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13.xml" ContentType="application/vnd.openxmlformats-officedocument.drawing+xml"/>
  <Override PartName="/xl/charts/chart22.xml" ContentType="application/vnd.openxmlformats-officedocument.drawingml.chart+xml"/>
  <Override PartName="/xl/drawings/drawing14.xml" ContentType="application/vnd.openxmlformats-officedocument.drawing+xml"/>
  <Override PartName="/xl/charts/chart23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24.xml" ContentType="application/vnd.openxmlformats-officedocument.drawingml.chart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19.xml" ContentType="application/vnd.openxmlformats-officedocument.drawing+xml"/>
  <Override PartName="/xl/charts/chart3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3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3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33.xml" ContentType="application/vnd.openxmlformats-officedocument.drawingml.chart+xml"/>
  <Override PartName="/xl/drawings/drawing27.xml" ContentType="application/vnd.openxmlformats-officedocument.drawing+xml"/>
  <Override PartName="/xl/charts/chart34.xml" ContentType="application/vnd.openxmlformats-officedocument.drawingml.chart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45.xml" ContentType="application/vnd.openxmlformats-officedocument.drawingml.chart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harts/chart46.xml" ContentType="application/vnd.openxmlformats-officedocument.drawingml.char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69.xml" ContentType="application/vnd.openxmlformats-officedocument.drawing+xml"/>
  <Override PartName="/xl/charts/chart5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70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71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72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73.xml" ContentType="application/vnd.openxmlformats-officedocument.drawing+xml"/>
  <Override PartName="/xl/charts/chart61.xml" ContentType="application/vnd.openxmlformats-officedocument.drawingml.chart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76.xml" ContentType="application/vnd.openxmlformats-officedocument.drawing+xml"/>
  <Override PartName="/xl/charts/chart64.xml" ContentType="application/vnd.openxmlformats-officedocument.drawingml.chart+xml"/>
  <Override PartName="/xl/drawings/drawing77.xml" ContentType="application/vnd.openxmlformats-officedocument.drawing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drawings/drawing78.xml" ContentType="application/vnd.openxmlformats-officedocument.drawing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drawings/drawing79.xml" ContentType="application/vnd.openxmlformats-officedocument.drawing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charts/chart88.xml" ContentType="application/vnd.openxmlformats-officedocument.drawingml.chart+xml"/>
  <Override PartName="/xl/drawings/drawing82.xml" ContentType="application/vnd.openxmlformats-officedocument.drawing+xml"/>
  <Override PartName="/xl/charts/chart89.xml" ContentType="application/vnd.openxmlformats-officedocument.drawingml.chart+xml"/>
  <Override PartName="/xl/drawings/drawing83.xml" ContentType="application/vnd.openxmlformats-officedocument.drawing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drawings/drawing84.xml" ContentType="application/vnd.openxmlformats-officedocument.drawing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85.xml" ContentType="application/vnd.openxmlformats-officedocument.drawing+xml"/>
  <Override PartName="/xl/charts/chart10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obazanlugo\Desktop\febrero 2023\otto\INFORMES RG\2022\entrega\final\"/>
    </mc:Choice>
  </mc:AlternateContent>
  <bookViews>
    <workbookView xWindow="0" yWindow="0" windowWidth="16104" windowHeight="5232" firstSheet="52" activeTab="53"/>
  </bookViews>
  <sheets>
    <sheet name="Portada" sheetId="1" r:id="rId1"/>
    <sheet name="Indice" sheetId="2" r:id="rId2"/>
    <sheet name="Aspirantes plan" sheetId="3" r:id="rId3"/>
    <sheet name="Aspirantes uni" sheetId="4" r:id="rId4"/>
    <sheet name="Asp x gen" sheetId="5" r:id="rId5"/>
    <sheet name="Admitidos plan" sheetId="6" r:id="rId6"/>
    <sheet name="Admitidos uni" sheetId="7" r:id="rId7"/>
    <sheet name="Admitidos x gen" sheetId="8" r:id="rId8"/>
    <sheet name="Inscritos plan" sheetId="10" r:id="rId9"/>
    <sheet name="Inscritos uni" sheetId="11" r:id="rId10"/>
    <sheet name="Matrícula plan" sheetId="12" r:id="rId11"/>
    <sheet name="Matricula uni" sheetId="13" r:id="rId12"/>
    <sheet name="BAJAS-DEF uni" sheetId="14" r:id="rId13"/>
    <sheet name="BAJAS-REG uni" sheetId="15" r:id="rId14"/>
    <sheet name="ACTIVOS plan" sheetId="16" r:id="rId15"/>
    <sheet name="ACTIVOS uni" sheetId="17" r:id="rId16"/>
    <sheet name="EGRESO plan" sheetId="18" r:id="rId17"/>
    <sheet name="EGRESO uni" sheetId="19" r:id="rId18"/>
    <sheet name="egresados x gen" sheetId="20" r:id="rId19"/>
    <sheet name="EGRESO-ACUM plan" sheetId="21" r:id="rId20"/>
    <sheet name="EGR-ACUM uni" sheetId="22" r:id="rId21"/>
    <sheet name="TITULADOS plan" sheetId="23" r:id="rId22"/>
    <sheet name="TITULADOS uni" sheetId="24" r:id="rId23"/>
    <sheet name="Planes de Lic." sheetId="25" r:id="rId24"/>
    <sheet name="Planes de calidad-Resumen" sheetId="26" r:id="rId25"/>
    <sheet name="Activos Lic-Pos" sheetId="27" r:id="rId26"/>
    <sheet name="Egresados Lic-Pos" sheetId="28" r:id="rId27"/>
    <sheet name="INSC-POSG plan" sheetId="29" r:id="rId28"/>
    <sheet name="INSC-POSG uni" sheetId="30" r:id="rId29"/>
    <sheet name="MATRICULA-POS plan" sheetId="31" r:id="rId30"/>
    <sheet name="MATRICULA-POS uni" sheetId="32" r:id="rId31"/>
    <sheet name="ACTIVOS-POS plan" sheetId="33" r:id="rId32"/>
    <sheet name="ACTIVOS-POS uni" sheetId="34" r:id="rId33"/>
    <sheet name="EGRESO-POS plan" sheetId="35" r:id="rId34"/>
    <sheet name="EGRESO-POs uni" sheetId="36" r:id="rId35"/>
    <sheet name="EGRESO POS ACUM plan" sheetId="37" r:id="rId36"/>
    <sheet name="EGRESO-POS ACUM uni" sheetId="38" r:id="rId37"/>
    <sheet name="Planes de Posgrado" sheetId="39" r:id="rId38"/>
    <sheet name="planes de calidad resumen" sheetId="40" r:id="rId39"/>
    <sheet name="Becas UAM pagadas" sheetId="41" r:id="rId40"/>
    <sheet name="Manutención plan" sheetId="42" r:id="rId41"/>
    <sheet name="Manutención uni" sheetId="43" r:id="rId42"/>
    <sheet name="1 Excelencia plan" sheetId="44" r:id="rId43"/>
    <sheet name="2 Gpos Vuln" sheetId="45" r:id="rId44"/>
    <sheet name="3 Serv Social" sheetId="46" r:id="rId45"/>
    <sheet name="4 Continuación" sheetId="47" r:id="rId46"/>
    <sheet name="5.1 Lenguas Ext_Lic" sheetId="48" r:id="rId47"/>
    <sheet name="5.2 Lenguas Ext_Pos" sheetId="49" r:id="rId48"/>
    <sheet name="5.3 Lenguas Ext_L" sheetId="50" r:id="rId49"/>
    <sheet name="5.4 Lenguas Ext_P" sheetId="51" r:id="rId50"/>
    <sheet name="6 Mov Inter Lic" sheetId="52" r:id="rId51"/>
    <sheet name="7 Mov Nal Lic" sheetId="53" r:id="rId52"/>
    <sheet name="8 Partic Lic" sheetId="54" r:id="rId53"/>
    <sheet name="9 Posgrado UAM" sheetId="55" r:id="rId54"/>
    <sheet name="10 Evento de difusión" sheetId="56" r:id="rId55"/>
    <sheet name="11 Movilidad Posgrado (Alum)" sheetId="57" r:id="rId56"/>
    <sheet name="12 Mov Pos ext (Part)" sheetId="58" r:id="rId57"/>
    <sheet name="13 Mov Pos nal (Part)" sheetId="84" r:id="rId58"/>
    <sheet name="14 Mov Nal Pos" sheetId="59" r:id="rId59"/>
    <sheet name="15 Movilidad virtual Lic" sheetId="83" r:id="rId60"/>
    <sheet name="16 Estancias de Inv." sheetId="60" r:id="rId61"/>
    <sheet name="17 Superacion Acad" sheetId="61" r:id="rId62"/>
    <sheet name="18. Beca para Estancias de Inv" sheetId="87" state="hidden" r:id="rId63"/>
    <sheet name="18. Apoyos Extra pos" sheetId="62" r:id="rId64"/>
    <sheet name="19. Becas para espec" sheetId="86" r:id="rId65"/>
    <sheet name="20. Becas para Tit Pos" sheetId="85" r:id="rId66"/>
    <sheet name="21. Monitores" sheetId="63" r:id="rId67"/>
    <sheet name="Definitivo x categoría" sheetId="64" r:id="rId68"/>
    <sheet name="Definitivo x género" sheetId="65" r:id="rId69"/>
    <sheet name="ACAD x EDAD" sheetId="66" r:id="rId70"/>
    <sheet name="ACAD x ANTIG" sheetId="67" r:id="rId71"/>
    <sheet name="Alumnos x PTC" sheetId="68" r:id="rId72"/>
    <sheet name="becas y estímulos" sheetId="69" r:id="rId73"/>
    <sheet name="PAD x GRADO" sheetId="70" r:id="rId74"/>
    <sheet name="PRODEP PERFIL" sheetId="71" r:id="rId75"/>
    <sheet name="SNI" sheetId="72" r:id="rId76"/>
    <sheet name="Cuerpos Acad" sheetId="73" r:id="rId77"/>
    <sheet name="Act de Investigacion" sheetId="74" r:id="rId78"/>
    <sheet name="TIPPA PROD TOTAL" sheetId="76" r:id="rId79"/>
    <sheet name="DEPORTES" sheetId="77" r:id="rId80"/>
    <sheet name="ADMI X EDAD" sheetId="78" r:id="rId81"/>
    <sheet name="ADMI X ANTIG" sheetId="79" r:id="rId82"/>
    <sheet name="RECURSOS EXT" sheetId="80" r:id="rId83"/>
    <sheet name="Convenios" sheetId="81" r:id="rId84"/>
    <sheet name="Patentes" sheetId="82" r:id="rId85"/>
  </sheets>
  <externalReferences>
    <externalReference r:id="rId86"/>
  </externalReferences>
  <definedNames>
    <definedName name="__123Graph_C" localSheetId="56" hidden="1">[1]PLAZASXI!#REF!</definedName>
    <definedName name="__123Graph_C" localSheetId="66" hidden="1">[1]PLAZASXI!#REF!</definedName>
    <definedName name="__123Graph_C" localSheetId="73" hidden="1">[1]PLAZASXI!#REF!</definedName>
    <definedName name="__123Graph_C" localSheetId="84" hidden="1">[1]PLAZASXI!#REF!</definedName>
    <definedName name="__123Graph_C" localSheetId="78" hidden="1">[1]PLAZASXI!#REF!</definedName>
    <definedName name="__123Graph_C" hidden="1">[1]PLAZASXI!#REF!</definedName>
    <definedName name="__123Graph_D" localSheetId="56" hidden="1">[1]PLAZASXI!#REF!</definedName>
    <definedName name="__123Graph_D" localSheetId="66" hidden="1">[1]PLAZASXI!#REF!</definedName>
    <definedName name="__123Graph_D" localSheetId="73" hidden="1">[1]PLAZASXI!#REF!</definedName>
    <definedName name="__123Graph_D" localSheetId="84" hidden="1">[1]PLAZASXI!#REF!</definedName>
    <definedName name="__123Graph_D" hidden="1">[1]PLAZASXI!#REF!</definedName>
    <definedName name="__123Graph_E" localSheetId="56" hidden="1">[1]PLAZASXI!#REF!</definedName>
    <definedName name="__123Graph_E" localSheetId="66" hidden="1">[1]PLAZASXI!#REF!</definedName>
    <definedName name="__123Graph_E" localSheetId="73" hidden="1">[1]PLAZASXI!#REF!</definedName>
    <definedName name="__123Graph_E" localSheetId="84" hidden="1">[1]PLAZASXI!#REF!</definedName>
    <definedName name="__123Graph_E" hidden="1">[1]PLAZASXI!#REF!</definedName>
    <definedName name="__123Graph_F" localSheetId="56" hidden="1">[1]PLAZASXI!#REF!</definedName>
    <definedName name="__123Graph_F" localSheetId="66" hidden="1">[1]PLAZASXI!#REF!</definedName>
    <definedName name="__123Graph_F" localSheetId="73" hidden="1">[1]PLAZASXI!#REF!</definedName>
    <definedName name="__123Graph_F" localSheetId="84" hidden="1">[1]PLAZASXI!#REF!</definedName>
    <definedName name="__123Graph_F" hidden="1">[1]PLAZASXI!#REF!</definedName>
    <definedName name="_Fill" localSheetId="56" hidden="1">#REF!</definedName>
    <definedName name="_Fill" localSheetId="66" hidden="1">#REF!</definedName>
    <definedName name="_Fill" localSheetId="73" hidden="1">#REF!</definedName>
    <definedName name="_Fill" localSheetId="84" hidden="1">#REF!</definedName>
    <definedName name="_Fill" localSheetId="78" hidden="1">#REF!</definedName>
    <definedName name="_Fill" hidden="1">#REF!</definedName>
    <definedName name="_xlnm._FilterDatabase" localSheetId="42" hidden="1">'1 Excelencia plan'!#REF!</definedName>
    <definedName name="_xlnm._FilterDatabase" localSheetId="30" hidden="1">'MATRICULA-POS uni'!$BO$52:$BO$64</definedName>
    <definedName name="_Order1" hidden="1">0</definedName>
    <definedName name="_Sort" localSheetId="56" hidden="1">#REF!</definedName>
    <definedName name="_Sort" localSheetId="66" hidden="1">#REF!</definedName>
    <definedName name="_Sort" localSheetId="73" hidden="1">#REF!</definedName>
    <definedName name="_Sort" localSheetId="84" hidden="1">#REF!</definedName>
    <definedName name="_Sort" localSheetId="78" hidden="1">#REF!</definedName>
    <definedName name="_Sort" hidden="1">#REF!</definedName>
    <definedName name="_xlnm.Print_Area" localSheetId="42">'1 Excelencia plan'!$L$3:$Z$108</definedName>
    <definedName name="_xlnm.Print_Area" localSheetId="54">'10 Evento de difusión'!$P$3:$AD$110</definedName>
    <definedName name="_xlnm.Print_Area" localSheetId="55">'11 Movilidad Posgrado (Alum)'!$O$3:$AC$89</definedName>
    <definedName name="_xlnm.Print_Area" localSheetId="56">'12 Mov Pos ext (Part)'!$O$3:$AC$28</definedName>
    <definedName name="_xlnm.Print_Area" localSheetId="58">'14 Mov Nal Pos'!$B$1:$Q$40</definedName>
    <definedName name="_xlnm.Print_Area" localSheetId="59">'15 Movilidad virtual Lic'!$B$1:$H$46</definedName>
    <definedName name="_xlnm.Print_Area" localSheetId="60">'16 Estancias de Inv.'!$L$1:$Z$41</definedName>
    <definedName name="_xlnm.Print_Area" localSheetId="61">'17 Superacion Acad'!$M$1:$AA$36</definedName>
    <definedName name="_xlnm.Print_Area" localSheetId="63">'18. Apoyos Extra pos'!$B$1:$O$103</definedName>
    <definedName name="_xlnm.Print_Area" localSheetId="43">'2 Gpos Vuln'!$O$1:$AC$83</definedName>
    <definedName name="_xlnm.Print_Area" localSheetId="65">'20. Becas para Tit Pos'!$A$1:$I$89</definedName>
    <definedName name="_xlnm.Print_Area" localSheetId="66">'21. Monitores'!$B$1:$H$25</definedName>
    <definedName name="_xlnm.Print_Area" localSheetId="44">'3 Serv Social'!$U$3:$AL$107</definedName>
    <definedName name="_xlnm.Print_Area" localSheetId="45">'4 Continuación'!$A$1:$Q$110</definedName>
    <definedName name="_xlnm.Print_Area" localSheetId="46">'5.1 Lenguas Ext_Lic'!$L$1:$Z$108</definedName>
    <definedName name="_xlnm.Print_Area" localSheetId="47">'5.2 Lenguas Ext_Pos'!$C$1:$S$123</definedName>
    <definedName name="_xlnm.Print_Area" localSheetId="48">'5.3 Lenguas Ext_L'!$B$1:$N$99</definedName>
    <definedName name="_xlnm.Print_Area" localSheetId="49">'5.4 Lenguas Ext_P'!$B$1:$N$80</definedName>
    <definedName name="_xlnm.Print_Area" localSheetId="50">'6 Mov Inter Lic'!$O$1:$AC$108</definedName>
    <definedName name="_xlnm.Print_Area" localSheetId="51">'7 Mov Nal Lic'!$O$1:$AC$104</definedName>
    <definedName name="_xlnm.Print_Area" localSheetId="52">'8 Partic Lic'!$O$3:$AC$102</definedName>
    <definedName name="_xlnm.Print_Area" localSheetId="53">'9 Posgrado UAM'!$R$3:$AF$69</definedName>
    <definedName name="_xlnm.Print_Area" localSheetId="70">'ACAD x ANTIG'!$M$1:$V$20,'ACAD x ANTIG'!$I$37:$V$93</definedName>
    <definedName name="_xlnm.Print_Area" localSheetId="69">'ACAD x EDAD'!$M$1:$V$21,'ACAD x EDAD'!$I$43:$V$101</definedName>
    <definedName name="_xlnm.Print_Area" localSheetId="77">'Act de Investigacion'!$A$1:$P$117,'Act de Investigacion'!$Q$1:$AG$59</definedName>
    <definedName name="_xlnm.Print_Area" localSheetId="25">'Activos Lic-Pos'!$A$1:$U$37</definedName>
    <definedName name="_xlnm.Print_Area" localSheetId="14">'ACTIVOS plan'!$M$3:$V$107</definedName>
    <definedName name="_xlnm.Print_Area" localSheetId="15">'ACTIVOS uni'!$M$4:$V$79</definedName>
    <definedName name="_xlnm.Print_Area" localSheetId="31">'ACTIVOS-POS plan'!$N$3:$W$163</definedName>
    <definedName name="_xlnm.Print_Area" localSheetId="32">'ACTIVOS-POS uni'!$N$1:$W$150</definedName>
    <definedName name="_xlnm.Print_Area" localSheetId="81">'ADMI X ANTIG'!$J$1:$U$18,'ADMI X ANTIG'!$F$34:$U$65</definedName>
    <definedName name="_xlnm.Print_Area" localSheetId="80">'ADMI X EDAD'!$L$1:$U$21,'ADMI X EDAD'!$E$45:$U$77</definedName>
    <definedName name="_xlnm.Print_Area" localSheetId="5">'Admitidos plan'!$AV$4:$BJ$109</definedName>
    <definedName name="_xlnm.Print_Area" localSheetId="6">'Admitidos uni'!$AV$3:$BJ$72</definedName>
    <definedName name="_xlnm.Print_Area" localSheetId="7">'Admitidos x gen'!$AG$3:$AU$68</definedName>
    <definedName name="_xlnm.Print_Area" localSheetId="71">'Alumnos x PTC'!$B$1:$U$208</definedName>
    <definedName name="_xlnm.Print_Area" localSheetId="4">'Asp x gen'!$AM$3:$BA$66</definedName>
    <definedName name="_xlnm.Print_Area" localSheetId="2">'Aspirantes plan'!$AU$3:$BI$108</definedName>
    <definedName name="_xlnm.Print_Area" localSheetId="3">'Aspirantes uni'!$AU$3:$BI$75</definedName>
    <definedName name="_xlnm.Print_Area" localSheetId="12">'BAJAS-DEF uni'!$A$1:$W$75</definedName>
    <definedName name="_xlnm.Print_Area" localSheetId="13">'BAJAS-REG uni'!$A$1:$W$74</definedName>
    <definedName name="_xlnm.Print_Area" localSheetId="39">'Becas UAM pagadas'!$P$3:$AF$38</definedName>
    <definedName name="_xlnm.Print_Area" localSheetId="72">'becas y estímulos'!$W$1:$AH$10,'becas y estímulos'!$P$13:$AH$51</definedName>
    <definedName name="_xlnm.Print_Area" localSheetId="83">Convenios!$B$1:$K$56,Convenios!$M$24:$AF$53,Convenios!$M$62:$AF$88,Convenios!$M$106:$AF$133</definedName>
    <definedName name="_xlnm.Print_Area" localSheetId="76">'Cuerpos Acad'!$BK$1:$CD$41,'Cuerpos Acad'!$BK$44:$CD$126</definedName>
    <definedName name="_xlnm.Print_Area" localSheetId="67">'Definitivo x categoría'!$BK$1:$CD$218</definedName>
    <definedName name="_xlnm.Print_Area" localSheetId="68">'Definitivo x género'!$AP$1:$BD$180</definedName>
    <definedName name="_xlnm.Print_Area" localSheetId="79">DEPORTES!$A$1:$O$115</definedName>
    <definedName name="_xlnm.Print_Area" localSheetId="20">'EGR-ACUM uni'!$L$1:$U$71</definedName>
    <definedName name="_xlnm.Print_Area" localSheetId="26">'Egresados Lic-Pos'!$A$1:$V$34</definedName>
    <definedName name="_xlnm.Print_Area" localSheetId="18">'egresados x gen'!$AM$3:$BA$70</definedName>
    <definedName name="_xlnm.Print_Area" localSheetId="16">'EGRESO plan'!$CA$3:$CT$108</definedName>
    <definedName name="_xlnm.Print_Area" localSheetId="35">'EGRESO POS ACUM plan'!$H$1:$Q$180</definedName>
    <definedName name="_xlnm.Print_Area" localSheetId="17">'EGRESO uni'!$CA$3:$CT$75</definedName>
    <definedName name="_xlnm.Print_Area" localSheetId="19">'EGRESO-ACUM plan'!$L$3:$U$108</definedName>
    <definedName name="_xlnm.Print_Area" localSheetId="36">'EGRESO-POS ACUM uni'!$AM$1:$BF$101</definedName>
    <definedName name="_xlnm.Print_Area" localSheetId="33">'EGRESO-POS plan'!$CB$3:$CU$160</definedName>
    <definedName name="_xlnm.Print_Area" localSheetId="34">'EGRESO-POs uni'!$CA$1:$CT$154</definedName>
    <definedName name="_xlnm.Print_Area" localSheetId="27">'INSC-POSG plan'!$CB$3:$CU$160</definedName>
    <definedName name="_xlnm.Print_Area" localSheetId="28">'INSC-POSG uni'!$CA$1:$CT$150</definedName>
    <definedName name="_xlnm.Print_Area" localSheetId="8">'Inscritos plan'!$AV$3:$BJ$108</definedName>
    <definedName name="_xlnm.Print_Area" localSheetId="9">'Inscritos uni'!$AV$3:$BJ$67</definedName>
    <definedName name="_xlnm.Print_Area" localSheetId="40">'Manutención plan'!$AI$3:$AW$108</definedName>
    <definedName name="_xlnm.Print_Area" localSheetId="41">'Manutención uni'!$AI$1:$AV$69</definedName>
    <definedName name="_xlnm.Print_Area" localSheetId="10">'Matrícula plan'!$AV$3:$BJ$108</definedName>
    <definedName name="_xlnm.Print_Area" localSheetId="11">'Matricula uni'!$AV$3:$BJ$69</definedName>
    <definedName name="_xlnm.Print_Area" localSheetId="29">'MATRICULA-POS plan'!$AW$3:$BK$161</definedName>
    <definedName name="_xlnm.Print_Area" localSheetId="30">'MATRICULA-POS uni'!$AV$1:$BJ$161</definedName>
    <definedName name="_xlnm.Print_Area" localSheetId="73">'PAD x GRADO'!$M$1:$AF$87</definedName>
    <definedName name="_xlnm.Print_Area" localSheetId="84">Patentes!$I$1:$S$13,Patentes!$I$15:$S$45</definedName>
    <definedName name="_xlnm.Print_Area" localSheetId="38">'planes de calidad resumen'!$A$1:$R$166</definedName>
    <definedName name="_xlnm.Print_Area" localSheetId="24">'Planes de calidad-Resumen'!$A$1:$K$193</definedName>
    <definedName name="_xlnm.Print_Area" localSheetId="23">'Planes de Lic.'!$A$1:$F$139</definedName>
    <definedName name="_xlnm.Print_Area" localSheetId="0">Portada!$A$1:$M$47</definedName>
    <definedName name="_xlnm.Print_Area" localSheetId="74">'PRODEP PERFIL'!$J$1:$V$101</definedName>
    <definedName name="_xlnm.Print_Area" localSheetId="82">'RECURSOS EXT'!$C$1:$O$129</definedName>
    <definedName name="_xlnm.Print_Area" localSheetId="75">SNI!$CO$1:$DM$39,SNI!$CO$43:$DM$82</definedName>
    <definedName name="_xlnm.Print_Area" localSheetId="78">'TIPPA PROD TOTAL'!$A$55:$AA$149</definedName>
    <definedName name="_xlnm.Print_Area" localSheetId="21">'TITULADOS plan'!$U$3:$AD$107</definedName>
    <definedName name="_xlnm.Print_Area" localSheetId="22">'TITULADOS uni'!$Q$3:$Z$38,'TITULADOS uni'!$L$39:$Z$74</definedName>
    <definedName name="cc" localSheetId="56" hidden="1">#REF!</definedName>
    <definedName name="cc" localSheetId="66" hidden="1">#REF!</definedName>
    <definedName name="cc" localSheetId="73" hidden="1">#REF!</definedName>
    <definedName name="cc" localSheetId="84" hidden="1">#REF!</definedName>
    <definedName name="cc" localSheetId="78" hidden="1">#REF!</definedName>
    <definedName name="cc" hidden="1">#REF!</definedName>
    <definedName name="GG" localSheetId="56" hidden="1">#REF!</definedName>
    <definedName name="GG" localSheetId="66" hidden="1">#REF!</definedName>
    <definedName name="GG" localSheetId="73" hidden="1">#REF!</definedName>
    <definedName name="GG" localSheetId="84" hidden="1">#REF!</definedName>
    <definedName name="GG" localSheetId="78" hidden="1">#REF!</definedName>
    <definedName name="GG" hidden="1">#REF!</definedName>
    <definedName name="JVS" localSheetId="56" hidden="1">#REF!</definedName>
    <definedName name="JVS" localSheetId="66" hidden="1">#REF!</definedName>
    <definedName name="JVS" localSheetId="73" hidden="1">#REF!</definedName>
    <definedName name="JVS" localSheetId="84" hidden="1">#REF!</definedName>
    <definedName name="JVS" localSheetId="78" hidden="1">#REF!</definedName>
    <definedName name="JVS" hidden="1">#REF!</definedName>
    <definedName name="rez" localSheetId="56" hidden="1">#REF!</definedName>
    <definedName name="rez" localSheetId="66" hidden="1">#REF!</definedName>
    <definedName name="rez" localSheetId="73" hidden="1">#REF!</definedName>
    <definedName name="rez" localSheetId="84" hidden="1">#REF!</definedName>
    <definedName name="rez" localSheetId="78" hidden="1">#REF!</definedName>
    <definedName name="rez" hidden="1">#REF!</definedName>
    <definedName name="sc" localSheetId="56" hidden="1">#REF!</definedName>
    <definedName name="sc" localSheetId="66" hidden="1">#REF!</definedName>
    <definedName name="sc" localSheetId="73" hidden="1">#REF!</definedName>
    <definedName name="sc" localSheetId="84" hidden="1">#REF!</definedName>
    <definedName name="sc" localSheetId="78" hidden="1">#REF!</definedName>
    <definedName name="sc" hidden="1">#REF!</definedName>
    <definedName name="sic" localSheetId="56" hidden="1">#REF!</definedName>
    <definedName name="sic" localSheetId="66" hidden="1">#REF!</definedName>
    <definedName name="sic" localSheetId="73" hidden="1">#REF!</definedName>
    <definedName name="sic" localSheetId="84" hidden="1">#REF!</definedName>
    <definedName name="sic" localSheetId="78" hidden="1">#REF!</definedName>
    <definedName name="sic" hidden="1">#REF!</definedName>
    <definedName name="_xlnm.Print_Titles" localSheetId="42">'1 Excelencia plan'!$B:$B,'1 Excelencia plan'!$1:$4</definedName>
    <definedName name="_xlnm.Print_Titles" localSheetId="54">'10 Evento de difusión'!$C:$C,'10 Evento de difusión'!$1:$4</definedName>
    <definedName name="_xlnm.Print_Titles" localSheetId="55">'11 Movilidad Posgrado (Alum)'!$B:$B,'11 Movilidad Posgrado (Alum)'!$1:$4</definedName>
    <definedName name="_xlnm.Print_Titles" localSheetId="56">'12 Mov Pos ext (Part)'!$B:$B,'12 Mov Pos ext (Part)'!$1:$1</definedName>
    <definedName name="_xlnm.Print_Titles" localSheetId="60">'16 Estancias de Inv.'!$B:$B,'16 Estancias de Inv.'!$2:$2</definedName>
    <definedName name="_xlnm.Print_Titles" localSheetId="61">'17 Superacion Acad'!$F:$F,'17 Superacion Acad'!$1:$1</definedName>
    <definedName name="_xlnm.Print_Titles" localSheetId="63">'18. Apoyos Extra pos'!$1:$4</definedName>
    <definedName name="_xlnm.Print_Titles" localSheetId="43">'2 Gpos Vuln'!$B:$B,'2 Gpos Vuln'!$1:$1</definedName>
    <definedName name="_xlnm.Print_Titles" localSheetId="65">'20. Becas para Tit Pos'!$1:$4</definedName>
    <definedName name="_xlnm.Print_Titles" localSheetId="44">'3 Serv Social'!$B:$B,'3 Serv Social'!$1:$5</definedName>
    <definedName name="_xlnm.Print_Titles" localSheetId="45">'4 Continuación'!$1:$5</definedName>
    <definedName name="_xlnm.Print_Titles" localSheetId="46">'5.1 Lenguas Ext_Lic'!$B:$B,'5.1 Lenguas Ext_Lic'!$1:$4</definedName>
    <definedName name="_xlnm.Print_Titles" localSheetId="47">'5.2 Lenguas Ext_Pos'!$1:$4</definedName>
    <definedName name="_xlnm.Print_Titles" localSheetId="48">'5.3 Lenguas Ext_L'!$1:$4</definedName>
    <definedName name="_xlnm.Print_Titles" localSheetId="50">'6 Mov Inter Lic'!$B:$B,'6 Mov Inter Lic'!$1:$4</definedName>
    <definedName name="_xlnm.Print_Titles" localSheetId="51">'7 Mov Nal Lic'!$B:$B,'7 Mov Nal Lic'!$1:$4</definedName>
    <definedName name="_xlnm.Print_Titles" localSheetId="52">'8 Partic Lic'!$B:$B,'8 Partic Lic'!$1:$4</definedName>
    <definedName name="_xlnm.Print_Titles" localSheetId="53">'9 Posgrado UAM'!$B:$B,'9 Posgrado UAM'!$1:$4</definedName>
    <definedName name="_xlnm.Print_Titles" localSheetId="70">'ACAD x ANTIG'!$A:$A</definedName>
    <definedName name="_xlnm.Print_Titles" localSheetId="69">'ACAD x EDAD'!$A:$A</definedName>
    <definedName name="_xlnm.Print_Titles" localSheetId="77">'Act de Investigacion'!$1:$3</definedName>
    <definedName name="_xlnm.Print_Titles" localSheetId="14">'ACTIVOS plan'!$B:$B,'ACTIVOS plan'!$1:$3</definedName>
    <definedName name="_xlnm.Print_Titles" localSheetId="15">'ACTIVOS uni'!$B:$B,'ACTIVOS uni'!$1:$1</definedName>
    <definedName name="_xlnm.Print_Titles" localSheetId="31">'ACTIVOS-POS plan'!$B:$C,'ACTIVOS-POS plan'!$1:$3</definedName>
    <definedName name="_xlnm.Print_Titles" localSheetId="32">'ACTIVOS-POS uni'!$C:$C</definedName>
    <definedName name="_xlnm.Print_Titles" localSheetId="81">'ADMI X ANTIG'!$B:$B</definedName>
    <definedName name="_xlnm.Print_Titles" localSheetId="80">'ADMI X EDAD'!$B:$B</definedName>
    <definedName name="_xlnm.Print_Titles" localSheetId="5">'Admitidos plan'!$B:$B,'Admitidos plan'!$1:$5</definedName>
    <definedName name="_xlnm.Print_Titles" localSheetId="6">'Admitidos uni'!$B:$B,'Admitidos uni'!$1:$1</definedName>
    <definedName name="_xlnm.Print_Titles" localSheetId="7">'Admitidos x gen'!$B:$B,'Admitidos x gen'!$1:$1</definedName>
    <definedName name="_xlnm.Print_Titles" localSheetId="4">'Asp x gen'!$B:$B,'Asp x gen'!$1:$1</definedName>
    <definedName name="_xlnm.Print_Titles" localSheetId="2">'Aspirantes plan'!$A:$A,'Aspirantes plan'!$1:$4</definedName>
    <definedName name="_xlnm.Print_Titles" localSheetId="3">'Aspirantes uni'!$A:$A,'Aspirantes uni'!$1:$1</definedName>
    <definedName name="_xlnm.Print_Titles" localSheetId="39">'Becas UAM pagadas'!$B:$C,'Becas UAM pagadas'!$1:$4</definedName>
    <definedName name="_xlnm.Print_Titles" localSheetId="72">'becas y estímulos'!$A:$A</definedName>
    <definedName name="_xlnm.Print_Titles" localSheetId="76">'Cuerpos Acad'!$B:$B</definedName>
    <definedName name="_xlnm.Print_Titles" localSheetId="67">'Definitivo x categoría'!$B:$B</definedName>
    <definedName name="_xlnm.Print_Titles" localSheetId="68">'Definitivo x género'!$B:$B</definedName>
    <definedName name="_xlnm.Print_Titles" localSheetId="20">'EGR-ACUM uni'!$B:$B,'EGR-ACUM uni'!$1:$1</definedName>
    <definedName name="_xlnm.Print_Titles" localSheetId="18">'egresados x gen'!$B:$B,'egresados x gen'!$1:$1</definedName>
    <definedName name="_xlnm.Print_Titles" localSheetId="16">'EGRESO plan'!$B:$B,'EGRESO plan'!$1:$4</definedName>
    <definedName name="_xlnm.Print_Titles" localSheetId="35">'EGRESO POS ACUM plan'!$B:$C,'EGRESO POS ACUM plan'!$1:$3</definedName>
    <definedName name="_xlnm.Print_Titles" localSheetId="17">'EGRESO uni'!$B:$B,'EGRESO uni'!$1:$1</definedName>
    <definedName name="_xlnm.Print_Titles" localSheetId="19">'EGRESO-ACUM plan'!$B:$B,'EGRESO-ACUM plan'!$1:$3</definedName>
    <definedName name="_xlnm.Print_Titles" localSheetId="36">'EGRESO-POS ACUM uni'!$B:$B</definedName>
    <definedName name="_xlnm.Print_Titles" localSheetId="33">'EGRESO-POS plan'!$B:$C,'EGRESO-POS plan'!$1:$4</definedName>
    <definedName name="_xlnm.Print_Titles" localSheetId="34">'EGRESO-POs uni'!$B:$B</definedName>
    <definedName name="_xlnm.Print_Titles" localSheetId="27">'INSC-POSG plan'!$B:$C,'INSC-POSG plan'!$1:$4</definedName>
    <definedName name="_xlnm.Print_Titles" localSheetId="28">'INSC-POSG uni'!$B:$B,'INSC-POSG uni'!$1:$1</definedName>
    <definedName name="_xlnm.Print_Titles" localSheetId="8">'Inscritos plan'!$B:$B,'Inscritos plan'!$1:$4</definedName>
    <definedName name="_xlnm.Print_Titles" localSheetId="9">'Inscritos uni'!$B:$B,'Inscritos uni'!$1:$1</definedName>
    <definedName name="_xlnm.Print_Titles" localSheetId="40">'Manutención plan'!$B:$B,'Manutención plan'!$1:$4</definedName>
    <definedName name="_xlnm.Print_Titles" localSheetId="41">'Manutención uni'!$B:$B</definedName>
    <definedName name="_xlnm.Print_Titles" localSheetId="10">'Matrícula plan'!$B:$B,'Matrícula plan'!$1:$4</definedName>
    <definedName name="_xlnm.Print_Titles" localSheetId="11">'Matricula uni'!$B:$B,'Matricula uni'!$1:$1</definedName>
    <definedName name="_xlnm.Print_Titles" localSheetId="29">'MATRICULA-POS plan'!$B:$C,'MATRICULA-POS plan'!$1:$4</definedName>
    <definedName name="_xlnm.Print_Titles" localSheetId="30">'MATRICULA-POS uni'!$B:$B</definedName>
    <definedName name="_xlnm.Print_Titles" localSheetId="73">'PAD x GRADO'!$B:$B,'PAD x GRADO'!$1:$4</definedName>
    <definedName name="_xlnm.Print_Titles" localSheetId="84">Patentes!$B:$B,Patentes!$1:$1</definedName>
    <definedName name="_xlnm.Print_Titles" localSheetId="23">'Planes de Lic.'!$1:$2</definedName>
    <definedName name="_xlnm.Print_Titles" localSheetId="37">'Planes de Posgrado'!$1:$2</definedName>
    <definedName name="_xlnm.Print_Titles" localSheetId="74">'PRODEP PERFIL'!$B:$B,'PRODEP PERFIL'!$1:$1</definedName>
    <definedName name="_xlnm.Print_Titles" localSheetId="75">SNI!$B:$B,SNI!$1:$1</definedName>
    <definedName name="_xlnm.Print_Titles" localSheetId="21">'TITULADOS plan'!$B:$B,'TITULADOS plan'!$1:$3</definedName>
    <definedName name="_xlnm.Print_Titles" localSheetId="22">'TITULADOS uni'!$B:$B,'TITULADOS uni'!$1:$1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19" i="63" l="1"/>
  <c r="K10" i="63"/>
  <c r="K17" i="63" s="1"/>
  <c r="K22" i="63" s="1"/>
  <c r="J22" i="63"/>
  <c r="I22" i="63"/>
  <c r="J17" i="63"/>
  <c r="I17" i="63"/>
  <c r="J10" i="63"/>
  <c r="I10" i="63"/>
  <c r="K9" i="63"/>
  <c r="H22" i="63"/>
  <c r="G22" i="63"/>
  <c r="F22" i="63"/>
  <c r="E22" i="63"/>
  <c r="D22" i="63"/>
  <c r="C22" i="63"/>
  <c r="K6" i="63"/>
  <c r="K7" i="63" s="1"/>
  <c r="J7" i="63"/>
  <c r="J8" i="63" s="1"/>
  <c r="I7" i="63"/>
  <c r="I8" i="63" s="1"/>
  <c r="J20" i="63"/>
  <c r="J19" i="63"/>
  <c r="I19" i="63"/>
  <c r="I20" i="63" s="1"/>
  <c r="K20" i="63" s="1"/>
  <c r="K18" i="63"/>
  <c r="K16" i="63"/>
  <c r="J16" i="63"/>
  <c r="I16" i="63"/>
  <c r="K12" i="63"/>
  <c r="K13" i="63"/>
  <c r="K14" i="63"/>
  <c r="K15" i="63"/>
  <c r="K11" i="63"/>
  <c r="K8" i="63" l="1"/>
  <c r="AD25" i="41" l="1"/>
  <c r="Y33" i="61"/>
  <c r="Z33" i="61"/>
  <c r="Y21" i="61"/>
  <c r="Z21" i="61"/>
  <c r="Z35" i="61" s="1"/>
  <c r="AA30" i="61"/>
  <c r="AA33" i="61" s="1"/>
  <c r="AA20" i="61"/>
  <c r="AA14" i="61"/>
  <c r="AA21" i="61" l="1"/>
  <c r="AA35" i="61" s="1"/>
  <c r="Y35" i="61"/>
  <c r="AD100" i="23" l="1"/>
  <c r="U74" i="21"/>
  <c r="CR82" i="18"/>
  <c r="CS82" i="18"/>
  <c r="CT82" i="18"/>
  <c r="CQ83" i="18"/>
  <c r="CR74" i="18"/>
  <c r="CQ74" i="18"/>
  <c r="CT74" i="18"/>
  <c r="CS74" i="18"/>
  <c r="CT73" i="18"/>
  <c r="N11" i="77" l="1"/>
  <c r="H24" i="77"/>
  <c r="G24" i="77"/>
  <c r="D24" i="77"/>
  <c r="C24" i="77"/>
  <c r="CS78" i="18" l="1"/>
  <c r="C85" i="32" l="1"/>
  <c r="D85" i="32"/>
  <c r="E85" i="32"/>
  <c r="F85" i="32"/>
  <c r="G85" i="32"/>
  <c r="H85" i="32"/>
  <c r="I85" i="32"/>
  <c r="J85" i="32"/>
  <c r="J91" i="32" s="1"/>
  <c r="K85" i="32"/>
  <c r="L85" i="32"/>
  <c r="M85" i="32"/>
  <c r="N85" i="32"/>
  <c r="O85" i="32"/>
  <c r="P85" i="32"/>
  <c r="Q85" i="32"/>
  <c r="R85" i="32"/>
  <c r="R91" i="32" s="1"/>
  <c r="S85" i="32"/>
  <c r="T85" i="32"/>
  <c r="U85" i="32"/>
  <c r="V85" i="32"/>
  <c r="W85" i="32"/>
  <c r="X85" i="32"/>
  <c r="Y85" i="32"/>
  <c r="Z85" i="32"/>
  <c r="Z91" i="32" s="1"/>
  <c r="AA85" i="32"/>
  <c r="AB85" i="32"/>
  <c r="AC85" i="32"/>
  <c r="AD85" i="32"/>
  <c r="AE85" i="32"/>
  <c r="AF85" i="32"/>
  <c r="AG85" i="32"/>
  <c r="AH85" i="32"/>
  <c r="AH91" i="32" s="1"/>
  <c r="AI85" i="32"/>
  <c r="AJ85" i="32"/>
  <c r="AK85" i="32"/>
  <c r="AL85" i="32"/>
  <c r="AM85" i="32"/>
  <c r="AN85" i="32"/>
  <c r="AO85" i="32"/>
  <c r="AP85" i="32"/>
  <c r="AP91" i="32" s="1"/>
  <c r="AQ85" i="32"/>
  <c r="AR85" i="32"/>
  <c r="AS85" i="32"/>
  <c r="AT85" i="32"/>
  <c r="AU85" i="32"/>
  <c r="AV85" i="32"/>
  <c r="AW85" i="32"/>
  <c r="AX85" i="32"/>
  <c r="AX91" i="32" s="1"/>
  <c r="AY85" i="32"/>
  <c r="AZ85" i="32"/>
  <c r="BA85" i="32"/>
  <c r="BB85" i="32"/>
  <c r="BC85" i="32"/>
  <c r="BD85" i="32"/>
  <c r="BE85" i="32"/>
  <c r="BF85" i="32"/>
  <c r="BF91" i="32" s="1"/>
  <c r="BG85" i="32"/>
  <c r="BH85" i="32"/>
  <c r="BI85" i="32"/>
  <c r="C86" i="32"/>
  <c r="D86" i="32"/>
  <c r="E86" i="32"/>
  <c r="F86" i="32"/>
  <c r="G86" i="32"/>
  <c r="G91" i="32" s="1"/>
  <c r="H86" i="32"/>
  <c r="I86" i="32"/>
  <c r="J86" i="32"/>
  <c r="K86" i="32"/>
  <c r="L86" i="32"/>
  <c r="M86" i="32"/>
  <c r="N86" i="32"/>
  <c r="O86" i="32"/>
  <c r="O91" i="32" s="1"/>
  <c r="P86" i="32"/>
  <c r="Q86" i="32"/>
  <c r="R86" i="32"/>
  <c r="S86" i="32"/>
  <c r="T86" i="32"/>
  <c r="U86" i="32"/>
  <c r="V86" i="32"/>
  <c r="W86" i="32"/>
  <c r="W91" i="32" s="1"/>
  <c r="X86" i="32"/>
  <c r="Y86" i="32"/>
  <c r="Z86" i="32"/>
  <c r="AA86" i="32"/>
  <c r="AB86" i="32"/>
  <c r="AC86" i="32"/>
  <c r="AD86" i="32"/>
  <c r="AE86" i="32"/>
  <c r="AE91" i="32" s="1"/>
  <c r="AF86" i="32"/>
  <c r="AG86" i="32"/>
  <c r="AH86" i="32"/>
  <c r="AI86" i="32"/>
  <c r="AJ86" i="32"/>
  <c r="AK86" i="32"/>
  <c r="AL86" i="32"/>
  <c r="AM86" i="32"/>
  <c r="AM91" i="32" s="1"/>
  <c r="AN86" i="32"/>
  <c r="AO86" i="32"/>
  <c r="AP86" i="32"/>
  <c r="AQ86" i="32"/>
  <c r="AR86" i="32"/>
  <c r="AS86" i="32"/>
  <c r="AT86" i="32"/>
  <c r="AU86" i="32"/>
  <c r="AU91" i="32" s="1"/>
  <c r="AV86" i="32"/>
  <c r="AW86" i="32"/>
  <c r="AX86" i="32"/>
  <c r="AY86" i="32"/>
  <c r="AZ86" i="32"/>
  <c r="BA86" i="32"/>
  <c r="BB86" i="32"/>
  <c r="BC86" i="32"/>
  <c r="BC91" i="32" s="1"/>
  <c r="BD86" i="32"/>
  <c r="BE86" i="32"/>
  <c r="BF86" i="32"/>
  <c r="BG86" i="32"/>
  <c r="BH86" i="32"/>
  <c r="BI86" i="32"/>
  <c r="C87" i="32"/>
  <c r="D87" i="32"/>
  <c r="D91" i="32" s="1"/>
  <c r="E87" i="32"/>
  <c r="F87" i="32"/>
  <c r="G87" i="32"/>
  <c r="H87" i="32"/>
  <c r="I87" i="32"/>
  <c r="J87" i="32"/>
  <c r="K87" i="32"/>
  <c r="L87" i="32"/>
  <c r="L91" i="32" s="1"/>
  <c r="M87" i="32"/>
  <c r="N87" i="32"/>
  <c r="O87" i="32"/>
  <c r="P87" i="32"/>
  <c r="Q87" i="32"/>
  <c r="R87" i="32"/>
  <c r="S87" i="32"/>
  <c r="T87" i="32"/>
  <c r="T91" i="32" s="1"/>
  <c r="U87" i="32"/>
  <c r="V87" i="32"/>
  <c r="W87" i="32"/>
  <c r="X87" i="32"/>
  <c r="Y87" i="32"/>
  <c r="Z87" i="32"/>
  <c r="AA87" i="32"/>
  <c r="AB87" i="32"/>
  <c r="AB91" i="32" s="1"/>
  <c r="AC87" i="32"/>
  <c r="AD87" i="32"/>
  <c r="AE87" i="32"/>
  <c r="AF87" i="32"/>
  <c r="AG87" i="32"/>
  <c r="AH87" i="32"/>
  <c r="AI87" i="32"/>
  <c r="AJ87" i="32"/>
  <c r="AJ91" i="32" s="1"/>
  <c r="AK87" i="32"/>
  <c r="AL87" i="32"/>
  <c r="AM87" i="32"/>
  <c r="AN87" i="32"/>
  <c r="AO87" i="32"/>
  <c r="AP87" i="32"/>
  <c r="AQ87" i="32"/>
  <c r="AR87" i="32"/>
  <c r="AR91" i="32" s="1"/>
  <c r="AS87" i="32"/>
  <c r="AT87" i="32"/>
  <c r="AU87" i="32"/>
  <c r="AV87" i="32"/>
  <c r="AW87" i="32"/>
  <c r="AX87" i="32"/>
  <c r="AY87" i="32"/>
  <c r="AZ87" i="32"/>
  <c r="AZ91" i="32" s="1"/>
  <c r="BA87" i="32"/>
  <c r="BB87" i="32"/>
  <c r="BC87" i="32"/>
  <c r="BD87" i="32"/>
  <c r="BE87" i="32"/>
  <c r="BF87" i="32"/>
  <c r="BG87" i="32"/>
  <c r="BH87" i="32"/>
  <c r="BH91" i="32" s="1"/>
  <c r="BI87" i="32"/>
  <c r="C88" i="32"/>
  <c r="D88" i="32"/>
  <c r="E88" i="32"/>
  <c r="F88" i="32"/>
  <c r="G88" i="32"/>
  <c r="H88" i="32"/>
  <c r="I88" i="32"/>
  <c r="I91" i="32" s="1"/>
  <c r="J88" i="32"/>
  <c r="K88" i="32"/>
  <c r="L88" i="32"/>
  <c r="M88" i="32"/>
  <c r="N88" i="32"/>
  <c r="O88" i="32"/>
  <c r="P88" i="32"/>
  <c r="Q88" i="32"/>
  <c r="Q91" i="32" s="1"/>
  <c r="R88" i="32"/>
  <c r="S88" i="32"/>
  <c r="T88" i="32"/>
  <c r="U88" i="32"/>
  <c r="V88" i="32"/>
  <c r="W88" i="32"/>
  <c r="X88" i="32"/>
  <c r="Y88" i="32"/>
  <c r="Y91" i="32" s="1"/>
  <c r="Z88" i="32"/>
  <c r="AA88" i="32"/>
  <c r="AB88" i="32"/>
  <c r="AC88" i="32"/>
  <c r="AD88" i="32"/>
  <c r="AE88" i="32"/>
  <c r="AF88" i="32"/>
  <c r="AG88" i="32"/>
  <c r="AG91" i="32" s="1"/>
  <c r="AH88" i="32"/>
  <c r="AI88" i="32"/>
  <c r="AJ88" i="32"/>
  <c r="AK88" i="32"/>
  <c r="AL88" i="32"/>
  <c r="AM88" i="32"/>
  <c r="AN88" i="32"/>
  <c r="AO88" i="32"/>
  <c r="AO91" i="32" s="1"/>
  <c r="AP88" i="32"/>
  <c r="AQ88" i="32"/>
  <c r="AR88" i="32"/>
  <c r="AS88" i="32"/>
  <c r="AT88" i="32"/>
  <c r="AU88" i="32"/>
  <c r="AV88" i="32"/>
  <c r="AW88" i="32"/>
  <c r="AW91" i="32" s="1"/>
  <c r="AX88" i="32"/>
  <c r="AY88" i="32"/>
  <c r="AZ88" i="32"/>
  <c r="BA88" i="32"/>
  <c r="BB88" i="32"/>
  <c r="BC88" i="32"/>
  <c r="BD88" i="32"/>
  <c r="BE88" i="32"/>
  <c r="BE91" i="32" s="1"/>
  <c r="BF88" i="32"/>
  <c r="BG88" i="32"/>
  <c r="BH88" i="32"/>
  <c r="BI88" i="32"/>
  <c r="C89" i="32"/>
  <c r="C91" i="32" s="1"/>
  <c r="D89" i="32"/>
  <c r="E89" i="32"/>
  <c r="F89" i="32"/>
  <c r="F91" i="32" s="1"/>
  <c r="G89" i="32"/>
  <c r="H89" i="32"/>
  <c r="I89" i="32"/>
  <c r="J89" i="32"/>
  <c r="K89" i="32"/>
  <c r="K91" i="32" s="1"/>
  <c r="L89" i="32"/>
  <c r="M89" i="32"/>
  <c r="N89" i="32"/>
  <c r="N91" i="32" s="1"/>
  <c r="O89" i="32"/>
  <c r="P89" i="32"/>
  <c r="Q89" i="32"/>
  <c r="R89" i="32"/>
  <c r="S89" i="32"/>
  <c r="S91" i="32" s="1"/>
  <c r="T89" i="32"/>
  <c r="U89" i="32"/>
  <c r="V89" i="32"/>
  <c r="V91" i="32" s="1"/>
  <c r="W89" i="32"/>
  <c r="X89" i="32"/>
  <c r="Y89" i="32"/>
  <c r="Z89" i="32"/>
  <c r="AA89" i="32"/>
  <c r="AA91" i="32" s="1"/>
  <c r="AB89" i="32"/>
  <c r="AC89" i="32"/>
  <c r="AD89" i="32"/>
  <c r="AD91" i="32" s="1"/>
  <c r="AE89" i="32"/>
  <c r="AF89" i="32"/>
  <c r="AG89" i="32"/>
  <c r="AH89" i="32"/>
  <c r="AI89" i="32"/>
  <c r="AJ89" i="32"/>
  <c r="AK89" i="32"/>
  <c r="AL89" i="32"/>
  <c r="AL91" i="32" s="1"/>
  <c r="AM89" i="32"/>
  <c r="AN89" i="32"/>
  <c r="AO89" i="32"/>
  <c r="AP89" i="32"/>
  <c r="AQ89" i="32"/>
  <c r="AR89" i="32"/>
  <c r="AS89" i="32"/>
  <c r="AT89" i="32"/>
  <c r="AT91" i="32" s="1"/>
  <c r="AU89" i="32"/>
  <c r="AV89" i="32"/>
  <c r="AW89" i="32"/>
  <c r="AX89" i="32"/>
  <c r="AY89" i="32"/>
  <c r="AZ89" i="32"/>
  <c r="BA89" i="32"/>
  <c r="BB89" i="32"/>
  <c r="BB91" i="32" s="1"/>
  <c r="BC89" i="32"/>
  <c r="BD89" i="32"/>
  <c r="BE89" i="32"/>
  <c r="BF89" i="32"/>
  <c r="BG89" i="32"/>
  <c r="BH89" i="32"/>
  <c r="BI89" i="32"/>
  <c r="C90" i="32"/>
  <c r="D90" i="32"/>
  <c r="E90" i="32"/>
  <c r="F90" i="32"/>
  <c r="G90" i="32"/>
  <c r="H90" i="32"/>
  <c r="I90" i="32"/>
  <c r="J90" i="32"/>
  <c r="K90" i="32"/>
  <c r="L90" i="32"/>
  <c r="M90" i="32"/>
  <c r="N90" i="32"/>
  <c r="O90" i="32"/>
  <c r="P90" i="32"/>
  <c r="Q90" i="32"/>
  <c r="R90" i="32"/>
  <c r="S90" i="32"/>
  <c r="T90" i="32"/>
  <c r="U90" i="32"/>
  <c r="V90" i="32"/>
  <c r="W90" i="32"/>
  <c r="X90" i="32"/>
  <c r="Y90" i="32"/>
  <c r="Z90" i="32"/>
  <c r="AA90" i="32"/>
  <c r="AB90" i="32"/>
  <c r="AC90" i="32"/>
  <c r="AD90" i="32"/>
  <c r="AE90" i="32"/>
  <c r="AF90" i="32"/>
  <c r="AG90" i="32"/>
  <c r="AH90" i="32"/>
  <c r="AI90" i="32"/>
  <c r="AI91" i="32" s="1"/>
  <c r="AJ90" i="32"/>
  <c r="AK90" i="32"/>
  <c r="AL90" i="32"/>
  <c r="AM90" i="32"/>
  <c r="AN90" i="32"/>
  <c r="AO90" i="32"/>
  <c r="AP90" i="32"/>
  <c r="AQ90" i="32"/>
  <c r="AQ91" i="32" s="1"/>
  <c r="AR90" i="32"/>
  <c r="AS90" i="32"/>
  <c r="AT90" i="32"/>
  <c r="AU90" i="32"/>
  <c r="AV90" i="32"/>
  <c r="AW90" i="32"/>
  <c r="AX90" i="32"/>
  <c r="AY90" i="32"/>
  <c r="AY91" i="32" s="1"/>
  <c r="AZ90" i="32"/>
  <c r="BA90" i="32"/>
  <c r="BB90" i="32"/>
  <c r="BC90" i="32"/>
  <c r="BD90" i="32"/>
  <c r="BE90" i="32"/>
  <c r="BF90" i="32"/>
  <c r="BG90" i="32"/>
  <c r="BG91" i="32" s="1"/>
  <c r="BH90" i="32"/>
  <c r="BI90" i="32"/>
  <c r="E91" i="32"/>
  <c r="H91" i="32"/>
  <c r="M91" i="32"/>
  <c r="P91" i="32"/>
  <c r="U91" i="32"/>
  <c r="X91" i="32"/>
  <c r="AC91" i="32"/>
  <c r="AF91" i="32"/>
  <c r="AK91" i="32"/>
  <c r="AN91" i="32"/>
  <c r="AS91" i="32"/>
  <c r="AV91" i="32"/>
  <c r="BA91" i="32"/>
  <c r="BD91" i="32"/>
  <c r="BI91" i="32"/>
  <c r="BJ88" i="32"/>
  <c r="BJ91" i="32" s="1"/>
  <c r="BJ90" i="32"/>
  <c r="BJ89" i="32"/>
  <c r="BJ87" i="32"/>
  <c r="BJ86" i="32"/>
  <c r="BJ85" i="32"/>
  <c r="AG101" i="81" l="1"/>
  <c r="AG60" i="81"/>
  <c r="H47" i="85" l="1"/>
  <c r="I46" i="85"/>
  <c r="G47" i="85"/>
  <c r="D116" i="74" l="1"/>
  <c r="E116" i="74"/>
  <c r="F116" i="74"/>
  <c r="G116" i="74"/>
  <c r="H116" i="74"/>
  <c r="I116" i="74"/>
  <c r="J116" i="74"/>
  <c r="K116" i="74"/>
  <c r="L116" i="74"/>
  <c r="M116" i="74"/>
  <c r="N116" i="74"/>
  <c r="O116" i="74"/>
  <c r="C116" i="74"/>
  <c r="V8" i="71" l="1"/>
  <c r="AG22" i="81" l="1"/>
  <c r="G11" i="81" l="1"/>
  <c r="F11" i="81"/>
  <c r="D11" i="81"/>
  <c r="C11" i="81"/>
  <c r="J10" i="81"/>
  <c r="I10" i="81"/>
  <c r="H10" i="81"/>
  <c r="E10" i="81"/>
  <c r="J9" i="81"/>
  <c r="I9" i="81"/>
  <c r="H9" i="81"/>
  <c r="E9" i="81"/>
  <c r="J8" i="81"/>
  <c r="I8" i="81"/>
  <c r="H8" i="81"/>
  <c r="E8" i="81"/>
  <c r="J7" i="81"/>
  <c r="I7" i="81"/>
  <c r="H7" i="81"/>
  <c r="E7" i="81"/>
  <c r="J6" i="81"/>
  <c r="I6" i="81"/>
  <c r="H6" i="81"/>
  <c r="E6" i="81"/>
  <c r="J5" i="81"/>
  <c r="I5" i="81"/>
  <c r="H5" i="81"/>
  <c r="E5" i="81"/>
  <c r="K8" i="81" l="1"/>
  <c r="K6" i="81"/>
  <c r="K10" i="81"/>
  <c r="J11" i="81"/>
  <c r="H11" i="81"/>
  <c r="K7" i="81"/>
  <c r="K9" i="81"/>
  <c r="E11" i="81"/>
  <c r="I11" i="81"/>
  <c r="K5" i="81"/>
  <c r="K11" i="81" l="1"/>
  <c r="Z33" i="48" l="1"/>
  <c r="W27" i="48"/>
  <c r="T27" i="48"/>
  <c r="Q27" i="48"/>
  <c r="N27" i="48"/>
  <c r="K27" i="48"/>
  <c r="H27" i="48"/>
  <c r="E27" i="48"/>
  <c r="W26" i="48"/>
  <c r="T26" i="48"/>
  <c r="Q26" i="48"/>
  <c r="N26" i="48"/>
  <c r="K26" i="48"/>
  <c r="H26" i="48"/>
  <c r="E26" i="48"/>
  <c r="Y24" i="48"/>
  <c r="X24" i="48"/>
  <c r="V24" i="48"/>
  <c r="U24" i="48"/>
  <c r="S24" i="48"/>
  <c r="R24" i="48"/>
  <c r="P24" i="48"/>
  <c r="O24" i="48"/>
  <c r="M24" i="48"/>
  <c r="L24" i="48"/>
  <c r="J24" i="48"/>
  <c r="I24" i="48"/>
  <c r="G24" i="48"/>
  <c r="F24" i="48"/>
  <c r="D24" i="48"/>
  <c r="C24" i="48"/>
  <c r="W23" i="48"/>
  <c r="T23" i="48"/>
  <c r="Q23" i="48"/>
  <c r="N23" i="48"/>
  <c r="K23" i="48"/>
  <c r="H23" i="48"/>
  <c r="E23" i="48"/>
  <c r="W22" i="48"/>
  <c r="T22" i="48"/>
  <c r="Q22" i="48"/>
  <c r="N22" i="48"/>
  <c r="K22" i="48"/>
  <c r="H22" i="48"/>
  <c r="E22" i="48"/>
  <c r="W21" i="48"/>
  <c r="T21" i="48"/>
  <c r="Q21" i="48"/>
  <c r="N21" i="48"/>
  <c r="K21" i="48"/>
  <c r="H21" i="48"/>
  <c r="E21" i="48"/>
  <c r="Y20" i="48"/>
  <c r="X20" i="48"/>
  <c r="V20" i="48"/>
  <c r="U20" i="48"/>
  <c r="S20" i="48"/>
  <c r="R20" i="48"/>
  <c r="P20" i="48"/>
  <c r="O20" i="48"/>
  <c r="M20" i="48"/>
  <c r="L20" i="48"/>
  <c r="J20" i="48"/>
  <c r="I20" i="48"/>
  <c r="G20" i="48"/>
  <c r="F20" i="48"/>
  <c r="D20" i="48"/>
  <c r="C20" i="48"/>
  <c r="W19" i="48"/>
  <c r="T19" i="48"/>
  <c r="Q19" i="48"/>
  <c r="N19" i="48"/>
  <c r="K19" i="48"/>
  <c r="H19" i="48"/>
  <c r="E19" i="48"/>
  <c r="W18" i="48"/>
  <c r="T18" i="48"/>
  <c r="Q18" i="48"/>
  <c r="N18" i="48"/>
  <c r="K18" i="48"/>
  <c r="H18" i="48"/>
  <c r="E18" i="48"/>
  <c r="W17" i="48"/>
  <c r="T17" i="48"/>
  <c r="Q17" i="48"/>
  <c r="N17" i="48"/>
  <c r="K17" i="48"/>
  <c r="H17" i="48"/>
  <c r="E17" i="48"/>
  <c r="W16" i="48"/>
  <c r="T16" i="48"/>
  <c r="Q16" i="48"/>
  <c r="N16" i="48"/>
  <c r="K16" i="48"/>
  <c r="H16" i="48"/>
  <c r="E16" i="48"/>
  <c r="Y15" i="48"/>
  <c r="X15" i="48"/>
  <c r="V15" i="48"/>
  <c r="U15" i="48"/>
  <c r="S15" i="48"/>
  <c r="R15" i="48"/>
  <c r="P15" i="48"/>
  <c r="O15" i="48"/>
  <c r="M15" i="48"/>
  <c r="L15" i="48"/>
  <c r="J15" i="48"/>
  <c r="I15" i="48"/>
  <c r="G15" i="48"/>
  <c r="F15" i="48"/>
  <c r="D15" i="48"/>
  <c r="C15" i="48"/>
  <c r="W14" i="48"/>
  <c r="T14" i="48"/>
  <c r="Q14" i="48"/>
  <c r="N14" i="48"/>
  <c r="K14" i="48"/>
  <c r="H14" i="48"/>
  <c r="E14" i="48"/>
  <c r="W13" i="48"/>
  <c r="T13" i="48"/>
  <c r="Q13" i="48"/>
  <c r="N13" i="48"/>
  <c r="K13" i="48"/>
  <c r="H13" i="48"/>
  <c r="E13" i="48"/>
  <c r="W12" i="48"/>
  <c r="T12" i="48"/>
  <c r="Q12" i="48"/>
  <c r="N12" i="48"/>
  <c r="K12" i="48"/>
  <c r="H12" i="48"/>
  <c r="E12" i="48"/>
  <c r="W11" i="48"/>
  <c r="T11" i="48"/>
  <c r="Q11" i="48"/>
  <c r="N11" i="48"/>
  <c r="K11" i="48"/>
  <c r="H11" i="48"/>
  <c r="E11" i="48"/>
  <c r="W10" i="48"/>
  <c r="T10" i="48"/>
  <c r="Q10" i="48"/>
  <c r="N10" i="48"/>
  <c r="K10" i="48"/>
  <c r="H10" i="48"/>
  <c r="E10" i="48"/>
  <c r="W9" i="48"/>
  <c r="T9" i="48"/>
  <c r="Q9" i="48"/>
  <c r="N9" i="48"/>
  <c r="K9" i="48"/>
  <c r="H9" i="48"/>
  <c r="E9" i="48"/>
  <c r="W8" i="48"/>
  <c r="T8" i="48"/>
  <c r="Q8" i="48"/>
  <c r="N8" i="48"/>
  <c r="K8" i="48"/>
  <c r="H8" i="48"/>
  <c r="E8" i="48"/>
  <c r="W7" i="48"/>
  <c r="T7" i="48"/>
  <c r="Q7" i="48"/>
  <c r="N7" i="48"/>
  <c r="K7" i="48"/>
  <c r="H7" i="48"/>
  <c r="E7" i="48"/>
  <c r="W6" i="48"/>
  <c r="T6" i="48"/>
  <c r="Q6" i="48"/>
  <c r="N6" i="48"/>
  <c r="K6" i="48"/>
  <c r="H6" i="48"/>
  <c r="E6" i="48"/>
  <c r="W5" i="48"/>
  <c r="T5" i="48"/>
  <c r="Q5" i="48"/>
  <c r="N5" i="48"/>
  <c r="K5" i="48"/>
  <c r="H5" i="48"/>
  <c r="E5" i="48"/>
  <c r="N24" i="48" l="1"/>
  <c r="T15" i="48"/>
  <c r="W15" i="48"/>
  <c r="Y25" i="48"/>
  <c r="F25" i="48"/>
  <c r="G25" i="48"/>
  <c r="J25" i="48"/>
  <c r="I25" i="48"/>
  <c r="W24" i="48"/>
  <c r="T24" i="48"/>
  <c r="Q20" i="48"/>
  <c r="H24" i="48"/>
  <c r="Q15" i="48"/>
  <c r="T20" i="48"/>
  <c r="W20" i="48"/>
  <c r="K15" i="48"/>
  <c r="N20" i="48"/>
  <c r="Q24" i="48"/>
  <c r="E20" i="48"/>
  <c r="E24" i="48"/>
  <c r="R25" i="48"/>
  <c r="E15" i="48"/>
  <c r="K20" i="48"/>
  <c r="S25" i="48"/>
  <c r="K24" i="48"/>
  <c r="U25" i="48"/>
  <c r="H15" i="48"/>
  <c r="H20" i="48"/>
  <c r="V25" i="48"/>
  <c r="M25" i="48"/>
  <c r="X25" i="48"/>
  <c r="N15" i="48"/>
  <c r="C25" i="48"/>
  <c r="D25" i="48"/>
  <c r="O25" i="48"/>
  <c r="P25" i="48"/>
  <c r="L25" i="48"/>
  <c r="W9" i="14"/>
  <c r="E25" i="48" l="1"/>
  <c r="Q25" i="48"/>
  <c r="K25" i="48"/>
  <c r="N25" i="48"/>
  <c r="H25" i="48"/>
  <c r="W25" i="48"/>
  <c r="T25" i="48"/>
  <c r="AC36" i="41"/>
  <c r="AB36" i="41"/>
  <c r="R25" i="41"/>
  <c r="E14" i="87"/>
  <c r="D14" i="87"/>
  <c r="E12" i="87"/>
  <c r="D12" i="87"/>
  <c r="D11" i="87"/>
  <c r="E10" i="87"/>
  <c r="E11" i="87" s="1"/>
  <c r="D8" i="87"/>
  <c r="D9" i="87" s="1"/>
  <c r="E7" i="87"/>
  <c r="E8" i="87" s="1"/>
  <c r="D6" i="87"/>
  <c r="E5" i="87"/>
  <c r="E6" i="87" s="1"/>
  <c r="E9" i="87" l="1"/>
  <c r="AD23" i="41" l="1"/>
  <c r="AD22" i="41"/>
  <c r="AD19" i="41"/>
  <c r="AD18" i="41"/>
  <c r="AE66" i="55" l="1"/>
  <c r="AD66" i="55"/>
  <c r="AF65" i="55"/>
  <c r="AF64" i="55"/>
  <c r="AF62" i="55"/>
  <c r="AF61" i="55"/>
  <c r="AE59" i="55"/>
  <c r="AD59" i="55"/>
  <c r="AF54" i="55"/>
  <c r="AF59" i="55" s="1"/>
  <c r="AE49" i="55"/>
  <c r="AE50" i="55" s="1"/>
  <c r="AD49" i="55"/>
  <c r="AD50" i="55" s="1"/>
  <c r="AF48" i="55"/>
  <c r="AF49" i="55" s="1"/>
  <c r="AF50" i="55" s="1"/>
  <c r="AE44" i="55"/>
  <c r="AD44" i="55"/>
  <c r="AF42" i="55"/>
  <c r="AF41" i="55"/>
  <c r="AF40" i="55"/>
  <c r="AE39" i="55"/>
  <c r="AD39" i="55"/>
  <c r="AF36" i="55"/>
  <c r="AF39" i="55" s="1"/>
  <c r="AE28" i="55"/>
  <c r="AD28" i="55"/>
  <c r="AF27" i="55"/>
  <c r="AF26" i="55"/>
  <c r="AF25" i="55"/>
  <c r="AE15" i="55"/>
  <c r="AD15" i="55"/>
  <c r="AF14" i="55"/>
  <c r="AF13" i="55"/>
  <c r="AF12" i="55"/>
  <c r="AF11" i="55"/>
  <c r="AF10" i="55"/>
  <c r="AF9" i="55"/>
  <c r="AF7" i="55"/>
  <c r="AF6" i="55"/>
  <c r="AF5" i="55"/>
  <c r="AD16" i="41"/>
  <c r="AD15" i="41"/>
  <c r="AD14" i="41"/>
  <c r="H85" i="85"/>
  <c r="G85" i="85"/>
  <c r="H72" i="85"/>
  <c r="G72" i="85"/>
  <c r="I64" i="85"/>
  <c r="I65" i="85"/>
  <c r="I66" i="85"/>
  <c r="I67" i="85"/>
  <c r="I68" i="85"/>
  <c r="I69" i="85"/>
  <c r="I84" i="85"/>
  <c r="I85" i="85" s="1"/>
  <c r="I79" i="85"/>
  <c r="I76" i="85"/>
  <c r="H53" i="85"/>
  <c r="G53" i="85"/>
  <c r="I52" i="85"/>
  <c r="I48" i="85"/>
  <c r="I49" i="85"/>
  <c r="I50" i="85"/>
  <c r="I57" i="85"/>
  <c r="I58" i="85"/>
  <c r="I39" i="85"/>
  <c r="I40" i="85"/>
  <c r="I42" i="85"/>
  <c r="I41" i="85"/>
  <c r="I35" i="85"/>
  <c r="H33" i="85"/>
  <c r="G33" i="85"/>
  <c r="H28" i="85"/>
  <c r="G28" i="85"/>
  <c r="H30" i="85"/>
  <c r="G30" i="85"/>
  <c r="I31" i="85"/>
  <c r="I26" i="85"/>
  <c r="I29" i="85"/>
  <c r="I30" i="85" s="1"/>
  <c r="H24" i="85"/>
  <c r="G24" i="85"/>
  <c r="I19" i="85"/>
  <c r="I20" i="85"/>
  <c r="I21" i="85"/>
  <c r="I23" i="85"/>
  <c r="H18" i="85"/>
  <c r="G18" i="85"/>
  <c r="I17" i="85"/>
  <c r="I12" i="85"/>
  <c r="I13" i="85"/>
  <c r="I14" i="85"/>
  <c r="I15" i="85"/>
  <c r="I72" i="85" l="1"/>
  <c r="AE67" i="55"/>
  <c r="AF28" i="55"/>
  <c r="AF66" i="55"/>
  <c r="AF67" i="55" s="1"/>
  <c r="AD67" i="55"/>
  <c r="AD47" i="55"/>
  <c r="AE47" i="55"/>
  <c r="AF44" i="55"/>
  <c r="AF47" i="55" s="1"/>
  <c r="AD29" i="55"/>
  <c r="AE29" i="55"/>
  <c r="AF15" i="55"/>
  <c r="G34" i="85"/>
  <c r="H34" i="85"/>
  <c r="I18" i="85"/>
  <c r="H82" i="85"/>
  <c r="G82" i="85"/>
  <c r="I81" i="85"/>
  <c r="I78" i="85"/>
  <c r="I75" i="85"/>
  <c r="I73" i="85"/>
  <c r="H61" i="85"/>
  <c r="G61" i="85"/>
  <c r="I59" i="85"/>
  <c r="I56" i="85"/>
  <c r="I55" i="85"/>
  <c r="I54" i="85"/>
  <c r="I51" i="85"/>
  <c r="I53" i="85" s="1"/>
  <c r="I45" i="85"/>
  <c r="I44" i="85"/>
  <c r="I43" i="85"/>
  <c r="I38" i="85"/>
  <c r="I37" i="85"/>
  <c r="I36" i="85"/>
  <c r="I32" i="85"/>
  <c r="I33" i="85" s="1"/>
  <c r="I27" i="85"/>
  <c r="I28" i="85" s="1"/>
  <c r="I22" i="85"/>
  <c r="I24" i="85" s="1"/>
  <c r="H11" i="85"/>
  <c r="G11" i="85"/>
  <c r="I10" i="85"/>
  <c r="I7" i="85"/>
  <c r="I6" i="85"/>
  <c r="I5" i="85"/>
  <c r="I47" i="85" l="1"/>
  <c r="AF29" i="55"/>
  <c r="AE69" i="55"/>
  <c r="AD69" i="55"/>
  <c r="AF69" i="55"/>
  <c r="G86" i="85"/>
  <c r="I34" i="85"/>
  <c r="H86" i="85"/>
  <c r="I11" i="85"/>
  <c r="I82" i="85"/>
  <c r="I61" i="85"/>
  <c r="H62" i="85"/>
  <c r="G62" i="85"/>
  <c r="G25" i="85"/>
  <c r="H25" i="85"/>
  <c r="I86" i="85" l="1"/>
  <c r="I62" i="85"/>
  <c r="I25" i="85"/>
  <c r="H88" i="85"/>
  <c r="G88" i="85"/>
  <c r="I88" i="85" l="1"/>
  <c r="AD104" i="56"/>
  <c r="AC93" i="56"/>
  <c r="AB93" i="56"/>
  <c r="AD84" i="56"/>
  <c r="AD101" i="56"/>
  <c r="AD102" i="56"/>
  <c r="AD83" i="56"/>
  <c r="AD93" i="56" s="1"/>
  <c r="AD42" i="56"/>
  <c r="AD75" i="56"/>
  <c r="AD63" i="56"/>
  <c r="AD60" i="56"/>
  <c r="AD61" i="56"/>
  <c r="AD62" i="56"/>
  <c r="AD66" i="56"/>
  <c r="AD69" i="56"/>
  <c r="AD35" i="56"/>
  <c r="AD36" i="56" s="1"/>
  <c r="AD37" i="56"/>
  <c r="AD20" i="56"/>
  <c r="AD21" i="56"/>
  <c r="AD6" i="56"/>
  <c r="AD18" i="56"/>
  <c r="AC106" i="56"/>
  <c r="AB106" i="56"/>
  <c r="AC103" i="56"/>
  <c r="AB103" i="56"/>
  <c r="AD99" i="56"/>
  <c r="AD96" i="56"/>
  <c r="AD94" i="56"/>
  <c r="AD82" i="56"/>
  <c r="AD81" i="56"/>
  <c r="AC78" i="56"/>
  <c r="AB78" i="56"/>
  <c r="AD77" i="56"/>
  <c r="AD74" i="56"/>
  <c r="AD73" i="56"/>
  <c r="AD71" i="56"/>
  <c r="AC70" i="56"/>
  <c r="AB70" i="56"/>
  <c r="AD58" i="56"/>
  <c r="AC56" i="56"/>
  <c r="AB56" i="56"/>
  <c r="AD53" i="56"/>
  <c r="AD52" i="56"/>
  <c r="AD49" i="56"/>
  <c r="AD47" i="56"/>
  <c r="AD45" i="56"/>
  <c r="AD44" i="56"/>
  <c r="AC40" i="56"/>
  <c r="AB40" i="56"/>
  <c r="AD39" i="56"/>
  <c r="AD38" i="56"/>
  <c r="AC36" i="56"/>
  <c r="AB36" i="56"/>
  <c r="AC34" i="56"/>
  <c r="AB34" i="56"/>
  <c r="AD32" i="56"/>
  <c r="AD34" i="56" s="1"/>
  <c r="AD30" i="56"/>
  <c r="AC30" i="56"/>
  <c r="AB30" i="56"/>
  <c r="AC24" i="56"/>
  <c r="AB24" i="56"/>
  <c r="AD22" i="56"/>
  <c r="AC14" i="56"/>
  <c r="AB14" i="56"/>
  <c r="AD13" i="56"/>
  <c r="AD10" i="56"/>
  <c r="H33" i="83"/>
  <c r="G24" i="83"/>
  <c r="F24" i="83"/>
  <c r="H20" i="83"/>
  <c r="H24" i="83" s="1"/>
  <c r="H25" i="83" s="1"/>
  <c r="G11" i="83"/>
  <c r="F11" i="83"/>
  <c r="H10" i="83"/>
  <c r="H9" i="83"/>
  <c r="F8" i="83"/>
  <c r="G8" i="83"/>
  <c r="H34" i="83"/>
  <c r="G30" i="83"/>
  <c r="H29" i="83"/>
  <c r="H30" i="83" s="1"/>
  <c r="H31" i="83" s="1"/>
  <c r="H22" i="83"/>
  <c r="H21" i="83"/>
  <c r="G40" i="83"/>
  <c r="G41" i="83" s="1"/>
  <c r="F40" i="83"/>
  <c r="F41" i="83" s="1"/>
  <c r="G35" i="83"/>
  <c r="F35" i="83"/>
  <c r="G28" i="83"/>
  <c r="G31" i="83" s="1"/>
  <c r="F28" i="83"/>
  <c r="F31" i="83" s="1"/>
  <c r="G19" i="83"/>
  <c r="F19" i="83"/>
  <c r="G15" i="83"/>
  <c r="F15" i="83"/>
  <c r="P33" i="59"/>
  <c r="O33" i="59"/>
  <c r="Q32" i="59"/>
  <c r="Q29" i="59"/>
  <c r="P36" i="59"/>
  <c r="O36" i="59"/>
  <c r="Q35" i="59"/>
  <c r="Q34" i="59"/>
  <c r="P21" i="59"/>
  <c r="P22" i="59" s="1"/>
  <c r="Q20" i="59"/>
  <c r="Q13" i="59"/>
  <c r="Q14" i="59" s="1"/>
  <c r="O14" i="59"/>
  <c r="O12" i="59"/>
  <c r="Q11" i="59"/>
  <c r="Q12" i="59" s="1"/>
  <c r="P27" i="59"/>
  <c r="O27" i="59"/>
  <c r="Q27" i="59"/>
  <c r="O21" i="59"/>
  <c r="O22" i="59" s="1"/>
  <c r="Q19" i="59"/>
  <c r="Q21" i="59" s="1"/>
  <c r="P17" i="59"/>
  <c r="Q17" i="59" s="1"/>
  <c r="Q9" i="59"/>
  <c r="P9" i="59"/>
  <c r="O9" i="59"/>
  <c r="Q7" i="59"/>
  <c r="P7" i="59"/>
  <c r="O7" i="59"/>
  <c r="AC83" i="57"/>
  <c r="AC84" i="57"/>
  <c r="AC82" i="57"/>
  <c r="AB85" i="57"/>
  <c r="AA85" i="57"/>
  <c r="AB81" i="57"/>
  <c r="AB86" i="57" s="1"/>
  <c r="AA81" i="57"/>
  <c r="AC79" i="57"/>
  <c r="AC72" i="57"/>
  <c r="AC81" i="57" s="1"/>
  <c r="AB71" i="57"/>
  <c r="AA71" i="57"/>
  <c r="AC61" i="57"/>
  <c r="AC70" i="57"/>
  <c r="AC60" i="57"/>
  <c r="AC71" i="57" s="1"/>
  <c r="AC30" i="57"/>
  <c r="AB30" i="57"/>
  <c r="AC28" i="57"/>
  <c r="AC25" i="57"/>
  <c r="AC26" i="57" s="1"/>
  <c r="AA26" i="57"/>
  <c r="AB24" i="57"/>
  <c r="AC24" i="57"/>
  <c r="AA24" i="57"/>
  <c r="AA31" i="57" s="1"/>
  <c r="AC23" i="57"/>
  <c r="AC22" i="57"/>
  <c r="AB21" i="57"/>
  <c r="AA9" i="57"/>
  <c r="AA21" i="57" s="1"/>
  <c r="AC7" i="57"/>
  <c r="AC9" i="57" s="1"/>
  <c r="AC21" i="57" s="1"/>
  <c r="Q33" i="59" l="1"/>
  <c r="H35" i="83"/>
  <c r="H38" i="83" s="1"/>
  <c r="H43" i="83" s="1"/>
  <c r="H11" i="83"/>
  <c r="H12" i="83" s="1"/>
  <c r="Q22" i="59"/>
  <c r="Q36" i="59"/>
  <c r="Q37" i="59" s="1"/>
  <c r="O18" i="59"/>
  <c r="Q18" i="59"/>
  <c r="Q10" i="59"/>
  <c r="O10" i="59"/>
  <c r="O37" i="59"/>
  <c r="P18" i="59"/>
  <c r="P10" i="59"/>
  <c r="AC31" i="57"/>
  <c r="AB31" i="57"/>
  <c r="AA86" i="57"/>
  <c r="AA88" i="57" s="1"/>
  <c r="AC86" i="57"/>
  <c r="AB88" i="57"/>
  <c r="AC88" i="57"/>
  <c r="AD106" i="56"/>
  <c r="AB41" i="56"/>
  <c r="AD40" i="56"/>
  <c r="AD41" i="56" s="1"/>
  <c r="AC31" i="56"/>
  <c r="AD24" i="56"/>
  <c r="AD103" i="56"/>
  <c r="AC107" i="56"/>
  <c r="AB107" i="56"/>
  <c r="AD78" i="56"/>
  <c r="AD70" i="56"/>
  <c r="AD56" i="56"/>
  <c r="AB79" i="56"/>
  <c r="AC79" i="56"/>
  <c r="AC41" i="56"/>
  <c r="AB31" i="56"/>
  <c r="AD14" i="56"/>
  <c r="G25" i="83"/>
  <c r="F38" i="83"/>
  <c r="G38" i="83"/>
  <c r="F25" i="83"/>
  <c r="F12" i="83"/>
  <c r="G12" i="83"/>
  <c r="P37" i="59"/>
  <c r="AC85" i="57"/>
  <c r="AC89" i="54"/>
  <c r="AC84" i="54"/>
  <c r="AC50" i="54"/>
  <c r="AC36" i="54"/>
  <c r="AC27" i="54"/>
  <c r="AC17" i="54"/>
  <c r="AC18" i="54"/>
  <c r="AC19" i="54"/>
  <c r="AC13" i="54"/>
  <c r="AC14" i="54"/>
  <c r="AB98" i="54"/>
  <c r="AA98" i="54"/>
  <c r="AB94" i="54"/>
  <c r="AA94" i="54"/>
  <c r="AC94" i="54" s="1"/>
  <c r="AB85" i="54"/>
  <c r="AA85" i="54"/>
  <c r="AB64" i="54"/>
  <c r="AA64" i="54"/>
  <c r="AB59" i="54"/>
  <c r="AA59" i="54"/>
  <c r="AB47" i="54"/>
  <c r="AA47" i="54"/>
  <c r="AC47" i="54" s="1"/>
  <c r="AB39" i="54"/>
  <c r="AA39" i="54"/>
  <c r="AB34" i="54"/>
  <c r="AA34" i="54"/>
  <c r="AC34" i="54" s="1"/>
  <c r="AB29" i="54"/>
  <c r="AA29" i="54"/>
  <c r="AB24" i="54"/>
  <c r="AA24" i="54"/>
  <c r="AB20" i="54"/>
  <c r="AA20" i="54"/>
  <c r="AB15" i="54"/>
  <c r="AA15" i="54"/>
  <c r="AC6" i="54"/>
  <c r="AC91" i="53"/>
  <c r="AC84" i="53"/>
  <c r="AC53" i="53"/>
  <c r="AC46" i="53"/>
  <c r="AC36" i="53"/>
  <c r="AB99" i="53"/>
  <c r="AA99" i="53"/>
  <c r="AB94" i="53"/>
  <c r="AA94" i="53"/>
  <c r="AC86" i="53"/>
  <c r="AB85" i="53"/>
  <c r="AA85" i="53"/>
  <c r="AC80" i="53"/>
  <c r="AB77" i="53"/>
  <c r="AA77" i="53"/>
  <c r="AB74" i="53"/>
  <c r="AA74" i="53"/>
  <c r="AB72" i="53"/>
  <c r="AA72" i="53"/>
  <c r="AB69" i="53"/>
  <c r="AA69" i="53"/>
  <c r="AB62" i="53"/>
  <c r="AA62" i="53"/>
  <c r="AB50" i="53"/>
  <c r="AA50" i="53"/>
  <c r="AC50" i="53" s="1"/>
  <c r="AB39" i="53"/>
  <c r="AA39" i="53"/>
  <c r="AC35" i="53"/>
  <c r="AB34" i="53"/>
  <c r="AA34" i="53"/>
  <c r="AB29" i="53"/>
  <c r="AA29" i="53"/>
  <c r="AC28" i="53"/>
  <c r="AC27" i="53"/>
  <c r="AC26" i="53"/>
  <c r="AB24" i="53"/>
  <c r="AA24" i="53"/>
  <c r="AB20" i="53"/>
  <c r="AC20" i="53" s="1"/>
  <c r="AA20" i="53"/>
  <c r="AB15" i="53"/>
  <c r="AA15" i="53"/>
  <c r="AA25" i="53" s="1"/>
  <c r="AB105" i="52"/>
  <c r="AA105" i="52"/>
  <c r="AC103" i="52"/>
  <c r="AC101" i="52"/>
  <c r="AC105" i="52" s="1"/>
  <c r="AB100" i="52"/>
  <c r="AA100" i="52"/>
  <c r="AC93" i="52"/>
  <c r="AC95" i="52"/>
  <c r="AC97" i="52"/>
  <c r="AC99" i="52"/>
  <c r="AC92" i="52"/>
  <c r="AC100" i="52" s="1"/>
  <c r="AB91" i="52"/>
  <c r="AA91" i="52"/>
  <c r="AC90" i="52"/>
  <c r="AC87" i="52"/>
  <c r="AC91" i="52" s="1"/>
  <c r="AB70" i="52"/>
  <c r="AA70" i="52"/>
  <c r="AA71" i="52" s="1"/>
  <c r="AC66" i="52"/>
  <c r="AC64" i="52"/>
  <c r="AC70" i="52" s="1"/>
  <c r="AC63" i="52"/>
  <c r="AA63" i="52"/>
  <c r="AC57" i="52"/>
  <c r="AC55" i="52"/>
  <c r="AB51" i="52"/>
  <c r="AC43" i="52"/>
  <c r="AC51" i="52" s="1"/>
  <c r="AC36" i="52"/>
  <c r="AC37" i="52"/>
  <c r="AC38" i="52"/>
  <c r="AC35" i="52"/>
  <c r="AA39" i="52"/>
  <c r="AB34" i="52"/>
  <c r="AA34" i="52"/>
  <c r="AC32" i="52"/>
  <c r="AC31" i="52"/>
  <c r="AC34" i="52" s="1"/>
  <c r="AB29" i="52"/>
  <c r="AA29" i="52"/>
  <c r="AC27" i="52"/>
  <c r="AC26" i="52"/>
  <c r="AB20" i="52"/>
  <c r="AC18" i="52"/>
  <c r="AC20" i="52" s="1"/>
  <c r="AB15" i="52"/>
  <c r="AB25" i="52" s="1"/>
  <c r="AC12" i="52"/>
  <c r="AC10" i="52"/>
  <c r="AC15" i="52" s="1"/>
  <c r="N68" i="51"/>
  <c r="N67" i="51"/>
  <c r="N60" i="51"/>
  <c r="N59" i="51"/>
  <c r="N61" i="51"/>
  <c r="N62" i="51"/>
  <c r="N63" i="51"/>
  <c r="N64" i="51"/>
  <c r="N52" i="51"/>
  <c r="N53" i="51"/>
  <c r="N54" i="51"/>
  <c r="N55" i="51"/>
  <c r="N49" i="51"/>
  <c r="N50" i="51"/>
  <c r="N43" i="51"/>
  <c r="N48" i="51" s="1"/>
  <c r="N41" i="51"/>
  <c r="M42" i="51"/>
  <c r="L42" i="51"/>
  <c r="N34" i="51"/>
  <c r="N35" i="51"/>
  <c r="N36" i="51"/>
  <c r="N37" i="51"/>
  <c r="L77" i="51"/>
  <c r="N76" i="51"/>
  <c r="N74" i="51"/>
  <c r="N31" i="51"/>
  <c r="N32" i="51" s="1"/>
  <c r="M18" i="51"/>
  <c r="L18" i="51"/>
  <c r="N15" i="51"/>
  <c r="N16" i="51"/>
  <c r="N17" i="51"/>
  <c r="N13" i="51"/>
  <c r="N14" i="51"/>
  <c r="N9" i="51"/>
  <c r="N5" i="51"/>
  <c r="M77" i="51"/>
  <c r="N75" i="51"/>
  <c r="M73" i="51"/>
  <c r="L73" i="51"/>
  <c r="M65" i="51"/>
  <c r="L65" i="51"/>
  <c r="N58" i="51"/>
  <c r="M56" i="51"/>
  <c r="L56" i="51"/>
  <c r="N51" i="51"/>
  <c r="M48" i="51"/>
  <c r="L48" i="51"/>
  <c r="N40" i="51"/>
  <c r="N39" i="51"/>
  <c r="N38" i="51"/>
  <c r="M32" i="51"/>
  <c r="L32" i="51"/>
  <c r="M29" i="51"/>
  <c r="L29" i="51"/>
  <c r="N29" i="51"/>
  <c r="M25" i="51"/>
  <c r="L25" i="51"/>
  <c r="N24" i="51"/>
  <c r="N25" i="51" s="1"/>
  <c r="N22" i="51"/>
  <c r="M22" i="51"/>
  <c r="L22" i="51"/>
  <c r="N12" i="51"/>
  <c r="N11" i="51"/>
  <c r="N10" i="51"/>
  <c r="M8" i="51"/>
  <c r="L8" i="51"/>
  <c r="N94" i="50"/>
  <c r="N95" i="50"/>
  <c r="M92" i="50"/>
  <c r="L92" i="50"/>
  <c r="N90" i="50"/>
  <c r="N91" i="50"/>
  <c r="N86" i="50"/>
  <c r="N87" i="50"/>
  <c r="N88" i="50"/>
  <c r="N79" i="50"/>
  <c r="N80" i="50"/>
  <c r="N81" i="50"/>
  <c r="N82" i="50"/>
  <c r="N83" i="50"/>
  <c r="N84" i="50"/>
  <c r="N77" i="50"/>
  <c r="N72" i="50"/>
  <c r="M69" i="50"/>
  <c r="L69" i="50"/>
  <c r="N59" i="50"/>
  <c r="N60" i="50"/>
  <c r="N61" i="50"/>
  <c r="N62" i="50"/>
  <c r="N63" i="50"/>
  <c r="N64" i="50"/>
  <c r="N65" i="50"/>
  <c r="N66" i="50"/>
  <c r="N67" i="50"/>
  <c r="N68" i="50"/>
  <c r="M57" i="50"/>
  <c r="N52" i="50"/>
  <c r="N53" i="50"/>
  <c r="N54" i="50"/>
  <c r="N55" i="50"/>
  <c r="N56" i="50"/>
  <c r="M50" i="50"/>
  <c r="L50" i="50"/>
  <c r="N44" i="50"/>
  <c r="N45" i="50"/>
  <c r="N46" i="50"/>
  <c r="N47" i="50"/>
  <c r="N48" i="50"/>
  <c r="N40" i="50"/>
  <c r="N41" i="50"/>
  <c r="N42" i="50"/>
  <c r="N36" i="50"/>
  <c r="N37" i="50"/>
  <c r="N34" i="50"/>
  <c r="N31" i="50"/>
  <c r="N32" i="50"/>
  <c r="M29" i="50"/>
  <c r="L29" i="50"/>
  <c r="N27" i="50"/>
  <c r="N28" i="50"/>
  <c r="Q38" i="59" l="1"/>
  <c r="O38" i="59"/>
  <c r="AB40" i="52"/>
  <c r="AB108" i="52" s="1"/>
  <c r="AC29" i="52"/>
  <c r="AC39" i="52"/>
  <c r="P38" i="59"/>
  <c r="AA65" i="54"/>
  <c r="AC85" i="54"/>
  <c r="AC29" i="54"/>
  <c r="AB65" i="54"/>
  <c r="AC59" i="54"/>
  <c r="AC69" i="53"/>
  <c r="AC34" i="53"/>
  <c r="AC62" i="53"/>
  <c r="AC74" i="53"/>
  <c r="AC77" i="53"/>
  <c r="AB70" i="53"/>
  <c r="AC39" i="53"/>
  <c r="AB25" i="53"/>
  <c r="AC25" i="53" s="1"/>
  <c r="AC24" i="53"/>
  <c r="AB71" i="52"/>
  <c r="AC25" i="52"/>
  <c r="AC106" i="52"/>
  <c r="AB106" i="52"/>
  <c r="AA106" i="52"/>
  <c r="AC71" i="52"/>
  <c r="AA40" i="52"/>
  <c r="AA108" i="52" s="1"/>
  <c r="AC40" i="52"/>
  <c r="N77" i="51"/>
  <c r="AD107" i="56"/>
  <c r="AD79" i="56"/>
  <c r="AC109" i="56"/>
  <c r="AD31" i="56"/>
  <c r="AB109" i="56"/>
  <c r="F43" i="83"/>
  <c r="G43" i="83"/>
  <c r="AB40" i="54"/>
  <c r="AB25" i="54"/>
  <c r="AC20" i="54"/>
  <c r="AB99" i="54"/>
  <c r="AC65" i="54"/>
  <c r="AC64" i="54"/>
  <c r="AA25" i="54"/>
  <c r="AC15" i="54"/>
  <c r="AC39" i="54"/>
  <c r="AC98" i="54"/>
  <c r="AA40" i="54"/>
  <c r="AA99" i="54"/>
  <c r="AC24" i="54"/>
  <c r="AC94" i="53"/>
  <c r="AA100" i="53"/>
  <c r="AC85" i="53"/>
  <c r="AA78" i="53"/>
  <c r="AB40" i="53"/>
  <c r="AC29" i="53"/>
  <c r="AC15" i="53"/>
  <c r="AC72" i="53"/>
  <c r="AC99" i="53"/>
  <c r="AA70" i="53"/>
  <c r="AB78" i="53"/>
  <c r="AA40" i="53"/>
  <c r="AC40" i="53" s="1"/>
  <c r="AB100" i="53"/>
  <c r="N65" i="51"/>
  <c r="N42" i="51"/>
  <c r="M78" i="51"/>
  <c r="N56" i="51"/>
  <c r="N18" i="51"/>
  <c r="M57" i="51"/>
  <c r="N73" i="51"/>
  <c r="N8" i="51"/>
  <c r="L78" i="51"/>
  <c r="L57" i="51"/>
  <c r="M33" i="51"/>
  <c r="N33" i="51"/>
  <c r="L33" i="51"/>
  <c r="L23" i="51"/>
  <c r="M23" i="51"/>
  <c r="N5" i="50"/>
  <c r="N6" i="50"/>
  <c r="N7" i="50"/>
  <c r="N8" i="50"/>
  <c r="N9" i="50"/>
  <c r="N10" i="50"/>
  <c r="N11" i="50"/>
  <c r="N12" i="50"/>
  <c r="N13" i="50"/>
  <c r="N17" i="50"/>
  <c r="N18" i="50"/>
  <c r="N19" i="50"/>
  <c r="N22" i="50"/>
  <c r="M96" i="50"/>
  <c r="L96" i="50"/>
  <c r="N93" i="50"/>
  <c r="N96" i="50" s="1"/>
  <c r="N89" i="50"/>
  <c r="N92" i="50" s="1"/>
  <c r="M85" i="50"/>
  <c r="L85" i="50"/>
  <c r="N78" i="50"/>
  <c r="M75" i="50"/>
  <c r="L75" i="50"/>
  <c r="N74" i="50"/>
  <c r="N75" i="50" s="1"/>
  <c r="N73" i="50"/>
  <c r="M73" i="50"/>
  <c r="L73" i="50"/>
  <c r="N58" i="50"/>
  <c r="N69" i="50" s="1"/>
  <c r="L57" i="50"/>
  <c r="N51" i="50"/>
  <c r="N57" i="50" s="1"/>
  <c r="N49" i="50"/>
  <c r="N43" i="50"/>
  <c r="M38" i="50"/>
  <c r="L38" i="50"/>
  <c r="N35" i="50"/>
  <c r="N38" i="50" s="1"/>
  <c r="M33" i="50"/>
  <c r="L33" i="50"/>
  <c r="N30" i="50"/>
  <c r="N33" i="50" s="1"/>
  <c r="N26" i="50"/>
  <c r="N29" i="50" s="1"/>
  <c r="M24" i="50"/>
  <c r="L24" i="50"/>
  <c r="N23" i="50"/>
  <c r="N21" i="50"/>
  <c r="M20" i="50"/>
  <c r="L20" i="50"/>
  <c r="N16" i="50"/>
  <c r="M15" i="50"/>
  <c r="L15" i="50"/>
  <c r="N14" i="50"/>
  <c r="S102" i="49"/>
  <c r="S78" i="49"/>
  <c r="S79" i="49"/>
  <c r="S59" i="49"/>
  <c r="S76" i="49"/>
  <c r="S68" i="49"/>
  <c r="R77" i="49"/>
  <c r="Q77" i="49"/>
  <c r="R119" i="49"/>
  <c r="Q119" i="49"/>
  <c r="S115" i="49"/>
  <c r="R114" i="49"/>
  <c r="Q114" i="49"/>
  <c r="S113" i="49"/>
  <c r="S107" i="49"/>
  <c r="S105" i="49"/>
  <c r="R103" i="49"/>
  <c r="Q103" i="49"/>
  <c r="S99" i="49"/>
  <c r="S93" i="49"/>
  <c r="R85" i="49"/>
  <c r="Q85" i="49"/>
  <c r="S82" i="49"/>
  <c r="R64" i="49"/>
  <c r="Q64" i="49"/>
  <c r="S60" i="49"/>
  <c r="R47" i="49"/>
  <c r="Q47" i="49"/>
  <c r="S47" i="49"/>
  <c r="S44" i="49"/>
  <c r="R44" i="49"/>
  <c r="R48" i="49" s="1"/>
  <c r="Q44" i="49"/>
  <c r="R42" i="49"/>
  <c r="Q42" i="49"/>
  <c r="S41" i="49"/>
  <c r="S40" i="49"/>
  <c r="R38" i="49"/>
  <c r="Q38" i="49"/>
  <c r="S38" i="49"/>
  <c r="R26" i="49"/>
  <c r="Q26" i="49"/>
  <c r="S24" i="49"/>
  <c r="S17" i="49"/>
  <c r="S12" i="49"/>
  <c r="R11" i="49"/>
  <c r="Q11" i="49"/>
  <c r="AC40" i="54" l="1"/>
  <c r="AC99" i="54"/>
  <c r="AC78" i="53"/>
  <c r="AC70" i="53"/>
  <c r="AC108" i="52"/>
  <c r="N50" i="50"/>
  <c r="R86" i="49"/>
  <c r="R39" i="49"/>
  <c r="AD109" i="56"/>
  <c r="AB101" i="54"/>
  <c r="AC25" i="54"/>
  <c r="AA101" i="54"/>
  <c r="AB102" i="53"/>
  <c r="AC100" i="53"/>
  <c r="AA102" i="53"/>
  <c r="N78" i="51"/>
  <c r="N57" i="51"/>
  <c r="M80" i="51"/>
  <c r="N23" i="51"/>
  <c r="L80" i="51"/>
  <c r="N20" i="50"/>
  <c r="M97" i="50"/>
  <c r="N85" i="50"/>
  <c r="N97" i="50" s="1"/>
  <c r="L76" i="50"/>
  <c r="N39" i="50"/>
  <c r="L70" i="50"/>
  <c r="M25" i="50"/>
  <c r="M70" i="50"/>
  <c r="M39" i="50"/>
  <c r="N76" i="50"/>
  <c r="L39" i="50"/>
  <c r="N15" i="50"/>
  <c r="N24" i="50"/>
  <c r="L25" i="50"/>
  <c r="L97" i="50"/>
  <c r="M76" i="50"/>
  <c r="S85" i="49"/>
  <c r="S77" i="49"/>
  <c r="S64" i="49"/>
  <c r="S42" i="49"/>
  <c r="Q48" i="49"/>
  <c r="S119" i="49"/>
  <c r="S114" i="49"/>
  <c r="S103" i="49"/>
  <c r="Q120" i="49"/>
  <c r="R120" i="49"/>
  <c r="R122" i="49" s="1"/>
  <c r="Q86" i="49"/>
  <c r="S48" i="49"/>
  <c r="S26" i="49"/>
  <c r="Q39" i="49"/>
  <c r="S11" i="49"/>
  <c r="Y105" i="48"/>
  <c r="X105" i="48"/>
  <c r="Z104" i="48"/>
  <c r="Z103" i="48"/>
  <c r="Z102" i="48"/>
  <c r="Z101" i="48"/>
  <c r="Y100" i="48"/>
  <c r="X100" i="48"/>
  <c r="Z99" i="48"/>
  <c r="Z98" i="48"/>
  <c r="Z97" i="48"/>
  <c r="Z96" i="48"/>
  <c r="Z95" i="48"/>
  <c r="Z94" i="48"/>
  <c r="Z93" i="48"/>
  <c r="Z92" i="48"/>
  <c r="Y91" i="48"/>
  <c r="X91" i="48"/>
  <c r="Z90" i="48"/>
  <c r="Z89" i="48"/>
  <c r="Z88" i="48"/>
  <c r="Z87" i="48"/>
  <c r="Z86" i="48"/>
  <c r="Z85" i="48"/>
  <c r="Y83" i="48"/>
  <c r="X83" i="48"/>
  <c r="Z82" i="48"/>
  <c r="Z81" i="48"/>
  <c r="Z80" i="48"/>
  <c r="Y79" i="48"/>
  <c r="X79" i="48"/>
  <c r="Z78" i="48"/>
  <c r="Z77" i="48"/>
  <c r="Z76" i="48"/>
  <c r="Y75" i="48"/>
  <c r="X75" i="48"/>
  <c r="Z74" i="48"/>
  <c r="Z73" i="48"/>
  <c r="Z72" i="48"/>
  <c r="Y70" i="48"/>
  <c r="X70" i="48"/>
  <c r="Z69" i="48"/>
  <c r="Z68" i="48"/>
  <c r="Z67" i="48"/>
  <c r="Z66" i="48"/>
  <c r="Z65" i="48"/>
  <c r="Z64" i="48"/>
  <c r="Y63" i="48"/>
  <c r="X63" i="48"/>
  <c r="Z62" i="48"/>
  <c r="Z61" i="48"/>
  <c r="Z60" i="48"/>
  <c r="Z59" i="48"/>
  <c r="Z58" i="48"/>
  <c r="Z57" i="48"/>
  <c r="Z56" i="48"/>
  <c r="Z55" i="48"/>
  <c r="Z54" i="48"/>
  <c r="Z53" i="48"/>
  <c r="Z52" i="48"/>
  <c r="Y51" i="48"/>
  <c r="X51" i="48"/>
  <c r="Z50" i="48"/>
  <c r="Z49" i="48"/>
  <c r="Z48" i="48"/>
  <c r="Z47" i="48"/>
  <c r="Z45" i="48"/>
  <c r="Z43" i="48"/>
  <c r="Z42" i="48"/>
  <c r="Z41" i="48"/>
  <c r="Y39" i="48"/>
  <c r="X39" i="48"/>
  <c r="Z38" i="48"/>
  <c r="Z37" i="48"/>
  <c r="Z36" i="48"/>
  <c r="Z35" i="48"/>
  <c r="Y34" i="48"/>
  <c r="X34" i="48"/>
  <c r="Z32" i="48"/>
  <c r="Z31" i="48"/>
  <c r="Z30" i="48"/>
  <c r="Y29" i="48"/>
  <c r="X29" i="48"/>
  <c r="Z29" i="48" s="1"/>
  <c r="Z28" i="48"/>
  <c r="Z27" i="48"/>
  <c r="Z26" i="48"/>
  <c r="Z23" i="48"/>
  <c r="Z22" i="48"/>
  <c r="Z21" i="48"/>
  <c r="Z19" i="48"/>
  <c r="Z18" i="48"/>
  <c r="Z17" i="48"/>
  <c r="Z16" i="48"/>
  <c r="Z14" i="48"/>
  <c r="Z13" i="48"/>
  <c r="Z12" i="48"/>
  <c r="Z11" i="48"/>
  <c r="Z10" i="48"/>
  <c r="Z9" i="48"/>
  <c r="Z8" i="48"/>
  <c r="Z7" i="48"/>
  <c r="Z6" i="48"/>
  <c r="Z5" i="48"/>
  <c r="O106" i="47"/>
  <c r="P106" i="47"/>
  <c r="Q105" i="47"/>
  <c r="Q104" i="47"/>
  <c r="Q103" i="47"/>
  <c r="P102" i="47"/>
  <c r="O102" i="47"/>
  <c r="Q101" i="47"/>
  <c r="Q100" i="47"/>
  <c r="Q99" i="47"/>
  <c r="P98" i="47"/>
  <c r="O98" i="47"/>
  <c r="Q97" i="47"/>
  <c r="Q96" i="47"/>
  <c r="Q95" i="47"/>
  <c r="Q98" i="47" s="1"/>
  <c r="P93" i="47"/>
  <c r="O93" i="47"/>
  <c r="Q92" i="47"/>
  <c r="Q91" i="47"/>
  <c r="Q90" i="47"/>
  <c r="Q89" i="47"/>
  <c r="P88" i="47"/>
  <c r="O88" i="47"/>
  <c r="Q87" i="47"/>
  <c r="Q86" i="47"/>
  <c r="Q85" i="47"/>
  <c r="P84" i="47"/>
  <c r="O84" i="47"/>
  <c r="Q83" i="47"/>
  <c r="Q82" i="47"/>
  <c r="Q81" i="47"/>
  <c r="Q80" i="47"/>
  <c r="P78" i="47"/>
  <c r="O78" i="47"/>
  <c r="Q77" i="47"/>
  <c r="Q76" i="47"/>
  <c r="Q75" i="47"/>
  <c r="Q74" i="47"/>
  <c r="P73" i="47"/>
  <c r="O73" i="47"/>
  <c r="Q72" i="47"/>
  <c r="Q71" i="47"/>
  <c r="Q70" i="47"/>
  <c r="Q69" i="47"/>
  <c r="Q68" i="47"/>
  <c r="Q67" i="47"/>
  <c r="Q66" i="47"/>
  <c r="Q65" i="47"/>
  <c r="P64" i="47"/>
  <c r="O64" i="47"/>
  <c r="Q63" i="47"/>
  <c r="Q62" i="47"/>
  <c r="Q61" i="47"/>
  <c r="Q60" i="47"/>
  <c r="Q59" i="47"/>
  <c r="Q58" i="47"/>
  <c r="P56" i="47"/>
  <c r="O56" i="47"/>
  <c r="Q55" i="47"/>
  <c r="Q54" i="47"/>
  <c r="Q53" i="47"/>
  <c r="Q52" i="47"/>
  <c r="Q51" i="47"/>
  <c r="Q50" i="47"/>
  <c r="P49" i="47"/>
  <c r="O49" i="47"/>
  <c r="Q48" i="47"/>
  <c r="Q47" i="47"/>
  <c r="Q46" i="47"/>
  <c r="Q45" i="47"/>
  <c r="Q44" i="47"/>
  <c r="Q43" i="47"/>
  <c r="Q42" i="47"/>
  <c r="Q41" i="47"/>
  <c r="Q40" i="47"/>
  <c r="Q39" i="47"/>
  <c r="Q38" i="47"/>
  <c r="P37" i="47"/>
  <c r="O37" i="47"/>
  <c r="Q36" i="47"/>
  <c r="Q35" i="47"/>
  <c r="Q34" i="47"/>
  <c r="Q33" i="47"/>
  <c r="Q32" i="47"/>
  <c r="Q31" i="47"/>
  <c r="Q30" i="47"/>
  <c r="Q29" i="47"/>
  <c r="Q28" i="47"/>
  <c r="Q27" i="47"/>
  <c r="P25" i="47"/>
  <c r="O25" i="47"/>
  <c r="Q24" i="47"/>
  <c r="Q23" i="47"/>
  <c r="Q22" i="47"/>
  <c r="P21" i="47"/>
  <c r="O21" i="47"/>
  <c r="Q20" i="47"/>
  <c r="Q19" i="47"/>
  <c r="Q18" i="47"/>
  <c r="Q17" i="47"/>
  <c r="P16" i="47"/>
  <c r="O16" i="47"/>
  <c r="Q15" i="47"/>
  <c r="Q14" i="47"/>
  <c r="Q13" i="47"/>
  <c r="Q12" i="47"/>
  <c r="Q11" i="47"/>
  <c r="Q10" i="47"/>
  <c r="Q9" i="47"/>
  <c r="Q8" i="47"/>
  <c r="Q7" i="47"/>
  <c r="Q6" i="47"/>
  <c r="AL98" i="46"/>
  <c r="AL102" i="46"/>
  <c r="AK103" i="46"/>
  <c r="AJ103" i="46"/>
  <c r="AK96" i="46"/>
  <c r="AK100" i="46"/>
  <c r="AJ100" i="46"/>
  <c r="AJ96" i="46"/>
  <c r="AL101" i="46"/>
  <c r="AL103" i="46" s="1"/>
  <c r="AL99" i="46"/>
  <c r="AL97" i="46"/>
  <c r="AL95" i="46"/>
  <c r="AL94" i="46"/>
  <c r="AK92" i="46"/>
  <c r="AJ92" i="46"/>
  <c r="AL91" i="46"/>
  <c r="AL90" i="46"/>
  <c r="AL89" i="46"/>
  <c r="AL88" i="46"/>
  <c r="AK87" i="46"/>
  <c r="AJ87" i="46"/>
  <c r="AL86" i="46"/>
  <c r="AL85" i="46"/>
  <c r="AL84" i="46"/>
  <c r="AK83" i="46"/>
  <c r="AJ83" i="46"/>
  <c r="AL82" i="46"/>
  <c r="AL81" i="46"/>
  <c r="AL80" i="46"/>
  <c r="AL79" i="46"/>
  <c r="AK77" i="46"/>
  <c r="AJ77" i="46"/>
  <c r="AL76" i="46"/>
  <c r="AL75" i="46"/>
  <c r="AL74" i="46"/>
  <c r="AL73" i="46"/>
  <c r="AK72" i="46"/>
  <c r="AJ72" i="46"/>
  <c r="AL71" i="46"/>
  <c r="AL70" i="46"/>
  <c r="AL69" i="46"/>
  <c r="AL68" i="46"/>
  <c r="AL67" i="46"/>
  <c r="AL66" i="46"/>
  <c r="AL65" i="46"/>
  <c r="AL64" i="46"/>
  <c r="AK63" i="46"/>
  <c r="AJ63" i="46"/>
  <c r="AL62" i="46"/>
  <c r="AL61" i="46"/>
  <c r="AL60" i="46"/>
  <c r="AL59" i="46"/>
  <c r="AL58" i="46"/>
  <c r="AL57" i="46"/>
  <c r="AK55" i="46"/>
  <c r="AJ55" i="46"/>
  <c r="AL54" i="46"/>
  <c r="AL53" i="46"/>
  <c r="AL52" i="46"/>
  <c r="AL51" i="46"/>
  <c r="AL50" i="46"/>
  <c r="AL49" i="46"/>
  <c r="AK48" i="46"/>
  <c r="AJ48" i="46"/>
  <c r="AL47" i="46"/>
  <c r="AL46" i="46"/>
  <c r="AL45" i="46"/>
  <c r="AL44" i="46"/>
  <c r="AL43" i="46"/>
  <c r="AL42" i="46"/>
  <c r="AL41" i="46"/>
  <c r="AL40" i="46"/>
  <c r="AL39" i="46"/>
  <c r="AL38" i="46"/>
  <c r="AL37" i="46"/>
  <c r="AK36" i="46"/>
  <c r="AJ36" i="46"/>
  <c r="AL36" i="46" s="1"/>
  <c r="AL35" i="46"/>
  <c r="AL34" i="46"/>
  <c r="AL33" i="46"/>
  <c r="AL31" i="46"/>
  <c r="AL30" i="46"/>
  <c r="AL29" i="46"/>
  <c r="AL28" i="46"/>
  <c r="AL27" i="46"/>
  <c r="AK25" i="46"/>
  <c r="AJ25" i="46"/>
  <c r="AL24" i="46"/>
  <c r="AL23" i="46"/>
  <c r="AL22" i="46"/>
  <c r="AK21" i="46"/>
  <c r="AJ21" i="46"/>
  <c r="AL20" i="46"/>
  <c r="AL19" i="46"/>
  <c r="AL18" i="46"/>
  <c r="AL17" i="46"/>
  <c r="AK16" i="46"/>
  <c r="AJ16" i="46"/>
  <c r="AL15" i="46"/>
  <c r="AL14" i="46"/>
  <c r="AL13" i="46"/>
  <c r="AL12" i="46"/>
  <c r="AL11" i="46"/>
  <c r="AL10" i="46"/>
  <c r="AL9" i="46"/>
  <c r="AL8" i="46"/>
  <c r="AL7" i="46"/>
  <c r="AL6" i="46"/>
  <c r="AC52" i="45"/>
  <c r="AC76" i="45"/>
  <c r="AC75" i="45"/>
  <c r="AC77" i="45" s="1"/>
  <c r="AC80" i="45" s="1"/>
  <c r="AB77" i="45"/>
  <c r="AB80" i="45" s="1"/>
  <c r="AC36" i="45"/>
  <c r="AC31" i="45"/>
  <c r="AC69" i="45"/>
  <c r="AC70" i="45" s="1"/>
  <c r="AA70" i="45"/>
  <c r="AB20" i="45"/>
  <c r="AA20" i="45"/>
  <c r="AC19" i="45"/>
  <c r="AC79" i="45"/>
  <c r="AB79" i="45"/>
  <c r="AA79" i="45"/>
  <c r="AA80" i="45" s="1"/>
  <c r="AC73" i="45"/>
  <c r="AB73" i="45"/>
  <c r="AA73" i="45"/>
  <c r="AC68" i="45"/>
  <c r="AB68" i="45"/>
  <c r="AA68" i="45"/>
  <c r="AB64" i="45"/>
  <c r="AA64" i="45"/>
  <c r="AC63" i="45"/>
  <c r="AC64" i="45" s="1"/>
  <c r="AB59" i="45"/>
  <c r="AA59" i="45"/>
  <c r="AC58" i="45"/>
  <c r="AB50" i="45"/>
  <c r="AA50" i="45"/>
  <c r="AC48" i="45"/>
  <c r="AC50" i="45"/>
  <c r="AC43" i="45"/>
  <c r="AB43" i="45"/>
  <c r="AA43" i="45"/>
  <c r="AB37" i="45"/>
  <c r="AA37" i="45"/>
  <c r="AC29" i="45"/>
  <c r="AB28" i="45"/>
  <c r="AA28" i="45"/>
  <c r="AC23" i="45"/>
  <c r="AC28" i="45" s="1"/>
  <c r="AC20" i="45"/>
  <c r="AC17" i="45"/>
  <c r="AB17" i="45"/>
  <c r="AA17" i="45"/>
  <c r="AB12" i="45"/>
  <c r="AA12" i="45"/>
  <c r="AC12" i="45"/>
  <c r="Y105" i="44"/>
  <c r="X105" i="44"/>
  <c r="Z104" i="44"/>
  <c r="Z103" i="44"/>
  <c r="Z102" i="44"/>
  <c r="Z105" i="44" s="1"/>
  <c r="Y101" i="44"/>
  <c r="X101" i="44"/>
  <c r="Z100" i="44"/>
  <c r="Z99" i="44"/>
  <c r="Z98" i="44"/>
  <c r="Y97" i="44"/>
  <c r="X97" i="44"/>
  <c r="Z96" i="44"/>
  <c r="Z95" i="44"/>
  <c r="Z97" i="44" s="1"/>
  <c r="Z94" i="44"/>
  <c r="Y92" i="44"/>
  <c r="X92" i="44"/>
  <c r="Z91" i="44"/>
  <c r="Z90" i="44"/>
  <c r="Z89" i="44"/>
  <c r="Z88" i="44"/>
  <c r="Y87" i="44"/>
  <c r="X87" i="44"/>
  <c r="Z86" i="44"/>
  <c r="Z85" i="44"/>
  <c r="Z84" i="44"/>
  <c r="Y83" i="44"/>
  <c r="X83" i="44"/>
  <c r="Z82" i="44"/>
  <c r="Z81" i="44"/>
  <c r="Z80" i="44"/>
  <c r="Z79" i="44"/>
  <c r="Y77" i="44"/>
  <c r="X77" i="44"/>
  <c r="Z76" i="44"/>
  <c r="Z75" i="44"/>
  <c r="Z74" i="44"/>
  <c r="Z73" i="44"/>
  <c r="Y72" i="44"/>
  <c r="X72" i="44"/>
  <c r="Z71" i="44"/>
  <c r="Z70" i="44"/>
  <c r="Z69" i="44"/>
  <c r="Z68" i="44"/>
  <c r="Z67" i="44"/>
  <c r="Z66" i="44"/>
  <c r="Z65" i="44"/>
  <c r="Z64" i="44"/>
  <c r="Y63" i="44"/>
  <c r="X63" i="44"/>
  <c r="Z62" i="44"/>
  <c r="Z61" i="44"/>
  <c r="Z60" i="44"/>
  <c r="Z59" i="44"/>
  <c r="Z58" i="44"/>
  <c r="Z57" i="44"/>
  <c r="Y55" i="44"/>
  <c r="X55" i="44"/>
  <c r="Z54" i="44"/>
  <c r="Z53" i="44"/>
  <c r="Z52" i="44"/>
  <c r="Z51" i="44"/>
  <c r="Z50" i="44"/>
  <c r="Z49" i="44"/>
  <c r="Y48" i="44"/>
  <c r="X48" i="44"/>
  <c r="Z47" i="44"/>
  <c r="Z46" i="44"/>
  <c r="Z45" i="44"/>
  <c r="Z44" i="44"/>
  <c r="Z43" i="44"/>
  <c r="Z42" i="44"/>
  <c r="Z41" i="44"/>
  <c r="Z40" i="44"/>
  <c r="Z39" i="44"/>
  <c r="Z38" i="44"/>
  <c r="Z37" i="44"/>
  <c r="Y36" i="44"/>
  <c r="X36" i="44"/>
  <c r="Z35" i="44"/>
  <c r="Z34" i="44"/>
  <c r="Z33" i="44"/>
  <c r="Z32" i="44"/>
  <c r="Z31" i="44"/>
  <c r="Z30" i="44"/>
  <c r="Z29" i="44"/>
  <c r="Z28" i="44"/>
  <c r="Z27" i="44"/>
  <c r="Z26" i="44"/>
  <c r="Y24" i="44"/>
  <c r="X24" i="44"/>
  <c r="Z23" i="44"/>
  <c r="Z22" i="44"/>
  <c r="Z21" i="44"/>
  <c r="Z24" i="44" s="1"/>
  <c r="Y20" i="44"/>
  <c r="X20" i="44"/>
  <c r="Z19" i="44"/>
  <c r="Z18" i="44"/>
  <c r="Z17" i="44"/>
  <c r="Z16" i="44"/>
  <c r="Y15" i="44"/>
  <c r="X15" i="44"/>
  <c r="Z14" i="44"/>
  <c r="Z13" i="44"/>
  <c r="Z12" i="44"/>
  <c r="Z11" i="44"/>
  <c r="Z10" i="44"/>
  <c r="Z9" i="44"/>
  <c r="Z8" i="44"/>
  <c r="Z7" i="44"/>
  <c r="Z6" i="44"/>
  <c r="Z5" i="44"/>
  <c r="AL96" i="46" l="1"/>
  <c r="AL72" i="46"/>
  <c r="Z70" i="48"/>
  <c r="Q88" i="47"/>
  <c r="AL48" i="46"/>
  <c r="AL55" i="46"/>
  <c r="AK26" i="46"/>
  <c r="AL16" i="46"/>
  <c r="AB65" i="45"/>
  <c r="AB74" i="45"/>
  <c r="AA74" i="45"/>
  <c r="AC74" i="45"/>
  <c r="AA44" i="45"/>
  <c r="AA21" i="45"/>
  <c r="X25" i="44"/>
  <c r="Z20" i="44"/>
  <c r="Z55" i="44"/>
  <c r="AC101" i="54"/>
  <c r="AC102" i="53"/>
  <c r="N80" i="51"/>
  <c r="N70" i="50"/>
  <c r="N25" i="50"/>
  <c r="M99" i="50"/>
  <c r="L99" i="50"/>
  <c r="S86" i="49"/>
  <c r="S120" i="49"/>
  <c r="Q122" i="49"/>
  <c r="S39" i="49"/>
  <c r="Z91" i="48"/>
  <c r="Z105" i="48"/>
  <c r="Z83" i="48"/>
  <c r="Y71" i="48"/>
  <c r="Z39" i="48"/>
  <c r="Z15" i="48"/>
  <c r="Y106" i="48"/>
  <c r="X106" i="48"/>
  <c r="Z79" i="48"/>
  <c r="X84" i="48"/>
  <c r="Y84" i="48"/>
  <c r="Z75" i="48"/>
  <c r="Z51" i="48"/>
  <c r="X71" i="48"/>
  <c r="Z34" i="48"/>
  <c r="Z20" i="48"/>
  <c r="Z25" i="48"/>
  <c r="X40" i="48"/>
  <c r="Z100" i="48"/>
  <c r="Z24" i="48"/>
  <c r="Y40" i="48"/>
  <c r="Z63" i="48"/>
  <c r="Q106" i="47"/>
  <c r="Q78" i="47"/>
  <c r="O79" i="47"/>
  <c r="Q73" i="47"/>
  <c r="Q84" i="47"/>
  <c r="O26" i="47"/>
  <c r="P107" i="47"/>
  <c r="Q102" i="47"/>
  <c r="O107" i="47"/>
  <c r="Q93" i="47"/>
  <c r="P94" i="47"/>
  <c r="O94" i="47"/>
  <c r="Q64" i="47"/>
  <c r="P79" i="47"/>
  <c r="Q56" i="47"/>
  <c r="O57" i="47"/>
  <c r="P57" i="47"/>
  <c r="Q49" i="47"/>
  <c r="Q37" i="47"/>
  <c r="Q25" i="47"/>
  <c r="Q21" i="47"/>
  <c r="P26" i="47"/>
  <c r="Q16" i="47"/>
  <c r="Q107" i="47"/>
  <c r="AL77" i="46"/>
  <c r="AL63" i="46"/>
  <c r="AL100" i="46"/>
  <c r="AL104" i="46" s="1"/>
  <c r="AK104" i="46"/>
  <c r="AL83" i="46"/>
  <c r="AK93" i="46"/>
  <c r="AJ104" i="46"/>
  <c r="AL92" i="46"/>
  <c r="AL87" i="46"/>
  <c r="AJ93" i="46"/>
  <c r="AJ78" i="46"/>
  <c r="AJ56" i="46"/>
  <c r="AK56" i="46"/>
  <c r="AL21" i="46"/>
  <c r="AJ26" i="46"/>
  <c r="AL25" i="46"/>
  <c r="AK78" i="46"/>
  <c r="AC59" i="45"/>
  <c r="AC65" i="45" s="1"/>
  <c r="AA65" i="45"/>
  <c r="AC37" i="45"/>
  <c r="AC44" i="45" s="1"/>
  <c r="AB44" i="45"/>
  <c r="AC21" i="45"/>
  <c r="AB21" i="45"/>
  <c r="Y78" i="44"/>
  <c r="Y56" i="44"/>
  <c r="X56" i="44"/>
  <c r="Z15" i="44"/>
  <c r="Z25" i="44" s="1"/>
  <c r="X106" i="44"/>
  <c r="Z101" i="44"/>
  <c r="Z106" i="44" s="1"/>
  <c r="Y106" i="44"/>
  <c r="Z92" i="44"/>
  <c r="Y93" i="44"/>
  <c r="X93" i="44"/>
  <c r="Z87" i="44"/>
  <c r="Z83" i="44"/>
  <c r="Z77" i="44"/>
  <c r="Z72" i="44"/>
  <c r="X78" i="44"/>
  <c r="Z63" i="44"/>
  <c r="Z48" i="44"/>
  <c r="Z36" i="44"/>
  <c r="Y25" i="44"/>
  <c r="AL26" i="46" l="1"/>
  <c r="AA82" i="45"/>
  <c r="Q79" i="47"/>
  <c r="N99" i="50"/>
  <c r="S122" i="49"/>
  <c r="Z106" i="48"/>
  <c r="Z71" i="48"/>
  <c r="Z84" i="48"/>
  <c r="Y108" i="48"/>
  <c r="Z40" i="48"/>
  <c r="X108" i="48"/>
  <c r="O109" i="47"/>
  <c r="Q94" i="47"/>
  <c r="Q57" i="47"/>
  <c r="P109" i="47"/>
  <c r="Q26" i="47"/>
  <c r="AL93" i="46"/>
  <c r="AL78" i="46"/>
  <c r="AK106" i="46"/>
  <c r="AL56" i="46"/>
  <c r="AJ106" i="46"/>
  <c r="AB82" i="45"/>
  <c r="AC82" i="45"/>
  <c r="Z93" i="44"/>
  <c r="Y108" i="44"/>
  <c r="X108" i="44"/>
  <c r="Z78" i="44"/>
  <c r="Z56" i="44"/>
  <c r="Z108" i="48" l="1"/>
  <c r="Q109" i="47"/>
  <c r="AL106" i="46"/>
  <c r="Z108" i="44"/>
  <c r="K382" i="26" l="1"/>
  <c r="K380" i="26"/>
  <c r="K379" i="26"/>
  <c r="K378" i="26"/>
  <c r="K377" i="26"/>
  <c r="K370" i="26"/>
  <c r="K369" i="26"/>
  <c r="K368" i="26"/>
  <c r="K367" i="26"/>
  <c r="K365" i="26"/>
  <c r="K364" i="26"/>
  <c r="K363" i="26"/>
  <c r="K362" i="26"/>
  <c r="K360" i="26"/>
  <c r="K359" i="26"/>
  <c r="K358" i="26"/>
  <c r="K357" i="26"/>
  <c r="J294" i="26" l="1"/>
  <c r="J295" i="26"/>
  <c r="J296" i="26"/>
  <c r="J298" i="26"/>
  <c r="J299" i="26"/>
  <c r="J300" i="26"/>
  <c r="J301" i="26"/>
  <c r="J303" i="26"/>
  <c r="J304" i="26"/>
  <c r="J305" i="26"/>
  <c r="J306" i="26"/>
  <c r="J308" i="26"/>
  <c r="J309" i="26"/>
  <c r="J310" i="26"/>
  <c r="J311" i="26"/>
  <c r="J313" i="26"/>
  <c r="J314" i="26"/>
  <c r="J315" i="26"/>
  <c r="J316" i="26"/>
  <c r="J318" i="26"/>
  <c r="J293" i="26"/>
  <c r="J326" i="26"/>
  <c r="J327" i="26"/>
  <c r="J328" i="26"/>
  <c r="J330" i="26"/>
  <c r="J331" i="26"/>
  <c r="J332" i="26"/>
  <c r="J333" i="26"/>
  <c r="J335" i="26"/>
  <c r="J336" i="26"/>
  <c r="J337" i="26"/>
  <c r="J338" i="26"/>
  <c r="J340" i="26"/>
  <c r="J341" i="26"/>
  <c r="J342" i="26"/>
  <c r="J343" i="26"/>
  <c r="J345" i="26"/>
  <c r="J346" i="26"/>
  <c r="J347" i="26"/>
  <c r="J348" i="26"/>
  <c r="J350" i="26"/>
  <c r="J325" i="26"/>
  <c r="J358" i="26"/>
  <c r="J359" i="26"/>
  <c r="J360" i="26"/>
  <c r="J362" i="26"/>
  <c r="J363" i="26"/>
  <c r="J364" i="26"/>
  <c r="J365" i="26"/>
  <c r="J367" i="26"/>
  <c r="J368" i="26"/>
  <c r="J369" i="26"/>
  <c r="J370" i="26"/>
  <c r="J372" i="26"/>
  <c r="J373" i="26"/>
  <c r="J374" i="26"/>
  <c r="J375" i="26"/>
  <c r="J377" i="26"/>
  <c r="J378" i="26"/>
  <c r="J379" i="26"/>
  <c r="J380" i="26"/>
  <c r="J382" i="26"/>
  <c r="J357" i="26"/>
  <c r="CQ29" i="36" l="1"/>
  <c r="CR154" i="35"/>
  <c r="CU118" i="35"/>
  <c r="CR89" i="35"/>
  <c r="CS52" i="35"/>
  <c r="CU50" i="35"/>
  <c r="BE21" i="38" l="1"/>
  <c r="BF21" i="38" s="1"/>
  <c r="BF22" i="38" s="1"/>
  <c r="BE26" i="38"/>
  <c r="BD26" i="38"/>
  <c r="BE25" i="38"/>
  <c r="BD25" i="38"/>
  <c r="BC25" i="38"/>
  <c r="BE24" i="38"/>
  <c r="BD24" i="38"/>
  <c r="BC24" i="38"/>
  <c r="BE18" i="38"/>
  <c r="BD18" i="38"/>
  <c r="BC18" i="38"/>
  <c r="BE17" i="38"/>
  <c r="BD17" i="38"/>
  <c r="BC17" i="38"/>
  <c r="BE16" i="38"/>
  <c r="BD16" i="38"/>
  <c r="BC16" i="38"/>
  <c r="BE13" i="38"/>
  <c r="BE34" i="38" s="1"/>
  <c r="BD13" i="38"/>
  <c r="BC13" i="38"/>
  <c r="BC14" i="38" s="1"/>
  <c r="BD12" i="38"/>
  <c r="BD33" i="38" s="1"/>
  <c r="BF33" i="38" s="1"/>
  <c r="BE11" i="38"/>
  <c r="BD11" i="38"/>
  <c r="BE8" i="38"/>
  <c r="BD8" i="38"/>
  <c r="BC8" i="38"/>
  <c r="BC32" i="38" s="1"/>
  <c r="BE7" i="38"/>
  <c r="BD7" i="38"/>
  <c r="BC7" i="38"/>
  <c r="BE6" i="38"/>
  <c r="BD6" i="38"/>
  <c r="BC6" i="38"/>
  <c r="BE31" i="38" l="1"/>
  <c r="BC30" i="38"/>
  <c r="BD31" i="38"/>
  <c r="BE29" i="38"/>
  <c r="BE22" i="38"/>
  <c r="BE32" i="38"/>
  <c r="BF26" i="38"/>
  <c r="BD32" i="38"/>
  <c r="BE27" i="38"/>
  <c r="BF25" i="38"/>
  <c r="BD27" i="38"/>
  <c r="BC31" i="38"/>
  <c r="BC27" i="38"/>
  <c r="BF17" i="38"/>
  <c r="BD19" i="38"/>
  <c r="BE19" i="38"/>
  <c r="BD29" i="38"/>
  <c r="BC29" i="38"/>
  <c r="BE14" i="38"/>
  <c r="BC34" i="38"/>
  <c r="BF13" i="38"/>
  <c r="BD14" i="38"/>
  <c r="BF7" i="38"/>
  <c r="BD34" i="38"/>
  <c r="BF11" i="38"/>
  <c r="BE30" i="38"/>
  <c r="BE9" i="38"/>
  <c r="BF16" i="38"/>
  <c r="BF24" i="38"/>
  <c r="BC19" i="38"/>
  <c r="BF6" i="38"/>
  <c r="BF8" i="38"/>
  <c r="BF18" i="38"/>
  <c r="BD30" i="38"/>
  <c r="BC9" i="38"/>
  <c r="BF12" i="38"/>
  <c r="BD9" i="38"/>
  <c r="U104" i="21"/>
  <c r="U99" i="21"/>
  <c r="U90" i="21"/>
  <c r="U82" i="21"/>
  <c r="U78" i="21"/>
  <c r="U63" i="21"/>
  <c r="U50" i="21"/>
  <c r="U33" i="21"/>
  <c r="U29" i="21"/>
  <c r="U19" i="21"/>
  <c r="U14" i="21"/>
  <c r="CQ82" i="18"/>
  <c r="CR99" i="18"/>
  <c r="CQ99" i="18"/>
  <c r="CR90" i="18"/>
  <c r="CQ90" i="18"/>
  <c r="CR78" i="18"/>
  <c r="CQ78" i="18"/>
  <c r="CR63" i="18"/>
  <c r="CQ63" i="18"/>
  <c r="CR51" i="18"/>
  <c r="CQ51" i="18"/>
  <c r="CR34" i="18"/>
  <c r="CQ34" i="18"/>
  <c r="CR30" i="18"/>
  <c r="CQ30" i="18"/>
  <c r="CT81" i="18"/>
  <c r="CT77" i="18"/>
  <c r="CR20" i="18"/>
  <c r="CQ20" i="18"/>
  <c r="CR15" i="18"/>
  <c r="CQ15" i="18"/>
  <c r="BF31" i="38" l="1"/>
  <c r="BE35" i="38"/>
  <c r="BF32" i="38"/>
  <c r="BF27" i="38"/>
  <c r="BF29" i="38"/>
  <c r="BD35" i="38"/>
  <c r="BC35" i="38"/>
  <c r="BF34" i="38"/>
  <c r="BF14" i="38"/>
  <c r="BF9" i="38"/>
  <c r="BF19" i="38"/>
  <c r="BF30" i="38"/>
  <c r="O30" i="40"/>
  <c r="N30" i="40"/>
  <c r="M30" i="40"/>
  <c r="L30" i="40"/>
  <c r="I30" i="40"/>
  <c r="I32" i="40" s="1"/>
  <c r="H30" i="40"/>
  <c r="E30" i="40"/>
  <c r="D30" i="40"/>
  <c r="C30" i="40"/>
  <c r="Q29" i="40"/>
  <c r="P29" i="40"/>
  <c r="P30" i="40" s="1"/>
  <c r="K29" i="40"/>
  <c r="R29" i="40" s="1"/>
  <c r="J29" i="40"/>
  <c r="F29" i="40"/>
  <c r="P28" i="40"/>
  <c r="J28" i="40"/>
  <c r="K28" i="40" s="1"/>
  <c r="R28" i="40" s="1"/>
  <c r="F28" i="40"/>
  <c r="F30" i="40" s="1"/>
  <c r="O26" i="40"/>
  <c r="N26" i="40"/>
  <c r="M26" i="40"/>
  <c r="L26" i="40"/>
  <c r="I26" i="40"/>
  <c r="H26" i="40"/>
  <c r="E26" i="40"/>
  <c r="D26" i="40"/>
  <c r="C26" i="40"/>
  <c r="P25" i="40"/>
  <c r="J25" i="40"/>
  <c r="K25" i="40" s="1"/>
  <c r="R25" i="40" s="1"/>
  <c r="F25" i="40"/>
  <c r="Q25" i="40" s="1"/>
  <c r="Q24" i="40"/>
  <c r="P24" i="40"/>
  <c r="J24" i="40"/>
  <c r="K24" i="40" s="1"/>
  <c r="R24" i="40" s="1"/>
  <c r="F24" i="40"/>
  <c r="P23" i="40"/>
  <c r="P26" i="40" s="1"/>
  <c r="K23" i="40"/>
  <c r="R23" i="40" s="1"/>
  <c r="J23" i="40"/>
  <c r="J26" i="40" s="1"/>
  <c r="K26" i="40" s="1"/>
  <c r="R26" i="40" s="1"/>
  <c r="F23" i="40"/>
  <c r="F26" i="40" s="1"/>
  <c r="O21" i="40"/>
  <c r="N21" i="40"/>
  <c r="M21" i="40"/>
  <c r="L21" i="40"/>
  <c r="I21" i="40"/>
  <c r="H21" i="40"/>
  <c r="G21" i="40"/>
  <c r="E21" i="40"/>
  <c r="D21" i="40"/>
  <c r="C21" i="40"/>
  <c r="P20" i="40"/>
  <c r="J20" i="40"/>
  <c r="K20" i="40" s="1"/>
  <c r="R20" i="40" s="1"/>
  <c r="F20" i="40"/>
  <c r="Q20" i="40" s="1"/>
  <c r="P19" i="40"/>
  <c r="J19" i="40"/>
  <c r="K19" i="40" s="1"/>
  <c r="R19" i="40" s="1"/>
  <c r="F19" i="40"/>
  <c r="Q19" i="40" s="1"/>
  <c r="Q18" i="40"/>
  <c r="P18" i="40"/>
  <c r="J18" i="40"/>
  <c r="K18" i="40" s="1"/>
  <c r="R18" i="40" s="1"/>
  <c r="F18" i="40"/>
  <c r="P17" i="40"/>
  <c r="P21" i="40" s="1"/>
  <c r="K17" i="40"/>
  <c r="R17" i="40" s="1"/>
  <c r="J17" i="40"/>
  <c r="J21" i="40" s="1"/>
  <c r="F17" i="40"/>
  <c r="O15" i="40"/>
  <c r="N15" i="40"/>
  <c r="M15" i="40"/>
  <c r="L15" i="40"/>
  <c r="I15" i="40"/>
  <c r="H15" i="40"/>
  <c r="E15" i="40"/>
  <c r="D15" i="40"/>
  <c r="C15" i="40"/>
  <c r="P14" i="40"/>
  <c r="J14" i="40"/>
  <c r="K14" i="40" s="1"/>
  <c r="R14" i="40" s="1"/>
  <c r="F14" i="40"/>
  <c r="Q14" i="40" s="1"/>
  <c r="Q13" i="40"/>
  <c r="P13" i="40"/>
  <c r="J13" i="40"/>
  <c r="F13" i="40"/>
  <c r="K13" i="40" s="1"/>
  <c r="R13" i="40" s="1"/>
  <c r="Q12" i="40"/>
  <c r="P12" i="40"/>
  <c r="P15" i="40" s="1"/>
  <c r="K12" i="40"/>
  <c r="R12" i="40" s="1"/>
  <c r="J12" i="40"/>
  <c r="J15" i="40" s="1"/>
  <c r="F12" i="40"/>
  <c r="F15" i="40" s="1"/>
  <c r="O10" i="40"/>
  <c r="O32" i="40" s="1"/>
  <c r="N10" i="40"/>
  <c r="N32" i="40" s="1"/>
  <c r="M10" i="40"/>
  <c r="M32" i="40" s="1"/>
  <c r="L10" i="40"/>
  <c r="L32" i="40" s="1"/>
  <c r="I10" i="40"/>
  <c r="H10" i="40"/>
  <c r="H32" i="40" s="1"/>
  <c r="G10" i="40"/>
  <c r="G32" i="40" s="1"/>
  <c r="F10" i="40"/>
  <c r="E10" i="40"/>
  <c r="E32" i="40" s="1"/>
  <c r="D10" i="40"/>
  <c r="D32" i="40" s="1"/>
  <c r="C10" i="40"/>
  <c r="C32" i="40" s="1"/>
  <c r="P9" i="40"/>
  <c r="J9" i="40"/>
  <c r="K9" i="40" s="1"/>
  <c r="R9" i="40" s="1"/>
  <c r="F9" i="40"/>
  <c r="Q9" i="40" s="1"/>
  <c r="P8" i="40"/>
  <c r="J8" i="40"/>
  <c r="K8" i="40" s="1"/>
  <c r="R8" i="40" s="1"/>
  <c r="F8" i="40"/>
  <c r="Q8" i="40" s="1"/>
  <c r="Q7" i="40"/>
  <c r="P7" i="40"/>
  <c r="P10" i="40" s="1"/>
  <c r="J7" i="40"/>
  <c r="J10" i="40" s="1"/>
  <c r="F7" i="40"/>
  <c r="K7" i="40" s="1"/>
  <c r="R7" i="40" s="1"/>
  <c r="F40" i="40"/>
  <c r="J40" i="40"/>
  <c r="K40" i="40" s="1"/>
  <c r="R40" i="40" s="1"/>
  <c r="P40" i="40"/>
  <c r="F41" i="40"/>
  <c r="J41" i="40"/>
  <c r="K41" i="40" s="1"/>
  <c r="R41" i="40" s="1"/>
  <c r="P41" i="40"/>
  <c r="F42" i="40"/>
  <c r="Q42" i="40" s="1"/>
  <c r="J42" i="40"/>
  <c r="P42" i="40"/>
  <c r="BF35" i="38" l="1"/>
  <c r="K10" i="40"/>
  <c r="R10" i="40" s="1"/>
  <c r="Q15" i="40"/>
  <c r="P32" i="40"/>
  <c r="O33" i="40" s="1"/>
  <c r="M33" i="40"/>
  <c r="K15" i="40"/>
  <c r="R15" i="40" s="1"/>
  <c r="Q10" i="40"/>
  <c r="K21" i="40"/>
  <c r="R21" i="40" s="1"/>
  <c r="Q17" i="40"/>
  <c r="Q21" i="40" s="1"/>
  <c r="Q23" i="40"/>
  <c r="Q26" i="40" s="1"/>
  <c r="F21" i="40"/>
  <c r="F32" i="40" s="1"/>
  <c r="Q28" i="40"/>
  <c r="Q30" i="40" s="1"/>
  <c r="J30" i="40"/>
  <c r="K30" i="40" s="1"/>
  <c r="R30" i="40" s="1"/>
  <c r="Q41" i="40"/>
  <c r="Q40" i="40"/>
  <c r="K42" i="40"/>
  <c r="R42" i="40" s="1"/>
  <c r="Q32" i="40" l="1"/>
  <c r="C33" i="40"/>
  <c r="F33" i="40" s="1"/>
  <c r="E33" i="40"/>
  <c r="D33" i="40"/>
  <c r="N33" i="40"/>
  <c r="J32" i="40"/>
  <c r="L33" i="40"/>
  <c r="P33" i="40" s="1"/>
  <c r="K32" i="40" l="1"/>
  <c r="R32" i="40" s="1"/>
  <c r="H33" i="40"/>
  <c r="I33" i="40"/>
  <c r="G33" i="40"/>
  <c r="J33" i="40" l="1"/>
  <c r="F31" i="26" l="1"/>
  <c r="D31" i="26"/>
  <c r="H31" i="26" s="1"/>
  <c r="C31" i="26"/>
  <c r="H30" i="26"/>
  <c r="G30" i="26"/>
  <c r="I30" i="26" s="1"/>
  <c r="E30" i="26"/>
  <c r="H29" i="26"/>
  <c r="G29" i="26"/>
  <c r="I29" i="26" s="1"/>
  <c r="E29" i="26"/>
  <c r="E31" i="26" s="1"/>
  <c r="I28" i="26"/>
  <c r="H28" i="26"/>
  <c r="G28" i="26"/>
  <c r="E28" i="26"/>
  <c r="F26" i="26"/>
  <c r="G26" i="26" s="1"/>
  <c r="I26" i="26" s="1"/>
  <c r="D26" i="26"/>
  <c r="C26" i="26"/>
  <c r="H25" i="26"/>
  <c r="G25" i="26"/>
  <c r="I25" i="26" s="1"/>
  <c r="E25" i="26"/>
  <c r="I24" i="26"/>
  <c r="H24" i="26"/>
  <c r="E24" i="26"/>
  <c r="E26" i="26" s="1"/>
  <c r="H23" i="26"/>
  <c r="G23" i="26"/>
  <c r="I23" i="26" s="1"/>
  <c r="E23" i="26"/>
  <c r="F21" i="26"/>
  <c r="H21" i="26" s="1"/>
  <c r="D21" i="26"/>
  <c r="C21" i="26"/>
  <c r="H20" i="26"/>
  <c r="G20" i="26"/>
  <c r="I20" i="26" s="1"/>
  <c r="E20" i="26"/>
  <c r="I19" i="26"/>
  <c r="H19" i="26"/>
  <c r="E19" i="26"/>
  <c r="H18" i="26"/>
  <c r="G18" i="26"/>
  <c r="I18" i="26" s="1"/>
  <c r="E18" i="26"/>
  <c r="E21" i="26" s="1"/>
  <c r="F16" i="26"/>
  <c r="G16" i="26" s="1"/>
  <c r="I16" i="26" s="1"/>
  <c r="D16" i="26"/>
  <c r="C16" i="26"/>
  <c r="H15" i="26"/>
  <c r="G15" i="26"/>
  <c r="I15" i="26" s="1"/>
  <c r="E15" i="26"/>
  <c r="H14" i="26"/>
  <c r="G14" i="26"/>
  <c r="I14" i="26" s="1"/>
  <c r="E14" i="26"/>
  <c r="I13" i="26"/>
  <c r="H13" i="26"/>
  <c r="E13" i="26"/>
  <c r="E16" i="26" s="1"/>
  <c r="F11" i="26"/>
  <c r="D11" i="26"/>
  <c r="H11" i="26" s="1"/>
  <c r="C11" i="26"/>
  <c r="C33" i="26" s="1"/>
  <c r="I10" i="26"/>
  <c r="H10" i="26"/>
  <c r="G10" i="26"/>
  <c r="E10" i="26"/>
  <c r="H9" i="26"/>
  <c r="G9" i="26"/>
  <c r="I9" i="26" s="1"/>
  <c r="E9" i="26"/>
  <c r="E11" i="26" s="1"/>
  <c r="I8" i="26"/>
  <c r="H8" i="26"/>
  <c r="G8" i="26"/>
  <c r="E8" i="26"/>
  <c r="G11" i="26" l="1"/>
  <c r="I11" i="26" s="1"/>
  <c r="G21" i="26"/>
  <c r="I21" i="26" s="1"/>
  <c r="H16" i="26"/>
  <c r="E33" i="26"/>
  <c r="H26" i="26"/>
  <c r="D33" i="26"/>
  <c r="F33" i="26"/>
  <c r="G33" i="26" s="1"/>
  <c r="I33" i="26" s="1"/>
  <c r="G31" i="26"/>
  <c r="I31" i="26" s="1"/>
  <c r="H33" i="26" l="1"/>
  <c r="AF18" i="70" l="1"/>
  <c r="AF19" i="70"/>
  <c r="AF20" i="70"/>
  <c r="V40" i="17" l="1"/>
  <c r="AE92" i="70" l="1"/>
  <c r="AD92" i="70"/>
  <c r="AC92" i="70"/>
  <c r="AB92" i="70"/>
  <c r="AE90" i="70"/>
  <c r="AD90" i="70"/>
  <c r="AC90" i="70"/>
  <c r="AB90" i="70"/>
  <c r="W234" i="34" l="1"/>
  <c r="W233" i="34"/>
  <c r="W232" i="34"/>
  <c r="W235" i="34" s="1"/>
  <c r="W228" i="34"/>
  <c r="W225" i="34"/>
  <c r="W224" i="34"/>
  <c r="W223" i="34"/>
  <c r="W226" i="34" s="1"/>
  <c r="W247" i="34" s="1"/>
  <c r="W220" i="34"/>
  <c r="W222" i="34" s="1"/>
  <c r="W246" i="34" s="1"/>
  <c r="W217" i="34"/>
  <c r="W229" i="34" s="1"/>
  <c r="W216" i="34"/>
  <c r="W215" i="34"/>
  <c r="W218" i="34" s="1"/>
  <c r="W212" i="34"/>
  <c r="W208" i="34"/>
  <c r="W207" i="34"/>
  <c r="W206" i="34"/>
  <c r="W209" i="34" s="1"/>
  <c r="W204" i="34"/>
  <c r="W203" i="34"/>
  <c r="W202" i="34"/>
  <c r="W205" i="34" s="1"/>
  <c r="W200" i="34"/>
  <c r="W199" i="34"/>
  <c r="W211" i="34" s="1"/>
  <c r="W198" i="34"/>
  <c r="W210" i="34" s="1"/>
  <c r="W213" i="34" s="1"/>
  <c r="W195" i="34"/>
  <c r="W191" i="34"/>
  <c r="W190" i="34"/>
  <c r="W189" i="34"/>
  <c r="W192" i="34" s="1"/>
  <c r="W187" i="34"/>
  <c r="W186" i="34"/>
  <c r="W185" i="34"/>
  <c r="W188" i="34" s="1"/>
  <c r="W183" i="34"/>
  <c r="W182" i="34"/>
  <c r="W194" i="34" s="1"/>
  <c r="W181" i="34"/>
  <c r="W193" i="34" s="1"/>
  <c r="W196" i="34" s="1"/>
  <c r="W174" i="34"/>
  <c r="W173" i="34"/>
  <c r="W172" i="34"/>
  <c r="W175" i="34" s="1"/>
  <c r="W245" i="34" s="1"/>
  <c r="W170" i="34"/>
  <c r="W178" i="34" s="1"/>
  <c r="W169" i="34"/>
  <c r="W168" i="34"/>
  <c r="W171" i="34" s="1"/>
  <c r="W166" i="34"/>
  <c r="W165" i="34"/>
  <c r="W177" i="34" s="1"/>
  <c r="W238" i="34" s="1"/>
  <c r="W164" i="34"/>
  <c r="W176" i="34" s="1"/>
  <c r="W244" i="34" l="1"/>
  <c r="W237" i="34"/>
  <c r="W240" i="34" s="1"/>
  <c r="W179" i="34"/>
  <c r="W239" i="34"/>
  <c r="W167" i="34"/>
  <c r="W227" i="34"/>
  <c r="W230" i="34" s="1"/>
  <c r="W184" i="34"/>
  <c r="W201" i="34"/>
  <c r="W243" i="34" s="1"/>
  <c r="CY25" i="68"/>
  <c r="CX25" i="68"/>
  <c r="CW25" i="68"/>
  <c r="CY24" i="68"/>
  <c r="CY23" i="68"/>
  <c r="CX23" i="68"/>
  <c r="CY22" i="68"/>
  <c r="CY21" i="68"/>
  <c r="CY20" i="68"/>
  <c r="CX20" i="68"/>
  <c r="CW20" i="68"/>
  <c r="CY15" i="68"/>
  <c r="CX15" i="68"/>
  <c r="CW15" i="68"/>
  <c r="CY11" i="68"/>
  <c r="CY10" i="68"/>
  <c r="CX10" i="68"/>
  <c r="CW10" i="68"/>
  <c r="W242" i="34" l="1"/>
  <c r="W248" i="34" s="1"/>
  <c r="BJ68" i="32"/>
  <c r="BK135" i="31"/>
  <c r="BK153" i="31"/>
  <c r="BK82" i="31"/>
  <c r="BK100" i="31"/>
  <c r="BK64" i="31"/>
  <c r="BK65" i="31" s="1"/>
  <c r="BK59" i="31"/>
  <c r="BK57" i="31"/>
  <c r="BK53" i="31"/>
  <c r="BK35" i="31"/>
  <c r="BK54" i="31" s="1"/>
  <c r="BK15" i="31"/>
  <c r="BK111" i="31"/>
  <c r="BK114" i="31"/>
  <c r="BK115" i="31" s="1"/>
  <c r="CS68" i="30"/>
  <c r="CS40" i="30"/>
  <c r="CU34" i="29"/>
  <c r="BK112" i="31" l="1"/>
  <c r="V99" i="16"/>
  <c r="V90" i="16"/>
  <c r="V78" i="16"/>
  <c r="V74" i="16"/>
  <c r="V62" i="16"/>
  <c r="V50" i="16"/>
  <c r="V33" i="16"/>
  <c r="V29" i="16"/>
  <c r="V23" i="16"/>
  <c r="V19" i="16"/>
  <c r="V14" i="16"/>
  <c r="BJ100" i="12" l="1"/>
  <c r="BJ91" i="12"/>
  <c r="BJ79" i="12"/>
  <c r="BJ75" i="12"/>
  <c r="BJ63" i="12"/>
  <c r="BJ51" i="12"/>
  <c r="BJ34" i="12"/>
  <c r="BJ30" i="12"/>
  <c r="BJ20" i="12"/>
  <c r="BJ15" i="12"/>
  <c r="BC57" i="65" l="1"/>
  <c r="CB94" i="64"/>
  <c r="CA94" i="64"/>
  <c r="CD91" i="64"/>
  <c r="CX21" i="68" s="1"/>
  <c r="CD92" i="64"/>
  <c r="CX22" i="68" s="1"/>
  <c r="CC28" i="64" l="1"/>
  <c r="CB28" i="64"/>
  <c r="CA28" i="64"/>
  <c r="CC27" i="64"/>
  <c r="CB27" i="64"/>
  <c r="CA27" i="64"/>
  <c r="CC26" i="64"/>
  <c r="CB26" i="64"/>
  <c r="CA26" i="64"/>
  <c r="CC23" i="64"/>
  <c r="CB23" i="64"/>
  <c r="CA23" i="64"/>
  <c r="CC22" i="64"/>
  <c r="CB22" i="64"/>
  <c r="CA22" i="64"/>
  <c r="CC21" i="64"/>
  <c r="CB21" i="64"/>
  <c r="CA21" i="64"/>
  <c r="CC18" i="64"/>
  <c r="CB18" i="64"/>
  <c r="CA18" i="64"/>
  <c r="CC17" i="64"/>
  <c r="CB17" i="64"/>
  <c r="CA17" i="64"/>
  <c r="CC16" i="64"/>
  <c r="CB16" i="64"/>
  <c r="CA16" i="64"/>
  <c r="CC13" i="64"/>
  <c r="CB13" i="64"/>
  <c r="CA13" i="64"/>
  <c r="CC12" i="64"/>
  <c r="CB12" i="64"/>
  <c r="CA12" i="64"/>
  <c r="CC11" i="64"/>
  <c r="CB11" i="64"/>
  <c r="CA11" i="64"/>
  <c r="CC8" i="64"/>
  <c r="CB8" i="64"/>
  <c r="CA8" i="64"/>
  <c r="CC7" i="64"/>
  <c r="CB7" i="64"/>
  <c r="CA7" i="64"/>
  <c r="CC6" i="64"/>
  <c r="CB6" i="64"/>
  <c r="CA6" i="64"/>
  <c r="U13" i="79"/>
  <c r="U28" i="79" s="1"/>
  <c r="U36" i="78"/>
  <c r="U37" i="78"/>
  <c r="U38" i="78"/>
  <c r="U39" i="78"/>
  <c r="U40" i="78"/>
  <c r="U35" i="78"/>
  <c r="U31" i="78"/>
  <c r="U30" i="78"/>
  <c r="U29" i="78"/>
  <c r="U28" i="78"/>
  <c r="U27" i="78"/>
  <c r="U26" i="78"/>
  <c r="U16" i="78"/>
  <c r="CB19" i="64" l="1"/>
  <c r="CD7" i="64"/>
  <c r="CD12" i="64"/>
  <c r="CD28" i="64"/>
  <c r="CD27" i="64"/>
  <c r="CD18" i="64"/>
  <c r="CC19" i="64"/>
  <c r="CD17" i="64"/>
  <c r="CB29" i="64"/>
  <c r="CD8" i="64"/>
  <c r="CC29" i="64"/>
  <c r="CB9" i="64"/>
  <c r="CA9" i="64"/>
  <c r="CC9" i="64"/>
  <c r="CA19" i="64"/>
  <c r="CC14" i="64"/>
  <c r="CD13" i="64"/>
  <c r="CD23" i="64"/>
  <c r="CD21" i="64"/>
  <c r="CB24" i="64"/>
  <c r="CC24" i="64"/>
  <c r="CD22" i="64"/>
  <c r="CA14" i="64"/>
  <c r="CB14" i="64"/>
  <c r="CD26" i="64"/>
  <c r="CD6" i="64"/>
  <c r="CD9" i="64" s="1"/>
  <c r="CD11" i="64"/>
  <c r="CD16" i="64"/>
  <c r="CA29" i="64"/>
  <c r="U25" i="79"/>
  <c r="U27" i="79"/>
  <c r="U26" i="79"/>
  <c r="U31" i="79"/>
  <c r="U30" i="79"/>
  <c r="U29" i="79"/>
  <c r="U41" i="78"/>
  <c r="U32" i="78"/>
  <c r="BI101" i="10"/>
  <c r="BI97" i="10"/>
  <c r="BI87" i="10"/>
  <c r="BI83" i="10"/>
  <c r="BI72" i="10"/>
  <c r="BI63" i="10"/>
  <c r="BI48" i="10"/>
  <c r="BI36" i="10"/>
  <c r="BI20" i="10"/>
  <c r="BI15" i="10"/>
  <c r="CA31" i="64" l="1"/>
  <c r="CC31" i="64"/>
  <c r="CD19" i="64"/>
  <c r="CD29" i="64"/>
  <c r="CB31" i="64"/>
  <c r="CD14" i="64"/>
  <c r="CD24" i="64"/>
  <c r="U32" i="79"/>
  <c r="CD31" i="64" l="1"/>
  <c r="BG6" i="4"/>
  <c r="BH6" i="4"/>
  <c r="BG7" i="4"/>
  <c r="BH7" i="4"/>
  <c r="BG8" i="4"/>
  <c r="BH8" i="4"/>
  <c r="BG16" i="4"/>
  <c r="BH16" i="4"/>
  <c r="BG17" i="4"/>
  <c r="BH17" i="4"/>
  <c r="BG18" i="4"/>
  <c r="BH18" i="4"/>
  <c r="BG26" i="4"/>
  <c r="BH26" i="4"/>
  <c r="BG27" i="4"/>
  <c r="BH27" i="4"/>
  <c r="BG28" i="4"/>
  <c r="BH28" i="4"/>
  <c r="BG11" i="4"/>
  <c r="BH11" i="4"/>
  <c r="BG12" i="4"/>
  <c r="BH12" i="4"/>
  <c r="BG13" i="4"/>
  <c r="BH13" i="4"/>
  <c r="BG21" i="4"/>
  <c r="BH21" i="4"/>
  <c r="BG22" i="4"/>
  <c r="BH22" i="4"/>
  <c r="BG23" i="4"/>
  <c r="BH23" i="4"/>
  <c r="BH87" i="3"/>
  <c r="BH83" i="3"/>
  <c r="BH101" i="3"/>
  <c r="BH97" i="3"/>
  <c r="BH72" i="3"/>
  <c r="BH63" i="3"/>
  <c r="BH48" i="3"/>
  <c r="BH36" i="3"/>
  <c r="BH20" i="3"/>
  <c r="BH15" i="3"/>
  <c r="BI102" i="6" l="1"/>
  <c r="BI98" i="6"/>
  <c r="BI88" i="6"/>
  <c r="BI84" i="6"/>
  <c r="BI73" i="6"/>
  <c r="BI64" i="6"/>
  <c r="BI49" i="6"/>
  <c r="BI37" i="6"/>
  <c r="BI21" i="6"/>
  <c r="BI16" i="6"/>
  <c r="AB34" i="41" l="1"/>
  <c r="AC34" i="41"/>
  <c r="AB35" i="41"/>
  <c r="AC35" i="41"/>
  <c r="AD36" i="41"/>
  <c r="AC30" i="41"/>
  <c r="AB30" i="41"/>
  <c r="AD29" i="41"/>
  <c r="AD28" i="41"/>
  <c r="AD17" i="41"/>
  <c r="AD13" i="41"/>
  <c r="AD12" i="41"/>
  <c r="AD11" i="41"/>
  <c r="AD10" i="41"/>
  <c r="AD9" i="41"/>
  <c r="AD8" i="41"/>
  <c r="AD7" i="41"/>
  <c r="AD6" i="41"/>
  <c r="AD35" i="41" l="1"/>
  <c r="AC37" i="41"/>
  <c r="AD30" i="41"/>
  <c r="AD34" i="41"/>
  <c r="AB37" i="41"/>
  <c r="I84" i="70"/>
  <c r="I94" i="70" s="1"/>
  <c r="J84" i="70"/>
  <c r="K84" i="70"/>
  <c r="D89" i="70"/>
  <c r="E89" i="70"/>
  <c r="F89" i="70"/>
  <c r="D90" i="70"/>
  <c r="E90" i="70"/>
  <c r="F90" i="70"/>
  <c r="D91" i="70"/>
  <c r="G91" i="70" s="1"/>
  <c r="E91" i="70"/>
  <c r="F91" i="70"/>
  <c r="D92" i="70"/>
  <c r="E92" i="70"/>
  <c r="F92" i="70"/>
  <c r="G92" i="70" s="1"/>
  <c r="D93" i="70"/>
  <c r="E93" i="70"/>
  <c r="F93" i="70"/>
  <c r="D94" i="70"/>
  <c r="E94" i="70"/>
  <c r="F94" i="70"/>
  <c r="C94" i="70"/>
  <c r="C93" i="70"/>
  <c r="C92" i="70"/>
  <c r="C91" i="70"/>
  <c r="C90" i="70"/>
  <c r="C89" i="70"/>
  <c r="G93" i="70"/>
  <c r="L84" i="70"/>
  <c r="H84" i="70"/>
  <c r="I89" i="70"/>
  <c r="J89" i="70"/>
  <c r="L89" i="70" s="1"/>
  <c r="K89" i="70"/>
  <c r="I90" i="70"/>
  <c r="J90" i="70"/>
  <c r="K90" i="70"/>
  <c r="I91" i="70"/>
  <c r="J91" i="70"/>
  <c r="K91" i="70"/>
  <c r="I92" i="70"/>
  <c r="J92" i="70"/>
  <c r="K92" i="70"/>
  <c r="I93" i="70"/>
  <c r="J93" i="70"/>
  <c r="K93" i="70"/>
  <c r="J94" i="70"/>
  <c r="K94" i="70"/>
  <c r="H93" i="70"/>
  <c r="H92" i="70"/>
  <c r="H91" i="70"/>
  <c r="H90" i="70"/>
  <c r="H89" i="70"/>
  <c r="L93" i="70"/>
  <c r="N84" i="70"/>
  <c r="O84" i="70"/>
  <c r="P84" i="70"/>
  <c r="P94" i="70" s="1"/>
  <c r="M84" i="70"/>
  <c r="M94" i="70" s="1"/>
  <c r="O94" i="70"/>
  <c r="N94" i="70"/>
  <c r="N89" i="70"/>
  <c r="O89" i="70"/>
  <c r="P89" i="70"/>
  <c r="N90" i="70"/>
  <c r="O90" i="70"/>
  <c r="P90" i="70"/>
  <c r="N91" i="70"/>
  <c r="O91" i="70"/>
  <c r="P91" i="70"/>
  <c r="N92" i="70"/>
  <c r="Q92" i="70" s="1"/>
  <c r="O92" i="70"/>
  <c r="P92" i="70"/>
  <c r="N93" i="70"/>
  <c r="O93" i="70"/>
  <c r="P93" i="70"/>
  <c r="M93" i="70"/>
  <c r="M92" i="70"/>
  <c r="M91" i="70"/>
  <c r="M90" i="70"/>
  <c r="Q90" i="70" s="1"/>
  <c r="M89" i="70"/>
  <c r="S89" i="70"/>
  <c r="T89" i="70"/>
  <c r="U89" i="70"/>
  <c r="S90" i="70"/>
  <c r="T90" i="70"/>
  <c r="U90" i="70"/>
  <c r="S91" i="70"/>
  <c r="T91" i="70"/>
  <c r="U91" i="70"/>
  <c r="S92" i="70"/>
  <c r="T92" i="70"/>
  <c r="U92" i="70"/>
  <c r="S93" i="70"/>
  <c r="T93" i="70"/>
  <c r="U93" i="70"/>
  <c r="S94" i="70"/>
  <c r="T94" i="70"/>
  <c r="U94" i="70"/>
  <c r="V94" i="70" s="1"/>
  <c r="R94" i="70"/>
  <c r="R93" i="70"/>
  <c r="R92" i="70"/>
  <c r="R91" i="70"/>
  <c r="R90" i="70"/>
  <c r="V90" i="70" s="1"/>
  <c r="R89" i="70"/>
  <c r="AD37" i="41" l="1"/>
  <c r="G90" i="70"/>
  <c r="G89" i="70"/>
  <c r="G94" i="70"/>
  <c r="H94" i="70"/>
  <c r="L94" i="70"/>
  <c r="L92" i="70"/>
  <c r="L91" i="70"/>
  <c r="L90" i="70"/>
  <c r="Q94" i="70"/>
  <c r="Q89" i="70"/>
  <c r="Q93" i="70"/>
  <c r="Q91" i="70"/>
  <c r="V92" i="70"/>
  <c r="V91" i="70"/>
  <c r="V93" i="70"/>
  <c r="V89" i="70"/>
  <c r="AE81" i="70"/>
  <c r="AD81" i="70"/>
  <c r="AC81" i="70"/>
  <c r="AB81" i="70"/>
  <c r="AF80" i="70"/>
  <c r="AF79" i="70"/>
  <c r="AF78" i="70"/>
  <c r="AF77" i="70"/>
  <c r="AE76" i="70"/>
  <c r="AD76" i="70"/>
  <c r="AC76" i="70"/>
  <c r="AB76" i="70"/>
  <c r="AF75" i="70"/>
  <c r="AF74" i="70"/>
  <c r="AF73" i="70"/>
  <c r="AF72" i="70"/>
  <c r="AE71" i="70"/>
  <c r="AD71" i="70"/>
  <c r="AC71" i="70"/>
  <c r="AC82" i="70" s="1"/>
  <c r="AB71" i="70"/>
  <c r="AB82" i="70" s="1"/>
  <c r="AF70" i="70"/>
  <c r="AF69" i="70"/>
  <c r="AF68" i="70"/>
  <c r="AF67" i="70"/>
  <c r="AE65" i="70"/>
  <c r="AD65" i="70"/>
  <c r="AC65" i="70"/>
  <c r="AB65" i="70"/>
  <c r="AF64" i="70"/>
  <c r="AF63" i="70"/>
  <c r="AF62" i="70"/>
  <c r="AE61" i="70"/>
  <c r="AD61" i="70"/>
  <c r="AC61" i="70"/>
  <c r="AB61" i="70"/>
  <c r="AF60" i="70"/>
  <c r="AF59" i="70"/>
  <c r="AF58" i="70"/>
  <c r="AE57" i="70"/>
  <c r="AD57" i="70"/>
  <c r="AC57" i="70"/>
  <c r="AB57" i="70"/>
  <c r="AF56" i="70"/>
  <c r="AF55" i="70"/>
  <c r="AF54" i="70"/>
  <c r="AE52" i="70"/>
  <c r="AD52" i="70"/>
  <c r="AC52" i="70"/>
  <c r="AB52" i="70"/>
  <c r="AF51" i="70"/>
  <c r="AF50" i="70"/>
  <c r="AF49" i="70"/>
  <c r="AF48" i="70"/>
  <c r="AF47" i="70"/>
  <c r="AE46" i="70"/>
  <c r="AD46" i="70"/>
  <c r="AC46" i="70"/>
  <c r="AB46" i="70"/>
  <c r="AF45" i="70"/>
  <c r="AF44" i="70"/>
  <c r="AF43" i="70"/>
  <c r="AF42" i="70"/>
  <c r="AE41" i="70"/>
  <c r="AD41" i="70"/>
  <c r="AC41" i="70"/>
  <c r="AB41" i="70"/>
  <c r="AF40" i="70"/>
  <c r="AF39" i="70"/>
  <c r="AF38" i="70"/>
  <c r="AF37" i="70"/>
  <c r="AF36" i="70"/>
  <c r="AE34" i="70"/>
  <c r="AD34" i="70"/>
  <c r="AC34" i="70"/>
  <c r="AB34" i="70"/>
  <c r="AF33" i="70"/>
  <c r="AF32" i="70"/>
  <c r="AF31" i="70"/>
  <c r="AE30" i="70"/>
  <c r="AD30" i="70"/>
  <c r="AC30" i="70"/>
  <c r="AB30" i="70"/>
  <c r="AF29" i="70"/>
  <c r="AF28" i="70"/>
  <c r="AF27" i="70"/>
  <c r="AE26" i="70"/>
  <c r="AD26" i="70"/>
  <c r="AC26" i="70"/>
  <c r="AB26" i="70"/>
  <c r="AF25" i="70"/>
  <c r="AF24" i="70"/>
  <c r="AF23" i="70"/>
  <c r="AE21" i="70"/>
  <c r="AD21" i="70"/>
  <c r="AC21" i="70"/>
  <c r="AB21" i="70"/>
  <c r="AF17" i="70"/>
  <c r="AE16" i="70"/>
  <c r="AD16" i="70"/>
  <c r="AC16" i="70"/>
  <c r="AB16" i="70"/>
  <c r="AF15" i="70"/>
  <c r="AF14" i="70"/>
  <c r="AF13" i="70"/>
  <c r="AF12" i="70"/>
  <c r="AF11" i="70"/>
  <c r="AE10" i="70"/>
  <c r="AE22" i="70" s="1"/>
  <c r="AD10" i="70"/>
  <c r="AC10" i="70"/>
  <c r="AB10" i="70"/>
  <c r="AF9" i="70"/>
  <c r="AF8" i="70"/>
  <c r="AF7" i="70"/>
  <c r="AF6" i="70"/>
  <c r="AF5" i="70"/>
  <c r="P115" i="74"/>
  <c r="P94" i="74"/>
  <c r="P73" i="74"/>
  <c r="P62" i="74"/>
  <c r="P41" i="74"/>
  <c r="P23" i="74"/>
  <c r="Q73" i="76"/>
  <c r="P73" i="76"/>
  <c r="O73" i="76"/>
  <c r="N73" i="76"/>
  <c r="M73" i="76"/>
  <c r="L73" i="76"/>
  <c r="K73" i="76"/>
  <c r="R72" i="76"/>
  <c r="R71" i="76"/>
  <c r="R70" i="76"/>
  <c r="R69" i="76"/>
  <c r="R68" i="76"/>
  <c r="AB66" i="70" l="1"/>
  <c r="AF92" i="70" s="1"/>
  <c r="AE53" i="70"/>
  <c r="AD22" i="70"/>
  <c r="AF57" i="70"/>
  <c r="AF26" i="70"/>
  <c r="AC66" i="70"/>
  <c r="AC22" i="70"/>
  <c r="AC35" i="70"/>
  <c r="AD53" i="70"/>
  <c r="AD66" i="70"/>
  <c r="AE82" i="70"/>
  <c r="AF34" i="70"/>
  <c r="AF41" i="70"/>
  <c r="AE66" i="70"/>
  <c r="AF65" i="70"/>
  <c r="AF81" i="70"/>
  <c r="AF61" i="70"/>
  <c r="AE35" i="70"/>
  <c r="AF30" i="70"/>
  <c r="AB22" i="70"/>
  <c r="AB35" i="70"/>
  <c r="AF90" i="70" s="1"/>
  <c r="AB53" i="70"/>
  <c r="AF76" i="70"/>
  <c r="AD82" i="70"/>
  <c r="AF71" i="70"/>
  <c r="AF52" i="70"/>
  <c r="AC53" i="70"/>
  <c r="AF46" i="70"/>
  <c r="AD35" i="70"/>
  <c r="AF21" i="70"/>
  <c r="AF16" i="70"/>
  <c r="AF10" i="70"/>
  <c r="R73" i="76"/>
  <c r="V35" i="71"/>
  <c r="V34" i="71"/>
  <c r="V33" i="71"/>
  <c r="V32" i="71"/>
  <c r="V31" i="71"/>
  <c r="V30" i="71"/>
  <c r="V28" i="71"/>
  <c r="V23" i="71"/>
  <c r="V18" i="71"/>
  <c r="V13" i="71"/>
  <c r="V15" i="67"/>
  <c r="V29" i="67" s="1"/>
  <c r="V29" i="66"/>
  <c r="V28" i="66"/>
  <c r="V27" i="66"/>
  <c r="V26" i="66"/>
  <c r="V25" i="66"/>
  <c r="V24" i="66"/>
  <c r="V16" i="66"/>
  <c r="BC138" i="65"/>
  <c r="BB138" i="65"/>
  <c r="BC137" i="65"/>
  <c r="BB137" i="65"/>
  <c r="BC136" i="65"/>
  <c r="BB136" i="65"/>
  <c r="BC133" i="65"/>
  <c r="BB133" i="65"/>
  <c r="BC132" i="65"/>
  <c r="BB132" i="65"/>
  <c r="BD132" i="65" s="1"/>
  <c r="BC131" i="65"/>
  <c r="BB131" i="65"/>
  <c r="BC128" i="65"/>
  <c r="BB128" i="65"/>
  <c r="BC127" i="65"/>
  <c r="BB127" i="65"/>
  <c r="BD127" i="65" s="1"/>
  <c r="BC126" i="65"/>
  <c r="BB126" i="65"/>
  <c r="BC123" i="65"/>
  <c r="BC146" i="65" s="1"/>
  <c r="BB123" i="65"/>
  <c r="BB146" i="65" s="1"/>
  <c r="BC122" i="65"/>
  <c r="BB122" i="65"/>
  <c r="BB145" i="65" s="1"/>
  <c r="BC121" i="65"/>
  <c r="BB121" i="65"/>
  <c r="BC118" i="65"/>
  <c r="BB118" i="65"/>
  <c r="BC117" i="65"/>
  <c r="BB117" i="65"/>
  <c r="BC116" i="65"/>
  <c r="BB116" i="65"/>
  <c r="BC107" i="65"/>
  <c r="BB107" i="65"/>
  <c r="BC106" i="65"/>
  <c r="BB106" i="65"/>
  <c r="BC105" i="65"/>
  <c r="BB105" i="65"/>
  <c r="BC104" i="65"/>
  <c r="BB104" i="65"/>
  <c r="BC103" i="65"/>
  <c r="BB103" i="65"/>
  <c r="BC102" i="65"/>
  <c r="BB102" i="65"/>
  <c r="BC100" i="65"/>
  <c r="BB100" i="65"/>
  <c r="BD100" i="65" s="1"/>
  <c r="BD99" i="65"/>
  <c r="BD98" i="65"/>
  <c r="BD97" i="65"/>
  <c r="BC95" i="65"/>
  <c r="BB95" i="65"/>
  <c r="BD94" i="65"/>
  <c r="BD93" i="65"/>
  <c r="BD92" i="65"/>
  <c r="BB90" i="65"/>
  <c r="BD90" i="65" s="1"/>
  <c r="BD89" i="65"/>
  <c r="BD107" i="65" s="1"/>
  <c r="BD88" i="65"/>
  <c r="BD106" i="65" s="1"/>
  <c r="BD87" i="65"/>
  <c r="BC85" i="65"/>
  <c r="BB85" i="65"/>
  <c r="BD84" i="65"/>
  <c r="BD83" i="65"/>
  <c r="BD82" i="65"/>
  <c r="BD102" i="65" s="1"/>
  <c r="BC74" i="65"/>
  <c r="BB74" i="65"/>
  <c r="BC73" i="65"/>
  <c r="BD73" i="65" s="1"/>
  <c r="BB73" i="65"/>
  <c r="BC72" i="65"/>
  <c r="BB72" i="65"/>
  <c r="BD72" i="65" s="1"/>
  <c r="BC71" i="65"/>
  <c r="BB71" i="65"/>
  <c r="BC70" i="65"/>
  <c r="BB70" i="65"/>
  <c r="BC69" i="65"/>
  <c r="BB69" i="65"/>
  <c r="BC67" i="65"/>
  <c r="BB67" i="65"/>
  <c r="BD66" i="65"/>
  <c r="BD65" i="65"/>
  <c r="BD64" i="65"/>
  <c r="BD61" i="65"/>
  <c r="BD60" i="65"/>
  <c r="BD59" i="65"/>
  <c r="BD57" i="65"/>
  <c r="BB57" i="65"/>
  <c r="BD56" i="65"/>
  <c r="BD55" i="65"/>
  <c r="BD54" i="65"/>
  <c r="BC52" i="65"/>
  <c r="BD52" i="65" s="1"/>
  <c r="BD51" i="65"/>
  <c r="BD50" i="65"/>
  <c r="BD49" i="65"/>
  <c r="BC47" i="65"/>
  <c r="BB47" i="65"/>
  <c r="BD47" i="65" s="1"/>
  <c r="BD46" i="65"/>
  <c r="BD45" i="65"/>
  <c r="BD44" i="65"/>
  <c r="BC36" i="65"/>
  <c r="BB36" i="65"/>
  <c r="BC35" i="65"/>
  <c r="BD35" i="65" s="1"/>
  <c r="BB35" i="65"/>
  <c r="BC34" i="65"/>
  <c r="BB34" i="65"/>
  <c r="BC33" i="65"/>
  <c r="BB33" i="65"/>
  <c r="BC32" i="65"/>
  <c r="BB32" i="65"/>
  <c r="BC31" i="65"/>
  <c r="BB31" i="65"/>
  <c r="BC29" i="65"/>
  <c r="BB29" i="65"/>
  <c r="BD28" i="65"/>
  <c r="BD27" i="65"/>
  <c r="BD26" i="65"/>
  <c r="BC24" i="65"/>
  <c r="BB24" i="65"/>
  <c r="BD23" i="65"/>
  <c r="BD22" i="65"/>
  <c r="BD21" i="65"/>
  <c r="BC19" i="65"/>
  <c r="BB19" i="65"/>
  <c r="BD18" i="65"/>
  <c r="BD17" i="65"/>
  <c r="BD16" i="65"/>
  <c r="BC14" i="65"/>
  <c r="BB14" i="65"/>
  <c r="BD13" i="65"/>
  <c r="BD12" i="65"/>
  <c r="BD11" i="65"/>
  <c r="BC9" i="65"/>
  <c r="BB9" i="65"/>
  <c r="BD8" i="65"/>
  <c r="BD7" i="65"/>
  <c r="BD6" i="65"/>
  <c r="CC134" i="64"/>
  <c r="CB134" i="64"/>
  <c r="CD133" i="64"/>
  <c r="CY28" i="68" s="1"/>
  <c r="CD132" i="64"/>
  <c r="CY27" i="68" s="1"/>
  <c r="CD131" i="64"/>
  <c r="CY26" i="68" s="1"/>
  <c r="CC124" i="64"/>
  <c r="CB124" i="64"/>
  <c r="CA124" i="64"/>
  <c r="CD123" i="64"/>
  <c r="CY18" i="68" s="1"/>
  <c r="CD122" i="64"/>
  <c r="CY17" i="68" s="1"/>
  <c r="CD121" i="64"/>
  <c r="CY16" i="68" s="1"/>
  <c r="CC119" i="64"/>
  <c r="CB119" i="64"/>
  <c r="CD118" i="64"/>
  <c r="CY13" i="68" s="1"/>
  <c r="CD117" i="64"/>
  <c r="CY12" i="68" s="1"/>
  <c r="CC114" i="64"/>
  <c r="CB114" i="64"/>
  <c r="CA114" i="64"/>
  <c r="CD113" i="64"/>
  <c r="CY8" i="68" s="1"/>
  <c r="CD112" i="64"/>
  <c r="CY7" i="68" s="1"/>
  <c r="CD111" i="64"/>
  <c r="CY6" i="68" s="1"/>
  <c r="CC99" i="64"/>
  <c r="CB99" i="64"/>
  <c r="CD98" i="64"/>
  <c r="CX28" i="68" s="1"/>
  <c r="CD97" i="64"/>
  <c r="CX27" i="68" s="1"/>
  <c r="CD96" i="64"/>
  <c r="CC94" i="64"/>
  <c r="CD94" i="64"/>
  <c r="CX24" i="68" s="1"/>
  <c r="CC89" i="64"/>
  <c r="CB89" i="64"/>
  <c r="CA89" i="64"/>
  <c r="CD88" i="64"/>
  <c r="CX18" i="68" s="1"/>
  <c r="CD87" i="64"/>
  <c r="CX17" i="68" s="1"/>
  <c r="CD86" i="64"/>
  <c r="CC84" i="64"/>
  <c r="CB84" i="64"/>
  <c r="CA84" i="64"/>
  <c r="CD83" i="64"/>
  <c r="CX13" i="68" s="1"/>
  <c r="CD82" i="64"/>
  <c r="CX12" i="68" s="1"/>
  <c r="CD81" i="64"/>
  <c r="CX11" i="68" s="1"/>
  <c r="CC79" i="64"/>
  <c r="CB79" i="64"/>
  <c r="CA79" i="64"/>
  <c r="CD78" i="64"/>
  <c r="CX8" i="68" s="1"/>
  <c r="CD77" i="64"/>
  <c r="CX7" i="68" s="1"/>
  <c r="CD76" i="64"/>
  <c r="CX6" i="68" s="1"/>
  <c r="CC64" i="64"/>
  <c r="CB64" i="64"/>
  <c r="CA64" i="64"/>
  <c r="CD63" i="64"/>
  <c r="CW28" i="68" s="1"/>
  <c r="CD62" i="64"/>
  <c r="CW27" i="68" s="1"/>
  <c r="CD61" i="64"/>
  <c r="CW26" i="68" s="1"/>
  <c r="CC59" i="64"/>
  <c r="CB59" i="64"/>
  <c r="CD58" i="64"/>
  <c r="CW23" i="68" s="1"/>
  <c r="CD57" i="64"/>
  <c r="CW22" i="68" s="1"/>
  <c r="CD56" i="64"/>
  <c r="CW21" i="68" s="1"/>
  <c r="CC54" i="64"/>
  <c r="CB54" i="64"/>
  <c r="CA54" i="64"/>
  <c r="CD53" i="64"/>
  <c r="CW18" i="68" s="1"/>
  <c r="CD52" i="64"/>
  <c r="CW17" i="68" s="1"/>
  <c r="CD51" i="64"/>
  <c r="CC49" i="64"/>
  <c r="CB49" i="64"/>
  <c r="CA49" i="64"/>
  <c r="CD48" i="64"/>
  <c r="CW13" i="68" s="1"/>
  <c r="CD47" i="64"/>
  <c r="CW12" i="68" s="1"/>
  <c r="CD46" i="64"/>
  <c r="CW11" i="68" s="1"/>
  <c r="CC44" i="64"/>
  <c r="CB44" i="64"/>
  <c r="CA44" i="64"/>
  <c r="CD43" i="64"/>
  <c r="CW8" i="68" s="1"/>
  <c r="CD42" i="64"/>
  <c r="CW7" i="68" s="1"/>
  <c r="CD41" i="64"/>
  <c r="CW6" i="68" s="1"/>
  <c r="CC36" i="73"/>
  <c r="CB36" i="73"/>
  <c r="CA36" i="73"/>
  <c r="CC35" i="73"/>
  <c r="CB35" i="73"/>
  <c r="CA35" i="73"/>
  <c r="CC34" i="73"/>
  <c r="CB34" i="73"/>
  <c r="CA34" i="73"/>
  <c r="CC33" i="73"/>
  <c r="CB33" i="73"/>
  <c r="CA33" i="73"/>
  <c r="CC32" i="73"/>
  <c r="CB32" i="73"/>
  <c r="CA32" i="73"/>
  <c r="CC31" i="73"/>
  <c r="CB31" i="73"/>
  <c r="CA31" i="73"/>
  <c r="CC29" i="73"/>
  <c r="CB29" i="73"/>
  <c r="CA29" i="73"/>
  <c r="CD28" i="73"/>
  <c r="CD27" i="73"/>
  <c r="CD26" i="73"/>
  <c r="CC24" i="73"/>
  <c r="CB24" i="73"/>
  <c r="CA24" i="73"/>
  <c r="CD23" i="73"/>
  <c r="CD22" i="73"/>
  <c r="CD21" i="73"/>
  <c r="CC19" i="73"/>
  <c r="CB19" i="73"/>
  <c r="CA19" i="73"/>
  <c r="CD18" i="73"/>
  <c r="CD17" i="73"/>
  <c r="CD16" i="73"/>
  <c r="CC14" i="73"/>
  <c r="CB14" i="73"/>
  <c r="CA14" i="73"/>
  <c r="CD13" i="73"/>
  <c r="CD12" i="73"/>
  <c r="CD11" i="73"/>
  <c r="CC9" i="73"/>
  <c r="CB9" i="73"/>
  <c r="CA9" i="73"/>
  <c r="CD9" i="73" s="1"/>
  <c r="CD8" i="73"/>
  <c r="CD7" i="73"/>
  <c r="CD6" i="73"/>
  <c r="DL37" i="72"/>
  <c r="DK37" i="72"/>
  <c r="DJ37" i="72"/>
  <c r="DI37" i="72"/>
  <c r="DL36" i="72"/>
  <c r="DK36" i="72"/>
  <c r="DJ36" i="72"/>
  <c r="DI36" i="72"/>
  <c r="DL35" i="72"/>
  <c r="DK35" i="72"/>
  <c r="DJ35" i="72"/>
  <c r="DI35" i="72"/>
  <c r="DL34" i="72"/>
  <c r="DK34" i="72"/>
  <c r="DJ34" i="72"/>
  <c r="DI34" i="72"/>
  <c r="DL33" i="72"/>
  <c r="DK33" i="72"/>
  <c r="DJ33" i="72"/>
  <c r="DI33" i="72"/>
  <c r="DL32" i="72"/>
  <c r="DK32" i="72"/>
  <c r="DJ32" i="72"/>
  <c r="DI32" i="72"/>
  <c r="DL30" i="72"/>
  <c r="DK30" i="72"/>
  <c r="DJ30" i="72"/>
  <c r="DI30" i="72"/>
  <c r="DM29" i="72"/>
  <c r="DM28" i="72"/>
  <c r="DM27" i="72"/>
  <c r="DL25" i="72"/>
  <c r="DK25" i="72"/>
  <c r="DJ25" i="72"/>
  <c r="DI25" i="72"/>
  <c r="DM24" i="72"/>
  <c r="DM23" i="72"/>
  <c r="DM22" i="72"/>
  <c r="DL20" i="72"/>
  <c r="DK20" i="72"/>
  <c r="DJ20" i="72"/>
  <c r="DI20" i="72"/>
  <c r="DM19" i="72"/>
  <c r="DM18" i="72"/>
  <c r="DM17" i="72"/>
  <c r="DL15" i="72"/>
  <c r="DK15" i="72"/>
  <c r="DJ15" i="72"/>
  <c r="DI15" i="72"/>
  <c r="DM14" i="72"/>
  <c r="DM37" i="72" s="1"/>
  <c r="DM13" i="72"/>
  <c r="DM36" i="72" s="1"/>
  <c r="DM12" i="72"/>
  <c r="DL10" i="72"/>
  <c r="DK10" i="72"/>
  <c r="DJ10" i="72"/>
  <c r="DI10" i="72"/>
  <c r="DM9" i="72"/>
  <c r="DM8" i="72"/>
  <c r="DM7" i="72"/>
  <c r="CD29" i="73" l="1"/>
  <c r="CD24" i="73"/>
  <c r="CD36" i="73"/>
  <c r="DM25" i="72"/>
  <c r="DM20" i="72"/>
  <c r="BD19" i="65"/>
  <c r="CC136" i="64"/>
  <c r="U99" i="68"/>
  <c r="U22" i="68"/>
  <c r="CZ22" i="68"/>
  <c r="CD54" i="64"/>
  <c r="CW19" i="68" s="1"/>
  <c r="CW16" i="68"/>
  <c r="U23" i="68"/>
  <c r="U100" i="68"/>
  <c r="CZ23" i="68"/>
  <c r="U17" i="68"/>
  <c r="U94" i="68"/>
  <c r="U160" i="68"/>
  <c r="CZ17" i="68"/>
  <c r="U154" i="68"/>
  <c r="U88" i="68"/>
  <c r="U11" i="68"/>
  <c r="CZ11" i="68"/>
  <c r="U18" i="68"/>
  <c r="U95" i="68"/>
  <c r="U161" i="68"/>
  <c r="CZ18" i="68"/>
  <c r="CZ12" i="68"/>
  <c r="U89" i="68"/>
  <c r="U155" i="68"/>
  <c r="U12" i="68"/>
  <c r="U26" i="68"/>
  <c r="U164" i="68"/>
  <c r="U103" i="68"/>
  <c r="U149" i="68"/>
  <c r="U83" i="68"/>
  <c r="U6" i="68"/>
  <c r="CZ6" i="68"/>
  <c r="U13" i="68"/>
  <c r="U156" i="68"/>
  <c r="U90" i="68"/>
  <c r="CZ13" i="68"/>
  <c r="U165" i="68"/>
  <c r="U27" i="68"/>
  <c r="U104" i="68"/>
  <c r="CZ27" i="68"/>
  <c r="U84" i="68"/>
  <c r="U150" i="68"/>
  <c r="U7" i="68"/>
  <c r="CZ7" i="68"/>
  <c r="U28" i="68"/>
  <c r="U166" i="68"/>
  <c r="U105" i="68"/>
  <c r="CZ28" i="68"/>
  <c r="CD89" i="64"/>
  <c r="CX19" i="68" s="1"/>
  <c r="CX16" i="68"/>
  <c r="CD99" i="64"/>
  <c r="CX29" i="68" s="1"/>
  <c r="CX26" i="68"/>
  <c r="CZ26" i="68" s="1"/>
  <c r="U8" i="68"/>
  <c r="U85" i="68"/>
  <c r="U151" i="68"/>
  <c r="CZ8" i="68"/>
  <c r="U98" i="68"/>
  <c r="U21" i="68"/>
  <c r="CZ21" i="68"/>
  <c r="AF66" i="70"/>
  <c r="AB84" i="70"/>
  <c r="AC84" i="70"/>
  <c r="AF35" i="70"/>
  <c r="AE84" i="70"/>
  <c r="BD62" i="65"/>
  <c r="BD74" i="65"/>
  <c r="BD95" i="65"/>
  <c r="BD85" i="65"/>
  <c r="BD71" i="65"/>
  <c r="BB144" i="65"/>
  <c r="BD138" i="65"/>
  <c r="BC143" i="65"/>
  <c r="BD137" i="65"/>
  <c r="BD133" i="65"/>
  <c r="BB143" i="65"/>
  <c r="BD24" i="65"/>
  <c r="BD131" i="65"/>
  <c r="BD31" i="65"/>
  <c r="BD14" i="65"/>
  <c r="CD134" i="64"/>
  <c r="CY29" i="68" s="1"/>
  <c r="CD119" i="64"/>
  <c r="CY14" i="68" s="1"/>
  <c r="CD114" i="64"/>
  <c r="CY9" i="68" s="1"/>
  <c r="CD84" i="64"/>
  <c r="CX14" i="68" s="1"/>
  <c r="CD79" i="64"/>
  <c r="CX9" i="68" s="1"/>
  <c r="CC101" i="64"/>
  <c r="CD64" i="64"/>
  <c r="CW29" i="68" s="1"/>
  <c r="CD49" i="64"/>
  <c r="CW14" i="68" s="1"/>
  <c r="CB66" i="64"/>
  <c r="CD44" i="64"/>
  <c r="CW9" i="68" s="1"/>
  <c r="V25" i="67"/>
  <c r="V26" i="67"/>
  <c r="V33" i="67"/>
  <c r="V28" i="67"/>
  <c r="V32" i="67"/>
  <c r="V31" i="67"/>
  <c r="V30" i="67"/>
  <c r="V27" i="67"/>
  <c r="DM30" i="72"/>
  <c r="DJ38" i="72"/>
  <c r="DM15" i="72"/>
  <c r="AF82" i="70"/>
  <c r="AD84" i="70"/>
  <c r="AF53" i="70"/>
  <c r="AB91" i="70" s="1"/>
  <c r="AF22" i="70"/>
  <c r="AE89" i="70" s="1"/>
  <c r="V36" i="71"/>
  <c r="V30" i="66"/>
  <c r="BD104" i="65"/>
  <c r="BD105" i="65"/>
  <c r="BC141" i="65"/>
  <c r="BD126" i="65"/>
  <c r="BD103" i="65"/>
  <c r="BB108" i="65"/>
  <c r="BC108" i="65"/>
  <c r="BD136" i="65"/>
  <c r="BB75" i="65"/>
  <c r="BC75" i="65"/>
  <c r="BC139" i="65"/>
  <c r="BD67" i="65"/>
  <c r="BD128" i="65"/>
  <c r="BD70" i="65"/>
  <c r="BC129" i="65"/>
  <c r="BC124" i="65"/>
  <c r="BC142" i="65"/>
  <c r="BD121" i="65"/>
  <c r="BD69" i="65"/>
  <c r="BD118" i="65"/>
  <c r="BD29" i="65"/>
  <c r="BC144" i="65"/>
  <c r="BB139" i="65"/>
  <c r="BD33" i="65"/>
  <c r="BC134" i="65"/>
  <c r="BB141" i="65"/>
  <c r="BB142" i="65"/>
  <c r="BB129" i="65"/>
  <c r="BD36" i="65"/>
  <c r="BD146" i="65"/>
  <c r="BD122" i="65"/>
  <c r="BD123" i="65"/>
  <c r="BC145" i="65"/>
  <c r="BD145" i="65" s="1"/>
  <c r="BD32" i="65"/>
  <c r="BB37" i="65"/>
  <c r="BD9" i="65"/>
  <c r="BC37" i="65"/>
  <c r="BD34" i="65"/>
  <c r="BB119" i="65"/>
  <c r="BD116" i="65"/>
  <c r="BC119" i="65"/>
  <c r="BD117" i="65"/>
  <c r="BB124" i="65"/>
  <c r="BB134" i="65"/>
  <c r="CB136" i="64"/>
  <c r="CD124" i="64"/>
  <c r="CY19" i="68" s="1"/>
  <c r="CA136" i="64"/>
  <c r="CB101" i="64"/>
  <c r="CA101" i="64"/>
  <c r="CC66" i="64"/>
  <c r="CD59" i="64"/>
  <c r="CA66" i="64"/>
  <c r="CD32" i="73"/>
  <c r="CD34" i="73"/>
  <c r="CD19" i="73"/>
  <c r="CD33" i="73"/>
  <c r="CD31" i="73"/>
  <c r="CC37" i="73"/>
  <c r="CD35" i="73"/>
  <c r="CD14" i="73"/>
  <c r="CA37" i="73"/>
  <c r="CB37" i="73"/>
  <c r="DK38" i="72"/>
  <c r="DI38" i="72"/>
  <c r="DM35" i="72"/>
  <c r="DM34" i="72"/>
  <c r="DM33" i="72"/>
  <c r="DM10" i="72"/>
  <c r="DL38" i="72"/>
  <c r="DM32" i="72"/>
  <c r="BI100" i="12"/>
  <c r="BI91" i="12"/>
  <c r="BI79" i="12"/>
  <c r="BI75" i="12"/>
  <c r="BI63" i="12"/>
  <c r="BI51" i="12"/>
  <c r="BI34" i="12"/>
  <c r="BI30" i="12"/>
  <c r="BI20" i="12"/>
  <c r="BI15" i="12"/>
  <c r="AB93" i="70" l="1"/>
  <c r="AC93" i="70"/>
  <c r="AD93" i="70"/>
  <c r="AE93" i="70"/>
  <c r="AD91" i="70"/>
  <c r="AE91" i="70"/>
  <c r="AC91" i="70"/>
  <c r="AC89" i="70"/>
  <c r="AD89" i="70"/>
  <c r="AB89" i="70"/>
  <c r="CD136" i="64"/>
  <c r="CD101" i="64"/>
  <c r="U14" i="68"/>
  <c r="U91" i="68"/>
  <c r="U157" i="68"/>
  <c r="CZ14" i="68"/>
  <c r="CD66" i="64"/>
  <c r="CW24" i="68"/>
  <c r="CW31" i="68" s="1"/>
  <c r="CX31" i="68"/>
  <c r="U159" i="68"/>
  <c r="U93" i="68"/>
  <c r="U16" i="68"/>
  <c r="CZ16" i="68"/>
  <c r="U167" i="68"/>
  <c r="U106" i="68"/>
  <c r="U29" i="68"/>
  <c r="CZ29" i="68"/>
  <c r="U162" i="68"/>
  <c r="U96" i="68"/>
  <c r="U19" i="68"/>
  <c r="CZ19" i="68"/>
  <c r="CY31" i="68"/>
  <c r="U86" i="68"/>
  <c r="U152" i="68"/>
  <c r="U9" i="68"/>
  <c r="CZ9" i="68"/>
  <c r="BD143" i="65"/>
  <c r="BD75" i="65"/>
  <c r="BD144" i="65"/>
  <c r="BD139" i="65"/>
  <c r="BD134" i="65"/>
  <c r="BD129" i="65"/>
  <c r="BD141" i="65"/>
  <c r="V34" i="67"/>
  <c r="V35" i="66"/>
  <c r="V34" i="66"/>
  <c r="V36" i="66"/>
  <c r="V37" i="66"/>
  <c r="V38" i="66"/>
  <c r="V33" i="66"/>
  <c r="AF84" i="70"/>
  <c r="AD94" i="70" s="1"/>
  <c r="BD108" i="65"/>
  <c r="BD124" i="65"/>
  <c r="BD142" i="65"/>
  <c r="BD119" i="65"/>
  <c r="BB147" i="65"/>
  <c r="BC147" i="65"/>
  <c r="BD37" i="65"/>
  <c r="CD37" i="73"/>
  <c r="DM38" i="72"/>
  <c r="W75" i="34"/>
  <c r="W76" i="34" s="1"/>
  <c r="W77" i="34" s="1"/>
  <c r="W66" i="34"/>
  <c r="W65" i="34"/>
  <c r="W64" i="34"/>
  <c r="W68" i="34" s="1"/>
  <c r="W61" i="34"/>
  <c r="W63" i="34" s="1"/>
  <c r="W88" i="34" s="1"/>
  <c r="W58" i="34"/>
  <c r="W57" i="34"/>
  <c r="W49" i="34"/>
  <c r="W50" i="34" s="1"/>
  <c r="W48" i="34"/>
  <c r="W45" i="34"/>
  <c r="W44" i="34"/>
  <c r="W43" i="34"/>
  <c r="W41" i="34"/>
  <c r="W40" i="34"/>
  <c r="W52" i="34" s="1"/>
  <c r="W39" i="34"/>
  <c r="W32" i="34"/>
  <c r="W31" i="34"/>
  <c r="W30" i="34"/>
  <c r="W28" i="34"/>
  <c r="W27" i="34"/>
  <c r="W26" i="34"/>
  <c r="W24" i="34"/>
  <c r="W23" i="34"/>
  <c r="W22" i="34"/>
  <c r="W15" i="34"/>
  <c r="W14" i="34"/>
  <c r="W13" i="34"/>
  <c r="W11" i="34"/>
  <c r="W10" i="34"/>
  <c r="W9" i="34"/>
  <c r="W7" i="34"/>
  <c r="W6" i="34"/>
  <c r="W160" i="33"/>
  <c r="W161" i="33" s="1"/>
  <c r="W157" i="33"/>
  <c r="W152" i="33"/>
  <c r="W150" i="33"/>
  <c r="W146" i="33"/>
  <c r="W141" i="33"/>
  <c r="W123" i="33"/>
  <c r="W101" i="33"/>
  <c r="W90" i="33"/>
  <c r="W72" i="33"/>
  <c r="W54" i="33"/>
  <c r="W36" i="33"/>
  <c r="W16" i="33"/>
  <c r="Z27" i="24"/>
  <c r="Z26" i="24"/>
  <c r="Z25" i="24"/>
  <c r="Z17" i="24"/>
  <c r="Z16" i="24"/>
  <c r="Z15" i="24"/>
  <c r="Z12" i="24"/>
  <c r="Z35" i="24" s="1"/>
  <c r="Z11" i="24"/>
  <c r="Z34" i="24" s="1"/>
  <c r="Z10" i="24"/>
  <c r="Z7" i="24"/>
  <c r="Z6" i="24"/>
  <c r="Z5" i="24"/>
  <c r="AD102" i="23"/>
  <c r="Z22" i="24" s="1"/>
  <c r="Z21" i="24"/>
  <c r="AD96" i="23"/>
  <c r="Z20" i="24" s="1"/>
  <c r="AD93" i="23"/>
  <c r="AD88" i="23"/>
  <c r="AD84" i="23"/>
  <c r="AD78" i="23"/>
  <c r="AD73" i="23"/>
  <c r="AD64" i="23"/>
  <c r="AD56" i="23"/>
  <c r="AD49" i="23"/>
  <c r="AD36" i="23"/>
  <c r="AD24" i="23"/>
  <c r="AD20" i="23"/>
  <c r="AD15" i="23"/>
  <c r="U27" i="22"/>
  <c r="U26" i="22"/>
  <c r="U25" i="22"/>
  <c r="U21" i="22"/>
  <c r="U20" i="22"/>
  <c r="U17" i="22"/>
  <c r="U16" i="22"/>
  <c r="U15" i="22"/>
  <c r="U12" i="22"/>
  <c r="U35" i="22" s="1"/>
  <c r="U11" i="22"/>
  <c r="U34" i="22" s="1"/>
  <c r="U10" i="22"/>
  <c r="U7" i="22"/>
  <c r="U6" i="22"/>
  <c r="U5" i="22"/>
  <c r="U105" i="21"/>
  <c r="U22" i="22"/>
  <c r="U70" i="21"/>
  <c r="U71" i="21"/>
  <c r="U38" i="21"/>
  <c r="U39" i="21" s="1"/>
  <c r="U23" i="21"/>
  <c r="U24" i="21" s="1"/>
  <c r="AZ36" i="20"/>
  <c r="BA36" i="20" s="1"/>
  <c r="AY36" i="20"/>
  <c r="AZ35" i="20"/>
  <c r="AY35" i="20"/>
  <c r="AZ34" i="20"/>
  <c r="AY34" i="20"/>
  <c r="AZ33" i="20"/>
  <c r="AY33" i="20"/>
  <c r="AZ32" i="20"/>
  <c r="AY32" i="20"/>
  <c r="AZ31" i="20"/>
  <c r="AY31" i="20"/>
  <c r="AZ29" i="20"/>
  <c r="AY29" i="20"/>
  <c r="BA28" i="20"/>
  <c r="BA27" i="20"/>
  <c r="BA26" i="20"/>
  <c r="AZ24" i="20"/>
  <c r="AY24" i="20"/>
  <c r="BA23" i="20"/>
  <c r="BA22" i="20"/>
  <c r="BA21" i="20"/>
  <c r="AZ19" i="20"/>
  <c r="AY19" i="20"/>
  <c r="BA18" i="20"/>
  <c r="BA17" i="20"/>
  <c r="BA16" i="20"/>
  <c r="BA19" i="20" s="1"/>
  <c r="AZ14" i="20"/>
  <c r="AY14" i="20"/>
  <c r="BA13" i="20"/>
  <c r="BA12" i="20"/>
  <c r="BA11" i="20"/>
  <c r="AZ9" i="20"/>
  <c r="AY9" i="20"/>
  <c r="BA8" i="20"/>
  <c r="BA7" i="20"/>
  <c r="BA6" i="20"/>
  <c r="CS104" i="18"/>
  <c r="CR104" i="18"/>
  <c r="CQ104" i="18"/>
  <c r="CT103" i="18"/>
  <c r="CT102" i="18"/>
  <c r="CT101" i="18"/>
  <c r="CT100" i="18"/>
  <c r="CS99" i="18"/>
  <c r="CT98" i="18"/>
  <c r="CT97" i="18"/>
  <c r="CT96" i="18"/>
  <c r="CT95" i="18"/>
  <c r="CT94" i="18"/>
  <c r="CT93" i="18"/>
  <c r="CT92" i="18"/>
  <c r="CT91" i="18"/>
  <c r="CS90" i="18"/>
  <c r="CQ105" i="18"/>
  <c r="CT89" i="18"/>
  <c r="CT88" i="18"/>
  <c r="CT87" i="18"/>
  <c r="CT86" i="18"/>
  <c r="CT85" i="18"/>
  <c r="CT84" i="18"/>
  <c r="CT80" i="18"/>
  <c r="CT79" i="18"/>
  <c r="CR22" i="19"/>
  <c r="CT76" i="18"/>
  <c r="CT75" i="18"/>
  <c r="CT78" i="18" s="1"/>
  <c r="CS21" i="19"/>
  <c r="CR21" i="19"/>
  <c r="CQ21" i="19"/>
  <c r="CT72" i="18"/>
  <c r="CT21" i="19" s="1"/>
  <c r="CS70" i="18"/>
  <c r="CR70" i="18"/>
  <c r="CQ70" i="18"/>
  <c r="CT69" i="18"/>
  <c r="CT68" i="18"/>
  <c r="CT67" i="18"/>
  <c r="CT66" i="18"/>
  <c r="CT65" i="18"/>
  <c r="CT64" i="18"/>
  <c r="CS63" i="18"/>
  <c r="CT62" i="18"/>
  <c r="CT61" i="18"/>
  <c r="CT60" i="18"/>
  <c r="CT59" i="18"/>
  <c r="CT58" i="18"/>
  <c r="CT57" i="18"/>
  <c r="CT56" i="18"/>
  <c r="CT55" i="18"/>
  <c r="CT54" i="18"/>
  <c r="CT53" i="18"/>
  <c r="CT52" i="18"/>
  <c r="CS51" i="18"/>
  <c r="CT50" i="18"/>
  <c r="CT49" i="18"/>
  <c r="CT48" i="18"/>
  <c r="CT47" i="18"/>
  <c r="CT46" i="18"/>
  <c r="CT45" i="18"/>
  <c r="CT44" i="18"/>
  <c r="CT43" i="18"/>
  <c r="CT42" i="18"/>
  <c r="CT41" i="18"/>
  <c r="CS39" i="18"/>
  <c r="CS13" i="19" s="1"/>
  <c r="CS36" i="19" s="1"/>
  <c r="CR39" i="18"/>
  <c r="CR40" i="18" s="1"/>
  <c r="CQ39" i="18"/>
  <c r="CQ13" i="19" s="1"/>
  <c r="CQ36" i="19" s="1"/>
  <c r="CT38" i="18"/>
  <c r="CT37" i="18"/>
  <c r="CT36" i="18"/>
  <c r="CT35" i="18"/>
  <c r="CS34" i="18"/>
  <c r="CS40" i="18" s="1"/>
  <c r="CT33" i="18"/>
  <c r="CT32" i="18"/>
  <c r="CT31" i="18"/>
  <c r="CS30" i="18"/>
  <c r="CT29" i="18"/>
  <c r="CT28" i="18"/>
  <c r="CT27" i="18"/>
  <c r="CT26" i="18"/>
  <c r="CS24" i="18"/>
  <c r="CR24" i="18"/>
  <c r="CR25" i="18" s="1"/>
  <c r="CQ24" i="18"/>
  <c r="CT23" i="18"/>
  <c r="CT22" i="18"/>
  <c r="CT21" i="18"/>
  <c r="CT24" i="18" s="1"/>
  <c r="CS20" i="18"/>
  <c r="CQ25" i="18"/>
  <c r="CT19" i="18"/>
  <c r="CT18" i="18"/>
  <c r="CT17" i="18"/>
  <c r="CT16" i="18"/>
  <c r="CS15" i="18"/>
  <c r="CT14" i="18"/>
  <c r="CT13" i="18"/>
  <c r="CT12" i="18"/>
  <c r="CT11" i="18"/>
  <c r="CT10" i="18"/>
  <c r="CT9" i="18"/>
  <c r="CT8" i="18"/>
  <c r="CT7" i="18"/>
  <c r="CT6" i="18"/>
  <c r="CT5" i="18"/>
  <c r="CS28" i="19"/>
  <c r="CR28" i="19"/>
  <c r="CQ28" i="19"/>
  <c r="CS27" i="19"/>
  <c r="CR27" i="19"/>
  <c r="CQ27" i="19"/>
  <c r="CS26" i="19"/>
  <c r="CR26" i="19"/>
  <c r="CQ26" i="19"/>
  <c r="CS23" i="19"/>
  <c r="CR23" i="19"/>
  <c r="CQ23" i="19"/>
  <c r="CS22" i="19"/>
  <c r="CQ22" i="19"/>
  <c r="CS18" i="19"/>
  <c r="CR18" i="19"/>
  <c r="CQ18" i="19"/>
  <c r="CS17" i="19"/>
  <c r="CR17" i="19"/>
  <c r="CQ17" i="19"/>
  <c r="CS16" i="19"/>
  <c r="CR16" i="19"/>
  <c r="CQ16" i="19"/>
  <c r="CR13" i="19"/>
  <c r="CR36" i="19" s="1"/>
  <c r="CS12" i="19"/>
  <c r="CS35" i="19" s="1"/>
  <c r="CR12" i="19"/>
  <c r="CQ12" i="19"/>
  <c r="CQ35" i="19" s="1"/>
  <c r="CS11" i="19"/>
  <c r="CR11" i="19"/>
  <c r="CQ11" i="19"/>
  <c r="CS8" i="19"/>
  <c r="CR8" i="19"/>
  <c r="CQ8" i="19"/>
  <c r="CS7" i="19"/>
  <c r="CR7" i="19"/>
  <c r="CQ7" i="19"/>
  <c r="CS6" i="19"/>
  <c r="CR6" i="19"/>
  <c r="CQ6" i="19"/>
  <c r="V104" i="16"/>
  <c r="V82" i="16"/>
  <c r="V69" i="16"/>
  <c r="V38" i="16"/>
  <c r="V24" i="16"/>
  <c r="V28" i="17"/>
  <c r="V27" i="17"/>
  <c r="V26" i="17"/>
  <c r="V23" i="17"/>
  <c r="V22" i="17"/>
  <c r="V21" i="17"/>
  <c r="V18" i="17"/>
  <c r="V17" i="17"/>
  <c r="V16" i="17"/>
  <c r="V13" i="17"/>
  <c r="V36" i="17" s="1"/>
  <c r="V12" i="17"/>
  <c r="V35" i="17" s="1"/>
  <c r="V11" i="17"/>
  <c r="V8" i="17"/>
  <c r="V7" i="17"/>
  <c r="V6" i="17"/>
  <c r="W36" i="14"/>
  <c r="W35" i="14"/>
  <c r="W34" i="14"/>
  <c r="W33" i="14"/>
  <c r="W32" i="14"/>
  <c r="W31" i="14"/>
  <c r="W29" i="14"/>
  <c r="W24" i="14"/>
  <c r="W19" i="14"/>
  <c r="W14" i="14"/>
  <c r="W36" i="15"/>
  <c r="W35" i="15"/>
  <c r="W34" i="15"/>
  <c r="W33" i="15"/>
  <c r="W32" i="15"/>
  <c r="W31" i="15"/>
  <c r="W29" i="15"/>
  <c r="W24" i="15"/>
  <c r="W19" i="15"/>
  <c r="W14" i="15"/>
  <c r="W9" i="15"/>
  <c r="Q176" i="37"/>
  <c r="Q177" i="37" s="1"/>
  <c r="Q173" i="37"/>
  <c r="Q168" i="37"/>
  <c r="Q166" i="37"/>
  <c r="Q162" i="37"/>
  <c r="Q157" i="37"/>
  <c r="Q139" i="37"/>
  <c r="Q115" i="37"/>
  <c r="Q102" i="37"/>
  <c r="Q82" i="37"/>
  <c r="Q58" i="37"/>
  <c r="Q35" i="37"/>
  <c r="Q17" i="37"/>
  <c r="CS67" i="36"/>
  <c r="CR67" i="36"/>
  <c r="CQ67" i="36"/>
  <c r="CS66" i="36"/>
  <c r="CR66" i="36"/>
  <c r="CQ66" i="36"/>
  <c r="CS65" i="36"/>
  <c r="CR65" i="36"/>
  <c r="CQ65" i="36"/>
  <c r="CQ69" i="36" s="1"/>
  <c r="CT63" i="36"/>
  <c r="CS62" i="36"/>
  <c r="CS64" i="36" s="1"/>
  <c r="CR62" i="36"/>
  <c r="CR64" i="36" s="1"/>
  <c r="CQ62" i="36"/>
  <c r="CQ64" i="36" s="1"/>
  <c r="CT61" i="36"/>
  <c r="CS59" i="36"/>
  <c r="CR59" i="36"/>
  <c r="CQ59" i="36"/>
  <c r="CS58" i="36"/>
  <c r="CR58" i="36"/>
  <c r="CQ58" i="36"/>
  <c r="CT57" i="36"/>
  <c r="CS50" i="36"/>
  <c r="CR50" i="36"/>
  <c r="CQ50" i="36"/>
  <c r="CS49" i="36"/>
  <c r="CR49" i="36"/>
  <c r="CQ49" i="36"/>
  <c r="CS46" i="36"/>
  <c r="CR46" i="36"/>
  <c r="CQ46" i="36"/>
  <c r="CS45" i="36"/>
  <c r="CR45" i="36"/>
  <c r="CQ45" i="36"/>
  <c r="CS44" i="36"/>
  <c r="CR44" i="36"/>
  <c r="CQ44" i="36"/>
  <c r="CS42" i="36"/>
  <c r="CR42" i="36"/>
  <c r="CQ42" i="36"/>
  <c r="CS41" i="36"/>
  <c r="CR41" i="36"/>
  <c r="CQ41" i="36"/>
  <c r="CS40" i="36"/>
  <c r="CR40" i="36"/>
  <c r="CQ40" i="36"/>
  <c r="CS33" i="36"/>
  <c r="CR33" i="36"/>
  <c r="CQ33" i="36"/>
  <c r="CS32" i="36"/>
  <c r="CR32" i="36"/>
  <c r="CQ32" i="36"/>
  <c r="CS31" i="36"/>
  <c r="CR31" i="36"/>
  <c r="CQ31" i="36"/>
  <c r="CS29" i="36"/>
  <c r="CR29" i="36"/>
  <c r="CS28" i="36"/>
  <c r="CR28" i="36"/>
  <c r="CQ28" i="36"/>
  <c r="CS27" i="36"/>
  <c r="CR27" i="36"/>
  <c r="CQ27" i="36"/>
  <c r="CS25" i="36"/>
  <c r="CR25" i="36"/>
  <c r="CQ25" i="36"/>
  <c r="CS24" i="36"/>
  <c r="CR24" i="36"/>
  <c r="CQ24" i="36"/>
  <c r="CS23" i="36"/>
  <c r="CQ23" i="36"/>
  <c r="CS16" i="36"/>
  <c r="CR16" i="36"/>
  <c r="CQ16" i="36"/>
  <c r="CS15" i="36"/>
  <c r="CR15" i="36"/>
  <c r="CQ15" i="36"/>
  <c r="CS14" i="36"/>
  <c r="CR14" i="36"/>
  <c r="CQ14" i="36"/>
  <c r="CS12" i="36"/>
  <c r="CR12" i="36"/>
  <c r="CQ12" i="36"/>
  <c r="CS11" i="36"/>
  <c r="CR11" i="36"/>
  <c r="CQ11" i="36"/>
  <c r="CS10" i="36"/>
  <c r="CR10" i="36"/>
  <c r="CQ10" i="36"/>
  <c r="CS8" i="36"/>
  <c r="CR8" i="36"/>
  <c r="CQ8" i="36"/>
  <c r="CS7" i="36"/>
  <c r="CR7" i="36"/>
  <c r="CQ7" i="36"/>
  <c r="CS6" i="36"/>
  <c r="CR6" i="36"/>
  <c r="CQ6" i="36"/>
  <c r="CT157" i="35"/>
  <c r="CU157" i="35" s="1"/>
  <c r="CU156" i="35"/>
  <c r="CT154" i="35"/>
  <c r="CS154" i="35"/>
  <c r="CU153" i="35"/>
  <c r="CU152" i="35"/>
  <c r="CU151" i="35"/>
  <c r="CU150" i="35"/>
  <c r="CT149" i="35"/>
  <c r="CS149" i="35"/>
  <c r="CR149" i="35"/>
  <c r="CU148" i="35"/>
  <c r="CT147" i="35"/>
  <c r="CS147" i="35"/>
  <c r="CR147" i="35"/>
  <c r="CR155" i="35" s="1"/>
  <c r="CU146" i="35"/>
  <c r="CU145" i="35"/>
  <c r="CT143" i="35"/>
  <c r="CS143" i="35"/>
  <c r="CR143" i="35"/>
  <c r="CU142" i="35"/>
  <c r="CU141" i="35"/>
  <c r="CU140" i="35"/>
  <c r="CU139" i="35"/>
  <c r="CT138" i="35"/>
  <c r="CS138" i="35"/>
  <c r="CR138" i="35"/>
  <c r="CU137" i="35"/>
  <c r="CU136" i="35"/>
  <c r="CU135" i="35"/>
  <c r="CU134" i="35"/>
  <c r="CU133" i="35"/>
  <c r="CU132" i="35"/>
  <c r="CU131" i="35"/>
  <c r="CU130" i="35"/>
  <c r="CU129" i="35"/>
  <c r="CU128" i="35"/>
  <c r="CU127" i="35"/>
  <c r="CU126" i="35"/>
  <c r="CU125" i="35"/>
  <c r="CU124" i="35"/>
  <c r="CU123" i="35"/>
  <c r="CT122" i="35"/>
  <c r="CS122" i="35"/>
  <c r="CR122" i="35"/>
  <c r="CU121" i="35"/>
  <c r="CU120" i="35"/>
  <c r="CU119" i="35"/>
  <c r="CU117" i="35"/>
  <c r="CU116" i="35"/>
  <c r="CU115" i="35"/>
  <c r="CU114" i="35"/>
  <c r="CU113" i="35"/>
  <c r="CU112" i="35"/>
  <c r="CU111" i="35"/>
  <c r="CU110" i="35"/>
  <c r="CU109" i="35"/>
  <c r="CU108" i="35"/>
  <c r="CU107" i="35"/>
  <c r="CU106" i="35"/>
  <c r="CU105" i="35"/>
  <c r="CU104" i="35"/>
  <c r="CU103" i="35"/>
  <c r="CU102" i="35"/>
  <c r="CT100" i="35"/>
  <c r="CS100" i="35"/>
  <c r="CR100" i="35"/>
  <c r="CU99" i="35"/>
  <c r="CU98" i="35"/>
  <c r="CU97" i="35"/>
  <c r="CU96" i="35"/>
  <c r="CU95" i="35"/>
  <c r="CU94" i="35"/>
  <c r="CU93" i="35"/>
  <c r="CU92" i="35"/>
  <c r="CU91" i="35"/>
  <c r="CU90" i="35"/>
  <c r="CT89" i="35"/>
  <c r="CS89" i="35"/>
  <c r="CU88" i="35"/>
  <c r="CU87" i="35"/>
  <c r="CU86" i="35"/>
  <c r="CU85" i="35"/>
  <c r="CU84" i="35"/>
  <c r="CU83" i="35"/>
  <c r="CU82" i="35"/>
  <c r="CU81" i="35"/>
  <c r="CU80" i="35"/>
  <c r="CU79" i="35"/>
  <c r="CU78" i="35"/>
  <c r="CU77" i="35"/>
  <c r="CU76" i="35"/>
  <c r="CU75" i="35"/>
  <c r="CU74" i="35"/>
  <c r="CU73" i="35"/>
  <c r="CU72" i="35"/>
  <c r="CU71" i="35"/>
  <c r="CT70" i="35"/>
  <c r="CS70" i="35"/>
  <c r="CR70" i="35"/>
  <c r="CU69" i="35"/>
  <c r="CU68" i="35"/>
  <c r="CU67" i="35"/>
  <c r="CU66" i="35"/>
  <c r="CU65" i="35"/>
  <c r="CU64" i="35"/>
  <c r="CU63" i="35"/>
  <c r="CU62" i="35"/>
  <c r="CU61" i="35"/>
  <c r="CU60" i="35"/>
  <c r="CU59" i="35"/>
  <c r="CU58" i="35"/>
  <c r="CU57" i="35"/>
  <c r="CU56" i="35"/>
  <c r="CU55" i="35"/>
  <c r="CU54" i="35"/>
  <c r="CT52" i="35"/>
  <c r="CR52" i="35"/>
  <c r="CU51" i="35"/>
  <c r="CU49" i="35"/>
  <c r="CU48" i="35"/>
  <c r="CU47" i="35"/>
  <c r="CU46" i="35"/>
  <c r="CU45" i="35"/>
  <c r="CU44" i="35"/>
  <c r="CU43" i="35"/>
  <c r="CU42" i="35"/>
  <c r="CU41" i="35"/>
  <c r="CU40" i="35"/>
  <c r="CU39" i="35"/>
  <c r="CU38" i="35"/>
  <c r="CU37" i="35"/>
  <c r="CU36" i="35"/>
  <c r="CT35" i="35"/>
  <c r="CS35" i="35"/>
  <c r="CR35" i="35"/>
  <c r="CU34" i="35"/>
  <c r="CU33" i="35"/>
  <c r="CU32" i="35"/>
  <c r="CU31" i="35"/>
  <c r="CU30" i="35"/>
  <c r="CU29" i="35"/>
  <c r="CU28" i="35"/>
  <c r="CU27" i="35"/>
  <c r="CU26" i="35"/>
  <c r="CU25" i="35"/>
  <c r="CU24" i="35"/>
  <c r="CU23" i="35"/>
  <c r="CU22" i="35"/>
  <c r="CU21" i="35"/>
  <c r="CU20" i="35"/>
  <c r="CU19" i="35"/>
  <c r="CT18" i="35"/>
  <c r="CS18" i="35"/>
  <c r="CR18" i="35"/>
  <c r="CU17" i="35"/>
  <c r="CU16" i="35"/>
  <c r="CU15" i="35"/>
  <c r="CU14" i="35"/>
  <c r="CU13" i="35"/>
  <c r="CU12" i="35"/>
  <c r="CU11" i="35"/>
  <c r="CU10" i="35"/>
  <c r="CU9" i="35"/>
  <c r="CU8" i="35"/>
  <c r="CU7" i="35"/>
  <c r="CU6" i="35"/>
  <c r="CU5" i="35"/>
  <c r="U30" i="22" l="1"/>
  <c r="U13" i="22"/>
  <c r="U28" i="22"/>
  <c r="BA24" i="20"/>
  <c r="CT23" i="19"/>
  <c r="CS19" i="19"/>
  <c r="CS25" i="18"/>
  <c r="CT22" i="19"/>
  <c r="Q163" i="37"/>
  <c r="CR71" i="36"/>
  <c r="CR68" i="36"/>
  <c r="CR35" i="36"/>
  <c r="CS155" i="35"/>
  <c r="CS51" i="36"/>
  <c r="CU154" i="35"/>
  <c r="CT7" i="36"/>
  <c r="CS52" i="36"/>
  <c r="CT46" i="36"/>
  <c r="CS71" i="36"/>
  <c r="CR20" i="36"/>
  <c r="CT67" i="36"/>
  <c r="CU18" i="35"/>
  <c r="CS53" i="36"/>
  <c r="CR47" i="36"/>
  <c r="CR54" i="36"/>
  <c r="CQ20" i="36"/>
  <c r="CT24" i="36"/>
  <c r="CR52" i="36"/>
  <c r="CT32" i="36"/>
  <c r="CQ53" i="36"/>
  <c r="CR51" i="36"/>
  <c r="CS36" i="36"/>
  <c r="CU52" i="35"/>
  <c r="CQ47" i="36"/>
  <c r="CT41" i="36"/>
  <c r="CR37" i="36"/>
  <c r="CT155" i="35"/>
  <c r="CS53" i="35"/>
  <c r="CS13" i="36"/>
  <c r="CR17" i="36"/>
  <c r="CQ30" i="36"/>
  <c r="CT29" i="36"/>
  <c r="CT101" i="35"/>
  <c r="CU100" i="35"/>
  <c r="CU149" i="35"/>
  <c r="CR19" i="36"/>
  <c r="CS26" i="36"/>
  <c r="CQ34" i="36"/>
  <c r="CT15" i="36"/>
  <c r="CQ36" i="36"/>
  <c r="CS54" i="36"/>
  <c r="CR70" i="36"/>
  <c r="CQ18" i="36"/>
  <c r="CS20" i="36"/>
  <c r="CT16" i="36"/>
  <c r="CQ37" i="36"/>
  <c r="CS47" i="36"/>
  <c r="CS70" i="36"/>
  <c r="CT33" i="36"/>
  <c r="CQ68" i="36"/>
  <c r="CT12" i="36"/>
  <c r="CT62" i="36"/>
  <c r="CT64" i="36" s="1"/>
  <c r="CT59" i="36"/>
  <c r="CS30" i="36"/>
  <c r="CR36" i="36"/>
  <c r="CQ54" i="36"/>
  <c r="CT50" i="36"/>
  <c r="CT66" i="36"/>
  <c r="CR9" i="36"/>
  <c r="CQ9" i="36"/>
  <c r="CS34" i="36"/>
  <c r="CQ52" i="36"/>
  <c r="CQ71" i="36"/>
  <c r="CR101" i="35"/>
  <c r="CU122" i="35"/>
  <c r="CS18" i="36"/>
  <c r="CT10" i="36"/>
  <c r="CS17" i="36"/>
  <c r="CR30" i="36"/>
  <c r="CT53" i="35"/>
  <c r="CR13" i="36"/>
  <c r="CQ13" i="36"/>
  <c r="CQ51" i="36"/>
  <c r="CS68" i="36"/>
  <c r="CS69" i="36"/>
  <c r="CS9" i="36"/>
  <c r="CT11" i="36"/>
  <c r="CT14" i="36"/>
  <c r="CT25" i="36"/>
  <c r="CR53" i="36"/>
  <c r="CT58" i="36"/>
  <c r="CQ35" i="36"/>
  <c r="Z32" i="24"/>
  <c r="Z23" i="24"/>
  <c r="AD94" i="23"/>
  <c r="Z13" i="24"/>
  <c r="Z33" i="24"/>
  <c r="Z28" i="24"/>
  <c r="Z18" i="24"/>
  <c r="Z8" i="24"/>
  <c r="U33" i="22"/>
  <c r="U23" i="22"/>
  <c r="U32" i="22"/>
  <c r="U31" i="22"/>
  <c r="BA34" i="20"/>
  <c r="BA9" i="20"/>
  <c r="CT27" i="19"/>
  <c r="CT34" i="18"/>
  <c r="CT11" i="19"/>
  <c r="CT16" i="19"/>
  <c r="CT63" i="18"/>
  <c r="AF89" i="70"/>
  <c r="AF93" i="70"/>
  <c r="AF91" i="70"/>
  <c r="AB94" i="70"/>
  <c r="AC94" i="70"/>
  <c r="AE94" i="70"/>
  <c r="U24" i="68"/>
  <c r="U101" i="68"/>
  <c r="CZ24" i="68"/>
  <c r="U169" i="68"/>
  <c r="U31" i="68"/>
  <c r="U108" i="68"/>
  <c r="CZ31" i="68"/>
  <c r="W51" i="34"/>
  <c r="W69" i="34"/>
  <c r="W53" i="34"/>
  <c r="W54" i="34" s="1"/>
  <c r="W59" i="34"/>
  <c r="W36" i="34"/>
  <c r="W35" i="34"/>
  <c r="W29" i="34"/>
  <c r="W102" i="33"/>
  <c r="W16" i="34"/>
  <c r="W87" i="34" s="1"/>
  <c r="W19" i="34"/>
  <c r="W55" i="33"/>
  <c r="W12" i="34"/>
  <c r="W46" i="34"/>
  <c r="W33" i="34"/>
  <c r="W70" i="34"/>
  <c r="W71" i="34" s="1"/>
  <c r="W18" i="34"/>
  <c r="W25" i="34"/>
  <c r="V39" i="66"/>
  <c r="BD147" i="65"/>
  <c r="W8" i="34"/>
  <c r="W42" i="34"/>
  <c r="W17" i="34"/>
  <c r="W34" i="34"/>
  <c r="W67" i="34"/>
  <c r="W89" i="34" s="1"/>
  <c r="W158" i="33"/>
  <c r="W147" i="33"/>
  <c r="Z30" i="24"/>
  <c r="Z31" i="24"/>
  <c r="AD103" i="23"/>
  <c r="AD79" i="23"/>
  <c r="AD57" i="23"/>
  <c r="AD25" i="23"/>
  <c r="U8" i="22"/>
  <c r="U18" i="22"/>
  <c r="U83" i="21"/>
  <c r="U107" i="21" s="1"/>
  <c r="BA29" i="20"/>
  <c r="BA32" i="20"/>
  <c r="AY37" i="20"/>
  <c r="BA33" i="20"/>
  <c r="AZ37" i="20"/>
  <c r="BA35" i="20"/>
  <c r="BA14" i="20"/>
  <c r="BA31" i="20"/>
  <c r="CR29" i="19"/>
  <c r="CT104" i="18"/>
  <c r="CR34" i="19"/>
  <c r="CR33" i="19"/>
  <c r="CT99" i="18"/>
  <c r="CR105" i="18"/>
  <c r="CS105" i="18"/>
  <c r="CT90" i="18"/>
  <c r="CQ32" i="19"/>
  <c r="CR83" i="18"/>
  <c r="CR24" i="19"/>
  <c r="CR31" i="19"/>
  <c r="CQ24" i="19"/>
  <c r="CT70" i="18"/>
  <c r="CQ71" i="18"/>
  <c r="CT17" i="19"/>
  <c r="CT51" i="18"/>
  <c r="CR71" i="18"/>
  <c r="CS71" i="18"/>
  <c r="CT39" i="18"/>
  <c r="CT13" i="19" s="1"/>
  <c r="CT36" i="19" s="1"/>
  <c r="CQ40" i="18"/>
  <c r="CT30" i="18"/>
  <c r="CT8" i="19"/>
  <c r="CQ34" i="19"/>
  <c r="CT20" i="18"/>
  <c r="CT7" i="19"/>
  <c r="CT15" i="18"/>
  <c r="CT6" i="19"/>
  <c r="CT24" i="19"/>
  <c r="CT83" i="18"/>
  <c r="CS24" i="19"/>
  <c r="CS83" i="18"/>
  <c r="CQ31" i="19"/>
  <c r="CS33" i="19"/>
  <c r="CT26" i="19"/>
  <c r="CT28" i="19"/>
  <c r="CR14" i="19"/>
  <c r="CQ29" i="19"/>
  <c r="CS31" i="19"/>
  <c r="CS34" i="19"/>
  <c r="CT12" i="19"/>
  <c r="CT35" i="19" s="1"/>
  <c r="CS29" i="19"/>
  <c r="CR19" i="19"/>
  <c r="CR32" i="19"/>
  <c r="CS32" i="19"/>
  <c r="CT18" i="19"/>
  <c r="CQ19" i="19"/>
  <c r="CS9" i="19"/>
  <c r="CS14" i="19"/>
  <c r="CQ14" i="19"/>
  <c r="CQ33" i="19"/>
  <c r="CR9" i="19"/>
  <c r="CR35" i="19"/>
  <c r="CQ9" i="19"/>
  <c r="V105" i="16"/>
  <c r="V24" i="17"/>
  <c r="V83" i="16"/>
  <c r="V70" i="16"/>
  <c r="V39" i="16"/>
  <c r="V29" i="17"/>
  <c r="V33" i="17"/>
  <c r="V34" i="17"/>
  <c r="V32" i="17"/>
  <c r="V14" i="17"/>
  <c r="V9" i="17"/>
  <c r="V19" i="17"/>
  <c r="V31" i="17"/>
  <c r="W37" i="15"/>
  <c r="W37" i="14"/>
  <c r="Q174" i="37"/>
  <c r="Q116" i="37"/>
  <c r="Q59" i="37"/>
  <c r="CQ19" i="36"/>
  <c r="CS35" i="36"/>
  <c r="CT27" i="36"/>
  <c r="CT42" i="36"/>
  <c r="CT49" i="36"/>
  <c r="CQ17" i="36"/>
  <c r="CR26" i="36"/>
  <c r="CR34" i="36"/>
  <c r="CR43" i="36"/>
  <c r="CQ60" i="36"/>
  <c r="CR18" i="36"/>
  <c r="CS37" i="36"/>
  <c r="CT23" i="36"/>
  <c r="CT31" i="36"/>
  <c r="CT40" i="36"/>
  <c r="CT44" i="36"/>
  <c r="CT6" i="36"/>
  <c r="CT8" i="36"/>
  <c r="CQ26" i="36"/>
  <c r="CQ43" i="36"/>
  <c r="CR69" i="36"/>
  <c r="CR60" i="36"/>
  <c r="CT28" i="36"/>
  <c r="CT45" i="36"/>
  <c r="CS60" i="36"/>
  <c r="CT65" i="36"/>
  <c r="CS19" i="36"/>
  <c r="CQ70" i="36"/>
  <c r="CS43" i="36"/>
  <c r="CT158" i="35"/>
  <c r="CU158" i="35" s="1"/>
  <c r="CU147" i="35"/>
  <c r="CU143" i="35"/>
  <c r="CS144" i="35"/>
  <c r="CR144" i="35"/>
  <c r="CT144" i="35"/>
  <c r="CU89" i="35"/>
  <c r="CS101" i="35"/>
  <c r="CU35" i="35"/>
  <c r="CR53" i="35"/>
  <c r="CU138" i="35"/>
  <c r="CU70" i="35"/>
  <c r="BI105" i="12"/>
  <c r="BI28" i="11"/>
  <c r="BH28" i="11"/>
  <c r="BH34" i="11" s="1"/>
  <c r="BI27" i="11"/>
  <c r="BH27" i="11"/>
  <c r="BI26" i="11"/>
  <c r="BI29" i="11" s="1"/>
  <c r="BH26" i="11"/>
  <c r="BI23" i="11"/>
  <c r="BH23" i="11"/>
  <c r="BJ23" i="11" s="1"/>
  <c r="BI22" i="11"/>
  <c r="BH22" i="11"/>
  <c r="BI21" i="11"/>
  <c r="BJ21" i="11" s="1"/>
  <c r="BH21" i="11"/>
  <c r="BH24" i="11" s="1"/>
  <c r="BI18" i="11"/>
  <c r="BH18" i="11"/>
  <c r="BH33" i="11" s="1"/>
  <c r="BI17" i="11"/>
  <c r="BH17" i="11"/>
  <c r="BI16" i="11"/>
  <c r="BJ16" i="11" s="1"/>
  <c r="BH16" i="11"/>
  <c r="BI13" i="11"/>
  <c r="BJ13" i="11" s="1"/>
  <c r="BI12" i="11"/>
  <c r="BI35" i="11" s="1"/>
  <c r="BJ35" i="11" s="1"/>
  <c r="BI11" i="11"/>
  <c r="BH11" i="11"/>
  <c r="BH14" i="11" s="1"/>
  <c r="BI8" i="11"/>
  <c r="BH8" i="11"/>
  <c r="BI7" i="11"/>
  <c r="BH7" i="11"/>
  <c r="BI6" i="11"/>
  <c r="BI31" i="11" s="1"/>
  <c r="BH6" i="11"/>
  <c r="BH31" i="11" s="1"/>
  <c r="BH97" i="10"/>
  <c r="BH72" i="10"/>
  <c r="BH63" i="10"/>
  <c r="BH48" i="10"/>
  <c r="BH77" i="10"/>
  <c r="BH78" i="10"/>
  <c r="BH20" i="10"/>
  <c r="BH15" i="10"/>
  <c r="BH36" i="10"/>
  <c r="BH83" i="10"/>
  <c r="BH87" i="10"/>
  <c r="BH101" i="10"/>
  <c r="BI105" i="10"/>
  <c r="BI106" i="10" s="1"/>
  <c r="BH105" i="10"/>
  <c r="BJ104" i="10"/>
  <c r="BJ103" i="10"/>
  <c r="BJ102" i="10"/>
  <c r="BJ100" i="10"/>
  <c r="BJ99" i="10"/>
  <c r="BJ98" i="10"/>
  <c r="BJ96" i="10"/>
  <c r="BJ95" i="10"/>
  <c r="BJ94" i="10"/>
  <c r="BI92" i="10"/>
  <c r="BH92" i="10"/>
  <c r="BH93" i="10" s="1"/>
  <c r="BJ91" i="10"/>
  <c r="BJ90" i="10"/>
  <c r="BJ89" i="10"/>
  <c r="BJ88" i="10"/>
  <c r="BJ86" i="10"/>
  <c r="BJ85" i="10"/>
  <c r="BJ84" i="10"/>
  <c r="BJ82" i="10"/>
  <c r="BJ81" i="10"/>
  <c r="BJ80" i="10"/>
  <c r="BJ79" i="10"/>
  <c r="BI77" i="10"/>
  <c r="BJ76" i="10"/>
  <c r="BJ75" i="10"/>
  <c r="BJ74" i="10"/>
  <c r="BJ73" i="10"/>
  <c r="BI78" i="10"/>
  <c r="BJ71" i="10"/>
  <c r="BJ70" i="10"/>
  <c r="BJ69" i="10"/>
  <c r="BJ68" i="10"/>
  <c r="BJ67" i="10"/>
  <c r="BJ66" i="10"/>
  <c r="BJ65" i="10"/>
  <c r="BJ64" i="10"/>
  <c r="BJ62" i="10"/>
  <c r="BJ61" i="10"/>
  <c r="BJ60" i="10"/>
  <c r="BJ59" i="10"/>
  <c r="BJ58" i="10"/>
  <c r="BJ57" i="10"/>
  <c r="BI55" i="10"/>
  <c r="BI56" i="10" s="1"/>
  <c r="BH55" i="10"/>
  <c r="BJ54" i="10"/>
  <c r="BJ53" i="10"/>
  <c r="BJ52" i="10"/>
  <c r="BJ51" i="10"/>
  <c r="BJ50" i="10"/>
  <c r="BJ49" i="10"/>
  <c r="BJ47" i="10"/>
  <c r="BJ46" i="10"/>
  <c r="BJ45" i="10"/>
  <c r="BJ44" i="10"/>
  <c r="BJ43" i="10"/>
  <c r="BJ42" i="10"/>
  <c r="BJ41" i="10"/>
  <c r="BJ40" i="10"/>
  <c r="BJ39" i="10"/>
  <c r="BJ38" i="10"/>
  <c r="BJ37" i="10"/>
  <c r="BJ35" i="10"/>
  <c r="BJ34" i="10"/>
  <c r="BJ33" i="10"/>
  <c r="BJ32" i="10"/>
  <c r="BJ31" i="10"/>
  <c r="BJ30" i="10"/>
  <c r="BJ29" i="10"/>
  <c r="BJ28" i="10"/>
  <c r="BJ27" i="10"/>
  <c r="BJ26" i="10"/>
  <c r="BI24" i="10"/>
  <c r="BH24" i="10"/>
  <c r="BJ23" i="10"/>
  <c r="BJ22" i="10"/>
  <c r="BJ21" i="10"/>
  <c r="BJ19" i="10"/>
  <c r="BJ18" i="10"/>
  <c r="BJ17" i="10"/>
  <c r="BJ16" i="10"/>
  <c r="BJ14" i="10"/>
  <c r="BJ13" i="10"/>
  <c r="BJ12" i="10"/>
  <c r="BJ11" i="10"/>
  <c r="BJ10" i="10"/>
  <c r="BJ9" i="10"/>
  <c r="BJ8" i="10"/>
  <c r="BJ7" i="10"/>
  <c r="BJ6" i="10"/>
  <c r="BJ5" i="10"/>
  <c r="BI68" i="32"/>
  <c r="CQ43" i="30"/>
  <c r="CR83" i="29"/>
  <c r="CU81" i="29"/>
  <c r="CU19" i="29"/>
  <c r="U36" i="22" l="1"/>
  <c r="CT40" i="18"/>
  <c r="CS107" i="18"/>
  <c r="CT71" i="18"/>
  <c r="CT71" i="36"/>
  <c r="CR72" i="36"/>
  <c r="CT51" i="36"/>
  <c r="CT53" i="36"/>
  <c r="CS55" i="36"/>
  <c r="CT34" i="36"/>
  <c r="CR83" i="36"/>
  <c r="CT20" i="36"/>
  <c r="CT36" i="36"/>
  <c r="CR55" i="36"/>
  <c r="CT54" i="36"/>
  <c r="CT52" i="36"/>
  <c r="CR82" i="36"/>
  <c r="CR38" i="36"/>
  <c r="CS72" i="36"/>
  <c r="CT37" i="36"/>
  <c r="CS82" i="36"/>
  <c r="CQ83" i="36"/>
  <c r="CU53" i="35"/>
  <c r="CT159" i="35"/>
  <c r="CT70" i="36"/>
  <c r="CS83" i="36"/>
  <c r="CT17" i="36"/>
  <c r="CT60" i="36"/>
  <c r="CT68" i="36"/>
  <c r="CU155" i="35"/>
  <c r="CQ81" i="36"/>
  <c r="CQ38" i="36"/>
  <c r="CT13" i="36"/>
  <c r="CT30" i="36"/>
  <c r="CQ55" i="36"/>
  <c r="CT69" i="36"/>
  <c r="CT31" i="19"/>
  <c r="CQ107" i="18"/>
  <c r="CT14" i="19"/>
  <c r="CT25" i="18"/>
  <c r="AF94" i="70"/>
  <c r="W81" i="34"/>
  <c r="W86" i="34"/>
  <c r="W37" i="34"/>
  <c r="W80" i="34"/>
  <c r="W85" i="34"/>
  <c r="W163" i="33"/>
  <c r="W84" i="34"/>
  <c r="BI24" i="11"/>
  <c r="BJ24" i="11"/>
  <c r="BJ22" i="11"/>
  <c r="BJ12" i="11"/>
  <c r="BJ87" i="10"/>
  <c r="BI14" i="11"/>
  <c r="BJ14" i="11" s="1"/>
  <c r="BI33" i="11"/>
  <c r="BI32" i="11"/>
  <c r="BJ27" i="11"/>
  <c r="BI34" i="11"/>
  <c r="BJ34" i="11" s="1"/>
  <c r="BJ17" i="11"/>
  <c r="BI19" i="11"/>
  <c r="BJ7" i="11"/>
  <c r="BJ8" i="11"/>
  <c r="W79" i="34"/>
  <c r="W20" i="34"/>
  <c r="Z36" i="24"/>
  <c r="AD105" i="23"/>
  <c r="BA37" i="20"/>
  <c r="CT34" i="19"/>
  <c r="CT105" i="18"/>
  <c r="CT29" i="19"/>
  <c r="CR107" i="18"/>
  <c r="CT33" i="19"/>
  <c r="CT32" i="19"/>
  <c r="CS37" i="19"/>
  <c r="CR37" i="19"/>
  <c r="CT9" i="19"/>
  <c r="CQ37" i="19"/>
  <c r="CT19" i="19"/>
  <c r="V107" i="16"/>
  <c r="V37" i="17"/>
  <c r="Q179" i="37"/>
  <c r="CR21" i="36"/>
  <c r="CR81" i="36"/>
  <c r="CS38" i="36"/>
  <c r="CT9" i="36"/>
  <c r="CT19" i="36"/>
  <c r="CQ82" i="36"/>
  <c r="CT47" i="36"/>
  <c r="CQ21" i="36"/>
  <c r="CS81" i="36"/>
  <c r="CQ72" i="36"/>
  <c r="CT43" i="36"/>
  <c r="CT18" i="36"/>
  <c r="CS21" i="36"/>
  <c r="CT26" i="36"/>
  <c r="CT35" i="36"/>
  <c r="CU144" i="35"/>
  <c r="CS159" i="35"/>
  <c r="CU101" i="35"/>
  <c r="CR159" i="35"/>
  <c r="BJ31" i="11"/>
  <c r="BH37" i="11"/>
  <c r="BJ33" i="11"/>
  <c r="BH32" i="11"/>
  <c r="BJ32" i="11" s="1"/>
  <c r="BJ11" i="11"/>
  <c r="BJ18" i="11"/>
  <c r="BJ28" i="11"/>
  <c r="BH19" i="11"/>
  <c r="BJ19" i="11" s="1"/>
  <c r="BH29" i="11"/>
  <c r="BJ29" i="11" s="1"/>
  <c r="BJ26" i="11"/>
  <c r="BI36" i="11"/>
  <c r="BJ36" i="11" s="1"/>
  <c r="BH9" i="11"/>
  <c r="BJ6" i="11"/>
  <c r="BI9" i="11"/>
  <c r="BH106" i="10"/>
  <c r="BJ77" i="10"/>
  <c r="BJ24" i="10"/>
  <c r="BJ63" i="10"/>
  <c r="BJ97" i="10"/>
  <c r="BJ83" i="10"/>
  <c r="BJ92" i="10"/>
  <c r="BJ93" i="10" s="1"/>
  <c r="BH25" i="10"/>
  <c r="BJ105" i="10"/>
  <c r="BJ101" i="10"/>
  <c r="BI93" i="10"/>
  <c r="BJ72" i="10"/>
  <c r="BJ55" i="10"/>
  <c r="BJ36" i="10"/>
  <c r="BJ48" i="10"/>
  <c r="BH56" i="10"/>
  <c r="BJ20" i="10"/>
  <c r="BJ15" i="10"/>
  <c r="BI25" i="10"/>
  <c r="BI108" i="10" s="1"/>
  <c r="AT36" i="8"/>
  <c r="AS36" i="8"/>
  <c r="AT35" i="8"/>
  <c r="AS35" i="8"/>
  <c r="AT34" i="8"/>
  <c r="AS34" i="8"/>
  <c r="AT33" i="8"/>
  <c r="AS33" i="8"/>
  <c r="AT32" i="8"/>
  <c r="AS32" i="8"/>
  <c r="AT31" i="8"/>
  <c r="AS31" i="8"/>
  <c r="AT29" i="8"/>
  <c r="AS29" i="8"/>
  <c r="AU28" i="8"/>
  <c r="AU27" i="8"/>
  <c r="AU26" i="8"/>
  <c r="AT24" i="8"/>
  <c r="AS24" i="8"/>
  <c r="AU23" i="8"/>
  <c r="AU22" i="8"/>
  <c r="AU21" i="8"/>
  <c r="AT19" i="8"/>
  <c r="AS19" i="8"/>
  <c r="AU18" i="8"/>
  <c r="AU17" i="8"/>
  <c r="AU16" i="8"/>
  <c r="AT14" i="8"/>
  <c r="AS14" i="8"/>
  <c r="AU13" i="8"/>
  <c r="AU36" i="8" s="1"/>
  <c r="AU12" i="8"/>
  <c r="AU35" i="8" s="1"/>
  <c r="AU11" i="8"/>
  <c r="AT9" i="8"/>
  <c r="AS9" i="8"/>
  <c r="AU8" i="8"/>
  <c r="AU7" i="8"/>
  <c r="AU6" i="8"/>
  <c r="AU9" i="8" s="1"/>
  <c r="BI28" i="7"/>
  <c r="BJ28" i="7" s="1"/>
  <c r="BH28" i="7"/>
  <c r="BI27" i="7"/>
  <c r="BH27" i="7"/>
  <c r="BI26" i="7"/>
  <c r="BI29" i="7" s="1"/>
  <c r="BH26" i="7"/>
  <c r="BH23" i="7"/>
  <c r="BH33" i="7" s="1"/>
  <c r="BI22" i="7"/>
  <c r="BH22" i="7"/>
  <c r="BJ22" i="7" s="1"/>
  <c r="BI21" i="7"/>
  <c r="BJ21" i="7" s="1"/>
  <c r="BH21" i="7"/>
  <c r="BH24" i="7" s="1"/>
  <c r="BI18" i="7"/>
  <c r="BH18" i="7"/>
  <c r="BI17" i="7"/>
  <c r="BH17" i="7"/>
  <c r="BI16" i="7"/>
  <c r="BI19" i="7" s="1"/>
  <c r="BH16" i="7"/>
  <c r="BI13" i="7"/>
  <c r="BI36" i="7" s="1"/>
  <c r="BH13" i="7"/>
  <c r="BI12" i="7"/>
  <c r="BI14" i="7" s="1"/>
  <c r="BH12" i="7"/>
  <c r="BI11" i="7"/>
  <c r="BJ11" i="7" s="1"/>
  <c r="BH11" i="7"/>
  <c r="BH14" i="7" s="1"/>
  <c r="BI8" i="7"/>
  <c r="BH8" i="7"/>
  <c r="BH34" i="7" s="1"/>
  <c r="BI7" i="7"/>
  <c r="BH7" i="7"/>
  <c r="BH32" i="7" s="1"/>
  <c r="BI6" i="7"/>
  <c r="BH6" i="7"/>
  <c r="BH73" i="6"/>
  <c r="BH64" i="6"/>
  <c r="BH49" i="6"/>
  <c r="BH21" i="6"/>
  <c r="BH16" i="6"/>
  <c r="BI106" i="6"/>
  <c r="BI107" i="6" s="1"/>
  <c r="BH106" i="6"/>
  <c r="BJ105" i="6"/>
  <c r="BJ104" i="6"/>
  <c r="BJ103" i="6"/>
  <c r="BJ106" i="6" s="1"/>
  <c r="BH102" i="6"/>
  <c r="BJ101" i="6"/>
  <c r="BJ100" i="6"/>
  <c r="BJ99" i="6"/>
  <c r="BJ102" i="6" s="1"/>
  <c r="BH98" i="6"/>
  <c r="BJ97" i="6"/>
  <c r="BJ96" i="6"/>
  <c r="BJ95" i="6"/>
  <c r="BI93" i="6"/>
  <c r="BH93" i="6"/>
  <c r="BJ92" i="6"/>
  <c r="BJ91" i="6"/>
  <c r="BJ90" i="6"/>
  <c r="BJ89" i="6"/>
  <c r="BH88" i="6"/>
  <c r="BJ87" i="6"/>
  <c r="BJ86" i="6"/>
  <c r="BJ85" i="6"/>
  <c r="BH84" i="6"/>
  <c r="BJ83" i="6"/>
  <c r="BJ82" i="6"/>
  <c r="BJ81" i="6"/>
  <c r="BJ80" i="6"/>
  <c r="BI78" i="6"/>
  <c r="BI79" i="6" s="1"/>
  <c r="BH78" i="6"/>
  <c r="BJ77" i="6"/>
  <c r="BJ76" i="6"/>
  <c r="BJ75" i="6"/>
  <c r="BJ74" i="6"/>
  <c r="BJ72" i="6"/>
  <c r="BJ71" i="6"/>
  <c r="BJ70" i="6"/>
  <c r="BJ69" i="6"/>
  <c r="BJ68" i="6"/>
  <c r="BJ67" i="6"/>
  <c r="BJ66" i="6"/>
  <c r="BJ65" i="6"/>
  <c r="BJ63" i="6"/>
  <c r="BJ62" i="6"/>
  <c r="BJ61" i="6"/>
  <c r="BJ60" i="6"/>
  <c r="BJ59" i="6"/>
  <c r="BJ58" i="6"/>
  <c r="BJ64" i="6" s="1"/>
  <c r="BI56" i="6"/>
  <c r="BH56" i="6"/>
  <c r="BJ55" i="6"/>
  <c r="BJ54" i="6"/>
  <c r="BJ53" i="6"/>
  <c r="BJ52" i="6"/>
  <c r="BJ51" i="6"/>
  <c r="BJ50" i="6"/>
  <c r="BJ48" i="6"/>
  <c r="BJ47" i="6"/>
  <c r="BJ46" i="6"/>
  <c r="BJ45" i="6"/>
  <c r="BJ44" i="6"/>
  <c r="BJ43" i="6"/>
  <c r="BJ42" i="6"/>
  <c r="BJ41" i="6"/>
  <c r="BJ40" i="6"/>
  <c r="BJ39" i="6"/>
  <c r="BJ38" i="6"/>
  <c r="BI57" i="6"/>
  <c r="BH37" i="6"/>
  <c r="BJ36" i="6"/>
  <c r="BJ35" i="6"/>
  <c r="BJ34" i="6"/>
  <c r="BJ33" i="6"/>
  <c r="BJ32" i="6"/>
  <c r="BJ31" i="6"/>
  <c r="BJ30" i="6"/>
  <c r="BJ29" i="6"/>
  <c r="BJ28" i="6"/>
  <c r="BJ27" i="6"/>
  <c r="BI25" i="6"/>
  <c r="BH25" i="6"/>
  <c r="BJ24" i="6"/>
  <c r="BJ23" i="6"/>
  <c r="BJ22" i="6"/>
  <c r="BH26" i="6"/>
  <c r="BJ20" i="6"/>
  <c r="BJ19" i="6"/>
  <c r="BJ18" i="6"/>
  <c r="BJ17" i="6"/>
  <c r="BJ21" i="6" s="1"/>
  <c r="BJ15" i="6"/>
  <c r="BJ14" i="6"/>
  <c r="BJ13" i="6"/>
  <c r="BJ12" i="6"/>
  <c r="BJ11" i="6"/>
  <c r="BJ10" i="6"/>
  <c r="BJ9" i="6"/>
  <c r="BJ8" i="6"/>
  <c r="BJ7" i="6"/>
  <c r="BJ6" i="6"/>
  <c r="AZ36" i="5"/>
  <c r="BA36" i="5" s="1"/>
  <c r="AY36" i="5"/>
  <c r="AZ35" i="5"/>
  <c r="AY35" i="5"/>
  <c r="AZ34" i="5"/>
  <c r="AY34" i="5"/>
  <c r="AZ33" i="5"/>
  <c r="AY33" i="5"/>
  <c r="BA33" i="5" s="1"/>
  <c r="AZ32" i="5"/>
  <c r="AY32" i="5"/>
  <c r="AZ31" i="5"/>
  <c r="AY31" i="5"/>
  <c r="AZ29" i="5"/>
  <c r="AY29" i="5"/>
  <c r="BA28" i="5"/>
  <c r="BA27" i="5"/>
  <c r="BA26" i="5"/>
  <c r="AZ24" i="5"/>
  <c r="AY24" i="5"/>
  <c r="BA23" i="5"/>
  <c r="BA22" i="5"/>
  <c r="BA21" i="5"/>
  <c r="AZ19" i="5"/>
  <c r="AY19" i="5"/>
  <c r="BA19" i="5" s="1"/>
  <c r="BA18" i="5"/>
  <c r="BA17" i="5"/>
  <c r="BA16" i="5"/>
  <c r="AZ14" i="5"/>
  <c r="AY14" i="5"/>
  <c r="BA13" i="5"/>
  <c r="BA12" i="5"/>
  <c r="BA11" i="5"/>
  <c r="AZ9" i="5"/>
  <c r="AY9" i="5"/>
  <c r="BA8" i="5"/>
  <c r="BA7" i="5"/>
  <c r="BA6" i="5"/>
  <c r="BG72" i="3"/>
  <c r="BG63" i="3"/>
  <c r="BG55" i="3"/>
  <c r="BG48" i="3"/>
  <c r="BG36" i="3"/>
  <c r="BG20" i="3"/>
  <c r="BG15" i="3"/>
  <c r="CT107" i="18" l="1"/>
  <c r="CR84" i="36"/>
  <c r="CT55" i="36"/>
  <c r="CT38" i="36"/>
  <c r="CS84" i="36"/>
  <c r="CT83" i="36"/>
  <c r="CT82" i="36"/>
  <c r="CT72" i="36"/>
  <c r="CT21" i="36"/>
  <c r="CT81" i="36"/>
  <c r="W82" i="34"/>
  <c r="W90" i="34"/>
  <c r="BJ78" i="10"/>
  <c r="BA14" i="5"/>
  <c r="AU24" i="8"/>
  <c r="AU14" i="8"/>
  <c r="AU33" i="8"/>
  <c r="AU29" i="8"/>
  <c r="AU34" i="8"/>
  <c r="BI23" i="7"/>
  <c r="BI24" i="7" s="1"/>
  <c r="BJ24" i="7" s="1"/>
  <c r="BJ14" i="7"/>
  <c r="BJ12" i="7"/>
  <c r="BJ13" i="7"/>
  <c r="BI33" i="7"/>
  <c r="BJ33" i="7" s="1"/>
  <c r="BJ26" i="7"/>
  <c r="BJ27" i="7"/>
  <c r="BI34" i="7"/>
  <c r="BJ34" i="7" s="1"/>
  <c r="BJ78" i="6"/>
  <c r="BI31" i="7"/>
  <c r="BJ18" i="7"/>
  <c r="BJ56" i="6"/>
  <c r="BJ16" i="7"/>
  <c r="BJ17" i="7"/>
  <c r="BI9" i="7"/>
  <c r="BJ8" i="7"/>
  <c r="BJ25" i="6"/>
  <c r="BJ6" i="7"/>
  <c r="BA35" i="5"/>
  <c r="BA34" i="5"/>
  <c r="CT37" i="19"/>
  <c r="CQ84" i="36"/>
  <c r="CU159" i="35"/>
  <c r="BJ9" i="11"/>
  <c r="BI37" i="11"/>
  <c r="BJ37" i="11"/>
  <c r="BJ25" i="10"/>
  <c r="BH108" i="10"/>
  <c r="BJ106" i="10"/>
  <c r="BJ56" i="10"/>
  <c r="AS37" i="8"/>
  <c r="AT37" i="8"/>
  <c r="AU32" i="8"/>
  <c r="AU31" i="8"/>
  <c r="AU19" i="8"/>
  <c r="BI32" i="7"/>
  <c r="BH35" i="7"/>
  <c r="BJ35" i="7" s="1"/>
  <c r="BH9" i="7"/>
  <c r="BJ9" i="7" s="1"/>
  <c r="BH19" i="7"/>
  <c r="BJ19" i="7" s="1"/>
  <c r="BH29" i="7"/>
  <c r="BJ29" i="7" s="1"/>
  <c r="BI35" i="7"/>
  <c r="BH36" i="7"/>
  <c r="BJ36" i="7" s="1"/>
  <c r="BJ23" i="7"/>
  <c r="BH31" i="7"/>
  <c r="BJ7" i="7"/>
  <c r="BJ16" i="6"/>
  <c r="BI26" i="6"/>
  <c r="BJ37" i="6"/>
  <c r="BH57" i="6"/>
  <c r="BJ49" i="6"/>
  <c r="BJ57" i="6" s="1"/>
  <c r="BJ73" i="6"/>
  <c r="BJ79" i="6" s="1"/>
  <c r="BH79" i="6"/>
  <c r="BH94" i="6"/>
  <c r="BJ84" i="6"/>
  <c r="BJ88" i="6"/>
  <c r="BI94" i="6"/>
  <c r="BJ93" i="6"/>
  <c r="BJ98" i="6"/>
  <c r="BJ107" i="6" s="1"/>
  <c r="BH107" i="6"/>
  <c r="BJ26" i="6"/>
  <c r="BA29" i="5"/>
  <c r="BA32" i="5"/>
  <c r="BA24" i="5"/>
  <c r="AY37" i="5"/>
  <c r="AZ37" i="5"/>
  <c r="BA9" i="5"/>
  <c r="BA31" i="5"/>
  <c r="BG35" i="4"/>
  <c r="BG19" i="4"/>
  <c r="BH36" i="4"/>
  <c r="BG36" i="4"/>
  <c r="BH34" i="4"/>
  <c r="BG34" i="4"/>
  <c r="BH105" i="3"/>
  <c r="BI23" i="4" s="1"/>
  <c r="BG105" i="3"/>
  <c r="BI104" i="3"/>
  <c r="BI103" i="3"/>
  <c r="BI102" i="3"/>
  <c r="BG101" i="3"/>
  <c r="BI100" i="3"/>
  <c r="BI99" i="3"/>
  <c r="BI98" i="3"/>
  <c r="BG97" i="3"/>
  <c r="BI96" i="3"/>
  <c r="BI95" i="3"/>
  <c r="BI94" i="3"/>
  <c r="BH92" i="3"/>
  <c r="BG92" i="3"/>
  <c r="BI91" i="3"/>
  <c r="BI90" i="3"/>
  <c r="BI89" i="3"/>
  <c r="BI88" i="3"/>
  <c r="BG87" i="3"/>
  <c r="BI86" i="3"/>
  <c r="BI85" i="3"/>
  <c r="BI84" i="3"/>
  <c r="BG83" i="3"/>
  <c r="BI82" i="3"/>
  <c r="BI81" i="3"/>
  <c r="BI80" i="3"/>
  <c r="BI79" i="3"/>
  <c r="BH77" i="3"/>
  <c r="BG77" i="3"/>
  <c r="BG78" i="3" s="1"/>
  <c r="BI76" i="3"/>
  <c r="BI75" i="3"/>
  <c r="BI74" i="3"/>
  <c r="BI73" i="3"/>
  <c r="BI71" i="3"/>
  <c r="BI70" i="3"/>
  <c r="BI69" i="3"/>
  <c r="BI68" i="3"/>
  <c r="BI67" i="3"/>
  <c r="BI66" i="3"/>
  <c r="BI65" i="3"/>
  <c r="BI64" i="3"/>
  <c r="BH78" i="3"/>
  <c r="BI62" i="3"/>
  <c r="BI61" i="3"/>
  <c r="BI60" i="3"/>
  <c r="BI59" i="3"/>
  <c r="BI58" i="3"/>
  <c r="BI57" i="3"/>
  <c r="BH55" i="3"/>
  <c r="BH56" i="3" s="1"/>
  <c r="BI54" i="3"/>
  <c r="BI53" i="3"/>
  <c r="BI52" i="3"/>
  <c r="BI51" i="3"/>
  <c r="BI50" i="3"/>
  <c r="BI49" i="3"/>
  <c r="BI47" i="3"/>
  <c r="BI46" i="3"/>
  <c r="BI45" i="3"/>
  <c r="BI44" i="3"/>
  <c r="BI43" i="3"/>
  <c r="BI42" i="3"/>
  <c r="BI41" i="3"/>
  <c r="BI40" i="3"/>
  <c r="BI39" i="3"/>
  <c r="BI38" i="3"/>
  <c r="BI37" i="3"/>
  <c r="BI35" i="3"/>
  <c r="BI34" i="3"/>
  <c r="BI33" i="3"/>
  <c r="BI32" i="3"/>
  <c r="BI31" i="3"/>
  <c r="BI30" i="3"/>
  <c r="BI29" i="3"/>
  <c r="BI28" i="3"/>
  <c r="BI27" i="3"/>
  <c r="BI26" i="3"/>
  <c r="BH24" i="3"/>
  <c r="BG24" i="3"/>
  <c r="BI23" i="3"/>
  <c r="BI22" i="3"/>
  <c r="BI21" i="3"/>
  <c r="BI19" i="3"/>
  <c r="BI18" i="3"/>
  <c r="BI17" i="3"/>
  <c r="BI16" i="3"/>
  <c r="BI14" i="3"/>
  <c r="BI13" i="3"/>
  <c r="BI12" i="3"/>
  <c r="BI11" i="3"/>
  <c r="BI10" i="3"/>
  <c r="BI9" i="3"/>
  <c r="BI8" i="3"/>
  <c r="BI7" i="3"/>
  <c r="BI6" i="3"/>
  <c r="BI5" i="3"/>
  <c r="CT84" i="36" l="1"/>
  <c r="BI21" i="4"/>
  <c r="BI105" i="3"/>
  <c r="BI109" i="6"/>
  <c r="BI37" i="7"/>
  <c r="BI13" i="4"/>
  <c r="BH29" i="4"/>
  <c r="BI27" i="4"/>
  <c r="BI28" i="4"/>
  <c r="BH33" i="4"/>
  <c r="BH24" i="4"/>
  <c r="BI101" i="3"/>
  <c r="BI106" i="3" s="1"/>
  <c r="BI36" i="4"/>
  <c r="BI11" i="4"/>
  <c r="BH14" i="4"/>
  <c r="BH32" i="4"/>
  <c r="BH19" i="4"/>
  <c r="BI17" i="4"/>
  <c r="BH31" i="4"/>
  <c r="BI34" i="4"/>
  <c r="BJ108" i="10"/>
  <c r="AU37" i="8"/>
  <c r="BH37" i="7"/>
  <c r="BJ31" i="7"/>
  <c r="BJ32" i="7"/>
  <c r="BH109" i="6"/>
  <c r="BJ94" i="6"/>
  <c r="BJ109" i="6" s="1"/>
  <c r="BA37" i="5"/>
  <c r="BI77" i="3"/>
  <c r="BG33" i="4"/>
  <c r="BG29" i="4"/>
  <c r="BG31" i="4"/>
  <c r="BG32" i="4"/>
  <c r="BI18" i="4"/>
  <c r="BI8" i="4"/>
  <c r="BI24" i="3"/>
  <c r="BH35" i="4"/>
  <c r="BI35" i="4" s="1"/>
  <c r="BI6" i="4"/>
  <c r="BH9" i="4"/>
  <c r="BI16" i="4"/>
  <c r="BI26" i="4"/>
  <c r="BI29" i="4" s="1"/>
  <c r="BG9" i="4"/>
  <c r="BI12" i="4"/>
  <c r="BI22" i="4"/>
  <c r="BI7" i="4"/>
  <c r="BG14" i="4"/>
  <c r="BG24" i="4"/>
  <c r="BH106" i="3"/>
  <c r="BG106" i="3"/>
  <c r="BI97" i="3"/>
  <c r="BI92" i="3"/>
  <c r="BI87" i="3"/>
  <c r="BH93" i="3"/>
  <c r="BI83" i="3"/>
  <c r="BG93" i="3"/>
  <c r="BI72" i="3"/>
  <c r="BI63" i="3"/>
  <c r="BI55" i="3"/>
  <c r="BI48" i="3"/>
  <c r="BG56" i="3"/>
  <c r="BI36" i="3"/>
  <c r="BH25" i="3"/>
  <c r="BG25" i="3"/>
  <c r="BI20" i="3"/>
  <c r="BI15" i="3"/>
  <c r="BH68" i="32"/>
  <c r="CQ68" i="30"/>
  <c r="CU147" i="29"/>
  <c r="CR60" i="29"/>
  <c r="CR58" i="29"/>
  <c r="BH100" i="12"/>
  <c r="BH91" i="12"/>
  <c r="BH79" i="12"/>
  <c r="BH75" i="12"/>
  <c r="BH63" i="12"/>
  <c r="BH51" i="12"/>
  <c r="BH34" i="12"/>
  <c r="BH30" i="12"/>
  <c r="BH20" i="12"/>
  <c r="BH15" i="12"/>
  <c r="BI24" i="4" l="1"/>
  <c r="BI14" i="4"/>
  <c r="BI93" i="3"/>
  <c r="BI19" i="4"/>
  <c r="BI31" i="4"/>
  <c r="BH108" i="3"/>
  <c r="BI33" i="4"/>
  <c r="BH37" i="4"/>
  <c r="BI32" i="4"/>
  <c r="BI56" i="3"/>
  <c r="BI25" i="3"/>
  <c r="BJ37" i="7"/>
  <c r="BG37" i="4"/>
  <c r="BI78" i="3"/>
  <c r="BI9" i="4"/>
  <c r="BG108" i="3"/>
  <c r="BJ73" i="32"/>
  <c r="BI73" i="32"/>
  <c r="BH73" i="32"/>
  <c r="BJ72" i="32"/>
  <c r="BI72" i="32"/>
  <c r="BH72" i="32"/>
  <c r="BJ69" i="32"/>
  <c r="BI69" i="32"/>
  <c r="BH69" i="32"/>
  <c r="BJ67" i="32"/>
  <c r="BI67" i="32"/>
  <c r="BH67" i="32"/>
  <c r="BJ65" i="32"/>
  <c r="BI65" i="32"/>
  <c r="BH65" i="32"/>
  <c r="BJ64" i="32"/>
  <c r="BI64" i="32"/>
  <c r="BH64" i="32"/>
  <c r="BJ63" i="32"/>
  <c r="BI63" i="32"/>
  <c r="BH63" i="32"/>
  <c r="BH75" i="32" s="1"/>
  <c r="BJ59" i="32"/>
  <c r="BJ60" i="32" s="1"/>
  <c r="BJ61" i="32" s="1"/>
  <c r="BI59" i="32"/>
  <c r="BI60" i="32" s="1"/>
  <c r="BI61" i="32" s="1"/>
  <c r="BH59" i="32"/>
  <c r="BH60" i="32" s="1"/>
  <c r="BH61" i="32" s="1"/>
  <c r="BJ50" i="32"/>
  <c r="BI50" i="32"/>
  <c r="BH50" i="32"/>
  <c r="BJ49" i="32"/>
  <c r="BI49" i="32"/>
  <c r="BH49" i="32"/>
  <c r="BJ48" i="32"/>
  <c r="BI48" i="32"/>
  <c r="BH48" i="32"/>
  <c r="BJ46" i="32"/>
  <c r="BI46" i="32"/>
  <c r="BH46" i="32"/>
  <c r="BJ45" i="32"/>
  <c r="BI45" i="32"/>
  <c r="BH45" i="32"/>
  <c r="BJ44" i="32"/>
  <c r="BI44" i="32"/>
  <c r="BH44" i="32"/>
  <c r="BJ42" i="32"/>
  <c r="BI42" i="32"/>
  <c r="BH42" i="32"/>
  <c r="BJ41" i="32"/>
  <c r="BI41" i="32"/>
  <c r="BH41" i="32"/>
  <c r="BJ40" i="32"/>
  <c r="BI40" i="32"/>
  <c r="BH40" i="32"/>
  <c r="BJ33" i="32"/>
  <c r="BI33" i="32"/>
  <c r="BH33" i="32"/>
  <c r="BJ32" i="32"/>
  <c r="BI32" i="32"/>
  <c r="BH32" i="32"/>
  <c r="BJ31" i="32"/>
  <c r="BI31" i="32"/>
  <c r="BI35" i="32" s="1"/>
  <c r="BH31" i="32"/>
  <c r="BH35" i="32" s="1"/>
  <c r="BJ28" i="32"/>
  <c r="BJ30" i="32" s="1"/>
  <c r="BI28" i="32"/>
  <c r="BH28" i="32"/>
  <c r="BH30" i="32" s="1"/>
  <c r="BJ25" i="32"/>
  <c r="BI25" i="32"/>
  <c r="BH25" i="32"/>
  <c r="BJ24" i="32"/>
  <c r="BI24" i="32"/>
  <c r="BH24" i="32"/>
  <c r="BJ16" i="32"/>
  <c r="BI16" i="32"/>
  <c r="BH16" i="32"/>
  <c r="BJ15" i="32"/>
  <c r="BI15" i="32"/>
  <c r="BH15" i="32"/>
  <c r="BJ14" i="32"/>
  <c r="BI14" i="32"/>
  <c r="BH14" i="32"/>
  <c r="BJ12" i="32"/>
  <c r="BI12" i="32"/>
  <c r="BH12" i="32"/>
  <c r="BJ11" i="32"/>
  <c r="BI11" i="32"/>
  <c r="BH11" i="32"/>
  <c r="BJ10" i="32"/>
  <c r="BI10" i="32"/>
  <c r="BH10" i="32"/>
  <c r="BJ8" i="32"/>
  <c r="BI8" i="32"/>
  <c r="BH8" i="32"/>
  <c r="BJ7" i="32"/>
  <c r="BI7" i="32"/>
  <c r="BH7" i="32"/>
  <c r="BK158" i="31"/>
  <c r="BJ158" i="31"/>
  <c r="BI158" i="31"/>
  <c r="BJ153" i="31"/>
  <c r="BI153" i="31"/>
  <c r="BJ135" i="31"/>
  <c r="BI135" i="31"/>
  <c r="BJ114" i="31"/>
  <c r="BJ115" i="31" s="1"/>
  <c r="BI114" i="31"/>
  <c r="BI115" i="31" s="1"/>
  <c r="BJ111" i="31"/>
  <c r="BI111" i="31"/>
  <c r="BJ100" i="31"/>
  <c r="BI100" i="31"/>
  <c r="BJ82" i="31"/>
  <c r="BI82" i="31"/>
  <c r="BJ64" i="31"/>
  <c r="BI64" i="31"/>
  <c r="BJ59" i="31"/>
  <c r="BI59" i="31"/>
  <c r="BJ57" i="31"/>
  <c r="BI57" i="31"/>
  <c r="BJ53" i="31"/>
  <c r="BI53" i="31"/>
  <c r="BJ35" i="31"/>
  <c r="BI35" i="31"/>
  <c r="BJ15" i="31"/>
  <c r="BI15" i="31"/>
  <c r="CS73" i="30"/>
  <c r="CR73" i="30"/>
  <c r="CQ73" i="30"/>
  <c r="CS72" i="30"/>
  <c r="CR72" i="30"/>
  <c r="CQ72" i="30"/>
  <c r="CS69" i="30"/>
  <c r="CR69" i="30"/>
  <c r="CQ69" i="30"/>
  <c r="CR68" i="30"/>
  <c r="CS67" i="30"/>
  <c r="CR67" i="30"/>
  <c r="CQ67" i="30"/>
  <c r="CS65" i="30"/>
  <c r="CR65" i="30"/>
  <c r="CQ65" i="30"/>
  <c r="CS64" i="30"/>
  <c r="CR64" i="30"/>
  <c r="CQ64" i="30"/>
  <c r="CS63" i="30"/>
  <c r="CS75" i="30" s="1"/>
  <c r="CR63" i="30"/>
  <c r="CQ63" i="30"/>
  <c r="CS59" i="30"/>
  <c r="CS60" i="30" s="1"/>
  <c r="CS61" i="30" s="1"/>
  <c r="CR59" i="30"/>
  <c r="CR60" i="30" s="1"/>
  <c r="CR61" i="30" s="1"/>
  <c r="CQ59" i="30"/>
  <c r="CQ60" i="30" s="1"/>
  <c r="CS50" i="30"/>
  <c r="CR50" i="30"/>
  <c r="CQ50" i="30"/>
  <c r="CS49" i="30"/>
  <c r="CR49" i="30"/>
  <c r="CQ49" i="30"/>
  <c r="CS48" i="30"/>
  <c r="CR48" i="30"/>
  <c r="CQ48" i="30"/>
  <c r="CS46" i="30"/>
  <c r="CR46" i="30"/>
  <c r="CQ46" i="30"/>
  <c r="CS45" i="30"/>
  <c r="CR45" i="30"/>
  <c r="CQ45" i="30"/>
  <c r="CS44" i="30"/>
  <c r="CR44" i="30"/>
  <c r="CQ44" i="30"/>
  <c r="CS42" i="30"/>
  <c r="CR42" i="30"/>
  <c r="CQ42" i="30"/>
  <c r="CS41" i="30"/>
  <c r="CR41" i="30"/>
  <c r="CQ41" i="30"/>
  <c r="CR40" i="30"/>
  <c r="CQ40" i="30"/>
  <c r="CS33" i="30"/>
  <c r="CR33" i="30"/>
  <c r="CQ33" i="30"/>
  <c r="CS32" i="30"/>
  <c r="CR32" i="30"/>
  <c r="CQ32" i="30"/>
  <c r="CS31" i="30"/>
  <c r="CR31" i="30"/>
  <c r="CR35" i="30" s="1"/>
  <c r="CQ31" i="30"/>
  <c r="CS28" i="30"/>
  <c r="CS30" i="30" s="1"/>
  <c r="CR28" i="30"/>
  <c r="CR30" i="30" s="1"/>
  <c r="CQ28" i="30"/>
  <c r="CQ30" i="30" s="1"/>
  <c r="CR26" i="30"/>
  <c r="CS25" i="30"/>
  <c r="CR25" i="30"/>
  <c r="CQ25" i="30"/>
  <c r="CS24" i="30"/>
  <c r="CR24" i="30"/>
  <c r="CQ24" i="30"/>
  <c r="CT23" i="30"/>
  <c r="CS16" i="30"/>
  <c r="CR16" i="30"/>
  <c r="CQ16" i="30"/>
  <c r="CS15" i="30"/>
  <c r="CR15" i="30"/>
  <c r="CQ15" i="30"/>
  <c r="CS14" i="30"/>
  <c r="CR14" i="30"/>
  <c r="CQ14" i="30"/>
  <c r="CS12" i="30"/>
  <c r="CR12" i="30"/>
  <c r="CQ12" i="30"/>
  <c r="CS11" i="30"/>
  <c r="CR11" i="30"/>
  <c r="CQ11" i="30"/>
  <c r="CS10" i="30"/>
  <c r="CR10" i="30"/>
  <c r="CQ10" i="30"/>
  <c r="CS8" i="30"/>
  <c r="CR8" i="30"/>
  <c r="CQ8" i="30"/>
  <c r="CS7" i="30"/>
  <c r="CR7" i="30"/>
  <c r="CQ7" i="30"/>
  <c r="CS6" i="30"/>
  <c r="CR6" i="30"/>
  <c r="CQ6" i="30"/>
  <c r="CT157" i="29"/>
  <c r="CS157" i="29"/>
  <c r="CR157" i="29"/>
  <c r="CU156" i="29"/>
  <c r="CU155" i="29"/>
  <c r="CU154" i="29"/>
  <c r="CU153" i="29"/>
  <c r="CT152" i="29"/>
  <c r="CS152" i="29"/>
  <c r="CR152" i="29"/>
  <c r="CU151" i="29"/>
  <c r="CU150" i="29"/>
  <c r="CU149" i="29"/>
  <c r="CU148" i="29"/>
  <c r="CU146" i="29"/>
  <c r="CU145" i="29"/>
  <c r="CU144" i="29"/>
  <c r="CU143" i="29"/>
  <c r="CU142" i="29"/>
  <c r="CU141" i="29"/>
  <c r="CU140" i="29"/>
  <c r="CU139" i="29"/>
  <c r="CU138" i="29"/>
  <c r="CU137" i="29"/>
  <c r="CU136" i="29"/>
  <c r="CU135" i="29"/>
  <c r="CT134" i="29"/>
  <c r="CS134" i="29"/>
  <c r="CR134" i="29"/>
  <c r="CU133" i="29"/>
  <c r="CU132" i="29"/>
  <c r="CU131" i="29"/>
  <c r="CU130" i="29"/>
  <c r="CU129" i="29"/>
  <c r="CU128" i="29"/>
  <c r="CU127" i="29"/>
  <c r="CU126" i="29"/>
  <c r="CU125" i="29"/>
  <c r="CU124" i="29"/>
  <c r="CU123" i="29"/>
  <c r="CU122" i="29"/>
  <c r="CU121" i="29"/>
  <c r="CU120" i="29"/>
  <c r="CU119" i="29"/>
  <c r="CU118" i="29"/>
  <c r="CU117" i="29"/>
  <c r="CU116" i="29"/>
  <c r="CU115" i="29"/>
  <c r="CT113" i="29"/>
  <c r="CT114" i="29" s="1"/>
  <c r="CS113" i="29"/>
  <c r="CS114" i="29" s="1"/>
  <c r="CR113" i="29"/>
  <c r="CR114" i="29" s="1"/>
  <c r="CU112" i="29"/>
  <c r="CU113" i="29" s="1"/>
  <c r="CU114" i="29" s="1"/>
  <c r="CT110" i="29"/>
  <c r="CS110" i="29"/>
  <c r="CR110" i="29"/>
  <c r="CU109" i="29"/>
  <c r="CU108" i="29"/>
  <c r="CU107" i="29"/>
  <c r="CU106" i="29"/>
  <c r="CU105" i="29"/>
  <c r="CU104" i="29"/>
  <c r="CU103" i="29"/>
  <c r="CU102" i="29"/>
  <c r="CU101" i="29"/>
  <c r="CU100" i="29"/>
  <c r="CT99" i="29"/>
  <c r="CS99" i="29"/>
  <c r="CR99" i="29"/>
  <c r="CU98" i="29"/>
  <c r="CU97" i="29"/>
  <c r="CU96" i="29"/>
  <c r="CU95" i="29"/>
  <c r="CU94" i="29"/>
  <c r="CU93" i="29"/>
  <c r="CU92" i="29"/>
  <c r="CU91" i="29"/>
  <c r="CU90" i="29"/>
  <c r="CU89" i="29"/>
  <c r="CU88" i="29"/>
  <c r="CU87" i="29"/>
  <c r="CU86" i="29"/>
  <c r="CU85" i="29"/>
  <c r="CU84" i="29"/>
  <c r="CT83" i="29"/>
  <c r="CS83" i="29"/>
  <c r="CU82" i="29"/>
  <c r="CU80" i="29"/>
  <c r="CU79" i="29"/>
  <c r="CU78" i="29"/>
  <c r="CU77" i="29"/>
  <c r="CU76" i="29"/>
  <c r="CU75" i="29"/>
  <c r="CU74" i="29"/>
  <c r="CU73" i="29"/>
  <c r="CU72" i="29"/>
  <c r="CU71" i="29"/>
  <c r="CU70" i="29"/>
  <c r="CU69" i="29"/>
  <c r="CU68" i="29"/>
  <c r="CU67" i="29"/>
  <c r="CS66" i="29"/>
  <c r="CT65" i="29"/>
  <c r="CS65" i="29"/>
  <c r="CR65" i="29"/>
  <c r="CR66" i="29" s="1"/>
  <c r="CU64" i="29"/>
  <c r="CU63" i="29"/>
  <c r="CU62" i="29"/>
  <c r="CU61" i="29"/>
  <c r="CT60" i="29"/>
  <c r="CU59" i="29"/>
  <c r="CU60" i="29" s="1"/>
  <c r="CT58" i="29"/>
  <c r="CU57" i="29"/>
  <c r="CU56" i="29"/>
  <c r="CT54" i="29"/>
  <c r="CS54" i="29"/>
  <c r="CR54" i="29"/>
  <c r="CU53" i="29"/>
  <c r="CU52" i="29"/>
  <c r="CU51" i="29"/>
  <c r="CU50" i="29"/>
  <c r="CU49" i="29"/>
  <c r="CU48" i="29"/>
  <c r="CU47" i="29"/>
  <c r="CU46" i="29"/>
  <c r="CU45" i="29"/>
  <c r="CU44" i="29"/>
  <c r="CU43" i="29"/>
  <c r="CU42" i="29"/>
  <c r="CU41" i="29"/>
  <c r="CU40" i="29"/>
  <c r="CU39" i="29"/>
  <c r="CU38" i="29"/>
  <c r="CU37" i="29"/>
  <c r="CT36" i="29"/>
  <c r="CS36" i="29"/>
  <c r="CR36" i="29"/>
  <c r="CU35" i="29"/>
  <c r="CU33" i="29"/>
  <c r="CU32" i="29"/>
  <c r="CU31" i="29"/>
  <c r="CU30" i="29"/>
  <c r="CU29" i="29"/>
  <c r="CU28" i="29"/>
  <c r="CU27" i="29"/>
  <c r="CU26" i="29"/>
  <c r="CU25" i="29"/>
  <c r="CU24" i="29"/>
  <c r="CU23" i="29"/>
  <c r="CU22" i="29"/>
  <c r="CU21" i="29"/>
  <c r="CU20" i="29"/>
  <c r="CU18" i="29"/>
  <c r="CU17" i="29"/>
  <c r="CT16" i="29"/>
  <c r="CS16" i="29"/>
  <c r="CR16" i="29"/>
  <c r="CU15" i="29"/>
  <c r="CU14" i="29"/>
  <c r="CU13" i="29"/>
  <c r="CU12" i="29"/>
  <c r="CU11" i="29"/>
  <c r="CU10" i="29"/>
  <c r="CU9" i="29"/>
  <c r="CU8" i="29"/>
  <c r="CU7" i="29"/>
  <c r="CU6" i="29"/>
  <c r="CU5" i="29"/>
  <c r="BJ28" i="13"/>
  <c r="BI28" i="13"/>
  <c r="BH28" i="13"/>
  <c r="BJ27" i="13"/>
  <c r="BI27" i="13"/>
  <c r="BH27" i="13"/>
  <c r="BJ26" i="13"/>
  <c r="BJ29" i="13" s="1"/>
  <c r="BI26" i="13"/>
  <c r="BI29" i="13" s="1"/>
  <c r="BH26" i="13"/>
  <c r="BH29" i="13" s="1"/>
  <c r="BJ23" i="13"/>
  <c r="BI23" i="13"/>
  <c r="BH23" i="13"/>
  <c r="BJ22" i="13"/>
  <c r="BI22" i="13"/>
  <c r="BH22" i="13"/>
  <c r="BJ21" i="13"/>
  <c r="BJ24" i="13" s="1"/>
  <c r="BI21" i="13"/>
  <c r="BH21" i="13"/>
  <c r="BH24" i="13" s="1"/>
  <c r="BJ18" i="13"/>
  <c r="BI18" i="13"/>
  <c r="BH18" i="13"/>
  <c r="BJ17" i="13"/>
  <c r="BI17" i="13"/>
  <c r="BH17" i="13"/>
  <c r="BJ16" i="13"/>
  <c r="BI16" i="13"/>
  <c r="BH16" i="13"/>
  <c r="BJ13" i="13"/>
  <c r="BJ36" i="13" s="1"/>
  <c r="BI13" i="13"/>
  <c r="BI36" i="13" s="1"/>
  <c r="BH13" i="13"/>
  <c r="BH36" i="13" s="1"/>
  <c r="BJ12" i="13"/>
  <c r="BJ35" i="13" s="1"/>
  <c r="BI12" i="13"/>
  <c r="BI35" i="13" s="1"/>
  <c r="BH12" i="13"/>
  <c r="BH35" i="13" s="1"/>
  <c r="BJ11" i="13"/>
  <c r="BJ14" i="13" s="1"/>
  <c r="BI11" i="13"/>
  <c r="BH11" i="13"/>
  <c r="BH14" i="13" s="1"/>
  <c r="BJ8" i="13"/>
  <c r="BJ34" i="13" s="1"/>
  <c r="BI8" i="13"/>
  <c r="BI34" i="13" s="1"/>
  <c r="BH8" i="13"/>
  <c r="BH34" i="13" s="1"/>
  <c r="BJ7" i="13"/>
  <c r="BI7" i="13"/>
  <c r="BH7" i="13"/>
  <c r="BJ6" i="13"/>
  <c r="BI6" i="13"/>
  <c r="BI31" i="13" s="1"/>
  <c r="BH6" i="13"/>
  <c r="BJ105" i="12"/>
  <c r="BI106" i="12"/>
  <c r="BH105" i="12"/>
  <c r="BJ106" i="12"/>
  <c r="BJ83" i="12"/>
  <c r="BI83" i="12"/>
  <c r="BH83" i="12"/>
  <c r="BJ70" i="12"/>
  <c r="BI70" i="12"/>
  <c r="BH70" i="12"/>
  <c r="BJ39" i="12"/>
  <c r="BI39" i="12"/>
  <c r="BH39" i="12"/>
  <c r="BH40" i="12" s="1"/>
  <c r="BJ24" i="12"/>
  <c r="BI24" i="12"/>
  <c r="BH24" i="12"/>
  <c r="BH25" i="12"/>
  <c r="BI75" i="32" l="1"/>
  <c r="CT32" i="30"/>
  <c r="BJ43" i="32"/>
  <c r="BJ51" i="32"/>
  <c r="BJ18" i="32"/>
  <c r="CS76" i="30"/>
  <c r="CS52" i="30"/>
  <c r="CT66" i="29"/>
  <c r="BJ31" i="13"/>
  <c r="BJ33" i="13"/>
  <c r="BJ19" i="13"/>
  <c r="BJ32" i="13"/>
  <c r="BJ37" i="13" s="1"/>
  <c r="BI37" i="4"/>
  <c r="BI108" i="3"/>
  <c r="BI19" i="13"/>
  <c r="BI33" i="13"/>
  <c r="BI24" i="13"/>
  <c r="BI14" i="13"/>
  <c r="BI32" i="13"/>
  <c r="BI37" i="13" s="1"/>
  <c r="BI9" i="13"/>
  <c r="BI77" i="32"/>
  <c r="BI47" i="32"/>
  <c r="BI17" i="32"/>
  <c r="BJ13" i="32"/>
  <c r="BJ76" i="32"/>
  <c r="BJ70" i="32"/>
  <c r="BJ17" i="32"/>
  <c r="BI26" i="32"/>
  <c r="BJ53" i="32"/>
  <c r="BJ77" i="32"/>
  <c r="BJ9" i="32"/>
  <c r="BJ36" i="32"/>
  <c r="BJ54" i="32"/>
  <c r="BJ34" i="32"/>
  <c r="BI52" i="32"/>
  <c r="BI74" i="32"/>
  <c r="BI37" i="32"/>
  <c r="BJ74" i="32"/>
  <c r="BJ37" i="32"/>
  <c r="BI13" i="32"/>
  <c r="BI9" i="32"/>
  <c r="CS111" i="29"/>
  <c r="CT111" i="29"/>
  <c r="CS37" i="30"/>
  <c r="CS34" i="30"/>
  <c r="CR43" i="30"/>
  <c r="CR47" i="30"/>
  <c r="CS19" i="30"/>
  <c r="CR36" i="30"/>
  <c r="CR54" i="30"/>
  <c r="CT46" i="30"/>
  <c r="BJ35" i="32"/>
  <c r="BI76" i="32"/>
  <c r="BI54" i="32"/>
  <c r="BI19" i="32"/>
  <c r="BI36" i="32"/>
  <c r="BI66" i="32"/>
  <c r="BI20" i="32"/>
  <c r="BJ66" i="32"/>
  <c r="BJ20" i="32"/>
  <c r="BI53" i="32"/>
  <c r="BJ47" i="32"/>
  <c r="BI51" i="32"/>
  <c r="BI70" i="32"/>
  <c r="BH74" i="32"/>
  <c r="BH76" i="32"/>
  <c r="BH70" i="32"/>
  <c r="BH77" i="32"/>
  <c r="BH51" i="32"/>
  <c r="BH54" i="32"/>
  <c r="BH47" i="32"/>
  <c r="BH53" i="32"/>
  <c r="BH43" i="32"/>
  <c r="BI112" i="31"/>
  <c r="BH37" i="32"/>
  <c r="BH36" i="32"/>
  <c r="BH17" i="32"/>
  <c r="BH18" i="32"/>
  <c r="BH19" i="32"/>
  <c r="BH13" i="32"/>
  <c r="BH20" i="32"/>
  <c r="CS17" i="30"/>
  <c r="CS53" i="30"/>
  <c r="CR77" i="30"/>
  <c r="CT69" i="30"/>
  <c r="CS36" i="30"/>
  <c r="CT25" i="30"/>
  <c r="CR70" i="30"/>
  <c r="CT72" i="30"/>
  <c r="CT6" i="30"/>
  <c r="CS20" i="30"/>
  <c r="CS70" i="30"/>
  <c r="CR74" i="30"/>
  <c r="CR51" i="30"/>
  <c r="CS13" i="30"/>
  <c r="CQ77" i="30"/>
  <c r="CQ51" i="30"/>
  <c r="CU65" i="29"/>
  <c r="CU58" i="29"/>
  <c r="CQ17" i="30"/>
  <c r="CQ13" i="30"/>
  <c r="CQ19" i="30"/>
  <c r="CR19" i="30"/>
  <c r="CT11" i="30"/>
  <c r="CR17" i="30"/>
  <c r="CT40" i="30"/>
  <c r="CQ47" i="30"/>
  <c r="CR75" i="30"/>
  <c r="CT67" i="30"/>
  <c r="CT8" i="30"/>
  <c r="CT15" i="30"/>
  <c r="CQ36" i="30"/>
  <c r="CT30" i="30"/>
  <c r="CR34" i="30"/>
  <c r="CT41" i="30"/>
  <c r="CQ76" i="30"/>
  <c r="CR20" i="30"/>
  <c r="CT12" i="30"/>
  <c r="CR53" i="30"/>
  <c r="CT45" i="30"/>
  <c r="CR76" i="30"/>
  <c r="CR78" i="30" s="1"/>
  <c r="CQ70" i="30"/>
  <c r="CS74" i="30"/>
  <c r="CT49" i="30"/>
  <c r="CT73" i="30"/>
  <c r="CR18" i="30"/>
  <c r="CT10" i="30"/>
  <c r="CT16" i="30"/>
  <c r="CT24" i="30"/>
  <c r="CT33" i="30"/>
  <c r="CT42" i="30"/>
  <c r="CS47" i="30"/>
  <c r="CT47" i="30" s="1"/>
  <c r="CT65" i="30"/>
  <c r="CS18" i="30"/>
  <c r="CR13" i="30"/>
  <c r="CQ34" i="30"/>
  <c r="CS51" i="30"/>
  <c r="CT14" i="30"/>
  <c r="CR37" i="30"/>
  <c r="CR38" i="30" s="1"/>
  <c r="CS54" i="30"/>
  <c r="CT50" i="30"/>
  <c r="CT63" i="30"/>
  <c r="CT75" i="30" s="1"/>
  <c r="CS77" i="30"/>
  <c r="CQ75" i="30"/>
  <c r="CR55" i="29"/>
  <c r="BH19" i="13"/>
  <c r="BH33" i="13"/>
  <c r="BH31" i="13"/>
  <c r="BH32" i="13"/>
  <c r="BJ26" i="32"/>
  <c r="BH34" i="32"/>
  <c r="BH9" i="32"/>
  <c r="BJ19" i="32"/>
  <c r="BI34" i="32"/>
  <c r="BI43" i="32"/>
  <c r="BH66" i="32"/>
  <c r="BH52" i="32"/>
  <c r="BJ75" i="32"/>
  <c r="BI18" i="32"/>
  <c r="BI30" i="32"/>
  <c r="BJ52" i="32"/>
  <c r="BH26" i="32"/>
  <c r="BJ159" i="31"/>
  <c r="BI159" i="31"/>
  <c r="BK159" i="31"/>
  <c r="BJ112" i="31"/>
  <c r="BI65" i="31"/>
  <c r="BJ65" i="31"/>
  <c r="BJ54" i="31"/>
  <c r="BI54" i="31"/>
  <c r="CT60" i="30"/>
  <c r="CT61" i="30" s="1"/>
  <c r="CQ61" i="30"/>
  <c r="CQ54" i="30"/>
  <c r="CR9" i="30"/>
  <c r="CQ35" i="30"/>
  <c r="CQ37" i="30"/>
  <c r="CR52" i="30"/>
  <c r="CR66" i="30"/>
  <c r="CS9" i="30"/>
  <c r="CS66" i="30"/>
  <c r="CQ52" i="30"/>
  <c r="CT7" i="30"/>
  <c r="CS35" i="30"/>
  <c r="CT44" i="30"/>
  <c r="CT48" i="30"/>
  <c r="CT59" i="30"/>
  <c r="CT64" i="30"/>
  <c r="CT68" i="30"/>
  <c r="CQ66" i="30"/>
  <c r="CQ18" i="30"/>
  <c r="CQ20" i="30"/>
  <c r="CT28" i="30"/>
  <c r="CT31" i="30"/>
  <c r="CT35" i="30" s="1"/>
  <c r="CQ53" i="30"/>
  <c r="CQ74" i="30"/>
  <c r="CQ9" i="30"/>
  <c r="CQ26" i="30"/>
  <c r="CS43" i="30"/>
  <c r="CS26" i="30"/>
  <c r="CS158" i="29"/>
  <c r="CU157" i="29"/>
  <c r="CT158" i="29"/>
  <c r="CR158" i="29"/>
  <c r="CU152" i="29"/>
  <c r="CU134" i="29"/>
  <c r="CR111" i="29"/>
  <c r="CU110" i="29"/>
  <c r="CU99" i="29"/>
  <c r="CU83" i="29"/>
  <c r="CU54" i="29"/>
  <c r="CS55" i="29"/>
  <c r="CU36" i="29"/>
  <c r="CU16" i="29"/>
  <c r="CT55" i="29"/>
  <c r="BH37" i="13"/>
  <c r="BH9" i="13"/>
  <c r="BJ9" i="13"/>
  <c r="BH106" i="12"/>
  <c r="BH84" i="12"/>
  <c r="BI84" i="12"/>
  <c r="BJ84" i="12"/>
  <c r="BH71" i="12"/>
  <c r="BJ71" i="12"/>
  <c r="BI71" i="12"/>
  <c r="BI40" i="12"/>
  <c r="BJ40" i="12"/>
  <c r="BJ25" i="12"/>
  <c r="BI25" i="12"/>
  <c r="AC20" i="23"/>
  <c r="AC15" i="23"/>
  <c r="T99" i="21"/>
  <c r="T90" i="21"/>
  <c r="T78" i="21"/>
  <c r="T74" i="21"/>
  <c r="T63" i="21"/>
  <c r="T50" i="21"/>
  <c r="T33" i="21"/>
  <c r="T29" i="21"/>
  <c r="T19" i="21"/>
  <c r="T14" i="21"/>
  <c r="CO16" i="19"/>
  <c r="CO104" i="18"/>
  <c r="CO99" i="18"/>
  <c r="CO90" i="18"/>
  <c r="CP79" i="18"/>
  <c r="CP80" i="18"/>
  <c r="CO82" i="18"/>
  <c r="CO78" i="18"/>
  <c r="CO74" i="18"/>
  <c r="CO63" i="18"/>
  <c r="CO51" i="18"/>
  <c r="CO34" i="18"/>
  <c r="CO30" i="18"/>
  <c r="CO20" i="18"/>
  <c r="CO15" i="18"/>
  <c r="BH38" i="32" l="1"/>
  <c r="BJ21" i="32"/>
  <c r="BJ82" i="32"/>
  <c r="BJ38" i="32"/>
  <c r="BJ55" i="32"/>
  <c r="CS78" i="30"/>
  <c r="CS81" i="30"/>
  <c r="BI38" i="32"/>
  <c r="BI78" i="32"/>
  <c r="BI55" i="32"/>
  <c r="BI80" i="32"/>
  <c r="BH80" i="32"/>
  <c r="BI81" i="32"/>
  <c r="BJ81" i="32"/>
  <c r="BJ78" i="32"/>
  <c r="BI82" i="32"/>
  <c r="BI21" i="32"/>
  <c r="CS55" i="30"/>
  <c r="CT160" i="29"/>
  <c r="CS160" i="29"/>
  <c r="CT54" i="30"/>
  <c r="CS82" i="30"/>
  <c r="CR55" i="30"/>
  <c r="CR82" i="30"/>
  <c r="CT36" i="30"/>
  <c r="CR80" i="30"/>
  <c r="CS38" i="30"/>
  <c r="CT74" i="30"/>
  <c r="CT13" i="30"/>
  <c r="BJ80" i="32"/>
  <c r="BH78" i="32"/>
  <c r="BH55" i="32"/>
  <c r="BH82" i="32"/>
  <c r="BH81" i="32"/>
  <c r="BH21" i="32"/>
  <c r="CT77" i="30"/>
  <c r="CT26" i="30"/>
  <c r="CR21" i="30"/>
  <c r="CS21" i="30"/>
  <c r="CR81" i="30"/>
  <c r="CT17" i="30"/>
  <c r="CT43" i="30"/>
  <c r="CT37" i="30"/>
  <c r="CT70" i="30"/>
  <c r="CQ78" i="30"/>
  <c r="CU158" i="29"/>
  <c r="CT51" i="30"/>
  <c r="CU66" i="29"/>
  <c r="CT18" i="30"/>
  <c r="CQ81" i="30"/>
  <c r="CT20" i="30"/>
  <c r="CQ80" i="30"/>
  <c r="CT19" i="30"/>
  <c r="CS80" i="30"/>
  <c r="CT53" i="30"/>
  <c r="CT34" i="30"/>
  <c r="CR160" i="29"/>
  <c r="BI161" i="31"/>
  <c r="BK161" i="31"/>
  <c r="BJ161" i="31"/>
  <c r="CT76" i="30"/>
  <c r="CQ82" i="30"/>
  <c r="CQ38" i="30"/>
  <c r="CT66" i="30"/>
  <c r="CQ21" i="30"/>
  <c r="CT9" i="30"/>
  <c r="CQ55" i="30"/>
  <c r="CT52" i="30"/>
  <c r="CU111" i="29"/>
  <c r="CU55" i="29"/>
  <c r="BH108" i="12"/>
  <c r="BI108" i="12"/>
  <c r="BJ108" i="12"/>
  <c r="CO76" i="36"/>
  <c r="CP76" i="36" s="1"/>
  <c r="CP157" i="35"/>
  <c r="CQ156" i="35"/>
  <c r="CM156" i="35"/>
  <c r="CI156" i="35"/>
  <c r="CE156" i="35"/>
  <c r="CA156" i="35"/>
  <c r="BW156" i="35"/>
  <c r="BS156" i="35"/>
  <c r="CO42" i="36"/>
  <c r="CO29" i="36"/>
  <c r="CQ119" i="35"/>
  <c r="CP89" i="35"/>
  <c r="CQ88" i="35"/>
  <c r="CQ84" i="35"/>
  <c r="CO78" i="36" l="1"/>
  <c r="BJ83" i="32"/>
  <c r="CS83" i="30"/>
  <c r="BI83" i="32"/>
  <c r="CT82" i="30"/>
  <c r="CT80" i="30"/>
  <c r="CT38" i="30"/>
  <c r="CR83" i="30"/>
  <c r="CT81" i="30"/>
  <c r="BH83" i="32"/>
  <c r="CT78" i="30"/>
  <c r="CT21" i="30"/>
  <c r="CT55" i="30"/>
  <c r="CQ83" i="30"/>
  <c r="CU160" i="29"/>
  <c r="CO77" i="36"/>
  <c r="CP77" i="36"/>
  <c r="CP78" i="36" l="1"/>
  <c r="CP79" i="36" s="1"/>
  <c r="CO79" i="36"/>
  <c r="CT83" i="30"/>
  <c r="BA21" i="38"/>
  <c r="BB21" i="38" s="1"/>
  <c r="BA17" i="38"/>
  <c r="AZ17" i="38"/>
  <c r="AY17" i="38"/>
  <c r="P176" i="37"/>
  <c r="P177" i="37" s="1"/>
  <c r="P102" i="37"/>
  <c r="BA22" i="38" l="1"/>
  <c r="BB22" i="38" s="1"/>
  <c r="F61" i="62"/>
  <c r="F5" i="62"/>
  <c r="I5" i="62"/>
  <c r="Z34" i="41" l="1"/>
  <c r="Y34" i="41"/>
  <c r="Z35" i="41"/>
  <c r="Y35" i="41"/>
  <c r="Z30" i="41"/>
  <c r="Y30" i="41"/>
  <c r="AA28" i="41"/>
  <c r="AA27" i="41"/>
  <c r="D85" i="85"/>
  <c r="F83" i="85"/>
  <c r="F85" i="85" s="1"/>
  <c r="E82" i="85"/>
  <c r="D82" i="85"/>
  <c r="F81" i="85"/>
  <c r="F80" i="85"/>
  <c r="F78" i="85"/>
  <c r="F77" i="85"/>
  <c r="F75" i="85"/>
  <c r="F74" i="85"/>
  <c r="F73" i="85"/>
  <c r="E72" i="85"/>
  <c r="D72" i="85"/>
  <c r="F71" i="85"/>
  <c r="F70" i="85"/>
  <c r="F63" i="85"/>
  <c r="E61" i="85"/>
  <c r="D61" i="85"/>
  <c r="F60" i="85"/>
  <c r="F59" i="85"/>
  <c r="F56" i="85"/>
  <c r="F55" i="85"/>
  <c r="F54" i="85"/>
  <c r="E53" i="85"/>
  <c r="D53" i="85"/>
  <c r="F51" i="85"/>
  <c r="F53" i="85" s="1"/>
  <c r="E47" i="85"/>
  <c r="D47" i="85"/>
  <c r="F45" i="85"/>
  <c r="F44" i="85"/>
  <c r="F43" i="85"/>
  <c r="F38" i="85"/>
  <c r="F37" i="85"/>
  <c r="F36" i="85"/>
  <c r="E33" i="85"/>
  <c r="D33" i="85"/>
  <c r="F32" i="85"/>
  <c r="F33" i="85" s="1"/>
  <c r="E28" i="85"/>
  <c r="D28" i="85"/>
  <c r="F27" i="85"/>
  <c r="E24" i="85"/>
  <c r="D24" i="85"/>
  <c r="F22" i="85"/>
  <c r="E18" i="85"/>
  <c r="D18" i="85"/>
  <c r="F16" i="85"/>
  <c r="F18" i="85" s="1"/>
  <c r="E11" i="85"/>
  <c r="D11" i="85"/>
  <c r="F10" i="85"/>
  <c r="F9" i="85"/>
  <c r="F8" i="85"/>
  <c r="F7" i="85"/>
  <c r="F6" i="85"/>
  <c r="F5" i="85"/>
  <c r="E6" i="86"/>
  <c r="E7" i="86" s="1"/>
  <c r="E9" i="86" s="1"/>
  <c r="D6" i="86"/>
  <c r="D7" i="86" s="1"/>
  <c r="D9" i="86" s="1"/>
  <c r="F5" i="86"/>
  <c r="F6" i="86" s="1"/>
  <c r="F7" i="86" s="1"/>
  <c r="F9" i="86" s="1"/>
  <c r="G16" i="63"/>
  <c r="G17" i="63" s="1"/>
  <c r="F16" i="63"/>
  <c r="F17" i="63" s="1"/>
  <c r="H14" i="63"/>
  <c r="H15" i="63"/>
  <c r="H13" i="63"/>
  <c r="H12" i="63"/>
  <c r="H11" i="63"/>
  <c r="AA29" i="41"/>
  <c r="E86" i="85" l="1"/>
  <c r="D86" i="85"/>
  <c r="F82" i="85"/>
  <c r="D62" i="85"/>
  <c r="E62" i="85"/>
  <c r="F28" i="85"/>
  <c r="F34" i="85" s="1"/>
  <c r="F72" i="85"/>
  <c r="D34" i="85"/>
  <c r="F24" i="85"/>
  <c r="D25" i="85"/>
  <c r="E34" i="85"/>
  <c r="F61" i="85"/>
  <c r="F47" i="85"/>
  <c r="F11" i="85"/>
  <c r="E25" i="85"/>
  <c r="H16" i="63"/>
  <c r="H17" i="63" s="1"/>
  <c r="F62" i="85" l="1"/>
  <c r="F86" i="85"/>
  <c r="D88" i="85"/>
  <c r="F25" i="85"/>
  <c r="E88" i="85"/>
  <c r="F88" i="85" l="1"/>
  <c r="K100" i="62"/>
  <c r="J100" i="62"/>
  <c r="J37" i="62"/>
  <c r="J96" i="62"/>
  <c r="L87" i="62"/>
  <c r="K84" i="62"/>
  <c r="J84" i="62"/>
  <c r="K24" i="62"/>
  <c r="J24" i="62"/>
  <c r="L23" i="62"/>
  <c r="L17" i="62"/>
  <c r="L13" i="62"/>
  <c r="L99" i="62"/>
  <c r="K96" i="62"/>
  <c r="L94" i="62"/>
  <c r="L93" i="62"/>
  <c r="L85" i="62"/>
  <c r="L83" i="62"/>
  <c r="L81" i="62"/>
  <c r="L78" i="62"/>
  <c r="K70" i="62"/>
  <c r="J70" i="62"/>
  <c r="L69" i="62"/>
  <c r="L68" i="62"/>
  <c r="L67" i="62"/>
  <c r="K62" i="62"/>
  <c r="J62" i="62"/>
  <c r="L60" i="62"/>
  <c r="K52" i="62"/>
  <c r="J52" i="62"/>
  <c r="L47" i="62"/>
  <c r="L43" i="62"/>
  <c r="L42" i="62"/>
  <c r="L40" i="62"/>
  <c r="L39" i="62"/>
  <c r="L36" i="62"/>
  <c r="K33" i="62"/>
  <c r="J33" i="62"/>
  <c r="L33" i="62"/>
  <c r="K31" i="62"/>
  <c r="J31" i="62"/>
  <c r="K27" i="62"/>
  <c r="J27" i="62"/>
  <c r="K15" i="62"/>
  <c r="J15" i="62"/>
  <c r="L6" i="62"/>
  <c r="AA26" i="41"/>
  <c r="K38" i="62" l="1"/>
  <c r="L24" i="62"/>
  <c r="J38" i="62"/>
  <c r="L100" i="62"/>
  <c r="K28" i="62"/>
  <c r="L27" i="62"/>
  <c r="J71" i="62"/>
  <c r="L37" i="62"/>
  <c r="K101" i="62"/>
  <c r="L31" i="62"/>
  <c r="L15" i="62"/>
  <c r="L96" i="62"/>
  <c r="L84" i="62"/>
  <c r="J101" i="62"/>
  <c r="L70" i="62"/>
  <c r="L62" i="62"/>
  <c r="L52" i="62"/>
  <c r="K71" i="62"/>
  <c r="J28" i="62"/>
  <c r="L38" i="62" l="1"/>
  <c r="K103" i="62"/>
  <c r="L28" i="62"/>
  <c r="L101" i="62"/>
  <c r="L71" i="62"/>
  <c r="J103" i="62"/>
  <c r="L103" i="62" l="1"/>
  <c r="AA44" i="55"/>
  <c r="N34" i="77" l="1"/>
  <c r="AE83" i="46" l="1"/>
  <c r="AE87" i="46"/>
  <c r="R24" i="41"/>
  <c r="U7" i="61" l="1"/>
  <c r="U8" i="61"/>
  <c r="I9" i="61"/>
  <c r="W33" i="61"/>
  <c r="S33" i="61"/>
  <c r="V24" i="15" l="1"/>
  <c r="V19" i="15"/>
  <c r="V9" i="15"/>
  <c r="V36" i="15" l="1"/>
  <c r="V35" i="15"/>
  <c r="V34" i="15"/>
  <c r="V33" i="15"/>
  <c r="V32" i="15"/>
  <c r="V31" i="15"/>
  <c r="V29" i="15"/>
  <c r="V14" i="15"/>
  <c r="V36" i="14"/>
  <c r="V35" i="14"/>
  <c r="V34" i="14"/>
  <c r="V33" i="14"/>
  <c r="V32" i="14"/>
  <c r="V31" i="14"/>
  <c r="V29" i="14"/>
  <c r="V24" i="14"/>
  <c r="V19" i="14"/>
  <c r="V14" i="14"/>
  <c r="V9" i="14"/>
  <c r="D428" i="80"/>
  <c r="V37" i="15" l="1"/>
  <c r="V37" i="14"/>
  <c r="X30" i="61"/>
  <c r="X27" i="61"/>
  <c r="X33" i="61" s="1"/>
  <c r="X20" i="61"/>
  <c r="X18" i="61"/>
  <c r="W21" i="61"/>
  <c r="X7" i="61"/>
  <c r="X8" i="61"/>
  <c r="W12" i="61"/>
  <c r="V33" i="61"/>
  <c r="V21" i="61"/>
  <c r="V12" i="61"/>
  <c r="X5" i="61"/>
  <c r="AA23" i="41"/>
  <c r="D37" i="83"/>
  <c r="E37" i="83"/>
  <c r="D40" i="83"/>
  <c r="D41" i="83" s="1"/>
  <c r="E40" i="83"/>
  <c r="E41" i="83" s="1"/>
  <c r="C40" i="83"/>
  <c r="C41" i="83" s="1"/>
  <c r="C37" i="83"/>
  <c r="D35" i="83"/>
  <c r="E35" i="83"/>
  <c r="C35" i="83"/>
  <c r="D28" i="83"/>
  <c r="D31" i="83" s="1"/>
  <c r="E28" i="83"/>
  <c r="E31" i="83" s="1"/>
  <c r="C28" i="83"/>
  <c r="C31" i="83" s="1"/>
  <c r="D24" i="83"/>
  <c r="E24" i="83"/>
  <c r="C24" i="83"/>
  <c r="D19" i="83"/>
  <c r="E19" i="83"/>
  <c r="C19" i="83"/>
  <c r="D15" i="83"/>
  <c r="E15" i="83"/>
  <c r="C15" i="83"/>
  <c r="D11" i="83"/>
  <c r="E11" i="83"/>
  <c r="C11" i="83"/>
  <c r="D8" i="83"/>
  <c r="E8" i="83"/>
  <c r="C8" i="83"/>
  <c r="J77" i="51"/>
  <c r="I77" i="51"/>
  <c r="I73" i="51"/>
  <c r="K72" i="51"/>
  <c r="K75" i="51"/>
  <c r="K77" i="51" s="1"/>
  <c r="K38" i="51"/>
  <c r="K39" i="51"/>
  <c r="J29" i="51"/>
  <c r="K26" i="51"/>
  <c r="K29" i="51" s="1"/>
  <c r="K16" i="51"/>
  <c r="K10" i="51"/>
  <c r="K11" i="51"/>
  <c r="K12" i="51"/>
  <c r="J18" i="51"/>
  <c r="J73" i="51"/>
  <c r="K70" i="51"/>
  <c r="J65" i="51"/>
  <c r="J78" i="51" s="1"/>
  <c r="I65" i="51"/>
  <c r="K58" i="51"/>
  <c r="K65" i="51" s="1"/>
  <c r="J56" i="51"/>
  <c r="I56" i="51"/>
  <c r="K51" i="51"/>
  <c r="K56" i="51" s="1"/>
  <c r="J48" i="51"/>
  <c r="I48" i="51"/>
  <c r="K47" i="51"/>
  <c r="K45" i="51"/>
  <c r="J42" i="51"/>
  <c r="I42" i="51"/>
  <c r="K40" i="51"/>
  <c r="J32" i="51"/>
  <c r="I32" i="51"/>
  <c r="K30" i="51"/>
  <c r="K32" i="51" s="1"/>
  <c r="I29" i="51"/>
  <c r="J25" i="51"/>
  <c r="I25" i="51"/>
  <c r="K24" i="51"/>
  <c r="K25" i="51" s="1"/>
  <c r="J22" i="51"/>
  <c r="I22" i="51"/>
  <c r="I18" i="51"/>
  <c r="J8" i="51"/>
  <c r="I8" i="51"/>
  <c r="K6" i="51"/>
  <c r="K8" i="51" s="1"/>
  <c r="K82" i="50"/>
  <c r="K59" i="50"/>
  <c r="K64" i="50"/>
  <c r="K66" i="50"/>
  <c r="K43" i="50"/>
  <c r="J96" i="50"/>
  <c r="I96" i="50"/>
  <c r="K93" i="50"/>
  <c r="K96" i="50" s="1"/>
  <c r="J92" i="50"/>
  <c r="I92" i="50"/>
  <c r="K89" i="50"/>
  <c r="K92" i="50" s="1"/>
  <c r="J85" i="50"/>
  <c r="I85" i="50"/>
  <c r="K84" i="50"/>
  <c r="K83" i="50"/>
  <c r="K81" i="50"/>
  <c r="K78" i="50"/>
  <c r="J75" i="50"/>
  <c r="I75" i="50"/>
  <c r="K74" i="50"/>
  <c r="K75" i="50" s="1"/>
  <c r="J73" i="50"/>
  <c r="I73" i="50"/>
  <c r="K73" i="50"/>
  <c r="J69" i="50"/>
  <c r="I69" i="50"/>
  <c r="K58" i="50"/>
  <c r="J57" i="50"/>
  <c r="I57" i="50"/>
  <c r="K54" i="50"/>
  <c r="K53" i="50"/>
  <c r="K51" i="50"/>
  <c r="J50" i="50"/>
  <c r="I50" i="50"/>
  <c r="K49" i="50"/>
  <c r="J38" i="50"/>
  <c r="I38" i="50"/>
  <c r="K35" i="50"/>
  <c r="K38" i="50" s="1"/>
  <c r="J33" i="50"/>
  <c r="I33" i="50"/>
  <c r="K30" i="50"/>
  <c r="K33" i="50" s="1"/>
  <c r="J29" i="50"/>
  <c r="I29" i="50"/>
  <c r="K26" i="50"/>
  <c r="K29" i="50" s="1"/>
  <c r="J24" i="50"/>
  <c r="I24" i="50"/>
  <c r="K23" i="50"/>
  <c r="K21" i="50"/>
  <c r="J20" i="50"/>
  <c r="I20" i="50"/>
  <c r="K16" i="50"/>
  <c r="K20" i="50" s="1"/>
  <c r="J15" i="50"/>
  <c r="I15" i="50"/>
  <c r="K14" i="50"/>
  <c r="K12" i="50"/>
  <c r="K11" i="50"/>
  <c r="K10" i="50"/>
  <c r="P101" i="49"/>
  <c r="P62" i="49"/>
  <c r="P57" i="49"/>
  <c r="P22" i="49"/>
  <c r="O119" i="49"/>
  <c r="N119" i="49"/>
  <c r="P118" i="49"/>
  <c r="P115" i="49"/>
  <c r="P119" i="49" s="1"/>
  <c r="O114" i="49"/>
  <c r="N114" i="49"/>
  <c r="P113" i="49"/>
  <c r="P112" i="49"/>
  <c r="P111" i="49"/>
  <c r="P108" i="49"/>
  <c r="P107" i="49"/>
  <c r="P106" i="49"/>
  <c r="P105" i="49"/>
  <c r="P104" i="49"/>
  <c r="O103" i="49"/>
  <c r="N103" i="49"/>
  <c r="P100" i="49"/>
  <c r="P99" i="49"/>
  <c r="P98" i="49"/>
  <c r="P97" i="49"/>
  <c r="P96" i="49"/>
  <c r="P95" i="49"/>
  <c r="P94" i="49"/>
  <c r="P93" i="49"/>
  <c r="P92" i="49"/>
  <c r="P91" i="49"/>
  <c r="P90" i="49"/>
  <c r="P89" i="49"/>
  <c r="O85" i="49"/>
  <c r="N85" i="49"/>
  <c r="P83" i="49"/>
  <c r="P82" i="49"/>
  <c r="P80" i="49"/>
  <c r="O77" i="49"/>
  <c r="N77" i="49"/>
  <c r="P74" i="49"/>
  <c r="P73" i="49"/>
  <c r="P72" i="49"/>
  <c r="P71" i="49"/>
  <c r="P70" i="49"/>
  <c r="P69" i="49"/>
  <c r="O64" i="49"/>
  <c r="N64" i="49"/>
  <c r="P63" i="49"/>
  <c r="P60" i="49"/>
  <c r="P58" i="49"/>
  <c r="P56" i="49"/>
  <c r="P55" i="49"/>
  <c r="P54" i="49"/>
  <c r="P53" i="49"/>
  <c r="P51" i="49"/>
  <c r="P50" i="49"/>
  <c r="P49" i="49"/>
  <c r="O47" i="49"/>
  <c r="N47" i="49"/>
  <c r="P45" i="49"/>
  <c r="O44" i="49"/>
  <c r="N44" i="49"/>
  <c r="P44" i="49"/>
  <c r="O42" i="49"/>
  <c r="N42" i="49"/>
  <c r="P41" i="49"/>
  <c r="P40" i="49"/>
  <c r="P42" i="49" s="1"/>
  <c r="O38" i="49"/>
  <c r="N38" i="49"/>
  <c r="P34" i="49"/>
  <c r="P38" i="49" s="1"/>
  <c r="O26" i="49"/>
  <c r="N26" i="49"/>
  <c r="P24" i="49"/>
  <c r="P23" i="49"/>
  <c r="P21" i="49"/>
  <c r="P20" i="49"/>
  <c r="P18" i="49"/>
  <c r="P17" i="49"/>
  <c r="P16" i="49"/>
  <c r="P14" i="49"/>
  <c r="P12" i="49"/>
  <c r="O11" i="49"/>
  <c r="N11" i="49"/>
  <c r="P10" i="49"/>
  <c r="P7" i="49"/>
  <c r="P6" i="49"/>
  <c r="P5" i="49"/>
  <c r="V105" i="48"/>
  <c r="U105" i="48"/>
  <c r="W104" i="48"/>
  <c r="W103" i="48"/>
  <c r="W102" i="48"/>
  <c r="W101" i="48"/>
  <c r="V100" i="48"/>
  <c r="W100" i="48" s="1"/>
  <c r="U100" i="48"/>
  <c r="W99" i="48"/>
  <c r="W98" i="48"/>
  <c r="W97" i="48"/>
  <c r="W96" i="48"/>
  <c r="W95" i="48"/>
  <c r="W94" i="48"/>
  <c r="W93" i="48"/>
  <c r="W92" i="48"/>
  <c r="V91" i="48"/>
  <c r="U91" i="48"/>
  <c r="W91" i="48" s="1"/>
  <c r="W90" i="48"/>
  <c r="W89" i="48"/>
  <c r="W88" i="48"/>
  <c r="W87" i="48"/>
  <c r="W86" i="48"/>
  <c r="W85" i="48"/>
  <c r="V83" i="48"/>
  <c r="U83" i="48"/>
  <c r="W82" i="48"/>
  <c r="W81" i="48"/>
  <c r="W80" i="48"/>
  <c r="V79" i="48"/>
  <c r="U79" i="48"/>
  <c r="W78" i="48"/>
  <c r="W77" i="48"/>
  <c r="W76" i="48"/>
  <c r="V75" i="48"/>
  <c r="U75" i="48"/>
  <c r="W74" i="48"/>
  <c r="W73" i="48"/>
  <c r="W72" i="48"/>
  <c r="V70" i="48"/>
  <c r="U70" i="48"/>
  <c r="W69" i="48"/>
  <c r="W68" i="48"/>
  <c r="W67" i="48"/>
  <c r="W66" i="48"/>
  <c r="W65" i="48"/>
  <c r="W64" i="48"/>
  <c r="V63" i="48"/>
  <c r="U63" i="48"/>
  <c r="W62" i="48"/>
  <c r="W61" i="48"/>
  <c r="W60" i="48"/>
  <c r="W59" i="48"/>
  <c r="W58" i="48"/>
  <c r="W57" i="48"/>
  <c r="W56" i="48"/>
  <c r="W55" i="48"/>
  <c r="W54" i="48"/>
  <c r="W53" i="48"/>
  <c r="W52" i="48"/>
  <c r="V51" i="48"/>
  <c r="U51" i="48"/>
  <c r="W50" i="48"/>
  <c r="W49" i="48"/>
  <c r="W48" i="48"/>
  <c r="W47" i="48"/>
  <c r="W45" i="48"/>
  <c r="W43" i="48"/>
  <c r="W42" i="48"/>
  <c r="W41" i="48"/>
  <c r="V39" i="48"/>
  <c r="U39" i="48"/>
  <c r="W38" i="48"/>
  <c r="W37" i="48"/>
  <c r="W36" i="48"/>
  <c r="W35" i="48"/>
  <c r="V34" i="48"/>
  <c r="U34" i="48"/>
  <c r="W32" i="48"/>
  <c r="W31" i="48"/>
  <c r="W30" i="48"/>
  <c r="V29" i="48"/>
  <c r="U29" i="48"/>
  <c r="W28" i="48"/>
  <c r="J53" i="77"/>
  <c r="H53" i="77"/>
  <c r="G53" i="77"/>
  <c r="D34" i="77"/>
  <c r="K22" i="51"/>
  <c r="J97" i="50"/>
  <c r="P47" i="49"/>
  <c r="AC54" i="55"/>
  <c r="AC59" i="55" s="1"/>
  <c r="AC25" i="55"/>
  <c r="AB66" i="55"/>
  <c r="AA66" i="55"/>
  <c r="AC65" i="55"/>
  <c r="AC64" i="55"/>
  <c r="AC62" i="55"/>
  <c r="AC61" i="55"/>
  <c r="AB59" i="55"/>
  <c r="AA59" i="55"/>
  <c r="AB49" i="55"/>
  <c r="AB50" i="55" s="1"/>
  <c r="AA49" i="55"/>
  <c r="AA50" i="55" s="1"/>
  <c r="AC48" i="55"/>
  <c r="AC49" i="55" s="1"/>
  <c r="AC50" i="55" s="1"/>
  <c r="AB44" i="55"/>
  <c r="AC42" i="55"/>
  <c r="AC41" i="55"/>
  <c r="AC40" i="55"/>
  <c r="AB39" i="55"/>
  <c r="AA39" i="55"/>
  <c r="AA47" i="55" s="1"/>
  <c r="AC36" i="55"/>
  <c r="AC39" i="55" s="1"/>
  <c r="AB28" i="55"/>
  <c r="AA28" i="55"/>
  <c r="AC27" i="55"/>
  <c r="AC26" i="55"/>
  <c r="AB15" i="55"/>
  <c r="AB29" i="55" s="1"/>
  <c r="AA15" i="55"/>
  <c r="AC14" i="55"/>
  <c r="AC13" i="55"/>
  <c r="AC12" i="55"/>
  <c r="AC11" i="55"/>
  <c r="AC10" i="55"/>
  <c r="AC9" i="55"/>
  <c r="AC7" i="55"/>
  <c r="AC6" i="55"/>
  <c r="AC5" i="55"/>
  <c r="M102" i="47"/>
  <c r="L102" i="47"/>
  <c r="M98" i="47"/>
  <c r="L98" i="47"/>
  <c r="M88" i="47"/>
  <c r="L88" i="47"/>
  <c r="N88" i="47" s="1"/>
  <c r="M84" i="47"/>
  <c r="L84" i="47"/>
  <c r="M73" i="47"/>
  <c r="L73" i="47"/>
  <c r="M64" i="47"/>
  <c r="L64" i="47"/>
  <c r="M56" i="47"/>
  <c r="L56" i="47"/>
  <c r="M49" i="47"/>
  <c r="L49" i="47"/>
  <c r="M37" i="47"/>
  <c r="L37" i="47"/>
  <c r="M25" i="47"/>
  <c r="L25" i="47"/>
  <c r="M21" i="47"/>
  <c r="L21" i="47"/>
  <c r="M16" i="47"/>
  <c r="M26" i="47" s="1"/>
  <c r="L16" i="47"/>
  <c r="M106" i="47"/>
  <c r="M107" i="47"/>
  <c r="L106" i="47"/>
  <c r="N105" i="47"/>
  <c r="N106" i="47" s="1"/>
  <c r="N104" i="47"/>
  <c r="N103" i="47"/>
  <c r="N101" i="47"/>
  <c r="N102" i="47" s="1"/>
  <c r="N100" i="47"/>
  <c r="N99" i="47"/>
  <c r="N97" i="47"/>
  <c r="N96" i="47"/>
  <c r="N95" i="47"/>
  <c r="M93" i="47"/>
  <c r="L93" i="47"/>
  <c r="N92" i="47"/>
  <c r="N91" i="47"/>
  <c r="N90" i="47"/>
  <c r="N89" i="47"/>
  <c r="N87" i="47"/>
  <c r="N86" i="47"/>
  <c r="N85" i="47"/>
  <c r="N83" i="47"/>
  <c r="N82" i="47"/>
  <c r="N81" i="47"/>
  <c r="N80" i="47"/>
  <c r="M78" i="47"/>
  <c r="L78" i="47"/>
  <c r="N77" i="47"/>
  <c r="N76" i="47"/>
  <c r="N75" i="47"/>
  <c r="N74" i="47"/>
  <c r="N72" i="47"/>
  <c r="N71" i="47"/>
  <c r="N70" i="47"/>
  <c r="N69" i="47"/>
  <c r="N68" i="47"/>
  <c r="N67" i="47"/>
  <c r="N66" i="47"/>
  <c r="N65" i="47"/>
  <c r="N63" i="47"/>
  <c r="N62" i="47"/>
  <c r="N61" i="47"/>
  <c r="N60" i="47"/>
  <c r="N59" i="47"/>
  <c r="N58" i="47"/>
  <c r="N55" i="47"/>
  <c r="N54" i="47"/>
  <c r="N53" i="47"/>
  <c r="N52" i="47"/>
  <c r="N51" i="47"/>
  <c r="N50" i="47"/>
  <c r="N48" i="47"/>
  <c r="N47" i="47"/>
  <c r="N46" i="47"/>
  <c r="N45" i="47"/>
  <c r="N44" i="47"/>
  <c r="N43" i="47"/>
  <c r="N42" i="47"/>
  <c r="N41" i="47"/>
  <c r="N40" i="47"/>
  <c r="N39" i="47"/>
  <c r="N38" i="47"/>
  <c r="N36" i="47"/>
  <c r="N35" i="47"/>
  <c r="N34" i="47"/>
  <c r="N33" i="47"/>
  <c r="N32" i="47"/>
  <c r="N31" i="47"/>
  <c r="N30" i="47"/>
  <c r="N29" i="47"/>
  <c r="N28" i="47"/>
  <c r="N27" i="47"/>
  <c r="N24" i="47"/>
  <c r="N23" i="47"/>
  <c r="N25" i="47" s="1"/>
  <c r="N22" i="47"/>
  <c r="N20" i="47"/>
  <c r="N19" i="47"/>
  <c r="N18" i="47"/>
  <c r="N17" i="47"/>
  <c r="N15" i="47"/>
  <c r="N14" i="47"/>
  <c r="N13" i="47"/>
  <c r="N12" i="47"/>
  <c r="N11" i="47"/>
  <c r="N10" i="47"/>
  <c r="N9" i="47"/>
  <c r="N8" i="47"/>
  <c r="N7" i="47"/>
  <c r="N6" i="47"/>
  <c r="AI95" i="46"/>
  <c r="AH92" i="46"/>
  <c r="AG92" i="46"/>
  <c r="AH87" i="46"/>
  <c r="AG87" i="46"/>
  <c r="AH83" i="46"/>
  <c r="AG83" i="46"/>
  <c r="AH77" i="46"/>
  <c r="AG77" i="46"/>
  <c r="AH72" i="46"/>
  <c r="AG72" i="46"/>
  <c r="AH63" i="46"/>
  <c r="AG63" i="46"/>
  <c r="AH55" i="46"/>
  <c r="AG55" i="46"/>
  <c r="AH48" i="46"/>
  <c r="AG48" i="46"/>
  <c r="AH36" i="46"/>
  <c r="AG36" i="46"/>
  <c r="AH25" i="46"/>
  <c r="AG25" i="46"/>
  <c r="AH21" i="46"/>
  <c r="AG21" i="46"/>
  <c r="AH16" i="46"/>
  <c r="AG16" i="46"/>
  <c r="AI16" i="46" s="1"/>
  <c r="AH104" i="46"/>
  <c r="AI101" i="46"/>
  <c r="AI103" i="46" s="1"/>
  <c r="AI99" i="46"/>
  <c r="AI97" i="46"/>
  <c r="AI94" i="46"/>
  <c r="AI91" i="46"/>
  <c r="AI90" i="46"/>
  <c r="AI89" i="46"/>
  <c r="AI88" i="46"/>
  <c r="AI86" i="46"/>
  <c r="AI85" i="46"/>
  <c r="AI84" i="46"/>
  <c r="AI82" i="46"/>
  <c r="AI81" i="46"/>
  <c r="AI80" i="46"/>
  <c r="AI79" i="46"/>
  <c r="AI76" i="46"/>
  <c r="AI75" i="46"/>
  <c r="AI74" i="46"/>
  <c r="AI73" i="46"/>
  <c r="AI71" i="46"/>
  <c r="AI70" i="46"/>
  <c r="AI69" i="46"/>
  <c r="AI68" i="46"/>
  <c r="AI67" i="46"/>
  <c r="AI66" i="46"/>
  <c r="AI65" i="46"/>
  <c r="AI64" i="46"/>
  <c r="AI62" i="46"/>
  <c r="AI61" i="46"/>
  <c r="AI60" i="46"/>
  <c r="AI59" i="46"/>
  <c r="AI58" i="46"/>
  <c r="AI57" i="46"/>
  <c r="AI54" i="46"/>
  <c r="AI53" i="46"/>
  <c r="AI52" i="46"/>
  <c r="AI51" i="46"/>
  <c r="AI50" i="46"/>
  <c r="AI49" i="46"/>
  <c r="AI47" i="46"/>
  <c r="AI46" i="46"/>
  <c r="AI45" i="46"/>
  <c r="AI44" i="46"/>
  <c r="AI43" i="46"/>
  <c r="AI42" i="46"/>
  <c r="AI41" i="46"/>
  <c r="AI40" i="46"/>
  <c r="AI39" i="46"/>
  <c r="AI38" i="46"/>
  <c r="AI37" i="46"/>
  <c r="AI35" i="46"/>
  <c r="AI34" i="46"/>
  <c r="AI33" i="46"/>
  <c r="AI31" i="46"/>
  <c r="AI30" i="46"/>
  <c r="AI29" i="46"/>
  <c r="AI28" i="46"/>
  <c r="AI27" i="46"/>
  <c r="AI24" i="46"/>
  <c r="AI23" i="46"/>
  <c r="AI22" i="46"/>
  <c r="AI20" i="46"/>
  <c r="AI19" i="46"/>
  <c r="AI18" i="46"/>
  <c r="AI17" i="46"/>
  <c r="AI15" i="46"/>
  <c r="AI14" i="46"/>
  <c r="AI13" i="46"/>
  <c r="AI12" i="46"/>
  <c r="AI11" i="46"/>
  <c r="AI10" i="46"/>
  <c r="AI9" i="46"/>
  <c r="AI8" i="46"/>
  <c r="AI7" i="46"/>
  <c r="AI6" i="46"/>
  <c r="Z63" i="45"/>
  <c r="Z64" i="45" s="1"/>
  <c r="Z30" i="45"/>
  <c r="Z79" i="45"/>
  <c r="Z80" i="45" s="1"/>
  <c r="Y79" i="45"/>
  <c r="Y80" i="45" s="1"/>
  <c r="X79" i="45"/>
  <c r="X80" i="45" s="1"/>
  <c r="Z73" i="45"/>
  <c r="Y73" i="45"/>
  <c r="X73" i="45"/>
  <c r="Z68" i="45"/>
  <c r="Y68" i="45"/>
  <c r="X68" i="45"/>
  <c r="Y64" i="45"/>
  <c r="X64" i="45"/>
  <c r="Y59" i="45"/>
  <c r="X59" i="45"/>
  <c r="Z58" i="45"/>
  <c r="Z59" i="45" s="1"/>
  <c r="Y50" i="45"/>
  <c r="X50" i="45"/>
  <c r="Z48" i="45"/>
  <c r="Z45" i="45"/>
  <c r="Y43" i="45"/>
  <c r="X43" i="45"/>
  <c r="Z43" i="45"/>
  <c r="Y37" i="45"/>
  <c r="X37" i="45"/>
  <c r="Z29" i="45"/>
  <c r="Y28" i="45"/>
  <c r="X28" i="45"/>
  <c r="Z23" i="45"/>
  <c r="Z28" i="45" s="1"/>
  <c r="Y20" i="45"/>
  <c r="X20" i="45"/>
  <c r="Z18" i="45"/>
  <c r="Z20" i="45" s="1"/>
  <c r="Z17" i="45"/>
  <c r="Y17" i="45"/>
  <c r="X17" i="45"/>
  <c r="Y12" i="45"/>
  <c r="X12" i="45"/>
  <c r="Z6" i="45"/>
  <c r="Z12" i="45" s="1"/>
  <c r="V101" i="44"/>
  <c r="U101" i="44"/>
  <c r="V97" i="44"/>
  <c r="U97" i="44"/>
  <c r="V105" i="44"/>
  <c r="U105" i="44"/>
  <c r="V92" i="44"/>
  <c r="V93" i="44" s="1"/>
  <c r="U92" i="44"/>
  <c r="V87" i="44"/>
  <c r="U87" i="44"/>
  <c r="W87" i="44" s="1"/>
  <c r="V83" i="44"/>
  <c r="U83" i="44"/>
  <c r="V77" i="44"/>
  <c r="U77" i="44"/>
  <c r="V72" i="44"/>
  <c r="U72" i="44"/>
  <c r="V63" i="44"/>
  <c r="U63" i="44"/>
  <c r="V55" i="44"/>
  <c r="U55" i="44"/>
  <c r="V48" i="44"/>
  <c r="U48" i="44"/>
  <c r="V36" i="44"/>
  <c r="U36" i="44"/>
  <c r="W26" i="44"/>
  <c r="V20" i="44"/>
  <c r="U20" i="44"/>
  <c r="V15" i="44"/>
  <c r="U15" i="44"/>
  <c r="W104" i="44"/>
  <c r="W103" i="44"/>
  <c r="W102" i="44"/>
  <c r="W100" i="44"/>
  <c r="W99" i="44"/>
  <c r="W98" i="44"/>
  <c r="W101" i="44" s="1"/>
  <c r="W96" i="44"/>
  <c r="W95" i="44"/>
  <c r="W94" i="44"/>
  <c r="W91" i="44"/>
  <c r="W90" i="44"/>
  <c r="W89" i="44"/>
  <c r="W88" i="44"/>
  <c r="W86" i="44"/>
  <c r="W85" i="44"/>
  <c r="W84" i="44"/>
  <c r="W82" i="44"/>
  <c r="W81" i="44"/>
  <c r="W80" i="44"/>
  <c r="W79" i="44"/>
  <c r="W76" i="44"/>
  <c r="W75" i="44"/>
  <c r="W74" i="44"/>
  <c r="W73" i="44"/>
  <c r="W71" i="44"/>
  <c r="W70" i="44"/>
  <c r="W69" i="44"/>
  <c r="W68" i="44"/>
  <c r="W67" i="44"/>
  <c r="W66" i="44"/>
  <c r="W65" i="44"/>
  <c r="W64" i="44"/>
  <c r="W62" i="44"/>
  <c r="W61" i="44"/>
  <c r="W60" i="44"/>
  <c r="W59" i="44"/>
  <c r="W58" i="44"/>
  <c r="W57" i="44"/>
  <c r="W54" i="44"/>
  <c r="W53" i="44"/>
  <c r="W52" i="44"/>
  <c r="W51" i="44"/>
  <c r="W50" i="44"/>
  <c r="W49" i="44"/>
  <c r="W47" i="44"/>
  <c r="W46" i="44"/>
  <c r="W45" i="44"/>
  <c r="W44" i="44"/>
  <c r="W43" i="44"/>
  <c r="W42" i="44"/>
  <c r="W41" i="44"/>
  <c r="W40" i="44"/>
  <c r="W39" i="44"/>
  <c r="W38" i="44"/>
  <c r="W37" i="44"/>
  <c r="W35" i="44"/>
  <c r="W34" i="44"/>
  <c r="W33" i="44"/>
  <c r="W32" i="44"/>
  <c r="W31" i="44"/>
  <c r="W30" i="44"/>
  <c r="W29" i="44"/>
  <c r="W28" i="44"/>
  <c r="W27" i="44"/>
  <c r="V24" i="44"/>
  <c r="U24" i="44"/>
  <c r="W23" i="44"/>
  <c r="W22" i="44"/>
  <c r="W21" i="44"/>
  <c r="W19" i="44"/>
  <c r="W18" i="44"/>
  <c r="W17" i="44"/>
  <c r="W16" i="44"/>
  <c r="W14" i="44"/>
  <c r="W13" i="44"/>
  <c r="W12" i="44"/>
  <c r="W11" i="44"/>
  <c r="W10" i="44"/>
  <c r="W9" i="44"/>
  <c r="W8" i="44"/>
  <c r="W7" i="44"/>
  <c r="W6" i="44"/>
  <c r="W5" i="44"/>
  <c r="AI100" i="46"/>
  <c r="AI36" i="46"/>
  <c r="AG104" i="46"/>
  <c r="Z37" i="45"/>
  <c r="H73" i="76"/>
  <c r="G73" i="76"/>
  <c r="F73" i="76"/>
  <c r="E73" i="76"/>
  <c r="D73" i="76"/>
  <c r="C73" i="76"/>
  <c r="B73" i="76"/>
  <c r="I72" i="76"/>
  <c r="I71" i="76"/>
  <c r="I70" i="76"/>
  <c r="I69" i="76"/>
  <c r="I68" i="76"/>
  <c r="P116" i="74"/>
  <c r="P95" i="74"/>
  <c r="P74" i="74"/>
  <c r="P63" i="74"/>
  <c r="P42" i="74"/>
  <c r="P24" i="74"/>
  <c r="J18" i="81"/>
  <c r="I18" i="81"/>
  <c r="H18" i="81"/>
  <c r="E18" i="81"/>
  <c r="CN11" i="36"/>
  <c r="Y15" i="24"/>
  <c r="Y18" i="24" s="1"/>
  <c r="Y27" i="24"/>
  <c r="Y26" i="24"/>
  <c r="Y25" i="24"/>
  <c r="Y17" i="24"/>
  <c r="Y16" i="24"/>
  <c r="Y11" i="24"/>
  <c r="Y10" i="24"/>
  <c r="Y7" i="24"/>
  <c r="Y33" i="24" s="1"/>
  <c r="Y6" i="24"/>
  <c r="Y5" i="24"/>
  <c r="Y8" i="24" s="1"/>
  <c r="AC36" i="23"/>
  <c r="O63" i="40"/>
  <c r="N63" i="40"/>
  <c r="M63" i="40"/>
  <c r="L63" i="40"/>
  <c r="I63" i="40"/>
  <c r="H63" i="40"/>
  <c r="E63" i="40"/>
  <c r="D63" i="40"/>
  <c r="C63" i="40"/>
  <c r="P62" i="40"/>
  <c r="J62" i="40"/>
  <c r="F62" i="40"/>
  <c r="Q62" i="40" s="1"/>
  <c r="P61" i="40"/>
  <c r="J61" i="40"/>
  <c r="J63" i="40" s="1"/>
  <c r="F61" i="40"/>
  <c r="O59" i="40"/>
  <c r="N59" i="40"/>
  <c r="M59" i="40"/>
  <c r="L59" i="40"/>
  <c r="I59" i="40"/>
  <c r="H59" i="40"/>
  <c r="E59" i="40"/>
  <c r="D59" i="40"/>
  <c r="C59" i="40"/>
  <c r="P58" i="40"/>
  <c r="J58" i="40"/>
  <c r="J59" i="40" s="1"/>
  <c r="F58" i="40"/>
  <c r="P57" i="40"/>
  <c r="J57" i="40"/>
  <c r="F57" i="40"/>
  <c r="P56" i="40"/>
  <c r="J56" i="40"/>
  <c r="F56" i="40"/>
  <c r="O54" i="40"/>
  <c r="N54" i="40"/>
  <c r="M54" i="40"/>
  <c r="L54" i="40"/>
  <c r="I54" i="40"/>
  <c r="H54" i="40"/>
  <c r="E54" i="40"/>
  <c r="D54" i="40"/>
  <c r="C54" i="40"/>
  <c r="P53" i="40"/>
  <c r="J53" i="40"/>
  <c r="K53" i="40" s="1"/>
  <c r="R53" i="40" s="1"/>
  <c r="F53" i="40"/>
  <c r="P52" i="40"/>
  <c r="J52" i="40"/>
  <c r="Q52" i="40" s="1"/>
  <c r="F52" i="40"/>
  <c r="P51" i="40"/>
  <c r="J51" i="40"/>
  <c r="Q51" i="40" s="1"/>
  <c r="F51" i="40"/>
  <c r="P50" i="40"/>
  <c r="J50" i="40"/>
  <c r="F50" i="40"/>
  <c r="Q50" i="40" s="1"/>
  <c r="O48" i="40"/>
  <c r="N48" i="40"/>
  <c r="M48" i="40"/>
  <c r="L48" i="40"/>
  <c r="I48" i="40"/>
  <c r="H48" i="40"/>
  <c r="E48" i="40"/>
  <c r="D48" i="40"/>
  <c r="C48" i="40"/>
  <c r="P47" i="40"/>
  <c r="J47" i="40"/>
  <c r="F47" i="40"/>
  <c r="F48" i="40" s="1"/>
  <c r="P46" i="40"/>
  <c r="J46" i="40"/>
  <c r="F46" i="40"/>
  <c r="P45" i="40"/>
  <c r="J45" i="40"/>
  <c r="K45" i="40" s="1"/>
  <c r="R45" i="40" s="1"/>
  <c r="F45" i="40"/>
  <c r="O43" i="40"/>
  <c r="N43" i="40"/>
  <c r="M43" i="40"/>
  <c r="L43" i="40"/>
  <c r="I43" i="40"/>
  <c r="H43" i="40"/>
  <c r="H65" i="40" s="1"/>
  <c r="G43" i="40"/>
  <c r="G65" i="40" s="1"/>
  <c r="E43" i="40"/>
  <c r="D43" i="40"/>
  <c r="C43" i="40"/>
  <c r="P43" i="40"/>
  <c r="Q57" i="40"/>
  <c r="K57" i="40"/>
  <c r="R57" i="40" s="1"/>
  <c r="F63" i="26"/>
  <c r="D63" i="26"/>
  <c r="H63" i="26" s="1"/>
  <c r="C63" i="26"/>
  <c r="H62" i="26"/>
  <c r="G62" i="26"/>
  <c r="I62" i="26" s="1"/>
  <c r="E62" i="26"/>
  <c r="H61" i="26"/>
  <c r="G61" i="26"/>
  <c r="I61" i="26" s="1"/>
  <c r="E61" i="26"/>
  <c r="H60" i="26"/>
  <c r="G60" i="26"/>
  <c r="I60" i="26" s="1"/>
  <c r="E60" i="26"/>
  <c r="E63" i="26" s="1"/>
  <c r="F58" i="26"/>
  <c r="D58" i="26"/>
  <c r="C58" i="26"/>
  <c r="I57" i="26"/>
  <c r="H57" i="26"/>
  <c r="E57" i="26"/>
  <c r="I56" i="26"/>
  <c r="H56" i="26"/>
  <c r="E56" i="26"/>
  <c r="H55" i="26"/>
  <c r="G55" i="26"/>
  <c r="I55" i="26" s="1"/>
  <c r="E55" i="26"/>
  <c r="F53" i="26"/>
  <c r="D53" i="26"/>
  <c r="C53" i="26"/>
  <c r="H52" i="26"/>
  <c r="G52" i="26"/>
  <c r="I52" i="26" s="1"/>
  <c r="E52" i="26"/>
  <c r="I51" i="26"/>
  <c r="H51" i="26"/>
  <c r="E51" i="26"/>
  <c r="E53" i="26" s="1"/>
  <c r="H50" i="26"/>
  <c r="G50" i="26"/>
  <c r="I50" i="26" s="1"/>
  <c r="E50" i="26"/>
  <c r="F48" i="26"/>
  <c r="G48" i="26" s="1"/>
  <c r="I48" i="26" s="1"/>
  <c r="D48" i="26"/>
  <c r="C48" i="26"/>
  <c r="H47" i="26"/>
  <c r="G47" i="26"/>
  <c r="I47" i="26" s="1"/>
  <c r="E47" i="26"/>
  <c r="H46" i="26"/>
  <c r="G46" i="26"/>
  <c r="I46" i="26"/>
  <c r="E46" i="26"/>
  <c r="I45" i="26"/>
  <c r="H45" i="26"/>
  <c r="E45" i="26"/>
  <c r="F43" i="26"/>
  <c r="D43" i="26"/>
  <c r="C43" i="26"/>
  <c r="H42" i="26"/>
  <c r="G42" i="26"/>
  <c r="I42" i="26" s="1"/>
  <c r="E42" i="26"/>
  <c r="H41" i="26"/>
  <c r="G41" i="26"/>
  <c r="I41" i="26" s="1"/>
  <c r="E41" i="26"/>
  <c r="H40" i="26"/>
  <c r="G40" i="26"/>
  <c r="I40" i="26" s="1"/>
  <c r="E40" i="26"/>
  <c r="G63" i="26"/>
  <c r="I63" i="26" s="1"/>
  <c r="AF60" i="81"/>
  <c r="AF101" i="81"/>
  <c r="G22" i="81"/>
  <c r="F22" i="81"/>
  <c r="D22" i="81"/>
  <c r="C22" i="81"/>
  <c r="J21" i="81"/>
  <c r="I21" i="81"/>
  <c r="H21" i="81"/>
  <c r="E21" i="81"/>
  <c r="J20" i="81"/>
  <c r="I20" i="81"/>
  <c r="H20" i="81"/>
  <c r="E20" i="81"/>
  <c r="J19" i="81"/>
  <c r="I19" i="81"/>
  <c r="H19" i="81"/>
  <c r="E19" i="81"/>
  <c r="J17" i="81"/>
  <c r="I17" i="81"/>
  <c r="K17" i="81" s="1"/>
  <c r="H17" i="81"/>
  <c r="E17" i="81"/>
  <c r="J16" i="81"/>
  <c r="J22" i="81" s="1"/>
  <c r="I16" i="81"/>
  <c r="H16" i="81"/>
  <c r="H22" i="81" s="1"/>
  <c r="E16" i="81"/>
  <c r="K20" i="81"/>
  <c r="AF22" i="81"/>
  <c r="K18" i="81"/>
  <c r="Z81" i="70"/>
  <c r="Y81" i="70"/>
  <c r="X81" i="70"/>
  <c r="W81" i="70"/>
  <c r="AA80" i="70"/>
  <c r="AA79" i="70"/>
  <c r="AA78" i="70"/>
  <c r="AA81" i="70" s="1"/>
  <c r="AA77" i="70"/>
  <c r="Z76" i="70"/>
  <c r="Y76" i="70"/>
  <c r="X76" i="70"/>
  <c r="W76" i="70"/>
  <c r="AA75" i="70"/>
  <c r="AA74" i="70"/>
  <c r="AA73" i="70"/>
  <c r="AA72" i="70"/>
  <c r="Z71" i="70"/>
  <c r="Z82" i="70"/>
  <c r="Y71" i="70"/>
  <c r="Y82" i="70" s="1"/>
  <c r="X71" i="70"/>
  <c r="W71" i="70"/>
  <c r="AA70" i="70"/>
  <c r="AA69" i="70"/>
  <c r="AA68" i="70"/>
  <c r="AA67" i="70"/>
  <c r="Z65" i="70"/>
  <c r="Y65" i="70"/>
  <c r="X65" i="70"/>
  <c r="W65" i="70"/>
  <c r="AA64" i="70"/>
  <c r="AA63" i="70"/>
  <c r="AA62" i="70"/>
  <c r="Z61" i="70"/>
  <c r="Y61" i="70"/>
  <c r="X61" i="70"/>
  <c r="W61" i="70"/>
  <c r="AA60" i="70"/>
  <c r="AA59" i="70"/>
  <c r="AA58" i="70"/>
  <c r="Z57" i="70"/>
  <c r="Y57" i="70"/>
  <c r="X57" i="70"/>
  <c r="W57" i="70"/>
  <c r="AA56" i="70"/>
  <c r="AA55" i="70"/>
  <c r="AA54" i="70"/>
  <c r="Z52" i="70"/>
  <c r="Y52" i="70"/>
  <c r="X52" i="70"/>
  <c r="W52" i="70"/>
  <c r="AA51" i="70"/>
  <c r="AA50" i="70"/>
  <c r="AA49" i="70"/>
  <c r="AA48" i="70"/>
  <c r="AA47" i="70"/>
  <c r="Z46" i="70"/>
  <c r="Y46" i="70"/>
  <c r="X46" i="70"/>
  <c r="W46" i="70"/>
  <c r="AA45" i="70"/>
  <c r="AA44" i="70"/>
  <c r="AA43" i="70"/>
  <c r="AA42" i="70"/>
  <c r="Z41" i="70"/>
  <c r="Y41" i="70"/>
  <c r="Y53" i="70" s="1"/>
  <c r="X41" i="70"/>
  <c r="X53" i="70" s="1"/>
  <c r="W41" i="70"/>
  <c r="AA40" i="70"/>
  <c r="AA39" i="70"/>
  <c r="AA38" i="70"/>
  <c r="AA37" i="70"/>
  <c r="AA36" i="70"/>
  <c r="Z34" i="70"/>
  <c r="Y34" i="70"/>
  <c r="X34" i="70"/>
  <c r="W34" i="70"/>
  <c r="AA33" i="70"/>
  <c r="AA32" i="70"/>
  <c r="AA31" i="70"/>
  <c r="Z30" i="70"/>
  <c r="Y30" i="70"/>
  <c r="X30" i="70"/>
  <c r="W30" i="70"/>
  <c r="AA29" i="70"/>
  <c r="AA28" i="70"/>
  <c r="AA27" i="70"/>
  <c r="Z26" i="70"/>
  <c r="Y26" i="70"/>
  <c r="X26" i="70"/>
  <c r="W26" i="70"/>
  <c r="AA25" i="70"/>
  <c r="AA24" i="70"/>
  <c r="AA23" i="70"/>
  <c r="Z21" i="70"/>
  <c r="Y21" i="70"/>
  <c r="X21" i="70"/>
  <c r="W21" i="70"/>
  <c r="AA20" i="70"/>
  <c r="AA19" i="70"/>
  <c r="AA18" i="70"/>
  <c r="AA17" i="70"/>
  <c r="Z16" i="70"/>
  <c r="Y16" i="70"/>
  <c r="X16" i="70"/>
  <c r="W16" i="70"/>
  <c r="AA15" i="70"/>
  <c r="AA14" i="70"/>
  <c r="AA13" i="70"/>
  <c r="AA12" i="70"/>
  <c r="AA11" i="70"/>
  <c r="Z10" i="70"/>
  <c r="Z22" i="70" s="1"/>
  <c r="Y10" i="70"/>
  <c r="X10" i="70"/>
  <c r="X22" i="70" s="1"/>
  <c r="W10" i="70"/>
  <c r="W22" i="70" s="1"/>
  <c r="AA9" i="70"/>
  <c r="AA8" i="70"/>
  <c r="AA7" i="70"/>
  <c r="AA6" i="70"/>
  <c r="AA5" i="70"/>
  <c r="U35" i="71"/>
  <c r="U34" i="71"/>
  <c r="U33" i="71"/>
  <c r="U32" i="71"/>
  <c r="U31" i="71"/>
  <c r="U30" i="71"/>
  <c r="U28" i="71"/>
  <c r="U23" i="71"/>
  <c r="U18" i="71"/>
  <c r="U13" i="71"/>
  <c r="U8" i="71"/>
  <c r="Z35" i="70"/>
  <c r="AA76" i="70"/>
  <c r="Z66" i="70"/>
  <c r="Y22" i="70"/>
  <c r="CU10" i="68"/>
  <c r="CU11" i="68"/>
  <c r="CU15" i="68"/>
  <c r="CU20" i="68"/>
  <c r="CU21" i="68"/>
  <c r="CU22" i="68"/>
  <c r="CU23" i="68"/>
  <c r="CU24" i="68"/>
  <c r="CU25" i="68"/>
  <c r="CT10" i="68"/>
  <c r="CT15" i="68"/>
  <c r="CT20" i="68"/>
  <c r="CT21" i="68"/>
  <c r="CT23" i="68"/>
  <c r="CT25" i="68"/>
  <c r="CS10" i="68"/>
  <c r="CS15" i="68"/>
  <c r="CS20" i="68"/>
  <c r="CS25" i="68"/>
  <c r="BA174" i="68"/>
  <c r="V233" i="34"/>
  <c r="V232" i="34"/>
  <c r="V215" i="34"/>
  <c r="V206" i="34"/>
  <c r="V164" i="34"/>
  <c r="BZ42" i="64"/>
  <c r="CS7" i="68" s="1"/>
  <c r="BX8" i="64"/>
  <c r="BY8" i="64"/>
  <c r="BZ41" i="64"/>
  <c r="CS6" i="68" s="1"/>
  <c r="BY6" i="64"/>
  <c r="BW44" i="64"/>
  <c r="AZ138" i="65"/>
  <c r="AY138" i="65"/>
  <c r="AZ137" i="65"/>
  <c r="AY137" i="65"/>
  <c r="AZ136" i="65"/>
  <c r="BA136" i="65" s="1"/>
  <c r="AY136" i="65"/>
  <c r="AZ133" i="65"/>
  <c r="AY133" i="65"/>
  <c r="AZ132" i="65"/>
  <c r="AY132" i="65"/>
  <c r="AZ131" i="65"/>
  <c r="AY131" i="65"/>
  <c r="AZ128" i="65"/>
  <c r="AZ143" i="65" s="1"/>
  <c r="AY128" i="65"/>
  <c r="AZ127" i="65"/>
  <c r="AY127" i="65"/>
  <c r="AZ126" i="65"/>
  <c r="AY126" i="65"/>
  <c r="AZ123" i="65"/>
  <c r="AZ146" i="65" s="1"/>
  <c r="AY123" i="65"/>
  <c r="AY146" i="65" s="1"/>
  <c r="AZ122" i="65"/>
  <c r="AZ145" i="65" s="1"/>
  <c r="AY122" i="65"/>
  <c r="AY145" i="65" s="1"/>
  <c r="AZ121" i="65"/>
  <c r="AY121" i="65"/>
  <c r="AZ118" i="65"/>
  <c r="AY118" i="65"/>
  <c r="AZ117" i="65"/>
  <c r="AY117" i="65"/>
  <c r="BA117" i="65" s="1"/>
  <c r="AZ116" i="65"/>
  <c r="AY116" i="65"/>
  <c r="AZ107" i="65"/>
  <c r="AY107" i="65"/>
  <c r="AZ106" i="65"/>
  <c r="AY106" i="65"/>
  <c r="AZ105" i="65"/>
  <c r="AY105" i="65"/>
  <c r="AY108" i="65" s="1"/>
  <c r="AZ104" i="65"/>
  <c r="AY104" i="65"/>
  <c r="AZ103" i="65"/>
  <c r="AY103" i="65"/>
  <c r="AZ102" i="65"/>
  <c r="AZ108" i="65" s="1"/>
  <c r="AY102" i="65"/>
  <c r="AZ100" i="65"/>
  <c r="AY100" i="65"/>
  <c r="BA100" i="65" s="1"/>
  <c r="BA99" i="65"/>
  <c r="BA98" i="65"/>
  <c r="BA97" i="65"/>
  <c r="AZ95" i="65"/>
  <c r="AY95" i="65"/>
  <c r="BA95" i="65" s="1"/>
  <c r="BA94" i="65"/>
  <c r="BA93" i="65"/>
  <c r="BA92" i="65"/>
  <c r="AY90" i="65"/>
  <c r="BA90" i="65" s="1"/>
  <c r="BA89" i="65"/>
  <c r="BA107" i="65" s="1"/>
  <c r="BA88" i="65"/>
  <c r="BA106" i="65" s="1"/>
  <c r="BA87" i="65"/>
  <c r="BA103" i="65" s="1"/>
  <c r="AZ85" i="65"/>
  <c r="AY85" i="65"/>
  <c r="BA84" i="65"/>
  <c r="BA83" i="65"/>
  <c r="BA82" i="65"/>
  <c r="BA102" i="65" s="1"/>
  <c r="AZ74" i="65"/>
  <c r="AY74" i="65"/>
  <c r="BA74" i="65" s="1"/>
  <c r="AZ73" i="65"/>
  <c r="AY73" i="65"/>
  <c r="BA73" i="65" s="1"/>
  <c r="AZ72" i="65"/>
  <c r="AY72" i="65"/>
  <c r="AZ71" i="65"/>
  <c r="AY71" i="65"/>
  <c r="AZ70" i="65"/>
  <c r="AY70" i="65"/>
  <c r="BA70" i="65" s="1"/>
  <c r="AZ69" i="65"/>
  <c r="AY69" i="65"/>
  <c r="AZ67" i="65"/>
  <c r="AY67" i="65"/>
  <c r="BA66" i="65"/>
  <c r="BA65" i="65"/>
  <c r="BA64" i="65"/>
  <c r="BA61" i="65"/>
  <c r="BA60" i="65"/>
  <c r="BA59" i="65"/>
  <c r="AZ57" i="65"/>
  <c r="AY57" i="65"/>
  <c r="BA57" i="65" s="1"/>
  <c r="BA56" i="65"/>
  <c r="BA55" i="65"/>
  <c r="BA54" i="65"/>
  <c r="AZ52" i="65"/>
  <c r="BA52" i="65" s="1"/>
  <c r="BA51" i="65"/>
  <c r="BA50" i="65"/>
  <c r="BA49" i="65"/>
  <c r="AZ47" i="65"/>
  <c r="BA47" i="65" s="1"/>
  <c r="AY47" i="65"/>
  <c r="BA46" i="65"/>
  <c r="BA45" i="65"/>
  <c r="BA44" i="65"/>
  <c r="AZ36" i="65"/>
  <c r="AY36" i="65"/>
  <c r="BA36" i="65"/>
  <c r="AZ35" i="65"/>
  <c r="BA35" i="65" s="1"/>
  <c r="AY35" i="65"/>
  <c r="AZ34" i="65"/>
  <c r="AY34" i="65"/>
  <c r="BA34" i="65" s="1"/>
  <c r="AZ33" i="65"/>
  <c r="AY33" i="65"/>
  <c r="AZ32" i="65"/>
  <c r="AY32" i="65"/>
  <c r="AY37" i="65" s="1"/>
  <c r="AZ31" i="65"/>
  <c r="AY31" i="65"/>
  <c r="AZ29" i="65"/>
  <c r="AY29" i="65"/>
  <c r="BA28" i="65"/>
  <c r="BA27" i="65"/>
  <c r="BA26" i="65"/>
  <c r="AZ24" i="65"/>
  <c r="AY24" i="65"/>
  <c r="BA24" i="65" s="1"/>
  <c r="BA23" i="65"/>
  <c r="BA22" i="65"/>
  <c r="BA21" i="65"/>
  <c r="AZ19" i="65"/>
  <c r="AY19" i="65"/>
  <c r="BA18" i="65"/>
  <c r="BA17" i="65"/>
  <c r="BA16" i="65"/>
  <c r="AZ14" i="65"/>
  <c r="AY14" i="65"/>
  <c r="BA13" i="65"/>
  <c r="BA12" i="65"/>
  <c r="BA11" i="65"/>
  <c r="AZ9" i="65"/>
  <c r="AY9" i="65"/>
  <c r="BA9" i="65" s="1"/>
  <c r="BA8" i="65"/>
  <c r="BA7" i="65"/>
  <c r="BA6" i="65"/>
  <c r="BZ82" i="64"/>
  <c r="CT12" i="68" s="1"/>
  <c r="BY134" i="64"/>
  <c r="BX134" i="64"/>
  <c r="BZ133" i="64"/>
  <c r="CU28" i="68" s="1"/>
  <c r="BZ132" i="64"/>
  <c r="CU27" i="68" s="1"/>
  <c r="BZ131" i="64"/>
  <c r="CU26" i="68" s="1"/>
  <c r="BY124" i="64"/>
  <c r="BX124" i="64"/>
  <c r="BW124" i="64"/>
  <c r="BW136" i="64" s="1"/>
  <c r="BZ123" i="64"/>
  <c r="BZ122" i="64"/>
  <c r="CU17" i="68" s="1"/>
  <c r="BZ121" i="64"/>
  <c r="CU16" i="68" s="1"/>
  <c r="BY119" i="64"/>
  <c r="BX119" i="64"/>
  <c r="BZ118" i="64"/>
  <c r="CU13" i="68" s="1"/>
  <c r="BZ117" i="64"/>
  <c r="CU12" i="68" s="1"/>
  <c r="BY114" i="64"/>
  <c r="BX114" i="64"/>
  <c r="BW114" i="64"/>
  <c r="BZ113" i="64"/>
  <c r="CU8" i="68" s="1"/>
  <c r="BZ112" i="64"/>
  <c r="BZ111" i="64"/>
  <c r="CU6" i="68" s="1"/>
  <c r="BY99" i="64"/>
  <c r="BX99" i="64"/>
  <c r="BZ98" i="64"/>
  <c r="BZ97" i="64"/>
  <c r="CT27" i="68" s="1"/>
  <c r="BZ96" i="64"/>
  <c r="BY94" i="64"/>
  <c r="BZ92" i="64"/>
  <c r="CT22" i="68" s="1"/>
  <c r="BY89" i="64"/>
  <c r="BX89" i="64"/>
  <c r="BW89" i="64"/>
  <c r="BZ88" i="64"/>
  <c r="CT18" i="68" s="1"/>
  <c r="BZ87" i="64"/>
  <c r="CT17" i="68" s="1"/>
  <c r="BZ86" i="64"/>
  <c r="CT16" i="68" s="1"/>
  <c r="BY84" i="64"/>
  <c r="BX84" i="64"/>
  <c r="BW84" i="64"/>
  <c r="BZ83" i="64"/>
  <c r="CT13" i="68" s="1"/>
  <c r="BZ81" i="64"/>
  <c r="CT11" i="68" s="1"/>
  <c r="BY79" i="64"/>
  <c r="BY101" i="64" s="1"/>
  <c r="BX79" i="64"/>
  <c r="BW79" i="64"/>
  <c r="BZ78" i="64"/>
  <c r="CT8" i="68" s="1"/>
  <c r="BZ77" i="64"/>
  <c r="BZ76" i="64"/>
  <c r="CT6" i="68" s="1"/>
  <c r="BY64" i="64"/>
  <c r="BX64" i="64"/>
  <c r="BW64" i="64"/>
  <c r="BZ63" i="64"/>
  <c r="CS28" i="68" s="1"/>
  <c r="BZ62" i="64"/>
  <c r="CS27" i="68" s="1"/>
  <c r="BZ61" i="64"/>
  <c r="BY59" i="64"/>
  <c r="BX59" i="64"/>
  <c r="BZ58" i="64"/>
  <c r="CS23" i="68" s="1"/>
  <c r="BZ57" i="64"/>
  <c r="CS22" i="68" s="1"/>
  <c r="BZ56" i="64"/>
  <c r="CS21" i="68" s="1"/>
  <c r="CV21" i="68" s="1"/>
  <c r="BY54" i="64"/>
  <c r="BX54" i="64"/>
  <c r="BW54" i="64"/>
  <c r="BZ53" i="64"/>
  <c r="CS18" i="68" s="1"/>
  <c r="BZ52" i="64"/>
  <c r="CS17" i="68" s="1"/>
  <c r="BZ51" i="64"/>
  <c r="CS16" i="68" s="1"/>
  <c r="BY49" i="64"/>
  <c r="BX49" i="64"/>
  <c r="BW49" i="64"/>
  <c r="BZ48" i="64"/>
  <c r="BZ47" i="64"/>
  <c r="CS12" i="68" s="1"/>
  <c r="BZ46" i="64"/>
  <c r="CS11" i="68" s="1"/>
  <c r="BY28" i="64"/>
  <c r="BX28" i="64"/>
  <c r="BW28" i="64"/>
  <c r="BY27" i="64"/>
  <c r="BX27" i="64"/>
  <c r="BW27" i="64"/>
  <c r="BY26" i="64"/>
  <c r="BX26" i="64"/>
  <c r="BW26" i="64"/>
  <c r="BY23" i="64"/>
  <c r="BX23" i="64"/>
  <c r="BW23" i="64"/>
  <c r="BY22" i="64"/>
  <c r="BX22" i="64"/>
  <c r="BW22" i="64"/>
  <c r="BY21" i="64"/>
  <c r="BX21" i="64"/>
  <c r="BW21" i="64"/>
  <c r="BY18" i="64"/>
  <c r="BX18" i="64"/>
  <c r="BW18" i="64"/>
  <c r="BY17" i="64"/>
  <c r="BX17" i="64"/>
  <c r="BW17" i="64"/>
  <c r="BY16" i="64"/>
  <c r="BX16" i="64"/>
  <c r="BW16" i="64"/>
  <c r="BY13" i="64"/>
  <c r="BX13" i="64"/>
  <c r="BW13" i="64"/>
  <c r="BY12" i="64"/>
  <c r="BX12" i="64"/>
  <c r="BW12" i="64"/>
  <c r="BY11" i="64"/>
  <c r="BX11" i="64"/>
  <c r="BW11" i="64"/>
  <c r="BW8" i="64"/>
  <c r="BY7" i="64"/>
  <c r="BX7" i="64"/>
  <c r="T13" i="79"/>
  <c r="T27" i="79" s="1"/>
  <c r="T31" i="78"/>
  <c r="T30" i="78"/>
  <c r="T29" i="78"/>
  <c r="T28" i="78"/>
  <c r="T27" i="78"/>
  <c r="T26" i="78"/>
  <c r="T16" i="78"/>
  <c r="U15" i="67"/>
  <c r="U28" i="67" s="1"/>
  <c r="U29" i="66"/>
  <c r="U28" i="66"/>
  <c r="U27" i="66"/>
  <c r="U26" i="66"/>
  <c r="U25" i="66"/>
  <c r="U24" i="66"/>
  <c r="U16" i="66"/>
  <c r="U29" i="67"/>
  <c r="T26" i="79"/>
  <c r="BA85" i="65"/>
  <c r="CU7" i="68"/>
  <c r="T25" i="79"/>
  <c r="U25" i="67"/>
  <c r="T31" i="79"/>
  <c r="CT26" i="68"/>
  <c r="U33" i="67"/>
  <c r="T30" i="79"/>
  <c r="U32" i="67"/>
  <c r="T29" i="79"/>
  <c r="U31" i="67"/>
  <c r="T28" i="79"/>
  <c r="BA133" i="65"/>
  <c r="BW7" i="64"/>
  <c r="BZ43" i="64"/>
  <c r="CS8" i="68" s="1"/>
  <c r="BX6" i="64"/>
  <c r="BY44" i="64"/>
  <c r="BX44" i="64"/>
  <c r="BW6" i="64"/>
  <c r="BA29" i="65"/>
  <c r="BA14" i="65"/>
  <c r="BA105" i="65"/>
  <c r="BA104" i="65"/>
  <c r="BA67" i="65"/>
  <c r="BA137" i="65"/>
  <c r="BA127" i="65"/>
  <c r="AZ75" i="65"/>
  <c r="BA72" i="65"/>
  <c r="AZ139" i="65"/>
  <c r="AZ134" i="65"/>
  <c r="BA19" i="65"/>
  <c r="BA33" i="65"/>
  <c r="AY124" i="65"/>
  <c r="AY142" i="65"/>
  <c r="BA69" i="65"/>
  <c r="BA116" i="65"/>
  <c r="AY143" i="65"/>
  <c r="BA123" i="65"/>
  <c r="AZ141" i="65"/>
  <c r="BA121" i="65"/>
  <c r="BA131" i="65"/>
  <c r="BW19" i="64"/>
  <c r="BY19" i="64"/>
  <c r="BA26" i="38"/>
  <c r="AZ26" i="38"/>
  <c r="BA25" i="38"/>
  <c r="AZ25" i="38"/>
  <c r="AY25" i="38"/>
  <c r="BA24" i="38"/>
  <c r="AZ24" i="38"/>
  <c r="AY24" i="38"/>
  <c r="AY27" i="38" s="1"/>
  <c r="BA18" i="38"/>
  <c r="AZ18" i="38"/>
  <c r="AY18" i="38"/>
  <c r="BA16" i="38"/>
  <c r="AZ16" i="38"/>
  <c r="AY16" i="38"/>
  <c r="BA13" i="38"/>
  <c r="AZ13" i="38"/>
  <c r="AY13" i="38"/>
  <c r="AY14" i="38" s="1"/>
  <c r="AZ12" i="38"/>
  <c r="BB12" i="38" s="1"/>
  <c r="BA11" i="38"/>
  <c r="AZ11" i="38"/>
  <c r="BA8" i="38"/>
  <c r="AZ8" i="38"/>
  <c r="AY8" i="38"/>
  <c r="AY32" i="38" s="1"/>
  <c r="BA7" i="38"/>
  <c r="AZ7" i="38"/>
  <c r="AY7" i="38"/>
  <c r="BA6" i="38"/>
  <c r="AZ6" i="38"/>
  <c r="AY6" i="38"/>
  <c r="P173" i="37"/>
  <c r="P168" i="37"/>
  <c r="P166" i="37"/>
  <c r="P162" i="37"/>
  <c r="P157" i="37"/>
  <c r="P139" i="37"/>
  <c r="P115" i="37"/>
  <c r="P82" i="37"/>
  <c r="P58" i="37"/>
  <c r="P35" i="37"/>
  <c r="P17" i="37"/>
  <c r="V75" i="34"/>
  <c r="V66" i="34"/>
  <c r="V225" i="34" s="1"/>
  <c r="V65" i="34"/>
  <c r="V224" i="34" s="1"/>
  <c r="V64" i="34"/>
  <c r="V61" i="34"/>
  <c r="V63" i="34" s="1"/>
  <c r="V88" i="34" s="1"/>
  <c r="V58" i="34"/>
  <c r="V57" i="34"/>
  <c r="V216" i="34" s="1"/>
  <c r="V49" i="34"/>
  <c r="V208" i="34" s="1"/>
  <c r="V48" i="34"/>
  <c r="V207" i="34" s="1"/>
  <c r="V45" i="34"/>
  <c r="V204" i="34" s="1"/>
  <c r="V44" i="34"/>
  <c r="V203" i="34" s="1"/>
  <c r="V43" i="34"/>
  <c r="V41" i="34"/>
  <c r="V200" i="34" s="1"/>
  <c r="V40" i="34"/>
  <c r="V199" i="34" s="1"/>
  <c r="V39" i="34"/>
  <c r="V198" i="34" s="1"/>
  <c r="V32" i="34"/>
  <c r="V191" i="34" s="1"/>
  <c r="V31" i="34"/>
  <c r="V190" i="34" s="1"/>
  <c r="V30" i="34"/>
  <c r="V189" i="34" s="1"/>
  <c r="V28" i="34"/>
  <c r="V187" i="34" s="1"/>
  <c r="V27" i="34"/>
  <c r="V26" i="34"/>
  <c r="V185" i="34" s="1"/>
  <c r="V24" i="34"/>
  <c r="V183" i="34" s="1"/>
  <c r="V23" i="34"/>
  <c r="V182" i="34" s="1"/>
  <c r="V22" i="34"/>
  <c r="V181" i="34"/>
  <c r="V15" i="34"/>
  <c r="V174" i="34"/>
  <c r="V14" i="34"/>
  <c r="V13" i="34"/>
  <c r="V172" i="34" s="1"/>
  <c r="V11" i="34"/>
  <c r="V170" i="34" s="1"/>
  <c r="V10" i="34"/>
  <c r="V169" i="34" s="1"/>
  <c r="V9" i="34"/>
  <c r="V168" i="34" s="1"/>
  <c r="V7" i="34"/>
  <c r="V6" i="34"/>
  <c r="V165" i="34" s="1"/>
  <c r="V76" i="34"/>
  <c r="V77" i="34" s="1"/>
  <c r="V234" i="34"/>
  <c r="V235" i="34" s="1"/>
  <c r="V220" i="34"/>
  <c r="V222" i="34" s="1"/>
  <c r="V246" i="34" s="1"/>
  <c r="V68" i="34"/>
  <c r="V223" i="34"/>
  <c r="V227" i="34" s="1"/>
  <c r="V19" i="34"/>
  <c r="V33" i="34"/>
  <c r="V69" i="34"/>
  <c r="V18" i="34"/>
  <c r="V25" i="34"/>
  <c r="V34" i="34"/>
  <c r="V59" i="34"/>
  <c r="V160" i="33"/>
  <c r="V161" i="33" s="1"/>
  <c r="V157" i="33"/>
  <c r="V152" i="33"/>
  <c r="V150" i="33"/>
  <c r="V158" i="33" s="1"/>
  <c r="V146" i="33"/>
  <c r="V141" i="33"/>
  <c r="V123" i="33"/>
  <c r="V147" i="33" s="1"/>
  <c r="V101" i="33"/>
  <c r="V90" i="33"/>
  <c r="V72" i="33"/>
  <c r="V54" i="33"/>
  <c r="V36" i="33"/>
  <c r="V55" i="33" s="1"/>
  <c r="V163" i="33" s="1"/>
  <c r="V16" i="33"/>
  <c r="V102" i="33"/>
  <c r="CQ149" i="29"/>
  <c r="AC102" i="23"/>
  <c r="Y22" i="24" s="1"/>
  <c r="Y32" i="24" s="1"/>
  <c r="AC100" i="23"/>
  <c r="Y21" i="24" s="1"/>
  <c r="AC96" i="23"/>
  <c r="Y20" i="24" s="1"/>
  <c r="Y30" i="24" s="1"/>
  <c r="AC93" i="23"/>
  <c r="Y12" i="24"/>
  <c r="AC88" i="23"/>
  <c r="AC84" i="23"/>
  <c r="AC78" i="23"/>
  <c r="AC73" i="23"/>
  <c r="AC64" i="23"/>
  <c r="AC79" i="23" s="1"/>
  <c r="AC56" i="23"/>
  <c r="AC49" i="23"/>
  <c r="AC24" i="23"/>
  <c r="T15" i="22"/>
  <c r="T18" i="22" s="1"/>
  <c r="T27" i="22"/>
  <c r="T26" i="22"/>
  <c r="T28" i="22" s="1"/>
  <c r="T25" i="22"/>
  <c r="T17" i="22"/>
  <c r="T16" i="22"/>
  <c r="T12" i="22"/>
  <c r="T11" i="22"/>
  <c r="T34" i="22" s="1"/>
  <c r="T10" i="22"/>
  <c r="T7" i="22"/>
  <c r="T33" i="22" s="1"/>
  <c r="T6" i="22"/>
  <c r="T5" i="22"/>
  <c r="T105" i="21"/>
  <c r="T21" i="22"/>
  <c r="T20" i="22"/>
  <c r="T82" i="21"/>
  <c r="T22" i="22" s="1"/>
  <c r="T24" i="21"/>
  <c r="T104" i="21"/>
  <c r="T70" i="21"/>
  <c r="T38" i="21"/>
  <c r="T39" i="21" s="1"/>
  <c r="T23" i="21"/>
  <c r="Y35" i="24"/>
  <c r="AC57" i="23"/>
  <c r="T83" i="21"/>
  <c r="T71" i="21"/>
  <c r="AW36" i="20"/>
  <c r="AV36" i="20"/>
  <c r="AX36" i="20" s="1"/>
  <c r="AW35" i="20"/>
  <c r="AX35" i="20" s="1"/>
  <c r="AV35" i="20"/>
  <c r="AW34" i="20"/>
  <c r="AX34" i="20" s="1"/>
  <c r="AV34" i="20"/>
  <c r="AW33" i="20"/>
  <c r="AV33" i="20"/>
  <c r="AW32" i="20"/>
  <c r="AV32" i="20"/>
  <c r="AW31" i="20"/>
  <c r="AV31" i="20"/>
  <c r="AW29" i="20"/>
  <c r="AV29" i="20"/>
  <c r="AX28" i="20"/>
  <c r="AX27" i="20"/>
  <c r="AX26" i="20"/>
  <c r="AW24" i="20"/>
  <c r="AV24" i="20"/>
  <c r="AX23" i="20"/>
  <c r="AX22" i="20"/>
  <c r="AX21" i="20"/>
  <c r="AW19" i="20"/>
  <c r="AV19" i="20"/>
  <c r="AX18" i="20"/>
  <c r="AX17" i="20"/>
  <c r="AX16" i="20"/>
  <c r="AW14" i="20"/>
  <c r="AV14" i="20"/>
  <c r="AX13" i="20"/>
  <c r="AX12" i="20"/>
  <c r="AX11" i="20"/>
  <c r="AW9" i="20"/>
  <c r="AV9" i="20"/>
  <c r="AX8" i="20"/>
  <c r="AX7" i="20"/>
  <c r="AX6" i="20"/>
  <c r="CN16" i="19"/>
  <c r="CM16" i="19"/>
  <c r="CP16" i="19" s="1"/>
  <c r="CO28" i="19"/>
  <c r="CN28" i="19"/>
  <c r="CM28" i="19"/>
  <c r="CO27" i="19"/>
  <c r="CN27" i="19"/>
  <c r="CM27" i="19"/>
  <c r="CO26" i="19"/>
  <c r="CN26" i="19"/>
  <c r="CM26" i="19"/>
  <c r="CM29" i="19" s="1"/>
  <c r="CO18" i="19"/>
  <c r="CN18" i="19"/>
  <c r="CM18" i="19"/>
  <c r="CP18" i="19" s="1"/>
  <c r="CO17" i="19"/>
  <c r="CO19" i="19" s="1"/>
  <c r="CN17" i="19"/>
  <c r="CM17" i="19"/>
  <c r="CO12" i="19"/>
  <c r="CO35" i="19" s="1"/>
  <c r="CN12" i="19"/>
  <c r="CN35" i="19" s="1"/>
  <c r="CM12" i="19"/>
  <c r="CM35" i="19" s="1"/>
  <c r="CO11" i="19"/>
  <c r="CN11" i="19"/>
  <c r="CM11" i="19"/>
  <c r="CO8" i="19"/>
  <c r="CO34" i="19" s="1"/>
  <c r="CN8" i="19"/>
  <c r="CN34" i="19"/>
  <c r="CM8" i="19"/>
  <c r="CM34" i="19" s="1"/>
  <c r="CO7" i="19"/>
  <c r="CN7" i="19"/>
  <c r="CM7" i="19"/>
  <c r="CO6" i="19"/>
  <c r="CN6" i="19"/>
  <c r="CM6" i="19"/>
  <c r="CM51" i="18"/>
  <c r="CP82" i="18"/>
  <c r="CN82" i="18"/>
  <c r="CN23" i="19" s="1"/>
  <c r="CM82" i="18"/>
  <c r="CM23" i="19" s="1"/>
  <c r="CN104" i="18"/>
  <c r="CM104" i="18"/>
  <c r="CN99" i="18"/>
  <c r="CM99" i="18"/>
  <c r="CM105" i="18" s="1"/>
  <c r="CN90" i="18"/>
  <c r="CM90" i="18"/>
  <c r="CN78" i="18"/>
  <c r="CN22" i="19" s="1"/>
  <c r="CN32" i="19" s="1"/>
  <c r="CM78" i="18"/>
  <c r="CM22" i="19" s="1"/>
  <c r="CN74" i="18"/>
  <c r="CN21" i="19" s="1"/>
  <c r="CM74" i="18"/>
  <c r="CM21" i="19" s="1"/>
  <c r="CN70" i="18"/>
  <c r="CM70" i="18"/>
  <c r="CM71" i="18" s="1"/>
  <c r="CN63" i="18"/>
  <c r="CM63" i="18"/>
  <c r="CN51" i="18"/>
  <c r="CN71" i="18" s="1"/>
  <c r="CP50" i="18"/>
  <c r="CN34" i="18"/>
  <c r="CM34" i="18"/>
  <c r="CN30" i="18"/>
  <c r="CM30" i="18"/>
  <c r="CM40" i="18" s="1"/>
  <c r="CN20" i="18"/>
  <c r="CM20" i="18"/>
  <c r="CN15" i="18"/>
  <c r="CM15" i="18"/>
  <c r="CP103" i="18"/>
  <c r="CP102" i="18"/>
  <c r="CP101" i="18"/>
  <c r="CP100" i="18"/>
  <c r="CP98" i="18"/>
  <c r="CP97" i="18"/>
  <c r="CP96" i="18"/>
  <c r="CP95" i="18"/>
  <c r="CP94" i="18"/>
  <c r="CP93" i="18"/>
  <c r="CP92" i="18"/>
  <c r="CP91" i="18"/>
  <c r="CP89" i="18"/>
  <c r="CP88" i="18"/>
  <c r="CP87" i="18"/>
  <c r="CP86" i="18"/>
  <c r="CP85" i="18"/>
  <c r="CP84" i="18"/>
  <c r="CO23" i="19"/>
  <c r="CO22" i="19"/>
  <c r="CP76" i="18"/>
  <c r="CP75" i="18"/>
  <c r="CP78" i="18" s="1"/>
  <c r="CP22" i="19" s="1"/>
  <c r="CO21" i="19"/>
  <c r="CP72" i="18"/>
  <c r="CP74" i="18" s="1"/>
  <c r="CP21" i="19" s="1"/>
  <c r="CO70" i="18"/>
  <c r="CP69" i="18"/>
  <c r="CP68" i="18"/>
  <c r="CP67" i="18"/>
  <c r="CP66" i="18"/>
  <c r="CP65" i="18"/>
  <c r="CP64" i="18"/>
  <c r="CP62" i="18"/>
  <c r="CP61" i="18"/>
  <c r="CP60" i="18"/>
  <c r="CP59" i="18"/>
  <c r="CP58" i="18"/>
  <c r="CP57" i="18"/>
  <c r="CP56" i="18"/>
  <c r="CP55" i="18"/>
  <c r="CP54" i="18"/>
  <c r="CP53" i="18"/>
  <c r="CP52" i="18"/>
  <c r="CP49" i="18"/>
  <c r="CP48" i="18"/>
  <c r="CP47" i="18"/>
  <c r="CP46" i="18"/>
  <c r="CP45" i="18"/>
  <c r="CP44" i="18"/>
  <c r="CP43" i="18"/>
  <c r="CP42" i="18"/>
  <c r="CP41" i="18"/>
  <c r="CO39" i="18"/>
  <c r="CO13" i="19" s="1"/>
  <c r="CO36" i="19" s="1"/>
  <c r="CN39" i="18"/>
  <c r="CN13" i="19"/>
  <c r="CN36" i="19" s="1"/>
  <c r="CM39" i="18"/>
  <c r="CM13" i="19" s="1"/>
  <c r="CP38" i="18"/>
  <c r="CP37" i="18"/>
  <c r="CP36" i="18"/>
  <c r="CP35" i="18"/>
  <c r="CP33" i="18"/>
  <c r="CP32" i="18"/>
  <c r="CP31" i="18"/>
  <c r="CP12" i="19"/>
  <c r="CP35" i="19" s="1"/>
  <c r="CO40" i="18"/>
  <c r="CP29" i="18"/>
  <c r="CP28" i="18"/>
  <c r="CP27" i="18"/>
  <c r="CP26" i="18"/>
  <c r="CO24" i="18"/>
  <c r="CN24" i="18"/>
  <c r="CM24" i="18"/>
  <c r="CM25" i="18" s="1"/>
  <c r="CP23" i="18"/>
  <c r="CP22" i="18"/>
  <c r="CP21" i="18"/>
  <c r="CP19" i="18"/>
  <c r="CP18" i="18"/>
  <c r="CP17" i="18"/>
  <c r="CP16" i="18"/>
  <c r="CP14" i="18"/>
  <c r="CP13" i="18"/>
  <c r="CP12" i="18"/>
  <c r="CP11" i="18"/>
  <c r="CP10" i="18"/>
  <c r="CP9" i="18"/>
  <c r="CP8" i="18"/>
  <c r="CP7" i="18"/>
  <c r="CP6" i="18"/>
  <c r="CP5" i="18"/>
  <c r="U28" i="17"/>
  <c r="U27" i="17"/>
  <c r="U26" i="17"/>
  <c r="U29" i="17" s="1"/>
  <c r="U23" i="17"/>
  <c r="U22" i="17"/>
  <c r="U21" i="17"/>
  <c r="U31" i="17" s="1"/>
  <c r="U18" i="17"/>
  <c r="U17" i="17"/>
  <c r="U16" i="17"/>
  <c r="U13" i="17"/>
  <c r="U12" i="17"/>
  <c r="U11" i="17"/>
  <c r="U8" i="17"/>
  <c r="U7" i="17"/>
  <c r="U6" i="17"/>
  <c r="U19" i="16"/>
  <c r="U14" i="16"/>
  <c r="U99" i="16"/>
  <c r="U90" i="16"/>
  <c r="U105" i="16" s="1"/>
  <c r="U104" i="16"/>
  <c r="U78" i="16"/>
  <c r="U74" i="16"/>
  <c r="U83" i="16" s="1"/>
  <c r="U62" i="16"/>
  <c r="U50" i="16"/>
  <c r="U33" i="16"/>
  <c r="U29" i="16"/>
  <c r="U39" i="16"/>
  <c r="U82" i="16"/>
  <c r="U69" i="16"/>
  <c r="U38" i="16"/>
  <c r="U23" i="16"/>
  <c r="BG100" i="12"/>
  <c r="BG91" i="12"/>
  <c r="BG79" i="12"/>
  <c r="BG75" i="12"/>
  <c r="BG84" i="12" s="1"/>
  <c r="BG63" i="12"/>
  <c r="BG51" i="12"/>
  <c r="BG34" i="12"/>
  <c r="BG30" i="12"/>
  <c r="BG20" i="12"/>
  <c r="BG15" i="12"/>
  <c r="CN29" i="19"/>
  <c r="CO83" i="18"/>
  <c r="U19" i="17"/>
  <c r="U9" i="17"/>
  <c r="U33" i="17"/>
  <c r="U36" i="17"/>
  <c r="CN19" i="19"/>
  <c r="CM9" i="19"/>
  <c r="CO25" i="18"/>
  <c r="CO105" i="18"/>
  <c r="CN105" i="18"/>
  <c r="CM83" i="18"/>
  <c r="CO71" i="18"/>
  <c r="CP34" i="18"/>
  <c r="CN40" i="18"/>
  <c r="CN25" i="18"/>
  <c r="U24" i="16"/>
  <c r="U70" i="16"/>
  <c r="BF101" i="10"/>
  <c r="BF97" i="10"/>
  <c r="BF87" i="10"/>
  <c r="BF83" i="10"/>
  <c r="BF72" i="10"/>
  <c r="BF63" i="10"/>
  <c r="BF48" i="10"/>
  <c r="BF36" i="10"/>
  <c r="BF20" i="10"/>
  <c r="BF15" i="10"/>
  <c r="BF102" i="6"/>
  <c r="BF98" i="6"/>
  <c r="BF88" i="6"/>
  <c r="BF84" i="6"/>
  <c r="BF73" i="6"/>
  <c r="BF64" i="6"/>
  <c r="BF49" i="6"/>
  <c r="BF37" i="6"/>
  <c r="BF21" i="6"/>
  <c r="BF16" i="6"/>
  <c r="BE101" i="3"/>
  <c r="BE97" i="3"/>
  <c r="BE72" i="3"/>
  <c r="BE63" i="3"/>
  <c r="BE48" i="3"/>
  <c r="BE36" i="3"/>
  <c r="BE87" i="3"/>
  <c r="BE83" i="3"/>
  <c r="BE105" i="3"/>
  <c r="BE106" i="3" s="1"/>
  <c r="BE20" i="3"/>
  <c r="BE15" i="3"/>
  <c r="BY36" i="73"/>
  <c r="BX36" i="73"/>
  <c r="BW36" i="73"/>
  <c r="BY35" i="73"/>
  <c r="BX35" i="73"/>
  <c r="BW35" i="73"/>
  <c r="BY34" i="73"/>
  <c r="BX34" i="73"/>
  <c r="BW34" i="73"/>
  <c r="BY33" i="73"/>
  <c r="BX33" i="73"/>
  <c r="BW33" i="73"/>
  <c r="BY32" i="73"/>
  <c r="BX32" i="73"/>
  <c r="BW32" i="73"/>
  <c r="BY31" i="73"/>
  <c r="BX31" i="73"/>
  <c r="BW31" i="73"/>
  <c r="BY29" i="73"/>
  <c r="BX29" i="73"/>
  <c r="BW29" i="73"/>
  <c r="BZ28" i="73"/>
  <c r="BZ27" i="73"/>
  <c r="BZ26" i="73"/>
  <c r="BZ29" i="73" s="1"/>
  <c r="BY24" i="73"/>
  <c r="BX24" i="73"/>
  <c r="BW24" i="73"/>
  <c r="BZ23" i="73"/>
  <c r="BZ22" i="73"/>
  <c r="BZ24" i="73" s="1"/>
  <c r="BZ21" i="73"/>
  <c r="BY19" i="73"/>
  <c r="BX19" i="73"/>
  <c r="BW19" i="73"/>
  <c r="BZ18" i="73"/>
  <c r="BZ17" i="73"/>
  <c r="BZ16" i="73"/>
  <c r="BZ19" i="73" s="1"/>
  <c r="BY14" i="73"/>
  <c r="BX14" i="73"/>
  <c r="BW14" i="73"/>
  <c r="BZ13" i="73"/>
  <c r="BZ12" i="73"/>
  <c r="BZ11" i="73"/>
  <c r="BY9" i="73"/>
  <c r="BX9" i="73"/>
  <c r="BZ9" i="73" s="1"/>
  <c r="BW9" i="73"/>
  <c r="BZ8" i="73"/>
  <c r="BZ7" i="73"/>
  <c r="BZ6" i="73"/>
  <c r="CO67" i="36"/>
  <c r="CN67" i="36"/>
  <c r="CM67" i="36"/>
  <c r="CO66" i="36"/>
  <c r="CN66" i="36"/>
  <c r="CM66" i="36"/>
  <c r="CO65" i="36"/>
  <c r="CO69" i="36" s="1"/>
  <c r="CN65" i="36"/>
  <c r="CN69" i="36" s="1"/>
  <c r="CM65" i="36"/>
  <c r="CP63" i="36"/>
  <c r="CO62" i="36"/>
  <c r="CN62" i="36"/>
  <c r="CN64" i="36" s="1"/>
  <c r="CM62" i="36"/>
  <c r="CM64" i="36" s="1"/>
  <c r="CP61" i="36"/>
  <c r="CO59" i="36"/>
  <c r="CN59" i="36"/>
  <c r="CM59" i="36"/>
  <c r="CO58" i="36"/>
  <c r="CN58" i="36"/>
  <c r="CM58" i="36"/>
  <c r="CP57" i="36"/>
  <c r="CO50" i="36"/>
  <c r="CN50" i="36"/>
  <c r="CM50" i="36"/>
  <c r="CO49" i="36"/>
  <c r="CN49" i="36"/>
  <c r="CM49" i="36"/>
  <c r="CO46" i="36"/>
  <c r="CN46" i="36"/>
  <c r="CM46" i="36"/>
  <c r="CO45" i="36"/>
  <c r="CN45" i="36"/>
  <c r="CM45" i="36"/>
  <c r="CO44" i="36"/>
  <c r="CN44" i="36"/>
  <c r="CM44" i="36"/>
  <c r="CN42" i="36"/>
  <c r="CM42" i="36"/>
  <c r="CO41" i="36"/>
  <c r="CN41" i="36"/>
  <c r="CM41" i="36"/>
  <c r="CO40" i="36"/>
  <c r="CN40" i="36"/>
  <c r="CM40" i="36"/>
  <c r="CM52" i="36" s="1"/>
  <c r="CO33" i="36"/>
  <c r="CN33" i="36"/>
  <c r="CM33" i="36"/>
  <c r="CO32" i="36"/>
  <c r="CN32" i="36"/>
  <c r="CM32" i="36"/>
  <c r="CO31" i="36"/>
  <c r="CN31" i="36"/>
  <c r="CM31" i="36"/>
  <c r="CN29" i="36"/>
  <c r="CM29" i="36"/>
  <c r="CO28" i="36"/>
  <c r="CN28" i="36"/>
  <c r="CM28" i="36"/>
  <c r="CO27" i="36"/>
  <c r="CN27" i="36"/>
  <c r="CN35" i="36" s="1"/>
  <c r="CM27" i="36"/>
  <c r="CO25" i="36"/>
  <c r="CN25" i="36"/>
  <c r="CM25" i="36"/>
  <c r="CO24" i="36"/>
  <c r="CN24" i="36"/>
  <c r="CM24" i="36"/>
  <c r="CO23" i="36"/>
  <c r="CM23" i="36"/>
  <c r="CO16" i="36"/>
  <c r="CN16" i="36"/>
  <c r="CM16" i="36"/>
  <c r="CO15" i="36"/>
  <c r="CN15" i="36"/>
  <c r="CM15" i="36"/>
  <c r="CO14" i="36"/>
  <c r="CN14" i="36"/>
  <c r="CM14" i="36"/>
  <c r="CO12" i="36"/>
  <c r="CN12" i="36"/>
  <c r="CM12" i="36"/>
  <c r="CO11" i="36"/>
  <c r="CM11" i="36"/>
  <c r="CO10" i="36"/>
  <c r="CN10" i="36"/>
  <c r="CM10" i="36"/>
  <c r="CO8" i="36"/>
  <c r="CN8" i="36"/>
  <c r="CM8" i="36"/>
  <c r="CO7" i="36"/>
  <c r="CN7" i="36"/>
  <c r="CM7" i="36"/>
  <c r="CO6" i="36"/>
  <c r="CN6" i="36"/>
  <c r="CM6" i="36"/>
  <c r="CP154" i="35"/>
  <c r="CO154" i="35"/>
  <c r="CN154" i="35"/>
  <c r="CQ153" i="35"/>
  <c r="CQ152" i="35"/>
  <c r="CQ151" i="35"/>
  <c r="CQ150" i="35"/>
  <c r="CP149" i="35"/>
  <c r="CO149" i="35"/>
  <c r="CN149" i="35"/>
  <c r="CQ148" i="35"/>
  <c r="CP147" i="35"/>
  <c r="CO147" i="35"/>
  <c r="CN147" i="35"/>
  <c r="CQ146" i="35"/>
  <c r="CQ145" i="35"/>
  <c r="CP143" i="35"/>
  <c r="CO143" i="35"/>
  <c r="CN143" i="35"/>
  <c r="CQ142" i="35"/>
  <c r="CQ141" i="35"/>
  <c r="CQ140" i="35"/>
  <c r="CQ139" i="35"/>
  <c r="CP138" i="35"/>
  <c r="CO138" i="35"/>
  <c r="CN138" i="35"/>
  <c r="CQ137" i="35"/>
  <c r="CQ136" i="35"/>
  <c r="CQ135" i="35"/>
  <c r="CQ134" i="35"/>
  <c r="CQ133" i="35"/>
  <c r="CQ132" i="35"/>
  <c r="CQ131" i="35"/>
  <c r="CQ130" i="35"/>
  <c r="CQ129" i="35"/>
  <c r="CQ128" i="35"/>
  <c r="CQ127" i="35"/>
  <c r="CQ126" i="35"/>
  <c r="CQ125" i="35"/>
  <c r="CQ124" i="35"/>
  <c r="CQ123" i="35"/>
  <c r="CP122" i="35"/>
  <c r="CO122" i="35"/>
  <c r="CN122" i="35"/>
  <c r="CQ121" i="35"/>
  <c r="CQ120" i="35"/>
  <c r="CQ117" i="35"/>
  <c r="CQ116" i="35"/>
  <c r="CQ115" i="35"/>
  <c r="CQ114" i="35"/>
  <c r="CQ113" i="35"/>
  <c r="CQ112" i="35"/>
  <c r="CQ111" i="35"/>
  <c r="CQ110" i="35"/>
  <c r="CQ109" i="35"/>
  <c r="CQ108" i="35"/>
  <c r="CQ107" i="35"/>
  <c r="CQ106" i="35"/>
  <c r="CQ105" i="35"/>
  <c r="CQ104" i="35"/>
  <c r="CQ103" i="35"/>
  <c r="CQ102" i="35"/>
  <c r="CP100" i="35"/>
  <c r="CO100" i="35"/>
  <c r="CN100" i="35"/>
  <c r="CQ99" i="35"/>
  <c r="CQ98" i="35"/>
  <c r="CQ97" i="35"/>
  <c r="CQ96" i="35"/>
  <c r="CQ95" i="35"/>
  <c r="CQ94" i="35"/>
  <c r="CQ93" i="35"/>
  <c r="CQ92" i="35"/>
  <c r="CQ91" i="35"/>
  <c r="CQ90" i="35"/>
  <c r="CO89" i="35"/>
  <c r="CN89" i="35"/>
  <c r="CQ87" i="35"/>
  <c r="CQ86" i="35"/>
  <c r="CQ85" i="35"/>
  <c r="CQ83" i="35"/>
  <c r="CQ82" i="35"/>
  <c r="CQ81" i="35"/>
  <c r="CQ80" i="35"/>
  <c r="CQ79" i="35"/>
  <c r="CQ78" i="35"/>
  <c r="CQ77" i="35"/>
  <c r="CQ76" i="35"/>
  <c r="CQ75" i="35"/>
  <c r="CQ74" i="35"/>
  <c r="CQ73" i="35"/>
  <c r="CQ72" i="35"/>
  <c r="CQ71" i="35"/>
  <c r="CP70" i="35"/>
  <c r="CO70" i="35"/>
  <c r="CN70" i="35"/>
  <c r="CQ69" i="35"/>
  <c r="CQ68" i="35"/>
  <c r="CQ67" i="35"/>
  <c r="CQ66" i="35"/>
  <c r="CQ65" i="35"/>
  <c r="CQ64" i="35"/>
  <c r="CQ63" i="35"/>
  <c r="CQ62" i="35"/>
  <c r="CQ61" i="35"/>
  <c r="CQ60" i="35"/>
  <c r="CQ59" i="35"/>
  <c r="CQ58" i="35"/>
  <c r="CQ57" i="35"/>
  <c r="CQ56" i="35"/>
  <c r="CQ55" i="35"/>
  <c r="CQ54" i="35"/>
  <c r="CP52" i="35"/>
  <c r="CO52" i="35"/>
  <c r="CN52" i="35"/>
  <c r="CQ51" i="35"/>
  <c r="CQ49" i="35"/>
  <c r="CQ48" i="35"/>
  <c r="CQ47" i="35"/>
  <c r="CQ46" i="35"/>
  <c r="CQ45" i="35"/>
  <c r="CQ44" i="35"/>
  <c r="CQ43" i="35"/>
  <c r="CQ42" i="35"/>
  <c r="CQ41" i="35"/>
  <c r="CQ40" i="35"/>
  <c r="CQ39" i="35"/>
  <c r="CQ38" i="35"/>
  <c r="CQ37" i="35"/>
  <c r="CQ36" i="35"/>
  <c r="CP35" i="35"/>
  <c r="CO35" i="35"/>
  <c r="CN35" i="35"/>
  <c r="CQ34" i="35"/>
  <c r="CQ33" i="35"/>
  <c r="CQ32" i="35"/>
  <c r="CQ31" i="35"/>
  <c r="CQ30" i="35"/>
  <c r="CQ29" i="35"/>
  <c r="CQ28" i="35"/>
  <c r="CQ27" i="35"/>
  <c r="CQ26" i="35"/>
  <c r="CQ25" i="35"/>
  <c r="CQ24" i="35"/>
  <c r="CQ23" i="35"/>
  <c r="CQ22" i="35"/>
  <c r="CQ21" i="35"/>
  <c r="CQ20" i="35"/>
  <c r="CQ19" i="35"/>
  <c r="CP18" i="35"/>
  <c r="CO18" i="35"/>
  <c r="CN18" i="35"/>
  <c r="CQ17" i="35"/>
  <c r="CQ16" i="35"/>
  <c r="CQ15" i="35"/>
  <c r="CQ14" i="35"/>
  <c r="CQ13" i="35"/>
  <c r="CQ12" i="35"/>
  <c r="CQ11" i="35"/>
  <c r="CQ10" i="35"/>
  <c r="CQ9" i="35"/>
  <c r="CQ8" i="35"/>
  <c r="CQ7" i="35"/>
  <c r="CQ6" i="35"/>
  <c r="CQ5" i="35"/>
  <c r="BZ14" i="73"/>
  <c r="BZ33" i="73"/>
  <c r="BW37" i="73"/>
  <c r="BZ36" i="73"/>
  <c r="BZ34" i="73"/>
  <c r="BZ31" i="73"/>
  <c r="Z36" i="41"/>
  <c r="Y36" i="41"/>
  <c r="Y37" i="41" s="1"/>
  <c r="X26" i="41"/>
  <c r="AA25" i="41"/>
  <c r="AA17" i="41"/>
  <c r="AA13" i="41"/>
  <c r="AA12" i="41"/>
  <c r="AA11" i="41"/>
  <c r="AA10" i="41"/>
  <c r="AA9" i="41"/>
  <c r="AA8" i="41"/>
  <c r="AA7" i="41"/>
  <c r="AA6" i="41"/>
  <c r="AA35" i="41"/>
  <c r="Z37" i="41"/>
  <c r="AA34" i="41"/>
  <c r="BF28" i="11"/>
  <c r="BE28" i="11"/>
  <c r="BF27" i="11"/>
  <c r="BE27" i="11"/>
  <c r="BG27" i="11" s="1"/>
  <c r="BF26" i="11"/>
  <c r="BE26" i="11"/>
  <c r="BF23" i="11"/>
  <c r="BE23" i="11"/>
  <c r="BF22" i="11"/>
  <c r="BE22" i="11"/>
  <c r="BF21" i="11"/>
  <c r="BE21" i="11"/>
  <c r="BF18" i="11"/>
  <c r="BE18" i="11"/>
  <c r="BF17" i="11"/>
  <c r="BE17" i="11"/>
  <c r="BF16" i="11"/>
  <c r="BE16" i="11"/>
  <c r="BG16" i="11" s="1"/>
  <c r="BF13" i="11"/>
  <c r="BG13" i="11" s="1"/>
  <c r="BF12" i="11"/>
  <c r="BG12" i="11"/>
  <c r="BF11" i="11"/>
  <c r="BF8" i="11"/>
  <c r="BF34" i="11"/>
  <c r="BE8" i="11"/>
  <c r="BE34" i="11"/>
  <c r="BF7" i="11"/>
  <c r="BE7" i="11"/>
  <c r="BF6" i="11"/>
  <c r="BE6" i="11"/>
  <c r="BE72" i="10"/>
  <c r="BE63" i="10"/>
  <c r="BE48" i="10"/>
  <c r="BE20" i="10"/>
  <c r="BE15" i="10"/>
  <c r="BE25" i="10" s="1"/>
  <c r="BF105" i="10"/>
  <c r="BF106" i="10"/>
  <c r="BE105" i="10"/>
  <c r="BG104" i="10"/>
  <c r="BG103" i="10"/>
  <c r="BG102" i="10"/>
  <c r="BG105" i="10" s="1"/>
  <c r="BE101" i="10"/>
  <c r="BG100" i="10"/>
  <c r="BG101" i="10" s="1"/>
  <c r="BG99" i="10"/>
  <c r="BG98" i="10"/>
  <c r="BE97" i="10"/>
  <c r="BG96" i="10"/>
  <c r="BG95" i="10"/>
  <c r="BG94" i="10"/>
  <c r="BG97" i="10" s="1"/>
  <c r="BF92" i="10"/>
  <c r="BE92" i="10"/>
  <c r="BE93" i="10" s="1"/>
  <c r="BG91" i="10"/>
  <c r="BG90" i="10"/>
  <c r="BG89" i="10"/>
  <c r="BG88" i="10"/>
  <c r="BE87" i="10"/>
  <c r="BG86" i="10"/>
  <c r="BG85" i="10"/>
  <c r="BG84" i="10"/>
  <c r="BE83" i="10"/>
  <c r="BE11" i="11"/>
  <c r="BE14" i="11" s="1"/>
  <c r="BG82" i="10"/>
  <c r="BG81" i="10"/>
  <c r="BG80" i="10"/>
  <c r="BG79" i="10"/>
  <c r="BG83" i="10" s="1"/>
  <c r="BF77" i="10"/>
  <c r="BF78" i="10"/>
  <c r="BE77" i="10"/>
  <c r="BE78" i="10"/>
  <c r="BG76" i="10"/>
  <c r="BG75" i="10"/>
  <c r="BG74" i="10"/>
  <c r="BG73" i="10"/>
  <c r="BG77" i="10" s="1"/>
  <c r="BG71" i="10"/>
  <c r="BG70" i="10"/>
  <c r="BG69" i="10"/>
  <c r="BG68" i="10"/>
  <c r="BG67" i="10"/>
  <c r="BG66" i="10"/>
  <c r="BG65" i="10"/>
  <c r="BG64" i="10"/>
  <c r="BG72" i="10" s="1"/>
  <c r="BG62" i="10"/>
  <c r="BG61" i="10"/>
  <c r="BG63" i="10" s="1"/>
  <c r="BG60" i="10"/>
  <c r="BG59" i="10"/>
  <c r="BG58" i="10"/>
  <c r="BG57" i="10"/>
  <c r="BF55" i="10"/>
  <c r="BF56" i="10" s="1"/>
  <c r="BE55" i="10"/>
  <c r="BE56" i="10" s="1"/>
  <c r="BG54" i="10"/>
  <c r="BG53" i="10"/>
  <c r="BG52" i="10"/>
  <c r="BG51" i="10"/>
  <c r="BG50" i="10"/>
  <c r="BG49" i="10"/>
  <c r="BG47" i="10"/>
  <c r="BG46" i="10"/>
  <c r="BG45" i="10"/>
  <c r="BG44" i="10"/>
  <c r="BG43" i="10"/>
  <c r="BG42" i="10"/>
  <c r="BG41" i="10"/>
  <c r="BG40" i="10"/>
  <c r="BG39" i="10"/>
  <c r="BG38" i="10"/>
  <c r="BG48" i="10" s="1"/>
  <c r="BG37" i="10"/>
  <c r="BE36" i="10"/>
  <c r="BG35" i="10"/>
  <c r="BG34" i="10"/>
  <c r="BG33" i="10"/>
  <c r="BG32" i="10"/>
  <c r="BG31" i="10"/>
  <c r="BG30" i="10"/>
  <c r="BG29" i="10"/>
  <c r="BG28" i="10"/>
  <c r="BG27" i="10"/>
  <c r="BG26" i="10"/>
  <c r="BF24" i="10"/>
  <c r="BE24" i="10"/>
  <c r="BG23" i="10"/>
  <c r="BG22" i="10"/>
  <c r="BG24" i="10" s="1"/>
  <c r="BG21" i="10"/>
  <c r="BG19" i="10"/>
  <c r="BG18" i="10"/>
  <c r="BG17" i="10"/>
  <c r="BG16" i="10"/>
  <c r="BG14" i="10"/>
  <c r="BG13" i="10"/>
  <c r="BG12" i="10"/>
  <c r="BG15" i="10" s="1"/>
  <c r="BG11" i="10"/>
  <c r="BG10" i="10"/>
  <c r="BG9" i="10"/>
  <c r="BG8" i="10"/>
  <c r="BG7" i="10"/>
  <c r="BG6" i="10"/>
  <c r="BG5" i="10"/>
  <c r="AQ36" i="8"/>
  <c r="AP36" i="8"/>
  <c r="AQ35" i="8"/>
  <c r="AP35" i="8"/>
  <c r="AQ34" i="8"/>
  <c r="AP34" i="8"/>
  <c r="AQ33" i="8"/>
  <c r="AP33" i="8"/>
  <c r="AQ32" i="8"/>
  <c r="AP32" i="8"/>
  <c r="AQ31" i="8"/>
  <c r="AP31" i="8"/>
  <c r="AQ29" i="8"/>
  <c r="AP29" i="8"/>
  <c r="AR28" i="8"/>
  <c r="AR27" i="8"/>
  <c r="AR26" i="8"/>
  <c r="AR29" i="8" s="1"/>
  <c r="AQ24" i="8"/>
  <c r="AP24" i="8"/>
  <c r="AR23" i="8"/>
  <c r="AR22" i="8"/>
  <c r="AR21" i="8"/>
  <c r="AQ19" i="8"/>
  <c r="AP19" i="8"/>
  <c r="AR18" i="8"/>
  <c r="AR33" i="8" s="1"/>
  <c r="AR17" i="8"/>
  <c r="AR16" i="8"/>
  <c r="AQ14" i="8"/>
  <c r="AP14" i="8"/>
  <c r="AR13" i="8"/>
  <c r="AR36" i="8"/>
  <c r="AR12" i="8"/>
  <c r="AR35" i="8" s="1"/>
  <c r="AR11" i="8"/>
  <c r="AQ9" i="8"/>
  <c r="AP9" i="8"/>
  <c r="AR8" i="8"/>
  <c r="AR7" i="8"/>
  <c r="AR6" i="8"/>
  <c r="BF28" i="7"/>
  <c r="BE28" i="7"/>
  <c r="BE34" i="7" s="1"/>
  <c r="BF27" i="7"/>
  <c r="BE27" i="7"/>
  <c r="BF26" i="7"/>
  <c r="BE26" i="7"/>
  <c r="BF22" i="7"/>
  <c r="BF21" i="7"/>
  <c r="BF18" i="7"/>
  <c r="BE18" i="7"/>
  <c r="BF17" i="7"/>
  <c r="BE17" i="7"/>
  <c r="BF16" i="7"/>
  <c r="BE16" i="7"/>
  <c r="BF13" i="7"/>
  <c r="BF36" i="7" s="1"/>
  <c r="BE13" i="7"/>
  <c r="BF12" i="7"/>
  <c r="BE12" i="7"/>
  <c r="BE35" i="7" s="1"/>
  <c r="BF11" i="7"/>
  <c r="BE11" i="7"/>
  <c r="BG11" i="7" s="1"/>
  <c r="BF8" i="7"/>
  <c r="BE8" i="7"/>
  <c r="BF7" i="7"/>
  <c r="BE7" i="7"/>
  <c r="BF6" i="7"/>
  <c r="BE6" i="7"/>
  <c r="BE73" i="6"/>
  <c r="BE64" i="6"/>
  <c r="BE49" i="6"/>
  <c r="BE21" i="6"/>
  <c r="BE16" i="6"/>
  <c r="BE26" i="6" s="1"/>
  <c r="BF106" i="6"/>
  <c r="BF23" i="7" s="1"/>
  <c r="BE106" i="6"/>
  <c r="BE23" i="7" s="1"/>
  <c r="BE33" i="7" s="1"/>
  <c r="BG105" i="6"/>
  <c r="BG106" i="6" s="1"/>
  <c r="BG104" i="6"/>
  <c r="BG103" i="6"/>
  <c r="BE102" i="6"/>
  <c r="BG101" i="6"/>
  <c r="BG100" i="6"/>
  <c r="BG99" i="6"/>
  <c r="BE98" i="6"/>
  <c r="BE21" i="7" s="1"/>
  <c r="BG97" i="6"/>
  <c r="BG96" i="6"/>
  <c r="BG95" i="6"/>
  <c r="BG98" i="6" s="1"/>
  <c r="BF93" i="6"/>
  <c r="BF94" i="6" s="1"/>
  <c r="BE93" i="6"/>
  <c r="BG92" i="6"/>
  <c r="BG91" i="6"/>
  <c r="BG90" i="6"/>
  <c r="BG89" i="6"/>
  <c r="BE88" i="6"/>
  <c r="BG87" i="6"/>
  <c r="BG86" i="6"/>
  <c r="BG85" i="6"/>
  <c r="BE84" i="6"/>
  <c r="BG83" i="6"/>
  <c r="BG82" i="6"/>
  <c r="BG81" i="6"/>
  <c r="BG80" i="6"/>
  <c r="BF78" i="6"/>
  <c r="BE78" i="6"/>
  <c r="BE79" i="6" s="1"/>
  <c r="BG77" i="6"/>
  <c r="BG76" i="6"/>
  <c r="BG78" i="6" s="1"/>
  <c r="BG75" i="6"/>
  <c r="BG74" i="6"/>
  <c r="BG72" i="6"/>
  <c r="BG71" i="6"/>
  <c r="BG70" i="6"/>
  <c r="BG69" i="6"/>
  <c r="BG68" i="6"/>
  <c r="BG67" i="6"/>
  <c r="BG73" i="6" s="1"/>
  <c r="BG66" i="6"/>
  <c r="BG65" i="6"/>
  <c r="BG63" i="6"/>
  <c r="BG62" i="6"/>
  <c r="BG61" i="6"/>
  <c r="BG60" i="6"/>
  <c r="BG59" i="6"/>
  <c r="BG58" i="6"/>
  <c r="BG64" i="6" s="1"/>
  <c r="BF56" i="6"/>
  <c r="BE56" i="6"/>
  <c r="BG55" i="6"/>
  <c r="BG54" i="6"/>
  <c r="BG53" i="6"/>
  <c r="BG52" i="6"/>
  <c r="BG51" i="6"/>
  <c r="BG50" i="6"/>
  <c r="BG48" i="6"/>
  <c r="BG47" i="6"/>
  <c r="BG46" i="6"/>
  <c r="BG45" i="6"/>
  <c r="BG44" i="6"/>
  <c r="BG43" i="6"/>
  <c r="BG49" i="6" s="1"/>
  <c r="BG42" i="6"/>
  <c r="BG41" i="6"/>
  <c r="BG40" i="6"/>
  <c r="BG39" i="6"/>
  <c r="BG38" i="6"/>
  <c r="BE37" i="6"/>
  <c r="BG36" i="6"/>
  <c r="BG35" i="6"/>
  <c r="BG34" i="6"/>
  <c r="BG33" i="6"/>
  <c r="BG32" i="6"/>
  <c r="BG31" i="6"/>
  <c r="BG30" i="6"/>
  <c r="BG29" i="6"/>
  <c r="BG28" i="6"/>
  <c r="BG27" i="6"/>
  <c r="BG37" i="6" s="1"/>
  <c r="BF25" i="6"/>
  <c r="BF26" i="6"/>
  <c r="BF109" i="6" s="1"/>
  <c r="BE25" i="6"/>
  <c r="BG24" i="6"/>
  <c r="BG23" i="6"/>
  <c r="BG22" i="6"/>
  <c r="BG20" i="6"/>
  <c r="BG19" i="6"/>
  <c r="BG18" i="6"/>
  <c r="BG17" i="6"/>
  <c r="BG21" i="6" s="1"/>
  <c r="BG15" i="6"/>
  <c r="BG14" i="6"/>
  <c r="BG13" i="6"/>
  <c r="BG12" i="6"/>
  <c r="BG11" i="6"/>
  <c r="BG10" i="6"/>
  <c r="BG9" i="6"/>
  <c r="BG8" i="6"/>
  <c r="BG16" i="6" s="1"/>
  <c r="BG7" i="6"/>
  <c r="BG6" i="6"/>
  <c r="BD72" i="3"/>
  <c r="BD63" i="3"/>
  <c r="BD48" i="3"/>
  <c r="BD20" i="3"/>
  <c r="BD15" i="3"/>
  <c r="AW36" i="5"/>
  <c r="AV36" i="5"/>
  <c r="AW35" i="5"/>
  <c r="AV35" i="5"/>
  <c r="AX35" i="5" s="1"/>
  <c r="AW34" i="5"/>
  <c r="AV34" i="5"/>
  <c r="AX34" i="5" s="1"/>
  <c r="AW33" i="5"/>
  <c r="AX33" i="5" s="1"/>
  <c r="AV33" i="5"/>
  <c r="AW32" i="5"/>
  <c r="AW37" i="5" s="1"/>
  <c r="AV32" i="5"/>
  <c r="AW31" i="5"/>
  <c r="AV31" i="5"/>
  <c r="AW29" i="5"/>
  <c r="AV29" i="5"/>
  <c r="AX28" i="5"/>
  <c r="AX27" i="5"/>
  <c r="AX26" i="5"/>
  <c r="AW24" i="5"/>
  <c r="AV24" i="5"/>
  <c r="AX23" i="5"/>
  <c r="AX22" i="5"/>
  <c r="AX21" i="5"/>
  <c r="AW19" i="5"/>
  <c r="AX19" i="5" s="1"/>
  <c r="AV19" i="5"/>
  <c r="AX18" i="5"/>
  <c r="AX17" i="5"/>
  <c r="AX16" i="5"/>
  <c r="AW14" i="5"/>
  <c r="AV14" i="5"/>
  <c r="AX13" i="5"/>
  <c r="AX12" i="5"/>
  <c r="AX11" i="5"/>
  <c r="AW9" i="5"/>
  <c r="AV9" i="5"/>
  <c r="AX8" i="5"/>
  <c r="AX7" i="5"/>
  <c r="AX6" i="5"/>
  <c r="BE28" i="4"/>
  <c r="BD28" i="4"/>
  <c r="BF28" i="4" s="1"/>
  <c r="BE27" i="4"/>
  <c r="BD27" i="4"/>
  <c r="BF27" i="4" s="1"/>
  <c r="BE26" i="4"/>
  <c r="BD26" i="4"/>
  <c r="BE22" i="4"/>
  <c r="BE21" i="4"/>
  <c r="BE18" i="4"/>
  <c r="BD18" i="4"/>
  <c r="BE17" i="4"/>
  <c r="BD17" i="4"/>
  <c r="BE16" i="4"/>
  <c r="BD16" i="4"/>
  <c r="BD19" i="4" s="1"/>
  <c r="BE13" i="4"/>
  <c r="BE36" i="4" s="1"/>
  <c r="BD13" i="4"/>
  <c r="BE12" i="4"/>
  <c r="BD12" i="4"/>
  <c r="BE11" i="4"/>
  <c r="BD11" i="4"/>
  <c r="BE8" i="4"/>
  <c r="BE34" i="4"/>
  <c r="BD8" i="4"/>
  <c r="BE7" i="4"/>
  <c r="BD7" i="4"/>
  <c r="BE6" i="4"/>
  <c r="BD6" i="4"/>
  <c r="BD87" i="3"/>
  <c r="BD83" i="3"/>
  <c r="BD97" i="3"/>
  <c r="BD21" i="4" s="1"/>
  <c r="BD101" i="3"/>
  <c r="BD105" i="3"/>
  <c r="BD23" i="4" s="1"/>
  <c r="BF104" i="3"/>
  <c r="BF103" i="3"/>
  <c r="BF102" i="3"/>
  <c r="BF100" i="3"/>
  <c r="BF99" i="3"/>
  <c r="BF98" i="3"/>
  <c r="BF96" i="3"/>
  <c r="BF97" i="3" s="1"/>
  <c r="BF95" i="3"/>
  <c r="BF94" i="3"/>
  <c r="BE92" i="3"/>
  <c r="BD92" i="3"/>
  <c r="BF91" i="3"/>
  <c r="BF90" i="3"/>
  <c r="BF89" i="3"/>
  <c r="BF88" i="3"/>
  <c r="BF92" i="3" s="1"/>
  <c r="BF93" i="3" s="1"/>
  <c r="BF86" i="3"/>
  <c r="BF85" i="3"/>
  <c r="BF84" i="3"/>
  <c r="BF82" i="3"/>
  <c r="BF81" i="3"/>
  <c r="BF80" i="3"/>
  <c r="BF79" i="3"/>
  <c r="BE77" i="3"/>
  <c r="BE78" i="3" s="1"/>
  <c r="BE108" i="3" s="1"/>
  <c r="BD77" i="3"/>
  <c r="BF76" i="3"/>
  <c r="BF75" i="3"/>
  <c r="BF74" i="3"/>
  <c r="BF73" i="3"/>
  <c r="BF71" i="3"/>
  <c r="BF70" i="3"/>
  <c r="BF69" i="3"/>
  <c r="BF68" i="3"/>
  <c r="BF67" i="3"/>
  <c r="BF66" i="3"/>
  <c r="BF65" i="3"/>
  <c r="BF64" i="3"/>
  <c r="BF62" i="3"/>
  <c r="BF61" i="3"/>
  <c r="BF60" i="3"/>
  <c r="BF59" i="3"/>
  <c r="BF58" i="3"/>
  <c r="BF57" i="3"/>
  <c r="BE55" i="3"/>
  <c r="BD55" i="3"/>
  <c r="BF54" i="3"/>
  <c r="BF53" i="3"/>
  <c r="BF52" i="3"/>
  <c r="BF51" i="3"/>
  <c r="BF50" i="3"/>
  <c r="BF49" i="3"/>
  <c r="BD56" i="3"/>
  <c r="BF47" i="3"/>
  <c r="BF46" i="3"/>
  <c r="BF45" i="3"/>
  <c r="BF44" i="3"/>
  <c r="BF43" i="3"/>
  <c r="BF42" i="3"/>
  <c r="BF41" i="3"/>
  <c r="BF40" i="3"/>
  <c r="BF39" i="3"/>
  <c r="BF38" i="3"/>
  <c r="BF37" i="3"/>
  <c r="BF35" i="3"/>
  <c r="BF34" i="3"/>
  <c r="BF33" i="3"/>
  <c r="BF32" i="3"/>
  <c r="BF31" i="3"/>
  <c r="BF30" i="3"/>
  <c r="BF29" i="3"/>
  <c r="BF28" i="3"/>
  <c r="BF27" i="3"/>
  <c r="BF26" i="3"/>
  <c r="BE24" i="3"/>
  <c r="BD24" i="3"/>
  <c r="BF23" i="3"/>
  <c r="BF22" i="3"/>
  <c r="BF21" i="3"/>
  <c r="BF19" i="3"/>
  <c r="BF18" i="3"/>
  <c r="BF17" i="3"/>
  <c r="BF16" i="3"/>
  <c r="BF14" i="3"/>
  <c r="BF13" i="3"/>
  <c r="BF12" i="3"/>
  <c r="BF11" i="3"/>
  <c r="BF10" i="3"/>
  <c r="BF9" i="3"/>
  <c r="BF8" i="3"/>
  <c r="BF7" i="3"/>
  <c r="BF6" i="3"/>
  <c r="BF5" i="3"/>
  <c r="BE19" i="11"/>
  <c r="BE9" i="7"/>
  <c r="BG17" i="11"/>
  <c r="BG23" i="11"/>
  <c r="BE29" i="4"/>
  <c r="AR34" i="8"/>
  <c r="BE33" i="11"/>
  <c r="AX36" i="5"/>
  <c r="BE31" i="11"/>
  <c r="BE37" i="11" s="1"/>
  <c r="BF29" i="11"/>
  <c r="BG8" i="7"/>
  <c r="BE9" i="11"/>
  <c r="BG9" i="11" s="1"/>
  <c r="BE29" i="11"/>
  <c r="BG29" i="11" s="1"/>
  <c r="BF19" i="11"/>
  <c r="BG28" i="11"/>
  <c r="BG22" i="11"/>
  <c r="BF14" i="11"/>
  <c r="BG11" i="11"/>
  <c r="BF32" i="11"/>
  <c r="BG32" i="11" s="1"/>
  <c r="BF33" i="11"/>
  <c r="BG33" i="11" s="1"/>
  <c r="BG26" i="11"/>
  <c r="BF9" i="11"/>
  <c r="BF31" i="11"/>
  <c r="BG34" i="11"/>
  <c r="BG8" i="11"/>
  <c r="BG102" i="6"/>
  <c r="BG13" i="7"/>
  <c r="BG84" i="6"/>
  <c r="BF29" i="7"/>
  <c r="BG27" i="7"/>
  <c r="BF16" i="4"/>
  <c r="BF11" i="4"/>
  <c r="BE35" i="4"/>
  <c r="BE31" i="4"/>
  <c r="BG19" i="11"/>
  <c r="BG31" i="11"/>
  <c r="BG7" i="11"/>
  <c r="BE32" i="11"/>
  <c r="BG18" i="11"/>
  <c r="BF35" i="11"/>
  <c r="BG35" i="11" s="1"/>
  <c r="BF36" i="11"/>
  <c r="BG36" i="11"/>
  <c r="BG6" i="11"/>
  <c r="BG21" i="11"/>
  <c r="BE106" i="10"/>
  <c r="BG92" i="10"/>
  <c r="BF93" i="10"/>
  <c r="BG87" i="10"/>
  <c r="BG93" i="10" s="1"/>
  <c r="BG20" i="10"/>
  <c r="BF25" i="10"/>
  <c r="AR24" i="8"/>
  <c r="AR31" i="8"/>
  <c r="AR32" i="8"/>
  <c r="AR37" i="8" s="1"/>
  <c r="AP37" i="8"/>
  <c r="AR9" i="8"/>
  <c r="BG16" i="7"/>
  <c r="BG26" i="7"/>
  <c r="BE36" i="7"/>
  <c r="BG36" i="7" s="1"/>
  <c r="BE14" i="7"/>
  <c r="BF31" i="7"/>
  <c r="BG25" i="6"/>
  <c r="BF107" i="6"/>
  <c r="BG93" i="6"/>
  <c r="BE94" i="6"/>
  <c r="BF79" i="6"/>
  <c r="BE57" i="6"/>
  <c r="BG56" i="6"/>
  <c r="BF57" i="6"/>
  <c r="AX14" i="5"/>
  <c r="AX29" i="5"/>
  <c r="AX32" i="5"/>
  <c r="AX9" i="5"/>
  <c r="AX24" i="5"/>
  <c r="AV37" i="5"/>
  <c r="AX31" i="5"/>
  <c r="BF17" i="4"/>
  <c r="BF6" i="4"/>
  <c r="BE9" i="4"/>
  <c r="BF83" i="3"/>
  <c r="BF24" i="3"/>
  <c r="BF101" i="3"/>
  <c r="BE93" i="3"/>
  <c r="BF87" i="3"/>
  <c r="BD93" i="3"/>
  <c r="BF77" i="3"/>
  <c r="BE56" i="3"/>
  <c r="BE25" i="3"/>
  <c r="DG37" i="72"/>
  <c r="DF37" i="72"/>
  <c r="DE37" i="72"/>
  <c r="DD37" i="72"/>
  <c r="DG36" i="72"/>
  <c r="DF36" i="72"/>
  <c r="DE36" i="72"/>
  <c r="DD36" i="72"/>
  <c r="DG35" i="72"/>
  <c r="DF35" i="72"/>
  <c r="DE35" i="72"/>
  <c r="DD35" i="72"/>
  <c r="DG34" i="72"/>
  <c r="DF34" i="72"/>
  <c r="DE34" i="72"/>
  <c r="DD34" i="72"/>
  <c r="DG33" i="72"/>
  <c r="DF33" i="72"/>
  <c r="DE33" i="72"/>
  <c r="DD33" i="72"/>
  <c r="DG32" i="72"/>
  <c r="DG38" i="72" s="1"/>
  <c r="DF32" i="72"/>
  <c r="DF38" i="72" s="1"/>
  <c r="DE32" i="72"/>
  <c r="DE38" i="72" s="1"/>
  <c r="DD32" i="72"/>
  <c r="DG30" i="72"/>
  <c r="DF30" i="72"/>
  <c r="DE30" i="72"/>
  <c r="DD30" i="72"/>
  <c r="DH29" i="72"/>
  <c r="DH35" i="72" s="1"/>
  <c r="DH28" i="72"/>
  <c r="DH34" i="72" s="1"/>
  <c r="DH27" i="72"/>
  <c r="DG25" i="72"/>
  <c r="DF25" i="72"/>
  <c r="DE25" i="72"/>
  <c r="DD25" i="72"/>
  <c r="DH24" i="72"/>
  <c r="DH23" i="72"/>
  <c r="DH25" i="72" s="1"/>
  <c r="DH22" i="72"/>
  <c r="DG20" i="72"/>
  <c r="DF20" i="72"/>
  <c r="DE20" i="72"/>
  <c r="DD20" i="72"/>
  <c r="DH19" i="72"/>
  <c r="DH18" i="72"/>
  <c r="DH20" i="72"/>
  <c r="DH17" i="72"/>
  <c r="DG15" i="72"/>
  <c r="DF15" i="72"/>
  <c r="DE15" i="72"/>
  <c r="DD15" i="72"/>
  <c r="DH14" i="72"/>
  <c r="DH37" i="72" s="1"/>
  <c r="DH13" i="72"/>
  <c r="DH36" i="72" s="1"/>
  <c r="DH12" i="72"/>
  <c r="DG10" i="72"/>
  <c r="DF10" i="72"/>
  <c r="DE10" i="72"/>
  <c r="DD10" i="72"/>
  <c r="DH9" i="72"/>
  <c r="DH8" i="72"/>
  <c r="DH7" i="72"/>
  <c r="BF37" i="11"/>
  <c r="DD38" i="72"/>
  <c r="BG73" i="32"/>
  <c r="BF73" i="32"/>
  <c r="BF74" i="32" s="1"/>
  <c r="BE73" i="32"/>
  <c r="BG72" i="32"/>
  <c r="BF72" i="32"/>
  <c r="BE72" i="32"/>
  <c r="BG69" i="32"/>
  <c r="BF69" i="32"/>
  <c r="BE69" i="32"/>
  <c r="BG68" i="32"/>
  <c r="BG70" i="32" s="1"/>
  <c r="BF68" i="32"/>
  <c r="BE68" i="32"/>
  <c r="BG67" i="32"/>
  <c r="BF67" i="32"/>
  <c r="BE67" i="32"/>
  <c r="BG65" i="32"/>
  <c r="BF65" i="32"/>
  <c r="BE65" i="32"/>
  <c r="BG64" i="32"/>
  <c r="BF64" i="32"/>
  <c r="BE64" i="32"/>
  <c r="BG63" i="32"/>
  <c r="BG75" i="32" s="1"/>
  <c r="BF63" i="32"/>
  <c r="BE63" i="32"/>
  <c r="BG59" i="32"/>
  <c r="BG60" i="32" s="1"/>
  <c r="BG61" i="32" s="1"/>
  <c r="BF59" i="32"/>
  <c r="BF60" i="32" s="1"/>
  <c r="BF61" i="32" s="1"/>
  <c r="BE59" i="32"/>
  <c r="BE60" i="32" s="1"/>
  <c r="BE61" i="32" s="1"/>
  <c r="BG50" i="32"/>
  <c r="BF50" i="32"/>
  <c r="BE50" i="32"/>
  <c r="BG49" i="32"/>
  <c r="BF49" i="32"/>
  <c r="BE49" i="32"/>
  <c r="BE51" i="32" s="1"/>
  <c r="BG48" i="32"/>
  <c r="BG51" i="32" s="1"/>
  <c r="BF48" i="32"/>
  <c r="BE48" i="32"/>
  <c r="BG46" i="32"/>
  <c r="BF46" i="32"/>
  <c r="BE46" i="32"/>
  <c r="BG45" i="32"/>
  <c r="BF45" i="32"/>
  <c r="BF47" i="32" s="1"/>
  <c r="BE45" i="32"/>
  <c r="BG44" i="32"/>
  <c r="BF44" i="32"/>
  <c r="BE44" i="32"/>
  <c r="BG42" i="32"/>
  <c r="BF42" i="32"/>
  <c r="BE42" i="32"/>
  <c r="BE54" i="32" s="1"/>
  <c r="BG41" i="32"/>
  <c r="BG43" i="32" s="1"/>
  <c r="BF41" i="32"/>
  <c r="BE41" i="32"/>
  <c r="BG40" i="32"/>
  <c r="BF40" i="32"/>
  <c r="BE40" i="32"/>
  <c r="BG33" i="32"/>
  <c r="BF33" i="32"/>
  <c r="BF34" i="32" s="1"/>
  <c r="BE33" i="32"/>
  <c r="BG32" i="32"/>
  <c r="BF32" i="32"/>
  <c r="BE32" i="32"/>
  <c r="BG31" i="32"/>
  <c r="BF31" i="32"/>
  <c r="BF35" i="32" s="1"/>
  <c r="BE31" i="32"/>
  <c r="BE35" i="32"/>
  <c r="BG28" i="32"/>
  <c r="BG30" i="32" s="1"/>
  <c r="BF28" i="32"/>
  <c r="BF30" i="32" s="1"/>
  <c r="BE28" i="32"/>
  <c r="BE30" i="32" s="1"/>
  <c r="BG25" i="32"/>
  <c r="BF25" i="32"/>
  <c r="BE25" i="32"/>
  <c r="BG24" i="32"/>
  <c r="BG26" i="32" s="1"/>
  <c r="BF24" i="32"/>
  <c r="BE24" i="32"/>
  <c r="BE36" i="32" s="1"/>
  <c r="BG16" i="32"/>
  <c r="BF16" i="32"/>
  <c r="BE16" i="32"/>
  <c r="BG15" i="32"/>
  <c r="BF15" i="32"/>
  <c r="BE15" i="32"/>
  <c r="BG14" i="32"/>
  <c r="BF14" i="32"/>
  <c r="BF17" i="32" s="1"/>
  <c r="BE14" i="32"/>
  <c r="BG12" i="32"/>
  <c r="BF12" i="32"/>
  <c r="BE12" i="32"/>
  <c r="BG11" i="32"/>
  <c r="BF11" i="32"/>
  <c r="BE11" i="32"/>
  <c r="BG10" i="32"/>
  <c r="BG13" i="32" s="1"/>
  <c r="BF10" i="32"/>
  <c r="BE10" i="32"/>
  <c r="BG8" i="32"/>
  <c r="BF8" i="32"/>
  <c r="BE8" i="32"/>
  <c r="BG7" i="32"/>
  <c r="BG9" i="32" s="1"/>
  <c r="BF7" i="32"/>
  <c r="BF9" i="32" s="1"/>
  <c r="BE7" i="32"/>
  <c r="BE9" i="32" s="1"/>
  <c r="BH158" i="31"/>
  <c r="BH159" i="31" s="1"/>
  <c r="BG158" i="31"/>
  <c r="BF158" i="31"/>
  <c r="BH153" i="31"/>
  <c r="BG153" i="31"/>
  <c r="BF153" i="31"/>
  <c r="BH135" i="31"/>
  <c r="BG135" i="31"/>
  <c r="BG159" i="31" s="1"/>
  <c r="BF135" i="31"/>
  <c r="BH114" i="31"/>
  <c r="BH115" i="31" s="1"/>
  <c r="BG114" i="31"/>
  <c r="BG115" i="31" s="1"/>
  <c r="BF114" i="31"/>
  <c r="BF115" i="31" s="1"/>
  <c r="BH111" i="31"/>
  <c r="BG111" i="31"/>
  <c r="BF111" i="31"/>
  <c r="BH100" i="31"/>
  <c r="BH112" i="31" s="1"/>
  <c r="BG100" i="31"/>
  <c r="BF100" i="31"/>
  <c r="BH82" i="31"/>
  <c r="BG82" i="31"/>
  <c r="BF82" i="31"/>
  <c r="BH64" i="31"/>
  <c r="BG64" i="31"/>
  <c r="BF64" i="31"/>
  <c r="BF65" i="31" s="1"/>
  <c r="BH59" i="31"/>
  <c r="BH65" i="31" s="1"/>
  <c r="BG59" i="31"/>
  <c r="BF59" i="31"/>
  <c r="BH57" i="31"/>
  <c r="BG57" i="31"/>
  <c r="BF57" i="31"/>
  <c r="BH53" i="31"/>
  <c r="BG53" i="31"/>
  <c r="BG54" i="31" s="1"/>
  <c r="BF53" i="31"/>
  <c r="BH35" i="31"/>
  <c r="BG35" i="31"/>
  <c r="BF35" i="31"/>
  <c r="BH15" i="31"/>
  <c r="BG15" i="31"/>
  <c r="BF15" i="31"/>
  <c r="CO73" i="30"/>
  <c r="CN73" i="30"/>
  <c r="CM73" i="30"/>
  <c r="CO72" i="30"/>
  <c r="CN72" i="30"/>
  <c r="CM72" i="30"/>
  <c r="CO69" i="30"/>
  <c r="CN69" i="30"/>
  <c r="CN70" i="30" s="1"/>
  <c r="CM69" i="30"/>
  <c r="CO68" i="30"/>
  <c r="CO70" i="30" s="1"/>
  <c r="CN68" i="30"/>
  <c r="CM68" i="30"/>
  <c r="CO67" i="30"/>
  <c r="CN67" i="30"/>
  <c r="CM67" i="30"/>
  <c r="CO65" i="30"/>
  <c r="CO66" i="30" s="1"/>
  <c r="CN65" i="30"/>
  <c r="CM65" i="30"/>
  <c r="CO64" i="30"/>
  <c r="CN64" i="30"/>
  <c r="CM64" i="30"/>
  <c r="CO63" i="30"/>
  <c r="CN63" i="30"/>
  <c r="CM63" i="30"/>
  <c r="CO59" i="30"/>
  <c r="CN59" i="30"/>
  <c r="CN60" i="30" s="1"/>
  <c r="CN61" i="30" s="1"/>
  <c r="CM59" i="30"/>
  <c r="CM60" i="30" s="1"/>
  <c r="CO50" i="30"/>
  <c r="CN50" i="30"/>
  <c r="CM50" i="30"/>
  <c r="CO49" i="30"/>
  <c r="CN49" i="30"/>
  <c r="CM49" i="30"/>
  <c r="CO48" i="30"/>
  <c r="CP48" i="30" s="1"/>
  <c r="CN48" i="30"/>
  <c r="CM48" i="30"/>
  <c r="CO46" i="30"/>
  <c r="CN46" i="30"/>
  <c r="CM46" i="30"/>
  <c r="CO45" i="30"/>
  <c r="CN45" i="30"/>
  <c r="CM45" i="30"/>
  <c r="CM47" i="30" s="1"/>
  <c r="CO44" i="30"/>
  <c r="CN44" i="30"/>
  <c r="CM44" i="30"/>
  <c r="CO42" i="30"/>
  <c r="CN42" i="30"/>
  <c r="CN54" i="30" s="1"/>
  <c r="CM42" i="30"/>
  <c r="CO41" i="30"/>
  <c r="CN41" i="30"/>
  <c r="CN43" i="30" s="1"/>
  <c r="CM41" i="30"/>
  <c r="CN40" i="30"/>
  <c r="CM40" i="30"/>
  <c r="CO33" i="30"/>
  <c r="CN33" i="30"/>
  <c r="CN37" i="30" s="1"/>
  <c r="CM33" i="30"/>
  <c r="CO32" i="30"/>
  <c r="CN32" i="30"/>
  <c r="CN34" i="30" s="1"/>
  <c r="CM32" i="30"/>
  <c r="CO31" i="30"/>
  <c r="CO35" i="30" s="1"/>
  <c r="CN31" i="30"/>
  <c r="CM31" i="30"/>
  <c r="CO28" i="30"/>
  <c r="CN28" i="30"/>
  <c r="CN30" i="30" s="1"/>
  <c r="CM28" i="30"/>
  <c r="CM30" i="30" s="1"/>
  <c r="CO25" i="30"/>
  <c r="CO37" i="30" s="1"/>
  <c r="CN25" i="30"/>
  <c r="CN26" i="30" s="1"/>
  <c r="CM25" i="30"/>
  <c r="CO24" i="30"/>
  <c r="CN24" i="30"/>
  <c r="CM24" i="30"/>
  <c r="CM36" i="30" s="1"/>
  <c r="CP23" i="30"/>
  <c r="CO16" i="30"/>
  <c r="CN16" i="30"/>
  <c r="CP16" i="30" s="1"/>
  <c r="CM16" i="30"/>
  <c r="CO15" i="30"/>
  <c r="CN15" i="30"/>
  <c r="CM15" i="30"/>
  <c r="CO14" i="30"/>
  <c r="CN14" i="30"/>
  <c r="CM14" i="30"/>
  <c r="CO12" i="30"/>
  <c r="CP12" i="30" s="1"/>
  <c r="CN12" i="30"/>
  <c r="CM12" i="30"/>
  <c r="CO11" i="30"/>
  <c r="CN11" i="30"/>
  <c r="CM11" i="30"/>
  <c r="CO10" i="30"/>
  <c r="CO18" i="30" s="1"/>
  <c r="CO80" i="30" s="1"/>
  <c r="CN10" i="30"/>
  <c r="CM10" i="30"/>
  <c r="CO8" i="30"/>
  <c r="CN8" i="30"/>
  <c r="CM8" i="30"/>
  <c r="CO7" i="30"/>
  <c r="CN7" i="30"/>
  <c r="CM7" i="30"/>
  <c r="CO6" i="30"/>
  <c r="CN6" i="30"/>
  <c r="CP6" i="30" s="1"/>
  <c r="CM6" i="30"/>
  <c r="CP157" i="29"/>
  <c r="CO157" i="29"/>
  <c r="CO158" i="29" s="1"/>
  <c r="CN157" i="29"/>
  <c r="CQ156" i="29"/>
  <c r="CQ155" i="29"/>
  <c r="CQ154" i="29"/>
  <c r="CQ153" i="29"/>
  <c r="CP152" i="29"/>
  <c r="CO152" i="29"/>
  <c r="CN152" i="29"/>
  <c r="CN158" i="29" s="1"/>
  <c r="CQ151" i="29"/>
  <c r="CQ150" i="29"/>
  <c r="CQ148" i="29"/>
  <c r="CQ146" i="29"/>
  <c r="CQ145" i="29"/>
  <c r="CQ144" i="29"/>
  <c r="CQ143" i="29"/>
  <c r="CQ142" i="29"/>
  <c r="CQ141" i="29"/>
  <c r="CQ140" i="29"/>
  <c r="CQ139" i="29"/>
  <c r="CQ138" i="29"/>
  <c r="CQ137" i="29"/>
  <c r="CQ136" i="29"/>
  <c r="CQ135" i="29"/>
  <c r="CP134" i="29"/>
  <c r="CP158" i="29" s="1"/>
  <c r="CO134" i="29"/>
  <c r="CN134" i="29"/>
  <c r="CQ133" i="29"/>
  <c r="CQ132" i="29"/>
  <c r="CQ131" i="29"/>
  <c r="CQ130" i="29"/>
  <c r="CQ129" i="29"/>
  <c r="CQ128" i="29"/>
  <c r="CQ127" i="29"/>
  <c r="CQ126" i="29"/>
  <c r="CQ125" i="29"/>
  <c r="CQ124" i="29"/>
  <c r="CQ123" i="29"/>
  <c r="CQ122" i="29"/>
  <c r="CQ121" i="29"/>
  <c r="CQ120" i="29"/>
  <c r="CQ119" i="29"/>
  <c r="CQ118" i="29"/>
  <c r="CQ117" i="29"/>
  <c r="CQ116" i="29"/>
  <c r="CQ115" i="29"/>
  <c r="CP113" i="29"/>
  <c r="CP114" i="29" s="1"/>
  <c r="CO113" i="29"/>
  <c r="CO114" i="29" s="1"/>
  <c r="CN113" i="29"/>
  <c r="CN114" i="29" s="1"/>
  <c r="CQ112" i="29"/>
  <c r="CQ113" i="29" s="1"/>
  <c r="CQ114" i="29" s="1"/>
  <c r="CP110" i="29"/>
  <c r="CO110" i="29"/>
  <c r="CN110" i="29"/>
  <c r="CQ109" i="29"/>
  <c r="CQ108" i="29"/>
  <c r="CQ107" i="29"/>
  <c r="CQ106" i="29"/>
  <c r="CQ105" i="29"/>
  <c r="CQ104" i="29"/>
  <c r="CQ103" i="29"/>
  <c r="CQ102" i="29"/>
  <c r="CQ101" i="29"/>
  <c r="CQ100" i="29"/>
  <c r="CP99" i="29"/>
  <c r="CO99" i="29"/>
  <c r="CN99" i="29"/>
  <c r="CQ98" i="29"/>
  <c r="CQ97" i="29"/>
  <c r="CQ96" i="29"/>
  <c r="CQ95" i="29"/>
  <c r="CQ94" i="29"/>
  <c r="CQ93" i="29"/>
  <c r="CQ92" i="29"/>
  <c r="CQ91" i="29"/>
  <c r="CQ90" i="29"/>
  <c r="CQ89" i="29"/>
  <c r="CQ88" i="29"/>
  <c r="CQ87" i="29"/>
  <c r="CQ86" i="29"/>
  <c r="CQ85" i="29"/>
  <c r="CQ84" i="29"/>
  <c r="CP83" i="29"/>
  <c r="CO83" i="29"/>
  <c r="CN83" i="29"/>
  <c r="CQ82" i="29"/>
  <c r="CQ81" i="29"/>
  <c r="CQ80" i="29"/>
  <c r="CQ79" i="29"/>
  <c r="CQ78" i="29"/>
  <c r="CQ77" i="29"/>
  <c r="CQ76" i="29"/>
  <c r="CQ75" i="29"/>
  <c r="CQ74" i="29"/>
  <c r="CQ73" i="29"/>
  <c r="CQ72" i="29"/>
  <c r="CQ71" i="29"/>
  <c r="CQ70" i="29"/>
  <c r="CQ69" i="29"/>
  <c r="CQ68" i="29"/>
  <c r="CQ67" i="29"/>
  <c r="CP65" i="29"/>
  <c r="CO65" i="29"/>
  <c r="CO66" i="29"/>
  <c r="CO160" i="29" s="1"/>
  <c r="CN65" i="29"/>
  <c r="CN66" i="29" s="1"/>
  <c r="CQ64" i="29"/>
  <c r="CQ63" i="29"/>
  <c r="CQ62" i="29"/>
  <c r="CQ61" i="29"/>
  <c r="CP60" i="29"/>
  <c r="CQ59" i="29"/>
  <c r="CQ60" i="29" s="1"/>
  <c r="CQ66" i="29" s="1"/>
  <c r="CP58" i="29"/>
  <c r="CQ57" i="29"/>
  <c r="CQ56" i="29"/>
  <c r="CP54" i="29"/>
  <c r="CO54" i="29"/>
  <c r="CN54" i="29"/>
  <c r="CQ53" i="29"/>
  <c r="CQ52" i="29"/>
  <c r="CQ51" i="29"/>
  <c r="CQ50" i="29"/>
  <c r="CQ49" i="29"/>
  <c r="CQ48" i="29"/>
  <c r="CQ47" i="29"/>
  <c r="CQ46" i="29"/>
  <c r="CQ45" i="29"/>
  <c r="CQ44" i="29"/>
  <c r="CQ43" i="29"/>
  <c r="CQ42" i="29"/>
  <c r="CQ41" i="29"/>
  <c r="CQ40" i="29"/>
  <c r="CQ39" i="29"/>
  <c r="CQ38" i="29"/>
  <c r="CQ37" i="29"/>
  <c r="CP36" i="29"/>
  <c r="CP55" i="29" s="1"/>
  <c r="CO36" i="29"/>
  <c r="CN36" i="29"/>
  <c r="CQ35" i="29"/>
  <c r="CQ33" i="29"/>
  <c r="CQ32" i="29"/>
  <c r="CQ31" i="29"/>
  <c r="CQ30" i="29"/>
  <c r="CQ29" i="29"/>
  <c r="CQ28" i="29"/>
  <c r="CQ27" i="29"/>
  <c r="CQ26" i="29"/>
  <c r="CQ25" i="29"/>
  <c r="CQ24" i="29"/>
  <c r="CQ23" i="29"/>
  <c r="CQ22" i="29"/>
  <c r="CQ21" i="29"/>
  <c r="CQ36" i="29" s="1"/>
  <c r="CQ20" i="29"/>
  <c r="CQ18" i="29"/>
  <c r="CQ17" i="29"/>
  <c r="CP16" i="29"/>
  <c r="CO16" i="29"/>
  <c r="CN16" i="29"/>
  <c r="CQ15" i="29"/>
  <c r="CQ14" i="29"/>
  <c r="CQ13" i="29"/>
  <c r="CQ12" i="29"/>
  <c r="CQ11" i="29"/>
  <c r="CQ10" i="29"/>
  <c r="CQ9" i="29"/>
  <c r="CQ8" i="29"/>
  <c r="CQ7" i="29"/>
  <c r="CQ6" i="29"/>
  <c r="CQ16" i="29" s="1"/>
  <c r="CQ5" i="29"/>
  <c r="BG28" i="13"/>
  <c r="BG34" i="13" s="1"/>
  <c r="BF28" i="13"/>
  <c r="BE28" i="13"/>
  <c r="BG27" i="13"/>
  <c r="BF27" i="13"/>
  <c r="BE27" i="13"/>
  <c r="BG26" i="13"/>
  <c r="BG29" i="13" s="1"/>
  <c r="BF26" i="13"/>
  <c r="BF29" i="13" s="1"/>
  <c r="BE26" i="13"/>
  <c r="BE29" i="13"/>
  <c r="BG23" i="13"/>
  <c r="BF23" i="13"/>
  <c r="BE23" i="13"/>
  <c r="BG22" i="13"/>
  <c r="BF22" i="13"/>
  <c r="BE22" i="13"/>
  <c r="BE24" i="13" s="1"/>
  <c r="BG21" i="13"/>
  <c r="BF21" i="13"/>
  <c r="BE21" i="13"/>
  <c r="BG18" i="13"/>
  <c r="BF18" i="13"/>
  <c r="BF33" i="13" s="1"/>
  <c r="BE18" i="13"/>
  <c r="BE33" i="13" s="1"/>
  <c r="BG17" i="13"/>
  <c r="BF17" i="13"/>
  <c r="BE17" i="13"/>
  <c r="BG16" i="13"/>
  <c r="BF16" i="13"/>
  <c r="BE16" i="13"/>
  <c r="BE19" i="13" s="1"/>
  <c r="BG13" i="13"/>
  <c r="BG36" i="13" s="1"/>
  <c r="BF13" i="13"/>
  <c r="BF36" i="13"/>
  <c r="BE13" i="13"/>
  <c r="BE36" i="13" s="1"/>
  <c r="BG12" i="13"/>
  <c r="BG35" i="13"/>
  <c r="BF12" i="13"/>
  <c r="BF35" i="13" s="1"/>
  <c r="BE12" i="13"/>
  <c r="BE35" i="13" s="1"/>
  <c r="BG11" i="13"/>
  <c r="BF11" i="13"/>
  <c r="BE11" i="13"/>
  <c r="BG8" i="13"/>
  <c r="BF8" i="13"/>
  <c r="BE8" i="13"/>
  <c r="BE34" i="13" s="1"/>
  <c r="BG7" i="13"/>
  <c r="BF7" i="13"/>
  <c r="BF32" i="13" s="1"/>
  <c r="BE7" i="13"/>
  <c r="BE32" i="13"/>
  <c r="BG6" i="13"/>
  <c r="BG9" i="13" s="1"/>
  <c r="BF6" i="13"/>
  <c r="BE6" i="13"/>
  <c r="BF100" i="12"/>
  <c r="BE100" i="12"/>
  <c r="BF91" i="12"/>
  <c r="BE91" i="12"/>
  <c r="BE106" i="12" s="1"/>
  <c r="BF79" i="12"/>
  <c r="BF84" i="12" s="1"/>
  <c r="BE79" i="12"/>
  <c r="BF75" i="12"/>
  <c r="BE75" i="12"/>
  <c r="BF63" i="12"/>
  <c r="BE63" i="12"/>
  <c r="BF51" i="12"/>
  <c r="BE51" i="12"/>
  <c r="BE71" i="12" s="1"/>
  <c r="BF34" i="12"/>
  <c r="BF40" i="12" s="1"/>
  <c r="BE34" i="12"/>
  <c r="BF30" i="12"/>
  <c r="BE30" i="12"/>
  <c r="BF20" i="12"/>
  <c r="BE20" i="12"/>
  <c r="BF15" i="12"/>
  <c r="BE15" i="12"/>
  <c r="BG105" i="12"/>
  <c r="BG106" i="12" s="1"/>
  <c r="BF105" i="12"/>
  <c r="BE105" i="12"/>
  <c r="BG83" i="12"/>
  <c r="BF83" i="12"/>
  <c r="BE83" i="12"/>
  <c r="BG70" i="12"/>
  <c r="BG71" i="12" s="1"/>
  <c r="BF70" i="12"/>
  <c r="BF71" i="12" s="1"/>
  <c r="BE70" i="12"/>
  <c r="BG39" i="12"/>
  <c r="BG40" i="12" s="1"/>
  <c r="BF39" i="12"/>
  <c r="BE39" i="12"/>
  <c r="BG24" i="12"/>
  <c r="BF24" i="12"/>
  <c r="BE24" i="12"/>
  <c r="BG25" i="12"/>
  <c r="BG33" i="13"/>
  <c r="BG31" i="13"/>
  <c r="BG14" i="13"/>
  <c r="BF75" i="32"/>
  <c r="BE76" i="32"/>
  <c r="BF70" i="32"/>
  <c r="BE74" i="32"/>
  <c r="BG52" i="32"/>
  <c r="BG37" i="32"/>
  <c r="BF76" i="32"/>
  <c r="BE20" i="32"/>
  <c r="CM74" i="30"/>
  <c r="CM76" i="30"/>
  <c r="CO17" i="30"/>
  <c r="CN76" i="30"/>
  <c r="CP40" i="30"/>
  <c r="CO54" i="30"/>
  <c r="CP50" i="30"/>
  <c r="CP66" i="29"/>
  <c r="CN18" i="30"/>
  <c r="CP31" i="30"/>
  <c r="CP35" i="30" s="1"/>
  <c r="CP46" i="30"/>
  <c r="CM13" i="30"/>
  <c r="CN47" i="30"/>
  <c r="CP72" i="30"/>
  <c r="CO34" i="30"/>
  <c r="CM51" i="30"/>
  <c r="CO75" i="30"/>
  <c r="CQ58" i="29"/>
  <c r="BF159" i="31"/>
  <c r="BG112" i="31"/>
  <c r="BF112" i="31"/>
  <c r="BG65" i="31"/>
  <c r="BH54" i="31"/>
  <c r="BF54" i="31"/>
  <c r="CN9" i="30"/>
  <c r="CM35" i="30"/>
  <c r="CN52" i="30"/>
  <c r="CM52" i="30"/>
  <c r="CO9" i="30"/>
  <c r="CN35" i="30"/>
  <c r="CO52" i="30"/>
  <c r="CP52" i="30" s="1"/>
  <c r="CP44" i="30"/>
  <c r="CP64" i="30"/>
  <c r="CO43" i="30"/>
  <c r="CQ157" i="29"/>
  <c r="CQ134" i="29"/>
  <c r="CO111" i="29"/>
  <c r="CP111" i="29"/>
  <c r="CN111" i="29"/>
  <c r="CQ65" i="29"/>
  <c r="CQ54" i="29"/>
  <c r="CN55" i="29"/>
  <c r="CO55" i="29"/>
  <c r="BE9" i="13"/>
  <c r="BF106" i="12"/>
  <c r="BE84" i="12"/>
  <c r="BE40" i="12"/>
  <c r="BF25" i="12"/>
  <c r="J11" i="82"/>
  <c r="G133" i="81"/>
  <c r="F133" i="81"/>
  <c r="D133" i="81"/>
  <c r="C133" i="81"/>
  <c r="H132" i="81"/>
  <c r="E132" i="81"/>
  <c r="H131" i="81"/>
  <c r="E131" i="81"/>
  <c r="H130" i="81"/>
  <c r="E130" i="81"/>
  <c r="H129" i="81"/>
  <c r="E129" i="81"/>
  <c r="H128" i="81"/>
  <c r="E128" i="81"/>
  <c r="H127" i="81"/>
  <c r="H133" i="81" s="1"/>
  <c r="E127" i="81"/>
  <c r="G122" i="81"/>
  <c r="F122" i="81"/>
  <c r="D122" i="81"/>
  <c r="C122" i="81"/>
  <c r="J121" i="81"/>
  <c r="I121" i="81"/>
  <c r="H121" i="81"/>
  <c r="E121" i="81"/>
  <c r="J120" i="81"/>
  <c r="I120" i="81"/>
  <c r="H120" i="81"/>
  <c r="E120" i="81"/>
  <c r="J119" i="81"/>
  <c r="I119" i="81"/>
  <c r="H119" i="81"/>
  <c r="E119" i="81"/>
  <c r="J118" i="81"/>
  <c r="I118" i="81"/>
  <c r="H118" i="81"/>
  <c r="E118" i="81"/>
  <c r="J117" i="81"/>
  <c r="I117" i="81"/>
  <c r="H117" i="81"/>
  <c r="H122" i="81" s="1"/>
  <c r="E117" i="81"/>
  <c r="J116" i="81"/>
  <c r="I116" i="81"/>
  <c r="H116" i="81"/>
  <c r="E116" i="81"/>
  <c r="AE101" i="81"/>
  <c r="AD101" i="81"/>
  <c r="AB101" i="81"/>
  <c r="AA101" i="81"/>
  <c r="Z101" i="81"/>
  <c r="Y101" i="81"/>
  <c r="X101" i="81"/>
  <c r="W101" i="81"/>
  <c r="V101" i="81"/>
  <c r="U101" i="81"/>
  <c r="T101" i="81"/>
  <c r="S101" i="81"/>
  <c r="R101" i="81"/>
  <c r="Q101" i="81"/>
  <c r="P101" i="81"/>
  <c r="O101" i="81"/>
  <c r="N101" i="81"/>
  <c r="G111" i="81"/>
  <c r="D111" i="81"/>
  <c r="C111" i="81"/>
  <c r="J110" i="81"/>
  <c r="I110" i="81"/>
  <c r="H110" i="81"/>
  <c r="E110" i="81"/>
  <c r="J109" i="81"/>
  <c r="I109" i="81"/>
  <c r="H109" i="81"/>
  <c r="E109" i="81"/>
  <c r="J108" i="81"/>
  <c r="I108" i="81"/>
  <c r="H108" i="81"/>
  <c r="E108" i="81"/>
  <c r="J107" i="81"/>
  <c r="I107" i="81"/>
  <c r="H107" i="81"/>
  <c r="E107" i="81"/>
  <c r="J106" i="81"/>
  <c r="I106" i="81"/>
  <c r="H106" i="81"/>
  <c r="E106" i="81"/>
  <c r="J105" i="81"/>
  <c r="I105" i="81"/>
  <c r="H105" i="81"/>
  <c r="H111" i="81" s="1"/>
  <c r="E105" i="81"/>
  <c r="G100" i="81"/>
  <c r="F100" i="81"/>
  <c r="D100" i="81"/>
  <c r="C100" i="81"/>
  <c r="J99" i="81"/>
  <c r="I99" i="81"/>
  <c r="H99" i="81"/>
  <c r="H100" i="81" s="1"/>
  <c r="E99" i="81"/>
  <c r="J98" i="81"/>
  <c r="I98" i="81"/>
  <c r="H98" i="81"/>
  <c r="E98" i="81"/>
  <c r="J97" i="81"/>
  <c r="I97" i="81"/>
  <c r="K97" i="81" s="1"/>
  <c r="H97" i="81"/>
  <c r="E97" i="81"/>
  <c r="J96" i="81"/>
  <c r="I96" i="81"/>
  <c r="H96" i="81"/>
  <c r="E96" i="81"/>
  <c r="J95" i="81"/>
  <c r="I95" i="81"/>
  <c r="H95" i="81"/>
  <c r="E95" i="81"/>
  <c r="J94" i="81"/>
  <c r="I94" i="81"/>
  <c r="H94" i="81"/>
  <c r="E94" i="81"/>
  <c r="G89" i="81"/>
  <c r="F89" i="81"/>
  <c r="D89" i="81"/>
  <c r="C89" i="81"/>
  <c r="J88" i="81"/>
  <c r="I88" i="81"/>
  <c r="H88" i="81"/>
  <c r="E88" i="81"/>
  <c r="J87" i="81"/>
  <c r="I87" i="81"/>
  <c r="K87" i="81" s="1"/>
  <c r="H87" i="81"/>
  <c r="E87" i="81"/>
  <c r="J86" i="81"/>
  <c r="I86" i="81"/>
  <c r="H86" i="81"/>
  <c r="E86" i="81"/>
  <c r="J85" i="81"/>
  <c r="I85" i="81"/>
  <c r="K85" i="81" s="1"/>
  <c r="H85" i="81"/>
  <c r="E85" i="81"/>
  <c r="J84" i="81"/>
  <c r="I84" i="81"/>
  <c r="H84" i="81"/>
  <c r="E84" i="81"/>
  <c r="J83" i="81"/>
  <c r="I83" i="81"/>
  <c r="I89" i="81" s="1"/>
  <c r="H83" i="81"/>
  <c r="E83" i="81"/>
  <c r="G77" i="81"/>
  <c r="F77" i="81"/>
  <c r="D77" i="81"/>
  <c r="C77" i="81"/>
  <c r="J76" i="81"/>
  <c r="I76" i="81"/>
  <c r="H76" i="81"/>
  <c r="E76" i="81"/>
  <c r="J75" i="81"/>
  <c r="I75" i="81"/>
  <c r="H75" i="81"/>
  <c r="E75" i="81"/>
  <c r="J74" i="81"/>
  <c r="I74" i="81"/>
  <c r="K74" i="81" s="1"/>
  <c r="H74" i="81"/>
  <c r="E74" i="81"/>
  <c r="J73" i="81"/>
  <c r="I73" i="81"/>
  <c r="H73" i="81"/>
  <c r="E73" i="81"/>
  <c r="J72" i="81"/>
  <c r="I72" i="81"/>
  <c r="H72" i="81"/>
  <c r="E72" i="81"/>
  <c r="AE60" i="81"/>
  <c r="AD60" i="81"/>
  <c r="AB60" i="81"/>
  <c r="AA60" i="81"/>
  <c r="Z60" i="81"/>
  <c r="Y60" i="81"/>
  <c r="X60" i="81"/>
  <c r="W60" i="81"/>
  <c r="V60" i="81"/>
  <c r="U60" i="81"/>
  <c r="T60" i="81"/>
  <c r="S60" i="81"/>
  <c r="R60" i="81"/>
  <c r="Q60" i="81"/>
  <c r="P60" i="81"/>
  <c r="O60" i="81"/>
  <c r="N60" i="81"/>
  <c r="J71" i="81"/>
  <c r="I71" i="81"/>
  <c r="H71" i="81"/>
  <c r="E71" i="81"/>
  <c r="G66" i="81"/>
  <c r="F66" i="81"/>
  <c r="D66" i="81"/>
  <c r="C66" i="81"/>
  <c r="J65" i="81"/>
  <c r="I65" i="81"/>
  <c r="H65" i="81"/>
  <c r="E65" i="81"/>
  <c r="J64" i="81"/>
  <c r="K64" i="81" s="1"/>
  <c r="I64" i="81"/>
  <c r="H64" i="81"/>
  <c r="E64" i="81"/>
  <c r="J63" i="81"/>
  <c r="I63" i="81"/>
  <c r="H63" i="81"/>
  <c r="E63" i="81"/>
  <c r="J62" i="81"/>
  <c r="K62" i="81" s="1"/>
  <c r="I62" i="81"/>
  <c r="H62" i="81"/>
  <c r="E62" i="81"/>
  <c r="J61" i="81"/>
  <c r="I61" i="81"/>
  <c r="H61" i="81"/>
  <c r="E61" i="81"/>
  <c r="J60" i="81"/>
  <c r="J66" i="81" s="1"/>
  <c r="I60" i="81"/>
  <c r="H60" i="81"/>
  <c r="E60" i="81"/>
  <c r="G55" i="81"/>
  <c r="F55" i="81"/>
  <c r="D55" i="81"/>
  <c r="C55" i="81"/>
  <c r="J54" i="81"/>
  <c r="K54" i="81" s="1"/>
  <c r="AC21" i="81" s="1"/>
  <c r="I54" i="81"/>
  <c r="H54" i="81"/>
  <c r="E54" i="81"/>
  <c r="J53" i="81"/>
  <c r="I53" i="81"/>
  <c r="H53" i="81"/>
  <c r="E53" i="81"/>
  <c r="J52" i="81"/>
  <c r="K52" i="81" s="1"/>
  <c r="AC19" i="81" s="1"/>
  <c r="I52" i="81"/>
  <c r="H52" i="81"/>
  <c r="E52" i="81"/>
  <c r="J51" i="81"/>
  <c r="I51" i="81"/>
  <c r="H51" i="81"/>
  <c r="E51" i="81"/>
  <c r="J50" i="81"/>
  <c r="J55" i="81" s="1"/>
  <c r="AC100" i="81" s="1"/>
  <c r="AC101" i="81" s="1"/>
  <c r="I50" i="81"/>
  <c r="H50" i="81"/>
  <c r="E50" i="81"/>
  <c r="J49" i="81"/>
  <c r="I49" i="81"/>
  <c r="H49" i="81"/>
  <c r="E49" i="81"/>
  <c r="G44" i="81"/>
  <c r="F44" i="81"/>
  <c r="D44" i="81"/>
  <c r="C44" i="81"/>
  <c r="J43" i="81"/>
  <c r="I43" i="81"/>
  <c r="H43" i="81"/>
  <c r="E43" i="81"/>
  <c r="J42" i="81"/>
  <c r="I42" i="81"/>
  <c r="H42" i="81"/>
  <c r="E42" i="81"/>
  <c r="J41" i="81"/>
  <c r="I41" i="81"/>
  <c r="H41" i="81"/>
  <c r="E41" i="81"/>
  <c r="J40" i="81"/>
  <c r="I40" i="81"/>
  <c r="H40" i="81"/>
  <c r="E40" i="81"/>
  <c r="J39" i="81"/>
  <c r="I39" i="81"/>
  <c r="H39" i="81"/>
  <c r="E39" i="81"/>
  <c r="J38" i="81"/>
  <c r="K38" i="81" s="1"/>
  <c r="I38" i="81"/>
  <c r="I44" i="81" s="1"/>
  <c r="H38" i="81"/>
  <c r="E38" i="81"/>
  <c r="AE22" i="81"/>
  <c r="AD22" i="81"/>
  <c r="AB22" i="81"/>
  <c r="AA22" i="81"/>
  <c r="Z22" i="81"/>
  <c r="Y22" i="81"/>
  <c r="X22" i="81"/>
  <c r="W22" i="81"/>
  <c r="V22" i="81"/>
  <c r="U22" i="81"/>
  <c r="T22" i="81"/>
  <c r="S22" i="81"/>
  <c r="R22" i="81"/>
  <c r="Q22" i="81"/>
  <c r="P22" i="81"/>
  <c r="O22" i="81"/>
  <c r="N22" i="81"/>
  <c r="G33" i="81"/>
  <c r="F33" i="81"/>
  <c r="D33" i="81"/>
  <c r="C33" i="81"/>
  <c r="J32" i="81"/>
  <c r="I32" i="81"/>
  <c r="H32" i="81"/>
  <c r="E32" i="81"/>
  <c r="J31" i="81"/>
  <c r="I31" i="81"/>
  <c r="H31" i="81"/>
  <c r="E31" i="81"/>
  <c r="J30" i="81"/>
  <c r="I30" i="81"/>
  <c r="H30" i="81"/>
  <c r="E30" i="81"/>
  <c r="J29" i="81"/>
  <c r="I29" i="81"/>
  <c r="H29" i="81"/>
  <c r="E29" i="81"/>
  <c r="J28" i="81"/>
  <c r="K28" i="81" s="1"/>
  <c r="I28" i="81"/>
  <c r="H28" i="81"/>
  <c r="E28" i="81"/>
  <c r="J27" i="81"/>
  <c r="I27" i="81"/>
  <c r="H27" i="81"/>
  <c r="E27" i="81"/>
  <c r="E33" i="81" s="1"/>
  <c r="F444" i="80"/>
  <c r="E444" i="80"/>
  <c r="D444" i="80"/>
  <c r="C444" i="80"/>
  <c r="G443" i="80"/>
  <c r="G442" i="80"/>
  <c r="G441" i="80"/>
  <c r="G440" i="80"/>
  <c r="G439" i="80"/>
  <c r="F436" i="80"/>
  <c r="E436" i="80"/>
  <c r="D436" i="80"/>
  <c r="C436" i="80"/>
  <c r="G435" i="80"/>
  <c r="G434" i="80"/>
  <c r="G433" i="80"/>
  <c r="G432" i="80"/>
  <c r="G431" i="80"/>
  <c r="F428" i="80"/>
  <c r="E428" i="80"/>
  <c r="C428" i="80"/>
  <c r="G427" i="80"/>
  <c r="G426" i="80"/>
  <c r="G425" i="80"/>
  <c r="G424" i="80"/>
  <c r="G423" i="80"/>
  <c r="F420" i="80"/>
  <c r="E420" i="80"/>
  <c r="D420" i="80"/>
  <c r="C420" i="80"/>
  <c r="G419" i="80"/>
  <c r="G418" i="80"/>
  <c r="G417" i="80"/>
  <c r="G416" i="80"/>
  <c r="F413" i="80"/>
  <c r="E413" i="80"/>
  <c r="D413" i="80"/>
  <c r="C413" i="80"/>
  <c r="G412" i="80"/>
  <c r="G411" i="80"/>
  <c r="G410" i="80"/>
  <c r="G409" i="80"/>
  <c r="F406" i="80"/>
  <c r="E406" i="80"/>
  <c r="D406" i="80"/>
  <c r="C406" i="80"/>
  <c r="G405" i="80"/>
  <c r="G404" i="80"/>
  <c r="G403" i="80"/>
  <c r="G402" i="80"/>
  <c r="G401" i="80"/>
  <c r="F398" i="80"/>
  <c r="E398" i="80"/>
  <c r="D398" i="80"/>
  <c r="C398" i="80"/>
  <c r="G397" i="80"/>
  <c r="G396" i="80"/>
  <c r="G395" i="80"/>
  <c r="G394" i="80"/>
  <c r="G393" i="80"/>
  <c r="G339" i="80"/>
  <c r="G338" i="80"/>
  <c r="G337" i="80"/>
  <c r="G336" i="80"/>
  <c r="G335" i="80"/>
  <c r="F334" i="80"/>
  <c r="E334" i="80"/>
  <c r="D334" i="80"/>
  <c r="G333" i="80"/>
  <c r="G332" i="80"/>
  <c r="G331" i="80"/>
  <c r="F330" i="80"/>
  <c r="E330" i="80"/>
  <c r="D330" i="80"/>
  <c r="G329" i="80"/>
  <c r="G328" i="80"/>
  <c r="G327" i="80"/>
  <c r="G326" i="80"/>
  <c r="F325" i="80"/>
  <c r="E325" i="80"/>
  <c r="D325" i="80"/>
  <c r="G324" i="80"/>
  <c r="G323" i="80"/>
  <c r="G322" i="80"/>
  <c r="G321" i="80"/>
  <c r="F320" i="80"/>
  <c r="E320" i="80"/>
  <c r="D320" i="80"/>
  <c r="G319" i="80"/>
  <c r="G318" i="80"/>
  <c r="G317" i="80"/>
  <c r="F316" i="80"/>
  <c r="E316" i="80"/>
  <c r="D316" i="80"/>
  <c r="G312" i="80"/>
  <c r="G311" i="80"/>
  <c r="G310" i="80"/>
  <c r="G309" i="80"/>
  <c r="G308" i="80"/>
  <c r="F307" i="80"/>
  <c r="E307" i="80"/>
  <c r="D307" i="80"/>
  <c r="G306" i="80"/>
  <c r="G305" i="80"/>
  <c r="D304" i="80"/>
  <c r="G303" i="80"/>
  <c r="G302" i="80"/>
  <c r="G301" i="80"/>
  <c r="G300" i="80"/>
  <c r="F299" i="80"/>
  <c r="E299" i="80"/>
  <c r="D299" i="80"/>
  <c r="G298" i="80"/>
  <c r="G297" i="80"/>
  <c r="G296" i="80"/>
  <c r="G295" i="80"/>
  <c r="F294" i="80"/>
  <c r="E294" i="80"/>
  <c r="D294" i="80"/>
  <c r="G293" i="80"/>
  <c r="G292" i="80"/>
  <c r="G291" i="80"/>
  <c r="F290" i="80"/>
  <c r="E290" i="80"/>
  <c r="D290" i="80"/>
  <c r="G284" i="80"/>
  <c r="G283" i="80"/>
  <c r="G282" i="80"/>
  <c r="G281" i="80"/>
  <c r="G280" i="80"/>
  <c r="F279" i="80"/>
  <c r="E279" i="80"/>
  <c r="D279" i="80"/>
  <c r="G277" i="80"/>
  <c r="G276" i="80"/>
  <c r="G275" i="80"/>
  <c r="F274" i="80"/>
  <c r="E274" i="80"/>
  <c r="D274" i="80"/>
  <c r="G273" i="80"/>
  <c r="G272" i="80"/>
  <c r="G271" i="80"/>
  <c r="G270" i="80"/>
  <c r="F269" i="80"/>
  <c r="E269" i="80"/>
  <c r="D269" i="80"/>
  <c r="G268" i="80"/>
  <c r="G267" i="80"/>
  <c r="G266" i="80"/>
  <c r="G265" i="80"/>
  <c r="F264" i="80"/>
  <c r="E264" i="80"/>
  <c r="E285" i="80" s="1"/>
  <c r="D264" i="80"/>
  <c r="G263" i="80"/>
  <c r="G262" i="80"/>
  <c r="G261" i="80"/>
  <c r="F260" i="80"/>
  <c r="E260" i="80"/>
  <c r="D260" i="80"/>
  <c r="G224" i="80"/>
  <c r="G223" i="80"/>
  <c r="G222" i="80"/>
  <c r="G221" i="80"/>
  <c r="G220" i="80"/>
  <c r="G219" i="80"/>
  <c r="F218" i="80"/>
  <c r="E218" i="80"/>
  <c r="D218" i="80"/>
  <c r="D225" i="80" s="1"/>
  <c r="G217" i="80"/>
  <c r="G216" i="80"/>
  <c r="G215" i="80"/>
  <c r="G214" i="80"/>
  <c r="F213" i="80"/>
  <c r="E213" i="80"/>
  <c r="D213" i="80"/>
  <c r="G212" i="80"/>
  <c r="G211" i="80"/>
  <c r="G210" i="80"/>
  <c r="G209" i="80"/>
  <c r="G208" i="80"/>
  <c r="F207" i="80"/>
  <c r="E207" i="80"/>
  <c r="D207" i="80"/>
  <c r="G206" i="80"/>
  <c r="G205" i="80"/>
  <c r="G204" i="80"/>
  <c r="G203" i="80"/>
  <c r="F202" i="80"/>
  <c r="E202" i="80"/>
  <c r="D202" i="80"/>
  <c r="G201" i="80"/>
  <c r="G200" i="80"/>
  <c r="G199" i="80"/>
  <c r="G198" i="80"/>
  <c r="F197" i="80"/>
  <c r="F225" i="80" s="1"/>
  <c r="E197" i="80"/>
  <c r="D197" i="80"/>
  <c r="G191" i="80"/>
  <c r="G190" i="80"/>
  <c r="G189" i="80"/>
  <c r="G188" i="80"/>
  <c r="G187" i="80"/>
  <c r="G186" i="80"/>
  <c r="F185" i="80"/>
  <c r="E185" i="80"/>
  <c r="D185" i="80"/>
  <c r="G184" i="80"/>
  <c r="G183" i="80"/>
  <c r="G182" i="80"/>
  <c r="G181" i="80"/>
  <c r="F180" i="80"/>
  <c r="E180" i="80"/>
  <c r="D180" i="80"/>
  <c r="G179" i="80"/>
  <c r="G178" i="80"/>
  <c r="G177" i="80"/>
  <c r="G176" i="80"/>
  <c r="G175" i="80"/>
  <c r="F174" i="80"/>
  <c r="E174" i="80"/>
  <c r="D174" i="80"/>
  <c r="G173" i="80"/>
  <c r="G172" i="80"/>
  <c r="G171" i="80"/>
  <c r="G170" i="80"/>
  <c r="F169" i="80"/>
  <c r="E169" i="80"/>
  <c r="D169" i="80"/>
  <c r="G168" i="80"/>
  <c r="G167" i="80"/>
  <c r="G166" i="80"/>
  <c r="G165" i="80"/>
  <c r="F164" i="80"/>
  <c r="E164" i="80"/>
  <c r="D164" i="80"/>
  <c r="D192" i="80" s="1"/>
  <c r="G153" i="80"/>
  <c r="F153" i="80"/>
  <c r="E153" i="80"/>
  <c r="D153" i="80"/>
  <c r="G148" i="80"/>
  <c r="F148" i="80"/>
  <c r="E148" i="80"/>
  <c r="D148" i="80"/>
  <c r="G142" i="80"/>
  <c r="F142" i="80"/>
  <c r="E142" i="80"/>
  <c r="D142" i="80"/>
  <c r="F137" i="80"/>
  <c r="E137" i="80"/>
  <c r="D137" i="80"/>
  <c r="F132" i="80"/>
  <c r="G132" i="80" s="1"/>
  <c r="E132" i="80"/>
  <c r="D132" i="80"/>
  <c r="G94" i="80"/>
  <c r="F94" i="80"/>
  <c r="E94" i="80"/>
  <c r="D94" i="80"/>
  <c r="J31" i="79"/>
  <c r="J30" i="79"/>
  <c r="J29" i="79"/>
  <c r="J28" i="79"/>
  <c r="J27" i="79"/>
  <c r="J26" i="79"/>
  <c r="H26" i="79"/>
  <c r="J25" i="79"/>
  <c r="S13" i="79"/>
  <c r="S31" i="79" s="1"/>
  <c r="R13" i="79"/>
  <c r="R31" i="79" s="1"/>
  <c r="Q13" i="79"/>
  <c r="Q31" i="79"/>
  <c r="P13" i="79"/>
  <c r="P31" i="79" s="1"/>
  <c r="O13" i="79"/>
  <c r="O31" i="79" s="1"/>
  <c r="N13" i="79"/>
  <c r="N31" i="79"/>
  <c r="M13" i="79"/>
  <c r="M31" i="79"/>
  <c r="L13" i="79"/>
  <c r="L31" i="79"/>
  <c r="K13" i="79"/>
  <c r="I13" i="79"/>
  <c r="I31" i="79" s="1"/>
  <c r="H13" i="79"/>
  <c r="H28" i="79" s="1"/>
  <c r="G13" i="79"/>
  <c r="G31" i="79" s="1"/>
  <c r="F13" i="79"/>
  <c r="F31" i="79"/>
  <c r="E13" i="79"/>
  <c r="D13" i="79"/>
  <c r="D26" i="79" s="1"/>
  <c r="J40" i="78"/>
  <c r="J35" i="78"/>
  <c r="S31" i="78"/>
  <c r="R31" i="78"/>
  <c r="Q31" i="78"/>
  <c r="P31" i="78"/>
  <c r="O31" i="78"/>
  <c r="O32" i="78" s="1"/>
  <c r="N31" i="78"/>
  <c r="M31" i="78"/>
  <c r="S30" i="78"/>
  <c r="R30" i="78"/>
  <c r="Q30" i="78"/>
  <c r="P30" i="78"/>
  <c r="O30" i="78"/>
  <c r="N30" i="78"/>
  <c r="M30" i="78"/>
  <c r="L30" i="78"/>
  <c r="K30" i="78"/>
  <c r="J30" i="78"/>
  <c r="J39" i="78" s="1"/>
  <c r="I30" i="78"/>
  <c r="H30" i="78"/>
  <c r="G30" i="78"/>
  <c r="F30" i="78"/>
  <c r="E30" i="78"/>
  <c r="D30" i="78"/>
  <c r="S29" i="78"/>
  <c r="R29" i="78"/>
  <c r="Q29" i="78"/>
  <c r="P29" i="78"/>
  <c r="O29" i="78"/>
  <c r="N29" i="78"/>
  <c r="M29" i="78"/>
  <c r="L29" i="78"/>
  <c r="K29" i="78"/>
  <c r="J29" i="78"/>
  <c r="J38" i="78" s="1"/>
  <c r="I29" i="78"/>
  <c r="H29" i="78"/>
  <c r="G29" i="78"/>
  <c r="F29" i="78"/>
  <c r="E29" i="78"/>
  <c r="D29" i="78"/>
  <c r="S28" i="78"/>
  <c r="R28" i="78"/>
  <c r="Q28" i="78"/>
  <c r="P28" i="78"/>
  <c r="O28" i="78"/>
  <c r="N28" i="78"/>
  <c r="M28" i="78"/>
  <c r="L28" i="78"/>
  <c r="K28" i="78"/>
  <c r="J28" i="78"/>
  <c r="J37" i="78" s="1"/>
  <c r="I28" i="78"/>
  <c r="H28" i="78"/>
  <c r="G28" i="78"/>
  <c r="F28" i="78"/>
  <c r="E28" i="78"/>
  <c r="D28" i="78"/>
  <c r="S27" i="78"/>
  <c r="R27" i="78"/>
  <c r="Q27" i="78"/>
  <c r="P27" i="78"/>
  <c r="O27" i="78"/>
  <c r="N27" i="78"/>
  <c r="M27" i="78"/>
  <c r="L27" i="78"/>
  <c r="L32" i="78" s="1"/>
  <c r="K27" i="78"/>
  <c r="J27" i="78"/>
  <c r="J36" i="78"/>
  <c r="I27" i="78"/>
  <c r="I32" i="78" s="1"/>
  <c r="H27" i="78"/>
  <c r="H32" i="78" s="1"/>
  <c r="G27" i="78"/>
  <c r="G32" i="78" s="1"/>
  <c r="F27" i="78"/>
  <c r="E27" i="78"/>
  <c r="E32" i="78"/>
  <c r="E36" i="78" s="1"/>
  <c r="D27" i="78"/>
  <c r="S26" i="78"/>
  <c r="R26" i="78"/>
  <c r="Q26" i="78"/>
  <c r="Q32" i="78" s="1"/>
  <c r="P26" i="78"/>
  <c r="O26" i="78"/>
  <c r="N26" i="78"/>
  <c r="M26" i="78"/>
  <c r="S16" i="78"/>
  <c r="R16" i="78"/>
  <c r="Q16" i="78"/>
  <c r="P16" i="78"/>
  <c r="O16" i="78"/>
  <c r="N16" i="78"/>
  <c r="M16" i="78"/>
  <c r="L16" i="78"/>
  <c r="K16" i="78"/>
  <c r="I16" i="78"/>
  <c r="H16" i="78"/>
  <c r="G16" i="78"/>
  <c r="F16" i="78"/>
  <c r="E16" i="78"/>
  <c r="D16" i="78"/>
  <c r="O546" i="77"/>
  <c r="N546" i="77"/>
  <c r="O545" i="77"/>
  <c r="N545" i="77"/>
  <c r="O544" i="77"/>
  <c r="N544" i="77"/>
  <c r="O542" i="77"/>
  <c r="N542" i="77"/>
  <c r="O541" i="77"/>
  <c r="N541" i="77"/>
  <c r="O540" i="77"/>
  <c r="N540" i="77"/>
  <c r="O539" i="77"/>
  <c r="N539" i="77"/>
  <c r="O538" i="77"/>
  <c r="N538" i="77"/>
  <c r="O537" i="77"/>
  <c r="N537" i="77"/>
  <c r="O536" i="77"/>
  <c r="N536" i="77"/>
  <c r="O535" i="77"/>
  <c r="N535" i="77"/>
  <c r="O526" i="77"/>
  <c r="N526" i="77"/>
  <c r="O520" i="77"/>
  <c r="N520" i="77"/>
  <c r="O507" i="77"/>
  <c r="N507" i="77"/>
  <c r="O493" i="77"/>
  <c r="N493" i="77"/>
  <c r="O478" i="77"/>
  <c r="N478" i="77"/>
  <c r="O468" i="77"/>
  <c r="N468" i="77"/>
  <c r="O462" i="77"/>
  <c r="N462" i="77"/>
  <c r="O448" i="77"/>
  <c r="N448" i="77"/>
  <c r="D431" i="77"/>
  <c r="C431" i="77"/>
  <c r="H430" i="77"/>
  <c r="D429" i="77"/>
  <c r="C429" i="77"/>
  <c r="D426" i="77"/>
  <c r="D424" i="77"/>
  <c r="D422" i="77"/>
  <c r="H420" i="77"/>
  <c r="G420" i="77"/>
  <c r="D420" i="77"/>
  <c r="G419" i="77"/>
  <c r="O419" i="77"/>
  <c r="N419" i="77"/>
  <c r="G418" i="77"/>
  <c r="D417" i="77"/>
  <c r="C417" i="77"/>
  <c r="G416" i="77"/>
  <c r="H415" i="77"/>
  <c r="G415" i="77"/>
  <c r="H413" i="77"/>
  <c r="G413" i="77"/>
  <c r="D413" i="77"/>
  <c r="C413" i="77"/>
  <c r="C405" i="77"/>
  <c r="G402" i="77"/>
  <c r="D402" i="77"/>
  <c r="D398" i="77"/>
  <c r="G397" i="77"/>
  <c r="G389" i="77"/>
  <c r="H388" i="77"/>
  <c r="H405" i="77" s="1"/>
  <c r="G388" i="77"/>
  <c r="G387" i="77"/>
  <c r="N387" i="77"/>
  <c r="G383" i="77"/>
  <c r="O381" i="77"/>
  <c r="O387" i="77" s="1"/>
  <c r="G380" i="77"/>
  <c r="H369" i="77"/>
  <c r="G369" i="77"/>
  <c r="D369" i="77"/>
  <c r="C369" i="77"/>
  <c r="H368" i="77"/>
  <c r="G368" i="77"/>
  <c r="H367" i="77"/>
  <c r="G367" i="77"/>
  <c r="H366" i="77"/>
  <c r="G366" i="77"/>
  <c r="D366" i="77"/>
  <c r="C366" i="77"/>
  <c r="H365" i="77"/>
  <c r="G365" i="77"/>
  <c r="D365" i="77"/>
  <c r="C365" i="77"/>
  <c r="N365" i="77"/>
  <c r="H364" i="77"/>
  <c r="G364" i="77"/>
  <c r="D364" i="77"/>
  <c r="C364" i="77"/>
  <c r="D363" i="77"/>
  <c r="C363" i="77"/>
  <c r="O363" i="77"/>
  <c r="O369" i="77" s="1"/>
  <c r="N363" i="77"/>
  <c r="N369" i="77" s="1"/>
  <c r="D362" i="77"/>
  <c r="C362" i="77"/>
  <c r="D361" i="77"/>
  <c r="C361" i="77"/>
  <c r="H358" i="77"/>
  <c r="G358" i="77"/>
  <c r="D358" i="77"/>
  <c r="C358" i="77"/>
  <c r="D357" i="77"/>
  <c r="H356" i="77"/>
  <c r="G356" i="77"/>
  <c r="D356" i="77"/>
  <c r="H355" i="77"/>
  <c r="G355" i="77"/>
  <c r="D355" i="77"/>
  <c r="C355" i="77"/>
  <c r="H354" i="77"/>
  <c r="G354" i="77"/>
  <c r="D354" i="77"/>
  <c r="C354" i="77"/>
  <c r="D353" i="77"/>
  <c r="C353" i="77"/>
  <c r="D352" i="77"/>
  <c r="C352" i="77"/>
  <c r="H351" i="77"/>
  <c r="G351" i="77"/>
  <c r="D351" i="77"/>
  <c r="C351" i="77"/>
  <c r="H350" i="77"/>
  <c r="G350" i="77"/>
  <c r="D350" i="77"/>
  <c r="C350" i="77"/>
  <c r="D349" i="77"/>
  <c r="C349" i="77"/>
  <c r="D348" i="77"/>
  <c r="C348" i="77"/>
  <c r="D347" i="77"/>
  <c r="C347" i="77"/>
  <c r="H344" i="77"/>
  <c r="G344" i="77"/>
  <c r="D344" i="77"/>
  <c r="C344" i="77"/>
  <c r="H343" i="77"/>
  <c r="G343" i="77"/>
  <c r="D343" i="77"/>
  <c r="C343" i="77"/>
  <c r="D342" i="77"/>
  <c r="C342" i="77"/>
  <c r="H341" i="77"/>
  <c r="G341" i="77"/>
  <c r="D341" i="77"/>
  <c r="C341" i="77"/>
  <c r="H332" i="77"/>
  <c r="G332" i="77"/>
  <c r="H331" i="77"/>
  <c r="G331" i="77"/>
  <c r="H330" i="77"/>
  <c r="G330" i="77"/>
  <c r="H329" i="77"/>
  <c r="G329" i="77"/>
  <c r="H328" i="77"/>
  <c r="G328" i="77"/>
  <c r="H327" i="77"/>
  <c r="G327" i="77"/>
  <c r="H326" i="77"/>
  <c r="G326" i="77"/>
  <c r="H325" i="77"/>
  <c r="G325" i="77"/>
  <c r="D323" i="77"/>
  <c r="C323" i="77"/>
  <c r="H322" i="77"/>
  <c r="G322" i="77"/>
  <c r="D322" i="77"/>
  <c r="C322" i="77"/>
  <c r="N321" i="77"/>
  <c r="H318" i="77"/>
  <c r="G318" i="77"/>
  <c r="D318" i="77"/>
  <c r="C318" i="77"/>
  <c r="H317" i="77"/>
  <c r="G317" i="77"/>
  <c r="D317" i="77"/>
  <c r="C317" i="77"/>
  <c r="H316" i="77"/>
  <c r="G316" i="77"/>
  <c r="D316" i="77"/>
  <c r="C316" i="77"/>
  <c r="H315" i="77"/>
  <c r="G315" i="77"/>
  <c r="D315" i="77"/>
  <c r="C315" i="77"/>
  <c r="D314" i="77"/>
  <c r="C314" i="77"/>
  <c r="D313" i="77"/>
  <c r="C313" i="77"/>
  <c r="H312" i="77"/>
  <c r="G312" i="77"/>
  <c r="H311" i="77"/>
  <c r="G311" i="77"/>
  <c r="D311" i="77"/>
  <c r="C311" i="77"/>
  <c r="H310" i="77"/>
  <c r="G310" i="77"/>
  <c r="D309" i="77"/>
  <c r="C309" i="77"/>
  <c r="D307" i="77"/>
  <c r="C307" i="77"/>
  <c r="D306" i="77"/>
  <c r="C306" i="77"/>
  <c r="H305" i="77"/>
  <c r="G305" i="77"/>
  <c r="D305" i="77"/>
  <c r="C305" i="77"/>
  <c r="H304" i="77"/>
  <c r="G304" i="77"/>
  <c r="D304" i="77"/>
  <c r="C304" i="77"/>
  <c r="G302" i="77"/>
  <c r="H302" i="77" s="1"/>
  <c r="H301" i="77"/>
  <c r="G301" i="77"/>
  <c r="D301" i="77"/>
  <c r="C301" i="77"/>
  <c r="H300" i="77"/>
  <c r="G300" i="77"/>
  <c r="D300" i="77"/>
  <c r="C300" i="77"/>
  <c r="H299" i="77"/>
  <c r="G299" i="77"/>
  <c r="D299" i="77"/>
  <c r="O299" i="77"/>
  <c r="O321" i="77" s="1"/>
  <c r="H298" i="77"/>
  <c r="G298" i="77"/>
  <c r="D298" i="77"/>
  <c r="C298" i="77"/>
  <c r="H289" i="77"/>
  <c r="G289" i="77"/>
  <c r="H287" i="77"/>
  <c r="G287" i="77"/>
  <c r="H286" i="77"/>
  <c r="G286" i="77"/>
  <c r="O282" i="77"/>
  <c r="N282" i="77"/>
  <c r="H281" i="77"/>
  <c r="G281" i="77"/>
  <c r="D279" i="77"/>
  <c r="C279" i="77"/>
  <c r="H276" i="77"/>
  <c r="G276" i="77"/>
  <c r="D275" i="77"/>
  <c r="C275" i="77"/>
  <c r="H274" i="77"/>
  <c r="G274" i="77"/>
  <c r="H273" i="77"/>
  <c r="G273" i="77"/>
  <c r="H272" i="77"/>
  <c r="G272" i="77"/>
  <c r="H271" i="77"/>
  <c r="G271" i="77"/>
  <c r="H269" i="77"/>
  <c r="G269" i="77"/>
  <c r="D269" i="77"/>
  <c r="C269" i="77"/>
  <c r="D268" i="77"/>
  <c r="C268" i="77"/>
  <c r="D267" i="77"/>
  <c r="C267" i="77"/>
  <c r="D266" i="77"/>
  <c r="C266" i="77"/>
  <c r="H263" i="77"/>
  <c r="G263" i="77"/>
  <c r="D263" i="77"/>
  <c r="C263" i="77"/>
  <c r="D262" i="77"/>
  <c r="C262" i="77"/>
  <c r="H255" i="77"/>
  <c r="G255" i="77"/>
  <c r="D249" i="77"/>
  <c r="C249" i="77"/>
  <c r="N239" i="77"/>
  <c r="H220" i="77"/>
  <c r="G220" i="77"/>
  <c r="D204" i="77"/>
  <c r="C204" i="77"/>
  <c r="O189" i="77"/>
  <c r="N189" i="77"/>
  <c r="H177" i="77"/>
  <c r="G177" i="77"/>
  <c r="D173" i="77"/>
  <c r="C173" i="77"/>
  <c r="O157" i="77"/>
  <c r="N157" i="77"/>
  <c r="D141" i="77"/>
  <c r="C141" i="77"/>
  <c r="H114" i="77"/>
  <c r="G114" i="77"/>
  <c r="D111" i="77"/>
  <c r="C111" i="77"/>
  <c r="H84" i="77"/>
  <c r="G84" i="77"/>
  <c r="D82" i="77"/>
  <c r="C82" i="77"/>
  <c r="O63" i="77"/>
  <c r="N63" i="77"/>
  <c r="L35" i="78"/>
  <c r="R32" i="78"/>
  <c r="R38" i="78" s="1"/>
  <c r="S25" i="79"/>
  <c r="K26" i="79"/>
  <c r="S26" i="79"/>
  <c r="S27" i="79"/>
  <c r="S28" i="79"/>
  <c r="S29" i="79"/>
  <c r="K30" i="79"/>
  <c r="S30" i="79"/>
  <c r="E225" i="80"/>
  <c r="L25" i="79"/>
  <c r="L26" i="79"/>
  <c r="L27" i="79"/>
  <c r="L28" i="79"/>
  <c r="L29" i="79"/>
  <c r="D30" i="79"/>
  <c r="L30" i="79"/>
  <c r="E313" i="80"/>
  <c r="M25" i="79"/>
  <c r="M26" i="79"/>
  <c r="M27" i="79"/>
  <c r="M32" i="79" s="1"/>
  <c r="M28" i="79"/>
  <c r="M29" i="79"/>
  <c r="M30" i="79"/>
  <c r="F25" i="79"/>
  <c r="N25" i="79"/>
  <c r="F26" i="79"/>
  <c r="N26" i="79"/>
  <c r="F27" i="79"/>
  <c r="N27" i="79"/>
  <c r="F28" i="79"/>
  <c r="N28" i="79"/>
  <c r="F29" i="79"/>
  <c r="N29" i="79"/>
  <c r="F30" i="79"/>
  <c r="N30" i="79"/>
  <c r="G25" i="79"/>
  <c r="O25" i="79"/>
  <c r="G26" i="79"/>
  <c r="O26" i="79"/>
  <c r="G27" i="79"/>
  <c r="O27" i="79"/>
  <c r="G28" i="79"/>
  <c r="O28" i="79"/>
  <c r="G29" i="79"/>
  <c r="O29" i="79"/>
  <c r="G30" i="79"/>
  <c r="O30" i="79"/>
  <c r="I25" i="79"/>
  <c r="Q25" i="79"/>
  <c r="I26" i="79"/>
  <c r="Q26" i="79"/>
  <c r="I27" i="79"/>
  <c r="Q27" i="79"/>
  <c r="I28" i="79"/>
  <c r="Q28" i="79"/>
  <c r="I29" i="79"/>
  <c r="Q29" i="79"/>
  <c r="I30" i="79"/>
  <c r="Q30" i="79"/>
  <c r="G202" i="80"/>
  <c r="R25" i="79"/>
  <c r="R26" i="79"/>
  <c r="R27" i="79"/>
  <c r="R28" i="79"/>
  <c r="R29" i="79"/>
  <c r="R30" i="79"/>
  <c r="G436" i="80"/>
  <c r="K73" i="81"/>
  <c r="K39" i="81"/>
  <c r="K43" i="81"/>
  <c r="K51" i="81"/>
  <c r="AC18" i="81" s="1"/>
  <c r="K61" i="81"/>
  <c r="K65" i="81"/>
  <c r="I122" i="81"/>
  <c r="K119" i="81"/>
  <c r="K121" i="81"/>
  <c r="E133" i="81"/>
  <c r="K106" i="81"/>
  <c r="K76" i="81"/>
  <c r="K27" i="81"/>
  <c r="K29" i="81"/>
  <c r="K75" i="81"/>
  <c r="K41" i="81"/>
  <c r="K30" i="81"/>
  <c r="K84" i="81"/>
  <c r="K86" i="81"/>
  <c r="K88" i="81"/>
  <c r="K96" i="81"/>
  <c r="K53" i="81"/>
  <c r="AC20" i="81" s="1"/>
  <c r="K63" i="81"/>
  <c r="E100" i="81"/>
  <c r="K99" i="81"/>
  <c r="K105" i="81"/>
  <c r="K31" i="81"/>
  <c r="K72" i="81"/>
  <c r="K77" i="81" s="1"/>
  <c r="K98" i="81"/>
  <c r="J122" i="81"/>
  <c r="E111" i="81"/>
  <c r="E77" i="81"/>
  <c r="E89" i="81"/>
  <c r="J111" i="81"/>
  <c r="E66" i="81"/>
  <c r="H77" i="81"/>
  <c r="H89" i="81"/>
  <c r="J100" i="81"/>
  <c r="K107" i="81"/>
  <c r="K109" i="81"/>
  <c r="K117" i="81"/>
  <c r="E55" i="81"/>
  <c r="AC58" i="81" s="1"/>
  <c r="I77" i="81"/>
  <c r="H33" i="81"/>
  <c r="H55" i="81"/>
  <c r="AC59" i="81"/>
  <c r="J77" i="81"/>
  <c r="E122" i="81"/>
  <c r="I33" i="81"/>
  <c r="E44" i="81"/>
  <c r="I55" i="81"/>
  <c r="AC99" i="81" s="1"/>
  <c r="H66" i="81"/>
  <c r="J89" i="81"/>
  <c r="K32" i="81"/>
  <c r="K33" i="81" s="1"/>
  <c r="H44" i="81"/>
  <c r="K108" i="81"/>
  <c r="K110" i="81"/>
  <c r="K118" i="81"/>
  <c r="K120" i="81"/>
  <c r="BH161" i="31"/>
  <c r="CN160" i="29"/>
  <c r="BF161" i="31"/>
  <c r="I111" i="81"/>
  <c r="G197" i="80"/>
  <c r="K49" i="81"/>
  <c r="K71" i="81"/>
  <c r="K94" i="81"/>
  <c r="I66" i="81"/>
  <c r="K83" i="81"/>
  <c r="K116" i="81"/>
  <c r="E39" i="78"/>
  <c r="L40" i="78"/>
  <c r="L38" i="78"/>
  <c r="L37" i="78"/>
  <c r="H35" i="78"/>
  <c r="H36" i="78"/>
  <c r="H38" i="78"/>
  <c r="Z62" i="76"/>
  <c r="Y62" i="76"/>
  <c r="X62" i="76"/>
  <c r="W62" i="76"/>
  <c r="V62" i="76"/>
  <c r="U62" i="76"/>
  <c r="T62" i="76"/>
  <c r="P62" i="76"/>
  <c r="O62" i="76"/>
  <c r="N62" i="76"/>
  <c r="M62" i="76"/>
  <c r="L62" i="76"/>
  <c r="K62" i="76"/>
  <c r="G62" i="76"/>
  <c r="F62" i="76"/>
  <c r="E62" i="76"/>
  <c r="D62" i="76"/>
  <c r="C62" i="76"/>
  <c r="B62" i="76"/>
  <c r="AA61" i="76"/>
  <c r="Q61" i="76"/>
  <c r="H61" i="76"/>
  <c r="AA60" i="76"/>
  <c r="Q60" i="76"/>
  <c r="H60" i="76"/>
  <c r="AA59" i="76"/>
  <c r="Q59" i="76"/>
  <c r="H59" i="76"/>
  <c r="AA58" i="76"/>
  <c r="Q58" i="76"/>
  <c r="H58" i="76"/>
  <c r="AA57" i="76"/>
  <c r="Q57" i="76"/>
  <c r="Q62" i="76" s="1"/>
  <c r="H57" i="76"/>
  <c r="Y52" i="76"/>
  <c r="X52" i="76"/>
  <c r="W52" i="76"/>
  <c r="V52" i="76"/>
  <c r="U52" i="76"/>
  <c r="T52" i="76"/>
  <c r="P52" i="76"/>
  <c r="O52" i="76"/>
  <c r="N52" i="76"/>
  <c r="M52" i="76"/>
  <c r="L52" i="76"/>
  <c r="K52" i="76"/>
  <c r="G52" i="76"/>
  <c r="F52" i="76"/>
  <c r="E52" i="76"/>
  <c r="D52" i="76"/>
  <c r="C52" i="76"/>
  <c r="B52" i="76"/>
  <c r="Z51" i="76"/>
  <c r="Q51" i="76"/>
  <c r="H51" i="76"/>
  <c r="Z50" i="76"/>
  <c r="Q50" i="76"/>
  <c r="H50" i="76"/>
  <c r="Z49" i="76"/>
  <c r="Q49" i="76"/>
  <c r="H49" i="76"/>
  <c r="Z48" i="76"/>
  <c r="Q48" i="76"/>
  <c r="H48" i="76"/>
  <c r="Z47" i="76"/>
  <c r="Q47" i="76"/>
  <c r="H47" i="76"/>
  <c r="Y41" i="76"/>
  <c r="X41" i="76"/>
  <c r="W41" i="76"/>
  <c r="V41" i="76"/>
  <c r="U41" i="76"/>
  <c r="T41" i="76"/>
  <c r="P41" i="76"/>
  <c r="O41" i="76"/>
  <c r="N41" i="76"/>
  <c r="M41" i="76"/>
  <c r="L41" i="76"/>
  <c r="K41" i="76"/>
  <c r="G41" i="76"/>
  <c r="F41" i="76"/>
  <c r="E41" i="76"/>
  <c r="D41" i="76"/>
  <c r="C41" i="76"/>
  <c r="B41" i="76"/>
  <c r="Z40" i="76"/>
  <c r="Q40" i="76"/>
  <c r="H40" i="76"/>
  <c r="Z39" i="76"/>
  <c r="Q39" i="76"/>
  <c r="Z38" i="76"/>
  <c r="Q38" i="76"/>
  <c r="H38" i="76"/>
  <c r="Z37" i="76"/>
  <c r="Q37" i="76"/>
  <c r="H37" i="76"/>
  <c r="Z36" i="76"/>
  <c r="Z41" i="76" s="1"/>
  <c r="Q36" i="76"/>
  <c r="Q41" i="76" s="1"/>
  <c r="H36" i="76"/>
  <c r="Y30" i="76"/>
  <c r="X30" i="76"/>
  <c r="W30" i="76"/>
  <c r="V30" i="76"/>
  <c r="U30" i="76"/>
  <c r="T30" i="76"/>
  <c r="P30" i="76"/>
  <c r="O30" i="76"/>
  <c r="N30" i="76"/>
  <c r="M30" i="76"/>
  <c r="L30" i="76"/>
  <c r="K30" i="76"/>
  <c r="G30" i="76"/>
  <c r="F30" i="76"/>
  <c r="E30" i="76"/>
  <c r="D30" i="76"/>
  <c r="C30" i="76"/>
  <c r="B30" i="76"/>
  <c r="Z29" i="76"/>
  <c r="Q29" i="76"/>
  <c r="H29" i="76"/>
  <c r="Z28" i="76"/>
  <c r="Q28" i="76"/>
  <c r="H28" i="76"/>
  <c r="Z27" i="76"/>
  <c r="Q27" i="76"/>
  <c r="H27" i="76"/>
  <c r="Z26" i="76"/>
  <c r="Q26" i="76"/>
  <c r="H26" i="76"/>
  <c r="H30" i="76" s="1"/>
  <c r="Y20" i="76"/>
  <c r="X20" i="76"/>
  <c r="W20" i="76"/>
  <c r="V20" i="76"/>
  <c r="U20" i="76"/>
  <c r="T20" i="76"/>
  <c r="P20" i="76"/>
  <c r="O20" i="76"/>
  <c r="N20" i="76"/>
  <c r="M20" i="76"/>
  <c r="L20" i="76"/>
  <c r="K20" i="76"/>
  <c r="G20" i="76"/>
  <c r="F20" i="76"/>
  <c r="E20" i="76"/>
  <c r="D20" i="76"/>
  <c r="C20" i="76"/>
  <c r="B20" i="76"/>
  <c r="Z19" i="76"/>
  <c r="Q19" i="76"/>
  <c r="H19" i="76"/>
  <c r="Z18" i="76"/>
  <c r="Q18" i="76"/>
  <c r="H18" i="76"/>
  <c r="Z17" i="76"/>
  <c r="Q17" i="76"/>
  <c r="H17" i="76"/>
  <c r="Z16" i="76"/>
  <c r="Q16" i="76"/>
  <c r="H16" i="76"/>
  <c r="Y10" i="76"/>
  <c r="X10" i="76"/>
  <c r="Z10" i="76" s="1"/>
  <c r="W10" i="76"/>
  <c r="V10" i="76"/>
  <c r="U10" i="76"/>
  <c r="T10" i="76"/>
  <c r="P10" i="76"/>
  <c r="O10" i="76"/>
  <c r="N10" i="76"/>
  <c r="M10" i="76"/>
  <c r="L10" i="76"/>
  <c r="K10" i="76"/>
  <c r="G10" i="76"/>
  <c r="F10" i="76"/>
  <c r="E10" i="76"/>
  <c r="D10" i="76"/>
  <c r="C10" i="76"/>
  <c r="B10" i="76"/>
  <c r="Z9" i="76"/>
  <c r="Q9" i="76"/>
  <c r="H9" i="76"/>
  <c r="Z8" i="76"/>
  <c r="Q8" i="76"/>
  <c r="H8" i="76"/>
  <c r="Z6" i="76"/>
  <c r="Q6" i="76"/>
  <c r="H6" i="76"/>
  <c r="R37" i="78"/>
  <c r="R36" i="78"/>
  <c r="R35" i="78"/>
  <c r="L32" i="79"/>
  <c r="N32" i="79"/>
  <c r="R40" i="78"/>
  <c r="I40" i="78"/>
  <c r="I35" i="78"/>
  <c r="I38" i="78"/>
  <c r="R39" i="78"/>
  <c r="Q32" i="79"/>
  <c r="I36" i="78"/>
  <c r="K122" i="81"/>
  <c r="K111" i="81"/>
  <c r="Q20" i="76"/>
  <c r="AC16" i="81"/>
  <c r="O112" i="74"/>
  <c r="M112" i="74"/>
  <c r="L112" i="74"/>
  <c r="K112" i="74"/>
  <c r="J112" i="74"/>
  <c r="I112" i="74"/>
  <c r="H112" i="74"/>
  <c r="G112" i="74"/>
  <c r="E112" i="74"/>
  <c r="C112" i="74"/>
  <c r="O109" i="74"/>
  <c r="M109" i="74"/>
  <c r="L109" i="74"/>
  <c r="K109" i="74"/>
  <c r="J109" i="74"/>
  <c r="I109" i="74"/>
  <c r="H109" i="74"/>
  <c r="G109" i="74"/>
  <c r="E109" i="74"/>
  <c r="C109" i="74"/>
  <c r="O108" i="74"/>
  <c r="M108" i="74"/>
  <c r="L108" i="74"/>
  <c r="K108" i="74"/>
  <c r="J108" i="74"/>
  <c r="I108" i="74"/>
  <c r="H108" i="74"/>
  <c r="G108" i="74"/>
  <c r="E108" i="74"/>
  <c r="C108" i="74"/>
  <c r="O107" i="74"/>
  <c r="M107" i="74"/>
  <c r="L107" i="74"/>
  <c r="K107" i="74"/>
  <c r="J107" i="74"/>
  <c r="I107" i="74"/>
  <c r="H107" i="74"/>
  <c r="G107" i="74"/>
  <c r="E107" i="74"/>
  <c r="C107" i="74"/>
  <c r="O106" i="74"/>
  <c r="M106" i="74"/>
  <c r="L106" i="74"/>
  <c r="K106" i="74"/>
  <c r="J106" i="74"/>
  <c r="I106" i="74"/>
  <c r="H106" i="74"/>
  <c r="G106" i="74"/>
  <c r="E106" i="74"/>
  <c r="C106" i="74"/>
  <c r="O105" i="74"/>
  <c r="M105" i="74"/>
  <c r="L105" i="74"/>
  <c r="K105" i="74"/>
  <c r="J105" i="74"/>
  <c r="I105" i="74"/>
  <c r="H105" i="74"/>
  <c r="G105" i="74"/>
  <c r="E105" i="74"/>
  <c r="C105" i="74"/>
  <c r="O104" i="74"/>
  <c r="M104" i="74"/>
  <c r="L104" i="74"/>
  <c r="K104" i="74"/>
  <c r="J104" i="74"/>
  <c r="I104" i="74"/>
  <c r="H104" i="74"/>
  <c r="G104" i="74"/>
  <c r="E104" i="74"/>
  <c r="C104" i="74"/>
  <c r="P93" i="74"/>
  <c r="P114" i="74" s="1"/>
  <c r="P92" i="74"/>
  <c r="P91" i="74"/>
  <c r="P90" i="74"/>
  <c r="P89" i="74"/>
  <c r="P88" i="74"/>
  <c r="P87" i="74"/>
  <c r="P86" i="74"/>
  <c r="P85" i="74"/>
  <c r="P84" i="74"/>
  <c r="P83" i="74"/>
  <c r="P72" i="74"/>
  <c r="P71" i="74"/>
  <c r="P70" i="74"/>
  <c r="P69" i="74"/>
  <c r="P68" i="74"/>
  <c r="P67" i="74"/>
  <c r="P66" i="74"/>
  <c r="P65" i="74"/>
  <c r="P61" i="74"/>
  <c r="P60" i="74"/>
  <c r="P59" i="74"/>
  <c r="P58" i="74"/>
  <c r="P57" i="74"/>
  <c r="P56" i="74"/>
  <c r="P55" i="74"/>
  <c r="P54" i="74"/>
  <c r="P53" i="74"/>
  <c r="P52" i="74"/>
  <c r="P51" i="74"/>
  <c r="P40" i="74"/>
  <c r="P39" i="74"/>
  <c r="P38" i="74"/>
  <c r="P112" i="74" s="1"/>
  <c r="P37" i="74"/>
  <c r="P36" i="74"/>
  <c r="P35" i="74"/>
  <c r="P34" i="74"/>
  <c r="P33" i="74"/>
  <c r="P32" i="74"/>
  <c r="P31" i="74"/>
  <c r="P30" i="74"/>
  <c r="P104" i="74" s="1"/>
  <c r="P22" i="74"/>
  <c r="P21" i="74"/>
  <c r="P20" i="74"/>
  <c r="P19" i="74"/>
  <c r="P18" i="74"/>
  <c r="P17" i="74"/>
  <c r="P16" i="74"/>
  <c r="P15" i="74"/>
  <c r="P107" i="74" s="1"/>
  <c r="P14" i="74"/>
  <c r="P13" i="74"/>
  <c r="P12" i="74"/>
  <c r="BU36" i="73"/>
  <c r="BT36" i="73"/>
  <c r="BS36" i="73"/>
  <c r="BQ36" i="73"/>
  <c r="BP36" i="73"/>
  <c r="BO36" i="73"/>
  <c r="BM36" i="73"/>
  <c r="BL36" i="73"/>
  <c r="BK36" i="73"/>
  <c r="BI36" i="73"/>
  <c r="BH36" i="73"/>
  <c r="BJ36" i="73" s="1"/>
  <c r="BG36" i="73"/>
  <c r="BE36" i="73"/>
  <c r="BD36" i="73"/>
  <c r="BC36" i="73"/>
  <c r="BA36" i="73"/>
  <c r="AZ36" i="73"/>
  <c r="AY36" i="73"/>
  <c r="AW36" i="73"/>
  <c r="AV36" i="73"/>
  <c r="AU36" i="73"/>
  <c r="AS36" i="73"/>
  <c r="AR36" i="73"/>
  <c r="AQ36" i="73"/>
  <c r="AO36" i="73"/>
  <c r="AN36" i="73"/>
  <c r="AM36" i="73"/>
  <c r="AK36" i="73"/>
  <c r="AJ36" i="73"/>
  <c r="AI36" i="73"/>
  <c r="AG36" i="73"/>
  <c r="AF36" i="73"/>
  <c r="AE36" i="73"/>
  <c r="BU35" i="73"/>
  <c r="BT35" i="73"/>
  <c r="BS35" i="73"/>
  <c r="BV35" i="73" s="1"/>
  <c r="BQ35" i="73"/>
  <c r="BP35" i="73"/>
  <c r="BR35" i="73"/>
  <c r="BO35" i="73"/>
  <c r="BM35" i="73"/>
  <c r="BL35" i="73"/>
  <c r="BK35" i="73"/>
  <c r="BN35" i="73" s="1"/>
  <c r="BI35" i="73"/>
  <c r="BH35" i="73"/>
  <c r="BJ35" i="73"/>
  <c r="BG35" i="73"/>
  <c r="BE35" i="73"/>
  <c r="BD35" i="73"/>
  <c r="BC35" i="73"/>
  <c r="BF35" i="73" s="1"/>
  <c r="BA35" i="73"/>
  <c r="AZ35" i="73"/>
  <c r="BB35" i="73"/>
  <c r="AY35" i="73"/>
  <c r="AW35" i="73"/>
  <c r="AV35" i="73"/>
  <c r="AU35" i="73"/>
  <c r="AS35" i="73"/>
  <c r="AR35" i="73"/>
  <c r="AQ35" i="73"/>
  <c r="AO35" i="73"/>
  <c r="AO37" i="73" s="1"/>
  <c r="AN35" i="73"/>
  <c r="AM35" i="73"/>
  <c r="AK35" i="73"/>
  <c r="AJ35" i="73"/>
  <c r="AI35" i="73"/>
  <c r="AG35" i="73"/>
  <c r="AF35" i="73"/>
  <c r="AE35" i="73"/>
  <c r="BU34" i="73"/>
  <c r="BT34" i="73"/>
  <c r="BS34" i="73"/>
  <c r="BQ34" i="73"/>
  <c r="BP34" i="73"/>
  <c r="BR34" i="73" s="1"/>
  <c r="BO34" i="73"/>
  <c r="BM34" i="73"/>
  <c r="BL34" i="73"/>
  <c r="BK34" i="73"/>
  <c r="BI34" i="73"/>
  <c r="BH34" i="73"/>
  <c r="BG34" i="73"/>
  <c r="BJ34" i="73" s="1"/>
  <c r="BE34" i="73"/>
  <c r="BD34" i="73"/>
  <c r="BC34" i="73"/>
  <c r="BA34" i="73"/>
  <c r="AZ34" i="73"/>
  <c r="AY34" i="73"/>
  <c r="BB34" i="73" s="1"/>
  <c r="AW34" i="73"/>
  <c r="AV34" i="73"/>
  <c r="AU34" i="73"/>
  <c r="AS34" i="73"/>
  <c r="AR34" i="73"/>
  <c r="AQ34" i="73"/>
  <c r="AO34" i="73"/>
  <c r="AN34" i="73"/>
  <c r="AM34" i="73"/>
  <c r="AK34" i="73"/>
  <c r="AJ34" i="73"/>
  <c r="AJ37" i="73" s="1"/>
  <c r="AI34" i="73"/>
  <c r="AG34" i="73"/>
  <c r="AF34" i="73"/>
  <c r="AE34" i="73"/>
  <c r="BU33" i="73"/>
  <c r="BT33" i="73"/>
  <c r="BS33" i="73"/>
  <c r="BQ33" i="73"/>
  <c r="BP33" i="73"/>
  <c r="BO33" i="73"/>
  <c r="BM33" i="73"/>
  <c r="BL33" i="73"/>
  <c r="BK33" i="73"/>
  <c r="BI33" i="73"/>
  <c r="BH33" i="73"/>
  <c r="BG33" i="73"/>
  <c r="BJ33" i="73" s="1"/>
  <c r="BE33" i="73"/>
  <c r="BD33" i="73"/>
  <c r="BC33" i="73"/>
  <c r="BA33" i="73"/>
  <c r="AZ33" i="73"/>
  <c r="AY33" i="73"/>
  <c r="AW33" i="73"/>
  <c r="AV33" i="73"/>
  <c r="AU33" i="73"/>
  <c r="AS33" i="73"/>
  <c r="AR33" i="73"/>
  <c r="AQ33" i="73"/>
  <c r="AO33" i="73"/>
  <c r="AN33" i="73"/>
  <c r="AM33" i="73"/>
  <c r="AK33" i="73"/>
  <c r="AJ33" i="73"/>
  <c r="AI33" i="73"/>
  <c r="AG33" i="73"/>
  <c r="AF33" i="73"/>
  <c r="AE33" i="73"/>
  <c r="BU32" i="73"/>
  <c r="BT32" i="73"/>
  <c r="BS32" i="73"/>
  <c r="BQ32" i="73"/>
  <c r="BQ37" i="73" s="1"/>
  <c r="BP32" i="73"/>
  <c r="BO32" i="73"/>
  <c r="BM32" i="73"/>
  <c r="BL32" i="73"/>
  <c r="BK32" i="73"/>
  <c r="BI32" i="73"/>
  <c r="BH32" i="73"/>
  <c r="BG32" i="73"/>
  <c r="BE32" i="73"/>
  <c r="BD32" i="73"/>
  <c r="BC32" i="73"/>
  <c r="BA32" i="73"/>
  <c r="AZ32" i="73"/>
  <c r="AY32" i="73"/>
  <c r="AW32" i="73"/>
  <c r="AV32" i="73"/>
  <c r="AU32" i="73"/>
  <c r="AS32" i="73"/>
  <c r="AR32" i="73"/>
  <c r="AQ32" i="73"/>
  <c r="AO32" i="73"/>
  <c r="AN32" i="73"/>
  <c r="AM32" i="73"/>
  <c r="AK32" i="73"/>
  <c r="AJ32" i="73"/>
  <c r="AI32" i="73"/>
  <c r="AG32" i="73"/>
  <c r="AF32" i="73"/>
  <c r="AE32" i="73"/>
  <c r="BU31" i="73"/>
  <c r="BT31" i="73"/>
  <c r="BS31" i="73"/>
  <c r="BQ31" i="73"/>
  <c r="BP31" i="73"/>
  <c r="BO31" i="73"/>
  <c r="BM31" i="73"/>
  <c r="BL31" i="73"/>
  <c r="BK31" i="73"/>
  <c r="BK37" i="73" s="1"/>
  <c r="BI31" i="73"/>
  <c r="BH31" i="73"/>
  <c r="BG31" i="73"/>
  <c r="BE31" i="73"/>
  <c r="BD31" i="73"/>
  <c r="BC31" i="73"/>
  <c r="BA31" i="73"/>
  <c r="AZ31" i="73"/>
  <c r="AZ37" i="73" s="1"/>
  <c r="AY31" i="73"/>
  <c r="AW31" i="73"/>
  <c r="AV31" i="73"/>
  <c r="AU31" i="73"/>
  <c r="AU37" i="73" s="1"/>
  <c r="AS31" i="73"/>
  <c r="AR31" i="73"/>
  <c r="AQ31" i="73"/>
  <c r="AO31" i="73"/>
  <c r="AN31" i="73"/>
  <c r="AM31" i="73"/>
  <c r="AK31" i="73"/>
  <c r="AJ31" i="73"/>
  <c r="AI31" i="73"/>
  <c r="AG31" i="73"/>
  <c r="AF31" i="73"/>
  <c r="AE31" i="73"/>
  <c r="AE37" i="73" s="1"/>
  <c r="BU29" i="73"/>
  <c r="BT29" i="73"/>
  <c r="BS29" i="73"/>
  <c r="BQ29" i="73"/>
  <c r="BP29" i="73"/>
  <c r="BO29" i="73"/>
  <c r="BM29" i="73"/>
  <c r="BL29" i="73"/>
  <c r="BK29" i="73"/>
  <c r="BI29" i="73"/>
  <c r="BH29" i="73"/>
  <c r="BG29" i="73"/>
  <c r="BE29" i="73"/>
  <c r="BD29" i="73"/>
  <c r="BC29" i="73"/>
  <c r="BA29" i="73"/>
  <c r="AZ29" i="73"/>
  <c r="AY29" i="73"/>
  <c r="AW29" i="73"/>
  <c r="AV29" i="73"/>
  <c r="AU29" i="73"/>
  <c r="AS29" i="73"/>
  <c r="AR29" i="73"/>
  <c r="AQ29" i="73"/>
  <c r="AO29" i="73"/>
  <c r="AN29" i="73"/>
  <c r="AM29" i="73"/>
  <c r="AK29" i="73"/>
  <c r="AJ29" i="73"/>
  <c r="AI29" i="73"/>
  <c r="AG29" i="73"/>
  <c r="AF29" i="73"/>
  <c r="AE29" i="73"/>
  <c r="BV28" i="73"/>
  <c r="BR28" i="73"/>
  <c r="BN28" i="73"/>
  <c r="BJ28" i="73"/>
  <c r="BF28" i="73"/>
  <c r="BB28" i="73"/>
  <c r="AX28" i="73"/>
  <c r="AT28" i="73"/>
  <c r="AP28" i="73"/>
  <c r="AL28" i="73"/>
  <c r="AH28" i="73"/>
  <c r="BV27" i="73"/>
  <c r="BR27" i="73"/>
  <c r="BN27" i="73"/>
  <c r="BJ27" i="73"/>
  <c r="BF27" i="73"/>
  <c r="BB27" i="73"/>
  <c r="AX27" i="73"/>
  <c r="AT27" i="73"/>
  <c r="AT33" i="73" s="1"/>
  <c r="AP27" i="73"/>
  <c r="AL27" i="73"/>
  <c r="AH27" i="73"/>
  <c r="BV26" i="73"/>
  <c r="BR26" i="73"/>
  <c r="BN26" i="73"/>
  <c r="BN29" i="73"/>
  <c r="BJ26" i="73"/>
  <c r="BF26" i="73"/>
  <c r="BB26" i="73"/>
  <c r="BB29" i="73" s="1"/>
  <c r="AX26" i="73"/>
  <c r="AT26" i="73"/>
  <c r="AP26" i="73"/>
  <c r="AL26" i="73"/>
  <c r="AH26" i="73"/>
  <c r="AH29" i="73" s="1"/>
  <c r="BU24" i="73"/>
  <c r="BT24" i="73"/>
  <c r="BS24" i="73"/>
  <c r="BQ24" i="73"/>
  <c r="BP24" i="73"/>
  <c r="BO24" i="73"/>
  <c r="BM24" i="73"/>
  <c r="BL24" i="73"/>
  <c r="BK24" i="73"/>
  <c r="BI24" i="73"/>
  <c r="BH24" i="73"/>
  <c r="BG24" i="73"/>
  <c r="BE24" i="73"/>
  <c r="BD24" i="73"/>
  <c r="BC24" i="73"/>
  <c r="BA24" i="73"/>
  <c r="AZ24" i="73"/>
  <c r="AY24" i="73"/>
  <c r="BV23" i="73"/>
  <c r="BR23" i="73"/>
  <c r="BN23" i="73"/>
  <c r="BJ23" i="73"/>
  <c r="BF23" i="73"/>
  <c r="BF24" i="73" s="1"/>
  <c r="BB23" i="73"/>
  <c r="BV22" i="73"/>
  <c r="BR22" i="73"/>
  <c r="BN22" i="73"/>
  <c r="BJ22" i="73"/>
  <c r="BF22" i="73"/>
  <c r="BB22" i="73"/>
  <c r="BV21" i="73"/>
  <c r="BV24" i="73" s="1"/>
  <c r="BR21" i="73"/>
  <c r="BR24" i="73"/>
  <c r="BN21" i="73"/>
  <c r="BJ21" i="73"/>
  <c r="BJ24" i="73" s="1"/>
  <c r="BF21" i="73"/>
  <c r="BB21" i="73"/>
  <c r="BU19" i="73"/>
  <c r="BT19" i="73"/>
  <c r="BS19" i="73"/>
  <c r="BQ19" i="73"/>
  <c r="BP19" i="73"/>
  <c r="BO19" i="73"/>
  <c r="BM19" i="73"/>
  <c r="BL19" i="73"/>
  <c r="BK19" i="73"/>
  <c r="BI19" i="73"/>
  <c r="BH19" i="73"/>
  <c r="BG19" i="73"/>
  <c r="BE19" i="73"/>
  <c r="BD19" i="73"/>
  <c r="BC19" i="73"/>
  <c r="BA19" i="73"/>
  <c r="AZ19" i="73"/>
  <c r="AY19" i="73"/>
  <c r="AW19" i="73"/>
  <c r="AV19" i="73"/>
  <c r="AU19" i="73"/>
  <c r="AS19" i="73"/>
  <c r="AR19" i="73"/>
  <c r="AQ19" i="73"/>
  <c r="AO19" i="73"/>
  <c r="AN19" i="73"/>
  <c r="AM19" i="73"/>
  <c r="AK19" i="73"/>
  <c r="AJ19" i="73"/>
  <c r="AI19" i="73"/>
  <c r="AG19" i="73"/>
  <c r="AF19" i="73"/>
  <c r="AE19" i="73"/>
  <c r="BV18" i="73"/>
  <c r="BR18" i="73"/>
  <c r="BN18" i="73"/>
  <c r="BJ18" i="73"/>
  <c r="BF18" i="73"/>
  <c r="BB18" i="73"/>
  <c r="AX18" i="73"/>
  <c r="AX33" i="73" s="1"/>
  <c r="AT18" i="73"/>
  <c r="AP18" i="73"/>
  <c r="AL18" i="73"/>
  <c r="AH18" i="73"/>
  <c r="AH33" i="73"/>
  <c r="BV17" i="73"/>
  <c r="BR17" i="73"/>
  <c r="BN17" i="73"/>
  <c r="BJ17" i="73"/>
  <c r="BF17" i="73"/>
  <c r="BB17" i="73"/>
  <c r="AX17" i="73"/>
  <c r="AT17" i="73"/>
  <c r="AT19" i="73" s="1"/>
  <c r="AP17" i="73"/>
  <c r="AL17" i="73"/>
  <c r="AH17" i="73"/>
  <c r="BV16" i="73"/>
  <c r="BR16" i="73"/>
  <c r="BN16" i="73"/>
  <c r="BN19" i="73" s="1"/>
  <c r="BJ16" i="73"/>
  <c r="BJ19" i="73" s="1"/>
  <c r="BF16" i="73"/>
  <c r="BF19" i="73" s="1"/>
  <c r="BB16" i="73"/>
  <c r="BB19" i="73"/>
  <c r="AX16" i="73"/>
  <c r="AT16" i="73"/>
  <c r="AP16" i="73"/>
  <c r="AP19" i="73"/>
  <c r="AL16" i="73"/>
  <c r="AH16" i="73"/>
  <c r="AH19" i="73" s="1"/>
  <c r="BU14" i="73"/>
  <c r="BT14" i="73"/>
  <c r="BS14" i="73"/>
  <c r="BQ14" i="73"/>
  <c r="BP14" i="73"/>
  <c r="BO14" i="73"/>
  <c r="BM14" i="73"/>
  <c r="BL14" i="73"/>
  <c r="BK14" i="73"/>
  <c r="BI14" i="73"/>
  <c r="BH14" i="73"/>
  <c r="BG14" i="73"/>
  <c r="BE14" i="73"/>
  <c r="BD14" i="73"/>
  <c r="BC14" i="73"/>
  <c r="BA14" i="73"/>
  <c r="AZ14" i="73"/>
  <c r="AY14" i="73"/>
  <c r="AW14" i="73"/>
  <c r="AV14" i="73"/>
  <c r="AU14" i="73"/>
  <c r="AS14" i="73"/>
  <c r="AR14" i="73"/>
  <c r="AQ14" i="73"/>
  <c r="AO14" i="73"/>
  <c r="AN14" i="73"/>
  <c r="AM14" i="73"/>
  <c r="AK14" i="73"/>
  <c r="AJ14" i="73"/>
  <c r="AI14" i="73"/>
  <c r="AG14" i="73"/>
  <c r="AF14" i="73"/>
  <c r="AE14" i="73"/>
  <c r="BV13" i="73"/>
  <c r="BR13" i="73"/>
  <c r="BN13" i="73"/>
  <c r="BJ13" i="73"/>
  <c r="BF13" i="73"/>
  <c r="BB13" i="73"/>
  <c r="AX13" i="73"/>
  <c r="AX36" i="73" s="1"/>
  <c r="AT13" i="73"/>
  <c r="AT36" i="73" s="1"/>
  <c r="AP13" i="73"/>
  <c r="AP36" i="73" s="1"/>
  <c r="AL13" i="73"/>
  <c r="AL36" i="73"/>
  <c r="AH13" i="73"/>
  <c r="AH36" i="73" s="1"/>
  <c r="BV12" i="73"/>
  <c r="BR12" i="73"/>
  <c r="BN12" i="73"/>
  <c r="BJ12" i="73"/>
  <c r="BF12" i="73"/>
  <c r="BB12" i="73"/>
  <c r="AX12" i="73"/>
  <c r="AX35" i="73" s="1"/>
  <c r="AT12" i="73"/>
  <c r="AT35" i="73"/>
  <c r="AP12" i="73"/>
  <c r="AP14" i="73" s="1"/>
  <c r="AL12" i="73"/>
  <c r="AL35" i="73" s="1"/>
  <c r="AH12" i="73"/>
  <c r="AH35" i="73"/>
  <c r="BV11" i="73"/>
  <c r="BV14" i="73" s="1"/>
  <c r="BR11" i="73"/>
  <c r="BR14" i="73" s="1"/>
  <c r="BN11" i="73"/>
  <c r="BN14" i="73" s="1"/>
  <c r="BJ11" i="73"/>
  <c r="BJ14" i="73"/>
  <c r="BF11" i="73"/>
  <c r="BF14" i="73" s="1"/>
  <c r="BB11" i="73"/>
  <c r="AX11" i="73"/>
  <c r="AX14" i="73" s="1"/>
  <c r="AT11" i="73"/>
  <c r="AT14" i="73" s="1"/>
  <c r="AP11" i="73"/>
  <c r="AL11" i="73"/>
  <c r="AL32" i="73" s="1"/>
  <c r="AH11" i="73"/>
  <c r="AH14" i="73" s="1"/>
  <c r="BU9" i="73"/>
  <c r="BT9" i="73"/>
  <c r="BS9" i="73"/>
  <c r="BQ9" i="73"/>
  <c r="BP9" i="73"/>
  <c r="BO9" i="73"/>
  <c r="BM9" i="73"/>
  <c r="BL9" i="73"/>
  <c r="BK9" i="73"/>
  <c r="BI9" i="73"/>
  <c r="BH9" i="73"/>
  <c r="BG9" i="73"/>
  <c r="BE9" i="73"/>
  <c r="BD9" i="73"/>
  <c r="BC9" i="73"/>
  <c r="BA9" i="73"/>
  <c r="AZ9" i="73"/>
  <c r="AY9" i="73"/>
  <c r="AW9" i="73"/>
  <c r="AV9" i="73"/>
  <c r="AU9" i="73"/>
  <c r="AS9" i="73"/>
  <c r="AR9" i="73"/>
  <c r="AQ9" i="73"/>
  <c r="AO9" i="73"/>
  <c r="AP9" i="73" s="1"/>
  <c r="AN9" i="73"/>
  <c r="AM9" i="73"/>
  <c r="AK9" i="73"/>
  <c r="AJ9" i="73"/>
  <c r="AI9" i="73"/>
  <c r="AG9" i="73"/>
  <c r="AF9" i="73"/>
  <c r="AE9" i="73"/>
  <c r="BV8" i="73"/>
  <c r="BR8" i="73"/>
  <c r="BN8" i="73"/>
  <c r="BJ8" i="73"/>
  <c r="BF8" i="73"/>
  <c r="BB8" i="73"/>
  <c r="AX8" i="73"/>
  <c r="AT8" i="73"/>
  <c r="AT34" i="73" s="1"/>
  <c r="AP8" i="73"/>
  <c r="AP34" i="73" s="1"/>
  <c r="AL8" i="73"/>
  <c r="AL34" i="73"/>
  <c r="AH8" i="73"/>
  <c r="AH34" i="73" s="1"/>
  <c r="BV7" i="73"/>
  <c r="BR7" i="73"/>
  <c r="BN7" i="73"/>
  <c r="BJ7" i="73"/>
  <c r="BF7" i="73"/>
  <c r="BB7" i="73"/>
  <c r="AX7" i="73"/>
  <c r="AT7" i="73"/>
  <c r="AP7" i="73"/>
  <c r="AL7" i="73"/>
  <c r="AH7" i="73"/>
  <c r="BV6" i="73"/>
  <c r="BR6" i="73"/>
  <c r="BN6" i="73"/>
  <c r="BN9" i="73" s="1"/>
  <c r="BJ6" i="73"/>
  <c r="BF6" i="73"/>
  <c r="BB6" i="73"/>
  <c r="AX6" i="73"/>
  <c r="AT6" i="73"/>
  <c r="AT9" i="73"/>
  <c r="AP6" i="73"/>
  <c r="AP31" i="73" s="1"/>
  <c r="AL6" i="73"/>
  <c r="AH6" i="73"/>
  <c r="DB37" i="72"/>
  <c r="DA37" i="72"/>
  <c r="CZ37" i="72"/>
  <c r="CY37" i="72"/>
  <c r="CW37" i="72"/>
  <c r="CV37" i="72"/>
  <c r="CU37" i="72"/>
  <c r="CT37" i="72"/>
  <c r="CR37" i="72"/>
  <c r="CQ37" i="72"/>
  <c r="CP37" i="72"/>
  <c r="CO37" i="72"/>
  <c r="CM37" i="72"/>
  <c r="CL37" i="72"/>
  <c r="CK37" i="72"/>
  <c r="CJ37" i="72"/>
  <c r="CH37" i="72"/>
  <c r="CG37" i="72"/>
  <c r="CF37" i="72"/>
  <c r="CE37" i="72"/>
  <c r="CC37" i="72"/>
  <c r="CB37" i="72"/>
  <c r="CA37" i="72"/>
  <c r="BZ37" i="72"/>
  <c r="BX37" i="72"/>
  <c r="BW37" i="72"/>
  <c r="BV37" i="72"/>
  <c r="BU37" i="72"/>
  <c r="BS37" i="72"/>
  <c r="BR37" i="72"/>
  <c r="BQ37" i="72"/>
  <c r="BP37" i="72"/>
  <c r="BN37" i="72"/>
  <c r="BM37" i="72"/>
  <c r="BL37" i="72"/>
  <c r="BK37" i="72"/>
  <c r="BI37" i="72"/>
  <c r="BH37" i="72"/>
  <c r="BG37" i="72"/>
  <c r="BF37" i="72"/>
  <c r="BD37" i="72"/>
  <c r="BC37" i="72"/>
  <c r="BB37" i="72"/>
  <c r="BA37" i="72"/>
  <c r="AY37" i="72"/>
  <c r="AX37" i="72"/>
  <c r="AW37" i="72"/>
  <c r="AV37" i="72"/>
  <c r="AT37" i="72"/>
  <c r="AS37" i="72"/>
  <c r="AR37" i="72"/>
  <c r="AQ37" i="72"/>
  <c r="AO37" i="72"/>
  <c r="AN37" i="72"/>
  <c r="AM37" i="72"/>
  <c r="AL37" i="72"/>
  <c r="AJ37" i="72"/>
  <c r="AI37" i="72"/>
  <c r="AH37" i="72"/>
  <c r="AG37" i="72"/>
  <c r="AE37" i="72"/>
  <c r="AD37" i="72"/>
  <c r="AC37" i="72"/>
  <c r="AB37" i="72"/>
  <c r="AA37" i="72"/>
  <c r="Z37" i="72"/>
  <c r="Y37" i="72"/>
  <c r="X37" i="72"/>
  <c r="W37" i="72"/>
  <c r="V37" i="72"/>
  <c r="U37" i="72"/>
  <c r="T37" i="72"/>
  <c r="S37" i="72"/>
  <c r="R37" i="72"/>
  <c r="Q37" i="72"/>
  <c r="P37" i="72"/>
  <c r="O37" i="72"/>
  <c r="N37" i="72"/>
  <c r="M37" i="72"/>
  <c r="L37" i="72"/>
  <c r="K37" i="72"/>
  <c r="J37" i="72"/>
  <c r="I37" i="72"/>
  <c r="H37" i="72"/>
  <c r="F37" i="72"/>
  <c r="E37" i="72"/>
  <c r="D37" i="72"/>
  <c r="C37" i="72"/>
  <c r="DB36" i="72"/>
  <c r="DA36" i="72"/>
  <c r="CZ36" i="72"/>
  <c r="CY36" i="72"/>
  <c r="CW36" i="72"/>
  <c r="CV36" i="72"/>
  <c r="CU36" i="72"/>
  <c r="CT36" i="72"/>
  <c r="CR36" i="72"/>
  <c r="CQ36" i="72"/>
  <c r="CP36" i="72"/>
  <c r="CO36" i="72"/>
  <c r="CM36" i="72"/>
  <c r="CL36" i="72"/>
  <c r="CK36" i="72"/>
  <c r="CJ36" i="72"/>
  <c r="CH36" i="72"/>
  <c r="CG36" i="72"/>
  <c r="CF36" i="72"/>
  <c r="CE36" i="72"/>
  <c r="CC36" i="72"/>
  <c r="CB36" i="72"/>
  <c r="CA36" i="72"/>
  <c r="BZ36" i="72"/>
  <c r="BX36" i="72"/>
  <c r="BW36" i="72"/>
  <c r="BV36" i="72"/>
  <c r="BU36" i="72"/>
  <c r="BS36" i="72"/>
  <c r="BR36" i="72"/>
  <c r="BQ36" i="72"/>
  <c r="BP36" i="72"/>
  <c r="BN36" i="72"/>
  <c r="BM36" i="72"/>
  <c r="BL36" i="72"/>
  <c r="BK36" i="72"/>
  <c r="BI36" i="72"/>
  <c r="BH36" i="72"/>
  <c r="BG36" i="72"/>
  <c r="BF36" i="72"/>
  <c r="BD36" i="72"/>
  <c r="BC36" i="72"/>
  <c r="BB36" i="72"/>
  <c r="BA36" i="72"/>
  <c r="AY36" i="72"/>
  <c r="AX36" i="72"/>
  <c r="AW36" i="72"/>
  <c r="AV36" i="72"/>
  <c r="AT36" i="72"/>
  <c r="AS36" i="72"/>
  <c r="AR36" i="72"/>
  <c r="AQ36" i="72"/>
  <c r="AO36" i="72"/>
  <c r="AN36" i="72"/>
  <c r="AM36" i="72"/>
  <c r="AL36" i="72"/>
  <c r="AJ36" i="72"/>
  <c r="AI36" i="72"/>
  <c r="AH36" i="72"/>
  <c r="AG36" i="72"/>
  <c r="AE36" i="72"/>
  <c r="AD36" i="72"/>
  <c r="AC36" i="72"/>
  <c r="AB36" i="72"/>
  <c r="AA36" i="72"/>
  <c r="Z36" i="72"/>
  <c r="Y36" i="72"/>
  <c r="X36" i="72"/>
  <c r="W36" i="72"/>
  <c r="V36" i="72"/>
  <c r="U36" i="72"/>
  <c r="T36" i="72"/>
  <c r="S36" i="72"/>
  <c r="R36" i="72"/>
  <c r="Q36" i="72"/>
  <c r="P36" i="72"/>
  <c r="O36" i="72"/>
  <c r="N36" i="72"/>
  <c r="M36" i="72"/>
  <c r="L36" i="72"/>
  <c r="K36" i="72"/>
  <c r="J36" i="72"/>
  <c r="I36" i="72"/>
  <c r="H36" i="72"/>
  <c r="F36" i="72"/>
  <c r="E36" i="72"/>
  <c r="D36" i="72"/>
  <c r="C36" i="72"/>
  <c r="G36" i="72" s="1"/>
  <c r="DB35" i="72"/>
  <c r="DA35" i="72"/>
  <c r="CZ35" i="72"/>
  <c r="CY35" i="72"/>
  <c r="CW35" i="72"/>
  <c r="CV35" i="72"/>
  <c r="CU35" i="72"/>
  <c r="CT35" i="72"/>
  <c r="CR35" i="72"/>
  <c r="CQ35" i="72"/>
  <c r="CP35" i="72"/>
  <c r="CO35" i="72"/>
  <c r="CM35" i="72"/>
  <c r="CL35" i="72"/>
  <c r="CK35" i="72"/>
  <c r="CJ35" i="72"/>
  <c r="CH35" i="72"/>
  <c r="CG35" i="72"/>
  <c r="CF35" i="72"/>
  <c r="CE35" i="72"/>
  <c r="CC35" i="72"/>
  <c r="CB35" i="72"/>
  <c r="CA35" i="72"/>
  <c r="BZ35" i="72"/>
  <c r="BX35" i="72"/>
  <c r="BW35" i="72"/>
  <c r="BV35" i="72"/>
  <c r="BU35" i="72"/>
  <c r="BS35" i="72"/>
  <c r="BR35" i="72"/>
  <c r="BQ35" i="72"/>
  <c r="BP35" i="72"/>
  <c r="BN35" i="72"/>
  <c r="BM35" i="72"/>
  <c r="BL35" i="72"/>
  <c r="BK35" i="72"/>
  <c r="BI35" i="72"/>
  <c r="BH35" i="72"/>
  <c r="BG35" i="72"/>
  <c r="BF35" i="72"/>
  <c r="BD35" i="72"/>
  <c r="BC35" i="72"/>
  <c r="BB35" i="72"/>
  <c r="BA35" i="72"/>
  <c r="AY35" i="72"/>
  <c r="AX35" i="72"/>
  <c r="AW35" i="72"/>
  <c r="AV35" i="72"/>
  <c r="AT35" i="72"/>
  <c r="AS35" i="72"/>
  <c r="AR35" i="72"/>
  <c r="AQ35" i="72"/>
  <c r="AO35" i="72"/>
  <c r="AN35" i="72"/>
  <c r="AM35" i="72"/>
  <c r="AL35" i="72"/>
  <c r="AJ35" i="72"/>
  <c r="AI35" i="72"/>
  <c r="AH35" i="72"/>
  <c r="AG35" i="72"/>
  <c r="AE35" i="72"/>
  <c r="AD35" i="72"/>
  <c r="AC35" i="72"/>
  <c r="AB35" i="72"/>
  <c r="Z35" i="72"/>
  <c r="Y35" i="72"/>
  <c r="X35" i="72"/>
  <c r="W35" i="72"/>
  <c r="U35" i="72"/>
  <c r="T35" i="72"/>
  <c r="S35" i="72"/>
  <c r="R35" i="72"/>
  <c r="P35" i="72"/>
  <c r="O35" i="72"/>
  <c r="N35" i="72"/>
  <c r="M35" i="72"/>
  <c r="K35" i="72"/>
  <c r="J35" i="72"/>
  <c r="I35" i="72"/>
  <c r="H35" i="72"/>
  <c r="F35" i="72"/>
  <c r="E35" i="72"/>
  <c r="D35" i="72"/>
  <c r="C35" i="72"/>
  <c r="G35" i="72" s="1"/>
  <c r="DB34" i="72"/>
  <c r="DA34" i="72"/>
  <c r="CZ34" i="72"/>
  <c r="CY34" i="72"/>
  <c r="CW34" i="72"/>
  <c r="CV34" i="72"/>
  <c r="CU34" i="72"/>
  <c r="CT34" i="72"/>
  <c r="CR34" i="72"/>
  <c r="CQ34" i="72"/>
  <c r="CP34" i="72"/>
  <c r="CO34" i="72"/>
  <c r="CM34" i="72"/>
  <c r="CL34" i="72"/>
  <c r="CK34" i="72"/>
  <c r="CK38" i="72" s="1"/>
  <c r="CJ34" i="72"/>
  <c r="CH34" i="72"/>
  <c r="CG34" i="72"/>
  <c r="CF34" i="72"/>
  <c r="CE34" i="72"/>
  <c r="CC34" i="72"/>
  <c r="CB34" i="72"/>
  <c r="CA34" i="72"/>
  <c r="BZ34" i="72"/>
  <c r="BX34" i="72"/>
  <c r="BW34" i="72"/>
  <c r="BV34" i="72"/>
  <c r="BU34" i="72"/>
  <c r="BS34" i="72"/>
  <c r="BR34" i="72"/>
  <c r="BQ34" i="72"/>
  <c r="BQ38" i="72" s="1"/>
  <c r="BP34" i="72"/>
  <c r="BN34" i="72"/>
  <c r="BM34" i="72"/>
  <c r="BL34" i="72"/>
  <c r="BK34" i="72"/>
  <c r="BI34" i="72"/>
  <c r="BH34" i="72"/>
  <c r="BG34" i="72"/>
  <c r="BF34" i="72"/>
  <c r="BD34" i="72"/>
  <c r="BC34" i="72"/>
  <c r="BB34" i="72"/>
  <c r="BA34" i="72"/>
  <c r="AY34" i="72"/>
  <c r="AX34" i="72"/>
  <c r="AW34" i="72"/>
  <c r="AW38" i="72" s="1"/>
  <c r="AV34" i="72"/>
  <c r="AT34" i="72"/>
  <c r="AS34" i="72"/>
  <c r="AR34" i="72"/>
  <c r="AQ34" i="72"/>
  <c r="AO34" i="72"/>
  <c r="AN34" i="72"/>
  <c r="AM34" i="72"/>
  <c r="AL34" i="72"/>
  <c r="AJ34" i="72"/>
  <c r="AI34" i="72"/>
  <c r="AH34" i="72"/>
  <c r="AG34" i="72"/>
  <c r="AE34" i="72"/>
  <c r="AD34" i="72"/>
  <c r="AC34" i="72"/>
  <c r="AB34" i="72"/>
  <c r="Z34" i="72"/>
  <c r="Y34" i="72"/>
  <c r="X34" i="72"/>
  <c r="W34" i="72"/>
  <c r="U34" i="72"/>
  <c r="T34" i="72"/>
  <c r="S34" i="72"/>
  <c r="R34" i="72"/>
  <c r="P34" i="72"/>
  <c r="O34" i="72"/>
  <c r="N34" i="72"/>
  <c r="M34" i="72"/>
  <c r="K34" i="72"/>
  <c r="J34" i="72"/>
  <c r="I34" i="72"/>
  <c r="H34" i="72"/>
  <c r="F34" i="72"/>
  <c r="E34" i="72"/>
  <c r="D34" i="72"/>
  <c r="C34" i="72"/>
  <c r="DB33" i="72"/>
  <c r="DA33" i="72"/>
  <c r="CZ33" i="72"/>
  <c r="CY33" i="72"/>
  <c r="CW33" i="72"/>
  <c r="CV33" i="72"/>
  <c r="CU33" i="72"/>
  <c r="CT33" i="72"/>
  <c r="CR33" i="72"/>
  <c r="CQ33" i="72"/>
  <c r="CP33" i="72"/>
  <c r="CO33" i="72"/>
  <c r="CM33" i="72"/>
  <c r="CL33" i="72"/>
  <c r="CK33" i="72"/>
  <c r="CJ33" i="72"/>
  <c r="CH33" i="72"/>
  <c r="CG33" i="72"/>
  <c r="CF33" i="72"/>
  <c r="CE33" i="72"/>
  <c r="CC33" i="72"/>
  <c r="CB33" i="72"/>
  <c r="CA33" i="72"/>
  <c r="BZ33" i="72"/>
  <c r="BX33" i="72"/>
  <c r="BW33" i="72"/>
  <c r="BV33" i="72"/>
  <c r="BU33" i="72"/>
  <c r="BS33" i="72"/>
  <c r="BR33" i="72"/>
  <c r="BQ33" i="72"/>
  <c r="BP33" i="72"/>
  <c r="BN33" i="72"/>
  <c r="BM33" i="72"/>
  <c r="BL33" i="72"/>
  <c r="BK33" i="72"/>
  <c r="BI33" i="72"/>
  <c r="BH33" i="72"/>
  <c r="BG33" i="72"/>
  <c r="BF33" i="72"/>
  <c r="BD33" i="72"/>
  <c r="BC33" i="72"/>
  <c r="BB33" i="72"/>
  <c r="BA33" i="72"/>
  <c r="AY33" i="72"/>
  <c r="AX33" i="72"/>
  <c r="AW33" i="72"/>
  <c r="AV33" i="72"/>
  <c r="AT33" i="72"/>
  <c r="AS33" i="72"/>
  <c r="AR33" i="72"/>
  <c r="AQ33" i="72"/>
  <c r="AO33" i="72"/>
  <c r="AN33" i="72"/>
  <c r="AM33" i="72"/>
  <c r="AL33" i="72"/>
  <c r="AJ33" i="72"/>
  <c r="AI33" i="72"/>
  <c r="AH33" i="72"/>
  <c r="AG33" i="72"/>
  <c r="AE33" i="72"/>
  <c r="AD33" i="72"/>
  <c r="AC33" i="72"/>
  <c r="AB33" i="72"/>
  <c r="Z33" i="72"/>
  <c r="Y33" i="72"/>
  <c r="X33" i="72"/>
  <c r="W33" i="72"/>
  <c r="U33" i="72"/>
  <c r="T33" i="72"/>
  <c r="S33" i="72"/>
  <c r="R33" i="72"/>
  <c r="P33" i="72"/>
  <c r="O33" i="72"/>
  <c r="N33" i="72"/>
  <c r="M33" i="72"/>
  <c r="K33" i="72"/>
  <c r="J33" i="72"/>
  <c r="I33" i="72"/>
  <c r="H33" i="72"/>
  <c r="F33" i="72"/>
  <c r="E33" i="72"/>
  <c r="D33" i="72"/>
  <c r="C33" i="72"/>
  <c r="DB32" i="72"/>
  <c r="DA32" i="72"/>
  <c r="CZ32" i="72"/>
  <c r="CY32" i="72"/>
  <c r="CW32" i="72"/>
  <c r="CV32" i="72"/>
  <c r="CU32" i="72"/>
  <c r="CU38" i="72" s="1"/>
  <c r="CT32" i="72"/>
  <c r="CR32" i="72"/>
  <c r="CQ32" i="72"/>
  <c r="CP32" i="72"/>
  <c r="CO32" i="72"/>
  <c r="CM32" i="72"/>
  <c r="CM38" i="72" s="1"/>
  <c r="CL32" i="72"/>
  <c r="CL38" i="72" s="1"/>
  <c r="CK32" i="72"/>
  <c r="CJ32" i="72"/>
  <c r="CH32" i="72"/>
  <c r="CG32" i="72"/>
  <c r="CF32" i="72"/>
  <c r="CE32" i="72"/>
  <c r="CE38" i="72" s="1"/>
  <c r="CC32" i="72"/>
  <c r="CC38" i="72" s="1"/>
  <c r="CB32" i="72"/>
  <c r="CA32" i="72"/>
  <c r="CA38" i="72" s="1"/>
  <c r="BZ32" i="72"/>
  <c r="BZ38" i="72" s="1"/>
  <c r="BX32" i="72"/>
  <c r="BW32" i="72"/>
  <c r="BV32" i="72"/>
  <c r="BU32" i="72"/>
  <c r="BU38" i="72" s="1"/>
  <c r="BS32" i="72"/>
  <c r="BR32" i="72"/>
  <c r="BQ32" i="72"/>
  <c r="BP32" i="72"/>
  <c r="BN32" i="72"/>
  <c r="BM32" i="72"/>
  <c r="BL32" i="72"/>
  <c r="BK32" i="72"/>
  <c r="BI32" i="72"/>
  <c r="BH32" i="72"/>
  <c r="BG32" i="72"/>
  <c r="BG38" i="72" s="1"/>
  <c r="BF32" i="72"/>
  <c r="BD32" i="72"/>
  <c r="BC32" i="72"/>
  <c r="BC38" i="72" s="1"/>
  <c r="BB32" i="72"/>
  <c r="BA32" i="72"/>
  <c r="AY32" i="72"/>
  <c r="AX32" i="72"/>
  <c r="AW32" i="72"/>
  <c r="AV32" i="72"/>
  <c r="AT32" i="72"/>
  <c r="AT38" i="72" s="1"/>
  <c r="AS32" i="72"/>
  <c r="AR32" i="72"/>
  <c r="AQ32" i="72"/>
  <c r="AO32" i="72"/>
  <c r="AN32" i="72"/>
  <c r="AM32" i="72"/>
  <c r="AM38" i="72"/>
  <c r="AL32" i="72"/>
  <c r="AL38" i="72" s="1"/>
  <c r="AJ32" i="72"/>
  <c r="AI32" i="72"/>
  <c r="AH32" i="72"/>
  <c r="AG32" i="72"/>
  <c r="AE32" i="72"/>
  <c r="AD32" i="72"/>
  <c r="AC32" i="72"/>
  <c r="AC38" i="72" s="1"/>
  <c r="AB32" i="72"/>
  <c r="Z32" i="72"/>
  <c r="Z38" i="72" s="1"/>
  <c r="Y32" i="72"/>
  <c r="X32" i="72"/>
  <c r="W32" i="72"/>
  <c r="U32" i="72"/>
  <c r="T32" i="72"/>
  <c r="S32" i="72"/>
  <c r="R32" i="72"/>
  <c r="P32" i="72"/>
  <c r="O32" i="72"/>
  <c r="N32" i="72"/>
  <c r="M32" i="72"/>
  <c r="K32" i="72"/>
  <c r="J32" i="72"/>
  <c r="I32" i="72"/>
  <c r="I38" i="72" s="1"/>
  <c r="H32" i="72"/>
  <c r="F32" i="72"/>
  <c r="E32" i="72"/>
  <c r="D32" i="72"/>
  <c r="C32" i="72"/>
  <c r="DB30" i="72"/>
  <c r="DA30" i="72"/>
  <c r="CZ30" i="72"/>
  <c r="CY30" i="72"/>
  <c r="CW30" i="72"/>
  <c r="CV30" i="72"/>
  <c r="CU30" i="72"/>
  <c r="CT30" i="72"/>
  <c r="CR30" i="72"/>
  <c r="CQ30" i="72"/>
  <c r="CP30" i="72"/>
  <c r="CO30" i="72"/>
  <c r="CM30" i="72"/>
  <c r="CL30" i="72"/>
  <c r="CK30" i="72"/>
  <c r="CJ30" i="72"/>
  <c r="CH30" i="72"/>
  <c r="CG30" i="72"/>
  <c r="CF30" i="72"/>
  <c r="CE30" i="72"/>
  <c r="CC30" i="72"/>
  <c r="CB30" i="72"/>
  <c r="CA30" i="72"/>
  <c r="BZ30" i="72"/>
  <c r="BX30" i="72"/>
  <c r="BW30" i="72"/>
  <c r="BV30" i="72"/>
  <c r="BU30" i="72"/>
  <c r="BS30" i="72"/>
  <c r="BR30" i="72"/>
  <c r="BQ30" i="72"/>
  <c r="BP30" i="72"/>
  <c r="BN30" i="72"/>
  <c r="BM30" i="72"/>
  <c r="BL30" i="72"/>
  <c r="BK30" i="72"/>
  <c r="BI30" i="72"/>
  <c r="BH30" i="72"/>
  <c r="BG30" i="72"/>
  <c r="BF30" i="72"/>
  <c r="BD30" i="72"/>
  <c r="BC30" i="72"/>
  <c r="BB30" i="72"/>
  <c r="BA30" i="72"/>
  <c r="AY30" i="72"/>
  <c r="AX30" i="72"/>
  <c r="AW30" i="72"/>
  <c r="AV30" i="72"/>
  <c r="AT30" i="72"/>
  <c r="AS30" i="72"/>
  <c r="AR30" i="72"/>
  <c r="AQ30" i="72"/>
  <c r="AO30" i="72"/>
  <c r="AN30" i="72"/>
  <c r="AM30" i="72"/>
  <c r="AL30" i="72"/>
  <c r="AJ30" i="72"/>
  <c r="AI30" i="72"/>
  <c r="AH30" i="72"/>
  <c r="AG30" i="72"/>
  <c r="AE30" i="72"/>
  <c r="AD30" i="72"/>
  <c r="AC30" i="72"/>
  <c r="AB30" i="72"/>
  <c r="Z30" i="72"/>
  <c r="Y30" i="72"/>
  <c r="X30" i="72"/>
  <c r="W30" i="72"/>
  <c r="U30" i="72"/>
  <c r="T30" i="72"/>
  <c r="S30" i="72"/>
  <c r="R30" i="72"/>
  <c r="P30" i="72"/>
  <c r="O30" i="72"/>
  <c r="N30" i="72"/>
  <c r="M30" i="72"/>
  <c r="K30" i="72"/>
  <c r="J30" i="72"/>
  <c r="I30" i="72"/>
  <c r="H30" i="72"/>
  <c r="F30" i="72"/>
  <c r="E30" i="72"/>
  <c r="D30" i="72"/>
  <c r="C30" i="72"/>
  <c r="DC29" i="72"/>
  <c r="CX29" i="72"/>
  <c r="CS29" i="72"/>
  <c r="CN29" i="72"/>
  <c r="CI29" i="72"/>
  <c r="CD29" i="72"/>
  <c r="BY29" i="72"/>
  <c r="BT29" i="72"/>
  <c r="BT35" i="72" s="1"/>
  <c r="BO29" i="72"/>
  <c r="BJ29" i="72"/>
  <c r="BE29" i="72"/>
  <c r="AZ29" i="72"/>
  <c r="AU29" i="72"/>
  <c r="AP29" i="72"/>
  <c r="AK29" i="72"/>
  <c r="AF29" i="72"/>
  <c r="AF35" i="72" s="1"/>
  <c r="AA29" i="72"/>
  <c r="V29" i="72"/>
  <c r="Q29" i="72"/>
  <c r="L29" i="72"/>
  <c r="G29" i="72"/>
  <c r="DC28" i="72"/>
  <c r="CX28" i="72"/>
  <c r="CS28" i="72"/>
  <c r="CN28" i="72"/>
  <c r="CI28" i="72"/>
  <c r="CI34" i="72" s="1"/>
  <c r="CD28" i="72"/>
  <c r="BY28" i="72"/>
  <c r="BT28" i="72"/>
  <c r="BT30" i="72" s="1"/>
  <c r="BO28" i="72"/>
  <c r="BO30" i="72" s="1"/>
  <c r="BJ28" i="72"/>
  <c r="BE28" i="72"/>
  <c r="AZ28" i="72"/>
  <c r="AU28" i="72"/>
  <c r="AP28" i="72"/>
  <c r="AK28" i="72"/>
  <c r="AF28" i="72"/>
  <c r="AA28" i="72"/>
  <c r="V28" i="72"/>
  <c r="Q28" i="72"/>
  <c r="L28" i="72"/>
  <c r="G28" i="72"/>
  <c r="DC27" i="72"/>
  <c r="CX27" i="72"/>
  <c r="CS27" i="72"/>
  <c r="CS30" i="72" s="1"/>
  <c r="CN27" i="72"/>
  <c r="CN30" i="72" s="1"/>
  <c r="CI27" i="72"/>
  <c r="CD27" i="72"/>
  <c r="BY27" i="72"/>
  <c r="BY30" i="72"/>
  <c r="BT27" i="72"/>
  <c r="BO27" i="72"/>
  <c r="BJ27" i="72"/>
  <c r="BJ30" i="72" s="1"/>
  <c r="BE27" i="72"/>
  <c r="AZ27" i="72"/>
  <c r="AZ30" i="72" s="1"/>
  <c r="AU27" i="72"/>
  <c r="AP27" i="72"/>
  <c r="AP30" i="72" s="1"/>
  <c r="AK27" i="72"/>
  <c r="AK30" i="72" s="1"/>
  <c r="AF27" i="72"/>
  <c r="AF30" i="72" s="1"/>
  <c r="AA27" i="72"/>
  <c r="V27" i="72"/>
  <c r="V30" i="72" s="1"/>
  <c r="Q27" i="72"/>
  <c r="L27" i="72"/>
  <c r="L30" i="72" s="1"/>
  <c r="G27" i="72"/>
  <c r="DB25" i="72"/>
  <c r="DA25" i="72"/>
  <c r="CZ25" i="72"/>
  <c r="CY25" i="72"/>
  <c r="CW25" i="72"/>
  <c r="CV25" i="72"/>
  <c r="CU25" i="72"/>
  <c r="CT25" i="72"/>
  <c r="CR25" i="72"/>
  <c r="CQ25" i="72"/>
  <c r="CP25" i="72"/>
  <c r="CO25" i="72"/>
  <c r="CL25" i="72"/>
  <c r="CK25" i="72"/>
  <c r="CJ25" i="72"/>
  <c r="CG25" i="72"/>
  <c r="CF25" i="72"/>
  <c r="CE25" i="72"/>
  <c r="CB25" i="72"/>
  <c r="CA25" i="72"/>
  <c r="BZ25" i="72"/>
  <c r="BW25" i="72"/>
  <c r="BV25" i="72"/>
  <c r="BU25" i="72"/>
  <c r="BR25" i="72"/>
  <c r="BQ25" i="72"/>
  <c r="BP25" i="72"/>
  <c r="BM25" i="72"/>
  <c r="BL25" i="72"/>
  <c r="BK25" i="72"/>
  <c r="BH25" i="72"/>
  <c r="BG25" i="72"/>
  <c r="BF25" i="72"/>
  <c r="BC25" i="72"/>
  <c r="BB25" i="72"/>
  <c r="DC24" i="72"/>
  <c r="CX24" i="72"/>
  <c r="CS24" i="72"/>
  <c r="CN24" i="72"/>
  <c r="CI24" i="72"/>
  <c r="CD24" i="72"/>
  <c r="BY24" i="72"/>
  <c r="BT24" i="72"/>
  <c r="BO24" i="72"/>
  <c r="BJ24" i="72"/>
  <c r="BE24" i="72"/>
  <c r="DC23" i="72"/>
  <c r="CX23" i="72"/>
  <c r="CS23" i="72"/>
  <c r="CN23" i="72"/>
  <c r="CI23" i="72"/>
  <c r="CD23" i="72"/>
  <c r="BY23" i="72"/>
  <c r="BT23" i="72"/>
  <c r="BO23" i="72"/>
  <c r="BJ23" i="72"/>
  <c r="BE23" i="72"/>
  <c r="DC22" i="72"/>
  <c r="CX22" i="72"/>
  <c r="CX25" i="72" s="1"/>
  <c r="CS22" i="72"/>
  <c r="CN22" i="72"/>
  <c r="CI22" i="72"/>
  <c r="CD22" i="72"/>
  <c r="CD25" i="72" s="1"/>
  <c r="BY22" i="72"/>
  <c r="BT22" i="72"/>
  <c r="BO22" i="72"/>
  <c r="BO25" i="72" s="1"/>
  <c r="BJ22" i="72"/>
  <c r="BJ25" i="72"/>
  <c r="BE22" i="72"/>
  <c r="BE25" i="72" s="1"/>
  <c r="DB20" i="72"/>
  <c r="DA20" i="72"/>
  <c r="CZ20" i="72"/>
  <c r="CY20" i="72"/>
  <c r="CW20" i="72"/>
  <c r="CV20" i="72"/>
  <c r="CU20" i="72"/>
  <c r="CT20" i="72"/>
  <c r="CR20" i="72"/>
  <c r="CQ20" i="72"/>
  <c r="CP20" i="72"/>
  <c r="CO20" i="72"/>
  <c r="CM20" i="72"/>
  <c r="CL20" i="72"/>
  <c r="CK20" i="72"/>
  <c r="CJ20" i="72"/>
  <c r="CH20" i="72"/>
  <c r="CG20" i="72"/>
  <c r="CF20" i="72"/>
  <c r="CE20" i="72"/>
  <c r="CC20" i="72"/>
  <c r="CB20" i="72"/>
  <c r="CA20" i="72"/>
  <c r="BZ20" i="72"/>
  <c r="BX20" i="72"/>
  <c r="BW20" i="72"/>
  <c r="BV20" i="72"/>
  <c r="BU20" i="72"/>
  <c r="BS20" i="72"/>
  <c r="BR20" i="72"/>
  <c r="BQ20" i="72"/>
  <c r="BP20" i="72"/>
  <c r="BN20" i="72"/>
  <c r="BM20" i="72"/>
  <c r="BL20" i="72"/>
  <c r="BK20" i="72"/>
  <c r="BI20" i="72"/>
  <c r="BH20" i="72"/>
  <c r="BG20" i="72"/>
  <c r="BF20" i="72"/>
  <c r="BD20" i="72"/>
  <c r="BC20" i="72"/>
  <c r="BB20" i="72"/>
  <c r="BA20" i="72"/>
  <c r="AY20" i="72"/>
  <c r="AX20" i="72"/>
  <c r="AW20" i="72"/>
  <c r="AV20" i="72"/>
  <c r="AT20" i="72"/>
  <c r="AS20" i="72"/>
  <c r="AR20" i="72"/>
  <c r="AQ20" i="72"/>
  <c r="AO20" i="72"/>
  <c r="AN20" i="72"/>
  <c r="AM20" i="72"/>
  <c r="AL20" i="72"/>
  <c r="AJ20" i="72"/>
  <c r="AI20" i="72"/>
  <c r="AH20" i="72"/>
  <c r="AG20" i="72"/>
  <c r="AE20" i="72"/>
  <c r="AD20" i="72"/>
  <c r="AC20" i="72"/>
  <c r="AB20" i="72"/>
  <c r="Z20" i="72"/>
  <c r="Y20" i="72"/>
  <c r="X20" i="72"/>
  <c r="W20" i="72"/>
  <c r="U20" i="72"/>
  <c r="T20" i="72"/>
  <c r="S20" i="72"/>
  <c r="R20" i="72"/>
  <c r="P20" i="72"/>
  <c r="O20" i="72"/>
  <c r="N20" i="72"/>
  <c r="M20" i="72"/>
  <c r="K20" i="72"/>
  <c r="J20" i="72"/>
  <c r="I20" i="72"/>
  <c r="H20" i="72"/>
  <c r="F20" i="72"/>
  <c r="E20" i="72"/>
  <c r="D20" i="72"/>
  <c r="C20" i="72"/>
  <c r="DC19" i="72"/>
  <c r="DC34" i="72" s="1"/>
  <c r="CX19" i="72"/>
  <c r="CX34" i="72" s="1"/>
  <c r="CS19" i="72"/>
  <c r="CN19" i="72"/>
  <c r="CI19" i="72"/>
  <c r="CD19" i="72"/>
  <c r="CD34" i="72" s="1"/>
  <c r="BY19" i="72"/>
  <c r="BT19" i="72"/>
  <c r="BO19" i="72"/>
  <c r="BJ19" i="72"/>
  <c r="BJ34" i="72" s="1"/>
  <c r="BE19" i="72"/>
  <c r="AZ19" i="72"/>
  <c r="AZ34" i="72"/>
  <c r="AU19" i="72"/>
  <c r="AU34" i="72"/>
  <c r="AP19" i="72"/>
  <c r="AP34" i="72"/>
  <c r="AK19" i="72"/>
  <c r="AK34" i="72" s="1"/>
  <c r="AF19" i="72"/>
  <c r="AF34" i="72" s="1"/>
  <c r="AA19" i="72"/>
  <c r="AA34" i="72"/>
  <c r="V19" i="72"/>
  <c r="Q19" i="72"/>
  <c r="L19" i="72"/>
  <c r="L34" i="72" s="1"/>
  <c r="G19" i="72"/>
  <c r="DC18" i="72"/>
  <c r="CX18" i="72"/>
  <c r="CS18" i="72"/>
  <c r="CN18" i="72"/>
  <c r="CI18" i="72"/>
  <c r="CD18" i="72"/>
  <c r="BY18" i="72"/>
  <c r="BT18" i="72"/>
  <c r="BO18" i="72"/>
  <c r="BJ18" i="72"/>
  <c r="BE18" i="72"/>
  <c r="AZ18" i="72"/>
  <c r="AU18" i="72"/>
  <c r="AP18" i="72"/>
  <c r="AP20" i="72" s="1"/>
  <c r="AK18" i="72"/>
  <c r="AF18" i="72"/>
  <c r="AA18" i="72"/>
  <c r="V18" i="72"/>
  <c r="Q18" i="72"/>
  <c r="Q33" i="72" s="1"/>
  <c r="L18" i="72"/>
  <c r="G18" i="72"/>
  <c r="DC17" i="72"/>
  <c r="CX17" i="72"/>
  <c r="CX20" i="72" s="1"/>
  <c r="CS17" i="72"/>
  <c r="CN17" i="72"/>
  <c r="CI17" i="72"/>
  <c r="CD17" i="72"/>
  <c r="CD20" i="72"/>
  <c r="BY17" i="72"/>
  <c r="BT17" i="72"/>
  <c r="BO17" i="72"/>
  <c r="BO20" i="72"/>
  <c r="BJ17" i="72"/>
  <c r="BJ20" i="72" s="1"/>
  <c r="BE17" i="72"/>
  <c r="BE20" i="72" s="1"/>
  <c r="AZ17" i="72"/>
  <c r="AU17" i="72"/>
  <c r="AP17" i="72"/>
  <c r="AK17" i="72"/>
  <c r="AF17" i="72"/>
  <c r="AF20" i="72"/>
  <c r="AA17" i="72"/>
  <c r="AA20" i="72" s="1"/>
  <c r="V17" i="72"/>
  <c r="V20" i="72" s="1"/>
  <c r="Q17" i="72"/>
  <c r="L17" i="72"/>
  <c r="DB15" i="72"/>
  <c r="DA15" i="72"/>
  <c r="CZ15" i="72"/>
  <c r="CY15" i="72"/>
  <c r="CW15" i="72"/>
  <c r="CV15" i="72"/>
  <c r="CU15" i="72"/>
  <c r="CT15" i="72"/>
  <c r="CR15" i="72"/>
  <c r="CQ15" i="72"/>
  <c r="CP15" i="72"/>
  <c r="CO15" i="72"/>
  <c r="CM15" i="72"/>
  <c r="CL15" i="72"/>
  <c r="CK15" i="72"/>
  <c r="CJ15" i="72"/>
  <c r="CH15" i="72"/>
  <c r="CG15" i="72"/>
  <c r="CF15" i="72"/>
  <c r="CE15" i="72"/>
  <c r="CC15" i="72"/>
  <c r="CB15" i="72"/>
  <c r="CA15" i="72"/>
  <c r="BZ15" i="72"/>
  <c r="BX15" i="72"/>
  <c r="BW15" i="72"/>
  <c r="BV15" i="72"/>
  <c r="BU15" i="72"/>
  <c r="BS15" i="72"/>
  <c r="BR15" i="72"/>
  <c r="BQ15" i="72"/>
  <c r="BP15" i="72"/>
  <c r="BN15" i="72"/>
  <c r="BM15" i="72"/>
  <c r="BL15" i="72"/>
  <c r="BK15" i="72"/>
  <c r="BI15" i="72"/>
  <c r="BH15" i="72"/>
  <c r="BG15" i="72"/>
  <c r="BF15" i="72"/>
  <c r="BD15" i="72"/>
  <c r="BC15" i="72"/>
  <c r="BB15" i="72"/>
  <c r="BA15" i="72"/>
  <c r="AY15" i="72"/>
  <c r="AX15" i="72"/>
  <c r="AW15" i="72"/>
  <c r="AV15" i="72"/>
  <c r="AT15" i="72"/>
  <c r="AS15" i="72"/>
  <c r="AR15" i="72"/>
  <c r="AQ15" i="72"/>
  <c r="AO15" i="72"/>
  <c r="AN15" i="72"/>
  <c r="AM15" i="72"/>
  <c r="AL15" i="72"/>
  <c r="AJ15" i="72"/>
  <c r="AI15" i="72"/>
  <c r="AH15" i="72"/>
  <c r="AG15" i="72"/>
  <c r="AE15" i="72"/>
  <c r="AD15" i="72"/>
  <c r="AC15" i="72"/>
  <c r="AB15" i="72"/>
  <c r="DC14" i="72"/>
  <c r="DC37" i="72" s="1"/>
  <c r="CX14" i="72"/>
  <c r="CX37" i="72" s="1"/>
  <c r="CS14" i="72"/>
  <c r="CS37" i="72" s="1"/>
  <c r="CN14" i="72"/>
  <c r="CN37" i="72" s="1"/>
  <c r="CI14" i="72"/>
  <c r="CI37" i="72" s="1"/>
  <c r="CD14" i="72"/>
  <c r="CD37" i="72" s="1"/>
  <c r="BY14" i="72"/>
  <c r="BY37" i="72"/>
  <c r="BT14" i="72"/>
  <c r="BT37" i="72" s="1"/>
  <c r="BO14" i="72"/>
  <c r="BO37" i="72" s="1"/>
  <c r="BJ14" i="72"/>
  <c r="BJ37" i="72" s="1"/>
  <c r="BE14" i="72"/>
  <c r="BE37" i="72" s="1"/>
  <c r="AZ14" i="72"/>
  <c r="AZ37" i="72" s="1"/>
  <c r="AU14" i="72"/>
  <c r="AU37" i="72" s="1"/>
  <c r="AP14" i="72"/>
  <c r="AP37" i="72" s="1"/>
  <c r="AK14" i="72"/>
  <c r="AK37" i="72" s="1"/>
  <c r="AF14" i="72"/>
  <c r="AF37" i="72" s="1"/>
  <c r="DC13" i="72"/>
  <c r="DC36" i="72" s="1"/>
  <c r="CX13" i="72"/>
  <c r="CX36" i="72" s="1"/>
  <c r="CS13" i="72"/>
  <c r="CS36" i="72" s="1"/>
  <c r="CN13" i="72"/>
  <c r="CN36" i="72" s="1"/>
  <c r="CI13" i="72"/>
  <c r="CI36" i="72" s="1"/>
  <c r="CD13" i="72"/>
  <c r="CD36" i="72" s="1"/>
  <c r="BY13" i="72"/>
  <c r="BY36" i="72"/>
  <c r="BT13" i="72"/>
  <c r="BT36" i="72" s="1"/>
  <c r="BO13" i="72"/>
  <c r="BO36" i="72" s="1"/>
  <c r="BJ13" i="72"/>
  <c r="BJ36" i="72" s="1"/>
  <c r="BE13" i="72"/>
  <c r="BE36" i="72"/>
  <c r="AZ13" i="72"/>
  <c r="AZ36" i="72" s="1"/>
  <c r="AU13" i="72"/>
  <c r="AU36" i="72" s="1"/>
  <c r="AP13" i="72"/>
  <c r="AP36" i="72" s="1"/>
  <c r="AK13" i="72"/>
  <c r="AK36" i="72"/>
  <c r="AF13" i="72"/>
  <c r="AF36" i="72" s="1"/>
  <c r="DC12" i="72"/>
  <c r="CX12" i="72"/>
  <c r="CS12" i="72"/>
  <c r="CS15" i="72" s="1"/>
  <c r="CN12" i="72"/>
  <c r="CN15" i="72" s="1"/>
  <c r="CI12" i="72"/>
  <c r="CD12" i="72"/>
  <c r="BY12" i="72"/>
  <c r="BT12" i="72"/>
  <c r="BO12" i="72"/>
  <c r="BO15" i="72" s="1"/>
  <c r="BJ12" i="72"/>
  <c r="BJ15" i="72"/>
  <c r="BE12" i="72"/>
  <c r="AZ12" i="72"/>
  <c r="AU12" i="72"/>
  <c r="AU15" i="72"/>
  <c r="AP12" i="72"/>
  <c r="AK12" i="72"/>
  <c r="AF12" i="72"/>
  <c r="AF15" i="72" s="1"/>
  <c r="DB10" i="72"/>
  <c r="DA10" i="72"/>
  <c r="CZ10" i="72"/>
  <c r="CY10" i="72"/>
  <c r="CW10" i="72"/>
  <c r="CV10" i="72"/>
  <c r="CU10" i="72"/>
  <c r="CT10" i="72"/>
  <c r="CR10" i="72"/>
  <c r="CQ10" i="72"/>
  <c r="CP10" i="72"/>
  <c r="CO10" i="72"/>
  <c r="CM10" i="72"/>
  <c r="CL10" i="72"/>
  <c r="CK10" i="72"/>
  <c r="CJ10" i="72"/>
  <c r="CH10" i="72"/>
  <c r="CG10" i="72"/>
  <c r="CF10" i="72"/>
  <c r="CE10" i="72"/>
  <c r="CC10" i="72"/>
  <c r="CB10" i="72"/>
  <c r="CA10" i="72"/>
  <c r="BZ10" i="72"/>
  <c r="BX10" i="72"/>
  <c r="BW10" i="72"/>
  <c r="BV10" i="72"/>
  <c r="BU10" i="72"/>
  <c r="BS10" i="72"/>
  <c r="BR10" i="72"/>
  <c r="BQ10" i="72"/>
  <c r="BP10" i="72"/>
  <c r="BN10" i="72"/>
  <c r="BM10" i="72"/>
  <c r="BL10" i="72"/>
  <c r="BK10" i="72"/>
  <c r="BI10" i="72"/>
  <c r="BH10" i="72"/>
  <c r="BG10" i="72"/>
  <c r="BF10" i="72"/>
  <c r="BD10" i="72"/>
  <c r="BC10" i="72"/>
  <c r="BB10" i="72"/>
  <c r="BA10" i="72"/>
  <c r="AY10" i="72"/>
  <c r="AX10" i="72"/>
  <c r="AW10" i="72"/>
  <c r="AV10" i="72"/>
  <c r="AT10" i="72"/>
  <c r="AS10" i="72"/>
  <c r="AR10" i="72"/>
  <c r="AQ10" i="72"/>
  <c r="AO10" i="72"/>
  <c r="AN10" i="72"/>
  <c r="AM10" i="72"/>
  <c r="AL10" i="72"/>
  <c r="AJ10" i="72"/>
  <c r="AI10" i="72"/>
  <c r="AH10" i="72"/>
  <c r="AG10" i="72"/>
  <c r="AE10" i="72"/>
  <c r="AD10" i="72"/>
  <c r="AC10" i="72"/>
  <c r="AB10" i="72"/>
  <c r="Z10" i="72"/>
  <c r="Y10" i="72"/>
  <c r="X10" i="72"/>
  <c r="W10" i="72"/>
  <c r="U10" i="72"/>
  <c r="T10" i="72"/>
  <c r="S10" i="72"/>
  <c r="R10" i="72"/>
  <c r="P10" i="72"/>
  <c r="O10" i="72"/>
  <c r="N10" i="72"/>
  <c r="M10" i="72"/>
  <c r="K10" i="72"/>
  <c r="J10" i="72"/>
  <c r="I10" i="72"/>
  <c r="H10" i="72"/>
  <c r="F10" i="72"/>
  <c r="E10" i="72"/>
  <c r="D10" i="72"/>
  <c r="C10" i="72"/>
  <c r="DC9" i="72"/>
  <c r="DC35" i="72"/>
  <c r="CX9" i="72"/>
  <c r="CX35" i="72" s="1"/>
  <c r="CS9" i="72"/>
  <c r="CS35" i="72" s="1"/>
  <c r="CN9" i="72"/>
  <c r="CN35" i="72"/>
  <c r="CI9" i="72"/>
  <c r="CI35" i="72" s="1"/>
  <c r="CD9" i="72"/>
  <c r="CD35" i="72" s="1"/>
  <c r="BY9" i="72"/>
  <c r="BY35" i="72"/>
  <c r="BT9" i="72"/>
  <c r="BO9" i="72"/>
  <c r="BO35" i="72" s="1"/>
  <c r="BJ9" i="72"/>
  <c r="BE9" i="72"/>
  <c r="BE35" i="72" s="1"/>
  <c r="AZ9" i="72"/>
  <c r="AZ35" i="72" s="1"/>
  <c r="AU9" i="72"/>
  <c r="AU35" i="72"/>
  <c r="AP9" i="72"/>
  <c r="AP35" i="72" s="1"/>
  <c r="AK9" i="72"/>
  <c r="AK35" i="72"/>
  <c r="AF9" i="72"/>
  <c r="AA9" i="72"/>
  <c r="AA35" i="72"/>
  <c r="V9" i="72"/>
  <c r="V35" i="72" s="1"/>
  <c r="Q9" i="72"/>
  <c r="L9" i="72"/>
  <c r="L35" i="72" s="1"/>
  <c r="G9" i="72"/>
  <c r="DC8" i="72"/>
  <c r="CX8" i="72"/>
  <c r="CS8" i="72"/>
  <c r="CN8" i="72"/>
  <c r="CI8" i="72"/>
  <c r="CI33" i="72"/>
  <c r="CD8" i="72"/>
  <c r="BY8" i="72"/>
  <c r="BT8" i="72"/>
  <c r="BO8" i="72"/>
  <c r="BO33" i="72"/>
  <c r="BJ8" i="72"/>
  <c r="BJ33" i="72" s="1"/>
  <c r="BE8" i="72"/>
  <c r="BE33" i="72"/>
  <c r="AZ8" i="72"/>
  <c r="AU8" i="72"/>
  <c r="AU33" i="72" s="1"/>
  <c r="AP8" i="72"/>
  <c r="AK8" i="72"/>
  <c r="AF8" i="72"/>
  <c r="AA8" i="72"/>
  <c r="AA33" i="72" s="1"/>
  <c r="V8" i="72"/>
  <c r="V33" i="72" s="1"/>
  <c r="Q8" i="72"/>
  <c r="L8" i="72"/>
  <c r="G8" i="72"/>
  <c r="DC7" i="72"/>
  <c r="CX7" i="72"/>
  <c r="CX32" i="72" s="1"/>
  <c r="CS7" i="72"/>
  <c r="CN7" i="72"/>
  <c r="CI7" i="72"/>
  <c r="CD7" i="72"/>
  <c r="BY7" i="72"/>
  <c r="BY32" i="72" s="1"/>
  <c r="BT7" i="72"/>
  <c r="BT10" i="72"/>
  <c r="BO7" i="72"/>
  <c r="BJ7" i="72"/>
  <c r="BJ32" i="72" s="1"/>
  <c r="BE7" i="72"/>
  <c r="AZ7" i="72"/>
  <c r="AZ32" i="72" s="1"/>
  <c r="AU7" i="72"/>
  <c r="AP7" i="72"/>
  <c r="AK7" i="72"/>
  <c r="AK32" i="72" s="1"/>
  <c r="AF7" i="72"/>
  <c r="AA7" i="72"/>
  <c r="V7" i="72"/>
  <c r="Q7" i="72"/>
  <c r="L7" i="72"/>
  <c r="L32" i="72" s="1"/>
  <c r="G7" i="72"/>
  <c r="T35" i="71"/>
  <c r="S35" i="71"/>
  <c r="R35" i="71"/>
  <c r="Q35" i="71"/>
  <c r="P35" i="71"/>
  <c r="O35" i="71"/>
  <c r="N35" i="71"/>
  <c r="M35" i="71"/>
  <c r="L35" i="71"/>
  <c r="K35" i="71"/>
  <c r="J35" i="71"/>
  <c r="H35" i="71"/>
  <c r="G35" i="71"/>
  <c r="F35" i="71"/>
  <c r="E35" i="71"/>
  <c r="D35" i="71"/>
  <c r="C35" i="71"/>
  <c r="T34" i="71"/>
  <c r="S34" i="71"/>
  <c r="R34" i="71"/>
  <c r="Q34" i="71"/>
  <c r="P34" i="71"/>
  <c r="O34" i="71"/>
  <c r="N34" i="71"/>
  <c r="M34" i="71"/>
  <c r="L34" i="71"/>
  <c r="K34" i="71"/>
  <c r="J34" i="71"/>
  <c r="H34" i="71"/>
  <c r="G34" i="71"/>
  <c r="F34" i="71"/>
  <c r="E34" i="71"/>
  <c r="D34" i="71"/>
  <c r="C34" i="71"/>
  <c r="T33" i="71"/>
  <c r="S33" i="71"/>
  <c r="R33" i="71"/>
  <c r="Q33" i="71"/>
  <c r="P33" i="71"/>
  <c r="O33" i="71"/>
  <c r="N33" i="71"/>
  <c r="M33" i="71"/>
  <c r="L33" i="71"/>
  <c r="K33" i="71"/>
  <c r="J33" i="71"/>
  <c r="H33" i="71"/>
  <c r="G33" i="71"/>
  <c r="F33" i="71"/>
  <c r="E33" i="71"/>
  <c r="D33" i="71"/>
  <c r="C33" i="71"/>
  <c r="T32" i="71"/>
  <c r="S32" i="71"/>
  <c r="R32" i="71"/>
  <c r="Q32" i="71"/>
  <c r="P32" i="71"/>
  <c r="O32" i="71"/>
  <c r="N32" i="71"/>
  <c r="M32" i="71"/>
  <c r="L32" i="71"/>
  <c r="K32" i="71"/>
  <c r="J32" i="71"/>
  <c r="H32" i="71"/>
  <c r="G32" i="71"/>
  <c r="F32" i="71"/>
  <c r="E32" i="71"/>
  <c r="D32" i="71"/>
  <c r="C32" i="71"/>
  <c r="T31" i="71"/>
  <c r="S31" i="71"/>
  <c r="R31" i="71"/>
  <c r="Q31" i="71"/>
  <c r="P31" i="71"/>
  <c r="O31" i="71"/>
  <c r="N31" i="71"/>
  <c r="M31" i="71"/>
  <c r="L31" i="71"/>
  <c r="K31" i="71"/>
  <c r="K36" i="71" s="1"/>
  <c r="J31" i="71"/>
  <c r="H31" i="71"/>
  <c r="G31" i="71"/>
  <c r="F31" i="71"/>
  <c r="E31" i="71"/>
  <c r="D31" i="71"/>
  <c r="C31" i="71"/>
  <c r="T30" i="71"/>
  <c r="T36" i="71" s="1"/>
  <c r="S30" i="71"/>
  <c r="R30" i="71"/>
  <c r="Q30" i="71"/>
  <c r="Q36" i="71" s="1"/>
  <c r="P30" i="71"/>
  <c r="O30" i="71"/>
  <c r="N30" i="71"/>
  <c r="M30" i="71"/>
  <c r="L30" i="71"/>
  <c r="L36" i="71" s="1"/>
  <c r="K30" i="71"/>
  <c r="J30" i="71"/>
  <c r="H30" i="71"/>
  <c r="G30" i="71"/>
  <c r="F30" i="71"/>
  <c r="E30" i="71"/>
  <c r="D30" i="71"/>
  <c r="C30" i="71"/>
  <c r="T28" i="71"/>
  <c r="S28" i="71"/>
  <c r="R28" i="71"/>
  <c r="Q28" i="71"/>
  <c r="P28" i="71"/>
  <c r="O28" i="71"/>
  <c r="N28" i="71"/>
  <c r="M28" i="71"/>
  <c r="L28" i="71"/>
  <c r="K28" i="71"/>
  <c r="J28" i="71"/>
  <c r="H28" i="71"/>
  <c r="G28" i="71"/>
  <c r="F28" i="71"/>
  <c r="E28" i="71"/>
  <c r="D28" i="71"/>
  <c r="C28" i="71"/>
  <c r="I27" i="71"/>
  <c r="I33" i="71"/>
  <c r="I26" i="71"/>
  <c r="I25" i="71"/>
  <c r="I28" i="71" s="1"/>
  <c r="T23" i="71"/>
  <c r="S23" i="71"/>
  <c r="R23" i="71"/>
  <c r="Q23" i="71"/>
  <c r="P23" i="71"/>
  <c r="O23" i="71"/>
  <c r="N23" i="71"/>
  <c r="M23" i="71"/>
  <c r="L23" i="71"/>
  <c r="T18" i="71"/>
  <c r="S18" i="71"/>
  <c r="R18" i="71"/>
  <c r="Q18" i="71"/>
  <c r="P18" i="71"/>
  <c r="O18" i="71"/>
  <c r="N18" i="71"/>
  <c r="M18" i="71"/>
  <c r="L18" i="71"/>
  <c r="K18" i="71"/>
  <c r="J18" i="71"/>
  <c r="H18" i="71"/>
  <c r="G18" i="71"/>
  <c r="F18" i="71"/>
  <c r="E18" i="71"/>
  <c r="D18" i="71"/>
  <c r="C18" i="71"/>
  <c r="I17" i="71"/>
  <c r="I16" i="71"/>
  <c r="I15" i="71"/>
  <c r="T13" i="71"/>
  <c r="S13" i="71"/>
  <c r="R13" i="71"/>
  <c r="Q13" i="71"/>
  <c r="P13" i="71"/>
  <c r="O13" i="71"/>
  <c r="N13" i="71"/>
  <c r="M13" i="71"/>
  <c r="L13" i="71"/>
  <c r="K13" i="71"/>
  <c r="J13" i="71"/>
  <c r="H13" i="71"/>
  <c r="G13" i="71"/>
  <c r="F13" i="71"/>
  <c r="E13" i="71"/>
  <c r="D13" i="71"/>
  <c r="I12" i="71"/>
  <c r="I35" i="71"/>
  <c r="I11" i="71"/>
  <c r="I34" i="71" s="1"/>
  <c r="I10" i="71"/>
  <c r="T8" i="71"/>
  <c r="S8" i="71"/>
  <c r="R8" i="71"/>
  <c r="Q8" i="71"/>
  <c r="P8" i="71"/>
  <c r="O8" i="71"/>
  <c r="N8" i="71"/>
  <c r="M8" i="71"/>
  <c r="L8" i="71"/>
  <c r="K8" i="71"/>
  <c r="J8" i="71"/>
  <c r="H8" i="71"/>
  <c r="G8" i="71"/>
  <c r="F8" i="71"/>
  <c r="E8" i="71"/>
  <c r="D8" i="71"/>
  <c r="C8" i="71"/>
  <c r="I6" i="71"/>
  <c r="I5" i="71"/>
  <c r="I30" i="71" s="1"/>
  <c r="U81" i="70"/>
  <c r="T81" i="70"/>
  <c r="S81" i="70"/>
  <c r="R81" i="70"/>
  <c r="G81" i="70"/>
  <c r="F81" i="70"/>
  <c r="E81" i="70"/>
  <c r="D81" i="70"/>
  <c r="C81" i="70"/>
  <c r="V80" i="70"/>
  <c r="V79" i="70"/>
  <c r="V78" i="70"/>
  <c r="V77" i="70"/>
  <c r="U76" i="70"/>
  <c r="T76" i="70"/>
  <c r="S76" i="70"/>
  <c r="R76" i="70"/>
  <c r="G76" i="70"/>
  <c r="F76" i="70"/>
  <c r="E76" i="70"/>
  <c r="D76" i="70"/>
  <c r="C76" i="70"/>
  <c r="V75" i="70"/>
  <c r="V74" i="70"/>
  <c r="V73" i="70"/>
  <c r="V72" i="70"/>
  <c r="U71" i="70"/>
  <c r="U82" i="70" s="1"/>
  <c r="T71" i="70"/>
  <c r="S71" i="70"/>
  <c r="R71" i="70"/>
  <c r="G71" i="70"/>
  <c r="F71" i="70"/>
  <c r="E71" i="70"/>
  <c r="D71" i="70"/>
  <c r="C71" i="70"/>
  <c r="V70" i="70"/>
  <c r="V69" i="70"/>
  <c r="V68" i="70"/>
  <c r="V67" i="70"/>
  <c r="U65" i="70"/>
  <c r="T65" i="70"/>
  <c r="S65" i="70"/>
  <c r="R65" i="70"/>
  <c r="G65" i="70"/>
  <c r="F65" i="70"/>
  <c r="E65" i="70"/>
  <c r="D65" i="70"/>
  <c r="C65" i="70"/>
  <c r="V64" i="70"/>
  <c r="V63" i="70"/>
  <c r="V62" i="70"/>
  <c r="U61" i="70"/>
  <c r="T61" i="70"/>
  <c r="S61" i="70"/>
  <c r="R61" i="70"/>
  <c r="P61" i="70"/>
  <c r="O61" i="70"/>
  <c r="N61" i="70"/>
  <c r="M61" i="70"/>
  <c r="G61" i="70"/>
  <c r="F61" i="70"/>
  <c r="E61" i="70"/>
  <c r="D61" i="70"/>
  <c r="C61" i="70"/>
  <c r="V60" i="70"/>
  <c r="Q60" i="70"/>
  <c r="V59" i="70"/>
  <c r="Q59" i="70"/>
  <c r="V58" i="70"/>
  <c r="Q58" i="70"/>
  <c r="U57" i="70"/>
  <c r="T57" i="70"/>
  <c r="S57" i="70"/>
  <c r="R57" i="70"/>
  <c r="G57" i="70"/>
  <c r="F57" i="70"/>
  <c r="E57" i="70"/>
  <c r="D57" i="70"/>
  <c r="C57" i="70"/>
  <c r="V56" i="70"/>
  <c r="V55" i="70"/>
  <c r="V54" i="70"/>
  <c r="U52" i="70"/>
  <c r="T52" i="70"/>
  <c r="S52" i="70"/>
  <c r="R52" i="70"/>
  <c r="P52" i="70"/>
  <c r="O52" i="70"/>
  <c r="N52" i="70"/>
  <c r="M52" i="70"/>
  <c r="G52" i="70"/>
  <c r="F52" i="70"/>
  <c r="E52" i="70"/>
  <c r="D52" i="70"/>
  <c r="C52" i="70"/>
  <c r="V51" i="70"/>
  <c r="Q51" i="70"/>
  <c r="V50" i="70"/>
  <c r="Q50" i="70"/>
  <c r="V49" i="70"/>
  <c r="Q49" i="70"/>
  <c r="V48" i="70"/>
  <c r="Q48" i="70"/>
  <c r="V47" i="70"/>
  <c r="Q47" i="70"/>
  <c r="U46" i="70"/>
  <c r="T46" i="70"/>
  <c r="S46" i="70"/>
  <c r="R46" i="70"/>
  <c r="P46" i="70"/>
  <c r="O46" i="70"/>
  <c r="N46" i="70"/>
  <c r="N53" i="70" s="1"/>
  <c r="M46" i="70"/>
  <c r="G46" i="70"/>
  <c r="F46" i="70"/>
  <c r="E46" i="70"/>
  <c r="D46" i="70"/>
  <c r="C46" i="70"/>
  <c r="V45" i="70"/>
  <c r="Q45" i="70"/>
  <c r="V44" i="70"/>
  <c r="Q44" i="70"/>
  <c r="V43" i="70"/>
  <c r="Q43" i="70"/>
  <c r="V42" i="70"/>
  <c r="Q42" i="70"/>
  <c r="U41" i="70"/>
  <c r="U53" i="70"/>
  <c r="T41" i="70"/>
  <c r="S41" i="70"/>
  <c r="S53" i="70" s="1"/>
  <c r="R41" i="70"/>
  <c r="G41" i="70"/>
  <c r="F41" i="70"/>
  <c r="E41" i="70"/>
  <c r="D41" i="70"/>
  <c r="C41" i="70"/>
  <c r="V40" i="70"/>
  <c r="V39" i="70"/>
  <c r="V38" i="70"/>
  <c r="V37" i="70"/>
  <c r="V36" i="70"/>
  <c r="U34" i="70"/>
  <c r="T34" i="70"/>
  <c r="S34" i="70"/>
  <c r="R34" i="70"/>
  <c r="P34" i="70"/>
  <c r="O34" i="70"/>
  <c r="G34" i="70"/>
  <c r="F34" i="70"/>
  <c r="E34" i="70"/>
  <c r="D34" i="70"/>
  <c r="C34" i="70"/>
  <c r="V33" i="70"/>
  <c r="Q33" i="70"/>
  <c r="V32" i="70"/>
  <c r="Q32" i="70"/>
  <c r="V31" i="70"/>
  <c r="Q31" i="70"/>
  <c r="U30" i="70"/>
  <c r="U35" i="70" s="1"/>
  <c r="T30" i="70"/>
  <c r="S30" i="70"/>
  <c r="R30" i="70"/>
  <c r="P30" i="70"/>
  <c r="O30" i="70"/>
  <c r="N30" i="70"/>
  <c r="M30" i="70"/>
  <c r="G30" i="70"/>
  <c r="F30" i="70"/>
  <c r="E30" i="70"/>
  <c r="D30" i="70"/>
  <c r="C30" i="70"/>
  <c r="V29" i="70"/>
  <c r="Q29" i="70"/>
  <c r="V28" i="70"/>
  <c r="Q28" i="70"/>
  <c r="V27" i="70"/>
  <c r="Q27" i="70"/>
  <c r="U26" i="70"/>
  <c r="T26" i="70"/>
  <c r="S26" i="70"/>
  <c r="R26" i="70"/>
  <c r="P26" i="70"/>
  <c r="O26" i="70"/>
  <c r="N26" i="70"/>
  <c r="M26" i="70"/>
  <c r="G26" i="70"/>
  <c r="F26" i="70"/>
  <c r="E26" i="70"/>
  <c r="D26" i="70"/>
  <c r="C26" i="70"/>
  <c r="V25" i="70"/>
  <c r="Q25" i="70"/>
  <c r="V24" i="70"/>
  <c r="Q24" i="70"/>
  <c r="V23" i="70"/>
  <c r="Q23" i="70"/>
  <c r="Q26" i="70" s="1"/>
  <c r="U21" i="70"/>
  <c r="T21" i="70"/>
  <c r="S21" i="70"/>
  <c r="R21" i="70"/>
  <c r="G21" i="70"/>
  <c r="G22" i="70" s="1"/>
  <c r="F21" i="70"/>
  <c r="E21" i="70"/>
  <c r="D21" i="70"/>
  <c r="C21" i="70"/>
  <c r="V20" i="70"/>
  <c r="V19" i="70"/>
  <c r="V18" i="70"/>
  <c r="V17" i="70"/>
  <c r="U16" i="70"/>
  <c r="T16" i="70"/>
  <c r="S16" i="70"/>
  <c r="R16" i="70"/>
  <c r="G16" i="70"/>
  <c r="F16" i="70"/>
  <c r="E16" i="70"/>
  <c r="D16" i="70"/>
  <c r="C16" i="70"/>
  <c r="V15" i="70"/>
  <c r="V14" i="70"/>
  <c r="V13" i="70"/>
  <c r="V12" i="70"/>
  <c r="V11" i="70"/>
  <c r="U10" i="70"/>
  <c r="U22" i="70" s="1"/>
  <c r="T10" i="70"/>
  <c r="S10" i="70"/>
  <c r="R10" i="70"/>
  <c r="G10" i="70"/>
  <c r="F10" i="70"/>
  <c r="E10" i="70"/>
  <c r="D10" i="70"/>
  <c r="C10" i="70"/>
  <c r="V9" i="70"/>
  <c r="V8" i="70"/>
  <c r="V7" i="70"/>
  <c r="V6" i="70"/>
  <c r="V5" i="70"/>
  <c r="AZ172" i="68"/>
  <c r="AY172" i="68"/>
  <c r="AX172" i="68"/>
  <c r="AW172" i="68"/>
  <c r="AZ167" i="68"/>
  <c r="AY167" i="68"/>
  <c r="AY162" i="68"/>
  <c r="AW162" i="68"/>
  <c r="AQ157" i="68"/>
  <c r="J157" i="68" s="1"/>
  <c r="AY157" i="68"/>
  <c r="AW157" i="68"/>
  <c r="AU157" i="68"/>
  <c r="AS157" i="68"/>
  <c r="CB31" i="68"/>
  <c r="BX31" i="68"/>
  <c r="BT31" i="68"/>
  <c r="BP31" i="68"/>
  <c r="L169" i="68" s="1"/>
  <c r="BH31" i="68"/>
  <c r="BD31" i="68"/>
  <c r="AR31" i="68"/>
  <c r="AN31" i="68"/>
  <c r="AJ31" i="68"/>
  <c r="AF31" i="68"/>
  <c r="CB29" i="68"/>
  <c r="BT29" i="68"/>
  <c r="M167" i="68" s="1"/>
  <c r="BL29" i="68"/>
  <c r="BD29" i="68"/>
  <c r="AR29" i="68"/>
  <c r="AN29" i="68"/>
  <c r="AF29" i="68"/>
  <c r="CB28" i="68"/>
  <c r="BT28" i="68"/>
  <c r="BP28" i="68"/>
  <c r="L166" i="68" s="1"/>
  <c r="BL28" i="68"/>
  <c r="BH28" i="68"/>
  <c r="BD28" i="68"/>
  <c r="AZ28" i="68"/>
  <c r="AR28" i="68"/>
  <c r="AN28" i="68"/>
  <c r="AJ28" i="68"/>
  <c r="AF28" i="68"/>
  <c r="C166" i="68" s="1"/>
  <c r="CJ27" i="68"/>
  <c r="Q165" i="68" s="1"/>
  <c r="BX27" i="68"/>
  <c r="BT27" i="68"/>
  <c r="BH27" i="68"/>
  <c r="BD27" i="68"/>
  <c r="AZ27" i="68"/>
  <c r="AR27" i="68"/>
  <c r="AN27" i="68"/>
  <c r="AJ27" i="68"/>
  <c r="AF27" i="68"/>
  <c r="CO29" i="68"/>
  <c r="CG29" i="68"/>
  <c r="CJ29" i="68" s="1"/>
  <c r="CC29" i="68"/>
  <c r="CF29" i="68" s="1"/>
  <c r="CB26" i="68"/>
  <c r="BX26" i="68"/>
  <c r="BT26" i="68"/>
  <c r="M164" i="68" s="1"/>
  <c r="BP26" i="68"/>
  <c r="BL26" i="68"/>
  <c r="K164" i="68" s="1"/>
  <c r="BD26" i="68"/>
  <c r="AZ26" i="68"/>
  <c r="AR26" i="68"/>
  <c r="AN26" i="68"/>
  <c r="AJ26" i="68"/>
  <c r="AF26" i="68"/>
  <c r="C164" i="68" s="1"/>
  <c r="BX24" i="68"/>
  <c r="BT24" i="68"/>
  <c r="BP24" i="68"/>
  <c r="BH24" i="68"/>
  <c r="BD24" i="68"/>
  <c r="AZ24" i="68"/>
  <c r="AV24" i="68"/>
  <c r="AN24" i="68"/>
  <c r="AF24" i="68"/>
  <c r="CN23" i="68"/>
  <c r="CJ23" i="68"/>
  <c r="CF23" i="68"/>
  <c r="CB23" i="68"/>
  <c r="BT23" i="68"/>
  <c r="BL23" i="68"/>
  <c r="BD23" i="68"/>
  <c r="AZ23" i="68"/>
  <c r="AV23" i="68"/>
  <c r="AN23" i="68"/>
  <c r="AJ23" i="68"/>
  <c r="CR22" i="68"/>
  <c r="CJ22" i="68"/>
  <c r="CB22" i="68"/>
  <c r="BX22" i="68"/>
  <c r="BP22" i="68"/>
  <c r="BH22" i="68"/>
  <c r="AZ22" i="68"/>
  <c r="AV22" i="68"/>
  <c r="AR22" i="68"/>
  <c r="AN22" i="68"/>
  <c r="AF22" i="68"/>
  <c r="CG24" i="68"/>
  <c r="CJ24" i="68" s="1"/>
  <c r="BX21" i="68"/>
  <c r="BT21" i="68"/>
  <c r="BH21" i="68"/>
  <c r="BD21" i="68"/>
  <c r="AV21" i="68"/>
  <c r="AF21" i="68"/>
  <c r="BT19" i="68"/>
  <c r="BP19" i="68"/>
  <c r="BD19" i="68"/>
  <c r="AZ19" i="68"/>
  <c r="AN19" i="68"/>
  <c r="AJ19" i="68"/>
  <c r="AF19" i="68"/>
  <c r="CN18" i="68"/>
  <c r="BP18" i="68"/>
  <c r="BL18" i="68"/>
  <c r="K161" i="68" s="1"/>
  <c r="BH18" i="68"/>
  <c r="BD18" i="68"/>
  <c r="AN18" i="68"/>
  <c r="AJ18" i="68"/>
  <c r="AF18" i="68"/>
  <c r="CN17" i="68"/>
  <c r="BX17" i="68"/>
  <c r="BT17" i="68"/>
  <c r="M160" i="68" s="1"/>
  <c r="BL17" i="68"/>
  <c r="AZ17" i="68"/>
  <c r="AV17" i="68"/>
  <c r="AR17" i="68"/>
  <c r="AJ17" i="68"/>
  <c r="AF17" i="68"/>
  <c r="CR16" i="68"/>
  <c r="S159" i="68" s="1"/>
  <c r="CN16" i="68"/>
  <c r="R159" i="68" s="1"/>
  <c r="CG19" i="68"/>
  <c r="CF16" i="68"/>
  <c r="BX16" i="68"/>
  <c r="BP16" i="68"/>
  <c r="BH16" i="68"/>
  <c r="BD16" i="68"/>
  <c r="AZ16" i="68"/>
  <c r="AV16" i="68"/>
  <c r="G159" i="68" s="1"/>
  <c r="AN16" i="68"/>
  <c r="CB14" i="68"/>
  <c r="BX14" i="68"/>
  <c r="BT14" i="68"/>
  <c r="BP14" i="68"/>
  <c r="BH14" i="68"/>
  <c r="BD14" i="68"/>
  <c r="AZ14" i="68"/>
  <c r="AV14" i="68"/>
  <c r="AN14" i="68"/>
  <c r="CR13" i="68"/>
  <c r="S156" i="68"/>
  <c r="CB13" i="68"/>
  <c r="BX13" i="68"/>
  <c r="BT13" i="68"/>
  <c r="BL13" i="68"/>
  <c r="K156" i="68" s="1"/>
  <c r="AV13" i="68"/>
  <c r="AR13" i="68"/>
  <c r="AN13" i="68"/>
  <c r="AF13" i="68"/>
  <c r="CN12" i="68"/>
  <c r="CJ12" i="68"/>
  <c r="CF12" i="68"/>
  <c r="BX12" i="68"/>
  <c r="N155" i="68" s="1"/>
  <c r="BT12" i="68"/>
  <c r="BP12" i="68"/>
  <c r="BL12" i="68"/>
  <c r="BH12" i="68"/>
  <c r="BD12" i="68"/>
  <c r="AZ12" i="68"/>
  <c r="AJ12" i="68"/>
  <c r="AF12" i="68"/>
  <c r="CR11" i="68"/>
  <c r="S154" i="68" s="1"/>
  <c r="CG14" i="68"/>
  <c r="CJ14" i="68" s="1"/>
  <c r="CB11" i="68"/>
  <c r="BX11" i="68"/>
  <c r="BP11" i="68"/>
  <c r="BL11" i="68"/>
  <c r="BD11" i="68"/>
  <c r="AZ11" i="68"/>
  <c r="AV11" i="68"/>
  <c r="AN11" i="68"/>
  <c r="AJ11" i="68"/>
  <c r="BX9" i="68"/>
  <c r="BP9" i="68"/>
  <c r="BH9" i="68"/>
  <c r="AR9" i="68"/>
  <c r="AF9" i="68"/>
  <c r="C152" i="68" s="1"/>
  <c r="CC9" i="68"/>
  <c r="BX8" i="68"/>
  <c r="BP8" i="68"/>
  <c r="BL8" i="68"/>
  <c r="BH8" i="68"/>
  <c r="BD8" i="68"/>
  <c r="AV8" i="68"/>
  <c r="AR8" i="68"/>
  <c r="F151" i="68" s="1"/>
  <c r="AN8" i="68"/>
  <c r="BX7" i="68"/>
  <c r="BT7" i="68"/>
  <c r="BP7" i="68"/>
  <c r="BL7" i="68"/>
  <c r="BH7" i="68"/>
  <c r="BD7" i="68"/>
  <c r="AZ7" i="68"/>
  <c r="H150" i="68" s="1"/>
  <c r="AR7" i="68"/>
  <c r="AN7" i="68"/>
  <c r="AJ7" i="68"/>
  <c r="AF7" i="68"/>
  <c r="CN6" i="68"/>
  <c r="CK9" i="68"/>
  <c r="CG9" i="68"/>
  <c r="BX6" i="68"/>
  <c r="BT6" i="68"/>
  <c r="BP6" i="68"/>
  <c r="BL6" i="68"/>
  <c r="BH6" i="68"/>
  <c r="AZ6" i="68"/>
  <c r="AR6" i="68"/>
  <c r="AN6" i="68"/>
  <c r="AJ6" i="68"/>
  <c r="D149" i="68" s="1"/>
  <c r="T15" i="67"/>
  <c r="T31" i="67" s="1"/>
  <c r="S15" i="67"/>
  <c r="S31" i="67" s="1"/>
  <c r="R15" i="67"/>
  <c r="R30" i="67" s="1"/>
  <c r="Q15" i="67"/>
  <c r="Q28" i="67" s="1"/>
  <c r="P15" i="67"/>
  <c r="P28" i="67" s="1"/>
  <c r="O15" i="67"/>
  <c r="O33" i="67" s="1"/>
  <c r="N15" i="67"/>
  <c r="N32" i="67" s="1"/>
  <c r="M15" i="67"/>
  <c r="M33" i="67" s="1"/>
  <c r="L15" i="67"/>
  <c r="L25" i="67" s="1"/>
  <c r="K15" i="67"/>
  <c r="K31" i="67" s="1"/>
  <c r="J15" i="67"/>
  <c r="J30" i="67" s="1"/>
  <c r="I15" i="67"/>
  <c r="I29" i="67" s="1"/>
  <c r="H15" i="67"/>
  <c r="H28" i="67"/>
  <c r="G15" i="67"/>
  <c r="G28" i="67" s="1"/>
  <c r="C15" i="67"/>
  <c r="C27" i="67" s="1"/>
  <c r="F10" i="67"/>
  <c r="E10" i="67"/>
  <c r="D10" i="67"/>
  <c r="F9" i="67"/>
  <c r="E9" i="67"/>
  <c r="D9" i="67"/>
  <c r="F8" i="67"/>
  <c r="E8" i="67"/>
  <c r="D8" i="67"/>
  <c r="F7" i="67"/>
  <c r="E7" i="67"/>
  <c r="D7" i="67"/>
  <c r="F6" i="67"/>
  <c r="E6" i="67"/>
  <c r="D6" i="67"/>
  <c r="F5" i="67"/>
  <c r="E5" i="67"/>
  <c r="D5" i="67"/>
  <c r="T29" i="66"/>
  <c r="S29" i="66"/>
  <c r="R29" i="66"/>
  <c r="Q29" i="66"/>
  <c r="P29" i="66"/>
  <c r="O29" i="66"/>
  <c r="N29" i="66"/>
  <c r="H29" i="66"/>
  <c r="G29" i="66"/>
  <c r="F29" i="66"/>
  <c r="E29" i="66"/>
  <c r="C29" i="66"/>
  <c r="T28" i="66"/>
  <c r="S28" i="66"/>
  <c r="R28" i="66"/>
  <c r="Q28" i="66"/>
  <c r="P28" i="66"/>
  <c r="O28" i="66"/>
  <c r="N28" i="66"/>
  <c r="M28" i="66"/>
  <c r="L28" i="66"/>
  <c r="K28" i="66"/>
  <c r="J28" i="66"/>
  <c r="I28" i="66"/>
  <c r="T27" i="66"/>
  <c r="S27" i="66"/>
  <c r="R27" i="66"/>
  <c r="Q27" i="66"/>
  <c r="P27" i="66"/>
  <c r="O27" i="66"/>
  <c r="N27" i="66"/>
  <c r="M27" i="66"/>
  <c r="L27" i="66"/>
  <c r="K27" i="66"/>
  <c r="J27" i="66"/>
  <c r="I27" i="66"/>
  <c r="T26" i="66"/>
  <c r="S26" i="66"/>
  <c r="R26" i="66"/>
  <c r="Q26" i="66"/>
  <c r="P26" i="66"/>
  <c r="O26" i="66"/>
  <c r="N26" i="66"/>
  <c r="M26" i="66"/>
  <c r="L26" i="66"/>
  <c r="K26" i="66"/>
  <c r="J26" i="66"/>
  <c r="I26" i="66"/>
  <c r="T25" i="66"/>
  <c r="S25" i="66"/>
  <c r="R25" i="66"/>
  <c r="Q25" i="66"/>
  <c r="P25" i="66"/>
  <c r="O25" i="66"/>
  <c r="N25" i="66"/>
  <c r="M25" i="66"/>
  <c r="L25" i="66"/>
  <c r="L30" i="66"/>
  <c r="L38" i="66" s="1"/>
  <c r="K25" i="66"/>
  <c r="J25" i="66"/>
  <c r="J30" i="66" s="1"/>
  <c r="I25" i="66"/>
  <c r="T24" i="66"/>
  <c r="S24" i="66"/>
  <c r="R24" i="66"/>
  <c r="R30" i="66" s="1"/>
  <c r="R38" i="66" s="1"/>
  <c r="Q24" i="66"/>
  <c r="P24" i="66"/>
  <c r="O24" i="66"/>
  <c r="N24" i="66"/>
  <c r="N30" i="66" s="1"/>
  <c r="H24" i="66"/>
  <c r="G24" i="66"/>
  <c r="F24" i="66"/>
  <c r="E24" i="66"/>
  <c r="D24" i="66"/>
  <c r="T16" i="66"/>
  <c r="S16" i="66"/>
  <c r="R16" i="66"/>
  <c r="Q16" i="66"/>
  <c r="P16" i="66"/>
  <c r="O16" i="66"/>
  <c r="N16" i="66"/>
  <c r="M16" i="66"/>
  <c r="L16" i="66"/>
  <c r="K16" i="66"/>
  <c r="J16" i="66"/>
  <c r="I16" i="66"/>
  <c r="H14" i="66"/>
  <c r="G14" i="66"/>
  <c r="F14" i="66"/>
  <c r="E14" i="66"/>
  <c r="C14" i="66"/>
  <c r="H13" i="66"/>
  <c r="G13" i="66"/>
  <c r="F13" i="66"/>
  <c r="F28" i="66" s="1"/>
  <c r="E13" i="66"/>
  <c r="D13" i="66"/>
  <c r="C13" i="66"/>
  <c r="C28" i="66" s="1"/>
  <c r="H12" i="66"/>
  <c r="H28" i="66" s="1"/>
  <c r="G12" i="66"/>
  <c r="E12" i="66"/>
  <c r="E28" i="66" s="1"/>
  <c r="D12" i="66"/>
  <c r="D28" i="66" s="1"/>
  <c r="C12" i="66"/>
  <c r="H11" i="66"/>
  <c r="G11" i="66"/>
  <c r="F11" i="66"/>
  <c r="E11" i="66"/>
  <c r="D11" i="66"/>
  <c r="C11" i="66"/>
  <c r="H10" i="66"/>
  <c r="G10" i="66"/>
  <c r="F10" i="66"/>
  <c r="F27" i="66" s="1"/>
  <c r="E10" i="66"/>
  <c r="D10" i="66"/>
  <c r="C10" i="66"/>
  <c r="C27" i="66"/>
  <c r="H9" i="66"/>
  <c r="G9" i="66"/>
  <c r="F9" i="66"/>
  <c r="E9" i="66"/>
  <c r="D9" i="66"/>
  <c r="C9" i="66"/>
  <c r="C26" i="66" s="1"/>
  <c r="H8" i="66"/>
  <c r="H26" i="66" s="1"/>
  <c r="G8" i="66"/>
  <c r="G26" i="66" s="1"/>
  <c r="F8" i="66"/>
  <c r="E8" i="66"/>
  <c r="E26" i="66" s="1"/>
  <c r="D8" i="66"/>
  <c r="D26" i="66" s="1"/>
  <c r="C8" i="66"/>
  <c r="H7" i="66"/>
  <c r="G7" i="66"/>
  <c r="F7" i="66"/>
  <c r="E7" i="66"/>
  <c r="D7" i="66"/>
  <c r="C7" i="66"/>
  <c r="C25" i="66" s="1"/>
  <c r="H6" i="66"/>
  <c r="G6" i="66"/>
  <c r="F6" i="66"/>
  <c r="F25" i="66"/>
  <c r="E6" i="66"/>
  <c r="E25" i="66" s="1"/>
  <c r="D6" i="66"/>
  <c r="H5" i="66"/>
  <c r="G5" i="66"/>
  <c r="F5" i="66"/>
  <c r="E5" i="66"/>
  <c r="D5" i="66"/>
  <c r="AW138" i="65"/>
  <c r="AV138" i="65"/>
  <c r="AT138" i="65"/>
  <c r="AS138" i="65"/>
  <c r="AQ138" i="65"/>
  <c r="AR138" i="65" s="1"/>
  <c r="AP138" i="65"/>
  <c r="AN138" i="65"/>
  <c r="AM138" i="65"/>
  <c r="AO138" i="65" s="1"/>
  <c r="AK138" i="65"/>
  <c r="AJ138" i="65"/>
  <c r="AH138" i="65"/>
  <c r="AG138" i="65"/>
  <c r="AI138" i="65" s="1"/>
  <c r="AE138" i="65"/>
  <c r="AD138" i="65"/>
  <c r="AB138" i="65"/>
  <c r="AB144" i="65" s="1"/>
  <c r="AA138" i="65"/>
  <c r="Y138" i="65"/>
  <c r="X138" i="65"/>
  <c r="V138" i="65"/>
  <c r="U138" i="65"/>
  <c r="S138" i="65"/>
  <c r="R138" i="65"/>
  <c r="P138" i="65"/>
  <c r="O138" i="65"/>
  <c r="M138" i="65"/>
  <c r="L138" i="65"/>
  <c r="J138" i="65"/>
  <c r="I138" i="65"/>
  <c r="G138" i="65"/>
  <c r="F138" i="65"/>
  <c r="D138" i="65"/>
  <c r="C138" i="65"/>
  <c r="AW137" i="65"/>
  <c r="AV137" i="65"/>
  <c r="AT137" i="65"/>
  <c r="AS137" i="65"/>
  <c r="AQ137" i="65"/>
  <c r="AP137" i="65"/>
  <c r="AN137" i="65"/>
  <c r="AO137" i="65" s="1"/>
  <c r="AM137" i="65"/>
  <c r="AK137" i="65"/>
  <c r="AJ137" i="65"/>
  <c r="AL137" i="65" s="1"/>
  <c r="AH137" i="65"/>
  <c r="AG137" i="65"/>
  <c r="AG143" i="65" s="1"/>
  <c r="AE137" i="65"/>
  <c r="AD137" i="65"/>
  <c r="AF137" i="65" s="1"/>
  <c r="AB137" i="65"/>
  <c r="AA137" i="65"/>
  <c r="Y137" i="65"/>
  <c r="X137" i="65"/>
  <c r="V137" i="65"/>
  <c r="U137" i="65"/>
  <c r="S137" i="65"/>
  <c r="R137" i="65"/>
  <c r="P137" i="65"/>
  <c r="O137" i="65"/>
  <c r="M137" i="65"/>
  <c r="L137" i="65"/>
  <c r="J137" i="65"/>
  <c r="I137" i="65"/>
  <c r="G137" i="65"/>
  <c r="F137" i="65"/>
  <c r="D137" i="65"/>
  <c r="C137" i="65"/>
  <c r="AW136" i="65"/>
  <c r="AW139" i="65" s="1"/>
  <c r="AV136" i="65"/>
  <c r="AT136" i="65"/>
  <c r="AS136" i="65"/>
  <c r="AU136" i="65" s="1"/>
  <c r="AQ136" i="65"/>
  <c r="AP136" i="65"/>
  <c r="AN136" i="65"/>
  <c r="AM136" i="65"/>
  <c r="AM139" i="65" s="1"/>
  <c r="AK136" i="65"/>
  <c r="AK139" i="65" s="1"/>
  <c r="AJ136" i="65"/>
  <c r="AH136" i="65"/>
  <c r="AI136" i="65" s="1"/>
  <c r="AG136" i="65"/>
  <c r="AE136" i="65"/>
  <c r="AD136" i="65"/>
  <c r="AD139" i="65"/>
  <c r="AB136" i="65"/>
  <c r="AA136" i="65"/>
  <c r="AA139" i="65"/>
  <c r="Y136" i="65"/>
  <c r="X136" i="65"/>
  <c r="V136" i="65"/>
  <c r="U136" i="65"/>
  <c r="U139" i="65" s="1"/>
  <c r="S136" i="65"/>
  <c r="R136" i="65"/>
  <c r="P136" i="65"/>
  <c r="O136" i="65"/>
  <c r="M136" i="65"/>
  <c r="L136" i="65"/>
  <c r="J136" i="65"/>
  <c r="I136" i="65"/>
  <c r="G136" i="65"/>
  <c r="F136" i="65"/>
  <c r="D136" i="65"/>
  <c r="C136" i="65"/>
  <c r="AW133" i="65"/>
  <c r="AV133" i="65"/>
  <c r="AT133" i="65"/>
  <c r="AS133" i="65"/>
  <c r="AQ133" i="65"/>
  <c r="AQ134" i="65" s="1"/>
  <c r="AP133" i="65"/>
  <c r="AN133" i="65"/>
  <c r="AM133" i="65"/>
  <c r="AK133" i="65"/>
  <c r="AJ133" i="65"/>
  <c r="AJ134" i="65" s="1"/>
  <c r="AH133" i="65"/>
  <c r="AI133" i="65" s="1"/>
  <c r="AG133" i="65"/>
  <c r="AE133" i="65"/>
  <c r="AD133" i="65"/>
  <c r="AB133" i="65"/>
  <c r="AA133" i="65"/>
  <c r="Y133" i="65"/>
  <c r="X133" i="65"/>
  <c r="V133" i="65"/>
  <c r="U133" i="65"/>
  <c r="S133" i="65"/>
  <c r="R133" i="65"/>
  <c r="Q133" i="65"/>
  <c r="P133" i="65"/>
  <c r="O133" i="65"/>
  <c r="AW132" i="65"/>
  <c r="AV132" i="65"/>
  <c r="AX132" i="65" s="1"/>
  <c r="AT132" i="65"/>
  <c r="AS132" i="65"/>
  <c r="AQ132" i="65"/>
  <c r="AP132" i="65"/>
  <c r="AR132" i="65" s="1"/>
  <c r="AN132" i="65"/>
  <c r="AM132" i="65"/>
  <c r="AO132" i="65" s="1"/>
  <c r="AK132" i="65"/>
  <c r="AL132" i="65" s="1"/>
  <c r="AJ132" i="65"/>
  <c r="AH132" i="65"/>
  <c r="AG132" i="65"/>
  <c r="AI132" i="65" s="1"/>
  <c r="AE132" i="65"/>
  <c r="AD132" i="65"/>
  <c r="AF132" i="65"/>
  <c r="AB132" i="65"/>
  <c r="AA132" i="65"/>
  <c r="Y132" i="65"/>
  <c r="X132" i="65"/>
  <c r="V132" i="65"/>
  <c r="U132" i="65"/>
  <c r="S132" i="65"/>
  <c r="R132" i="65"/>
  <c r="R134" i="65" s="1"/>
  <c r="Q132" i="65"/>
  <c r="P132" i="65"/>
  <c r="O132" i="65"/>
  <c r="AW131" i="65"/>
  <c r="AV131" i="65"/>
  <c r="AX131" i="65" s="1"/>
  <c r="AT131" i="65"/>
  <c r="AS131" i="65"/>
  <c r="AQ131" i="65"/>
  <c r="AP131" i="65"/>
  <c r="AN131" i="65"/>
  <c r="AM131" i="65"/>
  <c r="AK131" i="65"/>
  <c r="AK134" i="65" s="1"/>
  <c r="AJ131" i="65"/>
  <c r="AH131" i="65"/>
  <c r="AG131" i="65"/>
  <c r="AE131" i="65"/>
  <c r="AD131" i="65"/>
  <c r="AB131" i="65"/>
  <c r="AA131" i="65"/>
  <c r="AA134" i="65"/>
  <c r="Y131" i="65"/>
  <c r="X131" i="65"/>
  <c r="V131" i="65"/>
  <c r="U131" i="65"/>
  <c r="U134" i="65" s="1"/>
  <c r="S131" i="65"/>
  <c r="R131" i="65"/>
  <c r="Q131" i="65"/>
  <c r="P131" i="65"/>
  <c r="P134" i="65" s="1"/>
  <c r="O131" i="65"/>
  <c r="AW128" i="65"/>
  <c r="AV128" i="65"/>
  <c r="AT128" i="65"/>
  <c r="AS128" i="65"/>
  <c r="AS143" i="65" s="1"/>
  <c r="AQ128" i="65"/>
  <c r="AP128" i="65"/>
  <c r="AN128" i="65"/>
  <c r="AN143" i="65" s="1"/>
  <c r="AM128" i="65"/>
  <c r="AK128" i="65"/>
  <c r="AJ128" i="65"/>
  <c r="AL128" i="65" s="1"/>
  <c r="AH128" i="65"/>
  <c r="AG128" i="65"/>
  <c r="AE128" i="65"/>
  <c r="AD128" i="65"/>
  <c r="AB128" i="65"/>
  <c r="AA128" i="65"/>
  <c r="Y128" i="65"/>
  <c r="X128" i="65"/>
  <c r="X143" i="65"/>
  <c r="V128" i="65"/>
  <c r="U128" i="65"/>
  <c r="S128" i="65"/>
  <c r="R128" i="65"/>
  <c r="P128" i="65"/>
  <c r="P143" i="65" s="1"/>
  <c r="O128" i="65"/>
  <c r="M128" i="65"/>
  <c r="L128" i="65"/>
  <c r="L143" i="65" s="1"/>
  <c r="J128" i="65"/>
  <c r="J143" i="65" s="1"/>
  <c r="I128" i="65"/>
  <c r="I143" i="65" s="1"/>
  <c r="G128" i="65"/>
  <c r="G143" i="65" s="1"/>
  <c r="F128" i="65"/>
  <c r="F143" i="65" s="1"/>
  <c r="D128" i="65"/>
  <c r="D143" i="65"/>
  <c r="C128" i="65"/>
  <c r="C143" i="65" s="1"/>
  <c r="AW127" i="65"/>
  <c r="AV127" i="65"/>
  <c r="AX127" i="65"/>
  <c r="AT127" i="65"/>
  <c r="AS127" i="65"/>
  <c r="AQ127" i="65"/>
  <c r="AP127" i="65"/>
  <c r="AR127" i="65" s="1"/>
  <c r="AN127" i="65"/>
  <c r="AM127" i="65"/>
  <c r="AO127" i="65" s="1"/>
  <c r="AK127" i="65"/>
  <c r="AJ127" i="65"/>
  <c r="AL127" i="65" s="1"/>
  <c r="AH127" i="65"/>
  <c r="AI127" i="65" s="1"/>
  <c r="AG127" i="65"/>
  <c r="AE127" i="65"/>
  <c r="AF127" i="65" s="1"/>
  <c r="AD127" i="65"/>
  <c r="AB127" i="65"/>
  <c r="AA127" i="65"/>
  <c r="Y127" i="65"/>
  <c r="Y129" i="65" s="1"/>
  <c r="X127" i="65"/>
  <c r="V127" i="65"/>
  <c r="U127" i="65"/>
  <c r="S127" i="65"/>
  <c r="R127" i="65"/>
  <c r="P127" i="65"/>
  <c r="O127" i="65"/>
  <c r="M127" i="65"/>
  <c r="L127" i="65"/>
  <c r="J127" i="65"/>
  <c r="I127" i="65"/>
  <c r="G127" i="65"/>
  <c r="F127" i="65"/>
  <c r="D127" i="65"/>
  <c r="C127" i="65"/>
  <c r="AW126" i="65"/>
  <c r="AW129" i="65" s="1"/>
  <c r="AV126" i="65"/>
  <c r="AV129" i="65"/>
  <c r="AT126" i="65"/>
  <c r="AS126" i="65"/>
  <c r="AS129" i="65" s="1"/>
  <c r="AQ126" i="65"/>
  <c r="AQ129" i="65" s="1"/>
  <c r="AP126" i="65"/>
  <c r="AP129" i="65" s="1"/>
  <c r="AN126" i="65"/>
  <c r="AN129" i="65"/>
  <c r="AM126" i="65"/>
  <c r="AO126" i="65" s="1"/>
  <c r="AK126" i="65"/>
  <c r="AK129" i="65" s="1"/>
  <c r="AJ126" i="65"/>
  <c r="AH126" i="65"/>
  <c r="AG126" i="65"/>
  <c r="AG129" i="65" s="1"/>
  <c r="AE126" i="65"/>
  <c r="AD126" i="65"/>
  <c r="AD129" i="65" s="1"/>
  <c r="AB126" i="65"/>
  <c r="AA126" i="65"/>
  <c r="Y126" i="65"/>
  <c r="X126" i="65"/>
  <c r="V126" i="65"/>
  <c r="V129" i="65" s="1"/>
  <c r="U126" i="65"/>
  <c r="U129" i="65" s="1"/>
  <c r="S126" i="65"/>
  <c r="R126" i="65"/>
  <c r="P126" i="65"/>
  <c r="P129" i="65"/>
  <c r="O126" i="65"/>
  <c r="O129" i="65" s="1"/>
  <c r="M126" i="65"/>
  <c r="M129" i="65" s="1"/>
  <c r="L126" i="65"/>
  <c r="J126" i="65"/>
  <c r="J129" i="65"/>
  <c r="I126" i="65"/>
  <c r="G126" i="65"/>
  <c r="G129" i="65" s="1"/>
  <c r="F126" i="65"/>
  <c r="F129" i="65" s="1"/>
  <c r="D126" i="65"/>
  <c r="D129" i="65" s="1"/>
  <c r="C126" i="65"/>
  <c r="AW123" i="65"/>
  <c r="AV123" i="65"/>
  <c r="AV146" i="65" s="1"/>
  <c r="AT123" i="65"/>
  <c r="AT146" i="65" s="1"/>
  <c r="AS123" i="65"/>
  <c r="AS146" i="65"/>
  <c r="AU146" i="65" s="1"/>
  <c r="AQ123" i="65"/>
  <c r="AQ146" i="65" s="1"/>
  <c r="AP123" i="65"/>
  <c r="AN123" i="65"/>
  <c r="AN146" i="65" s="1"/>
  <c r="AM123" i="65"/>
  <c r="AK123" i="65"/>
  <c r="AK146" i="65" s="1"/>
  <c r="AJ123" i="65"/>
  <c r="AL123" i="65" s="1"/>
  <c r="AH123" i="65"/>
  <c r="AH146" i="65" s="1"/>
  <c r="AG123" i="65"/>
  <c r="AG146" i="65"/>
  <c r="AE123" i="65"/>
  <c r="AD123" i="65"/>
  <c r="AD146" i="65"/>
  <c r="AB123" i="65"/>
  <c r="AB146" i="65" s="1"/>
  <c r="AA123" i="65"/>
  <c r="AA146" i="65" s="1"/>
  <c r="Y123" i="65"/>
  <c r="Y146" i="65" s="1"/>
  <c r="X123" i="65"/>
  <c r="X146" i="65"/>
  <c r="V123" i="65"/>
  <c r="V146" i="65" s="1"/>
  <c r="U123" i="65"/>
  <c r="U146" i="65" s="1"/>
  <c r="W146" i="65" s="1"/>
  <c r="S123" i="65"/>
  <c r="S146" i="65" s="1"/>
  <c r="R123" i="65"/>
  <c r="R146" i="65" s="1"/>
  <c r="P123" i="65"/>
  <c r="P146" i="65" s="1"/>
  <c r="O123" i="65"/>
  <c r="O146" i="65" s="1"/>
  <c r="M123" i="65"/>
  <c r="M146" i="65"/>
  <c r="L123" i="65"/>
  <c r="L146" i="65" s="1"/>
  <c r="J123" i="65"/>
  <c r="J146" i="65"/>
  <c r="I123" i="65"/>
  <c r="I146" i="65" s="1"/>
  <c r="H123" i="65"/>
  <c r="H146" i="65" s="1"/>
  <c r="G123" i="65"/>
  <c r="G146" i="65" s="1"/>
  <c r="F123" i="65"/>
  <c r="F146" i="65"/>
  <c r="E123" i="65"/>
  <c r="E146" i="65" s="1"/>
  <c r="D123" i="65"/>
  <c r="D146" i="65" s="1"/>
  <c r="C123" i="65"/>
  <c r="C146" i="65" s="1"/>
  <c r="AW122" i="65"/>
  <c r="AW145" i="65"/>
  <c r="AV122" i="65"/>
  <c r="AV145" i="65" s="1"/>
  <c r="AT122" i="65"/>
  <c r="AT145" i="65" s="1"/>
  <c r="AS122" i="65"/>
  <c r="AS145" i="65" s="1"/>
  <c r="AQ122" i="65"/>
  <c r="AQ145" i="65" s="1"/>
  <c r="AP122" i="65"/>
  <c r="AN122" i="65"/>
  <c r="AN145" i="65"/>
  <c r="AM122" i="65"/>
  <c r="AK122" i="65"/>
  <c r="AK145" i="65" s="1"/>
  <c r="AJ122" i="65"/>
  <c r="AJ145" i="65" s="1"/>
  <c r="AL145" i="65" s="1"/>
  <c r="AH122" i="65"/>
  <c r="AH145" i="65"/>
  <c r="AG122" i="65"/>
  <c r="AG145" i="65" s="1"/>
  <c r="AE122" i="65"/>
  <c r="AD122" i="65"/>
  <c r="AD145" i="65" s="1"/>
  <c r="AB122" i="65"/>
  <c r="AB145" i="65" s="1"/>
  <c r="AA122" i="65"/>
  <c r="Y122" i="65"/>
  <c r="Y145" i="65" s="1"/>
  <c r="X122" i="65"/>
  <c r="X145" i="65" s="1"/>
  <c r="V122" i="65"/>
  <c r="V145" i="65"/>
  <c r="U122" i="65"/>
  <c r="U145" i="65" s="1"/>
  <c r="S122" i="65"/>
  <c r="S145" i="65"/>
  <c r="R122" i="65"/>
  <c r="R145" i="65" s="1"/>
  <c r="P122" i="65"/>
  <c r="O122" i="65"/>
  <c r="O145" i="65"/>
  <c r="M122" i="65"/>
  <c r="M145" i="65" s="1"/>
  <c r="L122" i="65"/>
  <c r="L145" i="65" s="1"/>
  <c r="J122" i="65"/>
  <c r="J124" i="65" s="1"/>
  <c r="I122" i="65"/>
  <c r="I145" i="65" s="1"/>
  <c r="H122" i="65"/>
  <c r="H145" i="65" s="1"/>
  <c r="G122" i="65"/>
  <c r="G145" i="65"/>
  <c r="F122" i="65"/>
  <c r="F124" i="65" s="1"/>
  <c r="E122" i="65"/>
  <c r="E145" i="65" s="1"/>
  <c r="D122" i="65"/>
  <c r="D145" i="65" s="1"/>
  <c r="C122" i="65"/>
  <c r="C145" i="65" s="1"/>
  <c r="AW121" i="65"/>
  <c r="AV121" i="65"/>
  <c r="AT121" i="65"/>
  <c r="AT124" i="65" s="1"/>
  <c r="AS121" i="65"/>
  <c r="AS124" i="65"/>
  <c r="AQ121" i="65"/>
  <c r="AP121" i="65"/>
  <c r="AR121" i="65" s="1"/>
  <c r="AN121" i="65"/>
  <c r="AM121" i="65"/>
  <c r="AK121" i="65"/>
  <c r="AJ121" i="65"/>
  <c r="AH121" i="65"/>
  <c r="AH124" i="65" s="1"/>
  <c r="AG121" i="65"/>
  <c r="AE121" i="65"/>
  <c r="AD121" i="65"/>
  <c r="AB121" i="65"/>
  <c r="AA121" i="65"/>
  <c r="Y121" i="65"/>
  <c r="X121" i="65"/>
  <c r="X124" i="65" s="1"/>
  <c r="V121" i="65"/>
  <c r="V124" i="65" s="1"/>
  <c r="U121" i="65"/>
  <c r="U124" i="65" s="1"/>
  <c r="W124" i="65" s="1"/>
  <c r="S121" i="65"/>
  <c r="R121" i="65"/>
  <c r="R124" i="65" s="1"/>
  <c r="P121" i="65"/>
  <c r="O121" i="65"/>
  <c r="O124" i="65" s="1"/>
  <c r="M121" i="65"/>
  <c r="L121" i="65"/>
  <c r="L124" i="65" s="1"/>
  <c r="J121" i="65"/>
  <c r="I121" i="65"/>
  <c r="H121" i="65"/>
  <c r="G121" i="65"/>
  <c r="G124" i="65" s="1"/>
  <c r="F121" i="65"/>
  <c r="E121" i="65"/>
  <c r="D121" i="65"/>
  <c r="C121" i="65"/>
  <c r="AW118" i="65"/>
  <c r="AV118" i="65"/>
  <c r="AV144" i="65"/>
  <c r="AT118" i="65"/>
  <c r="AS118" i="65"/>
  <c r="AS144" i="65" s="1"/>
  <c r="AQ118" i="65"/>
  <c r="AP118" i="65"/>
  <c r="AN118" i="65"/>
  <c r="AN144" i="65" s="1"/>
  <c r="AM118" i="65"/>
  <c r="AK118" i="65"/>
  <c r="AK144" i="65" s="1"/>
  <c r="AJ118" i="65"/>
  <c r="AJ144" i="65"/>
  <c r="AH118" i="65"/>
  <c r="AG118" i="65"/>
  <c r="AE118" i="65"/>
  <c r="AD118" i="65"/>
  <c r="AD144" i="65" s="1"/>
  <c r="AB118" i="65"/>
  <c r="AA118" i="65"/>
  <c r="AA144" i="65" s="1"/>
  <c r="Y118" i="65"/>
  <c r="Y144" i="65" s="1"/>
  <c r="X118" i="65"/>
  <c r="X144" i="65" s="1"/>
  <c r="Z144" i="65" s="1"/>
  <c r="V118" i="65"/>
  <c r="V144" i="65"/>
  <c r="U118" i="65"/>
  <c r="U144" i="65"/>
  <c r="S118" i="65"/>
  <c r="S144" i="65"/>
  <c r="R118" i="65"/>
  <c r="R144" i="65" s="1"/>
  <c r="P118" i="65"/>
  <c r="P144" i="65" s="1"/>
  <c r="O118" i="65"/>
  <c r="O144" i="65" s="1"/>
  <c r="M118" i="65"/>
  <c r="M144" i="65" s="1"/>
  <c r="L118" i="65"/>
  <c r="L144" i="65"/>
  <c r="J118" i="65"/>
  <c r="I118" i="65"/>
  <c r="I144" i="65" s="1"/>
  <c r="G118" i="65"/>
  <c r="G144" i="65" s="1"/>
  <c r="F118" i="65"/>
  <c r="F144" i="65" s="1"/>
  <c r="D118" i="65"/>
  <c r="D144" i="65" s="1"/>
  <c r="C118" i="65"/>
  <c r="C144" i="65" s="1"/>
  <c r="AW117" i="65"/>
  <c r="AV117" i="65"/>
  <c r="AV142" i="65"/>
  <c r="AT117" i="65"/>
  <c r="AS117" i="65"/>
  <c r="AQ117" i="65"/>
  <c r="AQ142" i="65" s="1"/>
  <c r="AP117" i="65"/>
  <c r="AN117" i="65"/>
  <c r="AN142" i="65" s="1"/>
  <c r="AM117" i="65"/>
  <c r="AK117" i="65"/>
  <c r="AK142" i="65" s="1"/>
  <c r="AJ117" i="65"/>
  <c r="AH117" i="65"/>
  <c r="AG117" i="65"/>
  <c r="AE117" i="65"/>
  <c r="AD117" i="65"/>
  <c r="AB117" i="65"/>
  <c r="AA117" i="65"/>
  <c r="AA142" i="65" s="1"/>
  <c r="Y117" i="65"/>
  <c r="X117" i="65"/>
  <c r="X142" i="65" s="1"/>
  <c r="V117" i="65"/>
  <c r="V142" i="65"/>
  <c r="U117" i="65"/>
  <c r="S117" i="65"/>
  <c r="S142" i="65" s="1"/>
  <c r="R117" i="65"/>
  <c r="P117" i="65"/>
  <c r="O117" i="65"/>
  <c r="M117" i="65"/>
  <c r="L117" i="65"/>
  <c r="J117" i="65"/>
  <c r="J142" i="65" s="1"/>
  <c r="I117" i="65"/>
  <c r="I142" i="65" s="1"/>
  <c r="G117" i="65"/>
  <c r="F117" i="65"/>
  <c r="F142" i="65" s="1"/>
  <c r="D117" i="65"/>
  <c r="C117" i="65"/>
  <c r="C142" i="65" s="1"/>
  <c r="AW116" i="65"/>
  <c r="AW141" i="65"/>
  <c r="AV116" i="65"/>
  <c r="AT116" i="65"/>
  <c r="AS116" i="65"/>
  <c r="AS119" i="65"/>
  <c r="AQ116" i="65"/>
  <c r="AP116" i="65"/>
  <c r="AN116" i="65"/>
  <c r="AN141" i="65"/>
  <c r="AM116" i="65"/>
  <c r="AM119" i="65"/>
  <c r="AK116" i="65"/>
  <c r="AJ116" i="65"/>
  <c r="AJ141" i="65" s="1"/>
  <c r="AH116" i="65"/>
  <c r="AH119" i="65" s="1"/>
  <c r="AG116" i="65"/>
  <c r="AG141" i="65" s="1"/>
  <c r="AE116" i="65"/>
  <c r="AD116" i="65"/>
  <c r="AB116" i="65"/>
  <c r="AA116" i="65"/>
  <c r="Y116" i="65"/>
  <c r="Y119" i="65" s="1"/>
  <c r="X116" i="65"/>
  <c r="X141" i="65"/>
  <c r="V116" i="65"/>
  <c r="U116" i="65"/>
  <c r="S116" i="65"/>
  <c r="R116" i="65"/>
  <c r="R141" i="65" s="1"/>
  <c r="P116" i="65"/>
  <c r="P141" i="65"/>
  <c r="O116" i="65"/>
  <c r="M116" i="65"/>
  <c r="M141" i="65" s="1"/>
  <c r="L116" i="65"/>
  <c r="L141" i="65" s="1"/>
  <c r="J116" i="65"/>
  <c r="J141" i="65"/>
  <c r="I116" i="65"/>
  <c r="I141" i="65" s="1"/>
  <c r="G116" i="65"/>
  <c r="G141" i="65" s="1"/>
  <c r="F116" i="65"/>
  <c r="F141" i="65"/>
  <c r="D116" i="65"/>
  <c r="C116" i="65"/>
  <c r="C141" i="65" s="1"/>
  <c r="AW107" i="65"/>
  <c r="AV107" i="65"/>
  <c r="AT107" i="65"/>
  <c r="AS107" i="65"/>
  <c r="AQ107" i="65"/>
  <c r="AP107" i="65"/>
  <c r="AN107" i="65"/>
  <c r="AM107" i="65"/>
  <c r="AK107" i="65"/>
  <c r="AJ107" i="65"/>
  <c r="AH107" i="65"/>
  <c r="AG107" i="65"/>
  <c r="AE107" i="65"/>
  <c r="AD107" i="65"/>
  <c r="AB107" i="65"/>
  <c r="AA107" i="65"/>
  <c r="Y107" i="65"/>
  <c r="X107" i="65"/>
  <c r="AW106" i="65"/>
  <c r="AV106" i="65"/>
  <c r="AT106" i="65"/>
  <c r="AS106" i="65"/>
  <c r="AQ106" i="65"/>
  <c r="AP106" i="65"/>
  <c r="AN106" i="65"/>
  <c r="AM106" i="65"/>
  <c r="AK106" i="65"/>
  <c r="AJ106" i="65"/>
  <c r="AH106" i="65"/>
  <c r="AG106" i="65"/>
  <c r="AE106" i="65"/>
  <c r="AD106" i="65"/>
  <c r="AB106" i="65"/>
  <c r="AA106" i="65"/>
  <c r="Y106" i="65"/>
  <c r="X106" i="65"/>
  <c r="V106" i="65"/>
  <c r="U106" i="65"/>
  <c r="AW105" i="65"/>
  <c r="AV105" i="65"/>
  <c r="AT105" i="65"/>
  <c r="AS105" i="65"/>
  <c r="AQ105" i="65"/>
  <c r="AP105" i="65"/>
  <c r="AN105" i="65"/>
  <c r="AM105" i="65"/>
  <c r="AK105" i="65"/>
  <c r="AJ105" i="65"/>
  <c r="AH105" i="65"/>
  <c r="AG105" i="65"/>
  <c r="AE105" i="65"/>
  <c r="AD105" i="65"/>
  <c r="AB105" i="65"/>
  <c r="AA105" i="65"/>
  <c r="Y105" i="65"/>
  <c r="X105" i="65"/>
  <c r="V105" i="65"/>
  <c r="U105" i="65"/>
  <c r="S105" i="65"/>
  <c r="R105" i="65"/>
  <c r="P105" i="65"/>
  <c r="O105" i="65"/>
  <c r="M105" i="65"/>
  <c r="L105" i="65"/>
  <c r="J105" i="65"/>
  <c r="I105" i="65"/>
  <c r="G105" i="65"/>
  <c r="F105" i="65"/>
  <c r="D105" i="65"/>
  <c r="C105" i="65"/>
  <c r="AW104" i="65"/>
  <c r="AV104" i="65"/>
  <c r="AT104" i="65"/>
  <c r="AS104" i="65"/>
  <c r="AQ104" i="65"/>
  <c r="AP104" i="65"/>
  <c r="AN104" i="65"/>
  <c r="AM104" i="65"/>
  <c r="AK104" i="65"/>
  <c r="AJ104" i="65"/>
  <c r="AH104" i="65"/>
  <c r="AG104" i="65"/>
  <c r="AE104" i="65"/>
  <c r="AD104" i="65"/>
  <c r="AB104" i="65"/>
  <c r="AA104" i="65"/>
  <c r="Y104" i="65"/>
  <c r="X104" i="65"/>
  <c r="V104" i="65"/>
  <c r="U104" i="65"/>
  <c r="S104" i="65"/>
  <c r="R104" i="65"/>
  <c r="P104" i="65"/>
  <c r="O104" i="65"/>
  <c r="M104" i="65"/>
  <c r="L104" i="65"/>
  <c r="J104" i="65"/>
  <c r="I104" i="65"/>
  <c r="G104" i="65"/>
  <c r="F104" i="65"/>
  <c r="D104" i="65"/>
  <c r="C104" i="65"/>
  <c r="AW103" i="65"/>
  <c r="AV103" i="65"/>
  <c r="AT103" i="65"/>
  <c r="AS103" i="65"/>
  <c r="AQ103" i="65"/>
  <c r="AP103" i="65"/>
  <c r="AN103" i="65"/>
  <c r="AM103" i="65"/>
  <c r="AK103" i="65"/>
  <c r="AJ103" i="65"/>
  <c r="AH103" i="65"/>
  <c r="AG103" i="65"/>
  <c r="AE103" i="65"/>
  <c r="AD103" i="65"/>
  <c r="AB103" i="65"/>
  <c r="AA103" i="65"/>
  <c r="Y103" i="65"/>
  <c r="X103" i="65"/>
  <c r="V103" i="65"/>
  <c r="U103" i="65"/>
  <c r="S103" i="65"/>
  <c r="R103" i="65"/>
  <c r="P103" i="65"/>
  <c r="O103" i="65"/>
  <c r="M103" i="65"/>
  <c r="L103" i="65"/>
  <c r="J103" i="65"/>
  <c r="I103" i="65"/>
  <c r="G103" i="65"/>
  <c r="F103" i="65"/>
  <c r="D103" i="65"/>
  <c r="C103" i="65"/>
  <c r="AW102" i="65"/>
  <c r="AW108" i="65" s="1"/>
  <c r="AV102" i="65"/>
  <c r="AT102" i="65"/>
  <c r="AS102" i="65"/>
  <c r="AQ102" i="65"/>
  <c r="AP102" i="65"/>
  <c r="AN102" i="65"/>
  <c r="AM102" i="65"/>
  <c r="AK102" i="65"/>
  <c r="AJ102" i="65"/>
  <c r="AH102" i="65"/>
  <c r="AG102" i="65"/>
  <c r="AE102" i="65"/>
  <c r="AD102" i="65"/>
  <c r="AB102" i="65"/>
  <c r="AA102" i="65"/>
  <c r="Y102" i="65"/>
  <c r="X102" i="65"/>
  <c r="V102" i="65"/>
  <c r="V108" i="65" s="1"/>
  <c r="U102" i="65"/>
  <c r="U108" i="65" s="1"/>
  <c r="S102" i="65"/>
  <c r="R102" i="65"/>
  <c r="P102" i="65"/>
  <c r="P108" i="65"/>
  <c r="O102" i="65"/>
  <c r="O108" i="65" s="1"/>
  <c r="M102" i="65"/>
  <c r="M108" i="65" s="1"/>
  <c r="L102" i="65"/>
  <c r="L108" i="65" s="1"/>
  <c r="J102" i="65"/>
  <c r="J108" i="65"/>
  <c r="I102" i="65"/>
  <c r="I108" i="65" s="1"/>
  <c r="G102" i="65"/>
  <c r="G108" i="65" s="1"/>
  <c r="F102" i="65"/>
  <c r="F108" i="65" s="1"/>
  <c r="D102" i="65"/>
  <c r="D108" i="65"/>
  <c r="C102" i="65"/>
  <c r="C108" i="65" s="1"/>
  <c r="AW100" i="65"/>
  <c r="AV100" i="65"/>
  <c r="AT100" i="65"/>
  <c r="AS100" i="65"/>
  <c r="AQ100" i="65"/>
  <c r="AP100" i="65"/>
  <c r="AN100" i="65"/>
  <c r="AO100" i="65" s="1"/>
  <c r="AM100" i="65"/>
  <c r="AK100" i="65"/>
  <c r="AJ100" i="65"/>
  <c r="AH100" i="65"/>
  <c r="AG100" i="65"/>
  <c r="AE100" i="65"/>
  <c r="AD100" i="65"/>
  <c r="AB100" i="65"/>
  <c r="AA100" i="65"/>
  <c r="Y100" i="65"/>
  <c r="X100" i="65"/>
  <c r="V100" i="65"/>
  <c r="U100" i="65"/>
  <c r="W100" i="65" s="1"/>
  <c r="S100" i="65"/>
  <c r="T100" i="65" s="1"/>
  <c r="R100" i="65"/>
  <c r="P100" i="65"/>
  <c r="Q100" i="65" s="1"/>
  <c r="O100" i="65"/>
  <c r="M100" i="65"/>
  <c r="L100" i="65"/>
  <c r="J100" i="65"/>
  <c r="I100" i="65"/>
  <c r="G100" i="65"/>
  <c r="F100" i="65"/>
  <c r="D100" i="65"/>
  <c r="C100" i="65"/>
  <c r="AX99" i="65"/>
  <c r="AU99" i="65"/>
  <c r="AR99" i="65"/>
  <c r="AR105" i="65" s="1"/>
  <c r="AO99" i="65"/>
  <c r="AL99" i="65"/>
  <c r="AI99" i="65"/>
  <c r="AF99" i="65"/>
  <c r="AC99" i="65"/>
  <c r="Z99" i="65"/>
  <c r="W99" i="65"/>
  <c r="T99" i="65"/>
  <c r="Q99" i="65"/>
  <c r="N99" i="65"/>
  <c r="K99" i="65"/>
  <c r="H99" i="65"/>
  <c r="E99" i="65"/>
  <c r="AX98" i="65"/>
  <c r="AU98" i="65"/>
  <c r="AR98" i="65"/>
  <c r="AR104" i="65" s="1"/>
  <c r="AO98" i="65"/>
  <c r="AL98" i="65"/>
  <c r="AI98" i="65"/>
  <c r="AF98" i="65"/>
  <c r="AC98" i="65"/>
  <c r="Z98" i="65"/>
  <c r="W98" i="65"/>
  <c r="T98" i="65"/>
  <c r="T104" i="65" s="1"/>
  <c r="Q98" i="65"/>
  <c r="N98" i="65"/>
  <c r="K98" i="65"/>
  <c r="H98" i="65"/>
  <c r="H104" i="65" s="1"/>
  <c r="E98" i="65"/>
  <c r="AX97" i="65"/>
  <c r="AU97" i="65"/>
  <c r="AR97" i="65"/>
  <c r="AO97" i="65"/>
  <c r="AL97" i="65"/>
  <c r="AI97" i="65"/>
  <c r="AF97" i="65"/>
  <c r="AC97" i="65"/>
  <c r="Z97" i="65"/>
  <c r="W97" i="65"/>
  <c r="T97" i="65"/>
  <c r="Q97" i="65"/>
  <c r="N97" i="65"/>
  <c r="K97" i="65"/>
  <c r="K100" i="65" s="1"/>
  <c r="H97" i="65"/>
  <c r="H100" i="65" s="1"/>
  <c r="E97" i="65"/>
  <c r="E100" i="65" s="1"/>
  <c r="AW95" i="65"/>
  <c r="AV95" i="65"/>
  <c r="AX95" i="65" s="1"/>
  <c r="AT95" i="65"/>
  <c r="AS95" i="65"/>
  <c r="AQ95" i="65"/>
  <c r="AP95" i="65"/>
  <c r="AN95" i="65"/>
  <c r="AO95" i="65" s="1"/>
  <c r="AM95" i="65"/>
  <c r="AK95" i="65"/>
  <c r="AL95" i="65" s="1"/>
  <c r="AJ95" i="65"/>
  <c r="AH95" i="65"/>
  <c r="AG95" i="65"/>
  <c r="AE95" i="65"/>
  <c r="AD95" i="65"/>
  <c r="AB95" i="65"/>
  <c r="AC95" i="65" s="1"/>
  <c r="AA95" i="65"/>
  <c r="Y95" i="65"/>
  <c r="X95" i="65"/>
  <c r="Z95" i="65" s="1"/>
  <c r="V95" i="65"/>
  <c r="U95" i="65"/>
  <c r="W95" i="65" s="1"/>
  <c r="S95" i="65"/>
  <c r="R95" i="65"/>
  <c r="T95" i="65" s="1"/>
  <c r="P95" i="65"/>
  <c r="O95" i="65"/>
  <c r="Q95" i="65" s="1"/>
  <c r="M95" i="65"/>
  <c r="L95" i="65"/>
  <c r="J95" i="65"/>
  <c r="I95" i="65"/>
  <c r="G95" i="65"/>
  <c r="F95" i="65"/>
  <c r="D95" i="65"/>
  <c r="C95" i="65"/>
  <c r="AX94" i="65"/>
  <c r="AX104" i="65" s="1"/>
  <c r="AU94" i="65"/>
  <c r="AU104" i="65" s="1"/>
  <c r="AR94" i="65"/>
  <c r="AO94" i="65"/>
  <c r="AO104" i="65" s="1"/>
  <c r="AL94" i="65"/>
  <c r="AL104" i="65" s="1"/>
  <c r="AI94" i="65"/>
  <c r="AI104" i="65" s="1"/>
  <c r="AF94" i="65"/>
  <c r="AF104" i="65"/>
  <c r="AC94" i="65"/>
  <c r="AC104" i="65" s="1"/>
  <c r="Z94" i="65"/>
  <c r="Z104" i="65" s="1"/>
  <c r="W94" i="65"/>
  <c r="W104" i="65" s="1"/>
  <c r="T94" i="65"/>
  <c r="Q94" i="65"/>
  <c r="Q104" i="65" s="1"/>
  <c r="N94" i="65"/>
  <c r="N104" i="65" s="1"/>
  <c r="K94" i="65"/>
  <c r="K104" i="65" s="1"/>
  <c r="H94" i="65"/>
  <c r="E94" i="65"/>
  <c r="E104" i="65" s="1"/>
  <c r="AX93" i="65"/>
  <c r="AU93" i="65"/>
  <c r="AR93" i="65"/>
  <c r="AO93" i="65"/>
  <c r="AL93" i="65"/>
  <c r="AI93" i="65"/>
  <c r="AF93" i="65"/>
  <c r="AC93" i="65"/>
  <c r="Z93" i="65"/>
  <c r="W93" i="65"/>
  <c r="T93" i="65"/>
  <c r="Q93" i="65"/>
  <c r="N93" i="65"/>
  <c r="K93" i="65"/>
  <c r="H93" i="65"/>
  <c r="E93" i="65"/>
  <c r="AX92" i="65"/>
  <c r="AU92" i="65"/>
  <c r="AR92" i="65"/>
  <c r="AO92" i="65"/>
  <c r="AL92" i="65"/>
  <c r="AI92" i="65"/>
  <c r="AF92" i="65"/>
  <c r="AC92" i="65"/>
  <c r="Z92" i="65"/>
  <c r="W92" i="65"/>
  <c r="T92" i="65"/>
  <c r="Q92" i="65"/>
  <c r="N92" i="65"/>
  <c r="K92" i="65"/>
  <c r="H92" i="65"/>
  <c r="E92" i="65"/>
  <c r="E95" i="65" s="1"/>
  <c r="AV90" i="65"/>
  <c r="AX90" i="65" s="1"/>
  <c r="AT90" i="65"/>
  <c r="AS90" i="65"/>
  <c r="AU90" i="65" s="1"/>
  <c r="AQ90" i="65"/>
  <c r="AP90" i="65"/>
  <c r="AR90" i="65" s="1"/>
  <c r="AN90" i="65"/>
  <c r="AM90" i="65"/>
  <c r="AO90" i="65"/>
  <c r="AK90" i="65"/>
  <c r="AJ90" i="65"/>
  <c r="AH90" i="65"/>
  <c r="AG90" i="65"/>
  <c r="AE90" i="65"/>
  <c r="AD90" i="65"/>
  <c r="AF90" i="65" s="1"/>
  <c r="AB90" i="65"/>
  <c r="AA90" i="65"/>
  <c r="Y90" i="65"/>
  <c r="X90" i="65"/>
  <c r="V90" i="65"/>
  <c r="U90" i="65"/>
  <c r="AX89" i="65"/>
  <c r="AX107" i="65" s="1"/>
  <c r="AU89" i="65"/>
  <c r="AU107" i="65"/>
  <c r="AR89" i="65"/>
  <c r="AR107" i="65" s="1"/>
  <c r="AO89" i="65"/>
  <c r="AO107" i="65" s="1"/>
  <c r="AL89" i="65"/>
  <c r="AL107" i="65" s="1"/>
  <c r="AI89" i="65"/>
  <c r="AI107" i="65"/>
  <c r="AF89" i="65"/>
  <c r="AF107" i="65" s="1"/>
  <c r="AC89" i="65"/>
  <c r="AC107" i="65" s="1"/>
  <c r="Z89" i="65"/>
  <c r="Z107" i="65" s="1"/>
  <c r="AX88" i="65"/>
  <c r="AX106" i="65" s="1"/>
  <c r="AU88" i="65"/>
  <c r="AU106" i="65" s="1"/>
  <c r="AR88" i="65"/>
  <c r="AR106" i="65"/>
  <c r="AO88" i="65"/>
  <c r="AO106" i="65" s="1"/>
  <c r="AL88" i="65"/>
  <c r="AL106" i="65" s="1"/>
  <c r="AI88" i="65"/>
  <c r="AI106" i="65" s="1"/>
  <c r="AF88" i="65"/>
  <c r="AF106" i="65"/>
  <c r="AC88" i="65"/>
  <c r="AC106" i="65"/>
  <c r="Z88" i="65"/>
  <c r="Z106" i="65"/>
  <c r="W88" i="65"/>
  <c r="W106" i="65" s="1"/>
  <c r="AX87" i="65"/>
  <c r="AU87" i="65"/>
  <c r="AR87" i="65"/>
  <c r="AO87" i="65"/>
  <c r="AL87" i="65"/>
  <c r="AI87" i="65"/>
  <c r="AF87" i="65"/>
  <c r="AC87" i="65"/>
  <c r="Z87" i="65"/>
  <c r="W87" i="65"/>
  <c r="AW85" i="65"/>
  <c r="AV85" i="65"/>
  <c r="AT85" i="65"/>
  <c r="AU85" i="65" s="1"/>
  <c r="AS85" i="65"/>
  <c r="AQ85" i="65"/>
  <c r="AP85" i="65"/>
  <c r="AN85" i="65"/>
  <c r="AO85" i="65" s="1"/>
  <c r="AM85" i="65"/>
  <c r="AK85" i="65"/>
  <c r="AL85" i="65" s="1"/>
  <c r="AJ85" i="65"/>
  <c r="AH85" i="65"/>
  <c r="AG85" i="65"/>
  <c r="AE85" i="65"/>
  <c r="AD85" i="65"/>
  <c r="AF85" i="65" s="1"/>
  <c r="AB85" i="65"/>
  <c r="AA85" i="65"/>
  <c r="Y85" i="65"/>
  <c r="X85" i="65"/>
  <c r="V85" i="65"/>
  <c r="U85" i="65"/>
  <c r="W85" i="65" s="1"/>
  <c r="S85" i="65"/>
  <c r="R85" i="65"/>
  <c r="P85" i="65"/>
  <c r="O85" i="65"/>
  <c r="Q85" i="65" s="1"/>
  <c r="M85" i="65"/>
  <c r="N85" i="65" s="1"/>
  <c r="L85" i="65"/>
  <c r="J85" i="65"/>
  <c r="I85" i="65"/>
  <c r="G85" i="65"/>
  <c r="F85" i="65"/>
  <c r="D85" i="65"/>
  <c r="C85" i="65"/>
  <c r="AX84" i="65"/>
  <c r="AU84" i="65"/>
  <c r="AU105" i="65" s="1"/>
  <c r="AR84" i="65"/>
  <c r="AO84" i="65"/>
  <c r="AO105" i="65" s="1"/>
  <c r="AL84" i="65"/>
  <c r="AL105" i="65" s="1"/>
  <c r="AI84" i="65"/>
  <c r="AF84" i="65"/>
  <c r="AF105" i="65"/>
  <c r="AC84" i="65"/>
  <c r="Z84" i="65"/>
  <c r="W84" i="65"/>
  <c r="T84" i="65"/>
  <c r="Q84" i="65"/>
  <c r="Q105" i="65"/>
  <c r="N84" i="65"/>
  <c r="N105" i="65"/>
  <c r="K84" i="65"/>
  <c r="K105" i="65"/>
  <c r="H84" i="65"/>
  <c r="E84" i="65"/>
  <c r="E105" i="65" s="1"/>
  <c r="AX83" i="65"/>
  <c r="AU83" i="65"/>
  <c r="AU103" i="65"/>
  <c r="AR83" i="65"/>
  <c r="AO83" i="65"/>
  <c r="AO103" i="65" s="1"/>
  <c r="AL83" i="65"/>
  <c r="AI83" i="65"/>
  <c r="AI103" i="65"/>
  <c r="AF83" i="65"/>
  <c r="AF103" i="65"/>
  <c r="AC83" i="65"/>
  <c r="AC103" i="65"/>
  <c r="Z83" i="65"/>
  <c r="W83" i="65"/>
  <c r="W103" i="65" s="1"/>
  <c r="T83" i="65"/>
  <c r="Q83" i="65"/>
  <c r="Q103" i="65" s="1"/>
  <c r="N83" i="65"/>
  <c r="K83" i="65"/>
  <c r="K103" i="65"/>
  <c r="H83" i="65"/>
  <c r="E83" i="65"/>
  <c r="AX82" i="65"/>
  <c r="AU82" i="65"/>
  <c r="AU102" i="65" s="1"/>
  <c r="AU108" i="65" s="1"/>
  <c r="AR82" i="65"/>
  <c r="AR102" i="65"/>
  <c r="AO82" i="65"/>
  <c r="AO102" i="65" s="1"/>
  <c r="AL82" i="65"/>
  <c r="AL102" i="65" s="1"/>
  <c r="AI82" i="65"/>
  <c r="AI102" i="65"/>
  <c r="AF82" i="65"/>
  <c r="AF102" i="65"/>
  <c r="AC82" i="65"/>
  <c r="AC102" i="65"/>
  <c r="Z82" i="65"/>
  <c r="W82" i="65"/>
  <c r="W102" i="65" s="1"/>
  <c r="T82" i="65"/>
  <c r="T102" i="65" s="1"/>
  <c r="Q82" i="65"/>
  <c r="Q102" i="65" s="1"/>
  <c r="N82" i="65"/>
  <c r="K82" i="65"/>
  <c r="K102" i="65"/>
  <c r="H82" i="65"/>
  <c r="E82" i="65"/>
  <c r="E102" i="65" s="1"/>
  <c r="AW74" i="65"/>
  <c r="AV74" i="65"/>
  <c r="AX74" i="65" s="1"/>
  <c r="AT74" i="65"/>
  <c r="AS74" i="65"/>
  <c r="AQ74" i="65"/>
  <c r="AP74" i="65"/>
  <c r="AR74" i="65" s="1"/>
  <c r="AN74" i="65"/>
  <c r="AM74" i="65"/>
  <c r="AO74" i="65" s="1"/>
  <c r="AK74" i="65"/>
  <c r="AL74" i="65" s="1"/>
  <c r="AJ74" i="65"/>
  <c r="AH74" i="65"/>
  <c r="AG74" i="65"/>
  <c r="AI74" i="65" s="1"/>
  <c r="AE74" i="65"/>
  <c r="AD74" i="65"/>
  <c r="AF74" i="65" s="1"/>
  <c r="AB74" i="65"/>
  <c r="AC74" i="65" s="1"/>
  <c r="AA74" i="65"/>
  <c r="Y74" i="65"/>
  <c r="X74" i="65"/>
  <c r="V74" i="65"/>
  <c r="U74" i="65"/>
  <c r="S74" i="65"/>
  <c r="T74" i="65" s="1"/>
  <c r="R74" i="65"/>
  <c r="P74" i="65"/>
  <c r="O74" i="65"/>
  <c r="M74" i="65"/>
  <c r="L74" i="65"/>
  <c r="N74" i="65"/>
  <c r="J74" i="65"/>
  <c r="I74" i="65"/>
  <c r="H74" i="65"/>
  <c r="G74" i="65"/>
  <c r="F74" i="65"/>
  <c r="E74" i="65"/>
  <c r="D74" i="65"/>
  <c r="C74" i="65"/>
  <c r="AW73" i="65"/>
  <c r="AV73" i="65"/>
  <c r="AT73" i="65"/>
  <c r="AS73" i="65"/>
  <c r="AU73" i="65" s="1"/>
  <c r="AQ73" i="65"/>
  <c r="AP73" i="65"/>
  <c r="AR73" i="65" s="1"/>
  <c r="AN73" i="65"/>
  <c r="AM73" i="65"/>
  <c r="AO73" i="65" s="1"/>
  <c r="AK73" i="65"/>
  <c r="AJ73" i="65"/>
  <c r="AH73" i="65"/>
  <c r="AG73" i="65"/>
  <c r="AI73" i="65" s="1"/>
  <c r="AE73" i="65"/>
  <c r="AD73" i="65"/>
  <c r="AF73" i="65" s="1"/>
  <c r="AB73" i="65"/>
  <c r="AA73" i="65"/>
  <c r="Y73" i="65"/>
  <c r="X73" i="65"/>
  <c r="V73" i="65"/>
  <c r="U73" i="65"/>
  <c r="W73" i="65" s="1"/>
  <c r="S73" i="65"/>
  <c r="R73" i="65"/>
  <c r="T73" i="65" s="1"/>
  <c r="P73" i="65"/>
  <c r="O73" i="65"/>
  <c r="M73" i="65"/>
  <c r="L73" i="65"/>
  <c r="J73" i="65"/>
  <c r="I73" i="65"/>
  <c r="H73" i="65"/>
  <c r="G73" i="65"/>
  <c r="F73" i="65"/>
  <c r="E73" i="65"/>
  <c r="D73" i="65"/>
  <c r="C73" i="65"/>
  <c r="AW72" i="65"/>
  <c r="AV72" i="65"/>
  <c r="AX72" i="65" s="1"/>
  <c r="AT72" i="65"/>
  <c r="AS72" i="65"/>
  <c r="AU72" i="65" s="1"/>
  <c r="AQ72" i="65"/>
  <c r="AP72" i="65"/>
  <c r="AR72" i="65" s="1"/>
  <c r="AN72" i="65"/>
  <c r="AM72" i="65"/>
  <c r="AO72" i="65" s="1"/>
  <c r="AK72" i="65"/>
  <c r="AJ72" i="65"/>
  <c r="AL72" i="65" s="1"/>
  <c r="AH72" i="65"/>
  <c r="AG72" i="65"/>
  <c r="AI72" i="65" s="1"/>
  <c r="AE72" i="65"/>
  <c r="AD72" i="65"/>
  <c r="AB72" i="65"/>
  <c r="AA72" i="65"/>
  <c r="Y72" i="65"/>
  <c r="X72" i="65"/>
  <c r="V72" i="65"/>
  <c r="V75" i="65" s="1"/>
  <c r="U72" i="65"/>
  <c r="W72" i="65" s="1"/>
  <c r="S72" i="65"/>
  <c r="R72" i="65"/>
  <c r="T72" i="65" s="1"/>
  <c r="P72" i="65"/>
  <c r="O72" i="65"/>
  <c r="M72" i="65"/>
  <c r="L72" i="65"/>
  <c r="J72" i="65"/>
  <c r="I72" i="65"/>
  <c r="G72" i="65"/>
  <c r="F72" i="65"/>
  <c r="D72" i="65"/>
  <c r="C72" i="65"/>
  <c r="AW71" i="65"/>
  <c r="AV71" i="65"/>
  <c r="AT71" i="65"/>
  <c r="AS71" i="65"/>
  <c r="AQ71" i="65"/>
  <c r="AR71" i="65" s="1"/>
  <c r="AP71" i="65"/>
  <c r="AN71" i="65"/>
  <c r="AM71" i="65"/>
  <c r="AO71" i="65"/>
  <c r="AK71" i="65"/>
  <c r="AJ71" i="65"/>
  <c r="AH71" i="65"/>
  <c r="AG71" i="65"/>
  <c r="AI71" i="65" s="1"/>
  <c r="AE71" i="65"/>
  <c r="AD71" i="65"/>
  <c r="AB71" i="65"/>
  <c r="AA71" i="65"/>
  <c r="Y71" i="65"/>
  <c r="X71" i="65"/>
  <c r="Z71" i="65" s="1"/>
  <c r="V71" i="65"/>
  <c r="U71" i="65"/>
  <c r="W71" i="65" s="1"/>
  <c r="S71" i="65"/>
  <c r="R71" i="65"/>
  <c r="P71" i="65"/>
  <c r="O71" i="65"/>
  <c r="Q71" i="65" s="1"/>
  <c r="M71" i="65"/>
  <c r="L71" i="65"/>
  <c r="J71" i="65"/>
  <c r="I71" i="65"/>
  <c r="G71" i="65"/>
  <c r="F71" i="65"/>
  <c r="D71" i="65"/>
  <c r="C71" i="65"/>
  <c r="AW70" i="65"/>
  <c r="AV70" i="65"/>
  <c r="AT70" i="65"/>
  <c r="AS70" i="65"/>
  <c r="AU70" i="65" s="1"/>
  <c r="AQ70" i="65"/>
  <c r="AP70" i="65"/>
  <c r="AR70" i="65" s="1"/>
  <c r="AN70" i="65"/>
  <c r="AM70" i="65"/>
  <c r="AK70" i="65"/>
  <c r="AJ70" i="65"/>
  <c r="AH70" i="65"/>
  <c r="AG70" i="65"/>
  <c r="AE70" i="65"/>
  <c r="AD70" i="65"/>
  <c r="AB70" i="65"/>
  <c r="AA70" i="65"/>
  <c r="Y70" i="65"/>
  <c r="Z70" i="65" s="1"/>
  <c r="X70" i="65"/>
  <c r="V70" i="65"/>
  <c r="U70" i="65"/>
  <c r="S70" i="65"/>
  <c r="R70" i="65"/>
  <c r="T70" i="65" s="1"/>
  <c r="P70" i="65"/>
  <c r="O70" i="65"/>
  <c r="Q70" i="65" s="1"/>
  <c r="M70" i="65"/>
  <c r="L70" i="65"/>
  <c r="J70" i="65"/>
  <c r="I70" i="65"/>
  <c r="G70" i="65"/>
  <c r="F70" i="65"/>
  <c r="D70" i="65"/>
  <c r="C70" i="65"/>
  <c r="AW69" i="65"/>
  <c r="AV69" i="65"/>
  <c r="AT69" i="65"/>
  <c r="AS69" i="65"/>
  <c r="AQ69" i="65"/>
  <c r="AP69" i="65"/>
  <c r="AN69" i="65"/>
  <c r="AM69" i="65"/>
  <c r="AK69" i="65"/>
  <c r="AJ69" i="65"/>
  <c r="AH69" i="65"/>
  <c r="AG69" i="65"/>
  <c r="AE69" i="65"/>
  <c r="AF69" i="65" s="1"/>
  <c r="AD69" i="65"/>
  <c r="AB69" i="65"/>
  <c r="AA69" i="65"/>
  <c r="Y69" i="65"/>
  <c r="Y75" i="65" s="1"/>
  <c r="X69" i="65"/>
  <c r="Z69" i="65" s="1"/>
  <c r="V69" i="65"/>
  <c r="U69" i="65"/>
  <c r="S69" i="65"/>
  <c r="S75" i="65" s="1"/>
  <c r="R69" i="65"/>
  <c r="P69" i="65"/>
  <c r="P75" i="65"/>
  <c r="O69" i="65"/>
  <c r="Q69" i="65"/>
  <c r="M69" i="65"/>
  <c r="L69" i="65"/>
  <c r="J69" i="65"/>
  <c r="I69" i="65"/>
  <c r="I75" i="65" s="1"/>
  <c r="G69" i="65"/>
  <c r="F69" i="65"/>
  <c r="F75" i="65" s="1"/>
  <c r="D69" i="65"/>
  <c r="C69" i="65"/>
  <c r="AW67" i="65"/>
  <c r="AV67" i="65"/>
  <c r="AT67" i="65"/>
  <c r="AS67" i="65"/>
  <c r="AQ67" i="65"/>
  <c r="AP67" i="65"/>
  <c r="AN67" i="65"/>
  <c r="AM67" i="65"/>
  <c r="AK67" i="65"/>
  <c r="AJ67" i="65"/>
  <c r="AH67" i="65"/>
  <c r="AI67" i="65" s="1"/>
  <c r="AG67" i="65"/>
  <c r="AE67" i="65"/>
  <c r="AD67" i="65"/>
  <c r="AF67" i="65" s="1"/>
  <c r="AB67" i="65"/>
  <c r="AA67" i="65"/>
  <c r="AC67" i="65" s="1"/>
  <c r="Y67" i="65"/>
  <c r="X67" i="65"/>
  <c r="V67" i="65"/>
  <c r="U67" i="65"/>
  <c r="S67" i="65"/>
  <c r="R67" i="65"/>
  <c r="P67" i="65"/>
  <c r="P139" i="65" s="1"/>
  <c r="O67" i="65"/>
  <c r="O139" i="65" s="1"/>
  <c r="M67" i="65"/>
  <c r="L67" i="65"/>
  <c r="J67" i="65"/>
  <c r="I67" i="65"/>
  <c r="I139" i="65" s="1"/>
  <c r="G67" i="65"/>
  <c r="G139" i="65" s="1"/>
  <c r="F67" i="65"/>
  <c r="F139" i="65"/>
  <c r="D67" i="65"/>
  <c r="D139" i="65" s="1"/>
  <c r="C67" i="65"/>
  <c r="C139" i="65" s="1"/>
  <c r="AX66" i="65"/>
  <c r="AU66" i="65"/>
  <c r="AR66" i="65"/>
  <c r="AO66" i="65"/>
  <c r="AL66" i="65"/>
  <c r="AI66" i="65"/>
  <c r="AF66" i="65"/>
  <c r="AC66" i="65"/>
  <c r="Z66" i="65"/>
  <c r="W66" i="65"/>
  <c r="T66" i="65"/>
  <c r="Q66" i="65"/>
  <c r="Q138" i="65" s="1"/>
  <c r="N66" i="65"/>
  <c r="N138" i="65"/>
  <c r="K66" i="65"/>
  <c r="H66" i="65"/>
  <c r="H138" i="65" s="1"/>
  <c r="E66" i="65"/>
  <c r="E138" i="65"/>
  <c r="AX65" i="65"/>
  <c r="AU65" i="65"/>
  <c r="AR65" i="65"/>
  <c r="AO65" i="65"/>
  <c r="AL65" i="65"/>
  <c r="AI65" i="65"/>
  <c r="AF65" i="65"/>
  <c r="AC65" i="65"/>
  <c r="Z65" i="65"/>
  <c r="W65" i="65"/>
  <c r="T65" i="65"/>
  <c r="Q65" i="65"/>
  <c r="Q137" i="65" s="1"/>
  <c r="N65" i="65"/>
  <c r="N137" i="65" s="1"/>
  <c r="K65" i="65"/>
  <c r="K137" i="65" s="1"/>
  <c r="H65" i="65"/>
  <c r="H137" i="65" s="1"/>
  <c r="E65" i="65"/>
  <c r="E137" i="65" s="1"/>
  <c r="AX64" i="65"/>
  <c r="AU64" i="65"/>
  <c r="AR64" i="65"/>
  <c r="AO64" i="65"/>
  <c r="AL64" i="65"/>
  <c r="AI64" i="65"/>
  <c r="AF64" i="65"/>
  <c r="AC64" i="65"/>
  <c r="Z64" i="65"/>
  <c r="W64" i="65"/>
  <c r="T64" i="65"/>
  <c r="Q64" i="65"/>
  <c r="Q136" i="65"/>
  <c r="N64" i="65"/>
  <c r="N136" i="65"/>
  <c r="K64" i="65"/>
  <c r="H64" i="65"/>
  <c r="E64" i="65"/>
  <c r="AT62" i="65"/>
  <c r="AS62" i="65"/>
  <c r="AQ62" i="65"/>
  <c r="AP62" i="65"/>
  <c r="AN62" i="65"/>
  <c r="AM62" i="65"/>
  <c r="AX61" i="65"/>
  <c r="AU61" i="65"/>
  <c r="AR61" i="65"/>
  <c r="AO61" i="65"/>
  <c r="AX60" i="65"/>
  <c r="AU60" i="65"/>
  <c r="AR60" i="65"/>
  <c r="AO60" i="65"/>
  <c r="AX59" i="65"/>
  <c r="AU59" i="65"/>
  <c r="AR59" i="65"/>
  <c r="AO59" i="65"/>
  <c r="AO62" i="65" s="1"/>
  <c r="AW57" i="65"/>
  <c r="AV57" i="65"/>
  <c r="AX57" i="65" s="1"/>
  <c r="AT57" i="65"/>
  <c r="AS57" i="65"/>
  <c r="AU57" i="65" s="1"/>
  <c r="AQ57" i="65"/>
  <c r="AP57" i="65"/>
  <c r="AN57" i="65"/>
  <c r="AM57" i="65"/>
  <c r="AK57" i="65"/>
  <c r="AJ57" i="65"/>
  <c r="AH57" i="65"/>
  <c r="AG57" i="65"/>
  <c r="AE57" i="65"/>
  <c r="AD57" i="65"/>
  <c r="AB57" i="65"/>
  <c r="AA57" i="65"/>
  <c r="Y57" i="65"/>
  <c r="X57" i="65"/>
  <c r="V57" i="65"/>
  <c r="U57" i="65"/>
  <c r="S57" i="65"/>
  <c r="T57" i="65" s="1"/>
  <c r="R57" i="65"/>
  <c r="P57" i="65"/>
  <c r="O57" i="65"/>
  <c r="M57" i="65"/>
  <c r="L57" i="65"/>
  <c r="J57" i="65"/>
  <c r="I57" i="65"/>
  <c r="G57" i="65"/>
  <c r="F57" i="65"/>
  <c r="D57" i="65"/>
  <c r="C57" i="65"/>
  <c r="AX56" i="65"/>
  <c r="AU56" i="65"/>
  <c r="AR56" i="65"/>
  <c r="AO56" i="65"/>
  <c r="AL56" i="65"/>
  <c r="AI56" i="65"/>
  <c r="AF56" i="65"/>
  <c r="AC56" i="65"/>
  <c r="Z56" i="65"/>
  <c r="W56" i="65"/>
  <c r="T56" i="65"/>
  <c r="Q56" i="65"/>
  <c r="Q128" i="65" s="1"/>
  <c r="N56" i="65"/>
  <c r="N128" i="65" s="1"/>
  <c r="N143" i="65" s="1"/>
  <c r="K56" i="65"/>
  <c r="H56" i="65"/>
  <c r="H128" i="65" s="1"/>
  <c r="E56" i="65"/>
  <c r="AX55" i="65"/>
  <c r="AU55" i="65"/>
  <c r="AR55" i="65"/>
  <c r="AO55" i="65"/>
  <c r="AL55" i="65"/>
  <c r="AI55" i="65"/>
  <c r="AF55" i="65"/>
  <c r="AC55" i="65"/>
  <c r="Z55" i="65"/>
  <c r="W55" i="65"/>
  <c r="T55" i="65"/>
  <c r="Q55" i="65"/>
  <c r="Q127" i="65" s="1"/>
  <c r="N55" i="65"/>
  <c r="K55" i="65"/>
  <c r="K127" i="65"/>
  <c r="H55" i="65"/>
  <c r="H127" i="65"/>
  <c r="E55" i="65"/>
  <c r="E127" i="65" s="1"/>
  <c r="AX54" i="65"/>
  <c r="AU54" i="65"/>
  <c r="AR54" i="65"/>
  <c r="AO54" i="65"/>
  <c r="AL54" i="65"/>
  <c r="AI54" i="65"/>
  <c r="AF54" i="65"/>
  <c r="AC54" i="65"/>
  <c r="Z54" i="65"/>
  <c r="W54" i="65"/>
  <c r="T54" i="65"/>
  <c r="Q54" i="65"/>
  <c r="Q126" i="65" s="1"/>
  <c r="N54" i="65"/>
  <c r="N126" i="65" s="1"/>
  <c r="K54" i="65"/>
  <c r="K126" i="65" s="1"/>
  <c r="H54" i="65"/>
  <c r="H126" i="65" s="1"/>
  <c r="E54" i="65"/>
  <c r="E126" i="65" s="1"/>
  <c r="AW52" i="65"/>
  <c r="AX52" i="65" s="1"/>
  <c r="AT52" i="65"/>
  <c r="AS52" i="65"/>
  <c r="AU52" i="65" s="1"/>
  <c r="AQ52" i="65"/>
  <c r="AP52" i="65"/>
  <c r="AR52" i="65" s="1"/>
  <c r="AN52" i="65"/>
  <c r="AM52" i="65"/>
  <c r="AK52" i="65"/>
  <c r="AJ52" i="65"/>
  <c r="AH52" i="65"/>
  <c r="AG52" i="65"/>
  <c r="AE52" i="65"/>
  <c r="AD52" i="65"/>
  <c r="AF52" i="65" s="1"/>
  <c r="AB52" i="65"/>
  <c r="AA52" i="65"/>
  <c r="AC52" i="65" s="1"/>
  <c r="Y52" i="65"/>
  <c r="X52" i="65"/>
  <c r="V52" i="65"/>
  <c r="U52" i="65"/>
  <c r="S52" i="65"/>
  <c r="R52" i="65"/>
  <c r="T52" i="65" s="1"/>
  <c r="P52" i="65"/>
  <c r="O52" i="65"/>
  <c r="M52" i="65"/>
  <c r="L52" i="65"/>
  <c r="J52" i="65"/>
  <c r="I52" i="65"/>
  <c r="AX51" i="65"/>
  <c r="AU51" i="65"/>
  <c r="AR51" i="65"/>
  <c r="AO51" i="65"/>
  <c r="AL51" i="65"/>
  <c r="AI51" i="65"/>
  <c r="AF51" i="65"/>
  <c r="AC51" i="65"/>
  <c r="Z51" i="65"/>
  <c r="W51" i="65"/>
  <c r="T51" i="65"/>
  <c r="Q51" i="65"/>
  <c r="Q123" i="65"/>
  <c r="Q146" i="65" s="1"/>
  <c r="N51" i="65"/>
  <c r="N123" i="65"/>
  <c r="N146" i="65" s="1"/>
  <c r="K51" i="65"/>
  <c r="K123" i="65" s="1"/>
  <c r="K146" i="65" s="1"/>
  <c r="AX50" i="65"/>
  <c r="AU50" i="65"/>
  <c r="AR50" i="65"/>
  <c r="AO50" i="65"/>
  <c r="AL50" i="65"/>
  <c r="AI50" i="65"/>
  <c r="AF50" i="65"/>
  <c r="AC50" i="65"/>
  <c r="Z50" i="65"/>
  <c r="W50" i="65"/>
  <c r="T50" i="65"/>
  <c r="Q50" i="65"/>
  <c r="Q122" i="65"/>
  <c r="Q145" i="65" s="1"/>
  <c r="N50" i="65"/>
  <c r="N122" i="65" s="1"/>
  <c r="K50" i="65"/>
  <c r="K122" i="65" s="1"/>
  <c r="K145" i="65" s="1"/>
  <c r="AX49" i="65"/>
  <c r="AU49" i="65"/>
  <c r="AR49" i="65"/>
  <c r="AO49" i="65"/>
  <c r="AL49" i="65"/>
  <c r="AI49" i="65"/>
  <c r="AF49" i="65"/>
  <c r="AC49" i="65"/>
  <c r="Z49" i="65"/>
  <c r="W49" i="65"/>
  <c r="T49" i="65"/>
  <c r="Q49" i="65"/>
  <c r="Q121" i="65"/>
  <c r="N49" i="65"/>
  <c r="N121" i="65"/>
  <c r="K49" i="65"/>
  <c r="K121" i="65" s="1"/>
  <c r="AW47" i="65"/>
  <c r="AV47" i="65"/>
  <c r="AT47" i="65"/>
  <c r="AS47" i="65"/>
  <c r="AQ47" i="65"/>
  <c r="AP47" i="65"/>
  <c r="AN47" i="65"/>
  <c r="AM47" i="65"/>
  <c r="AK47" i="65"/>
  <c r="AJ47" i="65"/>
  <c r="AH47" i="65"/>
  <c r="AG47" i="65"/>
  <c r="AE47" i="65"/>
  <c r="AD47" i="65"/>
  <c r="AC47" i="65"/>
  <c r="AB47" i="65"/>
  <c r="AA47" i="65"/>
  <c r="Y47" i="65"/>
  <c r="X47" i="65"/>
  <c r="V47" i="65"/>
  <c r="U47" i="65"/>
  <c r="W47" i="65" s="1"/>
  <c r="S47" i="65"/>
  <c r="R47" i="65"/>
  <c r="P47" i="65"/>
  <c r="O47" i="65"/>
  <c r="M47" i="65"/>
  <c r="L47" i="65"/>
  <c r="N47" i="65" s="1"/>
  <c r="J47" i="65"/>
  <c r="I47" i="65"/>
  <c r="G47" i="65"/>
  <c r="F47" i="65"/>
  <c r="D47" i="65"/>
  <c r="C47" i="65"/>
  <c r="AX46" i="65"/>
  <c r="AU46" i="65"/>
  <c r="AR46" i="65"/>
  <c r="AO46" i="65"/>
  <c r="AL46" i="65"/>
  <c r="AI46" i="65"/>
  <c r="AF46" i="65"/>
  <c r="AC46" i="65"/>
  <c r="Z46" i="65"/>
  <c r="W46" i="65"/>
  <c r="T46" i="65"/>
  <c r="Q46" i="65"/>
  <c r="N46" i="65"/>
  <c r="N118" i="65" s="1"/>
  <c r="K46" i="65"/>
  <c r="H46" i="65"/>
  <c r="E46" i="65"/>
  <c r="E72" i="65" s="1"/>
  <c r="AX45" i="65"/>
  <c r="AU45" i="65"/>
  <c r="AR45" i="65"/>
  <c r="AO45" i="65"/>
  <c r="AL45" i="65"/>
  <c r="AI45" i="65"/>
  <c r="AF45" i="65"/>
  <c r="AC45" i="65"/>
  <c r="Z45" i="65"/>
  <c r="W45" i="65"/>
  <c r="T45" i="65"/>
  <c r="Q45" i="65"/>
  <c r="N45" i="65"/>
  <c r="N117" i="65" s="1"/>
  <c r="K45" i="65"/>
  <c r="H45" i="65"/>
  <c r="E45" i="65"/>
  <c r="E70" i="65" s="1"/>
  <c r="AX44" i="65"/>
  <c r="AU44" i="65"/>
  <c r="AR44" i="65"/>
  <c r="AO44" i="65"/>
  <c r="AL44" i="65"/>
  <c r="AI44" i="65"/>
  <c r="AF44" i="65"/>
  <c r="AC44" i="65"/>
  <c r="Z44" i="65"/>
  <c r="W44" i="65"/>
  <c r="T44" i="65"/>
  <c r="Q44" i="65"/>
  <c r="N44" i="65"/>
  <c r="N116" i="65" s="1"/>
  <c r="K44" i="65"/>
  <c r="H44" i="65"/>
  <c r="H47" i="65" s="1"/>
  <c r="E44" i="65"/>
  <c r="AW36" i="65"/>
  <c r="AV36" i="65"/>
  <c r="AT36" i="65"/>
  <c r="AS36" i="65"/>
  <c r="AQ36" i="65"/>
  <c r="AR36" i="65" s="1"/>
  <c r="AP36" i="65"/>
  <c r="AN36" i="65"/>
  <c r="AM36" i="65"/>
  <c r="AK36" i="65"/>
  <c r="AJ36" i="65"/>
  <c r="AH36" i="65"/>
  <c r="AI36" i="65" s="1"/>
  <c r="AG36" i="65"/>
  <c r="AE36" i="65"/>
  <c r="AD36" i="65"/>
  <c r="AB36" i="65"/>
  <c r="AA36" i="65"/>
  <c r="AC36" i="65" s="1"/>
  <c r="Y36" i="65"/>
  <c r="X36" i="65"/>
  <c r="V36" i="65"/>
  <c r="U36" i="65"/>
  <c r="S36" i="65"/>
  <c r="R36" i="65"/>
  <c r="T36" i="65" s="1"/>
  <c r="AW35" i="65"/>
  <c r="AV35" i="65"/>
  <c r="AX35" i="65" s="1"/>
  <c r="AT35" i="65"/>
  <c r="AS35" i="65"/>
  <c r="AU35" i="65" s="1"/>
  <c r="AQ35" i="65"/>
  <c r="AP35" i="65"/>
  <c r="AN35" i="65"/>
  <c r="AM35" i="65"/>
  <c r="AO35" i="65" s="1"/>
  <c r="AK35" i="65"/>
  <c r="AJ35" i="65"/>
  <c r="AH35" i="65"/>
  <c r="AG35" i="65"/>
  <c r="AE35" i="65"/>
  <c r="AD35" i="65"/>
  <c r="AB35" i="65"/>
  <c r="AA35" i="65"/>
  <c r="Y35" i="65"/>
  <c r="X35" i="65"/>
  <c r="Z35" i="65" s="1"/>
  <c r="V35" i="65"/>
  <c r="U35" i="65"/>
  <c r="W35" i="65" s="1"/>
  <c r="S35" i="65"/>
  <c r="R35" i="65"/>
  <c r="AW34" i="65"/>
  <c r="AV34" i="65"/>
  <c r="AX34" i="65" s="1"/>
  <c r="AT34" i="65"/>
  <c r="AS34" i="65"/>
  <c r="AQ34" i="65"/>
  <c r="AP34" i="65"/>
  <c r="AN34" i="65"/>
  <c r="AM34" i="65"/>
  <c r="AK34" i="65"/>
  <c r="AJ34" i="65"/>
  <c r="AH34" i="65"/>
  <c r="AG34" i="65"/>
  <c r="AE34" i="65"/>
  <c r="AD34" i="65"/>
  <c r="AB34" i="65"/>
  <c r="AA34" i="65"/>
  <c r="AC34" i="65" s="1"/>
  <c r="Y34" i="65"/>
  <c r="X34" i="65"/>
  <c r="V34" i="65"/>
  <c r="U34" i="65"/>
  <c r="W34" i="65" s="1"/>
  <c r="S34" i="65"/>
  <c r="R34" i="65"/>
  <c r="AW33" i="65"/>
  <c r="AV33" i="65"/>
  <c r="AT33" i="65"/>
  <c r="AS33" i="65"/>
  <c r="AQ33" i="65"/>
  <c r="AP33" i="65"/>
  <c r="AR33" i="65" s="1"/>
  <c r="AN33" i="65"/>
  <c r="AM33" i="65"/>
  <c r="AK33" i="65"/>
  <c r="AJ33" i="65"/>
  <c r="AH33" i="65"/>
  <c r="AG33" i="65"/>
  <c r="AE33" i="65"/>
  <c r="AD33" i="65"/>
  <c r="AB33" i="65"/>
  <c r="AC33" i="65"/>
  <c r="AA33" i="65"/>
  <c r="Y33" i="65"/>
  <c r="X33" i="65"/>
  <c r="V33" i="65"/>
  <c r="U33" i="65"/>
  <c r="S33" i="65"/>
  <c r="T33" i="65" s="1"/>
  <c r="R33" i="65"/>
  <c r="AW32" i="65"/>
  <c r="AV32" i="65"/>
  <c r="AX32" i="65" s="1"/>
  <c r="AT32" i="65"/>
  <c r="AS32" i="65"/>
  <c r="AU32" i="65" s="1"/>
  <c r="AQ32" i="65"/>
  <c r="AP32" i="65"/>
  <c r="AN32" i="65"/>
  <c r="AM32" i="65"/>
  <c r="AO32" i="65" s="1"/>
  <c r="AK32" i="65"/>
  <c r="AJ32" i="65"/>
  <c r="AH32" i="65"/>
  <c r="AG32" i="65"/>
  <c r="AE32" i="65"/>
  <c r="AD32" i="65"/>
  <c r="AF32" i="65" s="1"/>
  <c r="AB32" i="65"/>
  <c r="AA32" i="65"/>
  <c r="AC32" i="65" s="1"/>
  <c r="Y32" i="65"/>
  <c r="X32" i="65"/>
  <c r="Z32" i="65" s="1"/>
  <c r="V32" i="65"/>
  <c r="U32" i="65"/>
  <c r="S32" i="65"/>
  <c r="R32" i="65"/>
  <c r="AW31" i="65"/>
  <c r="AV31" i="65"/>
  <c r="AT31" i="65"/>
  <c r="AS31" i="65"/>
  <c r="AQ31" i="65"/>
  <c r="AP31" i="65"/>
  <c r="AN31" i="65"/>
  <c r="AM31" i="65"/>
  <c r="AO31" i="65" s="1"/>
  <c r="AK31" i="65"/>
  <c r="AJ31" i="65"/>
  <c r="AL31" i="65" s="1"/>
  <c r="AH31" i="65"/>
  <c r="AG31" i="65"/>
  <c r="AI31" i="65" s="1"/>
  <c r="AE31" i="65"/>
  <c r="AF31" i="65" s="1"/>
  <c r="AD31" i="65"/>
  <c r="AB31" i="65"/>
  <c r="AA31" i="65"/>
  <c r="Y31" i="65"/>
  <c r="X31" i="65"/>
  <c r="V31" i="65"/>
  <c r="W31" i="65" s="1"/>
  <c r="U31" i="65"/>
  <c r="S31" i="65"/>
  <c r="R31" i="65"/>
  <c r="AW29" i="65"/>
  <c r="AV29" i="65"/>
  <c r="AT29" i="65"/>
  <c r="AS29" i="65"/>
  <c r="AQ29" i="65"/>
  <c r="AR29" i="65" s="1"/>
  <c r="AP29" i="65"/>
  <c r="AN29" i="65"/>
  <c r="AM29" i="65"/>
  <c r="AO29" i="65"/>
  <c r="AK29" i="65"/>
  <c r="AJ29" i="65"/>
  <c r="AH29" i="65"/>
  <c r="AG29" i="65"/>
  <c r="AI29" i="65" s="1"/>
  <c r="AE29" i="65"/>
  <c r="AD29" i="65"/>
  <c r="AF29" i="65" s="1"/>
  <c r="AB29" i="65"/>
  <c r="AA29" i="65"/>
  <c r="Y29" i="65"/>
  <c r="X29" i="65"/>
  <c r="V29" i="65"/>
  <c r="U29" i="65"/>
  <c r="W29" i="65" s="1"/>
  <c r="S29" i="65"/>
  <c r="R29" i="65"/>
  <c r="T29" i="65" s="1"/>
  <c r="AX28" i="65"/>
  <c r="AU28" i="65"/>
  <c r="AR28" i="65"/>
  <c r="AO28" i="65"/>
  <c r="AL28" i="65"/>
  <c r="AI28" i="65"/>
  <c r="AF28" i="65"/>
  <c r="AC28" i="65"/>
  <c r="Z28" i="65"/>
  <c r="W28" i="65"/>
  <c r="W138" i="65" s="1"/>
  <c r="T28" i="65"/>
  <c r="T138" i="65" s="1"/>
  <c r="AX27" i="65"/>
  <c r="AU27" i="65"/>
  <c r="AR27" i="65"/>
  <c r="AO27" i="65"/>
  <c r="AL27" i="65"/>
  <c r="AI27" i="65"/>
  <c r="AF27" i="65"/>
  <c r="AC27" i="65"/>
  <c r="Z27" i="65"/>
  <c r="W27" i="65"/>
  <c r="T27" i="65"/>
  <c r="T137" i="65" s="1"/>
  <c r="T139" i="65" s="1"/>
  <c r="AX26" i="65"/>
  <c r="AU26" i="65"/>
  <c r="AR26" i="65"/>
  <c r="AO26" i="65"/>
  <c r="AL26" i="65"/>
  <c r="AI26" i="65"/>
  <c r="AF26" i="65"/>
  <c r="AC26" i="65"/>
  <c r="AC136" i="65" s="1"/>
  <c r="Z26" i="65"/>
  <c r="Z136" i="65" s="1"/>
  <c r="W26" i="65"/>
  <c r="W136" i="65"/>
  <c r="T26" i="65"/>
  <c r="T136" i="65"/>
  <c r="AW24" i="65"/>
  <c r="AV24" i="65"/>
  <c r="AX24" i="65" s="1"/>
  <c r="AT24" i="65"/>
  <c r="AS24" i="65"/>
  <c r="AU24" i="65" s="1"/>
  <c r="AQ24" i="65"/>
  <c r="AP24" i="65"/>
  <c r="AR24" i="65" s="1"/>
  <c r="AN24" i="65"/>
  <c r="AM24" i="65"/>
  <c r="AO24" i="65" s="1"/>
  <c r="AK24" i="65"/>
  <c r="AJ24" i="65"/>
  <c r="AH24" i="65"/>
  <c r="AG24" i="65"/>
  <c r="AI24" i="65" s="1"/>
  <c r="AE24" i="65"/>
  <c r="AD24" i="65"/>
  <c r="AB24" i="65"/>
  <c r="AA24" i="65"/>
  <c r="AC24" i="65" s="1"/>
  <c r="Y24" i="65"/>
  <c r="Z24" i="65"/>
  <c r="X24" i="65"/>
  <c r="V24" i="65"/>
  <c r="U24" i="65"/>
  <c r="S24" i="65"/>
  <c r="T24" i="65" s="1"/>
  <c r="R24" i="65"/>
  <c r="AX23" i="65"/>
  <c r="AU23" i="65"/>
  <c r="AR23" i="65"/>
  <c r="AO23" i="65"/>
  <c r="AL23" i="65"/>
  <c r="AI23" i="65"/>
  <c r="AF23" i="65"/>
  <c r="AC23" i="65"/>
  <c r="AC133" i="65" s="1"/>
  <c r="Z23" i="65"/>
  <c r="Z133" i="65" s="1"/>
  <c r="W23" i="65"/>
  <c r="W133" i="65" s="1"/>
  <c r="T23" i="65"/>
  <c r="T133" i="65" s="1"/>
  <c r="AX22" i="65"/>
  <c r="AU22" i="65"/>
  <c r="AR22" i="65"/>
  <c r="AO22" i="65"/>
  <c r="AL22" i="65"/>
  <c r="AI22" i="65"/>
  <c r="AF22" i="65"/>
  <c r="AC22" i="65"/>
  <c r="AC132" i="65" s="1"/>
  <c r="Z22" i="65"/>
  <c r="Z132" i="65" s="1"/>
  <c r="W22" i="65"/>
  <c r="W132" i="65" s="1"/>
  <c r="T22" i="65"/>
  <c r="T132" i="65" s="1"/>
  <c r="AX21" i="65"/>
  <c r="AU21" i="65"/>
  <c r="AR21" i="65"/>
  <c r="AO21" i="65"/>
  <c r="AL21" i="65"/>
  <c r="AI21" i="65"/>
  <c r="AF21" i="65"/>
  <c r="AC21" i="65"/>
  <c r="AC131" i="65"/>
  <c r="Z21" i="65"/>
  <c r="Z131" i="65" s="1"/>
  <c r="W21" i="65"/>
  <c r="W131" i="65" s="1"/>
  <c r="T21" i="65"/>
  <c r="T131" i="65"/>
  <c r="AW19" i="65"/>
  <c r="AV19" i="65"/>
  <c r="AX19" i="65" s="1"/>
  <c r="AT19" i="65"/>
  <c r="AS19" i="65"/>
  <c r="AQ19" i="65"/>
  <c r="AP19" i="65"/>
  <c r="AN19" i="65"/>
  <c r="AM19" i="65"/>
  <c r="AK19" i="65"/>
  <c r="AJ19" i="65"/>
  <c r="AH19" i="65"/>
  <c r="AI19" i="65" s="1"/>
  <c r="AG19" i="65"/>
  <c r="AE19" i="65"/>
  <c r="AD19" i="65"/>
  <c r="AF19" i="65" s="1"/>
  <c r="AB19" i="65"/>
  <c r="AA19" i="65"/>
  <c r="Y19" i="65"/>
  <c r="Z19" i="65" s="1"/>
  <c r="X19" i="65"/>
  <c r="V19" i="65"/>
  <c r="U19" i="65"/>
  <c r="W19" i="65" s="1"/>
  <c r="S19" i="65"/>
  <c r="R19" i="65"/>
  <c r="AX18" i="65"/>
  <c r="AU18" i="65"/>
  <c r="AR18" i="65"/>
  <c r="AO18" i="65"/>
  <c r="AL18" i="65"/>
  <c r="AI18" i="65"/>
  <c r="AF18" i="65"/>
  <c r="AC18" i="65"/>
  <c r="AC128" i="65" s="1"/>
  <c r="Z18" i="65"/>
  <c r="Z128" i="65" s="1"/>
  <c r="W18" i="65"/>
  <c r="W128" i="65" s="1"/>
  <c r="T18" i="65"/>
  <c r="T128" i="65" s="1"/>
  <c r="AX17" i="65"/>
  <c r="AU17" i="65"/>
  <c r="AR17" i="65"/>
  <c r="AO17" i="65"/>
  <c r="AL17" i="65"/>
  <c r="AI17" i="65"/>
  <c r="AF17" i="65"/>
  <c r="AC17" i="65"/>
  <c r="AC127" i="65" s="1"/>
  <c r="Z17" i="65"/>
  <c r="Z127" i="65" s="1"/>
  <c r="W17" i="65"/>
  <c r="W127" i="65" s="1"/>
  <c r="T17" i="65"/>
  <c r="T127" i="65" s="1"/>
  <c r="AX16" i="65"/>
  <c r="AU16" i="65"/>
  <c r="AR16" i="65"/>
  <c r="AO16" i="65"/>
  <c r="AL16" i="65"/>
  <c r="AI16" i="65"/>
  <c r="AF16" i="65"/>
  <c r="AC16" i="65"/>
  <c r="AC126" i="65" s="1"/>
  <c r="Z16" i="65"/>
  <c r="W16" i="65"/>
  <c r="T16" i="65"/>
  <c r="T126" i="65" s="1"/>
  <c r="AW14" i="65"/>
  <c r="AV14" i="65"/>
  <c r="AT14" i="65"/>
  <c r="AS14" i="65"/>
  <c r="AQ14" i="65"/>
  <c r="AP14" i="65"/>
  <c r="AN14" i="65"/>
  <c r="AM14" i="65"/>
  <c r="AO14" i="65" s="1"/>
  <c r="AK14" i="65"/>
  <c r="AJ14" i="65"/>
  <c r="AL14" i="65" s="1"/>
  <c r="AH14" i="65"/>
  <c r="AG14" i="65"/>
  <c r="AE14" i="65"/>
  <c r="AD14" i="65"/>
  <c r="AF14" i="65" s="1"/>
  <c r="AB14" i="65"/>
  <c r="AC14" i="65" s="1"/>
  <c r="AA14" i="65"/>
  <c r="Y14" i="65"/>
  <c r="X14" i="65"/>
  <c r="Z14" i="65" s="1"/>
  <c r="V14" i="65"/>
  <c r="U14" i="65"/>
  <c r="W14" i="65" s="1"/>
  <c r="S14" i="65"/>
  <c r="R14" i="65"/>
  <c r="AX13" i="65"/>
  <c r="AU13" i="65"/>
  <c r="AR13" i="65"/>
  <c r="AO13" i="65"/>
  <c r="AL13" i="65"/>
  <c r="AI13" i="65"/>
  <c r="AF13" i="65"/>
  <c r="AC13" i="65"/>
  <c r="Z13" i="65"/>
  <c r="Z123" i="65" s="1"/>
  <c r="W13" i="65"/>
  <c r="W123" i="65" s="1"/>
  <c r="T13" i="65"/>
  <c r="T123" i="65" s="1"/>
  <c r="AX12" i="65"/>
  <c r="AU12" i="65"/>
  <c r="AR12" i="65"/>
  <c r="AO12" i="65"/>
  <c r="AL12" i="65"/>
  <c r="AI12" i="65"/>
  <c r="AF12" i="65"/>
  <c r="AC12" i="65"/>
  <c r="AC122" i="65" s="1"/>
  <c r="Z12" i="65"/>
  <c r="Z122" i="65" s="1"/>
  <c r="W12" i="65"/>
  <c r="W122" i="65" s="1"/>
  <c r="T12" i="65"/>
  <c r="AX11" i="65"/>
  <c r="AU11" i="65"/>
  <c r="AR11" i="65"/>
  <c r="AO11" i="65"/>
  <c r="AL11" i="65"/>
  <c r="AI11" i="65"/>
  <c r="AF11" i="65"/>
  <c r="AC11" i="65"/>
  <c r="AC121" i="65" s="1"/>
  <c r="Z11" i="65"/>
  <c r="Z121" i="65"/>
  <c r="W11" i="65"/>
  <c r="W121" i="65"/>
  <c r="T11" i="65"/>
  <c r="T121" i="65"/>
  <c r="AW9" i="65"/>
  <c r="AV9" i="65"/>
  <c r="AT9" i="65"/>
  <c r="AS9" i="65"/>
  <c r="AU9" i="65" s="1"/>
  <c r="AQ9" i="65"/>
  <c r="AP9" i="65"/>
  <c r="AR9" i="65" s="1"/>
  <c r="AN9" i="65"/>
  <c r="AM9" i="65"/>
  <c r="AK9" i="65"/>
  <c r="AJ9" i="65"/>
  <c r="AL9" i="65" s="1"/>
  <c r="AH9" i="65"/>
  <c r="AG9" i="65"/>
  <c r="AI9" i="65" s="1"/>
  <c r="AE9" i="65"/>
  <c r="AD9" i="65"/>
  <c r="AB9" i="65"/>
  <c r="AA9" i="65"/>
  <c r="Y9" i="65"/>
  <c r="X9" i="65"/>
  <c r="Z9" i="65" s="1"/>
  <c r="V9" i="65"/>
  <c r="U9" i="65"/>
  <c r="S9" i="65"/>
  <c r="R9" i="65"/>
  <c r="AX8" i="65"/>
  <c r="AU8" i="65"/>
  <c r="AR8" i="65"/>
  <c r="AO8" i="65"/>
  <c r="AL8" i="65"/>
  <c r="AI8" i="65"/>
  <c r="AF8" i="65"/>
  <c r="AC8" i="65"/>
  <c r="Z8" i="65"/>
  <c r="Z118" i="65"/>
  <c r="W8" i="65"/>
  <c r="T8" i="65"/>
  <c r="AX7" i="65"/>
  <c r="AU7" i="65"/>
  <c r="AR7" i="65"/>
  <c r="AO7" i="65"/>
  <c r="AL7" i="65"/>
  <c r="AI7" i="65"/>
  <c r="AF7" i="65"/>
  <c r="AC7" i="65"/>
  <c r="AC117" i="65" s="1"/>
  <c r="Z7" i="65"/>
  <c r="Z117" i="65" s="1"/>
  <c r="W7" i="65"/>
  <c r="T7" i="65"/>
  <c r="AX6" i="65"/>
  <c r="AU6" i="65"/>
  <c r="AR6" i="65"/>
  <c r="AO6" i="65"/>
  <c r="AL6" i="65"/>
  <c r="AI6" i="65"/>
  <c r="AF6" i="65"/>
  <c r="AC6" i="65"/>
  <c r="Z6" i="65"/>
  <c r="Z116" i="65" s="1"/>
  <c r="W6" i="65"/>
  <c r="W116" i="65" s="1"/>
  <c r="T6" i="65"/>
  <c r="BU134" i="64"/>
  <c r="BT134" i="64"/>
  <c r="BQ134" i="64"/>
  <c r="BP134" i="64"/>
  <c r="BM134" i="64"/>
  <c r="BL134" i="64"/>
  <c r="BI134" i="64"/>
  <c r="BH134" i="64"/>
  <c r="BE134" i="64"/>
  <c r="BD134" i="64"/>
  <c r="BA134" i="64"/>
  <c r="AZ134" i="64"/>
  <c r="AZ136" i="64" s="1"/>
  <c r="AW134" i="64"/>
  <c r="AV134" i="64"/>
  <c r="AS134" i="64"/>
  <c r="AR134" i="64"/>
  <c r="AK134" i="64"/>
  <c r="AJ134" i="64"/>
  <c r="AI134" i="64"/>
  <c r="BV133" i="64"/>
  <c r="BR133" i="64"/>
  <c r="BN133" i="64"/>
  <c r="BJ133" i="64"/>
  <c r="BF133" i="64"/>
  <c r="BB133" i="64"/>
  <c r="AX133" i="64"/>
  <c r="AT133" i="64"/>
  <c r="AP133" i="64"/>
  <c r="AL133" i="64"/>
  <c r="BV132" i="64"/>
  <c r="BR132" i="64"/>
  <c r="BN132" i="64"/>
  <c r="BJ132" i="64"/>
  <c r="BF132" i="64"/>
  <c r="BB132" i="64"/>
  <c r="AX132" i="64"/>
  <c r="AT132" i="64"/>
  <c r="AP132" i="64"/>
  <c r="AL132" i="64"/>
  <c r="BV131" i="64"/>
  <c r="BR131" i="64"/>
  <c r="BN131" i="64"/>
  <c r="BJ131" i="64"/>
  <c r="BF131" i="64"/>
  <c r="BB131" i="64"/>
  <c r="AX131" i="64"/>
  <c r="AT131" i="64"/>
  <c r="AP131" i="64"/>
  <c r="AL131" i="64"/>
  <c r="BU124" i="64"/>
  <c r="BT124" i="64"/>
  <c r="BS124" i="64"/>
  <c r="BQ124" i="64"/>
  <c r="BP124" i="64"/>
  <c r="BO124" i="64"/>
  <c r="BM124" i="64"/>
  <c r="BL124" i="64"/>
  <c r="BK124" i="64"/>
  <c r="BI124" i="64"/>
  <c r="BH124" i="64"/>
  <c r="BG124" i="64"/>
  <c r="BE124" i="64"/>
  <c r="BD124" i="64"/>
  <c r="BC124" i="64"/>
  <c r="BA124" i="64"/>
  <c r="AZ124" i="64"/>
  <c r="AY124" i="64"/>
  <c r="AW124" i="64"/>
  <c r="AV124" i="64"/>
  <c r="AU124" i="64"/>
  <c r="AS124" i="64"/>
  <c r="AR124" i="64"/>
  <c r="AQ124" i="64"/>
  <c r="AO124" i="64"/>
  <c r="AN124" i="64"/>
  <c r="AM124" i="64"/>
  <c r="AK124" i="64"/>
  <c r="AJ124" i="64"/>
  <c r="AI124" i="64"/>
  <c r="BV123" i="64"/>
  <c r="BR123" i="64"/>
  <c r="BN123" i="64"/>
  <c r="BJ123" i="64"/>
  <c r="BF123" i="64"/>
  <c r="BB123" i="64"/>
  <c r="AX123" i="64"/>
  <c r="AT123" i="64"/>
  <c r="AP123" i="64"/>
  <c r="AL123" i="64"/>
  <c r="BV122" i="64"/>
  <c r="BR122" i="64"/>
  <c r="BN122" i="64"/>
  <c r="BJ122" i="64"/>
  <c r="BF122" i="64"/>
  <c r="BB122" i="64"/>
  <c r="AX122" i="64"/>
  <c r="AT122" i="64"/>
  <c r="AP122" i="64"/>
  <c r="AL122" i="64"/>
  <c r="BV121" i="64"/>
  <c r="BV124" i="64" s="1"/>
  <c r="BR121" i="64"/>
  <c r="BN121" i="64"/>
  <c r="BJ121" i="64"/>
  <c r="BF121" i="64"/>
  <c r="BB121" i="64"/>
  <c r="AX121" i="64"/>
  <c r="AT121" i="64"/>
  <c r="AP121" i="64"/>
  <c r="AP124" i="64" s="1"/>
  <c r="AL121" i="64"/>
  <c r="BU119" i="64"/>
  <c r="BT119" i="64"/>
  <c r="BQ119" i="64"/>
  <c r="BP119" i="64"/>
  <c r="BM119" i="64"/>
  <c r="BL119" i="64"/>
  <c r="BI119" i="64"/>
  <c r="BH119" i="64"/>
  <c r="BE119" i="64"/>
  <c r="BD119" i="64"/>
  <c r="BA119" i="64"/>
  <c r="AZ119" i="64"/>
  <c r="AW119" i="64"/>
  <c r="AV119" i="64"/>
  <c r="AS119" i="64"/>
  <c r="AR119" i="64"/>
  <c r="AN119" i="64"/>
  <c r="AJ119" i="64"/>
  <c r="BV118" i="64"/>
  <c r="BR118" i="64"/>
  <c r="BN118" i="64"/>
  <c r="BJ118" i="64"/>
  <c r="BF118" i="64"/>
  <c r="BB118" i="64"/>
  <c r="AX118" i="64"/>
  <c r="AP118" i="64"/>
  <c r="BV117" i="64"/>
  <c r="BV119" i="64" s="1"/>
  <c r="BR117" i="64"/>
  <c r="BR119" i="64" s="1"/>
  <c r="BN117" i="64"/>
  <c r="BN119" i="64" s="1"/>
  <c r="BJ117" i="64"/>
  <c r="BJ119" i="64" s="1"/>
  <c r="BF117" i="64"/>
  <c r="BF119" i="64" s="1"/>
  <c r="BB117" i="64"/>
  <c r="AX117" i="64"/>
  <c r="AT117" i="64"/>
  <c r="AP117" i="64"/>
  <c r="AL117" i="64"/>
  <c r="AT116" i="64"/>
  <c r="AP116" i="64"/>
  <c r="AL116" i="64"/>
  <c r="AL119" i="64" s="1"/>
  <c r="BU114" i="64"/>
  <c r="BT114" i="64"/>
  <c r="BS114" i="64"/>
  <c r="BQ114" i="64"/>
  <c r="BP114" i="64"/>
  <c r="BO114" i="64"/>
  <c r="BM114" i="64"/>
  <c r="BL114" i="64"/>
  <c r="BK114" i="64"/>
  <c r="BK136" i="64" s="1"/>
  <c r="BI114" i="64"/>
  <c r="BH114" i="64"/>
  <c r="BG114" i="64"/>
  <c r="BE114" i="64"/>
  <c r="BD114" i="64"/>
  <c r="BC114" i="64"/>
  <c r="BC136" i="64" s="1"/>
  <c r="BA114" i="64"/>
  <c r="AZ114" i="64"/>
  <c r="AY114" i="64"/>
  <c r="AW114" i="64"/>
  <c r="AV114" i="64"/>
  <c r="AU114" i="64"/>
  <c r="AS114" i="64"/>
  <c r="AR114" i="64"/>
  <c r="AQ114" i="64"/>
  <c r="AO114" i="64"/>
  <c r="AO136" i="64" s="1"/>
  <c r="AN114" i="64"/>
  <c r="AM114" i="64"/>
  <c r="AK114" i="64"/>
  <c r="AJ114" i="64"/>
  <c r="AI114" i="64"/>
  <c r="BV113" i="64"/>
  <c r="BR113" i="64"/>
  <c r="BN113" i="64"/>
  <c r="BJ113" i="64"/>
  <c r="BF113" i="64"/>
  <c r="BB113" i="64"/>
  <c r="AX113" i="64"/>
  <c r="AT113" i="64"/>
  <c r="AP113" i="64"/>
  <c r="AL113" i="64"/>
  <c r="BV112" i="64"/>
  <c r="BR112" i="64"/>
  <c r="BN112" i="64"/>
  <c r="BJ112" i="64"/>
  <c r="BF112" i="64"/>
  <c r="BB112" i="64"/>
  <c r="AX112" i="64"/>
  <c r="AT112" i="64"/>
  <c r="AP112" i="64"/>
  <c r="AL112" i="64"/>
  <c r="BV111" i="64"/>
  <c r="BR111" i="64"/>
  <c r="BN111" i="64"/>
  <c r="BJ111" i="64"/>
  <c r="BF111" i="64"/>
  <c r="BB111" i="64"/>
  <c r="AX111" i="64"/>
  <c r="AT111" i="64"/>
  <c r="AP111" i="64"/>
  <c r="AL111" i="64"/>
  <c r="BU99" i="64"/>
  <c r="BT99" i="64"/>
  <c r="BQ99" i="64"/>
  <c r="BP99" i="64"/>
  <c r="BM99" i="64"/>
  <c r="BL99" i="64"/>
  <c r="BI99" i="64"/>
  <c r="BH99" i="64"/>
  <c r="BE99" i="64"/>
  <c r="BD99" i="64"/>
  <c r="BA99" i="64"/>
  <c r="AZ99" i="64"/>
  <c r="AW99" i="64"/>
  <c r="AV99" i="64"/>
  <c r="AS99" i="64"/>
  <c r="AR99" i="64"/>
  <c r="AO99" i="64"/>
  <c r="AN99" i="64"/>
  <c r="AK99" i="64"/>
  <c r="AJ99" i="64"/>
  <c r="AG99" i="64"/>
  <c r="AF99" i="64"/>
  <c r="AC99" i="64"/>
  <c r="AB99" i="64"/>
  <c r="BV98" i="64"/>
  <c r="BR98" i="64"/>
  <c r="BN98" i="64"/>
  <c r="BJ98" i="64"/>
  <c r="BF98" i="64"/>
  <c r="BB98" i="64"/>
  <c r="AX98" i="64"/>
  <c r="AT98" i="64"/>
  <c r="AP98" i="64"/>
  <c r="AL98" i="64"/>
  <c r="AH98" i="64"/>
  <c r="AD98" i="64"/>
  <c r="BV97" i="64"/>
  <c r="BR97" i="64"/>
  <c r="BN97" i="64"/>
  <c r="BJ97" i="64"/>
  <c r="BF97" i="64"/>
  <c r="BB97" i="64"/>
  <c r="AX97" i="64"/>
  <c r="AT97" i="64"/>
  <c r="AP97" i="64"/>
  <c r="AL97" i="64"/>
  <c r="AH97" i="64"/>
  <c r="AD97" i="64"/>
  <c r="BV96" i="64"/>
  <c r="BR96" i="64"/>
  <c r="BN96" i="64"/>
  <c r="BJ96" i="64"/>
  <c r="BJ99" i="64" s="1"/>
  <c r="BF96" i="64"/>
  <c r="BB96" i="64"/>
  <c r="AX96" i="64"/>
  <c r="AT96" i="64"/>
  <c r="AP96" i="64"/>
  <c r="AL96" i="64"/>
  <c r="AH96" i="64"/>
  <c r="AD96" i="64"/>
  <c r="AD99" i="64" s="1"/>
  <c r="BU94" i="64"/>
  <c r="BQ94" i="64"/>
  <c r="BM94" i="64"/>
  <c r="BI94" i="64"/>
  <c r="BV92" i="64"/>
  <c r="BV94" i="64" s="1"/>
  <c r="BR92" i="64"/>
  <c r="BR94" i="64" s="1"/>
  <c r="BN92" i="64"/>
  <c r="BN94" i="64" s="1"/>
  <c r="BJ92" i="64"/>
  <c r="BJ94" i="64" s="1"/>
  <c r="BU89" i="64"/>
  <c r="BT89" i="64"/>
  <c r="BS89" i="64"/>
  <c r="BQ89" i="64"/>
  <c r="BP89" i="64"/>
  <c r="BO89" i="64"/>
  <c r="BM89" i="64"/>
  <c r="BL89" i="64"/>
  <c r="BK89" i="64"/>
  <c r="BI89" i="64"/>
  <c r="BH89" i="64"/>
  <c r="BG89" i="64"/>
  <c r="BE89" i="64"/>
  <c r="BD89" i="64"/>
  <c r="BC89" i="64"/>
  <c r="BA89" i="64"/>
  <c r="AZ89" i="64"/>
  <c r="AY89" i="64"/>
  <c r="AW89" i="64"/>
  <c r="AV89" i="64"/>
  <c r="AU89" i="64"/>
  <c r="AS89" i="64"/>
  <c r="AR89" i="64"/>
  <c r="AQ89" i="64"/>
  <c r="AO89" i="64"/>
  <c r="AN89" i="64"/>
  <c r="AM89" i="64"/>
  <c r="AK89" i="64"/>
  <c r="AJ89" i="64"/>
  <c r="AI89" i="64"/>
  <c r="AG89" i="64"/>
  <c r="AF89" i="64"/>
  <c r="AE89" i="64"/>
  <c r="AC89" i="64"/>
  <c r="AB89" i="64"/>
  <c r="AA89" i="64"/>
  <c r="BV88" i="64"/>
  <c r="BR88" i="64"/>
  <c r="BN88" i="64"/>
  <c r="BJ88" i="64"/>
  <c r="BF88" i="64"/>
  <c r="BB88" i="64"/>
  <c r="AX88" i="64"/>
  <c r="AT88" i="64"/>
  <c r="AP88" i="64"/>
  <c r="AL88" i="64"/>
  <c r="AH88" i="64"/>
  <c r="AD88" i="64"/>
  <c r="BV87" i="64"/>
  <c r="BR87" i="64"/>
  <c r="BN87" i="64"/>
  <c r="BJ87" i="64"/>
  <c r="BF87" i="64"/>
  <c r="BB87" i="64"/>
  <c r="AX87" i="64"/>
  <c r="AT87" i="64"/>
  <c r="AP87" i="64"/>
  <c r="AL87" i="64"/>
  <c r="AH87" i="64"/>
  <c r="AD87" i="64"/>
  <c r="BV86" i="64"/>
  <c r="BR86" i="64"/>
  <c r="BN86" i="64"/>
  <c r="BJ86" i="64"/>
  <c r="BJ89" i="64" s="1"/>
  <c r="BF86" i="64"/>
  <c r="BF89" i="64" s="1"/>
  <c r="BB86" i="64"/>
  <c r="AX86" i="64"/>
  <c r="AT86" i="64"/>
  <c r="AP86" i="64"/>
  <c r="AL86" i="64"/>
  <c r="AH86" i="64"/>
  <c r="AD86" i="64"/>
  <c r="AD89" i="64" s="1"/>
  <c r="BU84" i="64"/>
  <c r="BT84" i="64"/>
  <c r="BS84" i="64"/>
  <c r="BQ84" i="64"/>
  <c r="BP84" i="64"/>
  <c r="BO84" i="64"/>
  <c r="BM84" i="64"/>
  <c r="BL84" i="64"/>
  <c r="BK84" i="64"/>
  <c r="BI84" i="64"/>
  <c r="BH84" i="64"/>
  <c r="BE84" i="64"/>
  <c r="BD84" i="64"/>
  <c r="BA84" i="64"/>
  <c r="AZ84" i="64"/>
  <c r="AW84" i="64"/>
  <c r="AV84" i="64"/>
  <c r="AS84" i="64"/>
  <c r="AR84" i="64"/>
  <c r="AN84" i="64"/>
  <c r="AJ84" i="64"/>
  <c r="AF84" i="64"/>
  <c r="AB84" i="64"/>
  <c r="BV83" i="64"/>
  <c r="BR83" i="64"/>
  <c r="BN83" i="64"/>
  <c r="BJ83" i="64"/>
  <c r="BF83" i="64"/>
  <c r="BB83" i="64"/>
  <c r="AX83" i="64"/>
  <c r="AT83" i="64"/>
  <c r="BV81" i="64"/>
  <c r="BV84" i="64" s="1"/>
  <c r="BR81" i="64"/>
  <c r="BR84" i="64" s="1"/>
  <c r="BN81" i="64"/>
  <c r="BJ81" i="64"/>
  <c r="BF81" i="64"/>
  <c r="BB81" i="64"/>
  <c r="BB84" i="64" s="1"/>
  <c r="AX81" i="64"/>
  <c r="AT81" i="64"/>
  <c r="AP81" i="64"/>
  <c r="AP84" i="64" s="1"/>
  <c r="AL81" i="64"/>
  <c r="AL84" i="64" s="1"/>
  <c r="AH81" i="64"/>
  <c r="AH84" i="64" s="1"/>
  <c r="AD81" i="64"/>
  <c r="AD84" i="64" s="1"/>
  <c r="BU79" i="64"/>
  <c r="BT79" i="64"/>
  <c r="BS79" i="64"/>
  <c r="BQ79" i="64"/>
  <c r="BP79" i="64"/>
  <c r="BP101" i="64" s="1"/>
  <c r="BO79" i="64"/>
  <c r="BO101" i="64" s="1"/>
  <c r="BM79" i="64"/>
  <c r="BL79" i="64"/>
  <c r="BK79" i="64"/>
  <c r="BI79" i="64"/>
  <c r="BH79" i="64"/>
  <c r="BG79" i="64"/>
  <c r="BG101" i="64" s="1"/>
  <c r="BE79" i="64"/>
  <c r="BD79" i="64"/>
  <c r="BD101" i="64" s="1"/>
  <c r="BC79" i="64"/>
  <c r="BA79" i="64"/>
  <c r="AZ79" i="64"/>
  <c r="AY79" i="64"/>
  <c r="AW79" i="64"/>
  <c r="AV79" i="64"/>
  <c r="AU79" i="64"/>
  <c r="AU101" i="64" s="1"/>
  <c r="AS79" i="64"/>
  <c r="AR79" i="64"/>
  <c r="AQ79" i="64"/>
  <c r="AO79" i="64"/>
  <c r="AN79" i="64"/>
  <c r="AM79" i="64"/>
  <c r="AK79" i="64"/>
  <c r="AJ79" i="64"/>
  <c r="AJ101" i="64" s="1"/>
  <c r="AI79" i="64"/>
  <c r="AI101" i="64" s="1"/>
  <c r="AG79" i="64"/>
  <c r="AF79" i="64"/>
  <c r="AE79" i="64"/>
  <c r="AC79" i="64"/>
  <c r="AB79" i="64"/>
  <c r="AA79" i="64"/>
  <c r="BV78" i="64"/>
  <c r="BR78" i="64"/>
  <c r="BN78" i="64"/>
  <c r="BJ78" i="64"/>
  <c r="BF78" i="64"/>
  <c r="BB78" i="64"/>
  <c r="AX78" i="64"/>
  <c r="AT78" i="64"/>
  <c r="AP78" i="64"/>
  <c r="AL78" i="64"/>
  <c r="AH78" i="64"/>
  <c r="AD78" i="64"/>
  <c r="BV77" i="64"/>
  <c r="BR77" i="64"/>
  <c r="BN77" i="64"/>
  <c r="BJ77" i="64"/>
  <c r="BF77" i="64"/>
  <c r="BB77" i="64"/>
  <c r="AX77" i="64"/>
  <c r="AX79" i="64" s="1"/>
  <c r="AT77" i="64"/>
  <c r="AP77" i="64"/>
  <c r="AL77" i="64"/>
  <c r="AH77" i="64"/>
  <c r="AD77" i="64"/>
  <c r="BV76" i="64"/>
  <c r="BR76" i="64"/>
  <c r="BN76" i="64"/>
  <c r="BJ76" i="64"/>
  <c r="BF76" i="64"/>
  <c r="BB76" i="64"/>
  <c r="AX76" i="64"/>
  <c r="AT76" i="64"/>
  <c r="AP76" i="64"/>
  <c r="AL76" i="64"/>
  <c r="AH76" i="64"/>
  <c r="AD76" i="64"/>
  <c r="BU64" i="64"/>
  <c r="BT64" i="64"/>
  <c r="BS64" i="64"/>
  <c r="BQ64" i="64"/>
  <c r="BP64" i="64"/>
  <c r="BO64" i="64"/>
  <c r="BM64" i="64"/>
  <c r="BL64" i="64"/>
  <c r="BK64" i="64"/>
  <c r="BI64" i="64"/>
  <c r="BH64" i="64"/>
  <c r="BG64" i="64"/>
  <c r="BE64" i="64"/>
  <c r="BD64" i="64"/>
  <c r="BC64" i="64"/>
  <c r="BA64" i="64"/>
  <c r="AZ64" i="64"/>
  <c r="AY64" i="64"/>
  <c r="AW64" i="64"/>
  <c r="AV64" i="64"/>
  <c r="AU64" i="64"/>
  <c r="AS64" i="64"/>
  <c r="AR64" i="64"/>
  <c r="AQ64" i="64"/>
  <c r="AO64" i="64"/>
  <c r="AN64" i="64"/>
  <c r="AM64" i="64"/>
  <c r="AK64" i="64"/>
  <c r="AJ64" i="64"/>
  <c r="AI64" i="64"/>
  <c r="BV63" i="64"/>
  <c r="BR63" i="64"/>
  <c r="BN63" i="64"/>
  <c r="BJ63" i="64"/>
  <c r="BF63" i="64"/>
  <c r="BB63" i="64"/>
  <c r="AX63" i="64"/>
  <c r="AT63" i="64"/>
  <c r="AP63" i="64"/>
  <c r="AL63" i="64"/>
  <c r="BV62" i="64"/>
  <c r="BR62" i="64"/>
  <c r="BN62" i="64"/>
  <c r="BJ62" i="64"/>
  <c r="BF62" i="64"/>
  <c r="BB62" i="64"/>
  <c r="AX62" i="64"/>
  <c r="AT62" i="64"/>
  <c r="AT64" i="64" s="1"/>
  <c r="AP62" i="64"/>
  <c r="AL62" i="64"/>
  <c r="BV61" i="64"/>
  <c r="BR61" i="64"/>
  <c r="BN61" i="64"/>
  <c r="BN64" i="64" s="1"/>
  <c r="BJ61" i="64"/>
  <c r="BF61" i="64"/>
  <c r="BB61" i="64"/>
  <c r="AX61" i="64"/>
  <c r="AT61" i="64"/>
  <c r="AP61" i="64"/>
  <c r="AL61" i="64"/>
  <c r="BU59" i="64"/>
  <c r="BT59" i="64"/>
  <c r="BQ59" i="64"/>
  <c r="BM59" i="64"/>
  <c r="BL59" i="64"/>
  <c r="BI59" i="64"/>
  <c r="BH59" i="64"/>
  <c r="BE59" i="64"/>
  <c r="BD59" i="64"/>
  <c r="BA59" i="64"/>
  <c r="AZ59" i="64"/>
  <c r="AW59" i="64"/>
  <c r="AV59" i="64"/>
  <c r="AS59" i="64"/>
  <c r="AR59" i="64"/>
  <c r="AO59" i="64"/>
  <c r="AK59" i="64"/>
  <c r="BV58" i="64"/>
  <c r="BP58" i="64"/>
  <c r="BP23" i="64" s="1"/>
  <c r="BO58" i="64"/>
  <c r="BO23" i="64" s="1"/>
  <c r="BN58" i="64"/>
  <c r="BJ58" i="64"/>
  <c r="BF58" i="64"/>
  <c r="BB58" i="64"/>
  <c r="AX58" i="64"/>
  <c r="AT58" i="64"/>
  <c r="AP58" i="64"/>
  <c r="AL58" i="64"/>
  <c r="BV57" i="64"/>
  <c r="BR57" i="64"/>
  <c r="BN57" i="64"/>
  <c r="BJ57" i="64"/>
  <c r="BF57" i="64"/>
  <c r="BB57" i="64"/>
  <c r="AX57" i="64"/>
  <c r="AT57" i="64"/>
  <c r="AP57" i="64"/>
  <c r="AL57" i="64"/>
  <c r="BV56" i="64"/>
  <c r="BR56" i="64"/>
  <c r="BN56" i="64"/>
  <c r="BJ56" i="64"/>
  <c r="BF56" i="64"/>
  <c r="BB56" i="64"/>
  <c r="AX56" i="64"/>
  <c r="AT56" i="64"/>
  <c r="AP56" i="64"/>
  <c r="AL56" i="64"/>
  <c r="BU54" i="64"/>
  <c r="BT54" i="64"/>
  <c r="BS54" i="64"/>
  <c r="BQ54" i="64"/>
  <c r="BP54" i="64"/>
  <c r="BO54" i="64"/>
  <c r="BM54" i="64"/>
  <c r="BL54" i="64"/>
  <c r="BK54" i="64"/>
  <c r="BI54" i="64"/>
  <c r="BH54" i="64"/>
  <c r="BG54" i="64"/>
  <c r="BE54" i="64"/>
  <c r="BD54" i="64"/>
  <c r="BC54" i="64"/>
  <c r="BA54" i="64"/>
  <c r="AZ54" i="64"/>
  <c r="AY54" i="64"/>
  <c r="AW54" i="64"/>
  <c r="AV54" i="64"/>
  <c r="AU54" i="64"/>
  <c r="AS54" i="64"/>
  <c r="AR54" i="64"/>
  <c r="AQ54" i="64"/>
  <c r="AO54" i="64"/>
  <c r="AN54" i="64"/>
  <c r="AM54" i="64"/>
  <c r="AK54" i="64"/>
  <c r="AJ54" i="64"/>
  <c r="AI54" i="64"/>
  <c r="BV53" i="64"/>
  <c r="BR53" i="64"/>
  <c r="BN53" i="64"/>
  <c r="BJ53" i="64"/>
  <c r="BF53" i="64"/>
  <c r="BB53" i="64"/>
  <c r="AX53" i="64"/>
  <c r="AT53" i="64"/>
  <c r="AP53" i="64"/>
  <c r="AL53" i="64"/>
  <c r="BV52" i="64"/>
  <c r="BR52" i="64"/>
  <c r="BN52" i="64"/>
  <c r="BJ52" i="64"/>
  <c r="BF52" i="64"/>
  <c r="BB52" i="64"/>
  <c r="AX52" i="64"/>
  <c r="AT52" i="64"/>
  <c r="AP52" i="64"/>
  <c r="AL52" i="64"/>
  <c r="BV51" i="64"/>
  <c r="BR51" i="64"/>
  <c r="BN51" i="64"/>
  <c r="BJ51" i="64"/>
  <c r="BF51" i="64"/>
  <c r="BB51" i="64"/>
  <c r="BB54" i="64" s="1"/>
  <c r="AX51" i="64"/>
  <c r="AT51" i="64"/>
  <c r="AP51" i="64"/>
  <c r="AL51" i="64"/>
  <c r="BU49" i="64"/>
  <c r="BT49" i="64"/>
  <c r="BS49" i="64"/>
  <c r="BQ49" i="64"/>
  <c r="BM49" i="64"/>
  <c r="BL49" i="64"/>
  <c r="BI49" i="64"/>
  <c r="BH49" i="64"/>
  <c r="BE49" i="64"/>
  <c r="BD49" i="64"/>
  <c r="BA49" i="64"/>
  <c r="AZ49" i="64"/>
  <c r="AW49" i="64"/>
  <c r="AV49" i="64"/>
  <c r="AS49" i="64"/>
  <c r="AR49" i="64"/>
  <c r="AO49" i="64"/>
  <c r="AN49" i="64"/>
  <c r="AK49" i="64"/>
  <c r="AJ49" i="64"/>
  <c r="BV48" i="64"/>
  <c r="BR48" i="64"/>
  <c r="BN48" i="64"/>
  <c r="BJ48" i="64"/>
  <c r="BF48" i="64"/>
  <c r="BB48" i="64"/>
  <c r="AX48" i="64"/>
  <c r="AT48" i="64"/>
  <c r="AP48" i="64"/>
  <c r="AL48" i="64"/>
  <c r="Z48" i="64"/>
  <c r="BV47" i="64"/>
  <c r="BR47" i="64"/>
  <c r="BN47" i="64"/>
  <c r="BJ47" i="64"/>
  <c r="BF47" i="64"/>
  <c r="BB47" i="64"/>
  <c r="AX47" i="64"/>
  <c r="AT47" i="64"/>
  <c r="AP47" i="64"/>
  <c r="AL47" i="64"/>
  <c r="Z47" i="64"/>
  <c r="BV46" i="64"/>
  <c r="BP46" i="64"/>
  <c r="BP49" i="64" s="1"/>
  <c r="BO46" i="64"/>
  <c r="BR46" i="64" s="1"/>
  <c r="BN46" i="64"/>
  <c r="BJ46" i="64"/>
  <c r="BJ49" i="64" s="1"/>
  <c r="BF46" i="64"/>
  <c r="BB46" i="64"/>
  <c r="AX46" i="64"/>
  <c r="AT46" i="64"/>
  <c r="AP46" i="64"/>
  <c r="AL46" i="64"/>
  <c r="Z46" i="64"/>
  <c r="BU44" i="64"/>
  <c r="BT44" i="64"/>
  <c r="BT66" i="64" s="1"/>
  <c r="BS44" i="64"/>
  <c r="BQ44" i="64"/>
  <c r="BP44" i="64"/>
  <c r="BO44" i="64"/>
  <c r="BM44" i="64"/>
  <c r="BL44" i="64"/>
  <c r="BK44" i="64"/>
  <c r="BI44" i="64"/>
  <c r="BH44" i="64"/>
  <c r="BG44" i="64"/>
  <c r="BE44" i="64"/>
  <c r="BD44" i="64"/>
  <c r="BC44" i="64"/>
  <c r="BA44" i="64"/>
  <c r="AZ44" i="64"/>
  <c r="AY44" i="64"/>
  <c r="AY66" i="64" s="1"/>
  <c r="AW44" i="64"/>
  <c r="AV44" i="64"/>
  <c r="AU44" i="64"/>
  <c r="AS44" i="64"/>
  <c r="AR44" i="64"/>
  <c r="AQ44" i="64"/>
  <c r="AO44" i="64"/>
  <c r="AN44" i="64"/>
  <c r="AN66" i="64" s="1"/>
  <c r="AM44" i="64"/>
  <c r="AK44" i="64"/>
  <c r="AJ44" i="64"/>
  <c r="AI44" i="64"/>
  <c r="AI66" i="64" s="1"/>
  <c r="BV43" i="64"/>
  <c r="BR43" i="64"/>
  <c r="BN43" i="64"/>
  <c r="BJ43" i="64"/>
  <c r="BF43" i="64"/>
  <c r="BB43" i="64"/>
  <c r="AX43" i="64"/>
  <c r="AT43" i="64"/>
  <c r="AP43" i="64"/>
  <c r="AL43" i="64"/>
  <c r="BV42" i="64"/>
  <c r="BR42" i="64"/>
  <c r="BR44" i="64" s="1"/>
  <c r="BN42" i="64"/>
  <c r="BJ42" i="64"/>
  <c r="BF42" i="64"/>
  <c r="BB42" i="64"/>
  <c r="AX42" i="64"/>
  <c r="AT42" i="64"/>
  <c r="AP42" i="64"/>
  <c r="AL42" i="64"/>
  <c r="AL44" i="64" s="1"/>
  <c r="BV41" i="64"/>
  <c r="BR41" i="64"/>
  <c r="BN41" i="64"/>
  <c r="BJ41" i="64"/>
  <c r="BF41" i="64"/>
  <c r="BB41" i="64"/>
  <c r="AX41" i="64"/>
  <c r="AT41" i="64"/>
  <c r="AP41" i="64"/>
  <c r="AL41" i="64"/>
  <c r="AO29" i="64"/>
  <c r="AN29" i="64"/>
  <c r="AM29" i="64"/>
  <c r="AK29" i="64"/>
  <c r="AJ29" i="64"/>
  <c r="AI29" i="64"/>
  <c r="AH29" i="64"/>
  <c r="AG29" i="64"/>
  <c r="AF29" i="64"/>
  <c r="AE29" i="64"/>
  <c r="AC29" i="64"/>
  <c r="AB29" i="64"/>
  <c r="AA29" i="64"/>
  <c r="Y29" i="64"/>
  <c r="X29" i="64"/>
  <c r="W29" i="64"/>
  <c r="V29" i="64"/>
  <c r="R29" i="64"/>
  <c r="N29" i="64"/>
  <c r="F29" i="64"/>
  <c r="BU28" i="64"/>
  <c r="BT28" i="64"/>
  <c r="BS28" i="64"/>
  <c r="BQ28" i="64"/>
  <c r="BP28" i="64"/>
  <c r="BO28" i="64"/>
  <c r="BM28" i="64"/>
  <c r="BL28" i="64"/>
  <c r="BK28" i="64"/>
  <c r="BI28" i="64"/>
  <c r="BH28" i="64"/>
  <c r="BE28" i="64"/>
  <c r="BD28" i="64"/>
  <c r="BC28" i="64"/>
  <c r="BA28" i="64"/>
  <c r="AZ28" i="64"/>
  <c r="AY28" i="64"/>
  <c r="AW28" i="64"/>
  <c r="AV28" i="64"/>
  <c r="AU28" i="64"/>
  <c r="AS28" i="64"/>
  <c r="AR28" i="64"/>
  <c r="AQ28" i="64"/>
  <c r="AT28" i="64" s="1"/>
  <c r="AP28" i="64"/>
  <c r="AL28" i="64"/>
  <c r="AD28" i="64"/>
  <c r="Z28" i="64"/>
  <c r="BU27" i="64"/>
  <c r="BT27" i="64"/>
  <c r="BS27" i="64"/>
  <c r="BV27" i="64" s="1"/>
  <c r="BQ27" i="64"/>
  <c r="BP27" i="64"/>
  <c r="BO27" i="64"/>
  <c r="BM27" i="64"/>
  <c r="BL27" i="64"/>
  <c r="BK27" i="64"/>
  <c r="BI27" i="64"/>
  <c r="BH27" i="64"/>
  <c r="BJ27" i="64" s="1"/>
  <c r="BE27" i="64"/>
  <c r="BF27" i="64" s="1"/>
  <c r="BD27" i="64"/>
  <c r="BA27" i="64"/>
  <c r="AZ27" i="64"/>
  <c r="BB27" i="64" s="1"/>
  <c r="AW27" i="64"/>
  <c r="AV27" i="64"/>
  <c r="AS27" i="64"/>
  <c r="AR27" i="64"/>
  <c r="AT27" i="64" s="1"/>
  <c r="AP27" i="64"/>
  <c r="AL27" i="64"/>
  <c r="AD27" i="64"/>
  <c r="Z27" i="64"/>
  <c r="BU26" i="64"/>
  <c r="BT26" i="64"/>
  <c r="BS26" i="64"/>
  <c r="BQ26" i="64"/>
  <c r="BP26" i="64"/>
  <c r="BP29" i="64" s="1"/>
  <c r="BO26" i="64"/>
  <c r="BM26" i="64"/>
  <c r="BL26" i="64"/>
  <c r="BK26" i="64"/>
  <c r="BI26" i="64"/>
  <c r="BH26" i="64"/>
  <c r="BG26" i="64"/>
  <c r="BG29" i="64" s="1"/>
  <c r="BE26" i="64"/>
  <c r="BD26" i="64"/>
  <c r="BC26" i="64"/>
  <c r="BA26" i="64"/>
  <c r="AZ26" i="64"/>
  <c r="AY26" i="64"/>
  <c r="AW26" i="64"/>
  <c r="AV26" i="64"/>
  <c r="AU26" i="64"/>
  <c r="AX26" i="64" s="1"/>
  <c r="AS26" i="64"/>
  <c r="AR26" i="64"/>
  <c r="AQ26" i="64"/>
  <c r="AP26" i="64"/>
  <c r="AL26" i="64"/>
  <c r="AD26" i="64"/>
  <c r="Z26" i="64"/>
  <c r="AO24" i="64"/>
  <c r="AK24" i="64"/>
  <c r="AH24" i="64"/>
  <c r="AG24" i="64"/>
  <c r="AC24" i="64"/>
  <c r="BU23" i="64"/>
  <c r="BT23" i="64"/>
  <c r="BS23" i="64"/>
  <c r="BQ23" i="64"/>
  <c r="BM23" i="64"/>
  <c r="BL23" i="64"/>
  <c r="BK23" i="64"/>
  <c r="BI23" i="64"/>
  <c r="BH23" i="64"/>
  <c r="BE23" i="64"/>
  <c r="BD23" i="64"/>
  <c r="BA23" i="64"/>
  <c r="AZ23" i="64"/>
  <c r="AW23" i="64"/>
  <c r="AX23" i="64" s="1"/>
  <c r="AS23" i="64"/>
  <c r="AP23" i="64"/>
  <c r="AL23" i="64"/>
  <c r="AD23" i="64"/>
  <c r="AD24" i="64"/>
  <c r="BU22" i="64"/>
  <c r="BT22" i="64"/>
  <c r="BS22" i="64"/>
  <c r="BQ22" i="64"/>
  <c r="BP22" i="64"/>
  <c r="BO22" i="64"/>
  <c r="BM22" i="64"/>
  <c r="BL22" i="64"/>
  <c r="BK22" i="64"/>
  <c r="BN22" i="64" s="1"/>
  <c r="BI22" i="64"/>
  <c r="BH22" i="64"/>
  <c r="BE22" i="64"/>
  <c r="BD22" i="64"/>
  <c r="BA22" i="64"/>
  <c r="AZ22" i="64"/>
  <c r="AW22" i="64"/>
  <c r="AV22" i="64"/>
  <c r="AV24" i="64" s="1"/>
  <c r="AS22" i="64"/>
  <c r="AR22" i="64"/>
  <c r="AP22" i="64"/>
  <c r="AL22" i="64"/>
  <c r="BU21" i="64"/>
  <c r="BT21" i="64"/>
  <c r="BS21" i="64"/>
  <c r="BV21" i="64" s="1"/>
  <c r="BQ21" i="64"/>
  <c r="BP21" i="64"/>
  <c r="BO21" i="64"/>
  <c r="BM21" i="64"/>
  <c r="BN21" i="64" s="1"/>
  <c r="BL21" i="64"/>
  <c r="BK21" i="64"/>
  <c r="BI21" i="64"/>
  <c r="BH21" i="64"/>
  <c r="BE21" i="64"/>
  <c r="BD21" i="64"/>
  <c r="BA21" i="64"/>
  <c r="AZ21" i="64"/>
  <c r="AW21" i="64"/>
  <c r="AV21" i="64"/>
  <c r="AS21" i="64"/>
  <c r="AR21" i="64"/>
  <c r="AT21" i="64" s="1"/>
  <c r="AP21" i="64"/>
  <c r="AL21" i="64"/>
  <c r="AO19" i="64"/>
  <c r="AN19" i="64"/>
  <c r="AM19" i="64"/>
  <c r="AK19" i="64"/>
  <c r="AJ19" i="64"/>
  <c r="AI19" i="64"/>
  <c r="AH19" i="64"/>
  <c r="AG19" i="64"/>
  <c r="AG31" i="64" s="1"/>
  <c r="AF19" i="64"/>
  <c r="AF31" i="64" s="1"/>
  <c r="AE19" i="64"/>
  <c r="AC19" i="64"/>
  <c r="AB19" i="64"/>
  <c r="AA19" i="64"/>
  <c r="Y19" i="64"/>
  <c r="X19" i="64"/>
  <c r="W19" i="64"/>
  <c r="V19" i="64"/>
  <c r="R19" i="64"/>
  <c r="BU18" i="64"/>
  <c r="BT18" i="64"/>
  <c r="BS18" i="64"/>
  <c r="BQ18" i="64"/>
  <c r="BP18" i="64"/>
  <c r="BO18" i="64"/>
  <c r="BM18" i="64"/>
  <c r="BL18" i="64"/>
  <c r="BK18" i="64"/>
  <c r="BI18" i="64"/>
  <c r="BH18" i="64"/>
  <c r="BG18" i="64"/>
  <c r="BE18" i="64"/>
  <c r="BD18" i="64"/>
  <c r="BC18" i="64"/>
  <c r="BA18" i="64"/>
  <c r="AZ18" i="64"/>
  <c r="AY18" i="64"/>
  <c r="AW18" i="64"/>
  <c r="AV18" i="64"/>
  <c r="AU18" i="64"/>
  <c r="AS18" i="64"/>
  <c r="AR18" i="64"/>
  <c r="AQ18" i="64"/>
  <c r="AP18" i="64"/>
  <c r="AL18" i="64"/>
  <c r="AD18" i="64"/>
  <c r="Z18" i="64"/>
  <c r="BU17" i="64"/>
  <c r="BT17" i="64"/>
  <c r="BS17" i="64"/>
  <c r="BQ17" i="64"/>
  <c r="BP17" i="64"/>
  <c r="BO17" i="64"/>
  <c r="BM17" i="64"/>
  <c r="BL17" i="64"/>
  <c r="BK17" i="64"/>
  <c r="BI17" i="64"/>
  <c r="BH17" i="64"/>
  <c r="BJ17" i="64" s="1"/>
  <c r="BE17" i="64"/>
  <c r="BD17" i="64"/>
  <c r="BA17" i="64"/>
  <c r="AZ17" i="64"/>
  <c r="BB17" i="64" s="1"/>
  <c r="AW17" i="64"/>
  <c r="AV17" i="64"/>
  <c r="AS17" i="64"/>
  <c r="AR17" i="64"/>
  <c r="AQ17" i="64"/>
  <c r="AP17" i="64"/>
  <c r="AL17" i="64"/>
  <c r="AD17" i="64"/>
  <c r="Z17" i="64"/>
  <c r="BU16" i="64"/>
  <c r="BU19" i="64" s="1"/>
  <c r="BT16" i="64"/>
  <c r="BT19" i="64" s="1"/>
  <c r="BS16" i="64"/>
  <c r="BS19" i="64" s="1"/>
  <c r="BQ16" i="64"/>
  <c r="BR16" i="64" s="1"/>
  <c r="BP16" i="64"/>
  <c r="BO16" i="64"/>
  <c r="BM16" i="64"/>
  <c r="BL16" i="64"/>
  <c r="BK16" i="64"/>
  <c r="BK19" i="64" s="1"/>
  <c r="BI16" i="64"/>
  <c r="BH16" i="64"/>
  <c r="BG16" i="64"/>
  <c r="BE16" i="64"/>
  <c r="BD16" i="64"/>
  <c r="BC16" i="64"/>
  <c r="BA16" i="64"/>
  <c r="AZ16" i="64"/>
  <c r="BB16" i="64" s="1"/>
  <c r="AY16" i="64"/>
  <c r="AY19" i="64" s="1"/>
  <c r="AW16" i="64"/>
  <c r="AV16" i="64"/>
  <c r="AU16" i="64"/>
  <c r="AS16" i="64"/>
  <c r="AR16" i="64"/>
  <c r="AQ16" i="64"/>
  <c r="AP16" i="64"/>
  <c r="AL16" i="64"/>
  <c r="AD16" i="64"/>
  <c r="Z16" i="64"/>
  <c r="AO14" i="64"/>
  <c r="AN14" i="64"/>
  <c r="AK14" i="64"/>
  <c r="AJ14" i="64"/>
  <c r="AC14" i="64"/>
  <c r="AB14" i="64"/>
  <c r="Y14" i="64"/>
  <c r="X14" i="64"/>
  <c r="V14" i="64"/>
  <c r="M14" i="64"/>
  <c r="BU13" i="64"/>
  <c r="BT13" i="64"/>
  <c r="BS13" i="64"/>
  <c r="BQ13" i="64"/>
  <c r="BP13" i="64"/>
  <c r="BO13" i="64"/>
  <c r="BM13" i="64"/>
  <c r="BL13" i="64"/>
  <c r="BK13" i="64"/>
  <c r="BI13" i="64"/>
  <c r="BH13" i="64"/>
  <c r="BE13" i="64"/>
  <c r="BD13" i="64"/>
  <c r="BA13" i="64"/>
  <c r="BB13" i="64" s="1"/>
  <c r="AZ13" i="64"/>
  <c r="AW13" i="64"/>
  <c r="AV13" i="64"/>
  <c r="AS13" i="64"/>
  <c r="AR13" i="64"/>
  <c r="AP13" i="64"/>
  <c r="AL13" i="64"/>
  <c r="AD13" i="64"/>
  <c r="Z13" i="64"/>
  <c r="BU12" i="64"/>
  <c r="BT12" i="64"/>
  <c r="BS12" i="64"/>
  <c r="BQ12" i="64"/>
  <c r="BP12" i="64"/>
  <c r="BO12" i="64"/>
  <c r="BM12" i="64"/>
  <c r="BN12" i="64" s="1"/>
  <c r="BL12" i="64"/>
  <c r="BK12" i="64"/>
  <c r="BI12" i="64"/>
  <c r="BH12" i="64"/>
  <c r="BJ12" i="64" s="1"/>
  <c r="BE12" i="64"/>
  <c r="BD12" i="64"/>
  <c r="BA12" i="64"/>
  <c r="AZ12" i="64"/>
  <c r="AW12" i="64"/>
  <c r="AV12" i="64"/>
  <c r="AS12" i="64"/>
  <c r="AR12" i="64"/>
  <c r="AT12" i="64" s="1"/>
  <c r="AP12" i="64"/>
  <c r="AL12" i="64"/>
  <c r="AD12" i="64"/>
  <c r="Z12" i="64"/>
  <c r="BU11" i="64"/>
  <c r="BT11" i="64"/>
  <c r="BS11" i="64"/>
  <c r="BQ11" i="64"/>
  <c r="BO11" i="64"/>
  <c r="BM11" i="64"/>
  <c r="BL11" i="64"/>
  <c r="BL14" i="64" s="1"/>
  <c r="BK11" i="64"/>
  <c r="BK14" i="64" s="1"/>
  <c r="BI11" i="64"/>
  <c r="BH11" i="64"/>
  <c r="BE11" i="64"/>
  <c r="BD11" i="64"/>
  <c r="BF11" i="64" s="1"/>
  <c r="BA11" i="64"/>
  <c r="AZ11" i="64"/>
  <c r="AW11" i="64"/>
  <c r="AV11" i="64"/>
  <c r="AS11" i="64"/>
  <c r="AR11" i="64"/>
  <c r="AP11" i="64"/>
  <c r="AL11" i="64"/>
  <c r="AD11" i="64"/>
  <c r="Z11" i="64"/>
  <c r="AO9" i="64"/>
  <c r="AN9" i="64"/>
  <c r="AM9" i="64"/>
  <c r="AK9" i="64"/>
  <c r="AJ9" i="64"/>
  <c r="AI9" i="64"/>
  <c r="AC9" i="64"/>
  <c r="AB9" i="64"/>
  <c r="AB31" i="64" s="1"/>
  <c r="AA9" i="64"/>
  <c r="AA31" i="64" s="1"/>
  <c r="Y9" i="64"/>
  <c r="X9" i="64"/>
  <c r="W9" i="64"/>
  <c r="E9" i="64"/>
  <c r="D9" i="64"/>
  <c r="C9" i="64"/>
  <c r="BU8" i="64"/>
  <c r="BT8" i="64"/>
  <c r="BS8" i="64"/>
  <c r="BQ8" i="64"/>
  <c r="BP8" i="64"/>
  <c r="BO8" i="64"/>
  <c r="BM8" i="64"/>
  <c r="BL8" i="64"/>
  <c r="BK8" i="64"/>
  <c r="BI8" i="64"/>
  <c r="BH8" i="64"/>
  <c r="BG8" i="64"/>
  <c r="BE8" i="64"/>
  <c r="BD8" i="64"/>
  <c r="BC8" i="64"/>
  <c r="BA8" i="64"/>
  <c r="AZ8" i="64"/>
  <c r="AY8" i="64"/>
  <c r="AW8" i="64"/>
  <c r="AV8" i="64"/>
  <c r="AU8" i="64"/>
  <c r="AS8" i="64"/>
  <c r="AR8" i="64"/>
  <c r="AQ8" i="64"/>
  <c r="AP8" i="64"/>
  <c r="AL8" i="64"/>
  <c r="AD8" i="64"/>
  <c r="Z8" i="64"/>
  <c r="F8" i="64"/>
  <c r="BU7" i="64"/>
  <c r="BT7" i="64"/>
  <c r="BS7" i="64"/>
  <c r="BQ7" i="64"/>
  <c r="BP7" i="64"/>
  <c r="BO7" i="64"/>
  <c r="BM7" i="64"/>
  <c r="BL7" i="64"/>
  <c r="BK7" i="64"/>
  <c r="BI7" i="64"/>
  <c r="BH7" i="64"/>
  <c r="BG7" i="64"/>
  <c r="BE7" i="64"/>
  <c r="BD7" i="64"/>
  <c r="BC7" i="64"/>
  <c r="BA7" i="64"/>
  <c r="AZ7" i="64"/>
  <c r="AY7" i="64"/>
  <c r="AW7" i="64"/>
  <c r="AV7" i="64"/>
  <c r="AU7" i="64"/>
  <c r="AS7" i="64"/>
  <c r="AR7" i="64"/>
  <c r="AQ7" i="64"/>
  <c r="AP7" i="64"/>
  <c r="AL7" i="64"/>
  <c r="AD7" i="64"/>
  <c r="Z7" i="64"/>
  <c r="F7" i="64"/>
  <c r="BU6" i="64"/>
  <c r="BT6" i="64"/>
  <c r="BS6" i="64"/>
  <c r="BQ6" i="64"/>
  <c r="BP6" i="64"/>
  <c r="BO6" i="64"/>
  <c r="BM6" i="64"/>
  <c r="BL6" i="64"/>
  <c r="BK6" i="64"/>
  <c r="BI6" i="64"/>
  <c r="BH6" i="64"/>
  <c r="BG6" i="64"/>
  <c r="BE6" i="64"/>
  <c r="BD6" i="64"/>
  <c r="BC6" i="64"/>
  <c r="BA6" i="64"/>
  <c r="AZ6" i="64"/>
  <c r="AY6" i="64"/>
  <c r="AW6" i="64"/>
  <c r="AV6" i="64"/>
  <c r="AU6" i="64"/>
  <c r="AS6" i="64"/>
  <c r="AR6" i="64"/>
  <c r="AQ6" i="64"/>
  <c r="AP6" i="64"/>
  <c r="AL6" i="64"/>
  <c r="AD6" i="64"/>
  <c r="Z6" i="64"/>
  <c r="F6" i="64"/>
  <c r="BV22" i="64"/>
  <c r="AP89" i="64"/>
  <c r="BU14" i="64"/>
  <c r="BO49" i="64"/>
  <c r="BO66" i="64" s="1"/>
  <c r="AX13" i="64"/>
  <c r="BN13" i="64"/>
  <c r="AX49" i="64"/>
  <c r="N34" i="66"/>
  <c r="N38" i="66"/>
  <c r="AM31" i="64"/>
  <c r="BV59" i="64"/>
  <c r="AT7" i="64"/>
  <c r="BC19" i="64"/>
  <c r="AS29" i="64"/>
  <c r="BD29" i="64"/>
  <c r="BI66" i="64"/>
  <c r="AA101" i="64"/>
  <c r="L35" i="66"/>
  <c r="BR27" i="64"/>
  <c r="AT11" i="64"/>
  <c r="BF13" i="64"/>
  <c r="BV18" i="64"/>
  <c r="BB44" i="64"/>
  <c r="BB59" i="64"/>
  <c r="N35" i="66"/>
  <c r="AC19" i="65"/>
  <c r="W134" i="65"/>
  <c r="AX29" i="65"/>
  <c r="AF95" i="65"/>
  <c r="N100" i="65"/>
  <c r="AL116" i="65"/>
  <c r="AX118" i="65"/>
  <c r="AU124" i="65"/>
  <c r="AL122" i="65"/>
  <c r="AX145" i="65"/>
  <c r="AU126" i="65"/>
  <c r="AJ143" i="65"/>
  <c r="C25" i="67"/>
  <c r="N25" i="67"/>
  <c r="N26" i="67"/>
  <c r="G27" i="67"/>
  <c r="P27" i="67"/>
  <c r="I28" i="67"/>
  <c r="R28" i="67"/>
  <c r="J29" i="67"/>
  <c r="S29" i="67"/>
  <c r="K30" i="67"/>
  <c r="S30" i="67"/>
  <c r="L31" i="67"/>
  <c r="C32" i="67"/>
  <c r="O32" i="67"/>
  <c r="G33" i="67"/>
  <c r="P33" i="67"/>
  <c r="G35" i="70"/>
  <c r="M36" i="71"/>
  <c r="BB114" i="64"/>
  <c r="W33" i="65"/>
  <c r="AF34" i="65"/>
  <c r="AX36" i="65"/>
  <c r="AO47" i="65"/>
  <c r="AO67" i="65"/>
  <c r="AX67" i="65"/>
  <c r="N69" i="65"/>
  <c r="AL70" i="65"/>
  <c r="Z85" i="65"/>
  <c r="AX102" i="65"/>
  <c r="AR95" i="65"/>
  <c r="AU100" i="65"/>
  <c r="AL126" i="65"/>
  <c r="AX128" i="65"/>
  <c r="AR131" i="65"/>
  <c r="F15" i="67"/>
  <c r="O25" i="67"/>
  <c r="G26" i="67"/>
  <c r="O26" i="67"/>
  <c r="H27" i="67"/>
  <c r="Q27" i="67"/>
  <c r="J28" i="67"/>
  <c r="S28" i="67"/>
  <c r="K29" i="67"/>
  <c r="T29" i="67"/>
  <c r="L30" i="67"/>
  <c r="T30" i="67"/>
  <c r="N31" i="67"/>
  <c r="G32" i="67"/>
  <c r="P32" i="67"/>
  <c r="H33" i="67"/>
  <c r="Q33" i="67"/>
  <c r="V65" i="70"/>
  <c r="R66" i="70"/>
  <c r="AI33" i="65"/>
  <c r="AR35" i="65"/>
  <c r="AF36" i="65"/>
  <c r="W57" i="65"/>
  <c r="AF57" i="65"/>
  <c r="W69" i="65"/>
  <c r="AR69" i="65"/>
  <c r="Q72" i="65"/>
  <c r="Z72" i="65"/>
  <c r="Q73" i="65"/>
  <c r="Z73" i="65"/>
  <c r="Q74" i="65"/>
  <c r="Z74" i="65"/>
  <c r="K108" i="65"/>
  <c r="AX116" i="65"/>
  <c r="AU117" i="65"/>
  <c r="W144" i="65"/>
  <c r="AU121" i="65"/>
  <c r="AX122" i="65"/>
  <c r="M143" i="65"/>
  <c r="D141" i="65"/>
  <c r="I30" i="66"/>
  <c r="I37" i="66" s="1"/>
  <c r="Q30" i="66"/>
  <c r="Q33" i="66" s="1"/>
  <c r="E15" i="67"/>
  <c r="G25" i="67"/>
  <c r="P25" i="67"/>
  <c r="H26" i="67"/>
  <c r="P26" i="67"/>
  <c r="I27" i="67"/>
  <c r="R27" i="67"/>
  <c r="K28" i="67"/>
  <c r="T28" i="67"/>
  <c r="L29" i="67"/>
  <c r="C30" i="67"/>
  <c r="M30" i="67"/>
  <c r="C31" i="67"/>
  <c r="O31" i="67"/>
  <c r="H32" i="67"/>
  <c r="Q32" i="67"/>
  <c r="I33" i="67"/>
  <c r="R33" i="67"/>
  <c r="V57" i="70"/>
  <c r="T66" i="70"/>
  <c r="AL73" i="65"/>
  <c r="AC85" i="65"/>
  <c r="W90" i="65"/>
  <c r="AU95" i="65"/>
  <c r="AL100" i="65"/>
  <c r="AL121" i="65"/>
  <c r="AX126" i="65"/>
  <c r="AI131" i="65"/>
  <c r="AE134" i="65"/>
  <c r="AO136" i="65"/>
  <c r="Y141" i="65"/>
  <c r="H25" i="67"/>
  <c r="Q25" i="67"/>
  <c r="I26" i="67"/>
  <c r="Q26" i="67"/>
  <c r="J27" i="67"/>
  <c r="S27" i="67"/>
  <c r="L28" i="67"/>
  <c r="C29" i="67"/>
  <c r="N29" i="67"/>
  <c r="N30" i="67"/>
  <c r="G31" i="67"/>
  <c r="P31" i="67"/>
  <c r="I32" i="67"/>
  <c r="R32" i="67"/>
  <c r="J33" i="67"/>
  <c r="S33" i="67"/>
  <c r="F22" i="70"/>
  <c r="D82" i="70"/>
  <c r="I8" i="71"/>
  <c r="AC9" i="65"/>
  <c r="AX9" i="65"/>
  <c r="AU14" i="65"/>
  <c r="T134" i="65"/>
  <c r="T32" i="65"/>
  <c r="AL33" i="65"/>
  <c r="Z34" i="65"/>
  <c r="AI35" i="65"/>
  <c r="Z47" i="65"/>
  <c r="AI47" i="65"/>
  <c r="N57" i="65"/>
  <c r="AU62" i="65"/>
  <c r="AO108" i="65"/>
  <c r="AU123" i="65"/>
  <c r="AR126" i="65"/>
  <c r="AL134" i="65"/>
  <c r="AF136" i="65"/>
  <c r="AX137" i="65"/>
  <c r="AK141" i="65"/>
  <c r="AL141" i="65" s="1"/>
  <c r="K30" i="66"/>
  <c r="K34" i="66" s="1"/>
  <c r="I25" i="67"/>
  <c r="R25" i="67"/>
  <c r="J26" i="67"/>
  <c r="R26" i="67"/>
  <c r="K27" i="67"/>
  <c r="T27" i="67"/>
  <c r="N28" i="67"/>
  <c r="O29" i="67"/>
  <c r="G30" i="67"/>
  <c r="O30" i="67"/>
  <c r="H31" i="67"/>
  <c r="Q31" i="67"/>
  <c r="J32" i="67"/>
  <c r="S32" i="67"/>
  <c r="K33" i="67"/>
  <c r="T33" i="67"/>
  <c r="V76" i="70"/>
  <c r="N36" i="71"/>
  <c r="D36" i="71"/>
  <c r="BE136" i="64"/>
  <c r="AO9" i="65"/>
  <c r="Z29" i="65"/>
  <c r="AL34" i="65"/>
  <c r="E47" i="65"/>
  <c r="AU69" i="65"/>
  <c r="AF70" i="65"/>
  <c r="AM108" i="65"/>
  <c r="AX117" i="65"/>
  <c r="AU118" i="65"/>
  <c r="AX121" i="65"/>
  <c r="AF133" i="65"/>
  <c r="AO133" i="65"/>
  <c r="AU138" i="65"/>
  <c r="AS141" i="65"/>
  <c r="J25" i="67"/>
  <c r="S25" i="67"/>
  <c r="K26" i="67"/>
  <c r="S26" i="67"/>
  <c r="L27" i="67"/>
  <c r="C28" i="67"/>
  <c r="O28" i="67"/>
  <c r="G29" i="67"/>
  <c r="P29" i="67"/>
  <c r="H30" i="67"/>
  <c r="P30" i="67"/>
  <c r="I31" i="67"/>
  <c r="R31" i="67"/>
  <c r="K32" i="67"/>
  <c r="T32" i="67"/>
  <c r="L33" i="67"/>
  <c r="V71" i="70"/>
  <c r="R82" i="70"/>
  <c r="I32" i="71"/>
  <c r="K85" i="65"/>
  <c r="W105" i="65"/>
  <c r="AF100" i="65"/>
  <c r="AI126" i="65"/>
  <c r="AU128" i="65"/>
  <c r="AL131" i="65"/>
  <c r="AR136" i="65"/>
  <c r="C30" i="66"/>
  <c r="K25" i="67"/>
  <c r="T25" i="67"/>
  <c r="L26" i="67"/>
  <c r="T26" i="67"/>
  <c r="N27" i="67"/>
  <c r="H29" i="67"/>
  <c r="Q29" i="67"/>
  <c r="I30" i="67"/>
  <c r="Q30" i="67"/>
  <c r="J31" i="67"/>
  <c r="L32" i="67"/>
  <c r="C33" i="67"/>
  <c r="N33" i="67"/>
  <c r="BV89" i="64"/>
  <c r="AL99" i="64"/>
  <c r="BR99" i="64"/>
  <c r="AF9" i="65"/>
  <c r="T14" i="65"/>
  <c r="AX14" i="65"/>
  <c r="AF24" i="65"/>
  <c r="AC29" i="65"/>
  <c r="T34" i="65"/>
  <c r="AC35" i="65"/>
  <c r="AX47" i="65"/>
  <c r="AL67" i="65"/>
  <c r="T69" i="65"/>
  <c r="AF72" i="65"/>
  <c r="K73" i="65"/>
  <c r="K74" i="65"/>
  <c r="Z103" i="65"/>
  <c r="AX103" i="65"/>
  <c r="S108" i="65"/>
  <c r="AU116" i="65"/>
  <c r="AC144" i="65"/>
  <c r="AU122" i="65"/>
  <c r="O134" i="65"/>
  <c r="AW134" i="65"/>
  <c r="C26" i="67"/>
  <c r="M26" i="67"/>
  <c r="O27" i="67"/>
  <c r="R29" i="67"/>
  <c r="V41" i="70"/>
  <c r="V10" i="72"/>
  <c r="BC37" i="73"/>
  <c r="G10" i="72"/>
  <c r="AU10" i="72"/>
  <c r="CI10" i="72"/>
  <c r="BY34" i="72"/>
  <c r="BR9" i="73"/>
  <c r="AX31" i="73"/>
  <c r="BN31" i="73"/>
  <c r="BV31" i="73"/>
  <c r="BO37" i="73"/>
  <c r="BJ10" i="72"/>
  <c r="BY33" i="72"/>
  <c r="BY38" i="72" s="1"/>
  <c r="L20" i="72"/>
  <c r="AZ20" i="72"/>
  <c r="CN20" i="72"/>
  <c r="BV9" i="73"/>
  <c r="G20" i="72"/>
  <c r="BG37" i="73"/>
  <c r="P108" i="74"/>
  <c r="CX10" i="72"/>
  <c r="C38" i="72"/>
  <c r="R36" i="71"/>
  <c r="H36" i="71"/>
  <c r="P36" i="71"/>
  <c r="F36" i="71"/>
  <c r="AA10" i="72"/>
  <c r="BO10" i="72"/>
  <c r="DC10" i="72"/>
  <c r="AK10" i="72"/>
  <c r="BE34" i="72"/>
  <c r="CS34" i="72"/>
  <c r="BB9" i="73"/>
  <c r="AT31" i="73"/>
  <c r="BB31" i="73"/>
  <c r="P110" i="74"/>
  <c r="R41" i="78"/>
  <c r="BY10" i="72"/>
  <c r="AK20" i="72"/>
  <c r="BY20" i="72"/>
  <c r="BJ9" i="73"/>
  <c r="P106" i="74"/>
  <c r="P111" i="74"/>
  <c r="P105" i="74"/>
  <c r="P113" i="74"/>
  <c r="AW174" i="68"/>
  <c r="AV6" i="68"/>
  <c r="G149" i="68" s="1"/>
  <c r="AJ8" i="68"/>
  <c r="D151" i="68" s="1"/>
  <c r="BD9" i="68"/>
  <c r="BT9" i="68"/>
  <c r="CR12" i="68"/>
  <c r="S155" i="68" s="1"/>
  <c r="AJ13" i="68"/>
  <c r="CJ13" i="68"/>
  <c r="AR14" i="68"/>
  <c r="BD17" i="68"/>
  <c r="I160" i="68" s="1"/>
  <c r="CC19" i="68"/>
  <c r="CF19" i="68" s="1"/>
  <c r="BX19" i="68"/>
  <c r="N162" i="68" s="1"/>
  <c r="AZ21" i="68"/>
  <c r="CB21" i="68"/>
  <c r="BT22" i="68"/>
  <c r="CF22" i="68"/>
  <c r="BP23" i="68"/>
  <c r="AR24" i="68"/>
  <c r="BX28" i="68"/>
  <c r="BP29" i="68"/>
  <c r="AV31" i="68"/>
  <c r="BL31" i="68"/>
  <c r="K169" i="68" s="1"/>
  <c r="AX167" i="68"/>
  <c r="CF7" i="68"/>
  <c r="P150" i="68" s="1"/>
  <c r="CN11" i="68"/>
  <c r="R154" i="68" s="1"/>
  <c r="CB12" i="68"/>
  <c r="O155" i="68" s="1"/>
  <c r="CB16" i="68"/>
  <c r="BH17" i="68"/>
  <c r="BT18" i="68"/>
  <c r="BP21" i="68"/>
  <c r="AF23" i="68"/>
  <c r="CN28" i="68"/>
  <c r="AZ162" i="68"/>
  <c r="AZ174" i="68" s="1"/>
  <c r="AV157" i="68"/>
  <c r="O157" i="68" s="1"/>
  <c r="CB6" i="68"/>
  <c r="AV7" i="68"/>
  <c r="CJ7" i="68"/>
  <c r="AV9" i="68"/>
  <c r="G152" i="68" s="1"/>
  <c r="BL9" i="68"/>
  <c r="AR11" i="68"/>
  <c r="CC14" i="68"/>
  <c r="CF14" i="68" s="1"/>
  <c r="P157" i="68" s="1"/>
  <c r="BP13" i="68"/>
  <c r="CN13" i="68"/>
  <c r="AR21" i="68"/>
  <c r="BL22" i="68"/>
  <c r="BX23" i="68"/>
  <c r="AJ24" i="68"/>
  <c r="BL27" i="68"/>
  <c r="K165" i="68" s="1"/>
  <c r="BH29" i="68"/>
  <c r="J167" i="68" s="1"/>
  <c r="AZ31" i="68"/>
  <c r="AX157" i="68"/>
  <c r="AX162" i="68"/>
  <c r="BD6" i="68"/>
  <c r="I149" i="68" s="1"/>
  <c r="AJ9" i="68"/>
  <c r="CB9" i="68"/>
  <c r="O152" i="68" s="1"/>
  <c r="BT11" i="68"/>
  <c r="AR12" i="68"/>
  <c r="AR16" i="68"/>
  <c r="BT16" i="68"/>
  <c r="AZ18" i="68"/>
  <c r="AJ22" i="68"/>
  <c r="BH26" i="68"/>
  <c r="J164" i="68"/>
  <c r="CJ26" i="68"/>
  <c r="Q164" i="68" s="1"/>
  <c r="CB27" i="68"/>
  <c r="AJ29" i="68"/>
  <c r="BX29" i="68"/>
  <c r="N167" i="68" s="1"/>
  <c r="AR157" i="68"/>
  <c r="AZ157" i="68"/>
  <c r="CF13" i="68"/>
  <c r="P156" i="68"/>
  <c r="CB24" i="68"/>
  <c r="AF6" i="68"/>
  <c r="CF6" i="68"/>
  <c r="P149" i="68" s="1"/>
  <c r="BP27" i="68"/>
  <c r="CB7" i="68"/>
  <c r="O150" i="68" s="1"/>
  <c r="BT8" i="68"/>
  <c r="AN9" i="68"/>
  <c r="E152" i="68" s="1"/>
  <c r="CJ11" i="68"/>
  <c r="Q154" i="68" s="1"/>
  <c r="AV12" i="68"/>
  <c r="BH13" i="68"/>
  <c r="CJ19" i="68"/>
  <c r="AN17" i="68"/>
  <c r="E160" i="68" s="1"/>
  <c r="BP17" i="68"/>
  <c r="L160" i="68" s="1"/>
  <c r="BH19" i="68"/>
  <c r="CR23" i="68"/>
  <c r="CK29" i="68"/>
  <c r="CN29" i="68" s="1"/>
  <c r="CJ28" i="68"/>
  <c r="AZ29" i="68"/>
  <c r="H167" i="68" s="1"/>
  <c r="BY15" i="72"/>
  <c r="AK33" i="72"/>
  <c r="AK38" i="72" s="1"/>
  <c r="L10" i="72"/>
  <c r="AZ10" i="72"/>
  <c r="CN10" i="72"/>
  <c r="AU20" i="72"/>
  <c r="CI20" i="72"/>
  <c r="AU32" i="72"/>
  <c r="AU38" i="72" s="1"/>
  <c r="CI32" i="72"/>
  <c r="CI38" i="72"/>
  <c r="AF32" i="72"/>
  <c r="BT32" i="72"/>
  <c r="Q32" i="72"/>
  <c r="BE32" i="72"/>
  <c r="CS32" i="72"/>
  <c r="AP32" i="72"/>
  <c r="CD32" i="72"/>
  <c r="AA32" i="72"/>
  <c r="AA38" i="72"/>
  <c r="BO32" i="72"/>
  <c r="DC32" i="72"/>
  <c r="K149" i="68"/>
  <c r="C150" i="68"/>
  <c r="J150" i="68"/>
  <c r="M150" i="68"/>
  <c r="J152" i="68"/>
  <c r="Q155" i="68"/>
  <c r="F160" i="68"/>
  <c r="D165" i="68"/>
  <c r="E149" i="68"/>
  <c r="F164" i="68"/>
  <c r="O149" i="68"/>
  <c r="G150" i="68"/>
  <c r="Q150" i="68"/>
  <c r="R156" i="68"/>
  <c r="H162" i="68"/>
  <c r="R149" i="68"/>
  <c r="D152" i="68"/>
  <c r="F159" i="68"/>
  <c r="C160" i="68"/>
  <c r="G160" i="68"/>
  <c r="D161" i="68"/>
  <c r="L162" i="68"/>
  <c r="D167" i="68"/>
  <c r="M149" i="68"/>
  <c r="E150" i="68"/>
  <c r="L152" i="68"/>
  <c r="D160" i="68"/>
  <c r="C149" i="68"/>
  <c r="J149" i="68"/>
  <c r="M156" i="68"/>
  <c r="CJ9" i="68"/>
  <c r="Q152" i="68" s="1"/>
  <c r="I150" i="68"/>
  <c r="D166" i="68"/>
  <c r="I152" i="68"/>
  <c r="M152" i="68"/>
  <c r="Q156" i="68"/>
  <c r="G151" i="68"/>
  <c r="L154" i="68"/>
  <c r="E162" i="68"/>
  <c r="CF8" i="68"/>
  <c r="AF11" i="68"/>
  <c r="AN12" i="68"/>
  <c r="O156" i="68"/>
  <c r="BL14" i="68"/>
  <c r="K157" i="68" s="1"/>
  <c r="BL16" i="68"/>
  <c r="M161" i="68"/>
  <c r="I164" i="68"/>
  <c r="CF28" i="68"/>
  <c r="C167" i="68"/>
  <c r="L150" i="68"/>
  <c r="CF9" i="68"/>
  <c r="H159" i="68"/>
  <c r="I165" i="68"/>
  <c r="Q167" i="68"/>
  <c r="CJ6" i="68"/>
  <c r="CR6" i="68"/>
  <c r="S149" i="68" s="1"/>
  <c r="J151" i="68"/>
  <c r="CO9" i="68"/>
  <c r="L157" i="68"/>
  <c r="CK14" i="68"/>
  <c r="CN14" i="68" s="1"/>
  <c r="R157" i="68" s="1"/>
  <c r="L159" i="68"/>
  <c r="CJ16" i="68"/>
  <c r="H161" i="68"/>
  <c r="D164" i="68"/>
  <c r="N164" i="68"/>
  <c r="M165" i="68"/>
  <c r="F166" i="68"/>
  <c r="I166" i="68"/>
  <c r="F167" i="68"/>
  <c r="D169" i="68"/>
  <c r="F165" i="68"/>
  <c r="CN7" i="68"/>
  <c r="AZ8" i="68"/>
  <c r="K151" i="68"/>
  <c r="CJ8" i="68"/>
  <c r="BH11" i="68"/>
  <c r="CF11" i="68"/>
  <c r="AF14" i="68"/>
  <c r="AF16" i="68"/>
  <c r="C159" i="68" s="1"/>
  <c r="M159" i="68"/>
  <c r="CK19" i="68"/>
  <c r="CN19" i="68"/>
  <c r="R162" i="68" s="1"/>
  <c r="CF17" i="68"/>
  <c r="CB18" i="68"/>
  <c r="I162" i="68"/>
  <c r="AN21" i="68"/>
  <c r="N165" i="68"/>
  <c r="M166" i="68"/>
  <c r="K155" i="68"/>
  <c r="AZ9" i="68"/>
  <c r="L155" i="68"/>
  <c r="AZ13" i="68"/>
  <c r="I159" i="68"/>
  <c r="CJ17" i="68"/>
  <c r="Q160" i="68" s="1"/>
  <c r="AV19" i="68"/>
  <c r="J162" i="68"/>
  <c r="O164" i="68"/>
  <c r="N166" i="68"/>
  <c r="H169" i="68"/>
  <c r="L149" i="68"/>
  <c r="E159" i="68"/>
  <c r="J161" i="68"/>
  <c r="H149" i="68"/>
  <c r="E151" i="68"/>
  <c r="N151" i="68"/>
  <c r="K154" i="68"/>
  <c r="N154" i="68"/>
  <c r="M155" i="68"/>
  <c r="N156" i="68"/>
  <c r="AJ14" i="68"/>
  <c r="CO14" i="68"/>
  <c r="AJ16" i="68"/>
  <c r="K160" i="68"/>
  <c r="N160" i="68"/>
  <c r="E161" i="68"/>
  <c r="CF18" i="68"/>
  <c r="C162" i="68"/>
  <c r="M162" i="68"/>
  <c r="O165" i="68"/>
  <c r="CN27" i="68"/>
  <c r="O167" i="68"/>
  <c r="J160" i="68"/>
  <c r="K150" i="68"/>
  <c r="CR7" i="68"/>
  <c r="S150" i="68" s="1"/>
  <c r="AF8" i="68"/>
  <c r="CB8" i="68"/>
  <c r="O151" i="68"/>
  <c r="CN8" i="68"/>
  <c r="N152" i="68"/>
  <c r="BD13" i="68"/>
  <c r="L156" i="68"/>
  <c r="P159" i="68"/>
  <c r="H160" i="68"/>
  <c r="AR18" i="68"/>
  <c r="I161" i="68"/>
  <c r="L161" i="68"/>
  <c r="R161" i="68"/>
  <c r="BL19" i="68"/>
  <c r="CC24" i="68"/>
  <c r="CF24" i="68" s="1"/>
  <c r="CF21" i="68"/>
  <c r="CN22" i="68"/>
  <c r="L164" i="68"/>
  <c r="O166" i="68"/>
  <c r="R166" i="68"/>
  <c r="I169" i="68"/>
  <c r="D150" i="68"/>
  <c r="CR8" i="68"/>
  <c r="S151" i="68" s="1"/>
  <c r="F152" i="68"/>
  <c r="O154" i="68"/>
  <c r="I167" i="68"/>
  <c r="F149" i="68"/>
  <c r="N149" i="68"/>
  <c r="F150" i="68"/>
  <c r="N150" i="68"/>
  <c r="I151" i="68"/>
  <c r="L151" i="68"/>
  <c r="CN9" i="68"/>
  <c r="P155" i="68"/>
  <c r="R155" i="68"/>
  <c r="J159" i="68"/>
  <c r="N159" i="68"/>
  <c r="CO19" i="68"/>
  <c r="R160" i="68"/>
  <c r="C161" i="68"/>
  <c r="D162" i="68"/>
  <c r="CR21" i="68"/>
  <c r="CO24" i="68"/>
  <c r="C165" i="68"/>
  <c r="L165" i="68"/>
  <c r="CF27" i="68"/>
  <c r="L167" i="68"/>
  <c r="CB17" i="68"/>
  <c r="AV18" i="68"/>
  <c r="BL21" i="68"/>
  <c r="AR23" i="68"/>
  <c r="AV26" i="68"/>
  <c r="CR26" i="68"/>
  <c r="S164" i="68" s="1"/>
  <c r="AV27" i="68"/>
  <c r="J165" i="68"/>
  <c r="CR27" i="68"/>
  <c r="S165" i="68" s="1"/>
  <c r="AV28" i="68"/>
  <c r="J166" i="68"/>
  <c r="CR28" i="68"/>
  <c r="S166" i="68" s="1"/>
  <c r="AV29" i="68"/>
  <c r="P167" i="68"/>
  <c r="K166" i="68"/>
  <c r="Q166" i="68"/>
  <c r="K167" i="68"/>
  <c r="E169" i="68"/>
  <c r="CJ21" i="68"/>
  <c r="BH23" i="68"/>
  <c r="C169" i="68"/>
  <c r="BX18" i="68"/>
  <c r="CJ18" i="68"/>
  <c r="AR19" i="68"/>
  <c r="CB19" i="68"/>
  <c r="AJ21" i="68"/>
  <c r="CK24" i="68"/>
  <c r="CN24" i="68" s="1"/>
  <c r="CN21" i="68"/>
  <c r="BD22" i="68"/>
  <c r="BL24" i="68"/>
  <c r="E164" i="68"/>
  <c r="H164" i="68"/>
  <c r="E165" i="68"/>
  <c r="H165" i="68"/>
  <c r="E166" i="68"/>
  <c r="H166" i="68"/>
  <c r="E167" i="68"/>
  <c r="F169" i="68"/>
  <c r="J169" i="68"/>
  <c r="M169" i="68"/>
  <c r="CR29" i="68"/>
  <c r="S167" i="68" s="1"/>
  <c r="G169" i="68"/>
  <c r="AU174" i="68"/>
  <c r="N157" i="68"/>
  <c r="CR17" i="68"/>
  <c r="S160" i="68"/>
  <c r="CR18" i="68"/>
  <c r="S161" i="68" s="1"/>
  <c r="CF26" i="68"/>
  <c r="CN26" i="68"/>
  <c r="M154" i="68"/>
  <c r="AY174" i="68"/>
  <c r="O159" i="68"/>
  <c r="AT157" i="68"/>
  <c r="AV162" i="68"/>
  <c r="AV174" i="68" s="1"/>
  <c r="AO33" i="65"/>
  <c r="AN37" i="65"/>
  <c r="AR14" i="64"/>
  <c r="BD19" i="64"/>
  <c r="AQ136" i="64"/>
  <c r="W24" i="65"/>
  <c r="AX33" i="65"/>
  <c r="Z52" i="65"/>
  <c r="AC71" i="65"/>
  <c r="AI95" i="65"/>
  <c r="AU31" i="65"/>
  <c r="AH108" i="65"/>
  <c r="AO19" i="65"/>
  <c r="AA37" i="65"/>
  <c r="AC31" i="65"/>
  <c r="AO34" i="65"/>
  <c r="AB37" i="65"/>
  <c r="AV37" i="65"/>
  <c r="AC70" i="65"/>
  <c r="Z90" i="65"/>
  <c r="R37" i="65"/>
  <c r="T31" i="65"/>
  <c r="AW37" i="65"/>
  <c r="AJ75" i="65"/>
  <c r="AD37" i="65"/>
  <c r="Z33" i="65"/>
  <c r="AR34" i="65"/>
  <c r="H116" i="65"/>
  <c r="H69" i="65"/>
  <c r="H117" i="65"/>
  <c r="H70" i="65"/>
  <c r="H118" i="65"/>
  <c r="H144" i="65" s="1"/>
  <c r="H72" i="65"/>
  <c r="AI57" i="65"/>
  <c r="L139" i="65"/>
  <c r="N67" i="65"/>
  <c r="N139" i="65" s="1"/>
  <c r="AC72" i="65"/>
  <c r="AC73" i="65"/>
  <c r="AH142" i="65"/>
  <c r="AI117" i="65"/>
  <c r="AE37" i="65"/>
  <c r="AF35" i="65"/>
  <c r="AJ37" i="65"/>
  <c r="K116" i="65"/>
  <c r="K69" i="65"/>
  <c r="K47" i="65"/>
  <c r="K117" i="65"/>
  <c r="K70" i="65"/>
  <c r="K118" i="65"/>
  <c r="K72" i="65"/>
  <c r="AX62" i="65"/>
  <c r="AI100" i="65"/>
  <c r="R108" i="65"/>
  <c r="T108" i="65" s="1"/>
  <c r="T118" i="65"/>
  <c r="V37" i="65"/>
  <c r="AG37" i="65"/>
  <c r="AP37" i="65"/>
  <c r="AR31" i="65"/>
  <c r="AK37" i="65"/>
  <c r="H136" i="65"/>
  <c r="H67" i="65"/>
  <c r="H139" i="65"/>
  <c r="H102" i="65"/>
  <c r="H85" i="65"/>
  <c r="AF108" i="65"/>
  <c r="AP108" i="65"/>
  <c r="T129" i="65"/>
  <c r="K57" i="65"/>
  <c r="K136" i="65"/>
  <c r="K138" i="65"/>
  <c r="E67" i="65"/>
  <c r="E139" i="65" s="1"/>
  <c r="M139" i="65"/>
  <c r="E85" i="65"/>
  <c r="AA108" i="65"/>
  <c r="AQ108" i="65"/>
  <c r="AE141" i="65"/>
  <c r="AF116" i="65"/>
  <c r="AP141" i="65"/>
  <c r="AR116" i="65"/>
  <c r="AM144" i="65"/>
  <c r="AO144" i="65" s="1"/>
  <c r="AO118" i="65"/>
  <c r="AE119" i="65"/>
  <c r="AH143" i="65"/>
  <c r="AI143" i="65" s="1"/>
  <c r="AI128" i="65"/>
  <c r="T122" i="65"/>
  <c r="T124" i="65" s="1"/>
  <c r="AM37" i="65"/>
  <c r="AO37" i="65" s="1"/>
  <c r="Q116" i="65"/>
  <c r="Q117" i="65"/>
  <c r="Q142" i="65" s="1"/>
  <c r="Q118" i="65"/>
  <c r="K52" i="65"/>
  <c r="H143" i="65"/>
  <c r="AB108" i="65"/>
  <c r="AM146" i="65"/>
  <c r="AO146" i="65" s="1"/>
  <c r="AO123" i="65"/>
  <c r="O75" i="65"/>
  <c r="Q75" i="65" s="1"/>
  <c r="AE75" i="65"/>
  <c r="AM75" i="65"/>
  <c r="AS108" i="65"/>
  <c r="AH141" i="65"/>
  <c r="AI141" i="65" s="1"/>
  <c r="AI116" i="65"/>
  <c r="AE144" i="65"/>
  <c r="AF144" i="65" s="1"/>
  <c r="AF118" i="65"/>
  <c r="AP144" i="65"/>
  <c r="AR118" i="65"/>
  <c r="G119" i="65"/>
  <c r="AM145" i="65"/>
  <c r="AO145" i="65" s="1"/>
  <c r="AO122" i="65"/>
  <c r="AT134" i="65"/>
  <c r="AU131" i="65"/>
  <c r="H71" i="65"/>
  <c r="X75" i="65"/>
  <c r="Z75" i="65" s="1"/>
  <c r="AV75" i="65"/>
  <c r="AD108" i="65"/>
  <c r="O141" i="65"/>
  <c r="G142" i="65"/>
  <c r="G147" i="65" s="1"/>
  <c r="AB142" i="65"/>
  <c r="AC142" i="65" s="1"/>
  <c r="AM142" i="65"/>
  <c r="AO142" i="65"/>
  <c r="AO117" i="65"/>
  <c r="J119" i="65"/>
  <c r="AP119" i="65"/>
  <c r="AE146" i="65"/>
  <c r="AF146" i="65" s="1"/>
  <c r="AF123" i="65"/>
  <c r="AP146" i="65"/>
  <c r="AR146" i="65" s="1"/>
  <c r="AR123" i="65"/>
  <c r="AM124" i="65"/>
  <c r="T116" i="65"/>
  <c r="Z138" i="65"/>
  <c r="Q143" i="65"/>
  <c r="Q67" i="65"/>
  <c r="Q139" i="65"/>
  <c r="O119" i="65"/>
  <c r="AE145" i="65"/>
  <c r="AF122" i="65"/>
  <c r="AP145" i="65"/>
  <c r="AR145" i="65" s="1"/>
  <c r="AR122" i="65"/>
  <c r="AP124" i="65"/>
  <c r="AM143" i="65"/>
  <c r="AO143" i="65" s="1"/>
  <c r="AO128" i="65"/>
  <c r="AE129" i="65"/>
  <c r="AF129" i="65" s="1"/>
  <c r="AC138" i="65"/>
  <c r="E116" i="65"/>
  <c r="E117" i="65"/>
  <c r="E118" i="65"/>
  <c r="E144" i="65" s="1"/>
  <c r="H57" i="65"/>
  <c r="J139" i="65"/>
  <c r="Z105" i="65"/>
  <c r="AX105" i="65"/>
  <c r="AX108" i="65" s="1"/>
  <c r="AN108" i="65"/>
  <c r="AE142" i="65"/>
  <c r="AF117" i="65"/>
  <c r="AP142" i="65"/>
  <c r="AR142" i="65" s="1"/>
  <c r="AR117" i="65"/>
  <c r="AL144" i="65"/>
  <c r="R119" i="65"/>
  <c r="AH129" i="65"/>
  <c r="AI129" i="65" s="1"/>
  <c r="AD134" i="65"/>
  <c r="AF134" i="65" s="1"/>
  <c r="AF131" i="65"/>
  <c r="AM141" i="65"/>
  <c r="AO116" i="65"/>
  <c r="AI121" i="65"/>
  <c r="AE143" i="65"/>
  <c r="AF128" i="65"/>
  <c r="AP143" i="65"/>
  <c r="AR128" i="65"/>
  <c r="AM129" i="65"/>
  <c r="AO129" i="65" s="1"/>
  <c r="Z141" i="65"/>
  <c r="X147" i="65"/>
  <c r="P119" i="65"/>
  <c r="X119" i="65"/>
  <c r="Z119" i="65" s="1"/>
  <c r="AN119" i="65"/>
  <c r="AO119" i="65" s="1"/>
  <c r="AV119" i="65"/>
  <c r="AF121" i="65"/>
  <c r="Z145" i="65"/>
  <c r="Z146" i="65"/>
  <c r="AS139" i="65"/>
  <c r="AG144" i="65"/>
  <c r="AW144" i="65"/>
  <c r="I119" i="65"/>
  <c r="AG119" i="65"/>
  <c r="AI119" i="65" s="1"/>
  <c r="AW119" i="65"/>
  <c r="AI145" i="65"/>
  <c r="AI146" i="65"/>
  <c r="AG124" i="65"/>
  <c r="AI124" i="65"/>
  <c r="U141" i="65"/>
  <c r="R35" i="66"/>
  <c r="R34" i="66"/>
  <c r="R33" i="66"/>
  <c r="I36" i="66"/>
  <c r="I38" i="66"/>
  <c r="I34" i="66"/>
  <c r="Q36" i="66"/>
  <c r="Q34" i="66"/>
  <c r="E29" i="67"/>
  <c r="E32" i="67"/>
  <c r="S141" i="65"/>
  <c r="AA141" i="65"/>
  <c r="AQ141" i="65"/>
  <c r="AI118" i="65"/>
  <c r="C119" i="65"/>
  <c r="S119" i="65"/>
  <c r="AA119" i="65"/>
  <c r="AQ119" i="65"/>
  <c r="AI122" i="65"/>
  <c r="AI123" i="65"/>
  <c r="S143" i="65"/>
  <c r="AA143" i="65"/>
  <c r="AQ143" i="65"/>
  <c r="AM134" i="65"/>
  <c r="AG139" i="65"/>
  <c r="AB141" i="65"/>
  <c r="Q37" i="66"/>
  <c r="L119" i="65"/>
  <c r="AJ119" i="65"/>
  <c r="AL138" i="65"/>
  <c r="J35" i="66"/>
  <c r="J38" i="66"/>
  <c r="J34" i="66"/>
  <c r="J37" i="66"/>
  <c r="J33" i="66"/>
  <c r="J36" i="66"/>
  <c r="M119" i="65"/>
  <c r="AO131" i="65"/>
  <c r="K35" i="66"/>
  <c r="K38" i="66"/>
  <c r="K37" i="66"/>
  <c r="K33" i="66"/>
  <c r="I33" i="66"/>
  <c r="K36" i="66"/>
  <c r="I34" i="67"/>
  <c r="V141" i="65"/>
  <c r="AD141" i="65"/>
  <c r="AT141" i="65"/>
  <c r="F119" i="65"/>
  <c r="V119" i="65"/>
  <c r="AD119" i="65"/>
  <c r="AT119" i="65"/>
  <c r="AU119" i="65" s="1"/>
  <c r="AF145" i="65"/>
  <c r="V143" i="65"/>
  <c r="AD143" i="65"/>
  <c r="AF143" i="65" s="1"/>
  <c r="AT143" i="65"/>
  <c r="AU143" i="65" s="1"/>
  <c r="AP134" i="65"/>
  <c r="AR134" i="65"/>
  <c r="AL136" i="65"/>
  <c r="AX138" i="65"/>
  <c r="J34" i="67"/>
  <c r="L36" i="66"/>
  <c r="M30" i="66"/>
  <c r="M27" i="67"/>
  <c r="M31" i="67"/>
  <c r="AV139" i="65"/>
  <c r="AX139" i="65" s="1"/>
  <c r="L33" i="66"/>
  <c r="N36" i="66"/>
  <c r="L37" i="66"/>
  <c r="D15" i="67"/>
  <c r="D29" i="67" s="1"/>
  <c r="F27" i="67"/>
  <c r="F31" i="67"/>
  <c r="O30" i="66"/>
  <c r="O36" i="66" s="1"/>
  <c r="I35" i="66"/>
  <c r="Q35" i="66"/>
  <c r="M28" i="67"/>
  <c r="M32" i="67"/>
  <c r="N33" i="66"/>
  <c r="L34" i="66"/>
  <c r="F28" i="67"/>
  <c r="C16" i="66"/>
  <c r="M25" i="67"/>
  <c r="M29" i="67"/>
  <c r="D16" i="63"/>
  <c r="D17" i="63" s="1"/>
  <c r="C16" i="63"/>
  <c r="C17" i="63" s="1"/>
  <c r="E13" i="63"/>
  <c r="E12" i="63"/>
  <c r="E11" i="63"/>
  <c r="H100" i="62"/>
  <c r="G100" i="62"/>
  <c r="E100" i="62"/>
  <c r="D100" i="62"/>
  <c r="I99" i="62"/>
  <c r="I98" i="62"/>
  <c r="F98" i="62"/>
  <c r="F97" i="62"/>
  <c r="H96" i="62"/>
  <c r="G96" i="62"/>
  <c r="E96" i="62"/>
  <c r="D96" i="62"/>
  <c r="I95" i="62"/>
  <c r="F95" i="62"/>
  <c r="I94" i="62"/>
  <c r="F94" i="62"/>
  <c r="I93" i="62"/>
  <c r="F92" i="62"/>
  <c r="I91" i="62"/>
  <c r="I90" i="62"/>
  <c r="F90" i="62"/>
  <c r="I89" i="62"/>
  <c r="I88" i="62"/>
  <c r="I86" i="62"/>
  <c r="F86" i="62"/>
  <c r="I85" i="62"/>
  <c r="F85" i="62"/>
  <c r="H84" i="62"/>
  <c r="G84" i="62"/>
  <c r="E84" i="62"/>
  <c r="D84" i="62"/>
  <c r="I83" i="62"/>
  <c r="F82" i="62"/>
  <c r="F81" i="62"/>
  <c r="I80" i="62"/>
  <c r="I79" i="62"/>
  <c r="I78" i="62"/>
  <c r="I77" i="62"/>
  <c r="I76" i="62"/>
  <c r="I75" i="62"/>
  <c r="I74" i="62"/>
  <c r="F72" i="62"/>
  <c r="H70" i="62"/>
  <c r="G70" i="62"/>
  <c r="I72" i="62" s="1"/>
  <c r="E70" i="62"/>
  <c r="D70" i="62"/>
  <c r="I69" i="62"/>
  <c r="F69" i="62"/>
  <c r="I68" i="62"/>
  <c r="F68" i="62"/>
  <c r="I67" i="62"/>
  <c r="F67" i="62"/>
  <c r="I66" i="62"/>
  <c r="F66" i="62"/>
  <c r="I65" i="62"/>
  <c r="F65" i="62"/>
  <c r="F64" i="62"/>
  <c r="I63" i="62"/>
  <c r="F63" i="62"/>
  <c r="H62" i="62"/>
  <c r="G62" i="62"/>
  <c r="I64" i="62" s="1"/>
  <c r="E62" i="62"/>
  <c r="D62" i="62"/>
  <c r="I61" i="62"/>
  <c r="F60" i="62"/>
  <c r="I59" i="62"/>
  <c r="I58" i="62"/>
  <c r="I57" i="62"/>
  <c r="I56" i="62"/>
  <c r="I55" i="62"/>
  <c r="I53" i="62"/>
  <c r="H52" i="62"/>
  <c r="G52" i="62"/>
  <c r="E52" i="62"/>
  <c r="D52" i="62"/>
  <c r="I51" i="62"/>
  <c r="F51" i="62"/>
  <c r="I50" i="62"/>
  <c r="F50" i="62"/>
  <c r="I49" i="62"/>
  <c r="I48" i="62"/>
  <c r="F48" i="62"/>
  <c r="I47" i="62"/>
  <c r="F47" i="62"/>
  <c r="I46" i="62"/>
  <c r="F46" i="62"/>
  <c r="I45" i="62"/>
  <c r="F45" i="62"/>
  <c r="I44" i="62"/>
  <c r="F44" i="62"/>
  <c r="I43" i="62"/>
  <c r="I42" i="62"/>
  <c r="F42" i="62"/>
  <c r="I41" i="62"/>
  <c r="F41" i="62"/>
  <c r="F40" i="62"/>
  <c r="F39" i="62"/>
  <c r="H37" i="62"/>
  <c r="G37" i="62"/>
  <c r="I39" i="62" s="1"/>
  <c r="E37" i="62"/>
  <c r="D37" i="62"/>
  <c r="I36" i="62"/>
  <c r="F36" i="62"/>
  <c r="I34" i="62"/>
  <c r="F34" i="62"/>
  <c r="H33" i="62"/>
  <c r="G33" i="62"/>
  <c r="I35" i="62" s="1"/>
  <c r="E33" i="62"/>
  <c r="D33" i="62"/>
  <c r="I32" i="62"/>
  <c r="I33" i="62" s="1"/>
  <c r="F32" i="62"/>
  <c r="F33" i="62" s="1"/>
  <c r="H31" i="62"/>
  <c r="G31" i="62"/>
  <c r="E31" i="62"/>
  <c r="D31" i="62"/>
  <c r="F30" i="62"/>
  <c r="I29" i="62"/>
  <c r="F29" i="62"/>
  <c r="H27" i="62"/>
  <c r="G27" i="62"/>
  <c r="E27" i="62"/>
  <c r="D27" i="62"/>
  <c r="F26" i="62"/>
  <c r="F27" i="62" s="1"/>
  <c r="I25" i="62"/>
  <c r="I27" i="62" s="1"/>
  <c r="H24" i="62"/>
  <c r="G24" i="62"/>
  <c r="E24" i="62"/>
  <c r="D24" i="62"/>
  <c r="I22" i="62"/>
  <c r="F22" i="62"/>
  <c r="I21" i="62"/>
  <c r="F21" i="62"/>
  <c r="I20" i="62"/>
  <c r="F19" i="62"/>
  <c r="F18" i="62"/>
  <c r="F16" i="62"/>
  <c r="H15" i="62"/>
  <c r="G15" i="62"/>
  <c r="E15" i="62"/>
  <c r="D15" i="62"/>
  <c r="F14" i="62"/>
  <c r="I12" i="62"/>
  <c r="F12" i="62"/>
  <c r="I9" i="62"/>
  <c r="F11" i="62"/>
  <c r="I10" i="62"/>
  <c r="F10" i="62"/>
  <c r="I8" i="62"/>
  <c r="F8" i="62"/>
  <c r="I7" i="62"/>
  <c r="F7" i="62"/>
  <c r="I6" i="62"/>
  <c r="F6" i="62"/>
  <c r="T33" i="61"/>
  <c r="Q33" i="61"/>
  <c r="P33" i="61"/>
  <c r="N33" i="61"/>
  <c r="N35" i="61" s="1"/>
  <c r="M33" i="61"/>
  <c r="M35" i="61" s="1"/>
  <c r="H33" i="61"/>
  <c r="G33" i="61"/>
  <c r="D33" i="61"/>
  <c r="C33" i="61"/>
  <c r="C35" i="61" s="1"/>
  <c r="I32" i="61"/>
  <c r="R31" i="61"/>
  <c r="R28" i="61"/>
  <c r="O31" i="61"/>
  <c r="E31" i="61"/>
  <c r="U29" i="61"/>
  <c r="O28" i="61"/>
  <c r="E28" i="61"/>
  <c r="U26" i="61"/>
  <c r="H25" i="61"/>
  <c r="G25" i="61"/>
  <c r="D25" i="61"/>
  <c r="I24" i="61"/>
  <c r="I23" i="61"/>
  <c r="I22" i="61"/>
  <c r="E22" i="61"/>
  <c r="E25" i="61" s="1"/>
  <c r="T21" i="61"/>
  <c r="S21" i="61"/>
  <c r="K21" i="61"/>
  <c r="K35" i="61" s="1"/>
  <c r="J21" i="61"/>
  <c r="J35" i="61" s="1"/>
  <c r="H21" i="61"/>
  <c r="G21" i="61"/>
  <c r="D21" i="61"/>
  <c r="E21" i="61" s="1"/>
  <c r="L19" i="61"/>
  <c r="I19" i="61"/>
  <c r="U17" i="61"/>
  <c r="U21" i="61" s="1"/>
  <c r="L17" i="61"/>
  <c r="I17" i="61"/>
  <c r="L16" i="61"/>
  <c r="I16" i="61"/>
  <c r="I13" i="61"/>
  <c r="I15" i="61"/>
  <c r="L15" i="61"/>
  <c r="L13" i="61"/>
  <c r="E13" i="61"/>
  <c r="T12" i="61"/>
  <c r="S12" i="61"/>
  <c r="S35" i="61" s="1"/>
  <c r="Q12" i="61"/>
  <c r="P12" i="61"/>
  <c r="G12" i="61"/>
  <c r="H12" i="61"/>
  <c r="D12" i="61"/>
  <c r="E12" i="61" s="1"/>
  <c r="I11" i="61"/>
  <c r="E11" i="61"/>
  <c r="U10" i="61"/>
  <c r="R10" i="61"/>
  <c r="R9" i="61"/>
  <c r="U6" i="61"/>
  <c r="R6" i="61"/>
  <c r="R5" i="61"/>
  <c r="I5" i="61"/>
  <c r="I12" i="61" s="1"/>
  <c r="E5" i="61"/>
  <c r="S38" i="60"/>
  <c r="S39" i="60" s="1"/>
  <c r="R38" i="60"/>
  <c r="P38" i="60"/>
  <c r="O38" i="60"/>
  <c r="M38" i="60"/>
  <c r="L38" i="60"/>
  <c r="J38" i="60"/>
  <c r="I38" i="60"/>
  <c r="G38" i="60"/>
  <c r="F38" i="60"/>
  <c r="D38" i="60"/>
  <c r="C38" i="60"/>
  <c r="T38" i="60"/>
  <c r="Q37" i="60"/>
  <c r="Q38" i="60" s="1"/>
  <c r="N37" i="60"/>
  <c r="N38" i="60" s="1"/>
  <c r="K37" i="60"/>
  <c r="K38" i="60" s="1"/>
  <c r="H37" i="60"/>
  <c r="H38" i="60" s="1"/>
  <c r="E37" i="60"/>
  <c r="E38" i="60" s="1"/>
  <c r="S36" i="60"/>
  <c r="R36" i="60"/>
  <c r="R39" i="60" s="1"/>
  <c r="P36" i="60"/>
  <c r="P39" i="60" s="1"/>
  <c r="O36" i="60"/>
  <c r="M36" i="60"/>
  <c r="L36" i="60"/>
  <c r="J36" i="60"/>
  <c r="I36" i="60"/>
  <c r="G36" i="60"/>
  <c r="F36" i="60"/>
  <c r="F39" i="60" s="1"/>
  <c r="D36" i="60"/>
  <c r="C36" i="60"/>
  <c r="Q35" i="60"/>
  <c r="N35" i="60"/>
  <c r="K35" i="60"/>
  <c r="H35" i="60"/>
  <c r="E35" i="60"/>
  <c r="T36" i="60"/>
  <c r="Q34" i="60"/>
  <c r="N34" i="60"/>
  <c r="K34" i="60"/>
  <c r="H34" i="60"/>
  <c r="H36" i="60" s="1"/>
  <c r="E34" i="60"/>
  <c r="S32" i="60"/>
  <c r="R32" i="60"/>
  <c r="P32" i="60"/>
  <c r="O32" i="60"/>
  <c r="M32" i="60"/>
  <c r="L32" i="60"/>
  <c r="J32" i="60"/>
  <c r="I32" i="60"/>
  <c r="G32" i="60"/>
  <c r="F32" i="60"/>
  <c r="D32" i="60"/>
  <c r="C32" i="60"/>
  <c r="Q31" i="60"/>
  <c r="N31" i="60"/>
  <c r="K31" i="60"/>
  <c r="H31" i="60"/>
  <c r="E31" i="60"/>
  <c r="T30" i="60"/>
  <c r="Q30" i="60"/>
  <c r="N30" i="60"/>
  <c r="K30" i="60"/>
  <c r="H30" i="60"/>
  <c r="E30" i="60"/>
  <c r="Q29" i="60"/>
  <c r="N29" i="60"/>
  <c r="K29" i="60"/>
  <c r="H29" i="60"/>
  <c r="E29" i="60"/>
  <c r="Q28" i="60"/>
  <c r="Q32" i="60" s="1"/>
  <c r="N28" i="60"/>
  <c r="K28" i="60"/>
  <c r="H28" i="60"/>
  <c r="E28" i="60"/>
  <c r="T26" i="60"/>
  <c r="T27" i="60" s="1"/>
  <c r="S26" i="60"/>
  <c r="S27" i="60" s="1"/>
  <c r="R26" i="60"/>
  <c r="R27" i="60" s="1"/>
  <c r="P26" i="60"/>
  <c r="P27" i="60" s="1"/>
  <c r="O26" i="60"/>
  <c r="O27" i="60" s="1"/>
  <c r="M26" i="60"/>
  <c r="M27" i="60" s="1"/>
  <c r="L26" i="60"/>
  <c r="L27" i="60" s="1"/>
  <c r="T25" i="60"/>
  <c r="Q25" i="60"/>
  <c r="Q26" i="60" s="1"/>
  <c r="Q27" i="60" s="1"/>
  <c r="N25" i="60"/>
  <c r="N26" i="60" s="1"/>
  <c r="N27" i="60" s="1"/>
  <c r="S23" i="60"/>
  <c r="R23" i="60"/>
  <c r="P23" i="60"/>
  <c r="P24" i="60" s="1"/>
  <c r="O23" i="60"/>
  <c r="O24" i="60" s="1"/>
  <c r="M23" i="60"/>
  <c r="L23" i="60"/>
  <c r="J23" i="60"/>
  <c r="I23" i="60"/>
  <c r="G23" i="60"/>
  <c r="F23" i="60"/>
  <c r="D23" i="60"/>
  <c r="C23" i="60"/>
  <c r="T22" i="60"/>
  <c r="Q22" i="60"/>
  <c r="N22" i="60"/>
  <c r="K22" i="60"/>
  <c r="K23" i="60" s="1"/>
  <c r="H22" i="60"/>
  <c r="E22" i="60"/>
  <c r="Q21" i="60"/>
  <c r="Q23" i="60" s="1"/>
  <c r="N21" i="60"/>
  <c r="N23" i="60" s="1"/>
  <c r="K21" i="60"/>
  <c r="H21" i="60"/>
  <c r="E21" i="60"/>
  <c r="S20" i="60"/>
  <c r="R20" i="60"/>
  <c r="P20" i="60"/>
  <c r="O20" i="60"/>
  <c r="M20" i="60"/>
  <c r="L20" i="60"/>
  <c r="J20" i="60"/>
  <c r="I20" i="60"/>
  <c r="I24" i="60" s="1"/>
  <c r="G20" i="60"/>
  <c r="F20" i="60"/>
  <c r="D20" i="60"/>
  <c r="C20" i="60"/>
  <c r="T19" i="60"/>
  <c r="T20" i="60" s="1"/>
  <c r="Q19" i="60"/>
  <c r="Q20" i="60" s="1"/>
  <c r="N19" i="60"/>
  <c r="N20" i="60" s="1"/>
  <c r="K19" i="60"/>
  <c r="K20" i="60" s="1"/>
  <c r="H19" i="60"/>
  <c r="H20" i="60" s="1"/>
  <c r="E19" i="60"/>
  <c r="E20" i="60" s="1"/>
  <c r="S18" i="60"/>
  <c r="R18" i="60"/>
  <c r="P18" i="60"/>
  <c r="O18" i="60"/>
  <c r="M18" i="60"/>
  <c r="M24" i="60" s="1"/>
  <c r="L18" i="60"/>
  <c r="J18" i="60"/>
  <c r="I18" i="60"/>
  <c r="G18" i="60"/>
  <c r="F18" i="60"/>
  <c r="D18" i="60"/>
  <c r="C18" i="60"/>
  <c r="Q17" i="60"/>
  <c r="N17" i="60"/>
  <c r="Q16" i="60"/>
  <c r="N16" i="60"/>
  <c r="K16" i="60"/>
  <c r="H16" i="60"/>
  <c r="E16" i="60"/>
  <c r="Q15" i="60"/>
  <c r="N15" i="60"/>
  <c r="K15" i="60"/>
  <c r="H15" i="60"/>
  <c r="H18" i="60" s="1"/>
  <c r="E15" i="60"/>
  <c r="S13" i="60"/>
  <c r="R13" i="60"/>
  <c r="P13" i="60"/>
  <c r="P14" i="60" s="1"/>
  <c r="O13" i="60"/>
  <c r="M13" i="60"/>
  <c r="L13" i="60"/>
  <c r="L14" i="60" s="1"/>
  <c r="K13" i="60"/>
  <c r="J13" i="60"/>
  <c r="I13" i="60"/>
  <c r="H13" i="60"/>
  <c r="G13" i="60"/>
  <c r="F13" i="60"/>
  <c r="E13" i="60"/>
  <c r="D13" i="60"/>
  <c r="D14" i="60" s="1"/>
  <c r="C13" i="60"/>
  <c r="C14" i="60" s="1"/>
  <c r="T12" i="60"/>
  <c r="Q12" i="60"/>
  <c r="N12" i="60"/>
  <c r="T11" i="60"/>
  <c r="T13" i="60" s="1"/>
  <c r="Q11" i="60"/>
  <c r="Q13" i="60" s="1"/>
  <c r="N11" i="60"/>
  <c r="S10" i="60"/>
  <c r="S14" i="60" s="1"/>
  <c r="R10" i="60"/>
  <c r="P10" i="60"/>
  <c r="O10" i="60"/>
  <c r="M10" i="60"/>
  <c r="L10" i="60"/>
  <c r="J10" i="60"/>
  <c r="I10" i="60"/>
  <c r="G10" i="60"/>
  <c r="F10" i="60"/>
  <c r="D10" i="60"/>
  <c r="C10" i="60"/>
  <c r="T10" i="60"/>
  <c r="Q9" i="60"/>
  <c r="Q10" i="60" s="1"/>
  <c r="N9" i="60"/>
  <c r="N10" i="60" s="1"/>
  <c r="K9" i="60"/>
  <c r="K10" i="60" s="1"/>
  <c r="H9" i="60"/>
  <c r="H10" i="60" s="1"/>
  <c r="H14" i="60" s="1"/>
  <c r="E9" i="60"/>
  <c r="E10" i="60" s="1"/>
  <c r="S7" i="60"/>
  <c r="S8" i="60" s="1"/>
  <c r="R7" i="60"/>
  <c r="R8" i="60" s="1"/>
  <c r="P7" i="60"/>
  <c r="P8" i="60" s="1"/>
  <c r="O7" i="60"/>
  <c r="O8" i="60" s="1"/>
  <c r="M7" i="60"/>
  <c r="M8" i="60" s="1"/>
  <c r="L7" i="60"/>
  <c r="L8" i="60" s="1"/>
  <c r="J7" i="60"/>
  <c r="J8" i="60" s="1"/>
  <c r="I7" i="60"/>
  <c r="I8" i="60" s="1"/>
  <c r="G7" i="60"/>
  <c r="G8" i="60" s="1"/>
  <c r="F7" i="60"/>
  <c r="F8" i="60" s="1"/>
  <c r="D7" i="60"/>
  <c r="D8" i="60" s="1"/>
  <c r="C7" i="60"/>
  <c r="C8" i="60" s="1"/>
  <c r="T7" i="60"/>
  <c r="T8" i="60" s="1"/>
  <c r="Q6" i="60"/>
  <c r="Q7" i="60" s="1"/>
  <c r="Q8" i="60" s="1"/>
  <c r="N6" i="60"/>
  <c r="N7" i="60" s="1"/>
  <c r="N8" i="60" s="1"/>
  <c r="K6" i="60"/>
  <c r="K7" i="60"/>
  <c r="K8" i="60" s="1"/>
  <c r="H6" i="60"/>
  <c r="H7" i="60" s="1"/>
  <c r="H8" i="60" s="1"/>
  <c r="E6" i="60"/>
  <c r="E7" i="60" s="1"/>
  <c r="E8" i="60" s="1"/>
  <c r="K36" i="59"/>
  <c r="J36" i="59"/>
  <c r="G36" i="59"/>
  <c r="H34" i="59"/>
  <c r="H36" i="59" s="1"/>
  <c r="J33" i="59"/>
  <c r="G33" i="59"/>
  <c r="D33" i="59"/>
  <c r="D37" i="59" s="1"/>
  <c r="C33" i="59"/>
  <c r="C37" i="59" s="1"/>
  <c r="H32" i="59"/>
  <c r="H33" i="59" s="1"/>
  <c r="E31" i="59"/>
  <c r="K30" i="59"/>
  <c r="K33" i="59" s="1"/>
  <c r="E28" i="59"/>
  <c r="J27" i="59"/>
  <c r="I27" i="59"/>
  <c r="I37" i="59" s="1"/>
  <c r="G27" i="59"/>
  <c r="F27" i="59"/>
  <c r="F37" i="59" s="1"/>
  <c r="K24" i="59"/>
  <c r="K27" i="59" s="1"/>
  <c r="H23" i="59"/>
  <c r="H27" i="59" s="1"/>
  <c r="J21" i="59"/>
  <c r="J22" i="59" s="1"/>
  <c r="I21" i="59"/>
  <c r="I22" i="59" s="1"/>
  <c r="H21" i="59"/>
  <c r="H22" i="59" s="1"/>
  <c r="G21" i="59"/>
  <c r="G22" i="59" s="1"/>
  <c r="F21" i="59"/>
  <c r="F22" i="59" s="1"/>
  <c r="D21" i="59"/>
  <c r="D22" i="59" s="1"/>
  <c r="C21" i="59"/>
  <c r="C22" i="59" s="1"/>
  <c r="K19" i="59"/>
  <c r="K21" i="59"/>
  <c r="K22" i="59" s="1"/>
  <c r="E19" i="59"/>
  <c r="E21" i="59" s="1"/>
  <c r="E22" i="59" s="1"/>
  <c r="I18" i="59"/>
  <c r="F18" i="59"/>
  <c r="J17" i="59"/>
  <c r="K17" i="59" s="1"/>
  <c r="K18" i="59" s="1"/>
  <c r="G17" i="59"/>
  <c r="G18" i="59" s="1"/>
  <c r="H16" i="59"/>
  <c r="H15" i="59"/>
  <c r="J9" i="59"/>
  <c r="I9" i="59"/>
  <c r="I10" i="59" s="1"/>
  <c r="I38" i="59" s="1"/>
  <c r="G9" i="59"/>
  <c r="F9" i="59"/>
  <c r="D9" i="59"/>
  <c r="D10" i="59" s="1"/>
  <c r="C9" i="59"/>
  <c r="C10" i="59" s="1"/>
  <c r="K9" i="59"/>
  <c r="H9" i="59"/>
  <c r="E8" i="59"/>
  <c r="E9" i="59" s="1"/>
  <c r="E10" i="59" s="1"/>
  <c r="K7" i="59"/>
  <c r="J7" i="59"/>
  <c r="I7" i="59"/>
  <c r="G7" i="59"/>
  <c r="F7" i="59"/>
  <c r="H6" i="59"/>
  <c r="H7" i="59" s="1"/>
  <c r="J27" i="58"/>
  <c r="J26" i="58"/>
  <c r="J25" i="58"/>
  <c r="C25" i="58"/>
  <c r="C26" i="58" s="1"/>
  <c r="K23" i="58"/>
  <c r="K26" i="58" s="1"/>
  <c r="E21" i="58"/>
  <c r="E26" i="58" s="1"/>
  <c r="E25" i="58"/>
  <c r="I27" i="58"/>
  <c r="I17" i="58"/>
  <c r="I20" i="58" s="1"/>
  <c r="F17" i="58"/>
  <c r="F20" i="58" s="1"/>
  <c r="F27" i="58" s="1"/>
  <c r="C17" i="58"/>
  <c r="C20" i="58"/>
  <c r="H15" i="58"/>
  <c r="H17" i="58" s="1"/>
  <c r="H20" i="58" s="1"/>
  <c r="H27" i="58" s="1"/>
  <c r="K14" i="58"/>
  <c r="K17" i="58" s="1"/>
  <c r="K20" i="58" s="1"/>
  <c r="E13" i="58"/>
  <c r="E17" i="58" s="1"/>
  <c r="E20" i="58" s="1"/>
  <c r="V12" i="58"/>
  <c r="V20" i="58" s="1"/>
  <c r="V27" i="58" s="1"/>
  <c r="U12" i="58"/>
  <c r="U20" i="58" s="1"/>
  <c r="U27" i="58" s="1"/>
  <c r="S12" i="58"/>
  <c r="S20" i="58" s="1"/>
  <c r="S27" i="58" s="1"/>
  <c r="R12" i="58"/>
  <c r="R20" i="58" s="1"/>
  <c r="R27" i="58" s="1"/>
  <c r="W12" i="58"/>
  <c r="W20" i="58" s="1"/>
  <c r="W27" i="58" s="1"/>
  <c r="T11" i="58"/>
  <c r="T12" i="58" s="1"/>
  <c r="T20" i="58"/>
  <c r="T27" i="58" s="1"/>
  <c r="L9" i="58"/>
  <c r="L10" i="58" s="1"/>
  <c r="L27" i="58" s="1"/>
  <c r="N8" i="58"/>
  <c r="N9" i="58" s="1"/>
  <c r="N10" i="58" s="1"/>
  <c r="N27" i="58" s="1"/>
  <c r="V85" i="57"/>
  <c r="U85" i="57"/>
  <c r="S85" i="57"/>
  <c r="R85" i="57"/>
  <c r="P85" i="57"/>
  <c r="O85" i="57"/>
  <c r="M85" i="57"/>
  <c r="L85" i="57"/>
  <c r="J85" i="57"/>
  <c r="I85" i="57"/>
  <c r="G85" i="57"/>
  <c r="F85" i="57"/>
  <c r="E85" i="57"/>
  <c r="D85" i="57"/>
  <c r="C85" i="57"/>
  <c r="Q84" i="57"/>
  <c r="K84" i="57"/>
  <c r="W83" i="57"/>
  <c r="T83" i="57"/>
  <c r="Q83" i="57"/>
  <c r="H83" i="57"/>
  <c r="T82" i="57"/>
  <c r="Q82" i="57"/>
  <c r="N82" i="57"/>
  <c r="K82" i="57"/>
  <c r="K85" i="57" s="1"/>
  <c r="K86" i="57" s="1"/>
  <c r="H82" i="57"/>
  <c r="H85" i="57" s="1"/>
  <c r="V81" i="57"/>
  <c r="U81" i="57"/>
  <c r="S81" i="57"/>
  <c r="R81" i="57"/>
  <c r="P81" i="57"/>
  <c r="O81" i="57"/>
  <c r="M81" i="57"/>
  <c r="L81" i="57"/>
  <c r="J81" i="57"/>
  <c r="I81" i="57"/>
  <c r="G81" i="57"/>
  <c r="F81" i="57"/>
  <c r="E81" i="57"/>
  <c r="D81" i="57"/>
  <c r="C81" i="57"/>
  <c r="Q80" i="57"/>
  <c r="K80" i="57"/>
  <c r="H80" i="57"/>
  <c r="H81" i="57" s="1"/>
  <c r="T79" i="57"/>
  <c r="Q79" i="57"/>
  <c r="T78" i="57"/>
  <c r="Q78" i="57"/>
  <c r="N78" i="57"/>
  <c r="W77" i="57"/>
  <c r="W76" i="57"/>
  <c r="Q75" i="57"/>
  <c r="Q81" i="57" s="1"/>
  <c r="Q74" i="57"/>
  <c r="N73" i="57"/>
  <c r="W72" i="57"/>
  <c r="T72" i="57"/>
  <c r="N72" i="57"/>
  <c r="K72" i="57"/>
  <c r="V71" i="57"/>
  <c r="U71" i="57"/>
  <c r="S71" i="57"/>
  <c r="R71" i="57"/>
  <c r="P71" i="57"/>
  <c r="O71" i="57"/>
  <c r="M71" i="57"/>
  <c r="L71" i="57"/>
  <c r="J71" i="57"/>
  <c r="I71" i="57"/>
  <c r="G71" i="57"/>
  <c r="G86" i="57" s="1"/>
  <c r="F71" i="57"/>
  <c r="D71" i="57"/>
  <c r="C71" i="57"/>
  <c r="T70" i="57"/>
  <c r="Q70" i="57"/>
  <c r="N70" i="57"/>
  <c r="H70" i="57"/>
  <c r="W69" i="57"/>
  <c r="T68" i="57"/>
  <c r="H68" i="57"/>
  <c r="N67" i="57"/>
  <c r="K67" i="57"/>
  <c r="T66" i="57"/>
  <c r="Q66" i="57"/>
  <c r="N66" i="57"/>
  <c r="Q65" i="57"/>
  <c r="Q64" i="57"/>
  <c r="Q63" i="57"/>
  <c r="W62" i="57"/>
  <c r="T61" i="57"/>
  <c r="K61" i="57"/>
  <c r="H61" i="57"/>
  <c r="T60" i="57"/>
  <c r="Q60" i="57"/>
  <c r="E60" i="57"/>
  <c r="E71" i="57" s="1"/>
  <c r="T59" i="57"/>
  <c r="N59" i="57"/>
  <c r="H59" i="57"/>
  <c r="V57" i="57"/>
  <c r="U57" i="57"/>
  <c r="S57" i="57"/>
  <c r="R57" i="57"/>
  <c r="P57" i="57"/>
  <c r="O57" i="57"/>
  <c r="M57" i="57"/>
  <c r="L57" i="57"/>
  <c r="J57" i="57"/>
  <c r="I57" i="57"/>
  <c r="G57" i="57"/>
  <c r="F57" i="57"/>
  <c r="E57" i="57"/>
  <c r="D57" i="57"/>
  <c r="C57" i="57"/>
  <c r="T56" i="57"/>
  <c r="N56" i="57"/>
  <c r="K56" i="57"/>
  <c r="Q55" i="57"/>
  <c r="N55" i="57"/>
  <c r="T54" i="57"/>
  <c r="Q54" i="57"/>
  <c r="N53" i="57"/>
  <c r="H53" i="57"/>
  <c r="Q52" i="57"/>
  <c r="N51" i="57"/>
  <c r="H51" i="57"/>
  <c r="H57" i="57" s="1"/>
  <c r="V50" i="57"/>
  <c r="U50" i="57"/>
  <c r="S50" i="57"/>
  <c r="R50" i="57"/>
  <c r="P50" i="57"/>
  <c r="O50" i="57"/>
  <c r="M50" i="57"/>
  <c r="L50" i="57"/>
  <c r="J50" i="57"/>
  <c r="I50" i="57"/>
  <c r="G50" i="57"/>
  <c r="F50" i="57"/>
  <c r="D50" i="57"/>
  <c r="C50" i="57"/>
  <c r="T49" i="57"/>
  <c r="K49" i="57"/>
  <c r="H49" i="57"/>
  <c r="W48" i="57"/>
  <c r="T48" i="57"/>
  <c r="N48" i="57"/>
  <c r="K48" i="57"/>
  <c r="H48" i="57"/>
  <c r="T47" i="57"/>
  <c r="Q47" i="57"/>
  <c r="N47" i="57"/>
  <c r="H47" i="57"/>
  <c r="T46" i="57"/>
  <c r="E46" i="57"/>
  <c r="E50" i="57" s="1"/>
  <c r="Q45" i="57"/>
  <c r="K44" i="57"/>
  <c r="H42" i="57"/>
  <c r="V41" i="57"/>
  <c r="U41" i="57"/>
  <c r="S41" i="57"/>
  <c r="R41" i="57"/>
  <c r="P41" i="57"/>
  <c r="O41" i="57"/>
  <c r="M41" i="57"/>
  <c r="L41" i="57"/>
  <c r="J41" i="57"/>
  <c r="I41" i="57"/>
  <c r="G41" i="57"/>
  <c r="F41" i="57"/>
  <c r="D41" i="57"/>
  <c r="C41" i="57"/>
  <c r="T40" i="57"/>
  <c r="Q40" i="57"/>
  <c r="K41" i="57"/>
  <c r="H40" i="57"/>
  <c r="H41" i="57" s="1"/>
  <c r="N39" i="57"/>
  <c r="T38" i="57"/>
  <c r="N38" i="57"/>
  <c r="T37" i="57"/>
  <c r="N37" i="57"/>
  <c r="W36" i="57"/>
  <c r="T35" i="57"/>
  <c r="Q34" i="57"/>
  <c r="E34" i="57"/>
  <c r="E41" i="57" s="1"/>
  <c r="T33" i="57"/>
  <c r="Q32" i="57"/>
  <c r="V30" i="57"/>
  <c r="S30" i="57"/>
  <c r="P30" i="57"/>
  <c r="O30" i="57"/>
  <c r="M30" i="57"/>
  <c r="L30" i="57"/>
  <c r="J30" i="57"/>
  <c r="I30" i="57"/>
  <c r="H30" i="57"/>
  <c r="G30" i="57"/>
  <c r="F30" i="57"/>
  <c r="E30" i="57"/>
  <c r="D30" i="57"/>
  <c r="C30" i="57"/>
  <c r="T29" i="57"/>
  <c r="T28" i="57"/>
  <c r="Q28" i="57"/>
  <c r="K28" i="57"/>
  <c r="T27" i="57"/>
  <c r="Q27" i="57"/>
  <c r="N27" i="57"/>
  <c r="K27" i="57"/>
  <c r="V26" i="57"/>
  <c r="U26" i="57"/>
  <c r="S26" i="57"/>
  <c r="R26" i="57"/>
  <c r="R31" i="57" s="1"/>
  <c r="P26" i="57"/>
  <c r="O26" i="57"/>
  <c r="M26" i="57"/>
  <c r="L26" i="57"/>
  <c r="J26" i="57"/>
  <c r="I26" i="57"/>
  <c r="H26" i="57"/>
  <c r="G26" i="57"/>
  <c r="F26" i="57"/>
  <c r="E26" i="57"/>
  <c r="D26" i="57"/>
  <c r="C26" i="57"/>
  <c r="W26" i="57"/>
  <c r="T25" i="57"/>
  <c r="T26" i="57" s="1"/>
  <c r="Q26" i="57"/>
  <c r="N25" i="57"/>
  <c r="N26" i="57" s="1"/>
  <c r="K25" i="57"/>
  <c r="K26" i="57" s="1"/>
  <c r="V24" i="57"/>
  <c r="U24" i="57"/>
  <c r="S24" i="57"/>
  <c r="R24" i="57"/>
  <c r="P24" i="57"/>
  <c r="O24" i="57"/>
  <c r="L24" i="57"/>
  <c r="J24" i="57"/>
  <c r="I24" i="57"/>
  <c r="G24" i="57"/>
  <c r="F24" i="57"/>
  <c r="E24" i="57"/>
  <c r="D24" i="57"/>
  <c r="C24" i="57"/>
  <c r="W24" i="57"/>
  <c r="T23" i="57"/>
  <c r="Q23" i="57"/>
  <c r="N23" i="57"/>
  <c r="K23" i="57"/>
  <c r="T22" i="57"/>
  <c r="Q22" i="57"/>
  <c r="Q24" i="57" s="1"/>
  <c r="K22" i="57"/>
  <c r="K24" i="57" s="1"/>
  <c r="H22" i="57"/>
  <c r="H24" i="57" s="1"/>
  <c r="V20" i="57"/>
  <c r="U20" i="57"/>
  <c r="S20" i="57"/>
  <c r="R20" i="57"/>
  <c r="P20" i="57"/>
  <c r="O20" i="57"/>
  <c r="M20" i="57"/>
  <c r="L20" i="57"/>
  <c r="J20" i="57"/>
  <c r="I20" i="57"/>
  <c r="G20" i="57"/>
  <c r="F20" i="57"/>
  <c r="D20" i="57"/>
  <c r="C20" i="57"/>
  <c r="H19" i="57"/>
  <c r="H20" i="57" s="1"/>
  <c r="K18" i="57"/>
  <c r="Q20" i="57"/>
  <c r="N20" i="57"/>
  <c r="K17" i="57"/>
  <c r="E17" i="57"/>
  <c r="E20" i="57" s="1"/>
  <c r="V16" i="57"/>
  <c r="U16" i="57"/>
  <c r="S16" i="57"/>
  <c r="R16" i="57"/>
  <c r="P16" i="57"/>
  <c r="O16" i="57"/>
  <c r="M16" i="57"/>
  <c r="L16" i="57"/>
  <c r="J16" i="57"/>
  <c r="I16" i="57"/>
  <c r="G16" i="57"/>
  <c r="F16" i="57"/>
  <c r="E16" i="57"/>
  <c r="D16" i="57"/>
  <c r="C16" i="57"/>
  <c r="W15" i="57"/>
  <c r="Q15" i="57"/>
  <c r="H14" i="57"/>
  <c r="T13" i="57"/>
  <c r="Q13" i="57"/>
  <c r="K13" i="57"/>
  <c r="W12" i="57"/>
  <c r="T12" i="57"/>
  <c r="T11" i="57"/>
  <c r="H10" i="57"/>
  <c r="H16" i="57" s="1"/>
  <c r="V9" i="57"/>
  <c r="U9" i="57"/>
  <c r="S9" i="57"/>
  <c r="R9" i="57"/>
  <c r="P9" i="57"/>
  <c r="O9" i="57"/>
  <c r="M9" i="57"/>
  <c r="M21" i="57"/>
  <c r="L9" i="57"/>
  <c r="J9" i="57"/>
  <c r="I9" i="57"/>
  <c r="G9" i="57"/>
  <c r="G21" i="57" s="1"/>
  <c r="F9" i="57"/>
  <c r="E9" i="57"/>
  <c r="D9" i="57"/>
  <c r="C9" i="57"/>
  <c r="Q8" i="57"/>
  <c r="N8" i="57"/>
  <c r="K8" i="57"/>
  <c r="H8" i="57"/>
  <c r="H9" i="57" s="1"/>
  <c r="T7" i="57"/>
  <c r="Q7" i="57"/>
  <c r="N7" i="57"/>
  <c r="K7" i="57"/>
  <c r="T6" i="57"/>
  <c r="Q5" i="57"/>
  <c r="X106" i="56"/>
  <c r="W106" i="56"/>
  <c r="V106" i="56"/>
  <c r="T106" i="56"/>
  <c r="S106" i="56"/>
  <c r="Q106" i="56"/>
  <c r="P106" i="56"/>
  <c r="N106" i="56"/>
  <c r="M106" i="56"/>
  <c r="K106" i="56"/>
  <c r="J106" i="56"/>
  <c r="H106" i="56"/>
  <c r="G106" i="56"/>
  <c r="E106" i="56"/>
  <c r="D106" i="56"/>
  <c r="U105" i="56"/>
  <c r="U106" i="56" s="1"/>
  <c r="R105" i="56"/>
  <c r="L105" i="56"/>
  <c r="R104" i="56"/>
  <c r="O104" i="56"/>
  <c r="L104" i="56"/>
  <c r="I104" i="56"/>
  <c r="I106" i="56" s="1"/>
  <c r="F104" i="56"/>
  <c r="F106" i="56" s="1"/>
  <c r="W103" i="56"/>
  <c r="V103" i="56"/>
  <c r="T103" i="56"/>
  <c r="S103" i="56"/>
  <c r="Q103" i="56"/>
  <c r="P103" i="56"/>
  <c r="N103" i="56"/>
  <c r="M103" i="56"/>
  <c r="K103" i="56"/>
  <c r="J103" i="56"/>
  <c r="H103" i="56"/>
  <c r="G103" i="56"/>
  <c r="E103" i="56"/>
  <c r="D103" i="56"/>
  <c r="R102" i="56"/>
  <c r="I102" i="56"/>
  <c r="F102" i="56"/>
  <c r="R101" i="56"/>
  <c r="O101" i="56"/>
  <c r="I101" i="56"/>
  <c r="X100" i="56"/>
  <c r="U100" i="56"/>
  <c r="R100" i="56"/>
  <c r="O100" i="56"/>
  <c r="L100" i="56"/>
  <c r="U99" i="56"/>
  <c r="O99" i="56"/>
  <c r="L99" i="56"/>
  <c r="I99" i="56"/>
  <c r="U98" i="56"/>
  <c r="R98" i="56"/>
  <c r="F98" i="56"/>
  <c r="R97" i="56"/>
  <c r="U96" i="56"/>
  <c r="O96" i="56"/>
  <c r="U95" i="56"/>
  <c r="R95" i="56"/>
  <c r="O95" i="56"/>
  <c r="L95" i="56"/>
  <c r="X94" i="56"/>
  <c r="X103" i="56" s="1"/>
  <c r="U94" i="56"/>
  <c r="R94" i="56"/>
  <c r="O94" i="56"/>
  <c r="L94" i="56"/>
  <c r="I94" i="56"/>
  <c r="F94" i="56"/>
  <c r="X93" i="56"/>
  <c r="W93" i="56"/>
  <c r="V93" i="56"/>
  <c r="T93" i="56"/>
  <c r="S93" i="56"/>
  <c r="Q93" i="56"/>
  <c r="P93" i="56"/>
  <c r="N93" i="56"/>
  <c r="M93" i="56"/>
  <c r="K93" i="56"/>
  <c r="J93" i="56"/>
  <c r="H93" i="56"/>
  <c r="G93" i="56"/>
  <c r="E93" i="56"/>
  <c r="D93" i="56"/>
  <c r="U92" i="56"/>
  <c r="O92" i="56"/>
  <c r="I92" i="56"/>
  <c r="U91" i="56"/>
  <c r="R91" i="56"/>
  <c r="O91" i="56"/>
  <c r="R90" i="56"/>
  <c r="O90" i="56"/>
  <c r="R89" i="56"/>
  <c r="R88" i="56"/>
  <c r="R87" i="56"/>
  <c r="O87" i="56"/>
  <c r="I86" i="56"/>
  <c r="R85" i="56"/>
  <c r="O85" i="56"/>
  <c r="L85" i="56"/>
  <c r="I85" i="56"/>
  <c r="U82" i="56"/>
  <c r="R82" i="56"/>
  <c r="L82" i="56"/>
  <c r="U81" i="56"/>
  <c r="R81" i="56"/>
  <c r="O81" i="56"/>
  <c r="L81" i="56"/>
  <c r="I81" i="56"/>
  <c r="U80" i="56"/>
  <c r="R80" i="56"/>
  <c r="O80" i="56"/>
  <c r="I80" i="56"/>
  <c r="X78" i="56"/>
  <c r="W78" i="56"/>
  <c r="V78" i="56"/>
  <c r="T78" i="56"/>
  <c r="S78" i="56"/>
  <c r="Q78" i="56"/>
  <c r="P78" i="56"/>
  <c r="N78" i="56"/>
  <c r="M78" i="56"/>
  <c r="K78" i="56"/>
  <c r="J78" i="56"/>
  <c r="H78" i="56"/>
  <c r="G78" i="56"/>
  <c r="E78" i="56"/>
  <c r="D78" i="56"/>
  <c r="U77" i="56"/>
  <c r="R77" i="56"/>
  <c r="O77" i="56"/>
  <c r="L77" i="56"/>
  <c r="I77" i="56"/>
  <c r="F77" i="56"/>
  <c r="U76" i="56"/>
  <c r="R76" i="56"/>
  <c r="L76" i="56"/>
  <c r="I76" i="56"/>
  <c r="R75" i="56"/>
  <c r="O75" i="56"/>
  <c r="I75" i="56"/>
  <c r="F75" i="56"/>
  <c r="U74" i="56"/>
  <c r="R74" i="56"/>
  <c r="O74" i="56"/>
  <c r="L74" i="56"/>
  <c r="F74" i="56"/>
  <c r="U73" i="56"/>
  <c r="R73" i="56"/>
  <c r="O73" i="56"/>
  <c r="F73" i="56"/>
  <c r="U72" i="56"/>
  <c r="R72" i="56"/>
  <c r="O72" i="56"/>
  <c r="L72" i="56"/>
  <c r="I72" i="56"/>
  <c r="F72" i="56"/>
  <c r="U71" i="56"/>
  <c r="R71" i="56"/>
  <c r="O71" i="56"/>
  <c r="L71" i="56"/>
  <c r="I71" i="56"/>
  <c r="F71" i="56"/>
  <c r="W70" i="56"/>
  <c r="V70" i="56"/>
  <c r="T70" i="56"/>
  <c r="S70" i="56"/>
  <c r="Q70" i="56"/>
  <c r="P70" i="56"/>
  <c r="N70" i="56"/>
  <c r="M70" i="56"/>
  <c r="K70" i="56"/>
  <c r="J70" i="56"/>
  <c r="H70" i="56"/>
  <c r="G70" i="56"/>
  <c r="E70" i="56"/>
  <c r="D70" i="56"/>
  <c r="R69" i="56"/>
  <c r="R68" i="56"/>
  <c r="X67" i="56"/>
  <c r="U67" i="56"/>
  <c r="R67" i="56"/>
  <c r="O67" i="56"/>
  <c r="L67" i="56"/>
  <c r="X66" i="56"/>
  <c r="L66" i="56"/>
  <c r="U65" i="56"/>
  <c r="R65" i="56"/>
  <c r="I65" i="56"/>
  <c r="R64" i="56"/>
  <c r="I64" i="56"/>
  <c r="U62" i="56"/>
  <c r="R62" i="56"/>
  <c r="R60" i="56"/>
  <c r="O60" i="56"/>
  <c r="L60" i="56"/>
  <c r="I60" i="56"/>
  <c r="F60" i="56"/>
  <c r="X59" i="56"/>
  <c r="U59" i="56"/>
  <c r="R59" i="56"/>
  <c r="O59" i="56"/>
  <c r="I59" i="56"/>
  <c r="F59" i="56"/>
  <c r="U58" i="56"/>
  <c r="R58" i="56"/>
  <c r="O58" i="56"/>
  <c r="L58" i="56"/>
  <c r="I58" i="56"/>
  <c r="F58" i="56"/>
  <c r="X57" i="56"/>
  <c r="U57" i="56"/>
  <c r="R57" i="56"/>
  <c r="O57" i="56"/>
  <c r="L57" i="56"/>
  <c r="I57" i="56"/>
  <c r="F57" i="56"/>
  <c r="W56" i="56"/>
  <c r="V56" i="56"/>
  <c r="T56" i="56"/>
  <c r="S56" i="56"/>
  <c r="Q56" i="56"/>
  <c r="P56" i="56"/>
  <c r="N56" i="56"/>
  <c r="N79" i="56" s="1"/>
  <c r="M56" i="56"/>
  <c r="K56" i="56"/>
  <c r="J56" i="56"/>
  <c r="H56" i="56"/>
  <c r="G56" i="56"/>
  <c r="E56" i="56"/>
  <c r="D56" i="56"/>
  <c r="U55" i="56"/>
  <c r="R55" i="56"/>
  <c r="L55" i="56"/>
  <c r="I55" i="56"/>
  <c r="F55" i="56"/>
  <c r="R54" i="56"/>
  <c r="I54" i="56"/>
  <c r="F54" i="56"/>
  <c r="U53" i="56"/>
  <c r="R53" i="56"/>
  <c r="O53" i="56"/>
  <c r="L53" i="56"/>
  <c r="I53" i="56"/>
  <c r="F53" i="56"/>
  <c r="X52" i="56"/>
  <c r="U52" i="56"/>
  <c r="R52" i="56"/>
  <c r="O52" i="56"/>
  <c r="F52" i="56"/>
  <c r="U51" i="56"/>
  <c r="R51" i="56"/>
  <c r="O51" i="56"/>
  <c r="I51" i="56"/>
  <c r="F51" i="56"/>
  <c r="U50" i="56"/>
  <c r="R50" i="56"/>
  <c r="U49" i="56"/>
  <c r="U48" i="56"/>
  <c r="L48" i="56"/>
  <c r="U47" i="56"/>
  <c r="R47" i="56"/>
  <c r="O47" i="56"/>
  <c r="L47" i="56"/>
  <c r="I47" i="56"/>
  <c r="I46" i="56"/>
  <c r="F46" i="56"/>
  <c r="X45" i="56"/>
  <c r="U45" i="56"/>
  <c r="R45" i="56"/>
  <c r="O45" i="56"/>
  <c r="L45" i="56"/>
  <c r="I45" i="56"/>
  <c r="F45" i="56"/>
  <c r="U44" i="56"/>
  <c r="R44" i="56"/>
  <c r="O44" i="56"/>
  <c r="L44" i="56"/>
  <c r="I44" i="56"/>
  <c r="F44" i="56"/>
  <c r="R43" i="56"/>
  <c r="R42" i="56"/>
  <c r="O42" i="56"/>
  <c r="W40" i="56"/>
  <c r="V40" i="56"/>
  <c r="T40" i="56"/>
  <c r="S40" i="56"/>
  <c r="Q40" i="56"/>
  <c r="P40" i="56"/>
  <c r="N40" i="56"/>
  <c r="M40" i="56"/>
  <c r="K40" i="56"/>
  <c r="J40" i="56"/>
  <c r="H40" i="56"/>
  <c r="G40" i="56"/>
  <c r="E40" i="56"/>
  <c r="D40" i="56"/>
  <c r="U39" i="56"/>
  <c r="R39" i="56"/>
  <c r="X38" i="56"/>
  <c r="X40" i="56" s="1"/>
  <c r="U38" i="56"/>
  <c r="R38" i="56"/>
  <c r="O38" i="56"/>
  <c r="L38" i="56"/>
  <c r="I38" i="56"/>
  <c r="F38" i="56"/>
  <c r="F40" i="56" s="1"/>
  <c r="R37" i="56"/>
  <c r="O37" i="56"/>
  <c r="L37" i="56"/>
  <c r="I37" i="56"/>
  <c r="X36" i="56"/>
  <c r="W36" i="56"/>
  <c r="V36" i="56"/>
  <c r="T36" i="56"/>
  <c r="S36" i="56"/>
  <c r="Q36" i="56"/>
  <c r="P36" i="56"/>
  <c r="N36" i="56"/>
  <c r="M36" i="56"/>
  <c r="K36" i="56"/>
  <c r="J36" i="56"/>
  <c r="H36" i="56"/>
  <c r="G36" i="56"/>
  <c r="E36" i="56"/>
  <c r="D36" i="56"/>
  <c r="U36" i="56"/>
  <c r="R35" i="56"/>
  <c r="R36" i="56" s="1"/>
  <c r="O35" i="56"/>
  <c r="O36" i="56" s="1"/>
  <c r="L35" i="56"/>
  <c r="L36" i="56" s="1"/>
  <c r="I35" i="56"/>
  <c r="I36" i="56" s="1"/>
  <c r="F35" i="56"/>
  <c r="F36" i="56"/>
  <c r="W34" i="56"/>
  <c r="V34" i="56"/>
  <c r="T34" i="56"/>
  <c r="S34" i="56"/>
  <c r="Q34" i="56"/>
  <c r="Q41" i="56" s="1"/>
  <c r="P34" i="56"/>
  <c r="N34" i="56"/>
  <c r="M34" i="56"/>
  <c r="K34" i="56"/>
  <c r="J34" i="56"/>
  <c r="H34" i="56"/>
  <c r="G34" i="56"/>
  <c r="E34" i="56"/>
  <c r="D34" i="56"/>
  <c r="X33" i="56"/>
  <c r="X34" i="56" s="1"/>
  <c r="U33" i="56"/>
  <c r="R33" i="56"/>
  <c r="R34" i="56" s="1"/>
  <c r="O33" i="56"/>
  <c r="I33" i="56"/>
  <c r="F34" i="56"/>
  <c r="U32" i="56"/>
  <c r="O32" i="56"/>
  <c r="O34" i="56" s="1"/>
  <c r="L32" i="56"/>
  <c r="I32" i="56"/>
  <c r="X30" i="56"/>
  <c r="W30" i="56"/>
  <c r="V30" i="56"/>
  <c r="T30" i="56"/>
  <c r="S30" i="56"/>
  <c r="Q30" i="56"/>
  <c r="P30" i="56"/>
  <c r="N30" i="56"/>
  <c r="M30" i="56"/>
  <c r="K30" i="56"/>
  <c r="J30" i="56"/>
  <c r="I30" i="56"/>
  <c r="H30" i="56"/>
  <c r="G30" i="56"/>
  <c r="E30" i="56"/>
  <c r="D30" i="56"/>
  <c r="L29" i="56"/>
  <c r="U28" i="56"/>
  <c r="U30" i="56" s="1"/>
  <c r="O28" i="56"/>
  <c r="R27" i="56"/>
  <c r="R30" i="56"/>
  <c r="O26" i="56"/>
  <c r="L26" i="56"/>
  <c r="L30" i="56" s="1"/>
  <c r="F25" i="56"/>
  <c r="F30" i="56" s="1"/>
  <c r="X24" i="56"/>
  <c r="W24" i="56"/>
  <c r="V24" i="56"/>
  <c r="T24" i="56"/>
  <c r="S24" i="56"/>
  <c r="Q24" i="56"/>
  <c r="P24" i="56"/>
  <c r="N24" i="56"/>
  <c r="M24" i="56"/>
  <c r="K24" i="56"/>
  <c r="J24" i="56"/>
  <c r="H24" i="56"/>
  <c r="G24" i="56"/>
  <c r="F24" i="56"/>
  <c r="E24" i="56"/>
  <c r="D24" i="56"/>
  <c r="O23" i="56"/>
  <c r="F23" i="56"/>
  <c r="U22" i="56"/>
  <c r="U24" i="56" s="1"/>
  <c r="R22" i="56"/>
  <c r="O22" i="56"/>
  <c r="R19" i="56"/>
  <c r="R18" i="56"/>
  <c r="R17" i="56"/>
  <c r="O16" i="56"/>
  <c r="I16" i="56"/>
  <c r="L15" i="56"/>
  <c r="L24" i="56" s="1"/>
  <c r="I15" i="56"/>
  <c r="X14" i="56"/>
  <c r="W14" i="56"/>
  <c r="V14" i="56"/>
  <c r="T14" i="56"/>
  <c r="S14" i="56"/>
  <c r="Q14" i="56"/>
  <c r="P14" i="56"/>
  <c r="P31" i="56" s="1"/>
  <c r="N14" i="56"/>
  <c r="M14" i="56"/>
  <c r="K14" i="56"/>
  <c r="J14" i="56"/>
  <c r="H14" i="56"/>
  <c r="G14" i="56"/>
  <c r="E14" i="56"/>
  <c r="D14" i="56"/>
  <c r="U13" i="56"/>
  <c r="R13" i="56"/>
  <c r="O13" i="56"/>
  <c r="L13" i="56"/>
  <c r="F12" i="56"/>
  <c r="U11" i="56"/>
  <c r="O11" i="56"/>
  <c r="L11" i="56"/>
  <c r="I11" i="56"/>
  <c r="U10" i="56"/>
  <c r="R10" i="56"/>
  <c r="O10" i="56"/>
  <c r="L10" i="56"/>
  <c r="I10" i="56"/>
  <c r="F10" i="56"/>
  <c r="U9" i="56"/>
  <c r="R9" i="56"/>
  <c r="O9" i="56"/>
  <c r="L9" i="56"/>
  <c r="I9" i="56"/>
  <c r="F9" i="56"/>
  <c r="R8" i="56"/>
  <c r="O8" i="56"/>
  <c r="I8" i="56"/>
  <c r="F8" i="56"/>
  <c r="U7" i="56"/>
  <c r="R7" i="56"/>
  <c r="O7" i="56"/>
  <c r="L7" i="56"/>
  <c r="I7" i="56"/>
  <c r="F7" i="56"/>
  <c r="U6" i="56"/>
  <c r="R6" i="56"/>
  <c r="L6" i="56"/>
  <c r="I6" i="56"/>
  <c r="F6" i="56"/>
  <c r="O5" i="56"/>
  <c r="L114" i="55"/>
  <c r="K114" i="55"/>
  <c r="J114" i="55"/>
  <c r="I114" i="55"/>
  <c r="H114" i="55"/>
  <c r="G114" i="55"/>
  <c r="F114" i="55"/>
  <c r="E114" i="55"/>
  <c r="D114" i="55"/>
  <c r="C114" i="55"/>
  <c r="L110" i="55"/>
  <c r="K110" i="55"/>
  <c r="J110" i="55"/>
  <c r="J115" i="55" s="1"/>
  <c r="I110" i="55"/>
  <c r="I115" i="55" s="1"/>
  <c r="H110" i="55"/>
  <c r="G110" i="55"/>
  <c r="F110" i="55"/>
  <c r="E110" i="55"/>
  <c r="E115" i="55" s="1"/>
  <c r="D110" i="55"/>
  <c r="C110" i="55"/>
  <c r="L105" i="55"/>
  <c r="K105" i="55"/>
  <c r="J105" i="55"/>
  <c r="I105" i="55"/>
  <c r="H105" i="55"/>
  <c r="G105" i="55"/>
  <c r="F105" i="55"/>
  <c r="E105" i="55"/>
  <c r="D105" i="55"/>
  <c r="C105" i="55"/>
  <c r="L101" i="55"/>
  <c r="K101" i="55"/>
  <c r="J101" i="55"/>
  <c r="I101" i="55"/>
  <c r="L99" i="55"/>
  <c r="L102" i="55" s="1"/>
  <c r="K99" i="55"/>
  <c r="K102" i="55" s="1"/>
  <c r="J99" i="55"/>
  <c r="I99" i="55"/>
  <c r="L96" i="55"/>
  <c r="K96" i="55"/>
  <c r="J96" i="55"/>
  <c r="I96" i="55"/>
  <c r="L93" i="55"/>
  <c r="K93" i="55"/>
  <c r="J93" i="55"/>
  <c r="I93" i="55"/>
  <c r="L91" i="55"/>
  <c r="K91" i="55"/>
  <c r="J91" i="55"/>
  <c r="I91" i="55"/>
  <c r="L87" i="55"/>
  <c r="K87" i="55"/>
  <c r="J87" i="55"/>
  <c r="I87" i="55"/>
  <c r="H87" i="55"/>
  <c r="G87" i="55"/>
  <c r="F87" i="55"/>
  <c r="E87" i="55"/>
  <c r="D87" i="55"/>
  <c r="C87" i="55"/>
  <c r="L82" i="55"/>
  <c r="K82" i="55"/>
  <c r="J82" i="55"/>
  <c r="I82" i="55"/>
  <c r="I88" i="55" s="1"/>
  <c r="H82" i="55"/>
  <c r="G82" i="55"/>
  <c r="F82" i="55"/>
  <c r="E82" i="55"/>
  <c r="D82" i="55"/>
  <c r="C82" i="55"/>
  <c r="L78" i="55"/>
  <c r="K78" i="55"/>
  <c r="J78" i="55"/>
  <c r="I78" i="55"/>
  <c r="H78" i="55"/>
  <c r="G78" i="55"/>
  <c r="F78" i="55"/>
  <c r="E78" i="55"/>
  <c r="D78" i="55"/>
  <c r="C78" i="55"/>
  <c r="Y66" i="55"/>
  <c r="X66" i="55"/>
  <c r="X67" i="55" s="1"/>
  <c r="V66" i="55"/>
  <c r="U66" i="55"/>
  <c r="S66" i="55"/>
  <c r="R66" i="55"/>
  <c r="P66" i="55"/>
  <c r="O66" i="55"/>
  <c r="D66" i="55"/>
  <c r="C66" i="55"/>
  <c r="Z65" i="55"/>
  <c r="W65" i="55"/>
  <c r="T65" i="55"/>
  <c r="Z64" i="55"/>
  <c r="W64" i="55"/>
  <c r="T64" i="55"/>
  <c r="Q64" i="55"/>
  <c r="W63" i="55"/>
  <c r="T63" i="55"/>
  <c r="Q63" i="55"/>
  <c r="Z62" i="55"/>
  <c r="W62" i="55"/>
  <c r="Q62" i="55"/>
  <c r="Z61" i="55"/>
  <c r="W61" i="55"/>
  <c r="T61" i="55"/>
  <c r="T60" i="55"/>
  <c r="E60" i="55"/>
  <c r="E66" i="55" s="1"/>
  <c r="V59" i="55"/>
  <c r="U59" i="55"/>
  <c r="S59" i="55"/>
  <c r="R59" i="55"/>
  <c r="P59" i="55"/>
  <c r="O59" i="55"/>
  <c r="M59" i="55"/>
  <c r="L59" i="55"/>
  <c r="J59" i="55"/>
  <c r="I59" i="55"/>
  <c r="G59" i="55"/>
  <c r="F59" i="55"/>
  <c r="D59" i="55"/>
  <c r="C59" i="55"/>
  <c r="W58" i="55"/>
  <c r="T58" i="55"/>
  <c r="K57" i="55"/>
  <c r="H57" i="55"/>
  <c r="W56" i="55"/>
  <c r="T56" i="55"/>
  <c r="Q56" i="55"/>
  <c r="W55" i="55"/>
  <c r="T55" i="55"/>
  <c r="Q55" i="55"/>
  <c r="N55" i="55"/>
  <c r="N59" i="55" s="1"/>
  <c r="K55" i="55"/>
  <c r="H55" i="55"/>
  <c r="E53" i="55"/>
  <c r="E59" i="55" s="1"/>
  <c r="V52" i="55"/>
  <c r="U52" i="55"/>
  <c r="S52" i="55"/>
  <c r="R52" i="55"/>
  <c r="P52" i="55"/>
  <c r="O52" i="55"/>
  <c r="M52" i="55"/>
  <c r="L52" i="55"/>
  <c r="J52" i="55"/>
  <c r="I52" i="55"/>
  <c r="I67" i="55" s="1"/>
  <c r="G52" i="55"/>
  <c r="F52" i="55"/>
  <c r="D52" i="55"/>
  <c r="C52" i="55"/>
  <c r="W52" i="55"/>
  <c r="T52" i="55"/>
  <c r="Q51" i="55"/>
  <c r="Q52" i="55" s="1"/>
  <c r="N51" i="55"/>
  <c r="N52" i="55" s="1"/>
  <c r="K51" i="55"/>
  <c r="K52" i="55" s="1"/>
  <c r="H51" i="55"/>
  <c r="H52" i="55" s="1"/>
  <c r="E51" i="55"/>
  <c r="E52" i="55" s="1"/>
  <c r="Y49" i="55"/>
  <c r="Y50" i="55" s="1"/>
  <c r="X49" i="55"/>
  <c r="X50" i="55" s="1"/>
  <c r="V49" i="55"/>
  <c r="V50" i="55" s="1"/>
  <c r="U49" i="55"/>
  <c r="U50" i="55" s="1"/>
  <c r="S49" i="55"/>
  <c r="S50" i="55" s="1"/>
  <c r="R49" i="55"/>
  <c r="R50" i="55" s="1"/>
  <c r="Z48" i="55"/>
  <c r="Z49" i="55" s="1"/>
  <c r="Z50" i="55" s="1"/>
  <c r="W48" i="55"/>
  <c r="W49" i="55" s="1"/>
  <c r="W50" i="55" s="1"/>
  <c r="T48" i="55"/>
  <c r="T49" i="55" s="1"/>
  <c r="T50" i="55" s="1"/>
  <c r="D46" i="55"/>
  <c r="C46" i="55"/>
  <c r="E45" i="55"/>
  <c r="E46" i="55" s="1"/>
  <c r="Y44" i="55"/>
  <c r="X44" i="55"/>
  <c r="V44" i="55"/>
  <c r="U44" i="55"/>
  <c r="S44" i="55"/>
  <c r="R44" i="55"/>
  <c r="P44" i="55"/>
  <c r="O44" i="55"/>
  <c r="W43" i="55"/>
  <c r="T43" i="55"/>
  <c r="Q43" i="55"/>
  <c r="Z42" i="55"/>
  <c r="W42" i="55"/>
  <c r="T42" i="55"/>
  <c r="Z41" i="55"/>
  <c r="W41" i="55"/>
  <c r="T41" i="55"/>
  <c r="T44" i="55" s="1"/>
  <c r="Q41" i="55"/>
  <c r="Q44" i="55" s="1"/>
  <c r="Z40" i="55"/>
  <c r="W40" i="55"/>
  <c r="T40" i="55"/>
  <c r="Y39" i="55"/>
  <c r="X39" i="55"/>
  <c r="V39" i="55"/>
  <c r="V47" i="55"/>
  <c r="U39" i="55"/>
  <c r="S39" i="55"/>
  <c r="R39" i="55"/>
  <c r="R47" i="55" s="1"/>
  <c r="P39" i="55"/>
  <c r="O39" i="55"/>
  <c r="M39" i="55"/>
  <c r="M47" i="55" s="1"/>
  <c r="L39" i="55"/>
  <c r="L47" i="55" s="1"/>
  <c r="J39" i="55"/>
  <c r="J47" i="55" s="1"/>
  <c r="I39" i="55"/>
  <c r="I47" i="55" s="1"/>
  <c r="G39" i="55"/>
  <c r="G47" i="55" s="1"/>
  <c r="F39" i="55"/>
  <c r="F47" i="55" s="1"/>
  <c r="D39" i="55"/>
  <c r="C39" i="55"/>
  <c r="E38" i="55"/>
  <c r="Q37" i="55"/>
  <c r="N37" i="55"/>
  <c r="K37" i="55"/>
  <c r="H37" i="55"/>
  <c r="E37" i="55"/>
  <c r="Z36" i="55"/>
  <c r="Z39" i="55" s="1"/>
  <c r="W36" i="55"/>
  <c r="W39" i="55" s="1"/>
  <c r="T36" i="55"/>
  <c r="T39" i="55" s="1"/>
  <c r="Q36" i="55"/>
  <c r="N36" i="55"/>
  <c r="N39" i="55" s="1"/>
  <c r="N47" i="55" s="1"/>
  <c r="K36" i="55"/>
  <c r="K39" i="55" s="1"/>
  <c r="K47" i="55" s="1"/>
  <c r="H36" i="55"/>
  <c r="E36" i="55"/>
  <c r="D34" i="55"/>
  <c r="C34" i="55"/>
  <c r="E33" i="55"/>
  <c r="E34" i="55" s="1"/>
  <c r="D32" i="55"/>
  <c r="D35" i="55" s="1"/>
  <c r="C32" i="55"/>
  <c r="C35" i="55" s="1"/>
  <c r="E31" i="55"/>
  <c r="E30" i="55"/>
  <c r="Y28" i="55"/>
  <c r="X28" i="55"/>
  <c r="V28" i="55"/>
  <c r="U28" i="55"/>
  <c r="S28" i="55"/>
  <c r="R28" i="55"/>
  <c r="P28" i="55"/>
  <c r="O28" i="55"/>
  <c r="G28" i="55"/>
  <c r="F28" i="55"/>
  <c r="D28" i="55"/>
  <c r="C28" i="55"/>
  <c r="Z27" i="55"/>
  <c r="W27" i="55"/>
  <c r="T27" i="55"/>
  <c r="Q27" i="55"/>
  <c r="Z26" i="55"/>
  <c r="W26" i="55"/>
  <c r="T26" i="55"/>
  <c r="W24" i="55"/>
  <c r="T24" i="55"/>
  <c r="Q24" i="55"/>
  <c r="E23" i="55"/>
  <c r="H22" i="55"/>
  <c r="H28" i="55" s="1"/>
  <c r="E22" i="55"/>
  <c r="V21" i="55"/>
  <c r="U21" i="55"/>
  <c r="S21" i="55"/>
  <c r="R21" i="55"/>
  <c r="P21" i="55"/>
  <c r="O21" i="55"/>
  <c r="M21" i="55"/>
  <c r="L21" i="55"/>
  <c r="J21" i="55"/>
  <c r="I21" i="55"/>
  <c r="G21" i="55"/>
  <c r="F21" i="55"/>
  <c r="D21" i="55"/>
  <c r="C21" i="55"/>
  <c r="E20" i="55"/>
  <c r="H19" i="55"/>
  <c r="E19" i="55"/>
  <c r="T18" i="55"/>
  <c r="W17" i="55"/>
  <c r="W16" i="55"/>
  <c r="T16" i="55"/>
  <c r="T21" i="55" s="1"/>
  <c r="Q16" i="55"/>
  <c r="Q21" i="55" s="1"/>
  <c r="N16" i="55"/>
  <c r="N21" i="55" s="1"/>
  <c r="K16" i="55"/>
  <c r="K21" i="55" s="1"/>
  <c r="H16" i="55"/>
  <c r="E16" i="55"/>
  <c r="Y15" i="55"/>
  <c r="X15" i="55"/>
  <c r="V15" i="55"/>
  <c r="U15" i="55"/>
  <c r="S15" i="55"/>
  <c r="R15" i="55"/>
  <c r="P15" i="55"/>
  <c r="O15" i="55"/>
  <c r="M15" i="55"/>
  <c r="M29" i="55" s="1"/>
  <c r="L15" i="55"/>
  <c r="J15" i="55"/>
  <c r="I15" i="55"/>
  <c r="G15" i="55"/>
  <c r="F15" i="55"/>
  <c r="D15" i="55"/>
  <c r="C15" i="55"/>
  <c r="Z14" i="55"/>
  <c r="W14" i="55"/>
  <c r="T14" i="55"/>
  <c r="Q14" i="55"/>
  <c r="N14" i="55"/>
  <c r="K14" i="55"/>
  <c r="Z13" i="55"/>
  <c r="W13" i="55"/>
  <c r="T13" i="55"/>
  <c r="N13" i="55"/>
  <c r="K13" i="55"/>
  <c r="K15" i="55" s="1"/>
  <c r="K29" i="55" s="1"/>
  <c r="Z12" i="55"/>
  <c r="W12" i="55"/>
  <c r="T12" i="55"/>
  <c r="Z11" i="55"/>
  <c r="W11" i="55"/>
  <c r="T11" i="55"/>
  <c r="Q11" i="55"/>
  <c r="N11" i="55"/>
  <c r="Z10" i="55"/>
  <c r="W10" i="55"/>
  <c r="T10" i="55"/>
  <c r="Q10" i="55"/>
  <c r="N10" i="55"/>
  <c r="Z9" i="55"/>
  <c r="W9" i="55"/>
  <c r="T9" i="55"/>
  <c r="N9" i="55"/>
  <c r="K9" i="55"/>
  <c r="Z8" i="55"/>
  <c r="W8" i="55"/>
  <c r="T8" i="55"/>
  <c r="Z7" i="55"/>
  <c r="W7" i="55"/>
  <c r="T7" i="55"/>
  <c r="Q7" i="55"/>
  <c r="N7" i="55"/>
  <c r="K7" i="55"/>
  <c r="Z6" i="55"/>
  <c r="W6" i="55"/>
  <c r="T6" i="55"/>
  <c r="Q6" i="55"/>
  <c r="H6" i="55"/>
  <c r="E6" i="55"/>
  <c r="Z5" i="55"/>
  <c r="W5" i="55"/>
  <c r="T5" i="55"/>
  <c r="Q5" i="55"/>
  <c r="N5" i="55"/>
  <c r="K5" i="55"/>
  <c r="H5" i="55"/>
  <c r="H15" i="55" s="1"/>
  <c r="E5" i="55"/>
  <c r="E15" i="55" s="1"/>
  <c r="S98" i="54"/>
  <c r="R98" i="54"/>
  <c r="P98" i="54"/>
  <c r="O98" i="54"/>
  <c r="M98" i="54"/>
  <c r="L98" i="54"/>
  <c r="J98" i="54"/>
  <c r="I98" i="54"/>
  <c r="K97" i="54"/>
  <c r="Q96" i="54"/>
  <c r="K96" i="54"/>
  <c r="T95" i="54"/>
  <c r="K95" i="54"/>
  <c r="S94" i="54"/>
  <c r="R94" i="54"/>
  <c r="P94" i="54"/>
  <c r="O94" i="54"/>
  <c r="M94" i="54"/>
  <c r="L94" i="54"/>
  <c r="J94" i="54"/>
  <c r="I94" i="54"/>
  <c r="G94" i="54"/>
  <c r="F94" i="54"/>
  <c r="D94" i="54"/>
  <c r="C94" i="54"/>
  <c r="H93" i="54"/>
  <c r="H92" i="54"/>
  <c r="N91" i="54"/>
  <c r="H91" i="54"/>
  <c r="T90" i="54"/>
  <c r="Q90" i="54"/>
  <c r="N90" i="54"/>
  <c r="K90" i="54"/>
  <c r="H90" i="54"/>
  <c r="E90" i="54"/>
  <c r="H89" i="54"/>
  <c r="Q88" i="54"/>
  <c r="T87" i="54"/>
  <c r="K86" i="54"/>
  <c r="H86" i="54"/>
  <c r="E86" i="54"/>
  <c r="S85" i="54"/>
  <c r="R85" i="54"/>
  <c r="P85" i="54"/>
  <c r="Q85" i="54" s="1"/>
  <c r="O85" i="54"/>
  <c r="M85" i="54"/>
  <c r="L85" i="54"/>
  <c r="J85" i="54"/>
  <c r="I85" i="54"/>
  <c r="I99" i="54" s="1"/>
  <c r="G85" i="54"/>
  <c r="F85" i="54"/>
  <c r="D85" i="54"/>
  <c r="C85" i="54"/>
  <c r="Q84" i="54"/>
  <c r="K84" i="54"/>
  <c r="H84" i="54"/>
  <c r="T83" i="54"/>
  <c r="K83" i="54"/>
  <c r="H83" i="54"/>
  <c r="E83" i="54"/>
  <c r="E85" i="54" s="1"/>
  <c r="Q81" i="54"/>
  <c r="K81" i="54"/>
  <c r="T80" i="54"/>
  <c r="K80" i="54"/>
  <c r="T79" i="54"/>
  <c r="K79" i="54"/>
  <c r="H79" i="54"/>
  <c r="S64" i="54"/>
  <c r="R64" i="54"/>
  <c r="P64" i="54"/>
  <c r="O64" i="54"/>
  <c r="M64" i="54"/>
  <c r="L64" i="54"/>
  <c r="J64" i="54"/>
  <c r="I64" i="54"/>
  <c r="G64" i="54"/>
  <c r="F64" i="54"/>
  <c r="D64" i="54"/>
  <c r="C64" i="54"/>
  <c r="Q63" i="54"/>
  <c r="H63" i="54"/>
  <c r="H64" i="54" s="1"/>
  <c r="Q62" i="54"/>
  <c r="E61" i="54"/>
  <c r="E64" i="54" s="1"/>
  <c r="T60" i="54"/>
  <c r="N60" i="54"/>
  <c r="K60" i="54"/>
  <c r="S59" i="54"/>
  <c r="R59" i="54"/>
  <c r="P59" i="54"/>
  <c r="Q59" i="54" s="1"/>
  <c r="O59" i="54"/>
  <c r="M59" i="54"/>
  <c r="L59" i="54"/>
  <c r="J59" i="54"/>
  <c r="I59" i="54"/>
  <c r="G59" i="54"/>
  <c r="F59" i="54"/>
  <c r="D59" i="54"/>
  <c r="C59" i="54"/>
  <c r="N58" i="54"/>
  <c r="K58" i="54"/>
  <c r="H58" i="54"/>
  <c r="E58" i="54"/>
  <c r="K57" i="54"/>
  <c r="H57" i="54"/>
  <c r="T56" i="54"/>
  <c r="N56" i="54"/>
  <c r="K56" i="54"/>
  <c r="H56" i="54"/>
  <c r="Q55" i="54"/>
  <c r="K55" i="54"/>
  <c r="H55" i="54"/>
  <c r="Q54" i="54"/>
  <c r="N54" i="54"/>
  <c r="K54" i="54"/>
  <c r="H54" i="54"/>
  <c r="E54" i="54"/>
  <c r="Q53" i="54"/>
  <c r="H53" i="54"/>
  <c r="N52" i="54"/>
  <c r="K52" i="54"/>
  <c r="H52" i="54"/>
  <c r="K50" i="54"/>
  <c r="H50" i="54"/>
  <c r="E50" i="54"/>
  <c r="N49" i="54"/>
  <c r="K49" i="54"/>
  <c r="H49" i="54"/>
  <c r="E49" i="54"/>
  <c r="N48" i="54"/>
  <c r="S47" i="54"/>
  <c r="R47" i="54"/>
  <c r="P47" i="54"/>
  <c r="O47" i="54"/>
  <c r="M47" i="54"/>
  <c r="L47" i="54"/>
  <c r="J47" i="54"/>
  <c r="J65" i="54" s="1"/>
  <c r="I47" i="54"/>
  <c r="G47" i="54"/>
  <c r="F47" i="54"/>
  <c r="D47" i="54"/>
  <c r="C47" i="54"/>
  <c r="N45" i="54"/>
  <c r="E45" i="54"/>
  <c r="E47" i="54" s="1"/>
  <c r="N43" i="54"/>
  <c r="K43" i="54"/>
  <c r="H43" i="54"/>
  <c r="H47" i="54" s="1"/>
  <c r="K42" i="54"/>
  <c r="S39" i="54"/>
  <c r="R39" i="54"/>
  <c r="P39" i="54"/>
  <c r="O39" i="54"/>
  <c r="M39" i="54"/>
  <c r="L39" i="54"/>
  <c r="J39" i="54"/>
  <c r="I39" i="54"/>
  <c r="G39" i="54"/>
  <c r="F39" i="54"/>
  <c r="D39" i="54"/>
  <c r="C39" i="54"/>
  <c r="N38" i="54"/>
  <c r="K38" i="54"/>
  <c r="N37" i="54"/>
  <c r="Q36" i="54"/>
  <c r="K36" i="54"/>
  <c r="H35" i="54"/>
  <c r="H39" i="54" s="1"/>
  <c r="E39" i="54"/>
  <c r="S34" i="54"/>
  <c r="R34" i="54"/>
  <c r="P34" i="54"/>
  <c r="O34" i="54"/>
  <c r="M34" i="54"/>
  <c r="L34" i="54"/>
  <c r="J34" i="54"/>
  <c r="I34" i="54"/>
  <c r="G34" i="54"/>
  <c r="G40" i="54" s="1"/>
  <c r="F34" i="54"/>
  <c r="D34" i="54"/>
  <c r="C34" i="54"/>
  <c r="K34" i="54"/>
  <c r="H33" i="54"/>
  <c r="H34" i="54" s="1"/>
  <c r="N32" i="54"/>
  <c r="E30" i="54"/>
  <c r="S29" i="54"/>
  <c r="T29" i="54" s="1"/>
  <c r="R29" i="54"/>
  <c r="P29" i="54"/>
  <c r="O29" i="54"/>
  <c r="M29" i="54"/>
  <c r="L29" i="54"/>
  <c r="J29" i="54"/>
  <c r="I29" i="54"/>
  <c r="G29" i="54"/>
  <c r="F29" i="54"/>
  <c r="D29" i="54"/>
  <c r="C29" i="54"/>
  <c r="K28" i="54"/>
  <c r="N27" i="54"/>
  <c r="Q26" i="54"/>
  <c r="N26" i="54"/>
  <c r="K26" i="54"/>
  <c r="K29" i="54" s="1"/>
  <c r="H26" i="54"/>
  <c r="H29" i="54" s="1"/>
  <c r="E26" i="54"/>
  <c r="E29" i="54" s="1"/>
  <c r="S24" i="54"/>
  <c r="R24" i="54"/>
  <c r="P24" i="54"/>
  <c r="O24" i="54"/>
  <c r="M24" i="54"/>
  <c r="L24" i="54"/>
  <c r="J24" i="54"/>
  <c r="I24" i="54"/>
  <c r="G24" i="54"/>
  <c r="F24" i="54"/>
  <c r="D24" i="54"/>
  <c r="C24" i="54"/>
  <c r="T23" i="54"/>
  <c r="Q23" i="54"/>
  <c r="N23" i="54"/>
  <c r="H23" i="54"/>
  <c r="Q22" i="54"/>
  <c r="N22" i="54"/>
  <c r="K22" i="54"/>
  <c r="H22" i="54"/>
  <c r="E22" i="54"/>
  <c r="T21" i="54"/>
  <c r="N21" i="54"/>
  <c r="K21" i="54"/>
  <c r="H21" i="54"/>
  <c r="E21" i="54"/>
  <c r="S20" i="54"/>
  <c r="R20" i="54"/>
  <c r="P20" i="54"/>
  <c r="O20" i="54"/>
  <c r="O25" i="54" s="1"/>
  <c r="M20" i="54"/>
  <c r="L20" i="54"/>
  <c r="J20" i="54"/>
  <c r="I20" i="54"/>
  <c r="G20" i="54"/>
  <c r="F20" i="54"/>
  <c r="D20" i="54"/>
  <c r="C20" i="54"/>
  <c r="C25" i="54" s="1"/>
  <c r="Q19" i="54"/>
  <c r="N19" i="54"/>
  <c r="K19" i="54"/>
  <c r="H19" i="54"/>
  <c r="Q18" i="54"/>
  <c r="K18" i="54"/>
  <c r="N17" i="54"/>
  <c r="K17" i="54"/>
  <c r="H17" i="54"/>
  <c r="E17" i="54"/>
  <c r="T16" i="54"/>
  <c r="Q16" i="54"/>
  <c r="N16" i="54"/>
  <c r="K16" i="54"/>
  <c r="H16" i="54"/>
  <c r="E16" i="54"/>
  <c r="E20" i="54" s="1"/>
  <c r="S15" i="54"/>
  <c r="R15" i="54"/>
  <c r="P15" i="54"/>
  <c r="O15" i="54"/>
  <c r="M15" i="54"/>
  <c r="L15" i="54"/>
  <c r="J15" i="54"/>
  <c r="I15" i="54"/>
  <c r="G15" i="54"/>
  <c r="F15" i="54"/>
  <c r="D15" i="54"/>
  <c r="C15" i="54"/>
  <c r="K14" i="54"/>
  <c r="K13" i="54"/>
  <c r="K12" i="54"/>
  <c r="Q11" i="54"/>
  <c r="N11" i="54"/>
  <c r="K11" i="54"/>
  <c r="H11" i="54"/>
  <c r="E11" i="54"/>
  <c r="K9" i="54"/>
  <c r="H9" i="54"/>
  <c r="N8" i="54"/>
  <c r="H8" i="54"/>
  <c r="E8" i="54"/>
  <c r="Q7" i="54"/>
  <c r="E7" i="54"/>
  <c r="T6" i="54"/>
  <c r="Q6" i="54"/>
  <c r="N6" i="54"/>
  <c r="K6" i="54"/>
  <c r="H6" i="54"/>
  <c r="T5" i="54"/>
  <c r="Q5" i="54"/>
  <c r="K5" i="54"/>
  <c r="E5" i="54"/>
  <c r="V99" i="53"/>
  <c r="U99" i="53"/>
  <c r="S99" i="53"/>
  <c r="R99" i="53"/>
  <c r="P99" i="53"/>
  <c r="O99" i="53"/>
  <c r="M99" i="53"/>
  <c r="L99" i="53"/>
  <c r="J99" i="53"/>
  <c r="I99" i="53"/>
  <c r="G99" i="53"/>
  <c r="F99" i="53"/>
  <c r="D99" i="53"/>
  <c r="C99" i="53"/>
  <c r="H98" i="53"/>
  <c r="Q97" i="53"/>
  <c r="N97" i="53"/>
  <c r="K97" i="53"/>
  <c r="H97" i="53"/>
  <c r="K96" i="53"/>
  <c r="H96" i="53"/>
  <c r="W95" i="53"/>
  <c r="Q95" i="53"/>
  <c r="N95" i="53"/>
  <c r="K95" i="53"/>
  <c r="H95" i="53"/>
  <c r="V94" i="53"/>
  <c r="U94" i="53"/>
  <c r="S94" i="53"/>
  <c r="R94" i="53"/>
  <c r="P94" i="53"/>
  <c r="O94" i="53"/>
  <c r="M94" i="53"/>
  <c r="L94" i="53"/>
  <c r="J94" i="53"/>
  <c r="I94" i="53"/>
  <c r="I100" i="53" s="1"/>
  <c r="G94" i="53"/>
  <c r="F94" i="53"/>
  <c r="D94" i="53"/>
  <c r="C94" i="53"/>
  <c r="K93" i="53"/>
  <c r="H93" i="53"/>
  <c r="H92" i="53"/>
  <c r="Q91" i="53"/>
  <c r="K91" i="53"/>
  <c r="H91" i="53"/>
  <c r="E89" i="53"/>
  <c r="W87" i="53"/>
  <c r="T87" i="53"/>
  <c r="N87" i="53"/>
  <c r="H87" i="53"/>
  <c r="E87" i="53"/>
  <c r="W86" i="53"/>
  <c r="Q86" i="53"/>
  <c r="N86" i="53"/>
  <c r="K86" i="53"/>
  <c r="K94" i="53" s="1"/>
  <c r="H86" i="53"/>
  <c r="V85" i="53"/>
  <c r="V100" i="53" s="1"/>
  <c r="U85" i="53"/>
  <c r="S85" i="53"/>
  <c r="R85" i="53"/>
  <c r="P85" i="53"/>
  <c r="O85" i="53"/>
  <c r="M85" i="53"/>
  <c r="L85" i="53"/>
  <c r="J85" i="53"/>
  <c r="I85" i="53"/>
  <c r="G85" i="53"/>
  <c r="F85" i="53"/>
  <c r="D85" i="53"/>
  <c r="C85" i="53"/>
  <c r="H84" i="53"/>
  <c r="Q83" i="53"/>
  <c r="K83" i="53"/>
  <c r="H81" i="53"/>
  <c r="W80" i="53"/>
  <c r="Q80" i="53"/>
  <c r="N80" i="53"/>
  <c r="W79" i="53"/>
  <c r="K79" i="53"/>
  <c r="H79" i="53"/>
  <c r="E79" i="53"/>
  <c r="V77" i="53"/>
  <c r="U77" i="53"/>
  <c r="W77" i="53" s="1"/>
  <c r="S77" i="53"/>
  <c r="R77" i="53"/>
  <c r="P77" i="53"/>
  <c r="O77" i="53"/>
  <c r="M77" i="53"/>
  <c r="L77" i="53"/>
  <c r="J77" i="53"/>
  <c r="I77" i="53"/>
  <c r="G77" i="53"/>
  <c r="F77" i="53"/>
  <c r="D77" i="53"/>
  <c r="C77" i="53"/>
  <c r="W76" i="53"/>
  <c r="T76" i="53"/>
  <c r="Q76" i="53"/>
  <c r="K76" i="53"/>
  <c r="W75" i="53"/>
  <c r="T75" i="53"/>
  <c r="Q75" i="53"/>
  <c r="N75" i="53"/>
  <c r="K75" i="53"/>
  <c r="H75" i="53"/>
  <c r="E75" i="53"/>
  <c r="V74" i="53"/>
  <c r="U74" i="53"/>
  <c r="S74" i="53"/>
  <c r="R74" i="53"/>
  <c r="P74" i="53"/>
  <c r="O74" i="53"/>
  <c r="M74" i="53"/>
  <c r="L74" i="53"/>
  <c r="J74" i="53"/>
  <c r="J78" i="53" s="1"/>
  <c r="I74" i="53"/>
  <c r="G74" i="53"/>
  <c r="F74" i="53"/>
  <c r="D74" i="53"/>
  <c r="C74" i="53"/>
  <c r="T73" i="53"/>
  <c r="Q73" i="53"/>
  <c r="N73" i="53"/>
  <c r="K73" i="53"/>
  <c r="K74" i="53" s="1"/>
  <c r="H73" i="53"/>
  <c r="H74" i="53" s="1"/>
  <c r="E74" i="53"/>
  <c r="V72" i="53"/>
  <c r="U72" i="53"/>
  <c r="S72" i="53"/>
  <c r="R72" i="53"/>
  <c r="P72" i="53"/>
  <c r="O72" i="53"/>
  <c r="M72" i="53"/>
  <c r="L72" i="53"/>
  <c r="J72" i="53"/>
  <c r="I72" i="53"/>
  <c r="G72" i="53"/>
  <c r="F72" i="53"/>
  <c r="D72" i="53"/>
  <c r="C72" i="53"/>
  <c r="W71" i="53"/>
  <c r="T71" i="53"/>
  <c r="Q71" i="53"/>
  <c r="N71" i="53"/>
  <c r="K71" i="53"/>
  <c r="K72" i="53" s="1"/>
  <c r="H71" i="53"/>
  <c r="H72" i="53" s="1"/>
  <c r="E71" i="53"/>
  <c r="E72" i="53" s="1"/>
  <c r="V69" i="53"/>
  <c r="U69" i="53"/>
  <c r="S69" i="53"/>
  <c r="R69" i="53"/>
  <c r="P69" i="53"/>
  <c r="O69" i="53"/>
  <c r="M69" i="53"/>
  <c r="L69" i="53"/>
  <c r="N69" i="53" s="1"/>
  <c r="J69" i="53"/>
  <c r="I69" i="53"/>
  <c r="G69" i="53"/>
  <c r="F69" i="53"/>
  <c r="D69" i="53"/>
  <c r="C69" i="53"/>
  <c r="K68" i="53"/>
  <c r="Q66" i="53"/>
  <c r="H66" i="53"/>
  <c r="W65" i="53"/>
  <c r="T65" i="53"/>
  <c r="Q65" i="53"/>
  <c r="N65" i="53"/>
  <c r="K65" i="53"/>
  <c r="H65" i="53"/>
  <c r="E65" i="53"/>
  <c r="K64" i="53"/>
  <c r="H64" i="53"/>
  <c r="E64" i="53"/>
  <c r="W63" i="53"/>
  <c r="T63" i="53"/>
  <c r="Q63" i="53"/>
  <c r="N63" i="53"/>
  <c r="V62" i="53"/>
  <c r="U62" i="53"/>
  <c r="S62" i="53"/>
  <c r="R62" i="53"/>
  <c r="P62" i="53"/>
  <c r="O62" i="53"/>
  <c r="M62" i="53"/>
  <c r="L62" i="53"/>
  <c r="J62" i="53"/>
  <c r="I62" i="53"/>
  <c r="G62" i="53"/>
  <c r="F62" i="53"/>
  <c r="D62" i="53"/>
  <c r="E62" i="53" s="1"/>
  <c r="C62" i="53"/>
  <c r="H61" i="53"/>
  <c r="E60" i="53"/>
  <c r="W58" i="53"/>
  <c r="Q58" i="53"/>
  <c r="N58" i="53"/>
  <c r="K58" i="53"/>
  <c r="K56" i="53"/>
  <c r="Q53" i="53"/>
  <c r="N53" i="53"/>
  <c r="H53" i="53"/>
  <c r="V50" i="53"/>
  <c r="U50" i="53"/>
  <c r="S50" i="53"/>
  <c r="R50" i="53"/>
  <c r="P50" i="53"/>
  <c r="O50" i="53"/>
  <c r="M50" i="53"/>
  <c r="M70" i="53" s="1"/>
  <c r="L50" i="53"/>
  <c r="J50" i="53"/>
  <c r="I50" i="53"/>
  <c r="G50" i="53"/>
  <c r="F50" i="53"/>
  <c r="D50" i="53"/>
  <c r="C50" i="53"/>
  <c r="K47" i="53"/>
  <c r="K45" i="53"/>
  <c r="H42" i="53"/>
  <c r="H50" i="53" s="1"/>
  <c r="V39" i="53"/>
  <c r="U39" i="53"/>
  <c r="W39" i="53" s="1"/>
  <c r="S39" i="53"/>
  <c r="R39" i="53"/>
  <c r="P39" i="53"/>
  <c r="O39" i="53"/>
  <c r="M39" i="53"/>
  <c r="L39" i="53"/>
  <c r="J39" i="53"/>
  <c r="I39" i="53"/>
  <c r="G39" i="53"/>
  <c r="F39" i="53"/>
  <c r="D39" i="53"/>
  <c r="C39" i="53"/>
  <c r="W38" i="53"/>
  <c r="T38" i="53"/>
  <c r="Q38" i="53"/>
  <c r="N38" i="53"/>
  <c r="K38" i="53"/>
  <c r="H38" i="53"/>
  <c r="E38" i="53"/>
  <c r="W37" i="53"/>
  <c r="Q37" i="53"/>
  <c r="N37" i="53"/>
  <c r="K37" i="53"/>
  <c r="H37" i="53"/>
  <c r="E37" i="53"/>
  <c r="Q36" i="53"/>
  <c r="W35" i="53"/>
  <c r="T35" i="53"/>
  <c r="Q35" i="53"/>
  <c r="N35" i="53"/>
  <c r="K35" i="53"/>
  <c r="H35" i="53"/>
  <c r="E35" i="53"/>
  <c r="V34" i="53"/>
  <c r="U34" i="53"/>
  <c r="S34" i="53"/>
  <c r="R34" i="53"/>
  <c r="T34" i="53" s="1"/>
  <c r="P34" i="53"/>
  <c r="O34" i="53"/>
  <c r="M34" i="53"/>
  <c r="L34" i="53"/>
  <c r="J34" i="53"/>
  <c r="I34" i="53"/>
  <c r="G34" i="53"/>
  <c r="F34" i="53"/>
  <c r="D34" i="53"/>
  <c r="C34" i="53"/>
  <c r="W33" i="53"/>
  <c r="Q33" i="53"/>
  <c r="N33" i="53"/>
  <c r="K33" i="53"/>
  <c r="H33" i="53"/>
  <c r="T32" i="53"/>
  <c r="Q32" i="53"/>
  <c r="N32" i="53"/>
  <c r="K32" i="53"/>
  <c r="H32" i="53"/>
  <c r="E32" i="53"/>
  <c r="W31" i="53"/>
  <c r="T31" i="53"/>
  <c r="Q31" i="53"/>
  <c r="N31" i="53"/>
  <c r="K31" i="53"/>
  <c r="H31" i="53"/>
  <c r="E31" i="53"/>
  <c r="Q30" i="53"/>
  <c r="N30" i="53"/>
  <c r="K30" i="53"/>
  <c r="H30" i="53"/>
  <c r="E30" i="53"/>
  <c r="V29" i="53"/>
  <c r="U29" i="53"/>
  <c r="S29" i="53"/>
  <c r="R29" i="53"/>
  <c r="P29" i="53"/>
  <c r="O29" i="53"/>
  <c r="Q29" i="53" s="1"/>
  <c r="M29" i="53"/>
  <c r="L29" i="53"/>
  <c r="J29" i="53"/>
  <c r="I29" i="53"/>
  <c r="G29" i="53"/>
  <c r="F29" i="53"/>
  <c r="D29" i="53"/>
  <c r="C29" i="53"/>
  <c r="E29" i="53" s="1"/>
  <c r="W28" i="53"/>
  <c r="Q28" i="53"/>
  <c r="N28" i="53"/>
  <c r="K28" i="53"/>
  <c r="H28" i="53"/>
  <c r="W27" i="53"/>
  <c r="T27" i="53"/>
  <c r="Q27" i="53"/>
  <c r="N27" i="53"/>
  <c r="K27" i="53"/>
  <c r="H27" i="53"/>
  <c r="E27" i="53"/>
  <c r="W26" i="53"/>
  <c r="T26" i="53"/>
  <c r="Q26" i="53"/>
  <c r="N26" i="53"/>
  <c r="K26" i="53"/>
  <c r="H26" i="53"/>
  <c r="E26" i="53"/>
  <c r="V24" i="53"/>
  <c r="U24" i="53"/>
  <c r="S24" i="53"/>
  <c r="R24" i="53"/>
  <c r="P24" i="53"/>
  <c r="O24" i="53"/>
  <c r="M24" i="53"/>
  <c r="L24" i="53"/>
  <c r="J24" i="53"/>
  <c r="I24" i="53"/>
  <c r="G24" i="53"/>
  <c r="F24" i="53"/>
  <c r="D24" i="53"/>
  <c r="E24" i="53" s="1"/>
  <c r="C24" i="53"/>
  <c r="K23" i="53"/>
  <c r="H23" i="53"/>
  <c r="T22" i="53"/>
  <c r="Q22" i="53"/>
  <c r="N22" i="53"/>
  <c r="E22" i="53"/>
  <c r="Q21" i="53"/>
  <c r="V20" i="53"/>
  <c r="U20" i="53"/>
  <c r="S20" i="53"/>
  <c r="R20" i="53"/>
  <c r="P20" i="53"/>
  <c r="O20" i="53"/>
  <c r="M20" i="53"/>
  <c r="L20" i="53"/>
  <c r="J20" i="53"/>
  <c r="I20" i="53"/>
  <c r="G20" i="53"/>
  <c r="F20" i="53"/>
  <c r="D20" i="53"/>
  <c r="C20" i="53"/>
  <c r="Q19" i="53"/>
  <c r="N19" i="53"/>
  <c r="K19" i="53"/>
  <c r="H19" i="53"/>
  <c r="K18" i="53"/>
  <c r="H18" i="53"/>
  <c r="Q17" i="53"/>
  <c r="N17" i="53"/>
  <c r="K17" i="53"/>
  <c r="H17" i="53"/>
  <c r="Q16" i="53"/>
  <c r="N16" i="53"/>
  <c r="K16" i="53"/>
  <c r="H16" i="53"/>
  <c r="V15" i="53"/>
  <c r="V25" i="53" s="1"/>
  <c r="U15" i="53"/>
  <c r="S15" i="53"/>
  <c r="R15" i="53"/>
  <c r="P15" i="53"/>
  <c r="O15" i="53"/>
  <c r="M15" i="53"/>
  <c r="L15" i="53"/>
  <c r="J15" i="53"/>
  <c r="J25" i="53" s="1"/>
  <c r="I15" i="53"/>
  <c r="G15" i="53"/>
  <c r="F15" i="53"/>
  <c r="D15" i="53"/>
  <c r="C15" i="53"/>
  <c r="W14" i="53"/>
  <c r="K13" i="53"/>
  <c r="H13" i="53"/>
  <c r="W11" i="53"/>
  <c r="Q11" i="53"/>
  <c r="K10" i="53"/>
  <c r="H10" i="53"/>
  <c r="K9" i="53"/>
  <c r="K8" i="53"/>
  <c r="H8" i="53"/>
  <c r="N6" i="53"/>
  <c r="K6" i="53"/>
  <c r="H6" i="53"/>
  <c r="Q5" i="53"/>
  <c r="H5" i="53"/>
  <c r="V105" i="52"/>
  <c r="U105" i="52"/>
  <c r="S105" i="52"/>
  <c r="R105" i="52"/>
  <c r="P105" i="52"/>
  <c r="O105" i="52"/>
  <c r="M105" i="52"/>
  <c r="L105" i="52"/>
  <c r="N105" i="52" s="1"/>
  <c r="J105" i="52"/>
  <c r="I105" i="52"/>
  <c r="G105" i="52"/>
  <c r="F105" i="52"/>
  <c r="D105" i="52"/>
  <c r="C105" i="52"/>
  <c r="N104" i="52"/>
  <c r="K104" i="52"/>
  <c r="H104" i="52"/>
  <c r="W103" i="52"/>
  <c r="Q103" i="52"/>
  <c r="N103" i="52"/>
  <c r="K103" i="52"/>
  <c r="H103" i="52"/>
  <c r="E103" i="52"/>
  <c r="W102" i="52"/>
  <c r="Q102" i="52"/>
  <c r="N102" i="52"/>
  <c r="K102" i="52"/>
  <c r="H102" i="52"/>
  <c r="E102" i="52"/>
  <c r="W101" i="52"/>
  <c r="T101" i="52"/>
  <c r="Q101" i="52"/>
  <c r="N101" i="52"/>
  <c r="K101" i="52"/>
  <c r="H101" i="52"/>
  <c r="E101" i="52"/>
  <c r="V100" i="52"/>
  <c r="U100" i="52"/>
  <c r="S100" i="52"/>
  <c r="R100" i="52"/>
  <c r="P100" i="52"/>
  <c r="O100" i="52"/>
  <c r="M100" i="52"/>
  <c r="L100" i="52"/>
  <c r="N100" i="52" s="1"/>
  <c r="J100" i="52"/>
  <c r="I100" i="52"/>
  <c r="G100" i="52"/>
  <c r="F100" i="52"/>
  <c r="D100" i="52"/>
  <c r="C100" i="52"/>
  <c r="W99" i="52"/>
  <c r="Q99" i="52"/>
  <c r="N99" i="52"/>
  <c r="K99" i="52"/>
  <c r="H99" i="52"/>
  <c r="E99" i="52"/>
  <c r="W98" i="52"/>
  <c r="N98" i="52"/>
  <c r="K98" i="52"/>
  <c r="H98" i="52"/>
  <c r="E98" i="52"/>
  <c r="W97" i="52"/>
  <c r="T97" i="52"/>
  <c r="Q97" i="52"/>
  <c r="N97" i="52"/>
  <c r="K97" i="52"/>
  <c r="H97" i="52"/>
  <c r="W96" i="52"/>
  <c r="Q96" i="52"/>
  <c r="N96" i="52"/>
  <c r="K96" i="52"/>
  <c r="H96" i="52"/>
  <c r="W95" i="52"/>
  <c r="T95" i="52"/>
  <c r="Q95" i="52"/>
  <c r="N95" i="52"/>
  <c r="K95" i="52"/>
  <c r="H95" i="52"/>
  <c r="Q94" i="52"/>
  <c r="N94" i="52"/>
  <c r="K94" i="52"/>
  <c r="H94" i="52"/>
  <c r="T93" i="52"/>
  <c r="Q93" i="52"/>
  <c r="N93" i="52"/>
  <c r="K93" i="52"/>
  <c r="H93" i="52"/>
  <c r="E93" i="52"/>
  <c r="W92" i="52"/>
  <c r="Q92" i="52"/>
  <c r="N92" i="52"/>
  <c r="K92" i="52"/>
  <c r="H92" i="52"/>
  <c r="E92" i="52"/>
  <c r="V91" i="52"/>
  <c r="U91" i="52"/>
  <c r="S91" i="52"/>
  <c r="R91" i="52"/>
  <c r="P91" i="52"/>
  <c r="O91" i="52"/>
  <c r="M91" i="52"/>
  <c r="L91" i="52"/>
  <c r="J91" i="52"/>
  <c r="I91" i="52"/>
  <c r="G91" i="52"/>
  <c r="F91" i="52"/>
  <c r="D91" i="52"/>
  <c r="C91" i="52"/>
  <c r="W90" i="52"/>
  <c r="Q90" i="52"/>
  <c r="N90" i="52"/>
  <c r="K90" i="52"/>
  <c r="H90" i="52"/>
  <c r="E90" i="52"/>
  <c r="W89" i="52"/>
  <c r="T89" i="52"/>
  <c r="Q89" i="52"/>
  <c r="N89" i="52"/>
  <c r="K89" i="52"/>
  <c r="H89" i="52"/>
  <c r="E89" i="52"/>
  <c r="Q88" i="52"/>
  <c r="N88" i="52"/>
  <c r="K88" i="52"/>
  <c r="H88" i="52"/>
  <c r="E88" i="52"/>
  <c r="W87" i="52"/>
  <c r="T87" i="52"/>
  <c r="Q87" i="52"/>
  <c r="N87" i="52"/>
  <c r="K87" i="52"/>
  <c r="H87" i="52"/>
  <c r="E87" i="52"/>
  <c r="Q86" i="52"/>
  <c r="N86" i="52"/>
  <c r="K86" i="52"/>
  <c r="H86" i="52"/>
  <c r="E86" i="52"/>
  <c r="T85" i="52"/>
  <c r="Q85" i="52"/>
  <c r="N85" i="52"/>
  <c r="K85" i="52"/>
  <c r="H85" i="52"/>
  <c r="E85" i="52"/>
  <c r="V83" i="52"/>
  <c r="U83" i="52"/>
  <c r="S83" i="52"/>
  <c r="R83" i="52"/>
  <c r="P83" i="52"/>
  <c r="O83" i="52"/>
  <c r="M83" i="52"/>
  <c r="L83" i="52"/>
  <c r="J83" i="52"/>
  <c r="I83" i="52"/>
  <c r="G83" i="52"/>
  <c r="F83" i="52"/>
  <c r="D83" i="52"/>
  <c r="C83" i="52"/>
  <c r="T81" i="52"/>
  <c r="Q81" i="52"/>
  <c r="N81" i="52"/>
  <c r="K81" i="52"/>
  <c r="T80" i="52"/>
  <c r="N80" i="52"/>
  <c r="K80" i="52"/>
  <c r="H80" i="52"/>
  <c r="E83" i="52"/>
  <c r="V79" i="52"/>
  <c r="U79" i="52"/>
  <c r="S79" i="52"/>
  <c r="R79" i="52"/>
  <c r="P79" i="52"/>
  <c r="O79" i="52"/>
  <c r="M79" i="52"/>
  <c r="L79" i="52"/>
  <c r="J79" i="52"/>
  <c r="I79" i="52"/>
  <c r="G79" i="52"/>
  <c r="F79" i="52"/>
  <c r="D79" i="52"/>
  <c r="C79" i="52"/>
  <c r="N76" i="52"/>
  <c r="K76" i="52"/>
  <c r="K79" i="52" s="1"/>
  <c r="H76" i="52"/>
  <c r="H79" i="52" s="1"/>
  <c r="H84" i="52" s="1"/>
  <c r="E76" i="52"/>
  <c r="E79" i="52" s="1"/>
  <c r="V75" i="52"/>
  <c r="U75" i="52"/>
  <c r="S75" i="52"/>
  <c r="R75" i="52"/>
  <c r="P75" i="52"/>
  <c r="O75" i="52"/>
  <c r="Q75" i="52" s="1"/>
  <c r="M75" i="52"/>
  <c r="L75" i="52"/>
  <c r="J75" i="52"/>
  <c r="I75" i="52"/>
  <c r="G75" i="52"/>
  <c r="F75" i="52"/>
  <c r="D75" i="52"/>
  <c r="C75" i="52"/>
  <c r="Q72" i="52"/>
  <c r="N72" i="52"/>
  <c r="K72" i="52"/>
  <c r="K75" i="52" s="1"/>
  <c r="H72" i="52"/>
  <c r="H75" i="52" s="1"/>
  <c r="E72" i="52"/>
  <c r="E75" i="52" s="1"/>
  <c r="V70" i="52"/>
  <c r="U70" i="52"/>
  <c r="S70" i="52"/>
  <c r="R70" i="52"/>
  <c r="P70" i="52"/>
  <c r="O70" i="52"/>
  <c r="M70" i="52"/>
  <c r="L70" i="52"/>
  <c r="J70" i="52"/>
  <c r="I70" i="52"/>
  <c r="G70" i="52"/>
  <c r="F70" i="52"/>
  <c r="D70" i="52"/>
  <c r="C70" i="52"/>
  <c r="Q69" i="52"/>
  <c r="N69" i="52"/>
  <c r="K69" i="52"/>
  <c r="H69" i="52"/>
  <c r="Q68" i="52"/>
  <c r="K68" i="52"/>
  <c r="H68" i="52"/>
  <c r="E68" i="52"/>
  <c r="T67" i="52"/>
  <c r="Q67" i="52"/>
  <c r="N67" i="52"/>
  <c r="K67" i="52"/>
  <c r="H67" i="52"/>
  <c r="N66" i="52"/>
  <c r="K66" i="52"/>
  <c r="H66" i="52"/>
  <c r="Q65" i="52"/>
  <c r="N65" i="52"/>
  <c r="K65" i="52"/>
  <c r="H65" i="52"/>
  <c r="T64" i="52"/>
  <c r="Q64" i="52"/>
  <c r="K64" i="52"/>
  <c r="H64" i="52"/>
  <c r="V63" i="52"/>
  <c r="U63" i="52"/>
  <c r="S63" i="52"/>
  <c r="R63" i="52"/>
  <c r="P63" i="52"/>
  <c r="O63" i="52"/>
  <c r="M63" i="52"/>
  <c r="L63" i="52"/>
  <c r="J63" i="52"/>
  <c r="I63" i="52"/>
  <c r="G63" i="52"/>
  <c r="F63" i="52"/>
  <c r="D63" i="52"/>
  <c r="C63" i="52"/>
  <c r="W62" i="52"/>
  <c r="Q62" i="52"/>
  <c r="K62" i="52"/>
  <c r="H62" i="52"/>
  <c r="E62" i="52"/>
  <c r="Q61" i="52"/>
  <c r="N61" i="52"/>
  <c r="K61" i="52"/>
  <c r="E61" i="52"/>
  <c r="Q60" i="52"/>
  <c r="K60" i="52"/>
  <c r="H60" i="52"/>
  <c r="E60" i="52"/>
  <c r="Q59" i="52"/>
  <c r="K59" i="52"/>
  <c r="H59" i="52"/>
  <c r="E59" i="52"/>
  <c r="Q58" i="52"/>
  <c r="N58" i="52"/>
  <c r="K58" i="52"/>
  <c r="H58" i="52"/>
  <c r="N57" i="52"/>
  <c r="K57" i="52"/>
  <c r="H57" i="52"/>
  <c r="E57" i="52"/>
  <c r="Q56" i="52"/>
  <c r="N56" i="52"/>
  <c r="K56" i="52"/>
  <c r="H56" i="52"/>
  <c r="E56" i="52"/>
  <c r="N55" i="52"/>
  <c r="K55" i="52"/>
  <c r="H55" i="52"/>
  <c r="T54" i="52"/>
  <c r="Q54" i="52"/>
  <c r="N54" i="52"/>
  <c r="K54" i="52"/>
  <c r="H54" i="52"/>
  <c r="E54" i="52"/>
  <c r="Q53" i="52"/>
  <c r="N53" i="52"/>
  <c r="K53" i="52"/>
  <c r="H53" i="52"/>
  <c r="E53" i="52"/>
  <c r="E63" i="52" s="1"/>
  <c r="Q52" i="52"/>
  <c r="N52" i="52"/>
  <c r="K52" i="52"/>
  <c r="H52" i="52"/>
  <c r="V51" i="52"/>
  <c r="U51" i="52"/>
  <c r="S51" i="52"/>
  <c r="R51" i="52"/>
  <c r="P51" i="52"/>
  <c r="O51" i="52"/>
  <c r="O71" i="52" s="1"/>
  <c r="Q71" i="52" s="1"/>
  <c r="M51" i="52"/>
  <c r="L51" i="52"/>
  <c r="J51" i="52"/>
  <c r="I51" i="52"/>
  <c r="G51" i="52"/>
  <c r="F51" i="52"/>
  <c r="D51" i="52"/>
  <c r="C51" i="52"/>
  <c r="C71" i="52" s="1"/>
  <c r="K50" i="52"/>
  <c r="H50" i="52"/>
  <c r="Q49" i="52"/>
  <c r="K49" i="52"/>
  <c r="H49" i="52"/>
  <c r="Q48" i="52"/>
  <c r="N48" i="52"/>
  <c r="K48" i="52"/>
  <c r="H48" i="52"/>
  <c r="T47" i="52"/>
  <c r="Q46" i="52"/>
  <c r="N46" i="52"/>
  <c r="K46" i="52"/>
  <c r="H46" i="52"/>
  <c r="E46" i="52"/>
  <c r="E45" i="52"/>
  <c r="Q44" i="52"/>
  <c r="N44" i="52"/>
  <c r="K44" i="52"/>
  <c r="H44" i="52"/>
  <c r="T43" i="52"/>
  <c r="Q43" i="52"/>
  <c r="K43" i="52"/>
  <c r="H43" i="52"/>
  <c r="H51" i="52" s="1"/>
  <c r="H71" i="52" s="1"/>
  <c r="T41" i="52"/>
  <c r="Q41" i="52"/>
  <c r="N41" i="52"/>
  <c r="H41" i="52"/>
  <c r="V39" i="52"/>
  <c r="U39" i="52"/>
  <c r="S39" i="52"/>
  <c r="R39" i="52"/>
  <c r="T39" i="52" s="1"/>
  <c r="P39" i="52"/>
  <c r="O39" i="52"/>
  <c r="M39" i="52"/>
  <c r="L39" i="52"/>
  <c r="N39" i="52" s="1"/>
  <c r="J39" i="52"/>
  <c r="I39" i="52"/>
  <c r="G39" i="52"/>
  <c r="F39" i="52"/>
  <c r="D39" i="52"/>
  <c r="C39" i="52"/>
  <c r="W38" i="52"/>
  <c r="T38" i="52"/>
  <c r="Q38" i="52"/>
  <c r="N38" i="52"/>
  <c r="K38" i="52"/>
  <c r="H38" i="52"/>
  <c r="W37" i="52"/>
  <c r="Q37" i="52"/>
  <c r="N37" i="52"/>
  <c r="K37" i="52"/>
  <c r="K39" i="52" s="1"/>
  <c r="H37" i="52"/>
  <c r="E37" i="52"/>
  <c r="Q36" i="52"/>
  <c r="T35" i="52"/>
  <c r="Q35" i="52"/>
  <c r="N35" i="52"/>
  <c r="K35" i="52"/>
  <c r="H35" i="52"/>
  <c r="E35" i="52"/>
  <c r="V34" i="52"/>
  <c r="U34" i="52"/>
  <c r="S34" i="52"/>
  <c r="S40" i="52" s="1"/>
  <c r="R34" i="52"/>
  <c r="P34" i="52"/>
  <c r="O34" i="52"/>
  <c r="M34" i="52"/>
  <c r="N34" i="52" s="1"/>
  <c r="L34" i="52"/>
  <c r="J34" i="52"/>
  <c r="I34" i="52"/>
  <c r="G34" i="52"/>
  <c r="G40" i="52" s="1"/>
  <c r="F34" i="52"/>
  <c r="D34" i="52"/>
  <c r="C34" i="52"/>
  <c r="Q33" i="52"/>
  <c r="N33" i="52"/>
  <c r="K33" i="52"/>
  <c r="H33" i="52"/>
  <c r="E33" i="52"/>
  <c r="T32" i="52"/>
  <c r="N32" i="52"/>
  <c r="K32" i="52"/>
  <c r="H32" i="52"/>
  <c r="H34" i="52" s="1"/>
  <c r="E32" i="52"/>
  <c r="W31" i="52"/>
  <c r="Q31" i="52"/>
  <c r="N31" i="52"/>
  <c r="K31" i="52"/>
  <c r="H31" i="52"/>
  <c r="E31" i="52"/>
  <c r="Q30" i="52"/>
  <c r="N30" i="52"/>
  <c r="K30" i="52"/>
  <c r="H30" i="52"/>
  <c r="E30" i="52"/>
  <c r="E34" i="52" s="1"/>
  <c r="V29" i="52"/>
  <c r="U29" i="52"/>
  <c r="S29" i="52"/>
  <c r="R29" i="52"/>
  <c r="T29" i="52" s="1"/>
  <c r="P29" i="52"/>
  <c r="O29" i="52"/>
  <c r="M29" i="52"/>
  <c r="L29" i="52"/>
  <c r="N29" i="52" s="1"/>
  <c r="J29" i="52"/>
  <c r="I29" i="52"/>
  <c r="G29" i="52"/>
  <c r="F29" i="52"/>
  <c r="D29" i="52"/>
  <c r="C29" i="52"/>
  <c r="T28" i="52"/>
  <c r="N28" i="52"/>
  <c r="K28" i="52"/>
  <c r="H28" i="52"/>
  <c r="E28" i="52"/>
  <c r="T27" i="52"/>
  <c r="Q27" i="52"/>
  <c r="N27" i="52"/>
  <c r="K27" i="52"/>
  <c r="H27" i="52"/>
  <c r="E27" i="52"/>
  <c r="W26" i="52"/>
  <c r="T26" i="52"/>
  <c r="Q26" i="52"/>
  <c r="N26" i="52"/>
  <c r="K26" i="52"/>
  <c r="H26" i="52"/>
  <c r="E26" i="52"/>
  <c r="E29" i="52" s="1"/>
  <c r="V24" i="52"/>
  <c r="U24" i="52"/>
  <c r="S24" i="52"/>
  <c r="R24" i="52"/>
  <c r="P24" i="52"/>
  <c r="O24" i="52"/>
  <c r="M24" i="52"/>
  <c r="L24" i="52"/>
  <c r="N24" i="52" s="1"/>
  <c r="J24" i="52"/>
  <c r="I24" i="52"/>
  <c r="G24" i="52"/>
  <c r="F24" i="52"/>
  <c r="D24" i="52"/>
  <c r="C24" i="52"/>
  <c r="W23" i="52"/>
  <c r="T23" i="52"/>
  <c r="Q23" i="52"/>
  <c r="N23" i="52"/>
  <c r="K23" i="52"/>
  <c r="H23" i="52"/>
  <c r="E23" i="52"/>
  <c r="W22" i="52"/>
  <c r="T22" i="52"/>
  <c r="Q22" i="52"/>
  <c r="N22" i="52"/>
  <c r="K22" i="52"/>
  <c r="H22" i="52"/>
  <c r="E22" i="52"/>
  <c r="W21" i="52"/>
  <c r="Q21" i="52"/>
  <c r="N21" i="52"/>
  <c r="K21" i="52"/>
  <c r="K24" i="52" s="1"/>
  <c r="H21" i="52"/>
  <c r="V20" i="52"/>
  <c r="U20" i="52"/>
  <c r="S20" i="52"/>
  <c r="R20" i="52"/>
  <c r="P20" i="52"/>
  <c r="O20" i="52"/>
  <c r="M20" i="52"/>
  <c r="M25" i="52" s="1"/>
  <c r="L20" i="52"/>
  <c r="J20" i="52"/>
  <c r="I20" i="52"/>
  <c r="G20" i="52"/>
  <c r="F20" i="52"/>
  <c r="D20" i="52"/>
  <c r="C20" i="52"/>
  <c r="W19" i="52"/>
  <c r="T19" i="52"/>
  <c r="Q19" i="52"/>
  <c r="N19" i="52"/>
  <c r="K19" i="52"/>
  <c r="K20" i="52" s="1"/>
  <c r="H19" i="52"/>
  <c r="E19" i="52"/>
  <c r="T18" i="52"/>
  <c r="Q18" i="52"/>
  <c r="N18" i="52"/>
  <c r="K18" i="52"/>
  <c r="H18" i="52"/>
  <c r="E18" i="52"/>
  <c r="W17" i="52"/>
  <c r="T17" i="52"/>
  <c r="Q17" i="52"/>
  <c r="N17" i="52"/>
  <c r="K17" i="52"/>
  <c r="H17" i="52"/>
  <c r="E17" i="52"/>
  <c r="T16" i="52"/>
  <c r="Q16" i="52"/>
  <c r="N16" i="52"/>
  <c r="K16" i="52"/>
  <c r="H16" i="52"/>
  <c r="H20" i="52" s="1"/>
  <c r="E16" i="52"/>
  <c r="V15" i="52"/>
  <c r="U15" i="52"/>
  <c r="S15" i="52"/>
  <c r="T15" i="52" s="1"/>
  <c r="R15" i="52"/>
  <c r="P15" i="52"/>
  <c r="O15" i="52"/>
  <c r="M15" i="52"/>
  <c r="L15" i="52"/>
  <c r="J15" i="52"/>
  <c r="I15" i="52"/>
  <c r="G15" i="52"/>
  <c r="F15" i="52"/>
  <c r="D15" i="52"/>
  <c r="C15" i="52"/>
  <c r="Q14" i="52"/>
  <c r="N14" i="52"/>
  <c r="K14" i="52"/>
  <c r="H14" i="52"/>
  <c r="E14" i="52"/>
  <c r="K13" i="52"/>
  <c r="H13" i="52"/>
  <c r="E13" i="52"/>
  <c r="W12" i="52"/>
  <c r="T12" i="52"/>
  <c r="Q12" i="52"/>
  <c r="N12" i="52"/>
  <c r="K12" i="52"/>
  <c r="H12" i="52"/>
  <c r="E12" i="52"/>
  <c r="W11" i="52"/>
  <c r="Q11" i="52"/>
  <c r="N11" i="52"/>
  <c r="K11" i="52"/>
  <c r="H11" i="52"/>
  <c r="E11" i="52"/>
  <c r="W10" i="52"/>
  <c r="Q10" i="52"/>
  <c r="N10" i="52"/>
  <c r="K10" i="52"/>
  <c r="H10" i="52"/>
  <c r="E10" i="52"/>
  <c r="W9" i="52"/>
  <c r="Q9" i="52"/>
  <c r="N9" i="52"/>
  <c r="K9" i="52"/>
  <c r="H9" i="52"/>
  <c r="E9" i="52"/>
  <c r="W8" i="52"/>
  <c r="N8" i="52"/>
  <c r="K8" i="52"/>
  <c r="H8" i="52"/>
  <c r="E8" i="52"/>
  <c r="Q7" i="52"/>
  <c r="K7" i="52"/>
  <c r="E7" i="52"/>
  <c r="N6" i="52"/>
  <c r="K6" i="52"/>
  <c r="H6" i="52"/>
  <c r="E6" i="52"/>
  <c r="W5" i="52"/>
  <c r="Q5" i="52"/>
  <c r="N5" i="52"/>
  <c r="K5" i="52"/>
  <c r="H5" i="52"/>
  <c r="E5" i="52"/>
  <c r="G77" i="51"/>
  <c r="F77" i="51"/>
  <c r="E77" i="51"/>
  <c r="D77" i="51"/>
  <c r="C77" i="51"/>
  <c r="H74" i="51"/>
  <c r="H77" i="51" s="1"/>
  <c r="G73" i="51"/>
  <c r="F73" i="51"/>
  <c r="E73" i="51"/>
  <c r="D73" i="51"/>
  <c r="C73" i="51"/>
  <c r="H71" i="51"/>
  <c r="H69" i="51"/>
  <c r="H67" i="51"/>
  <c r="G65" i="51"/>
  <c r="F65" i="51"/>
  <c r="E65" i="51"/>
  <c r="E78" i="51" s="1"/>
  <c r="D65" i="51"/>
  <c r="C65" i="51"/>
  <c r="H64" i="51"/>
  <c r="H63" i="51"/>
  <c r="H61" i="51"/>
  <c r="H59" i="51"/>
  <c r="G56" i="51"/>
  <c r="G57" i="51" s="1"/>
  <c r="F56" i="51"/>
  <c r="E56" i="51"/>
  <c r="D56" i="51"/>
  <c r="C56" i="51"/>
  <c r="H54" i="51"/>
  <c r="H50" i="51"/>
  <c r="G48" i="51"/>
  <c r="F48" i="51"/>
  <c r="E48" i="51"/>
  <c r="D48" i="51"/>
  <c r="C48" i="51"/>
  <c r="H46" i="51"/>
  <c r="H45" i="51"/>
  <c r="H44" i="51"/>
  <c r="G42" i="51"/>
  <c r="F42" i="51"/>
  <c r="E42" i="51"/>
  <c r="D42" i="51"/>
  <c r="C42" i="51"/>
  <c r="H40" i="51"/>
  <c r="H37" i="51"/>
  <c r="H35" i="51"/>
  <c r="G32" i="51"/>
  <c r="F32" i="51"/>
  <c r="F33" i="51" s="1"/>
  <c r="E32" i="51"/>
  <c r="E33" i="51" s="1"/>
  <c r="D32" i="51"/>
  <c r="C32" i="51"/>
  <c r="H31" i="51"/>
  <c r="G29" i="51"/>
  <c r="F29" i="51"/>
  <c r="E29" i="51"/>
  <c r="D29" i="51"/>
  <c r="C29" i="51"/>
  <c r="H28" i="51"/>
  <c r="H27" i="51"/>
  <c r="H29" i="51" s="1"/>
  <c r="G25" i="51"/>
  <c r="F25" i="51"/>
  <c r="E25" i="51"/>
  <c r="D25" i="51"/>
  <c r="C25" i="51"/>
  <c r="H24" i="51"/>
  <c r="H25" i="51" s="1"/>
  <c r="G22" i="51"/>
  <c r="F22" i="51"/>
  <c r="E22" i="51"/>
  <c r="D22" i="51"/>
  <c r="C22" i="51"/>
  <c r="G18" i="51"/>
  <c r="F18" i="51"/>
  <c r="E18" i="51"/>
  <c r="D18" i="51"/>
  <c r="C18" i="51"/>
  <c r="H14" i="51"/>
  <c r="H13" i="51"/>
  <c r="G8" i="51"/>
  <c r="F8" i="51"/>
  <c r="E8" i="51"/>
  <c r="D8" i="51"/>
  <c r="D23" i="51" s="1"/>
  <c r="C8" i="51"/>
  <c r="H7" i="51"/>
  <c r="H5" i="51"/>
  <c r="G96" i="50"/>
  <c r="F96" i="50"/>
  <c r="E96" i="50"/>
  <c r="D96" i="50"/>
  <c r="C96" i="50"/>
  <c r="H95" i="50"/>
  <c r="H93" i="50"/>
  <c r="G92" i="50"/>
  <c r="F92" i="50"/>
  <c r="E92" i="50"/>
  <c r="D92" i="50"/>
  <c r="C92" i="50"/>
  <c r="H91" i="50"/>
  <c r="H90" i="50"/>
  <c r="H89" i="50"/>
  <c r="H88" i="50"/>
  <c r="H87" i="50"/>
  <c r="G85" i="50"/>
  <c r="F85" i="50"/>
  <c r="E85" i="50"/>
  <c r="D85" i="50"/>
  <c r="C85" i="50"/>
  <c r="H84" i="50"/>
  <c r="H83" i="50"/>
  <c r="H80" i="50"/>
  <c r="H78" i="50"/>
  <c r="H77" i="50"/>
  <c r="G75" i="50"/>
  <c r="F75" i="50"/>
  <c r="H74" i="50"/>
  <c r="H75" i="50" s="1"/>
  <c r="G73" i="50"/>
  <c r="F73" i="50"/>
  <c r="E73" i="50"/>
  <c r="E76" i="50" s="1"/>
  <c r="D73" i="50"/>
  <c r="D76" i="50" s="1"/>
  <c r="C73" i="50"/>
  <c r="C76" i="50" s="1"/>
  <c r="H71" i="50"/>
  <c r="G69" i="50"/>
  <c r="F69" i="50"/>
  <c r="E69" i="50"/>
  <c r="D69" i="50"/>
  <c r="C69" i="50"/>
  <c r="H61" i="50"/>
  <c r="G57" i="50"/>
  <c r="F57" i="50"/>
  <c r="E57" i="50"/>
  <c r="D57" i="50"/>
  <c r="C57" i="50"/>
  <c r="H53" i="50"/>
  <c r="H51" i="50"/>
  <c r="G50" i="50"/>
  <c r="F50" i="50"/>
  <c r="E50" i="50"/>
  <c r="D50" i="50"/>
  <c r="C50" i="50"/>
  <c r="H42" i="50"/>
  <c r="G38" i="50"/>
  <c r="F38" i="50"/>
  <c r="E38" i="50"/>
  <c r="D38" i="50"/>
  <c r="C38" i="50"/>
  <c r="H35" i="50"/>
  <c r="G33" i="50"/>
  <c r="F33" i="50"/>
  <c r="F39" i="50" s="1"/>
  <c r="E33" i="50"/>
  <c r="D33" i="50"/>
  <c r="C33" i="50"/>
  <c r="H32" i="50"/>
  <c r="H30" i="50"/>
  <c r="G29" i="50"/>
  <c r="F29" i="50"/>
  <c r="E29" i="50"/>
  <c r="D29" i="50"/>
  <c r="C29" i="50"/>
  <c r="H27" i="50"/>
  <c r="H26" i="50"/>
  <c r="G24" i="50"/>
  <c r="F24" i="50"/>
  <c r="E24" i="50"/>
  <c r="D24" i="50"/>
  <c r="D25" i="50" s="1"/>
  <c r="C24" i="50"/>
  <c r="H23" i="50"/>
  <c r="H22" i="50"/>
  <c r="G20" i="50"/>
  <c r="F20" i="50"/>
  <c r="E20" i="50"/>
  <c r="D20" i="50"/>
  <c r="C20" i="50"/>
  <c r="C25" i="50" s="1"/>
  <c r="H19" i="50"/>
  <c r="H16" i="50"/>
  <c r="G15" i="50"/>
  <c r="F15" i="50"/>
  <c r="E15" i="50"/>
  <c r="E25" i="50" s="1"/>
  <c r="D15" i="50"/>
  <c r="C15" i="50"/>
  <c r="H14" i="50"/>
  <c r="H15" i="50" s="1"/>
  <c r="H5" i="50"/>
  <c r="L119" i="49"/>
  <c r="K119" i="49"/>
  <c r="I119" i="49"/>
  <c r="H119" i="49"/>
  <c r="F119" i="49"/>
  <c r="E119" i="49"/>
  <c r="M118" i="49"/>
  <c r="J118" i="49"/>
  <c r="G118" i="49"/>
  <c r="G119" i="49" s="1"/>
  <c r="M117" i="49"/>
  <c r="M116" i="49"/>
  <c r="M115" i="49"/>
  <c r="J115" i="49"/>
  <c r="L114" i="49"/>
  <c r="K114" i="49"/>
  <c r="I114" i="49"/>
  <c r="H114" i="49"/>
  <c r="F114" i="49"/>
  <c r="E114" i="49"/>
  <c r="M113" i="49"/>
  <c r="J113" i="49"/>
  <c r="G113" i="49"/>
  <c r="M112" i="49"/>
  <c r="M111" i="49"/>
  <c r="J111" i="49"/>
  <c r="M110" i="49"/>
  <c r="J110" i="49"/>
  <c r="M109" i="49"/>
  <c r="M108" i="49"/>
  <c r="J108" i="49"/>
  <c r="M107" i="49"/>
  <c r="J107" i="49"/>
  <c r="G107" i="49"/>
  <c r="M106" i="49"/>
  <c r="J106" i="49"/>
  <c r="M105" i="49"/>
  <c r="M104" i="49"/>
  <c r="J104" i="49"/>
  <c r="G104" i="49"/>
  <c r="L103" i="49"/>
  <c r="K103" i="49"/>
  <c r="I103" i="49"/>
  <c r="H103" i="49"/>
  <c r="F103" i="49"/>
  <c r="E103" i="49"/>
  <c r="M102" i="49"/>
  <c r="M100" i="49"/>
  <c r="M99" i="49"/>
  <c r="J99" i="49"/>
  <c r="M98" i="49"/>
  <c r="J98" i="49"/>
  <c r="M97" i="49"/>
  <c r="M96" i="49"/>
  <c r="M95" i="49"/>
  <c r="M94" i="49"/>
  <c r="J94" i="49"/>
  <c r="G94" i="49"/>
  <c r="G103" i="49" s="1"/>
  <c r="M93" i="49"/>
  <c r="J93" i="49"/>
  <c r="M92" i="49"/>
  <c r="J92" i="49"/>
  <c r="M91" i="49"/>
  <c r="J91" i="49"/>
  <c r="M90" i="49"/>
  <c r="J90" i="49"/>
  <c r="M89" i="49"/>
  <c r="M88" i="49"/>
  <c r="J88" i="49"/>
  <c r="M87" i="49"/>
  <c r="L85" i="49"/>
  <c r="K85" i="49"/>
  <c r="I85" i="49"/>
  <c r="H85" i="49"/>
  <c r="F85" i="49"/>
  <c r="E85" i="49"/>
  <c r="M84" i="49"/>
  <c r="J84" i="49"/>
  <c r="G84" i="49"/>
  <c r="M83" i="49"/>
  <c r="J83" i="49"/>
  <c r="G83" i="49"/>
  <c r="M82" i="49"/>
  <c r="J82" i="49"/>
  <c r="M81" i="49"/>
  <c r="J81" i="49"/>
  <c r="G81" i="49"/>
  <c r="M80" i="49"/>
  <c r="J80" i="49"/>
  <c r="G80" i="49"/>
  <c r="M79" i="49"/>
  <c r="J79" i="49"/>
  <c r="G79" i="49"/>
  <c r="M78" i="49"/>
  <c r="J78" i="49"/>
  <c r="G78" i="49"/>
  <c r="L77" i="49"/>
  <c r="K77" i="49"/>
  <c r="I77" i="49"/>
  <c r="H77" i="49"/>
  <c r="F77" i="49"/>
  <c r="E77" i="49"/>
  <c r="M75" i="49"/>
  <c r="J75" i="49"/>
  <c r="G75" i="49"/>
  <c r="M74" i="49"/>
  <c r="J74" i="49"/>
  <c r="G74" i="49"/>
  <c r="M73" i="49"/>
  <c r="M72" i="49"/>
  <c r="J72" i="49"/>
  <c r="M71" i="49"/>
  <c r="J71" i="49"/>
  <c r="M70" i="49"/>
  <c r="J70" i="49"/>
  <c r="M69" i="49"/>
  <c r="J69" i="49"/>
  <c r="G69" i="49"/>
  <c r="M68" i="49"/>
  <c r="J68" i="49"/>
  <c r="G68" i="49"/>
  <c r="M67" i="49"/>
  <c r="J67" i="49"/>
  <c r="M66" i="49"/>
  <c r="J66" i="49"/>
  <c r="M65" i="49"/>
  <c r="J65" i="49"/>
  <c r="L64" i="49"/>
  <c r="K64" i="49"/>
  <c r="I64" i="49"/>
  <c r="H64" i="49"/>
  <c r="F64" i="49"/>
  <c r="E64" i="49"/>
  <c r="M63" i="49"/>
  <c r="M61" i="49"/>
  <c r="J61" i="49"/>
  <c r="M60" i="49"/>
  <c r="J60" i="49"/>
  <c r="G60" i="49"/>
  <c r="M59" i="49"/>
  <c r="J59" i="49"/>
  <c r="G59" i="49"/>
  <c r="M58" i="49"/>
  <c r="M56" i="49"/>
  <c r="J56" i="49"/>
  <c r="G56" i="49"/>
  <c r="M55" i="49"/>
  <c r="J55" i="49"/>
  <c r="M54" i="49"/>
  <c r="J54" i="49"/>
  <c r="G54" i="49"/>
  <c r="M53" i="49"/>
  <c r="J53" i="49"/>
  <c r="G53" i="49"/>
  <c r="M52" i="49"/>
  <c r="J52" i="49"/>
  <c r="G52" i="49"/>
  <c r="M51" i="49"/>
  <c r="J51" i="49"/>
  <c r="M50" i="49"/>
  <c r="J50" i="49"/>
  <c r="M49" i="49"/>
  <c r="J49" i="49"/>
  <c r="G49" i="49"/>
  <c r="L47" i="49"/>
  <c r="K47" i="49"/>
  <c r="I47" i="49"/>
  <c r="H47" i="49"/>
  <c r="F47" i="49"/>
  <c r="E47" i="49"/>
  <c r="E48" i="49" s="1"/>
  <c r="M46" i="49"/>
  <c r="J46" i="49"/>
  <c r="G46" i="49"/>
  <c r="M45" i="49"/>
  <c r="J45" i="49"/>
  <c r="G45" i="49"/>
  <c r="L44" i="49"/>
  <c r="K44" i="49"/>
  <c r="I44" i="49"/>
  <c r="H44" i="49"/>
  <c r="F44" i="49"/>
  <c r="E44" i="49"/>
  <c r="M43" i="49"/>
  <c r="M44" i="49" s="1"/>
  <c r="J43" i="49"/>
  <c r="J44" i="49" s="1"/>
  <c r="G43" i="49"/>
  <c r="G44" i="49" s="1"/>
  <c r="L42" i="49"/>
  <c r="K42" i="49"/>
  <c r="I42" i="49"/>
  <c r="H42" i="49"/>
  <c r="M41" i="49"/>
  <c r="J41" i="49"/>
  <c r="M40" i="49"/>
  <c r="J40" i="49"/>
  <c r="L38" i="49"/>
  <c r="K38" i="49"/>
  <c r="I38" i="49"/>
  <c r="H38" i="49"/>
  <c r="F38" i="49"/>
  <c r="E38" i="49"/>
  <c r="M37" i="49"/>
  <c r="J37" i="49"/>
  <c r="G37" i="49"/>
  <c r="M36" i="49"/>
  <c r="J36" i="49"/>
  <c r="M35" i="49"/>
  <c r="M34" i="49"/>
  <c r="J34" i="49"/>
  <c r="M33" i="49"/>
  <c r="J33" i="49"/>
  <c r="G33" i="49"/>
  <c r="G38" i="49" s="1"/>
  <c r="M32" i="49"/>
  <c r="M31" i="49"/>
  <c r="M30" i="49"/>
  <c r="M29" i="49"/>
  <c r="M28" i="49"/>
  <c r="M27" i="49"/>
  <c r="L26" i="49"/>
  <c r="K26" i="49"/>
  <c r="I26" i="49"/>
  <c r="H26" i="49"/>
  <c r="F26" i="49"/>
  <c r="E26" i="49"/>
  <c r="M25" i="49"/>
  <c r="J25" i="49"/>
  <c r="G25" i="49"/>
  <c r="M24" i="49"/>
  <c r="J24" i="49"/>
  <c r="M23" i="49"/>
  <c r="M21" i="49"/>
  <c r="M20" i="49"/>
  <c r="J20" i="49"/>
  <c r="G20" i="49"/>
  <c r="M19" i="49"/>
  <c r="J19" i="49"/>
  <c r="M18" i="49"/>
  <c r="J18" i="49"/>
  <c r="M17" i="49"/>
  <c r="M16" i="49"/>
  <c r="J16" i="49"/>
  <c r="M15" i="49"/>
  <c r="M14" i="49"/>
  <c r="J14" i="49"/>
  <c r="M13" i="49"/>
  <c r="J13" i="49"/>
  <c r="G13" i="49"/>
  <c r="M12" i="49"/>
  <c r="L11" i="49"/>
  <c r="K11" i="49"/>
  <c r="I11" i="49"/>
  <c r="H11" i="49"/>
  <c r="F11" i="49"/>
  <c r="E11" i="49"/>
  <c r="E39" i="49" s="1"/>
  <c r="M10" i="49"/>
  <c r="M9" i="49"/>
  <c r="J9" i="49"/>
  <c r="G9" i="49"/>
  <c r="M8" i="49"/>
  <c r="J8" i="49"/>
  <c r="G8" i="49"/>
  <c r="M7" i="49"/>
  <c r="M11" i="49" s="1"/>
  <c r="J7" i="49"/>
  <c r="M6" i="49"/>
  <c r="J6" i="49"/>
  <c r="G6" i="49"/>
  <c r="M5" i="49"/>
  <c r="J5" i="49"/>
  <c r="G5" i="49"/>
  <c r="S105" i="48"/>
  <c r="R105" i="48"/>
  <c r="P105" i="48"/>
  <c r="O105" i="48"/>
  <c r="Q105" i="48" s="1"/>
  <c r="M105" i="48"/>
  <c r="N105" i="48" s="1"/>
  <c r="L105" i="48"/>
  <c r="J105" i="48"/>
  <c r="I105" i="48"/>
  <c r="G105" i="48"/>
  <c r="F105" i="48"/>
  <c r="D105" i="48"/>
  <c r="C105" i="48"/>
  <c r="T104" i="48"/>
  <c r="Q104" i="48"/>
  <c r="N104" i="48"/>
  <c r="K104" i="48"/>
  <c r="H104" i="48"/>
  <c r="E104" i="48"/>
  <c r="T103" i="48"/>
  <c r="Q103" i="48"/>
  <c r="N103" i="48"/>
  <c r="K103" i="48"/>
  <c r="H103" i="48"/>
  <c r="E103" i="48"/>
  <c r="T102" i="48"/>
  <c r="Q102" i="48"/>
  <c r="N102" i="48"/>
  <c r="K102" i="48"/>
  <c r="H102" i="48"/>
  <c r="E102" i="48"/>
  <c r="T101" i="48"/>
  <c r="Q101" i="48"/>
  <c r="N101" i="48"/>
  <c r="K101" i="48"/>
  <c r="H101" i="48"/>
  <c r="E101" i="48"/>
  <c r="S100" i="48"/>
  <c r="R100" i="48"/>
  <c r="P100" i="48"/>
  <c r="Q100" i="48" s="1"/>
  <c r="O100" i="48"/>
  <c r="M100" i="48"/>
  <c r="L100" i="48"/>
  <c r="N100" i="48" s="1"/>
  <c r="J100" i="48"/>
  <c r="I100" i="48"/>
  <c r="G100" i="48"/>
  <c r="F100" i="48"/>
  <c r="D100" i="48"/>
  <c r="C100" i="48"/>
  <c r="T99" i="48"/>
  <c r="Q99" i="48"/>
  <c r="N99" i="48"/>
  <c r="K99" i="48"/>
  <c r="H99" i="48"/>
  <c r="E99" i="48"/>
  <c r="T98" i="48"/>
  <c r="Q98" i="48"/>
  <c r="N98" i="48"/>
  <c r="K98" i="48"/>
  <c r="H98" i="48"/>
  <c r="E98" i="48"/>
  <c r="T97" i="48"/>
  <c r="Q97" i="48"/>
  <c r="N97" i="48"/>
  <c r="K97" i="48"/>
  <c r="H97" i="48"/>
  <c r="E97" i="48"/>
  <c r="T96" i="48"/>
  <c r="Q96" i="48"/>
  <c r="N96" i="48"/>
  <c r="K96" i="48"/>
  <c r="H96" i="48"/>
  <c r="E96" i="48"/>
  <c r="T95" i="48"/>
  <c r="Q95" i="48"/>
  <c r="N95" i="48"/>
  <c r="K95" i="48"/>
  <c r="H95" i="48"/>
  <c r="E95" i="48"/>
  <c r="T94" i="48"/>
  <c r="Q94" i="48"/>
  <c r="N94" i="48"/>
  <c r="K94" i="48"/>
  <c r="H94" i="48"/>
  <c r="E94" i="48"/>
  <c r="T93" i="48"/>
  <c r="Q93" i="48"/>
  <c r="N93" i="48"/>
  <c r="K93" i="48"/>
  <c r="H93" i="48"/>
  <c r="E93" i="48"/>
  <c r="T92" i="48"/>
  <c r="Q92" i="48"/>
  <c r="N92" i="48"/>
  <c r="K92" i="48"/>
  <c r="H92" i="48"/>
  <c r="E92" i="48"/>
  <c r="S91" i="48"/>
  <c r="T91" i="48" s="1"/>
  <c r="R91" i="48"/>
  <c r="P91" i="48"/>
  <c r="O91" i="48"/>
  <c r="M91" i="48"/>
  <c r="L91" i="48"/>
  <c r="J91" i="48"/>
  <c r="I91" i="48"/>
  <c r="I106" i="48" s="1"/>
  <c r="G91" i="48"/>
  <c r="F91" i="48"/>
  <c r="D91" i="48"/>
  <c r="C91" i="48"/>
  <c r="T90" i="48"/>
  <c r="Q90" i="48"/>
  <c r="N90" i="48"/>
  <c r="K90" i="48"/>
  <c r="H90" i="48"/>
  <c r="E90" i="48"/>
  <c r="T89" i="48"/>
  <c r="Q89" i="48"/>
  <c r="N89" i="48"/>
  <c r="K89" i="48"/>
  <c r="H89" i="48"/>
  <c r="E89" i="48"/>
  <c r="T88" i="48"/>
  <c r="Q88" i="48"/>
  <c r="N88" i="48"/>
  <c r="K88" i="48"/>
  <c r="H88" i="48"/>
  <c r="E88" i="48"/>
  <c r="T87" i="48"/>
  <c r="Q87" i="48"/>
  <c r="N87" i="48"/>
  <c r="K87" i="48"/>
  <c r="H87" i="48"/>
  <c r="E87" i="48"/>
  <c r="T86" i="48"/>
  <c r="Q86" i="48"/>
  <c r="N86" i="48"/>
  <c r="K86" i="48"/>
  <c r="H86" i="48"/>
  <c r="E86" i="48"/>
  <c r="T85" i="48"/>
  <c r="Q85" i="48"/>
  <c r="N85" i="48"/>
  <c r="K85" i="48"/>
  <c r="H85" i="48"/>
  <c r="E85" i="48"/>
  <c r="S83" i="48"/>
  <c r="R83" i="48"/>
  <c r="P83" i="48"/>
  <c r="O83" i="48"/>
  <c r="M83" i="48"/>
  <c r="L83" i="48"/>
  <c r="J83" i="48"/>
  <c r="I83" i="48"/>
  <c r="G83" i="48"/>
  <c r="F83" i="48"/>
  <c r="D83" i="48"/>
  <c r="C83" i="48"/>
  <c r="T82" i="48"/>
  <c r="T81" i="48"/>
  <c r="Q81" i="48"/>
  <c r="N81" i="48"/>
  <c r="K81" i="48"/>
  <c r="H81" i="48"/>
  <c r="E81" i="48"/>
  <c r="T80" i="48"/>
  <c r="Q80" i="48"/>
  <c r="N80" i="48"/>
  <c r="K80" i="48"/>
  <c r="H80" i="48"/>
  <c r="H83" i="48" s="1"/>
  <c r="H84" i="48" s="1"/>
  <c r="E80" i="48"/>
  <c r="S79" i="48"/>
  <c r="R79" i="48"/>
  <c r="P79" i="48"/>
  <c r="O79" i="48"/>
  <c r="M79" i="48"/>
  <c r="L79" i="48"/>
  <c r="J79" i="48"/>
  <c r="J84" i="48" s="1"/>
  <c r="I79" i="48"/>
  <c r="K79" i="48" s="1"/>
  <c r="G79" i="48"/>
  <c r="F79" i="48"/>
  <c r="D79" i="48"/>
  <c r="C79" i="48"/>
  <c r="T78" i="48"/>
  <c r="T77" i="48"/>
  <c r="Q77" i="48"/>
  <c r="N77" i="48"/>
  <c r="T76" i="48"/>
  <c r="Q76" i="48"/>
  <c r="N76" i="48"/>
  <c r="K76" i="48"/>
  <c r="H76" i="48"/>
  <c r="H79" i="48" s="1"/>
  <c r="E76" i="48"/>
  <c r="E79" i="48" s="1"/>
  <c r="S75" i="48"/>
  <c r="R75" i="48"/>
  <c r="R84" i="48" s="1"/>
  <c r="P75" i="48"/>
  <c r="O75" i="48"/>
  <c r="M75" i="48"/>
  <c r="L75" i="48"/>
  <c r="J75" i="48"/>
  <c r="I75" i="48"/>
  <c r="G75" i="48"/>
  <c r="F75" i="48"/>
  <c r="F84" i="48" s="1"/>
  <c r="D75" i="48"/>
  <c r="C75" i="48"/>
  <c r="T74" i="48"/>
  <c r="T73" i="48"/>
  <c r="Q73" i="48"/>
  <c r="T72" i="48"/>
  <c r="Q72" i="48"/>
  <c r="Q75" i="48" s="1"/>
  <c r="N72" i="48"/>
  <c r="K72" i="48"/>
  <c r="K75" i="48" s="1"/>
  <c r="H72" i="48"/>
  <c r="H75" i="48" s="1"/>
  <c r="E72" i="48"/>
  <c r="E75" i="48" s="1"/>
  <c r="S70" i="48"/>
  <c r="R70" i="48"/>
  <c r="P70" i="48"/>
  <c r="O70" i="48"/>
  <c r="M70" i="48"/>
  <c r="N70" i="48" s="1"/>
  <c r="L70" i="48"/>
  <c r="J70" i="48"/>
  <c r="I70" i="48"/>
  <c r="G70" i="48"/>
  <c r="F70" i="48"/>
  <c r="D70" i="48"/>
  <c r="C70" i="48"/>
  <c r="T69" i="48"/>
  <c r="Q69" i="48"/>
  <c r="N69" i="48"/>
  <c r="K69" i="48"/>
  <c r="H69" i="48"/>
  <c r="E69" i="48"/>
  <c r="T68" i="48"/>
  <c r="Q68" i="48"/>
  <c r="N68" i="48"/>
  <c r="K68" i="48"/>
  <c r="H68" i="48"/>
  <c r="E68" i="48"/>
  <c r="T67" i="48"/>
  <c r="Q67" i="48"/>
  <c r="N67" i="48"/>
  <c r="K67" i="48"/>
  <c r="H67" i="48"/>
  <c r="E67" i="48"/>
  <c r="T66" i="48"/>
  <c r="Q66" i="48"/>
  <c r="N66" i="48"/>
  <c r="K66" i="48"/>
  <c r="H66" i="48"/>
  <c r="E66" i="48"/>
  <c r="T65" i="48"/>
  <c r="Q65" i="48"/>
  <c r="N65" i="48"/>
  <c r="K65" i="48"/>
  <c r="H65" i="48"/>
  <c r="E65" i="48"/>
  <c r="T64" i="48"/>
  <c r="Q64" i="48"/>
  <c r="N64" i="48"/>
  <c r="K64" i="48"/>
  <c r="H64" i="48"/>
  <c r="E64" i="48"/>
  <c r="S63" i="48"/>
  <c r="R63" i="48"/>
  <c r="P63" i="48"/>
  <c r="O63" i="48"/>
  <c r="M63" i="48"/>
  <c r="N63" i="48" s="1"/>
  <c r="L63" i="48"/>
  <c r="J63" i="48"/>
  <c r="I63" i="48"/>
  <c r="G63" i="48"/>
  <c r="F63" i="48"/>
  <c r="D63" i="48"/>
  <c r="C63" i="48"/>
  <c r="T62" i="48"/>
  <c r="Q62" i="48"/>
  <c r="N62" i="48"/>
  <c r="K62" i="48"/>
  <c r="H62" i="48"/>
  <c r="E62" i="48"/>
  <c r="T61" i="48"/>
  <c r="Q61" i="48"/>
  <c r="N61" i="48"/>
  <c r="K61" i="48"/>
  <c r="H61" i="48"/>
  <c r="E61" i="48"/>
  <c r="T60" i="48"/>
  <c r="Q60" i="48"/>
  <c r="N60" i="48"/>
  <c r="K60" i="48"/>
  <c r="H60" i="48"/>
  <c r="E60" i="48"/>
  <c r="T59" i="48"/>
  <c r="Q59" i="48"/>
  <c r="N59" i="48"/>
  <c r="K59" i="48"/>
  <c r="H59" i="48"/>
  <c r="E59" i="48"/>
  <c r="T58" i="48"/>
  <c r="Q58" i="48"/>
  <c r="N58" i="48"/>
  <c r="K58" i="48"/>
  <c r="H58" i="48"/>
  <c r="E58" i="48"/>
  <c r="T57" i="48"/>
  <c r="Q57" i="48"/>
  <c r="N57" i="48"/>
  <c r="K57" i="48"/>
  <c r="H57" i="48"/>
  <c r="E57" i="48"/>
  <c r="T56" i="48"/>
  <c r="Q56" i="48"/>
  <c r="N56" i="48"/>
  <c r="K56" i="48"/>
  <c r="H56" i="48"/>
  <c r="E56" i="48"/>
  <c r="T55" i="48"/>
  <c r="Q55" i="48"/>
  <c r="N55" i="48"/>
  <c r="K55" i="48"/>
  <c r="H55" i="48"/>
  <c r="E55" i="48"/>
  <c r="T54" i="48"/>
  <c r="Q54" i="48"/>
  <c r="N54" i="48"/>
  <c r="K54" i="48"/>
  <c r="H54" i="48"/>
  <c r="E54" i="48"/>
  <c r="T53" i="48"/>
  <c r="Q53" i="48"/>
  <c r="N53" i="48"/>
  <c r="K53" i="48"/>
  <c r="H53" i="48"/>
  <c r="E53" i="48"/>
  <c r="T52" i="48"/>
  <c r="Q52" i="48"/>
  <c r="N52" i="48"/>
  <c r="K52" i="48"/>
  <c r="H52" i="48"/>
  <c r="E52" i="48"/>
  <c r="S51" i="48"/>
  <c r="R51" i="48"/>
  <c r="P51" i="48"/>
  <c r="O51" i="48"/>
  <c r="M51" i="48"/>
  <c r="L51" i="48"/>
  <c r="L71" i="48" s="1"/>
  <c r="J51" i="48"/>
  <c r="K51" i="48" s="1"/>
  <c r="I51" i="48"/>
  <c r="G51" i="48"/>
  <c r="F51" i="48"/>
  <c r="D51" i="48"/>
  <c r="C51" i="48"/>
  <c r="T50" i="48"/>
  <c r="Q50" i="48"/>
  <c r="N50" i="48"/>
  <c r="T49" i="48"/>
  <c r="Q49" i="48"/>
  <c r="N49" i="48"/>
  <c r="K49" i="48"/>
  <c r="H49" i="48"/>
  <c r="E49" i="48"/>
  <c r="T48" i="48"/>
  <c r="Q48" i="48"/>
  <c r="N48" i="48"/>
  <c r="K48" i="48"/>
  <c r="H48" i="48"/>
  <c r="E48" i="48"/>
  <c r="T47" i="48"/>
  <c r="Q47" i="48"/>
  <c r="N47" i="48"/>
  <c r="K47" i="48"/>
  <c r="H47" i="48"/>
  <c r="E47" i="48"/>
  <c r="T46" i="48"/>
  <c r="Q46" i="48"/>
  <c r="N46" i="48"/>
  <c r="K46" i="48"/>
  <c r="H46" i="48"/>
  <c r="E46" i="48"/>
  <c r="T45" i="48"/>
  <c r="Q45" i="48"/>
  <c r="N45" i="48"/>
  <c r="K45" i="48"/>
  <c r="H45" i="48"/>
  <c r="E45" i="48"/>
  <c r="T44" i="48"/>
  <c r="Q44" i="48"/>
  <c r="N44" i="48"/>
  <c r="K44" i="48"/>
  <c r="H44" i="48"/>
  <c r="E44" i="48"/>
  <c r="T43" i="48"/>
  <c r="Q43" i="48"/>
  <c r="N43" i="48"/>
  <c r="K43" i="48"/>
  <c r="H43" i="48"/>
  <c r="E43" i="48"/>
  <c r="T42" i="48"/>
  <c r="Q42" i="48"/>
  <c r="N42" i="48"/>
  <c r="K42" i="48"/>
  <c r="H42" i="48"/>
  <c r="H51" i="48" s="1"/>
  <c r="E42" i="48"/>
  <c r="T41" i="48"/>
  <c r="Q41" i="48"/>
  <c r="N41" i="48"/>
  <c r="K41" i="48"/>
  <c r="H41" i="48"/>
  <c r="E41" i="48"/>
  <c r="S39" i="48"/>
  <c r="S40" i="48" s="1"/>
  <c r="R39" i="48"/>
  <c r="P39" i="48"/>
  <c r="O39" i="48"/>
  <c r="M39" i="48"/>
  <c r="L39" i="48"/>
  <c r="J39" i="48"/>
  <c r="I39" i="48"/>
  <c r="K39" i="48" s="1"/>
  <c r="G39" i="48"/>
  <c r="G40" i="48" s="1"/>
  <c r="F39" i="48"/>
  <c r="D39" i="48"/>
  <c r="C39" i="48"/>
  <c r="T38" i="48"/>
  <c r="Q38" i="48"/>
  <c r="N38" i="48"/>
  <c r="K38" i="48"/>
  <c r="H38" i="48"/>
  <c r="E38" i="48"/>
  <c r="T37" i="48"/>
  <c r="Q37" i="48"/>
  <c r="N37" i="48"/>
  <c r="K37" i="48"/>
  <c r="H37" i="48"/>
  <c r="E37" i="48"/>
  <c r="T36" i="48"/>
  <c r="Q36" i="48"/>
  <c r="T35" i="48"/>
  <c r="Q35" i="48"/>
  <c r="N35" i="48"/>
  <c r="K35" i="48"/>
  <c r="H35" i="48"/>
  <c r="E35" i="48"/>
  <c r="S34" i="48"/>
  <c r="R34" i="48"/>
  <c r="P34" i="48"/>
  <c r="O34" i="48"/>
  <c r="M34" i="48"/>
  <c r="L34" i="48"/>
  <c r="J34" i="48"/>
  <c r="I34" i="48"/>
  <c r="K34" i="48" s="1"/>
  <c r="G34" i="48"/>
  <c r="F34" i="48"/>
  <c r="D34" i="48"/>
  <c r="C34" i="48"/>
  <c r="T33" i="48"/>
  <c r="Q33" i="48"/>
  <c r="N33" i="48"/>
  <c r="K33" i="48"/>
  <c r="H33" i="48"/>
  <c r="H34" i="48" s="1"/>
  <c r="E33" i="48"/>
  <c r="T32" i="48"/>
  <c r="Q32" i="48"/>
  <c r="N32" i="48"/>
  <c r="K32" i="48"/>
  <c r="H32" i="48"/>
  <c r="E32" i="48"/>
  <c r="T31" i="48"/>
  <c r="Q31" i="48"/>
  <c r="N31" i="48"/>
  <c r="K31" i="48"/>
  <c r="H31" i="48"/>
  <c r="E31" i="48"/>
  <c r="T30" i="48"/>
  <c r="Q30" i="48"/>
  <c r="N30" i="48"/>
  <c r="K30" i="48"/>
  <c r="H30" i="48"/>
  <c r="E30" i="48"/>
  <c r="S29" i="48"/>
  <c r="R29" i="48"/>
  <c r="P29" i="48"/>
  <c r="O29" i="48"/>
  <c r="O40" i="48" s="1"/>
  <c r="M29" i="48"/>
  <c r="M40" i="48" s="1"/>
  <c r="L29" i="48"/>
  <c r="L40" i="48" s="1"/>
  <c r="J29" i="48"/>
  <c r="I29" i="48"/>
  <c r="G29" i="48"/>
  <c r="F29" i="48"/>
  <c r="D29" i="48"/>
  <c r="C29" i="48"/>
  <c r="T28" i="48"/>
  <c r="Q28" i="48"/>
  <c r="N28" i="48"/>
  <c r="K28" i="48"/>
  <c r="H28" i="48"/>
  <c r="E28" i="48"/>
  <c r="J106" i="47"/>
  <c r="I106" i="47"/>
  <c r="G106" i="47"/>
  <c r="F106" i="47"/>
  <c r="D106" i="47"/>
  <c r="C106" i="47"/>
  <c r="K105" i="47"/>
  <c r="H105" i="47"/>
  <c r="E105" i="47"/>
  <c r="K104" i="47"/>
  <c r="H104" i="47"/>
  <c r="E104" i="47"/>
  <c r="K103" i="47"/>
  <c r="H103" i="47"/>
  <c r="E103" i="47"/>
  <c r="J102" i="47"/>
  <c r="I102" i="47"/>
  <c r="G102" i="47"/>
  <c r="F102" i="47"/>
  <c r="D102" i="47"/>
  <c r="C102" i="47"/>
  <c r="K101" i="47"/>
  <c r="H101" i="47"/>
  <c r="E101" i="47"/>
  <c r="K100" i="47"/>
  <c r="H100" i="47"/>
  <c r="E100" i="47"/>
  <c r="K99" i="47"/>
  <c r="H99" i="47"/>
  <c r="H102" i="47" s="1"/>
  <c r="E99" i="47"/>
  <c r="J98" i="47"/>
  <c r="I98" i="47"/>
  <c r="G98" i="47"/>
  <c r="F98" i="47"/>
  <c r="D98" i="47"/>
  <c r="D107" i="47" s="1"/>
  <c r="C98" i="47"/>
  <c r="K97" i="47"/>
  <c r="H97" i="47"/>
  <c r="E97" i="47"/>
  <c r="K96" i="47"/>
  <c r="H96" i="47"/>
  <c r="E96" i="47"/>
  <c r="K95" i="47"/>
  <c r="H95" i="47"/>
  <c r="E95" i="47"/>
  <c r="J93" i="47"/>
  <c r="I93" i="47"/>
  <c r="G93" i="47"/>
  <c r="F93" i="47"/>
  <c r="D93" i="47"/>
  <c r="C93" i="47"/>
  <c r="C94" i="47" s="1"/>
  <c r="K92" i="47"/>
  <c r="H92" i="47"/>
  <c r="E92" i="47"/>
  <c r="K91" i="47"/>
  <c r="H91" i="47"/>
  <c r="E91" i="47"/>
  <c r="K90" i="47"/>
  <c r="H90" i="47"/>
  <c r="H93" i="47" s="1"/>
  <c r="E90" i="47"/>
  <c r="K89" i="47"/>
  <c r="H89" i="47"/>
  <c r="E89" i="47"/>
  <c r="J88" i="47"/>
  <c r="I88" i="47"/>
  <c r="G88" i="47"/>
  <c r="F88" i="47"/>
  <c r="D88" i="47"/>
  <c r="C88" i="47"/>
  <c r="K87" i="47"/>
  <c r="H87" i="47"/>
  <c r="E87" i="47"/>
  <c r="K86" i="47"/>
  <c r="H86" i="47"/>
  <c r="E86" i="47"/>
  <c r="K85" i="47"/>
  <c r="H85" i="47"/>
  <c r="E85" i="47"/>
  <c r="J84" i="47"/>
  <c r="I84" i="47"/>
  <c r="G84" i="47"/>
  <c r="F84" i="47"/>
  <c r="D84" i="47"/>
  <c r="C84" i="47"/>
  <c r="K83" i="47"/>
  <c r="H83" i="47"/>
  <c r="E83" i="47"/>
  <c r="K82" i="47"/>
  <c r="H82" i="47"/>
  <c r="E82" i="47"/>
  <c r="K81" i="47"/>
  <c r="H81" i="47"/>
  <c r="E81" i="47"/>
  <c r="K80" i="47"/>
  <c r="H80" i="47"/>
  <c r="E80" i="47"/>
  <c r="J78" i="47"/>
  <c r="I78" i="47"/>
  <c r="G78" i="47"/>
  <c r="F78" i="47"/>
  <c r="D78" i="47"/>
  <c r="C78" i="47"/>
  <c r="K77" i="47"/>
  <c r="H77" i="47"/>
  <c r="E77" i="47"/>
  <c r="K76" i="47"/>
  <c r="H76" i="47"/>
  <c r="E76" i="47"/>
  <c r="K75" i="47"/>
  <c r="H75" i="47"/>
  <c r="E75" i="47"/>
  <c r="K74" i="47"/>
  <c r="H74" i="47"/>
  <c r="E74" i="47"/>
  <c r="J73" i="47"/>
  <c r="J79" i="47" s="1"/>
  <c r="I73" i="47"/>
  <c r="G73" i="47"/>
  <c r="F73" i="47"/>
  <c r="D73" i="47"/>
  <c r="C73" i="47"/>
  <c r="K72" i="47"/>
  <c r="H72" i="47"/>
  <c r="E72" i="47"/>
  <c r="K71" i="47"/>
  <c r="H71" i="47"/>
  <c r="E71" i="47"/>
  <c r="K70" i="47"/>
  <c r="H70" i="47"/>
  <c r="E70" i="47"/>
  <c r="K69" i="47"/>
  <c r="H69" i="47"/>
  <c r="E69" i="47"/>
  <c r="K68" i="47"/>
  <c r="H68" i="47"/>
  <c r="E68" i="47"/>
  <c r="K67" i="47"/>
  <c r="H67" i="47"/>
  <c r="E67" i="47"/>
  <c r="K66" i="47"/>
  <c r="H66" i="47"/>
  <c r="E66" i="47"/>
  <c r="K65" i="47"/>
  <c r="H65" i="47"/>
  <c r="E65" i="47"/>
  <c r="J64" i="47"/>
  <c r="I64" i="47"/>
  <c r="G64" i="47"/>
  <c r="F64" i="47"/>
  <c r="D64" i="47"/>
  <c r="C64" i="47"/>
  <c r="K63" i="47"/>
  <c r="H63" i="47"/>
  <c r="E63" i="47"/>
  <c r="K62" i="47"/>
  <c r="H62" i="47"/>
  <c r="E62" i="47"/>
  <c r="K61" i="47"/>
  <c r="H61" i="47"/>
  <c r="E61" i="47"/>
  <c r="K60" i="47"/>
  <c r="H60" i="47"/>
  <c r="E60" i="47"/>
  <c r="K59" i="47"/>
  <c r="H59" i="47"/>
  <c r="E59" i="47"/>
  <c r="K58" i="47"/>
  <c r="H58" i="47"/>
  <c r="E58" i="47"/>
  <c r="J56" i="47"/>
  <c r="I56" i="47"/>
  <c r="G56" i="47"/>
  <c r="G57" i="47" s="1"/>
  <c r="F56" i="47"/>
  <c r="D56" i="47"/>
  <c r="C56" i="47"/>
  <c r="K55" i="47"/>
  <c r="H55" i="47"/>
  <c r="E55" i="47"/>
  <c r="K54" i="47"/>
  <c r="H54" i="47"/>
  <c r="E54" i="47"/>
  <c r="K53" i="47"/>
  <c r="H53" i="47"/>
  <c r="E53" i="47"/>
  <c r="K52" i="47"/>
  <c r="H52" i="47"/>
  <c r="E52" i="47"/>
  <c r="K51" i="47"/>
  <c r="H51" i="47"/>
  <c r="E51" i="47"/>
  <c r="K50" i="47"/>
  <c r="H50" i="47"/>
  <c r="E50" i="47"/>
  <c r="J49" i="47"/>
  <c r="I49" i="47"/>
  <c r="G49" i="47"/>
  <c r="F49" i="47"/>
  <c r="D49" i="47"/>
  <c r="C49" i="47"/>
  <c r="K48" i="47"/>
  <c r="H48" i="47"/>
  <c r="E48" i="47"/>
  <c r="K47" i="47"/>
  <c r="H47" i="47"/>
  <c r="E47" i="47"/>
  <c r="K46" i="47"/>
  <c r="H46" i="47"/>
  <c r="E46" i="47"/>
  <c r="K45" i="47"/>
  <c r="H45" i="47"/>
  <c r="E45" i="47"/>
  <c r="K44" i="47"/>
  <c r="H44" i="47"/>
  <c r="E44" i="47"/>
  <c r="K43" i="47"/>
  <c r="H43" i="47"/>
  <c r="E43" i="47"/>
  <c r="K42" i="47"/>
  <c r="H42" i="47"/>
  <c r="E42" i="47"/>
  <c r="K41" i="47"/>
  <c r="H41" i="47"/>
  <c r="E41" i="47"/>
  <c r="K40" i="47"/>
  <c r="H40" i="47"/>
  <c r="E40" i="47"/>
  <c r="K39" i="47"/>
  <c r="H39" i="47"/>
  <c r="H49" i="47" s="1"/>
  <c r="E39" i="47"/>
  <c r="K38" i="47"/>
  <c r="H38" i="47"/>
  <c r="E38" i="47"/>
  <c r="J37" i="47"/>
  <c r="I37" i="47"/>
  <c r="G37" i="47"/>
  <c r="F37" i="47"/>
  <c r="D37" i="47"/>
  <c r="C37" i="47"/>
  <c r="K36" i="47"/>
  <c r="H36" i="47"/>
  <c r="E36" i="47"/>
  <c r="K35" i="47"/>
  <c r="H35" i="47"/>
  <c r="E35" i="47"/>
  <c r="K34" i="47"/>
  <c r="H34" i="47"/>
  <c r="E34" i="47"/>
  <c r="K33" i="47"/>
  <c r="H33" i="47"/>
  <c r="E33" i="47"/>
  <c r="K32" i="47"/>
  <c r="H32" i="47"/>
  <c r="H37" i="47" s="1"/>
  <c r="E32" i="47"/>
  <c r="K31" i="47"/>
  <c r="H31" i="47"/>
  <c r="E31" i="47"/>
  <c r="K30" i="47"/>
  <c r="H30" i="47"/>
  <c r="E30" i="47"/>
  <c r="K29" i="47"/>
  <c r="K37" i="47" s="1"/>
  <c r="H29" i="47"/>
  <c r="E29" i="47"/>
  <c r="K28" i="47"/>
  <c r="H28" i="47"/>
  <c r="E28" i="47"/>
  <c r="K27" i="47"/>
  <c r="H27" i="47"/>
  <c r="J25" i="47"/>
  <c r="I25" i="47"/>
  <c r="G25" i="47"/>
  <c r="F25" i="47"/>
  <c r="D25" i="47"/>
  <c r="C25" i="47"/>
  <c r="K24" i="47"/>
  <c r="H24" i="47"/>
  <c r="E24" i="47"/>
  <c r="E25" i="47" s="1"/>
  <c r="K23" i="47"/>
  <c r="H23" i="47"/>
  <c r="H25" i="47" s="1"/>
  <c r="E23" i="47"/>
  <c r="K22" i="47"/>
  <c r="H22" i="47"/>
  <c r="E22" i="47"/>
  <c r="J21" i="47"/>
  <c r="I21" i="47"/>
  <c r="G21" i="47"/>
  <c r="F21" i="47"/>
  <c r="D21" i="47"/>
  <c r="C21" i="47"/>
  <c r="K20" i="47"/>
  <c r="H20" i="47"/>
  <c r="E20" i="47"/>
  <c r="K19" i="47"/>
  <c r="K21" i="47" s="1"/>
  <c r="H19" i="47"/>
  <c r="E19" i="47"/>
  <c r="K18" i="47"/>
  <c r="H18" i="47"/>
  <c r="E18" i="47"/>
  <c r="K17" i="47"/>
  <c r="H17" i="47"/>
  <c r="E17" i="47"/>
  <c r="J16" i="47"/>
  <c r="I16" i="47"/>
  <c r="G16" i="47"/>
  <c r="F16" i="47"/>
  <c r="D16" i="47"/>
  <c r="C16" i="47"/>
  <c r="K15" i="47"/>
  <c r="H15" i="47"/>
  <c r="E15" i="47"/>
  <c r="K14" i="47"/>
  <c r="H14" i="47"/>
  <c r="E14" i="47"/>
  <c r="K13" i="47"/>
  <c r="H13" i="47"/>
  <c r="E13" i="47"/>
  <c r="K12" i="47"/>
  <c r="H12" i="47"/>
  <c r="E12" i="47"/>
  <c r="K11" i="47"/>
  <c r="H11" i="47"/>
  <c r="E11" i="47"/>
  <c r="K10" i="47"/>
  <c r="H10" i="47"/>
  <c r="E10" i="47"/>
  <c r="K9" i="47"/>
  <c r="H9" i="47"/>
  <c r="E9" i="47"/>
  <c r="K8" i="47"/>
  <c r="H8" i="47"/>
  <c r="E8" i="47"/>
  <c r="K7" i="47"/>
  <c r="H7" i="47"/>
  <c r="E7" i="47"/>
  <c r="K6" i="47"/>
  <c r="H6" i="47"/>
  <c r="E6" i="47"/>
  <c r="AE103" i="46"/>
  <c r="AD103" i="46"/>
  <c r="AB103" i="46"/>
  <c r="AA103" i="46"/>
  <c r="Y103" i="46"/>
  <c r="X103" i="46"/>
  <c r="V103" i="46"/>
  <c r="U103" i="46"/>
  <c r="S103" i="46"/>
  <c r="R103" i="46"/>
  <c r="P103" i="46"/>
  <c r="O103" i="46"/>
  <c r="M103" i="46"/>
  <c r="L103" i="46"/>
  <c r="J103" i="46"/>
  <c r="I103" i="46"/>
  <c r="G103" i="46"/>
  <c r="F103" i="46"/>
  <c r="D103" i="46"/>
  <c r="C103" i="46"/>
  <c r="AF101" i="46"/>
  <c r="AF103" i="46" s="1"/>
  <c r="AC101" i="46"/>
  <c r="AC103" i="46" s="1"/>
  <c r="Z101" i="46"/>
  <c r="Z103" i="46" s="1"/>
  <c r="W101" i="46"/>
  <c r="W103" i="46" s="1"/>
  <c r="T101" i="46"/>
  <c r="T103" i="46" s="1"/>
  <c r="Q101" i="46"/>
  <c r="Q103" i="46" s="1"/>
  <c r="N101" i="46"/>
  <c r="N103" i="46" s="1"/>
  <c r="K101" i="46"/>
  <c r="K103" i="46" s="1"/>
  <c r="H101" i="46"/>
  <c r="H103" i="46" s="1"/>
  <c r="E101" i="46"/>
  <c r="E103" i="46" s="1"/>
  <c r="AB100" i="46"/>
  <c r="AA100" i="46"/>
  <c r="Y100" i="46"/>
  <c r="X100" i="46"/>
  <c r="V100" i="46"/>
  <c r="U100" i="46"/>
  <c r="T100" i="46"/>
  <c r="S100" i="46"/>
  <c r="R100" i="46"/>
  <c r="P100" i="46"/>
  <c r="O100" i="46"/>
  <c r="M100" i="46"/>
  <c r="L100" i="46"/>
  <c r="J100" i="46"/>
  <c r="I100" i="46"/>
  <c r="H100" i="46"/>
  <c r="G100" i="46"/>
  <c r="F100" i="46"/>
  <c r="E100" i="46"/>
  <c r="D100" i="46"/>
  <c r="C100" i="46"/>
  <c r="AF99" i="46"/>
  <c r="AC99" i="46"/>
  <c r="AC100" i="46" s="1"/>
  <c r="W99" i="46"/>
  <c r="Q99" i="46"/>
  <c r="Q100" i="46" s="1"/>
  <c r="N99" i="46"/>
  <c r="N100" i="46" s="1"/>
  <c r="N104" i="46" s="1"/>
  <c r="K99" i="46"/>
  <c r="K100" i="46" s="1"/>
  <c r="K104" i="46" s="1"/>
  <c r="AF97" i="46"/>
  <c r="AC97" i="46"/>
  <c r="Z97" i="46"/>
  <c r="Z100" i="46" s="1"/>
  <c r="W97" i="46"/>
  <c r="W100" i="46" s="1"/>
  <c r="AE96" i="46"/>
  <c r="AE104" i="46"/>
  <c r="AD96" i="46"/>
  <c r="AB96" i="46"/>
  <c r="AA96" i="46"/>
  <c r="Y96" i="46"/>
  <c r="X96" i="46"/>
  <c r="V96" i="46"/>
  <c r="U96" i="46"/>
  <c r="T96" i="46"/>
  <c r="S96" i="46"/>
  <c r="S104" i="46" s="1"/>
  <c r="R96" i="46"/>
  <c r="P96" i="46"/>
  <c r="O96" i="46"/>
  <c r="M96" i="46"/>
  <c r="L96" i="46"/>
  <c r="L104" i="46" s="1"/>
  <c r="J96" i="46"/>
  <c r="I96" i="46"/>
  <c r="G96" i="46"/>
  <c r="F96" i="46"/>
  <c r="F104" i="46" s="1"/>
  <c r="D96" i="46"/>
  <c r="C96" i="46"/>
  <c r="AF94" i="46"/>
  <c r="AF96" i="46" s="1"/>
  <c r="AC94" i="46"/>
  <c r="AC96" i="46" s="1"/>
  <c r="Z94" i="46"/>
  <c r="Z96" i="46" s="1"/>
  <c r="W94" i="46"/>
  <c r="W96" i="46" s="1"/>
  <c r="Q94" i="46"/>
  <c r="Q96" i="46" s="1"/>
  <c r="N94" i="46"/>
  <c r="N96" i="46" s="1"/>
  <c r="K94" i="46"/>
  <c r="K96" i="46" s="1"/>
  <c r="H94" i="46"/>
  <c r="H96" i="46" s="1"/>
  <c r="E94" i="46"/>
  <c r="E96" i="46" s="1"/>
  <c r="AE92" i="46"/>
  <c r="AD92" i="46"/>
  <c r="AB92" i="46"/>
  <c r="AA92" i="46"/>
  <c r="Y92" i="46"/>
  <c r="X92" i="46"/>
  <c r="V92" i="46"/>
  <c r="U92" i="46"/>
  <c r="S92" i="46"/>
  <c r="R92" i="46"/>
  <c r="P92" i="46"/>
  <c r="O92" i="46"/>
  <c r="M92" i="46"/>
  <c r="L92" i="46"/>
  <c r="J92" i="46"/>
  <c r="I92" i="46"/>
  <c r="G92" i="46"/>
  <c r="F92" i="46"/>
  <c r="D92" i="46"/>
  <c r="C92" i="46"/>
  <c r="AF91" i="46"/>
  <c r="AC91" i="46"/>
  <c r="Z91" i="46"/>
  <c r="W91" i="46"/>
  <c r="Q91" i="46"/>
  <c r="N91" i="46"/>
  <c r="K91" i="46"/>
  <c r="H91" i="46"/>
  <c r="E91" i="46"/>
  <c r="AF90" i="46"/>
  <c r="AC90" i="46"/>
  <c r="Z90" i="46"/>
  <c r="W90" i="46"/>
  <c r="T90" i="46"/>
  <c r="Q90" i="46"/>
  <c r="AF89" i="46"/>
  <c r="AC89" i="46"/>
  <c r="Z89" i="46"/>
  <c r="W89" i="46"/>
  <c r="T89" i="46"/>
  <c r="Q89" i="46"/>
  <c r="N89" i="46"/>
  <c r="N92" i="46" s="1"/>
  <c r="K89" i="46"/>
  <c r="K92" i="46" s="1"/>
  <c r="H89" i="46"/>
  <c r="E89" i="46"/>
  <c r="AF88" i="46"/>
  <c r="AC88" i="46"/>
  <c r="Z88" i="46"/>
  <c r="AE93" i="46"/>
  <c r="AD87" i="46"/>
  <c r="AB87" i="46"/>
  <c r="AA87" i="46"/>
  <c r="Y87" i="46"/>
  <c r="X87" i="46"/>
  <c r="V87" i="46"/>
  <c r="U87" i="46"/>
  <c r="S87" i="46"/>
  <c r="R87" i="46"/>
  <c r="P87" i="46"/>
  <c r="O87" i="46"/>
  <c r="M87" i="46"/>
  <c r="L87" i="46"/>
  <c r="J87" i="46"/>
  <c r="I87" i="46"/>
  <c r="G87" i="46"/>
  <c r="F87" i="46"/>
  <c r="D87" i="46"/>
  <c r="C87" i="46"/>
  <c r="AF86" i="46"/>
  <c r="AC86" i="46"/>
  <c r="Z86" i="46"/>
  <c r="W86" i="46"/>
  <c r="Q86" i="46"/>
  <c r="K86" i="46"/>
  <c r="H86" i="46"/>
  <c r="E86" i="46"/>
  <c r="AF85" i="46"/>
  <c r="AC85" i="46"/>
  <c r="Z85" i="46"/>
  <c r="W85" i="46"/>
  <c r="Q85" i="46"/>
  <c r="N85" i="46"/>
  <c r="K85" i="46"/>
  <c r="H85" i="46"/>
  <c r="E85" i="46"/>
  <c r="AF84" i="46"/>
  <c r="AC84" i="46"/>
  <c r="Z84" i="46"/>
  <c r="W84" i="46"/>
  <c r="T84" i="46"/>
  <c r="T87" i="46" s="1"/>
  <c r="Q84" i="46"/>
  <c r="N84" i="46"/>
  <c r="K84" i="46"/>
  <c r="H84" i="46"/>
  <c r="E84" i="46"/>
  <c r="AD83" i="46"/>
  <c r="AB83" i="46"/>
  <c r="AA83" i="46"/>
  <c r="Y83" i="46"/>
  <c r="X83" i="46"/>
  <c r="V83" i="46"/>
  <c r="V93" i="46" s="1"/>
  <c r="U83" i="46"/>
  <c r="T83" i="46"/>
  <c r="S83" i="46"/>
  <c r="R83" i="46"/>
  <c r="P83" i="46"/>
  <c r="O83" i="46"/>
  <c r="M83" i="46"/>
  <c r="L83" i="46"/>
  <c r="J83" i="46"/>
  <c r="I83" i="46"/>
  <c r="G83" i="46"/>
  <c r="F83" i="46"/>
  <c r="D83" i="46"/>
  <c r="C83" i="46"/>
  <c r="AF82" i="46"/>
  <c r="AC82" i="46"/>
  <c r="Z82" i="46"/>
  <c r="W82" i="46"/>
  <c r="Q82" i="46"/>
  <c r="K82" i="46"/>
  <c r="H82" i="46"/>
  <c r="E82" i="46"/>
  <c r="AF81" i="46"/>
  <c r="AC81" i="46"/>
  <c r="Z81" i="46"/>
  <c r="W81" i="46"/>
  <c r="Q81" i="46"/>
  <c r="K81" i="46"/>
  <c r="H81" i="46"/>
  <c r="E81" i="46"/>
  <c r="AF80" i="46"/>
  <c r="AC80" i="46"/>
  <c r="Z80" i="46"/>
  <c r="AF79" i="46"/>
  <c r="AC79" i="46"/>
  <c r="Z79" i="46"/>
  <c r="W79" i="46"/>
  <c r="Q79" i="46"/>
  <c r="N79" i="46"/>
  <c r="N83" i="46" s="1"/>
  <c r="K79" i="46"/>
  <c r="H79" i="46"/>
  <c r="E79" i="46"/>
  <c r="AE77" i="46"/>
  <c r="AD77" i="46"/>
  <c r="AB77" i="46"/>
  <c r="AA77" i="46"/>
  <c r="AC77" i="46" s="1"/>
  <c r="Y77" i="46"/>
  <c r="X77" i="46"/>
  <c r="V77" i="46"/>
  <c r="U77" i="46"/>
  <c r="W77" i="46" s="1"/>
  <c r="S77" i="46"/>
  <c r="R77" i="46"/>
  <c r="P77" i="46"/>
  <c r="O77" i="46"/>
  <c r="M77" i="46"/>
  <c r="L77" i="46"/>
  <c r="N77" i="46" s="1"/>
  <c r="J77" i="46"/>
  <c r="I77" i="46"/>
  <c r="K77" i="46" s="1"/>
  <c r="G77" i="46"/>
  <c r="F77" i="46"/>
  <c r="D77" i="46"/>
  <c r="C77" i="46"/>
  <c r="AF76" i="46"/>
  <c r="AC76" i="46"/>
  <c r="Z76" i="46"/>
  <c r="W76" i="46"/>
  <c r="T76" i="46"/>
  <c r="Q76" i="46"/>
  <c r="N76" i="46"/>
  <c r="K76" i="46"/>
  <c r="H76" i="46"/>
  <c r="E76" i="46"/>
  <c r="AF75" i="46"/>
  <c r="AC75" i="46"/>
  <c r="Z75" i="46"/>
  <c r="W75" i="46"/>
  <c r="T75" i="46"/>
  <c r="Q75" i="46"/>
  <c r="N75" i="46"/>
  <c r="K75" i="46"/>
  <c r="H75" i="46"/>
  <c r="E75" i="46"/>
  <c r="AF74" i="46"/>
  <c r="AC74" i="46"/>
  <c r="Z74" i="46"/>
  <c r="W74" i="46"/>
  <c r="T74" i="46"/>
  <c r="Q74" i="46"/>
  <c r="N74" i="46"/>
  <c r="K74" i="46"/>
  <c r="H74" i="46"/>
  <c r="E74" i="46"/>
  <c r="AF73" i="46"/>
  <c r="AC73" i="46"/>
  <c r="Z73" i="46"/>
  <c r="W73" i="46"/>
  <c r="T73" i="46"/>
  <c r="Q73" i="46"/>
  <c r="N73" i="46"/>
  <c r="K73" i="46"/>
  <c r="H73" i="46"/>
  <c r="E73" i="46"/>
  <c r="AE72" i="46"/>
  <c r="AD72" i="46"/>
  <c r="AB72" i="46"/>
  <c r="AA72" i="46"/>
  <c r="Y72" i="46"/>
  <c r="X72" i="46"/>
  <c r="V72" i="46"/>
  <c r="U72" i="46"/>
  <c r="S72" i="46"/>
  <c r="R72" i="46"/>
  <c r="P72" i="46"/>
  <c r="O72" i="46"/>
  <c r="M72" i="46"/>
  <c r="L72" i="46"/>
  <c r="J72" i="46"/>
  <c r="I72" i="46"/>
  <c r="G72" i="46"/>
  <c r="F72" i="46"/>
  <c r="D72" i="46"/>
  <c r="C72" i="46"/>
  <c r="AF71" i="46"/>
  <c r="AC71" i="46"/>
  <c r="Z71" i="46"/>
  <c r="W71" i="46"/>
  <c r="Q71" i="46"/>
  <c r="N71" i="46"/>
  <c r="K71" i="46"/>
  <c r="H71" i="46"/>
  <c r="E71" i="46"/>
  <c r="AF70" i="46"/>
  <c r="AC70" i="46"/>
  <c r="Z70" i="46"/>
  <c r="W70" i="46"/>
  <c r="Q70" i="46"/>
  <c r="N70" i="46"/>
  <c r="K70" i="46"/>
  <c r="H70" i="46"/>
  <c r="E70" i="46"/>
  <c r="AF69" i="46"/>
  <c r="AC69" i="46"/>
  <c r="Z69" i="46"/>
  <c r="W69" i="46"/>
  <c r="Q69" i="46"/>
  <c r="N69" i="46"/>
  <c r="K69" i="46"/>
  <c r="H69" i="46"/>
  <c r="E69" i="46"/>
  <c r="AF68" i="46"/>
  <c r="AC68" i="46"/>
  <c r="Z68" i="46"/>
  <c r="W68" i="46"/>
  <c r="Q68" i="46"/>
  <c r="N68" i="46"/>
  <c r="K68" i="46"/>
  <c r="H68" i="46"/>
  <c r="E68" i="46"/>
  <c r="AF67" i="46"/>
  <c r="AC67" i="46"/>
  <c r="Z67" i="46"/>
  <c r="W67" i="46"/>
  <c r="Q67" i="46"/>
  <c r="N67" i="46"/>
  <c r="K67" i="46"/>
  <c r="H67" i="46"/>
  <c r="E67" i="46"/>
  <c r="AF66" i="46"/>
  <c r="AC66" i="46"/>
  <c r="Z66" i="46"/>
  <c r="W66" i="46"/>
  <c r="Q66" i="46"/>
  <c r="N66" i="46"/>
  <c r="K66" i="46"/>
  <c r="H66" i="46"/>
  <c r="E66" i="46"/>
  <c r="AF65" i="46"/>
  <c r="AC65" i="46"/>
  <c r="Z65" i="46"/>
  <c r="W65" i="46"/>
  <c r="T65" i="46"/>
  <c r="Q65" i="46"/>
  <c r="N65" i="46"/>
  <c r="K65" i="46"/>
  <c r="H65" i="46"/>
  <c r="E65" i="46"/>
  <c r="AF64" i="46"/>
  <c r="AC64" i="46"/>
  <c r="Z64" i="46"/>
  <c r="W64" i="46"/>
  <c r="T64" i="46"/>
  <c r="Q64" i="46"/>
  <c r="N64" i="46"/>
  <c r="K64" i="46"/>
  <c r="H64" i="46"/>
  <c r="E64" i="46"/>
  <c r="AE63" i="46"/>
  <c r="AD63" i="46"/>
  <c r="AB63" i="46"/>
  <c r="AA63" i="46"/>
  <c r="AC63" i="46" s="1"/>
  <c r="Y63" i="46"/>
  <c r="X63" i="46"/>
  <c r="V63" i="46"/>
  <c r="U63" i="46"/>
  <c r="S63" i="46"/>
  <c r="R63" i="46"/>
  <c r="P63" i="46"/>
  <c r="O63" i="46"/>
  <c r="Q63" i="46" s="1"/>
  <c r="M63" i="46"/>
  <c r="L63" i="46"/>
  <c r="N63" i="46" s="1"/>
  <c r="J63" i="46"/>
  <c r="J78" i="46" s="1"/>
  <c r="I63" i="46"/>
  <c r="G63" i="46"/>
  <c r="F63" i="46"/>
  <c r="D63" i="46"/>
  <c r="C63" i="46"/>
  <c r="AF62" i="46"/>
  <c r="AC62" i="46"/>
  <c r="Z62" i="46"/>
  <c r="W62" i="46"/>
  <c r="Q62" i="46"/>
  <c r="N62" i="46"/>
  <c r="K62" i="46"/>
  <c r="H62" i="46"/>
  <c r="E62" i="46"/>
  <c r="AF61" i="46"/>
  <c r="AC61" i="46"/>
  <c r="Z61" i="46"/>
  <c r="W61" i="46"/>
  <c r="T61" i="46"/>
  <c r="Q61" i="46"/>
  <c r="N61" i="46"/>
  <c r="K61" i="46"/>
  <c r="H61" i="46"/>
  <c r="E61" i="46"/>
  <c r="AF60" i="46"/>
  <c r="AC60" i="46"/>
  <c r="Z60" i="46"/>
  <c r="W60" i="46"/>
  <c r="T60" i="46"/>
  <c r="Q60" i="46"/>
  <c r="N60" i="46"/>
  <c r="K60" i="46"/>
  <c r="H60" i="46"/>
  <c r="E60" i="46"/>
  <c r="AF59" i="46"/>
  <c r="AC59" i="46"/>
  <c r="Z59" i="46"/>
  <c r="W59" i="46"/>
  <c r="T59" i="46"/>
  <c r="Q59" i="46"/>
  <c r="N59" i="46"/>
  <c r="K59" i="46"/>
  <c r="H59" i="46"/>
  <c r="E59" i="46"/>
  <c r="AF58" i="46"/>
  <c r="AC58" i="46"/>
  <c r="Z58" i="46"/>
  <c r="W58" i="46"/>
  <c r="T58" i="46"/>
  <c r="Q58" i="46"/>
  <c r="N58" i="46"/>
  <c r="K58" i="46"/>
  <c r="H58" i="46"/>
  <c r="E58" i="46"/>
  <c r="AF57" i="46"/>
  <c r="AC57" i="46"/>
  <c r="Z57" i="46"/>
  <c r="W57" i="46"/>
  <c r="Q57" i="46"/>
  <c r="K57" i="46"/>
  <c r="H57" i="46"/>
  <c r="E57" i="46"/>
  <c r="AE55" i="46"/>
  <c r="AD55" i="46"/>
  <c r="AB55" i="46"/>
  <c r="AA55" i="46"/>
  <c r="Y55" i="46"/>
  <c r="X55" i="46"/>
  <c r="V55" i="46"/>
  <c r="U55" i="46"/>
  <c r="S55" i="46"/>
  <c r="R55" i="46"/>
  <c r="P55" i="46"/>
  <c r="O55" i="46"/>
  <c r="M55" i="46"/>
  <c r="L55" i="46"/>
  <c r="J55" i="46"/>
  <c r="I55" i="46"/>
  <c r="G55" i="46"/>
  <c r="F55" i="46"/>
  <c r="D55" i="46"/>
  <c r="C55" i="46"/>
  <c r="AF54" i="46"/>
  <c r="AC54" i="46"/>
  <c r="Z54" i="46"/>
  <c r="W54" i="46"/>
  <c r="Q54" i="46"/>
  <c r="K54" i="46"/>
  <c r="E54" i="46"/>
  <c r="AF53" i="46"/>
  <c r="AC53" i="46"/>
  <c r="Z53" i="46"/>
  <c r="W53" i="46"/>
  <c r="Q53" i="46"/>
  <c r="N53" i="46"/>
  <c r="K53" i="46"/>
  <c r="E53" i="46"/>
  <c r="AF52" i="46"/>
  <c r="AC52" i="46"/>
  <c r="Z52" i="46"/>
  <c r="W52" i="46"/>
  <c r="Q52" i="46"/>
  <c r="N52" i="46"/>
  <c r="K52" i="46"/>
  <c r="H52" i="46"/>
  <c r="E52" i="46"/>
  <c r="AF51" i="46"/>
  <c r="AC51" i="46"/>
  <c r="Z51" i="46"/>
  <c r="W51" i="46"/>
  <c r="Q51" i="46"/>
  <c r="K51" i="46"/>
  <c r="H51" i="46"/>
  <c r="E51" i="46"/>
  <c r="AF50" i="46"/>
  <c r="AC50" i="46"/>
  <c r="Z50" i="46"/>
  <c r="W50" i="46"/>
  <c r="Q50" i="46"/>
  <c r="N50" i="46"/>
  <c r="K50" i="46"/>
  <c r="H50" i="46"/>
  <c r="E50" i="46"/>
  <c r="AF49" i="46"/>
  <c r="AC49" i="46"/>
  <c r="Z49" i="46"/>
  <c r="W49" i="46"/>
  <c r="T49" i="46"/>
  <c r="Q49" i="46"/>
  <c r="N49" i="46"/>
  <c r="K49" i="46"/>
  <c r="H49" i="46"/>
  <c r="E49" i="46"/>
  <c r="AE48" i="46"/>
  <c r="AD48" i="46"/>
  <c r="AB48" i="46"/>
  <c r="AA48" i="46"/>
  <c r="Y48" i="46"/>
  <c r="X48" i="46"/>
  <c r="V48" i="46"/>
  <c r="U48" i="46"/>
  <c r="S48" i="46"/>
  <c r="R48" i="46"/>
  <c r="P48" i="46"/>
  <c r="O48" i="46"/>
  <c r="M48" i="46"/>
  <c r="L48" i="46"/>
  <c r="J48" i="46"/>
  <c r="I48" i="46"/>
  <c r="G48" i="46"/>
  <c r="F48" i="46"/>
  <c r="D48" i="46"/>
  <c r="C48" i="46"/>
  <c r="AF47" i="46"/>
  <c r="AC47" i="46"/>
  <c r="Z47" i="46"/>
  <c r="W47" i="46"/>
  <c r="Q47" i="46"/>
  <c r="N47" i="46"/>
  <c r="K47" i="46"/>
  <c r="H47" i="46"/>
  <c r="E47" i="46"/>
  <c r="AF46" i="46"/>
  <c r="AC46" i="46"/>
  <c r="Z46" i="46"/>
  <c r="W46" i="46"/>
  <c r="T46" i="46"/>
  <c r="Q46" i="46"/>
  <c r="N46" i="46"/>
  <c r="K46" i="46"/>
  <c r="H46" i="46"/>
  <c r="E46" i="46"/>
  <c r="AF45" i="46"/>
  <c r="AC45" i="46"/>
  <c r="Z45" i="46"/>
  <c r="W45" i="46"/>
  <c r="Q45" i="46"/>
  <c r="N45" i="46"/>
  <c r="K45" i="46"/>
  <c r="E45" i="46"/>
  <c r="AF44" i="46"/>
  <c r="AC44" i="46"/>
  <c r="Z44" i="46"/>
  <c r="W44" i="46"/>
  <c r="Q44" i="46"/>
  <c r="N44" i="46"/>
  <c r="K44" i="46"/>
  <c r="E44" i="46"/>
  <c r="AF43" i="46"/>
  <c r="AC43" i="46"/>
  <c r="Z43" i="46"/>
  <c r="W43" i="46"/>
  <c r="T43" i="46"/>
  <c r="Q43" i="46"/>
  <c r="AF42" i="46"/>
  <c r="AC42" i="46"/>
  <c r="Z42" i="46"/>
  <c r="W42" i="46"/>
  <c r="T42" i="46"/>
  <c r="Q42" i="46"/>
  <c r="K42" i="46"/>
  <c r="H42" i="46"/>
  <c r="E42" i="46"/>
  <c r="AF41" i="46"/>
  <c r="AC41" i="46"/>
  <c r="W41" i="46"/>
  <c r="T41" i="46"/>
  <c r="Q41" i="46"/>
  <c r="N41" i="46"/>
  <c r="K41" i="46"/>
  <c r="H41" i="46"/>
  <c r="E41" i="46"/>
  <c r="AF40" i="46"/>
  <c r="AC40" i="46"/>
  <c r="Z40" i="46"/>
  <c r="W40" i="46"/>
  <c r="T40" i="46"/>
  <c r="Q40" i="46"/>
  <c r="N40" i="46"/>
  <c r="K40" i="46"/>
  <c r="H40" i="46"/>
  <c r="E40" i="46"/>
  <c r="AF39" i="46"/>
  <c r="AC39" i="46"/>
  <c r="Z39" i="46"/>
  <c r="W39" i="46"/>
  <c r="Q39" i="46"/>
  <c r="N39" i="46"/>
  <c r="K39" i="46"/>
  <c r="H39" i="46"/>
  <c r="E39" i="46"/>
  <c r="AF38" i="46"/>
  <c r="AC38" i="46"/>
  <c r="Z38" i="46"/>
  <c r="W38" i="46"/>
  <c r="Q38" i="46"/>
  <c r="N38" i="46"/>
  <c r="K38" i="46"/>
  <c r="H38" i="46"/>
  <c r="E38" i="46"/>
  <c r="AF37" i="46"/>
  <c r="AC37" i="46"/>
  <c r="Z37" i="46"/>
  <c r="W37" i="46"/>
  <c r="Q37" i="46"/>
  <c r="N37" i="46"/>
  <c r="K37" i="46"/>
  <c r="H37" i="46"/>
  <c r="E37" i="46"/>
  <c r="AE36" i="46"/>
  <c r="AD36" i="46"/>
  <c r="AB36" i="46"/>
  <c r="AA36" i="46"/>
  <c r="Y36" i="46"/>
  <c r="Y56" i="46" s="1"/>
  <c r="X36" i="46"/>
  <c r="V36" i="46"/>
  <c r="U36" i="46"/>
  <c r="S36" i="46"/>
  <c r="R36" i="46"/>
  <c r="P36" i="46"/>
  <c r="O36" i="46"/>
  <c r="O56" i="46" s="1"/>
  <c r="M36" i="46"/>
  <c r="L36" i="46"/>
  <c r="J36" i="46"/>
  <c r="I36" i="46"/>
  <c r="G36" i="46"/>
  <c r="F36" i="46"/>
  <c r="D36" i="46"/>
  <c r="C36" i="46"/>
  <c r="AF35" i="46"/>
  <c r="AC35" i="46"/>
  <c r="Z35" i="46"/>
  <c r="W35" i="46"/>
  <c r="Q35" i="46"/>
  <c r="K35" i="46"/>
  <c r="E35" i="46"/>
  <c r="AF34" i="46"/>
  <c r="AC34" i="46"/>
  <c r="Z34" i="46"/>
  <c r="W34" i="46"/>
  <c r="Q34" i="46"/>
  <c r="N34" i="46"/>
  <c r="K34" i="46"/>
  <c r="E34" i="46"/>
  <c r="AF33" i="46"/>
  <c r="AC33" i="46"/>
  <c r="Z33" i="46"/>
  <c r="W33" i="46"/>
  <c r="Q33" i="46"/>
  <c r="K33" i="46"/>
  <c r="E33" i="46"/>
  <c r="W32" i="46"/>
  <c r="Q32" i="46"/>
  <c r="N32" i="46"/>
  <c r="K32" i="46"/>
  <c r="E32" i="46"/>
  <c r="AF31" i="46"/>
  <c r="AC31" i="46"/>
  <c r="Z31" i="46"/>
  <c r="W31" i="46"/>
  <c r="Q31" i="46"/>
  <c r="N31" i="46"/>
  <c r="K31" i="46"/>
  <c r="E31" i="46"/>
  <c r="AF30" i="46"/>
  <c r="AC30" i="46"/>
  <c r="Z30" i="46"/>
  <c r="W30" i="46"/>
  <c r="Q30" i="46"/>
  <c r="K30" i="46"/>
  <c r="E30" i="46"/>
  <c r="AF29" i="46"/>
  <c r="AC29" i="46"/>
  <c r="Z29" i="46"/>
  <c r="W29" i="46"/>
  <c r="Q29" i="46"/>
  <c r="K29" i="46"/>
  <c r="H29" i="46"/>
  <c r="E29" i="46"/>
  <c r="AF28" i="46"/>
  <c r="AC28" i="46"/>
  <c r="Z28" i="46"/>
  <c r="W28" i="46"/>
  <c r="Q28" i="46"/>
  <c r="N28" i="46"/>
  <c r="K28" i="46"/>
  <c r="H28" i="46"/>
  <c r="E28" i="46"/>
  <c r="AF27" i="46"/>
  <c r="AC27" i="46"/>
  <c r="Z27" i="46"/>
  <c r="W27" i="46"/>
  <c r="Q27" i="46"/>
  <c r="K27" i="46"/>
  <c r="E27" i="46"/>
  <c r="AE25" i="46"/>
  <c r="AD25" i="46"/>
  <c r="AB25" i="46"/>
  <c r="AA25" i="46"/>
  <c r="Y25" i="46"/>
  <c r="X25" i="46"/>
  <c r="Z25" i="46" s="1"/>
  <c r="V25" i="46"/>
  <c r="U25" i="46"/>
  <c r="S25" i="46"/>
  <c r="R25" i="46"/>
  <c r="P25" i="46"/>
  <c r="O25" i="46"/>
  <c r="M25" i="46"/>
  <c r="L25" i="46"/>
  <c r="J25" i="46"/>
  <c r="I25" i="46"/>
  <c r="G25" i="46"/>
  <c r="F25" i="46"/>
  <c r="D25" i="46"/>
  <c r="C25" i="46"/>
  <c r="AF24" i="46"/>
  <c r="AC24" i="46"/>
  <c r="Z24" i="46"/>
  <c r="W24" i="46"/>
  <c r="T24" i="46"/>
  <c r="Q24" i="46"/>
  <c r="N24" i="46"/>
  <c r="K24" i="46"/>
  <c r="H24" i="46"/>
  <c r="E24" i="46"/>
  <c r="AF23" i="46"/>
  <c r="AC23" i="46"/>
  <c r="Z23" i="46"/>
  <c r="W23" i="46"/>
  <c r="T23" i="46"/>
  <c r="Q23" i="46"/>
  <c r="N23" i="46"/>
  <c r="K23" i="46"/>
  <c r="H23" i="46"/>
  <c r="E23" i="46"/>
  <c r="AF22" i="46"/>
  <c r="AC22" i="46"/>
  <c r="Z22" i="46"/>
  <c r="W22" i="46"/>
  <c r="Q22" i="46"/>
  <c r="N22" i="46"/>
  <c r="K22" i="46"/>
  <c r="H22" i="46"/>
  <c r="E22" i="46"/>
  <c r="AE21" i="46"/>
  <c r="AD21" i="46"/>
  <c r="AB21" i="46"/>
  <c r="AA21" i="46"/>
  <c r="Y21" i="46"/>
  <c r="Z21" i="46" s="1"/>
  <c r="X21" i="46"/>
  <c r="V21" i="46"/>
  <c r="U21" i="46"/>
  <c r="S21" i="46"/>
  <c r="R21" i="46"/>
  <c r="P21" i="46"/>
  <c r="O21" i="46"/>
  <c r="M21" i="46"/>
  <c r="L21" i="46"/>
  <c r="J21" i="46"/>
  <c r="I21" i="46"/>
  <c r="G21" i="46"/>
  <c r="F21" i="46"/>
  <c r="D21" i="46"/>
  <c r="C21" i="46"/>
  <c r="AF20" i="46"/>
  <c r="AC20" i="46"/>
  <c r="Z20" i="46"/>
  <c r="W20" i="46"/>
  <c r="Q20" i="46"/>
  <c r="N20" i="46"/>
  <c r="K20" i="46"/>
  <c r="H20" i="46"/>
  <c r="E20" i="46"/>
  <c r="AF19" i="46"/>
  <c r="AC19" i="46"/>
  <c r="Z19" i="46"/>
  <c r="W19" i="46"/>
  <c r="Q19" i="46"/>
  <c r="N19" i="46"/>
  <c r="K19" i="46"/>
  <c r="H19" i="46"/>
  <c r="E19" i="46"/>
  <c r="AF18" i="46"/>
  <c r="AC18" i="46"/>
  <c r="Z18" i="46"/>
  <c r="W18" i="46"/>
  <c r="Q18" i="46"/>
  <c r="N18" i="46"/>
  <c r="K18" i="46"/>
  <c r="H18" i="46"/>
  <c r="E18" i="46"/>
  <c r="AF17" i="46"/>
  <c r="AC17" i="46"/>
  <c r="Z17" i="46"/>
  <c r="W17" i="46"/>
  <c r="T17" i="46"/>
  <c r="Q17" i="46"/>
  <c r="N17" i="46"/>
  <c r="K17" i="46"/>
  <c r="H17" i="46"/>
  <c r="E17" i="46"/>
  <c r="AE16" i="46"/>
  <c r="AD16" i="46"/>
  <c r="AB16" i="46"/>
  <c r="AB26" i="46" s="1"/>
  <c r="AA16" i="46"/>
  <c r="Y16" i="46"/>
  <c r="X16" i="46"/>
  <c r="V16" i="46"/>
  <c r="U16" i="46"/>
  <c r="S16" i="46"/>
  <c r="R16" i="46"/>
  <c r="P16" i="46"/>
  <c r="O16" i="46"/>
  <c r="M16" i="46"/>
  <c r="L16" i="46"/>
  <c r="J16" i="46"/>
  <c r="I16" i="46"/>
  <c r="G16" i="46"/>
  <c r="F16" i="46"/>
  <c r="D16" i="46"/>
  <c r="D26" i="46" s="1"/>
  <c r="C16" i="46"/>
  <c r="AF15" i="46"/>
  <c r="AC15" i="46"/>
  <c r="Z15" i="46"/>
  <c r="W15" i="46"/>
  <c r="Q15" i="46"/>
  <c r="N15" i="46"/>
  <c r="K15" i="46"/>
  <c r="H15" i="46"/>
  <c r="E15" i="46"/>
  <c r="AF14" i="46"/>
  <c r="AC14" i="46"/>
  <c r="W14" i="46"/>
  <c r="Q14" i="46"/>
  <c r="N14" i="46"/>
  <c r="K14" i="46"/>
  <c r="E14" i="46"/>
  <c r="AF13" i="46"/>
  <c r="AC13" i="46"/>
  <c r="Z13" i="46"/>
  <c r="W13" i="46"/>
  <c r="Q13" i="46"/>
  <c r="N13" i="46"/>
  <c r="K13" i="46"/>
  <c r="H13" i="46"/>
  <c r="E13" i="46"/>
  <c r="AF12" i="46"/>
  <c r="AC12" i="46"/>
  <c r="Z12" i="46"/>
  <c r="W12" i="46"/>
  <c r="Q12" i="46"/>
  <c r="N12" i="46"/>
  <c r="K12" i="46"/>
  <c r="E12" i="46"/>
  <c r="AF11" i="46"/>
  <c r="AC11" i="46"/>
  <c r="Z11" i="46"/>
  <c r="W11" i="46"/>
  <c r="Q11" i="46"/>
  <c r="N11" i="46"/>
  <c r="K11" i="46"/>
  <c r="E11" i="46"/>
  <c r="AF10" i="46"/>
  <c r="AC10" i="46"/>
  <c r="Z10" i="46"/>
  <c r="W10" i="46"/>
  <c r="Q10" i="46"/>
  <c r="N10" i="46"/>
  <c r="K10" i="46"/>
  <c r="H10" i="46"/>
  <c r="E10" i="46"/>
  <c r="AF9" i="46"/>
  <c r="AC9" i="46"/>
  <c r="Z9" i="46"/>
  <c r="W9" i="46"/>
  <c r="Q9" i="46"/>
  <c r="N9" i="46"/>
  <c r="K9" i="46"/>
  <c r="E9" i="46"/>
  <c r="AF8" i="46"/>
  <c r="AC8" i="46"/>
  <c r="W8" i="46"/>
  <c r="Q8" i="46"/>
  <c r="K8" i="46"/>
  <c r="E8" i="46"/>
  <c r="AF7" i="46"/>
  <c r="AC7" i="46"/>
  <c r="Z7" i="46"/>
  <c r="W7" i="46"/>
  <c r="T7" i="46"/>
  <c r="Q7" i="46"/>
  <c r="N7" i="46"/>
  <c r="K7" i="46"/>
  <c r="E7" i="46"/>
  <c r="AF6" i="46"/>
  <c r="AC6" i="46"/>
  <c r="Z6" i="46"/>
  <c r="W6" i="46"/>
  <c r="T6" i="46"/>
  <c r="Q6" i="46"/>
  <c r="N6" i="46"/>
  <c r="K6" i="46"/>
  <c r="H6" i="46"/>
  <c r="E6" i="46"/>
  <c r="W79" i="45"/>
  <c r="W80" i="45" s="1"/>
  <c r="V79" i="45"/>
  <c r="V80" i="45" s="1"/>
  <c r="U79" i="45"/>
  <c r="U80" i="45" s="1"/>
  <c r="T79" i="45"/>
  <c r="T80" i="45" s="1"/>
  <c r="S79" i="45"/>
  <c r="S80" i="45" s="1"/>
  <c r="R79" i="45"/>
  <c r="R80" i="45" s="1"/>
  <c r="Q79" i="45"/>
  <c r="Q80" i="45" s="1"/>
  <c r="P79" i="45"/>
  <c r="P80" i="45" s="1"/>
  <c r="O79" i="45"/>
  <c r="O80" i="45" s="1"/>
  <c r="M79" i="45"/>
  <c r="M80" i="45" s="1"/>
  <c r="L79" i="45"/>
  <c r="L80" i="45" s="1"/>
  <c r="J79" i="45"/>
  <c r="J80" i="45" s="1"/>
  <c r="I79" i="45"/>
  <c r="I80" i="45" s="1"/>
  <c r="G79" i="45"/>
  <c r="G80" i="45" s="1"/>
  <c r="F79" i="45"/>
  <c r="F80" i="45" s="1"/>
  <c r="N78" i="45"/>
  <c r="N79" i="45" s="1"/>
  <c r="N80" i="45" s="1"/>
  <c r="K78" i="45"/>
  <c r="K79" i="45" s="1"/>
  <c r="K80" i="45" s="1"/>
  <c r="H78" i="45"/>
  <c r="H79" i="45" s="1"/>
  <c r="H80" i="45" s="1"/>
  <c r="W73" i="45"/>
  <c r="V73" i="45"/>
  <c r="U73" i="45"/>
  <c r="S73" i="45"/>
  <c r="R73" i="45"/>
  <c r="P73" i="45"/>
  <c r="O73" i="45"/>
  <c r="M73" i="45"/>
  <c r="L73" i="45"/>
  <c r="J73" i="45"/>
  <c r="I73" i="45"/>
  <c r="I74" i="45" s="1"/>
  <c r="G73" i="45"/>
  <c r="F73" i="45"/>
  <c r="D73" i="45"/>
  <c r="C73" i="45"/>
  <c r="N72" i="45"/>
  <c r="K72" i="45"/>
  <c r="H72" i="45"/>
  <c r="E72" i="45"/>
  <c r="T71" i="45"/>
  <c r="T73" i="45" s="1"/>
  <c r="Q71" i="45"/>
  <c r="Q73" i="45" s="1"/>
  <c r="N71" i="45"/>
  <c r="K71" i="45"/>
  <c r="H71" i="45"/>
  <c r="E71" i="45"/>
  <c r="W68" i="45"/>
  <c r="V68" i="45"/>
  <c r="U68" i="45"/>
  <c r="T68" i="45"/>
  <c r="S68" i="45"/>
  <c r="R68" i="45"/>
  <c r="P68" i="45"/>
  <c r="O68" i="45"/>
  <c r="M68" i="45"/>
  <c r="L68" i="45"/>
  <c r="J68" i="45"/>
  <c r="I68" i="45"/>
  <c r="G68" i="45"/>
  <c r="F68" i="45"/>
  <c r="D68" i="45"/>
  <c r="C68" i="45"/>
  <c r="Q67" i="45"/>
  <c r="Q68" i="45" s="1"/>
  <c r="N67" i="45"/>
  <c r="K67" i="45"/>
  <c r="H67" i="45"/>
  <c r="E67" i="45"/>
  <c r="N66" i="45"/>
  <c r="K66" i="45"/>
  <c r="H66" i="45"/>
  <c r="E66" i="45"/>
  <c r="W64" i="45"/>
  <c r="V64" i="45"/>
  <c r="U64" i="45"/>
  <c r="S64" i="45"/>
  <c r="R64" i="45"/>
  <c r="P64" i="45"/>
  <c r="O64" i="45"/>
  <c r="M64" i="45"/>
  <c r="L64" i="45"/>
  <c r="J64" i="45"/>
  <c r="I64" i="45"/>
  <c r="G64" i="45"/>
  <c r="F64" i="45"/>
  <c r="D64" i="45"/>
  <c r="C64" i="45"/>
  <c r="N63" i="45"/>
  <c r="K63" i="45"/>
  <c r="H63" i="45"/>
  <c r="E63" i="45"/>
  <c r="N62" i="45"/>
  <c r="K62" i="45"/>
  <c r="H62" i="45"/>
  <c r="E62" i="45"/>
  <c r="T61" i="45"/>
  <c r="T64" i="45" s="1"/>
  <c r="Q61" i="45"/>
  <c r="N61" i="45"/>
  <c r="K61" i="45"/>
  <c r="H61" i="45"/>
  <c r="E61" i="45"/>
  <c r="Q60" i="45"/>
  <c r="N60" i="45"/>
  <c r="N64" i="45" s="1"/>
  <c r="K60" i="45"/>
  <c r="H60" i="45"/>
  <c r="E60" i="45"/>
  <c r="V59" i="45"/>
  <c r="U59" i="45"/>
  <c r="S59" i="45"/>
  <c r="R59" i="45"/>
  <c r="P59" i="45"/>
  <c r="P65" i="45" s="1"/>
  <c r="O59" i="45"/>
  <c r="M59" i="45"/>
  <c r="L59" i="45"/>
  <c r="J59" i="45"/>
  <c r="I59" i="45"/>
  <c r="G59" i="45"/>
  <c r="F59" i="45"/>
  <c r="D59" i="45"/>
  <c r="D65" i="45" s="1"/>
  <c r="C59" i="45"/>
  <c r="W58" i="45"/>
  <c r="T58" i="45"/>
  <c r="N57" i="45"/>
  <c r="K57" i="45"/>
  <c r="H57" i="45"/>
  <c r="E57" i="45"/>
  <c r="Q56" i="45"/>
  <c r="N56" i="45"/>
  <c r="K56" i="45"/>
  <c r="H56" i="45"/>
  <c r="E56" i="45"/>
  <c r="N55" i="45"/>
  <c r="K55" i="45"/>
  <c r="H55" i="45"/>
  <c r="E55" i="45"/>
  <c r="Q54" i="45"/>
  <c r="N54" i="45"/>
  <c r="K54" i="45"/>
  <c r="H54" i="45"/>
  <c r="E54" i="45"/>
  <c r="W53" i="45"/>
  <c r="T53" i="45"/>
  <c r="Q53" i="45"/>
  <c r="N53" i="45"/>
  <c r="K53" i="45"/>
  <c r="H53" i="45"/>
  <c r="E53" i="45"/>
  <c r="T52" i="45"/>
  <c r="Q52" i="45"/>
  <c r="N52" i="45"/>
  <c r="K52" i="45"/>
  <c r="H52" i="45"/>
  <c r="E52" i="45"/>
  <c r="N51" i="45"/>
  <c r="K51" i="45"/>
  <c r="H51" i="45"/>
  <c r="E51" i="45"/>
  <c r="V50" i="45"/>
  <c r="U50" i="45"/>
  <c r="U65" i="45" s="1"/>
  <c r="S50" i="45"/>
  <c r="R50" i="45"/>
  <c r="P50" i="45"/>
  <c r="O50" i="45"/>
  <c r="M50" i="45"/>
  <c r="L50" i="45"/>
  <c r="J50" i="45"/>
  <c r="I50" i="45"/>
  <c r="G50" i="45"/>
  <c r="F50" i="45"/>
  <c r="D50" i="45"/>
  <c r="C50" i="45"/>
  <c r="W49" i="45"/>
  <c r="T49" i="45"/>
  <c r="W48" i="45"/>
  <c r="T48" i="45"/>
  <c r="Q48" i="45"/>
  <c r="N48" i="45"/>
  <c r="N50" i="45" s="1"/>
  <c r="K48" i="45"/>
  <c r="H48" i="45"/>
  <c r="E48" i="45"/>
  <c r="Q47" i="45"/>
  <c r="Q50" i="45" s="1"/>
  <c r="N47" i="45"/>
  <c r="K47" i="45"/>
  <c r="H47" i="45"/>
  <c r="E47" i="45"/>
  <c r="N46" i="45"/>
  <c r="K46" i="45"/>
  <c r="H46" i="45"/>
  <c r="E46" i="45"/>
  <c r="W45" i="45"/>
  <c r="T45" i="45"/>
  <c r="T50" i="45" s="1"/>
  <c r="N45" i="45"/>
  <c r="K45" i="45"/>
  <c r="H45" i="45"/>
  <c r="E45" i="45"/>
  <c r="V43" i="45"/>
  <c r="U43" i="45"/>
  <c r="S43" i="45"/>
  <c r="R43" i="45"/>
  <c r="P43" i="45"/>
  <c r="O43" i="45"/>
  <c r="M43" i="45"/>
  <c r="L43" i="45"/>
  <c r="J43" i="45"/>
  <c r="I43" i="45"/>
  <c r="G43" i="45"/>
  <c r="F43" i="45"/>
  <c r="D43" i="45"/>
  <c r="C43" i="45"/>
  <c r="N42" i="45"/>
  <c r="K42" i="45"/>
  <c r="H42" i="45"/>
  <c r="E42" i="45"/>
  <c r="Q41" i="45"/>
  <c r="Q43" i="45" s="1"/>
  <c r="N41" i="45"/>
  <c r="K41" i="45"/>
  <c r="H41" i="45"/>
  <c r="E41" i="45"/>
  <c r="W40" i="45"/>
  <c r="W43" i="45" s="1"/>
  <c r="T40" i="45"/>
  <c r="T43" i="45" s="1"/>
  <c r="N39" i="45"/>
  <c r="K39" i="45"/>
  <c r="H39" i="45"/>
  <c r="E39" i="45"/>
  <c r="N38" i="45"/>
  <c r="K38" i="45"/>
  <c r="H38" i="45"/>
  <c r="E38" i="45"/>
  <c r="V37" i="45"/>
  <c r="U37" i="45"/>
  <c r="S37" i="45"/>
  <c r="R37" i="45"/>
  <c r="P37" i="45"/>
  <c r="P44" i="45" s="1"/>
  <c r="O37" i="45"/>
  <c r="M37" i="45"/>
  <c r="L37" i="45"/>
  <c r="J37" i="45"/>
  <c r="I37" i="45"/>
  <c r="G37" i="45"/>
  <c r="F37" i="45"/>
  <c r="D37" i="45"/>
  <c r="C37" i="45"/>
  <c r="Q36" i="45"/>
  <c r="N36" i="45"/>
  <c r="K36" i="45"/>
  <c r="H36" i="45"/>
  <c r="E36" i="45"/>
  <c r="N35" i="45"/>
  <c r="K35" i="45"/>
  <c r="H35" i="45"/>
  <c r="E35" i="45"/>
  <c r="Q34" i="45"/>
  <c r="N34" i="45"/>
  <c r="Q33" i="45"/>
  <c r="N33" i="45"/>
  <c r="K33" i="45"/>
  <c r="H33" i="45"/>
  <c r="E33" i="45"/>
  <c r="N32" i="45"/>
  <c r="K32" i="45"/>
  <c r="H32" i="45"/>
  <c r="E32" i="45"/>
  <c r="N30" i="45"/>
  <c r="K30" i="45"/>
  <c r="H30" i="45"/>
  <c r="E30" i="45"/>
  <c r="W29" i="45"/>
  <c r="W37" i="45" s="1"/>
  <c r="T29" i="45"/>
  <c r="T37" i="45" s="1"/>
  <c r="Q29" i="45"/>
  <c r="N29" i="45"/>
  <c r="K29" i="45"/>
  <c r="K37" i="45" s="1"/>
  <c r="H29" i="45"/>
  <c r="E29" i="45"/>
  <c r="V28" i="45"/>
  <c r="U28" i="45"/>
  <c r="S28" i="45"/>
  <c r="R28" i="45"/>
  <c r="P28" i="45"/>
  <c r="O28" i="45"/>
  <c r="M28" i="45"/>
  <c r="L28" i="45"/>
  <c r="J28" i="45"/>
  <c r="I28" i="45"/>
  <c r="G28" i="45"/>
  <c r="F28" i="45"/>
  <c r="D28" i="45"/>
  <c r="C28" i="45"/>
  <c r="N27" i="45"/>
  <c r="K27" i="45"/>
  <c r="H27" i="45"/>
  <c r="E27" i="45"/>
  <c r="N26" i="45"/>
  <c r="K26" i="45"/>
  <c r="H26" i="45"/>
  <c r="E26" i="45"/>
  <c r="N25" i="45"/>
  <c r="K25" i="45"/>
  <c r="H25" i="45"/>
  <c r="E25" i="45"/>
  <c r="N24" i="45"/>
  <c r="K24" i="45"/>
  <c r="H24" i="45"/>
  <c r="E24" i="45"/>
  <c r="W23" i="45"/>
  <c r="W28" i="45" s="1"/>
  <c r="T23" i="45"/>
  <c r="T28" i="45" s="1"/>
  <c r="Q23" i="45"/>
  <c r="Q28" i="45" s="1"/>
  <c r="N22" i="45"/>
  <c r="K22" i="45"/>
  <c r="H22" i="45"/>
  <c r="E22" i="45"/>
  <c r="V20" i="45"/>
  <c r="U20" i="45"/>
  <c r="S20" i="45"/>
  <c r="R20" i="45"/>
  <c r="P20" i="45"/>
  <c r="O20" i="45"/>
  <c r="M20" i="45"/>
  <c r="L20" i="45"/>
  <c r="J20" i="45"/>
  <c r="I20" i="45"/>
  <c r="W18" i="45"/>
  <c r="W20" i="45" s="1"/>
  <c r="T18" i="45"/>
  <c r="T20" i="45" s="1"/>
  <c r="Q18" i="45"/>
  <c r="Q20" i="45" s="1"/>
  <c r="N18" i="45"/>
  <c r="N20" i="45" s="1"/>
  <c r="K18" i="45"/>
  <c r="K20" i="45" s="1"/>
  <c r="W17" i="45"/>
  <c r="V17" i="45"/>
  <c r="U17" i="45"/>
  <c r="S17" i="45"/>
  <c r="R17" i="45"/>
  <c r="P17" i="45"/>
  <c r="O17" i="45"/>
  <c r="M17" i="45"/>
  <c r="L17" i="45"/>
  <c r="J17" i="45"/>
  <c r="I17" i="45"/>
  <c r="G17" i="45"/>
  <c r="F17" i="45"/>
  <c r="D17" i="45"/>
  <c r="C17" i="45"/>
  <c r="N16" i="45"/>
  <c r="K16" i="45"/>
  <c r="H16" i="45"/>
  <c r="E16" i="45"/>
  <c r="N15" i="45"/>
  <c r="K15" i="45"/>
  <c r="H15" i="45"/>
  <c r="E15" i="45"/>
  <c r="T14" i="45"/>
  <c r="T17" i="45" s="1"/>
  <c r="Q14" i="45"/>
  <c r="N14" i="45"/>
  <c r="K14" i="45"/>
  <c r="H14" i="45"/>
  <c r="E14" i="45"/>
  <c r="Q13" i="45"/>
  <c r="N13" i="45"/>
  <c r="K13" i="45"/>
  <c r="H13" i="45"/>
  <c r="E13" i="45"/>
  <c r="V12" i="45"/>
  <c r="U12" i="45"/>
  <c r="S12" i="45"/>
  <c r="R12" i="45"/>
  <c r="P12" i="45"/>
  <c r="O12" i="45"/>
  <c r="M12" i="45"/>
  <c r="M21" i="45" s="1"/>
  <c r="L12" i="45"/>
  <c r="J12" i="45"/>
  <c r="I12" i="45"/>
  <c r="G12" i="45"/>
  <c r="F12" i="45"/>
  <c r="D12" i="45"/>
  <c r="C12" i="45"/>
  <c r="N11" i="45"/>
  <c r="K11" i="45"/>
  <c r="H11" i="45"/>
  <c r="E11" i="45"/>
  <c r="N10" i="45"/>
  <c r="K10" i="45"/>
  <c r="H10" i="45"/>
  <c r="E10" i="45"/>
  <c r="N9" i="45"/>
  <c r="K9" i="45"/>
  <c r="H9" i="45"/>
  <c r="E9" i="45"/>
  <c r="N8" i="45"/>
  <c r="K8" i="45"/>
  <c r="H8" i="45"/>
  <c r="E8" i="45"/>
  <c r="N7" i="45"/>
  <c r="K7" i="45"/>
  <c r="H7" i="45"/>
  <c r="E7" i="45"/>
  <c r="W6" i="45"/>
  <c r="W12" i="45" s="1"/>
  <c r="T6" i="45"/>
  <c r="T12" i="45" s="1"/>
  <c r="Q6" i="45"/>
  <c r="Q12" i="45" s="1"/>
  <c r="N6" i="45"/>
  <c r="K6" i="45"/>
  <c r="H6" i="45"/>
  <c r="E6" i="45"/>
  <c r="N5" i="45"/>
  <c r="K5" i="45"/>
  <c r="S105" i="44"/>
  <c r="R105" i="44"/>
  <c r="P105" i="44"/>
  <c r="O105" i="44"/>
  <c r="M105" i="44"/>
  <c r="L105" i="44"/>
  <c r="K105" i="44"/>
  <c r="J105" i="44"/>
  <c r="I105" i="44"/>
  <c r="H105" i="44"/>
  <c r="G105" i="44"/>
  <c r="F105" i="44"/>
  <c r="E105" i="44"/>
  <c r="E106" i="44" s="1"/>
  <c r="D105" i="44"/>
  <c r="C105" i="44"/>
  <c r="T104" i="44"/>
  <c r="Q104" i="44"/>
  <c r="N104" i="44"/>
  <c r="T103" i="44"/>
  <c r="Q103" i="44"/>
  <c r="Q105" i="44" s="1"/>
  <c r="N103" i="44"/>
  <c r="T102" i="44"/>
  <c r="T105" i="44" s="1"/>
  <c r="Q102" i="44"/>
  <c r="N102" i="44"/>
  <c r="S101" i="44"/>
  <c r="R101" i="44"/>
  <c r="P101" i="44"/>
  <c r="O101" i="44"/>
  <c r="M101" i="44"/>
  <c r="L101" i="44"/>
  <c r="K101" i="44"/>
  <c r="J101" i="44"/>
  <c r="I101" i="44"/>
  <c r="H101" i="44"/>
  <c r="G101" i="44"/>
  <c r="F101" i="44"/>
  <c r="E101" i="44"/>
  <c r="D101" i="44"/>
  <c r="C101" i="44"/>
  <c r="T100" i="44"/>
  <c r="Q100" i="44"/>
  <c r="N100" i="44"/>
  <c r="T99" i="44"/>
  <c r="Q99" i="44"/>
  <c r="Q101" i="44" s="1"/>
  <c r="N99" i="44"/>
  <c r="N101" i="44" s="1"/>
  <c r="T98" i="44"/>
  <c r="Q98" i="44"/>
  <c r="N98" i="44"/>
  <c r="S97" i="44"/>
  <c r="R97" i="44"/>
  <c r="R106" i="44"/>
  <c r="P97" i="44"/>
  <c r="P106" i="44"/>
  <c r="O97" i="44"/>
  <c r="M97" i="44"/>
  <c r="L97" i="44"/>
  <c r="K97" i="44"/>
  <c r="J97" i="44"/>
  <c r="J106" i="44" s="1"/>
  <c r="I97" i="44"/>
  <c r="H97" i="44"/>
  <c r="G97" i="44"/>
  <c r="G106" i="44" s="1"/>
  <c r="F97" i="44"/>
  <c r="E97" i="44"/>
  <c r="D97" i="44"/>
  <c r="C97" i="44"/>
  <c r="T96" i="44"/>
  <c r="Q96" i="44"/>
  <c r="N96" i="44"/>
  <c r="T95" i="44"/>
  <c r="Q95" i="44"/>
  <c r="N95" i="44"/>
  <c r="T94" i="44"/>
  <c r="T97" i="44" s="1"/>
  <c r="Q94" i="44"/>
  <c r="Q97" i="44" s="1"/>
  <c r="N94" i="44"/>
  <c r="S92" i="44"/>
  <c r="R92" i="44"/>
  <c r="P92" i="44"/>
  <c r="O92" i="44"/>
  <c r="M92" i="44"/>
  <c r="L92" i="44"/>
  <c r="K92" i="44"/>
  <c r="J92" i="44"/>
  <c r="I92" i="44"/>
  <c r="H92" i="44"/>
  <c r="G92" i="44"/>
  <c r="F92" i="44"/>
  <c r="E92" i="44"/>
  <c r="D92" i="44"/>
  <c r="C92" i="44"/>
  <c r="T91" i="44"/>
  <c r="Q91" i="44"/>
  <c r="N91" i="44"/>
  <c r="T90" i="44"/>
  <c r="Q90" i="44"/>
  <c r="N90" i="44"/>
  <c r="T89" i="44"/>
  <c r="Q89" i="44"/>
  <c r="N89" i="44"/>
  <c r="T88" i="44"/>
  <c r="Q88" i="44"/>
  <c r="N88" i="44"/>
  <c r="S87" i="44"/>
  <c r="R87" i="44"/>
  <c r="P87" i="44"/>
  <c r="O87" i="44"/>
  <c r="M87" i="44"/>
  <c r="L87" i="44"/>
  <c r="K87" i="44"/>
  <c r="J87" i="44"/>
  <c r="I87" i="44"/>
  <c r="H87" i="44"/>
  <c r="G87" i="44"/>
  <c r="F87" i="44"/>
  <c r="E87" i="44"/>
  <c r="D87" i="44"/>
  <c r="C87" i="44"/>
  <c r="T86" i="44"/>
  <c r="Q86" i="44"/>
  <c r="N86" i="44"/>
  <c r="T85" i="44"/>
  <c r="Q85" i="44"/>
  <c r="N85" i="44"/>
  <c r="T84" i="44"/>
  <c r="Q84" i="44"/>
  <c r="N84" i="44"/>
  <c r="S83" i="44"/>
  <c r="R83" i="44"/>
  <c r="P83" i="44"/>
  <c r="P93" i="44" s="1"/>
  <c r="O83" i="44"/>
  <c r="M83" i="44"/>
  <c r="M93" i="44" s="1"/>
  <c r="L83" i="44"/>
  <c r="K83" i="44"/>
  <c r="J83" i="44"/>
  <c r="I83" i="44"/>
  <c r="H83" i="44"/>
  <c r="G83" i="44"/>
  <c r="F83" i="44"/>
  <c r="E83" i="44"/>
  <c r="D83" i="44"/>
  <c r="C83" i="44"/>
  <c r="T82" i="44"/>
  <c r="Q82" i="44"/>
  <c r="N82" i="44"/>
  <c r="T81" i="44"/>
  <c r="Q81" i="44"/>
  <c r="N81" i="44"/>
  <c r="T80" i="44"/>
  <c r="Q80" i="44"/>
  <c r="N80" i="44"/>
  <c r="T79" i="44"/>
  <c r="Q79" i="44"/>
  <c r="N79" i="44"/>
  <c r="S77" i="44"/>
  <c r="R77" i="44"/>
  <c r="P77" i="44"/>
  <c r="O77" i="44"/>
  <c r="M77" i="44"/>
  <c r="L77" i="44"/>
  <c r="K77" i="44"/>
  <c r="J77" i="44"/>
  <c r="I77" i="44"/>
  <c r="H77" i="44"/>
  <c r="G77" i="44"/>
  <c r="F77" i="44"/>
  <c r="E77" i="44"/>
  <c r="D77" i="44"/>
  <c r="C77" i="44"/>
  <c r="T76" i="44"/>
  <c r="Q76" i="44"/>
  <c r="N76" i="44"/>
  <c r="T75" i="44"/>
  <c r="Q75" i="44"/>
  <c r="N75" i="44"/>
  <c r="T74" i="44"/>
  <c r="Q74" i="44"/>
  <c r="N74" i="44"/>
  <c r="T73" i="44"/>
  <c r="T77" i="44" s="1"/>
  <c r="Q73" i="44"/>
  <c r="N73" i="44"/>
  <c r="S72" i="44"/>
  <c r="R72" i="44"/>
  <c r="P72" i="44"/>
  <c r="O72" i="44"/>
  <c r="M72" i="44"/>
  <c r="L72" i="44"/>
  <c r="K72" i="44"/>
  <c r="J72" i="44"/>
  <c r="I72" i="44"/>
  <c r="H72" i="44"/>
  <c r="G72" i="44"/>
  <c r="F72" i="44"/>
  <c r="E72" i="44"/>
  <c r="D72" i="44"/>
  <c r="C72" i="44"/>
  <c r="T71" i="44"/>
  <c r="Q71" i="44"/>
  <c r="N71" i="44"/>
  <c r="T70" i="44"/>
  <c r="Q70" i="44"/>
  <c r="N70" i="44"/>
  <c r="T69" i="44"/>
  <c r="Q69" i="44"/>
  <c r="N69" i="44"/>
  <c r="T68" i="44"/>
  <c r="Q68" i="44"/>
  <c r="N68" i="44"/>
  <c r="T67" i="44"/>
  <c r="Q67" i="44"/>
  <c r="N67" i="44"/>
  <c r="T66" i="44"/>
  <c r="Q66" i="44"/>
  <c r="N66" i="44"/>
  <c r="T65" i="44"/>
  <c r="Q65" i="44"/>
  <c r="N65" i="44"/>
  <c r="T64" i="44"/>
  <c r="Q64" i="44"/>
  <c r="N64" i="44"/>
  <c r="S63" i="44"/>
  <c r="R63" i="44"/>
  <c r="R78" i="44" s="1"/>
  <c r="P63" i="44"/>
  <c r="O63" i="44"/>
  <c r="M63" i="44"/>
  <c r="L63" i="44"/>
  <c r="K63" i="44"/>
  <c r="K78" i="44" s="1"/>
  <c r="J63" i="44"/>
  <c r="I63" i="44"/>
  <c r="H63" i="44"/>
  <c r="G63" i="44"/>
  <c r="F63" i="44"/>
  <c r="E63" i="44"/>
  <c r="D63" i="44"/>
  <c r="C63" i="44"/>
  <c r="T62" i="44"/>
  <c r="Q62" i="44"/>
  <c r="N62" i="44"/>
  <c r="N63" i="44" s="1"/>
  <c r="T61" i="44"/>
  <c r="Q61" i="44"/>
  <c r="N61" i="44"/>
  <c r="T60" i="44"/>
  <c r="Q60" i="44"/>
  <c r="N60" i="44"/>
  <c r="T59" i="44"/>
  <c r="Q59" i="44"/>
  <c r="N59" i="44"/>
  <c r="T58" i="44"/>
  <c r="Q58" i="44"/>
  <c r="N58" i="44"/>
  <c r="T57" i="44"/>
  <c r="Q57" i="44"/>
  <c r="N57" i="44"/>
  <c r="S55" i="44"/>
  <c r="S56" i="44" s="1"/>
  <c r="R55" i="44"/>
  <c r="P55" i="44"/>
  <c r="O55" i="44"/>
  <c r="M55" i="44"/>
  <c r="L55" i="44"/>
  <c r="K55" i="44"/>
  <c r="J55" i="44"/>
  <c r="I55" i="44"/>
  <c r="H55" i="44"/>
  <c r="G55" i="44"/>
  <c r="F55" i="44"/>
  <c r="E55" i="44"/>
  <c r="D55" i="44"/>
  <c r="C55" i="44"/>
  <c r="T54" i="44"/>
  <c r="Q54" i="44"/>
  <c r="N54" i="44"/>
  <c r="T53" i="44"/>
  <c r="Q53" i="44"/>
  <c r="N53" i="44"/>
  <c r="T52" i="44"/>
  <c r="Q52" i="44"/>
  <c r="N52" i="44"/>
  <c r="T51" i="44"/>
  <c r="Q51" i="44"/>
  <c r="N51" i="44"/>
  <c r="T50" i="44"/>
  <c r="Q50" i="44"/>
  <c r="N50" i="44"/>
  <c r="T49" i="44"/>
  <c r="Q49" i="44"/>
  <c r="N49" i="44"/>
  <c r="S48" i="44"/>
  <c r="R48" i="44"/>
  <c r="P48" i="44"/>
  <c r="O48" i="44"/>
  <c r="M48" i="44"/>
  <c r="L48" i="44"/>
  <c r="K48" i="44"/>
  <c r="J48" i="44"/>
  <c r="J56" i="44" s="1"/>
  <c r="I48" i="44"/>
  <c r="H48" i="44"/>
  <c r="G48" i="44"/>
  <c r="F48" i="44"/>
  <c r="E48" i="44"/>
  <c r="D48" i="44"/>
  <c r="C48" i="44"/>
  <c r="T47" i="44"/>
  <c r="Q47" i="44"/>
  <c r="N47" i="44"/>
  <c r="T46" i="44"/>
  <c r="Q46" i="44"/>
  <c r="N46" i="44"/>
  <c r="T45" i="44"/>
  <c r="Q45" i="44"/>
  <c r="N45" i="44"/>
  <c r="T44" i="44"/>
  <c r="Q44" i="44"/>
  <c r="N44" i="44"/>
  <c r="T43" i="44"/>
  <c r="Q43" i="44"/>
  <c r="N43" i="44"/>
  <c r="T42" i="44"/>
  <c r="Q42" i="44"/>
  <c r="N42" i="44"/>
  <c r="T41" i="44"/>
  <c r="Q41" i="44"/>
  <c r="N41" i="44"/>
  <c r="T40" i="44"/>
  <c r="Q40" i="44"/>
  <c r="N40" i="44"/>
  <c r="T39" i="44"/>
  <c r="Q39" i="44"/>
  <c r="N39" i="44"/>
  <c r="T38" i="44"/>
  <c r="Q38" i="44"/>
  <c r="N38" i="44"/>
  <c r="T37" i="44"/>
  <c r="Q37" i="44"/>
  <c r="N37" i="44"/>
  <c r="S36" i="44"/>
  <c r="R36" i="44"/>
  <c r="P36" i="44"/>
  <c r="O36" i="44"/>
  <c r="M36" i="44"/>
  <c r="L36" i="44"/>
  <c r="K36" i="44"/>
  <c r="J36" i="44"/>
  <c r="I36" i="44"/>
  <c r="H36" i="44"/>
  <c r="G36" i="44"/>
  <c r="F36" i="44"/>
  <c r="E36" i="44"/>
  <c r="D36" i="44"/>
  <c r="C36" i="44"/>
  <c r="T35" i="44"/>
  <c r="Q35" i="44"/>
  <c r="N35" i="44"/>
  <c r="T34" i="44"/>
  <c r="Q34" i="44"/>
  <c r="N34" i="44"/>
  <c r="T33" i="44"/>
  <c r="Q33" i="44"/>
  <c r="N33" i="44"/>
  <c r="T32" i="44"/>
  <c r="Q32" i="44"/>
  <c r="N32" i="44"/>
  <c r="T31" i="44"/>
  <c r="Q31" i="44"/>
  <c r="N31" i="44"/>
  <c r="T30" i="44"/>
  <c r="Q30" i="44"/>
  <c r="N30" i="44"/>
  <c r="T29" i="44"/>
  <c r="Q29" i="44"/>
  <c r="N29" i="44"/>
  <c r="T28" i="44"/>
  <c r="Q28" i="44"/>
  <c r="N28" i="44"/>
  <c r="T27" i="44"/>
  <c r="Q27" i="44"/>
  <c r="N27" i="44"/>
  <c r="S24" i="44"/>
  <c r="R24" i="44"/>
  <c r="P24" i="44"/>
  <c r="O24" i="44"/>
  <c r="M24" i="44"/>
  <c r="L24" i="44"/>
  <c r="K24" i="44"/>
  <c r="J24" i="44"/>
  <c r="I24" i="44"/>
  <c r="H24" i="44"/>
  <c r="G24" i="44"/>
  <c r="F24" i="44"/>
  <c r="E24" i="44"/>
  <c r="D24" i="44"/>
  <c r="D25" i="44" s="1"/>
  <c r="C24" i="44"/>
  <c r="T23" i="44"/>
  <c r="Q23" i="44"/>
  <c r="N23" i="44"/>
  <c r="T22" i="44"/>
  <c r="Q22" i="44"/>
  <c r="N22" i="44"/>
  <c r="T21" i="44"/>
  <c r="Q21" i="44"/>
  <c r="N21" i="44"/>
  <c r="S20" i="44"/>
  <c r="R20" i="44"/>
  <c r="P20" i="44"/>
  <c r="O20" i="44"/>
  <c r="M20" i="44"/>
  <c r="L20" i="44"/>
  <c r="K20" i="44"/>
  <c r="J20" i="44"/>
  <c r="I20" i="44"/>
  <c r="H20" i="44"/>
  <c r="G20" i="44"/>
  <c r="F20" i="44"/>
  <c r="E20" i="44"/>
  <c r="D20" i="44"/>
  <c r="C20" i="44"/>
  <c r="T19" i="44"/>
  <c r="Q19" i="44"/>
  <c r="N19" i="44"/>
  <c r="T18" i="44"/>
  <c r="Q18" i="44"/>
  <c r="N18" i="44"/>
  <c r="T17" i="44"/>
  <c r="Q17" i="44"/>
  <c r="N17" i="44"/>
  <c r="T16" i="44"/>
  <c r="Q16" i="44"/>
  <c r="N16" i="44"/>
  <c r="S15" i="44"/>
  <c r="R15" i="44"/>
  <c r="P15" i="44"/>
  <c r="P25" i="44" s="1"/>
  <c r="O15" i="44"/>
  <c r="M15" i="44"/>
  <c r="L15" i="44"/>
  <c r="K15" i="44"/>
  <c r="J15" i="44"/>
  <c r="I15" i="44"/>
  <c r="H15" i="44"/>
  <c r="G15" i="44"/>
  <c r="F15" i="44"/>
  <c r="E15" i="44"/>
  <c r="D15" i="44"/>
  <c r="C15" i="44"/>
  <c r="T14" i="44"/>
  <c r="Q14" i="44"/>
  <c r="N14" i="44"/>
  <c r="T13" i="44"/>
  <c r="Q13" i="44"/>
  <c r="N13" i="44"/>
  <c r="T12" i="44"/>
  <c r="Q12" i="44"/>
  <c r="N12" i="44"/>
  <c r="T11" i="44"/>
  <c r="Q11" i="44"/>
  <c r="N11" i="44"/>
  <c r="T10" i="44"/>
  <c r="Q10" i="44"/>
  <c r="N10" i="44"/>
  <c r="T9" i="44"/>
  <c r="Q9" i="44"/>
  <c r="N9" i="44"/>
  <c r="T8" i="44"/>
  <c r="Q8" i="44"/>
  <c r="N8" i="44"/>
  <c r="T7" i="44"/>
  <c r="Q7" i="44"/>
  <c r="N7" i="44"/>
  <c r="T6" i="44"/>
  <c r="Q6" i="44"/>
  <c r="N6" i="44"/>
  <c r="T5" i="44"/>
  <c r="Q5" i="44"/>
  <c r="N5" i="44"/>
  <c r="Z36" i="43"/>
  <c r="Y36" i="43"/>
  <c r="X36" i="43"/>
  <c r="W36" i="43"/>
  <c r="V36" i="43"/>
  <c r="U36" i="43"/>
  <c r="Z35" i="43"/>
  <c r="Y35" i="43"/>
  <c r="X35" i="43"/>
  <c r="W35" i="43"/>
  <c r="V35" i="43"/>
  <c r="U35" i="43"/>
  <c r="Z34" i="43"/>
  <c r="Y34" i="43"/>
  <c r="X34" i="43"/>
  <c r="W34" i="43"/>
  <c r="V34" i="43"/>
  <c r="U34" i="43"/>
  <c r="F34" i="43"/>
  <c r="E34" i="43"/>
  <c r="D34" i="43"/>
  <c r="C34" i="43"/>
  <c r="V33" i="43"/>
  <c r="U33" i="43"/>
  <c r="F33" i="43"/>
  <c r="E33" i="43"/>
  <c r="D33" i="43"/>
  <c r="C33" i="43"/>
  <c r="V32" i="43"/>
  <c r="U32" i="43"/>
  <c r="F32" i="43"/>
  <c r="E32" i="43"/>
  <c r="D32" i="43"/>
  <c r="C32" i="43"/>
  <c r="V31" i="43"/>
  <c r="U31" i="43"/>
  <c r="F31" i="43"/>
  <c r="E31" i="43"/>
  <c r="D31" i="43"/>
  <c r="C31" i="43"/>
  <c r="Z29" i="43"/>
  <c r="Y29" i="43"/>
  <c r="X29" i="43"/>
  <c r="W29" i="43"/>
  <c r="V29" i="43"/>
  <c r="U29" i="43"/>
  <c r="F29" i="43"/>
  <c r="E29" i="43"/>
  <c r="D29" i="43"/>
  <c r="C29" i="43"/>
  <c r="W23" i="43"/>
  <c r="W33" i="43" s="1"/>
  <c r="Z19" i="43"/>
  <c r="Y19" i="43"/>
  <c r="X19" i="43"/>
  <c r="W19" i="43"/>
  <c r="V19" i="43"/>
  <c r="U19" i="43"/>
  <c r="F19" i="43"/>
  <c r="E19" i="43"/>
  <c r="D19" i="43"/>
  <c r="C19" i="43"/>
  <c r="Z14" i="43"/>
  <c r="Y14" i="43"/>
  <c r="X14" i="43"/>
  <c r="W14" i="43"/>
  <c r="V14" i="43"/>
  <c r="U14" i="43"/>
  <c r="Z9" i="43"/>
  <c r="Y9" i="43"/>
  <c r="X9" i="43"/>
  <c r="W9" i="43"/>
  <c r="V9" i="43"/>
  <c r="U9" i="43"/>
  <c r="F9" i="43"/>
  <c r="E9" i="43"/>
  <c r="D9" i="43"/>
  <c r="C9" i="43"/>
  <c r="AS105" i="42"/>
  <c r="AS23" i="43" s="1"/>
  <c r="AR105" i="42"/>
  <c r="AR23" i="43" s="1"/>
  <c r="AP105" i="42"/>
  <c r="AP23" i="43" s="1"/>
  <c r="AO105" i="42"/>
  <c r="AO23" i="43"/>
  <c r="AM105" i="42"/>
  <c r="AM23" i="43" s="1"/>
  <c r="AL105" i="42"/>
  <c r="AL23" i="43" s="1"/>
  <c r="AK105" i="42"/>
  <c r="AK23" i="43" s="1"/>
  <c r="AJ105" i="42"/>
  <c r="AJ23" i="43"/>
  <c r="AI105" i="42"/>
  <c r="AI23" i="43" s="1"/>
  <c r="AH105" i="42"/>
  <c r="AH23" i="43" s="1"/>
  <c r="AH24" i="43" s="1"/>
  <c r="AG105" i="42"/>
  <c r="AG23" i="43" s="1"/>
  <c r="AF105" i="42"/>
  <c r="AF23" i="43" s="1"/>
  <c r="AE105" i="42"/>
  <c r="AE23" i="43" s="1"/>
  <c r="AD105" i="42"/>
  <c r="AD23" i="43" s="1"/>
  <c r="AC105" i="42"/>
  <c r="AC23" i="43" s="1"/>
  <c r="AB105" i="42"/>
  <c r="AB23" i="43"/>
  <c r="AA105" i="42"/>
  <c r="AA23" i="43" s="1"/>
  <c r="Z105" i="42"/>
  <c r="Z23" i="43" s="1"/>
  <c r="Z33" i="43" s="1"/>
  <c r="Y105" i="42"/>
  <c r="Y23" i="43"/>
  <c r="Y33" i="43" s="1"/>
  <c r="X105" i="42"/>
  <c r="W105" i="42"/>
  <c r="AT104" i="42"/>
  <c r="AQ104" i="42"/>
  <c r="AN104" i="42"/>
  <c r="AT103" i="42"/>
  <c r="AQ103" i="42"/>
  <c r="AN103" i="42"/>
  <c r="AT102" i="42"/>
  <c r="AQ102" i="42"/>
  <c r="AN102" i="42"/>
  <c r="AS101" i="42"/>
  <c r="AS22" i="43" s="1"/>
  <c r="AR101" i="42"/>
  <c r="AR22" i="43" s="1"/>
  <c r="AR24" i="43" s="1"/>
  <c r="AP101" i="42"/>
  <c r="AO101" i="42"/>
  <c r="AO22" i="43" s="1"/>
  <c r="AM101" i="42"/>
  <c r="AM22" i="43" s="1"/>
  <c r="AL101" i="42"/>
  <c r="AL22" i="43"/>
  <c r="AK101" i="42"/>
  <c r="AK22" i="43" s="1"/>
  <c r="AJ101" i="42"/>
  <c r="AJ22" i="43" s="1"/>
  <c r="AI101" i="42"/>
  <c r="AI22" i="43" s="1"/>
  <c r="AI32" i="43" s="1"/>
  <c r="AH101" i="42"/>
  <c r="AH22" i="43" s="1"/>
  <c r="AG101" i="42"/>
  <c r="AG22" i="43" s="1"/>
  <c r="AF101" i="42"/>
  <c r="AF22" i="43" s="1"/>
  <c r="AE101" i="42"/>
  <c r="AE22" i="43" s="1"/>
  <c r="AD101" i="42"/>
  <c r="AD22" i="43"/>
  <c r="AC101" i="42"/>
  <c r="AC22" i="43" s="1"/>
  <c r="AB101" i="42"/>
  <c r="AB22" i="43" s="1"/>
  <c r="AB24" i="43" s="1"/>
  <c r="AA101" i="42"/>
  <c r="AA22" i="43" s="1"/>
  <c r="Z101" i="42"/>
  <c r="Z22" i="43"/>
  <c r="Z32" i="43" s="1"/>
  <c r="Y101" i="42"/>
  <c r="Y22" i="43" s="1"/>
  <c r="Y32" i="43" s="1"/>
  <c r="X101" i="42"/>
  <c r="X22" i="43" s="1"/>
  <c r="X32" i="43" s="1"/>
  <c r="W101" i="42"/>
  <c r="W22" i="43"/>
  <c r="W32" i="43" s="1"/>
  <c r="AT100" i="42"/>
  <c r="AQ100" i="42"/>
  <c r="AN100" i="42"/>
  <c r="AT99" i="42"/>
  <c r="AQ99" i="42"/>
  <c r="AN99" i="42"/>
  <c r="AT98" i="42"/>
  <c r="AQ98" i="42"/>
  <c r="AN98" i="42"/>
  <c r="AS97" i="42"/>
  <c r="AS21" i="43" s="1"/>
  <c r="AR97" i="42"/>
  <c r="AP97" i="42"/>
  <c r="AO97" i="42"/>
  <c r="AO21" i="43" s="1"/>
  <c r="AM97" i="42"/>
  <c r="AL97" i="42"/>
  <c r="AL21" i="43" s="1"/>
  <c r="AK97" i="42"/>
  <c r="AK21" i="43"/>
  <c r="AK24" i="43" s="1"/>
  <c r="AJ97" i="42"/>
  <c r="AI97" i="42"/>
  <c r="AI106" i="42" s="1"/>
  <c r="AH97" i="42"/>
  <c r="AH21" i="43"/>
  <c r="AG97" i="42"/>
  <c r="AG21" i="43"/>
  <c r="AF97" i="42"/>
  <c r="AF21" i="43" s="1"/>
  <c r="AE97" i="42"/>
  <c r="AE21" i="43" s="1"/>
  <c r="AE31" i="43" s="1"/>
  <c r="AE37" i="43" s="1"/>
  <c r="AD97" i="42"/>
  <c r="AD21" i="43" s="1"/>
  <c r="AC97" i="42"/>
  <c r="AC21" i="43" s="1"/>
  <c r="AB97" i="42"/>
  <c r="AB21" i="43" s="1"/>
  <c r="AA97" i="42"/>
  <c r="AA21" i="43"/>
  <c r="Z97" i="42"/>
  <c r="Z21" i="43" s="1"/>
  <c r="Y97" i="42"/>
  <c r="Y21" i="43" s="1"/>
  <c r="X97" i="42"/>
  <c r="X21" i="43" s="1"/>
  <c r="X31" i="43" s="1"/>
  <c r="X37" i="43" s="1"/>
  <c r="W97" i="42"/>
  <c r="W21" i="43" s="1"/>
  <c r="AT96" i="42"/>
  <c r="AQ96" i="42"/>
  <c r="AN96" i="42"/>
  <c r="AT95" i="42"/>
  <c r="AQ95" i="42"/>
  <c r="AN95" i="42"/>
  <c r="AT94" i="42"/>
  <c r="AQ94" i="42"/>
  <c r="AN94" i="42"/>
  <c r="AN97" i="42" s="1"/>
  <c r="AS92" i="42"/>
  <c r="AR92" i="42"/>
  <c r="AR13" i="43" s="1"/>
  <c r="AP92" i="42"/>
  <c r="AO92" i="42"/>
  <c r="AO13" i="43" s="1"/>
  <c r="AO36" i="43" s="1"/>
  <c r="AM92" i="42"/>
  <c r="AM13" i="43"/>
  <c r="AM36" i="43" s="1"/>
  <c r="AL92" i="42"/>
  <c r="AK92" i="42"/>
  <c r="AJ92" i="42"/>
  <c r="AJ13" i="43"/>
  <c r="AJ36" i="43" s="1"/>
  <c r="AI92" i="42"/>
  <c r="AI13" i="43" s="1"/>
  <c r="AI36" i="43" s="1"/>
  <c r="AH92" i="42"/>
  <c r="AG92" i="42"/>
  <c r="AF92" i="42"/>
  <c r="AF13" i="43" s="1"/>
  <c r="AF36" i="43" s="1"/>
  <c r="AE92" i="42"/>
  <c r="AD92" i="42"/>
  <c r="AC92" i="42"/>
  <c r="AB92" i="42"/>
  <c r="AB13" i="43"/>
  <c r="AB36" i="43" s="1"/>
  <c r="AA92" i="42"/>
  <c r="Z92" i="42"/>
  <c r="Y92" i="42"/>
  <c r="X92" i="42"/>
  <c r="W92" i="42"/>
  <c r="V92" i="42"/>
  <c r="U92" i="42"/>
  <c r="T92" i="42"/>
  <c r="S92" i="42"/>
  <c r="R92" i="42"/>
  <c r="Q92" i="42"/>
  <c r="P92" i="42"/>
  <c r="O92" i="42"/>
  <c r="N92" i="42"/>
  <c r="M92" i="42"/>
  <c r="L92" i="42"/>
  <c r="L93" i="42" s="1"/>
  <c r="K92" i="42"/>
  <c r="AT91" i="42"/>
  <c r="AQ91" i="42"/>
  <c r="AN91" i="42"/>
  <c r="AT90" i="42"/>
  <c r="AQ90" i="42"/>
  <c r="AN90" i="42"/>
  <c r="AT89" i="42"/>
  <c r="AQ89" i="42"/>
  <c r="AN89" i="42"/>
  <c r="AT88" i="42"/>
  <c r="AQ88" i="42"/>
  <c r="AN88" i="42"/>
  <c r="AN92" i="42" s="1"/>
  <c r="AS87" i="42"/>
  <c r="AS12" i="43" s="1"/>
  <c r="AS35" i="43" s="1"/>
  <c r="AR87" i="42"/>
  <c r="AR12" i="43" s="1"/>
  <c r="AP87" i="42"/>
  <c r="AP12" i="43" s="1"/>
  <c r="AP35" i="43" s="1"/>
  <c r="AO87" i="42"/>
  <c r="AO12" i="43"/>
  <c r="AO35" i="43"/>
  <c r="AM87" i="42"/>
  <c r="AM12" i="43" s="1"/>
  <c r="AM35" i="43" s="1"/>
  <c r="AL87" i="42"/>
  <c r="AL12" i="43" s="1"/>
  <c r="AK87" i="42"/>
  <c r="AK12" i="43"/>
  <c r="AK35" i="43" s="1"/>
  <c r="AJ87" i="42"/>
  <c r="AJ12" i="43"/>
  <c r="AJ35" i="43" s="1"/>
  <c r="AI87" i="42"/>
  <c r="AI12" i="43" s="1"/>
  <c r="AI35" i="43" s="1"/>
  <c r="AH87" i="42"/>
  <c r="AH12" i="43"/>
  <c r="AH35" i="43" s="1"/>
  <c r="AG87" i="42"/>
  <c r="AG12" i="43" s="1"/>
  <c r="AG35" i="43" s="1"/>
  <c r="AF87" i="42"/>
  <c r="AF12" i="43"/>
  <c r="AF35" i="43" s="1"/>
  <c r="AE87" i="42"/>
  <c r="AE12" i="43" s="1"/>
  <c r="AE35" i="43" s="1"/>
  <c r="AD87" i="42"/>
  <c r="AD12" i="43" s="1"/>
  <c r="AD35" i="43" s="1"/>
  <c r="AC87" i="42"/>
  <c r="AC12" i="43"/>
  <c r="AC35" i="43" s="1"/>
  <c r="AB87" i="42"/>
  <c r="AA87" i="42"/>
  <c r="AA12" i="43" s="1"/>
  <c r="AA35" i="43" s="1"/>
  <c r="Z87" i="42"/>
  <c r="Y87" i="42"/>
  <c r="X87" i="42"/>
  <c r="W87" i="42"/>
  <c r="V87" i="42"/>
  <c r="U87" i="42"/>
  <c r="T87" i="42"/>
  <c r="S87" i="42"/>
  <c r="R87" i="42"/>
  <c r="Q87" i="42"/>
  <c r="P87" i="42"/>
  <c r="O87" i="42"/>
  <c r="N87" i="42"/>
  <c r="M87" i="42"/>
  <c r="L87" i="42"/>
  <c r="K87" i="42"/>
  <c r="AT86" i="42"/>
  <c r="AQ86" i="42"/>
  <c r="AN86" i="42"/>
  <c r="AT85" i="42"/>
  <c r="AQ85" i="42"/>
  <c r="AN85" i="42"/>
  <c r="AT84" i="42"/>
  <c r="AQ84" i="42"/>
  <c r="AN84" i="42"/>
  <c r="AN87" i="42" s="1"/>
  <c r="AS83" i="42"/>
  <c r="AS11" i="43" s="1"/>
  <c r="AR83" i="42"/>
  <c r="AR11" i="43" s="1"/>
  <c r="AP83" i="42"/>
  <c r="AP11" i="43"/>
  <c r="AO83" i="42"/>
  <c r="AO11" i="43" s="1"/>
  <c r="AO14" i="43" s="1"/>
  <c r="AM83" i="42"/>
  <c r="AM11" i="43"/>
  <c r="AL83" i="42"/>
  <c r="AL11" i="43" s="1"/>
  <c r="AK83" i="42"/>
  <c r="AK11" i="43" s="1"/>
  <c r="AJ83" i="42"/>
  <c r="AJ11" i="43"/>
  <c r="AI83" i="42"/>
  <c r="AI11" i="43" s="1"/>
  <c r="AH83" i="42"/>
  <c r="AH11" i="43" s="1"/>
  <c r="AH32" i="43" s="1"/>
  <c r="AG83" i="42"/>
  <c r="AG11" i="43"/>
  <c r="AF83" i="42"/>
  <c r="AF11" i="43"/>
  <c r="AE83" i="42"/>
  <c r="AE11" i="43" s="1"/>
  <c r="AD83" i="42"/>
  <c r="AD11" i="43" s="1"/>
  <c r="AC83" i="42"/>
  <c r="AC11" i="43" s="1"/>
  <c r="AB83" i="42"/>
  <c r="AB11" i="43" s="1"/>
  <c r="AB32" i="43" s="1"/>
  <c r="AA83" i="42"/>
  <c r="AA11" i="43"/>
  <c r="Z83" i="42"/>
  <c r="Y83" i="42"/>
  <c r="X83" i="42"/>
  <c r="W83" i="42"/>
  <c r="V83" i="42"/>
  <c r="U83" i="42"/>
  <c r="T83" i="42"/>
  <c r="S83" i="42"/>
  <c r="R83" i="42"/>
  <c r="Q83" i="42"/>
  <c r="P83" i="42"/>
  <c r="O83" i="42"/>
  <c r="N83" i="42"/>
  <c r="M83" i="42"/>
  <c r="L83" i="42"/>
  <c r="K83" i="42"/>
  <c r="AT82" i="42"/>
  <c r="AQ82" i="42"/>
  <c r="AN82" i="42"/>
  <c r="AT81" i="42"/>
  <c r="AQ81" i="42"/>
  <c r="AN81" i="42"/>
  <c r="AT80" i="42"/>
  <c r="AQ80" i="42"/>
  <c r="AN80" i="42"/>
  <c r="AT79" i="42"/>
  <c r="AQ79" i="42"/>
  <c r="AN79" i="42"/>
  <c r="AS77" i="42"/>
  <c r="AS28" i="43" s="1"/>
  <c r="AR77" i="42"/>
  <c r="AR28" i="43"/>
  <c r="AP77" i="42"/>
  <c r="AO77" i="42"/>
  <c r="AO28" i="43"/>
  <c r="AM77" i="42"/>
  <c r="AM28" i="43"/>
  <c r="AL77" i="42"/>
  <c r="AL28" i="43" s="1"/>
  <c r="AK77" i="42"/>
  <c r="AK28" i="43" s="1"/>
  <c r="AJ77" i="42"/>
  <c r="AJ28" i="43" s="1"/>
  <c r="AI77" i="42"/>
  <c r="AI28" i="43" s="1"/>
  <c r="AH77" i="42"/>
  <c r="AH28" i="43" s="1"/>
  <c r="AG77" i="42"/>
  <c r="AG28" i="43" s="1"/>
  <c r="AF77" i="42"/>
  <c r="AF28" i="43" s="1"/>
  <c r="AE77" i="42"/>
  <c r="AE28" i="43"/>
  <c r="AD77" i="42"/>
  <c r="AD28" i="43" s="1"/>
  <c r="AD34" i="43" s="1"/>
  <c r="AC77" i="42"/>
  <c r="AC28" i="43" s="1"/>
  <c r="AB77" i="42"/>
  <c r="AB28" i="43" s="1"/>
  <c r="AA77" i="42"/>
  <c r="AA28" i="43" s="1"/>
  <c r="Z77" i="42"/>
  <c r="Y77" i="42"/>
  <c r="X77" i="42"/>
  <c r="W77" i="42"/>
  <c r="V77" i="42"/>
  <c r="U77" i="42"/>
  <c r="T77" i="42"/>
  <c r="S77" i="42"/>
  <c r="S78" i="42"/>
  <c r="R77" i="42"/>
  <c r="Q77" i="42"/>
  <c r="P77" i="42"/>
  <c r="O77" i="42"/>
  <c r="N77" i="42"/>
  <c r="M77" i="42"/>
  <c r="L77" i="42"/>
  <c r="K77" i="42"/>
  <c r="K78" i="42" s="1"/>
  <c r="J77" i="42"/>
  <c r="I77" i="42"/>
  <c r="H77" i="42"/>
  <c r="G77" i="42"/>
  <c r="F77" i="42"/>
  <c r="E77" i="42"/>
  <c r="D77" i="42"/>
  <c r="C77" i="42"/>
  <c r="AT76" i="42"/>
  <c r="AQ76" i="42"/>
  <c r="AN76" i="42"/>
  <c r="AT75" i="42"/>
  <c r="AQ75" i="42"/>
  <c r="AN75" i="42"/>
  <c r="AT74" i="42"/>
  <c r="AQ74" i="42"/>
  <c r="AN74" i="42"/>
  <c r="AT73" i="42"/>
  <c r="AQ73" i="42"/>
  <c r="AN73" i="42"/>
  <c r="AS72" i="42"/>
  <c r="AS27" i="43" s="1"/>
  <c r="AR72" i="42"/>
  <c r="AR27" i="43" s="1"/>
  <c r="AP72" i="42"/>
  <c r="AP27" i="43"/>
  <c r="AO72" i="42"/>
  <c r="AO27" i="43"/>
  <c r="AM72" i="42"/>
  <c r="AM27" i="43" s="1"/>
  <c r="AL72" i="42"/>
  <c r="AL27" i="43" s="1"/>
  <c r="AL33" i="43" s="1"/>
  <c r="AK72" i="42"/>
  <c r="AK27" i="43" s="1"/>
  <c r="AJ72" i="42"/>
  <c r="AJ27" i="43" s="1"/>
  <c r="AI72" i="42"/>
  <c r="AI27" i="43"/>
  <c r="AH72" i="42"/>
  <c r="AH27" i="43" s="1"/>
  <c r="AG72" i="42"/>
  <c r="AG27" i="43"/>
  <c r="AF72" i="42"/>
  <c r="AF27" i="43"/>
  <c r="AE72" i="42"/>
  <c r="AE27" i="43"/>
  <c r="AD72" i="42"/>
  <c r="AD27" i="43" s="1"/>
  <c r="AC72" i="42"/>
  <c r="AC27" i="43"/>
  <c r="AB72" i="42"/>
  <c r="AB27" i="43" s="1"/>
  <c r="AA72" i="42"/>
  <c r="AA27" i="43" s="1"/>
  <c r="AA29" i="43" s="1"/>
  <c r="Z72" i="42"/>
  <c r="Y72" i="42"/>
  <c r="X72" i="42"/>
  <c r="W72" i="42"/>
  <c r="V72" i="42"/>
  <c r="U72" i="42"/>
  <c r="T72" i="42"/>
  <c r="S72" i="42"/>
  <c r="R72" i="42"/>
  <c r="Q72" i="42"/>
  <c r="P72" i="42"/>
  <c r="O72" i="42"/>
  <c r="N72" i="42"/>
  <c r="M72" i="42"/>
  <c r="L72" i="42"/>
  <c r="K72" i="42"/>
  <c r="J72" i="42"/>
  <c r="I72" i="42"/>
  <c r="H72" i="42"/>
  <c r="G72" i="42"/>
  <c r="F72" i="42"/>
  <c r="E72" i="42"/>
  <c r="D72" i="42"/>
  <c r="C72" i="42"/>
  <c r="AT71" i="42"/>
  <c r="AQ71" i="42"/>
  <c r="AN71" i="42"/>
  <c r="AT70" i="42"/>
  <c r="AQ70" i="42"/>
  <c r="AN70" i="42"/>
  <c r="AT69" i="42"/>
  <c r="AQ69" i="42"/>
  <c r="AN69" i="42"/>
  <c r="AT68" i="42"/>
  <c r="AQ68" i="42"/>
  <c r="AN68" i="42"/>
  <c r="AT67" i="42"/>
  <c r="AQ67" i="42"/>
  <c r="AN67" i="42"/>
  <c r="AT66" i="42"/>
  <c r="AQ66" i="42"/>
  <c r="AN66" i="42"/>
  <c r="AT65" i="42"/>
  <c r="AQ65" i="42"/>
  <c r="AN65" i="42"/>
  <c r="AT64" i="42"/>
  <c r="AQ64" i="42"/>
  <c r="AN64" i="42"/>
  <c r="AS63" i="42"/>
  <c r="AS26" i="43" s="1"/>
  <c r="AR63" i="42"/>
  <c r="AR26" i="43" s="1"/>
  <c r="AP63" i="42"/>
  <c r="AP26" i="43"/>
  <c r="AO63" i="42"/>
  <c r="AO26" i="43"/>
  <c r="AM63" i="42"/>
  <c r="AM26" i="43" s="1"/>
  <c r="AL63" i="42"/>
  <c r="AL26" i="43"/>
  <c r="AK63" i="42"/>
  <c r="AK26" i="43" s="1"/>
  <c r="AJ63" i="42"/>
  <c r="AJ26" i="43" s="1"/>
  <c r="AI63" i="42"/>
  <c r="AI26" i="43" s="1"/>
  <c r="AH63" i="42"/>
  <c r="AH26" i="43" s="1"/>
  <c r="AH29" i="43" s="1"/>
  <c r="AG63" i="42"/>
  <c r="AG26" i="43" s="1"/>
  <c r="AF63" i="42"/>
  <c r="AF26" i="43" s="1"/>
  <c r="AE63" i="42"/>
  <c r="AE26" i="43"/>
  <c r="AD63" i="42"/>
  <c r="AD26" i="43" s="1"/>
  <c r="AC63" i="42"/>
  <c r="AC26" i="43" s="1"/>
  <c r="AB63" i="42"/>
  <c r="AB26" i="43"/>
  <c r="AA63" i="42"/>
  <c r="AA26" i="43" s="1"/>
  <c r="Z63" i="42"/>
  <c r="Y63" i="42"/>
  <c r="X63" i="42"/>
  <c r="W63" i="42"/>
  <c r="V63" i="42"/>
  <c r="U63" i="42"/>
  <c r="T63" i="42"/>
  <c r="S63" i="42"/>
  <c r="R63" i="42"/>
  <c r="Q63" i="42"/>
  <c r="P63" i="42"/>
  <c r="O63" i="42"/>
  <c r="N63" i="42"/>
  <c r="M63" i="42"/>
  <c r="L63" i="42"/>
  <c r="K63" i="42"/>
  <c r="J63" i="42"/>
  <c r="I63" i="42"/>
  <c r="H63" i="42"/>
  <c r="G63" i="42"/>
  <c r="F63" i="42"/>
  <c r="E63" i="42"/>
  <c r="D63" i="42"/>
  <c r="C63" i="42"/>
  <c r="AT62" i="42"/>
  <c r="AQ62" i="42"/>
  <c r="AN62" i="42"/>
  <c r="AT61" i="42"/>
  <c r="AQ61" i="42"/>
  <c r="AN61" i="42"/>
  <c r="AT60" i="42"/>
  <c r="AQ60" i="42"/>
  <c r="AN60" i="42"/>
  <c r="AT59" i="42"/>
  <c r="AQ59" i="42"/>
  <c r="AN59" i="42"/>
  <c r="AT58" i="42"/>
  <c r="AQ58" i="42"/>
  <c r="AN58" i="42"/>
  <c r="AT57" i="42"/>
  <c r="AQ57" i="42"/>
  <c r="AN57" i="42"/>
  <c r="AS55" i="42"/>
  <c r="AR55" i="42"/>
  <c r="AR18" i="43"/>
  <c r="AP55" i="42"/>
  <c r="AP18" i="43" s="1"/>
  <c r="AO55" i="42"/>
  <c r="AO18" i="43" s="1"/>
  <c r="AM55" i="42"/>
  <c r="AM18" i="43" s="1"/>
  <c r="AL55" i="42"/>
  <c r="AL18" i="43" s="1"/>
  <c r="AK55" i="42"/>
  <c r="AJ55" i="42"/>
  <c r="AJ18" i="43" s="1"/>
  <c r="AI55" i="42"/>
  <c r="AI18" i="43" s="1"/>
  <c r="AH55" i="42"/>
  <c r="AH18" i="43" s="1"/>
  <c r="AG55" i="42"/>
  <c r="AG18" i="43" s="1"/>
  <c r="AF55" i="42"/>
  <c r="AF18" i="43" s="1"/>
  <c r="AE55" i="42"/>
  <c r="AE18" i="43"/>
  <c r="AD55" i="42"/>
  <c r="AD18" i="43" s="1"/>
  <c r="AD19" i="43" s="1"/>
  <c r="AC55" i="42"/>
  <c r="AC18" i="43" s="1"/>
  <c r="AC33" i="43" s="1"/>
  <c r="AB55" i="42"/>
  <c r="AB18" i="43"/>
  <c r="AA55" i="42"/>
  <c r="AA18" i="43"/>
  <c r="Z55" i="42"/>
  <c r="Y55" i="42"/>
  <c r="X55" i="42"/>
  <c r="W55" i="42"/>
  <c r="V55" i="42"/>
  <c r="U55" i="42"/>
  <c r="T55" i="42"/>
  <c r="S55" i="42"/>
  <c r="R55" i="42"/>
  <c r="Q55" i="42"/>
  <c r="P55" i="42"/>
  <c r="O55" i="42"/>
  <c r="N55" i="42"/>
  <c r="M55" i="42"/>
  <c r="L55" i="42"/>
  <c r="K55" i="42"/>
  <c r="J55" i="42"/>
  <c r="I55" i="42"/>
  <c r="H55" i="42"/>
  <c r="G55" i="42"/>
  <c r="F55" i="42"/>
  <c r="E55" i="42"/>
  <c r="D55" i="42"/>
  <c r="C55" i="42"/>
  <c r="AT54" i="42"/>
  <c r="AQ54" i="42"/>
  <c r="AN54" i="42"/>
  <c r="AT53" i="42"/>
  <c r="AQ53" i="42"/>
  <c r="AN53" i="42"/>
  <c r="AT52" i="42"/>
  <c r="AQ52" i="42"/>
  <c r="AN52" i="42"/>
  <c r="AN55" i="42" s="1"/>
  <c r="AT51" i="42"/>
  <c r="AQ51" i="42"/>
  <c r="AN51" i="42"/>
  <c r="AT50" i="42"/>
  <c r="AQ50" i="42"/>
  <c r="AN50" i="42"/>
  <c r="AT49" i="42"/>
  <c r="AQ49" i="42"/>
  <c r="AN49" i="42"/>
  <c r="AS48" i="42"/>
  <c r="AS17" i="43" s="1"/>
  <c r="AT17" i="43" s="1"/>
  <c r="AR48" i="42"/>
  <c r="AR17" i="43" s="1"/>
  <c r="AP48" i="42"/>
  <c r="AP17" i="43" s="1"/>
  <c r="AO48" i="42"/>
  <c r="AO17" i="43"/>
  <c r="AM48" i="42"/>
  <c r="AM17" i="43"/>
  <c r="AL48" i="42"/>
  <c r="AL17" i="43" s="1"/>
  <c r="AK48" i="42"/>
  <c r="AK17" i="43" s="1"/>
  <c r="AK19" i="43" s="1"/>
  <c r="AJ48" i="42"/>
  <c r="AJ17" i="43" s="1"/>
  <c r="AI48" i="42"/>
  <c r="AI17" i="43" s="1"/>
  <c r="AH48" i="42"/>
  <c r="AH17" i="43" s="1"/>
  <c r="AG48" i="42"/>
  <c r="AG17" i="43" s="1"/>
  <c r="AF48" i="42"/>
  <c r="AF17" i="43" s="1"/>
  <c r="AE48" i="42"/>
  <c r="AE17" i="43" s="1"/>
  <c r="AD48" i="42"/>
  <c r="AD17" i="43" s="1"/>
  <c r="AC48" i="42"/>
  <c r="AC17" i="43" s="1"/>
  <c r="AC32" i="43" s="1"/>
  <c r="AB48" i="42"/>
  <c r="AB17" i="43" s="1"/>
  <c r="AA48" i="42"/>
  <c r="AA17" i="43" s="1"/>
  <c r="Z48" i="42"/>
  <c r="Y48" i="42"/>
  <c r="X48" i="42"/>
  <c r="W48" i="42"/>
  <c r="V48" i="42"/>
  <c r="U48" i="42"/>
  <c r="T48" i="42"/>
  <c r="S48" i="42"/>
  <c r="R48" i="42"/>
  <c r="Q48" i="42"/>
  <c r="P48" i="42"/>
  <c r="O48" i="42"/>
  <c r="N48" i="42"/>
  <c r="M48" i="42"/>
  <c r="L48" i="42"/>
  <c r="K48" i="42"/>
  <c r="J48" i="42"/>
  <c r="I48" i="42"/>
  <c r="H48" i="42"/>
  <c r="G48" i="42"/>
  <c r="F48" i="42"/>
  <c r="E48" i="42"/>
  <c r="D48" i="42"/>
  <c r="D56" i="42" s="1"/>
  <c r="C48" i="42"/>
  <c r="AT47" i="42"/>
  <c r="AQ47" i="42"/>
  <c r="AN47" i="42"/>
  <c r="AT46" i="42"/>
  <c r="AQ46" i="42"/>
  <c r="AN46" i="42"/>
  <c r="AT45" i="42"/>
  <c r="AQ45" i="42"/>
  <c r="AN45" i="42"/>
  <c r="AT44" i="42"/>
  <c r="AQ44" i="42"/>
  <c r="AN44" i="42"/>
  <c r="AT43" i="42"/>
  <c r="AQ43" i="42"/>
  <c r="AN43" i="42"/>
  <c r="AT42" i="42"/>
  <c r="AQ42" i="42"/>
  <c r="AN42" i="42"/>
  <c r="AT41" i="42"/>
  <c r="AQ41" i="42"/>
  <c r="AN41" i="42"/>
  <c r="AT40" i="42"/>
  <c r="AQ40" i="42"/>
  <c r="AN40" i="42"/>
  <c r="AT39" i="42"/>
  <c r="AQ39" i="42"/>
  <c r="AN39" i="42"/>
  <c r="AT38" i="42"/>
  <c r="AQ38" i="42"/>
  <c r="AN38" i="42"/>
  <c r="AT37" i="42"/>
  <c r="AQ37" i="42"/>
  <c r="AN37" i="42"/>
  <c r="AS36" i="42"/>
  <c r="AS16" i="43" s="1"/>
  <c r="AR36" i="42"/>
  <c r="AR16" i="43" s="1"/>
  <c r="AP36" i="42"/>
  <c r="AP16" i="43" s="1"/>
  <c r="AO36" i="42"/>
  <c r="AO16" i="43" s="1"/>
  <c r="AM36" i="42"/>
  <c r="AM16" i="43"/>
  <c r="AL36" i="42"/>
  <c r="AL16" i="43"/>
  <c r="AK36" i="42"/>
  <c r="AK16" i="43" s="1"/>
  <c r="AJ36" i="42"/>
  <c r="AJ16" i="43"/>
  <c r="AI36" i="42"/>
  <c r="AI16" i="43"/>
  <c r="AI31" i="43" s="1"/>
  <c r="AH36" i="42"/>
  <c r="AH16" i="43" s="1"/>
  <c r="AG36" i="42"/>
  <c r="AG16" i="43"/>
  <c r="AF36" i="42"/>
  <c r="AF16" i="43"/>
  <c r="AE36" i="42"/>
  <c r="AE16" i="43" s="1"/>
  <c r="AD36" i="42"/>
  <c r="AD16" i="43" s="1"/>
  <c r="AC36" i="42"/>
  <c r="AC16" i="43" s="1"/>
  <c r="AC31" i="43" s="1"/>
  <c r="AC37" i="43" s="1"/>
  <c r="AB36" i="42"/>
  <c r="AB16" i="43" s="1"/>
  <c r="AA36" i="42"/>
  <c r="AA16" i="43" s="1"/>
  <c r="Z36" i="42"/>
  <c r="Y36" i="42"/>
  <c r="X36" i="42"/>
  <c r="W36" i="42"/>
  <c r="V36" i="42"/>
  <c r="U36" i="42"/>
  <c r="T36" i="42"/>
  <c r="S36" i="42"/>
  <c r="R36" i="42"/>
  <c r="Q36" i="42"/>
  <c r="P36" i="42"/>
  <c r="O36" i="42"/>
  <c r="N36" i="42"/>
  <c r="M36" i="42"/>
  <c r="L36" i="42"/>
  <c r="K36" i="42"/>
  <c r="J36" i="42"/>
  <c r="I36" i="42"/>
  <c r="H36" i="42"/>
  <c r="G36" i="42"/>
  <c r="F36" i="42"/>
  <c r="E36" i="42"/>
  <c r="D36" i="42"/>
  <c r="C36" i="42"/>
  <c r="AT35" i="42"/>
  <c r="AQ35" i="42"/>
  <c r="AN35" i="42"/>
  <c r="AT34" i="42"/>
  <c r="AQ34" i="42"/>
  <c r="AN34" i="42"/>
  <c r="AT33" i="42"/>
  <c r="AQ33" i="42"/>
  <c r="AN33" i="42"/>
  <c r="AT32" i="42"/>
  <c r="AQ32" i="42"/>
  <c r="AN32" i="42"/>
  <c r="AT31" i="42"/>
  <c r="AQ31" i="42"/>
  <c r="AN31" i="42"/>
  <c r="AT30" i="42"/>
  <c r="AQ30" i="42"/>
  <c r="AN30" i="42"/>
  <c r="AT29" i="42"/>
  <c r="AQ29" i="42"/>
  <c r="AN29" i="42"/>
  <c r="AT28" i="42"/>
  <c r="AQ28" i="42"/>
  <c r="AN28" i="42"/>
  <c r="AT27" i="42"/>
  <c r="AQ27" i="42"/>
  <c r="AN27" i="42"/>
  <c r="AT26" i="42"/>
  <c r="AQ26" i="42"/>
  <c r="AN26" i="42"/>
  <c r="AS24" i="42"/>
  <c r="AS8" i="43" s="1"/>
  <c r="AR24" i="42"/>
  <c r="AR8" i="43"/>
  <c r="AP24" i="42"/>
  <c r="AP8" i="43" s="1"/>
  <c r="AO24" i="42"/>
  <c r="AM24" i="42"/>
  <c r="AM8" i="43" s="1"/>
  <c r="AM34" i="43" s="1"/>
  <c r="AL24" i="42"/>
  <c r="AL8" i="43"/>
  <c r="AL9" i="43" s="1"/>
  <c r="AK24" i="42"/>
  <c r="AJ24" i="42"/>
  <c r="AJ8" i="43"/>
  <c r="AJ34" i="43" s="1"/>
  <c r="AI24" i="42"/>
  <c r="AI8" i="43"/>
  <c r="AH24" i="42"/>
  <c r="AH8" i="43" s="1"/>
  <c r="AG24" i="42"/>
  <c r="AF24" i="42"/>
  <c r="AF8" i="43"/>
  <c r="AF34" i="43" s="1"/>
  <c r="AE24" i="42"/>
  <c r="AE8" i="43" s="1"/>
  <c r="AE34" i="43" s="1"/>
  <c r="AD24" i="42"/>
  <c r="AD8" i="43"/>
  <c r="AC24" i="42"/>
  <c r="AC8" i="43" s="1"/>
  <c r="AC34" i="43" s="1"/>
  <c r="AB24" i="42"/>
  <c r="AB8" i="43" s="1"/>
  <c r="AA24" i="42"/>
  <c r="AA8" i="43"/>
  <c r="AA9" i="43" s="1"/>
  <c r="Z24" i="42"/>
  <c r="Y24" i="42"/>
  <c r="X24" i="42"/>
  <c r="W24" i="42"/>
  <c r="V24" i="42"/>
  <c r="U24" i="42"/>
  <c r="T24" i="42"/>
  <c r="S24" i="42"/>
  <c r="R24" i="42"/>
  <c r="Q24" i="42"/>
  <c r="P24" i="42"/>
  <c r="O24" i="42"/>
  <c r="N24" i="42"/>
  <c r="M24" i="42"/>
  <c r="L24" i="42"/>
  <c r="K24" i="42"/>
  <c r="J24" i="42"/>
  <c r="I24" i="42"/>
  <c r="H24" i="42"/>
  <c r="G24" i="42"/>
  <c r="F24" i="42"/>
  <c r="E24" i="42"/>
  <c r="D24" i="42"/>
  <c r="C24" i="42"/>
  <c r="AT23" i="42"/>
  <c r="AQ23" i="42"/>
  <c r="AN23" i="42"/>
  <c r="AT22" i="42"/>
  <c r="AQ22" i="42"/>
  <c r="AN22" i="42"/>
  <c r="AT21" i="42"/>
  <c r="AQ21" i="42"/>
  <c r="AQ24" i="42" s="1"/>
  <c r="AN21" i="42"/>
  <c r="AS20" i="42"/>
  <c r="AS7" i="43"/>
  <c r="AR20" i="42"/>
  <c r="AR7" i="43" s="1"/>
  <c r="AP20" i="42"/>
  <c r="AP7" i="43" s="1"/>
  <c r="AO20" i="42"/>
  <c r="AO7" i="43"/>
  <c r="AM20" i="42"/>
  <c r="AM7" i="43" s="1"/>
  <c r="AN7" i="43" s="1"/>
  <c r="AL20" i="42"/>
  <c r="AL7" i="43"/>
  <c r="AK20" i="42"/>
  <c r="AK7" i="43" s="1"/>
  <c r="AJ20" i="42"/>
  <c r="AJ7" i="43" s="1"/>
  <c r="AI20" i="42"/>
  <c r="AI7" i="43" s="1"/>
  <c r="AH20" i="42"/>
  <c r="AH7" i="43" s="1"/>
  <c r="AG20" i="42"/>
  <c r="AG7" i="43"/>
  <c r="AG32" i="43" s="1"/>
  <c r="AF20" i="42"/>
  <c r="AF7" i="43" s="1"/>
  <c r="AE20" i="42"/>
  <c r="AE7" i="43" s="1"/>
  <c r="AD20" i="42"/>
  <c r="AD7" i="43" s="1"/>
  <c r="AC20" i="42"/>
  <c r="AC7" i="43"/>
  <c r="AB20" i="42"/>
  <c r="AB7" i="43"/>
  <c r="AA20" i="42"/>
  <c r="AA7" i="43"/>
  <c r="Z20" i="42"/>
  <c r="Y20" i="42"/>
  <c r="X20" i="42"/>
  <c r="W20" i="42"/>
  <c r="V20" i="42"/>
  <c r="U20" i="42"/>
  <c r="T20" i="42"/>
  <c r="S20" i="42"/>
  <c r="R20" i="42"/>
  <c r="Q20" i="42"/>
  <c r="P20" i="42"/>
  <c r="O20" i="42"/>
  <c r="N20" i="42"/>
  <c r="M20" i="42"/>
  <c r="L20" i="42"/>
  <c r="K20" i="42"/>
  <c r="J20" i="42"/>
  <c r="I20" i="42"/>
  <c r="H20" i="42"/>
  <c r="G20" i="42"/>
  <c r="F20" i="42"/>
  <c r="E20" i="42"/>
  <c r="D20" i="42"/>
  <c r="C20" i="42"/>
  <c r="AT19" i="42"/>
  <c r="AQ19" i="42"/>
  <c r="AN19" i="42"/>
  <c r="AT18" i="42"/>
  <c r="AQ18" i="42"/>
  <c r="AN18" i="42"/>
  <c r="AT17" i="42"/>
  <c r="AQ17" i="42"/>
  <c r="AN17" i="42"/>
  <c r="AT16" i="42"/>
  <c r="AT20" i="42" s="1"/>
  <c r="AQ16" i="42"/>
  <c r="AN16" i="42"/>
  <c r="AS15" i="42"/>
  <c r="AS6" i="43"/>
  <c r="AR15" i="42"/>
  <c r="AR6" i="43" s="1"/>
  <c r="AR9" i="43" s="1"/>
  <c r="AP15" i="42"/>
  <c r="AP6" i="43" s="1"/>
  <c r="AO15" i="42"/>
  <c r="AO25" i="42" s="1"/>
  <c r="AO6" i="43"/>
  <c r="AM15" i="42"/>
  <c r="AM6" i="43"/>
  <c r="AL15" i="42"/>
  <c r="AL6" i="43" s="1"/>
  <c r="AK15" i="42"/>
  <c r="AK6" i="43"/>
  <c r="AK31" i="43" s="1"/>
  <c r="AJ15" i="42"/>
  <c r="AJ6" i="43" s="1"/>
  <c r="AI15" i="42"/>
  <c r="AI6" i="43" s="1"/>
  <c r="AH15" i="42"/>
  <c r="AH6" i="43" s="1"/>
  <c r="AG15" i="42"/>
  <c r="AG6" i="43"/>
  <c r="AF15" i="42"/>
  <c r="AF6" i="43" s="1"/>
  <c r="AE15" i="42"/>
  <c r="AE6" i="43" s="1"/>
  <c r="AD15" i="42"/>
  <c r="AD6" i="43" s="1"/>
  <c r="AD31" i="43" s="1"/>
  <c r="AC15" i="42"/>
  <c r="AC6" i="43"/>
  <c r="AB15" i="42"/>
  <c r="AB6" i="43" s="1"/>
  <c r="AA15" i="42"/>
  <c r="AA6" i="43" s="1"/>
  <c r="Z15" i="42"/>
  <c r="Y15" i="42"/>
  <c r="X15" i="42"/>
  <c r="W15" i="42"/>
  <c r="V15" i="42"/>
  <c r="U15" i="42"/>
  <c r="T15" i="42"/>
  <c r="S15" i="42"/>
  <c r="R15" i="42"/>
  <c r="Q15" i="42"/>
  <c r="P15" i="42"/>
  <c r="O15" i="42"/>
  <c r="N15" i="42"/>
  <c r="M15" i="42"/>
  <c r="L15" i="42"/>
  <c r="K15" i="42"/>
  <c r="J15" i="42"/>
  <c r="I15" i="42"/>
  <c r="H15" i="42"/>
  <c r="G15" i="42"/>
  <c r="F15" i="42"/>
  <c r="E15" i="42"/>
  <c r="D15" i="42"/>
  <c r="C15" i="42"/>
  <c r="AT14" i="42"/>
  <c r="AQ14" i="42"/>
  <c r="AN14" i="42"/>
  <c r="AT13" i="42"/>
  <c r="AQ13" i="42"/>
  <c r="AN13" i="42"/>
  <c r="AT12" i="42"/>
  <c r="AQ12" i="42"/>
  <c r="AN12" i="42"/>
  <c r="AT11" i="42"/>
  <c r="AQ11" i="42"/>
  <c r="AN11" i="42"/>
  <c r="AT10" i="42"/>
  <c r="AQ10" i="42"/>
  <c r="AN10" i="42"/>
  <c r="AT9" i="42"/>
  <c r="AQ9" i="42"/>
  <c r="AN9" i="42"/>
  <c r="AT8" i="42"/>
  <c r="AQ8" i="42"/>
  <c r="AN8" i="42"/>
  <c r="AT7" i="42"/>
  <c r="AQ7" i="42"/>
  <c r="AN7" i="42"/>
  <c r="AT6" i="42"/>
  <c r="AQ6" i="42"/>
  <c r="AN6" i="42"/>
  <c r="AT5" i="42"/>
  <c r="AQ5" i="42"/>
  <c r="AN5" i="42"/>
  <c r="W36" i="41"/>
  <c r="V36" i="41"/>
  <c r="T36" i="41"/>
  <c r="S36" i="41"/>
  <c r="Q36" i="41"/>
  <c r="P36" i="41"/>
  <c r="W35" i="41"/>
  <c r="V35" i="41"/>
  <c r="T35" i="41"/>
  <c r="S35" i="41"/>
  <c r="Q35" i="41"/>
  <c r="P35" i="41"/>
  <c r="W34" i="41"/>
  <c r="V34" i="41"/>
  <c r="T34" i="41"/>
  <c r="T37" i="41" s="1"/>
  <c r="S34" i="41"/>
  <c r="Q34" i="41"/>
  <c r="P34" i="41"/>
  <c r="W30" i="41"/>
  <c r="V30" i="41"/>
  <c r="T30" i="41"/>
  <c r="S30" i="41"/>
  <c r="Q30" i="41"/>
  <c r="P30" i="41"/>
  <c r="O30" i="41"/>
  <c r="N30" i="41"/>
  <c r="M31" i="41" s="1"/>
  <c r="M30" i="41"/>
  <c r="L30" i="41"/>
  <c r="K30" i="41"/>
  <c r="J30" i="41"/>
  <c r="I30" i="41"/>
  <c r="H30" i="41"/>
  <c r="G30" i="41"/>
  <c r="F30" i="41"/>
  <c r="E30" i="41"/>
  <c r="D30" i="41"/>
  <c r="X29" i="41"/>
  <c r="U26" i="41"/>
  <c r="X25" i="41"/>
  <c r="U25" i="41"/>
  <c r="X24" i="41"/>
  <c r="U24" i="41"/>
  <c r="X22" i="41"/>
  <c r="U22" i="41"/>
  <c r="R22" i="41"/>
  <c r="X20" i="41"/>
  <c r="U20" i="41"/>
  <c r="R20" i="41"/>
  <c r="X19" i="41"/>
  <c r="U19" i="41"/>
  <c r="R19" i="41"/>
  <c r="X18" i="41"/>
  <c r="U18" i="41"/>
  <c r="R18" i="41"/>
  <c r="X17" i="41"/>
  <c r="U17" i="41"/>
  <c r="R17" i="41"/>
  <c r="X16" i="41"/>
  <c r="U16" i="41"/>
  <c r="R16" i="41"/>
  <c r="X15" i="41"/>
  <c r="U15" i="41"/>
  <c r="R15" i="41"/>
  <c r="X14" i="41"/>
  <c r="U14" i="41"/>
  <c r="R14" i="41"/>
  <c r="X13" i="41"/>
  <c r="U13" i="41"/>
  <c r="R13" i="41"/>
  <c r="X12" i="41"/>
  <c r="U12" i="41"/>
  <c r="R12" i="41"/>
  <c r="X11" i="41"/>
  <c r="U11" i="41"/>
  <c r="R11" i="41"/>
  <c r="X10" i="41"/>
  <c r="U10" i="41"/>
  <c r="R10" i="41"/>
  <c r="X9" i="41"/>
  <c r="U9" i="41"/>
  <c r="R9" i="41"/>
  <c r="X8" i="41"/>
  <c r="U8" i="41"/>
  <c r="R8" i="41"/>
  <c r="X7" i="41"/>
  <c r="U7" i="41"/>
  <c r="R7" i="41"/>
  <c r="X6" i="41"/>
  <c r="U6" i="41"/>
  <c r="R6" i="41"/>
  <c r="X5" i="41"/>
  <c r="U5" i="41"/>
  <c r="R5" i="41"/>
  <c r="F439" i="40"/>
  <c r="J435" i="40"/>
  <c r="I435" i="40"/>
  <c r="H435" i="40"/>
  <c r="G435" i="40"/>
  <c r="E435" i="40"/>
  <c r="D435" i="40"/>
  <c r="C435" i="40"/>
  <c r="K434" i="40"/>
  <c r="F434" i="40"/>
  <c r="K433" i="40"/>
  <c r="L433" i="40" s="1"/>
  <c r="M433" i="40" s="1"/>
  <c r="F433" i="40"/>
  <c r="J431" i="40"/>
  <c r="I431" i="40"/>
  <c r="H431" i="40"/>
  <c r="G431" i="40"/>
  <c r="E431" i="40"/>
  <c r="D431" i="40"/>
  <c r="C431" i="40"/>
  <c r="K430" i="40"/>
  <c r="F430" i="40"/>
  <c r="K429" i="40"/>
  <c r="L429" i="40" s="1"/>
  <c r="M429" i="40" s="1"/>
  <c r="F429" i="40"/>
  <c r="K428" i="40"/>
  <c r="F428" i="40"/>
  <c r="J426" i="40"/>
  <c r="I426" i="40"/>
  <c r="H426" i="40"/>
  <c r="G426" i="40"/>
  <c r="E426" i="40"/>
  <c r="E437" i="40" s="1"/>
  <c r="D426" i="40"/>
  <c r="C426" i="40"/>
  <c r="K425" i="40"/>
  <c r="F425" i="40"/>
  <c r="L425" i="40" s="1"/>
  <c r="M425" i="40" s="1"/>
  <c r="K424" i="40"/>
  <c r="L424" i="40" s="1"/>
  <c r="M424" i="40" s="1"/>
  <c r="F424" i="40"/>
  <c r="K423" i="40"/>
  <c r="F423" i="40"/>
  <c r="L423" i="40" s="1"/>
  <c r="M423" i="40" s="1"/>
  <c r="J421" i="40"/>
  <c r="I421" i="40"/>
  <c r="H421" i="40"/>
  <c r="G421" i="40"/>
  <c r="E421" i="40"/>
  <c r="D421" i="40"/>
  <c r="C421" i="40"/>
  <c r="K420" i="40"/>
  <c r="F420" i="40"/>
  <c r="K419" i="40"/>
  <c r="F419" i="40"/>
  <c r="K418" i="40"/>
  <c r="F418" i="40"/>
  <c r="E409" i="40"/>
  <c r="D409" i="40"/>
  <c r="C409" i="40"/>
  <c r="C411" i="40" s="1"/>
  <c r="F408" i="40"/>
  <c r="F407" i="40"/>
  <c r="F406" i="40"/>
  <c r="E404" i="40"/>
  <c r="D404" i="40"/>
  <c r="C404" i="40"/>
  <c r="F403" i="40"/>
  <c r="F402" i="40"/>
  <c r="F401" i="40"/>
  <c r="E399" i="40"/>
  <c r="D399" i="40"/>
  <c r="C399" i="40"/>
  <c r="F398" i="40"/>
  <c r="F397" i="40"/>
  <c r="F396" i="40"/>
  <c r="J386" i="40"/>
  <c r="J388" i="40" s="1"/>
  <c r="I386" i="40"/>
  <c r="H386" i="40"/>
  <c r="G386" i="40"/>
  <c r="E386" i="40"/>
  <c r="D386" i="40"/>
  <c r="C386" i="40"/>
  <c r="K383" i="40"/>
  <c r="F383" i="40"/>
  <c r="F386" i="40" s="1"/>
  <c r="J381" i="40"/>
  <c r="I381" i="40"/>
  <c r="H381" i="40"/>
  <c r="G381" i="40"/>
  <c r="E381" i="40"/>
  <c r="D381" i="40"/>
  <c r="C381" i="40"/>
  <c r="K380" i="40"/>
  <c r="L380" i="40" s="1"/>
  <c r="F380" i="40"/>
  <c r="K379" i="40"/>
  <c r="F379" i="40"/>
  <c r="K378" i="40"/>
  <c r="F378" i="40"/>
  <c r="J376" i="40"/>
  <c r="I376" i="40"/>
  <c r="H376" i="40"/>
  <c r="H388" i="40" s="1"/>
  <c r="G376" i="40"/>
  <c r="E376" i="40"/>
  <c r="D376" i="40"/>
  <c r="C376" i="40"/>
  <c r="K375" i="40"/>
  <c r="F375" i="40"/>
  <c r="K374" i="40"/>
  <c r="F374" i="40"/>
  <c r="K373" i="40"/>
  <c r="F373" i="40"/>
  <c r="J371" i="40"/>
  <c r="I371" i="40"/>
  <c r="H371" i="40"/>
  <c r="G371" i="40"/>
  <c r="E371" i="40"/>
  <c r="D371" i="40"/>
  <c r="D388" i="40" s="1"/>
  <c r="C371" i="40"/>
  <c r="K370" i="40"/>
  <c r="F370" i="40"/>
  <c r="K369" i="40"/>
  <c r="F369" i="40"/>
  <c r="K368" i="40"/>
  <c r="F368" i="40"/>
  <c r="J357" i="40"/>
  <c r="I357" i="40"/>
  <c r="H357" i="40"/>
  <c r="G357" i="40"/>
  <c r="E357" i="40"/>
  <c r="D357" i="40"/>
  <c r="C357" i="40"/>
  <c r="K356" i="40"/>
  <c r="F356" i="40"/>
  <c r="L356" i="40" s="1"/>
  <c r="M356" i="40" s="1"/>
  <c r="K355" i="40"/>
  <c r="F355" i="40"/>
  <c r="J353" i="40"/>
  <c r="I353" i="40"/>
  <c r="H353" i="40"/>
  <c r="G353" i="40"/>
  <c r="E353" i="40"/>
  <c r="D353" i="40"/>
  <c r="C353" i="40"/>
  <c r="K352" i="40"/>
  <c r="F352" i="40"/>
  <c r="K351" i="40"/>
  <c r="F351" i="40"/>
  <c r="K350" i="40"/>
  <c r="F350" i="40"/>
  <c r="J348" i="40"/>
  <c r="I348" i="40"/>
  <c r="H348" i="40"/>
  <c r="G348" i="40"/>
  <c r="E348" i="40"/>
  <c r="D348" i="40"/>
  <c r="C348" i="40"/>
  <c r="K347" i="40"/>
  <c r="F347" i="40"/>
  <c r="F348" i="40" s="1"/>
  <c r="K346" i="40"/>
  <c r="L346" i="40" s="1"/>
  <c r="M346" i="40" s="1"/>
  <c r="F346" i="40"/>
  <c r="K345" i="40"/>
  <c r="F345" i="40"/>
  <c r="J343" i="40"/>
  <c r="I343" i="40"/>
  <c r="H343" i="40"/>
  <c r="G343" i="40"/>
  <c r="G359" i="40" s="1"/>
  <c r="E343" i="40"/>
  <c r="D343" i="40"/>
  <c r="C343" i="40"/>
  <c r="F342" i="40"/>
  <c r="L342" i="40" s="1"/>
  <c r="M342" i="40" s="1"/>
  <c r="F341" i="40"/>
  <c r="L341" i="40" s="1"/>
  <c r="M341" i="40" s="1"/>
  <c r="K340" i="40"/>
  <c r="K343" i="40" s="1"/>
  <c r="F340" i="40"/>
  <c r="L340" i="40" s="1"/>
  <c r="M340" i="40" s="1"/>
  <c r="J338" i="40"/>
  <c r="J359" i="40" s="1"/>
  <c r="I338" i="40"/>
  <c r="H338" i="40"/>
  <c r="G338" i="40"/>
  <c r="E338" i="40"/>
  <c r="D338" i="40"/>
  <c r="C338" i="40"/>
  <c r="K337" i="40"/>
  <c r="F337" i="40"/>
  <c r="F338" i="40" s="1"/>
  <c r="K336" i="40"/>
  <c r="L336" i="40" s="1"/>
  <c r="M336" i="40" s="1"/>
  <c r="F336" i="40"/>
  <c r="K335" i="40"/>
  <c r="F335" i="40"/>
  <c r="F328" i="40"/>
  <c r="J324" i="40"/>
  <c r="I324" i="40"/>
  <c r="H324" i="40"/>
  <c r="G324" i="40"/>
  <c r="E324" i="40"/>
  <c r="D324" i="40"/>
  <c r="C324" i="40"/>
  <c r="K323" i="40"/>
  <c r="F323" i="40"/>
  <c r="K322" i="40"/>
  <c r="F322" i="40"/>
  <c r="L322" i="40" s="1"/>
  <c r="M322" i="40" s="1"/>
  <c r="J320" i="40"/>
  <c r="I320" i="40"/>
  <c r="H320" i="40"/>
  <c r="G320" i="40"/>
  <c r="E320" i="40"/>
  <c r="D320" i="40"/>
  <c r="C320" i="40"/>
  <c r="K319" i="40"/>
  <c r="K320" i="40" s="1"/>
  <c r="F319" i="40"/>
  <c r="K318" i="40"/>
  <c r="F318" i="40"/>
  <c r="K317" i="40"/>
  <c r="F317" i="40"/>
  <c r="J315" i="40"/>
  <c r="I315" i="40"/>
  <c r="H315" i="40"/>
  <c r="H326" i="40" s="1"/>
  <c r="G315" i="40"/>
  <c r="E315" i="40"/>
  <c r="D315" i="40"/>
  <c r="C315" i="40"/>
  <c r="K314" i="40"/>
  <c r="F314" i="40"/>
  <c r="K313" i="40"/>
  <c r="F313" i="40"/>
  <c r="L313" i="40" s="1"/>
  <c r="M313" i="40" s="1"/>
  <c r="K312" i="40"/>
  <c r="K315" i="40" s="1"/>
  <c r="F312" i="40"/>
  <c r="J310" i="40"/>
  <c r="I310" i="40"/>
  <c r="H310" i="40"/>
  <c r="G310" i="40"/>
  <c r="E310" i="40"/>
  <c r="D310" i="40"/>
  <c r="D326" i="40" s="1"/>
  <c r="C310" i="40"/>
  <c r="K309" i="40"/>
  <c r="F309" i="40"/>
  <c r="F308" i="40"/>
  <c r="L308" i="40" s="1"/>
  <c r="M308" i="40" s="1"/>
  <c r="K307" i="40"/>
  <c r="F307" i="40"/>
  <c r="J305" i="40"/>
  <c r="I305" i="40"/>
  <c r="H305" i="40"/>
  <c r="G305" i="40"/>
  <c r="E305" i="40"/>
  <c r="D305" i="40"/>
  <c r="C305" i="40"/>
  <c r="K304" i="40"/>
  <c r="F304" i="40"/>
  <c r="K303" i="40"/>
  <c r="F303" i="40"/>
  <c r="K302" i="40"/>
  <c r="F302" i="40"/>
  <c r="F295" i="40"/>
  <c r="J291" i="40"/>
  <c r="I291" i="40"/>
  <c r="H291" i="40"/>
  <c r="G291" i="40"/>
  <c r="E291" i="40"/>
  <c r="D291" i="40"/>
  <c r="C291" i="40"/>
  <c r="K290" i="40"/>
  <c r="F290" i="40"/>
  <c r="K289" i="40"/>
  <c r="F289" i="40"/>
  <c r="J287" i="40"/>
  <c r="I287" i="40"/>
  <c r="H287" i="40"/>
  <c r="G287" i="40"/>
  <c r="E287" i="40"/>
  <c r="D287" i="40"/>
  <c r="C287" i="40"/>
  <c r="K286" i="40"/>
  <c r="F286" i="40"/>
  <c r="K285" i="40"/>
  <c r="F285" i="40"/>
  <c r="K284" i="40"/>
  <c r="F284" i="40"/>
  <c r="J282" i="40"/>
  <c r="I282" i="40"/>
  <c r="H282" i="40"/>
  <c r="G282" i="40"/>
  <c r="E282" i="40"/>
  <c r="D282" i="40"/>
  <c r="C282" i="40"/>
  <c r="K281" i="40"/>
  <c r="F281" i="40"/>
  <c r="K280" i="40"/>
  <c r="F280" i="40"/>
  <c r="K279" i="40"/>
  <c r="L279" i="40" s="1"/>
  <c r="M279" i="40" s="1"/>
  <c r="F279" i="40"/>
  <c r="J277" i="40"/>
  <c r="I277" i="40"/>
  <c r="H277" i="40"/>
  <c r="G277" i="40"/>
  <c r="E277" i="40"/>
  <c r="D277" i="40"/>
  <c r="C277" i="40"/>
  <c r="C293" i="40" s="1"/>
  <c r="K276" i="40"/>
  <c r="F276" i="40"/>
  <c r="K275" i="40"/>
  <c r="F275" i="40"/>
  <c r="F277" i="40" s="1"/>
  <c r="K274" i="40"/>
  <c r="F274" i="40"/>
  <c r="J272" i="40"/>
  <c r="I272" i="40"/>
  <c r="H272" i="40"/>
  <c r="G272" i="40"/>
  <c r="E272" i="40"/>
  <c r="D272" i="40"/>
  <c r="C272" i="40"/>
  <c r="K271" i="40"/>
  <c r="F271" i="40"/>
  <c r="K270" i="40"/>
  <c r="K272" i="40" s="1"/>
  <c r="F270" i="40"/>
  <c r="K269" i="40"/>
  <c r="F269" i="40"/>
  <c r="F263" i="40"/>
  <c r="J259" i="40"/>
  <c r="I259" i="40"/>
  <c r="H259" i="40"/>
  <c r="G259" i="40"/>
  <c r="E259" i="40"/>
  <c r="D259" i="40"/>
  <c r="C259" i="40"/>
  <c r="K258" i="40"/>
  <c r="F258" i="40"/>
  <c r="K257" i="40"/>
  <c r="F257" i="40"/>
  <c r="J255" i="40"/>
  <c r="I255" i="40"/>
  <c r="H255" i="40"/>
  <c r="G255" i="40"/>
  <c r="E255" i="40"/>
  <c r="D255" i="40"/>
  <c r="C255" i="40"/>
  <c r="K254" i="40"/>
  <c r="F254" i="40"/>
  <c r="K253" i="40"/>
  <c r="F253" i="40"/>
  <c r="K252" i="40"/>
  <c r="F252" i="40"/>
  <c r="J250" i="40"/>
  <c r="I250" i="40"/>
  <c r="H250" i="40"/>
  <c r="G250" i="40"/>
  <c r="E250" i="40"/>
  <c r="D250" i="40"/>
  <c r="C250" i="40"/>
  <c r="K249" i="40"/>
  <c r="F249" i="40"/>
  <c r="K248" i="40"/>
  <c r="F248" i="40"/>
  <c r="K247" i="40"/>
  <c r="L247" i="40" s="1"/>
  <c r="M247" i="40" s="1"/>
  <c r="F247" i="40"/>
  <c r="J245" i="40"/>
  <c r="I245" i="40"/>
  <c r="H245" i="40"/>
  <c r="G245" i="40"/>
  <c r="E245" i="40"/>
  <c r="D245" i="40"/>
  <c r="C245" i="40"/>
  <c r="K244" i="40"/>
  <c r="F244" i="40"/>
  <c r="K243" i="40"/>
  <c r="L243" i="40" s="1"/>
  <c r="M243" i="40" s="1"/>
  <c r="F243" i="40"/>
  <c r="K242" i="40"/>
  <c r="F242" i="40"/>
  <c r="J240" i="40"/>
  <c r="I240" i="40"/>
  <c r="H240" i="40"/>
  <c r="G240" i="40"/>
  <c r="E240" i="40"/>
  <c r="D240" i="40"/>
  <c r="C240" i="40"/>
  <c r="K239" i="40"/>
  <c r="F239" i="40"/>
  <c r="K238" i="40"/>
  <c r="K240" i="40" s="1"/>
  <c r="F238" i="40"/>
  <c r="K237" i="40"/>
  <c r="F237" i="40"/>
  <c r="F230" i="40"/>
  <c r="J226" i="40"/>
  <c r="I226" i="40"/>
  <c r="H226" i="40"/>
  <c r="G226" i="40"/>
  <c r="E226" i="40"/>
  <c r="D226" i="40"/>
  <c r="C226" i="40"/>
  <c r="K225" i="40"/>
  <c r="F225" i="40"/>
  <c r="K224" i="40"/>
  <c r="F224" i="40"/>
  <c r="J222" i="40"/>
  <c r="I222" i="40"/>
  <c r="H222" i="40"/>
  <c r="G222" i="40"/>
  <c r="E222" i="40"/>
  <c r="D222" i="40"/>
  <c r="C222" i="40"/>
  <c r="K221" i="40"/>
  <c r="F221" i="40"/>
  <c r="F222" i="40" s="1"/>
  <c r="K220" i="40"/>
  <c r="F220" i="40"/>
  <c r="K219" i="40"/>
  <c r="J217" i="40"/>
  <c r="I217" i="40"/>
  <c r="H217" i="40"/>
  <c r="G217" i="40"/>
  <c r="E217" i="40"/>
  <c r="D217" i="40"/>
  <c r="C217" i="40"/>
  <c r="K216" i="40"/>
  <c r="F216" i="40"/>
  <c r="K215" i="40"/>
  <c r="F215" i="40"/>
  <c r="K214" i="40"/>
  <c r="F214" i="40"/>
  <c r="F217" i="40" s="1"/>
  <c r="J212" i="40"/>
  <c r="I212" i="40"/>
  <c r="H212" i="40"/>
  <c r="G212" i="40"/>
  <c r="E212" i="40"/>
  <c r="D212" i="40"/>
  <c r="C212" i="40"/>
  <c r="K211" i="40"/>
  <c r="K212" i="40" s="1"/>
  <c r="F211" i="40"/>
  <c r="K210" i="40"/>
  <c r="F210" i="40"/>
  <c r="K209" i="40"/>
  <c r="F209" i="40"/>
  <c r="J207" i="40"/>
  <c r="I207" i="40"/>
  <c r="H207" i="40"/>
  <c r="H228" i="40" s="1"/>
  <c r="G207" i="40"/>
  <c r="E207" i="40"/>
  <c r="D207" i="40"/>
  <c r="C207" i="40"/>
  <c r="K206" i="40"/>
  <c r="F206" i="40"/>
  <c r="K205" i="40"/>
  <c r="F205" i="40"/>
  <c r="K204" i="40"/>
  <c r="F204" i="40"/>
  <c r="F198" i="40"/>
  <c r="J194" i="40"/>
  <c r="I194" i="40"/>
  <c r="H194" i="40"/>
  <c r="G194" i="40"/>
  <c r="E194" i="40"/>
  <c r="D194" i="40"/>
  <c r="C194" i="40"/>
  <c r="K193" i="40"/>
  <c r="F193" i="40"/>
  <c r="K192" i="40"/>
  <c r="F192" i="40"/>
  <c r="J190" i="40"/>
  <c r="I190" i="40"/>
  <c r="H190" i="40"/>
  <c r="G190" i="40"/>
  <c r="E190" i="40"/>
  <c r="D190" i="40"/>
  <c r="C190" i="40"/>
  <c r="K189" i="40"/>
  <c r="F189" i="40"/>
  <c r="K188" i="40"/>
  <c r="F188" i="40"/>
  <c r="K187" i="40"/>
  <c r="F187" i="40"/>
  <c r="J185" i="40"/>
  <c r="I185" i="40"/>
  <c r="H185" i="40"/>
  <c r="G185" i="40"/>
  <c r="E185" i="40"/>
  <c r="D185" i="40"/>
  <c r="C185" i="40"/>
  <c r="K184" i="40"/>
  <c r="F184" i="40"/>
  <c r="K183" i="40"/>
  <c r="F183" i="40"/>
  <c r="K182" i="40"/>
  <c r="F182" i="40"/>
  <c r="L182" i="40" s="1"/>
  <c r="M182" i="40" s="1"/>
  <c r="J180" i="40"/>
  <c r="I180" i="40"/>
  <c r="H180" i="40"/>
  <c r="G180" i="40"/>
  <c r="E180" i="40"/>
  <c r="D180" i="40"/>
  <c r="C180" i="40"/>
  <c r="K179" i="40"/>
  <c r="L179" i="40" s="1"/>
  <c r="M179" i="40" s="1"/>
  <c r="F179" i="40"/>
  <c r="K178" i="40"/>
  <c r="F178" i="40"/>
  <c r="K177" i="40"/>
  <c r="F177" i="40"/>
  <c r="J175" i="40"/>
  <c r="I175" i="40"/>
  <c r="H175" i="40"/>
  <c r="G175" i="40"/>
  <c r="E175" i="40"/>
  <c r="D175" i="40"/>
  <c r="C175" i="40"/>
  <c r="K174" i="40"/>
  <c r="F174" i="40"/>
  <c r="K173" i="40"/>
  <c r="F173" i="40"/>
  <c r="L173" i="40" s="1"/>
  <c r="M173" i="40" s="1"/>
  <c r="K172" i="40"/>
  <c r="F172" i="40"/>
  <c r="F166" i="40"/>
  <c r="J162" i="40"/>
  <c r="I162" i="40"/>
  <c r="H162" i="40"/>
  <c r="G162" i="40"/>
  <c r="E162" i="40"/>
  <c r="D162" i="40"/>
  <c r="C162" i="40"/>
  <c r="K161" i="40"/>
  <c r="F161" i="40"/>
  <c r="K160" i="40"/>
  <c r="F160" i="40"/>
  <c r="J158" i="40"/>
  <c r="I158" i="40"/>
  <c r="I164" i="40" s="1"/>
  <c r="H158" i="40"/>
  <c r="G158" i="40"/>
  <c r="E158" i="40"/>
  <c r="D158" i="40"/>
  <c r="C158" i="40"/>
  <c r="K157" i="40"/>
  <c r="F157" i="40"/>
  <c r="K156" i="40"/>
  <c r="L156" i="40" s="1"/>
  <c r="N156" i="40" s="1"/>
  <c r="F156" i="40"/>
  <c r="K155" i="40"/>
  <c r="F155" i="40"/>
  <c r="J153" i="40"/>
  <c r="I153" i="40"/>
  <c r="H153" i="40"/>
  <c r="G153" i="40"/>
  <c r="E153" i="40"/>
  <c r="D153" i="40"/>
  <c r="C153" i="40"/>
  <c r="K152" i="40"/>
  <c r="F152" i="40"/>
  <c r="K151" i="40"/>
  <c r="F151" i="40"/>
  <c r="K150" i="40"/>
  <c r="F150" i="40"/>
  <c r="L150" i="40" s="1"/>
  <c r="N150" i="40" s="1"/>
  <c r="K149" i="40"/>
  <c r="F149" i="40"/>
  <c r="J147" i="40"/>
  <c r="I147" i="40"/>
  <c r="H147" i="40"/>
  <c r="G147" i="40"/>
  <c r="E147" i="40"/>
  <c r="D147" i="40"/>
  <c r="D164" i="40" s="1"/>
  <c r="C147" i="40"/>
  <c r="K146" i="40"/>
  <c r="F146" i="40"/>
  <c r="K145" i="40"/>
  <c r="F145" i="40"/>
  <c r="K144" i="40"/>
  <c r="F144" i="40"/>
  <c r="J142" i="40"/>
  <c r="J164" i="40" s="1"/>
  <c r="I142" i="40"/>
  <c r="H142" i="40"/>
  <c r="G142" i="40"/>
  <c r="E142" i="40"/>
  <c r="D142" i="40"/>
  <c r="C142" i="40"/>
  <c r="K141" i="40"/>
  <c r="F141" i="40"/>
  <c r="M141" i="40" s="1"/>
  <c r="K140" i="40"/>
  <c r="F140" i="40"/>
  <c r="K139" i="40"/>
  <c r="F139" i="40"/>
  <c r="F133" i="40"/>
  <c r="J129" i="40"/>
  <c r="I129" i="40"/>
  <c r="H129" i="40"/>
  <c r="G129" i="40"/>
  <c r="E129" i="40"/>
  <c r="D129" i="40"/>
  <c r="C129" i="40"/>
  <c r="K128" i="40"/>
  <c r="F128" i="40"/>
  <c r="K127" i="40"/>
  <c r="F127" i="40"/>
  <c r="L127" i="40" s="1"/>
  <c r="N127" i="40" s="1"/>
  <c r="J125" i="40"/>
  <c r="I125" i="40"/>
  <c r="H125" i="40"/>
  <c r="G125" i="40"/>
  <c r="E125" i="40"/>
  <c r="D125" i="40"/>
  <c r="C125" i="40"/>
  <c r="K124" i="40"/>
  <c r="M124" i="40" s="1"/>
  <c r="F124" i="40"/>
  <c r="K123" i="40"/>
  <c r="F123" i="40"/>
  <c r="K122" i="40"/>
  <c r="F122" i="40"/>
  <c r="J120" i="40"/>
  <c r="I120" i="40"/>
  <c r="H120" i="40"/>
  <c r="H131" i="40" s="1"/>
  <c r="G120" i="40"/>
  <c r="E120" i="40"/>
  <c r="D120" i="40"/>
  <c r="C120" i="40"/>
  <c r="K119" i="40"/>
  <c r="F119" i="40"/>
  <c r="K118" i="40"/>
  <c r="F118" i="40"/>
  <c r="M118" i="40" s="1"/>
  <c r="K117" i="40"/>
  <c r="F117" i="40"/>
  <c r="K116" i="40"/>
  <c r="F116" i="40"/>
  <c r="J114" i="40"/>
  <c r="I114" i="40"/>
  <c r="H114" i="40"/>
  <c r="G114" i="40"/>
  <c r="G131" i="40" s="1"/>
  <c r="E114" i="40"/>
  <c r="D114" i="40"/>
  <c r="C114" i="40"/>
  <c r="K113" i="40"/>
  <c r="F113" i="40"/>
  <c r="K112" i="40"/>
  <c r="F112" i="40"/>
  <c r="K111" i="40"/>
  <c r="L111" i="40" s="1"/>
  <c r="N111" i="40" s="1"/>
  <c r="F111" i="40"/>
  <c r="J109" i="40"/>
  <c r="I109" i="40"/>
  <c r="H109" i="40"/>
  <c r="G109" i="40"/>
  <c r="E109" i="40"/>
  <c r="D109" i="40"/>
  <c r="C109" i="40"/>
  <c r="K108" i="40"/>
  <c r="F108" i="40"/>
  <c r="K107" i="40"/>
  <c r="F107" i="40"/>
  <c r="K106" i="40"/>
  <c r="F106" i="40"/>
  <c r="O96" i="40"/>
  <c r="N96" i="40"/>
  <c r="M96" i="40"/>
  <c r="L96" i="40"/>
  <c r="I96" i="40"/>
  <c r="H96" i="40"/>
  <c r="E96" i="40"/>
  <c r="D96" i="40"/>
  <c r="C96" i="40"/>
  <c r="P95" i="40"/>
  <c r="J95" i="40"/>
  <c r="F95" i="40"/>
  <c r="P94" i="40"/>
  <c r="J94" i="40"/>
  <c r="J96" i="40" s="1"/>
  <c r="F94" i="40"/>
  <c r="O92" i="40"/>
  <c r="N92" i="40"/>
  <c r="M92" i="40"/>
  <c r="L92" i="40"/>
  <c r="I92" i="40"/>
  <c r="H92" i="40"/>
  <c r="E92" i="40"/>
  <c r="D92" i="40"/>
  <c r="C92" i="40"/>
  <c r="P91" i="40"/>
  <c r="J91" i="40"/>
  <c r="K91" i="40" s="1"/>
  <c r="R91" i="40" s="1"/>
  <c r="F91" i="40"/>
  <c r="P90" i="40"/>
  <c r="J90" i="40"/>
  <c r="F90" i="40"/>
  <c r="P89" i="40"/>
  <c r="J89" i="40"/>
  <c r="F89" i="40"/>
  <c r="O87" i="40"/>
  <c r="N87" i="40"/>
  <c r="M87" i="40"/>
  <c r="L87" i="40"/>
  <c r="I87" i="40"/>
  <c r="H87" i="40"/>
  <c r="E87" i="40"/>
  <c r="D87" i="40"/>
  <c r="C87" i="40"/>
  <c r="P86" i="40"/>
  <c r="J86" i="40"/>
  <c r="F86" i="40"/>
  <c r="P85" i="40"/>
  <c r="J85" i="40"/>
  <c r="F85" i="40"/>
  <c r="P84" i="40"/>
  <c r="J84" i="40"/>
  <c r="K84" i="40" s="1"/>
  <c r="R84" i="40" s="1"/>
  <c r="F84" i="40"/>
  <c r="P83" i="40"/>
  <c r="J83" i="40"/>
  <c r="F83" i="40"/>
  <c r="O81" i="40"/>
  <c r="N81" i="40"/>
  <c r="M81" i="40"/>
  <c r="L81" i="40"/>
  <c r="L98" i="40" s="1"/>
  <c r="I81" i="40"/>
  <c r="H81" i="40"/>
  <c r="E81" i="40"/>
  <c r="D81" i="40"/>
  <c r="C81" i="40"/>
  <c r="P80" i="40"/>
  <c r="J80" i="40"/>
  <c r="F80" i="40"/>
  <c r="F81" i="40" s="1"/>
  <c r="P79" i="40"/>
  <c r="J79" i="40"/>
  <c r="F79" i="40"/>
  <c r="P78" i="40"/>
  <c r="J78" i="40"/>
  <c r="F78" i="40"/>
  <c r="O76" i="40"/>
  <c r="N76" i="40"/>
  <c r="M76" i="40"/>
  <c r="L76" i="40"/>
  <c r="I76" i="40"/>
  <c r="H76" i="40"/>
  <c r="G76" i="40"/>
  <c r="G98" i="40" s="1"/>
  <c r="E76" i="40"/>
  <c r="D76" i="40"/>
  <c r="C76" i="40"/>
  <c r="P75" i="40"/>
  <c r="J75" i="40"/>
  <c r="F75" i="40"/>
  <c r="P74" i="40"/>
  <c r="J74" i="40"/>
  <c r="F74" i="40"/>
  <c r="P73" i="40"/>
  <c r="J73" i="40"/>
  <c r="K73" i="40" s="1"/>
  <c r="R73" i="40" s="1"/>
  <c r="F73" i="40"/>
  <c r="V33" i="38"/>
  <c r="AW26" i="38"/>
  <c r="AV26" i="38"/>
  <c r="AS26" i="38"/>
  <c r="AR26" i="38"/>
  <c r="AO26" i="38"/>
  <c r="AN26" i="38"/>
  <c r="AK26" i="38"/>
  <c r="AJ26" i="38"/>
  <c r="AG26" i="38"/>
  <c r="AF26" i="38"/>
  <c r="AC26" i="38"/>
  <c r="AB26" i="38"/>
  <c r="Y26" i="38"/>
  <c r="X26" i="38"/>
  <c r="U26" i="38"/>
  <c r="T26" i="38"/>
  <c r="Q26" i="38"/>
  <c r="P26" i="38"/>
  <c r="R26" i="38" s="1"/>
  <c r="M26" i="38"/>
  <c r="L26" i="38"/>
  <c r="I26" i="38"/>
  <c r="H26" i="38"/>
  <c r="J26" i="38" s="1"/>
  <c r="E26" i="38"/>
  <c r="D26" i="38"/>
  <c r="AW25" i="38"/>
  <c r="AV25" i="38"/>
  <c r="AU25" i="38"/>
  <c r="AS25" i="38"/>
  <c r="AR25" i="38"/>
  <c r="AQ25" i="38"/>
  <c r="AO25" i="38"/>
  <c r="AN25" i="38"/>
  <c r="AM25" i="38"/>
  <c r="AK25" i="38"/>
  <c r="AJ25" i="38"/>
  <c r="AI25" i="38"/>
  <c r="AG25" i="38"/>
  <c r="AF25" i="38"/>
  <c r="AE25" i="38"/>
  <c r="AC25" i="38"/>
  <c r="AB25" i="38"/>
  <c r="AA25" i="38"/>
  <c r="Y25" i="38"/>
  <c r="X25" i="38"/>
  <c r="W25" i="38"/>
  <c r="U25" i="38"/>
  <c r="T25" i="38"/>
  <c r="S25" i="38"/>
  <c r="Q25" i="38"/>
  <c r="P25" i="38"/>
  <c r="O25" i="38"/>
  <c r="M25" i="38"/>
  <c r="L25" i="38"/>
  <c r="K25" i="38"/>
  <c r="I25" i="38"/>
  <c r="H25" i="38"/>
  <c r="G25" i="38"/>
  <c r="E25" i="38"/>
  <c r="D25" i="38"/>
  <c r="C25" i="38"/>
  <c r="AW24" i="38"/>
  <c r="AV24" i="38"/>
  <c r="AU24" i="38"/>
  <c r="AS24" i="38"/>
  <c r="AR24" i="38"/>
  <c r="AQ24" i="38"/>
  <c r="AO24" i="38"/>
  <c r="AN24" i="38"/>
  <c r="AM24" i="38"/>
  <c r="AK24" i="38"/>
  <c r="AJ24" i="38"/>
  <c r="AI24" i="38"/>
  <c r="AG24" i="38"/>
  <c r="AF24" i="38"/>
  <c r="AE24" i="38"/>
  <c r="AC24" i="38"/>
  <c r="AB24" i="38"/>
  <c r="AA24" i="38"/>
  <c r="Y24" i="38"/>
  <c r="X24" i="38"/>
  <c r="W24" i="38"/>
  <c r="U24" i="38"/>
  <c r="T24" i="38"/>
  <c r="S24" i="38"/>
  <c r="Q24" i="38"/>
  <c r="P24" i="38"/>
  <c r="O24" i="38"/>
  <c r="M24" i="38"/>
  <c r="L24" i="38"/>
  <c r="K24" i="38"/>
  <c r="I24" i="38"/>
  <c r="H24" i="38"/>
  <c r="G24" i="38"/>
  <c r="E24" i="38"/>
  <c r="D24" i="38"/>
  <c r="C24" i="38"/>
  <c r="AW18" i="38"/>
  <c r="AW31" i="38" s="1"/>
  <c r="AV18" i="38"/>
  <c r="AV31" i="38" s="1"/>
  <c r="AU18" i="38"/>
  <c r="AS18" i="38"/>
  <c r="AS31" i="38" s="1"/>
  <c r="AR18" i="38"/>
  <c r="AQ18" i="38"/>
  <c r="AQ31" i="38" s="1"/>
  <c r="AO18" i="38"/>
  <c r="AO31" i="38" s="1"/>
  <c r="AN18" i="38"/>
  <c r="AN31" i="38" s="1"/>
  <c r="AM18" i="38"/>
  <c r="AK18" i="38"/>
  <c r="AJ18" i="38"/>
  <c r="AJ31" i="38" s="1"/>
  <c r="AI18" i="38"/>
  <c r="AI31" i="38" s="1"/>
  <c r="AG18" i="38"/>
  <c r="AG31" i="38" s="1"/>
  <c r="AF18" i="38"/>
  <c r="AE18" i="38"/>
  <c r="AE31" i="38" s="1"/>
  <c r="AC18" i="38"/>
  <c r="AC31" i="38" s="1"/>
  <c r="AB18" i="38"/>
  <c r="AA18" i="38"/>
  <c r="Y18" i="38"/>
  <c r="X18" i="38"/>
  <c r="X31" i="38" s="1"/>
  <c r="W18" i="38"/>
  <c r="W31" i="38" s="1"/>
  <c r="U18" i="38"/>
  <c r="T18" i="38"/>
  <c r="S18" i="38"/>
  <c r="Q18" i="38"/>
  <c r="P18" i="38"/>
  <c r="O18" i="38"/>
  <c r="M18" i="38"/>
  <c r="M31" i="38" s="1"/>
  <c r="L18" i="38"/>
  <c r="K18" i="38"/>
  <c r="I18" i="38"/>
  <c r="H18" i="38"/>
  <c r="G18" i="38"/>
  <c r="E18" i="38"/>
  <c r="E31" i="38" s="1"/>
  <c r="D18" i="38"/>
  <c r="D31" i="38" s="1"/>
  <c r="C18" i="38"/>
  <c r="C31" i="38" s="1"/>
  <c r="AW17" i="38"/>
  <c r="AV17" i="38"/>
  <c r="AU17" i="38"/>
  <c r="AS17" i="38"/>
  <c r="AR17" i="38"/>
  <c r="AQ17" i="38"/>
  <c r="AO17" i="38"/>
  <c r="AN17" i="38"/>
  <c r="AM17" i="38"/>
  <c r="AK17" i="38"/>
  <c r="AJ17" i="38"/>
  <c r="AI17" i="38"/>
  <c r="AG17" i="38"/>
  <c r="AF17" i="38"/>
  <c r="AE17" i="38"/>
  <c r="AC17" i="38"/>
  <c r="AB17" i="38"/>
  <c r="AA17" i="38"/>
  <c r="Y17" i="38"/>
  <c r="X17" i="38"/>
  <c r="W17" i="38"/>
  <c r="U17" i="38"/>
  <c r="T17" i="38"/>
  <c r="S17" i="38"/>
  <c r="Q17" i="38"/>
  <c r="P17" i="38"/>
  <c r="O17" i="38"/>
  <c r="M17" i="38"/>
  <c r="L17" i="38"/>
  <c r="K17" i="38"/>
  <c r="I17" i="38"/>
  <c r="H17" i="38"/>
  <c r="G17" i="38"/>
  <c r="E17" i="38"/>
  <c r="D17" i="38"/>
  <c r="C17" i="38"/>
  <c r="AW16" i="38"/>
  <c r="AV16" i="38"/>
  <c r="AU16" i="38"/>
  <c r="AS16" i="38"/>
  <c r="AR16" i="38"/>
  <c r="AQ16" i="38"/>
  <c r="AQ29" i="38" s="1"/>
  <c r="AO16" i="38"/>
  <c r="AN16" i="38"/>
  <c r="AK16" i="38"/>
  <c r="AJ16" i="38"/>
  <c r="AG16" i="38"/>
  <c r="AF16" i="38"/>
  <c r="AC16" i="38"/>
  <c r="AB16" i="38"/>
  <c r="Y16" i="38"/>
  <c r="X16" i="38"/>
  <c r="U16" i="38"/>
  <c r="T16" i="38"/>
  <c r="Q16" i="38"/>
  <c r="P16" i="38"/>
  <c r="M16" i="38"/>
  <c r="L16" i="38"/>
  <c r="I16" i="38"/>
  <c r="H16" i="38"/>
  <c r="E16" i="38"/>
  <c r="D16" i="38"/>
  <c r="U14" i="38"/>
  <c r="AW13" i="38"/>
  <c r="AW34" i="38" s="1"/>
  <c r="AV13" i="38"/>
  <c r="AV34" i="38" s="1"/>
  <c r="AU13" i="38"/>
  <c r="AU14" i="38" s="1"/>
  <c r="AS13" i="38"/>
  <c r="AS34" i="38" s="1"/>
  <c r="AR13" i="38"/>
  <c r="AR34" i="38" s="1"/>
  <c r="AQ13" i="38"/>
  <c r="AQ34" i="38" s="1"/>
  <c r="AO13" i="38"/>
  <c r="AO34" i="38" s="1"/>
  <c r="AN13" i="38"/>
  <c r="AN34" i="38" s="1"/>
  <c r="AM13" i="38"/>
  <c r="AM14" i="38" s="1"/>
  <c r="AK13" i="38"/>
  <c r="AK34" i="38" s="1"/>
  <c r="AJ13" i="38"/>
  <c r="AJ34" i="38" s="1"/>
  <c r="AI13" i="38"/>
  <c r="AI34" i="38" s="1"/>
  <c r="AG13" i="38"/>
  <c r="AG34" i="38" s="1"/>
  <c r="AF13" i="38"/>
  <c r="AE13" i="38"/>
  <c r="AE14" i="38" s="1"/>
  <c r="AC13" i="38"/>
  <c r="AC34" i="38" s="1"/>
  <c r="AB13" i="38"/>
  <c r="AB34" i="38" s="1"/>
  <c r="AA13" i="38"/>
  <c r="AA34" i="38" s="1"/>
  <c r="X13" i="38"/>
  <c r="X34" i="38" s="1"/>
  <c r="W13" i="38"/>
  <c r="S13" i="38"/>
  <c r="V13" i="38" s="1"/>
  <c r="AV12" i="38"/>
  <c r="AV33" i="38" s="1"/>
  <c r="AX33" i="38" s="1"/>
  <c r="AR12" i="38"/>
  <c r="AR33" i="38" s="1"/>
  <c r="AT33" i="38" s="1"/>
  <c r="AN12" i="38"/>
  <c r="AP12" i="38" s="1"/>
  <c r="AJ12" i="38"/>
  <c r="AL12" i="38" s="1"/>
  <c r="AF12" i="38"/>
  <c r="AF33" i="38" s="1"/>
  <c r="AH33" i="38" s="1"/>
  <c r="AB12" i="38"/>
  <c r="AB33" i="38" s="1"/>
  <c r="AD33" i="38" s="1"/>
  <c r="X12" i="38"/>
  <c r="Z12" i="38" s="1"/>
  <c r="V12" i="38"/>
  <c r="AW11" i="38"/>
  <c r="AV11" i="38"/>
  <c r="AS11" i="38"/>
  <c r="AR11" i="38"/>
  <c r="AO11" i="38"/>
  <c r="AN11" i="38"/>
  <c r="AK11" i="38"/>
  <c r="AJ11" i="38"/>
  <c r="AG11" i="38"/>
  <c r="AF11" i="38"/>
  <c r="AC11" i="38"/>
  <c r="AC14" i="38" s="1"/>
  <c r="AB11" i="38"/>
  <c r="Y11" i="38"/>
  <c r="Y14" i="38" s="1"/>
  <c r="X11" i="38"/>
  <c r="T11" i="38"/>
  <c r="V11" i="38" s="1"/>
  <c r="AW8" i="38"/>
  <c r="AV8" i="38"/>
  <c r="AU8" i="38"/>
  <c r="AU32" i="38" s="1"/>
  <c r="AS8" i="38"/>
  <c r="AR8" i="38"/>
  <c r="AR32" i="38" s="1"/>
  <c r="AQ8" i="38"/>
  <c r="AQ32" i="38" s="1"/>
  <c r="AO8" i="38"/>
  <c r="AO32" i="38" s="1"/>
  <c r="AN8" i="38"/>
  <c r="AM8" i="38"/>
  <c r="AM32" i="38" s="1"/>
  <c r="AK8" i="38"/>
  <c r="AJ8" i="38"/>
  <c r="AI8" i="38"/>
  <c r="AI32" i="38" s="1"/>
  <c r="AG8" i="38"/>
  <c r="AF8" i="38"/>
  <c r="AE8" i="38"/>
  <c r="AE32" i="38" s="1"/>
  <c r="AC8" i="38"/>
  <c r="AB8" i="38"/>
  <c r="AA8" i="38"/>
  <c r="AA32" i="38" s="1"/>
  <c r="Y8" i="38"/>
  <c r="Y32" i="38" s="1"/>
  <c r="X8" i="38"/>
  <c r="W8" i="38"/>
  <c r="W32" i="38" s="1"/>
  <c r="U8" i="38"/>
  <c r="T8" i="38"/>
  <c r="S8" i="38"/>
  <c r="S32" i="38" s="1"/>
  <c r="Q8" i="38"/>
  <c r="P8" i="38"/>
  <c r="O8" i="38"/>
  <c r="O32" i="38" s="1"/>
  <c r="M8" i="38"/>
  <c r="L8" i="38"/>
  <c r="L32" i="38" s="1"/>
  <c r="K8" i="38"/>
  <c r="K32" i="38" s="1"/>
  <c r="I8" i="38"/>
  <c r="H8" i="38"/>
  <c r="G8" i="38"/>
  <c r="G32" i="38" s="1"/>
  <c r="E8" i="38"/>
  <c r="D8" i="38"/>
  <c r="C8" i="38"/>
  <c r="C32" i="38" s="1"/>
  <c r="AW7" i="38"/>
  <c r="AV7" i="38"/>
  <c r="AU7" i="38"/>
  <c r="AS7" i="38"/>
  <c r="AR7" i="38"/>
  <c r="AQ7" i="38"/>
  <c r="AO7" i="38"/>
  <c r="AN7" i="38"/>
  <c r="AM7" i="38"/>
  <c r="AK7" i="38"/>
  <c r="AJ7" i="38"/>
  <c r="AI7" i="38"/>
  <c r="AG7" i="38"/>
  <c r="AF7" i="38"/>
  <c r="AE7" i="38"/>
  <c r="AC7" i="38"/>
  <c r="AB7" i="38"/>
  <c r="AA7" i="38"/>
  <c r="Y7" i="38"/>
  <c r="X7" i="38"/>
  <c r="W7" i="38"/>
  <c r="U7" i="38"/>
  <c r="T7" i="38"/>
  <c r="S7" i="38"/>
  <c r="Q7" i="38"/>
  <c r="P7" i="38"/>
  <c r="O7" i="38"/>
  <c r="M7" i="38"/>
  <c r="L7" i="38"/>
  <c r="K7" i="38"/>
  <c r="I7" i="38"/>
  <c r="H7" i="38"/>
  <c r="G7" i="38"/>
  <c r="E7" i="38"/>
  <c r="D7" i="38"/>
  <c r="C7" i="38"/>
  <c r="AW6" i="38"/>
  <c r="AV6" i="38"/>
  <c r="AU6" i="38"/>
  <c r="AS6" i="38"/>
  <c r="AR6" i="38"/>
  <c r="AQ6" i="38"/>
  <c r="AO6" i="38"/>
  <c r="AO29" i="38" s="1"/>
  <c r="AN6" i="38"/>
  <c r="AM6" i="38"/>
  <c r="AM29" i="38" s="1"/>
  <c r="AK6" i="38"/>
  <c r="AK29" i="38" s="1"/>
  <c r="AJ6" i="38"/>
  <c r="AJ29" i="38" s="1"/>
  <c r="AI6" i="38"/>
  <c r="AI29" i="38" s="1"/>
  <c r="AG6" i="38"/>
  <c r="AF6" i="38"/>
  <c r="AE6" i="38"/>
  <c r="AE29" i="38" s="1"/>
  <c r="AC6" i="38"/>
  <c r="AB6" i="38"/>
  <c r="AA6" i="38"/>
  <c r="Y6" i="38"/>
  <c r="X6" i="38"/>
  <c r="W6" i="38"/>
  <c r="W29" i="38" s="1"/>
  <c r="U6" i="38"/>
  <c r="T6" i="38"/>
  <c r="S6" i="38"/>
  <c r="Q6" i="38"/>
  <c r="P6" i="38"/>
  <c r="O6" i="38"/>
  <c r="O29" i="38" s="1"/>
  <c r="K6" i="38"/>
  <c r="K29" i="38" s="1"/>
  <c r="I6" i="38"/>
  <c r="H6" i="38"/>
  <c r="G6" i="38"/>
  <c r="G29" i="38" s="1"/>
  <c r="E6" i="38"/>
  <c r="D6" i="38"/>
  <c r="C6" i="38"/>
  <c r="O173" i="37"/>
  <c r="N173" i="37"/>
  <c r="M173" i="37"/>
  <c r="L173" i="37"/>
  <c r="K173" i="37"/>
  <c r="J173" i="37"/>
  <c r="I173" i="37"/>
  <c r="H173" i="37"/>
  <c r="O168" i="37"/>
  <c r="N168" i="37"/>
  <c r="M168" i="37"/>
  <c r="L168" i="37"/>
  <c r="K168" i="37"/>
  <c r="J168" i="37"/>
  <c r="I168" i="37"/>
  <c r="O166" i="37"/>
  <c r="N166" i="37"/>
  <c r="M166" i="37"/>
  <c r="L166" i="37"/>
  <c r="K166" i="37"/>
  <c r="J166" i="37"/>
  <c r="I166" i="37"/>
  <c r="H166" i="37"/>
  <c r="O162" i="37"/>
  <c r="N162" i="37"/>
  <c r="M162" i="37"/>
  <c r="L162" i="37"/>
  <c r="K162" i="37"/>
  <c r="J162" i="37"/>
  <c r="I162" i="37"/>
  <c r="H162" i="37"/>
  <c r="G162" i="37"/>
  <c r="F162" i="37"/>
  <c r="E162" i="37"/>
  <c r="D162" i="37"/>
  <c r="O157" i="37"/>
  <c r="N157" i="37"/>
  <c r="M157" i="37"/>
  <c r="L157" i="37"/>
  <c r="K157" i="37"/>
  <c r="J157" i="37"/>
  <c r="I157" i="37"/>
  <c r="H157" i="37"/>
  <c r="G157" i="37"/>
  <c r="F157" i="37"/>
  <c r="E157" i="37"/>
  <c r="D157" i="37"/>
  <c r="O139" i="37"/>
  <c r="N139" i="37"/>
  <c r="M139" i="37"/>
  <c r="L139" i="37"/>
  <c r="K139" i="37"/>
  <c r="J139" i="37"/>
  <c r="I139" i="37"/>
  <c r="H139" i="37"/>
  <c r="G139" i="37"/>
  <c r="F139" i="37"/>
  <c r="E139" i="37"/>
  <c r="D139" i="37"/>
  <c r="O115" i="37"/>
  <c r="N115" i="37"/>
  <c r="M115" i="37"/>
  <c r="L115" i="37"/>
  <c r="K115" i="37"/>
  <c r="J115" i="37"/>
  <c r="I115" i="37"/>
  <c r="H115" i="37"/>
  <c r="G115" i="37"/>
  <c r="F115" i="37"/>
  <c r="E115" i="37"/>
  <c r="D115" i="37"/>
  <c r="O102" i="37"/>
  <c r="N102" i="37"/>
  <c r="M102" i="37"/>
  <c r="L102" i="37"/>
  <c r="K102" i="37"/>
  <c r="J102" i="37"/>
  <c r="I102" i="37"/>
  <c r="H102" i="37"/>
  <c r="G102" i="37"/>
  <c r="F102" i="37"/>
  <c r="E102" i="37"/>
  <c r="D102" i="37"/>
  <c r="O82" i="37"/>
  <c r="N82" i="37"/>
  <c r="M82" i="37"/>
  <c r="L82" i="37"/>
  <c r="K82" i="37"/>
  <c r="J82" i="37"/>
  <c r="I82" i="37"/>
  <c r="H82" i="37"/>
  <c r="G82" i="37"/>
  <c r="F82" i="37"/>
  <c r="E82" i="37"/>
  <c r="D82" i="37"/>
  <c r="O58" i="37"/>
  <c r="N58" i="37"/>
  <c r="M58" i="37"/>
  <c r="L58" i="37"/>
  <c r="K58" i="37"/>
  <c r="J58" i="37"/>
  <c r="I58" i="37"/>
  <c r="H58" i="37"/>
  <c r="G58" i="37"/>
  <c r="F58" i="37"/>
  <c r="E58" i="37"/>
  <c r="D58" i="37"/>
  <c r="O35" i="37"/>
  <c r="N35" i="37"/>
  <c r="M35" i="37"/>
  <c r="L35" i="37"/>
  <c r="K35" i="37"/>
  <c r="J35" i="37"/>
  <c r="I35" i="37"/>
  <c r="H35" i="37"/>
  <c r="G35" i="37"/>
  <c r="F35" i="37"/>
  <c r="E35" i="37"/>
  <c r="D35" i="37"/>
  <c r="O17" i="37"/>
  <c r="N17" i="37"/>
  <c r="M17" i="37"/>
  <c r="L17" i="37"/>
  <c r="K17" i="37"/>
  <c r="J17" i="37"/>
  <c r="J59" i="37" s="1"/>
  <c r="I17" i="37"/>
  <c r="H17" i="37"/>
  <c r="G17" i="37"/>
  <c r="E17" i="37"/>
  <c r="D17" i="37"/>
  <c r="F12" i="37"/>
  <c r="M6" i="38" s="1"/>
  <c r="F7" i="37"/>
  <c r="F5" i="37"/>
  <c r="F17" i="37" s="1"/>
  <c r="F59" i="37" s="1"/>
  <c r="BI71" i="36"/>
  <c r="BH71" i="36"/>
  <c r="BG71" i="36"/>
  <c r="BQ69" i="36"/>
  <c r="BO69" i="36"/>
  <c r="BM69" i="36"/>
  <c r="BK69" i="36"/>
  <c r="BI69" i="36"/>
  <c r="BG69" i="36"/>
  <c r="BK68" i="36"/>
  <c r="BI68" i="36"/>
  <c r="BG68" i="36"/>
  <c r="CK67" i="36"/>
  <c r="CJ67" i="36"/>
  <c r="CI67" i="36"/>
  <c r="CG67" i="36"/>
  <c r="CF67" i="36"/>
  <c r="CE67" i="36"/>
  <c r="CC67" i="36"/>
  <c r="CB67" i="36"/>
  <c r="CA67" i="36"/>
  <c r="BY67" i="36"/>
  <c r="BX67" i="36"/>
  <c r="BW67" i="36"/>
  <c r="BU67" i="36"/>
  <c r="BT67" i="36"/>
  <c r="BS67" i="36"/>
  <c r="BQ67" i="36"/>
  <c r="BP67" i="36"/>
  <c r="BO67" i="36"/>
  <c r="BO68" i="36" s="1"/>
  <c r="BN67" i="36"/>
  <c r="BJ67" i="36"/>
  <c r="CK66" i="36"/>
  <c r="CJ66" i="36"/>
  <c r="CI66" i="36"/>
  <c r="CG66" i="36"/>
  <c r="CF66" i="36"/>
  <c r="CE66" i="36"/>
  <c r="CC66" i="36"/>
  <c r="CB66" i="36"/>
  <c r="CA66" i="36"/>
  <c r="BY66" i="36"/>
  <c r="BX66" i="36"/>
  <c r="BW66" i="36"/>
  <c r="BU66" i="36"/>
  <c r="BT66" i="36"/>
  <c r="BS66" i="36"/>
  <c r="BQ66" i="36"/>
  <c r="BM66" i="36"/>
  <c r="BN66" i="36" s="1"/>
  <c r="BJ66" i="36"/>
  <c r="CK65" i="36"/>
  <c r="CK69" i="36" s="1"/>
  <c r="CJ65" i="36"/>
  <c r="CJ69" i="36" s="1"/>
  <c r="CI65" i="36"/>
  <c r="CI69" i="36" s="1"/>
  <c r="CG65" i="36"/>
  <c r="CG69" i="36" s="1"/>
  <c r="CF65" i="36"/>
  <c r="CF69" i="36" s="1"/>
  <c r="CE65" i="36"/>
  <c r="CE69" i="36" s="1"/>
  <c r="CC65" i="36"/>
  <c r="CC69" i="36" s="1"/>
  <c r="CB65" i="36"/>
  <c r="CA65" i="36"/>
  <c r="CA69" i="36" s="1"/>
  <c r="BY65" i="36"/>
  <c r="BX65" i="36"/>
  <c r="BX69" i="36" s="1"/>
  <c r="BW65" i="36"/>
  <c r="BW69" i="36" s="1"/>
  <c r="BU65" i="36"/>
  <c r="BU69" i="36" s="1"/>
  <c r="BT65" i="36"/>
  <c r="BT69" i="36" s="1"/>
  <c r="BS65" i="36"/>
  <c r="BS69" i="36" s="1"/>
  <c r="BP65" i="36"/>
  <c r="BP69" i="36" s="1"/>
  <c r="BL65" i="36"/>
  <c r="BN65" i="36" s="1"/>
  <c r="BH65" i="36"/>
  <c r="BH68" i="36" s="1"/>
  <c r="BP64" i="36"/>
  <c r="BO64" i="36"/>
  <c r="BL64" i="36"/>
  <c r="BK64" i="36"/>
  <c r="BI64" i="36"/>
  <c r="BH64" i="36"/>
  <c r="BG64" i="36"/>
  <c r="CL63" i="36"/>
  <c r="CH63" i="36"/>
  <c r="CD63" i="36"/>
  <c r="BZ63" i="36"/>
  <c r="BV63" i="36"/>
  <c r="BR63" i="36"/>
  <c r="BN63" i="36"/>
  <c r="BJ63" i="36"/>
  <c r="CK62" i="36"/>
  <c r="CJ62" i="36"/>
  <c r="CI62" i="36"/>
  <c r="CI64" i="36" s="1"/>
  <c r="CG62" i="36"/>
  <c r="CG64" i="36" s="1"/>
  <c r="CF62" i="36"/>
  <c r="CF64" i="36" s="1"/>
  <c r="CE62" i="36"/>
  <c r="CE64" i="36" s="1"/>
  <c r="CC62" i="36"/>
  <c r="CC64" i="36" s="1"/>
  <c r="CB62" i="36"/>
  <c r="CB64" i="36" s="1"/>
  <c r="CA62" i="36"/>
  <c r="BY62" i="36"/>
  <c r="BX62" i="36"/>
  <c r="BX64" i="36" s="1"/>
  <c r="BW62" i="36"/>
  <c r="BW64" i="36" s="1"/>
  <c r="BU62" i="36"/>
  <c r="BU64" i="36" s="1"/>
  <c r="BT62" i="36"/>
  <c r="BT64" i="36" s="1"/>
  <c r="BS62" i="36"/>
  <c r="BS64" i="36" s="1"/>
  <c r="BQ62" i="36"/>
  <c r="BQ64" i="36" s="1"/>
  <c r="BM62" i="36"/>
  <c r="BJ62" i="36"/>
  <c r="CL61" i="36"/>
  <c r="CH61" i="36"/>
  <c r="CD61" i="36"/>
  <c r="BZ61" i="36"/>
  <c r="BV61" i="36"/>
  <c r="BR61" i="36"/>
  <c r="BN61" i="36"/>
  <c r="BJ61" i="36"/>
  <c r="CK59" i="36"/>
  <c r="CJ59" i="36"/>
  <c r="CI59" i="36"/>
  <c r="CG59" i="36"/>
  <c r="CF59" i="36"/>
  <c r="CE59" i="36"/>
  <c r="CC59" i="36"/>
  <c r="CB59" i="36"/>
  <c r="CA59" i="36"/>
  <c r="BY59" i="36"/>
  <c r="BX59" i="36"/>
  <c r="BW59" i="36"/>
  <c r="BU59" i="36"/>
  <c r="BT59" i="36"/>
  <c r="BS59" i="36"/>
  <c r="BQ59" i="36"/>
  <c r="BP59" i="36"/>
  <c r="BO59" i="36"/>
  <c r="BM59" i="36"/>
  <c r="BM71" i="36" s="1"/>
  <c r="BL59" i="36"/>
  <c r="BL71" i="36" s="1"/>
  <c r="BK59" i="36"/>
  <c r="BJ59" i="36"/>
  <c r="CK58" i="36"/>
  <c r="CJ58" i="36"/>
  <c r="CI58" i="36"/>
  <c r="CG58" i="36"/>
  <c r="CF58" i="36"/>
  <c r="CE58" i="36"/>
  <c r="CC58" i="36"/>
  <c r="CB58" i="36"/>
  <c r="CA58" i="36"/>
  <c r="BY58" i="36"/>
  <c r="BX58" i="36"/>
  <c r="BW58" i="36"/>
  <c r="BU58" i="36"/>
  <c r="BT58" i="36"/>
  <c r="BS58" i="36"/>
  <c r="BQ58" i="36"/>
  <c r="BP58" i="36"/>
  <c r="BO58" i="36"/>
  <c r="BO70" i="36" s="1"/>
  <c r="BM58" i="36"/>
  <c r="BL58" i="36"/>
  <c r="BL70" i="36" s="1"/>
  <c r="BK58" i="36"/>
  <c r="BK70" i="36" s="1"/>
  <c r="BI58" i="36"/>
  <c r="BH58" i="36"/>
  <c r="BH70" i="36" s="1"/>
  <c r="BG58" i="36"/>
  <c r="BG70" i="36" s="1"/>
  <c r="BG72" i="36" s="1"/>
  <c r="CL57" i="36"/>
  <c r="CH57" i="36"/>
  <c r="CD57" i="36"/>
  <c r="BZ57" i="36"/>
  <c r="BV57" i="36"/>
  <c r="BR57" i="36"/>
  <c r="BN57" i="36"/>
  <c r="BJ57" i="36"/>
  <c r="BA54" i="36"/>
  <c r="AZ54" i="36"/>
  <c r="AY54" i="36"/>
  <c r="AW54" i="36"/>
  <c r="AV54" i="36"/>
  <c r="AU54" i="36"/>
  <c r="AT54" i="36"/>
  <c r="AS54" i="36"/>
  <c r="AR54" i="36"/>
  <c r="AQ54" i="36"/>
  <c r="AL54" i="36"/>
  <c r="AK54" i="36"/>
  <c r="AJ54" i="36"/>
  <c r="AI54" i="36"/>
  <c r="AH54" i="36"/>
  <c r="AG54" i="36"/>
  <c r="AF54" i="36"/>
  <c r="AE54" i="36"/>
  <c r="AD54" i="36"/>
  <c r="AC54" i="36"/>
  <c r="AB54" i="36"/>
  <c r="AA54" i="36"/>
  <c r="Z54" i="36"/>
  <c r="Y54" i="36"/>
  <c r="X54" i="36"/>
  <c r="W54" i="36"/>
  <c r="V54" i="36"/>
  <c r="U54" i="36"/>
  <c r="T54" i="36"/>
  <c r="S54" i="36"/>
  <c r="BA53" i="36"/>
  <c r="AZ53" i="36"/>
  <c r="AY53" i="36"/>
  <c r="AW53" i="36"/>
  <c r="AV53" i="36"/>
  <c r="AU53" i="36"/>
  <c r="AT53" i="36"/>
  <c r="AS53" i="36"/>
  <c r="AR53" i="36"/>
  <c r="AQ53" i="36"/>
  <c r="AL53" i="36"/>
  <c r="AK53" i="36"/>
  <c r="AJ53" i="36"/>
  <c r="AI53" i="36"/>
  <c r="AH53" i="36"/>
  <c r="AG53" i="36"/>
  <c r="AF53" i="36"/>
  <c r="AE53" i="36"/>
  <c r="AD53" i="36"/>
  <c r="AC53" i="36"/>
  <c r="AB53" i="36"/>
  <c r="AA53" i="36"/>
  <c r="Z53" i="36"/>
  <c r="Y53" i="36"/>
  <c r="X53" i="36"/>
  <c r="W53" i="36"/>
  <c r="V53" i="36"/>
  <c r="U53" i="36"/>
  <c r="T53" i="36"/>
  <c r="S53" i="36"/>
  <c r="BA52" i="36"/>
  <c r="AZ52" i="36"/>
  <c r="AY52" i="36"/>
  <c r="AW52" i="36"/>
  <c r="AV52" i="36"/>
  <c r="AU52" i="36"/>
  <c r="AT52" i="36"/>
  <c r="AS52" i="36"/>
  <c r="AR52" i="36"/>
  <c r="AQ52" i="36"/>
  <c r="AL52" i="36"/>
  <c r="AK52" i="36"/>
  <c r="AJ52" i="36"/>
  <c r="AI52" i="36"/>
  <c r="AH52" i="36"/>
  <c r="AG52" i="36"/>
  <c r="AF52" i="36"/>
  <c r="AE52" i="36"/>
  <c r="AD52" i="36"/>
  <c r="AC52" i="36"/>
  <c r="AB52" i="36"/>
  <c r="AA52" i="36"/>
  <c r="Z52" i="36"/>
  <c r="Y52" i="36"/>
  <c r="X52" i="36"/>
  <c r="W52" i="36"/>
  <c r="V52" i="36"/>
  <c r="U52" i="36"/>
  <c r="T52" i="36"/>
  <c r="S52" i="36"/>
  <c r="BA51" i="36"/>
  <c r="AZ51" i="36"/>
  <c r="AY51" i="36"/>
  <c r="BB51" i="36" s="1"/>
  <c r="AW51" i="36"/>
  <c r="AV51" i="36"/>
  <c r="AU51" i="36"/>
  <c r="O51" i="36"/>
  <c r="M51" i="36"/>
  <c r="L51" i="36"/>
  <c r="K51" i="36"/>
  <c r="I51" i="36"/>
  <c r="J51" i="36" s="1"/>
  <c r="H51" i="36"/>
  <c r="G51" i="36"/>
  <c r="E51" i="36"/>
  <c r="D51" i="36"/>
  <c r="C51" i="36"/>
  <c r="CK50" i="36"/>
  <c r="CJ50" i="36"/>
  <c r="CI50" i="36"/>
  <c r="CG50" i="36"/>
  <c r="CF50" i="36"/>
  <c r="CE50" i="36"/>
  <c r="CC50" i="36"/>
  <c r="CB50" i="36"/>
  <c r="CA50" i="36"/>
  <c r="BY50" i="36"/>
  <c r="BX50" i="36"/>
  <c r="BW50" i="36"/>
  <c r="BU50" i="36"/>
  <c r="BT50" i="36"/>
  <c r="BS50" i="36"/>
  <c r="BQ50" i="36"/>
  <c r="BP50" i="36"/>
  <c r="BO50" i="36"/>
  <c r="BM50" i="36"/>
  <c r="BL50" i="36"/>
  <c r="BK50" i="36"/>
  <c r="BI50" i="36"/>
  <c r="BH50" i="36"/>
  <c r="BG50" i="36"/>
  <c r="BE50" i="36"/>
  <c r="BD50" i="36"/>
  <c r="BC50" i="36"/>
  <c r="BB50" i="36"/>
  <c r="AX50" i="36"/>
  <c r="R50" i="36"/>
  <c r="N50" i="36"/>
  <c r="J50" i="36"/>
  <c r="F50" i="36"/>
  <c r="CK49" i="36"/>
  <c r="CJ49" i="36"/>
  <c r="CI49" i="36"/>
  <c r="CG49" i="36"/>
  <c r="CF49" i="36"/>
  <c r="CE49" i="36"/>
  <c r="CC49" i="36"/>
  <c r="CB49" i="36"/>
  <c r="CA49" i="36"/>
  <c r="BY49" i="36"/>
  <c r="BX49" i="36"/>
  <c r="BW49" i="36"/>
  <c r="BU49" i="36"/>
  <c r="BT49" i="36"/>
  <c r="BS49" i="36"/>
  <c r="BQ49" i="36"/>
  <c r="BP49" i="36"/>
  <c r="BO49" i="36"/>
  <c r="BM49" i="36"/>
  <c r="BL49" i="36"/>
  <c r="BK49" i="36"/>
  <c r="BI49" i="36"/>
  <c r="BH49" i="36"/>
  <c r="BG49" i="36"/>
  <c r="BE49" i="36"/>
  <c r="BD49" i="36"/>
  <c r="BC49" i="36"/>
  <c r="BB49" i="36"/>
  <c r="AX49" i="36"/>
  <c r="Q49" i="36"/>
  <c r="P49" i="36"/>
  <c r="P51" i="36" s="1"/>
  <c r="N49" i="36"/>
  <c r="J49" i="36"/>
  <c r="F49" i="36"/>
  <c r="BA47" i="36"/>
  <c r="AZ47" i="36"/>
  <c r="AY47" i="36"/>
  <c r="AW47" i="36"/>
  <c r="AV47" i="36"/>
  <c r="AU47" i="36"/>
  <c r="CK46" i="36"/>
  <c r="CJ46" i="36"/>
  <c r="CI46" i="36"/>
  <c r="CG46" i="36"/>
  <c r="CF46" i="36"/>
  <c r="CE46" i="36"/>
  <c r="CC46" i="36"/>
  <c r="CB46" i="36"/>
  <c r="CA46" i="36"/>
  <c r="BY46" i="36"/>
  <c r="BX46" i="36"/>
  <c r="BW46" i="36"/>
  <c r="BU46" i="36"/>
  <c r="BT46" i="36"/>
  <c r="BS46" i="36"/>
  <c r="BQ46" i="36"/>
  <c r="BP46" i="36"/>
  <c r="BO46" i="36"/>
  <c r="BM46" i="36"/>
  <c r="BL46" i="36"/>
  <c r="BK46" i="36"/>
  <c r="BI46" i="36"/>
  <c r="BH46" i="36"/>
  <c r="BG46" i="36"/>
  <c r="BE46" i="36"/>
  <c r="BD46" i="36"/>
  <c r="BC46" i="36"/>
  <c r="BB46" i="36"/>
  <c r="AX46" i="36"/>
  <c r="Q46" i="36"/>
  <c r="P46" i="36"/>
  <c r="O46" i="36"/>
  <c r="M46" i="36"/>
  <c r="L46" i="36"/>
  <c r="K46" i="36"/>
  <c r="I46" i="36"/>
  <c r="H46" i="36"/>
  <c r="G46" i="36"/>
  <c r="E46" i="36"/>
  <c r="D46" i="36"/>
  <c r="C46" i="36"/>
  <c r="CK45" i="36"/>
  <c r="CJ45" i="36"/>
  <c r="CI45" i="36"/>
  <c r="CG45" i="36"/>
  <c r="CF45" i="36"/>
  <c r="CE45" i="36"/>
  <c r="CC45" i="36"/>
  <c r="CB45" i="36"/>
  <c r="CA45" i="36"/>
  <c r="BY45" i="36"/>
  <c r="BX45" i="36"/>
  <c r="BW45" i="36"/>
  <c r="BU45" i="36"/>
  <c r="BT45" i="36"/>
  <c r="BS45" i="36"/>
  <c r="BQ45" i="36"/>
  <c r="BP45" i="36"/>
  <c r="BO45" i="36"/>
  <c r="BM45" i="36"/>
  <c r="BL45" i="36"/>
  <c r="BK45" i="36"/>
  <c r="BI45" i="36"/>
  <c r="BH45" i="36"/>
  <c r="BG45" i="36"/>
  <c r="BE45" i="36"/>
  <c r="BD45" i="36"/>
  <c r="BC45" i="36"/>
  <c r="BB45" i="36"/>
  <c r="AX45" i="36"/>
  <c r="Q45" i="36"/>
  <c r="P45" i="36"/>
  <c r="O45" i="36"/>
  <c r="M45" i="36"/>
  <c r="L45" i="36"/>
  <c r="K45" i="36"/>
  <c r="I45" i="36"/>
  <c r="H45" i="36"/>
  <c r="G45" i="36"/>
  <c r="E45" i="36"/>
  <c r="D45" i="36"/>
  <c r="C45" i="36"/>
  <c r="CK44" i="36"/>
  <c r="CJ44" i="36"/>
  <c r="CI44" i="36"/>
  <c r="CG44" i="36"/>
  <c r="CF44" i="36"/>
  <c r="CE44" i="36"/>
  <c r="CC44" i="36"/>
  <c r="CB44" i="36"/>
  <c r="CA44" i="36"/>
  <c r="BY44" i="36"/>
  <c r="BX44" i="36"/>
  <c r="BW44" i="36"/>
  <c r="BU44" i="36"/>
  <c r="BT44" i="36"/>
  <c r="BS44" i="36"/>
  <c r="BQ44" i="36"/>
  <c r="BP44" i="36"/>
  <c r="BO44" i="36"/>
  <c r="BM44" i="36"/>
  <c r="BL44" i="36"/>
  <c r="BK44" i="36"/>
  <c r="BI44" i="36"/>
  <c r="BH44" i="36"/>
  <c r="BG44" i="36"/>
  <c r="BE44" i="36"/>
  <c r="BD44" i="36"/>
  <c r="BC44" i="36"/>
  <c r="BB44" i="36"/>
  <c r="AX44" i="36"/>
  <c r="Q44" i="36"/>
  <c r="P44" i="36"/>
  <c r="O44" i="36"/>
  <c r="M44" i="36"/>
  <c r="L44" i="36"/>
  <c r="K44" i="36"/>
  <c r="I44" i="36"/>
  <c r="H44" i="36"/>
  <c r="G44" i="36"/>
  <c r="E44" i="36"/>
  <c r="D44" i="36"/>
  <c r="C44" i="36"/>
  <c r="BA43" i="36"/>
  <c r="AZ43" i="36"/>
  <c r="AY43" i="36"/>
  <c r="AW43" i="36"/>
  <c r="AV43" i="36"/>
  <c r="AU43" i="36"/>
  <c r="AX43" i="36" s="1"/>
  <c r="CK42" i="36"/>
  <c r="CJ42" i="36"/>
  <c r="CI42" i="36"/>
  <c r="CG42" i="36"/>
  <c r="CF42" i="36"/>
  <c r="CE42" i="36"/>
  <c r="CC42" i="36"/>
  <c r="CB42" i="36"/>
  <c r="CA42" i="36"/>
  <c r="BY42" i="36"/>
  <c r="BX42" i="36"/>
  <c r="BW42" i="36"/>
  <c r="BU42" i="36"/>
  <c r="BT42" i="36"/>
  <c r="BS42" i="36"/>
  <c r="BQ42" i="36"/>
  <c r="BP42" i="36"/>
  <c r="BO42" i="36"/>
  <c r="BM42" i="36"/>
  <c r="BL42" i="36"/>
  <c r="BK42" i="36"/>
  <c r="BI42" i="36"/>
  <c r="BH42" i="36"/>
  <c r="BG42" i="36"/>
  <c r="BE42" i="36"/>
  <c r="BD42" i="36"/>
  <c r="BC42" i="36"/>
  <c r="BB42" i="36"/>
  <c r="AX42" i="36"/>
  <c r="Q42" i="36"/>
  <c r="P42" i="36"/>
  <c r="O42" i="36"/>
  <c r="M42" i="36"/>
  <c r="L42" i="36"/>
  <c r="K42" i="36"/>
  <c r="I42" i="36"/>
  <c r="H42" i="36"/>
  <c r="G42" i="36"/>
  <c r="E42" i="36"/>
  <c r="D42" i="36"/>
  <c r="C42" i="36"/>
  <c r="CK41" i="36"/>
  <c r="CJ41" i="36"/>
  <c r="CI41" i="36"/>
  <c r="CG41" i="36"/>
  <c r="CF41" i="36"/>
  <c r="CE41" i="36"/>
  <c r="CC41" i="36"/>
  <c r="CB41" i="36"/>
  <c r="CA41" i="36"/>
  <c r="BY41" i="36"/>
  <c r="BX41" i="36"/>
  <c r="BW41" i="36"/>
  <c r="BU41" i="36"/>
  <c r="BT41" i="36"/>
  <c r="BS41" i="36"/>
  <c r="BQ41" i="36"/>
  <c r="BP41" i="36"/>
  <c r="BO41" i="36"/>
  <c r="BM41" i="36"/>
  <c r="BL41" i="36"/>
  <c r="BK41" i="36"/>
  <c r="BI41" i="36"/>
  <c r="BH41" i="36"/>
  <c r="BG41" i="36"/>
  <c r="BE41" i="36"/>
  <c r="BD41" i="36"/>
  <c r="BC41" i="36"/>
  <c r="BB41" i="36"/>
  <c r="AX41" i="36"/>
  <c r="Q41" i="36"/>
  <c r="P41" i="36"/>
  <c r="O41" i="36"/>
  <c r="M41" i="36"/>
  <c r="L41" i="36"/>
  <c r="K41" i="36"/>
  <c r="I41" i="36"/>
  <c r="H41" i="36"/>
  <c r="G41" i="36"/>
  <c r="E41" i="36"/>
  <c r="D41" i="36"/>
  <c r="C41" i="36"/>
  <c r="CK40" i="36"/>
  <c r="CJ40" i="36"/>
  <c r="CI40" i="36"/>
  <c r="CG40" i="36"/>
  <c r="CF40" i="36"/>
  <c r="CE40" i="36"/>
  <c r="CC40" i="36"/>
  <c r="CB40" i="36"/>
  <c r="CA40" i="36"/>
  <c r="BY40" i="36"/>
  <c r="BX40" i="36"/>
  <c r="BW40" i="36"/>
  <c r="BU40" i="36"/>
  <c r="BT40" i="36"/>
  <c r="BS40" i="36"/>
  <c r="BQ40" i="36"/>
  <c r="BP40" i="36"/>
  <c r="BO40" i="36"/>
  <c r="BM40" i="36"/>
  <c r="BL40" i="36"/>
  <c r="BK40" i="36"/>
  <c r="BI40" i="36"/>
  <c r="BH40" i="36"/>
  <c r="BG40" i="36"/>
  <c r="BE40" i="36"/>
  <c r="BD40" i="36"/>
  <c r="BC40" i="36"/>
  <c r="BB40" i="36"/>
  <c r="AX40" i="36"/>
  <c r="Q40" i="36"/>
  <c r="P40" i="36"/>
  <c r="O40" i="36"/>
  <c r="M40" i="36"/>
  <c r="L40" i="36"/>
  <c r="K40" i="36"/>
  <c r="I40" i="36"/>
  <c r="H40" i="36"/>
  <c r="G40" i="36"/>
  <c r="E40" i="36"/>
  <c r="D40" i="36"/>
  <c r="C40" i="36"/>
  <c r="BA37" i="36"/>
  <c r="AZ37" i="36"/>
  <c r="AY37" i="36"/>
  <c r="AW37" i="36"/>
  <c r="AV37" i="36"/>
  <c r="AU37" i="36"/>
  <c r="AT37" i="36"/>
  <c r="AS37" i="36"/>
  <c r="AR37" i="36"/>
  <c r="AQ37" i="36"/>
  <c r="AL37" i="36"/>
  <c r="AK37" i="36"/>
  <c r="AJ37" i="36"/>
  <c r="AI37" i="36"/>
  <c r="AH37" i="36"/>
  <c r="AG37" i="36"/>
  <c r="AF37" i="36"/>
  <c r="AE37" i="36"/>
  <c r="AD37" i="36"/>
  <c r="AC37" i="36"/>
  <c r="AB37" i="36"/>
  <c r="AA37" i="36"/>
  <c r="Z37" i="36"/>
  <c r="Y37" i="36"/>
  <c r="X37" i="36"/>
  <c r="W37" i="36"/>
  <c r="V37" i="36"/>
  <c r="U37" i="36"/>
  <c r="T37" i="36"/>
  <c r="S37" i="36"/>
  <c r="BA36" i="36"/>
  <c r="AZ36" i="36"/>
  <c r="AY36" i="36"/>
  <c r="AW36" i="36"/>
  <c r="AV36" i="36"/>
  <c r="AU36" i="36"/>
  <c r="AT36" i="36"/>
  <c r="AS36" i="36"/>
  <c r="AR36" i="36"/>
  <c r="AQ36" i="36"/>
  <c r="AL36" i="36"/>
  <c r="AK36" i="36"/>
  <c r="AJ36" i="36"/>
  <c r="AI36" i="36"/>
  <c r="AH36" i="36"/>
  <c r="AG36" i="36"/>
  <c r="AF36" i="36"/>
  <c r="AE36" i="36"/>
  <c r="AD36" i="36"/>
  <c r="AC36" i="36"/>
  <c r="AB36" i="36"/>
  <c r="AA36" i="36"/>
  <c r="Z36" i="36"/>
  <c r="Y36" i="36"/>
  <c r="X36" i="36"/>
  <c r="W36" i="36"/>
  <c r="V36" i="36"/>
  <c r="U36" i="36"/>
  <c r="T36" i="36"/>
  <c r="S36" i="36"/>
  <c r="BA35" i="36"/>
  <c r="AZ35" i="36"/>
  <c r="AY35" i="36"/>
  <c r="AW35" i="36"/>
  <c r="AV35" i="36"/>
  <c r="AU35" i="36"/>
  <c r="AT35" i="36"/>
  <c r="AS35" i="36"/>
  <c r="AR35" i="36"/>
  <c r="AQ35" i="36"/>
  <c r="AL35" i="36"/>
  <c r="AK35" i="36"/>
  <c r="AJ35" i="36"/>
  <c r="AI35" i="36"/>
  <c r="AH35" i="36"/>
  <c r="AG35" i="36"/>
  <c r="AF35" i="36"/>
  <c r="AE35" i="36"/>
  <c r="AD35" i="36"/>
  <c r="AC35" i="36"/>
  <c r="AB35" i="36"/>
  <c r="AA35" i="36"/>
  <c r="Z35" i="36"/>
  <c r="Y35" i="36"/>
  <c r="X35" i="36"/>
  <c r="W35" i="36"/>
  <c r="V35" i="36"/>
  <c r="U35" i="36"/>
  <c r="T35" i="36"/>
  <c r="S35" i="36"/>
  <c r="BA34" i="36"/>
  <c r="AZ34" i="36"/>
  <c r="AY34" i="36"/>
  <c r="AW34" i="36"/>
  <c r="AV34" i="36"/>
  <c r="AU34" i="36"/>
  <c r="CK33" i="36"/>
  <c r="CJ33" i="36"/>
  <c r="CI33" i="36"/>
  <c r="CG33" i="36"/>
  <c r="CF33" i="36"/>
  <c r="CE33" i="36"/>
  <c r="CC33" i="36"/>
  <c r="CB33" i="36"/>
  <c r="CA33" i="36"/>
  <c r="BY33" i="36"/>
  <c r="BX33" i="36"/>
  <c r="BW33" i="36"/>
  <c r="BU33" i="36"/>
  <c r="BT33" i="36"/>
  <c r="BS33" i="36"/>
  <c r="BQ33" i="36"/>
  <c r="BP33" i="36"/>
  <c r="BO33" i="36"/>
  <c r="BM33" i="36"/>
  <c r="BL33" i="36"/>
  <c r="BK33" i="36"/>
  <c r="BI33" i="36"/>
  <c r="BH33" i="36"/>
  <c r="BG33" i="36"/>
  <c r="BE33" i="36"/>
  <c r="BD33" i="36"/>
  <c r="BC33" i="36"/>
  <c r="BB33" i="36"/>
  <c r="AX33" i="36"/>
  <c r="Q33" i="36"/>
  <c r="P33" i="36"/>
  <c r="O33" i="36"/>
  <c r="M33" i="36"/>
  <c r="L33" i="36"/>
  <c r="K33" i="36"/>
  <c r="I33" i="36"/>
  <c r="H33" i="36"/>
  <c r="G33" i="36"/>
  <c r="E33" i="36"/>
  <c r="D33" i="36"/>
  <c r="C33" i="36"/>
  <c r="CK32" i="36"/>
  <c r="CJ32" i="36"/>
  <c r="CI32" i="36"/>
  <c r="CG32" i="36"/>
  <c r="CF32" i="36"/>
  <c r="CE32" i="36"/>
  <c r="CC32" i="36"/>
  <c r="CB32" i="36"/>
  <c r="CA32" i="36"/>
  <c r="BY32" i="36"/>
  <c r="BX32" i="36"/>
  <c r="BW32" i="36"/>
  <c r="BU32" i="36"/>
  <c r="BT32" i="36"/>
  <c r="BS32" i="36"/>
  <c r="BQ32" i="36"/>
  <c r="BP32" i="36"/>
  <c r="BO32" i="36"/>
  <c r="BM32" i="36"/>
  <c r="BL32" i="36"/>
  <c r="BK32" i="36"/>
  <c r="BI32" i="36"/>
  <c r="BH32" i="36"/>
  <c r="BG32" i="36"/>
  <c r="BE32" i="36"/>
  <c r="BD32" i="36"/>
  <c r="BC32" i="36"/>
  <c r="BB32" i="36"/>
  <c r="AX32" i="36"/>
  <c r="Q32" i="36"/>
  <c r="P32" i="36"/>
  <c r="O32" i="36"/>
  <c r="M32" i="36"/>
  <c r="L32" i="36"/>
  <c r="K32" i="36"/>
  <c r="I32" i="36"/>
  <c r="H32" i="36"/>
  <c r="G32" i="36"/>
  <c r="E32" i="36"/>
  <c r="D32" i="36"/>
  <c r="C32" i="36"/>
  <c r="CK31" i="36"/>
  <c r="CJ31" i="36"/>
  <c r="CI31" i="36"/>
  <c r="CG31" i="36"/>
  <c r="CF31" i="36"/>
  <c r="CE31" i="36"/>
  <c r="CC31" i="36"/>
  <c r="CB31" i="36"/>
  <c r="CA31" i="36"/>
  <c r="BY31" i="36"/>
  <c r="BX31" i="36"/>
  <c r="BW31" i="36"/>
  <c r="BU31" i="36"/>
  <c r="BT31" i="36"/>
  <c r="BS31" i="36"/>
  <c r="BQ31" i="36"/>
  <c r="BP31" i="36"/>
  <c r="BO31" i="36"/>
  <c r="BM31" i="36"/>
  <c r="BL31" i="36"/>
  <c r="BK31" i="36"/>
  <c r="BI31" i="36"/>
  <c r="BH31" i="36"/>
  <c r="BG31" i="36"/>
  <c r="BE31" i="36"/>
  <c r="BD31" i="36"/>
  <c r="BC31" i="36"/>
  <c r="BB31" i="36"/>
  <c r="AX31" i="36"/>
  <c r="Q31" i="36"/>
  <c r="P31" i="36"/>
  <c r="O31" i="36"/>
  <c r="M31" i="36"/>
  <c r="L31" i="36"/>
  <c r="K31" i="36"/>
  <c r="I31" i="36"/>
  <c r="H31" i="36"/>
  <c r="G31" i="36"/>
  <c r="E31" i="36"/>
  <c r="D31" i="36"/>
  <c r="C31" i="36"/>
  <c r="BA30" i="36"/>
  <c r="AZ30" i="36"/>
  <c r="AY30" i="36"/>
  <c r="BB30" i="36" s="1"/>
  <c r="AW30" i="36"/>
  <c r="AV30" i="36"/>
  <c r="AU30" i="36"/>
  <c r="CK29" i="36"/>
  <c r="CJ29" i="36"/>
  <c r="CI29" i="36"/>
  <c r="CG29" i="36"/>
  <c r="CF29" i="36"/>
  <c r="CE29" i="36"/>
  <c r="CC29" i="36"/>
  <c r="CB29" i="36"/>
  <c r="CA29" i="36"/>
  <c r="BY29" i="36"/>
  <c r="BX29" i="36"/>
  <c r="BW29" i="36"/>
  <c r="BU29" i="36"/>
  <c r="BT29" i="36"/>
  <c r="BS29" i="36"/>
  <c r="BQ29" i="36"/>
  <c r="BP29" i="36"/>
  <c r="BO29" i="36"/>
  <c r="BM29" i="36"/>
  <c r="BL29" i="36"/>
  <c r="BK29" i="36"/>
  <c r="BI29" i="36"/>
  <c r="BH29" i="36"/>
  <c r="BG29" i="36"/>
  <c r="BE29" i="36"/>
  <c r="BD29" i="36"/>
  <c r="BC29" i="36"/>
  <c r="BB29" i="36"/>
  <c r="AX29" i="36"/>
  <c r="Q29" i="36"/>
  <c r="P29" i="36"/>
  <c r="O29" i="36"/>
  <c r="M29" i="36"/>
  <c r="L29" i="36"/>
  <c r="K29" i="36"/>
  <c r="I29" i="36"/>
  <c r="H29" i="36"/>
  <c r="G29" i="36"/>
  <c r="E29" i="36"/>
  <c r="D29" i="36"/>
  <c r="C29" i="36"/>
  <c r="CK28" i="36"/>
  <c r="CJ28" i="36"/>
  <c r="CI28" i="36"/>
  <c r="CG28" i="36"/>
  <c r="CF28" i="36"/>
  <c r="CE28" i="36"/>
  <c r="CC28" i="36"/>
  <c r="CB28" i="36"/>
  <c r="CA28" i="36"/>
  <c r="BY28" i="36"/>
  <c r="BX28" i="36"/>
  <c r="BW28" i="36"/>
  <c r="BU28" i="36"/>
  <c r="BT28" i="36"/>
  <c r="BS28" i="36"/>
  <c r="BQ28" i="36"/>
  <c r="BP28" i="36"/>
  <c r="BO28" i="36"/>
  <c r="BM28" i="36"/>
  <c r="BL28" i="36"/>
  <c r="BK28" i="36"/>
  <c r="BI28" i="36"/>
  <c r="BH28" i="36"/>
  <c r="BG28" i="36"/>
  <c r="BE28" i="36"/>
  <c r="BD28" i="36"/>
  <c r="BC28" i="36"/>
  <c r="BB28" i="36"/>
  <c r="AX28" i="36"/>
  <c r="Q28" i="36"/>
  <c r="P28" i="36"/>
  <c r="O28" i="36"/>
  <c r="M28" i="36"/>
  <c r="L28" i="36"/>
  <c r="K28" i="36"/>
  <c r="I28" i="36"/>
  <c r="H28" i="36"/>
  <c r="G28" i="36"/>
  <c r="E28" i="36"/>
  <c r="D28" i="36"/>
  <c r="C28" i="36"/>
  <c r="CK27" i="36"/>
  <c r="CJ27" i="36"/>
  <c r="CI27" i="36"/>
  <c r="CG27" i="36"/>
  <c r="CF27" i="36"/>
  <c r="CE27" i="36"/>
  <c r="CC27" i="36"/>
  <c r="CB27" i="36"/>
  <c r="CA27" i="36"/>
  <c r="BY27" i="36"/>
  <c r="BX27" i="36"/>
  <c r="BW27" i="36"/>
  <c r="BU27" i="36"/>
  <c r="BT27" i="36"/>
  <c r="BS27" i="36"/>
  <c r="BQ27" i="36"/>
  <c r="BP27" i="36"/>
  <c r="BO27" i="36"/>
  <c r="BM27" i="36"/>
  <c r="BL27" i="36"/>
  <c r="BK27" i="36"/>
  <c r="BI27" i="36"/>
  <c r="BH27" i="36"/>
  <c r="BG27" i="36"/>
  <c r="BE27" i="36"/>
  <c r="BD27" i="36"/>
  <c r="BC27" i="36"/>
  <c r="BB27" i="36"/>
  <c r="AX27" i="36"/>
  <c r="Q27" i="36"/>
  <c r="P27" i="36"/>
  <c r="O27" i="36"/>
  <c r="M27" i="36"/>
  <c r="L27" i="36"/>
  <c r="K27" i="36"/>
  <c r="I27" i="36"/>
  <c r="H27" i="36"/>
  <c r="G27" i="36"/>
  <c r="E27" i="36"/>
  <c r="D27" i="36"/>
  <c r="C27" i="36"/>
  <c r="BA26" i="36"/>
  <c r="AZ26" i="36"/>
  <c r="AY26" i="36"/>
  <c r="AW26" i="36"/>
  <c r="AV26" i="36"/>
  <c r="AU26" i="36"/>
  <c r="CK25" i="36"/>
  <c r="CJ25" i="36"/>
  <c r="CI25" i="36"/>
  <c r="CG25" i="36"/>
  <c r="CF25" i="36"/>
  <c r="CE25" i="36"/>
  <c r="CC25" i="36"/>
  <c r="CB25" i="36"/>
  <c r="CA25" i="36"/>
  <c r="BY25" i="36"/>
  <c r="BX25" i="36"/>
  <c r="BW25" i="36"/>
  <c r="BU25" i="36"/>
  <c r="BT25" i="36"/>
  <c r="BS25" i="36"/>
  <c r="BQ25" i="36"/>
  <c r="BP25" i="36"/>
  <c r="BO25" i="36"/>
  <c r="BM25" i="36"/>
  <c r="BL25" i="36"/>
  <c r="BK25" i="36"/>
  <c r="BI25" i="36"/>
  <c r="BH25" i="36"/>
  <c r="BG25" i="36"/>
  <c r="BE25" i="36"/>
  <c r="BD25" i="36"/>
  <c r="BC25" i="36"/>
  <c r="BB25" i="36"/>
  <c r="AX25" i="36"/>
  <c r="Q25" i="36"/>
  <c r="P25" i="36"/>
  <c r="O25" i="36"/>
  <c r="M25" i="36"/>
  <c r="L25" i="36"/>
  <c r="K25" i="36"/>
  <c r="I25" i="36"/>
  <c r="H25" i="36"/>
  <c r="G25" i="36"/>
  <c r="E25" i="36"/>
  <c r="D25" i="36"/>
  <c r="C25" i="36"/>
  <c r="CK24" i="36"/>
  <c r="CJ24" i="36"/>
  <c r="CI24" i="36"/>
  <c r="CG24" i="36"/>
  <c r="CF24" i="36"/>
  <c r="CE24" i="36"/>
  <c r="CC24" i="36"/>
  <c r="CB24" i="36"/>
  <c r="CA24" i="36"/>
  <c r="BY24" i="36"/>
  <c r="BX24" i="36"/>
  <c r="BW24" i="36"/>
  <c r="BU24" i="36"/>
  <c r="BT24" i="36"/>
  <c r="BS24" i="36"/>
  <c r="BQ24" i="36"/>
  <c r="BP24" i="36"/>
  <c r="BO24" i="36"/>
  <c r="BM24" i="36"/>
  <c r="BL24" i="36"/>
  <c r="BK24" i="36"/>
  <c r="BI24" i="36"/>
  <c r="BH24" i="36"/>
  <c r="BG24" i="36"/>
  <c r="BE24" i="36"/>
  <c r="BD24" i="36"/>
  <c r="BC24" i="36"/>
  <c r="BB24" i="36"/>
  <c r="AX24" i="36"/>
  <c r="Q24" i="36"/>
  <c r="P24" i="36"/>
  <c r="O24" i="36"/>
  <c r="M24" i="36"/>
  <c r="L24" i="36"/>
  <c r="K24" i="36"/>
  <c r="I24" i="36"/>
  <c r="H24" i="36"/>
  <c r="G24" i="36"/>
  <c r="E24" i="36"/>
  <c r="D24" i="36"/>
  <c r="C24" i="36"/>
  <c r="CK23" i="36"/>
  <c r="CI23" i="36"/>
  <c r="CG23" i="36"/>
  <c r="CE23" i="36"/>
  <c r="BA20" i="36"/>
  <c r="AZ20" i="36"/>
  <c r="AZ83" i="36" s="1"/>
  <c r="AY20" i="36"/>
  <c r="AY83" i="36" s="1"/>
  <c r="AW20" i="36"/>
  <c r="AV20" i="36"/>
  <c r="AU20" i="36"/>
  <c r="AT20" i="36"/>
  <c r="AT83" i="36" s="1"/>
  <c r="AS20" i="36"/>
  <c r="AR20" i="36"/>
  <c r="AQ20" i="36"/>
  <c r="AQ83" i="36" s="1"/>
  <c r="AL20" i="36"/>
  <c r="AL83" i="36" s="1"/>
  <c r="AK20" i="36"/>
  <c r="AJ20" i="36"/>
  <c r="AI20" i="36"/>
  <c r="AH20" i="36"/>
  <c r="AG20" i="36"/>
  <c r="AF20" i="36"/>
  <c r="AE20" i="36"/>
  <c r="AE83" i="36" s="1"/>
  <c r="AD20" i="36"/>
  <c r="AD83" i="36" s="1"/>
  <c r="AC20" i="36"/>
  <c r="AB20" i="36"/>
  <c r="AA20" i="36"/>
  <c r="Z20" i="36"/>
  <c r="Y20" i="36"/>
  <c r="X20" i="36"/>
  <c r="W20" i="36"/>
  <c r="W83" i="36" s="1"/>
  <c r="V20" i="36"/>
  <c r="U20" i="36"/>
  <c r="T20" i="36"/>
  <c r="S20" i="36"/>
  <c r="BA19" i="36"/>
  <c r="AZ19" i="36"/>
  <c r="AY19" i="36"/>
  <c r="AW19" i="36"/>
  <c r="AW82" i="36" s="1"/>
  <c r="AV19" i="36"/>
  <c r="AU19" i="36"/>
  <c r="AT19" i="36"/>
  <c r="AS19" i="36"/>
  <c r="AR19" i="36"/>
  <c r="AR82" i="36" s="1"/>
  <c r="AQ19" i="36"/>
  <c r="AL19" i="36"/>
  <c r="AK19" i="36"/>
  <c r="AK82" i="36" s="1"/>
  <c r="AJ19" i="36"/>
  <c r="AI19" i="36"/>
  <c r="AH19" i="36"/>
  <c r="AG19" i="36"/>
  <c r="AF19" i="36"/>
  <c r="AF82" i="36" s="1"/>
  <c r="AE19" i="36"/>
  <c r="AD19" i="36"/>
  <c r="AC19" i="36"/>
  <c r="AC82" i="36" s="1"/>
  <c r="AB19" i="36"/>
  <c r="AA19" i="36"/>
  <c r="Z19" i="36"/>
  <c r="Y19" i="36"/>
  <c r="X19" i="36"/>
  <c r="X82" i="36" s="1"/>
  <c r="W19" i="36"/>
  <c r="V19" i="36"/>
  <c r="U19" i="36"/>
  <c r="T19" i="36"/>
  <c r="S19" i="36"/>
  <c r="BA18" i="36"/>
  <c r="AZ18" i="36"/>
  <c r="AY18" i="36"/>
  <c r="AY81" i="36" s="1"/>
  <c r="AW18" i="36"/>
  <c r="AV18" i="36"/>
  <c r="AU18" i="36"/>
  <c r="AU81" i="36" s="1"/>
  <c r="AT18" i="36"/>
  <c r="AS18" i="36"/>
  <c r="AR18" i="36"/>
  <c r="AQ18" i="36"/>
  <c r="AL18" i="36"/>
  <c r="AL81" i="36" s="1"/>
  <c r="AK18" i="36"/>
  <c r="AJ18" i="36"/>
  <c r="AI18" i="36"/>
  <c r="AH18" i="36"/>
  <c r="AG18" i="36"/>
  <c r="AF18" i="36"/>
  <c r="AE18" i="36"/>
  <c r="AE81" i="36" s="1"/>
  <c r="AD18" i="36"/>
  <c r="AC18" i="36"/>
  <c r="AB18" i="36"/>
  <c r="AA18" i="36"/>
  <c r="Z18" i="36"/>
  <c r="Z81" i="36" s="1"/>
  <c r="Y18" i="36"/>
  <c r="X18" i="36"/>
  <c r="W18" i="36"/>
  <c r="V18" i="36"/>
  <c r="U18" i="36"/>
  <c r="T18" i="36"/>
  <c r="S18" i="36"/>
  <c r="BA17" i="36"/>
  <c r="AZ17" i="36"/>
  <c r="AY17" i="36"/>
  <c r="BB17" i="36" s="1"/>
  <c r="AW17" i="36"/>
  <c r="AV17" i="36"/>
  <c r="AU17" i="36"/>
  <c r="AT17" i="36"/>
  <c r="AS17" i="36"/>
  <c r="AR17" i="36"/>
  <c r="AQ17" i="36"/>
  <c r="CK16" i="36"/>
  <c r="CJ16" i="36"/>
  <c r="CI16" i="36"/>
  <c r="CG16" i="36"/>
  <c r="CF16" i="36"/>
  <c r="CE16" i="36"/>
  <c r="CC16" i="36"/>
  <c r="CB16" i="36"/>
  <c r="CA16" i="36"/>
  <c r="BY16" i="36"/>
  <c r="BX16" i="36"/>
  <c r="BW16" i="36"/>
  <c r="BU16" i="36"/>
  <c r="BT16" i="36"/>
  <c r="BS16" i="36"/>
  <c r="BQ16" i="36"/>
  <c r="BP16" i="36"/>
  <c r="BO16" i="36"/>
  <c r="BM16" i="36"/>
  <c r="BL16" i="36"/>
  <c r="BK16" i="36"/>
  <c r="BI16" i="36"/>
  <c r="BH16" i="36"/>
  <c r="BG16" i="36"/>
  <c r="BE16" i="36"/>
  <c r="BD16" i="36"/>
  <c r="BC16" i="36"/>
  <c r="BB16" i="36"/>
  <c r="AX16" i="36"/>
  <c r="Q16" i="36"/>
  <c r="P16" i="36"/>
  <c r="O16" i="36"/>
  <c r="M16" i="36"/>
  <c r="L16" i="36"/>
  <c r="K16" i="36"/>
  <c r="I16" i="36"/>
  <c r="H16" i="36"/>
  <c r="G16" i="36"/>
  <c r="E16" i="36"/>
  <c r="D16" i="36"/>
  <c r="C16" i="36"/>
  <c r="CK15" i="36"/>
  <c r="CJ15" i="36"/>
  <c r="CI15" i="36"/>
  <c r="CG15" i="36"/>
  <c r="CF15" i="36"/>
  <c r="CE15" i="36"/>
  <c r="CC15" i="36"/>
  <c r="CB15" i="36"/>
  <c r="CA15" i="36"/>
  <c r="BY15" i="36"/>
  <c r="BX15" i="36"/>
  <c r="BW15" i="36"/>
  <c r="BU15" i="36"/>
  <c r="BT15" i="36"/>
  <c r="BS15" i="36"/>
  <c r="BQ15" i="36"/>
  <c r="BP15" i="36"/>
  <c r="BO15" i="36"/>
  <c r="BM15" i="36"/>
  <c r="BL15" i="36"/>
  <c r="BK15" i="36"/>
  <c r="BI15" i="36"/>
  <c r="BH15" i="36"/>
  <c r="BG15" i="36"/>
  <c r="BE15" i="36"/>
  <c r="BD15" i="36"/>
  <c r="BC15" i="36"/>
  <c r="BB15" i="36"/>
  <c r="AX15" i="36"/>
  <c r="Q15" i="36"/>
  <c r="P15" i="36"/>
  <c r="O15" i="36"/>
  <c r="M15" i="36"/>
  <c r="L15" i="36"/>
  <c r="K15" i="36"/>
  <c r="I15" i="36"/>
  <c r="H15" i="36"/>
  <c r="G15" i="36"/>
  <c r="E15" i="36"/>
  <c r="D15" i="36"/>
  <c r="C15" i="36"/>
  <c r="CK14" i="36"/>
  <c r="CJ14" i="36"/>
  <c r="CI14" i="36"/>
  <c r="CG14" i="36"/>
  <c r="CF14" i="36"/>
  <c r="CE14" i="36"/>
  <c r="CC14" i="36"/>
  <c r="CB14" i="36"/>
  <c r="CA14" i="36"/>
  <c r="BY14" i="36"/>
  <c r="BX14" i="36"/>
  <c r="BW14" i="36"/>
  <c r="BU14" i="36"/>
  <c r="BT14" i="36"/>
  <c r="BS14" i="36"/>
  <c r="BQ14" i="36"/>
  <c r="BP14" i="36"/>
  <c r="BO14" i="36"/>
  <c r="BM14" i="36"/>
  <c r="BL14" i="36"/>
  <c r="BK14" i="36"/>
  <c r="BI14" i="36"/>
  <c r="BH14" i="36"/>
  <c r="BG14" i="36"/>
  <c r="BE14" i="36"/>
  <c r="BD14" i="36"/>
  <c r="BC14" i="36"/>
  <c r="BB14" i="36"/>
  <c r="AX14" i="36"/>
  <c r="Q14" i="36"/>
  <c r="P14" i="36"/>
  <c r="O14" i="36"/>
  <c r="M14" i="36"/>
  <c r="L14" i="36"/>
  <c r="K14" i="36"/>
  <c r="I14" i="36"/>
  <c r="H14" i="36"/>
  <c r="G14" i="36"/>
  <c r="E14" i="36"/>
  <c r="D14" i="36"/>
  <c r="C14" i="36"/>
  <c r="BA13" i="36"/>
  <c r="AZ13" i="36"/>
  <c r="AY13" i="36"/>
  <c r="AW13" i="36"/>
  <c r="AV13" i="36"/>
  <c r="AU13" i="36"/>
  <c r="AX13" i="36" s="1"/>
  <c r="AT13" i="36"/>
  <c r="AS13" i="36"/>
  <c r="AR13" i="36"/>
  <c r="AQ13" i="36"/>
  <c r="CK12" i="36"/>
  <c r="CJ12" i="36"/>
  <c r="CI12" i="36"/>
  <c r="CG12" i="36"/>
  <c r="CF12" i="36"/>
  <c r="CE12" i="36"/>
  <c r="CC12" i="36"/>
  <c r="CB12" i="36"/>
  <c r="CA12" i="36"/>
  <c r="BY12" i="36"/>
  <c r="BX12" i="36"/>
  <c r="BW12" i="36"/>
  <c r="BU12" i="36"/>
  <c r="BT12" i="36"/>
  <c r="BS12" i="36"/>
  <c r="BQ12" i="36"/>
  <c r="BP12" i="36"/>
  <c r="BO12" i="36"/>
  <c r="BM12" i="36"/>
  <c r="BL12" i="36"/>
  <c r="BK12" i="36"/>
  <c r="BI12" i="36"/>
  <c r="BH12" i="36"/>
  <c r="BG12" i="36"/>
  <c r="BE12" i="36"/>
  <c r="BD12" i="36"/>
  <c r="BC12" i="36"/>
  <c r="BB12" i="36"/>
  <c r="AX12" i="36"/>
  <c r="Q12" i="36"/>
  <c r="P12" i="36"/>
  <c r="O12" i="36"/>
  <c r="M12" i="36"/>
  <c r="L12" i="36"/>
  <c r="K12" i="36"/>
  <c r="I12" i="36"/>
  <c r="H12" i="36"/>
  <c r="G12" i="36"/>
  <c r="E12" i="36"/>
  <c r="D12" i="36"/>
  <c r="C12" i="36"/>
  <c r="CK11" i="36"/>
  <c r="CJ11" i="36"/>
  <c r="CI11" i="36"/>
  <c r="CG11" i="36"/>
  <c r="CF11" i="36"/>
  <c r="CE11" i="36"/>
  <c r="CC11" i="36"/>
  <c r="CB11" i="36"/>
  <c r="CA11" i="36"/>
  <c r="BY11" i="36"/>
  <c r="BX11" i="36"/>
  <c r="BW11" i="36"/>
  <c r="BU11" i="36"/>
  <c r="BT11" i="36"/>
  <c r="BS11" i="36"/>
  <c r="BQ11" i="36"/>
  <c r="BP11" i="36"/>
  <c r="BO11" i="36"/>
  <c r="BM11" i="36"/>
  <c r="BL11" i="36"/>
  <c r="BK11" i="36"/>
  <c r="BI11" i="36"/>
  <c r="BH11" i="36"/>
  <c r="BG11" i="36"/>
  <c r="BE11" i="36"/>
  <c r="BD11" i="36"/>
  <c r="BC11" i="36"/>
  <c r="BB11" i="36"/>
  <c r="AX11" i="36"/>
  <c r="Q11" i="36"/>
  <c r="P11" i="36"/>
  <c r="O11" i="36"/>
  <c r="M11" i="36"/>
  <c r="L11" i="36"/>
  <c r="K11" i="36"/>
  <c r="I11" i="36"/>
  <c r="H11" i="36"/>
  <c r="G11" i="36"/>
  <c r="E11" i="36"/>
  <c r="D11" i="36"/>
  <c r="C11" i="36"/>
  <c r="CK10" i="36"/>
  <c r="CJ10" i="36"/>
  <c r="CI10" i="36"/>
  <c r="CG10" i="36"/>
  <c r="CF10" i="36"/>
  <c r="CE10" i="36"/>
  <c r="CC10" i="36"/>
  <c r="CB10" i="36"/>
  <c r="CA10" i="36"/>
  <c r="BY10" i="36"/>
  <c r="BX10" i="36"/>
  <c r="BW10" i="36"/>
  <c r="BU10" i="36"/>
  <c r="BT10" i="36"/>
  <c r="BS10" i="36"/>
  <c r="BQ10" i="36"/>
  <c r="BP10" i="36"/>
  <c r="BO10" i="36"/>
  <c r="BM10" i="36"/>
  <c r="BL10" i="36"/>
  <c r="BK10" i="36"/>
  <c r="BI10" i="36"/>
  <c r="BH10" i="36"/>
  <c r="BG10" i="36"/>
  <c r="BE10" i="36"/>
  <c r="BD10" i="36"/>
  <c r="BC10" i="36"/>
  <c r="BB10" i="36"/>
  <c r="AX10" i="36"/>
  <c r="Q10" i="36"/>
  <c r="P10" i="36"/>
  <c r="O10" i="36"/>
  <c r="M10" i="36"/>
  <c r="L10" i="36"/>
  <c r="K10" i="36"/>
  <c r="I10" i="36"/>
  <c r="H10" i="36"/>
  <c r="G10" i="36"/>
  <c r="E10" i="36"/>
  <c r="D10" i="36"/>
  <c r="C10" i="36"/>
  <c r="BA9" i="36"/>
  <c r="AZ9" i="36"/>
  <c r="BB9" i="36" s="1"/>
  <c r="AY9" i="36"/>
  <c r="AW9" i="36"/>
  <c r="AV9" i="36"/>
  <c r="AU9" i="36"/>
  <c r="AX9" i="36" s="1"/>
  <c r="AT9" i="36"/>
  <c r="AS9" i="36"/>
  <c r="AR9" i="36"/>
  <c r="AQ9" i="36"/>
  <c r="CK8" i="36"/>
  <c r="CJ8" i="36"/>
  <c r="CI8" i="36"/>
  <c r="CG8" i="36"/>
  <c r="CF8" i="36"/>
  <c r="CE8" i="36"/>
  <c r="CC8" i="36"/>
  <c r="CB8" i="36"/>
  <c r="CA8" i="36"/>
  <c r="BY8" i="36"/>
  <c r="BX8" i="36"/>
  <c r="BW8" i="36"/>
  <c r="BU8" i="36"/>
  <c r="BT8" i="36"/>
  <c r="BS8" i="36"/>
  <c r="BQ8" i="36"/>
  <c r="BP8" i="36"/>
  <c r="BO8" i="36"/>
  <c r="BM8" i="36"/>
  <c r="BL8" i="36"/>
  <c r="BK8" i="36"/>
  <c r="BI8" i="36"/>
  <c r="BH8" i="36"/>
  <c r="BG8" i="36"/>
  <c r="BE8" i="36"/>
  <c r="BD8" i="36"/>
  <c r="BC8" i="36"/>
  <c r="BB8" i="36"/>
  <c r="AX8" i="36"/>
  <c r="Q8" i="36"/>
  <c r="P8" i="36"/>
  <c r="O8" i="36"/>
  <c r="M8" i="36"/>
  <c r="L8" i="36"/>
  <c r="K8" i="36"/>
  <c r="I8" i="36"/>
  <c r="H8" i="36"/>
  <c r="G8" i="36"/>
  <c r="E8" i="36"/>
  <c r="D8" i="36"/>
  <c r="C8" i="36"/>
  <c r="CK7" i="36"/>
  <c r="CJ7" i="36"/>
  <c r="CI7" i="36"/>
  <c r="CG7" i="36"/>
  <c r="CF7" i="36"/>
  <c r="CE7" i="36"/>
  <c r="CC7" i="36"/>
  <c r="CB7" i="36"/>
  <c r="CA7" i="36"/>
  <c r="BY7" i="36"/>
  <c r="BX7" i="36"/>
  <c r="BW7" i="36"/>
  <c r="BU7" i="36"/>
  <c r="BT7" i="36"/>
  <c r="BS7" i="36"/>
  <c r="BQ7" i="36"/>
  <c r="BP7" i="36"/>
  <c r="BO7" i="36"/>
  <c r="BM7" i="36"/>
  <c r="BL7" i="36"/>
  <c r="BK7" i="36"/>
  <c r="BI7" i="36"/>
  <c r="BH7" i="36"/>
  <c r="BG7" i="36"/>
  <c r="BE7" i="36"/>
  <c r="BD7" i="36"/>
  <c r="BC7" i="36"/>
  <c r="BB7" i="36"/>
  <c r="AX7" i="36"/>
  <c r="Q7" i="36"/>
  <c r="P7" i="36"/>
  <c r="O7" i="36"/>
  <c r="M7" i="36"/>
  <c r="L7" i="36"/>
  <c r="K7" i="36"/>
  <c r="I7" i="36"/>
  <c r="H7" i="36"/>
  <c r="G7" i="36"/>
  <c r="E7" i="36"/>
  <c r="D7" i="36"/>
  <c r="C7" i="36"/>
  <c r="CK6" i="36"/>
  <c r="CJ6" i="36"/>
  <c r="CI6" i="36"/>
  <c r="CG6" i="36"/>
  <c r="CF6" i="36"/>
  <c r="CE6" i="36"/>
  <c r="CC6" i="36"/>
  <c r="CB6" i="36"/>
  <c r="CA6" i="36"/>
  <c r="BY6" i="36"/>
  <c r="BX6" i="36"/>
  <c r="BW6" i="36"/>
  <c r="AX6" i="36"/>
  <c r="BV6" i="36" s="1"/>
  <c r="Q6" i="36"/>
  <c r="P6" i="36"/>
  <c r="O6" i="36"/>
  <c r="M6" i="36"/>
  <c r="L6" i="36"/>
  <c r="K6" i="36"/>
  <c r="I6" i="36"/>
  <c r="H6" i="36"/>
  <c r="G6" i="36"/>
  <c r="E6" i="36"/>
  <c r="D6" i="36"/>
  <c r="C6" i="36"/>
  <c r="CL154" i="35"/>
  <c r="CK154" i="35"/>
  <c r="CJ154" i="35"/>
  <c r="CH154" i="35"/>
  <c r="CG154" i="35"/>
  <c r="CF154" i="35"/>
  <c r="CD154" i="35"/>
  <c r="CC154" i="35"/>
  <c r="CB154" i="35"/>
  <c r="BZ154" i="35"/>
  <c r="BY154" i="35"/>
  <c r="BX154" i="35"/>
  <c r="BV154" i="35"/>
  <c r="BU154" i="35"/>
  <c r="BT154" i="35"/>
  <c r="BR154" i="35"/>
  <c r="BQ154" i="35"/>
  <c r="BP154" i="35"/>
  <c r="BN154" i="35"/>
  <c r="BM154" i="35"/>
  <c r="BL154" i="35"/>
  <c r="BJ154" i="35"/>
  <c r="BI154" i="35"/>
  <c r="BH154" i="35"/>
  <c r="CM153" i="35"/>
  <c r="CI153" i="35"/>
  <c r="CE153" i="35"/>
  <c r="CA153" i="35"/>
  <c r="BW153" i="35"/>
  <c r="BS153" i="35"/>
  <c r="CM152" i="35"/>
  <c r="CI152" i="35"/>
  <c r="CE152" i="35"/>
  <c r="CA152" i="35"/>
  <c r="BW152" i="35"/>
  <c r="BS152" i="35"/>
  <c r="BO152" i="35"/>
  <c r="BK152" i="35"/>
  <c r="CM151" i="35"/>
  <c r="CI151" i="35"/>
  <c r="CE151" i="35"/>
  <c r="CA151" i="35"/>
  <c r="BW151" i="35"/>
  <c r="BS151" i="35"/>
  <c r="BO151" i="35"/>
  <c r="BK151" i="35"/>
  <c r="CM150" i="35"/>
  <c r="CI150" i="35"/>
  <c r="CE150" i="35"/>
  <c r="CA150" i="35"/>
  <c r="BW150" i="35"/>
  <c r="BS150" i="35"/>
  <c r="BO150" i="35"/>
  <c r="BO154" i="35" s="1"/>
  <c r="BK150" i="35"/>
  <c r="CL149" i="35"/>
  <c r="CK149" i="35"/>
  <c r="CJ149" i="35"/>
  <c r="CH149" i="35"/>
  <c r="CG149" i="35"/>
  <c r="CF149" i="35"/>
  <c r="CD149" i="35"/>
  <c r="CC149" i="35"/>
  <c r="CB149" i="35"/>
  <c r="BZ149" i="35"/>
  <c r="BY149" i="35"/>
  <c r="BX149" i="35"/>
  <c r="BV149" i="35"/>
  <c r="BU149" i="35"/>
  <c r="BT149" i="35"/>
  <c r="BR149" i="35"/>
  <c r="BQ149" i="35"/>
  <c r="BP149" i="35"/>
  <c r="BN149" i="35"/>
  <c r="BM149" i="35"/>
  <c r="BL149" i="35"/>
  <c r="BJ149" i="35"/>
  <c r="BI149" i="35"/>
  <c r="BH149" i="35"/>
  <c r="CM148" i="35"/>
  <c r="CI148" i="35"/>
  <c r="CE148" i="35"/>
  <c r="CA148" i="35"/>
  <c r="CA149" i="35" s="1"/>
  <c r="BW148" i="35"/>
  <c r="BW149" i="35" s="1"/>
  <c r="BS148" i="35"/>
  <c r="BS149" i="35" s="1"/>
  <c r="BO148" i="35"/>
  <c r="BO149" i="35" s="1"/>
  <c r="BK148" i="35"/>
  <c r="BK149" i="35" s="1"/>
  <c r="CL147" i="35"/>
  <c r="CK147" i="35"/>
  <c r="CJ147" i="35"/>
  <c r="CH147" i="35"/>
  <c r="CG147" i="35"/>
  <c r="CF147" i="35"/>
  <c r="CD147" i="35"/>
  <c r="CC147" i="35"/>
  <c r="CB147" i="35"/>
  <c r="BZ147" i="35"/>
  <c r="BY147" i="35"/>
  <c r="BX147" i="35"/>
  <c r="BV147" i="35"/>
  <c r="BU147" i="35"/>
  <c r="BT147" i="35"/>
  <c r="BR147" i="35"/>
  <c r="BQ147" i="35"/>
  <c r="BP147" i="35"/>
  <c r="BN147" i="35"/>
  <c r="BM147" i="35"/>
  <c r="BL147" i="35"/>
  <c r="BJ147" i="35"/>
  <c r="BI147" i="35"/>
  <c r="BH147" i="35"/>
  <c r="CM146" i="35"/>
  <c r="CI146" i="35"/>
  <c r="CE146" i="35"/>
  <c r="CA146" i="35"/>
  <c r="BW146" i="35"/>
  <c r="BS146" i="35"/>
  <c r="BO146" i="35"/>
  <c r="BK146" i="35"/>
  <c r="CM145" i="35"/>
  <c r="CI145" i="35"/>
  <c r="CE145" i="35"/>
  <c r="CA145" i="35"/>
  <c r="BW145" i="35"/>
  <c r="BS145" i="35"/>
  <c r="BS147" i="35" s="1"/>
  <c r="BO145" i="35"/>
  <c r="BO147" i="35" s="1"/>
  <c r="BK145" i="35"/>
  <c r="CL143" i="35"/>
  <c r="CK143" i="35"/>
  <c r="CJ143" i="35"/>
  <c r="CH143" i="35"/>
  <c r="CG143" i="35"/>
  <c r="CF143" i="35"/>
  <c r="CD143" i="35"/>
  <c r="CC143" i="35"/>
  <c r="CB143" i="35"/>
  <c r="BZ143" i="35"/>
  <c r="BY143" i="35"/>
  <c r="BX143" i="35"/>
  <c r="BV143" i="35"/>
  <c r="BU143" i="35"/>
  <c r="BT143" i="35"/>
  <c r="BR143" i="35"/>
  <c r="BQ143" i="35"/>
  <c r="BP143" i="35"/>
  <c r="BN143" i="35"/>
  <c r="BM143" i="35"/>
  <c r="BL143" i="35"/>
  <c r="BJ143" i="35"/>
  <c r="BI143" i="35"/>
  <c r="BH143" i="35"/>
  <c r="BF143" i="35"/>
  <c r="BE143" i="35"/>
  <c r="BD143" i="35"/>
  <c r="BB143" i="35"/>
  <c r="BA143" i="35"/>
  <c r="AZ143" i="35"/>
  <c r="AX143" i="35"/>
  <c r="AW143" i="35"/>
  <c r="AV143" i="35"/>
  <c r="AT143" i="35"/>
  <c r="AS143" i="35"/>
  <c r="AR143" i="35"/>
  <c r="AP143" i="35"/>
  <c r="AO143" i="35"/>
  <c r="AN143" i="35"/>
  <c r="AL143" i="35"/>
  <c r="AK143" i="35"/>
  <c r="AJ143" i="35"/>
  <c r="AH143" i="35"/>
  <c r="AG143" i="35"/>
  <c r="AF143" i="35"/>
  <c r="AD143" i="35"/>
  <c r="AC143" i="35"/>
  <c r="AB143" i="35"/>
  <c r="Z143" i="35"/>
  <c r="Y143" i="35"/>
  <c r="X143" i="35"/>
  <c r="W143" i="35"/>
  <c r="V143" i="35"/>
  <c r="U143" i="35"/>
  <c r="T143" i="35"/>
  <c r="R143" i="35"/>
  <c r="Q143" i="35"/>
  <c r="CM142" i="35"/>
  <c r="CI142" i="35"/>
  <c r="CE142" i="35"/>
  <c r="CA142" i="35"/>
  <c r="BW142" i="35"/>
  <c r="BS142" i="35"/>
  <c r="BO142" i="35"/>
  <c r="BK142" i="35"/>
  <c r="BG142" i="35"/>
  <c r="BC142" i="35"/>
  <c r="AY142" i="35"/>
  <c r="AU142" i="35"/>
  <c r="AQ142" i="35"/>
  <c r="CM141" i="35"/>
  <c r="CI141" i="35"/>
  <c r="CE141" i="35"/>
  <c r="CA141" i="35"/>
  <c r="BW141" i="35"/>
  <c r="BS141" i="35"/>
  <c r="BO141" i="35"/>
  <c r="BK141" i="35"/>
  <c r="BG141" i="35"/>
  <c r="CM140" i="35"/>
  <c r="CI140" i="35"/>
  <c r="CE140" i="35"/>
  <c r="CA140" i="35"/>
  <c r="BW140" i="35"/>
  <c r="BS140" i="35"/>
  <c r="BO140" i="35"/>
  <c r="BK140" i="35"/>
  <c r="BC140" i="35"/>
  <c r="CM139" i="35"/>
  <c r="CI139" i="35"/>
  <c r="CE139" i="35"/>
  <c r="CA139" i="35"/>
  <c r="BW139" i="35"/>
  <c r="BS139" i="35"/>
  <c r="BO139" i="35"/>
  <c r="BK139" i="35"/>
  <c r="BG139" i="35"/>
  <c r="BC139" i="35"/>
  <c r="AY139" i="35"/>
  <c r="AU139" i="35"/>
  <c r="AQ139" i="35"/>
  <c r="AM139" i="35"/>
  <c r="AM143" i="35" s="1"/>
  <c r="AI139" i="35"/>
  <c r="AI143" i="35" s="1"/>
  <c r="AE139" i="35"/>
  <c r="AE143" i="35" s="1"/>
  <c r="AA139" i="35"/>
  <c r="AA143" i="35" s="1"/>
  <c r="S139" i="35"/>
  <c r="S143" i="35" s="1"/>
  <c r="CL138" i="35"/>
  <c r="CK138" i="35"/>
  <c r="CJ138" i="35"/>
  <c r="CH138" i="35"/>
  <c r="CG138" i="35"/>
  <c r="CF138" i="35"/>
  <c r="CD138" i="35"/>
  <c r="CC138" i="35"/>
  <c r="CB138" i="35"/>
  <c r="BZ138" i="35"/>
  <c r="BY138" i="35"/>
  <c r="BX138" i="35"/>
  <c r="BV138" i="35"/>
  <c r="BU138" i="35"/>
  <c r="BT138" i="35"/>
  <c r="BR138" i="35"/>
  <c r="BQ138" i="35"/>
  <c r="BP138" i="35"/>
  <c r="BN138" i="35"/>
  <c r="BM138" i="35"/>
  <c r="BL138" i="35"/>
  <c r="BJ138" i="35"/>
  <c r="BI138" i="35"/>
  <c r="BH138" i="35"/>
  <c r="BF138" i="35"/>
  <c r="BE138" i="35"/>
  <c r="BD138" i="35"/>
  <c r="BB138" i="35"/>
  <c r="BA138" i="35"/>
  <c r="AZ138" i="35"/>
  <c r="AX138" i="35"/>
  <c r="AW138" i="35"/>
  <c r="AV138" i="35"/>
  <c r="AT138" i="35"/>
  <c r="AS138" i="35"/>
  <c r="AR138" i="35"/>
  <c r="AP138" i="35"/>
  <c r="AO138" i="35"/>
  <c r="AN138" i="35"/>
  <c r="AL138" i="35"/>
  <c r="AK138" i="35"/>
  <c r="AJ138" i="35"/>
  <c r="AH138" i="35"/>
  <c r="AG138" i="35"/>
  <c r="AF138" i="35"/>
  <c r="AD138" i="35"/>
  <c r="AC138" i="35"/>
  <c r="AB138" i="35"/>
  <c r="Z138" i="35"/>
  <c r="Y138" i="35"/>
  <c r="X138" i="35"/>
  <c r="V138" i="35"/>
  <c r="U138" i="35"/>
  <c r="T138" i="35"/>
  <c r="R138" i="35"/>
  <c r="Q138" i="35"/>
  <c r="P138" i="35"/>
  <c r="N138" i="35"/>
  <c r="M138" i="35"/>
  <c r="L138" i="35"/>
  <c r="J138" i="35"/>
  <c r="I138" i="35"/>
  <c r="H138" i="35"/>
  <c r="F138" i="35"/>
  <c r="E138" i="35"/>
  <c r="D138" i="35"/>
  <c r="CM137" i="35"/>
  <c r="CI137" i="35"/>
  <c r="CE137" i="35"/>
  <c r="CA137" i="35"/>
  <c r="BW137" i="35"/>
  <c r="CM136" i="35"/>
  <c r="CI136" i="35"/>
  <c r="CE136" i="35"/>
  <c r="CA136" i="35"/>
  <c r="BW136" i="35"/>
  <c r="BS136" i="35"/>
  <c r="BO136" i="35"/>
  <c r="BK136" i="35"/>
  <c r="BG136" i="35"/>
  <c r="BC136" i="35"/>
  <c r="AY136" i="35"/>
  <c r="AU136" i="35"/>
  <c r="AQ136" i="35"/>
  <c r="K136" i="35"/>
  <c r="CM135" i="35"/>
  <c r="CI135" i="35"/>
  <c r="CE135" i="35"/>
  <c r="CA135" i="35"/>
  <c r="BW135" i="35"/>
  <c r="BS135" i="35"/>
  <c r="BO135" i="35"/>
  <c r="BK135" i="35"/>
  <c r="BG135" i="35"/>
  <c r="BC135" i="35"/>
  <c r="AY135" i="35"/>
  <c r="AU135" i="35"/>
  <c r="AQ135" i="35"/>
  <c r="AM135" i="35"/>
  <c r="AI135" i="35"/>
  <c r="AE135" i="35"/>
  <c r="AA135" i="35"/>
  <c r="W135" i="35"/>
  <c r="S135" i="35"/>
  <c r="O135" i="35"/>
  <c r="K135" i="35"/>
  <c r="G135" i="35"/>
  <c r="CM134" i="35"/>
  <c r="CI134" i="35"/>
  <c r="CE134" i="35"/>
  <c r="CA134" i="35"/>
  <c r="BW134" i="35"/>
  <c r="CM133" i="35"/>
  <c r="CI133" i="35"/>
  <c r="CE133" i="35"/>
  <c r="CA133" i="35"/>
  <c r="BW133" i="35"/>
  <c r="BS133" i="35"/>
  <c r="BO133" i="35"/>
  <c r="BK133" i="35"/>
  <c r="BG133" i="35"/>
  <c r="BC133" i="35"/>
  <c r="AY133" i="35"/>
  <c r="AU133" i="35"/>
  <c r="AQ133" i="35"/>
  <c r="AM133" i="35"/>
  <c r="AI133" i="35"/>
  <c r="AE133" i="35"/>
  <c r="AA133" i="35"/>
  <c r="CM132" i="35"/>
  <c r="CI132" i="35"/>
  <c r="CE132" i="35"/>
  <c r="CA132" i="35"/>
  <c r="BW132" i="35"/>
  <c r="BS132" i="35"/>
  <c r="BO132" i="35"/>
  <c r="BK132" i="35"/>
  <c r="BG132" i="35"/>
  <c r="BC132" i="35"/>
  <c r="AY132" i="35"/>
  <c r="AU132" i="35"/>
  <c r="AQ132" i="35"/>
  <c r="AM132" i="35"/>
  <c r="AI132" i="35"/>
  <c r="AE132" i="35"/>
  <c r="AA132" i="35"/>
  <c r="W132" i="35"/>
  <c r="S132" i="35"/>
  <c r="O132" i="35"/>
  <c r="K132" i="35"/>
  <c r="CM131" i="35"/>
  <c r="CI131" i="35"/>
  <c r="CE131" i="35"/>
  <c r="CA131" i="35"/>
  <c r="BW131" i="35"/>
  <c r="BS131" i="35"/>
  <c r="BO131" i="35"/>
  <c r="BG131" i="35"/>
  <c r="BC131" i="35"/>
  <c r="AY131" i="35"/>
  <c r="AU131" i="35"/>
  <c r="AQ131" i="35"/>
  <c r="AM131" i="35"/>
  <c r="AI131" i="35"/>
  <c r="O131" i="35"/>
  <c r="K131" i="35"/>
  <c r="G131" i="35"/>
  <c r="CM130" i="35"/>
  <c r="CM129" i="35"/>
  <c r="CI129" i="35"/>
  <c r="CE129" i="35"/>
  <c r="CA129" i="35"/>
  <c r="BW129" i="35"/>
  <c r="BS129" i="35"/>
  <c r="BO129" i="35"/>
  <c r="BK129" i="35"/>
  <c r="BG129" i="35"/>
  <c r="BC129" i="35"/>
  <c r="AY129" i="35"/>
  <c r="AU129" i="35"/>
  <c r="AQ129" i="35"/>
  <c r="AM129" i="35"/>
  <c r="AI129" i="35"/>
  <c r="AE129" i="35"/>
  <c r="AA129" i="35"/>
  <c r="W129" i="35"/>
  <c r="S129" i="35"/>
  <c r="O129" i="35"/>
  <c r="K129" i="35"/>
  <c r="G129" i="35"/>
  <c r="CM128" i="35"/>
  <c r="CI128" i="35"/>
  <c r="CE128" i="35"/>
  <c r="CA128" i="35"/>
  <c r="BW128" i="35"/>
  <c r="BS128" i="35"/>
  <c r="BO128" i="35"/>
  <c r="BK128" i="35"/>
  <c r="BG128" i="35"/>
  <c r="BC128" i="35"/>
  <c r="AY128" i="35"/>
  <c r="AU128" i="35"/>
  <c r="AQ128" i="35"/>
  <c r="AM128" i="35"/>
  <c r="AI128" i="35"/>
  <c r="AE128" i="35"/>
  <c r="AA128" i="35"/>
  <c r="W128" i="35"/>
  <c r="O128" i="35"/>
  <c r="K128" i="35"/>
  <c r="G128" i="35"/>
  <c r="CM127" i="35"/>
  <c r="CI127" i="35"/>
  <c r="CE127" i="35"/>
  <c r="CA127" i="35"/>
  <c r="BW127" i="35"/>
  <c r="BS127" i="35"/>
  <c r="BO127" i="35"/>
  <c r="BK127" i="35"/>
  <c r="BG127" i="35"/>
  <c r="BC127" i="35"/>
  <c r="AY127" i="35"/>
  <c r="AU127" i="35"/>
  <c r="AQ127" i="35"/>
  <c r="AI127" i="35"/>
  <c r="AE127" i="35"/>
  <c r="AA127" i="35"/>
  <c r="W127" i="35"/>
  <c r="S127" i="35"/>
  <c r="O127" i="35"/>
  <c r="K127" i="35"/>
  <c r="G127" i="35"/>
  <c r="CM126" i="35"/>
  <c r="CI126" i="35"/>
  <c r="CE126" i="35"/>
  <c r="CA126" i="35"/>
  <c r="BW126" i="35"/>
  <c r="BS126" i="35"/>
  <c r="BO126" i="35"/>
  <c r="BK126" i="35"/>
  <c r="BC126" i="35"/>
  <c r="CM125" i="35"/>
  <c r="CI125" i="35"/>
  <c r="CE125" i="35"/>
  <c r="CA125" i="35"/>
  <c r="BW125" i="35"/>
  <c r="BS125" i="35"/>
  <c r="BO125" i="35"/>
  <c r="BC125" i="35"/>
  <c r="AY125" i="35"/>
  <c r="AU125" i="35"/>
  <c r="AQ125" i="35"/>
  <c r="AI125" i="35"/>
  <c r="AE125" i="35"/>
  <c r="AA125" i="35"/>
  <c r="W125" i="35"/>
  <c r="S125" i="35"/>
  <c r="O125" i="35"/>
  <c r="K125" i="35"/>
  <c r="G125" i="35"/>
  <c r="CM124" i="35"/>
  <c r="CI124" i="35"/>
  <c r="CE124" i="35"/>
  <c r="CA124" i="35"/>
  <c r="BW124" i="35"/>
  <c r="BS124" i="35"/>
  <c r="BO124" i="35"/>
  <c r="BC124" i="35"/>
  <c r="AY124" i="35"/>
  <c r="AU124" i="35"/>
  <c r="AQ124" i="35"/>
  <c r="W124" i="35"/>
  <c r="S124" i="35"/>
  <c r="O124" i="35"/>
  <c r="K124" i="35"/>
  <c r="CM123" i="35"/>
  <c r="CI123" i="35"/>
  <c r="CE123" i="35"/>
  <c r="CA123" i="35"/>
  <c r="BW123" i="35"/>
  <c r="BS123" i="35"/>
  <c r="BO123" i="35"/>
  <c r="BG123" i="35"/>
  <c r="BC123" i="35"/>
  <c r="AY123" i="35"/>
  <c r="AU123" i="35"/>
  <c r="AQ123" i="35"/>
  <c r="AM123" i="35"/>
  <c r="AE123" i="35"/>
  <c r="AA123" i="35"/>
  <c r="W123" i="35"/>
  <c r="CL122" i="35"/>
  <c r="CK122" i="35"/>
  <c r="CJ122" i="35"/>
  <c r="CH122" i="35"/>
  <c r="CG122" i="35"/>
  <c r="CF122" i="35"/>
  <c r="CD122" i="35"/>
  <c r="CC122" i="35"/>
  <c r="CB122" i="35"/>
  <c r="BZ122" i="35"/>
  <c r="BY122" i="35"/>
  <c r="BX122" i="35"/>
  <c r="BV122" i="35"/>
  <c r="BU122" i="35"/>
  <c r="BT122" i="35"/>
  <c r="BR122" i="35"/>
  <c r="BQ122" i="35"/>
  <c r="BP122" i="35"/>
  <c r="BN122" i="35"/>
  <c r="BM122" i="35"/>
  <c r="BL122" i="35"/>
  <c r="BJ122" i="35"/>
  <c r="BI122" i="35"/>
  <c r="BH122" i="35"/>
  <c r="BF122" i="35"/>
  <c r="BE122" i="35"/>
  <c r="BD122" i="35"/>
  <c r="BB122" i="35"/>
  <c r="BA122" i="35"/>
  <c r="AZ122" i="35"/>
  <c r="AX122" i="35"/>
  <c r="AW122" i="35"/>
  <c r="AV122" i="35"/>
  <c r="AT122" i="35"/>
  <c r="AS122" i="35"/>
  <c r="AR122" i="35"/>
  <c r="AP122" i="35"/>
  <c r="AO122" i="35"/>
  <c r="AN122" i="35"/>
  <c r="AL122" i="35"/>
  <c r="AK122" i="35"/>
  <c r="AJ122" i="35"/>
  <c r="AH122" i="35"/>
  <c r="AG122" i="35"/>
  <c r="AF122" i="35"/>
  <c r="AD122" i="35"/>
  <c r="AC122" i="35"/>
  <c r="AB122" i="35"/>
  <c r="Z122" i="35"/>
  <c r="Y122" i="35"/>
  <c r="X122" i="35"/>
  <c r="V122" i="35"/>
  <c r="U122" i="35"/>
  <c r="T122" i="35"/>
  <c r="R122" i="35"/>
  <c r="Q122" i="35"/>
  <c r="P122" i="35"/>
  <c r="N122" i="35"/>
  <c r="M122" i="35"/>
  <c r="L122" i="35"/>
  <c r="J122" i="35"/>
  <c r="I122" i="35"/>
  <c r="H122" i="35"/>
  <c r="F122" i="35"/>
  <c r="E122" i="35"/>
  <c r="D122" i="35"/>
  <c r="CM121" i="35"/>
  <c r="CI121" i="35"/>
  <c r="CE121" i="35"/>
  <c r="CA121" i="35"/>
  <c r="BW121" i="35"/>
  <c r="BS121" i="35"/>
  <c r="BO121" i="35"/>
  <c r="BK121" i="35"/>
  <c r="BG121" i="35"/>
  <c r="BC121" i="35"/>
  <c r="AY121" i="35"/>
  <c r="AU121" i="35"/>
  <c r="AQ121" i="35"/>
  <c r="AM121" i="35"/>
  <c r="AI121" i="35"/>
  <c r="AE121" i="35"/>
  <c r="AA121" i="35"/>
  <c r="W121" i="35"/>
  <c r="S121" i="35"/>
  <c r="O121" i="35"/>
  <c r="K121" i="35"/>
  <c r="G121" i="35"/>
  <c r="CM120" i="35"/>
  <c r="CI120" i="35"/>
  <c r="CE120" i="35"/>
  <c r="CA120" i="35"/>
  <c r="BW120" i="35"/>
  <c r="BS120" i="35"/>
  <c r="BO120" i="35"/>
  <c r="BK120" i="35"/>
  <c r="BG120" i="35"/>
  <c r="BC120" i="35"/>
  <c r="AY120" i="35"/>
  <c r="AU120" i="35"/>
  <c r="AQ120" i="35"/>
  <c r="AM120" i="35"/>
  <c r="AE120" i="35"/>
  <c r="CM117" i="35"/>
  <c r="CI117" i="35"/>
  <c r="CE117" i="35"/>
  <c r="CA117" i="35"/>
  <c r="BW117" i="35"/>
  <c r="BS117" i="35"/>
  <c r="BO117" i="35"/>
  <c r="BK117" i="35"/>
  <c r="BG117" i="35"/>
  <c r="BC117" i="35"/>
  <c r="AY117" i="35"/>
  <c r="AU117" i="35"/>
  <c r="AQ117" i="35"/>
  <c r="AM117" i="35"/>
  <c r="AI117" i="35"/>
  <c r="AE117" i="35"/>
  <c r="CM116" i="35"/>
  <c r="CI116" i="35"/>
  <c r="CE116" i="35"/>
  <c r="CA116" i="35"/>
  <c r="BW116" i="35"/>
  <c r="BS116" i="35"/>
  <c r="BO116" i="35"/>
  <c r="S116" i="35"/>
  <c r="O116" i="35"/>
  <c r="CM115" i="35"/>
  <c r="CI115" i="35"/>
  <c r="CM114" i="35"/>
  <c r="CI114" i="35"/>
  <c r="CE114" i="35"/>
  <c r="CM113" i="35"/>
  <c r="CI113" i="35"/>
  <c r="CE113" i="35"/>
  <c r="CA113" i="35"/>
  <c r="BW113" i="35"/>
  <c r="BS113" i="35"/>
  <c r="BO113" i="35"/>
  <c r="CM112" i="35"/>
  <c r="CI112" i="35"/>
  <c r="CE112" i="35"/>
  <c r="CA112" i="35"/>
  <c r="BW112" i="35"/>
  <c r="BS112" i="35"/>
  <c r="BO112" i="35"/>
  <c r="BK112" i="35"/>
  <c r="BG112" i="35"/>
  <c r="BC112" i="35"/>
  <c r="AY112" i="35"/>
  <c r="AU112" i="35"/>
  <c r="AQ112" i="35"/>
  <c r="AM112" i="35"/>
  <c r="S112" i="35"/>
  <c r="G112" i="35"/>
  <c r="CM111" i="35"/>
  <c r="CI111" i="35"/>
  <c r="CE111" i="35"/>
  <c r="CA111" i="35"/>
  <c r="BW111" i="35"/>
  <c r="BS111" i="35"/>
  <c r="BO111" i="35"/>
  <c r="BK111" i="35"/>
  <c r="BG111" i="35"/>
  <c r="BC111" i="35"/>
  <c r="AY111" i="35"/>
  <c r="AU111" i="35"/>
  <c r="AQ111" i="35"/>
  <c r="AM111" i="35"/>
  <c r="AE111" i="35"/>
  <c r="W111" i="35"/>
  <c r="CM110" i="35"/>
  <c r="CI110" i="35"/>
  <c r="CE110" i="35"/>
  <c r="CA110" i="35"/>
  <c r="BW110" i="35"/>
  <c r="BS110" i="35"/>
  <c r="BO110" i="35"/>
  <c r="BK110" i="35"/>
  <c r="BG110" i="35"/>
  <c r="BC110" i="35"/>
  <c r="AY110" i="35"/>
  <c r="AU110" i="35"/>
  <c r="AQ110" i="35"/>
  <c r="AM110" i="35"/>
  <c r="AI110" i="35"/>
  <c r="AE110" i="35"/>
  <c r="AA110" i="35"/>
  <c r="W110" i="35"/>
  <c r="S110" i="35"/>
  <c r="O110" i="35"/>
  <c r="K110" i="35"/>
  <c r="CM109" i="35"/>
  <c r="CI109" i="35"/>
  <c r="CE109" i="35"/>
  <c r="CA109" i="35"/>
  <c r="BW109" i="35"/>
  <c r="BS109" i="35"/>
  <c r="BO109" i="35"/>
  <c r="BK109" i="35"/>
  <c r="BG109" i="35"/>
  <c r="BC109" i="35"/>
  <c r="AY109" i="35"/>
  <c r="AU109" i="35"/>
  <c r="AQ109" i="35"/>
  <c r="AM109" i="35"/>
  <c r="AI109" i="35"/>
  <c r="AE109" i="35"/>
  <c r="AA109" i="35"/>
  <c r="W109" i="35"/>
  <c r="S109" i="35"/>
  <c r="O109" i="35"/>
  <c r="K109" i="35"/>
  <c r="G109" i="35"/>
  <c r="CM108" i="35"/>
  <c r="CI108" i="35"/>
  <c r="CE108" i="35"/>
  <c r="CA108" i="35"/>
  <c r="BW108" i="35"/>
  <c r="BS108" i="35"/>
  <c r="BO108" i="35"/>
  <c r="BK108" i="35"/>
  <c r="BG108" i="35"/>
  <c r="BC108" i="35"/>
  <c r="AY108" i="35"/>
  <c r="AU108" i="35"/>
  <c r="AQ108" i="35"/>
  <c r="AM108" i="35"/>
  <c r="AI108" i="35"/>
  <c r="AE108" i="35"/>
  <c r="W108" i="35"/>
  <c r="S108" i="35"/>
  <c r="O108" i="35"/>
  <c r="K108" i="35"/>
  <c r="G108" i="35"/>
  <c r="CM107" i="35"/>
  <c r="CI107" i="35"/>
  <c r="CE107" i="35"/>
  <c r="CA107" i="35"/>
  <c r="BW107" i="35"/>
  <c r="BS107" i="35"/>
  <c r="BO107" i="35"/>
  <c r="BK107" i="35"/>
  <c r="BG107" i="35"/>
  <c r="BC107" i="35"/>
  <c r="AY107" i="35"/>
  <c r="AU107" i="35"/>
  <c r="AQ107" i="35"/>
  <c r="AM107" i="35"/>
  <c r="AI107" i="35"/>
  <c r="AE107" i="35"/>
  <c r="AA107" i="35"/>
  <c r="W107" i="35"/>
  <c r="S107" i="35"/>
  <c r="O107" i="35"/>
  <c r="K107" i="35"/>
  <c r="G107" i="35"/>
  <c r="CM106" i="35"/>
  <c r="CI106" i="35"/>
  <c r="CE106" i="35"/>
  <c r="CA106" i="35"/>
  <c r="BW106" i="35"/>
  <c r="BS106" i="35"/>
  <c r="BO106" i="35"/>
  <c r="BK106" i="35"/>
  <c r="BG106" i="35"/>
  <c r="BC106" i="35"/>
  <c r="AY106" i="35"/>
  <c r="AU106" i="35"/>
  <c r="AQ106" i="35"/>
  <c r="AM106" i="35"/>
  <c r="AI106" i="35"/>
  <c r="AE106" i="35"/>
  <c r="AA106" i="35"/>
  <c r="W106" i="35"/>
  <c r="S106" i="35"/>
  <c r="K106" i="35"/>
  <c r="CM105" i="35"/>
  <c r="CI105" i="35"/>
  <c r="CE105" i="35"/>
  <c r="CA105" i="35"/>
  <c r="BW105" i="35"/>
  <c r="BS105" i="35"/>
  <c r="BO105" i="35"/>
  <c r="BK105" i="35"/>
  <c r="BG105" i="35"/>
  <c r="BC105" i="35"/>
  <c r="AY105" i="35"/>
  <c r="AU105" i="35"/>
  <c r="AQ105" i="35"/>
  <c r="AM105" i="35"/>
  <c r="AI105" i="35"/>
  <c r="AE105" i="35"/>
  <c r="AA105" i="35"/>
  <c r="W105" i="35"/>
  <c r="S105" i="35"/>
  <c r="O105" i="35"/>
  <c r="K105" i="35"/>
  <c r="G105" i="35"/>
  <c r="CM104" i="35"/>
  <c r="CI104" i="35"/>
  <c r="CE104" i="35"/>
  <c r="CA104" i="35"/>
  <c r="BW104" i="35"/>
  <c r="BS104" i="35"/>
  <c r="BO104" i="35"/>
  <c r="BK104" i="35"/>
  <c r="BG104" i="35"/>
  <c r="BC104" i="35"/>
  <c r="AY104" i="35"/>
  <c r="AU104" i="35"/>
  <c r="AQ104" i="35"/>
  <c r="AM104" i="35"/>
  <c r="AI104" i="35"/>
  <c r="AE104" i="35"/>
  <c r="AA104" i="35"/>
  <c r="W104" i="35"/>
  <c r="S104" i="35"/>
  <c r="O104" i="35"/>
  <c r="CM103" i="35"/>
  <c r="CI103" i="35"/>
  <c r="CE103" i="35"/>
  <c r="CA103" i="35"/>
  <c r="BW103" i="35"/>
  <c r="BS103" i="35"/>
  <c r="BO103" i="35"/>
  <c r="BK103" i="35"/>
  <c r="BG103" i="35"/>
  <c r="BC103" i="35"/>
  <c r="AY103" i="35"/>
  <c r="AU103" i="35"/>
  <c r="AQ103" i="35"/>
  <c r="AM103" i="35"/>
  <c r="AI103" i="35"/>
  <c r="AE103" i="35"/>
  <c r="AA103" i="35"/>
  <c r="CM102" i="35"/>
  <c r="CI102" i="35"/>
  <c r="CE102" i="35"/>
  <c r="CA102" i="35"/>
  <c r="BW102" i="35"/>
  <c r="BS102" i="35"/>
  <c r="BO102" i="35"/>
  <c r="BK102" i="35"/>
  <c r="BG102" i="35"/>
  <c r="BC102" i="35"/>
  <c r="AY102" i="35"/>
  <c r="AU102" i="35"/>
  <c r="AQ102" i="35"/>
  <c r="AM102" i="35"/>
  <c r="AI102" i="35"/>
  <c r="AE102" i="35"/>
  <c r="AA102" i="35"/>
  <c r="W102" i="35"/>
  <c r="S102" i="35"/>
  <c r="O102" i="35"/>
  <c r="K102" i="35"/>
  <c r="CL100" i="35"/>
  <c r="CK100" i="35"/>
  <c r="CJ100" i="35"/>
  <c r="CH100" i="35"/>
  <c r="CG100" i="35"/>
  <c r="CF100" i="35"/>
  <c r="CD100" i="35"/>
  <c r="CC100" i="35"/>
  <c r="CB100" i="35"/>
  <c r="BZ100" i="35"/>
  <c r="BY100" i="35"/>
  <c r="BX100" i="35"/>
  <c r="BV100" i="35"/>
  <c r="BU100" i="35"/>
  <c r="BT100" i="35"/>
  <c r="BR100" i="35"/>
  <c r="BQ100" i="35"/>
  <c r="BP100" i="35"/>
  <c r="BN100" i="35"/>
  <c r="BM100" i="35"/>
  <c r="BL100" i="35"/>
  <c r="BJ100" i="35"/>
  <c r="BI100" i="35"/>
  <c r="BH100" i="35"/>
  <c r="BF100" i="35"/>
  <c r="BE100" i="35"/>
  <c r="BD100" i="35"/>
  <c r="BB100" i="35"/>
  <c r="BA100" i="35"/>
  <c r="AZ100" i="35"/>
  <c r="AX100" i="35"/>
  <c r="AW100" i="35"/>
  <c r="AV100" i="35"/>
  <c r="AT100" i="35"/>
  <c r="AS100" i="35"/>
  <c r="AR100" i="35"/>
  <c r="AP100" i="35"/>
  <c r="AO100" i="35"/>
  <c r="AN100" i="35"/>
  <c r="AL100" i="35"/>
  <c r="AK100" i="35"/>
  <c r="AJ100" i="35"/>
  <c r="AH100" i="35"/>
  <c r="AG100" i="35"/>
  <c r="AF100" i="35"/>
  <c r="AD100" i="35"/>
  <c r="AC100" i="35"/>
  <c r="AB100" i="35"/>
  <c r="Z100" i="35"/>
  <c r="Y100" i="35"/>
  <c r="X100" i="35"/>
  <c r="V100" i="35"/>
  <c r="U100" i="35"/>
  <c r="T100" i="35"/>
  <c r="R100" i="35"/>
  <c r="Q100" i="35"/>
  <c r="P100" i="35"/>
  <c r="N100" i="35"/>
  <c r="M100" i="35"/>
  <c r="L100" i="35"/>
  <c r="J100" i="35"/>
  <c r="I100" i="35"/>
  <c r="H100" i="35"/>
  <c r="F100" i="35"/>
  <c r="E100" i="35"/>
  <c r="D100" i="35"/>
  <c r="CM99" i="35"/>
  <c r="CI99" i="35"/>
  <c r="CE99" i="35"/>
  <c r="CA99" i="35"/>
  <c r="BW99" i="35"/>
  <c r="BS99" i="35"/>
  <c r="BO99" i="35"/>
  <c r="BK99" i="35"/>
  <c r="BG99" i="35"/>
  <c r="BC99" i="35"/>
  <c r="AY99" i="35"/>
  <c r="AU99" i="35"/>
  <c r="AQ99" i="35"/>
  <c r="AM99" i="35"/>
  <c r="AI99" i="35"/>
  <c r="AE99" i="35"/>
  <c r="AA99" i="35"/>
  <c r="W99" i="35"/>
  <c r="S99" i="35"/>
  <c r="O99" i="35"/>
  <c r="K99" i="35"/>
  <c r="G99" i="35"/>
  <c r="CM98" i="35"/>
  <c r="CI98" i="35"/>
  <c r="CE98" i="35"/>
  <c r="CA98" i="35"/>
  <c r="BW98" i="35"/>
  <c r="BS98" i="35"/>
  <c r="BO98" i="35"/>
  <c r="BK98" i="35"/>
  <c r="BG98" i="35"/>
  <c r="BC98" i="35"/>
  <c r="AY98" i="35"/>
  <c r="AU98" i="35"/>
  <c r="AQ98" i="35"/>
  <c r="AM98" i="35"/>
  <c r="AI98" i="35"/>
  <c r="AE98" i="35"/>
  <c r="AA98" i="35"/>
  <c r="CM97" i="35"/>
  <c r="CI97" i="35"/>
  <c r="CE97" i="35"/>
  <c r="CA97" i="35"/>
  <c r="BW97" i="35"/>
  <c r="BS97" i="35"/>
  <c r="BO97" i="35"/>
  <c r="BK97" i="35"/>
  <c r="BG97" i="35"/>
  <c r="BC97" i="35"/>
  <c r="AY97" i="35"/>
  <c r="AU97" i="35"/>
  <c r="AQ97" i="35"/>
  <c r="AM97" i="35"/>
  <c r="AI97" i="35"/>
  <c r="AE97" i="35"/>
  <c r="AA97" i="35"/>
  <c r="W97" i="35"/>
  <c r="S97" i="35"/>
  <c r="O97" i="35"/>
  <c r="K97" i="35"/>
  <c r="CM96" i="35"/>
  <c r="CI96" i="35"/>
  <c r="CE96" i="35"/>
  <c r="CA96" i="35"/>
  <c r="BW96" i="35"/>
  <c r="G96" i="35"/>
  <c r="CM95" i="35"/>
  <c r="CI95" i="35"/>
  <c r="CE95" i="35"/>
  <c r="CA95" i="35"/>
  <c r="BW95" i="35"/>
  <c r="BS95" i="35"/>
  <c r="BO95" i="35"/>
  <c r="BK95" i="35"/>
  <c r="BG95" i="35"/>
  <c r="BC95" i="35"/>
  <c r="AY95" i="35"/>
  <c r="AU95" i="35"/>
  <c r="AQ95" i="35"/>
  <c r="AM95" i="35"/>
  <c r="AI95" i="35"/>
  <c r="AE95" i="35"/>
  <c r="AA95" i="35"/>
  <c r="W95" i="35"/>
  <c r="CM94" i="35"/>
  <c r="CI94" i="35"/>
  <c r="CE94" i="35"/>
  <c r="CA94" i="35"/>
  <c r="BW94" i="35"/>
  <c r="BS94" i="35"/>
  <c r="BO94" i="35"/>
  <c r="BK94" i="35"/>
  <c r="BG94" i="35"/>
  <c r="BC94" i="35"/>
  <c r="AY94" i="35"/>
  <c r="AU94" i="35"/>
  <c r="AQ94" i="35"/>
  <c r="AM94" i="35"/>
  <c r="AI94" i="35"/>
  <c r="AE94" i="35"/>
  <c r="AA94" i="35"/>
  <c r="W94" i="35"/>
  <c r="S94" i="35"/>
  <c r="O94" i="35"/>
  <c r="K94" i="35"/>
  <c r="G94" i="35"/>
  <c r="CM93" i="35"/>
  <c r="CI93" i="35"/>
  <c r="CE93" i="35"/>
  <c r="CA93" i="35"/>
  <c r="BW93" i="35"/>
  <c r="BS93" i="35"/>
  <c r="BO93" i="35"/>
  <c r="BK93" i="35"/>
  <c r="BG93" i="35"/>
  <c r="BC93" i="35"/>
  <c r="AY93" i="35"/>
  <c r="AU93" i="35"/>
  <c r="AA93" i="35"/>
  <c r="W93" i="35"/>
  <c r="S93" i="35"/>
  <c r="O93" i="35"/>
  <c r="K93" i="35"/>
  <c r="G93" i="35"/>
  <c r="CM92" i="35"/>
  <c r="CI92" i="35"/>
  <c r="CE92" i="35"/>
  <c r="CA92" i="35"/>
  <c r="BW92" i="35"/>
  <c r="BS92" i="35"/>
  <c r="BO92" i="35"/>
  <c r="BK92" i="35"/>
  <c r="BG92" i="35"/>
  <c r="BC92" i="35"/>
  <c r="AY92" i="35"/>
  <c r="AU92" i="35"/>
  <c r="AQ92" i="35"/>
  <c r="AM92" i="35"/>
  <c r="AI92" i="35"/>
  <c r="AE92" i="35"/>
  <c r="AA92" i="35"/>
  <c r="W92" i="35"/>
  <c r="S92" i="35"/>
  <c r="O92" i="35"/>
  <c r="K92" i="35"/>
  <c r="G92" i="35"/>
  <c r="CM91" i="35"/>
  <c r="CI91" i="35"/>
  <c r="CE91" i="35"/>
  <c r="CA91" i="35"/>
  <c r="BW91" i="35"/>
  <c r="BS91" i="35"/>
  <c r="BO91" i="35"/>
  <c r="BK91" i="35"/>
  <c r="BG91" i="35"/>
  <c r="BC91" i="35"/>
  <c r="AY91" i="35"/>
  <c r="AU91" i="35"/>
  <c r="AQ91" i="35"/>
  <c r="AM91" i="35"/>
  <c r="AI91" i="35"/>
  <c r="AE91" i="35"/>
  <c r="AA91" i="35"/>
  <c r="W91" i="35"/>
  <c r="O91" i="35"/>
  <c r="CM90" i="35"/>
  <c r="CI90" i="35"/>
  <c r="CE90" i="35"/>
  <c r="CA90" i="35"/>
  <c r="BW90" i="35"/>
  <c r="BS90" i="35"/>
  <c r="BO90" i="35"/>
  <c r="BK90" i="35"/>
  <c r="BG90" i="35"/>
  <c r="BC90" i="35"/>
  <c r="AY90" i="35"/>
  <c r="AU90" i="35"/>
  <c r="AQ90" i="35"/>
  <c r="AM90" i="35"/>
  <c r="AI90" i="35"/>
  <c r="AE90" i="35"/>
  <c r="AA90" i="35"/>
  <c r="W90" i="35"/>
  <c r="S90" i="35"/>
  <c r="O90" i="35"/>
  <c r="K90" i="35"/>
  <c r="G90" i="35"/>
  <c r="CL89" i="35"/>
  <c r="CK89" i="35"/>
  <c r="CJ89" i="35"/>
  <c r="CH89" i="35"/>
  <c r="CG89" i="35"/>
  <c r="CF89" i="35"/>
  <c r="CD89" i="35"/>
  <c r="CC89" i="35"/>
  <c r="CB89" i="35"/>
  <c r="BZ89" i="35"/>
  <c r="BY89" i="35"/>
  <c r="BX89" i="35"/>
  <c r="BV89" i="35"/>
  <c r="BU89" i="35"/>
  <c r="BT89" i="35"/>
  <c r="BR89" i="35"/>
  <c r="BQ89" i="35"/>
  <c r="BP89" i="35"/>
  <c r="BN89" i="35"/>
  <c r="BM89" i="35"/>
  <c r="BL89" i="35"/>
  <c r="BJ89" i="35"/>
  <c r="BI89" i="35"/>
  <c r="BH89" i="35"/>
  <c r="BF89" i="35"/>
  <c r="BE89" i="35"/>
  <c r="BD89" i="35"/>
  <c r="BB89" i="35"/>
  <c r="BA89" i="35"/>
  <c r="AZ89" i="35"/>
  <c r="AX89" i="35"/>
  <c r="AW89" i="35"/>
  <c r="AV89" i="35"/>
  <c r="AT89" i="35"/>
  <c r="AS89" i="35"/>
  <c r="AR89" i="35"/>
  <c r="AP89" i="35"/>
  <c r="AO89" i="35"/>
  <c r="AN89" i="35"/>
  <c r="AL89" i="35"/>
  <c r="AK89" i="35"/>
  <c r="AJ89" i="35"/>
  <c r="AH89" i="35"/>
  <c r="AG89" i="35"/>
  <c r="AF89" i="35"/>
  <c r="AD89" i="35"/>
  <c r="AC89" i="35"/>
  <c r="AB89" i="35"/>
  <c r="Z89" i="35"/>
  <c r="Y89" i="35"/>
  <c r="X89" i="35"/>
  <c r="V89" i="35"/>
  <c r="U89" i="35"/>
  <c r="T89" i="35"/>
  <c r="R89" i="35"/>
  <c r="Q89" i="35"/>
  <c r="P89" i="35"/>
  <c r="N89" i="35"/>
  <c r="M89" i="35"/>
  <c r="L89" i="35"/>
  <c r="J89" i="35"/>
  <c r="I89" i="35"/>
  <c r="H89" i="35"/>
  <c r="F89" i="35"/>
  <c r="E89" i="35"/>
  <c r="D89" i="35"/>
  <c r="CM87" i="35"/>
  <c r="CI87" i="35"/>
  <c r="CE87" i="35"/>
  <c r="CA87" i="35"/>
  <c r="BW87" i="35"/>
  <c r="BS87" i="35"/>
  <c r="BO87" i="35"/>
  <c r="BK87" i="35"/>
  <c r="BG87" i="35"/>
  <c r="BC87" i="35"/>
  <c r="AY87" i="35"/>
  <c r="AU87" i="35"/>
  <c r="AQ87" i="35"/>
  <c r="AM87" i="35"/>
  <c r="AI87" i="35"/>
  <c r="AE87" i="35"/>
  <c r="AA87" i="35"/>
  <c r="W87" i="35"/>
  <c r="O87" i="35"/>
  <c r="G87" i="35"/>
  <c r="CM86" i="35"/>
  <c r="CI86" i="35"/>
  <c r="CE86" i="35"/>
  <c r="CA86" i="35"/>
  <c r="BW86" i="35"/>
  <c r="BS86" i="35"/>
  <c r="BO86" i="35"/>
  <c r="BK86" i="35"/>
  <c r="BG86" i="35"/>
  <c r="BC86" i="35"/>
  <c r="AY86" i="35"/>
  <c r="AU86" i="35"/>
  <c r="AQ86" i="35"/>
  <c r="AM86" i="35"/>
  <c r="AI86" i="35"/>
  <c r="AE86" i="35"/>
  <c r="AA86" i="35"/>
  <c r="W86" i="35"/>
  <c r="S86" i="35"/>
  <c r="O86" i="35"/>
  <c r="CM85" i="35"/>
  <c r="CI85" i="35"/>
  <c r="CE85" i="35"/>
  <c r="CA85" i="35"/>
  <c r="BW85" i="35"/>
  <c r="BS85" i="35"/>
  <c r="BO85" i="35"/>
  <c r="BK85" i="35"/>
  <c r="BG85" i="35"/>
  <c r="BC85" i="35"/>
  <c r="AY85" i="35"/>
  <c r="AU85" i="35"/>
  <c r="AQ85" i="35"/>
  <c r="AM85" i="35"/>
  <c r="AI85" i="35"/>
  <c r="AE85" i="35"/>
  <c r="AA85" i="35"/>
  <c r="W85" i="35"/>
  <c r="S85" i="35"/>
  <c r="O85" i="35"/>
  <c r="K85" i="35"/>
  <c r="CM83" i="35"/>
  <c r="CI83" i="35"/>
  <c r="CE83" i="35"/>
  <c r="CA83" i="35"/>
  <c r="BW83" i="35"/>
  <c r="BS83" i="35"/>
  <c r="BO83" i="35"/>
  <c r="BK83" i="35"/>
  <c r="BG83" i="35"/>
  <c r="BC83" i="35"/>
  <c r="AY83" i="35"/>
  <c r="AU83" i="35"/>
  <c r="AQ83" i="35"/>
  <c r="AM83" i="35"/>
  <c r="AI83" i="35"/>
  <c r="AE83" i="35"/>
  <c r="AA83" i="35"/>
  <c r="W83" i="35"/>
  <c r="S83" i="35"/>
  <c r="O83" i="35"/>
  <c r="K83" i="35"/>
  <c r="CM82" i="35"/>
  <c r="CI82" i="35"/>
  <c r="CE82" i="35"/>
  <c r="CA82" i="35"/>
  <c r="BW82" i="35"/>
  <c r="BS82" i="35"/>
  <c r="BO82" i="35"/>
  <c r="BK82" i="35"/>
  <c r="BG82" i="35"/>
  <c r="BC82" i="35"/>
  <c r="AY82" i="35"/>
  <c r="AU82" i="35"/>
  <c r="AQ82" i="35"/>
  <c r="AM82" i="35"/>
  <c r="AI82" i="35"/>
  <c r="AE82" i="35"/>
  <c r="AA82" i="35"/>
  <c r="W82" i="35"/>
  <c r="S82" i="35"/>
  <c r="O82" i="35"/>
  <c r="K82" i="35"/>
  <c r="CM81" i="35"/>
  <c r="CI81" i="35"/>
  <c r="CE81" i="35"/>
  <c r="CA81" i="35"/>
  <c r="BW81" i="35"/>
  <c r="BS81" i="35"/>
  <c r="BO81" i="35"/>
  <c r="BC81" i="35"/>
  <c r="AY81" i="35"/>
  <c r="AU81" i="35"/>
  <c r="O81" i="35"/>
  <c r="K81" i="35"/>
  <c r="G81" i="35"/>
  <c r="CM80" i="35"/>
  <c r="CI80" i="35"/>
  <c r="CM79" i="35"/>
  <c r="CI79" i="35"/>
  <c r="CM78" i="35"/>
  <c r="CI78" i="35"/>
  <c r="CE78" i="35"/>
  <c r="CA78" i="35"/>
  <c r="BW78" i="35"/>
  <c r="BS78" i="35"/>
  <c r="BO78" i="35"/>
  <c r="BC78" i="35"/>
  <c r="AY78" i="35"/>
  <c r="AU78" i="35"/>
  <c r="AQ78" i="35"/>
  <c r="AA78" i="35"/>
  <c r="S78" i="35"/>
  <c r="O78" i="35"/>
  <c r="K78" i="35"/>
  <c r="G78" i="35"/>
  <c r="CM77" i="35"/>
  <c r="CI77" i="35"/>
  <c r="CE77" i="35"/>
  <c r="CA77" i="35"/>
  <c r="BW77" i="35"/>
  <c r="BS77" i="35"/>
  <c r="BO77" i="35"/>
  <c r="BC77" i="35"/>
  <c r="AY77" i="35"/>
  <c r="O77" i="35"/>
  <c r="K77" i="35"/>
  <c r="G77" i="35"/>
  <c r="CM76" i="35"/>
  <c r="CI76" i="35"/>
  <c r="CE76" i="35"/>
  <c r="CA76" i="35"/>
  <c r="BW76" i="35"/>
  <c r="BS76" i="35"/>
  <c r="BO76" i="35"/>
  <c r="BK76" i="35"/>
  <c r="BG76" i="35"/>
  <c r="BC76" i="35"/>
  <c r="AY76" i="35"/>
  <c r="AU76" i="35"/>
  <c r="AQ76" i="35"/>
  <c r="AM76" i="35"/>
  <c r="AI76" i="35"/>
  <c r="S76" i="35"/>
  <c r="O76" i="35"/>
  <c r="CM75" i="35"/>
  <c r="CI75" i="35"/>
  <c r="CE75" i="35"/>
  <c r="CA75" i="35"/>
  <c r="BW75" i="35"/>
  <c r="BS75" i="35"/>
  <c r="BO75" i="35"/>
  <c r="BK75" i="35"/>
  <c r="BG75" i="35"/>
  <c r="BC75" i="35"/>
  <c r="AY75" i="35"/>
  <c r="AU75" i="35"/>
  <c r="AQ75" i="35"/>
  <c r="AM75" i="35"/>
  <c r="AI75" i="35"/>
  <c r="AE75" i="35"/>
  <c r="AA75" i="35"/>
  <c r="W75" i="35"/>
  <c r="S75" i="35"/>
  <c r="O75" i="35"/>
  <c r="K75" i="35"/>
  <c r="CM74" i="35"/>
  <c r="CI74" i="35"/>
  <c r="CE74" i="35"/>
  <c r="CA74" i="35"/>
  <c r="BW74" i="35"/>
  <c r="BS74" i="35"/>
  <c r="BO74" i="35"/>
  <c r="BK74" i="35"/>
  <c r="BG74" i="35"/>
  <c r="BC74" i="35"/>
  <c r="AY74" i="35"/>
  <c r="AU74" i="35"/>
  <c r="AQ74" i="35"/>
  <c r="AM74" i="35"/>
  <c r="AI74" i="35"/>
  <c r="AE74" i="35"/>
  <c r="AA74" i="35"/>
  <c r="W74" i="35"/>
  <c r="S74" i="35"/>
  <c r="O74" i="35"/>
  <c r="K74" i="35"/>
  <c r="G74" i="35"/>
  <c r="CM73" i="35"/>
  <c r="CI73" i="35"/>
  <c r="CE73" i="35"/>
  <c r="CA73" i="35"/>
  <c r="BW73" i="35"/>
  <c r="BS73" i="35"/>
  <c r="BO73" i="35"/>
  <c r="BK73" i="35"/>
  <c r="BG73" i="35"/>
  <c r="BC73" i="35"/>
  <c r="AY73" i="35"/>
  <c r="AU73" i="35"/>
  <c r="AQ73" i="35"/>
  <c r="AI73" i="35"/>
  <c r="AA73" i="35"/>
  <c r="W73" i="35"/>
  <c r="S73" i="35"/>
  <c r="O73" i="35"/>
  <c r="K73" i="35"/>
  <c r="G73" i="35"/>
  <c r="CM72" i="35"/>
  <c r="CI72" i="35"/>
  <c r="CE72" i="35"/>
  <c r="CA72" i="35"/>
  <c r="BW72" i="35"/>
  <c r="BS72" i="35"/>
  <c r="BO72" i="35"/>
  <c r="BK72" i="35"/>
  <c r="BG72" i="35"/>
  <c r="BC72" i="35"/>
  <c r="AY72" i="35"/>
  <c r="AU72" i="35"/>
  <c r="AQ72" i="35"/>
  <c r="AM72" i="35"/>
  <c r="AI72" i="35"/>
  <c r="AE72" i="35"/>
  <c r="AA72" i="35"/>
  <c r="W72" i="35"/>
  <c r="S72" i="35"/>
  <c r="O72" i="35"/>
  <c r="K72" i="35"/>
  <c r="G72" i="35"/>
  <c r="CM71" i="35"/>
  <c r="CI71" i="35"/>
  <c r="CE71" i="35"/>
  <c r="CA71" i="35"/>
  <c r="BW71" i="35"/>
  <c r="BS71" i="35"/>
  <c r="BO71" i="35"/>
  <c r="BK71" i="35"/>
  <c r="BG71" i="35"/>
  <c r="BC71" i="35"/>
  <c r="AY71" i="35"/>
  <c r="AU71" i="35"/>
  <c r="AQ71" i="35"/>
  <c r="AI71" i="35"/>
  <c r="AE71" i="35"/>
  <c r="AA71" i="35"/>
  <c r="W71" i="35"/>
  <c r="S71" i="35"/>
  <c r="O71" i="35"/>
  <c r="K71" i="35"/>
  <c r="G71" i="35"/>
  <c r="CL70" i="35"/>
  <c r="CK70" i="35"/>
  <c r="CJ70" i="35"/>
  <c r="CH70" i="35"/>
  <c r="CG70" i="35"/>
  <c r="CF70" i="35"/>
  <c r="CD70" i="35"/>
  <c r="CC70" i="35"/>
  <c r="CB70" i="35"/>
  <c r="BZ70" i="35"/>
  <c r="BY70" i="35"/>
  <c r="BX70" i="35"/>
  <c r="BV70" i="35"/>
  <c r="BU70" i="35"/>
  <c r="BT70" i="35"/>
  <c r="BR70" i="35"/>
  <c r="BQ70" i="35"/>
  <c r="BP70" i="35"/>
  <c r="BN70" i="35"/>
  <c r="BM70" i="35"/>
  <c r="BL70" i="35"/>
  <c r="BJ70" i="35"/>
  <c r="BI70" i="35"/>
  <c r="BH70" i="35"/>
  <c r="BF70" i="35"/>
  <c r="BE70" i="35"/>
  <c r="BD70" i="35"/>
  <c r="BB70" i="35"/>
  <c r="BA70" i="35"/>
  <c r="AZ70" i="35"/>
  <c r="AX70" i="35"/>
  <c r="AW70" i="35"/>
  <c r="AV70" i="35"/>
  <c r="AT70" i="35"/>
  <c r="AS70" i="35"/>
  <c r="AR70" i="35"/>
  <c r="AP70" i="35"/>
  <c r="AO70" i="35"/>
  <c r="AN70" i="35"/>
  <c r="AL70" i="35"/>
  <c r="AK70" i="35"/>
  <c r="AJ70" i="35"/>
  <c r="AH70" i="35"/>
  <c r="AG70" i="35"/>
  <c r="AF70" i="35"/>
  <c r="AD70" i="35"/>
  <c r="AC70" i="35"/>
  <c r="AB70" i="35"/>
  <c r="Z70" i="35"/>
  <c r="Y70" i="35"/>
  <c r="X70" i="35"/>
  <c r="V70" i="35"/>
  <c r="U70" i="35"/>
  <c r="T70" i="35"/>
  <c r="R70" i="35"/>
  <c r="Q70" i="35"/>
  <c r="P70" i="35"/>
  <c r="N70" i="35"/>
  <c r="M70" i="35"/>
  <c r="L70" i="35"/>
  <c r="J70" i="35"/>
  <c r="I70" i="35"/>
  <c r="H70" i="35"/>
  <c r="F70" i="35"/>
  <c r="E70" i="35"/>
  <c r="D70" i="35"/>
  <c r="CM69" i="35"/>
  <c r="CI69" i="35"/>
  <c r="CE69" i="35"/>
  <c r="CA69" i="35"/>
  <c r="BW69" i="35"/>
  <c r="BS69" i="35"/>
  <c r="BO69" i="35"/>
  <c r="BK69" i="35"/>
  <c r="BG69" i="35"/>
  <c r="BC69" i="35"/>
  <c r="AY69" i="35"/>
  <c r="AU69" i="35"/>
  <c r="AQ69" i="35"/>
  <c r="AM69" i="35"/>
  <c r="AI69" i="35"/>
  <c r="AE69" i="35"/>
  <c r="AA69" i="35"/>
  <c r="W69" i="35"/>
  <c r="S69" i="35"/>
  <c r="O69" i="35"/>
  <c r="K69" i="35"/>
  <c r="G69" i="35"/>
  <c r="CM68" i="35"/>
  <c r="CI68" i="35"/>
  <c r="CE68" i="35"/>
  <c r="CM67" i="35"/>
  <c r="CI67" i="35"/>
  <c r="CE67" i="35"/>
  <c r="CA67" i="35"/>
  <c r="CM66" i="35"/>
  <c r="CI66" i="35"/>
  <c r="CE66" i="35"/>
  <c r="CA66" i="35"/>
  <c r="BW66" i="35"/>
  <c r="BS66" i="35"/>
  <c r="BO66" i="35"/>
  <c r="BK66" i="35"/>
  <c r="BG66" i="35"/>
  <c r="BC66" i="35"/>
  <c r="AY66" i="35"/>
  <c r="AU66" i="35"/>
  <c r="AQ66" i="35"/>
  <c r="AM66" i="35"/>
  <c r="AI66" i="35"/>
  <c r="W66" i="35"/>
  <c r="CM65" i="35"/>
  <c r="CI65" i="35"/>
  <c r="CE65" i="35"/>
  <c r="CA65" i="35"/>
  <c r="BW65" i="35"/>
  <c r="BS65" i="35"/>
  <c r="BO65" i="35"/>
  <c r="BK65" i="35"/>
  <c r="BG65" i="35"/>
  <c r="BC65" i="35"/>
  <c r="AY65" i="35"/>
  <c r="AU65" i="35"/>
  <c r="AQ65" i="35"/>
  <c r="AM65" i="35"/>
  <c r="AI65" i="35"/>
  <c r="AE65" i="35"/>
  <c r="AA65" i="35"/>
  <c r="W65" i="35"/>
  <c r="CM64" i="35"/>
  <c r="CI64" i="35"/>
  <c r="CE64" i="35"/>
  <c r="CA64" i="35"/>
  <c r="BW64" i="35"/>
  <c r="BS64" i="35"/>
  <c r="BO64" i="35"/>
  <c r="BK64" i="35"/>
  <c r="BG64" i="35"/>
  <c r="BC64" i="35"/>
  <c r="AY64" i="35"/>
  <c r="AU64" i="35"/>
  <c r="AQ64" i="35"/>
  <c r="AM64" i="35"/>
  <c r="AI64" i="35"/>
  <c r="AE64" i="35"/>
  <c r="AA64" i="35"/>
  <c r="W64" i="35"/>
  <c r="CM63" i="35"/>
  <c r="CI63" i="35"/>
  <c r="CE63" i="35"/>
  <c r="CA63" i="35"/>
  <c r="BW63" i="35"/>
  <c r="BS63" i="35"/>
  <c r="BO63" i="35"/>
  <c r="BK63" i="35"/>
  <c r="BG63" i="35"/>
  <c r="BC63" i="35"/>
  <c r="AY63" i="35"/>
  <c r="AU63" i="35"/>
  <c r="AQ63" i="35"/>
  <c r="AM63" i="35"/>
  <c r="AI63" i="35"/>
  <c r="AE63" i="35"/>
  <c r="CM62" i="35"/>
  <c r="CI62" i="35"/>
  <c r="CE62" i="35"/>
  <c r="CA62" i="35"/>
  <c r="BW62" i="35"/>
  <c r="BS62" i="35"/>
  <c r="BO62" i="35"/>
  <c r="BK62" i="35"/>
  <c r="BG62" i="35"/>
  <c r="BC62" i="35"/>
  <c r="AY62" i="35"/>
  <c r="AU62" i="35"/>
  <c r="AQ62" i="35"/>
  <c r="AM62" i="35"/>
  <c r="AI62" i="35"/>
  <c r="AA62" i="35"/>
  <c r="W62" i="35"/>
  <c r="CM61" i="35"/>
  <c r="CI61" i="35"/>
  <c r="CE61" i="35"/>
  <c r="CA61" i="35"/>
  <c r="BW61" i="35"/>
  <c r="BS61" i="35"/>
  <c r="CM60" i="35"/>
  <c r="CI60" i="35"/>
  <c r="CE60" i="35"/>
  <c r="CA60" i="35"/>
  <c r="BW60" i="35"/>
  <c r="BS60" i="35"/>
  <c r="BO60" i="35"/>
  <c r="BK60" i="35"/>
  <c r="BG60" i="35"/>
  <c r="BC60" i="35"/>
  <c r="AY60" i="35"/>
  <c r="AU60" i="35"/>
  <c r="AQ60" i="35"/>
  <c r="AM60" i="35"/>
  <c r="CM59" i="35"/>
  <c r="CI59" i="35"/>
  <c r="CE59" i="35"/>
  <c r="CA59" i="35"/>
  <c r="BW59" i="35"/>
  <c r="BS59" i="35"/>
  <c r="BO59" i="35"/>
  <c r="BK59" i="35"/>
  <c r="BG59" i="35"/>
  <c r="BC59" i="35"/>
  <c r="AY59" i="35"/>
  <c r="AU59" i="35"/>
  <c r="AQ59" i="35"/>
  <c r="AM59" i="35"/>
  <c r="AI59" i="35"/>
  <c r="AE59" i="35"/>
  <c r="AA59" i="35"/>
  <c r="W59" i="35"/>
  <c r="S59" i="35"/>
  <c r="O59" i="35"/>
  <c r="K59" i="35"/>
  <c r="G59" i="35"/>
  <c r="CM58" i="35"/>
  <c r="CI58" i="35"/>
  <c r="CE58" i="35"/>
  <c r="CA58" i="35"/>
  <c r="BW58" i="35"/>
  <c r="BS58" i="35"/>
  <c r="BO58" i="35"/>
  <c r="BK58" i="35"/>
  <c r="BG58" i="35"/>
  <c r="BC58" i="35"/>
  <c r="AY58" i="35"/>
  <c r="AU58" i="35"/>
  <c r="AQ58" i="35"/>
  <c r="AM58" i="35"/>
  <c r="AI58" i="35"/>
  <c r="AE58" i="35"/>
  <c r="AA58" i="35"/>
  <c r="W58" i="35"/>
  <c r="S58" i="35"/>
  <c r="O58" i="35"/>
  <c r="K58" i="35"/>
  <c r="G58" i="35"/>
  <c r="CM57" i="35"/>
  <c r="CI57" i="35"/>
  <c r="CE57" i="35"/>
  <c r="CA57" i="35"/>
  <c r="BW57" i="35"/>
  <c r="BS57" i="35"/>
  <c r="BO57" i="35"/>
  <c r="BK57" i="35"/>
  <c r="BG57" i="35"/>
  <c r="BC57" i="35"/>
  <c r="AY57" i="35"/>
  <c r="AU57" i="35"/>
  <c r="AQ57" i="35"/>
  <c r="AM57" i="35"/>
  <c r="AI57" i="35"/>
  <c r="AE57" i="35"/>
  <c r="AA57" i="35"/>
  <c r="W57" i="35"/>
  <c r="S57" i="35"/>
  <c r="O57" i="35"/>
  <c r="K57" i="35"/>
  <c r="G57" i="35"/>
  <c r="CM56" i="35"/>
  <c r="CI56" i="35"/>
  <c r="CE56" i="35"/>
  <c r="CA56" i="35"/>
  <c r="BW56" i="35"/>
  <c r="BS56" i="35"/>
  <c r="BO56" i="35"/>
  <c r="BK56" i="35"/>
  <c r="BG56" i="35"/>
  <c r="BC56" i="35"/>
  <c r="AY56" i="35"/>
  <c r="AU56" i="35"/>
  <c r="AQ56" i="35"/>
  <c r="AM56" i="35"/>
  <c r="AI56" i="35"/>
  <c r="AE56" i="35"/>
  <c r="AA56" i="35"/>
  <c r="W56" i="35"/>
  <c r="S56" i="35"/>
  <c r="O56" i="35"/>
  <c r="K56" i="35"/>
  <c r="G56" i="35"/>
  <c r="CM55" i="35"/>
  <c r="CI55" i="35"/>
  <c r="CE55" i="35"/>
  <c r="CA55" i="35"/>
  <c r="BW55" i="35"/>
  <c r="BS55" i="35"/>
  <c r="BO55" i="35"/>
  <c r="BK55" i="35"/>
  <c r="BC55" i="35"/>
  <c r="AY55" i="35"/>
  <c r="AU55" i="35"/>
  <c r="AQ55" i="35"/>
  <c r="AM55" i="35"/>
  <c r="AE55" i="35"/>
  <c r="AA55" i="35"/>
  <c r="W55" i="35"/>
  <c r="S55" i="35"/>
  <c r="O55" i="35"/>
  <c r="K55" i="35"/>
  <c r="G55" i="35"/>
  <c r="CM54" i="35"/>
  <c r="CI54" i="35"/>
  <c r="CL52" i="35"/>
  <c r="CK52" i="35"/>
  <c r="CJ52" i="35"/>
  <c r="CH52" i="35"/>
  <c r="CG52" i="35"/>
  <c r="CF52" i="35"/>
  <c r="CD52" i="35"/>
  <c r="CC52" i="35"/>
  <c r="CB52" i="35"/>
  <c r="BZ52" i="35"/>
  <c r="BY52" i="35"/>
  <c r="BX52" i="35"/>
  <c r="BV52" i="35"/>
  <c r="BU52" i="35"/>
  <c r="BT52" i="35"/>
  <c r="BR52" i="35"/>
  <c r="BQ52" i="35"/>
  <c r="BP52" i="35"/>
  <c r="BN52" i="35"/>
  <c r="BM52" i="35"/>
  <c r="BL52" i="35"/>
  <c r="BJ52" i="35"/>
  <c r="BI52" i="35"/>
  <c r="BH52" i="35"/>
  <c r="BF52" i="35"/>
  <c r="BE52" i="35"/>
  <c r="BD52" i="35"/>
  <c r="BB52" i="35"/>
  <c r="BA52" i="35"/>
  <c r="AZ52" i="35"/>
  <c r="AX52" i="35"/>
  <c r="AW52" i="35"/>
  <c r="AV52" i="35"/>
  <c r="AT52" i="35"/>
  <c r="AS52" i="35"/>
  <c r="AR52" i="35"/>
  <c r="AP52" i="35"/>
  <c r="AO52" i="35"/>
  <c r="AN52" i="35"/>
  <c r="AL52" i="35"/>
  <c r="AK52" i="35"/>
  <c r="AJ52" i="35"/>
  <c r="AH52" i="35"/>
  <c r="AG52" i="35"/>
  <c r="AF52" i="35"/>
  <c r="AD52" i="35"/>
  <c r="AC52" i="35"/>
  <c r="AB52" i="35"/>
  <c r="Z52" i="35"/>
  <c r="Y52" i="35"/>
  <c r="X52" i="35"/>
  <c r="V52" i="35"/>
  <c r="U52" i="35"/>
  <c r="T52" i="35"/>
  <c r="R52" i="35"/>
  <c r="Q52" i="35"/>
  <c r="P52" i="35"/>
  <c r="N52" i="35"/>
  <c r="M52" i="35"/>
  <c r="L52" i="35"/>
  <c r="J52" i="35"/>
  <c r="I52" i="35"/>
  <c r="H52" i="35"/>
  <c r="F52" i="35"/>
  <c r="E52" i="35"/>
  <c r="D52" i="35"/>
  <c r="CM51" i="35"/>
  <c r="CI51" i="35"/>
  <c r="CE51" i="35"/>
  <c r="CA51" i="35"/>
  <c r="BW51" i="35"/>
  <c r="CM49" i="35"/>
  <c r="CI49" i="35"/>
  <c r="CE49" i="35"/>
  <c r="CA49" i="35"/>
  <c r="BW49" i="35"/>
  <c r="BS49" i="35"/>
  <c r="CM48" i="35"/>
  <c r="CI48" i="35"/>
  <c r="CE48" i="35"/>
  <c r="CA48" i="35"/>
  <c r="BW48" i="35"/>
  <c r="BS48" i="35"/>
  <c r="CM47" i="35"/>
  <c r="CI47" i="35"/>
  <c r="CE47" i="35"/>
  <c r="CA47" i="35"/>
  <c r="BW47" i="35"/>
  <c r="BS47" i="35"/>
  <c r="CM46" i="35"/>
  <c r="CI46" i="35"/>
  <c r="CE46" i="35"/>
  <c r="CA46" i="35"/>
  <c r="BW46" i="35"/>
  <c r="BS46" i="35"/>
  <c r="BO46" i="35"/>
  <c r="BK46" i="35"/>
  <c r="BG46" i="35"/>
  <c r="BC46" i="35"/>
  <c r="AY46" i="35"/>
  <c r="AU46" i="35"/>
  <c r="AQ46" i="35"/>
  <c r="AM46" i="35"/>
  <c r="AI46" i="35"/>
  <c r="AE46" i="35"/>
  <c r="AA46" i="35"/>
  <c r="O46" i="35"/>
  <c r="CM45" i="35"/>
  <c r="CI45" i="35"/>
  <c r="CE45" i="35"/>
  <c r="CM44" i="35"/>
  <c r="CI44" i="35"/>
  <c r="CE44" i="35"/>
  <c r="CA44" i="35"/>
  <c r="BW44" i="35"/>
  <c r="CM43" i="35"/>
  <c r="CI43" i="35"/>
  <c r="CE43" i="35"/>
  <c r="CA43" i="35"/>
  <c r="BW43" i="35"/>
  <c r="BS43" i="35"/>
  <c r="CM42" i="35"/>
  <c r="CI42" i="35"/>
  <c r="CE42" i="35"/>
  <c r="CA42" i="35"/>
  <c r="BW42" i="35"/>
  <c r="CM41" i="35"/>
  <c r="CI41" i="35"/>
  <c r="CE41" i="35"/>
  <c r="CA41" i="35"/>
  <c r="BW41" i="35"/>
  <c r="CM40" i="35"/>
  <c r="CI40" i="35"/>
  <c r="CE40" i="35"/>
  <c r="CA40" i="35"/>
  <c r="BW40" i="35"/>
  <c r="BS40" i="35"/>
  <c r="CM39" i="35"/>
  <c r="CI39" i="35"/>
  <c r="CE39" i="35"/>
  <c r="CA39" i="35"/>
  <c r="BW39" i="35"/>
  <c r="BS39" i="35"/>
  <c r="BO39" i="35"/>
  <c r="BK39" i="35"/>
  <c r="BG39" i="35"/>
  <c r="BC39" i="35"/>
  <c r="S39" i="35"/>
  <c r="O39" i="35"/>
  <c r="G39" i="35"/>
  <c r="CM38" i="35"/>
  <c r="CI38" i="35"/>
  <c r="CE38" i="35"/>
  <c r="CA38" i="35"/>
  <c r="CM37" i="35"/>
  <c r="CI37" i="35"/>
  <c r="CE37" i="35"/>
  <c r="CA37" i="35"/>
  <c r="BW37" i="35"/>
  <c r="BS37" i="35"/>
  <c r="BO37" i="35"/>
  <c r="BC37" i="35"/>
  <c r="AY37" i="35"/>
  <c r="AU37" i="35"/>
  <c r="AQ37" i="35"/>
  <c r="AM37" i="35"/>
  <c r="AI37" i="35"/>
  <c r="AE37" i="35"/>
  <c r="AA37" i="35"/>
  <c r="W37" i="35"/>
  <c r="S37" i="35"/>
  <c r="CM36" i="35"/>
  <c r="CI36" i="35"/>
  <c r="CE36" i="35"/>
  <c r="CA36" i="35"/>
  <c r="BW36" i="35"/>
  <c r="BS36" i="35"/>
  <c r="BO36" i="35"/>
  <c r="BK36" i="35"/>
  <c r="BG36" i="35"/>
  <c r="BC36" i="35"/>
  <c r="AY36" i="35"/>
  <c r="AU36" i="35"/>
  <c r="AQ36" i="35"/>
  <c r="AM36" i="35"/>
  <c r="AI36" i="35"/>
  <c r="AE36" i="35"/>
  <c r="AA36" i="35"/>
  <c r="W36" i="35"/>
  <c r="S36" i="35"/>
  <c r="O36" i="35"/>
  <c r="K36" i="35"/>
  <c r="K52" i="35" s="1"/>
  <c r="G36" i="35"/>
  <c r="CL35" i="35"/>
  <c r="CK35" i="35"/>
  <c r="CJ35" i="35"/>
  <c r="CH35" i="35"/>
  <c r="CG35" i="35"/>
  <c r="CF35" i="35"/>
  <c r="CD35" i="35"/>
  <c r="CC35" i="35"/>
  <c r="CB35" i="35"/>
  <c r="BZ35" i="35"/>
  <c r="BY35" i="35"/>
  <c r="BX35" i="35"/>
  <c r="BV35" i="35"/>
  <c r="BU35" i="35"/>
  <c r="BT35" i="35"/>
  <c r="BR35" i="35"/>
  <c r="BQ35" i="35"/>
  <c r="BP35" i="35"/>
  <c r="BN35" i="35"/>
  <c r="BM35" i="35"/>
  <c r="BL35" i="35"/>
  <c r="BJ35" i="35"/>
  <c r="BI35" i="35"/>
  <c r="BH35" i="35"/>
  <c r="BF35" i="35"/>
  <c r="BE35" i="35"/>
  <c r="BD35" i="35"/>
  <c r="BB35" i="35"/>
  <c r="BA35" i="35"/>
  <c r="AZ35" i="35"/>
  <c r="AX35" i="35"/>
  <c r="AW35" i="35"/>
  <c r="AV35" i="35"/>
  <c r="AT35" i="35"/>
  <c r="AS35" i="35"/>
  <c r="AR35" i="35"/>
  <c r="AP35" i="35"/>
  <c r="AO35" i="35"/>
  <c r="AN35" i="35"/>
  <c r="AL35" i="35"/>
  <c r="AK35" i="35"/>
  <c r="AJ35" i="35"/>
  <c r="AH35" i="35"/>
  <c r="AG35" i="35"/>
  <c r="AF35" i="35"/>
  <c r="AD35" i="35"/>
  <c r="AC35" i="35"/>
  <c r="AB35" i="35"/>
  <c r="Z35" i="35"/>
  <c r="Y35" i="35"/>
  <c r="X35" i="35"/>
  <c r="V35" i="35"/>
  <c r="U35" i="35"/>
  <c r="T35" i="35"/>
  <c r="R35" i="35"/>
  <c r="Q35" i="35"/>
  <c r="P35" i="35"/>
  <c r="N35" i="35"/>
  <c r="M35" i="35"/>
  <c r="L35" i="35"/>
  <c r="J35" i="35"/>
  <c r="I35" i="35"/>
  <c r="H35" i="35"/>
  <c r="F35" i="35"/>
  <c r="E35" i="35"/>
  <c r="CM34" i="35"/>
  <c r="CI34" i="35"/>
  <c r="CE34" i="35"/>
  <c r="CA34" i="35"/>
  <c r="BW34" i="35"/>
  <c r="BS34" i="35"/>
  <c r="BO34" i="35"/>
  <c r="BK34" i="35"/>
  <c r="BG34" i="35"/>
  <c r="BC34" i="35"/>
  <c r="AY34" i="35"/>
  <c r="AU34" i="35"/>
  <c r="AQ34" i="35"/>
  <c r="CM33" i="35"/>
  <c r="CI33" i="35"/>
  <c r="CE33" i="35"/>
  <c r="CA33" i="35"/>
  <c r="BW33" i="35"/>
  <c r="BS33" i="35"/>
  <c r="BO33" i="35"/>
  <c r="BG33" i="35"/>
  <c r="BC33" i="35"/>
  <c r="AY33" i="35"/>
  <c r="AU33" i="35"/>
  <c r="AQ33" i="35"/>
  <c r="AI33" i="35"/>
  <c r="CM32" i="35"/>
  <c r="CI32" i="35"/>
  <c r="CE32" i="35"/>
  <c r="CA32" i="35"/>
  <c r="BW32" i="35"/>
  <c r="BS32" i="35"/>
  <c r="BO32" i="35"/>
  <c r="BG32" i="35"/>
  <c r="BC32" i="35"/>
  <c r="AY32" i="35"/>
  <c r="CM31" i="35"/>
  <c r="CI31" i="35"/>
  <c r="CE31" i="35"/>
  <c r="CM30" i="35"/>
  <c r="CI30" i="35"/>
  <c r="CE30" i="35"/>
  <c r="CA30" i="35"/>
  <c r="BW30" i="35"/>
  <c r="BS30" i="35"/>
  <c r="BO30" i="35"/>
  <c r="CM29" i="35"/>
  <c r="CI29" i="35"/>
  <c r="CE29" i="35"/>
  <c r="CA29" i="35"/>
  <c r="BW29" i="35"/>
  <c r="BS29" i="35"/>
  <c r="BO29" i="35"/>
  <c r="BK29" i="35"/>
  <c r="BG29" i="35"/>
  <c r="BC29" i="35"/>
  <c r="AY29" i="35"/>
  <c r="AU29" i="35"/>
  <c r="AQ29" i="35"/>
  <c r="AI29" i="35"/>
  <c r="AE29" i="35"/>
  <c r="AA29" i="35"/>
  <c r="W29" i="35"/>
  <c r="S29" i="35"/>
  <c r="O29" i="35"/>
  <c r="G29" i="35"/>
  <c r="CM28" i="35"/>
  <c r="CI28" i="35"/>
  <c r="CE28" i="35"/>
  <c r="CA28" i="35"/>
  <c r="BW28" i="35"/>
  <c r="BS28" i="35"/>
  <c r="BO28" i="35"/>
  <c r="BK28" i="35"/>
  <c r="BG28" i="35"/>
  <c r="BC28" i="35"/>
  <c r="AY28" i="35"/>
  <c r="AU28" i="35"/>
  <c r="AQ28" i="35"/>
  <c r="AM28" i="35"/>
  <c r="AI28" i="35"/>
  <c r="AE28" i="35"/>
  <c r="AA28" i="35"/>
  <c r="W28" i="35"/>
  <c r="S28" i="35"/>
  <c r="O28" i="35"/>
  <c r="K28" i="35"/>
  <c r="G28" i="35"/>
  <c r="CM27" i="35"/>
  <c r="CI27" i="35"/>
  <c r="CE27" i="35"/>
  <c r="CA27" i="35"/>
  <c r="BW27" i="35"/>
  <c r="BS27" i="35"/>
  <c r="BO27" i="35"/>
  <c r="BG27" i="35"/>
  <c r="BC27" i="35"/>
  <c r="AY27" i="35"/>
  <c r="AU27" i="35"/>
  <c r="AQ27" i="35"/>
  <c r="CM26" i="35"/>
  <c r="CI26" i="35"/>
  <c r="CE26" i="35"/>
  <c r="CA26" i="35"/>
  <c r="BW26" i="35"/>
  <c r="BS26" i="35"/>
  <c r="BO26" i="35"/>
  <c r="BG26" i="35"/>
  <c r="BC26" i="35"/>
  <c r="AY26" i="35"/>
  <c r="AU26" i="35"/>
  <c r="AQ26" i="35"/>
  <c r="AM26" i="35"/>
  <c r="AI26" i="35"/>
  <c r="CM25" i="35"/>
  <c r="CI25" i="35"/>
  <c r="CE25" i="35"/>
  <c r="CA25" i="35"/>
  <c r="BW25" i="35"/>
  <c r="BS25" i="35"/>
  <c r="BO25" i="35"/>
  <c r="BG25" i="35"/>
  <c r="BC25" i="35"/>
  <c r="AY25" i="35"/>
  <c r="AU25" i="35"/>
  <c r="AQ25" i="35"/>
  <c r="AM25" i="35"/>
  <c r="AI25" i="35"/>
  <c r="AE25" i="35"/>
  <c r="AA25" i="35"/>
  <c r="W25" i="35"/>
  <c r="S25" i="35"/>
  <c r="O25" i="35"/>
  <c r="K25" i="35"/>
  <c r="CM24" i="35"/>
  <c r="CI24" i="35"/>
  <c r="CE24" i="35"/>
  <c r="CA24" i="35"/>
  <c r="BW24" i="35"/>
  <c r="BS24" i="35"/>
  <c r="BO24" i="35"/>
  <c r="BK24" i="35"/>
  <c r="BG24" i="35"/>
  <c r="BC24" i="35"/>
  <c r="AY24" i="35"/>
  <c r="CM23" i="35"/>
  <c r="CM22" i="35"/>
  <c r="CI22" i="35"/>
  <c r="CE22" i="35"/>
  <c r="CA22" i="35"/>
  <c r="BW22" i="35"/>
  <c r="BS22" i="35"/>
  <c r="BO22" i="35"/>
  <c r="BG22" i="35"/>
  <c r="BC22" i="35"/>
  <c r="AY22" i="35"/>
  <c r="AU22" i="35"/>
  <c r="CM21" i="35"/>
  <c r="CI21" i="35"/>
  <c r="CE21" i="35"/>
  <c r="CA21" i="35"/>
  <c r="BW21" i="35"/>
  <c r="BS21" i="35"/>
  <c r="BO21" i="35"/>
  <c r="BG21" i="35"/>
  <c r="BC21" i="35"/>
  <c r="AY21" i="35"/>
  <c r="AU21" i="35"/>
  <c r="AQ21" i="35"/>
  <c r="AM21" i="35"/>
  <c r="AI21" i="35"/>
  <c r="AE21" i="35"/>
  <c r="CM20" i="35"/>
  <c r="CM19" i="35"/>
  <c r="CI19" i="35"/>
  <c r="CE19" i="35"/>
  <c r="CA19" i="35"/>
  <c r="BW19" i="35"/>
  <c r="BS19" i="35"/>
  <c r="BO19" i="35"/>
  <c r="BK19" i="35"/>
  <c r="BG19" i="35"/>
  <c r="BC19" i="35"/>
  <c r="AY19" i="35"/>
  <c r="AU19" i="35"/>
  <c r="AQ19" i="35"/>
  <c r="AM19" i="35"/>
  <c r="AI19" i="35"/>
  <c r="AE19" i="35"/>
  <c r="AA19" i="35"/>
  <c r="W19" i="35"/>
  <c r="S19" i="35"/>
  <c r="O19" i="35"/>
  <c r="K19" i="35"/>
  <c r="G19" i="35"/>
  <c r="CL18" i="35"/>
  <c r="CK18" i="35"/>
  <c r="CJ18" i="35"/>
  <c r="CH18" i="35"/>
  <c r="CG18" i="35"/>
  <c r="CF18" i="35"/>
  <c r="CD18" i="35"/>
  <c r="CC18" i="35"/>
  <c r="CB18" i="35"/>
  <c r="BZ18" i="35"/>
  <c r="BY18" i="35"/>
  <c r="BX18" i="35"/>
  <c r="BV18" i="35"/>
  <c r="BU18" i="35"/>
  <c r="BT18" i="35"/>
  <c r="BR18" i="35"/>
  <c r="BQ18" i="35"/>
  <c r="BP18" i="35"/>
  <c r="BN18" i="35"/>
  <c r="BM18" i="35"/>
  <c r="BL18" i="35"/>
  <c r="BJ18" i="35"/>
  <c r="BI18" i="35"/>
  <c r="BH18" i="35"/>
  <c r="BF18" i="35"/>
  <c r="BE18" i="35"/>
  <c r="BD18" i="35"/>
  <c r="BB18" i="35"/>
  <c r="BA18" i="35"/>
  <c r="AZ18" i="35"/>
  <c r="AX18" i="35"/>
  <c r="AW18" i="35"/>
  <c r="AV18" i="35"/>
  <c r="AT18" i="35"/>
  <c r="AS18" i="35"/>
  <c r="AR18" i="35"/>
  <c r="AP18" i="35"/>
  <c r="AO18" i="35"/>
  <c r="AN18" i="35"/>
  <c r="AL18" i="35"/>
  <c r="AK18" i="35"/>
  <c r="AJ18" i="35"/>
  <c r="AH18" i="35"/>
  <c r="AG18" i="35"/>
  <c r="AF18" i="35"/>
  <c r="AD18" i="35"/>
  <c r="AC18" i="35"/>
  <c r="AB18" i="35"/>
  <c r="Z18" i="35"/>
  <c r="Y18" i="35"/>
  <c r="X18" i="35"/>
  <c r="V18" i="35"/>
  <c r="U18" i="35"/>
  <c r="T18" i="35"/>
  <c r="R18" i="35"/>
  <c r="Q18" i="35"/>
  <c r="P18" i="35"/>
  <c r="N18" i="35"/>
  <c r="M18" i="35"/>
  <c r="L18" i="35"/>
  <c r="J18" i="35"/>
  <c r="I18" i="35"/>
  <c r="H18" i="35"/>
  <c r="F18" i="35"/>
  <c r="E18" i="35"/>
  <c r="D18" i="35"/>
  <c r="CM17" i="35"/>
  <c r="CI17" i="35"/>
  <c r="CE17" i="35"/>
  <c r="CA17" i="35"/>
  <c r="CM16" i="35"/>
  <c r="CI16" i="35"/>
  <c r="CE16" i="35"/>
  <c r="CA16" i="35"/>
  <c r="CM15" i="35"/>
  <c r="CI15" i="35"/>
  <c r="CE15" i="35"/>
  <c r="CA15" i="35"/>
  <c r="CM14" i="35"/>
  <c r="CI14" i="35"/>
  <c r="CE14" i="35"/>
  <c r="CA14" i="35"/>
  <c r="BW14" i="35"/>
  <c r="BS14" i="35"/>
  <c r="BO14" i="35"/>
  <c r="BK14" i="35"/>
  <c r="BG14" i="35"/>
  <c r="BC14" i="35"/>
  <c r="AY14" i="35"/>
  <c r="AU14" i="35"/>
  <c r="AQ14" i="35"/>
  <c r="CM13" i="35"/>
  <c r="CI13" i="35"/>
  <c r="CE13" i="35"/>
  <c r="CA13" i="35"/>
  <c r="BW13" i="35"/>
  <c r="BS13" i="35"/>
  <c r="BO13" i="35"/>
  <c r="BK13" i="35"/>
  <c r="BG13" i="35"/>
  <c r="BC13" i="35"/>
  <c r="AY13" i="35"/>
  <c r="AU13" i="35"/>
  <c r="AQ13" i="35"/>
  <c r="AM13" i="35"/>
  <c r="AI13" i="35"/>
  <c r="AE13" i="35"/>
  <c r="AA13" i="35"/>
  <c r="W13" i="35"/>
  <c r="S13" i="35"/>
  <c r="CM12" i="35"/>
  <c r="CI12" i="35"/>
  <c r="CE12" i="35"/>
  <c r="CA12" i="35"/>
  <c r="BW12" i="35"/>
  <c r="BS12" i="35"/>
  <c r="BO12" i="35"/>
  <c r="CM11" i="35"/>
  <c r="CE11" i="35"/>
  <c r="CA11" i="35"/>
  <c r="BW11" i="35"/>
  <c r="BS11" i="35"/>
  <c r="BO11" i="35"/>
  <c r="CM10" i="35"/>
  <c r="CI10" i="35"/>
  <c r="CE10" i="35"/>
  <c r="CA10" i="35"/>
  <c r="BW10" i="35"/>
  <c r="BS10" i="35"/>
  <c r="BO10" i="35"/>
  <c r="BK10" i="35"/>
  <c r="BG10" i="35"/>
  <c r="BC10" i="35"/>
  <c r="AY10" i="35"/>
  <c r="AU10" i="35"/>
  <c r="AQ10" i="35"/>
  <c r="AM10" i="35"/>
  <c r="AI10" i="35"/>
  <c r="AE10" i="35"/>
  <c r="AA10" i="35"/>
  <c r="W10" i="35"/>
  <c r="S10" i="35"/>
  <c r="O10" i="35"/>
  <c r="K10" i="35"/>
  <c r="K18" i="35" s="1"/>
  <c r="G10" i="35"/>
  <c r="G18" i="35" s="1"/>
  <c r="CM9" i="35"/>
  <c r="CI9" i="35"/>
  <c r="CE9" i="35"/>
  <c r="CA9" i="35"/>
  <c r="CM8" i="35"/>
  <c r="CI8" i="35"/>
  <c r="CE8" i="35"/>
  <c r="CA8" i="35"/>
  <c r="BW8" i="35"/>
  <c r="BS8" i="35"/>
  <c r="BO8" i="35"/>
  <c r="BK8" i="35"/>
  <c r="BG8" i="35"/>
  <c r="BC8" i="35"/>
  <c r="AY8" i="35"/>
  <c r="AU8" i="35"/>
  <c r="AQ8" i="35"/>
  <c r="AM8" i="35"/>
  <c r="AI8" i="35"/>
  <c r="AE8" i="35"/>
  <c r="AA8" i="35"/>
  <c r="CM7" i="35"/>
  <c r="CM6" i="35"/>
  <c r="CI6" i="35"/>
  <c r="CE6" i="35"/>
  <c r="CA6" i="35"/>
  <c r="BW6" i="35"/>
  <c r="BS6" i="35"/>
  <c r="BO6" i="35"/>
  <c r="BK6" i="35"/>
  <c r="BG6" i="35"/>
  <c r="BC6" i="35"/>
  <c r="AY6" i="35"/>
  <c r="AU6" i="35"/>
  <c r="AQ6" i="35"/>
  <c r="AM6" i="35"/>
  <c r="AI6" i="35"/>
  <c r="AE6" i="35"/>
  <c r="AA6" i="35"/>
  <c r="W6" i="35"/>
  <c r="S6" i="35"/>
  <c r="O6" i="35"/>
  <c r="CM5" i="35"/>
  <c r="CI5" i="35"/>
  <c r="CE5" i="35"/>
  <c r="CA5" i="35"/>
  <c r="BC5" i="35"/>
  <c r="AY5" i="35"/>
  <c r="W5" i="35"/>
  <c r="S5" i="35"/>
  <c r="U233" i="34"/>
  <c r="T233" i="34"/>
  <c r="S233" i="34"/>
  <c r="U232" i="34"/>
  <c r="T232" i="34"/>
  <c r="S232" i="34"/>
  <c r="M225" i="34"/>
  <c r="L225" i="34"/>
  <c r="M224" i="34"/>
  <c r="L224" i="34"/>
  <c r="M223" i="34"/>
  <c r="L223" i="34"/>
  <c r="M220" i="34"/>
  <c r="M222" i="34"/>
  <c r="M246" i="34" s="1"/>
  <c r="M217" i="34"/>
  <c r="L217" i="34"/>
  <c r="M216" i="34"/>
  <c r="L216" i="34"/>
  <c r="L228" i="34" s="1"/>
  <c r="U215" i="34"/>
  <c r="T215" i="34"/>
  <c r="S215" i="34"/>
  <c r="R215" i="34"/>
  <c r="Q215" i="34"/>
  <c r="P215" i="34"/>
  <c r="O215" i="34"/>
  <c r="N215" i="34"/>
  <c r="M215" i="34"/>
  <c r="L215" i="34"/>
  <c r="L218" i="34" s="1"/>
  <c r="M208" i="34"/>
  <c r="L208" i="34"/>
  <c r="K208" i="34"/>
  <c r="J208" i="34"/>
  <c r="I208" i="34"/>
  <c r="H208" i="34"/>
  <c r="H209" i="34" s="1"/>
  <c r="G208" i="34"/>
  <c r="F208" i="34"/>
  <c r="E208" i="34"/>
  <c r="D208" i="34"/>
  <c r="M207" i="34"/>
  <c r="L207" i="34"/>
  <c r="K207" i="34"/>
  <c r="J207" i="34"/>
  <c r="I207" i="34"/>
  <c r="H207" i="34"/>
  <c r="G207" i="34"/>
  <c r="F207" i="34"/>
  <c r="E207" i="34"/>
  <c r="D207" i="34"/>
  <c r="U206" i="34"/>
  <c r="T206" i="34"/>
  <c r="S206" i="34"/>
  <c r="R206" i="34"/>
  <c r="Q206" i="34"/>
  <c r="P206" i="34"/>
  <c r="O206" i="34"/>
  <c r="N206" i="34"/>
  <c r="M206" i="34"/>
  <c r="L206" i="34"/>
  <c r="L209" i="34" s="1"/>
  <c r="K206" i="34"/>
  <c r="J206" i="34"/>
  <c r="I206" i="34"/>
  <c r="H206" i="34"/>
  <c r="G206" i="34"/>
  <c r="F206" i="34"/>
  <c r="E206" i="34"/>
  <c r="E209" i="34" s="1"/>
  <c r="E245" i="34" s="1"/>
  <c r="D206" i="34"/>
  <c r="M204" i="34"/>
  <c r="L204" i="34"/>
  <c r="K204" i="34"/>
  <c r="J204" i="34"/>
  <c r="I204" i="34"/>
  <c r="H204" i="34"/>
  <c r="G204" i="34"/>
  <c r="F204" i="34"/>
  <c r="E204" i="34"/>
  <c r="D204" i="34"/>
  <c r="M203" i="34"/>
  <c r="L203" i="34"/>
  <c r="K203" i="34"/>
  <c r="J203" i="34"/>
  <c r="I203" i="34"/>
  <c r="H203" i="34"/>
  <c r="G203" i="34"/>
  <c r="F203" i="34"/>
  <c r="E203" i="34"/>
  <c r="D203" i="34"/>
  <c r="M202" i="34"/>
  <c r="L202" i="34"/>
  <c r="K202" i="34"/>
  <c r="J202" i="34"/>
  <c r="I202" i="34"/>
  <c r="H202" i="34"/>
  <c r="G202" i="34"/>
  <c r="F202" i="34"/>
  <c r="E202" i="34"/>
  <c r="D202" i="34"/>
  <c r="M200" i="34"/>
  <c r="M212" i="34" s="1"/>
  <c r="L200" i="34"/>
  <c r="L212" i="34" s="1"/>
  <c r="K200" i="34"/>
  <c r="J200" i="34"/>
  <c r="I200" i="34"/>
  <c r="H200" i="34"/>
  <c r="G200" i="34"/>
  <c r="F200" i="34"/>
  <c r="E200" i="34"/>
  <c r="E212" i="34" s="1"/>
  <c r="D200" i="34"/>
  <c r="M199" i="34"/>
  <c r="L199" i="34"/>
  <c r="K199" i="34"/>
  <c r="J199" i="34"/>
  <c r="I199" i="34"/>
  <c r="H199" i="34"/>
  <c r="G199" i="34"/>
  <c r="G211" i="34" s="1"/>
  <c r="F199" i="34"/>
  <c r="F211" i="34" s="1"/>
  <c r="E199" i="34"/>
  <c r="D199" i="34"/>
  <c r="M198" i="34"/>
  <c r="M201" i="34" s="1"/>
  <c r="L198" i="34"/>
  <c r="K198" i="34"/>
  <c r="J198" i="34"/>
  <c r="I198" i="34"/>
  <c r="H198" i="34"/>
  <c r="G198" i="34"/>
  <c r="F198" i="34"/>
  <c r="E198" i="34"/>
  <c r="D198" i="34"/>
  <c r="M191" i="34"/>
  <c r="L191" i="34"/>
  <c r="K191" i="34"/>
  <c r="J191" i="34"/>
  <c r="I191" i="34"/>
  <c r="H191" i="34"/>
  <c r="G191" i="34"/>
  <c r="F191" i="34"/>
  <c r="E191" i="34"/>
  <c r="D191" i="34"/>
  <c r="M190" i="34"/>
  <c r="L190" i="34"/>
  <c r="K190" i="34"/>
  <c r="J190" i="34"/>
  <c r="I190" i="34"/>
  <c r="H190" i="34"/>
  <c r="G190" i="34"/>
  <c r="F190" i="34"/>
  <c r="E190" i="34"/>
  <c r="D190" i="34"/>
  <c r="M189" i="34"/>
  <c r="L189" i="34"/>
  <c r="L192" i="34" s="1"/>
  <c r="K189" i="34"/>
  <c r="J189" i="34"/>
  <c r="I189" i="34"/>
  <c r="H189" i="34"/>
  <c r="H192" i="34" s="1"/>
  <c r="G189" i="34"/>
  <c r="F189" i="34"/>
  <c r="E189" i="34"/>
  <c r="D189" i="34"/>
  <c r="M187" i="34"/>
  <c r="L187" i="34"/>
  <c r="K187" i="34"/>
  <c r="J187" i="34"/>
  <c r="I187" i="34"/>
  <c r="H187" i="34"/>
  <c r="G187" i="34"/>
  <c r="F187" i="34"/>
  <c r="E187" i="34"/>
  <c r="D187" i="34"/>
  <c r="M186" i="34"/>
  <c r="M188" i="34" s="1"/>
  <c r="L186" i="34"/>
  <c r="K186" i="34"/>
  <c r="J186" i="34"/>
  <c r="I186" i="34"/>
  <c r="H186" i="34"/>
  <c r="G186" i="34"/>
  <c r="F186" i="34"/>
  <c r="E186" i="34"/>
  <c r="D186" i="34"/>
  <c r="M185" i="34"/>
  <c r="L185" i="34"/>
  <c r="K185" i="34"/>
  <c r="J185" i="34"/>
  <c r="J188" i="34" s="1"/>
  <c r="I185" i="34"/>
  <c r="H185" i="34"/>
  <c r="G185" i="34"/>
  <c r="F185" i="34"/>
  <c r="E185" i="34"/>
  <c r="E188" i="34" s="1"/>
  <c r="D185" i="34"/>
  <c r="M183" i="34"/>
  <c r="L183" i="34"/>
  <c r="K183" i="34"/>
  <c r="J183" i="34"/>
  <c r="J195" i="34" s="1"/>
  <c r="I183" i="34"/>
  <c r="I195" i="34" s="1"/>
  <c r="H183" i="34"/>
  <c r="G183" i="34"/>
  <c r="F183" i="34"/>
  <c r="E183" i="34"/>
  <c r="D183" i="34"/>
  <c r="M182" i="34"/>
  <c r="L182" i="34"/>
  <c r="L194" i="34" s="1"/>
  <c r="K182" i="34"/>
  <c r="J182" i="34"/>
  <c r="I182" i="34"/>
  <c r="H182" i="34"/>
  <c r="G182" i="34"/>
  <c r="F182" i="34"/>
  <c r="E182" i="34"/>
  <c r="D182" i="34"/>
  <c r="D184" i="34" s="1"/>
  <c r="P181" i="34"/>
  <c r="O181" i="34"/>
  <c r="N181" i="34"/>
  <c r="M181" i="34"/>
  <c r="L181" i="34"/>
  <c r="K181" i="34"/>
  <c r="J181" i="34"/>
  <c r="J193" i="34" s="1"/>
  <c r="I181" i="34"/>
  <c r="H181" i="34"/>
  <c r="G181" i="34"/>
  <c r="F181" i="34"/>
  <c r="F184" i="34" s="1"/>
  <c r="E181" i="34"/>
  <c r="D181" i="34"/>
  <c r="M174" i="34"/>
  <c r="L174" i="34"/>
  <c r="K174" i="34"/>
  <c r="J174" i="34"/>
  <c r="I174" i="34"/>
  <c r="H174" i="34"/>
  <c r="H175" i="34" s="1"/>
  <c r="H245" i="34" s="1"/>
  <c r="G174" i="34"/>
  <c r="F174" i="34"/>
  <c r="E174" i="34"/>
  <c r="D174" i="34"/>
  <c r="M173" i="34"/>
  <c r="L173" i="34"/>
  <c r="K173" i="34"/>
  <c r="J173" i="34"/>
  <c r="I173" i="34"/>
  <c r="H173" i="34"/>
  <c r="G173" i="34"/>
  <c r="F173" i="34"/>
  <c r="E173" i="34"/>
  <c r="D173" i="34"/>
  <c r="M172" i="34"/>
  <c r="L172" i="34"/>
  <c r="L175" i="34" s="1"/>
  <c r="K172" i="34"/>
  <c r="J172" i="34"/>
  <c r="I172" i="34"/>
  <c r="H172" i="34"/>
  <c r="G172" i="34"/>
  <c r="F172" i="34"/>
  <c r="E172" i="34"/>
  <c r="D172" i="34"/>
  <c r="D175" i="34" s="1"/>
  <c r="M170" i="34"/>
  <c r="L170" i="34"/>
  <c r="K170" i="34"/>
  <c r="J170" i="34"/>
  <c r="I170" i="34"/>
  <c r="H170" i="34"/>
  <c r="G170" i="34"/>
  <c r="F170" i="34"/>
  <c r="E170" i="34"/>
  <c r="D170" i="34"/>
  <c r="M169" i="34"/>
  <c r="L169" i="34"/>
  <c r="K169" i="34"/>
  <c r="J169" i="34"/>
  <c r="I169" i="34"/>
  <c r="H169" i="34"/>
  <c r="G169" i="34"/>
  <c r="F169" i="34"/>
  <c r="E169" i="34"/>
  <c r="E171" i="34" s="1"/>
  <c r="D169" i="34"/>
  <c r="M168" i="34"/>
  <c r="M171" i="34" s="1"/>
  <c r="L168" i="34"/>
  <c r="K168" i="34"/>
  <c r="K171" i="34" s="1"/>
  <c r="J168" i="34"/>
  <c r="I168" i="34"/>
  <c r="H168" i="34"/>
  <c r="G168" i="34"/>
  <c r="F168" i="34"/>
  <c r="E168" i="34"/>
  <c r="D168" i="34"/>
  <c r="M166" i="34"/>
  <c r="L166" i="34"/>
  <c r="K166" i="34"/>
  <c r="J166" i="34"/>
  <c r="J178" i="34" s="1"/>
  <c r="I166" i="34"/>
  <c r="H166" i="34"/>
  <c r="G166" i="34"/>
  <c r="G178" i="34" s="1"/>
  <c r="F166" i="34"/>
  <c r="E166" i="34"/>
  <c r="E178" i="34"/>
  <c r="D166" i="34"/>
  <c r="M165" i="34"/>
  <c r="L165" i="34"/>
  <c r="K165" i="34"/>
  <c r="J165" i="34"/>
  <c r="I165" i="34"/>
  <c r="H165" i="34"/>
  <c r="G165" i="34"/>
  <c r="G177" i="34" s="1"/>
  <c r="F165" i="34"/>
  <c r="E165" i="34"/>
  <c r="D165" i="34"/>
  <c r="D167" i="34" s="1"/>
  <c r="U164" i="34"/>
  <c r="T164" i="34"/>
  <c r="S164" i="34"/>
  <c r="R164" i="34"/>
  <c r="Q164" i="34"/>
  <c r="P164" i="34"/>
  <c r="O164" i="34"/>
  <c r="N164" i="34"/>
  <c r="M164" i="34"/>
  <c r="L164" i="34"/>
  <c r="L167" i="34" s="1"/>
  <c r="K164" i="34"/>
  <c r="J164" i="34"/>
  <c r="I164" i="34"/>
  <c r="I176" i="34" s="1"/>
  <c r="H164" i="34"/>
  <c r="G164" i="34"/>
  <c r="F164" i="34"/>
  <c r="F167" i="34" s="1"/>
  <c r="E164" i="34"/>
  <c r="D164" i="34"/>
  <c r="I87" i="34"/>
  <c r="H87" i="34"/>
  <c r="G87" i="34"/>
  <c r="F87" i="34"/>
  <c r="E87" i="34"/>
  <c r="D87" i="34"/>
  <c r="I86" i="34"/>
  <c r="H86" i="34"/>
  <c r="G86" i="34"/>
  <c r="F86" i="34"/>
  <c r="E86" i="34"/>
  <c r="D86" i="34"/>
  <c r="I85" i="34"/>
  <c r="H85" i="34"/>
  <c r="G85" i="34"/>
  <c r="D85" i="34"/>
  <c r="I84" i="34"/>
  <c r="H84" i="34"/>
  <c r="G84" i="34"/>
  <c r="F84" i="34"/>
  <c r="E84" i="34"/>
  <c r="D84" i="34"/>
  <c r="U75" i="34"/>
  <c r="U234" i="34" s="1"/>
  <c r="T75" i="34"/>
  <c r="T234" i="34" s="1"/>
  <c r="T235" i="34" s="1"/>
  <c r="S75" i="34"/>
  <c r="S234" i="34" s="1"/>
  <c r="S235" i="34" s="1"/>
  <c r="M70" i="34"/>
  <c r="L70" i="34"/>
  <c r="M69" i="34"/>
  <c r="L69" i="34"/>
  <c r="M68" i="34"/>
  <c r="M71" i="34" s="1"/>
  <c r="F85" i="34" s="1"/>
  <c r="F90" i="34" s="1"/>
  <c r="L68" i="34"/>
  <c r="M67" i="34"/>
  <c r="M89" i="34"/>
  <c r="U66" i="34"/>
  <c r="T66" i="34"/>
  <c r="T225" i="34" s="1"/>
  <c r="S66" i="34"/>
  <c r="S225" i="34" s="1"/>
  <c r="R66" i="34"/>
  <c r="R225" i="34" s="1"/>
  <c r="Q66" i="34"/>
  <c r="Q225" i="34" s="1"/>
  <c r="P66" i="34"/>
  <c r="P225" i="34"/>
  <c r="O66" i="34"/>
  <c r="O225" i="34" s="1"/>
  <c r="N66" i="34"/>
  <c r="N225" i="34" s="1"/>
  <c r="U65" i="34"/>
  <c r="U224" i="34" s="1"/>
  <c r="U228" i="34" s="1"/>
  <c r="T65" i="34"/>
  <c r="T224" i="34" s="1"/>
  <c r="S65" i="34"/>
  <c r="S224" i="34" s="1"/>
  <c r="R65" i="34"/>
  <c r="R224" i="34"/>
  <c r="Q65" i="34"/>
  <c r="Q224" i="34" s="1"/>
  <c r="P65" i="34"/>
  <c r="P224" i="34" s="1"/>
  <c r="O65" i="34"/>
  <c r="O224" i="34" s="1"/>
  <c r="N65" i="34"/>
  <c r="N224" i="34" s="1"/>
  <c r="U64" i="34"/>
  <c r="U223" i="34" s="1"/>
  <c r="T64" i="34"/>
  <c r="T223" i="34" s="1"/>
  <c r="S64" i="34"/>
  <c r="S223" i="34" s="1"/>
  <c r="R64" i="34"/>
  <c r="R223" i="34" s="1"/>
  <c r="R227" i="34" s="1"/>
  <c r="Q64" i="34"/>
  <c r="Q223" i="34" s="1"/>
  <c r="P64" i="34"/>
  <c r="P68" i="34" s="1"/>
  <c r="O64" i="34"/>
  <c r="O223" i="34" s="1"/>
  <c r="N64" i="34"/>
  <c r="N223" i="34" s="1"/>
  <c r="N226" i="34" s="1"/>
  <c r="N247" i="34" s="1"/>
  <c r="M63" i="34"/>
  <c r="M88" i="34" s="1"/>
  <c r="U61" i="34"/>
  <c r="U220" i="34" s="1"/>
  <c r="U222" i="34" s="1"/>
  <c r="U246" i="34" s="1"/>
  <c r="T61" i="34"/>
  <c r="T220" i="34" s="1"/>
  <c r="T222" i="34" s="1"/>
  <c r="T246" i="34" s="1"/>
  <c r="S61" i="34"/>
  <c r="S63" i="34" s="1"/>
  <c r="S88" i="34" s="1"/>
  <c r="R61" i="34"/>
  <c r="R220" i="34" s="1"/>
  <c r="R222" i="34" s="1"/>
  <c r="R246" i="34" s="1"/>
  <c r="Q61" i="34"/>
  <c r="Q220" i="34" s="1"/>
  <c r="Q222" i="34" s="1"/>
  <c r="Q246" i="34" s="1"/>
  <c r="P61" i="34"/>
  <c r="O61" i="34"/>
  <c r="O220" i="34" s="1"/>
  <c r="O222" i="34" s="1"/>
  <c r="O246" i="34" s="1"/>
  <c r="N61" i="34"/>
  <c r="N220" i="34" s="1"/>
  <c r="N222" i="34" s="1"/>
  <c r="N246" i="34" s="1"/>
  <c r="M59" i="34"/>
  <c r="M85" i="34" s="1"/>
  <c r="L59" i="34"/>
  <c r="U58" i="34"/>
  <c r="T58" i="34"/>
  <c r="T217" i="34" s="1"/>
  <c r="S58" i="34"/>
  <c r="S217" i="34" s="1"/>
  <c r="R58" i="34"/>
  <c r="R217" i="34" s="1"/>
  <c r="Q58" i="34"/>
  <c r="Q217" i="34" s="1"/>
  <c r="P58" i="34"/>
  <c r="O58" i="34"/>
  <c r="O217" i="34" s="1"/>
  <c r="N58" i="34"/>
  <c r="N217" i="34" s="1"/>
  <c r="U57" i="34"/>
  <c r="U216" i="34" s="1"/>
  <c r="T57" i="34"/>
  <c r="T216" i="34" s="1"/>
  <c r="T218" i="34" s="1"/>
  <c r="S57" i="34"/>
  <c r="S216" i="34" s="1"/>
  <c r="R57" i="34"/>
  <c r="R216" i="34" s="1"/>
  <c r="Q57" i="34"/>
  <c r="Q216" i="34" s="1"/>
  <c r="Q228" i="34" s="1"/>
  <c r="P57" i="34"/>
  <c r="O57" i="34"/>
  <c r="O216" i="34" s="1"/>
  <c r="O228" i="34" s="1"/>
  <c r="N57" i="34"/>
  <c r="N216" i="34" s="1"/>
  <c r="M53" i="34"/>
  <c r="L53" i="34"/>
  <c r="K53" i="34"/>
  <c r="K81" i="34" s="1"/>
  <c r="J53" i="34"/>
  <c r="I53" i="34"/>
  <c r="H53" i="34"/>
  <c r="G53" i="34"/>
  <c r="F53" i="34"/>
  <c r="E53" i="34"/>
  <c r="D53" i="34"/>
  <c r="D81" i="34" s="1"/>
  <c r="M52" i="34"/>
  <c r="L52" i="34"/>
  <c r="K52" i="34"/>
  <c r="J52" i="34"/>
  <c r="I52" i="34"/>
  <c r="H52" i="34"/>
  <c r="H80" i="34" s="1"/>
  <c r="G52" i="34"/>
  <c r="F52" i="34"/>
  <c r="E52" i="34"/>
  <c r="E80" i="34" s="1"/>
  <c r="D52" i="34"/>
  <c r="M51" i="34"/>
  <c r="L51" i="34"/>
  <c r="K51" i="34"/>
  <c r="J51" i="34"/>
  <c r="I51" i="34"/>
  <c r="H51" i="34"/>
  <c r="G51" i="34"/>
  <c r="F51" i="34"/>
  <c r="E51" i="34"/>
  <c r="D51" i="34"/>
  <c r="M50" i="34"/>
  <c r="L50" i="34"/>
  <c r="K50" i="34"/>
  <c r="J50" i="34"/>
  <c r="U49" i="34"/>
  <c r="U208" i="34" s="1"/>
  <c r="T49" i="34"/>
  <c r="T208" i="34" s="1"/>
  <c r="S49" i="34"/>
  <c r="S208" i="34" s="1"/>
  <c r="R49" i="34"/>
  <c r="R208" i="34" s="1"/>
  <c r="Q49" i="34"/>
  <c r="Q208" i="34" s="1"/>
  <c r="P49" i="34"/>
  <c r="O49" i="34"/>
  <c r="O208" i="34" s="1"/>
  <c r="N49" i="34"/>
  <c r="N208" i="34" s="1"/>
  <c r="U48" i="34"/>
  <c r="U207" i="34" s="1"/>
  <c r="T48" i="34"/>
  <c r="T50" i="34" s="1"/>
  <c r="S48" i="34"/>
  <c r="S207" i="34" s="1"/>
  <c r="R48" i="34"/>
  <c r="Q48" i="34"/>
  <c r="P48" i="34"/>
  <c r="P207" i="34" s="1"/>
  <c r="O48" i="34"/>
  <c r="N48" i="34"/>
  <c r="N207" i="34" s="1"/>
  <c r="M46" i="34"/>
  <c r="L46" i="34"/>
  <c r="K46" i="34"/>
  <c r="J46" i="34"/>
  <c r="U45" i="34"/>
  <c r="U204" i="34" s="1"/>
  <c r="U212" i="34" s="1"/>
  <c r="T45" i="34"/>
  <c r="T204" i="34" s="1"/>
  <c r="S45" i="34"/>
  <c r="S204" i="34" s="1"/>
  <c r="R45" i="34"/>
  <c r="R204" i="34" s="1"/>
  <c r="Q45" i="34"/>
  <c r="Q204" i="34" s="1"/>
  <c r="P45" i="34"/>
  <c r="P204" i="34" s="1"/>
  <c r="O45" i="34"/>
  <c r="O204" i="34" s="1"/>
  <c r="N45" i="34"/>
  <c r="N204" i="34" s="1"/>
  <c r="U44" i="34"/>
  <c r="U203" i="34" s="1"/>
  <c r="T44" i="34"/>
  <c r="T203" i="34" s="1"/>
  <c r="S44" i="34"/>
  <c r="S203" i="34" s="1"/>
  <c r="R44" i="34"/>
  <c r="R203" i="34" s="1"/>
  <c r="Q44" i="34"/>
  <c r="P44" i="34"/>
  <c r="P203" i="34" s="1"/>
  <c r="O44" i="34"/>
  <c r="O203" i="34" s="1"/>
  <c r="N44" i="34"/>
  <c r="N203" i="34" s="1"/>
  <c r="U43" i="34"/>
  <c r="U202" i="34"/>
  <c r="T43" i="34"/>
  <c r="T202" i="34" s="1"/>
  <c r="S43" i="34"/>
  <c r="R43" i="34"/>
  <c r="Q43" i="34"/>
  <c r="P43" i="34"/>
  <c r="P202" i="34" s="1"/>
  <c r="O43" i="34"/>
  <c r="O202" i="34" s="1"/>
  <c r="N43" i="34"/>
  <c r="N202" i="34" s="1"/>
  <c r="M42" i="34"/>
  <c r="L42" i="34"/>
  <c r="K42" i="34"/>
  <c r="J42" i="34"/>
  <c r="J54" i="34"/>
  <c r="U41" i="34"/>
  <c r="U200" i="34" s="1"/>
  <c r="T41" i="34"/>
  <c r="T200" i="34" s="1"/>
  <c r="S41" i="34"/>
  <c r="S200" i="34"/>
  <c r="R41" i="34"/>
  <c r="R200" i="34" s="1"/>
  <c r="R212" i="34" s="1"/>
  <c r="Q41" i="34"/>
  <c r="Q200" i="34" s="1"/>
  <c r="Q201" i="34" s="1"/>
  <c r="P41" i="34"/>
  <c r="O41" i="34"/>
  <c r="O200" i="34" s="1"/>
  <c r="N41" i="34"/>
  <c r="N53" i="34" s="1"/>
  <c r="U40" i="34"/>
  <c r="U199" i="34" s="1"/>
  <c r="T40" i="34"/>
  <c r="T199" i="34"/>
  <c r="S40" i="34"/>
  <c r="S199" i="34" s="1"/>
  <c r="S211" i="34" s="1"/>
  <c r="R40" i="34"/>
  <c r="Q40" i="34"/>
  <c r="P40" i="34"/>
  <c r="O40" i="34"/>
  <c r="N40" i="34"/>
  <c r="U39" i="34"/>
  <c r="U198" i="34" s="1"/>
  <c r="T39" i="34"/>
  <c r="T51" i="34" s="1"/>
  <c r="S39" i="34"/>
  <c r="S198" i="34" s="1"/>
  <c r="R39" i="34"/>
  <c r="Q39" i="34"/>
  <c r="P39" i="34"/>
  <c r="O39" i="34"/>
  <c r="O198" i="34" s="1"/>
  <c r="N39" i="34"/>
  <c r="M36" i="34"/>
  <c r="L36" i="34"/>
  <c r="K36" i="34"/>
  <c r="J36" i="34"/>
  <c r="I36" i="34"/>
  <c r="H36" i="34"/>
  <c r="G36" i="34"/>
  <c r="F36" i="34"/>
  <c r="E36" i="34"/>
  <c r="D36" i="34"/>
  <c r="M35" i="34"/>
  <c r="L35" i="34"/>
  <c r="K35" i="34"/>
  <c r="K80" i="34" s="1"/>
  <c r="J35" i="34"/>
  <c r="I35" i="34"/>
  <c r="H35" i="34"/>
  <c r="G35" i="34"/>
  <c r="F35" i="34"/>
  <c r="E35" i="34"/>
  <c r="D35" i="34"/>
  <c r="M34" i="34"/>
  <c r="L34" i="34"/>
  <c r="K34" i="34"/>
  <c r="J34" i="34"/>
  <c r="I34" i="34"/>
  <c r="H34" i="34"/>
  <c r="H37" i="34" s="1"/>
  <c r="G34" i="34"/>
  <c r="F34" i="34"/>
  <c r="E34" i="34"/>
  <c r="E37" i="34" s="1"/>
  <c r="D34" i="34"/>
  <c r="M33" i="34"/>
  <c r="M86" i="34" s="1"/>
  <c r="L33" i="34"/>
  <c r="K33" i="34"/>
  <c r="J33" i="34"/>
  <c r="J86" i="34"/>
  <c r="U32" i="34"/>
  <c r="U191" i="34" s="1"/>
  <c r="T32" i="34"/>
  <c r="T191" i="34" s="1"/>
  <c r="S32" i="34"/>
  <c r="S191" i="34" s="1"/>
  <c r="R32" i="34"/>
  <c r="R191" i="34" s="1"/>
  <c r="Q32" i="34"/>
  <c r="Q191" i="34" s="1"/>
  <c r="P32" i="34"/>
  <c r="P191" i="34" s="1"/>
  <c r="O32" i="34"/>
  <c r="O191" i="34" s="1"/>
  <c r="N32" i="34"/>
  <c r="N191" i="34" s="1"/>
  <c r="U31" i="34"/>
  <c r="U190" i="34"/>
  <c r="T31" i="34"/>
  <c r="T190" i="34" s="1"/>
  <c r="S31" i="34"/>
  <c r="S190" i="34" s="1"/>
  <c r="R31" i="34"/>
  <c r="R190" i="34" s="1"/>
  <c r="Q31" i="34"/>
  <c r="Q190" i="34" s="1"/>
  <c r="P31" i="34"/>
  <c r="P190" i="34" s="1"/>
  <c r="O31" i="34"/>
  <c r="O190" i="34" s="1"/>
  <c r="N31" i="34"/>
  <c r="N190" i="34" s="1"/>
  <c r="U30" i="34"/>
  <c r="U189" i="34"/>
  <c r="T30" i="34"/>
  <c r="T189" i="34" s="1"/>
  <c r="S30" i="34"/>
  <c r="S33" i="34" s="1"/>
  <c r="R30" i="34"/>
  <c r="R189" i="34" s="1"/>
  <c r="Q30" i="34"/>
  <c r="Q189" i="34" s="1"/>
  <c r="Q193" i="34" s="1"/>
  <c r="Q237" i="34" s="1"/>
  <c r="P30" i="34"/>
  <c r="P189" i="34" s="1"/>
  <c r="O30" i="34"/>
  <c r="O189" i="34" s="1"/>
  <c r="N30" i="34"/>
  <c r="N189" i="34"/>
  <c r="M29" i="34"/>
  <c r="L29" i="34"/>
  <c r="K29" i="34"/>
  <c r="J29" i="34"/>
  <c r="U28" i="34"/>
  <c r="U187" i="34" s="1"/>
  <c r="T28" i="34"/>
  <c r="T187" i="34" s="1"/>
  <c r="S28" i="34"/>
  <c r="S187" i="34" s="1"/>
  <c r="R28" i="34"/>
  <c r="R187" i="34" s="1"/>
  <c r="Q28" i="34"/>
  <c r="Q187" i="34" s="1"/>
  <c r="P28" i="34"/>
  <c r="P187" i="34" s="1"/>
  <c r="O28" i="34"/>
  <c r="O187" i="34" s="1"/>
  <c r="N28" i="34"/>
  <c r="N187" i="34" s="1"/>
  <c r="U27" i="34"/>
  <c r="U186" i="34" s="1"/>
  <c r="T27" i="34"/>
  <c r="T186" i="34" s="1"/>
  <c r="S27" i="34"/>
  <c r="S186" i="34" s="1"/>
  <c r="R27" i="34"/>
  <c r="R186" i="34" s="1"/>
  <c r="Q27" i="34"/>
  <c r="Q186" i="34" s="1"/>
  <c r="P27" i="34"/>
  <c r="P186" i="34" s="1"/>
  <c r="O27" i="34"/>
  <c r="O186" i="34" s="1"/>
  <c r="N27" i="34"/>
  <c r="N186" i="34" s="1"/>
  <c r="U26" i="34"/>
  <c r="U185" i="34" s="1"/>
  <c r="T26" i="34"/>
  <c r="S26" i="34"/>
  <c r="S29" i="34" s="1"/>
  <c r="R26" i="34"/>
  <c r="Q26" i="34"/>
  <c r="P26" i="34"/>
  <c r="P185" i="34" s="1"/>
  <c r="O26" i="34"/>
  <c r="O185" i="34" s="1"/>
  <c r="N26" i="34"/>
  <c r="N185" i="34" s="1"/>
  <c r="M25" i="34"/>
  <c r="L25" i="34"/>
  <c r="L37" i="34" s="1"/>
  <c r="K25" i="34"/>
  <c r="K37" i="34" s="1"/>
  <c r="J25" i="34"/>
  <c r="J37" i="34" s="1"/>
  <c r="U24" i="34"/>
  <c r="T24" i="34"/>
  <c r="S24" i="34"/>
  <c r="S183" i="34" s="1"/>
  <c r="R24" i="34"/>
  <c r="Q24" i="34"/>
  <c r="Q183" i="34" s="1"/>
  <c r="P24" i="34"/>
  <c r="P183" i="34" s="1"/>
  <c r="O24" i="34"/>
  <c r="O183" i="34" s="1"/>
  <c r="N24" i="34"/>
  <c r="N183" i="34" s="1"/>
  <c r="U23" i="34"/>
  <c r="U182" i="34" s="1"/>
  <c r="T23" i="34"/>
  <c r="T182" i="34" s="1"/>
  <c r="S23" i="34"/>
  <c r="S182" i="34" s="1"/>
  <c r="R23" i="34"/>
  <c r="R182" i="34" s="1"/>
  <c r="Q23" i="34"/>
  <c r="Q182" i="34" s="1"/>
  <c r="Q194" i="34" s="1"/>
  <c r="P23" i="34"/>
  <c r="O23" i="34"/>
  <c r="O35" i="34" s="1"/>
  <c r="N23" i="34"/>
  <c r="U22" i="34"/>
  <c r="U181" i="34" s="1"/>
  <c r="T22" i="34"/>
  <c r="T181" i="34" s="1"/>
  <c r="S22" i="34"/>
  <c r="R22" i="34"/>
  <c r="R25" i="34" s="1"/>
  <c r="Q22" i="34"/>
  <c r="M19" i="34"/>
  <c r="L19" i="34"/>
  <c r="K19" i="34"/>
  <c r="J19" i="34"/>
  <c r="J81" i="34"/>
  <c r="I19" i="34"/>
  <c r="I81" i="34" s="1"/>
  <c r="H19" i="34"/>
  <c r="G19" i="34"/>
  <c r="F19" i="34"/>
  <c r="E19" i="34"/>
  <c r="D19" i="34"/>
  <c r="M18" i="34"/>
  <c r="M80" i="34" s="1"/>
  <c r="L18" i="34"/>
  <c r="K18" i="34"/>
  <c r="J18" i="34"/>
  <c r="J80" i="34" s="1"/>
  <c r="I18" i="34"/>
  <c r="H18" i="34"/>
  <c r="G18" i="34"/>
  <c r="F18" i="34"/>
  <c r="E18" i="34"/>
  <c r="D18" i="34"/>
  <c r="D80" i="34" s="1"/>
  <c r="M17" i="34"/>
  <c r="L17" i="34"/>
  <c r="L79" i="34" s="1"/>
  <c r="K17" i="34"/>
  <c r="J17" i="34"/>
  <c r="I17" i="34"/>
  <c r="H17" i="34"/>
  <c r="H79" i="34" s="1"/>
  <c r="G17" i="34"/>
  <c r="G79" i="34" s="1"/>
  <c r="F17" i="34"/>
  <c r="F79" i="34" s="1"/>
  <c r="E17" i="34"/>
  <c r="E79" i="34" s="1"/>
  <c r="D17" i="34"/>
  <c r="M16" i="34"/>
  <c r="M87" i="34" s="1"/>
  <c r="L16" i="34"/>
  <c r="K16" i="34"/>
  <c r="J16" i="34"/>
  <c r="J87" i="34"/>
  <c r="U15" i="34"/>
  <c r="U174" i="34" s="1"/>
  <c r="T15" i="34"/>
  <c r="T174" i="34"/>
  <c r="S15" i="34"/>
  <c r="S174" i="34" s="1"/>
  <c r="R15" i="34"/>
  <c r="R174" i="34" s="1"/>
  <c r="Q15" i="34"/>
  <c r="Q174" i="34" s="1"/>
  <c r="P15" i="34"/>
  <c r="P174" i="34" s="1"/>
  <c r="P178" i="34" s="1"/>
  <c r="O15" i="34"/>
  <c r="O174" i="34" s="1"/>
  <c r="N15" i="34"/>
  <c r="N174" i="34"/>
  <c r="U14" i="34"/>
  <c r="U173" i="34" s="1"/>
  <c r="T14" i="34"/>
  <c r="T173" i="34" s="1"/>
  <c r="S14" i="34"/>
  <c r="S173" i="34" s="1"/>
  <c r="R14" i="34"/>
  <c r="R173" i="34" s="1"/>
  <c r="Q14" i="34"/>
  <c r="Q173" i="34" s="1"/>
  <c r="P14" i="34"/>
  <c r="P173" i="34" s="1"/>
  <c r="O14" i="34"/>
  <c r="O173" i="34" s="1"/>
  <c r="N14" i="34"/>
  <c r="N173" i="34" s="1"/>
  <c r="U13" i="34"/>
  <c r="U172" i="34" s="1"/>
  <c r="T13" i="34"/>
  <c r="T172" i="34" s="1"/>
  <c r="S13" i="34"/>
  <c r="S172" i="34" s="1"/>
  <c r="R13" i="34"/>
  <c r="R172" i="34" s="1"/>
  <c r="Q13" i="34"/>
  <c r="Q172" i="34" s="1"/>
  <c r="P13" i="34"/>
  <c r="P172" i="34" s="1"/>
  <c r="O13" i="34"/>
  <c r="O172" i="34" s="1"/>
  <c r="O176" i="34" s="1"/>
  <c r="O237" i="34" s="1"/>
  <c r="N13" i="34"/>
  <c r="N172" i="34"/>
  <c r="M12" i="34"/>
  <c r="L12" i="34"/>
  <c r="K12" i="34"/>
  <c r="J12" i="34"/>
  <c r="U11" i="34"/>
  <c r="U170" i="34" s="1"/>
  <c r="T11" i="34"/>
  <c r="T170" i="34" s="1"/>
  <c r="S11" i="34"/>
  <c r="S170" i="34" s="1"/>
  <c r="R11" i="34"/>
  <c r="R170" i="34" s="1"/>
  <c r="Q11" i="34"/>
  <c r="Q170" i="34" s="1"/>
  <c r="P11" i="34"/>
  <c r="P170" i="34" s="1"/>
  <c r="O11" i="34"/>
  <c r="O170" i="34" s="1"/>
  <c r="N11" i="34"/>
  <c r="N170" i="34" s="1"/>
  <c r="U10" i="34"/>
  <c r="U169" i="34" s="1"/>
  <c r="T10" i="34"/>
  <c r="T169" i="34" s="1"/>
  <c r="T177" i="34" s="1"/>
  <c r="S10" i="34"/>
  <c r="S169" i="34" s="1"/>
  <c r="R10" i="34"/>
  <c r="R169" i="34" s="1"/>
  <c r="Q10" i="34"/>
  <c r="Q169" i="34" s="1"/>
  <c r="P10" i="34"/>
  <c r="P169" i="34" s="1"/>
  <c r="O10" i="34"/>
  <c r="O169" i="34" s="1"/>
  <c r="N10" i="34"/>
  <c r="N169" i="34" s="1"/>
  <c r="U9" i="34"/>
  <c r="U168" i="34" s="1"/>
  <c r="T9" i="34"/>
  <c r="T168" i="34" s="1"/>
  <c r="T176" i="34" s="1"/>
  <c r="S9" i="34"/>
  <c r="S168" i="34" s="1"/>
  <c r="R9" i="34"/>
  <c r="R12" i="34" s="1"/>
  <c r="Q9" i="34"/>
  <c r="P9" i="34"/>
  <c r="O9" i="34"/>
  <c r="N9" i="34"/>
  <c r="N17" i="34" s="1"/>
  <c r="M8" i="34"/>
  <c r="L8" i="34"/>
  <c r="K8" i="34"/>
  <c r="K20" i="34" s="1"/>
  <c r="J8" i="34"/>
  <c r="U7" i="34"/>
  <c r="T7" i="34"/>
  <c r="T166" i="34"/>
  <c r="S7" i="34"/>
  <c r="S166" i="34" s="1"/>
  <c r="S178" i="34" s="1"/>
  <c r="R7" i="34"/>
  <c r="Q7" i="34"/>
  <c r="P7" i="34"/>
  <c r="P166" i="34" s="1"/>
  <c r="O7" i="34"/>
  <c r="O166" i="34" s="1"/>
  <c r="N7" i="34"/>
  <c r="U6" i="34"/>
  <c r="T6" i="34"/>
  <c r="S6" i="34"/>
  <c r="S8" i="34" s="1"/>
  <c r="R6" i="34"/>
  <c r="R8" i="34" s="1"/>
  <c r="Q6" i="34"/>
  <c r="Q165" i="34" s="1"/>
  <c r="P6" i="34"/>
  <c r="O6" i="34"/>
  <c r="N6" i="34"/>
  <c r="U160" i="33"/>
  <c r="U161" i="33"/>
  <c r="T160" i="33"/>
  <c r="T161" i="33" s="1"/>
  <c r="S160" i="33"/>
  <c r="S161" i="33"/>
  <c r="U157" i="33"/>
  <c r="T157" i="33"/>
  <c r="S157" i="33"/>
  <c r="R157" i="33"/>
  <c r="Q157" i="33"/>
  <c r="P157" i="33"/>
  <c r="O157" i="33"/>
  <c r="N157" i="33"/>
  <c r="N158" i="33"/>
  <c r="M157" i="33"/>
  <c r="U152" i="33"/>
  <c r="T152" i="33"/>
  <c r="S152" i="33"/>
  <c r="R152" i="33"/>
  <c r="Q152" i="33"/>
  <c r="P152" i="33"/>
  <c r="O152" i="33"/>
  <c r="N152" i="33"/>
  <c r="M152" i="33"/>
  <c r="U150" i="33"/>
  <c r="T150" i="33"/>
  <c r="T158" i="33" s="1"/>
  <c r="S150" i="33"/>
  <c r="R150" i="33"/>
  <c r="Q150" i="33"/>
  <c r="P150" i="33"/>
  <c r="P158" i="33" s="1"/>
  <c r="O150" i="33"/>
  <c r="N150" i="33"/>
  <c r="M150" i="33"/>
  <c r="L150" i="33"/>
  <c r="L158" i="33" s="1"/>
  <c r="U146" i="33"/>
  <c r="T146" i="33"/>
  <c r="S146" i="33"/>
  <c r="R146" i="33"/>
  <c r="Q146" i="33"/>
  <c r="P146" i="33"/>
  <c r="O146" i="33"/>
  <c r="N146" i="33"/>
  <c r="M146" i="33"/>
  <c r="L146" i="33"/>
  <c r="K146" i="33"/>
  <c r="J146" i="33"/>
  <c r="J147" i="33" s="1"/>
  <c r="I146" i="33"/>
  <c r="H146" i="33"/>
  <c r="G146" i="33"/>
  <c r="F146" i="33"/>
  <c r="E146" i="33"/>
  <c r="D146" i="33"/>
  <c r="U141" i="33"/>
  <c r="T141" i="33"/>
  <c r="S141" i="33"/>
  <c r="R141" i="33"/>
  <c r="Q141" i="33"/>
  <c r="P141" i="33"/>
  <c r="O141" i="33"/>
  <c r="N141" i="33"/>
  <c r="M141" i="33"/>
  <c r="L141" i="33"/>
  <c r="K141" i="33"/>
  <c r="J141" i="33"/>
  <c r="I141" i="33"/>
  <c r="H141" i="33"/>
  <c r="G141" i="33"/>
  <c r="F141" i="33"/>
  <c r="E141" i="33"/>
  <c r="D141" i="33"/>
  <c r="U123" i="33"/>
  <c r="T123" i="33"/>
  <c r="S123" i="33"/>
  <c r="S147" i="33" s="1"/>
  <c r="R123" i="33"/>
  <c r="Q123" i="33"/>
  <c r="P123" i="33"/>
  <c r="O123" i="33"/>
  <c r="N123" i="33"/>
  <c r="M123" i="33"/>
  <c r="L123" i="33"/>
  <c r="K123" i="33"/>
  <c r="J123" i="33"/>
  <c r="I123" i="33"/>
  <c r="H123" i="33"/>
  <c r="G123" i="33"/>
  <c r="F123" i="33"/>
  <c r="E123" i="33"/>
  <c r="D123" i="33"/>
  <c r="U101" i="33"/>
  <c r="T101" i="33"/>
  <c r="S101" i="33"/>
  <c r="R101" i="33"/>
  <c r="Q101" i="33"/>
  <c r="P101" i="33"/>
  <c r="O101" i="33"/>
  <c r="N101" i="33"/>
  <c r="M101" i="33"/>
  <c r="L101" i="33"/>
  <c r="K101" i="33"/>
  <c r="J101" i="33"/>
  <c r="J102" i="33" s="1"/>
  <c r="I101" i="33"/>
  <c r="H101" i="33"/>
  <c r="G101" i="33"/>
  <c r="F101" i="33"/>
  <c r="E101" i="33"/>
  <c r="D101" i="33"/>
  <c r="U90" i="33"/>
  <c r="T90" i="33"/>
  <c r="S90" i="33"/>
  <c r="R90" i="33"/>
  <c r="Q90" i="33"/>
  <c r="P90" i="33"/>
  <c r="P102" i="33" s="1"/>
  <c r="O90" i="33"/>
  <c r="N90" i="33"/>
  <c r="M90" i="33"/>
  <c r="L90" i="33"/>
  <c r="K90" i="33"/>
  <c r="J90" i="33"/>
  <c r="I90" i="33"/>
  <c r="H90" i="33"/>
  <c r="G90" i="33"/>
  <c r="F90" i="33"/>
  <c r="E90" i="33"/>
  <c r="D90" i="33"/>
  <c r="U72" i="33"/>
  <c r="T72" i="33"/>
  <c r="T102" i="33" s="1"/>
  <c r="S72" i="33"/>
  <c r="S102" i="33" s="1"/>
  <c r="R72" i="33"/>
  <c r="Q72" i="33"/>
  <c r="P72" i="33"/>
  <c r="O72" i="33"/>
  <c r="N72" i="33"/>
  <c r="M72" i="33"/>
  <c r="L72" i="33"/>
  <c r="K72" i="33"/>
  <c r="J72" i="33"/>
  <c r="I72" i="33"/>
  <c r="H72" i="33"/>
  <c r="G72" i="33"/>
  <c r="F72" i="33"/>
  <c r="E72" i="33"/>
  <c r="D72" i="33"/>
  <c r="U54" i="33"/>
  <c r="T54" i="33"/>
  <c r="S54" i="33"/>
  <c r="R54" i="33"/>
  <c r="Q54" i="33"/>
  <c r="P54" i="33"/>
  <c r="O54" i="33"/>
  <c r="N54" i="33"/>
  <c r="M54" i="33"/>
  <c r="L54" i="33"/>
  <c r="K54" i="33"/>
  <c r="J54" i="33"/>
  <c r="I54" i="33"/>
  <c r="H54" i="33"/>
  <c r="G54" i="33"/>
  <c r="F54" i="33"/>
  <c r="E54" i="33"/>
  <c r="D54" i="33"/>
  <c r="U36" i="33"/>
  <c r="T36" i="33"/>
  <c r="S36" i="33"/>
  <c r="R36" i="33"/>
  <c r="R55" i="33" s="1"/>
  <c r="Q36" i="33"/>
  <c r="P36" i="33"/>
  <c r="O36" i="33"/>
  <c r="N36" i="33"/>
  <c r="M36" i="33"/>
  <c r="M55" i="33" s="1"/>
  <c r="L36" i="33"/>
  <c r="K36" i="33"/>
  <c r="J36" i="33"/>
  <c r="J55" i="33" s="1"/>
  <c r="J163" i="33" s="1"/>
  <c r="I36" i="33"/>
  <c r="H36" i="33"/>
  <c r="G36" i="33"/>
  <c r="F36" i="33"/>
  <c r="E36" i="33"/>
  <c r="D36" i="33"/>
  <c r="U16" i="33"/>
  <c r="T16" i="33"/>
  <c r="S16" i="33"/>
  <c r="R16" i="33"/>
  <c r="Q16" i="33"/>
  <c r="P16" i="33"/>
  <c r="O16" i="33"/>
  <c r="N16" i="33"/>
  <c r="M16" i="33"/>
  <c r="L16" i="33"/>
  <c r="K16" i="33"/>
  <c r="J16" i="33"/>
  <c r="I16" i="33"/>
  <c r="H16" i="33"/>
  <c r="G16" i="33"/>
  <c r="F16" i="33"/>
  <c r="E16" i="33"/>
  <c r="D16" i="33"/>
  <c r="BD73" i="32"/>
  <c r="BC73" i="32"/>
  <c r="BB73" i="32"/>
  <c r="BA73" i="32"/>
  <c r="AZ73" i="32"/>
  <c r="AY73" i="32"/>
  <c r="AX73" i="32"/>
  <c r="AW73" i="32"/>
  <c r="AV73" i="32"/>
  <c r="AU73" i="32"/>
  <c r="AT73" i="32"/>
  <c r="AS73" i="32"/>
  <c r="AR73" i="32"/>
  <c r="AQ73" i="32"/>
  <c r="AP73" i="32"/>
  <c r="AO73" i="32"/>
  <c r="AN73" i="32"/>
  <c r="AM73" i="32"/>
  <c r="AL73" i="32"/>
  <c r="AK73" i="32"/>
  <c r="AJ73" i="32"/>
  <c r="AI73" i="32"/>
  <c r="AH73" i="32"/>
  <c r="AG73" i="32"/>
  <c r="AF73" i="32"/>
  <c r="AE73" i="32"/>
  <c r="AD73" i="32"/>
  <c r="AC73" i="32"/>
  <c r="AB73" i="32"/>
  <c r="AA73" i="32"/>
  <c r="Z73" i="32"/>
  <c r="Y73" i="32"/>
  <c r="X73" i="32"/>
  <c r="W73" i="32"/>
  <c r="V73" i="32"/>
  <c r="U73" i="32"/>
  <c r="T73" i="32"/>
  <c r="S73" i="32"/>
  <c r="R73" i="32"/>
  <c r="Q73" i="32"/>
  <c r="P73" i="32"/>
  <c r="O73" i="32"/>
  <c r="N73" i="32"/>
  <c r="M73" i="32"/>
  <c r="L73" i="32"/>
  <c r="K73" i="32"/>
  <c r="J73" i="32"/>
  <c r="I73" i="32"/>
  <c r="H73" i="32"/>
  <c r="G73" i="32"/>
  <c r="F73" i="32"/>
  <c r="E73" i="32"/>
  <c r="D73" i="32"/>
  <c r="C73" i="32"/>
  <c r="BD72" i="32"/>
  <c r="BC72" i="32"/>
  <c r="BC74" i="32" s="1"/>
  <c r="BB72" i="32"/>
  <c r="BB74" i="32" s="1"/>
  <c r="BA72" i="32"/>
  <c r="AZ72" i="32"/>
  <c r="AY72" i="32"/>
  <c r="AX72" i="32"/>
  <c r="AX74" i="32" s="1"/>
  <c r="AW72" i="32"/>
  <c r="AV72" i="32"/>
  <c r="AU72" i="32"/>
  <c r="AU74" i="32" s="1"/>
  <c r="AT72" i="32"/>
  <c r="AS72" i="32"/>
  <c r="AR72" i="32"/>
  <c r="AQ72" i="32"/>
  <c r="AP72" i="32"/>
  <c r="AO72" i="32"/>
  <c r="AO74" i="32" s="1"/>
  <c r="AN72" i="32"/>
  <c r="AM72" i="32"/>
  <c r="AL72" i="32"/>
  <c r="AL74" i="32" s="1"/>
  <c r="AK72" i="32"/>
  <c r="AJ72" i="32"/>
  <c r="AI72" i="32"/>
  <c r="AH72" i="32"/>
  <c r="AG72" i="32"/>
  <c r="AF72" i="32"/>
  <c r="AE72" i="32"/>
  <c r="AE74" i="32" s="1"/>
  <c r="AD72" i="32"/>
  <c r="AD74" i="32" s="1"/>
  <c r="AC72" i="32"/>
  <c r="AB72" i="32"/>
  <c r="AA72" i="32"/>
  <c r="Z72" i="32"/>
  <c r="Y72" i="32"/>
  <c r="X72" i="32"/>
  <c r="W72" i="32"/>
  <c r="V72" i="32"/>
  <c r="V74" i="32" s="1"/>
  <c r="U72" i="32"/>
  <c r="T72" i="32"/>
  <c r="S72" i="32"/>
  <c r="R72" i="32"/>
  <c r="Q72" i="32"/>
  <c r="P72" i="32"/>
  <c r="O72" i="32"/>
  <c r="N72" i="32"/>
  <c r="M72" i="32"/>
  <c r="L72" i="32"/>
  <c r="K72" i="32"/>
  <c r="J72" i="32"/>
  <c r="I72" i="32"/>
  <c r="H72" i="32"/>
  <c r="G72" i="32"/>
  <c r="F72" i="32"/>
  <c r="E72" i="32"/>
  <c r="D72" i="32"/>
  <c r="C72" i="32"/>
  <c r="BD69" i="32"/>
  <c r="BC69" i="32"/>
  <c r="BB69" i="32"/>
  <c r="BA69" i="32"/>
  <c r="AZ69" i="32"/>
  <c r="AY69" i="32"/>
  <c r="AX69" i="32"/>
  <c r="AW69" i="32"/>
  <c r="AV69" i="32"/>
  <c r="AU69" i="32"/>
  <c r="AT69" i="32"/>
  <c r="AS69" i="32"/>
  <c r="AR69" i="32"/>
  <c r="AQ69" i="32"/>
  <c r="AP69" i="32"/>
  <c r="AO69" i="32"/>
  <c r="AN69" i="32"/>
  <c r="AM69" i="32"/>
  <c r="AL69" i="32"/>
  <c r="AK69" i="32"/>
  <c r="AJ69" i="32"/>
  <c r="AI69" i="32"/>
  <c r="AH69" i="32"/>
  <c r="AG69" i="32"/>
  <c r="AF69" i="32"/>
  <c r="AE69" i="32"/>
  <c r="AD69" i="32"/>
  <c r="AC69" i="32"/>
  <c r="AB69" i="32"/>
  <c r="AA69" i="32"/>
  <c r="Z69" i="32"/>
  <c r="Y69" i="32"/>
  <c r="X69" i="32"/>
  <c r="W69" i="32"/>
  <c r="V69" i="32"/>
  <c r="U69" i="32"/>
  <c r="T69" i="32"/>
  <c r="S69" i="32"/>
  <c r="R69" i="32"/>
  <c r="Q69" i="32"/>
  <c r="P69" i="32"/>
  <c r="O69" i="32"/>
  <c r="N69" i="32"/>
  <c r="M69" i="32"/>
  <c r="L69" i="32"/>
  <c r="K69" i="32"/>
  <c r="J69" i="32"/>
  <c r="I69" i="32"/>
  <c r="H69" i="32"/>
  <c r="G69" i="32"/>
  <c r="F69" i="32"/>
  <c r="E69" i="32"/>
  <c r="D69" i="32"/>
  <c r="C69" i="32"/>
  <c r="BD68" i="32"/>
  <c r="BC68" i="32"/>
  <c r="BB68" i="32"/>
  <c r="BA68" i="32"/>
  <c r="AZ68" i="32"/>
  <c r="AY68" i="32"/>
  <c r="AX68" i="32"/>
  <c r="AW68" i="32"/>
  <c r="AV68" i="32"/>
  <c r="AU68" i="32"/>
  <c r="AT68" i="32"/>
  <c r="AS68" i="32"/>
  <c r="AR68" i="32"/>
  <c r="AQ68" i="32"/>
  <c r="AP68" i="32"/>
  <c r="AO68" i="32"/>
  <c r="AN68" i="32"/>
  <c r="AM68" i="32"/>
  <c r="AL68" i="32"/>
  <c r="AK68" i="32"/>
  <c r="AJ68" i="32"/>
  <c r="AI68" i="32"/>
  <c r="AH68" i="32"/>
  <c r="AG68" i="32"/>
  <c r="AF68" i="32"/>
  <c r="AE68" i="32"/>
  <c r="AD68" i="32"/>
  <c r="AC68" i="32"/>
  <c r="AB68" i="32"/>
  <c r="AA68" i="32"/>
  <c r="Z68" i="32"/>
  <c r="Y68" i="32"/>
  <c r="X68" i="32"/>
  <c r="W68" i="32"/>
  <c r="V68" i="32"/>
  <c r="U68" i="32"/>
  <c r="T68" i="32"/>
  <c r="S68" i="32"/>
  <c r="R68" i="32"/>
  <c r="Q68" i="32"/>
  <c r="P68" i="32"/>
  <c r="O68" i="32"/>
  <c r="N68" i="32"/>
  <c r="M68" i="32"/>
  <c r="L68" i="32"/>
  <c r="K68" i="32"/>
  <c r="J68" i="32"/>
  <c r="I68" i="32"/>
  <c r="H68" i="32"/>
  <c r="G68" i="32"/>
  <c r="F68" i="32"/>
  <c r="E68" i="32"/>
  <c r="D68" i="32"/>
  <c r="C68" i="32"/>
  <c r="BD67" i="32"/>
  <c r="BC67" i="32"/>
  <c r="BB67" i="32"/>
  <c r="BB70" i="32" s="1"/>
  <c r="BA67" i="32"/>
  <c r="AZ67" i="32"/>
  <c r="AY67" i="32"/>
  <c r="AX67" i="32"/>
  <c r="AW67" i="32"/>
  <c r="AV67" i="32"/>
  <c r="AU67" i="32"/>
  <c r="AT67" i="32"/>
  <c r="AT70" i="32" s="1"/>
  <c r="AS67" i="32"/>
  <c r="AR67" i="32"/>
  <c r="AQ67" i="32"/>
  <c r="AQ70" i="32" s="1"/>
  <c r="AP67" i="32"/>
  <c r="AO67" i="32"/>
  <c r="AN67" i="32"/>
  <c r="AM67" i="32"/>
  <c r="AL67" i="32"/>
  <c r="AK67" i="32"/>
  <c r="AJ67" i="32"/>
  <c r="AI67" i="32"/>
  <c r="AI70" i="32" s="1"/>
  <c r="AH67" i="32"/>
  <c r="AG67" i="32"/>
  <c r="AF67" i="32"/>
  <c r="AF75" i="32" s="1"/>
  <c r="AE67" i="32"/>
  <c r="AD67" i="32"/>
  <c r="AD70" i="32" s="1"/>
  <c r="AC67" i="32"/>
  <c r="AB67" i="32"/>
  <c r="AA67" i="32"/>
  <c r="Z67" i="32"/>
  <c r="Y67" i="32"/>
  <c r="X67" i="32"/>
  <c r="W67" i="32"/>
  <c r="V67" i="32"/>
  <c r="V70" i="32" s="1"/>
  <c r="U67" i="32"/>
  <c r="T67" i="32"/>
  <c r="S67" i="32"/>
  <c r="R67" i="32"/>
  <c r="Q67" i="32"/>
  <c r="P67" i="32"/>
  <c r="O67" i="32"/>
  <c r="N67" i="32"/>
  <c r="M67" i="32"/>
  <c r="L67" i="32"/>
  <c r="K67" i="32"/>
  <c r="J67" i="32"/>
  <c r="I67" i="32"/>
  <c r="H67" i="32"/>
  <c r="G67" i="32"/>
  <c r="F67" i="32"/>
  <c r="E67" i="32"/>
  <c r="D67" i="32"/>
  <c r="C67" i="32"/>
  <c r="BD65" i="32"/>
  <c r="BC65" i="32"/>
  <c r="BB65" i="32"/>
  <c r="BB77" i="32" s="1"/>
  <c r="BA65" i="32"/>
  <c r="AZ65" i="32"/>
  <c r="AY65" i="32"/>
  <c r="AX65" i="32"/>
  <c r="AW65" i="32"/>
  <c r="AV65" i="32"/>
  <c r="AU65" i="32"/>
  <c r="AT65" i="32"/>
  <c r="AS65" i="32"/>
  <c r="AR65" i="32"/>
  <c r="AQ65" i="32"/>
  <c r="AP65" i="32"/>
  <c r="AO65" i="32"/>
  <c r="AN65" i="32"/>
  <c r="AM65" i="32"/>
  <c r="AL65" i="32"/>
  <c r="AK65" i="32"/>
  <c r="AJ65" i="32"/>
  <c r="AI65" i="32"/>
  <c r="AH65" i="32"/>
  <c r="AG65" i="32"/>
  <c r="AF65" i="32"/>
  <c r="AE65" i="32"/>
  <c r="AD65" i="32"/>
  <c r="AD77" i="32" s="1"/>
  <c r="AC65" i="32"/>
  <c r="AB65" i="32"/>
  <c r="AA65" i="32"/>
  <c r="Z65" i="32"/>
  <c r="Y65" i="32"/>
  <c r="X65" i="32"/>
  <c r="W65" i="32"/>
  <c r="V65" i="32"/>
  <c r="V77" i="32" s="1"/>
  <c r="U65" i="32"/>
  <c r="T65" i="32"/>
  <c r="S65" i="32"/>
  <c r="R65" i="32"/>
  <c r="Q65" i="32"/>
  <c r="P65" i="32"/>
  <c r="O65" i="32"/>
  <c r="N65" i="32"/>
  <c r="N77" i="32" s="1"/>
  <c r="M65" i="32"/>
  <c r="L65" i="32"/>
  <c r="K65" i="32"/>
  <c r="J65" i="32"/>
  <c r="I65" i="32"/>
  <c r="H65" i="32"/>
  <c r="G65" i="32"/>
  <c r="F65" i="32"/>
  <c r="F77" i="32" s="1"/>
  <c r="E65" i="32"/>
  <c r="D65" i="32"/>
  <c r="C65" i="32"/>
  <c r="BD64" i="32"/>
  <c r="BC64" i="32"/>
  <c r="BB64" i="32"/>
  <c r="BA64" i="32"/>
  <c r="AZ64" i="32"/>
  <c r="AY64" i="32"/>
  <c r="AX64" i="32"/>
  <c r="AW64" i="32"/>
  <c r="AV64" i="32"/>
  <c r="AU64" i="32"/>
  <c r="AT64" i="32"/>
  <c r="AS64" i="32"/>
  <c r="AR64" i="32"/>
  <c r="AR76" i="32" s="1"/>
  <c r="AQ64" i="32"/>
  <c r="AP64" i="32"/>
  <c r="AO64" i="32"/>
  <c r="AN64" i="32"/>
  <c r="AM64" i="32"/>
  <c r="AL64" i="32"/>
  <c r="AK64" i="32"/>
  <c r="AJ64" i="32"/>
  <c r="AI64" i="32"/>
  <c r="AH64" i="32"/>
  <c r="AG64" i="32"/>
  <c r="AF64" i="32"/>
  <c r="AE64" i="32"/>
  <c r="AD64" i="32"/>
  <c r="AC64" i="32"/>
  <c r="AB64" i="32"/>
  <c r="AA64" i="32"/>
  <c r="Z64" i="32"/>
  <c r="Y64" i="32"/>
  <c r="X64" i="32"/>
  <c r="W64" i="32"/>
  <c r="V64" i="32"/>
  <c r="U64" i="32"/>
  <c r="T64" i="32"/>
  <c r="S64" i="32"/>
  <c r="R64" i="32"/>
  <c r="Q64" i="32"/>
  <c r="P64" i="32"/>
  <c r="O64" i="32"/>
  <c r="N64" i="32"/>
  <c r="M64" i="32"/>
  <c r="L64" i="32"/>
  <c r="K64" i="32"/>
  <c r="J64" i="32"/>
  <c r="I64" i="32"/>
  <c r="H64" i="32"/>
  <c r="G64" i="32"/>
  <c r="F64" i="32"/>
  <c r="E64" i="32"/>
  <c r="D64" i="32"/>
  <c r="C64" i="32"/>
  <c r="BD63" i="32"/>
  <c r="BC63" i="32"/>
  <c r="BC75" i="32" s="1"/>
  <c r="BB63" i="32"/>
  <c r="BA63" i="32"/>
  <c r="BA66" i="32" s="1"/>
  <c r="AZ63" i="32"/>
  <c r="AY63" i="32"/>
  <c r="AX63" i="32"/>
  <c r="AX75" i="32" s="1"/>
  <c r="AW63" i="32"/>
  <c r="AV63" i="32"/>
  <c r="AU63" i="32"/>
  <c r="AT63" i="32"/>
  <c r="AS63" i="32"/>
  <c r="AS66" i="32" s="1"/>
  <c r="AR63" i="32"/>
  <c r="AQ63" i="32"/>
  <c r="AP63" i="32"/>
  <c r="AP75" i="32" s="1"/>
  <c r="AO63" i="32"/>
  <c r="AN63" i="32"/>
  <c r="AM63" i="32"/>
  <c r="AL63" i="32"/>
  <c r="AK63" i="32"/>
  <c r="AK66" i="32" s="1"/>
  <c r="AJ63" i="32"/>
  <c r="AI63" i="32"/>
  <c r="AH63" i="32"/>
  <c r="AH75" i="32" s="1"/>
  <c r="AG63" i="32"/>
  <c r="AF63" i="32"/>
  <c r="AE63" i="32"/>
  <c r="AD63" i="32"/>
  <c r="AC63" i="32"/>
  <c r="AC66" i="32" s="1"/>
  <c r="AB63" i="32"/>
  <c r="AA63" i="32"/>
  <c r="Z63" i="32"/>
  <c r="Z75" i="32" s="1"/>
  <c r="Y63" i="32"/>
  <c r="X63" i="32"/>
  <c r="W63" i="32"/>
  <c r="W75" i="32" s="1"/>
  <c r="V63" i="32"/>
  <c r="U63" i="32"/>
  <c r="U66" i="32" s="1"/>
  <c r="T63" i="32"/>
  <c r="S63" i="32"/>
  <c r="R63" i="32"/>
  <c r="Q63" i="32"/>
  <c r="P63" i="32"/>
  <c r="O63" i="32"/>
  <c r="O75" i="32" s="1"/>
  <c r="N63" i="32"/>
  <c r="M63" i="32"/>
  <c r="L63" i="32"/>
  <c r="L75" i="32" s="1"/>
  <c r="K63" i="32"/>
  <c r="J63" i="32"/>
  <c r="J75" i="32" s="1"/>
  <c r="I63" i="32"/>
  <c r="H63" i="32"/>
  <c r="G63" i="32"/>
  <c r="F63" i="32"/>
  <c r="E63" i="32"/>
  <c r="D63" i="32"/>
  <c r="D75" i="32" s="1"/>
  <c r="C63" i="32"/>
  <c r="BD59" i="32"/>
  <c r="BD60" i="32" s="1"/>
  <c r="BD61" i="32" s="1"/>
  <c r="BC59" i="32"/>
  <c r="BC60" i="32" s="1"/>
  <c r="BC61" i="32" s="1"/>
  <c r="BB59" i="32"/>
  <c r="BB60" i="32" s="1"/>
  <c r="BB61" i="32" s="1"/>
  <c r="BA59" i="32"/>
  <c r="BA60" i="32" s="1"/>
  <c r="BA61" i="32" s="1"/>
  <c r="AZ59" i="32"/>
  <c r="AZ60" i="32" s="1"/>
  <c r="AZ61" i="32" s="1"/>
  <c r="AY59" i="32"/>
  <c r="AY60" i="32" s="1"/>
  <c r="AY61" i="32" s="1"/>
  <c r="AX59" i="32"/>
  <c r="AX60" i="32" s="1"/>
  <c r="AX61" i="32" s="1"/>
  <c r="BD50" i="32"/>
  <c r="BC50" i="32"/>
  <c r="BB50" i="32"/>
  <c r="BA50" i="32"/>
  <c r="AZ50" i="32"/>
  <c r="AY50" i="32"/>
  <c r="AX50" i="32"/>
  <c r="AW50" i="32"/>
  <c r="AV50" i="32"/>
  <c r="AU50" i="32"/>
  <c r="AT50" i="32"/>
  <c r="AS50" i="32"/>
  <c r="AR50" i="32"/>
  <c r="AQ50" i="32"/>
  <c r="AP50" i="32"/>
  <c r="AO50" i="32"/>
  <c r="AN50" i="32"/>
  <c r="AM50" i="32"/>
  <c r="AL50" i="32"/>
  <c r="AK50" i="32"/>
  <c r="AJ50" i="32"/>
  <c r="AI50" i="32"/>
  <c r="AH50" i="32"/>
  <c r="AG50" i="32"/>
  <c r="AF50" i="32"/>
  <c r="AE50" i="32"/>
  <c r="AD50" i="32"/>
  <c r="AC50" i="32"/>
  <c r="AB50" i="32"/>
  <c r="AA50" i="32"/>
  <c r="Z50" i="32"/>
  <c r="Y50" i="32"/>
  <c r="X50" i="32"/>
  <c r="W50" i="32"/>
  <c r="V50" i="32"/>
  <c r="U50" i="32"/>
  <c r="T50" i="32"/>
  <c r="S50" i="32"/>
  <c r="R50" i="32"/>
  <c r="Q50" i="32"/>
  <c r="P50" i="32"/>
  <c r="O50" i="32"/>
  <c r="N50" i="32"/>
  <c r="M50" i="32"/>
  <c r="L50" i="32"/>
  <c r="K50" i="32"/>
  <c r="J50" i="32"/>
  <c r="I50" i="32"/>
  <c r="H50" i="32"/>
  <c r="G50" i="32"/>
  <c r="F50" i="32"/>
  <c r="E50" i="32"/>
  <c r="D50" i="32"/>
  <c r="C50" i="32"/>
  <c r="BD49" i="32"/>
  <c r="BC49" i="32"/>
  <c r="BB49" i="32"/>
  <c r="BA49" i="32"/>
  <c r="AZ49" i="32"/>
  <c r="AY49" i="32"/>
  <c r="AX49" i="32"/>
  <c r="AW49" i="32"/>
  <c r="AV49" i="32"/>
  <c r="AU49" i="32"/>
  <c r="AT49" i="32"/>
  <c r="AS49" i="32"/>
  <c r="AR49" i="32"/>
  <c r="AQ49" i="32"/>
  <c r="AP49" i="32"/>
  <c r="AO49" i="32"/>
  <c r="AN49" i="32"/>
  <c r="AM49" i="32"/>
  <c r="AL49" i="32"/>
  <c r="AK49" i="32"/>
  <c r="AJ49" i="32"/>
  <c r="AI49" i="32"/>
  <c r="AH49" i="32"/>
  <c r="AG49" i="32"/>
  <c r="AF49" i="32"/>
  <c r="AE49" i="32"/>
  <c r="AD49" i="32"/>
  <c r="AC49" i="32"/>
  <c r="AB49" i="32"/>
  <c r="AA49" i="32"/>
  <c r="Z49" i="32"/>
  <c r="Y49" i="32"/>
  <c r="X49" i="32"/>
  <c r="W49" i="32"/>
  <c r="V49" i="32"/>
  <c r="U49" i="32"/>
  <c r="T49" i="32"/>
  <c r="S49" i="32"/>
  <c r="R49" i="32"/>
  <c r="Q49" i="32"/>
  <c r="P49" i="32"/>
  <c r="O49" i="32"/>
  <c r="N49" i="32"/>
  <c r="M49" i="32"/>
  <c r="L49" i="32"/>
  <c r="K49" i="32"/>
  <c r="J49" i="32"/>
  <c r="I49" i="32"/>
  <c r="H49" i="32"/>
  <c r="G49" i="32"/>
  <c r="F49" i="32"/>
  <c r="E49" i="32"/>
  <c r="D49" i="32"/>
  <c r="C49" i="32"/>
  <c r="BD48" i="32"/>
  <c r="BC48" i="32"/>
  <c r="BB48" i="32"/>
  <c r="BB51" i="32" s="1"/>
  <c r="BA48" i="32"/>
  <c r="AZ48" i="32"/>
  <c r="AY48" i="32"/>
  <c r="AX48" i="32"/>
  <c r="AW48" i="32"/>
  <c r="AW51" i="32" s="1"/>
  <c r="AV48" i="32"/>
  <c r="AU48" i="32"/>
  <c r="AT48" i="32"/>
  <c r="AT51" i="32" s="1"/>
  <c r="AS48" i="32"/>
  <c r="AR48" i="32"/>
  <c r="AQ48" i="32"/>
  <c r="AP48" i="32"/>
  <c r="AO48" i="32"/>
  <c r="AN48" i="32"/>
  <c r="AM48" i="32"/>
  <c r="AL48" i="32"/>
  <c r="AL51" i="32" s="1"/>
  <c r="AK48" i="32"/>
  <c r="AJ48" i="32"/>
  <c r="AI48" i="32"/>
  <c r="AI52" i="32" s="1"/>
  <c r="AH48" i="32"/>
  <c r="AG48" i="32"/>
  <c r="AG51" i="32" s="1"/>
  <c r="AF48" i="32"/>
  <c r="AE48" i="32"/>
  <c r="AD48" i="32"/>
  <c r="AD51" i="32" s="1"/>
  <c r="AC48" i="32"/>
  <c r="AB48" i="32"/>
  <c r="AA48" i="32"/>
  <c r="Z48" i="32"/>
  <c r="Y48" i="32"/>
  <c r="X48" i="32"/>
  <c r="W48" i="32"/>
  <c r="V48" i="32"/>
  <c r="V51" i="32" s="1"/>
  <c r="U48" i="32"/>
  <c r="T48" i="32"/>
  <c r="S48" i="32"/>
  <c r="R48" i="32"/>
  <c r="Q48" i="32"/>
  <c r="P48" i="32"/>
  <c r="O48" i="32"/>
  <c r="N48" i="32"/>
  <c r="M48" i="32"/>
  <c r="L48" i="32"/>
  <c r="K48" i="32"/>
  <c r="J48" i="32"/>
  <c r="I48" i="32"/>
  <c r="H48" i="32"/>
  <c r="G48" i="32"/>
  <c r="F48" i="32"/>
  <c r="E48" i="32"/>
  <c r="D48" i="32"/>
  <c r="C48" i="32"/>
  <c r="BD46" i="32"/>
  <c r="BC46" i="32"/>
  <c r="BB46" i="32"/>
  <c r="BA46" i="32"/>
  <c r="AZ46" i="32"/>
  <c r="AY46" i="32"/>
  <c r="AX46" i="32"/>
  <c r="AW46" i="32"/>
  <c r="AV46" i="32"/>
  <c r="AU46" i="32"/>
  <c r="AT46" i="32"/>
  <c r="AS46" i="32"/>
  <c r="AR46" i="32"/>
  <c r="AQ46" i="32"/>
  <c r="AP46" i="32"/>
  <c r="AO46" i="32"/>
  <c r="AN46" i="32"/>
  <c r="AM46" i="32"/>
  <c r="AL46" i="32"/>
  <c r="AK46" i="32"/>
  <c r="AJ46" i="32"/>
  <c r="AI46" i="32"/>
  <c r="AH46" i="32"/>
  <c r="AG46" i="32"/>
  <c r="AF46" i="32"/>
  <c r="AE46" i="32"/>
  <c r="AD46" i="32"/>
  <c r="AC46" i="32"/>
  <c r="AB46" i="32"/>
  <c r="AA46" i="32"/>
  <c r="Z46" i="32"/>
  <c r="Y46" i="32"/>
  <c r="X46" i="32"/>
  <c r="W46" i="32"/>
  <c r="V46" i="32"/>
  <c r="U46" i="32"/>
  <c r="T46" i="32"/>
  <c r="S46" i="32"/>
  <c r="R46" i="32"/>
  <c r="Q46" i="32"/>
  <c r="P46" i="32"/>
  <c r="O46" i="32"/>
  <c r="N46" i="32"/>
  <c r="M46" i="32"/>
  <c r="L46" i="32"/>
  <c r="K46" i="32"/>
  <c r="J46" i="32"/>
  <c r="I46" i="32"/>
  <c r="H46" i="32"/>
  <c r="G46" i="32"/>
  <c r="F46" i="32"/>
  <c r="E46" i="32"/>
  <c r="D46" i="32"/>
  <c r="C46" i="32"/>
  <c r="BD45" i="32"/>
  <c r="BC45" i="32"/>
  <c r="BB45" i="32"/>
  <c r="BA45" i="32"/>
  <c r="AZ45" i="32"/>
  <c r="AY45" i="32"/>
  <c r="AX45" i="32"/>
  <c r="AW45" i="32"/>
  <c r="AV45" i="32"/>
  <c r="AU45" i="32"/>
  <c r="AT45" i="32"/>
  <c r="AS45" i="32"/>
  <c r="AR45" i="32"/>
  <c r="AQ45" i="32"/>
  <c r="AP45" i="32"/>
  <c r="AO45" i="32"/>
  <c r="AN45" i="32"/>
  <c r="AM45" i="32"/>
  <c r="AM47" i="32" s="1"/>
  <c r="AL45" i="32"/>
  <c r="AK45" i="32"/>
  <c r="AJ45" i="32"/>
  <c r="AI45" i="32"/>
  <c r="AH45" i="32"/>
  <c r="AG45" i="32"/>
  <c r="AF45" i="32"/>
  <c r="AE45" i="32"/>
  <c r="AE47" i="32" s="1"/>
  <c r="AD45" i="32"/>
  <c r="AC45" i="32"/>
  <c r="AB45" i="32"/>
  <c r="AA45" i="32"/>
  <c r="Z45" i="32"/>
  <c r="Y45" i="32"/>
  <c r="X45" i="32"/>
  <c r="W45" i="32"/>
  <c r="W47" i="32" s="1"/>
  <c r="V45" i="32"/>
  <c r="U45" i="32"/>
  <c r="T45" i="32"/>
  <c r="S45" i="32"/>
  <c r="R45" i="32"/>
  <c r="Q45" i="32"/>
  <c r="P45" i="32"/>
  <c r="O45" i="32"/>
  <c r="N45" i="32"/>
  <c r="M45" i="32"/>
  <c r="L45" i="32"/>
  <c r="K45" i="32"/>
  <c r="J45" i="32"/>
  <c r="I45" i="32"/>
  <c r="H45" i="32"/>
  <c r="G45" i="32"/>
  <c r="F45" i="32"/>
  <c r="E45" i="32"/>
  <c r="D45" i="32"/>
  <c r="C45" i="32"/>
  <c r="BD44" i="32"/>
  <c r="BC44" i="32"/>
  <c r="BB44" i="32"/>
  <c r="BA44" i="32"/>
  <c r="AZ44" i="32"/>
  <c r="AY44" i="32"/>
  <c r="AX44" i="32"/>
  <c r="AW44" i="32"/>
  <c r="AV44" i="32"/>
  <c r="AU44" i="32"/>
  <c r="AT44" i="32"/>
  <c r="AS44" i="32"/>
  <c r="AS47" i="32" s="1"/>
  <c r="AR44" i="32"/>
  <c r="AQ44" i="32"/>
  <c r="AP44" i="32"/>
  <c r="AO44" i="32"/>
  <c r="AN44" i="32"/>
  <c r="AM44" i="32"/>
  <c r="AM52" i="32" s="1"/>
  <c r="AL44" i="32"/>
  <c r="AK44" i="32"/>
  <c r="AK47" i="32" s="1"/>
  <c r="AJ44" i="32"/>
  <c r="AI44" i="32"/>
  <c r="AH44" i="32"/>
  <c r="AG44" i="32"/>
  <c r="AF44" i="32"/>
  <c r="AE44" i="32"/>
  <c r="AD44" i="32"/>
  <c r="AC44" i="32"/>
  <c r="AB44" i="32"/>
  <c r="AA44" i="32"/>
  <c r="Z44" i="32"/>
  <c r="Y44" i="32"/>
  <c r="X44" i="32"/>
  <c r="W44" i="32"/>
  <c r="V44" i="32"/>
  <c r="U44" i="32"/>
  <c r="U47" i="32" s="1"/>
  <c r="T44" i="32"/>
  <c r="S44" i="32"/>
  <c r="R44" i="32"/>
  <c r="Q44" i="32"/>
  <c r="P44" i="32"/>
  <c r="O44" i="32"/>
  <c r="N44" i="32"/>
  <c r="M44" i="32"/>
  <c r="L44" i="32"/>
  <c r="K44" i="32"/>
  <c r="J44" i="32"/>
  <c r="I44" i="32"/>
  <c r="I52" i="32" s="1"/>
  <c r="H44" i="32"/>
  <c r="G44" i="32"/>
  <c r="F44" i="32"/>
  <c r="E44" i="32"/>
  <c r="D44" i="32"/>
  <c r="C44" i="32"/>
  <c r="BD42" i="32"/>
  <c r="BC42" i="32"/>
  <c r="BB42" i="32"/>
  <c r="BA42" i="32"/>
  <c r="AZ42" i="32"/>
  <c r="AY42" i="32"/>
  <c r="AY54" i="32" s="1"/>
  <c r="AX42" i="32"/>
  <c r="AW42" i="32"/>
  <c r="AV42" i="32"/>
  <c r="AV54" i="32" s="1"/>
  <c r="AU42" i="32"/>
  <c r="AT42" i="32"/>
  <c r="AS42" i="32"/>
  <c r="AR42" i="32"/>
  <c r="AQ42" i="32"/>
  <c r="AQ54" i="32" s="1"/>
  <c r="AP42" i="32"/>
  <c r="AO42" i="32"/>
  <c r="AN42" i="32"/>
  <c r="AM42" i="32"/>
  <c r="AL42" i="32"/>
  <c r="AK42" i="32"/>
  <c r="AJ42" i="32"/>
  <c r="AI42" i="32"/>
  <c r="AH42" i="32"/>
  <c r="AG42" i="32"/>
  <c r="AF42" i="32"/>
  <c r="AE42" i="32"/>
  <c r="AD42" i="32"/>
  <c r="AC42" i="32"/>
  <c r="AB42" i="32"/>
  <c r="AA42" i="32"/>
  <c r="Z42" i="32"/>
  <c r="Y42" i="32"/>
  <c r="X42" i="32"/>
  <c r="W42" i="32"/>
  <c r="V42" i="32"/>
  <c r="U42" i="32"/>
  <c r="T42" i="32"/>
  <c r="S42" i="32"/>
  <c r="R42" i="32"/>
  <c r="Q42" i="32"/>
  <c r="P42" i="32"/>
  <c r="P54" i="32" s="1"/>
  <c r="O42" i="32"/>
  <c r="N42" i="32"/>
  <c r="M42" i="32"/>
  <c r="L42" i="32"/>
  <c r="K42" i="32"/>
  <c r="J42" i="32"/>
  <c r="I42" i="32"/>
  <c r="H42" i="32"/>
  <c r="G42" i="32"/>
  <c r="F42" i="32"/>
  <c r="E42" i="32"/>
  <c r="D42" i="32"/>
  <c r="C42" i="32"/>
  <c r="BD41" i="32"/>
  <c r="BC41" i="32"/>
  <c r="BB41" i="32"/>
  <c r="BA41" i="32"/>
  <c r="AZ41" i="32"/>
  <c r="AY41" i="32"/>
  <c r="AX41" i="32"/>
  <c r="AW41" i="32"/>
  <c r="AW53" i="32" s="1"/>
  <c r="AV41" i="32"/>
  <c r="AU41" i="32"/>
  <c r="AT41" i="32"/>
  <c r="AS41" i="32"/>
  <c r="AR41" i="32"/>
  <c r="AQ41" i="32"/>
  <c r="AP41" i="32"/>
  <c r="AO41" i="32"/>
  <c r="AO43" i="32" s="1"/>
  <c r="AN41" i="32"/>
  <c r="AM41" i="32"/>
  <c r="AL41" i="32"/>
  <c r="AK41" i="32"/>
  <c r="AJ41" i="32"/>
  <c r="AI41" i="32"/>
  <c r="AH41" i="32"/>
  <c r="AG41" i="32"/>
  <c r="AG43" i="32" s="1"/>
  <c r="AF41" i="32"/>
  <c r="AE41" i="32"/>
  <c r="AD41" i="32"/>
  <c r="AD53" i="32" s="1"/>
  <c r="AC41" i="32"/>
  <c r="AB41" i="32"/>
  <c r="AA41" i="32"/>
  <c r="Z41" i="32"/>
  <c r="Y41" i="32"/>
  <c r="Y43" i="32" s="1"/>
  <c r="X41" i="32"/>
  <c r="W41" i="32"/>
  <c r="V41" i="32"/>
  <c r="U41" i="32"/>
  <c r="T41" i="32"/>
  <c r="S41" i="32"/>
  <c r="R41" i="32"/>
  <c r="Q41" i="32"/>
  <c r="P41" i="32"/>
  <c r="O41" i="32"/>
  <c r="N41" i="32"/>
  <c r="M41" i="32"/>
  <c r="L41" i="32"/>
  <c r="K41" i="32"/>
  <c r="J41" i="32"/>
  <c r="I41" i="32"/>
  <c r="H41" i="32"/>
  <c r="G41" i="32"/>
  <c r="F41" i="32"/>
  <c r="E41" i="32"/>
  <c r="D41" i="32"/>
  <c r="C41" i="32"/>
  <c r="BD40" i="32"/>
  <c r="BC40" i="32"/>
  <c r="BC52" i="32" s="1"/>
  <c r="BB40" i="32"/>
  <c r="BA40" i="32"/>
  <c r="AZ40" i="32"/>
  <c r="AY40" i="32"/>
  <c r="AX40" i="32"/>
  <c r="AW40" i="32"/>
  <c r="AV40" i="32"/>
  <c r="AU40" i="32"/>
  <c r="AU52" i="32" s="1"/>
  <c r="AT40" i="32"/>
  <c r="AR40" i="32"/>
  <c r="AQ40" i="32"/>
  <c r="AC37" i="32"/>
  <c r="AB37" i="32"/>
  <c r="AA37" i="32"/>
  <c r="AC36" i="32"/>
  <c r="AC38" i="32" s="1"/>
  <c r="AB36" i="32"/>
  <c r="AA36" i="32"/>
  <c r="AD35" i="32"/>
  <c r="BD33" i="32"/>
  <c r="BC33" i="32"/>
  <c r="BB33" i="32"/>
  <c r="BA33" i="32"/>
  <c r="AZ33" i="32"/>
  <c r="AY33" i="32"/>
  <c r="AX33" i="32"/>
  <c r="AW33" i="32"/>
  <c r="AV33" i="32"/>
  <c r="AU33" i="32"/>
  <c r="AT33" i="32"/>
  <c r="AS33" i="32"/>
  <c r="AR33" i="32"/>
  <c r="AQ33" i="32"/>
  <c r="AP33" i="32"/>
  <c r="AO33" i="32"/>
  <c r="AN33" i="32"/>
  <c r="AM33" i="32"/>
  <c r="AL33" i="32"/>
  <c r="AK33" i="32"/>
  <c r="AJ33" i="32"/>
  <c r="AI33" i="32"/>
  <c r="AH33" i="32"/>
  <c r="AG33" i="32"/>
  <c r="AF33" i="32"/>
  <c r="AE33" i="32"/>
  <c r="BD32" i="32"/>
  <c r="BC32" i="32"/>
  <c r="BB32" i="32"/>
  <c r="BA32" i="32"/>
  <c r="AZ32" i="32"/>
  <c r="AY32" i="32"/>
  <c r="AX32" i="32"/>
  <c r="AW32" i="32"/>
  <c r="AV32" i="32"/>
  <c r="AU32" i="32"/>
  <c r="AT32" i="32"/>
  <c r="AS32" i="32"/>
  <c r="AR32" i="32"/>
  <c r="AQ32" i="32"/>
  <c r="AP32" i="32"/>
  <c r="AO32" i="32"/>
  <c r="AN32" i="32"/>
  <c r="AM32" i="32"/>
  <c r="AL32" i="32"/>
  <c r="AK32" i="32"/>
  <c r="AK34" i="32" s="1"/>
  <c r="AJ32" i="32"/>
  <c r="AI32" i="32"/>
  <c r="AH32" i="32"/>
  <c r="AG32" i="32"/>
  <c r="AF32" i="32"/>
  <c r="BD31" i="32"/>
  <c r="BD35" i="32" s="1"/>
  <c r="BC31" i="32"/>
  <c r="BC35" i="32" s="1"/>
  <c r="BB31" i="32"/>
  <c r="BB35" i="32" s="1"/>
  <c r="BA31" i="32"/>
  <c r="BA35" i="32" s="1"/>
  <c r="AZ31" i="32"/>
  <c r="AZ35" i="32" s="1"/>
  <c r="AY31" i="32"/>
  <c r="AY35" i="32" s="1"/>
  <c r="AX31" i="32"/>
  <c r="AX35" i="32" s="1"/>
  <c r="AW31" i="32"/>
  <c r="AW35" i="32" s="1"/>
  <c r="AV31" i="32"/>
  <c r="AV35" i="32" s="1"/>
  <c r="AU31" i="32"/>
  <c r="AU35" i="32" s="1"/>
  <c r="AT31" i="32"/>
  <c r="AT35" i="32" s="1"/>
  <c r="AS31" i="32"/>
  <c r="AR31" i="32"/>
  <c r="AR35" i="32" s="1"/>
  <c r="AQ31" i="32"/>
  <c r="AQ35" i="32" s="1"/>
  <c r="AP31" i="32"/>
  <c r="AP35" i="32" s="1"/>
  <c r="AO31" i="32"/>
  <c r="AO35" i="32" s="1"/>
  <c r="AN31" i="32"/>
  <c r="AN35" i="32" s="1"/>
  <c r="AM31" i="32"/>
  <c r="AL31" i="32"/>
  <c r="AL35" i="32" s="1"/>
  <c r="AK31" i="32"/>
  <c r="AJ31" i="32"/>
  <c r="AJ35" i="32" s="1"/>
  <c r="AI31" i="32"/>
  <c r="AI35" i="32" s="1"/>
  <c r="AH31" i="32"/>
  <c r="AH35" i="32" s="1"/>
  <c r="AG31" i="32"/>
  <c r="AG35" i="32" s="1"/>
  <c r="AF31" i="32"/>
  <c r="AF35" i="32" s="1"/>
  <c r="AE31" i="32"/>
  <c r="AE35" i="32" s="1"/>
  <c r="BD28" i="32"/>
  <c r="BD30" i="32" s="1"/>
  <c r="BC28" i="32"/>
  <c r="BC30" i="32" s="1"/>
  <c r="BB28" i="32"/>
  <c r="BB30" i="32" s="1"/>
  <c r="BA28" i="32"/>
  <c r="BA30" i="32" s="1"/>
  <c r="AZ28" i="32"/>
  <c r="AZ30" i="32" s="1"/>
  <c r="AY28" i="32"/>
  <c r="AY30" i="32" s="1"/>
  <c r="AX28" i="32"/>
  <c r="AX30" i="32" s="1"/>
  <c r="AW28" i="32"/>
  <c r="AW30" i="32" s="1"/>
  <c r="AV28" i="32"/>
  <c r="AV30" i="32" s="1"/>
  <c r="AU28" i="32"/>
  <c r="AU30" i="32" s="1"/>
  <c r="AT28" i="32"/>
  <c r="AT30" i="32" s="1"/>
  <c r="AS28" i="32"/>
  <c r="AS30" i="32" s="1"/>
  <c r="AR28" i="32"/>
  <c r="AR30" i="32" s="1"/>
  <c r="AQ28" i="32"/>
  <c r="AQ30" i="32" s="1"/>
  <c r="AP28" i="32"/>
  <c r="AP30" i="32" s="1"/>
  <c r="AO28" i="32"/>
  <c r="AO30" i="32" s="1"/>
  <c r="AN28" i="32"/>
  <c r="AN30" i="32" s="1"/>
  <c r="AM28" i="32"/>
  <c r="AM30" i="32" s="1"/>
  <c r="AL28" i="32"/>
  <c r="AL30" i="32" s="1"/>
  <c r="AK28" i="32"/>
  <c r="AK30" i="32" s="1"/>
  <c r="AJ28" i="32"/>
  <c r="AJ30" i="32" s="1"/>
  <c r="AI28" i="32"/>
  <c r="AI30" i="32" s="1"/>
  <c r="AH28" i="32"/>
  <c r="AH30" i="32" s="1"/>
  <c r="AG28" i="32"/>
  <c r="AG30" i="32" s="1"/>
  <c r="AF28" i="32"/>
  <c r="AF30" i="32" s="1"/>
  <c r="AC26" i="32"/>
  <c r="AB26" i="32"/>
  <c r="AA26" i="32"/>
  <c r="BD25" i="32"/>
  <c r="BC25" i="32"/>
  <c r="BC37" i="32" s="1"/>
  <c r="BB25" i="32"/>
  <c r="BA25" i="32"/>
  <c r="AZ25" i="32"/>
  <c r="AZ26" i="32" s="1"/>
  <c r="AY25" i="32"/>
  <c r="AX25" i="32"/>
  <c r="AW25" i="32"/>
  <c r="AV25" i="32"/>
  <c r="AU25" i="32"/>
  <c r="AT25" i="32"/>
  <c r="AS25" i="32"/>
  <c r="AR25" i="32"/>
  <c r="AR26" i="32" s="1"/>
  <c r="AQ25" i="32"/>
  <c r="AP25" i="32"/>
  <c r="AO25" i="32"/>
  <c r="AN25" i="32"/>
  <c r="AM25" i="32"/>
  <c r="AM37" i="32" s="1"/>
  <c r="AL25" i="32"/>
  <c r="AK25" i="32"/>
  <c r="AJ25" i="32"/>
  <c r="AI25" i="32"/>
  <c r="AH25" i="32"/>
  <c r="AG25" i="32"/>
  <c r="AF25" i="32"/>
  <c r="AE25" i="32"/>
  <c r="AE37" i="32" s="1"/>
  <c r="AD25" i="32"/>
  <c r="AD37" i="32" s="1"/>
  <c r="BD24" i="32"/>
  <c r="BC24" i="32"/>
  <c r="BB24" i="32"/>
  <c r="BA24" i="32"/>
  <c r="AZ24" i="32"/>
  <c r="AY24" i="32"/>
  <c r="AX24" i="32"/>
  <c r="AW24" i="32"/>
  <c r="AV24" i="32"/>
  <c r="AU24" i="32"/>
  <c r="AT24" i="32"/>
  <c r="AS24" i="32"/>
  <c r="AR24" i="32"/>
  <c r="AQ24" i="32"/>
  <c r="AP24" i="32"/>
  <c r="AO24" i="32"/>
  <c r="AN24" i="32"/>
  <c r="AM24" i="32"/>
  <c r="AL24" i="32"/>
  <c r="AK24" i="32"/>
  <c r="AJ24" i="32"/>
  <c r="AI24" i="32"/>
  <c r="AH24" i="32"/>
  <c r="AG24" i="32"/>
  <c r="AF24" i="32"/>
  <c r="AE24" i="32"/>
  <c r="AE36" i="32" s="1"/>
  <c r="AD24" i="32"/>
  <c r="Q21" i="32"/>
  <c r="P21" i="32"/>
  <c r="O21" i="32"/>
  <c r="N21" i="32"/>
  <c r="M21" i="32"/>
  <c r="L21" i="32"/>
  <c r="K21" i="32"/>
  <c r="J21" i="32"/>
  <c r="I21" i="32"/>
  <c r="H21" i="32"/>
  <c r="G21" i="32"/>
  <c r="F21" i="32"/>
  <c r="E21" i="32"/>
  <c r="D21" i="32"/>
  <c r="C21" i="32"/>
  <c r="AC20" i="32"/>
  <c r="AB20" i="32"/>
  <c r="AA20" i="32"/>
  <c r="Z20" i="32"/>
  <c r="Y20" i="32"/>
  <c r="X20" i="32"/>
  <c r="W20" i="32"/>
  <c r="V20" i="32"/>
  <c r="U20" i="32"/>
  <c r="AC19" i="32"/>
  <c r="AB19" i="32"/>
  <c r="AA19" i="32"/>
  <c r="Z19" i="32"/>
  <c r="Y19" i="32"/>
  <c r="X19" i="32"/>
  <c r="W19" i="32"/>
  <c r="V19" i="32"/>
  <c r="U19" i="32"/>
  <c r="AC18" i="32"/>
  <c r="AB18" i="32"/>
  <c r="AA18" i="32"/>
  <c r="Z18" i="32"/>
  <c r="Y18" i="32"/>
  <c r="X18" i="32"/>
  <c r="W18" i="32"/>
  <c r="V18" i="32"/>
  <c r="U18" i="32"/>
  <c r="AC17" i="32"/>
  <c r="AB17" i="32"/>
  <c r="AA17" i="32"/>
  <c r="Z17" i="32"/>
  <c r="Y17" i="32"/>
  <c r="X17" i="32"/>
  <c r="W17" i="32"/>
  <c r="V17" i="32"/>
  <c r="U17" i="32"/>
  <c r="BD16" i="32"/>
  <c r="BC16" i="32"/>
  <c r="BB16" i="32"/>
  <c r="BA16" i="32"/>
  <c r="AZ16" i="32"/>
  <c r="AY16" i="32"/>
  <c r="AX16" i="32"/>
  <c r="AW16" i="32"/>
  <c r="AV16" i="32"/>
  <c r="AU16" i="32"/>
  <c r="AT16" i="32"/>
  <c r="AS16" i="32"/>
  <c r="AR16" i="32"/>
  <c r="AQ16" i="32"/>
  <c r="AP16" i="32"/>
  <c r="AO16" i="32"/>
  <c r="AN16" i="32"/>
  <c r="AM16" i="32"/>
  <c r="AL16" i="32"/>
  <c r="AK16" i="32"/>
  <c r="AJ16" i="32"/>
  <c r="AI16" i="32"/>
  <c r="AH16" i="32"/>
  <c r="AG16" i="32"/>
  <c r="AF16" i="32"/>
  <c r="AE16" i="32"/>
  <c r="AD16" i="32"/>
  <c r="BD15" i="32"/>
  <c r="BC15" i="32"/>
  <c r="BB15" i="32"/>
  <c r="BA15" i="32"/>
  <c r="AZ15" i="32"/>
  <c r="AY15" i="32"/>
  <c r="AX15" i="32"/>
  <c r="AW15" i="32"/>
  <c r="AV15" i="32"/>
  <c r="AU15" i="32"/>
  <c r="AT15" i="32"/>
  <c r="AS15" i="32"/>
  <c r="AR15" i="32"/>
  <c r="AQ15" i="32"/>
  <c r="AP15" i="32"/>
  <c r="AO15" i="32"/>
  <c r="AN15" i="32"/>
  <c r="AM15" i="32"/>
  <c r="AL15" i="32"/>
  <c r="AK15" i="32"/>
  <c r="AJ15" i="32"/>
  <c r="AI15" i="32"/>
  <c r="AH15" i="32"/>
  <c r="AG15" i="32"/>
  <c r="AF15" i="32"/>
  <c r="AE15" i="32"/>
  <c r="AD15" i="32"/>
  <c r="BD14" i="32"/>
  <c r="BC14" i="32"/>
  <c r="BC17" i="32" s="1"/>
  <c r="BB14" i="32"/>
  <c r="BA14" i="32"/>
  <c r="AZ14" i="32"/>
  <c r="AY14" i="32"/>
  <c r="AX14" i="32"/>
  <c r="AW14" i="32"/>
  <c r="AV14" i="32"/>
  <c r="AU14" i="32"/>
  <c r="AT14" i="32"/>
  <c r="AS14" i="32"/>
  <c r="AR14" i="32"/>
  <c r="AQ14" i="32"/>
  <c r="AP14" i="32"/>
  <c r="AO14" i="32"/>
  <c r="AN14" i="32"/>
  <c r="AM14" i="32"/>
  <c r="AL14" i="32"/>
  <c r="AK14" i="32"/>
  <c r="AJ14" i="32"/>
  <c r="AI14" i="32"/>
  <c r="AH14" i="32"/>
  <c r="AG14" i="32"/>
  <c r="AF14" i="32"/>
  <c r="AE14" i="32"/>
  <c r="AD14" i="32"/>
  <c r="AC13" i="32"/>
  <c r="AB13" i="32"/>
  <c r="AA13" i="32"/>
  <c r="Z13" i="32"/>
  <c r="Y13" i="32"/>
  <c r="X13" i="32"/>
  <c r="W13" i="32"/>
  <c r="V13" i="32"/>
  <c r="U13" i="32"/>
  <c r="BD12" i="32"/>
  <c r="BC12" i="32"/>
  <c r="BB12" i="32"/>
  <c r="BA12" i="32"/>
  <c r="AZ12" i="32"/>
  <c r="AY12" i="32"/>
  <c r="AX12" i="32"/>
  <c r="AW12" i="32"/>
  <c r="AV12" i="32"/>
  <c r="AU12" i="32"/>
  <c r="AT12" i="32"/>
  <c r="AS12" i="32"/>
  <c r="AR12" i="32"/>
  <c r="AQ12" i="32"/>
  <c r="AP12" i="32"/>
  <c r="AO12" i="32"/>
  <c r="AN12" i="32"/>
  <c r="AM12" i="32"/>
  <c r="AL12" i="32"/>
  <c r="AK12" i="32"/>
  <c r="AJ12" i="32"/>
  <c r="AI12" i="32"/>
  <c r="AH12" i="32"/>
  <c r="AG12" i="32"/>
  <c r="AF12" i="32"/>
  <c r="AE12" i="32"/>
  <c r="AD12" i="32"/>
  <c r="BD11" i="32"/>
  <c r="BC11" i="32"/>
  <c r="BB11" i="32"/>
  <c r="BA11" i="32"/>
  <c r="AZ11" i="32"/>
  <c r="AY11" i="32"/>
  <c r="AX11" i="32"/>
  <c r="AW11" i="32"/>
  <c r="AV11" i="32"/>
  <c r="AU11" i="32"/>
  <c r="AT11" i="32"/>
  <c r="AS11" i="32"/>
  <c r="AR11" i="32"/>
  <c r="AQ11" i="32"/>
  <c r="AP11" i="32"/>
  <c r="AO11" i="32"/>
  <c r="AN11" i="32"/>
  <c r="AM11" i="32"/>
  <c r="AL11" i="32"/>
  <c r="AK11" i="32"/>
  <c r="AJ11" i="32"/>
  <c r="AI11" i="32"/>
  <c r="AH11" i="32"/>
  <c r="AG11" i="32"/>
  <c r="AF11" i="32"/>
  <c r="AE11" i="32"/>
  <c r="AD11" i="32"/>
  <c r="BD10" i="32"/>
  <c r="BC10" i="32"/>
  <c r="BB10" i="32"/>
  <c r="BA10" i="32"/>
  <c r="AZ10" i="32"/>
  <c r="AY10" i="32"/>
  <c r="AX10" i="32"/>
  <c r="AW10" i="32"/>
  <c r="AV10" i="32"/>
  <c r="AU10" i="32"/>
  <c r="AT10" i="32"/>
  <c r="AS10" i="32"/>
  <c r="AR10" i="32"/>
  <c r="AQ10" i="32"/>
  <c r="AP10" i="32"/>
  <c r="AO10" i="32"/>
  <c r="AN10" i="32"/>
  <c r="AM10" i="32"/>
  <c r="AL10" i="32"/>
  <c r="AK10" i="32"/>
  <c r="AJ10" i="32"/>
  <c r="AI10" i="32"/>
  <c r="AH10" i="32"/>
  <c r="AG10" i="32"/>
  <c r="AF10" i="32"/>
  <c r="AE10" i="32"/>
  <c r="AD10" i="32"/>
  <c r="AC9" i="32"/>
  <c r="AB9" i="32"/>
  <c r="AB21" i="32" s="1"/>
  <c r="AA9" i="32"/>
  <c r="Z9" i="32"/>
  <c r="Z21" i="32" s="1"/>
  <c r="Y9" i="32"/>
  <c r="X9" i="32"/>
  <c r="X21" i="32" s="1"/>
  <c r="W9" i="32"/>
  <c r="W21" i="32" s="1"/>
  <c r="V9" i="32"/>
  <c r="V21" i="32" s="1"/>
  <c r="U9" i="32"/>
  <c r="BD8" i="32"/>
  <c r="BD20" i="32" s="1"/>
  <c r="BC8" i="32"/>
  <c r="BB8" i="32"/>
  <c r="BA8" i="32"/>
  <c r="AZ8" i="32"/>
  <c r="AY8" i="32"/>
  <c r="AX8" i="32"/>
  <c r="AW8" i="32"/>
  <c r="AV8" i="32"/>
  <c r="AU8" i="32"/>
  <c r="AT8" i="32"/>
  <c r="AS8" i="32"/>
  <c r="AR8" i="32"/>
  <c r="AQ8" i="32"/>
  <c r="AP8" i="32"/>
  <c r="AO8" i="32"/>
  <c r="AN8" i="32"/>
  <c r="AM8" i="32"/>
  <c r="AL8" i="32"/>
  <c r="AK8" i="32"/>
  <c r="AJ8" i="32"/>
  <c r="AI8" i="32"/>
  <c r="AH8" i="32"/>
  <c r="AG8" i="32"/>
  <c r="AG9" i="32" s="1"/>
  <c r="AF8" i="32"/>
  <c r="AE8" i="32"/>
  <c r="AD8" i="32"/>
  <c r="BD7" i="32"/>
  <c r="BC7" i="32"/>
  <c r="BB7" i="32"/>
  <c r="BA7" i="32"/>
  <c r="AZ7" i="32"/>
  <c r="AY7" i="32"/>
  <c r="AX7" i="32"/>
  <c r="AW7" i="32"/>
  <c r="AV7" i="32"/>
  <c r="AU7" i="32"/>
  <c r="AT7" i="32"/>
  <c r="AS7" i="32"/>
  <c r="AR7" i="32"/>
  <c r="AQ7" i="32"/>
  <c r="AP7" i="32"/>
  <c r="AO7" i="32"/>
  <c r="AN7" i="32"/>
  <c r="AM7" i="32"/>
  <c r="AL7" i="32"/>
  <c r="AK7" i="32"/>
  <c r="AJ7" i="32"/>
  <c r="AI7" i="32"/>
  <c r="AH7" i="32"/>
  <c r="AG7" i="32"/>
  <c r="AF7" i="32"/>
  <c r="AE7" i="32"/>
  <c r="AD7" i="32"/>
  <c r="BE158" i="31"/>
  <c r="BD158" i="31"/>
  <c r="BC158" i="31"/>
  <c r="BB158" i="31"/>
  <c r="BA158" i="31"/>
  <c r="AZ158" i="31"/>
  <c r="AY158" i="31"/>
  <c r="AX158" i="31"/>
  <c r="AW158" i="31"/>
  <c r="AV158" i="31"/>
  <c r="AU158" i="31"/>
  <c r="AT158" i="31"/>
  <c r="AS158" i="31"/>
  <c r="AR158" i="31"/>
  <c r="AQ158" i="31"/>
  <c r="AP158" i="31"/>
  <c r="AO158" i="31"/>
  <c r="AN158" i="31"/>
  <c r="AM158" i="31"/>
  <c r="AL158" i="31"/>
  <c r="AK158" i="31"/>
  <c r="AJ158" i="31"/>
  <c r="AI158" i="31"/>
  <c r="AH158" i="31"/>
  <c r="AG158" i="31"/>
  <c r="AF158" i="31"/>
  <c r="AE158" i="31"/>
  <c r="AD158" i="31"/>
  <c r="AC158" i="31"/>
  <c r="AB158" i="31"/>
  <c r="AA158" i="31"/>
  <c r="Z158" i="31"/>
  <c r="Y158" i="31"/>
  <c r="X158" i="31"/>
  <c r="W158" i="31"/>
  <c r="V158" i="31"/>
  <c r="U158" i="31"/>
  <c r="T158" i="31"/>
  <c r="S158" i="31"/>
  <c r="R158" i="31"/>
  <c r="Q158" i="31"/>
  <c r="P158" i="31"/>
  <c r="O158" i="31"/>
  <c r="N158" i="31"/>
  <c r="M158" i="31"/>
  <c r="L158" i="31"/>
  <c r="K158" i="31"/>
  <c r="J158" i="31"/>
  <c r="I158" i="31"/>
  <c r="H158" i="31"/>
  <c r="G158" i="31"/>
  <c r="F158" i="31"/>
  <c r="E158" i="31"/>
  <c r="D158" i="31"/>
  <c r="BE153" i="31"/>
  <c r="BD153" i="31"/>
  <c r="BC153" i="31"/>
  <c r="BB153" i="31"/>
  <c r="BA153" i="31"/>
  <c r="AZ153" i="31"/>
  <c r="AY153" i="31"/>
  <c r="AX153" i="31"/>
  <c r="AW153" i="31"/>
  <c r="AV153" i="31"/>
  <c r="AU153" i="31"/>
  <c r="AT153" i="31"/>
  <c r="AS153" i="31"/>
  <c r="AR153" i="31"/>
  <c r="AQ153" i="31"/>
  <c r="AP153" i="31"/>
  <c r="AO153" i="31"/>
  <c r="AN153" i="31"/>
  <c r="AM153" i="31"/>
  <c r="AL153" i="31"/>
  <c r="AK153" i="31"/>
  <c r="AJ153" i="31"/>
  <c r="AI153" i="31"/>
  <c r="AH153" i="31"/>
  <c r="AG153" i="31"/>
  <c r="AF153" i="31"/>
  <c r="AE153" i="31"/>
  <c r="AD153" i="31"/>
  <c r="AC153" i="31"/>
  <c r="AB153" i="31"/>
  <c r="AA153" i="31"/>
  <c r="Z153" i="31"/>
  <c r="Y153" i="31"/>
  <c r="X153" i="31"/>
  <c r="W153" i="31"/>
  <c r="V153" i="31"/>
  <c r="U153" i="31"/>
  <c r="T153" i="31"/>
  <c r="S153" i="31"/>
  <c r="R153" i="31"/>
  <c r="Q153" i="31"/>
  <c r="P153" i="31"/>
  <c r="O153" i="31"/>
  <c r="N153" i="31"/>
  <c r="M153" i="31"/>
  <c r="L153" i="31"/>
  <c r="K153" i="31"/>
  <c r="J153" i="31"/>
  <c r="I153" i="31"/>
  <c r="H153" i="31"/>
  <c r="G153" i="31"/>
  <c r="F153" i="31"/>
  <c r="E153" i="31"/>
  <c r="D153" i="31"/>
  <c r="BE135" i="31"/>
  <c r="BD135" i="31"/>
  <c r="BC135" i="31"/>
  <c r="BB135" i="31"/>
  <c r="BA135" i="31"/>
  <c r="AZ135" i="31"/>
  <c r="AY135" i="31"/>
  <c r="AX135" i="31"/>
  <c r="AW135" i="31"/>
  <c r="AV135" i="31"/>
  <c r="AU135" i="31"/>
  <c r="AT135" i="31"/>
  <c r="AS135" i="31"/>
  <c r="AR135" i="31"/>
  <c r="AQ135" i="31"/>
  <c r="AP135" i="31"/>
  <c r="AO135" i="31"/>
  <c r="AN135" i="31"/>
  <c r="AM135" i="31"/>
  <c r="AL135" i="31"/>
  <c r="AK135" i="31"/>
  <c r="AJ135" i="31"/>
  <c r="AI135" i="31"/>
  <c r="AH135" i="31"/>
  <c r="AG135" i="31"/>
  <c r="AF135" i="31"/>
  <c r="AE135" i="31"/>
  <c r="AD135" i="31"/>
  <c r="AC135" i="31"/>
  <c r="AB135" i="31"/>
  <c r="AA135" i="31"/>
  <c r="Z135" i="31"/>
  <c r="Y135" i="31"/>
  <c r="X135" i="31"/>
  <c r="W135" i="31"/>
  <c r="V135" i="31"/>
  <c r="U135" i="31"/>
  <c r="T135" i="31"/>
  <c r="S135" i="31"/>
  <c r="R135" i="31"/>
  <c r="Q135" i="31"/>
  <c r="P135" i="31"/>
  <c r="O135" i="31"/>
  <c r="N135" i="31"/>
  <c r="M135" i="31"/>
  <c r="L135" i="31"/>
  <c r="K135" i="31"/>
  <c r="J135" i="31"/>
  <c r="I135" i="31"/>
  <c r="H135" i="31"/>
  <c r="G135" i="31"/>
  <c r="F135" i="31"/>
  <c r="E135" i="31"/>
  <c r="D135" i="31"/>
  <c r="BE114" i="31"/>
  <c r="BE115" i="31" s="1"/>
  <c r="BD114" i="31"/>
  <c r="BD115" i="31" s="1"/>
  <c r="BC114" i="31"/>
  <c r="BC115" i="31" s="1"/>
  <c r="BB114" i="31"/>
  <c r="BB115" i="31" s="1"/>
  <c r="BA114" i="31"/>
  <c r="BA115" i="31" s="1"/>
  <c r="AZ114" i="31"/>
  <c r="AZ115" i="31" s="1"/>
  <c r="AY114" i="31"/>
  <c r="AY115" i="31" s="1"/>
  <c r="BE111" i="31"/>
  <c r="BD111" i="31"/>
  <c r="BC111" i="31"/>
  <c r="BB111" i="31"/>
  <c r="BA111" i="31"/>
  <c r="AZ111" i="31"/>
  <c r="AY111" i="31"/>
  <c r="AX111" i="31"/>
  <c r="AW111" i="31"/>
  <c r="AV111" i="31"/>
  <c r="AU111" i="31"/>
  <c r="AT111" i="31"/>
  <c r="AS111" i="31"/>
  <c r="AR111" i="31"/>
  <c r="AQ111" i="31"/>
  <c r="AP111" i="31"/>
  <c r="AO111" i="31"/>
  <c r="AN111" i="31"/>
  <c r="AM111" i="31"/>
  <c r="AL111" i="31"/>
  <c r="AK111" i="31"/>
  <c r="AJ111" i="31"/>
  <c r="AI111" i="31"/>
  <c r="AH111" i="31"/>
  <c r="AG111" i="31"/>
  <c r="AF111" i="31"/>
  <c r="AE111" i="31"/>
  <c r="AD111" i="31"/>
  <c r="AC111" i="31"/>
  <c r="AB111" i="31"/>
  <c r="AA111" i="31"/>
  <c r="Z111" i="31"/>
  <c r="Y111" i="31"/>
  <c r="X111" i="31"/>
  <c r="W111" i="31"/>
  <c r="V111" i="31"/>
  <c r="U111" i="31"/>
  <c r="T111" i="31"/>
  <c r="S111" i="31"/>
  <c r="R111" i="31"/>
  <c r="Q111" i="31"/>
  <c r="P111" i="31"/>
  <c r="O111" i="31"/>
  <c r="N111" i="31"/>
  <c r="M111" i="31"/>
  <c r="L111" i="31"/>
  <c r="K111" i="31"/>
  <c r="J111" i="31"/>
  <c r="I111" i="31"/>
  <c r="H111" i="31"/>
  <c r="G111" i="31"/>
  <c r="F111" i="31"/>
  <c r="E111" i="31"/>
  <c r="D111" i="31"/>
  <c r="BE100" i="31"/>
  <c r="BD100" i="31"/>
  <c r="BC100" i="31"/>
  <c r="BB100" i="31"/>
  <c r="BA100" i="31"/>
  <c r="AZ100" i="31"/>
  <c r="AY100" i="31"/>
  <c r="AX100" i="31"/>
  <c r="AW100" i="31"/>
  <c r="AV100" i="31"/>
  <c r="AU100" i="31"/>
  <c r="AT100" i="31"/>
  <c r="AS100" i="31"/>
  <c r="AR100" i="31"/>
  <c r="AQ100" i="31"/>
  <c r="AP100" i="31"/>
  <c r="AO100" i="31"/>
  <c r="AN100" i="31"/>
  <c r="AM100" i="31"/>
  <c r="AL100" i="31"/>
  <c r="AK100" i="31"/>
  <c r="AJ100" i="31"/>
  <c r="AI100" i="31"/>
  <c r="AH100" i="31"/>
  <c r="AG100" i="31"/>
  <c r="AF100" i="31"/>
  <c r="AE100" i="31"/>
  <c r="AD100" i="31"/>
  <c r="AC100" i="31"/>
  <c r="AB100" i="31"/>
  <c r="AA100" i="31"/>
  <c r="Z100" i="31"/>
  <c r="Y100" i="31"/>
  <c r="X100" i="31"/>
  <c r="W100" i="31"/>
  <c r="V100" i="31"/>
  <c r="U100" i="31"/>
  <c r="T100" i="31"/>
  <c r="S100" i="31"/>
  <c r="R100" i="31"/>
  <c r="Q100" i="31"/>
  <c r="P100" i="31"/>
  <c r="O100" i="31"/>
  <c r="N100" i="31"/>
  <c r="M100" i="31"/>
  <c r="L100" i="31"/>
  <c r="K100" i="31"/>
  <c r="J100" i="31"/>
  <c r="I100" i="31"/>
  <c r="H100" i="31"/>
  <c r="G100" i="31"/>
  <c r="F100" i="31"/>
  <c r="E100" i="31"/>
  <c r="D100" i="31"/>
  <c r="BE82" i="31"/>
  <c r="BD82" i="31"/>
  <c r="BD112" i="31"/>
  <c r="BC82" i="31"/>
  <c r="BB82" i="31"/>
  <c r="BA82" i="31"/>
  <c r="AZ82" i="31"/>
  <c r="AY82" i="31"/>
  <c r="AX82" i="31"/>
  <c r="AW82" i="31"/>
  <c r="AV82" i="31"/>
  <c r="AV112" i="31" s="1"/>
  <c r="AU82" i="31"/>
  <c r="AT82" i="31"/>
  <c r="AS82" i="31"/>
  <c r="AR82" i="31"/>
  <c r="AQ82" i="31"/>
  <c r="AP82" i="31"/>
  <c r="AO82" i="31"/>
  <c r="AN82" i="31"/>
  <c r="AM82" i="31"/>
  <c r="AL82" i="31"/>
  <c r="AK82" i="31"/>
  <c r="AJ82" i="31"/>
  <c r="AI82" i="31"/>
  <c r="AH82" i="31"/>
  <c r="AG82" i="31"/>
  <c r="AF82" i="31"/>
  <c r="AE82" i="31"/>
  <c r="AD82" i="31"/>
  <c r="AC82" i="31"/>
  <c r="AB82" i="31"/>
  <c r="AA82" i="31"/>
  <c r="Z82" i="31"/>
  <c r="Y82" i="31"/>
  <c r="X82" i="31"/>
  <c r="X112" i="31" s="1"/>
  <c r="W82" i="31"/>
  <c r="V82" i="31"/>
  <c r="U82" i="31"/>
  <c r="T82" i="31"/>
  <c r="S82" i="31"/>
  <c r="R82" i="31"/>
  <c r="Q82" i="31"/>
  <c r="P82" i="31"/>
  <c r="O82" i="31"/>
  <c r="N82" i="31"/>
  <c r="M82" i="31"/>
  <c r="L82" i="31"/>
  <c r="K82" i="31"/>
  <c r="J82" i="31"/>
  <c r="I82" i="31"/>
  <c r="H82" i="31"/>
  <c r="H112" i="31"/>
  <c r="G82" i="31"/>
  <c r="F82" i="31"/>
  <c r="E82" i="31"/>
  <c r="D82" i="31"/>
  <c r="BE64" i="31"/>
  <c r="BD64" i="31"/>
  <c r="BC64" i="31"/>
  <c r="BB64" i="31"/>
  <c r="BA64" i="31"/>
  <c r="AZ64" i="31"/>
  <c r="AY64" i="31"/>
  <c r="AX64" i="31"/>
  <c r="AW64" i="31"/>
  <c r="AV64" i="31"/>
  <c r="AU64" i="31"/>
  <c r="AT64" i="31"/>
  <c r="AS64" i="31"/>
  <c r="AR64" i="31"/>
  <c r="AQ64" i="31"/>
  <c r="AP64" i="31"/>
  <c r="AO64" i="31"/>
  <c r="AN64" i="31"/>
  <c r="AM64" i="31"/>
  <c r="AL64" i="31"/>
  <c r="AK64" i="31"/>
  <c r="AJ64" i="31"/>
  <c r="AI64" i="31"/>
  <c r="AH64" i="31"/>
  <c r="AG64" i="31"/>
  <c r="AF64" i="31"/>
  <c r="BE59" i="31"/>
  <c r="BD59" i="31"/>
  <c r="BC59" i="31"/>
  <c r="BB59" i="31"/>
  <c r="BA59" i="31"/>
  <c r="AZ59" i="31"/>
  <c r="AY59" i="31"/>
  <c r="AX59" i="31"/>
  <c r="AW59" i="31"/>
  <c r="AV59" i="31"/>
  <c r="AU59" i="31"/>
  <c r="AT59" i="31"/>
  <c r="AS59" i="31"/>
  <c r="AR59" i="31"/>
  <c r="AQ59" i="31"/>
  <c r="AP59" i="31"/>
  <c r="AO59" i="31"/>
  <c r="AN59" i="31"/>
  <c r="AM59" i="31"/>
  <c r="AL59" i="31"/>
  <c r="AK59" i="31"/>
  <c r="AJ59" i="31"/>
  <c r="AI59" i="31"/>
  <c r="AH59" i="31"/>
  <c r="AG59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L65" i="31" s="1"/>
  <c r="AK57" i="31"/>
  <c r="AJ57" i="31"/>
  <c r="AJ65" i="31" s="1"/>
  <c r="AI57" i="31"/>
  <c r="AH57" i="31"/>
  <c r="AG57" i="31"/>
  <c r="AF57" i="31"/>
  <c r="AE57" i="31"/>
  <c r="AE65" i="31" s="1"/>
  <c r="AD57" i="31"/>
  <c r="AD65" i="31"/>
  <c r="AC57" i="31"/>
  <c r="AC65" i="31"/>
  <c r="AB57" i="31"/>
  <c r="AB65" i="31" s="1"/>
  <c r="BE53" i="31"/>
  <c r="BD53" i="31"/>
  <c r="BC53" i="31"/>
  <c r="BB53" i="31"/>
  <c r="BA53" i="31"/>
  <c r="AZ53" i="31"/>
  <c r="AY53" i="31"/>
  <c r="AX53" i="31"/>
  <c r="AW53" i="31"/>
  <c r="AV53" i="31"/>
  <c r="AU53" i="31"/>
  <c r="AT53" i="31"/>
  <c r="AS53" i="31"/>
  <c r="AR53" i="31"/>
  <c r="AQ53" i="31"/>
  <c r="AP53" i="31"/>
  <c r="AO53" i="31"/>
  <c r="AN53" i="31"/>
  <c r="AM53" i="31"/>
  <c r="AL53" i="31"/>
  <c r="AK53" i="31"/>
  <c r="AJ53" i="31"/>
  <c r="AI53" i="31"/>
  <c r="AH53" i="31"/>
  <c r="AG53" i="31"/>
  <c r="AF53" i="31"/>
  <c r="AE53" i="31"/>
  <c r="AD53" i="31"/>
  <c r="AC53" i="31"/>
  <c r="AB53" i="31"/>
  <c r="AA53" i="31"/>
  <c r="Z53" i="31"/>
  <c r="Y53" i="31"/>
  <c r="X53" i="31"/>
  <c r="W53" i="31"/>
  <c r="V53" i="31"/>
  <c r="U53" i="31"/>
  <c r="T53" i="31"/>
  <c r="S53" i="31"/>
  <c r="R53" i="31"/>
  <c r="Q53" i="31"/>
  <c r="P53" i="31"/>
  <c r="O53" i="31"/>
  <c r="N53" i="31"/>
  <c r="M53" i="31"/>
  <c r="L53" i="31"/>
  <c r="K53" i="31"/>
  <c r="J53" i="31"/>
  <c r="I53" i="31"/>
  <c r="H53" i="31"/>
  <c r="G53" i="31"/>
  <c r="F53" i="31"/>
  <c r="E53" i="31"/>
  <c r="D53" i="31"/>
  <c r="BE35" i="31"/>
  <c r="BD35" i="31"/>
  <c r="BC35" i="31"/>
  <c r="BB35" i="31"/>
  <c r="BA35" i="31"/>
  <c r="AZ35" i="31"/>
  <c r="AY35" i="31"/>
  <c r="AX35" i="31"/>
  <c r="AW35" i="31"/>
  <c r="AV35" i="31"/>
  <c r="AU35" i="31"/>
  <c r="AT35" i="31"/>
  <c r="AS35" i="31"/>
  <c r="AR35" i="31"/>
  <c r="AQ35" i="31"/>
  <c r="AP35" i="31"/>
  <c r="AO35" i="31"/>
  <c r="AN35" i="31"/>
  <c r="AM35" i="31"/>
  <c r="AL35" i="31"/>
  <c r="AK35" i="31"/>
  <c r="AJ35" i="31"/>
  <c r="AI35" i="31"/>
  <c r="AH35" i="31"/>
  <c r="AG35" i="31"/>
  <c r="AF35" i="31"/>
  <c r="AE35" i="31"/>
  <c r="AD35" i="31"/>
  <c r="AC35" i="31"/>
  <c r="AB35" i="31"/>
  <c r="AA35" i="31"/>
  <c r="Z35" i="31"/>
  <c r="Y35" i="31"/>
  <c r="X35" i="31"/>
  <c r="W35" i="31"/>
  <c r="V35" i="31"/>
  <c r="U35" i="31"/>
  <c r="T35" i="31"/>
  <c r="S35" i="31"/>
  <c r="R35" i="31"/>
  <c r="Q35" i="31"/>
  <c r="P35" i="31"/>
  <c r="O35" i="31"/>
  <c r="N35" i="31"/>
  <c r="M35" i="31"/>
  <c r="L35" i="31"/>
  <c r="K35" i="31"/>
  <c r="J35" i="31"/>
  <c r="I35" i="31"/>
  <c r="H35" i="31"/>
  <c r="G35" i="31"/>
  <c r="F35" i="31"/>
  <c r="E35" i="31"/>
  <c r="D35" i="31"/>
  <c r="BE15" i="31"/>
  <c r="BD15" i="31"/>
  <c r="BC15" i="31"/>
  <c r="BB15" i="31"/>
  <c r="BA15" i="31"/>
  <c r="AZ15" i="31"/>
  <c r="AY15" i="31"/>
  <c r="AX15" i="31"/>
  <c r="AW15" i="31"/>
  <c r="AV15" i="31"/>
  <c r="AU15" i="31"/>
  <c r="AT15" i="31"/>
  <c r="AS15" i="31"/>
  <c r="AR15" i="31"/>
  <c r="AQ15" i="31"/>
  <c r="AP15" i="31"/>
  <c r="AO15" i="31"/>
  <c r="AN15" i="31"/>
  <c r="AM15" i="31"/>
  <c r="AL15" i="31"/>
  <c r="AK15" i="31"/>
  <c r="AJ15" i="31"/>
  <c r="AI15" i="31"/>
  <c r="AH15" i="31"/>
  <c r="AG15" i="31"/>
  <c r="AF15" i="31"/>
  <c r="AE15" i="31"/>
  <c r="AD15" i="31"/>
  <c r="AC15" i="31"/>
  <c r="AB15" i="31"/>
  <c r="AA15" i="31"/>
  <c r="Z15" i="31"/>
  <c r="Y15" i="31"/>
  <c r="X15" i="31"/>
  <c r="W15" i="31"/>
  <c r="V15" i="31"/>
  <c r="U15" i="31"/>
  <c r="T15" i="31"/>
  <c r="S15" i="31"/>
  <c r="R15" i="31"/>
  <c r="Q15" i="31"/>
  <c r="P15" i="31"/>
  <c r="O15" i="31"/>
  <c r="N15" i="31"/>
  <c r="M15" i="31"/>
  <c r="L15" i="31"/>
  <c r="K15" i="31"/>
  <c r="J15" i="31"/>
  <c r="I15" i="31"/>
  <c r="H15" i="31"/>
  <c r="G15" i="31"/>
  <c r="F15" i="31"/>
  <c r="E15" i="31"/>
  <c r="D15" i="31"/>
  <c r="AL82" i="30"/>
  <c r="AK82" i="30"/>
  <c r="AJ82" i="30"/>
  <c r="AI82" i="30"/>
  <c r="AH82" i="30"/>
  <c r="AG82" i="30"/>
  <c r="AF82" i="30"/>
  <c r="AE82" i="30"/>
  <c r="AD82" i="30"/>
  <c r="AC82" i="30"/>
  <c r="AB82" i="30"/>
  <c r="AA82" i="30"/>
  <c r="Z82" i="30"/>
  <c r="Y82" i="30"/>
  <c r="X82" i="30"/>
  <c r="W82" i="30"/>
  <c r="V82" i="30"/>
  <c r="U82" i="30"/>
  <c r="T82" i="30"/>
  <c r="S82" i="30"/>
  <c r="AL81" i="30"/>
  <c r="AK81" i="30"/>
  <c r="AJ81" i="30"/>
  <c r="AI81" i="30"/>
  <c r="AH81" i="30"/>
  <c r="AG81" i="30"/>
  <c r="AF81" i="30"/>
  <c r="AE81" i="30"/>
  <c r="AD81" i="30"/>
  <c r="AC81" i="30"/>
  <c r="AB81" i="30"/>
  <c r="AA81" i="30"/>
  <c r="Z81" i="30"/>
  <c r="Y81" i="30"/>
  <c r="X81" i="30"/>
  <c r="W81" i="30"/>
  <c r="V81" i="30"/>
  <c r="U81" i="30"/>
  <c r="T81" i="30"/>
  <c r="S81" i="30"/>
  <c r="AL80" i="30"/>
  <c r="AK80" i="30"/>
  <c r="AJ80" i="30"/>
  <c r="AI80" i="30"/>
  <c r="AH80" i="30"/>
  <c r="AG80" i="30"/>
  <c r="AF80" i="30"/>
  <c r="AF83" i="30" s="1"/>
  <c r="AE80" i="30"/>
  <c r="AE83" i="30" s="1"/>
  <c r="AD80" i="30"/>
  <c r="AD83" i="30" s="1"/>
  <c r="AC80" i="30"/>
  <c r="AB80" i="30"/>
  <c r="AA80" i="30"/>
  <c r="Z80" i="30"/>
  <c r="Y80" i="30"/>
  <c r="X80" i="30"/>
  <c r="W80" i="30"/>
  <c r="V80" i="30"/>
  <c r="V83" i="30" s="1"/>
  <c r="U80" i="30"/>
  <c r="T80" i="30"/>
  <c r="S80" i="30"/>
  <c r="AL78" i="30"/>
  <c r="AK78" i="30"/>
  <c r="AJ78" i="30"/>
  <c r="AI78" i="30"/>
  <c r="AH78" i="30"/>
  <c r="AG78" i="30"/>
  <c r="AF78" i="30"/>
  <c r="AE78" i="30"/>
  <c r="AD78" i="30"/>
  <c r="AC78" i="30"/>
  <c r="AB78" i="30"/>
  <c r="AA78" i="30"/>
  <c r="Z78" i="30"/>
  <c r="Y78" i="30"/>
  <c r="W78" i="30"/>
  <c r="V78" i="30"/>
  <c r="U78" i="30"/>
  <c r="T78" i="30"/>
  <c r="S78" i="30"/>
  <c r="BA77" i="30"/>
  <c r="AZ77" i="30"/>
  <c r="AY77" i="30"/>
  <c r="AW77" i="30"/>
  <c r="AU77" i="30"/>
  <c r="AS77" i="30"/>
  <c r="AQ77" i="30"/>
  <c r="BA76" i="30"/>
  <c r="AZ76" i="30"/>
  <c r="AZ78" i="30" s="1"/>
  <c r="AY76" i="30"/>
  <c r="AW76" i="30"/>
  <c r="AV76" i="30"/>
  <c r="AU76" i="30"/>
  <c r="AS76" i="30"/>
  <c r="AR76" i="30"/>
  <c r="AQ76" i="30"/>
  <c r="BA75" i="30"/>
  <c r="BA78" i="30" s="1"/>
  <c r="AY75" i="30"/>
  <c r="AY78" i="30" s="1"/>
  <c r="AW75" i="30"/>
  <c r="AS75" i="30"/>
  <c r="AQ75" i="30"/>
  <c r="BA74" i="30"/>
  <c r="AZ74" i="30"/>
  <c r="AY74" i="30"/>
  <c r="AW74" i="30"/>
  <c r="AU74" i="30"/>
  <c r="AX74" i="30" s="1"/>
  <c r="AS74" i="30"/>
  <c r="AR74" i="30"/>
  <c r="AQ74" i="30"/>
  <c r="CK73" i="30"/>
  <c r="CJ73" i="30"/>
  <c r="CI73" i="30"/>
  <c r="CG73" i="30"/>
  <c r="CF73" i="30"/>
  <c r="CE73" i="30"/>
  <c r="CC73" i="30"/>
  <c r="CD73" i="30" s="1"/>
  <c r="CB73" i="30"/>
  <c r="CA73" i="30"/>
  <c r="BY73" i="30"/>
  <c r="BX73" i="30"/>
  <c r="BW73" i="30"/>
  <c r="BU73" i="30"/>
  <c r="BT73" i="30"/>
  <c r="BS73" i="30"/>
  <c r="BS74" i="30" s="1"/>
  <c r="BQ73" i="30"/>
  <c r="BP73" i="30"/>
  <c r="BO73" i="30"/>
  <c r="BM73" i="30"/>
  <c r="BL73" i="30"/>
  <c r="BK73" i="30"/>
  <c r="BI73" i="30"/>
  <c r="BG73" i="30"/>
  <c r="BG74" i="30" s="1"/>
  <c r="BC73" i="30"/>
  <c r="BF73" i="30" s="1"/>
  <c r="BB73" i="30"/>
  <c r="AX73" i="30"/>
  <c r="AT73" i="30"/>
  <c r="Q73" i="30"/>
  <c r="P73" i="30"/>
  <c r="O73" i="30"/>
  <c r="M73" i="30"/>
  <c r="N73" i="30" s="1"/>
  <c r="L73" i="30"/>
  <c r="K73" i="30"/>
  <c r="I73" i="30"/>
  <c r="H73" i="30"/>
  <c r="G73" i="30"/>
  <c r="E73" i="30"/>
  <c r="D73" i="30"/>
  <c r="C73" i="30"/>
  <c r="C74" i="30" s="1"/>
  <c r="CK72" i="30"/>
  <c r="CK74" i="30" s="1"/>
  <c r="CJ72" i="30"/>
  <c r="CI72" i="30"/>
  <c r="CG72" i="30"/>
  <c r="CF72" i="30"/>
  <c r="CE72" i="30"/>
  <c r="CC72" i="30"/>
  <c r="CB72" i="30"/>
  <c r="CB74" i="30" s="1"/>
  <c r="CA72" i="30"/>
  <c r="BY72" i="30"/>
  <c r="BX72" i="30"/>
  <c r="BW72" i="30"/>
  <c r="BU72" i="30"/>
  <c r="BT72" i="30"/>
  <c r="BS72" i="30"/>
  <c r="BQ72" i="30"/>
  <c r="BR72" i="30" s="1"/>
  <c r="BR74" i="30" s="1"/>
  <c r="BP72" i="30"/>
  <c r="BO72" i="30"/>
  <c r="BM72" i="30"/>
  <c r="BL72" i="30"/>
  <c r="BK72" i="30"/>
  <c r="BI72" i="30"/>
  <c r="BH72" i="30"/>
  <c r="BH74" i="30" s="1"/>
  <c r="BE72" i="30"/>
  <c r="BE74" i="30" s="1"/>
  <c r="BB72" i="30"/>
  <c r="BB74" i="30" s="1"/>
  <c r="AX72" i="30"/>
  <c r="AT72" i="30"/>
  <c r="Q72" i="30"/>
  <c r="P72" i="30"/>
  <c r="O72" i="30"/>
  <c r="M72" i="30"/>
  <c r="L72" i="30"/>
  <c r="N72" i="30" s="1"/>
  <c r="K72" i="30"/>
  <c r="K74" i="30" s="1"/>
  <c r="I72" i="30"/>
  <c r="H72" i="30"/>
  <c r="G72" i="30"/>
  <c r="E72" i="30"/>
  <c r="D72" i="30"/>
  <c r="C72" i="30"/>
  <c r="BA70" i="30"/>
  <c r="AZ70" i="30"/>
  <c r="AY70" i="30"/>
  <c r="AW70" i="30"/>
  <c r="AV70" i="30"/>
  <c r="AV78" i="30" s="1"/>
  <c r="AU70" i="30"/>
  <c r="AU78" i="30" s="1"/>
  <c r="AS70" i="30"/>
  <c r="AS78" i="30" s="1"/>
  <c r="AR70" i="30"/>
  <c r="AQ70" i="30"/>
  <c r="CK69" i="30"/>
  <c r="CJ69" i="30"/>
  <c r="CI69" i="30"/>
  <c r="CG69" i="30"/>
  <c r="CF69" i="30"/>
  <c r="CE69" i="30"/>
  <c r="CC69" i="30"/>
  <c r="CB69" i="30"/>
  <c r="CB77" i="30" s="1"/>
  <c r="CA69" i="30"/>
  <c r="BY69" i="30"/>
  <c r="BX69" i="30"/>
  <c r="BW69" i="30"/>
  <c r="BU69" i="30"/>
  <c r="BT69" i="30"/>
  <c r="BS69" i="30"/>
  <c r="BQ69" i="30"/>
  <c r="BR69" i="30" s="1"/>
  <c r="BR77" i="30" s="1"/>
  <c r="BP69" i="30"/>
  <c r="BO69" i="30"/>
  <c r="BM69" i="30"/>
  <c r="BL69" i="30"/>
  <c r="BK69" i="30"/>
  <c r="BI69" i="30"/>
  <c r="BG69" i="30"/>
  <c r="BE69" i="30"/>
  <c r="BE77" i="30" s="1"/>
  <c r="BE82" i="30" s="1"/>
  <c r="BC69" i="30"/>
  <c r="BB69" i="30"/>
  <c r="AX69" i="30"/>
  <c r="AX77" i="30"/>
  <c r="AT69" i="30"/>
  <c r="Q69" i="30"/>
  <c r="P69" i="30"/>
  <c r="O69" i="30"/>
  <c r="M69" i="30"/>
  <c r="L69" i="30"/>
  <c r="K69" i="30"/>
  <c r="I69" i="30"/>
  <c r="H69" i="30"/>
  <c r="G69" i="30"/>
  <c r="E69" i="30"/>
  <c r="F69" i="30" s="1"/>
  <c r="D69" i="30"/>
  <c r="C69" i="30"/>
  <c r="CK68" i="30"/>
  <c r="CJ68" i="30"/>
  <c r="CI68" i="30"/>
  <c r="CG68" i="30"/>
  <c r="CF68" i="30"/>
  <c r="CE68" i="30"/>
  <c r="CE70" i="30" s="1"/>
  <c r="CH70" i="30" s="1"/>
  <c r="CC68" i="30"/>
  <c r="CB68" i="30"/>
  <c r="CA68" i="30"/>
  <c r="BY68" i="30"/>
  <c r="BX68" i="30"/>
  <c r="BW68" i="30"/>
  <c r="BU68" i="30"/>
  <c r="BT68" i="30"/>
  <c r="BT76" i="30" s="1"/>
  <c r="BS68" i="30"/>
  <c r="BQ68" i="30"/>
  <c r="BP68" i="30"/>
  <c r="BO68" i="30"/>
  <c r="BM68" i="30"/>
  <c r="BL68" i="30"/>
  <c r="BK68" i="30"/>
  <c r="BI68" i="30"/>
  <c r="BI76" i="30" s="1"/>
  <c r="BH68" i="30"/>
  <c r="BG68" i="30"/>
  <c r="BG76" i="30" s="1"/>
  <c r="BE68" i="30"/>
  <c r="BD68" i="30"/>
  <c r="BD76" i="30" s="1"/>
  <c r="BD78" i="30" s="1"/>
  <c r="BC68" i="30"/>
  <c r="BB68" i="30"/>
  <c r="AX68" i="30"/>
  <c r="AT68" i="30"/>
  <c r="Q68" i="30"/>
  <c r="P68" i="30"/>
  <c r="O68" i="30"/>
  <c r="M68" i="30"/>
  <c r="L68" i="30"/>
  <c r="K68" i="30"/>
  <c r="I68" i="30"/>
  <c r="I76" i="30" s="1"/>
  <c r="H68" i="30"/>
  <c r="G68" i="30"/>
  <c r="E68" i="30"/>
  <c r="D68" i="30"/>
  <c r="C68" i="30"/>
  <c r="CK67" i="30"/>
  <c r="CJ67" i="30"/>
  <c r="CJ70" i="30" s="1"/>
  <c r="CI67" i="30"/>
  <c r="CL67" i="30" s="1"/>
  <c r="CL75" i="30" s="1"/>
  <c r="CG67" i="30"/>
  <c r="CF67" i="30"/>
  <c r="CE67" i="30"/>
  <c r="CC67" i="30"/>
  <c r="CB67" i="30"/>
  <c r="CA67" i="30"/>
  <c r="BY67" i="30"/>
  <c r="BY70" i="30" s="1"/>
  <c r="BX67" i="30"/>
  <c r="BX70" i="30" s="1"/>
  <c r="BW67" i="30"/>
  <c r="BU67" i="30"/>
  <c r="BT67" i="30"/>
  <c r="BS67" i="30"/>
  <c r="BQ67" i="30"/>
  <c r="BP67" i="30"/>
  <c r="BO67" i="30"/>
  <c r="BM67" i="30"/>
  <c r="BM70" i="30" s="1"/>
  <c r="BL67" i="30"/>
  <c r="BK67" i="30"/>
  <c r="BI67" i="30"/>
  <c r="BG67" i="30"/>
  <c r="BB67" i="30"/>
  <c r="AT67" i="30"/>
  <c r="Q67" i="30"/>
  <c r="P67" i="30"/>
  <c r="P70" i="30" s="1"/>
  <c r="O67" i="30"/>
  <c r="M67" i="30"/>
  <c r="L67" i="30"/>
  <c r="K67" i="30"/>
  <c r="I67" i="30"/>
  <c r="H67" i="30"/>
  <c r="G67" i="30"/>
  <c r="E67" i="30"/>
  <c r="E70" i="30" s="1"/>
  <c r="F70" i="30" s="1"/>
  <c r="D67" i="30"/>
  <c r="C67" i="30"/>
  <c r="BA66" i="30"/>
  <c r="AY66" i="30"/>
  <c r="AW66" i="30"/>
  <c r="AX66" i="30"/>
  <c r="AS66" i="30"/>
  <c r="AQ66" i="30"/>
  <c r="AQ78" i="30"/>
  <c r="CK65" i="30"/>
  <c r="CJ65" i="30"/>
  <c r="CI65" i="30"/>
  <c r="CG65" i="30"/>
  <c r="CF65" i="30"/>
  <c r="CE65" i="30"/>
  <c r="CC65" i="30"/>
  <c r="CC77" i="30" s="1"/>
  <c r="CB65" i="30"/>
  <c r="CA65" i="30"/>
  <c r="BY65" i="30"/>
  <c r="BX65" i="30"/>
  <c r="BW65" i="30"/>
  <c r="BU65" i="30"/>
  <c r="BT65" i="30"/>
  <c r="BS65" i="30"/>
  <c r="BS77" i="30" s="1"/>
  <c r="BQ65" i="30"/>
  <c r="BP65" i="30"/>
  <c r="BO65" i="30"/>
  <c r="BM65" i="30"/>
  <c r="BL65" i="30"/>
  <c r="BK65" i="30"/>
  <c r="BI65" i="30"/>
  <c r="BG65" i="30"/>
  <c r="BG66" i="30" s="1"/>
  <c r="BB65" i="30"/>
  <c r="BB77" i="30" s="1"/>
  <c r="AT65" i="30"/>
  <c r="AT77" i="30" s="1"/>
  <c r="Q65" i="30"/>
  <c r="Q77" i="30" s="1"/>
  <c r="P65" i="30"/>
  <c r="O65" i="30"/>
  <c r="M65" i="30"/>
  <c r="L65" i="30"/>
  <c r="N65" i="30" s="1"/>
  <c r="K65" i="30"/>
  <c r="I65" i="30"/>
  <c r="H65" i="30"/>
  <c r="G65" i="30"/>
  <c r="E65" i="30"/>
  <c r="D65" i="30"/>
  <c r="C65" i="30"/>
  <c r="CK64" i="30"/>
  <c r="CL64" i="30" s="1"/>
  <c r="CL76" i="30" s="1"/>
  <c r="CJ64" i="30"/>
  <c r="CI64" i="30"/>
  <c r="CG64" i="30"/>
  <c r="CF64" i="30"/>
  <c r="CE64" i="30"/>
  <c r="CC64" i="30"/>
  <c r="CB64" i="30"/>
  <c r="CA64" i="30"/>
  <c r="CA76" i="30" s="1"/>
  <c r="CA81" i="30" s="1"/>
  <c r="BY64" i="30"/>
  <c r="BY76" i="30" s="1"/>
  <c r="BX64" i="30"/>
  <c r="BW64" i="30"/>
  <c r="BU64" i="30"/>
  <c r="BT64" i="30"/>
  <c r="BS64" i="30"/>
  <c r="BQ64" i="30"/>
  <c r="BP64" i="30"/>
  <c r="BR64" i="30" s="1"/>
  <c r="BR76" i="30" s="1"/>
  <c r="BO64" i="30"/>
  <c r="BM64" i="30"/>
  <c r="BL64" i="30"/>
  <c r="BK64" i="30"/>
  <c r="BJ64" i="30"/>
  <c r="BE64" i="30"/>
  <c r="BC64" i="30"/>
  <c r="BB64" i="30"/>
  <c r="AX64" i="30"/>
  <c r="AT64" i="30"/>
  <c r="AT76" i="30"/>
  <c r="Q64" i="30"/>
  <c r="P64" i="30"/>
  <c r="O64" i="30"/>
  <c r="M64" i="30"/>
  <c r="M76" i="30" s="1"/>
  <c r="L64" i="30"/>
  <c r="L76" i="30" s="1"/>
  <c r="K64" i="30"/>
  <c r="I64" i="30"/>
  <c r="H64" i="30"/>
  <c r="G64" i="30"/>
  <c r="E64" i="30"/>
  <c r="D64" i="30"/>
  <c r="C64" i="30"/>
  <c r="C76" i="30" s="1"/>
  <c r="CK63" i="30"/>
  <c r="CK66" i="30" s="1"/>
  <c r="CJ63" i="30"/>
  <c r="CI63" i="30"/>
  <c r="CG63" i="30"/>
  <c r="CF63" i="30"/>
  <c r="CE63" i="30"/>
  <c r="CC63" i="30"/>
  <c r="CB63" i="30"/>
  <c r="CB75" i="30" s="1"/>
  <c r="CA63" i="30"/>
  <c r="CD63" i="30" s="1"/>
  <c r="BY63" i="30"/>
  <c r="BX63" i="30"/>
  <c r="BW63" i="30"/>
  <c r="BU63" i="30"/>
  <c r="BT63" i="30"/>
  <c r="BS63" i="30"/>
  <c r="BS75" i="30" s="1"/>
  <c r="BQ63" i="30"/>
  <c r="BP63" i="30"/>
  <c r="BP75" i="30" s="1"/>
  <c r="BO63" i="30"/>
  <c r="BM63" i="30"/>
  <c r="BL63" i="30"/>
  <c r="BK63" i="30"/>
  <c r="BI63" i="30"/>
  <c r="BJ63" i="30" s="1"/>
  <c r="BB63" i="30"/>
  <c r="AX63" i="30"/>
  <c r="AX75" i="30" s="1"/>
  <c r="AT63" i="30"/>
  <c r="Q63" i="30"/>
  <c r="P63" i="30"/>
  <c r="O63" i="30"/>
  <c r="M63" i="30"/>
  <c r="L63" i="30"/>
  <c r="K63" i="30"/>
  <c r="I63" i="30"/>
  <c r="H63" i="30"/>
  <c r="J63" i="30" s="1"/>
  <c r="G63" i="30"/>
  <c r="E63" i="30"/>
  <c r="D63" i="30"/>
  <c r="C63" i="30"/>
  <c r="CK59" i="30"/>
  <c r="CK60" i="30" s="1"/>
  <c r="CK61" i="30" s="1"/>
  <c r="CJ59" i="30"/>
  <c r="CJ60" i="30" s="1"/>
  <c r="CJ61" i="30" s="1"/>
  <c r="CI59" i="30"/>
  <c r="CG59" i="30"/>
  <c r="CG60" i="30" s="1"/>
  <c r="CG61" i="30" s="1"/>
  <c r="CF59" i="30"/>
  <c r="CF60" i="30" s="1"/>
  <c r="CF61" i="30" s="1"/>
  <c r="CE59" i="30"/>
  <c r="CC59" i="30"/>
  <c r="CC60" i="30"/>
  <c r="AL55" i="30"/>
  <c r="AK55" i="30"/>
  <c r="AJ55" i="30"/>
  <c r="AI55" i="30"/>
  <c r="AH55" i="30"/>
  <c r="AG55" i="30"/>
  <c r="AF55" i="30"/>
  <c r="AE55" i="30"/>
  <c r="AD55" i="30"/>
  <c r="AC55" i="30"/>
  <c r="AB55" i="30"/>
  <c r="AA55" i="30"/>
  <c r="Z55" i="30"/>
  <c r="Y55" i="30"/>
  <c r="X55" i="30"/>
  <c r="W55" i="30"/>
  <c r="V55" i="30"/>
  <c r="U55" i="30"/>
  <c r="T55" i="30"/>
  <c r="S55" i="30"/>
  <c r="BA54" i="30"/>
  <c r="AZ54" i="30"/>
  <c r="AY54" i="30"/>
  <c r="AW54" i="30"/>
  <c r="AW82" i="30" s="1"/>
  <c r="AV54" i="30"/>
  <c r="AU54" i="30"/>
  <c r="AS54" i="30"/>
  <c r="AR54" i="30"/>
  <c r="AQ54" i="30"/>
  <c r="BA53" i="30"/>
  <c r="BA55" i="30" s="1"/>
  <c r="AZ53" i="30"/>
  <c r="BB53" i="30" s="1"/>
  <c r="AZ81" i="30"/>
  <c r="AY53" i="30"/>
  <c r="AW53" i="30"/>
  <c r="AV53" i="30"/>
  <c r="AV81" i="30" s="1"/>
  <c r="AU53" i="30"/>
  <c r="AS53" i="30"/>
  <c r="AR53" i="30"/>
  <c r="AQ53" i="30"/>
  <c r="AQ81" i="30" s="1"/>
  <c r="BA52" i="30"/>
  <c r="AZ52" i="30"/>
  <c r="AZ80" i="30" s="1"/>
  <c r="AY52" i="30"/>
  <c r="AY80" i="30" s="1"/>
  <c r="AW52" i="30"/>
  <c r="AV52" i="30"/>
  <c r="AV80" i="30" s="1"/>
  <c r="AU52" i="30"/>
  <c r="AU80" i="30" s="1"/>
  <c r="AS52" i="30"/>
  <c r="AR52" i="30"/>
  <c r="AR80" i="30" s="1"/>
  <c r="AQ52" i="30"/>
  <c r="AQ80" i="30" s="1"/>
  <c r="BA51" i="30"/>
  <c r="AZ51" i="30"/>
  <c r="AY51" i="30"/>
  <c r="BB51" i="30" s="1"/>
  <c r="AW51" i="30"/>
  <c r="AV51" i="30"/>
  <c r="AU51" i="30"/>
  <c r="AS51" i="30"/>
  <c r="AR51" i="30"/>
  <c r="AQ51" i="30"/>
  <c r="CK50" i="30"/>
  <c r="CJ50" i="30"/>
  <c r="CL50" i="30" s="1"/>
  <c r="CI50" i="30"/>
  <c r="CG50" i="30"/>
  <c r="CF50" i="30"/>
  <c r="CE50" i="30"/>
  <c r="CC50" i="30"/>
  <c r="CB50" i="30"/>
  <c r="CA50" i="30"/>
  <c r="BY50" i="30"/>
  <c r="BZ50" i="30" s="1"/>
  <c r="BX50" i="30"/>
  <c r="BW50" i="30"/>
  <c r="BU50" i="30"/>
  <c r="BT50" i="30"/>
  <c r="BS50" i="30"/>
  <c r="BQ50" i="30"/>
  <c r="BP50" i="30"/>
  <c r="BO50" i="30"/>
  <c r="BO54" i="30" s="1"/>
  <c r="BM50" i="30"/>
  <c r="BL50" i="30"/>
  <c r="BK50" i="30"/>
  <c r="BI50" i="30"/>
  <c r="BG50" i="30"/>
  <c r="BE50" i="30"/>
  <c r="BC50" i="30"/>
  <c r="BB50" i="30"/>
  <c r="AX50" i="30"/>
  <c r="AT50" i="30"/>
  <c r="Q50" i="30"/>
  <c r="P50" i="30"/>
  <c r="O50" i="30"/>
  <c r="M50" i="30"/>
  <c r="L50" i="30"/>
  <c r="K50" i="30"/>
  <c r="K54" i="30" s="1"/>
  <c r="I50" i="30"/>
  <c r="H50" i="30"/>
  <c r="G50" i="30"/>
  <c r="E50" i="30"/>
  <c r="D50" i="30"/>
  <c r="C50" i="30"/>
  <c r="CK49" i="30"/>
  <c r="CJ49" i="30"/>
  <c r="CJ51" i="30" s="1"/>
  <c r="CI49" i="30"/>
  <c r="CG49" i="30"/>
  <c r="CF49" i="30"/>
  <c r="CE49" i="30"/>
  <c r="CC49" i="30"/>
  <c r="CB49" i="30"/>
  <c r="CA49" i="30"/>
  <c r="BY49" i="30"/>
  <c r="BY53" i="30" s="1"/>
  <c r="BX49" i="30"/>
  <c r="BW49" i="30"/>
  <c r="BU49" i="30"/>
  <c r="BT49" i="30"/>
  <c r="BS49" i="30"/>
  <c r="BQ49" i="30"/>
  <c r="BP49" i="30"/>
  <c r="BO49" i="30"/>
  <c r="BO51" i="30" s="1"/>
  <c r="BR51" i="30" s="1"/>
  <c r="BM49" i="30"/>
  <c r="BL49" i="30"/>
  <c r="BK49" i="30"/>
  <c r="BI49" i="30"/>
  <c r="BJ49" i="30" s="1"/>
  <c r="BE49" i="30"/>
  <c r="BC49" i="30"/>
  <c r="BB49" i="30"/>
  <c r="AX49" i="30"/>
  <c r="AT49" i="30"/>
  <c r="Q49" i="30"/>
  <c r="P49" i="30"/>
  <c r="O49" i="30"/>
  <c r="M49" i="30"/>
  <c r="L49" i="30"/>
  <c r="K49" i="30"/>
  <c r="I49" i="30"/>
  <c r="J49" i="30" s="1"/>
  <c r="H49" i="30"/>
  <c r="G49" i="30"/>
  <c r="E49" i="30"/>
  <c r="D49" i="30"/>
  <c r="C49" i="30"/>
  <c r="CK48" i="30"/>
  <c r="CJ48" i="30"/>
  <c r="CI48" i="30"/>
  <c r="CI52" i="30" s="1"/>
  <c r="CI55" i="30" s="1"/>
  <c r="CG48" i="30"/>
  <c r="CF48" i="30"/>
  <c r="CF51" i="30" s="1"/>
  <c r="CE48" i="30"/>
  <c r="CC48" i="30"/>
  <c r="CB48" i="30"/>
  <c r="CA48" i="30"/>
  <c r="BY48" i="30"/>
  <c r="BX48" i="30"/>
  <c r="BZ48" i="30" s="1"/>
  <c r="BW48" i="30"/>
  <c r="BU48" i="30"/>
  <c r="BT48" i="30"/>
  <c r="BS48" i="30"/>
  <c r="BQ48" i="30"/>
  <c r="BP48" i="30"/>
  <c r="BO48" i="30"/>
  <c r="BM48" i="30"/>
  <c r="BM51" i="30" s="1"/>
  <c r="BN51" i="30" s="1"/>
  <c r="BL48" i="30"/>
  <c r="BK48" i="30"/>
  <c r="BI48" i="30"/>
  <c r="BH48" i="30"/>
  <c r="BH52" i="30" s="1"/>
  <c r="BG48" i="30"/>
  <c r="BG52" i="30"/>
  <c r="BE48" i="30"/>
  <c r="BE52" i="30" s="1"/>
  <c r="BD48" i="30"/>
  <c r="BF48" i="30" s="1"/>
  <c r="BC48" i="30"/>
  <c r="BC52" i="30" s="1"/>
  <c r="BC80" i="30" s="1"/>
  <c r="BB48" i="30"/>
  <c r="AX48" i="30"/>
  <c r="AT48" i="30"/>
  <c r="Q48" i="30"/>
  <c r="P48" i="30"/>
  <c r="O48" i="30"/>
  <c r="M48" i="30"/>
  <c r="M51" i="30" s="1"/>
  <c r="L48" i="30"/>
  <c r="K48" i="30"/>
  <c r="I48" i="30"/>
  <c r="H48" i="30"/>
  <c r="G48" i="30"/>
  <c r="E48" i="30"/>
  <c r="D48" i="30"/>
  <c r="C48" i="30"/>
  <c r="F48" i="30" s="1"/>
  <c r="BA47" i="30"/>
  <c r="AZ47" i="30"/>
  <c r="AY47" i="30"/>
  <c r="AW47" i="30"/>
  <c r="AU47" i="30"/>
  <c r="AS47" i="30"/>
  <c r="AR47" i="30"/>
  <c r="AQ47" i="30"/>
  <c r="AT47" i="30" s="1"/>
  <c r="CK46" i="30"/>
  <c r="CJ46" i="30"/>
  <c r="CI46" i="30"/>
  <c r="CG46" i="30"/>
  <c r="CF46" i="30"/>
  <c r="CE46" i="30"/>
  <c r="CC46" i="30"/>
  <c r="CB46" i="30"/>
  <c r="CB47" i="30" s="1"/>
  <c r="CD47" i="30" s="1"/>
  <c r="CA46" i="30"/>
  <c r="BY46" i="30"/>
  <c r="BX46" i="30"/>
  <c r="BW46" i="30"/>
  <c r="BU46" i="30"/>
  <c r="BT46" i="30"/>
  <c r="BS46" i="30"/>
  <c r="BQ46" i="30"/>
  <c r="BQ54" i="30" s="1"/>
  <c r="BP46" i="30"/>
  <c r="BO46" i="30"/>
  <c r="BM46" i="30"/>
  <c r="BL46" i="30"/>
  <c r="BK46" i="30"/>
  <c r="BI46" i="30"/>
  <c r="BH46" i="30"/>
  <c r="BH47" i="30" s="1"/>
  <c r="BG46" i="30"/>
  <c r="BG47" i="30" s="1"/>
  <c r="BE46" i="30"/>
  <c r="BD46" i="30"/>
  <c r="BC46" i="30"/>
  <c r="BB46" i="30"/>
  <c r="AX46" i="30"/>
  <c r="AT46" i="30"/>
  <c r="Q46" i="30"/>
  <c r="P46" i="30"/>
  <c r="R46" i="30" s="1"/>
  <c r="O46" i="30"/>
  <c r="M46" i="30"/>
  <c r="L46" i="30"/>
  <c r="K46" i="30"/>
  <c r="I46" i="30"/>
  <c r="H46" i="30"/>
  <c r="G46" i="30"/>
  <c r="E46" i="30"/>
  <c r="E54" i="30" s="1"/>
  <c r="D46" i="30"/>
  <c r="C46" i="30"/>
  <c r="CK45" i="30"/>
  <c r="CJ45" i="30"/>
  <c r="CI45" i="30"/>
  <c r="CG45" i="30"/>
  <c r="CF45" i="30"/>
  <c r="CE45" i="30"/>
  <c r="CE47" i="30" s="1"/>
  <c r="CC45" i="30"/>
  <c r="CB45" i="30"/>
  <c r="CA45" i="30"/>
  <c r="BY45" i="30"/>
  <c r="BX45" i="30"/>
  <c r="BW45" i="30"/>
  <c r="BU45" i="30"/>
  <c r="BT45" i="30"/>
  <c r="BV45" i="30" s="1"/>
  <c r="BS45" i="30"/>
  <c r="BQ45" i="30"/>
  <c r="BP45" i="30"/>
  <c r="BO45" i="30"/>
  <c r="BM45" i="30"/>
  <c r="BL45" i="30"/>
  <c r="BK45" i="30"/>
  <c r="BI45" i="30"/>
  <c r="BI47" i="30" s="1"/>
  <c r="BG45" i="30"/>
  <c r="BE45" i="30"/>
  <c r="BD45" i="30"/>
  <c r="BC45" i="30"/>
  <c r="BB45" i="30"/>
  <c r="AX45" i="30"/>
  <c r="AT45" i="30"/>
  <c r="Q45" i="30"/>
  <c r="Q47" i="30" s="1"/>
  <c r="P45" i="30"/>
  <c r="O45" i="30"/>
  <c r="M45" i="30"/>
  <c r="L45" i="30"/>
  <c r="K45" i="30"/>
  <c r="I45" i="30"/>
  <c r="H45" i="30"/>
  <c r="G45" i="30"/>
  <c r="E45" i="30"/>
  <c r="D45" i="30"/>
  <c r="C45" i="30"/>
  <c r="CK44" i="30"/>
  <c r="CJ44" i="30"/>
  <c r="CI44" i="30"/>
  <c r="CG44" i="30"/>
  <c r="CF44" i="30"/>
  <c r="CF52" i="30" s="1"/>
  <c r="CF55" i="30" s="1"/>
  <c r="CE44" i="30"/>
  <c r="CE52" i="30" s="1"/>
  <c r="CC44" i="30"/>
  <c r="CB44" i="30"/>
  <c r="CA44" i="30"/>
  <c r="BY44" i="30"/>
  <c r="BX44" i="30"/>
  <c r="BW44" i="30"/>
  <c r="BU44" i="30"/>
  <c r="BU52" i="30" s="1"/>
  <c r="BT44" i="30"/>
  <c r="BS44" i="30"/>
  <c r="BQ44" i="30"/>
  <c r="BP44" i="30"/>
  <c r="BO44" i="30"/>
  <c r="BO52" i="30" s="1"/>
  <c r="BM44" i="30"/>
  <c r="BL44" i="30"/>
  <c r="BK44" i="30"/>
  <c r="BK52" i="30" s="1"/>
  <c r="BI44" i="30"/>
  <c r="BB44" i="30"/>
  <c r="AX44" i="30"/>
  <c r="AT44" i="30"/>
  <c r="AT52" i="30" s="1"/>
  <c r="Q44" i="30"/>
  <c r="P44" i="30"/>
  <c r="O44" i="30"/>
  <c r="M44" i="30"/>
  <c r="M52" i="30" s="1"/>
  <c r="L44" i="30"/>
  <c r="K44" i="30"/>
  <c r="I44" i="30"/>
  <c r="H44" i="30"/>
  <c r="G44" i="30"/>
  <c r="E44" i="30"/>
  <c r="D44" i="30"/>
  <c r="C44" i="30"/>
  <c r="C52" i="30" s="1"/>
  <c r="BA43" i="30"/>
  <c r="AZ43" i="30"/>
  <c r="AY43" i="30"/>
  <c r="AW43" i="30"/>
  <c r="AV43" i="30"/>
  <c r="AU43" i="30"/>
  <c r="AU55" i="30" s="1"/>
  <c r="AS43" i="30"/>
  <c r="AR43" i="30"/>
  <c r="AQ43" i="30"/>
  <c r="AQ55" i="30" s="1"/>
  <c r="CK42" i="30"/>
  <c r="CJ42" i="30"/>
  <c r="CI42" i="30"/>
  <c r="CG42" i="30"/>
  <c r="CF42" i="30"/>
  <c r="CE42" i="30"/>
  <c r="CC42" i="30"/>
  <c r="CC54" i="30" s="1"/>
  <c r="CC55" i="30" s="1"/>
  <c r="CB42" i="30"/>
  <c r="CA42" i="30"/>
  <c r="BY42" i="30"/>
  <c r="BX42" i="30"/>
  <c r="BW42" i="30"/>
  <c r="BU42" i="30"/>
  <c r="BT42" i="30"/>
  <c r="BS42" i="30"/>
  <c r="BS54" i="30" s="1"/>
  <c r="BS55" i="30" s="1"/>
  <c r="BQ42" i="30"/>
  <c r="BP42" i="30"/>
  <c r="BO42" i="30"/>
  <c r="BM42" i="30"/>
  <c r="BL42" i="30"/>
  <c r="BK42" i="30"/>
  <c r="BI42" i="30"/>
  <c r="BH42" i="30"/>
  <c r="BJ42" i="30" s="1"/>
  <c r="BG42" i="30"/>
  <c r="BE42" i="30"/>
  <c r="BD42" i="30"/>
  <c r="BC42" i="30"/>
  <c r="BB42" i="30"/>
  <c r="AX42" i="30"/>
  <c r="AT42" i="30"/>
  <c r="AT54" i="30"/>
  <c r="Q42" i="30"/>
  <c r="P42" i="30"/>
  <c r="O42" i="30"/>
  <c r="M42" i="30"/>
  <c r="L42" i="30"/>
  <c r="K42" i="30"/>
  <c r="I42" i="30"/>
  <c r="H42" i="30"/>
  <c r="H54" i="30" s="1"/>
  <c r="G42" i="30"/>
  <c r="E42" i="30"/>
  <c r="D42" i="30"/>
  <c r="C42" i="30"/>
  <c r="CK41" i="30"/>
  <c r="CJ41" i="30"/>
  <c r="CI41" i="30"/>
  <c r="CG41" i="30"/>
  <c r="CG53" i="30" s="1"/>
  <c r="CF41" i="30"/>
  <c r="CF53" i="30" s="1"/>
  <c r="CE41" i="30"/>
  <c r="CC41" i="30"/>
  <c r="CB41" i="30"/>
  <c r="CA41" i="30"/>
  <c r="BY41" i="30"/>
  <c r="BX41" i="30"/>
  <c r="BW41" i="30"/>
  <c r="BW53" i="30" s="1"/>
  <c r="BU41" i="30"/>
  <c r="BU53" i="30" s="1"/>
  <c r="BV53" i="30" s="1"/>
  <c r="BT41" i="30"/>
  <c r="BS41" i="30"/>
  <c r="BQ41" i="30"/>
  <c r="BP41" i="30"/>
  <c r="BO41" i="30"/>
  <c r="BM41" i="30"/>
  <c r="BN41" i="30" s="1"/>
  <c r="BL41" i="30"/>
  <c r="BK41" i="30"/>
  <c r="BI41" i="30"/>
  <c r="BH41" i="30"/>
  <c r="BH53" i="30" s="1"/>
  <c r="BG41" i="30"/>
  <c r="BE41" i="30"/>
  <c r="BD41" i="30"/>
  <c r="BC41" i="30"/>
  <c r="BC43" i="30" s="1"/>
  <c r="BF43" i="30" s="1"/>
  <c r="BB41" i="30"/>
  <c r="AX41" i="30"/>
  <c r="AT41" i="30"/>
  <c r="AT53" i="30" s="1"/>
  <c r="Q41" i="30"/>
  <c r="P41" i="30"/>
  <c r="O41" i="30"/>
  <c r="M41" i="30"/>
  <c r="L41" i="30"/>
  <c r="L43" i="30" s="1"/>
  <c r="K41" i="30"/>
  <c r="K43" i="30" s="1"/>
  <c r="I41" i="30"/>
  <c r="H41" i="30"/>
  <c r="G41" i="30"/>
  <c r="E41" i="30"/>
  <c r="D41" i="30"/>
  <c r="C41" i="30"/>
  <c r="CJ40" i="30"/>
  <c r="CL40" i="30" s="1"/>
  <c r="CI40" i="30"/>
  <c r="CF40" i="30"/>
  <c r="CB40" i="30"/>
  <c r="BX40" i="30"/>
  <c r="BT40" i="30"/>
  <c r="BD36" i="30"/>
  <c r="CK33" i="30"/>
  <c r="CJ33" i="30"/>
  <c r="CJ34" i="30" s="1"/>
  <c r="CI33" i="30"/>
  <c r="CG33" i="30"/>
  <c r="CF33" i="30"/>
  <c r="CE33" i="30"/>
  <c r="CC33" i="30"/>
  <c r="CB33" i="30"/>
  <c r="CA33" i="30"/>
  <c r="BY33" i="30"/>
  <c r="BZ33" i="30" s="1"/>
  <c r="BX33" i="30"/>
  <c r="BW33" i="30"/>
  <c r="BU33" i="30"/>
  <c r="BT33" i="30"/>
  <c r="BS33" i="30"/>
  <c r="BQ33" i="30"/>
  <c r="BP33" i="30"/>
  <c r="BO33" i="30"/>
  <c r="BR33" i="30" s="1"/>
  <c r="BM33" i="30"/>
  <c r="BL33" i="30"/>
  <c r="BK33" i="30"/>
  <c r="BI33" i="30"/>
  <c r="BH33" i="30"/>
  <c r="BH34" i="30" s="1"/>
  <c r="BG33" i="30"/>
  <c r="BG37" i="30" s="1"/>
  <c r="BE33" i="30"/>
  <c r="BE37" i="30" s="1"/>
  <c r="BD33" i="30"/>
  <c r="BD37" i="30" s="1"/>
  <c r="CK32" i="30"/>
  <c r="CJ32" i="30"/>
  <c r="CI32" i="30"/>
  <c r="CG32" i="30"/>
  <c r="CF32" i="30"/>
  <c r="CE32" i="30"/>
  <c r="CC32" i="30"/>
  <c r="CB32" i="30"/>
  <c r="CD32" i="30" s="1"/>
  <c r="CA32" i="30"/>
  <c r="BY32" i="30"/>
  <c r="BX32" i="30"/>
  <c r="BW32" i="30"/>
  <c r="BU32" i="30"/>
  <c r="BT32" i="30"/>
  <c r="BS32" i="30"/>
  <c r="BQ32" i="30"/>
  <c r="BQ34" i="30" s="1"/>
  <c r="BP32" i="30"/>
  <c r="BO32" i="30"/>
  <c r="BM32" i="30"/>
  <c r="BL32" i="30"/>
  <c r="BK32" i="30"/>
  <c r="BI32" i="30"/>
  <c r="BJ32" i="30" s="1"/>
  <c r="BE32" i="30"/>
  <c r="CK31" i="30"/>
  <c r="CK34" i="30" s="1"/>
  <c r="CJ31" i="30"/>
  <c r="CI31" i="30"/>
  <c r="CI35" i="30" s="1"/>
  <c r="CG31" i="30"/>
  <c r="CF31" i="30"/>
  <c r="CF35" i="30" s="1"/>
  <c r="CE31" i="30"/>
  <c r="CC31" i="30"/>
  <c r="CB31" i="30"/>
  <c r="CB35" i="30" s="1"/>
  <c r="CA31" i="30"/>
  <c r="CA35" i="30" s="1"/>
  <c r="CA38" i="30" s="1"/>
  <c r="BY31" i="30"/>
  <c r="BX31" i="30"/>
  <c r="BX35" i="30" s="1"/>
  <c r="BW31" i="30"/>
  <c r="BU31" i="30"/>
  <c r="BT31" i="30"/>
  <c r="BT35" i="30" s="1"/>
  <c r="BS31" i="30"/>
  <c r="BQ31" i="30"/>
  <c r="BQ35" i="30" s="1"/>
  <c r="BP31" i="30"/>
  <c r="BP35" i="30" s="1"/>
  <c r="BP38" i="30" s="1"/>
  <c r="BO31" i="30"/>
  <c r="BM31" i="30"/>
  <c r="BL31" i="30"/>
  <c r="BL35" i="30" s="1"/>
  <c r="BK31" i="30"/>
  <c r="BK35" i="30" s="1"/>
  <c r="BI31" i="30"/>
  <c r="BI35" i="30" s="1"/>
  <c r="BG31" i="30"/>
  <c r="BE31" i="30"/>
  <c r="BE35" i="30" s="1"/>
  <c r="BD31" i="30"/>
  <c r="BF31" i="30" s="1"/>
  <c r="BF35" i="30" s="1"/>
  <c r="CK28" i="30"/>
  <c r="CK30" i="30" s="1"/>
  <c r="CJ28" i="30"/>
  <c r="CJ30" i="30" s="1"/>
  <c r="CI28" i="30"/>
  <c r="CI30" i="30" s="1"/>
  <c r="CG28" i="30"/>
  <c r="CF28" i="30"/>
  <c r="CF30" i="30" s="1"/>
  <c r="CE28" i="30"/>
  <c r="CE30" i="30" s="1"/>
  <c r="CC28" i="30"/>
  <c r="CC30" i="30" s="1"/>
  <c r="CB28" i="30"/>
  <c r="CB30" i="30" s="1"/>
  <c r="CA28" i="30"/>
  <c r="BY28" i="30"/>
  <c r="BX28" i="30"/>
  <c r="BX30" i="30" s="1"/>
  <c r="BW28" i="30"/>
  <c r="BW30" i="30" s="1"/>
  <c r="BU28" i="30"/>
  <c r="BU30" i="30" s="1"/>
  <c r="BT28" i="30"/>
  <c r="BT30" i="30" s="1"/>
  <c r="BS28" i="30"/>
  <c r="BS30" i="30" s="1"/>
  <c r="BV30" i="30" s="1"/>
  <c r="BQ28" i="30"/>
  <c r="BP28" i="30"/>
  <c r="BP30" i="30" s="1"/>
  <c r="BO28" i="30"/>
  <c r="BO30" i="30" s="1"/>
  <c r="BM28" i="30"/>
  <c r="BM30" i="30" s="1"/>
  <c r="BN30" i="30" s="1"/>
  <c r="BL28" i="30"/>
  <c r="BL30" i="30" s="1"/>
  <c r="BK28" i="30"/>
  <c r="BK30" i="30" s="1"/>
  <c r="BI28" i="30"/>
  <c r="BJ28" i="30" s="1"/>
  <c r="BE28" i="30"/>
  <c r="BF28" i="30" s="1"/>
  <c r="BF36" i="30" s="1"/>
  <c r="AY26" i="30"/>
  <c r="BB26" i="30" s="1"/>
  <c r="CK25" i="30"/>
  <c r="CJ25" i="30"/>
  <c r="CJ26" i="30" s="1"/>
  <c r="CI25" i="30"/>
  <c r="CG25" i="30"/>
  <c r="CF25" i="30"/>
  <c r="CF26" i="30" s="1"/>
  <c r="CE25" i="30"/>
  <c r="CC25" i="30"/>
  <c r="CC37" i="30" s="1"/>
  <c r="CC38" i="30" s="1"/>
  <c r="CB25" i="30"/>
  <c r="CB26" i="30" s="1"/>
  <c r="CA25" i="30"/>
  <c r="BY25" i="30"/>
  <c r="BX25" i="30"/>
  <c r="BX26" i="30" s="1"/>
  <c r="BW25" i="30"/>
  <c r="BW37" i="30" s="1"/>
  <c r="BU25" i="30"/>
  <c r="BT25" i="30"/>
  <c r="BT26" i="30" s="1"/>
  <c r="BS25" i="30"/>
  <c r="BS26" i="30" s="1"/>
  <c r="BQ25" i="30"/>
  <c r="BP25" i="30"/>
  <c r="BP26" i="30" s="1"/>
  <c r="BO25" i="30"/>
  <c r="BM25" i="30"/>
  <c r="BL25" i="30"/>
  <c r="BL26" i="30" s="1"/>
  <c r="BK25" i="30"/>
  <c r="BI25" i="30"/>
  <c r="BI26" i="30" s="1"/>
  <c r="BH25" i="30"/>
  <c r="BH26" i="30" s="1"/>
  <c r="BC25" i="30"/>
  <c r="BC37" i="30" s="1"/>
  <c r="BB25" i="30"/>
  <c r="CK24" i="30"/>
  <c r="CJ24" i="30"/>
  <c r="CJ36" i="30" s="1"/>
  <c r="CI24" i="30"/>
  <c r="CG24" i="30"/>
  <c r="CF24" i="30"/>
  <c r="CE24" i="30"/>
  <c r="CC24" i="30"/>
  <c r="CB24" i="30"/>
  <c r="CA24" i="30"/>
  <c r="BY24" i="30"/>
  <c r="BX24" i="30"/>
  <c r="BW24" i="30"/>
  <c r="BU24" i="30"/>
  <c r="BT24" i="30"/>
  <c r="BT36" i="30" s="1"/>
  <c r="BS24" i="30"/>
  <c r="BQ24" i="30"/>
  <c r="BP24" i="30"/>
  <c r="BO24" i="30"/>
  <c r="BO36" i="30" s="1"/>
  <c r="BM24" i="30"/>
  <c r="BL24" i="30"/>
  <c r="BK24" i="30"/>
  <c r="BG24" i="30"/>
  <c r="BG36" i="30" s="1"/>
  <c r="BG38" i="30" s="1"/>
  <c r="BC24" i="30"/>
  <c r="BC26" i="30" s="1"/>
  <c r="BF26" i="30" s="1"/>
  <c r="BB24" i="30"/>
  <c r="CL23" i="30"/>
  <c r="CH23" i="30"/>
  <c r="CD23" i="30"/>
  <c r="BZ23" i="30"/>
  <c r="BV23" i="30"/>
  <c r="BR23" i="30"/>
  <c r="BN23" i="30"/>
  <c r="AL21" i="30"/>
  <c r="AK21" i="30"/>
  <c r="AJ21" i="30"/>
  <c r="AI21" i="30"/>
  <c r="AH21" i="30"/>
  <c r="AG21" i="30"/>
  <c r="AF21" i="30"/>
  <c r="AE21" i="30"/>
  <c r="AD21" i="30"/>
  <c r="AC21" i="30"/>
  <c r="AA21" i="30"/>
  <c r="Z21" i="30"/>
  <c r="Y21" i="30"/>
  <c r="X21" i="30"/>
  <c r="W21" i="30"/>
  <c r="V21" i="30"/>
  <c r="U21" i="30"/>
  <c r="T21" i="30"/>
  <c r="S21" i="30"/>
  <c r="BA20" i="30"/>
  <c r="AZ20" i="30"/>
  <c r="AZ82" i="30" s="1"/>
  <c r="AY20" i="30"/>
  <c r="AY82" i="30" s="1"/>
  <c r="AW20" i="30"/>
  <c r="AV20" i="30"/>
  <c r="AV82" i="30" s="1"/>
  <c r="AU20" i="30"/>
  <c r="AU82" i="30" s="1"/>
  <c r="AS20" i="30"/>
  <c r="AS82" i="30" s="1"/>
  <c r="AR20" i="30"/>
  <c r="AR82" i="30" s="1"/>
  <c r="AQ20" i="30"/>
  <c r="BA19" i="30"/>
  <c r="AY19" i="30"/>
  <c r="AY81" i="30" s="1"/>
  <c r="AW19" i="30"/>
  <c r="AW81" i="30" s="1"/>
  <c r="AU19" i="30"/>
  <c r="AS19" i="30"/>
  <c r="AQ19" i="30"/>
  <c r="BA18" i="30"/>
  <c r="BA80" i="30" s="1"/>
  <c r="AW18" i="30"/>
  <c r="AW80" i="30" s="1"/>
  <c r="AS18" i="30"/>
  <c r="AS80" i="30" s="1"/>
  <c r="BA17" i="30"/>
  <c r="BB17" i="30" s="1"/>
  <c r="AW17" i="30"/>
  <c r="AX17" i="30" s="1"/>
  <c r="AS17" i="30"/>
  <c r="AT17" i="30" s="1"/>
  <c r="CK16" i="30"/>
  <c r="CJ16" i="30"/>
  <c r="CI16" i="30"/>
  <c r="CG16" i="30"/>
  <c r="CF16" i="30"/>
  <c r="CE16" i="30"/>
  <c r="CC16" i="30"/>
  <c r="CC17" i="30" s="1"/>
  <c r="CB16" i="30"/>
  <c r="CA16" i="30"/>
  <c r="BY16" i="30"/>
  <c r="BX16" i="30"/>
  <c r="BW16" i="30"/>
  <c r="BU16" i="30"/>
  <c r="BT16" i="30"/>
  <c r="BS16" i="30"/>
  <c r="BS17" i="30" s="1"/>
  <c r="BQ16" i="30"/>
  <c r="BP16" i="30"/>
  <c r="BO16" i="30"/>
  <c r="BM16" i="30"/>
  <c r="BL16" i="30"/>
  <c r="BK16" i="30"/>
  <c r="BI16" i="30"/>
  <c r="BJ16" i="30"/>
  <c r="BE16" i="30"/>
  <c r="BF16" i="30" s="1"/>
  <c r="BB16" i="30"/>
  <c r="AX16" i="30"/>
  <c r="AT16" i="30"/>
  <c r="Q16" i="30"/>
  <c r="P16" i="30"/>
  <c r="O16" i="30"/>
  <c r="M16" i="30"/>
  <c r="M17" i="30" s="1"/>
  <c r="L16" i="30"/>
  <c r="K16" i="30"/>
  <c r="I16" i="30"/>
  <c r="H16" i="30"/>
  <c r="G16" i="30"/>
  <c r="E16" i="30"/>
  <c r="D16" i="30"/>
  <c r="C16" i="30"/>
  <c r="F16" i="30" s="1"/>
  <c r="CK15" i="30"/>
  <c r="CJ15" i="30"/>
  <c r="CI15" i="30"/>
  <c r="CG15" i="30"/>
  <c r="CF15" i="30"/>
  <c r="CE15" i="30"/>
  <c r="CC15" i="30"/>
  <c r="CB15" i="30"/>
  <c r="CB17" i="30" s="1"/>
  <c r="CD17" i="30" s="1"/>
  <c r="CA15" i="30"/>
  <c r="BY15" i="30"/>
  <c r="BX15" i="30"/>
  <c r="BW15" i="30"/>
  <c r="BU15" i="30"/>
  <c r="BT15" i="30"/>
  <c r="BS15" i="30"/>
  <c r="BQ15" i="30"/>
  <c r="BQ17" i="30" s="1"/>
  <c r="BP15" i="30"/>
  <c r="BO15" i="30"/>
  <c r="BM15" i="30"/>
  <c r="BL15" i="30"/>
  <c r="BK15" i="30"/>
  <c r="BI15" i="30"/>
  <c r="BJ15" i="30" s="1"/>
  <c r="BE15" i="30"/>
  <c r="BF15" i="30" s="1"/>
  <c r="BB15" i="30"/>
  <c r="AX15" i="30"/>
  <c r="AT15" i="30"/>
  <c r="Q15" i="30"/>
  <c r="P15" i="30"/>
  <c r="O15" i="30"/>
  <c r="M15" i="30"/>
  <c r="L15" i="30"/>
  <c r="K15" i="30"/>
  <c r="K17" i="30" s="1"/>
  <c r="N17" i="30" s="1"/>
  <c r="I15" i="30"/>
  <c r="H15" i="30"/>
  <c r="G15" i="30"/>
  <c r="E15" i="30"/>
  <c r="D15" i="30"/>
  <c r="C15" i="30"/>
  <c r="CK14" i="30"/>
  <c r="CJ14" i="30"/>
  <c r="CL14" i="30" s="1"/>
  <c r="CI14" i="30"/>
  <c r="CG14" i="30"/>
  <c r="CF14" i="30"/>
  <c r="CE14" i="30"/>
  <c r="CC14" i="30"/>
  <c r="CB14" i="30"/>
  <c r="CA14" i="30"/>
  <c r="BY14" i="30"/>
  <c r="BZ14" i="30" s="1"/>
  <c r="BX14" i="30"/>
  <c r="BW14" i="30"/>
  <c r="BU14" i="30"/>
  <c r="BT14" i="30"/>
  <c r="BT17" i="30" s="1"/>
  <c r="BS14" i="30"/>
  <c r="BQ14" i="30"/>
  <c r="BP14" i="30"/>
  <c r="BO14" i="30"/>
  <c r="BR14" i="30" s="1"/>
  <c r="BM14" i="30"/>
  <c r="BL14" i="30"/>
  <c r="BK14" i="30"/>
  <c r="BI14" i="30"/>
  <c r="BI17" i="30" s="1"/>
  <c r="BJ17" i="30" s="1"/>
  <c r="BE14" i="30"/>
  <c r="AX14" i="30"/>
  <c r="AT14" i="30"/>
  <c r="Q14" i="30"/>
  <c r="P14" i="30"/>
  <c r="O14" i="30"/>
  <c r="M14" i="30"/>
  <c r="L14" i="30"/>
  <c r="K14" i="30"/>
  <c r="I14" i="30"/>
  <c r="H14" i="30"/>
  <c r="H18" i="30" s="1"/>
  <c r="G14" i="30"/>
  <c r="E14" i="30"/>
  <c r="D14" i="30"/>
  <c r="C14" i="30"/>
  <c r="BA13" i="30"/>
  <c r="BB13" i="30" s="1"/>
  <c r="AW13" i="30"/>
  <c r="AV13" i="30"/>
  <c r="AX13" i="30"/>
  <c r="AS13" i="30"/>
  <c r="AT13" i="30"/>
  <c r="CK12" i="30"/>
  <c r="CJ12" i="30"/>
  <c r="CI12" i="30"/>
  <c r="CG12" i="30"/>
  <c r="CF12" i="30"/>
  <c r="CE12" i="30"/>
  <c r="CH12" i="30" s="1"/>
  <c r="CC12" i="30"/>
  <c r="CB12" i="30"/>
  <c r="CA12" i="30"/>
  <c r="BY12" i="30"/>
  <c r="BX12" i="30"/>
  <c r="BW12" i="30"/>
  <c r="BU12" i="30"/>
  <c r="BT12" i="30"/>
  <c r="BV12" i="30" s="1"/>
  <c r="BS12" i="30"/>
  <c r="BQ12" i="30"/>
  <c r="BP12" i="30"/>
  <c r="BO12" i="30"/>
  <c r="BM12" i="30"/>
  <c r="BL12" i="30"/>
  <c r="BK12" i="30"/>
  <c r="BI12" i="30"/>
  <c r="BJ12" i="30" s="1"/>
  <c r="BE12" i="30"/>
  <c r="BF12" i="30" s="1"/>
  <c r="BB12" i="30"/>
  <c r="AX12" i="30"/>
  <c r="AT12" i="30"/>
  <c r="Q12" i="30"/>
  <c r="P12" i="30"/>
  <c r="O12" i="30"/>
  <c r="M12" i="30"/>
  <c r="M20" i="30" s="1"/>
  <c r="L12" i="30"/>
  <c r="K12" i="30"/>
  <c r="I12" i="30"/>
  <c r="H12" i="30"/>
  <c r="G12" i="30"/>
  <c r="E12" i="30"/>
  <c r="D12" i="30"/>
  <c r="C12" i="30"/>
  <c r="F12" i="30" s="1"/>
  <c r="CK11" i="30"/>
  <c r="CL11" i="30" s="1"/>
  <c r="CJ11" i="30"/>
  <c r="CI11" i="30"/>
  <c r="CG11" i="30"/>
  <c r="CF11" i="30"/>
  <c r="CE11" i="30"/>
  <c r="CC11" i="30"/>
  <c r="CB11" i="30"/>
  <c r="CB19" i="30" s="1"/>
  <c r="CA11" i="30"/>
  <c r="BY11" i="30"/>
  <c r="BX11" i="30"/>
  <c r="BW11" i="30"/>
  <c r="BU11" i="30"/>
  <c r="BT11" i="30"/>
  <c r="BS11" i="30"/>
  <c r="BQ11" i="30"/>
  <c r="BQ13" i="30" s="1"/>
  <c r="BP11" i="30"/>
  <c r="BO11" i="30"/>
  <c r="BM11" i="30"/>
  <c r="BL11" i="30"/>
  <c r="BK11" i="30"/>
  <c r="BI11" i="30"/>
  <c r="BJ11" i="30" s="1"/>
  <c r="BE11" i="30"/>
  <c r="BC11" i="30"/>
  <c r="BC13" i="30" s="1"/>
  <c r="BB11" i="30"/>
  <c r="AX11" i="30"/>
  <c r="AT11" i="30"/>
  <c r="Q11" i="30"/>
  <c r="P11" i="30"/>
  <c r="O11" i="30"/>
  <c r="M11" i="30"/>
  <c r="L11" i="30"/>
  <c r="L19" i="30" s="1"/>
  <c r="K11" i="30"/>
  <c r="I11" i="30"/>
  <c r="H11" i="30"/>
  <c r="G11" i="30"/>
  <c r="E11" i="30"/>
  <c r="D11" i="30"/>
  <c r="C11" i="30"/>
  <c r="CK10" i="30"/>
  <c r="CK18" i="30" s="1"/>
  <c r="CJ10" i="30"/>
  <c r="CI10" i="30"/>
  <c r="CG10" i="30"/>
  <c r="CF10" i="30"/>
  <c r="CE10" i="30"/>
  <c r="CC10" i="30"/>
  <c r="CB10" i="30"/>
  <c r="CA10" i="30"/>
  <c r="CD10" i="30" s="1"/>
  <c r="CD18" i="30" s="1"/>
  <c r="BY10" i="30"/>
  <c r="BX10" i="30"/>
  <c r="BW10" i="30"/>
  <c r="BU10" i="30"/>
  <c r="BT10" i="30"/>
  <c r="BS10" i="30"/>
  <c r="BQ10" i="30"/>
  <c r="BP10" i="30"/>
  <c r="BP13" i="30" s="1"/>
  <c r="BO10" i="30"/>
  <c r="BM10" i="30"/>
  <c r="BL10" i="30"/>
  <c r="BK10" i="30"/>
  <c r="BI10" i="30"/>
  <c r="BE10" i="30"/>
  <c r="BD10" i="30"/>
  <c r="BD13" i="30"/>
  <c r="BB10" i="30"/>
  <c r="BB18" i="30" s="1"/>
  <c r="AX10" i="30"/>
  <c r="AX18" i="30" s="1"/>
  <c r="AT10" i="30"/>
  <c r="AT18" i="30" s="1"/>
  <c r="Q10" i="30"/>
  <c r="P10" i="30"/>
  <c r="O10" i="30"/>
  <c r="M10" i="30"/>
  <c r="L10" i="30"/>
  <c r="L13" i="30" s="1"/>
  <c r="K10" i="30"/>
  <c r="I10" i="30"/>
  <c r="H10" i="30"/>
  <c r="G10" i="30"/>
  <c r="E10" i="30"/>
  <c r="D10" i="30"/>
  <c r="C10" i="30"/>
  <c r="BA9" i="30"/>
  <c r="BA21" i="30"/>
  <c r="AZ9" i="30"/>
  <c r="AZ21" i="30" s="1"/>
  <c r="AY9" i="30"/>
  <c r="AY21" i="30" s="1"/>
  <c r="AW9" i="30"/>
  <c r="AW21" i="30" s="1"/>
  <c r="AV9" i="30"/>
  <c r="AV21" i="30" s="1"/>
  <c r="AU9" i="30"/>
  <c r="AS9" i="30"/>
  <c r="AS21" i="30" s="1"/>
  <c r="AR9" i="30"/>
  <c r="AR21" i="30"/>
  <c r="AQ9" i="30"/>
  <c r="AQ21" i="30" s="1"/>
  <c r="CK8" i="30"/>
  <c r="CJ8" i="30"/>
  <c r="CI8" i="30"/>
  <c r="CG8" i="30"/>
  <c r="CF8" i="30"/>
  <c r="CE8" i="30"/>
  <c r="CE20" i="30" s="1"/>
  <c r="CC8" i="30"/>
  <c r="CB8" i="30"/>
  <c r="CA8" i="30"/>
  <c r="BY8" i="30"/>
  <c r="BX8" i="30"/>
  <c r="BW8" i="30"/>
  <c r="BU8" i="30"/>
  <c r="BT8" i="30"/>
  <c r="BV8" i="30" s="1"/>
  <c r="BS8" i="30"/>
  <c r="BQ8" i="30"/>
  <c r="BP8" i="30"/>
  <c r="BO8" i="30"/>
  <c r="BM8" i="30"/>
  <c r="BL8" i="30"/>
  <c r="BK8" i="30"/>
  <c r="BI8" i="30"/>
  <c r="BI20" i="30" s="1"/>
  <c r="BH8" i="30"/>
  <c r="BG8" i="30"/>
  <c r="BG20" i="30" s="1"/>
  <c r="BE8" i="30"/>
  <c r="BC8" i="30"/>
  <c r="BC20" i="30" s="1"/>
  <c r="BB8" i="30"/>
  <c r="BB20" i="30" s="1"/>
  <c r="AX8" i="30"/>
  <c r="AT8" i="30"/>
  <c r="AT20" i="30"/>
  <c r="Q8" i="30"/>
  <c r="P8" i="30"/>
  <c r="O8" i="30"/>
  <c r="M8" i="30"/>
  <c r="L8" i="30"/>
  <c r="K8" i="30"/>
  <c r="I8" i="30"/>
  <c r="I20" i="30" s="1"/>
  <c r="H8" i="30"/>
  <c r="J8" i="30" s="1"/>
  <c r="G8" i="30"/>
  <c r="E8" i="30"/>
  <c r="D8" i="30"/>
  <c r="D20" i="30" s="1"/>
  <c r="C8" i="30"/>
  <c r="CK7" i="30"/>
  <c r="CJ7" i="30"/>
  <c r="CJ19" i="30" s="1"/>
  <c r="CI7" i="30"/>
  <c r="CG7" i="30"/>
  <c r="CG19" i="30" s="1"/>
  <c r="CF7" i="30"/>
  <c r="CE7" i="30"/>
  <c r="CC7" i="30"/>
  <c r="CC19" i="30" s="1"/>
  <c r="CB7" i="30"/>
  <c r="CA7" i="30"/>
  <c r="CD7" i="30" s="1"/>
  <c r="BY7" i="30"/>
  <c r="BY19" i="30" s="1"/>
  <c r="BX7" i="30"/>
  <c r="BW7" i="30"/>
  <c r="BW9" i="30" s="1"/>
  <c r="BU7" i="30"/>
  <c r="BT7" i="30"/>
  <c r="BS7" i="30"/>
  <c r="BQ7" i="30"/>
  <c r="BP7" i="30"/>
  <c r="BO7" i="30"/>
  <c r="BM7" i="30"/>
  <c r="BL7" i="30"/>
  <c r="BL19" i="30" s="1"/>
  <c r="BK7" i="30"/>
  <c r="BI7" i="30"/>
  <c r="BG7" i="30"/>
  <c r="BG9" i="30" s="1"/>
  <c r="BE7" i="30"/>
  <c r="BD7" i="30"/>
  <c r="BD19" i="30" s="1"/>
  <c r="BC7" i="30"/>
  <c r="BB7" i="30"/>
  <c r="AX7" i="30"/>
  <c r="AX19" i="30" s="1"/>
  <c r="AT7" i="30"/>
  <c r="AT19" i="30" s="1"/>
  <c r="AT81" i="30" s="1"/>
  <c r="Q7" i="30"/>
  <c r="P7" i="30"/>
  <c r="O7" i="30"/>
  <c r="M7" i="30"/>
  <c r="L7" i="30"/>
  <c r="K7" i="30"/>
  <c r="I7" i="30"/>
  <c r="I19" i="30" s="1"/>
  <c r="H7" i="30"/>
  <c r="G7" i="30"/>
  <c r="E7" i="30"/>
  <c r="D7" i="30"/>
  <c r="D19" i="30" s="1"/>
  <c r="C7" i="30"/>
  <c r="C19" i="30" s="1"/>
  <c r="CK6" i="30"/>
  <c r="CJ6" i="30"/>
  <c r="CI6" i="30"/>
  <c r="CG6" i="30"/>
  <c r="CF6" i="30"/>
  <c r="CE6" i="30"/>
  <c r="CC6" i="30"/>
  <c r="CB6" i="30"/>
  <c r="CB18" i="30" s="1"/>
  <c r="CA6" i="30"/>
  <c r="BY6" i="30"/>
  <c r="BX6" i="30"/>
  <c r="BX9" i="30" s="1"/>
  <c r="BX21" i="30" s="1"/>
  <c r="BW6" i="30"/>
  <c r="BU6" i="30"/>
  <c r="BT6" i="30"/>
  <c r="BS6" i="30"/>
  <c r="BQ6" i="30"/>
  <c r="BQ18" i="30" s="1"/>
  <c r="BP6" i="30"/>
  <c r="BO6" i="30"/>
  <c r="BM6" i="30"/>
  <c r="BM18" i="30" s="1"/>
  <c r="BL6" i="30"/>
  <c r="BK6" i="30"/>
  <c r="Q6" i="30"/>
  <c r="P6" i="30"/>
  <c r="O6" i="30"/>
  <c r="M6" i="30"/>
  <c r="L6" i="30"/>
  <c r="K6" i="30"/>
  <c r="K18" i="30" s="1"/>
  <c r="K80" i="30" s="1"/>
  <c r="I6" i="30"/>
  <c r="H6" i="30"/>
  <c r="G6" i="30"/>
  <c r="E6" i="30"/>
  <c r="D6" i="30"/>
  <c r="C6" i="30"/>
  <c r="C18" i="30" s="1"/>
  <c r="CL157" i="29"/>
  <c r="CK157" i="29"/>
  <c r="CJ157" i="29"/>
  <c r="CH157" i="29"/>
  <c r="CG157" i="29"/>
  <c r="CF157" i="29"/>
  <c r="CD157" i="29"/>
  <c r="CC157" i="29"/>
  <c r="CB157" i="29"/>
  <c r="BZ157" i="29"/>
  <c r="BY157" i="29"/>
  <c r="BX157" i="29"/>
  <c r="BV157" i="29"/>
  <c r="BU157" i="29"/>
  <c r="BT157" i="29"/>
  <c r="BR157" i="29"/>
  <c r="BQ157" i="29"/>
  <c r="BP157" i="29"/>
  <c r="BN157" i="29"/>
  <c r="BM157" i="29"/>
  <c r="BL157" i="29"/>
  <c r="BJ157" i="29"/>
  <c r="BI157" i="29"/>
  <c r="BH157" i="29"/>
  <c r="BF157" i="29"/>
  <c r="BE157" i="29"/>
  <c r="BD157" i="29"/>
  <c r="BB157" i="29"/>
  <c r="BA157" i="29"/>
  <c r="AZ157" i="29"/>
  <c r="AX157" i="29"/>
  <c r="AW157" i="29"/>
  <c r="AV157" i="29"/>
  <c r="AT157" i="29"/>
  <c r="AS157" i="29"/>
  <c r="AR157" i="29"/>
  <c r="AP157" i="29"/>
  <c r="AO157" i="29"/>
  <c r="AN157" i="29"/>
  <c r="AL157" i="29"/>
  <c r="AK157" i="29"/>
  <c r="AJ157" i="29"/>
  <c r="AH157" i="29"/>
  <c r="AG157" i="29"/>
  <c r="AF157" i="29"/>
  <c r="AD157" i="29"/>
  <c r="AC157" i="29"/>
  <c r="AB157" i="29"/>
  <c r="Z157" i="29"/>
  <c r="Y157" i="29"/>
  <c r="X157" i="29"/>
  <c r="V157" i="29"/>
  <c r="U157" i="29"/>
  <c r="T157" i="29"/>
  <c r="S157" i="29"/>
  <c r="R157" i="29"/>
  <c r="Q157" i="29"/>
  <c r="P157" i="29"/>
  <c r="K157" i="29"/>
  <c r="I157" i="29"/>
  <c r="CM156" i="29"/>
  <c r="CI156" i="29"/>
  <c r="CE156" i="29"/>
  <c r="CA156" i="29"/>
  <c r="BW156" i="29"/>
  <c r="BS156" i="29"/>
  <c r="BO156" i="29"/>
  <c r="BK156" i="29"/>
  <c r="BG156" i="29"/>
  <c r="BC156" i="29"/>
  <c r="AY156" i="29"/>
  <c r="AU156" i="29"/>
  <c r="AQ156" i="29"/>
  <c r="AM156" i="29"/>
  <c r="AI156" i="29"/>
  <c r="AA156" i="29"/>
  <c r="CM155" i="29"/>
  <c r="CI155" i="29"/>
  <c r="CE155" i="29"/>
  <c r="CA155" i="29"/>
  <c r="BW155" i="29"/>
  <c r="BS155" i="29"/>
  <c r="BO155" i="29"/>
  <c r="BK155" i="29"/>
  <c r="BC155" i="29"/>
  <c r="AU155" i="29"/>
  <c r="CM154" i="29"/>
  <c r="CI154" i="29"/>
  <c r="CE154" i="29"/>
  <c r="CA154" i="29"/>
  <c r="BW154" i="29"/>
  <c r="BS154" i="29"/>
  <c r="BO154" i="29"/>
  <c r="BK154" i="29"/>
  <c r="BC154" i="29"/>
  <c r="AU154" i="29"/>
  <c r="CM153" i="29"/>
  <c r="CI153" i="29"/>
  <c r="CE153" i="29"/>
  <c r="CA153" i="29"/>
  <c r="BW153" i="29"/>
  <c r="BS153" i="29"/>
  <c r="BO153" i="29"/>
  <c r="BK153" i="29"/>
  <c r="BG153" i="29"/>
  <c r="BC153" i="29"/>
  <c r="AY153" i="29"/>
  <c r="AU153" i="29"/>
  <c r="AQ153" i="29"/>
  <c r="AM153" i="29"/>
  <c r="AM157" i="29" s="1"/>
  <c r="AI153" i="29"/>
  <c r="AE153" i="29"/>
  <c r="AE157" i="29" s="1"/>
  <c r="AA153" i="29"/>
  <c r="W153" i="29"/>
  <c r="W157" i="29" s="1"/>
  <c r="CL152" i="29"/>
  <c r="CK152" i="29"/>
  <c r="CJ152" i="29"/>
  <c r="CH152" i="29"/>
  <c r="CG152" i="29"/>
  <c r="CG158" i="29" s="1"/>
  <c r="CF152" i="29"/>
  <c r="CD152" i="29"/>
  <c r="CC152" i="29"/>
  <c r="CB152" i="29"/>
  <c r="BZ152" i="29"/>
  <c r="BY152" i="29"/>
  <c r="BX152" i="29"/>
  <c r="BV152" i="29"/>
  <c r="BU152" i="29"/>
  <c r="BT152" i="29"/>
  <c r="BR152" i="29"/>
  <c r="BQ152" i="29"/>
  <c r="BP152" i="29"/>
  <c r="BN152" i="29"/>
  <c r="BM152" i="29"/>
  <c r="BL152" i="29"/>
  <c r="BL158" i="29" s="1"/>
  <c r="BJ152" i="29"/>
  <c r="BI152" i="29"/>
  <c r="BH152" i="29"/>
  <c r="BF152" i="29"/>
  <c r="BE152" i="29"/>
  <c r="BD152" i="29"/>
  <c r="BB152" i="29"/>
  <c r="BA152" i="29"/>
  <c r="BA158" i="29" s="1"/>
  <c r="AZ152" i="29"/>
  <c r="AX152" i="29"/>
  <c r="AW152" i="29"/>
  <c r="AV152" i="29"/>
  <c r="AT152" i="29"/>
  <c r="AS152" i="29"/>
  <c r="AR152" i="29"/>
  <c r="AP152" i="29"/>
  <c r="AP158" i="29" s="1"/>
  <c r="AO152" i="29"/>
  <c r="AN152" i="29"/>
  <c r="AL152" i="29"/>
  <c r="AK152" i="29"/>
  <c r="AJ152" i="29"/>
  <c r="AH152" i="29"/>
  <c r="AG152" i="29"/>
  <c r="AF152" i="29"/>
  <c r="AD152" i="29"/>
  <c r="AC152" i="29"/>
  <c r="AB152" i="29"/>
  <c r="Z152" i="29"/>
  <c r="Y152" i="29"/>
  <c r="X152" i="29"/>
  <c r="V152" i="29"/>
  <c r="U152" i="29"/>
  <c r="U158" i="29" s="1"/>
  <c r="T152" i="29"/>
  <c r="S152" i="29"/>
  <c r="R152" i="29"/>
  <c r="Q152" i="29"/>
  <c r="P152" i="29"/>
  <c r="O152" i="29"/>
  <c r="N152" i="29"/>
  <c r="M152" i="29"/>
  <c r="M158" i="29" s="1"/>
  <c r="L152" i="29"/>
  <c r="K152" i="29"/>
  <c r="J152" i="29"/>
  <c r="I152" i="29"/>
  <c r="H152" i="29"/>
  <c r="G152" i="29"/>
  <c r="F152" i="29"/>
  <c r="E152" i="29"/>
  <c r="E158" i="29" s="1"/>
  <c r="D152" i="29"/>
  <c r="CM151" i="29"/>
  <c r="CI151" i="29"/>
  <c r="CE151" i="29"/>
  <c r="CA151" i="29"/>
  <c r="BW151" i="29"/>
  <c r="BS151" i="29"/>
  <c r="BO151" i="29"/>
  <c r="BK151" i="29"/>
  <c r="CM150" i="29"/>
  <c r="CI150" i="29"/>
  <c r="CE150" i="29"/>
  <c r="CA150" i="29"/>
  <c r="BW150" i="29"/>
  <c r="BS150" i="29"/>
  <c r="BO150" i="29"/>
  <c r="BK150" i="29"/>
  <c r="BG150" i="29"/>
  <c r="BC150" i="29"/>
  <c r="AY150" i="29"/>
  <c r="AU150" i="29"/>
  <c r="AM150" i="29"/>
  <c r="AI150" i="29"/>
  <c r="AE150" i="29"/>
  <c r="AA150" i="29"/>
  <c r="W150" i="29"/>
  <c r="CM148" i="29"/>
  <c r="CI148" i="29"/>
  <c r="CE148" i="29"/>
  <c r="CA148" i="29"/>
  <c r="BW148" i="29"/>
  <c r="BS148" i="29"/>
  <c r="BO148" i="29"/>
  <c r="BK148" i="29"/>
  <c r="BG148" i="29"/>
  <c r="BC148" i="29"/>
  <c r="AY148" i="29"/>
  <c r="AU148" i="29"/>
  <c r="AQ148" i="29"/>
  <c r="AM148" i="29"/>
  <c r="AI148" i="29"/>
  <c r="AE148" i="29"/>
  <c r="AA148" i="29"/>
  <c r="W148" i="29"/>
  <c r="CM146" i="29"/>
  <c r="CI146" i="29"/>
  <c r="CE146" i="29"/>
  <c r="CA146" i="29"/>
  <c r="BW146" i="29"/>
  <c r="BS146" i="29"/>
  <c r="BO146" i="29"/>
  <c r="CM145" i="29"/>
  <c r="CI145" i="29"/>
  <c r="CE145" i="29"/>
  <c r="CM144" i="29"/>
  <c r="CI144" i="29"/>
  <c r="CE144" i="29"/>
  <c r="CA144" i="29"/>
  <c r="BW144" i="29"/>
  <c r="BS144" i="29"/>
  <c r="BO144" i="29"/>
  <c r="BK144" i="29"/>
  <c r="BG144" i="29"/>
  <c r="BC144" i="29"/>
  <c r="BC152" i="29" s="1"/>
  <c r="AY144" i="29"/>
  <c r="AU144" i="29"/>
  <c r="AQ144" i="29"/>
  <c r="AM144" i="29"/>
  <c r="AI144" i="29"/>
  <c r="AE144" i="29"/>
  <c r="AA144" i="29"/>
  <c r="W144" i="29"/>
  <c r="CM143" i="29"/>
  <c r="CI143" i="29"/>
  <c r="CE143" i="29"/>
  <c r="CA143" i="29"/>
  <c r="BW143" i="29"/>
  <c r="BS143" i="29"/>
  <c r="BO143" i="29"/>
  <c r="BK143" i="29"/>
  <c r="BG143" i="29"/>
  <c r="BC143" i="29"/>
  <c r="AY143" i="29"/>
  <c r="AU143" i="29"/>
  <c r="AQ143" i="29"/>
  <c r="AM143" i="29"/>
  <c r="AI143" i="29"/>
  <c r="AE143" i="29"/>
  <c r="AE152" i="29" s="1"/>
  <c r="AA143" i="29"/>
  <c r="W143" i="29"/>
  <c r="CM142" i="29"/>
  <c r="CI142" i="29"/>
  <c r="CE142" i="29"/>
  <c r="CA142" i="29"/>
  <c r="BW142" i="29"/>
  <c r="BS142" i="29"/>
  <c r="BO142" i="29"/>
  <c r="BK142" i="29"/>
  <c r="BG142" i="29"/>
  <c r="AY142" i="29"/>
  <c r="AU142" i="29"/>
  <c r="AM142" i="29"/>
  <c r="AE142" i="29"/>
  <c r="W142" i="29"/>
  <c r="W152" i="29" s="1"/>
  <c r="CM141" i="29"/>
  <c r="CI141" i="29"/>
  <c r="CE141" i="29"/>
  <c r="CA141" i="29"/>
  <c r="BW141" i="29"/>
  <c r="BS141" i="29"/>
  <c r="BO141" i="29"/>
  <c r="BK141" i="29"/>
  <c r="BK152" i="29" s="1"/>
  <c r="BC141" i="29"/>
  <c r="AY141" i="29"/>
  <c r="AU141" i="29"/>
  <c r="AQ141" i="29"/>
  <c r="AI141" i="29"/>
  <c r="AE141" i="29"/>
  <c r="W141" i="29"/>
  <c r="CM140" i="29"/>
  <c r="CI140" i="29"/>
  <c r="CE140" i="29"/>
  <c r="CA140" i="29"/>
  <c r="BW140" i="29"/>
  <c r="BS140" i="29"/>
  <c r="BO140" i="29"/>
  <c r="BK140" i="29"/>
  <c r="BG140" i="29"/>
  <c r="BC140" i="29"/>
  <c r="AY140" i="29"/>
  <c r="AU140" i="29"/>
  <c r="AQ140" i="29"/>
  <c r="AM140" i="29"/>
  <c r="AI140" i="29"/>
  <c r="AE140" i="29"/>
  <c r="AA140" i="29"/>
  <c r="AA152" i="29" s="1"/>
  <c r="W140" i="29"/>
  <c r="CM139" i="29"/>
  <c r="CI139" i="29"/>
  <c r="CE139" i="29"/>
  <c r="CA139" i="29"/>
  <c r="BW139" i="29"/>
  <c r="BS139" i="29"/>
  <c r="BO139" i="29"/>
  <c r="BK139" i="29"/>
  <c r="BG139" i="29"/>
  <c r="AU139" i="29"/>
  <c r="AM139" i="29"/>
  <c r="AE139" i="29"/>
  <c r="W139" i="29"/>
  <c r="CM138" i="29"/>
  <c r="CI138" i="29"/>
  <c r="CI152" i="29" s="1"/>
  <c r="CE138" i="29"/>
  <c r="CA138" i="29"/>
  <c r="BW138" i="29"/>
  <c r="BS138" i="29"/>
  <c r="BO138" i="29"/>
  <c r="BK138" i="29"/>
  <c r="BG138" i="29"/>
  <c r="BG152" i="29"/>
  <c r="AY138" i="29"/>
  <c r="CM137" i="29"/>
  <c r="CI137" i="29"/>
  <c r="CE137" i="29"/>
  <c r="CA137" i="29"/>
  <c r="BW137" i="29"/>
  <c r="BS137" i="29"/>
  <c r="BO137" i="29"/>
  <c r="BO152" i="29" s="1"/>
  <c r="BK137" i="29"/>
  <c r="BC137" i="29"/>
  <c r="CM136" i="29"/>
  <c r="CI136" i="29"/>
  <c r="CE136" i="29"/>
  <c r="CA136" i="29"/>
  <c r="BW136" i="29"/>
  <c r="BS136" i="29"/>
  <c r="BS152" i="29" s="1"/>
  <c r="BO136" i="29"/>
  <c r="BK136" i="29"/>
  <c r="AU136" i="29"/>
  <c r="W136" i="29"/>
  <c r="CM135" i="29"/>
  <c r="CI135" i="29"/>
  <c r="CE135" i="29"/>
  <c r="CA135" i="29"/>
  <c r="CA152" i="29" s="1"/>
  <c r="BW135" i="29"/>
  <c r="BS135" i="29"/>
  <c r="BO135" i="29"/>
  <c r="BK135" i="29"/>
  <c r="BC135" i="29"/>
  <c r="AQ135" i="29"/>
  <c r="AM135" i="29"/>
  <c r="AI135" i="29"/>
  <c r="AI152" i="29" s="1"/>
  <c r="AA135" i="29"/>
  <c r="W135" i="29"/>
  <c r="CL134" i="29"/>
  <c r="CK134" i="29"/>
  <c r="CJ134" i="29"/>
  <c r="CH134" i="29"/>
  <c r="CG134" i="29"/>
  <c r="CF134" i="29"/>
  <c r="CF158" i="29" s="1"/>
  <c r="CD134" i="29"/>
  <c r="CC134" i="29"/>
  <c r="CB134" i="29"/>
  <c r="BZ134" i="29"/>
  <c r="BY134" i="29"/>
  <c r="BX134" i="29"/>
  <c r="BV134" i="29"/>
  <c r="BU134" i="29"/>
  <c r="BT134" i="29"/>
  <c r="BR134" i="29"/>
  <c r="BQ134" i="29"/>
  <c r="BP134" i="29"/>
  <c r="BN134" i="29"/>
  <c r="BM134" i="29"/>
  <c r="BL134" i="29"/>
  <c r="BJ134" i="29"/>
  <c r="BJ158" i="29" s="1"/>
  <c r="BI134" i="29"/>
  <c r="BH134" i="29"/>
  <c r="BF134" i="29"/>
  <c r="BE134" i="29"/>
  <c r="BD134" i="29"/>
  <c r="BB134" i="29"/>
  <c r="BA134" i="29"/>
  <c r="AZ134" i="29"/>
  <c r="AX134" i="29"/>
  <c r="AW134" i="29"/>
  <c r="AV134" i="29"/>
  <c r="AT134" i="29"/>
  <c r="AS134" i="29"/>
  <c r="AR134" i="29"/>
  <c r="AP134" i="29"/>
  <c r="AO134" i="29"/>
  <c r="AO158" i="29" s="1"/>
  <c r="AN134" i="29"/>
  <c r="AL134" i="29"/>
  <c r="AK134" i="29"/>
  <c r="AJ134" i="29"/>
  <c r="AH134" i="29"/>
  <c r="AG134" i="29"/>
  <c r="AF134" i="29"/>
  <c r="AD134" i="29"/>
  <c r="AD158" i="29" s="1"/>
  <c r="AC134" i="29"/>
  <c r="AB134" i="29"/>
  <c r="Z134" i="29"/>
  <c r="Y134" i="29"/>
  <c r="X134" i="29"/>
  <c r="V134" i="29"/>
  <c r="U134" i="29"/>
  <c r="T134" i="29"/>
  <c r="T158" i="29" s="1"/>
  <c r="S134" i="29"/>
  <c r="R134" i="29"/>
  <c r="Q134" i="29"/>
  <c r="P134" i="29"/>
  <c r="O134" i="29"/>
  <c r="N134" i="29"/>
  <c r="M134" i="29"/>
  <c r="L134" i="29"/>
  <c r="L158" i="29" s="1"/>
  <c r="J134" i="29"/>
  <c r="I134" i="29"/>
  <c r="H134" i="29"/>
  <c r="G134" i="29"/>
  <c r="F134" i="29"/>
  <c r="E134" i="29"/>
  <c r="D134" i="29"/>
  <c r="CM133" i="29"/>
  <c r="CI133" i="29"/>
  <c r="CE133" i="29"/>
  <c r="CA133" i="29"/>
  <c r="CM132" i="29"/>
  <c r="CI132" i="29"/>
  <c r="CE132" i="29"/>
  <c r="CM131" i="29"/>
  <c r="CI131" i="29"/>
  <c r="CE131" i="29"/>
  <c r="CA131" i="29"/>
  <c r="CM130" i="29"/>
  <c r="CI130" i="29"/>
  <c r="CE130" i="29"/>
  <c r="CA130" i="29"/>
  <c r="BW130" i="29"/>
  <c r="BS130" i="29"/>
  <c r="BO130" i="29"/>
  <c r="BK130" i="29"/>
  <c r="BC130" i="29"/>
  <c r="AU130" i="29"/>
  <c r="AQ130" i="29"/>
  <c r="AM130" i="29"/>
  <c r="AE130" i="29"/>
  <c r="AA130" i="29"/>
  <c r="W130" i="29"/>
  <c r="CM129" i="29"/>
  <c r="CI129" i="29"/>
  <c r="CE129" i="29"/>
  <c r="CA129" i="29"/>
  <c r="BW129" i="29"/>
  <c r="BS129" i="29"/>
  <c r="BO129" i="29"/>
  <c r="BK129" i="29"/>
  <c r="AI129" i="29"/>
  <c r="AE129" i="29"/>
  <c r="AA129" i="29"/>
  <c r="W129" i="29"/>
  <c r="CM128" i="29"/>
  <c r="CI128" i="29"/>
  <c r="CE128" i="29"/>
  <c r="CA128" i="29"/>
  <c r="BW128" i="29"/>
  <c r="BS128" i="29"/>
  <c r="BO128" i="29"/>
  <c r="BK128" i="29"/>
  <c r="BC128" i="29"/>
  <c r="AU128" i="29"/>
  <c r="AM128" i="29"/>
  <c r="AE128" i="29"/>
  <c r="W128" i="29"/>
  <c r="CM127" i="29"/>
  <c r="CI127" i="29"/>
  <c r="CE127" i="29"/>
  <c r="CA127" i="29"/>
  <c r="CM126" i="29"/>
  <c r="CI126" i="29"/>
  <c r="CE126" i="29"/>
  <c r="CA126" i="29"/>
  <c r="CM125" i="29"/>
  <c r="CI125" i="29"/>
  <c r="CE125" i="29"/>
  <c r="CA125" i="29"/>
  <c r="BW125" i="29"/>
  <c r="BS125" i="29"/>
  <c r="BO125" i="29"/>
  <c r="BK125" i="29"/>
  <c r="AI125" i="29"/>
  <c r="AE125" i="29"/>
  <c r="AA125" i="29"/>
  <c r="CM124" i="29"/>
  <c r="CI124" i="29"/>
  <c r="CE124" i="29"/>
  <c r="CA124" i="29"/>
  <c r="BW124" i="29"/>
  <c r="BS124" i="29"/>
  <c r="BO124" i="29"/>
  <c r="BK124" i="29"/>
  <c r="BG124" i="29"/>
  <c r="CM123" i="29"/>
  <c r="CI123" i="29"/>
  <c r="CE123" i="29"/>
  <c r="CA123" i="29"/>
  <c r="BW123" i="29"/>
  <c r="BS123" i="29"/>
  <c r="BO123" i="29"/>
  <c r="BK123" i="29"/>
  <c r="BG123" i="29"/>
  <c r="AY123" i="29"/>
  <c r="AY134" i="29" s="1"/>
  <c r="AQ123" i="29"/>
  <c r="AI123" i="29"/>
  <c r="AA123" i="29"/>
  <c r="CM122" i="29"/>
  <c r="CI122" i="29"/>
  <c r="CE122" i="29"/>
  <c r="CA122" i="29"/>
  <c r="BW122" i="29"/>
  <c r="BW134" i="29" s="1"/>
  <c r="BS122" i="29"/>
  <c r="BO122" i="29"/>
  <c r="BK122" i="29"/>
  <c r="BG122" i="29"/>
  <c r="AY122" i="29"/>
  <c r="AQ122" i="29"/>
  <c r="AI122" i="29"/>
  <c r="AA122" i="29"/>
  <c r="AA134" i="29" s="1"/>
  <c r="CM121" i="29"/>
  <c r="CI121" i="29"/>
  <c r="CE121" i="29"/>
  <c r="CA121" i="29"/>
  <c r="BW121" i="29"/>
  <c r="BS121" i="29"/>
  <c r="BO121" i="29"/>
  <c r="BK121" i="29"/>
  <c r="BG121" i="29"/>
  <c r="AY121" i="29"/>
  <c r="AQ121" i="29"/>
  <c r="AI121" i="29"/>
  <c r="AA121" i="29"/>
  <c r="CM120" i="29"/>
  <c r="CI120" i="29"/>
  <c r="CE120" i="29"/>
  <c r="CA120" i="29"/>
  <c r="BW120" i="29"/>
  <c r="BS120" i="29"/>
  <c r="BO120" i="29"/>
  <c r="BK120" i="29"/>
  <c r="BG120" i="29"/>
  <c r="AY120" i="29"/>
  <c r="AQ120" i="29"/>
  <c r="AQ134" i="29" s="1"/>
  <c r="AI120" i="29"/>
  <c r="AA120" i="29"/>
  <c r="CM119" i="29"/>
  <c r="CI119" i="29"/>
  <c r="CE119" i="29"/>
  <c r="CA119" i="29"/>
  <c r="BW119" i="29"/>
  <c r="BS119" i="29"/>
  <c r="BS134" i="29" s="1"/>
  <c r="BO119" i="29"/>
  <c r="BK119" i="29"/>
  <c r="BG119" i="29"/>
  <c r="AY119" i="29"/>
  <c r="AQ119" i="29"/>
  <c r="AI119" i="29"/>
  <c r="AA119" i="29"/>
  <c r="W119" i="29"/>
  <c r="W134" i="29" s="1"/>
  <c r="CM118" i="29"/>
  <c r="CI118" i="29"/>
  <c r="CE118" i="29"/>
  <c r="CA118" i="29"/>
  <c r="BW118" i="29"/>
  <c r="BS118" i="29"/>
  <c r="BO118" i="29"/>
  <c r="BK118" i="29"/>
  <c r="BG118" i="29"/>
  <c r="BC118" i="29"/>
  <c r="AU118" i="29"/>
  <c r="AM118" i="29"/>
  <c r="AE118" i="29"/>
  <c r="W118" i="29"/>
  <c r="K118" i="29"/>
  <c r="K134" i="29"/>
  <c r="K158" i="29" s="1"/>
  <c r="CM117" i="29"/>
  <c r="CI117" i="29"/>
  <c r="CE117" i="29"/>
  <c r="CA117" i="29"/>
  <c r="BW117" i="29"/>
  <c r="BS117" i="29"/>
  <c r="BO117" i="29"/>
  <c r="BK117" i="29"/>
  <c r="BG117" i="29"/>
  <c r="BC117" i="29"/>
  <c r="AM117" i="29"/>
  <c r="AI117" i="29"/>
  <c r="AA117" i="29"/>
  <c r="CM116" i="29"/>
  <c r="CI116" i="29"/>
  <c r="CE116" i="29"/>
  <c r="CA116" i="29"/>
  <c r="BW116" i="29"/>
  <c r="BS116" i="29"/>
  <c r="BO116" i="29"/>
  <c r="BK116" i="29"/>
  <c r="BC116" i="29"/>
  <c r="AU116" i="29"/>
  <c r="AM116" i="29"/>
  <c r="CM115" i="29"/>
  <c r="CI115" i="29"/>
  <c r="CE115" i="29"/>
  <c r="CA115" i="29"/>
  <c r="BW115" i="29"/>
  <c r="AY115" i="29"/>
  <c r="AQ115" i="29"/>
  <c r="AM115" i="29"/>
  <c r="AI115" i="29"/>
  <c r="AA115" i="29"/>
  <c r="CL113" i="29"/>
  <c r="CL114" i="29" s="1"/>
  <c r="CK113" i="29"/>
  <c r="CK114" i="29" s="1"/>
  <c r="CJ113" i="29"/>
  <c r="CJ114" i="29" s="1"/>
  <c r="CH113" i="29"/>
  <c r="CH114" i="29" s="1"/>
  <c r="CF113" i="29"/>
  <c r="CF114" i="29" s="1"/>
  <c r="CD113" i="29"/>
  <c r="CD114" i="29" s="1"/>
  <c r="CM112" i="29"/>
  <c r="CM113" i="29" s="1"/>
  <c r="CM114" i="29" s="1"/>
  <c r="CI112" i="29"/>
  <c r="CI113" i="29" s="1"/>
  <c r="CI114" i="29" s="1"/>
  <c r="CE112" i="29"/>
  <c r="CE113" i="29" s="1"/>
  <c r="CE114" i="29" s="1"/>
  <c r="CL110" i="29"/>
  <c r="CK110" i="29"/>
  <c r="CJ110" i="29"/>
  <c r="CH110" i="29"/>
  <c r="CG110" i="29"/>
  <c r="CF110" i="29"/>
  <c r="CD110" i="29"/>
  <c r="CC110" i="29"/>
  <c r="CC111" i="29" s="1"/>
  <c r="CB110" i="29"/>
  <c r="BZ110" i="29"/>
  <c r="BY110" i="29"/>
  <c r="BX110" i="29"/>
  <c r="BV110" i="29"/>
  <c r="BU110" i="29"/>
  <c r="BT110" i="29"/>
  <c r="BR110" i="29"/>
  <c r="BR111" i="29" s="1"/>
  <c r="BQ110" i="29"/>
  <c r="BP110" i="29"/>
  <c r="BN110" i="29"/>
  <c r="BM110" i="29"/>
  <c r="BL110" i="29"/>
  <c r="BJ110" i="29"/>
  <c r="BI110" i="29"/>
  <c r="BH110" i="29"/>
  <c r="BH111" i="29" s="1"/>
  <c r="BF110" i="29"/>
  <c r="BE110" i="29"/>
  <c r="BD110" i="29"/>
  <c r="BB110" i="29"/>
  <c r="BA110" i="29"/>
  <c r="AZ110" i="29"/>
  <c r="AX110" i="29"/>
  <c r="AW110" i="29"/>
  <c r="AW111" i="29" s="1"/>
  <c r="AV110" i="29"/>
  <c r="AT110" i="29"/>
  <c r="AS110" i="29"/>
  <c r="AR110" i="29"/>
  <c r="AP110" i="29"/>
  <c r="AO110" i="29"/>
  <c r="AN110" i="29"/>
  <c r="AL110" i="29"/>
  <c r="AL111" i="29" s="1"/>
  <c r="AK110" i="29"/>
  <c r="AJ110" i="29"/>
  <c r="AH110" i="29"/>
  <c r="AG110" i="29"/>
  <c r="AF110" i="29"/>
  <c r="AD110" i="29"/>
  <c r="AC110" i="29"/>
  <c r="AB110" i="29"/>
  <c r="AB111" i="29" s="1"/>
  <c r="Z110" i="29"/>
  <c r="Y110" i="29"/>
  <c r="X110" i="29"/>
  <c r="V110" i="29"/>
  <c r="U110" i="29"/>
  <c r="T110" i="29"/>
  <c r="R110" i="29"/>
  <c r="Q110" i="29"/>
  <c r="Q111" i="29" s="1"/>
  <c r="P110" i="29"/>
  <c r="N110" i="29"/>
  <c r="M110" i="29"/>
  <c r="L110" i="29"/>
  <c r="J110" i="29"/>
  <c r="I110" i="29"/>
  <c r="H110" i="29"/>
  <c r="G110" i="29"/>
  <c r="F110" i="29"/>
  <c r="E110" i="29"/>
  <c r="D110" i="29"/>
  <c r="CM109" i="29"/>
  <c r="CI109" i="29"/>
  <c r="CE109" i="29"/>
  <c r="CA109" i="29"/>
  <c r="BW109" i="29"/>
  <c r="BS109" i="29"/>
  <c r="BO109" i="29"/>
  <c r="BK109" i="29"/>
  <c r="BG109" i="29"/>
  <c r="BC109" i="29"/>
  <c r="AY109" i="29"/>
  <c r="AU109" i="29"/>
  <c r="AQ109" i="29"/>
  <c r="AM109" i="29"/>
  <c r="AI109" i="29"/>
  <c r="AE109" i="29"/>
  <c r="AA109" i="29"/>
  <c r="W109" i="29"/>
  <c r="CM108" i="29"/>
  <c r="CI108" i="29"/>
  <c r="CE108" i="29"/>
  <c r="CA108" i="29"/>
  <c r="BW108" i="29"/>
  <c r="BS108" i="29"/>
  <c r="BO108" i="29"/>
  <c r="BK108" i="29"/>
  <c r="BG108" i="29"/>
  <c r="BC108" i="29"/>
  <c r="AY108" i="29"/>
  <c r="AU108" i="29"/>
  <c r="AQ108" i="29"/>
  <c r="AM108" i="29"/>
  <c r="AI108" i="29"/>
  <c r="AE108" i="29"/>
  <c r="AA108" i="29"/>
  <c r="W108" i="29"/>
  <c r="CM107" i="29"/>
  <c r="CI107" i="29"/>
  <c r="CE107" i="29"/>
  <c r="CA107" i="29"/>
  <c r="BW107" i="29"/>
  <c r="BS107" i="29"/>
  <c r="BO107" i="29"/>
  <c r="BK107" i="29"/>
  <c r="BG107" i="29"/>
  <c r="BC107" i="29"/>
  <c r="AY107" i="29"/>
  <c r="AU107" i="29"/>
  <c r="AQ107" i="29"/>
  <c r="AM107" i="29"/>
  <c r="AI107" i="29"/>
  <c r="AE107" i="29"/>
  <c r="AA107" i="29"/>
  <c r="W107" i="29"/>
  <c r="CM106" i="29"/>
  <c r="CI106" i="29"/>
  <c r="CE106" i="29"/>
  <c r="CA106" i="29"/>
  <c r="BW106" i="29"/>
  <c r="BS106" i="29"/>
  <c r="BO106" i="29"/>
  <c r="BK106" i="29"/>
  <c r="BG106" i="29"/>
  <c r="BC106" i="29"/>
  <c r="AY106" i="29"/>
  <c r="AU106" i="29"/>
  <c r="AQ106" i="29"/>
  <c r="AM106" i="29"/>
  <c r="AI106" i="29"/>
  <c r="AE106" i="29"/>
  <c r="AA106" i="29"/>
  <c r="W106" i="29"/>
  <c r="CM105" i="29"/>
  <c r="CI105" i="29"/>
  <c r="CE105" i="29"/>
  <c r="CA105" i="29"/>
  <c r="BW105" i="29"/>
  <c r="BS105" i="29"/>
  <c r="BO105" i="29"/>
  <c r="BK105" i="29"/>
  <c r="BG105" i="29"/>
  <c r="AU105" i="29"/>
  <c r="CM104" i="29"/>
  <c r="CI104" i="29"/>
  <c r="CE104" i="29"/>
  <c r="CA104" i="29"/>
  <c r="BW104" i="29"/>
  <c r="BS104" i="29"/>
  <c r="BO104" i="29"/>
  <c r="BK104" i="29"/>
  <c r="BG104" i="29"/>
  <c r="BC104" i="29"/>
  <c r="AY104" i="29"/>
  <c r="AU104" i="29"/>
  <c r="AQ104" i="29"/>
  <c r="AM104" i="29"/>
  <c r="AI104" i="29"/>
  <c r="AE104" i="29"/>
  <c r="AA104" i="29"/>
  <c r="W104" i="29"/>
  <c r="CM103" i="29"/>
  <c r="CI103" i="29"/>
  <c r="CE103" i="29"/>
  <c r="CA103" i="29"/>
  <c r="BW103" i="29"/>
  <c r="BS103" i="29"/>
  <c r="BO103" i="29"/>
  <c r="BK103" i="29"/>
  <c r="BG103" i="29"/>
  <c r="BC103" i="29"/>
  <c r="AY103" i="29"/>
  <c r="AU103" i="29"/>
  <c r="AQ103" i="29"/>
  <c r="AM103" i="29"/>
  <c r="AI103" i="29"/>
  <c r="AE103" i="29"/>
  <c r="AA103" i="29"/>
  <c r="W103" i="29"/>
  <c r="CM102" i="29"/>
  <c r="CI102" i="29"/>
  <c r="CE102" i="29"/>
  <c r="CA102" i="29"/>
  <c r="BW102" i="29"/>
  <c r="CM101" i="29"/>
  <c r="CI101" i="29"/>
  <c r="CE101" i="29"/>
  <c r="CA101" i="29"/>
  <c r="BW101" i="29"/>
  <c r="BS101" i="29"/>
  <c r="BO101" i="29"/>
  <c r="BK101" i="29"/>
  <c r="BG101" i="29"/>
  <c r="BC101" i="29"/>
  <c r="AY101" i="29"/>
  <c r="AU101" i="29"/>
  <c r="AQ101" i="29"/>
  <c r="AM101" i="29"/>
  <c r="AE101" i="29"/>
  <c r="AA101" i="29"/>
  <c r="W101" i="29"/>
  <c r="CM100" i="29"/>
  <c r="CM110" i="29" s="1"/>
  <c r="CI100" i="29"/>
  <c r="CE100" i="29"/>
  <c r="CA100" i="29"/>
  <c r="BW100" i="29"/>
  <c r="BS100" i="29"/>
  <c r="BO100" i="29"/>
  <c r="BK100" i="29"/>
  <c r="BG100" i="29"/>
  <c r="BC100" i="29"/>
  <c r="AY100" i="29"/>
  <c r="AU100" i="29"/>
  <c r="AQ100" i="29"/>
  <c r="AM100" i="29"/>
  <c r="AI100" i="29"/>
  <c r="AE100" i="29"/>
  <c r="AA100" i="29"/>
  <c r="W100" i="29"/>
  <c r="S100" i="29"/>
  <c r="S110" i="29" s="1"/>
  <c r="O100" i="29"/>
  <c r="O110" i="29" s="1"/>
  <c r="O111" i="29" s="1"/>
  <c r="K100" i="29"/>
  <c r="K110" i="29" s="1"/>
  <c r="CL99" i="29"/>
  <c r="CK99" i="29"/>
  <c r="CJ99" i="29"/>
  <c r="CH99" i="29"/>
  <c r="CG99" i="29"/>
  <c r="CF99" i="29"/>
  <c r="CF111" i="29" s="1"/>
  <c r="CD99" i="29"/>
  <c r="CC99" i="29"/>
  <c r="CB99" i="29"/>
  <c r="BZ99" i="29"/>
  <c r="BY99" i="29"/>
  <c r="BX99" i="29"/>
  <c r="BV99" i="29"/>
  <c r="BU99" i="29"/>
  <c r="BU111" i="29" s="1"/>
  <c r="BT99" i="29"/>
  <c r="BR99" i="29"/>
  <c r="BQ99" i="29"/>
  <c r="BP99" i="29"/>
  <c r="BN99" i="29"/>
  <c r="BM99" i="29"/>
  <c r="BL99" i="29"/>
  <c r="BJ99" i="29"/>
  <c r="BJ111" i="29" s="1"/>
  <c r="BI99" i="29"/>
  <c r="BH99" i="29"/>
  <c r="BF99" i="29"/>
  <c r="BE99" i="29"/>
  <c r="BD99" i="29"/>
  <c r="BB99" i="29"/>
  <c r="BA99" i="29"/>
  <c r="AZ99" i="29"/>
  <c r="AX99" i="29"/>
  <c r="AW99" i="29"/>
  <c r="AV99" i="29"/>
  <c r="AT99" i="29"/>
  <c r="AS99" i="29"/>
  <c r="AR99" i="29"/>
  <c r="AP99" i="29"/>
  <c r="AO99" i="29"/>
  <c r="AN99" i="29"/>
  <c r="AL99" i="29"/>
  <c r="AK99" i="29"/>
  <c r="AJ99" i="29"/>
  <c r="AH99" i="29"/>
  <c r="AG99" i="29"/>
  <c r="AF99" i="29"/>
  <c r="AD99" i="29"/>
  <c r="AC99" i="29"/>
  <c r="AB99" i="29"/>
  <c r="Z99" i="29"/>
  <c r="Y99" i="29"/>
  <c r="X99" i="29"/>
  <c r="V99" i="29"/>
  <c r="U99" i="29"/>
  <c r="T99" i="29"/>
  <c r="S99" i="29"/>
  <c r="R99" i="29"/>
  <c r="Q99" i="29"/>
  <c r="P99" i="29"/>
  <c r="O99" i="29"/>
  <c r="N99" i="29"/>
  <c r="M99" i="29"/>
  <c r="L99" i="29"/>
  <c r="L111" i="29" s="1"/>
  <c r="K99" i="29"/>
  <c r="J99" i="29"/>
  <c r="I99" i="29"/>
  <c r="H99" i="29"/>
  <c r="G99" i="29"/>
  <c r="F99" i="29"/>
  <c r="E99" i="29"/>
  <c r="D99" i="29"/>
  <c r="D111" i="29" s="1"/>
  <c r="CM98" i="29"/>
  <c r="CI98" i="29"/>
  <c r="CE98" i="29"/>
  <c r="CA98" i="29"/>
  <c r="CM97" i="29"/>
  <c r="CI97" i="29"/>
  <c r="CE97" i="29"/>
  <c r="CA97" i="29"/>
  <c r="CM96" i="29"/>
  <c r="CI96" i="29"/>
  <c r="CE96" i="29"/>
  <c r="CA96" i="29"/>
  <c r="BW96" i="29"/>
  <c r="BS96" i="29"/>
  <c r="BO96" i="29"/>
  <c r="BK96" i="29"/>
  <c r="BG96" i="29"/>
  <c r="BC96" i="29"/>
  <c r="AY96" i="29"/>
  <c r="AU96" i="29"/>
  <c r="AQ96" i="29"/>
  <c r="AM96" i="29"/>
  <c r="AI96" i="29"/>
  <c r="AE96" i="29"/>
  <c r="W96" i="29"/>
  <c r="CM95" i="29"/>
  <c r="CI95" i="29"/>
  <c r="CE95" i="29"/>
  <c r="CA95" i="29"/>
  <c r="BW95" i="29"/>
  <c r="BS95" i="29"/>
  <c r="BO95" i="29"/>
  <c r="BK95" i="29"/>
  <c r="BG95" i="29"/>
  <c r="BC95" i="29"/>
  <c r="AY95" i="29"/>
  <c r="AQ95" i="29"/>
  <c r="AM95" i="29"/>
  <c r="AI95" i="29"/>
  <c r="AE95" i="29"/>
  <c r="AA95" i="29"/>
  <c r="W95" i="29"/>
  <c r="CM94" i="29"/>
  <c r="CI94" i="29"/>
  <c r="CE94" i="29"/>
  <c r="CA94" i="29"/>
  <c r="BW94" i="29"/>
  <c r="BS94" i="29"/>
  <c r="BO94" i="29"/>
  <c r="BK94" i="29"/>
  <c r="BG94" i="29"/>
  <c r="BC94" i="29"/>
  <c r="AY94" i="29"/>
  <c r="AU94" i="29"/>
  <c r="AQ94" i="29"/>
  <c r="AM94" i="29"/>
  <c r="AI94" i="29"/>
  <c r="AE94" i="29"/>
  <c r="AA94" i="29"/>
  <c r="W94" i="29"/>
  <c r="CM93" i="29"/>
  <c r="CI93" i="29"/>
  <c r="CE93" i="29"/>
  <c r="CA93" i="29"/>
  <c r="BW93" i="29"/>
  <c r="BS93" i="29"/>
  <c r="BO93" i="29"/>
  <c r="BK93" i="29"/>
  <c r="BG93" i="29"/>
  <c r="BC93" i="29"/>
  <c r="AY93" i="29"/>
  <c r="AU93" i="29"/>
  <c r="AQ93" i="29"/>
  <c r="AM93" i="29"/>
  <c r="AI93" i="29"/>
  <c r="AE93" i="29"/>
  <c r="AA93" i="29"/>
  <c r="W93" i="29"/>
  <c r="CM92" i="29"/>
  <c r="CI92" i="29"/>
  <c r="CE92" i="29"/>
  <c r="CA92" i="29"/>
  <c r="BW92" i="29"/>
  <c r="BS92" i="29"/>
  <c r="BO92" i="29"/>
  <c r="BK92" i="29"/>
  <c r="BG92" i="29"/>
  <c r="BC92" i="29"/>
  <c r="AY92" i="29"/>
  <c r="AU92" i="29"/>
  <c r="AQ92" i="29"/>
  <c r="AM92" i="29"/>
  <c r="AI92" i="29"/>
  <c r="AE92" i="29"/>
  <c r="AA92" i="29"/>
  <c r="W92" i="29"/>
  <c r="CM91" i="29"/>
  <c r="CI91" i="29"/>
  <c r="CE91" i="29"/>
  <c r="CA91" i="29"/>
  <c r="CM90" i="29"/>
  <c r="CI90" i="29"/>
  <c r="CE90" i="29"/>
  <c r="CA90" i="29"/>
  <c r="CM89" i="29"/>
  <c r="CI89" i="29"/>
  <c r="CE89" i="29"/>
  <c r="CA89" i="29"/>
  <c r="BW89" i="29"/>
  <c r="BS89" i="29"/>
  <c r="BO89" i="29"/>
  <c r="BK89" i="29"/>
  <c r="BG89" i="29"/>
  <c r="BC89" i="29"/>
  <c r="AY89" i="29"/>
  <c r="AU89" i="29"/>
  <c r="AQ89" i="29"/>
  <c r="AM89" i="29"/>
  <c r="AI89" i="29"/>
  <c r="AE89" i="29"/>
  <c r="AA89" i="29"/>
  <c r="CM88" i="29"/>
  <c r="CI88" i="29"/>
  <c r="CE88" i="29"/>
  <c r="CA88" i="29"/>
  <c r="BW88" i="29"/>
  <c r="BS88" i="29"/>
  <c r="BO88" i="29"/>
  <c r="BK88" i="29"/>
  <c r="BG88" i="29"/>
  <c r="AY88" i="29"/>
  <c r="AQ88" i="29"/>
  <c r="AM88" i="29"/>
  <c r="AI88" i="29"/>
  <c r="AE88" i="29"/>
  <c r="AA88" i="29"/>
  <c r="W88" i="29"/>
  <c r="CM87" i="29"/>
  <c r="CI87" i="29"/>
  <c r="CE87" i="29"/>
  <c r="CA87" i="29"/>
  <c r="BW87" i="29"/>
  <c r="BS87" i="29"/>
  <c r="BO87" i="29"/>
  <c r="BK87" i="29"/>
  <c r="BG87" i="29"/>
  <c r="AY87" i="29"/>
  <c r="AU87" i="29"/>
  <c r="AQ87" i="29"/>
  <c r="AM87" i="29"/>
  <c r="AI87" i="29"/>
  <c r="AE87" i="29"/>
  <c r="CM86" i="29"/>
  <c r="CI86" i="29"/>
  <c r="CE86" i="29"/>
  <c r="CA86" i="29"/>
  <c r="BW86" i="29"/>
  <c r="BS86" i="29"/>
  <c r="BO86" i="29"/>
  <c r="BK86" i="29"/>
  <c r="BC86" i="29"/>
  <c r="AU86" i="29"/>
  <c r="AQ86" i="29"/>
  <c r="AM86" i="29"/>
  <c r="AE86" i="29"/>
  <c r="AA86" i="29"/>
  <c r="W86" i="29"/>
  <c r="CM85" i="29"/>
  <c r="CI85" i="29"/>
  <c r="CE85" i="29"/>
  <c r="CA85" i="29"/>
  <c r="BW85" i="29"/>
  <c r="BS85" i="29"/>
  <c r="BO85" i="29"/>
  <c r="BK85" i="29"/>
  <c r="BG85" i="29"/>
  <c r="AM85" i="29"/>
  <c r="AI85" i="29"/>
  <c r="AE85" i="29"/>
  <c r="AA85" i="29"/>
  <c r="W85" i="29"/>
  <c r="CM84" i="29"/>
  <c r="CI84" i="29"/>
  <c r="CE84" i="29"/>
  <c r="CA84" i="29"/>
  <c r="BW84" i="29"/>
  <c r="BS84" i="29"/>
  <c r="BO84" i="29"/>
  <c r="BK84" i="29"/>
  <c r="BC84" i="29"/>
  <c r="AY84" i="29"/>
  <c r="AU84" i="29"/>
  <c r="AQ84" i="29"/>
  <c r="AM84" i="29"/>
  <c r="AI84" i="29"/>
  <c r="AA84" i="29"/>
  <c r="W84" i="29"/>
  <c r="CL83" i="29"/>
  <c r="CK83" i="29"/>
  <c r="CJ83" i="29"/>
  <c r="CJ111" i="29" s="1"/>
  <c r="CH83" i="29"/>
  <c r="CG83" i="29"/>
  <c r="CF83" i="29"/>
  <c r="CD83" i="29"/>
  <c r="CC83" i="29"/>
  <c r="CB83" i="29"/>
  <c r="BZ83" i="29"/>
  <c r="BY83" i="29"/>
  <c r="BY111" i="29" s="1"/>
  <c r="BX83" i="29"/>
  <c r="BV83" i="29"/>
  <c r="BU83" i="29"/>
  <c r="BT83" i="29"/>
  <c r="BR83" i="29"/>
  <c r="BQ83" i="29"/>
  <c r="BP83" i="29"/>
  <c r="BN83" i="29"/>
  <c r="BN111" i="29" s="1"/>
  <c r="BM83" i="29"/>
  <c r="BL83" i="29"/>
  <c r="BJ83" i="29"/>
  <c r="BI83" i="29"/>
  <c r="BH83" i="29"/>
  <c r="BB83" i="29"/>
  <c r="BA83" i="29"/>
  <c r="AZ83" i="29"/>
  <c r="AX83" i="29"/>
  <c r="AW83" i="29"/>
  <c r="AV83" i="29"/>
  <c r="AT83" i="29"/>
  <c r="AS83" i="29"/>
  <c r="AR83" i="29"/>
  <c r="AP83" i="29"/>
  <c r="AO83" i="29"/>
  <c r="AN83" i="29"/>
  <c r="AL83" i="29"/>
  <c r="AK83" i="29"/>
  <c r="AJ83" i="29"/>
  <c r="AH83" i="29"/>
  <c r="AG83" i="29"/>
  <c r="AF83" i="29"/>
  <c r="AD83" i="29"/>
  <c r="AC83" i="29"/>
  <c r="AB83" i="29"/>
  <c r="Z83" i="29"/>
  <c r="Y83" i="29"/>
  <c r="X83" i="29"/>
  <c r="V83" i="29"/>
  <c r="U83" i="29"/>
  <c r="T83" i="29"/>
  <c r="R83" i="29"/>
  <c r="Q83" i="29"/>
  <c r="P83" i="29"/>
  <c r="O83" i="29"/>
  <c r="N83" i="29"/>
  <c r="M83" i="29"/>
  <c r="L83" i="29"/>
  <c r="K83" i="29"/>
  <c r="J83" i="29"/>
  <c r="I83" i="29"/>
  <c r="H83" i="29"/>
  <c r="G83" i="29"/>
  <c r="F83" i="29"/>
  <c r="E83" i="29"/>
  <c r="D83" i="29"/>
  <c r="CM82" i="29"/>
  <c r="CI82" i="29"/>
  <c r="CE82" i="29"/>
  <c r="CA82" i="29"/>
  <c r="BW82" i="29"/>
  <c r="CM81" i="29"/>
  <c r="CI81" i="29"/>
  <c r="CE81" i="29"/>
  <c r="CA81" i="29"/>
  <c r="BW81" i="29"/>
  <c r="BS81" i="29"/>
  <c r="BO81" i="29"/>
  <c r="BK81" i="29"/>
  <c r="CM80" i="29"/>
  <c r="CI80" i="29"/>
  <c r="CE80" i="29"/>
  <c r="CA80" i="29"/>
  <c r="BW80" i="29"/>
  <c r="BS80" i="29"/>
  <c r="BO80" i="29"/>
  <c r="BK80" i="29"/>
  <c r="BG80" i="29"/>
  <c r="BC80" i="29"/>
  <c r="CM79" i="29"/>
  <c r="CI79" i="29"/>
  <c r="CE79" i="29"/>
  <c r="CA79" i="29"/>
  <c r="BW79" i="29"/>
  <c r="BS79" i="29"/>
  <c r="BO79" i="29"/>
  <c r="BK79" i="29"/>
  <c r="BG79" i="29"/>
  <c r="BC79" i="29"/>
  <c r="AY79" i="29"/>
  <c r="AQ79" i="29"/>
  <c r="AM79" i="29"/>
  <c r="AI79" i="29"/>
  <c r="AE79" i="29"/>
  <c r="AA79" i="29"/>
  <c r="W79" i="29"/>
  <c r="CM78" i="29"/>
  <c r="CI78" i="29"/>
  <c r="CE78" i="29"/>
  <c r="CA78" i="29"/>
  <c r="BW78" i="29"/>
  <c r="BS78" i="29"/>
  <c r="BO78" i="29"/>
  <c r="BK78" i="29"/>
  <c r="BG78" i="29"/>
  <c r="BC78" i="29"/>
  <c r="AY78" i="29"/>
  <c r="AU78" i="29"/>
  <c r="AQ78" i="29"/>
  <c r="AI78" i="29"/>
  <c r="AE78" i="29"/>
  <c r="AA78" i="29"/>
  <c r="W78" i="29"/>
  <c r="CM77" i="29"/>
  <c r="CI77" i="29"/>
  <c r="CE77" i="29"/>
  <c r="CA77" i="29"/>
  <c r="BW77" i="29"/>
  <c r="BS77" i="29"/>
  <c r="BO77" i="29"/>
  <c r="BK77" i="29"/>
  <c r="BG77" i="29"/>
  <c r="BC77" i="29"/>
  <c r="AY77" i="29"/>
  <c r="AU77" i="29"/>
  <c r="AQ77" i="29"/>
  <c r="AM77" i="29"/>
  <c r="AI77" i="29"/>
  <c r="AE77" i="29"/>
  <c r="AA77" i="29"/>
  <c r="W77" i="29"/>
  <c r="CM76" i="29"/>
  <c r="CI76" i="29"/>
  <c r="CE76" i="29"/>
  <c r="CA76" i="29"/>
  <c r="BW76" i="29"/>
  <c r="BS76" i="29"/>
  <c r="BO76" i="29"/>
  <c r="BK76" i="29"/>
  <c r="BG76" i="29"/>
  <c r="BC76" i="29"/>
  <c r="AY76" i="29"/>
  <c r="AU76" i="29"/>
  <c r="AQ76" i="29"/>
  <c r="AM76" i="29"/>
  <c r="AI76" i="29"/>
  <c r="AE76" i="29"/>
  <c r="AA76" i="29"/>
  <c r="W76" i="29"/>
  <c r="CM75" i="29"/>
  <c r="CI75" i="29"/>
  <c r="CE75" i="29"/>
  <c r="CA75" i="29"/>
  <c r="BW75" i="29"/>
  <c r="BS75" i="29"/>
  <c r="BO75" i="29"/>
  <c r="BK75" i="29"/>
  <c r="BG75" i="29"/>
  <c r="BC75" i="29"/>
  <c r="AY75" i="29"/>
  <c r="AU75" i="29"/>
  <c r="AQ75" i="29"/>
  <c r="AM75" i="29"/>
  <c r="AI75" i="29"/>
  <c r="AE75" i="29"/>
  <c r="AA75" i="29"/>
  <c r="W75" i="29"/>
  <c r="CM74" i="29"/>
  <c r="CI74" i="29"/>
  <c r="CE74" i="29"/>
  <c r="CA74" i="29"/>
  <c r="BW74" i="29"/>
  <c r="BS74" i="29"/>
  <c r="BO74" i="29"/>
  <c r="BK74" i="29"/>
  <c r="CM73" i="29"/>
  <c r="CI73" i="29"/>
  <c r="CE73" i="29"/>
  <c r="CA73" i="29"/>
  <c r="BW73" i="29"/>
  <c r="BS73" i="29"/>
  <c r="BO73" i="29"/>
  <c r="BK73" i="29"/>
  <c r="BG73" i="29"/>
  <c r="BC73" i="29"/>
  <c r="AY73" i="29"/>
  <c r="AU73" i="29"/>
  <c r="AQ73" i="29"/>
  <c r="AM73" i="29"/>
  <c r="AI73" i="29"/>
  <c r="AE73" i="29"/>
  <c r="CM72" i="29"/>
  <c r="CI72" i="29"/>
  <c r="CE72" i="29"/>
  <c r="CA72" i="29"/>
  <c r="BW72" i="29"/>
  <c r="BS72" i="29"/>
  <c r="BO72" i="29"/>
  <c r="BK72" i="29"/>
  <c r="BG72" i="29"/>
  <c r="BC72" i="29"/>
  <c r="AY72" i="29"/>
  <c r="AU72" i="29"/>
  <c r="AQ72" i="29"/>
  <c r="AM72" i="29"/>
  <c r="AI72" i="29"/>
  <c r="AE72" i="29"/>
  <c r="AA72" i="29"/>
  <c r="W72" i="29"/>
  <c r="CM71" i="29"/>
  <c r="CI71" i="29"/>
  <c r="CE71" i="29"/>
  <c r="CA71" i="29"/>
  <c r="BW71" i="29"/>
  <c r="BS71" i="29"/>
  <c r="BO71" i="29"/>
  <c r="BK71" i="29"/>
  <c r="BG71" i="29"/>
  <c r="BC71" i="29"/>
  <c r="AY71" i="29"/>
  <c r="AU71" i="29"/>
  <c r="AQ71" i="29"/>
  <c r="AM71" i="29"/>
  <c r="AI71" i="29"/>
  <c r="AE71" i="29"/>
  <c r="AA71" i="29"/>
  <c r="W71" i="29"/>
  <c r="S71" i="29"/>
  <c r="S83" i="29"/>
  <c r="CM70" i="29"/>
  <c r="CI70" i="29"/>
  <c r="CE70" i="29"/>
  <c r="CA70" i="29"/>
  <c r="BW70" i="29"/>
  <c r="BS70" i="29"/>
  <c r="BO70" i="29"/>
  <c r="BK70" i="29"/>
  <c r="BG70" i="29"/>
  <c r="BC70" i="29"/>
  <c r="AY70" i="29"/>
  <c r="AU70" i="29"/>
  <c r="AQ70" i="29"/>
  <c r="AM70" i="29"/>
  <c r="AI70" i="29"/>
  <c r="AE70" i="29"/>
  <c r="AA70" i="29"/>
  <c r="W70" i="29"/>
  <c r="CM69" i="29"/>
  <c r="CI69" i="29"/>
  <c r="CE69" i="29"/>
  <c r="CA69" i="29"/>
  <c r="BW69" i="29"/>
  <c r="BS69" i="29"/>
  <c r="BO69" i="29"/>
  <c r="BK69" i="29"/>
  <c r="BG69" i="29"/>
  <c r="BC69" i="29"/>
  <c r="AY69" i="29"/>
  <c r="AU69" i="29"/>
  <c r="AQ69" i="29"/>
  <c r="AM69" i="29"/>
  <c r="AI69" i="29"/>
  <c r="AE69" i="29"/>
  <c r="AA69" i="29"/>
  <c r="W69" i="29"/>
  <c r="CM68" i="29"/>
  <c r="CI68" i="29"/>
  <c r="CE68" i="29"/>
  <c r="CA68" i="29"/>
  <c r="BW68" i="29"/>
  <c r="BS68" i="29"/>
  <c r="BO68" i="29"/>
  <c r="BK68" i="29"/>
  <c r="BG68" i="29"/>
  <c r="BC68" i="29"/>
  <c r="AY68" i="29"/>
  <c r="AQ68" i="29"/>
  <c r="AM68" i="29"/>
  <c r="AI68" i="29"/>
  <c r="AE68" i="29"/>
  <c r="CM67" i="29"/>
  <c r="CI67" i="29"/>
  <c r="CE67" i="29"/>
  <c r="CA67" i="29"/>
  <c r="BW67" i="29"/>
  <c r="CL65" i="29"/>
  <c r="CK65" i="29"/>
  <c r="CK66" i="29" s="1"/>
  <c r="CJ65" i="29"/>
  <c r="CJ66" i="29" s="1"/>
  <c r="CH65" i="29"/>
  <c r="CG65" i="29"/>
  <c r="CG66" i="29"/>
  <c r="CF65" i="29"/>
  <c r="CF66" i="29"/>
  <c r="CD65" i="29"/>
  <c r="CC65" i="29"/>
  <c r="CC66" i="29" s="1"/>
  <c r="CB65" i="29"/>
  <c r="CB66" i="29" s="1"/>
  <c r="BZ65" i="29"/>
  <c r="BY65" i="29"/>
  <c r="BY66" i="29"/>
  <c r="BX65" i="29"/>
  <c r="BX66" i="29"/>
  <c r="BV65" i="29"/>
  <c r="BU65" i="29"/>
  <c r="BU66" i="29" s="1"/>
  <c r="BT65" i="29"/>
  <c r="BT66" i="29"/>
  <c r="BR65" i="29"/>
  <c r="BQ65" i="29"/>
  <c r="BQ66" i="29" s="1"/>
  <c r="BP65" i="29"/>
  <c r="BP66" i="29" s="1"/>
  <c r="BN65" i="29"/>
  <c r="BM65" i="29"/>
  <c r="BM66" i="29" s="1"/>
  <c r="BL65" i="29"/>
  <c r="BL66" i="29" s="1"/>
  <c r="BJ65" i="29"/>
  <c r="BI65" i="29"/>
  <c r="BH65" i="29"/>
  <c r="BF65" i="29"/>
  <c r="BE65" i="29"/>
  <c r="BE66" i="29" s="1"/>
  <c r="BE83" i="29" s="1"/>
  <c r="CM64" i="29"/>
  <c r="CI64" i="29"/>
  <c r="CE64" i="29"/>
  <c r="CA64" i="29"/>
  <c r="BW64" i="29"/>
  <c r="CM63" i="29"/>
  <c r="CI63" i="29"/>
  <c r="CE63" i="29"/>
  <c r="CA63" i="29"/>
  <c r="BW63" i="29"/>
  <c r="BS63" i="29"/>
  <c r="BO63" i="29"/>
  <c r="BK63" i="29"/>
  <c r="BG63" i="29"/>
  <c r="CM62" i="29"/>
  <c r="CI62" i="29"/>
  <c r="CE62" i="29"/>
  <c r="CA62" i="29"/>
  <c r="BW62" i="29"/>
  <c r="BS62" i="29"/>
  <c r="BO62" i="29"/>
  <c r="BK62" i="29"/>
  <c r="BG62" i="29"/>
  <c r="CM61" i="29"/>
  <c r="CI61" i="29"/>
  <c r="CI65" i="29" s="1"/>
  <c r="CE61" i="29"/>
  <c r="CA61" i="29"/>
  <c r="BW61" i="29"/>
  <c r="BS61" i="29"/>
  <c r="BO61" i="29"/>
  <c r="BO65" i="29" s="1"/>
  <c r="BK61" i="29"/>
  <c r="BG61" i="29"/>
  <c r="CL60" i="29"/>
  <c r="CH60" i="29"/>
  <c r="CD60" i="29"/>
  <c r="BZ60" i="29"/>
  <c r="BV60" i="29"/>
  <c r="BR60" i="29"/>
  <c r="BN60" i="29"/>
  <c r="BJ60" i="29"/>
  <c r="BF60" i="29"/>
  <c r="CM59" i="29"/>
  <c r="CM60" i="29" s="1"/>
  <c r="CI59" i="29"/>
  <c r="CI60" i="29"/>
  <c r="CE59" i="29"/>
  <c r="CE60" i="29" s="1"/>
  <c r="CA59" i="29"/>
  <c r="CA60" i="29" s="1"/>
  <c r="BW59" i="29"/>
  <c r="BW60" i="29" s="1"/>
  <c r="BS59" i="29"/>
  <c r="BS60" i="29" s="1"/>
  <c r="BO59" i="29"/>
  <c r="BO60" i="29" s="1"/>
  <c r="BK59" i="29"/>
  <c r="BK60" i="29" s="1"/>
  <c r="BG59" i="29"/>
  <c r="BG60" i="29" s="1"/>
  <c r="CL58" i="29"/>
  <c r="CH58" i="29"/>
  <c r="CD58" i="29"/>
  <c r="BZ58" i="29"/>
  <c r="BV58" i="29"/>
  <c r="BR58" i="29"/>
  <c r="BN58" i="29"/>
  <c r="BJ58" i="29"/>
  <c r="BI58" i="29"/>
  <c r="BI66" i="29" s="1"/>
  <c r="BH58" i="29"/>
  <c r="BH66" i="29"/>
  <c r="BD58" i="29"/>
  <c r="BD66" i="29" s="1"/>
  <c r="AZ58" i="29"/>
  <c r="AZ66" i="29" s="1"/>
  <c r="CM57" i="29"/>
  <c r="CI57" i="29"/>
  <c r="CE57" i="29"/>
  <c r="CA57" i="29"/>
  <c r="BW57" i="29"/>
  <c r="BS57" i="29"/>
  <c r="BO57" i="29"/>
  <c r="BK57" i="29"/>
  <c r="BG57" i="29"/>
  <c r="BC57" i="29"/>
  <c r="CM56" i="29"/>
  <c r="CI56" i="29"/>
  <c r="CE56" i="29"/>
  <c r="CA56" i="29"/>
  <c r="BW56" i="29"/>
  <c r="BW58" i="29" s="1"/>
  <c r="BS56" i="29"/>
  <c r="BO56" i="29"/>
  <c r="BO58" i="29" s="1"/>
  <c r="BK56" i="29"/>
  <c r="BK58" i="29" s="1"/>
  <c r="BG56" i="29"/>
  <c r="BC56" i="29"/>
  <c r="CL54" i="29"/>
  <c r="CK54" i="29"/>
  <c r="CJ54" i="29"/>
  <c r="CH54" i="29"/>
  <c r="CG54" i="29"/>
  <c r="CF54" i="29"/>
  <c r="CD54" i="29"/>
  <c r="CC54" i="29"/>
  <c r="CB54" i="29"/>
  <c r="BZ54" i="29"/>
  <c r="BY54" i="29"/>
  <c r="BX54" i="29"/>
  <c r="BV54" i="29"/>
  <c r="BU54" i="29"/>
  <c r="BT54" i="29"/>
  <c r="BR54" i="29"/>
  <c r="BQ54" i="29"/>
  <c r="BP54" i="29"/>
  <c r="BN54" i="29"/>
  <c r="BJ54" i="29"/>
  <c r="BF54" i="29"/>
  <c r="BB54" i="29"/>
  <c r="AX54" i="29"/>
  <c r="AT54" i="29"/>
  <c r="AP54" i="29"/>
  <c r="AL54" i="29"/>
  <c r="AL55" i="29" s="1"/>
  <c r="AH54" i="29"/>
  <c r="AD54" i="29"/>
  <c r="Z54" i="29"/>
  <c r="V54" i="29"/>
  <c r="S54" i="29"/>
  <c r="R54" i="29"/>
  <c r="P54" i="29"/>
  <c r="O54" i="29"/>
  <c r="N54" i="29"/>
  <c r="M54" i="29"/>
  <c r="L54" i="29"/>
  <c r="K54" i="29"/>
  <c r="J54" i="29"/>
  <c r="I54" i="29"/>
  <c r="H54" i="29"/>
  <c r="G54" i="29"/>
  <c r="F54" i="29"/>
  <c r="D54" i="29"/>
  <c r="CM53" i="29"/>
  <c r="CI53" i="29"/>
  <c r="CE53" i="29"/>
  <c r="CA53" i="29"/>
  <c r="BW53" i="29"/>
  <c r="BS53" i="29"/>
  <c r="CM52" i="29"/>
  <c r="CI52" i="29"/>
  <c r="CE52" i="29"/>
  <c r="CA52" i="29"/>
  <c r="BW52" i="29"/>
  <c r="BS52" i="29"/>
  <c r="CM51" i="29"/>
  <c r="CI51" i="29"/>
  <c r="CE51" i="29"/>
  <c r="CA51" i="29"/>
  <c r="BW51" i="29"/>
  <c r="BS51" i="29"/>
  <c r="CM50" i="29"/>
  <c r="CI50" i="29"/>
  <c r="CE50" i="29"/>
  <c r="CA50" i="29"/>
  <c r="BW50" i="29"/>
  <c r="BS50" i="29"/>
  <c r="CM49" i="29"/>
  <c r="CI49" i="29"/>
  <c r="CE49" i="29"/>
  <c r="CA49" i="29"/>
  <c r="BW49" i="29"/>
  <c r="BS49" i="29"/>
  <c r="CM48" i="29"/>
  <c r="CI48" i="29"/>
  <c r="CE48" i="29"/>
  <c r="CA48" i="29"/>
  <c r="BW48" i="29"/>
  <c r="BS48" i="29"/>
  <c r="CM47" i="29"/>
  <c r="CI47" i="29"/>
  <c r="CE47" i="29"/>
  <c r="CA47" i="29"/>
  <c r="BW47" i="29"/>
  <c r="BS47" i="29"/>
  <c r="BO47" i="29"/>
  <c r="BK47" i="29"/>
  <c r="BG47" i="29"/>
  <c r="BC47" i="29"/>
  <c r="AY47" i="29"/>
  <c r="AU47" i="29"/>
  <c r="AQ47" i="29"/>
  <c r="AM47" i="29"/>
  <c r="AI47" i="29"/>
  <c r="AE47" i="29"/>
  <c r="CM46" i="29"/>
  <c r="CI46" i="29"/>
  <c r="CE46" i="29"/>
  <c r="CA46" i="29"/>
  <c r="BW46" i="29"/>
  <c r="BS46" i="29"/>
  <c r="CM45" i="29"/>
  <c r="CI45" i="29"/>
  <c r="CE45" i="29"/>
  <c r="CA45" i="29"/>
  <c r="BW45" i="29"/>
  <c r="BS45" i="29"/>
  <c r="CM44" i="29"/>
  <c r="CI44" i="29"/>
  <c r="CE44" i="29"/>
  <c r="CA44" i="29"/>
  <c r="BW44" i="29"/>
  <c r="BS44" i="29"/>
  <c r="CM43" i="29"/>
  <c r="CI43" i="29"/>
  <c r="CE43" i="29"/>
  <c r="CA43" i="29"/>
  <c r="BW43" i="29"/>
  <c r="BS43" i="29"/>
  <c r="CM42" i="29"/>
  <c r="CI42" i="29"/>
  <c r="CE42" i="29"/>
  <c r="CA42" i="29"/>
  <c r="BW42" i="29"/>
  <c r="BS42" i="29"/>
  <c r="CM41" i="29"/>
  <c r="CI41" i="29"/>
  <c r="CE41" i="29"/>
  <c r="CA41" i="29"/>
  <c r="BW41" i="29"/>
  <c r="BS41" i="29"/>
  <c r="CM40" i="29"/>
  <c r="CI40" i="29"/>
  <c r="CE40" i="29"/>
  <c r="CA40" i="29"/>
  <c r="BW40" i="29"/>
  <c r="BS40" i="29"/>
  <c r="BO40" i="29"/>
  <c r="BK40" i="29"/>
  <c r="BK54" i="29" s="1"/>
  <c r="BG40" i="29"/>
  <c r="BC40" i="29"/>
  <c r="BC54" i="29" s="1"/>
  <c r="AY40" i="29"/>
  <c r="AU40" i="29"/>
  <c r="AQ40" i="29"/>
  <c r="AM40" i="29"/>
  <c r="AI40" i="29"/>
  <c r="AE40" i="29"/>
  <c r="AE54" i="29" s="1"/>
  <c r="AA40" i="29"/>
  <c r="W40" i="29"/>
  <c r="W54" i="29" s="1"/>
  <c r="CM39" i="29"/>
  <c r="CI39" i="29"/>
  <c r="CE39" i="29"/>
  <c r="CA39" i="29"/>
  <c r="BW39" i="29"/>
  <c r="BS39" i="29"/>
  <c r="CM38" i="29"/>
  <c r="CI38" i="29"/>
  <c r="CE38" i="29"/>
  <c r="CA38" i="29"/>
  <c r="CM37" i="29"/>
  <c r="CI37" i="29"/>
  <c r="CE37" i="29"/>
  <c r="CA37" i="29"/>
  <c r="BW37" i="29"/>
  <c r="BS37" i="29"/>
  <c r="BO37" i="29"/>
  <c r="BK37" i="29"/>
  <c r="BG37" i="29"/>
  <c r="AY37" i="29"/>
  <c r="AU37" i="29"/>
  <c r="AQ37" i="29"/>
  <c r="AQ54" i="29" s="1"/>
  <c r="AM37" i="29"/>
  <c r="AI37" i="29"/>
  <c r="AE37" i="29"/>
  <c r="AA37" i="29"/>
  <c r="W37" i="29"/>
  <c r="CL36" i="29"/>
  <c r="CK36" i="29"/>
  <c r="CK55" i="29" s="1"/>
  <c r="CJ36" i="29"/>
  <c r="CH36" i="29"/>
  <c r="CG36" i="29"/>
  <c r="CF36" i="29"/>
  <c r="CD36" i="29"/>
  <c r="CC36" i="29"/>
  <c r="CB36" i="29"/>
  <c r="BZ36" i="29"/>
  <c r="BZ55" i="29" s="1"/>
  <c r="BY36" i="29"/>
  <c r="BX36" i="29"/>
  <c r="BV36" i="29"/>
  <c r="BU36" i="29"/>
  <c r="BT36" i="29"/>
  <c r="BR36" i="29"/>
  <c r="BQ36" i="29"/>
  <c r="BP36" i="29"/>
  <c r="BP55" i="29" s="1"/>
  <c r="BN36" i="29"/>
  <c r="BM36" i="29"/>
  <c r="BL36" i="29"/>
  <c r="BJ36" i="29"/>
  <c r="BF36" i="29"/>
  <c r="BE36" i="29"/>
  <c r="BD36" i="29"/>
  <c r="BB36" i="29"/>
  <c r="AX36" i="29"/>
  <c r="AW36" i="29"/>
  <c r="AT36" i="29"/>
  <c r="AP36" i="29"/>
  <c r="AN36" i="29"/>
  <c r="AL36" i="29"/>
  <c r="AJ36" i="29"/>
  <c r="AH36" i="29"/>
  <c r="AH55" i="29" s="1"/>
  <c r="AF36" i="29"/>
  <c r="AD36" i="29"/>
  <c r="AB36" i="29"/>
  <c r="Z36" i="29"/>
  <c r="X36" i="29"/>
  <c r="V36" i="29"/>
  <c r="T36" i="29"/>
  <c r="S36" i="29"/>
  <c r="S55" i="29" s="1"/>
  <c r="R36" i="29"/>
  <c r="P36" i="29"/>
  <c r="O36" i="29"/>
  <c r="N36" i="29"/>
  <c r="K36" i="29"/>
  <c r="J36" i="29"/>
  <c r="H36" i="29"/>
  <c r="G36" i="29"/>
  <c r="F36" i="29"/>
  <c r="CM35" i="29"/>
  <c r="CI35" i="29"/>
  <c r="CE35" i="29"/>
  <c r="CA35" i="29"/>
  <c r="CM33" i="29"/>
  <c r="CI33" i="29"/>
  <c r="CE33" i="29"/>
  <c r="CA33" i="29"/>
  <c r="BW33" i="29"/>
  <c r="BS33" i="29"/>
  <c r="BO33" i="29"/>
  <c r="BK33" i="29"/>
  <c r="BG33" i="29"/>
  <c r="AM33" i="29"/>
  <c r="AE33" i="29"/>
  <c r="AE36" i="29" s="1"/>
  <c r="CM32" i="29"/>
  <c r="CI32" i="29"/>
  <c r="CE32" i="29"/>
  <c r="CA32" i="29"/>
  <c r="BW32" i="29"/>
  <c r="BS32" i="29"/>
  <c r="BO32" i="29"/>
  <c r="BK32" i="29"/>
  <c r="AI32" i="29"/>
  <c r="AA32" i="29"/>
  <c r="W32" i="29"/>
  <c r="CM31" i="29"/>
  <c r="CI31" i="29"/>
  <c r="CE31" i="29"/>
  <c r="CA31" i="29"/>
  <c r="BW31" i="29"/>
  <c r="BS31" i="29"/>
  <c r="BO31" i="29"/>
  <c r="BK31" i="29"/>
  <c r="BC31" i="29"/>
  <c r="AY31" i="29"/>
  <c r="AU31" i="29"/>
  <c r="AM31" i="29"/>
  <c r="CM30" i="29"/>
  <c r="CI30" i="29"/>
  <c r="CE30" i="29"/>
  <c r="CA30" i="29"/>
  <c r="CM29" i="29"/>
  <c r="CI29" i="29"/>
  <c r="CE29" i="29"/>
  <c r="CA29" i="29"/>
  <c r="CM28" i="29"/>
  <c r="CI28" i="29"/>
  <c r="CE28" i="29"/>
  <c r="CA28" i="29"/>
  <c r="BW28" i="29"/>
  <c r="BS28" i="29"/>
  <c r="BO28" i="29"/>
  <c r="BK28" i="29"/>
  <c r="BC28" i="29"/>
  <c r="BC36" i="29" s="1"/>
  <c r="AU28" i="29"/>
  <c r="AQ28" i="29"/>
  <c r="AI28" i="29"/>
  <c r="AA28" i="29"/>
  <c r="CM27" i="29"/>
  <c r="CI27" i="29"/>
  <c r="CE27" i="29"/>
  <c r="CA27" i="29"/>
  <c r="BW27" i="29"/>
  <c r="BS27" i="29"/>
  <c r="BO27" i="29"/>
  <c r="BK27" i="29"/>
  <c r="BG27" i="29"/>
  <c r="CM26" i="29"/>
  <c r="CI26" i="29"/>
  <c r="CE26" i="29"/>
  <c r="CA26" i="29"/>
  <c r="BW26" i="29"/>
  <c r="BS26" i="29"/>
  <c r="BO26" i="29"/>
  <c r="BK26" i="29"/>
  <c r="BG26" i="29"/>
  <c r="BC26" i="29"/>
  <c r="AY26" i="29"/>
  <c r="AY36" i="29" s="1"/>
  <c r="AU26" i="29"/>
  <c r="AQ26" i="29"/>
  <c r="AM26" i="29"/>
  <c r="AE26" i="29"/>
  <c r="AA26" i="29"/>
  <c r="CM25" i="29"/>
  <c r="CI25" i="29"/>
  <c r="CE25" i="29"/>
  <c r="CA25" i="29"/>
  <c r="BW25" i="29"/>
  <c r="BS25" i="29"/>
  <c r="BO25" i="29"/>
  <c r="BK25" i="29"/>
  <c r="BG25" i="29"/>
  <c r="AU25" i="29"/>
  <c r="AM25" i="29"/>
  <c r="AE25" i="29"/>
  <c r="CM24" i="29"/>
  <c r="CI24" i="29"/>
  <c r="CE24" i="29"/>
  <c r="CA24" i="29"/>
  <c r="BW24" i="29"/>
  <c r="BS24" i="29"/>
  <c r="BO24" i="29"/>
  <c r="BK24" i="29"/>
  <c r="AI24" i="29"/>
  <c r="CM23" i="29"/>
  <c r="CI23" i="29"/>
  <c r="CE23" i="29"/>
  <c r="CA23" i="29"/>
  <c r="BW23" i="29"/>
  <c r="BS23" i="29"/>
  <c r="BO23" i="29"/>
  <c r="BK23" i="29"/>
  <c r="AA23" i="29"/>
  <c r="CM22" i="29"/>
  <c r="CI22" i="29"/>
  <c r="CE22" i="29"/>
  <c r="CA22" i="29"/>
  <c r="BW22" i="29"/>
  <c r="BS22" i="29"/>
  <c r="BO22" i="29"/>
  <c r="BK22" i="29"/>
  <c r="BC22" i="29"/>
  <c r="AU22" i="29"/>
  <c r="AM22" i="29"/>
  <c r="CM21" i="29"/>
  <c r="CI21" i="29"/>
  <c r="CE21" i="29"/>
  <c r="CA21" i="29"/>
  <c r="BW21" i="29"/>
  <c r="BS21" i="29"/>
  <c r="BO21" i="29"/>
  <c r="BK21" i="29"/>
  <c r="BG21" i="29"/>
  <c r="AM21" i="29"/>
  <c r="AM36" i="29" s="1"/>
  <c r="CM20" i="29"/>
  <c r="CI20" i="29"/>
  <c r="CE20" i="29"/>
  <c r="CA20" i="29"/>
  <c r="BW20" i="29"/>
  <c r="BS20" i="29"/>
  <c r="BO20" i="29"/>
  <c r="BK20" i="29"/>
  <c r="BC20" i="29"/>
  <c r="AY20" i="29"/>
  <c r="AQ20" i="29"/>
  <c r="AM20" i="29"/>
  <c r="AI20" i="29"/>
  <c r="AE20" i="29"/>
  <c r="AA20" i="29"/>
  <c r="CM18" i="29"/>
  <c r="CI18" i="29"/>
  <c r="CM17" i="29"/>
  <c r="CI17" i="29"/>
  <c r="CE17" i="29"/>
  <c r="CA17" i="29"/>
  <c r="BW17" i="29"/>
  <c r="BS17" i="29"/>
  <c r="BO17" i="29"/>
  <c r="BK17" i="29"/>
  <c r="BG17" i="29"/>
  <c r="BC17" i="29"/>
  <c r="AY17" i="29"/>
  <c r="AU17" i="29"/>
  <c r="AQ17" i="29"/>
  <c r="AM17" i="29"/>
  <c r="AI17" i="29"/>
  <c r="AI36" i="29" s="1"/>
  <c r="AE17" i="29"/>
  <c r="AA17" i="29"/>
  <c r="W17" i="29"/>
  <c r="W36" i="29"/>
  <c r="CL16" i="29"/>
  <c r="CK16" i="29"/>
  <c r="CJ16" i="29"/>
  <c r="CH16" i="29"/>
  <c r="CG16" i="29"/>
  <c r="CF16" i="29"/>
  <c r="CD16" i="29"/>
  <c r="CC16" i="29"/>
  <c r="CB16" i="29"/>
  <c r="BZ16" i="29"/>
  <c r="BY16" i="29"/>
  <c r="BX16" i="29"/>
  <c r="BV16" i="29"/>
  <c r="BU16" i="29"/>
  <c r="BT16" i="29"/>
  <c r="BR16" i="29"/>
  <c r="BQ16" i="29"/>
  <c r="BP16" i="29"/>
  <c r="BN16" i="29"/>
  <c r="BM16" i="29"/>
  <c r="BL16" i="29"/>
  <c r="BJ16" i="29"/>
  <c r="BI16" i="29"/>
  <c r="BI55" i="29"/>
  <c r="BH16" i="29"/>
  <c r="BH55" i="29"/>
  <c r="BF16" i="29"/>
  <c r="BE16" i="29"/>
  <c r="BD16" i="29"/>
  <c r="BB16" i="29"/>
  <c r="BA16" i="29"/>
  <c r="BA55" i="29"/>
  <c r="AZ16" i="29"/>
  <c r="AZ55" i="29"/>
  <c r="AX16" i="29"/>
  <c r="AW16" i="29"/>
  <c r="AV16" i="29"/>
  <c r="AV55" i="29" s="1"/>
  <c r="AT16" i="29"/>
  <c r="AS16" i="29"/>
  <c r="AS55" i="29" s="1"/>
  <c r="AR16" i="29"/>
  <c r="AR55" i="29" s="1"/>
  <c r="AP16" i="29"/>
  <c r="AO16" i="29"/>
  <c r="AO55" i="29"/>
  <c r="AN16" i="29"/>
  <c r="AL16" i="29"/>
  <c r="AK16" i="29"/>
  <c r="AK55" i="29"/>
  <c r="AJ16" i="29"/>
  <c r="AH16" i="29"/>
  <c r="AG16" i="29"/>
  <c r="AG55" i="29"/>
  <c r="AF16" i="29"/>
  <c r="AD16" i="29"/>
  <c r="AC16" i="29"/>
  <c r="AC55" i="29"/>
  <c r="AB16" i="29"/>
  <c r="Z16" i="29"/>
  <c r="Y16" i="29"/>
  <c r="Y55" i="29"/>
  <c r="X16" i="29"/>
  <c r="V16" i="29"/>
  <c r="U16" i="29"/>
  <c r="U55" i="29"/>
  <c r="T16" i="29"/>
  <c r="S16" i="29"/>
  <c r="R16" i="29"/>
  <c r="Q16" i="29"/>
  <c r="Q55" i="29" s="1"/>
  <c r="P16" i="29"/>
  <c r="O16" i="29"/>
  <c r="O55" i="29"/>
  <c r="N16" i="29"/>
  <c r="M16" i="29"/>
  <c r="L16" i="29"/>
  <c r="K16" i="29"/>
  <c r="J16" i="29"/>
  <c r="I16" i="29"/>
  <c r="H16" i="29"/>
  <c r="G16" i="29"/>
  <c r="F16" i="29"/>
  <c r="E16" i="29"/>
  <c r="E55" i="29" s="1"/>
  <c r="D16" i="29"/>
  <c r="CM15" i="29"/>
  <c r="CI15" i="29"/>
  <c r="CE15" i="29"/>
  <c r="CA15" i="29"/>
  <c r="BW15" i="29"/>
  <c r="BS15" i="29"/>
  <c r="BO15" i="29"/>
  <c r="BK15" i="29"/>
  <c r="CM14" i="29"/>
  <c r="CI14" i="29"/>
  <c r="CE14" i="29"/>
  <c r="CA14" i="29"/>
  <c r="BW14" i="29"/>
  <c r="BS14" i="29"/>
  <c r="BO14" i="29"/>
  <c r="BK14" i="29"/>
  <c r="CM13" i="29"/>
  <c r="CI13" i="29"/>
  <c r="CE13" i="29"/>
  <c r="CA13" i="29"/>
  <c r="BW13" i="29"/>
  <c r="BS13" i="29"/>
  <c r="BO13" i="29"/>
  <c r="BK13" i="29"/>
  <c r="AU13" i="29"/>
  <c r="AQ13" i="29"/>
  <c r="AI13" i="29"/>
  <c r="AE13" i="29"/>
  <c r="AA13" i="29"/>
  <c r="W13" i="29"/>
  <c r="CM12" i="29"/>
  <c r="CI12" i="29"/>
  <c r="CE12" i="29"/>
  <c r="CA12" i="29"/>
  <c r="BW12" i="29"/>
  <c r="BS12" i="29"/>
  <c r="BO12" i="29"/>
  <c r="BK12" i="29"/>
  <c r="BG12" i="29"/>
  <c r="BC12" i="29"/>
  <c r="AY12" i="29"/>
  <c r="AU12" i="29"/>
  <c r="AQ12" i="29"/>
  <c r="AM12" i="29"/>
  <c r="AI12" i="29"/>
  <c r="AE12" i="29"/>
  <c r="AA12" i="29"/>
  <c r="W12" i="29"/>
  <c r="CM11" i="29"/>
  <c r="CI11" i="29"/>
  <c r="CE11" i="29"/>
  <c r="CM10" i="29"/>
  <c r="CI10" i="29"/>
  <c r="CE10" i="29"/>
  <c r="CA10" i="29"/>
  <c r="BW10" i="29"/>
  <c r="BS10" i="29"/>
  <c r="BO10" i="29"/>
  <c r="BK10" i="29"/>
  <c r="BG10" i="29"/>
  <c r="CM9" i="29"/>
  <c r="CI9" i="29"/>
  <c r="CE9" i="29"/>
  <c r="CA9" i="29"/>
  <c r="BW9" i="29"/>
  <c r="BS9" i="29"/>
  <c r="BO9" i="29"/>
  <c r="BK9" i="29"/>
  <c r="BG9" i="29"/>
  <c r="CM8" i="29"/>
  <c r="CI8" i="29"/>
  <c r="CE8" i="29"/>
  <c r="CA8" i="29"/>
  <c r="BW8" i="29"/>
  <c r="BS8" i="29"/>
  <c r="BO8" i="29"/>
  <c r="BC8" i="29"/>
  <c r="AY8" i="29"/>
  <c r="AU8" i="29"/>
  <c r="AQ8" i="29"/>
  <c r="AI8" i="29"/>
  <c r="AE8" i="29"/>
  <c r="W8" i="29"/>
  <c r="CM7" i="29"/>
  <c r="CI7" i="29"/>
  <c r="CE7" i="29"/>
  <c r="CA7" i="29"/>
  <c r="BW7" i="29"/>
  <c r="BS7" i="29"/>
  <c r="BO7" i="29"/>
  <c r="BK7" i="29"/>
  <c r="BG7" i="29"/>
  <c r="BC7" i="29"/>
  <c r="AY7" i="29"/>
  <c r="AU7" i="29"/>
  <c r="AQ7" i="29"/>
  <c r="AM7" i="29"/>
  <c r="AI7" i="29"/>
  <c r="AE7" i="29"/>
  <c r="AA7" i="29"/>
  <c r="W7" i="29"/>
  <c r="CM6" i="29"/>
  <c r="CI6" i="29"/>
  <c r="CE6" i="29"/>
  <c r="CA6" i="29"/>
  <c r="BW6" i="29"/>
  <c r="BS6" i="29"/>
  <c r="BO6" i="29"/>
  <c r="BK6" i="29"/>
  <c r="BG6" i="29"/>
  <c r="BC6" i="29"/>
  <c r="AY6" i="29"/>
  <c r="AU6" i="29"/>
  <c r="AQ6" i="29"/>
  <c r="AM6" i="29"/>
  <c r="AI6" i="29"/>
  <c r="AE6" i="29"/>
  <c r="AA6" i="29"/>
  <c r="W6" i="29"/>
  <c r="CM5" i="29"/>
  <c r="CI5" i="29"/>
  <c r="CE5" i="29"/>
  <c r="CA5" i="29"/>
  <c r="BW5" i="29"/>
  <c r="BS5" i="29"/>
  <c r="BO5" i="29"/>
  <c r="W16" i="57"/>
  <c r="U21" i="57"/>
  <c r="N30" i="57"/>
  <c r="P31" i="57"/>
  <c r="S58" i="57"/>
  <c r="P58" i="57"/>
  <c r="K16" i="57"/>
  <c r="C21" i="57"/>
  <c r="H31" i="57"/>
  <c r="I31" i="57"/>
  <c r="H50" i="57"/>
  <c r="Q57" i="57"/>
  <c r="W57" i="57"/>
  <c r="K57" i="57"/>
  <c r="R58" i="57"/>
  <c r="V86" i="57"/>
  <c r="O21" i="57"/>
  <c r="J58" i="57"/>
  <c r="L86" i="57"/>
  <c r="M86" i="57"/>
  <c r="P21" i="57"/>
  <c r="D86" i="57"/>
  <c r="O86" i="57"/>
  <c r="K9" i="57"/>
  <c r="Q9" i="57"/>
  <c r="G31" i="57"/>
  <c r="W30" i="57"/>
  <c r="W31" i="57" s="1"/>
  <c r="C31" i="57"/>
  <c r="G58" i="57"/>
  <c r="N57" i="57"/>
  <c r="N9" i="57"/>
  <c r="S31" i="57"/>
  <c r="W41" i="57"/>
  <c r="I58" i="57"/>
  <c r="C58" i="57"/>
  <c r="M58" i="57"/>
  <c r="K71" i="57"/>
  <c r="T71" i="57"/>
  <c r="W71" i="57"/>
  <c r="C86" i="57"/>
  <c r="T85" i="57"/>
  <c r="F86" i="57"/>
  <c r="E24" i="54"/>
  <c r="N34" i="54"/>
  <c r="T94" i="54"/>
  <c r="T85" i="54"/>
  <c r="U71" i="52"/>
  <c r="I71" i="52"/>
  <c r="I84" i="52"/>
  <c r="G106" i="52"/>
  <c r="W20" i="52"/>
  <c r="N75" i="52"/>
  <c r="W91" i="52"/>
  <c r="L71" i="52"/>
  <c r="K34" i="52"/>
  <c r="E39" i="52"/>
  <c r="H20" i="54"/>
  <c r="Q100" i="52"/>
  <c r="Q47" i="54"/>
  <c r="V25" i="52"/>
  <c r="P71" i="52"/>
  <c r="D40" i="52"/>
  <c r="T63" i="52"/>
  <c r="F71" i="52"/>
  <c r="T70" i="52"/>
  <c r="K15" i="52"/>
  <c r="N51" i="52"/>
  <c r="M84" i="52"/>
  <c r="E91" i="52"/>
  <c r="Q34" i="54"/>
  <c r="K39" i="54"/>
  <c r="N47" i="54"/>
  <c r="N59" i="54"/>
  <c r="N85" i="54"/>
  <c r="Q94" i="54"/>
  <c r="N64" i="54"/>
  <c r="E59" i="54"/>
  <c r="N15" i="54"/>
  <c r="Q64" i="54"/>
  <c r="I65" i="54"/>
  <c r="I101" i="54" s="1"/>
  <c r="K24" i="54"/>
  <c r="M99" i="54"/>
  <c r="P25" i="54"/>
  <c r="E15" i="54"/>
  <c r="H32" i="51"/>
  <c r="J77" i="49"/>
  <c r="L86" i="49"/>
  <c r="M47" i="49"/>
  <c r="F120" i="49"/>
  <c r="F86" i="49"/>
  <c r="J103" i="49"/>
  <c r="J47" i="49"/>
  <c r="I120" i="49"/>
  <c r="M42" i="49"/>
  <c r="J26" i="49"/>
  <c r="H63" i="52"/>
  <c r="J37" i="59"/>
  <c r="H10" i="59"/>
  <c r="F10" i="59"/>
  <c r="F38" i="59" s="1"/>
  <c r="K25" i="58"/>
  <c r="V55" i="29"/>
  <c r="T83" i="30"/>
  <c r="AB83" i="30"/>
  <c r="AJ83" i="30"/>
  <c r="AZ159" i="31"/>
  <c r="K102" i="33"/>
  <c r="K147" i="33"/>
  <c r="M84" i="34"/>
  <c r="K79" i="34"/>
  <c r="I80" i="34"/>
  <c r="G81" i="34"/>
  <c r="R36" i="34"/>
  <c r="D37" i="34"/>
  <c r="P51" i="34"/>
  <c r="P52" i="34"/>
  <c r="L54" i="34"/>
  <c r="G90" i="34"/>
  <c r="G176" i="34"/>
  <c r="E177" i="34"/>
  <c r="M177" i="34"/>
  <c r="K178" i="34"/>
  <c r="I171" i="34"/>
  <c r="G171" i="34"/>
  <c r="E193" i="34"/>
  <c r="M193" i="34"/>
  <c r="H194" i="34"/>
  <c r="I192" i="34"/>
  <c r="E192" i="34"/>
  <c r="K205" i="34"/>
  <c r="K209" i="34"/>
  <c r="T87" i="44"/>
  <c r="U83" i="30"/>
  <c r="AC83" i="30"/>
  <c r="AK83" i="30"/>
  <c r="F55" i="33"/>
  <c r="N55" i="33"/>
  <c r="D55" i="33"/>
  <c r="L55" i="33"/>
  <c r="T55" i="33"/>
  <c r="I54" i="34"/>
  <c r="H176" i="34"/>
  <c r="F177" i="34"/>
  <c r="D178" i="34"/>
  <c r="L178" i="34"/>
  <c r="J171" i="34"/>
  <c r="H171" i="34"/>
  <c r="G195" i="34"/>
  <c r="I194" i="34"/>
  <c r="J192" i="34"/>
  <c r="E210" i="34"/>
  <c r="M210" i="34"/>
  <c r="K211" i="34"/>
  <c r="I212" i="34"/>
  <c r="D205" i="34"/>
  <c r="L205" i="34"/>
  <c r="V65" i="45"/>
  <c r="BO54" i="29"/>
  <c r="BF66" i="29"/>
  <c r="BF83" i="29" s="1"/>
  <c r="AX51" i="30"/>
  <c r="G55" i="33"/>
  <c r="O55" i="33"/>
  <c r="E102" i="33"/>
  <c r="M102" i="33"/>
  <c r="E147" i="33"/>
  <c r="M147" i="33"/>
  <c r="S158" i="33"/>
  <c r="K85" i="34"/>
  <c r="F37" i="34"/>
  <c r="D54" i="34"/>
  <c r="I90" i="34"/>
  <c r="E175" i="34"/>
  <c r="M175" i="34"/>
  <c r="K175" i="34"/>
  <c r="J194" i="34"/>
  <c r="H195" i="34"/>
  <c r="D188" i="34"/>
  <c r="L188" i="34"/>
  <c r="K192" i="34"/>
  <c r="K244" i="34" s="1"/>
  <c r="F210" i="34"/>
  <c r="J212" i="34"/>
  <c r="L226" i="34"/>
  <c r="AB12" i="43"/>
  <c r="AB35" i="43" s="1"/>
  <c r="AB93" i="42"/>
  <c r="BB43" i="30"/>
  <c r="G37" i="34"/>
  <c r="D90" i="34"/>
  <c r="J176" i="34"/>
  <c r="H177" i="34"/>
  <c r="F178" i="34"/>
  <c r="F175" i="34"/>
  <c r="H193" i="34"/>
  <c r="D192" i="34"/>
  <c r="F209" i="34"/>
  <c r="M226" i="34"/>
  <c r="M247" i="34"/>
  <c r="AA54" i="29"/>
  <c r="G102" i="33"/>
  <c r="O102" i="33"/>
  <c r="G147" i="33"/>
  <c r="O147" i="33"/>
  <c r="F193" i="34"/>
  <c r="AM65" i="31"/>
  <c r="Y112" i="31"/>
  <c r="AA38" i="32"/>
  <c r="H55" i="33"/>
  <c r="P55" i="33"/>
  <c r="K86" i="34"/>
  <c r="G54" i="34"/>
  <c r="E54" i="34"/>
  <c r="M54" i="34"/>
  <c r="H90" i="34"/>
  <c r="D176" i="34"/>
  <c r="L176" i="34"/>
  <c r="J177" i="34"/>
  <c r="H178" i="34"/>
  <c r="F171" i="34"/>
  <c r="D171" i="34"/>
  <c r="L171" i="34"/>
  <c r="G188" i="34"/>
  <c r="F192" i="34"/>
  <c r="I201" i="34"/>
  <c r="E201" i="34"/>
  <c r="H205" i="34"/>
  <c r="M228" i="34"/>
  <c r="CM157" i="29"/>
  <c r="Z83" i="30"/>
  <c r="AH83" i="30"/>
  <c r="I102" i="33"/>
  <c r="Q102" i="33"/>
  <c r="I147" i="33"/>
  <c r="Q147" i="33"/>
  <c r="O158" i="33"/>
  <c r="K87" i="34"/>
  <c r="G80" i="34"/>
  <c r="E81" i="34"/>
  <c r="M81" i="34"/>
  <c r="L86" i="34"/>
  <c r="H54" i="34"/>
  <c r="E167" i="34"/>
  <c r="M167" i="34"/>
  <c r="K167" i="34"/>
  <c r="I178" i="34"/>
  <c r="I239" i="34" s="1"/>
  <c r="I175" i="34"/>
  <c r="G175" i="34"/>
  <c r="F194" i="34"/>
  <c r="D195" i="34"/>
  <c r="L195" i="34"/>
  <c r="G192" i="34"/>
  <c r="J210" i="34"/>
  <c r="H211" i="34"/>
  <c r="F212" i="34"/>
  <c r="I205" i="34"/>
  <c r="L229" i="34"/>
  <c r="AJ55" i="29"/>
  <c r="AR55" i="30"/>
  <c r="S83" i="30"/>
  <c r="AA83" i="30"/>
  <c r="AI83" i="30"/>
  <c r="K159" i="31"/>
  <c r="S159" i="31"/>
  <c r="AA159" i="31"/>
  <c r="AI159" i="31"/>
  <c r="AQ159" i="31"/>
  <c r="AX17" i="36"/>
  <c r="Z83" i="36"/>
  <c r="AH83" i="36"/>
  <c r="F51" i="36"/>
  <c r="L119" i="40"/>
  <c r="N119" i="40" s="1"/>
  <c r="L151" i="40"/>
  <c r="N151" i="40" s="1"/>
  <c r="L157" i="40"/>
  <c r="N157" i="40" s="1"/>
  <c r="L248" i="40"/>
  <c r="M248" i="40" s="1"/>
  <c r="L271" i="40"/>
  <c r="M271" i="40" s="1"/>
  <c r="E326" i="40"/>
  <c r="AA32" i="43"/>
  <c r="I25" i="42"/>
  <c r="Q25" i="42"/>
  <c r="Y25" i="42"/>
  <c r="AG25" i="42"/>
  <c r="E56" i="42"/>
  <c r="M56" i="42"/>
  <c r="U56" i="42"/>
  <c r="AK56" i="42"/>
  <c r="AQ63" i="42"/>
  <c r="D78" i="42"/>
  <c r="L78" i="42"/>
  <c r="T78" i="42"/>
  <c r="AN83" i="42"/>
  <c r="AN93" i="42"/>
  <c r="X93" i="42"/>
  <c r="AQ97" i="42"/>
  <c r="F25" i="44"/>
  <c r="O25" i="44"/>
  <c r="S93" i="44"/>
  <c r="I93" i="44"/>
  <c r="N97" i="44"/>
  <c r="N17" i="45"/>
  <c r="I65" i="45"/>
  <c r="S65" i="45"/>
  <c r="G74" i="45"/>
  <c r="L107" i="40"/>
  <c r="N107" i="40" s="1"/>
  <c r="F120" i="40"/>
  <c r="L160" i="40"/>
  <c r="N160" i="40" s="1"/>
  <c r="L183" i="40"/>
  <c r="M183" i="40" s="1"/>
  <c r="L192" i="40"/>
  <c r="M192" i="40" s="1"/>
  <c r="F212" i="40"/>
  <c r="L249" i="40"/>
  <c r="M249" i="40" s="1"/>
  <c r="L289" i="40"/>
  <c r="M289" i="40" s="1"/>
  <c r="L304" i="40"/>
  <c r="M304" i="40" s="1"/>
  <c r="F431" i="40"/>
  <c r="AN24" i="42"/>
  <c r="J25" i="42"/>
  <c r="R25" i="42"/>
  <c r="Z25" i="42"/>
  <c r="F56" i="42"/>
  <c r="N56" i="42"/>
  <c r="V56" i="42"/>
  <c r="AI29" i="43"/>
  <c r="AS29" i="43"/>
  <c r="E78" i="42"/>
  <c r="M78" i="42"/>
  <c r="U78" i="42"/>
  <c r="AQ83" i="42"/>
  <c r="AT92" i="42"/>
  <c r="AK106" i="42"/>
  <c r="AM21" i="43"/>
  <c r="V37" i="43"/>
  <c r="D37" i="43"/>
  <c r="G25" i="44"/>
  <c r="E78" i="44"/>
  <c r="M78" i="44"/>
  <c r="F93" i="44"/>
  <c r="W16" i="46"/>
  <c r="E25" i="46"/>
  <c r="J131" i="40"/>
  <c r="M123" i="40"/>
  <c r="F353" i="40"/>
  <c r="AT15" i="42"/>
  <c r="C25" i="42"/>
  <c r="K25" i="42"/>
  <c r="S25" i="42"/>
  <c r="AI34" i="43"/>
  <c r="AS34" i="43"/>
  <c r="AN48" i="42"/>
  <c r="AN56" i="42"/>
  <c r="AT48" i="42"/>
  <c r="G56" i="42"/>
  <c r="O56" i="42"/>
  <c r="W56" i="42"/>
  <c r="AB29" i="43"/>
  <c r="AJ29" i="43"/>
  <c r="AN72" i="42"/>
  <c r="F78" i="42"/>
  <c r="N78" i="42"/>
  <c r="V78" i="42"/>
  <c r="AN28" i="43"/>
  <c r="AT87" i="42"/>
  <c r="E43" i="45"/>
  <c r="K43" i="45"/>
  <c r="D44" i="45"/>
  <c r="S74" i="45"/>
  <c r="T21" i="46"/>
  <c r="AF21" i="46"/>
  <c r="F158" i="40"/>
  <c r="F371" i="40"/>
  <c r="AD32" i="43"/>
  <c r="D25" i="42"/>
  <c r="L25" i="42"/>
  <c r="T25" i="42"/>
  <c r="AN36" i="42"/>
  <c r="AQ48" i="42"/>
  <c r="H56" i="42"/>
  <c r="P56" i="42"/>
  <c r="X56" i="42"/>
  <c r="AF33" i="43"/>
  <c r="AQ72" i="42"/>
  <c r="G78" i="42"/>
  <c r="O78" i="42"/>
  <c r="W78" i="42"/>
  <c r="AT83" i="42"/>
  <c r="AR106" i="42"/>
  <c r="H106" i="44"/>
  <c r="K68" i="45"/>
  <c r="R26" i="46"/>
  <c r="V37" i="41"/>
  <c r="AN20" i="42"/>
  <c r="E25" i="42"/>
  <c r="M25" i="42"/>
  <c r="U25" i="42"/>
  <c r="AK25" i="42"/>
  <c r="I56" i="42"/>
  <c r="Q56" i="42"/>
  <c r="Y56" i="42"/>
  <c r="AT63" i="42"/>
  <c r="AQ77" i="42"/>
  <c r="H78" i="42"/>
  <c r="P78" i="42"/>
  <c r="X78" i="42"/>
  <c r="AI14" i="43"/>
  <c r="AQ105" i="42"/>
  <c r="W106" i="42"/>
  <c r="E37" i="43"/>
  <c r="D21" i="45"/>
  <c r="P74" i="45"/>
  <c r="Z16" i="46"/>
  <c r="S26" i="46"/>
  <c r="BB13" i="36"/>
  <c r="Q80" i="40"/>
  <c r="F92" i="40"/>
  <c r="L204" i="40"/>
  <c r="M204" i="40" s="1"/>
  <c r="L276" i="40"/>
  <c r="M276" i="40" s="1"/>
  <c r="L309" i="40"/>
  <c r="M309" i="40" s="1"/>
  <c r="AN15" i="42"/>
  <c r="AF32" i="43"/>
  <c r="F25" i="42"/>
  <c r="N25" i="42"/>
  <c r="V25" i="42"/>
  <c r="AT36" i="42"/>
  <c r="AQ36" i="42"/>
  <c r="AE19" i="43"/>
  <c r="AM19" i="43"/>
  <c r="J56" i="42"/>
  <c r="R56" i="42"/>
  <c r="Z56" i="42"/>
  <c r="AT72" i="42"/>
  <c r="I78" i="42"/>
  <c r="I108" i="42"/>
  <c r="Q78" i="42"/>
  <c r="Y78" i="42"/>
  <c r="AP78" i="42"/>
  <c r="AT101" i="42"/>
  <c r="AN22" i="43"/>
  <c r="X106" i="42"/>
  <c r="C25" i="44"/>
  <c r="K25" i="44"/>
  <c r="P21" i="45"/>
  <c r="S44" i="45"/>
  <c r="T59" i="45"/>
  <c r="I26" i="46"/>
  <c r="K25" i="46"/>
  <c r="I53" i="36"/>
  <c r="BQ51" i="36"/>
  <c r="N51" i="36"/>
  <c r="K74" i="40"/>
  <c r="R74" i="40" s="1"/>
  <c r="E98" i="40"/>
  <c r="M144" i="40"/>
  <c r="L369" i="40"/>
  <c r="L430" i="40"/>
  <c r="M430" i="40" s="1"/>
  <c r="W37" i="41"/>
  <c r="AQ15" i="42"/>
  <c r="G25" i="42"/>
  <c r="O25" i="42"/>
  <c r="W25" i="42"/>
  <c r="AT55" i="42"/>
  <c r="C56" i="42"/>
  <c r="K56" i="42"/>
  <c r="S56" i="42"/>
  <c r="AS56" i="42"/>
  <c r="AF29" i="43"/>
  <c r="AT77" i="42"/>
  <c r="J78" i="42"/>
  <c r="R78" i="42"/>
  <c r="Z78" i="42"/>
  <c r="AQ87" i="42"/>
  <c r="AR93" i="42"/>
  <c r="Q92" i="44"/>
  <c r="C106" i="44"/>
  <c r="J26" i="46"/>
  <c r="AE26" i="46"/>
  <c r="W87" i="46"/>
  <c r="Q92" i="46"/>
  <c r="C26" i="47"/>
  <c r="J57" i="47"/>
  <c r="I107" i="47"/>
  <c r="H29" i="48"/>
  <c r="D40" i="48"/>
  <c r="T100" i="48"/>
  <c r="F39" i="49"/>
  <c r="J64" i="49"/>
  <c r="H48" i="51"/>
  <c r="C78" i="51"/>
  <c r="K51" i="52"/>
  <c r="R71" i="52"/>
  <c r="M71" i="52"/>
  <c r="V84" i="52"/>
  <c r="E105" i="52"/>
  <c r="I106" i="52"/>
  <c r="U106" i="52"/>
  <c r="K24" i="53"/>
  <c r="J70" i="53"/>
  <c r="V70" i="53"/>
  <c r="H69" i="53"/>
  <c r="H77" i="53"/>
  <c r="D25" i="54"/>
  <c r="E58" i="57"/>
  <c r="J93" i="46"/>
  <c r="I93" i="46"/>
  <c r="U93" i="46"/>
  <c r="I104" i="46"/>
  <c r="U104" i="46"/>
  <c r="AD104" i="46"/>
  <c r="D26" i="47"/>
  <c r="E56" i="47"/>
  <c r="J107" i="47"/>
  <c r="L106" i="48"/>
  <c r="M64" i="49"/>
  <c r="F76" i="50"/>
  <c r="H56" i="51"/>
  <c r="D78" i="51"/>
  <c r="I40" i="52"/>
  <c r="N63" i="52"/>
  <c r="H70" i="52"/>
  <c r="V71" i="52"/>
  <c r="J84" i="52"/>
  <c r="S84" i="52"/>
  <c r="H105" i="52"/>
  <c r="V106" i="52"/>
  <c r="H20" i="53"/>
  <c r="E20" i="53"/>
  <c r="E34" i="53"/>
  <c r="K69" i="53"/>
  <c r="D70" i="53"/>
  <c r="O78" i="53"/>
  <c r="K77" i="53"/>
  <c r="N85" i="53"/>
  <c r="E94" i="53"/>
  <c r="S100" i="53"/>
  <c r="Q15" i="54"/>
  <c r="N20" i="54"/>
  <c r="F25" i="54"/>
  <c r="C40" i="54"/>
  <c r="V26" i="46"/>
  <c r="AF63" i="46"/>
  <c r="W92" i="46"/>
  <c r="J104" i="46"/>
  <c r="V104" i="46"/>
  <c r="R106" i="48"/>
  <c r="G11" i="49"/>
  <c r="I39" i="49"/>
  <c r="G47" i="49"/>
  <c r="I86" i="49"/>
  <c r="G114" i="49"/>
  <c r="K120" i="49"/>
  <c r="C23" i="51"/>
  <c r="G33" i="51"/>
  <c r="Q20" i="52"/>
  <c r="H24" i="52"/>
  <c r="U40" i="52"/>
  <c r="J40" i="52"/>
  <c r="J71" i="52"/>
  <c r="K70" i="52"/>
  <c r="U84" i="52"/>
  <c r="E100" i="52"/>
  <c r="K100" i="52"/>
  <c r="N29" i="53"/>
  <c r="O40" i="53"/>
  <c r="U40" i="53"/>
  <c r="Q50" i="53"/>
  <c r="P78" i="53"/>
  <c r="H99" i="53"/>
  <c r="J100" i="53"/>
  <c r="T99" i="53"/>
  <c r="K20" i="54"/>
  <c r="M25" i="54"/>
  <c r="G25" i="54"/>
  <c r="W72" i="46"/>
  <c r="E64" i="47"/>
  <c r="K78" i="47"/>
  <c r="E102" i="47"/>
  <c r="E106" i="47"/>
  <c r="Q39" i="48"/>
  <c r="M106" i="48"/>
  <c r="H105" i="48"/>
  <c r="J11" i="49"/>
  <c r="K39" i="49"/>
  <c r="I48" i="49"/>
  <c r="G85" i="49"/>
  <c r="K86" i="49"/>
  <c r="L120" i="49"/>
  <c r="W24" i="52"/>
  <c r="W75" i="52"/>
  <c r="L84" i="52"/>
  <c r="N84" i="52" s="1"/>
  <c r="Q83" i="52"/>
  <c r="H91" i="52"/>
  <c r="N91" i="52"/>
  <c r="M106" i="52"/>
  <c r="H15" i="53"/>
  <c r="K15" i="53"/>
  <c r="P70" i="53"/>
  <c r="Q62" i="53"/>
  <c r="G78" i="53"/>
  <c r="T74" i="53"/>
  <c r="N77" i="53"/>
  <c r="Q85" i="53"/>
  <c r="N99" i="53"/>
  <c r="W99" i="53"/>
  <c r="T15" i="54"/>
  <c r="Q20" i="54"/>
  <c r="I25" i="54"/>
  <c r="S25" i="54"/>
  <c r="C104" i="46"/>
  <c r="Y104" i="46"/>
  <c r="D57" i="47"/>
  <c r="F106" i="48"/>
  <c r="H42" i="51"/>
  <c r="C84" i="52"/>
  <c r="F84" i="52"/>
  <c r="P84" i="52"/>
  <c r="N72" i="46"/>
  <c r="Z72" i="46"/>
  <c r="I78" i="46"/>
  <c r="K78" i="46" s="1"/>
  <c r="AF100" i="46"/>
  <c r="I94" i="47"/>
  <c r="K106" i="47"/>
  <c r="K29" i="48"/>
  <c r="T29" i="48"/>
  <c r="N34" i="48"/>
  <c r="J40" i="48"/>
  <c r="L84" i="48"/>
  <c r="G26" i="49"/>
  <c r="H48" i="49"/>
  <c r="K48" i="49"/>
  <c r="M77" i="49"/>
  <c r="M85" i="49"/>
  <c r="M103" i="49"/>
  <c r="J114" i="49"/>
  <c r="E120" i="49"/>
  <c r="C57" i="51"/>
  <c r="C25" i="52"/>
  <c r="E20" i="52"/>
  <c r="I25" i="52"/>
  <c r="H29" i="52"/>
  <c r="Q34" i="52"/>
  <c r="Q39" i="52"/>
  <c r="S71" i="52"/>
  <c r="G71" i="52"/>
  <c r="Q70" i="52"/>
  <c r="H83" i="52"/>
  <c r="G84" i="52"/>
  <c r="T83" i="52"/>
  <c r="S106" i="52"/>
  <c r="Q105" i="52"/>
  <c r="S25" i="53"/>
  <c r="D25" i="53"/>
  <c r="I40" i="53"/>
  <c r="S70" i="53"/>
  <c r="F70" i="53"/>
  <c r="T62" i="53"/>
  <c r="S78" i="53"/>
  <c r="W74" i="53"/>
  <c r="C78" i="53"/>
  <c r="Q77" i="53"/>
  <c r="E85" i="53"/>
  <c r="T85" i="53"/>
  <c r="G100" i="53"/>
  <c r="T94" i="53"/>
  <c r="T20" i="54"/>
  <c r="H40" i="54"/>
  <c r="E86" i="57"/>
  <c r="P26" i="46"/>
  <c r="F93" i="46"/>
  <c r="D93" i="46"/>
  <c r="P93" i="46"/>
  <c r="AB93" i="46"/>
  <c r="AA104" i="46"/>
  <c r="H21" i="47"/>
  <c r="F107" i="47"/>
  <c r="E100" i="48"/>
  <c r="G23" i="51"/>
  <c r="O25" i="52"/>
  <c r="P40" i="52"/>
  <c r="T15" i="53"/>
  <c r="J40" i="53"/>
  <c r="J102" i="53" s="1"/>
  <c r="G70" i="53"/>
  <c r="L78" i="53"/>
  <c r="T25" i="46"/>
  <c r="AD26" i="46"/>
  <c r="AF26" i="46" s="1"/>
  <c r="E48" i="46"/>
  <c r="Z48" i="46"/>
  <c r="R93" i="46"/>
  <c r="T92" i="46"/>
  <c r="T104" i="46"/>
  <c r="R104" i="46"/>
  <c r="I79" i="47"/>
  <c r="E78" i="47"/>
  <c r="H106" i="47"/>
  <c r="G64" i="49"/>
  <c r="G77" i="49"/>
  <c r="M119" i="49"/>
  <c r="H120" i="49"/>
  <c r="H18" i="51"/>
  <c r="H22" i="51"/>
  <c r="D33" i="51"/>
  <c r="E57" i="51"/>
  <c r="H73" i="51"/>
  <c r="D25" i="52"/>
  <c r="K29" i="52"/>
  <c r="W29" i="52"/>
  <c r="K63" i="52"/>
  <c r="J106" i="52"/>
  <c r="H24" i="53"/>
  <c r="H29" i="53"/>
  <c r="W50" i="53"/>
  <c r="I70" i="53"/>
  <c r="M78" i="53"/>
  <c r="E77" i="53"/>
  <c r="K85" i="53"/>
  <c r="W94" i="53"/>
  <c r="E99" i="53"/>
  <c r="F100" i="53"/>
  <c r="H15" i="54"/>
  <c r="N29" i="54"/>
  <c r="Q39" i="54"/>
  <c r="S99" i="54"/>
  <c r="Q59" i="55"/>
  <c r="J67" i="55"/>
  <c r="G31" i="56"/>
  <c r="J41" i="56"/>
  <c r="X56" i="56"/>
  <c r="J79" i="56"/>
  <c r="H79" i="56"/>
  <c r="T79" i="56"/>
  <c r="L103" i="56"/>
  <c r="F103" i="56"/>
  <c r="T9" i="57"/>
  <c r="W20" i="57"/>
  <c r="D21" i="57"/>
  <c r="V21" i="57"/>
  <c r="T24" i="57"/>
  <c r="V31" i="57"/>
  <c r="L58" i="57"/>
  <c r="V58" i="57"/>
  <c r="J86" i="57"/>
  <c r="G10" i="59"/>
  <c r="J18" i="59"/>
  <c r="E32" i="60"/>
  <c r="F32" i="67"/>
  <c r="F33" i="67"/>
  <c r="E34" i="54"/>
  <c r="P40" i="54"/>
  <c r="O40" i="54"/>
  <c r="K59" i="54"/>
  <c r="H94" i="54"/>
  <c r="K94" i="54"/>
  <c r="W15" i="55"/>
  <c r="L67" i="55"/>
  <c r="I102" i="55"/>
  <c r="H31" i="56"/>
  <c r="Q31" i="56"/>
  <c r="R40" i="56"/>
  <c r="W41" i="56"/>
  <c r="V79" i="56"/>
  <c r="L31" i="57"/>
  <c r="T41" i="57"/>
  <c r="N41" i="57"/>
  <c r="T57" i="57"/>
  <c r="D58" i="57"/>
  <c r="N71" i="57"/>
  <c r="N85" i="57"/>
  <c r="W85" i="57"/>
  <c r="D24" i="60"/>
  <c r="L24" i="60"/>
  <c r="H23" i="60"/>
  <c r="H24" i="60" s="1"/>
  <c r="F24" i="60"/>
  <c r="O39" i="60"/>
  <c r="I24" i="62"/>
  <c r="P34" i="67"/>
  <c r="Q29" i="54"/>
  <c r="R40" i="54"/>
  <c r="N94" i="54"/>
  <c r="J99" i="54"/>
  <c r="W59" i="55"/>
  <c r="G88" i="55"/>
  <c r="J97" i="55"/>
  <c r="D115" i="55"/>
  <c r="L115" i="55"/>
  <c r="S31" i="56"/>
  <c r="L34" i="56"/>
  <c r="M79" i="56"/>
  <c r="K79" i="56"/>
  <c r="V107" i="56"/>
  <c r="G107" i="56"/>
  <c r="T20" i="57"/>
  <c r="K20" i="57"/>
  <c r="U31" i="57"/>
  <c r="K30" i="57"/>
  <c r="D31" i="57"/>
  <c r="H17" i="59"/>
  <c r="H18" i="59" s="1"/>
  <c r="N13" i="60"/>
  <c r="N14" i="60" s="1"/>
  <c r="G39" i="60"/>
  <c r="F70" i="62"/>
  <c r="S147" i="65"/>
  <c r="L34" i="67"/>
  <c r="F26" i="67"/>
  <c r="S65" i="54"/>
  <c r="L65" i="54"/>
  <c r="L99" i="54"/>
  <c r="F29" i="55"/>
  <c r="D67" i="55"/>
  <c r="J88" i="55"/>
  <c r="H88" i="55"/>
  <c r="K97" i="55"/>
  <c r="U14" i="56"/>
  <c r="R14" i="56"/>
  <c r="N41" i="56"/>
  <c r="I40" i="56"/>
  <c r="D41" i="56"/>
  <c r="U93" i="56"/>
  <c r="Q107" i="56"/>
  <c r="M31" i="57"/>
  <c r="M88" i="57" s="1"/>
  <c r="F58" i="57"/>
  <c r="O14" i="60"/>
  <c r="I33" i="61"/>
  <c r="AF37" i="65"/>
  <c r="AC37" i="65"/>
  <c r="F29" i="67"/>
  <c r="F40" i="54"/>
  <c r="I40" i="54"/>
  <c r="T39" i="54"/>
  <c r="P65" i="54"/>
  <c r="C99" i="54"/>
  <c r="N98" i="54"/>
  <c r="L97" i="55"/>
  <c r="K31" i="56"/>
  <c r="P41" i="56"/>
  <c r="U78" i="56"/>
  <c r="N107" i="56"/>
  <c r="O106" i="56"/>
  <c r="O31" i="57"/>
  <c r="Q30" i="57"/>
  <c r="Q31" i="57" s="1"/>
  <c r="F31" i="57"/>
  <c r="K81" i="57"/>
  <c r="T14" i="60"/>
  <c r="H101" i="62"/>
  <c r="K39" i="66"/>
  <c r="F25" i="67"/>
  <c r="J40" i="54"/>
  <c r="E94" i="54"/>
  <c r="E99" i="54" s="1"/>
  <c r="D99" i="54"/>
  <c r="P99" i="54"/>
  <c r="O99" i="54"/>
  <c r="G115" i="55"/>
  <c r="L14" i="56"/>
  <c r="I24" i="56"/>
  <c r="X31" i="56"/>
  <c r="M31" i="56"/>
  <c r="E79" i="56"/>
  <c r="D79" i="56"/>
  <c r="P79" i="56"/>
  <c r="F93" i="56"/>
  <c r="F107" i="56" s="1"/>
  <c r="L93" i="56"/>
  <c r="I93" i="56"/>
  <c r="N16" i="57"/>
  <c r="N21" i="57" s="1"/>
  <c r="W50" i="57"/>
  <c r="P86" i="57"/>
  <c r="E33" i="59"/>
  <c r="E37" i="59" s="1"/>
  <c r="E36" i="60"/>
  <c r="K36" i="60"/>
  <c r="E16" i="63"/>
  <c r="E17" i="63" s="1"/>
  <c r="H34" i="67"/>
  <c r="N39" i="54"/>
  <c r="C65" i="54"/>
  <c r="K64" i="54"/>
  <c r="T64" i="54"/>
  <c r="F99" i="54"/>
  <c r="S29" i="55"/>
  <c r="T28" i="55"/>
  <c r="E32" i="55"/>
  <c r="E88" i="55"/>
  <c r="E116" i="55" s="1"/>
  <c r="J102" i="55"/>
  <c r="H115" i="55"/>
  <c r="L40" i="56"/>
  <c r="G41" i="56"/>
  <c r="U103" i="56"/>
  <c r="R103" i="56"/>
  <c r="P107" i="56"/>
  <c r="W9" i="57"/>
  <c r="N24" i="57"/>
  <c r="T81" i="57"/>
  <c r="W81" i="57"/>
  <c r="R86" i="57"/>
  <c r="M39" i="60"/>
  <c r="AX144" i="65"/>
  <c r="AC108" i="65"/>
  <c r="H142" i="65"/>
  <c r="N34" i="67"/>
  <c r="D40" i="54"/>
  <c r="M40" i="54"/>
  <c r="K85" i="54"/>
  <c r="G99" i="54"/>
  <c r="R99" i="54"/>
  <c r="D88" i="55"/>
  <c r="D116" i="55" s="1"/>
  <c r="L88" i="55"/>
  <c r="O14" i="56"/>
  <c r="L31" i="56"/>
  <c r="E31" i="56"/>
  <c r="O40" i="56"/>
  <c r="O41" i="56" s="1"/>
  <c r="H41" i="56"/>
  <c r="T41" i="56"/>
  <c r="F78" i="56"/>
  <c r="S79" i="56"/>
  <c r="H107" i="56"/>
  <c r="H109" i="56" s="1"/>
  <c r="L21" i="57"/>
  <c r="K50" i="57"/>
  <c r="K58" i="57" s="1"/>
  <c r="T50" i="57"/>
  <c r="Q50" i="57"/>
  <c r="Q85" i="57"/>
  <c r="J24" i="60"/>
  <c r="R24" i="60"/>
  <c r="T23" i="60"/>
  <c r="H28" i="62"/>
  <c r="F52" i="62"/>
  <c r="F84" i="62"/>
  <c r="O34" i="67"/>
  <c r="F30" i="67"/>
  <c r="K83" i="46"/>
  <c r="O56" i="44"/>
  <c r="C56" i="44"/>
  <c r="K56" i="44"/>
  <c r="D56" i="44"/>
  <c r="W19" i="38"/>
  <c r="W27" i="38"/>
  <c r="AG27" i="38"/>
  <c r="Q30" i="38"/>
  <c r="AA9" i="38"/>
  <c r="L59" i="37"/>
  <c r="AG9" i="38"/>
  <c r="AR9" i="38"/>
  <c r="P29" i="38"/>
  <c r="AW14" i="38"/>
  <c r="AW9" i="38"/>
  <c r="AF29" i="38"/>
  <c r="AA30" i="38"/>
  <c r="H59" i="37"/>
  <c r="I59" i="37"/>
  <c r="Q19" i="38"/>
  <c r="L30" i="38"/>
  <c r="W30" i="38"/>
  <c r="AG30" i="38"/>
  <c r="AR30" i="38"/>
  <c r="AM19" i="38"/>
  <c r="G27" i="38"/>
  <c r="Q27" i="38"/>
  <c r="AM27" i="38"/>
  <c r="AW27" i="38"/>
  <c r="AG32" i="38"/>
  <c r="AK14" i="38"/>
  <c r="E59" i="37"/>
  <c r="D59" i="37"/>
  <c r="G59" i="37"/>
  <c r="O59" i="37"/>
  <c r="M59" i="37"/>
  <c r="K163" i="37"/>
  <c r="H116" i="37"/>
  <c r="H163" i="37"/>
  <c r="K116" i="37"/>
  <c r="L174" i="37"/>
  <c r="D163" i="37"/>
  <c r="L163" i="37"/>
  <c r="M174" i="37"/>
  <c r="K59" i="37"/>
  <c r="I163" i="37"/>
  <c r="N174" i="37"/>
  <c r="F163" i="37"/>
  <c r="O174" i="37"/>
  <c r="D116" i="37"/>
  <c r="L116" i="37"/>
  <c r="G163" i="37"/>
  <c r="O163" i="37"/>
  <c r="H174" i="37"/>
  <c r="I174" i="37"/>
  <c r="Q74" i="40"/>
  <c r="D98" i="40"/>
  <c r="P87" i="40"/>
  <c r="K86" i="40"/>
  <c r="R86" i="40" s="1"/>
  <c r="Q90" i="40"/>
  <c r="F109" i="40"/>
  <c r="K109" i="40"/>
  <c r="M111" i="40"/>
  <c r="M122" i="40"/>
  <c r="M152" i="40"/>
  <c r="L187" i="40"/>
  <c r="M187" i="40" s="1"/>
  <c r="L257" i="40"/>
  <c r="M257" i="40" s="1"/>
  <c r="K287" i="40"/>
  <c r="L290" i="40"/>
  <c r="M290" i="40" s="1"/>
  <c r="K291" i="40"/>
  <c r="F310" i="40"/>
  <c r="C359" i="40"/>
  <c r="C388" i="40"/>
  <c r="K376" i="40"/>
  <c r="E411" i="40"/>
  <c r="L428" i="40"/>
  <c r="M428" i="40" s="1"/>
  <c r="L434" i="40"/>
  <c r="M434" i="40" s="1"/>
  <c r="C196" i="40"/>
  <c r="C228" i="40"/>
  <c r="I261" i="40"/>
  <c r="F250" i="40"/>
  <c r="F421" i="40"/>
  <c r="J81" i="40"/>
  <c r="K81" i="40" s="1"/>
  <c r="R81" i="40" s="1"/>
  <c r="D131" i="40"/>
  <c r="K129" i="40"/>
  <c r="K142" i="40"/>
  <c r="K153" i="40"/>
  <c r="L174" i="40"/>
  <c r="M174" i="40" s="1"/>
  <c r="J196" i="40"/>
  <c r="L209" i="40"/>
  <c r="M209" i="40" s="1"/>
  <c r="L215" i="40"/>
  <c r="M215" i="40" s="1"/>
  <c r="L224" i="40"/>
  <c r="M224" i="40" s="1"/>
  <c r="L252" i="40"/>
  <c r="M252" i="40" s="1"/>
  <c r="L258" i="40"/>
  <c r="M258" i="40" s="1"/>
  <c r="K259" i="40"/>
  <c r="L285" i="40"/>
  <c r="M285" i="40" s="1"/>
  <c r="L368" i="40"/>
  <c r="K78" i="40"/>
  <c r="R78" i="40" s="1"/>
  <c r="M106" i="40"/>
  <c r="L112" i="40"/>
  <c r="N112" i="40" s="1"/>
  <c r="L123" i="40"/>
  <c r="N123" i="40" s="1"/>
  <c r="M150" i="40"/>
  <c r="F180" i="40"/>
  <c r="L239" i="40"/>
  <c r="M239" i="40" s="1"/>
  <c r="L302" i="40"/>
  <c r="M302" i="40" s="1"/>
  <c r="L314" i="40"/>
  <c r="M314" i="40" s="1"/>
  <c r="L337" i="40"/>
  <c r="M337" i="40" s="1"/>
  <c r="F343" i="40"/>
  <c r="F409" i="40"/>
  <c r="D437" i="40"/>
  <c r="K226" i="40"/>
  <c r="H293" i="40"/>
  <c r="K386" i="40"/>
  <c r="J92" i="40"/>
  <c r="K92" i="40" s="1"/>
  <c r="R92" i="40" s="1"/>
  <c r="K95" i="40"/>
  <c r="R95" i="40" s="1"/>
  <c r="M139" i="40"/>
  <c r="L145" i="40"/>
  <c r="N145" i="40" s="1"/>
  <c r="E196" i="40"/>
  <c r="K245" i="40"/>
  <c r="L275" i="40"/>
  <c r="M275" i="40" s="1"/>
  <c r="F291" i="40"/>
  <c r="L317" i="40"/>
  <c r="M317" i="40" s="1"/>
  <c r="L323" i="40"/>
  <c r="M323" i="40" s="1"/>
  <c r="L347" i="40"/>
  <c r="M347" i="40" s="1"/>
  <c r="L375" i="40"/>
  <c r="F381" i="40"/>
  <c r="P76" i="40"/>
  <c r="Q83" i="40"/>
  <c r="K89" i="40"/>
  <c r="R89" i="40" s="1"/>
  <c r="M119" i="40"/>
  <c r="F129" i="40"/>
  <c r="G164" i="40"/>
  <c r="K175" i="40"/>
  <c r="F190" i="40"/>
  <c r="F240" i="40"/>
  <c r="E261" i="40"/>
  <c r="H261" i="40"/>
  <c r="L254" i="40"/>
  <c r="M254" i="40" s="1"/>
  <c r="L355" i="40"/>
  <c r="M355" i="40" s="1"/>
  <c r="AT23" i="43"/>
  <c r="AJ14" i="43"/>
  <c r="AD24" i="43"/>
  <c r="AQ23" i="43"/>
  <c r="AN17" i="43"/>
  <c r="AT28" i="43"/>
  <c r="E32" i="38"/>
  <c r="AL26" i="38"/>
  <c r="L27" i="38"/>
  <c r="T31" i="38"/>
  <c r="AB27" i="38"/>
  <c r="AB31" i="38"/>
  <c r="AJ27" i="38"/>
  <c r="J25" i="38"/>
  <c r="AR27" i="38"/>
  <c r="AR31" i="38"/>
  <c r="U18" i="34"/>
  <c r="U19" i="34"/>
  <c r="Q17" i="34"/>
  <c r="N35" i="34"/>
  <c r="T17" i="34"/>
  <c r="U33" i="34"/>
  <c r="S53" i="34"/>
  <c r="U76" i="34"/>
  <c r="U77" i="34" s="1"/>
  <c r="O51" i="34"/>
  <c r="R63" i="34"/>
  <c r="R88" i="34" s="1"/>
  <c r="S36" i="34"/>
  <c r="S51" i="34"/>
  <c r="T63" i="34"/>
  <c r="T88" i="34" s="1"/>
  <c r="O68" i="34"/>
  <c r="O70" i="34"/>
  <c r="N16" i="34"/>
  <c r="O34" i="34"/>
  <c r="N59" i="34"/>
  <c r="Q68" i="34"/>
  <c r="R16" i="34"/>
  <c r="S34" i="34"/>
  <c r="O59" i="34"/>
  <c r="O67" i="34"/>
  <c r="O89" i="34" s="1"/>
  <c r="S68" i="34"/>
  <c r="P19" i="34"/>
  <c r="Q67" i="34"/>
  <c r="Q89" i="34" s="1"/>
  <c r="U68" i="34"/>
  <c r="T19" i="34"/>
  <c r="S67" i="34"/>
  <c r="S89" i="34" s="1"/>
  <c r="N63" i="34"/>
  <c r="N88" i="34" s="1"/>
  <c r="U67" i="34"/>
  <c r="U89" i="34" s="1"/>
  <c r="I74" i="30"/>
  <c r="BY74" i="30"/>
  <c r="CJ74" i="30"/>
  <c r="CK75" i="30"/>
  <c r="CF20" i="30"/>
  <c r="BW99" i="29"/>
  <c r="AY99" i="29"/>
  <c r="BG157" i="29"/>
  <c r="BS53" i="30"/>
  <c r="CC53" i="30"/>
  <c r="BE47" i="30"/>
  <c r="BO77" i="30"/>
  <c r="BY77" i="30"/>
  <c r="CJ77" i="30"/>
  <c r="BK110" i="29"/>
  <c r="BE19" i="30"/>
  <c r="O51" i="30"/>
  <c r="BM76" i="30"/>
  <c r="BX76" i="30"/>
  <c r="I77" i="30"/>
  <c r="AK37" i="32"/>
  <c r="AS37" i="32"/>
  <c r="BA37" i="32"/>
  <c r="BD54" i="31"/>
  <c r="AK65" i="31"/>
  <c r="AS65" i="31"/>
  <c r="BA65" i="31"/>
  <c r="I112" i="31"/>
  <c r="Q112" i="31"/>
  <c r="AG112" i="31"/>
  <c r="AO112" i="31"/>
  <c r="AW112" i="31"/>
  <c r="BE112" i="31"/>
  <c r="J159" i="31"/>
  <c r="R159" i="31"/>
  <c r="Z159" i="31"/>
  <c r="AH159" i="31"/>
  <c r="AP159" i="31"/>
  <c r="AX54" i="31"/>
  <c r="BD159" i="31"/>
  <c r="Q75" i="32"/>
  <c r="H54" i="31"/>
  <c r="P54" i="31"/>
  <c r="X54" i="31"/>
  <c r="AF54" i="31"/>
  <c r="AN54" i="31"/>
  <c r="AV54" i="31"/>
  <c r="G54" i="31"/>
  <c r="O54" i="31"/>
  <c r="W54" i="31"/>
  <c r="AE54" i="31"/>
  <c r="AM54" i="31"/>
  <c r="AU54" i="31"/>
  <c r="BC54" i="31"/>
  <c r="AV37" i="32"/>
  <c r="BD9" i="32"/>
  <c r="AH18" i="32"/>
  <c r="AP18" i="32"/>
  <c r="AX18" i="32"/>
  <c r="AR54" i="31"/>
  <c r="F54" i="31"/>
  <c r="N54" i="31"/>
  <c r="V54" i="31"/>
  <c r="AD54" i="31"/>
  <c r="AL54" i="31"/>
  <c r="AL161" i="31" s="1"/>
  <c r="AT54" i="31"/>
  <c r="BB54" i="31"/>
  <c r="J112" i="31"/>
  <c r="J161" i="31" s="1"/>
  <c r="R112" i="31"/>
  <c r="Z112" i="31"/>
  <c r="AH112" i="31"/>
  <c r="AP112" i="31"/>
  <c r="AX112" i="31"/>
  <c r="F159" i="31"/>
  <c r="N159" i="31"/>
  <c r="V159" i="31"/>
  <c r="V161" i="31" s="1"/>
  <c r="AD159" i="31"/>
  <c r="AL159" i="31"/>
  <c r="AT159" i="31"/>
  <c r="BB159" i="31"/>
  <c r="AH65" i="31"/>
  <c r="AP65" i="31"/>
  <c r="AX65" i="31"/>
  <c r="AG65" i="31"/>
  <c r="AO65" i="31"/>
  <c r="AW65" i="31"/>
  <c r="BE65" i="31"/>
  <c r="K112" i="31"/>
  <c r="S112" i="31"/>
  <c r="AA112" i="31"/>
  <c r="AI112" i="31"/>
  <c r="AY112" i="31"/>
  <c r="G159" i="31"/>
  <c r="O159" i="31"/>
  <c r="O161" i="31" s="1"/>
  <c r="W159" i="31"/>
  <c r="AE159" i="31"/>
  <c r="AM159" i="31"/>
  <c r="AU159" i="31"/>
  <c r="BC159" i="31"/>
  <c r="D112" i="31"/>
  <c r="L112" i="31"/>
  <c r="T112" i="31"/>
  <c r="AB112" i="31"/>
  <c r="AJ112" i="31"/>
  <c r="AR112" i="31"/>
  <c r="AZ112" i="31"/>
  <c r="H159" i="31"/>
  <c r="P159" i="31"/>
  <c r="X159" i="31"/>
  <c r="AF159" i="31"/>
  <c r="AN159" i="31"/>
  <c r="AV159" i="31"/>
  <c r="I54" i="31"/>
  <c r="Q54" i="31"/>
  <c r="Y54" i="31"/>
  <c r="AG54" i="31"/>
  <c r="AO54" i="31"/>
  <c r="AW54" i="31"/>
  <c r="BE54" i="31"/>
  <c r="AI65" i="31"/>
  <c r="AQ65" i="31"/>
  <c r="AY65" i="31"/>
  <c r="E112" i="31"/>
  <c r="M112" i="31"/>
  <c r="U112" i="31"/>
  <c r="AC112" i="31"/>
  <c r="AK112" i="31"/>
  <c r="AS112" i="31"/>
  <c r="BA112" i="31"/>
  <c r="I159" i="31"/>
  <c r="Q159" i="31"/>
  <c r="Y159" i="31"/>
  <c r="AG159" i="31"/>
  <c r="AO159" i="31"/>
  <c r="AW159" i="31"/>
  <c r="BE159" i="31"/>
  <c r="BE161" i="31" s="1"/>
  <c r="J54" i="31"/>
  <c r="R54" i="31"/>
  <c r="R161" i="31" s="1"/>
  <c r="Z54" i="31"/>
  <c r="Z161" i="31" s="1"/>
  <c r="AH54" i="31"/>
  <c r="AP54" i="31"/>
  <c r="F112" i="31"/>
  <c r="N112" i="31"/>
  <c r="V112" i="31"/>
  <c r="AD112" i="31"/>
  <c r="AD161" i="31" s="1"/>
  <c r="AL112" i="31"/>
  <c r="AT112" i="31"/>
  <c r="BB112" i="31"/>
  <c r="K54" i="31"/>
  <c r="S54" i="31"/>
  <c r="AA54" i="31"/>
  <c r="AI54" i="31"/>
  <c r="AQ54" i="31"/>
  <c r="AY54" i="31"/>
  <c r="G112" i="31"/>
  <c r="O112" i="31"/>
  <c r="W112" i="31"/>
  <c r="W161" i="31" s="1"/>
  <c r="AE112" i="31"/>
  <c r="AE161" i="31" s="1"/>
  <c r="AM112" i="31"/>
  <c r="AU112" i="31"/>
  <c r="BC112" i="31"/>
  <c r="D54" i="31"/>
  <c r="L54" i="31"/>
  <c r="T54" i="31"/>
  <c r="AB54" i="31"/>
  <c r="AJ54" i="31"/>
  <c r="AZ54" i="31"/>
  <c r="D159" i="31"/>
  <c r="L159" i="31"/>
  <c r="T159" i="31"/>
  <c r="AB159" i="31"/>
  <c r="AJ159" i="31"/>
  <c r="AR159" i="31"/>
  <c r="E54" i="31"/>
  <c r="M54" i="31"/>
  <c r="U54" i="31"/>
  <c r="AC54" i="31"/>
  <c r="AK54" i="31"/>
  <c r="AS54" i="31"/>
  <c r="BA54" i="31"/>
  <c r="AF65" i="31"/>
  <c r="AN65" i="31"/>
  <c r="AV65" i="31"/>
  <c r="BD65" i="31"/>
  <c r="AU65" i="31"/>
  <c r="AU161" i="31" s="1"/>
  <c r="BC65" i="31"/>
  <c r="AY159" i="31"/>
  <c r="E159" i="31"/>
  <c r="M159" i="31"/>
  <c r="U159" i="31"/>
  <c r="AC159" i="31"/>
  <c r="AK159" i="31"/>
  <c r="AS159" i="31"/>
  <c r="BA159" i="31"/>
  <c r="BA161" i="31" s="1"/>
  <c r="AO52" i="32"/>
  <c r="AJ75" i="32"/>
  <c r="AZ75" i="32"/>
  <c r="AJ34" i="32"/>
  <c r="Y52" i="32"/>
  <c r="AB75" i="32"/>
  <c r="AR75" i="32"/>
  <c r="AI13" i="32"/>
  <c r="AG52" i="32"/>
  <c r="BV49" i="30"/>
  <c r="BP20" i="30"/>
  <c r="I13" i="30"/>
  <c r="D47" i="30"/>
  <c r="BL52" i="30"/>
  <c r="BW52" i="30"/>
  <c r="CG52" i="30"/>
  <c r="H76" i="30"/>
  <c r="P19" i="30"/>
  <c r="BQ20" i="30"/>
  <c r="BP17" i="30"/>
  <c r="R16" i="30"/>
  <c r="BX53" i="30"/>
  <c r="I54" i="30"/>
  <c r="CI47" i="30"/>
  <c r="BK9" i="30"/>
  <c r="BU18" i="30"/>
  <c r="C43" i="30"/>
  <c r="M53" i="30"/>
  <c r="BD43" i="30"/>
  <c r="G51" i="30"/>
  <c r="Q51" i="30"/>
  <c r="Q66" i="30"/>
  <c r="CJ66" i="30"/>
  <c r="CB70" i="30"/>
  <c r="R11" i="30"/>
  <c r="CE37" i="30"/>
  <c r="O53" i="30"/>
  <c r="BE53" i="30"/>
  <c r="BP53" i="30"/>
  <c r="CD41" i="30"/>
  <c r="CK53" i="30"/>
  <c r="L54" i="30"/>
  <c r="BM54" i="30"/>
  <c r="CL42" i="30"/>
  <c r="BC47" i="30"/>
  <c r="BZ46" i="30"/>
  <c r="H51" i="30"/>
  <c r="BS70" i="30"/>
  <c r="R68" i="30"/>
  <c r="CD68" i="30"/>
  <c r="BK13" i="30"/>
  <c r="BU13" i="30"/>
  <c r="BZ11" i="30"/>
  <c r="M70" i="30"/>
  <c r="CH67" i="30"/>
  <c r="BM20" i="30"/>
  <c r="BX20" i="30"/>
  <c r="BL13" i="30"/>
  <c r="CB52" i="30"/>
  <c r="E76" i="30"/>
  <c r="P76" i="30"/>
  <c r="BM13" i="30"/>
  <c r="BN13" i="30" s="1"/>
  <c r="BX13" i="30"/>
  <c r="CI13" i="30"/>
  <c r="BM34" i="30"/>
  <c r="M47" i="30"/>
  <c r="N47" i="30" s="1"/>
  <c r="BU75" i="30"/>
  <c r="E74" i="30"/>
  <c r="BU74" i="30"/>
  <c r="CL46" i="30"/>
  <c r="J55" i="29"/>
  <c r="AT55" i="29"/>
  <c r="BR66" i="29"/>
  <c r="I158" i="29"/>
  <c r="BV158" i="29"/>
  <c r="AB55" i="29"/>
  <c r="BT55" i="29"/>
  <c r="CD55" i="29"/>
  <c r="AE134" i="29"/>
  <c r="J158" i="29"/>
  <c r="J160" i="29" s="1"/>
  <c r="BM158" i="29"/>
  <c r="BX66" i="30"/>
  <c r="H70" i="30"/>
  <c r="BM74" i="30"/>
  <c r="BX74" i="30"/>
  <c r="AU16" i="29"/>
  <c r="AU55" i="29" s="1"/>
  <c r="BG36" i="29"/>
  <c r="BG55" i="29" s="1"/>
  <c r="AD55" i="29"/>
  <c r="AW55" i="29"/>
  <c r="BM55" i="29"/>
  <c r="BG54" i="29"/>
  <c r="L55" i="29"/>
  <c r="H111" i="29"/>
  <c r="CA52" i="30"/>
  <c r="CK52" i="30"/>
  <c r="BC58" i="29"/>
  <c r="BC66" i="29" s="1"/>
  <c r="CI58" i="29"/>
  <c r="CI157" i="29"/>
  <c r="N55" i="29"/>
  <c r="BJ55" i="29"/>
  <c r="BG58" i="29"/>
  <c r="CM58" i="29"/>
  <c r="CM66" i="29" s="1"/>
  <c r="AI157" i="29"/>
  <c r="BO157" i="29"/>
  <c r="CE157" i="29"/>
  <c r="AY157" i="29"/>
  <c r="S158" i="29"/>
  <c r="BW77" i="30"/>
  <c r="CG77" i="30"/>
  <c r="AA16" i="29"/>
  <c r="BG16" i="29"/>
  <c r="F158" i="29"/>
  <c r="AR158" i="29"/>
  <c r="BB158" i="29"/>
  <c r="BM77" i="30"/>
  <c r="CI77" i="30"/>
  <c r="BV73" i="30"/>
  <c r="BW157" i="29"/>
  <c r="BR50" i="30"/>
  <c r="BL70" i="30"/>
  <c r="CG70" i="30"/>
  <c r="AU36" i="29"/>
  <c r="BQ55" i="29"/>
  <c r="CB55" i="29"/>
  <c r="CL55" i="29"/>
  <c r="H158" i="29"/>
  <c r="BQ26" i="30"/>
  <c r="BL76" i="30"/>
  <c r="CG76" i="30"/>
  <c r="H77" i="30"/>
  <c r="R72" i="30"/>
  <c r="BN73" i="30"/>
  <c r="I18" i="30"/>
  <c r="CH11" i="30"/>
  <c r="CL16" i="30"/>
  <c r="CL41" i="30"/>
  <c r="F63" i="30"/>
  <c r="CG26" i="30"/>
  <c r="CC34" i="30"/>
  <c r="N8" i="30"/>
  <c r="BN25" i="30"/>
  <c r="BU34" i="30"/>
  <c r="BV40" i="30"/>
  <c r="BV42" i="30"/>
  <c r="BZ12" i="30"/>
  <c r="BV33" i="30"/>
  <c r="H47" i="30"/>
  <c r="BQ77" i="30"/>
  <c r="CK77" i="30"/>
  <c r="E20" i="30"/>
  <c r="BE20" i="30"/>
  <c r="BO20" i="30"/>
  <c r="BY20" i="30"/>
  <c r="H13" i="30"/>
  <c r="D17" i="30"/>
  <c r="BR16" i="30"/>
  <c r="BK36" i="30"/>
  <c r="BU26" i="30"/>
  <c r="CF36" i="30"/>
  <c r="BI37" i="30"/>
  <c r="BN33" i="30"/>
  <c r="BX43" i="30"/>
  <c r="CB53" i="30"/>
  <c r="C54" i="30"/>
  <c r="M54" i="30"/>
  <c r="I47" i="30"/>
  <c r="BQ47" i="30"/>
  <c r="F45" i="30"/>
  <c r="CL45" i="30"/>
  <c r="BF46" i="30"/>
  <c r="CH48" i="30"/>
  <c r="BN49" i="30"/>
  <c r="J50" i="30"/>
  <c r="CL63" i="30"/>
  <c r="CL66" i="30" s="1"/>
  <c r="G70" i="30"/>
  <c r="G74" i="30"/>
  <c r="Q74" i="30"/>
  <c r="BL74" i="30"/>
  <c r="F8" i="30"/>
  <c r="BF8" i="30"/>
  <c r="BY13" i="30"/>
  <c r="BM17" i="30"/>
  <c r="BN17" i="30" s="1"/>
  <c r="CL15" i="30"/>
  <c r="BL36" i="30"/>
  <c r="BW36" i="30"/>
  <c r="BE54" i="30"/>
  <c r="BS52" i="30"/>
  <c r="CC52" i="30"/>
  <c r="I51" i="30"/>
  <c r="J51" i="30" s="1"/>
  <c r="K76" i="30"/>
  <c r="BI77" i="30"/>
  <c r="BT77" i="30"/>
  <c r="CE77" i="30"/>
  <c r="BP70" i="30"/>
  <c r="CA70" i="30"/>
  <c r="BC70" i="30"/>
  <c r="CL68" i="30"/>
  <c r="J72" i="30"/>
  <c r="CL73" i="30"/>
  <c r="BY18" i="30"/>
  <c r="BM26" i="30"/>
  <c r="BX36" i="30"/>
  <c r="CI36" i="30"/>
  <c r="BV32" i="30"/>
  <c r="CD40" i="30"/>
  <c r="CE53" i="30"/>
  <c r="CE55" i="30" s="1"/>
  <c r="L47" i="30"/>
  <c r="BN48" i="30"/>
  <c r="BK77" i="30"/>
  <c r="BU77" i="30"/>
  <c r="O18" i="30"/>
  <c r="M19" i="30"/>
  <c r="M13" i="30"/>
  <c r="BV11" i="30"/>
  <c r="R12" i="30"/>
  <c r="CA17" i="30"/>
  <c r="BP36" i="30"/>
  <c r="CA36" i="30"/>
  <c r="CK26" i="30"/>
  <c r="CH31" i="30"/>
  <c r="CH35" i="30" s="1"/>
  <c r="BN32" i="30"/>
  <c r="BI54" i="30"/>
  <c r="BT54" i="30"/>
  <c r="O52" i="30"/>
  <c r="BV46" i="30"/>
  <c r="BR48" i="30"/>
  <c r="N49" i="30"/>
  <c r="CD49" i="30"/>
  <c r="BF50" i="30"/>
  <c r="BK75" i="30"/>
  <c r="O76" i="30"/>
  <c r="CH65" i="30"/>
  <c r="N69" i="30"/>
  <c r="BQ74" i="30"/>
  <c r="BS9" i="30"/>
  <c r="BP19" i="30"/>
  <c r="CK19" i="30"/>
  <c r="BE17" i="30"/>
  <c r="BF17" i="30" s="1"/>
  <c r="CA37" i="30"/>
  <c r="CD33" i="30"/>
  <c r="BT18" i="30"/>
  <c r="E19" i="30"/>
  <c r="O19" i="30"/>
  <c r="L20" i="30"/>
  <c r="BL20" i="30"/>
  <c r="BW20" i="30"/>
  <c r="CG20" i="30"/>
  <c r="BN11" i="30"/>
  <c r="J12" i="30"/>
  <c r="L17" i="30"/>
  <c r="BZ16" i="30"/>
  <c r="BQ37" i="30"/>
  <c r="CG34" i="30"/>
  <c r="CH33" i="30"/>
  <c r="BR41" i="30"/>
  <c r="CJ53" i="30"/>
  <c r="CL53" i="30" s="1"/>
  <c r="BL54" i="30"/>
  <c r="BW54" i="30"/>
  <c r="CG54" i="30"/>
  <c r="G52" i="30"/>
  <c r="CJ47" i="30"/>
  <c r="BN46" i="30"/>
  <c r="P51" i="30"/>
  <c r="CD48" i="30"/>
  <c r="F49" i="30"/>
  <c r="F50" i="30"/>
  <c r="R50" i="30"/>
  <c r="BJ50" i="30"/>
  <c r="BM75" i="30"/>
  <c r="CF66" i="30"/>
  <c r="G76" i="30"/>
  <c r="Q76" i="30"/>
  <c r="CA77" i="30"/>
  <c r="O70" i="30"/>
  <c r="O74" i="30"/>
  <c r="BI74" i="30"/>
  <c r="BT74" i="30"/>
  <c r="AY16" i="29"/>
  <c r="BL55" i="29"/>
  <c r="AI54" i="29"/>
  <c r="AX55" i="29"/>
  <c r="BR55" i="29"/>
  <c r="CC55" i="29"/>
  <c r="AI99" i="29"/>
  <c r="CA134" i="29"/>
  <c r="CF9" i="30"/>
  <c r="CH6" i="30"/>
  <c r="BW13" i="30"/>
  <c r="BZ10" i="30"/>
  <c r="BW18" i="30"/>
  <c r="W16" i="29"/>
  <c r="BC16" i="29"/>
  <c r="CI16" i="29"/>
  <c r="T55" i="29"/>
  <c r="AF55" i="29"/>
  <c r="D55" i="29"/>
  <c r="M55" i="29"/>
  <c r="Z55" i="29"/>
  <c r="CE58" i="29"/>
  <c r="BG65" i="29"/>
  <c r="CM65" i="29"/>
  <c r="AY83" i="29"/>
  <c r="CE83" i="29"/>
  <c r="AQ83" i="29"/>
  <c r="BW83" i="29"/>
  <c r="AQ99" i="29"/>
  <c r="I111" i="29"/>
  <c r="AZ111" i="29"/>
  <c r="BC134" i="29"/>
  <c r="O20" i="30"/>
  <c r="CA16" i="29"/>
  <c r="AQ36" i="29"/>
  <c r="AU54" i="29"/>
  <c r="CE54" i="29"/>
  <c r="BF55" i="29"/>
  <c r="BV55" i="29"/>
  <c r="CG55" i="29"/>
  <c r="CA58" i="29"/>
  <c r="BK83" i="29"/>
  <c r="AI83" i="29"/>
  <c r="BO83" i="29"/>
  <c r="AA83" i="29"/>
  <c r="AM110" i="29"/>
  <c r="BS110" i="29"/>
  <c r="J111" i="29"/>
  <c r="U111" i="29"/>
  <c r="BD55" i="29"/>
  <c r="AY54" i="29"/>
  <c r="CI54" i="29"/>
  <c r="BX55" i="29"/>
  <c r="CH55" i="29"/>
  <c r="BN66" i="29"/>
  <c r="V111" i="29"/>
  <c r="AG111" i="29"/>
  <c r="AG160" i="29" s="1"/>
  <c r="AR111" i="29"/>
  <c r="BB111" i="29"/>
  <c r="BM111" i="29"/>
  <c r="BX111" i="29"/>
  <c r="CH111" i="29"/>
  <c r="N158" i="29"/>
  <c r="V158" i="29"/>
  <c r="BX19" i="30"/>
  <c r="F11" i="30"/>
  <c r="BM160" i="29"/>
  <c r="R111" i="29"/>
  <c r="X55" i="29"/>
  <c r="BE55" i="29"/>
  <c r="H55" i="29"/>
  <c r="H160" i="29"/>
  <c r="P55" i="29"/>
  <c r="BN55" i="29"/>
  <c r="BY55" i="29"/>
  <c r="CJ55" i="29"/>
  <c r="BS65" i="29"/>
  <c r="BK65" i="29"/>
  <c r="BS83" i="29"/>
  <c r="AU110" i="29"/>
  <c r="CA110" i="29"/>
  <c r="M111" i="29"/>
  <c r="X111" i="29"/>
  <c r="BO19" i="30"/>
  <c r="BR7" i="30"/>
  <c r="AN55" i="29"/>
  <c r="AN160" i="29" s="1"/>
  <c r="I55" i="29"/>
  <c r="R55" i="29"/>
  <c r="AP55" i="29"/>
  <c r="BV66" i="29"/>
  <c r="W99" i="29"/>
  <c r="S111" i="29"/>
  <c r="E111" i="29"/>
  <c r="N111" i="29"/>
  <c r="Y111" i="29"/>
  <c r="AJ111" i="29"/>
  <c r="CM16" i="29"/>
  <c r="BS58" i="29"/>
  <c r="CA65" i="29"/>
  <c r="CA66" i="29" s="1"/>
  <c r="W110" i="29"/>
  <c r="F111" i="29"/>
  <c r="P111" i="29"/>
  <c r="Z111" i="29"/>
  <c r="E13" i="30"/>
  <c r="CF13" i="30"/>
  <c r="CH10" i="30"/>
  <c r="BX17" i="30"/>
  <c r="J16" i="30"/>
  <c r="CE18" i="30"/>
  <c r="BS19" i="30"/>
  <c r="CJ20" i="30"/>
  <c r="CL25" i="30"/>
  <c r="BZ28" i="30"/>
  <c r="BZ32" i="30"/>
  <c r="BZ40" i="30"/>
  <c r="CK43" i="30"/>
  <c r="BN45" i="30"/>
  <c r="J46" i="30"/>
  <c r="BY47" i="30"/>
  <c r="N48" i="30"/>
  <c r="BV48" i="30"/>
  <c r="CH49" i="30"/>
  <c r="CA51" i="30"/>
  <c r="BI52" i="30"/>
  <c r="BJ52" i="30" s="1"/>
  <c r="CC70" i="30"/>
  <c r="BJ69" i="30"/>
  <c r="BO74" i="30"/>
  <c r="AC111" i="29"/>
  <c r="AN111" i="29"/>
  <c r="AX111" i="29"/>
  <c r="BI111" i="29"/>
  <c r="BT111" i="29"/>
  <c r="CD111" i="29"/>
  <c r="CE152" i="29"/>
  <c r="AU152" i="29"/>
  <c r="G158" i="29"/>
  <c r="O158" i="29"/>
  <c r="X158" i="29"/>
  <c r="AS158" i="29"/>
  <c r="BX158" i="29"/>
  <c r="CH158" i="29"/>
  <c r="BE158" i="29"/>
  <c r="BN158" i="29"/>
  <c r="BO9" i="30"/>
  <c r="F7" i="30"/>
  <c r="BO13" i="30"/>
  <c r="CG13" i="30"/>
  <c r="CA20" i="30"/>
  <c r="F14" i="30"/>
  <c r="N14" i="30"/>
  <c r="BF14" i="30"/>
  <c r="CI17" i="30"/>
  <c r="BZ15" i="30"/>
  <c r="BD18" i="30"/>
  <c r="BF25" i="30"/>
  <c r="CI26" i="30"/>
  <c r="BZ31" i="30"/>
  <c r="BZ35" i="30" s="1"/>
  <c r="CL32" i="30"/>
  <c r="BX37" i="30"/>
  <c r="P43" i="30"/>
  <c r="BG43" i="30"/>
  <c r="I43" i="30"/>
  <c r="BO53" i="30"/>
  <c r="BO55" i="30" s="1"/>
  <c r="K47" i="30"/>
  <c r="CG47" i="30"/>
  <c r="L52" i="30"/>
  <c r="D53" i="30"/>
  <c r="BC51" i="30"/>
  <c r="BQ51" i="30"/>
  <c r="BQ52" i="30"/>
  <c r="BR52" i="30" s="1"/>
  <c r="R64" i="30"/>
  <c r="BN65" i="30"/>
  <c r="CL65" i="30"/>
  <c r="BE66" i="30"/>
  <c r="F67" i="30"/>
  <c r="BV69" i="30"/>
  <c r="BD70" i="30"/>
  <c r="AQ152" i="29"/>
  <c r="P158" i="29"/>
  <c r="AJ158" i="29"/>
  <c r="AT158" i="29"/>
  <c r="BD158" i="29"/>
  <c r="BY158" i="29"/>
  <c r="CJ158" i="29"/>
  <c r="BF158" i="29"/>
  <c r="BR12" i="30"/>
  <c r="BE18" i="30"/>
  <c r="BE80" i="30" s="1"/>
  <c r="CA19" i="30"/>
  <c r="BR28" i="30"/>
  <c r="CA30" i="30"/>
  <c r="BJ33" i="30"/>
  <c r="CI34" i="30"/>
  <c r="CC36" i="30"/>
  <c r="Q43" i="30"/>
  <c r="BS51" i="30"/>
  <c r="BE51" i="30"/>
  <c r="J64" i="30"/>
  <c r="BU70" i="30"/>
  <c r="Q70" i="30"/>
  <c r="CF70" i="30"/>
  <c r="BH70" i="30"/>
  <c r="AF111" i="29"/>
  <c r="AP111" i="29"/>
  <c r="BA111" i="29"/>
  <c r="BL111" i="29"/>
  <c r="BV111" i="29"/>
  <c r="CG111" i="29"/>
  <c r="CM152" i="29"/>
  <c r="AK158" i="29"/>
  <c r="AV158" i="29"/>
  <c r="BP158" i="29"/>
  <c r="BZ158" i="29"/>
  <c r="AW158" i="29"/>
  <c r="P13" i="30"/>
  <c r="BF10" i="30"/>
  <c r="BF18" i="30" s="1"/>
  <c r="J11" i="30"/>
  <c r="BJ14" i="30"/>
  <c r="BK26" i="30"/>
  <c r="BV28" i="30"/>
  <c r="CF37" i="30"/>
  <c r="CE43" i="30"/>
  <c r="BF45" i="30"/>
  <c r="CH46" i="30"/>
  <c r="D52" i="30"/>
  <c r="BI51" i="30"/>
  <c r="CH50" i="30"/>
  <c r="BG51" i="30"/>
  <c r="CI53" i="30"/>
  <c r="P66" i="30"/>
  <c r="BW70" i="30"/>
  <c r="BN69" i="30"/>
  <c r="AB158" i="29"/>
  <c r="AL158" i="29"/>
  <c r="BQ158" i="29"/>
  <c r="CB158" i="29"/>
  <c r="AX158" i="29"/>
  <c r="CK158" i="29"/>
  <c r="CA9" i="30"/>
  <c r="BJ7" i="30"/>
  <c r="K20" i="30"/>
  <c r="BI18" i="30"/>
  <c r="I17" i="30"/>
  <c r="CD15" i="30"/>
  <c r="CK17" i="30"/>
  <c r="CI19" i="30"/>
  <c r="BL37" i="30"/>
  <c r="BT37" i="30"/>
  <c r="CB37" i="30"/>
  <c r="CJ37" i="30"/>
  <c r="CJ38" i="30" s="1"/>
  <c r="CK36" i="30"/>
  <c r="CH40" i="30"/>
  <c r="BJ41" i="30"/>
  <c r="CD45" i="30"/>
  <c r="E52" i="30"/>
  <c r="BP52" i="30"/>
  <c r="R49" i="30"/>
  <c r="CK51" i="30"/>
  <c r="BK51" i="30"/>
  <c r="BR67" i="30"/>
  <c r="N68" i="30"/>
  <c r="BX77" i="30"/>
  <c r="CE74" i="30"/>
  <c r="AH111" i="29"/>
  <c r="AS111" i="29"/>
  <c r="AC158" i="29"/>
  <c r="AN158" i="29"/>
  <c r="BH158" i="29"/>
  <c r="BR158" i="29"/>
  <c r="AG158" i="29"/>
  <c r="CL158" i="29"/>
  <c r="R6" i="30"/>
  <c r="BJ10" i="30"/>
  <c r="BK20" i="30"/>
  <c r="CD14" i="30"/>
  <c r="F15" i="30"/>
  <c r="BI19" i="30"/>
  <c r="BE34" i="30"/>
  <c r="BT43" i="30"/>
  <c r="BX47" i="30"/>
  <c r="BZ47" i="30" s="1"/>
  <c r="CC51" i="30"/>
  <c r="CG51" i="30"/>
  <c r="CH63" i="30"/>
  <c r="F64" i="30"/>
  <c r="BR65" i="30"/>
  <c r="BZ65" i="30"/>
  <c r="BZ77" i="30" s="1"/>
  <c r="BO70" i="30"/>
  <c r="BZ68" i="30"/>
  <c r="K70" i="30"/>
  <c r="CL69" i="30"/>
  <c r="AT111" i="29"/>
  <c r="BP111" i="29"/>
  <c r="BZ111" i="29"/>
  <c r="CK111" i="29"/>
  <c r="AI134" i="29"/>
  <c r="BG134" i="29"/>
  <c r="D158" i="29"/>
  <c r="AZ158" i="29"/>
  <c r="BI158" i="29"/>
  <c r="BT158" i="29"/>
  <c r="Q158" i="29"/>
  <c r="Y158" i="29"/>
  <c r="AH158" i="29"/>
  <c r="CC158" i="29"/>
  <c r="J6" i="30"/>
  <c r="CE19" i="30"/>
  <c r="CH28" i="30"/>
  <c r="BJ31" i="30"/>
  <c r="BJ35" i="30" s="1"/>
  <c r="CH32" i="30"/>
  <c r="BM36" i="30"/>
  <c r="Q54" i="30"/>
  <c r="BP47" i="30"/>
  <c r="BU51" i="30"/>
  <c r="BV51" i="30" s="1"/>
  <c r="CE54" i="30"/>
  <c r="F68" i="30"/>
  <c r="CK70" i="30"/>
  <c r="BP77" i="30"/>
  <c r="BW74" i="30"/>
  <c r="AK111" i="29"/>
  <c r="AV111" i="29"/>
  <c r="AV160" i="29"/>
  <c r="BQ111" i="29"/>
  <c r="CB111" i="29"/>
  <c r="CL111" i="29"/>
  <c r="BW152" i="29"/>
  <c r="AY152" i="29"/>
  <c r="AF158" i="29"/>
  <c r="CA157" i="29"/>
  <c r="R158" i="29"/>
  <c r="Z158" i="29"/>
  <c r="BU158" i="29"/>
  <c r="CD158" i="29"/>
  <c r="CI20" i="30"/>
  <c r="CA26" i="30"/>
  <c r="BK34" i="30"/>
  <c r="BP37" i="30"/>
  <c r="N42" i="30"/>
  <c r="BO43" i="30"/>
  <c r="BY43" i="30"/>
  <c r="N45" i="30"/>
  <c r="BW47" i="30"/>
  <c r="BJ48" i="30"/>
  <c r="CL59" i="30"/>
  <c r="N67" i="30"/>
  <c r="BR68" i="30"/>
  <c r="C70" i="30"/>
  <c r="L70" i="30"/>
  <c r="P162" i="68"/>
  <c r="K152" i="68"/>
  <c r="M151" i="68"/>
  <c r="Q162" i="68"/>
  <c r="O169" i="68"/>
  <c r="M157" i="68"/>
  <c r="P165" i="68"/>
  <c r="K162" i="68"/>
  <c r="F161" i="68"/>
  <c r="P161" i="68"/>
  <c r="Q161" i="68"/>
  <c r="G161" i="68"/>
  <c r="D159" i="68"/>
  <c r="H152" i="68"/>
  <c r="R150" i="68"/>
  <c r="P151" i="68"/>
  <c r="R164" i="68"/>
  <c r="N161" i="68"/>
  <c r="O160" i="68"/>
  <c r="R152" i="68"/>
  <c r="R165" i="68"/>
  <c r="CR14" i="68"/>
  <c r="S157" i="68" s="1"/>
  <c r="Q159" i="68"/>
  <c r="P166" i="68"/>
  <c r="N169" i="68"/>
  <c r="CR24" i="68"/>
  <c r="P164" i="68"/>
  <c r="CK31" i="68"/>
  <c r="CN31" i="68"/>
  <c r="R169" i="68" s="1"/>
  <c r="R151" i="68"/>
  <c r="O161" i="68"/>
  <c r="P154" i="68"/>
  <c r="P152" i="68"/>
  <c r="R167" i="68"/>
  <c r="P160" i="68"/>
  <c r="J154" i="68"/>
  <c r="CC31" i="68"/>
  <c r="CF31" i="68" s="1"/>
  <c r="K159" i="68"/>
  <c r="O162" i="68"/>
  <c r="G165" i="68"/>
  <c r="C151" i="68"/>
  <c r="Q151" i="68"/>
  <c r="Q149" i="68"/>
  <c r="F162" i="68"/>
  <c r="H151" i="68"/>
  <c r="G167" i="68"/>
  <c r="G166" i="68"/>
  <c r="G164" i="68"/>
  <c r="CR19" i="68"/>
  <c r="G162" i="68"/>
  <c r="CO31" i="68"/>
  <c r="CR9" i="68"/>
  <c r="S152" i="68" s="1"/>
  <c r="D33" i="67"/>
  <c r="D25" i="67"/>
  <c r="D32" i="67"/>
  <c r="D28" i="67"/>
  <c r="D31" i="67"/>
  <c r="D27" i="67"/>
  <c r="D30" i="67"/>
  <c r="D26" i="67"/>
  <c r="I39" i="66"/>
  <c r="T141" i="65"/>
  <c r="Q119" i="65"/>
  <c r="Q141" i="65"/>
  <c r="M38" i="66"/>
  <c r="M34" i="66"/>
  <c r="M33" i="66"/>
  <c r="M36" i="66"/>
  <c r="M35" i="66"/>
  <c r="V147" i="65"/>
  <c r="W141" i="65"/>
  <c r="AX119" i="65"/>
  <c r="AR143" i="65"/>
  <c r="T119" i="65"/>
  <c r="E119" i="65"/>
  <c r="E141" i="65"/>
  <c r="K141" i="65"/>
  <c r="K119" i="65"/>
  <c r="H75" i="65"/>
  <c r="M34" i="67"/>
  <c r="H141" i="65"/>
  <c r="H147" i="65" s="1"/>
  <c r="H119" i="65"/>
  <c r="J39" i="66"/>
  <c r="AR119" i="65"/>
  <c r="AU141" i="65"/>
  <c r="AP147" i="65"/>
  <c r="AR141" i="65"/>
  <c r="AX37" i="65"/>
  <c r="M37" i="66"/>
  <c r="O37" i="66"/>
  <c r="O33" i="66"/>
  <c r="O35" i="66"/>
  <c r="O34" i="66"/>
  <c r="O39" i="66" s="1"/>
  <c r="O38" i="66"/>
  <c r="K144" i="65"/>
  <c r="AF141" i="65"/>
  <c r="AM147" i="65"/>
  <c r="AO141" i="65"/>
  <c r="L39" i="66"/>
  <c r="AC141" i="65"/>
  <c r="AE147" i="65"/>
  <c r="K142" i="65"/>
  <c r="AX160" i="29"/>
  <c r="BG21" i="30"/>
  <c r="BJ75" i="30"/>
  <c r="CD60" i="30"/>
  <c r="CD61" i="30" s="1"/>
  <c r="CC61" i="30"/>
  <c r="BH80" i="30"/>
  <c r="BA160" i="29"/>
  <c r="BE111" i="29"/>
  <c r="BE160" i="29" s="1"/>
  <c r="BF111" i="29"/>
  <c r="BY35" i="30"/>
  <c r="E51" i="30"/>
  <c r="K75" i="30"/>
  <c r="K66" i="30"/>
  <c r="BW75" i="30"/>
  <c r="BW66" i="30"/>
  <c r="E9" i="30"/>
  <c r="BY9" i="30"/>
  <c r="CG9" i="30"/>
  <c r="BN12" i="30"/>
  <c r="CD12" i="30"/>
  <c r="CL12" i="30"/>
  <c r="BR25" i="30"/>
  <c r="BZ25" i="30"/>
  <c r="CH25" i="30"/>
  <c r="BN28" i="30"/>
  <c r="CL28" i="30"/>
  <c r="CJ35" i="30"/>
  <c r="BI36" i="30"/>
  <c r="BI38" i="30" s="1"/>
  <c r="BY36" i="30"/>
  <c r="CG36" i="30"/>
  <c r="BM37" i="30"/>
  <c r="BM82" i="30" s="1"/>
  <c r="BU37" i="30"/>
  <c r="CK37" i="30"/>
  <c r="J41" i="30"/>
  <c r="BP54" i="30"/>
  <c r="BP82" i="30" s="1"/>
  <c r="BX54" i="30"/>
  <c r="CF54" i="30"/>
  <c r="BP43" i="30"/>
  <c r="CF43" i="30"/>
  <c r="BR45" i="30"/>
  <c r="BZ45" i="30"/>
  <c r="CH45" i="30"/>
  <c r="N46" i="30"/>
  <c r="O47" i="30"/>
  <c r="BL47" i="30"/>
  <c r="BL51" i="30"/>
  <c r="BT51" i="30"/>
  <c r="CB51" i="30"/>
  <c r="H52" i="30"/>
  <c r="P52" i="30"/>
  <c r="BD53" i="30"/>
  <c r="BL53" i="30"/>
  <c r="BT53" i="30"/>
  <c r="BC54" i="30"/>
  <c r="BC82" i="30" s="1"/>
  <c r="CI54" i="30"/>
  <c r="CD59" i="30"/>
  <c r="E66" i="30"/>
  <c r="N63" i="30"/>
  <c r="BZ63" i="30"/>
  <c r="BF64" i="30"/>
  <c r="BC66" i="30"/>
  <c r="F65" i="30"/>
  <c r="D70" i="30"/>
  <c r="BB70" i="30"/>
  <c r="BV72" i="30"/>
  <c r="BV74" i="30" s="1"/>
  <c r="R73" i="30"/>
  <c r="AT74" i="30"/>
  <c r="BU43" i="30"/>
  <c r="BV6" i="30"/>
  <c r="CD6" i="30"/>
  <c r="BZ8" i="30"/>
  <c r="BZ20" i="30" s="1"/>
  <c r="AT9" i="30"/>
  <c r="AT21" i="30" s="1"/>
  <c r="BB9" i="30"/>
  <c r="BB21" i="30"/>
  <c r="F10" i="30"/>
  <c r="BN10" i="30"/>
  <c r="BV10" i="30"/>
  <c r="BK18" i="30"/>
  <c r="BS18" i="30"/>
  <c r="AQ82" i="30"/>
  <c r="BO26" i="30"/>
  <c r="BW26" i="30"/>
  <c r="BG34" i="30"/>
  <c r="BW34" i="30"/>
  <c r="CE34" i="30"/>
  <c r="BM35" i="30"/>
  <c r="BU35" i="30"/>
  <c r="CC35" i="30"/>
  <c r="M43" i="30"/>
  <c r="BI43" i="30"/>
  <c r="BQ43" i="30"/>
  <c r="BM47" i="30"/>
  <c r="BU47" i="30"/>
  <c r="CC47" i="30"/>
  <c r="CK47" i="30"/>
  <c r="I52" i="30"/>
  <c r="Q52" i="30"/>
  <c r="AY55" i="30"/>
  <c r="CE60" i="30"/>
  <c r="CH60" i="30" s="1"/>
  <c r="CH61" i="30" s="1"/>
  <c r="O66" i="30"/>
  <c r="R66" i="30" s="1"/>
  <c r="R63" i="30"/>
  <c r="O75" i="30"/>
  <c r="BV64" i="30"/>
  <c r="R65" i="30"/>
  <c r="R69" i="30"/>
  <c r="BE43" i="30"/>
  <c r="CE75" i="30"/>
  <c r="CE66" i="30"/>
  <c r="G9" i="30"/>
  <c r="O9" i="30"/>
  <c r="BG19" i="30"/>
  <c r="BN24" i="30"/>
  <c r="BV24" i="30"/>
  <c r="BV36" i="30" s="1"/>
  <c r="CD24" i="30"/>
  <c r="CL24" i="30"/>
  <c r="BN31" i="30"/>
  <c r="BN35" i="30" s="1"/>
  <c r="BX34" i="30"/>
  <c r="CF34" i="30"/>
  <c r="CH34" i="30" s="1"/>
  <c r="BR42" i="30"/>
  <c r="BZ42" i="30"/>
  <c r="CH42" i="30"/>
  <c r="AT43" i="30"/>
  <c r="BR44" i="30"/>
  <c r="BZ44" i="30"/>
  <c r="J48" i="30"/>
  <c r="R48" i="30"/>
  <c r="BN50" i="30"/>
  <c r="BV50" i="30"/>
  <c r="CD50" i="30"/>
  <c r="CA54" i="30"/>
  <c r="CK54" i="30"/>
  <c r="AZ55" i="30"/>
  <c r="G66" i="30"/>
  <c r="G75" i="30"/>
  <c r="CJ75" i="30"/>
  <c r="CH64" i="30"/>
  <c r="P77" i="30"/>
  <c r="CB66" i="30"/>
  <c r="CH69" i="30"/>
  <c r="AT70" i="30"/>
  <c r="BN72" i="30"/>
  <c r="BN74" i="30" s="1"/>
  <c r="CF74" i="30"/>
  <c r="J73" i="30"/>
  <c r="BC76" i="30"/>
  <c r="AW78" i="30"/>
  <c r="CG35" i="30"/>
  <c r="CI66" i="30"/>
  <c r="CJ9" i="30"/>
  <c r="AQ83" i="30"/>
  <c r="BI30" i="30"/>
  <c r="BJ30" i="30" s="1"/>
  <c r="BQ30" i="30"/>
  <c r="BY30" i="30"/>
  <c r="CG30" i="30"/>
  <c r="CH30" i="30" s="1"/>
  <c r="BI34" i="30"/>
  <c r="BO35" i="30"/>
  <c r="BW35" i="30"/>
  <c r="CE35" i="30"/>
  <c r="BC36" i="30"/>
  <c r="BC38" i="30" s="1"/>
  <c r="G43" i="30"/>
  <c r="BK43" i="30"/>
  <c r="CA43" i="30"/>
  <c r="CI43" i="30"/>
  <c r="BO47" i="30"/>
  <c r="C51" i="30"/>
  <c r="F51" i="30" s="1"/>
  <c r="BW51" i="30"/>
  <c r="CE51" i="30"/>
  <c r="CH51" i="30" s="1"/>
  <c r="K52" i="30"/>
  <c r="AY83" i="30"/>
  <c r="C53" i="30"/>
  <c r="K53" i="30"/>
  <c r="BK66" i="30"/>
  <c r="BN64" i="30"/>
  <c r="J65" i="30"/>
  <c r="BN68" i="30"/>
  <c r="J69" i="30"/>
  <c r="BK76" i="30"/>
  <c r="CF77" i="30"/>
  <c r="BE9" i="30"/>
  <c r="BU9" i="30"/>
  <c r="CC9" i="30"/>
  <c r="CK9" i="30"/>
  <c r="BA81" i="30"/>
  <c r="AT82" i="30"/>
  <c r="BF24" i="30"/>
  <c r="BF32" i="30"/>
  <c r="BG35" i="30"/>
  <c r="CB43" i="30"/>
  <c r="CJ43" i="30"/>
  <c r="CL43" i="30" s="1"/>
  <c r="D51" i="30"/>
  <c r="L51" i="30"/>
  <c r="BH51" i="30"/>
  <c r="BP51" i="30"/>
  <c r="AZ83" i="30"/>
  <c r="G54" i="30"/>
  <c r="CI60" i="30"/>
  <c r="I66" i="30"/>
  <c r="BW76" i="30"/>
  <c r="BZ64" i="30"/>
  <c r="BZ69" i="30"/>
  <c r="CL72" i="30"/>
  <c r="CL74" i="30" s="1"/>
  <c r="C9" i="30"/>
  <c r="BW17" i="30"/>
  <c r="CE17" i="30"/>
  <c r="AS81" i="30"/>
  <c r="BJ24" i="30"/>
  <c r="BJ36" i="30" s="1"/>
  <c r="BR24" i="30"/>
  <c r="BZ24" i="30"/>
  <c r="BL34" i="30"/>
  <c r="BT34" i="30"/>
  <c r="BN42" i="30"/>
  <c r="AX43" i="30"/>
  <c r="J44" i="30"/>
  <c r="R44" i="30"/>
  <c r="CD44" i="30"/>
  <c r="CL44" i="30"/>
  <c r="BB52" i="30"/>
  <c r="CA53" i="30"/>
  <c r="C75" i="30"/>
  <c r="C66" i="30"/>
  <c r="L75" i="30"/>
  <c r="BB75" i="30"/>
  <c r="CF75" i="30"/>
  <c r="AX76" i="30"/>
  <c r="BO76" i="30"/>
  <c r="CJ76" i="30"/>
  <c r="K77" i="30"/>
  <c r="BG70" i="30"/>
  <c r="N70" i="30"/>
  <c r="BP74" i="30"/>
  <c r="CI76" i="30"/>
  <c r="AS161" i="31"/>
  <c r="BO75" i="30"/>
  <c r="BO78" i="30" s="1"/>
  <c r="BO66" i="30"/>
  <c r="L9" i="30"/>
  <c r="BV41" i="30"/>
  <c r="BS47" i="30"/>
  <c r="CA47" i="30"/>
  <c r="BF49" i="30"/>
  <c r="D75" i="30"/>
  <c r="D66" i="30"/>
  <c r="M75" i="30"/>
  <c r="M66" i="30"/>
  <c r="BI75" i="30"/>
  <c r="BI66" i="30"/>
  <c r="BQ75" i="30"/>
  <c r="BQ66" i="30"/>
  <c r="BY75" i="30"/>
  <c r="BY78" i="30" s="1"/>
  <c r="BY66" i="30"/>
  <c r="CG75" i="30"/>
  <c r="CG66" i="30"/>
  <c r="CD64" i="30"/>
  <c r="G77" i="30"/>
  <c r="F161" i="31"/>
  <c r="N161" i="31"/>
  <c r="X161" i="31"/>
  <c r="AD36" i="32"/>
  <c r="BM66" i="30"/>
  <c r="BU66" i="30"/>
  <c r="BF68" i="30"/>
  <c r="BK74" i="30"/>
  <c r="CA74" i="30"/>
  <c r="CI74" i="30"/>
  <c r="AX159" i="31"/>
  <c r="AI26" i="32"/>
  <c r="J67" i="30"/>
  <c r="CD67" i="30"/>
  <c r="BR73" i="30"/>
  <c r="BZ73" i="30"/>
  <c r="CH73" i="30"/>
  <c r="CH77" i="30" s="1"/>
  <c r="BC74" i="30"/>
  <c r="AT66" i="30"/>
  <c r="BF72" i="30"/>
  <c r="BF74" i="30" s="1"/>
  <c r="I75" i="30"/>
  <c r="Q75" i="30"/>
  <c r="Q78" i="30" s="1"/>
  <c r="AQ26" i="32"/>
  <c r="H74" i="30"/>
  <c r="P74" i="30"/>
  <c r="AM35" i="32"/>
  <c r="AM34" i="32"/>
  <c r="BG75" i="30"/>
  <c r="AA21" i="32"/>
  <c r="AY26" i="32"/>
  <c r="AX70" i="30"/>
  <c r="AX78" i="30"/>
  <c r="BJ72" i="30"/>
  <c r="BZ72" i="30"/>
  <c r="CH72" i="30"/>
  <c r="BC77" i="30"/>
  <c r="AJ36" i="32"/>
  <c r="AJ26" i="32"/>
  <c r="AG37" i="32"/>
  <c r="AO37" i="32"/>
  <c r="AW37" i="32"/>
  <c r="U21" i="32"/>
  <c r="AC21" i="32"/>
  <c r="AK9" i="32"/>
  <c r="AS9" i="32"/>
  <c r="BA9" i="32"/>
  <c r="AF26" i="32"/>
  <c r="AN26" i="32"/>
  <c r="AV26" i="32"/>
  <c r="BD26" i="32"/>
  <c r="AU34" i="32"/>
  <c r="U43" i="32"/>
  <c r="AC43" i="32"/>
  <c r="AK43" i="32"/>
  <c r="AS43" i="32"/>
  <c r="BA43" i="32"/>
  <c r="Y75" i="32"/>
  <c r="AG75" i="32"/>
  <c r="AO75" i="32"/>
  <c r="AW75" i="32"/>
  <c r="J196" i="34"/>
  <c r="AK35" i="32"/>
  <c r="T194" i="34"/>
  <c r="W43" i="32"/>
  <c r="AE43" i="32"/>
  <c r="AM43" i="32"/>
  <c r="N18" i="34"/>
  <c r="N165" i="34"/>
  <c r="N19" i="34"/>
  <c r="N166" i="34"/>
  <c r="J20" i="34"/>
  <c r="J84" i="34"/>
  <c r="O227" i="34"/>
  <c r="O226" i="34"/>
  <c r="O247" i="34" s="1"/>
  <c r="G179" i="34"/>
  <c r="R102" i="33"/>
  <c r="F102" i="33"/>
  <c r="N102" i="33"/>
  <c r="R17" i="34"/>
  <c r="R168" i="34"/>
  <c r="R171" i="34" s="1"/>
  <c r="D20" i="34"/>
  <c r="D79" i="34"/>
  <c r="D82" i="34" s="1"/>
  <c r="H179" i="34"/>
  <c r="F238" i="34"/>
  <c r="L239" i="34"/>
  <c r="N193" i="34"/>
  <c r="AD13" i="32"/>
  <c r="AL13" i="32"/>
  <c r="AT13" i="32"/>
  <c r="BB13" i="32"/>
  <c r="AC47" i="32"/>
  <c r="G163" i="33"/>
  <c r="O163" i="33"/>
  <c r="R165" i="34"/>
  <c r="R18" i="34"/>
  <c r="R19" i="34"/>
  <c r="R166" i="34"/>
  <c r="R178" i="34" s="1"/>
  <c r="N8" i="34"/>
  <c r="J237" i="34"/>
  <c r="J179" i="34"/>
  <c r="H238" i="34"/>
  <c r="H196" i="34"/>
  <c r="R147" i="33"/>
  <c r="F147" i="33"/>
  <c r="N147" i="33"/>
  <c r="G82" i="34"/>
  <c r="S201" i="34"/>
  <c r="S176" i="34"/>
  <c r="U8" i="34"/>
  <c r="Q12" i="34"/>
  <c r="U16" i="34"/>
  <c r="S17" i="34"/>
  <c r="S79" i="34" s="1"/>
  <c r="Q18" i="34"/>
  <c r="O19" i="34"/>
  <c r="E20" i="34"/>
  <c r="M20" i="34"/>
  <c r="T25" i="34"/>
  <c r="P29" i="34"/>
  <c r="T33" i="34"/>
  <c r="P35" i="34"/>
  <c r="N36" i="34"/>
  <c r="P42" i="34"/>
  <c r="N51" i="34"/>
  <c r="T52" i="34"/>
  <c r="U63" i="34"/>
  <c r="U88" i="34" s="1"/>
  <c r="T67" i="34"/>
  <c r="T89" i="34" s="1"/>
  <c r="R68" i="34"/>
  <c r="N70" i="34"/>
  <c r="I79" i="34"/>
  <c r="I82" i="34"/>
  <c r="Q166" i="34"/>
  <c r="G167" i="34"/>
  <c r="E176" i="34"/>
  <c r="M176" i="34"/>
  <c r="K177" i="34"/>
  <c r="O193" i="34"/>
  <c r="N182" i="34"/>
  <c r="Q185" i="34"/>
  <c r="Q188" i="34" s="1"/>
  <c r="S189" i="34"/>
  <c r="L244" i="34"/>
  <c r="D193" i="34"/>
  <c r="F213" i="34"/>
  <c r="N198" i="34"/>
  <c r="N199" i="34"/>
  <c r="N211" i="34" s="1"/>
  <c r="N200" i="34"/>
  <c r="F201" i="34"/>
  <c r="Q202" i="34"/>
  <c r="Q207" i="34"/>
  <c r="Q209" i="34" s="1"/>
  <c r="Q227" i="34"/>
  <c r="Q218" i="34"/>
  <c r="P216" i="34"/>
  <c r="P223" i="34"/>
  <c r="F20" i="34"/>
  <c r="U25" i="34"/>
  <c r="Q42" i="34"/>
  <c r="U46" i="34"/>
  <c r="U209" i="34"/>
  <c r="U52" i="34"/>
  <c r="Q69" i="34"/>
  <c r="T165" i="34"/>
  <c r="H167" i="34"/>
  <c r="F176" i="34"/>
  <c r="D177" i="34"/>
  <c r="L177" i="34"/>
  <c r="L179" i="34"/>
  <c r="O182" i="34"/>
  <c r="H184" i="34"/>
  <c r="H242" i="34" s="1"/>
  <c r="R185" i="34"/>
  <c r="M195" i="34"/>
  <c r="P198" i="34"/>
  <c r="O199" i="34"/>
  <c r="O201" i="34" s="1"/>
  <c r="G212" i="34"/>
  <c r="R202" i="34"/>
  <c r="T207" i="34"/>
  <c r="I210" i="34"/>
  <c r="O8" i="34"/>
  <c r="S12" i="34"/>
  <c r="G20" i="34"/>
  <c r="N25" i="34"/>
  <c r="N33" i="34"/>
  <c r="N46" i="34"/>
  <c r="R50" i="34"/>
  <c r="R87" i="34" s="1"/>
  <c r="T53" i="34"/>
  <c r="R229" i="34"/>
  <c r="O63" i="34"/>
  <c r="O88" i="34" s="1"/>
  <c r="T68" i="34"/>
  <c r="R69" i="34"/>
  <c r="P70" i="34"/>
  <c r="K84" i="34"/>
  <c r="U165" i="34"/>
  <c r="I167" i="34"/>
  <c r="I242" i="34" s="1"/>
  <c r="O168" i="34"/>
  <c r="I184" i="34"/>
  <c r="Q181" i="34"/>
  <c r="P182" i="34"/>
  <c r="P194" i="34" s="1"/>
  <c r="J184" i="34"/>
  <c r="S185" i="34"/>
  <c r="H210" i="34"/>
  <c r="Q198" i="34"/>
  <c r="P199" i="34"/>
  <c r="P211" i="34" s="1"/>
  <c r="P200" i="34"/>
  <c r="J201" i="34"/>
  <c r="J243" i="34"/>
  <c r="J205" i="34"/>
  <c r="J244" i="34" s="1"/>
  <c r="S202" i="34"/>
  <c r="S205" i="34" s="1"/>
  <c r="S227" i="34"/>
  <c r="M229" i="34"/>
  <c r="M218" i="34"/>
  <c r="M243" i="34"/>
  <c r="S220" i="34"/>
  <c r="S222" i="34" s="1"/>
  <c r="S246" i="34" s="1"/>
  <c r="P8" i="34"/>
  <c r="T12" i="34"/>
  <c r="P16" i="34"/>
  <c r="T18" i="34"/>
  <c r="T20" i="34" s="1"/>
  <c r="H20" i="34"/>
  <c r="O25" i="34"/>
  <c r="U34" i="34"/>
  <c r="S35" i="34"/>
  <c r="Q36" i="34"/>
  <c r="O210" i="34"/>
  <c r="S42" i="34"/>
  <c r="O46" i="34"/>
  <c r="S50" i="34"/>
  <c r="U53" i="34"/>
  <c r="Q59" i="34"/>
  <c r="S69" i="34"/>
  <c r="Q70" i="34"/>
  <c r="L84" i="34"/>
  <c r="J167" i="34"/>
  <c r="P168" i="34"/>
  <c r="P171" i="34" s="1"/>
  <c r="R183" i="34"/>
  <c r="R195" i="34" s="1"/>
  <c r="I193" i="34"/>
  <c r="I196" i="34" s="1"/>
  <c r="E195" i="34"/>
  <c r="R198" i="34"/>
  <c r="I211" i="34"/>
  <c r="Q199" i="34"/>
  <c r="K201" i="34"/>
  <c r="U201" i="34"/>
  <c r="Q8" i="34"/>
  <c r="O17" i="34"/>
  <c r="P33" i="34"/>
  <c r="N34" i="34"/>
  <c r="T35" i="34"/>
  <c r="P46" i="34"/>
  <c r="T229" i="34"/>
  <c r="R59" i="34"/>
  <c r="Q63" i="34"/>
  <c r="Q88" i="34" s="1"/>
  <c r="P67" i="34"/>
  <c r="P89" i="34" s="1"/>
  <c r="R70" i="34"/>
  <c r="O165" i="34"/>
  <c r="U166" i="34"/>
  <c r="Q168" i="34"/>
  <c r="S181" i="34"/>
  <c r="T183" i="34"/>
  <c r="L184" i="34"/>
  <c r="L242" i="34" s="1"/>
  <c r="R199" i="34"/>
  <c r="N209" i="34"/>
  <c r="U227" i="34"/>
  <c r="U217" i="34"/>
  <c r="Q33" i="34"/>
  <c r="U35" i="34"/>
  <c r="U42" i="34"/>
  <c r="U50" i="34"/>
  <c r="U69" i="34"/>
  <c r="P165" i="34"/>
  <c r="U183" i="34"/>
  <c r="H244" i="34"/>
  <c r="K193" i="34"/>
  <c r="S16" i="34"/>
  <c r="N29" i="34"/>
  <c r="R33" i="34"/>
  <c r="N50" i="34"/>
  <c r="N87" i="34" s="1"/>
  <c r="N228" i="34"/>
  <c r="S226" i="34"/>
  <c r="S247" i="34" s="1"/>
  <c r="R67" i="34"/>
  <c r="R89" i="34" s="1"/>
  <c r="N69" i="34"/>
  <c r="T70" i="34"/>
  <c r="T76" i="34"/>
  <c r="T77" i="34" s="1"/>
  <c r="D210" i="34"/>
  <c r="L210" i="34"/>
  <c r="D211" i="34"/>
  <c r="L211" i="34"/>
  <c r="D201" i="34"/>
  <c r="D243" i="34" s="1"/>
  <c r="F205" i="34"/>
  <c r="F244" i="34" s="1"/>
  <c r="O207" i="34"/>
  <c r="O209" i="34" s="1"/>
  <c r="O218" i="34"/>
  <c r="T16" i="34"/>
  <c r="O29" i="34"/>
  <c r="O42" i="34"/>
  <c r="U51" i="34"/>
  <c r="S52" i="34"/>
  <c r="S54" i="34"/>
  <c r="Q53" i="34"/>
  <c r="U59" i="34"/>
  <c r="O69" i="34"/>
  <c r="I244" i="34"/>
  <c r="G205" i="34"/>
  <c r="G244" i="34" s="1"/>
  <c r="I209" i="34"/>
  <c r="I245" i="34"/>
  <c r="G184" i="34"/>
  <c r="G201" i="34"/>
  <c r="G243" i="34" s="1"/>
  <c r="L227" i="34"/>
  <c r="L230" i="34" s="1"/>
  <c r="AX30" i="36"/>
  <c r="CB69" i="36"/>
  <c r="E116" i="37"/>
  <c r="M116" i="37"/>
  <c r="G116" i="37"/>
  <c r="O116" i="37"/>
  <c r="BH60" i="36"/>
  <c r="E163" i="37"/>
  <c r="M163" i="37"/>
  <c r="AA14" i="38"/>
  <c r="AI14" i="38"/>
  <c r="AQ14" i="38"/>
  <c r="I29" i="38"/>
  <c r="AW29" i="38"/>
  <c r="K79" i="40"/>
  <c r="R79" i="40" s="1"/>
  <c r="AQ78" i="42"/>
  <c r="W9" i="38"/>
  <c r="T14" i="38"/>
  <c r="AC9" i="43"/>
  <c r="AQ7" i="43"/>
  <c r="P9" i="38"/>
  <c r="AH12" i="38"/>
  <c r="AX12" i="38"/>
  <c r="C29" i="38"/>
  <c r="AA29" i="38"/>
  <c r="K83" i="40"/>
  <c r="R83" i="40" s="1"/>
  <c r="AQ16" i="43"/>
  <c r="AO19" i="43"/>
  <c r="AT56" i="42"/>
  <c r="AT78" i="42"/>
  <c r="J108" i="42"/>
  <c r="X33" i="38"/>
  <c r="Z33" i="38" s="1"/>
  <c r="W34" i="38"/>
  <c r="AF34" i="38"/>
  <c r="W14" i="38"/>
  <c r="U29" i="38"/>
  <c r="AC29" i="38"/>
  <c r="L291" i="40"/>
  <c r="M291" i="40" s="1"/>
  <c r="AQ6" i="43"/>
  <c r="AO31" i="43"/>
  <c r="D108" i="42"/>
  <c r="AG31" i="43"/>
  <c r="F108" i="42"/>
  <c r="AS9" i="43"/>
  <c r="AS31" i="43"/>
  <c r="AO33" i="43"/>
  <c r="AQ18" i="43"/>
  <c r="K94" i="40"/>
  <c r="R94" i="40" s="1"/>
  <c r="L116" i="40"/>
  <c r="N116" i="40" s="1"/>
  <c r="L122" i="40"/>
  <c r="N122" i="40" s="1"/>
  <c r="F125" i="40"/>
  <c r="L128" i="40"/>
  <c r="N128" i="40" s="1"/>
  <c r="M160" i="40"/>
  <c r="K207" i="40"/>
  <c r="L242" i="40"/>
  <c r="M242" i="40" s="1"/>
  <c r="K255" i="40"/>
  <c r="L307" i="40"/>
  <c r="M307" i="40" s="1"/>
  <c r="L345" i="40"/>
  <c r="M345" i="40" s="1"/>
  <c r="AA31" i="43"/>
  <c r="AH25" i="42"/>
  <c r="AP25" i="42"/>
  <c r="AF19" i="43"/>
  <c r="AG56" i="42"/>
  <c r="AO56" i="42"/>
  <c r="AA78" i="42"/>
  <c r="AI78" i="42"/>
  <c r="AL35" i="43"/>
  <c r="AN12" i="43"/>
  <c r="AN35" i="43" s="1"/>
  <c r="N93" i="42"/>
  <c r="N108" i="42" s="1"/>
  <c r="V93" i="42"/>
  <c r="V108" i="42" s="1"/>
  <c r="AD93" i="42"/>
  <c r="AD13" i="43"/>
  <c r="AD36" i="43" s="1"/>
  <c r="AL93" i="42"/>
  <c r="AN21" i="43"/>
  <c r="AQ101" i="42"/>
  <c r="AQ106" i="42"/>
  <c r="AO106" i="42"/>
  <c r="AG8" i="43"/>
  <c r="AG34" i="43" s="1"/>
  <c r="AI9" i="43"/>
  <c r="Q78" i="40"/>
  <c r="F87" i="40"/>
  <c r="Q89" i="40"/>
  <c r="M116" i="40"/>
  <c r="L144" i="40"/>
  <c r="N144" i="40" s="1"/>
  <c r="F147" i="40"/>
  <c r="AB31" i="43"/>
  <c r="AB9" i="43"/>
  <c r="AJ9" i="43"/>
  <c r="AT7" i="43"/>
  <c r="AA25" i="42"/>
  <c r="AI25" i="42"/>
  <c r="AN18" i="43"/>
  <c r="AH56" i="42"/>
  <c r="AP56" i="42"/>
  <c r="AT26" i="43"/>
  <c r="AR29" i="43"/>
  <c r="AB78" i="42"/>
  <c r="AJ78" i="42"/>
  <c r="AR78" i="42"/>
  <c r="AR14" i="43"/>
  <c r="AT11" i="43"/>
  <c r="O93" i="42"/>
  <c r="O108" i="42" s="1"/>
  <c r="W93" i="42"/>
  <c r="W108" i="42" s="1"/>
  <c r="AE93" i="42"/>
  <c r="AM93" i="42"/>
  <c r="AS106" i="42"/>
  <c r="AK8" i="43"/>
  <c r="AK18" i="43"/>
  <c r="AK33" i="43"/>
  <c r="AN23" i="43"/>
  <c r="Q94" i="40"/>
  <c r="L172" i="40"/>
  <c r="M172" i="40" s="1"/>
  <c r="L219" i="40"/>
  <c r="M219" i="40" s="1"/>
  <c r="L284" i="40"/>
  <c r="M284" i="40" s="1"/>
  <c r="K324" i="40"/>
  <c r="AB25" i="42"/>
  <c r="AJ25" i="42"/>
  <c r="AR25" i="42"/>
  <c r="AH19" i="43"/>
  <c r="AP19" i="43"/>
  <c r="AE33" i="43"/>
  <c r="AM33" i="43"/>
  <c r="AA56" i="42"/>
  <c r="AI56" i="42"/>
  <c r="AQ27" i="43"/>
  <c r="AC78" i="42"/>
  <c r="AK78" i="42"/>
  <c r="AS78" i="42"/>
  <c r="AQ92" i="42"/>
  <c r="AQ93" i="42" s="1"/>
  <c r="AT97" i="42"/>
  <c r="AF24" i="43"/>
  <c r="AO24" i="43"/>
  <c r="AO8" i="43"/>
  <c r="AO9" i="43" s="1"/>
  <c r="AD9" i="43"/>
  <c r="AN6" i="43"/>
  <c r="AL31" i="43"/>
  <c r="AL32" i="43"/>
  <c r="AC25" i="42"/>
  <c r="AS25" i="42"/>
  <c r="AB56" i="42"/>
  <c r="AJ56" i="42"/>
  <c r="AR56" i="42"/>
  <c r="AN26" i="43"/>
  <c r="AD78" i="42"/>
  <c r="AL78" i="42"/>
  <c r="AN11" i="43"/>
  <c r="AT93" i="42"/>
  <c r="Q93" i="42"/>
  <c r="Q108" i="42"/>
  <c r="Y93" i="42"/>
  <c r="AG13" i="43"/>
  <c r="AG36" i="43" s="1"/>
  <c r="AG93" i="42"/>
  <c r="Y24" i="43"/>
  <c r="Y31" i="43"/>
  <c r="Y37" i="43" s="1"/>
  <c r="AS18" i="43"/>
  <c r="AS33" i="43" s="1"/>
  <c r="W24" i="43"/>
  <c r="W31" i="43"/>
  <c r="W37" i="43" s="1"/>
  <c r="AP28" i="43"/>
  <c r="AP34" i="43" s="1"/>
  <c r="L108" i="40"/>
  <c r="N108" i="40" s="1"/>
  <c r="L155" i="40"/>
  <c r="N155" i="40" s="1"/>
  <c r="K194" i="40"/>
  <c r="L335" i="40"/>
  <c r="M335" i="40" s="1"/>
  <c r="K357" i="40"/>
  <c r="AM31" i="43"/>
  <c r="AE32" i="43"/>
  <c r="AM32" i="43"/>
  <c r="AH34" i="43"/>
  <c r="AD25" i="42"/>
  <c r="AL25" i="42"/>
  <c r="AB19" i="43"/>
  <c r="AJ19" i="43"/>
  <c r="AR19" i="43"/>
  <c r="AT16" i="43"/>
  <c r="AC56" i="42"/>
  <c r="AE78" i="42"/>
  <c r="AM78" i="42"/>
  <c r="R93" i="42"/>
  <c r="R108" i="42" s="1"/>
  <c r="Z93" i="42"/>
  <c r="AH13" i="43"/>
  <c r="AH36" i="43"/>
  <c r="AH93" i="42"/>
  <c r="AP13" i="43"/>
  <c r="AP36" i="43" s="1"/>
  <c r="AP93" i="42"/>
  <c r="AF93" i="42"/>
  <c r="Z31" i="43"/>
  <c r="Z37" i="43" s="1"/>
  <c r="Z24" i="43"/>
  <c r="Y106" i="42"/>
  <c r="AQ12" i="43"/>
  <c r="AQ35" i="43"/>
  <c r="AL24" i="43"/>
  <c r="F114" i="40"/>
  <c r="AF31" i="43"/>
  <c r="AF9" i="43"/>
  <c r="AE25" i="42"/>
  <c r="AM25" i="42"/>
  <c r="AP33" i="43"/>
  <c r="AD56" i="42"/>
  <c r="AL56" i="42"/>
  <c r="AF78" i="42"/>
  <c r="K93" i="42"/>
  <c r="K108" i="42"/>
  <c r="S93" i="42"/>
  <c r="S108" i="42"/>
  <c r="AA93" i="42"/>
  <c r="AI93" i="42"/>
  <c r="AR36" i="43"/>
  <c r="AJ93" i="42"/>
  <c r="AC106" i="42"/>
  <c r="AA13" i="43"/>
  <c r="AA36" i="43" s="1"/>
  <c r="AR34" i="43"/>
  <c r="AT8" i="43"/>
  <c r="AT34" i="43"/>
  <c r="AF25" i="42"/>
  <c r="AL19" i="43"/>
  <c r="AN16" i="43"/>
  <c r="AE56" i="42"/>
  <c r="AM56" i="42"/>
  <c r="AO29" i="43"/>
  <c r="AQ26" i="43"/>
  <c r="AQ29" i="43" s="1"/>
  <c r="AG78" i="42"/>
  <c r="AO78" i="42"/>
  <c r="AR35" i="43"/>
  <c r="AT12" i="43"/>
  <c r="AT35" i="43" s="1"/>
  <c r="AS93" i="42"/>
  <c r="AS24" i="43"/>
  <c r="AN105" i="42"/>
  <c r="AD106" i="42"/>
  <c r="AG106" i="42"/>
  <c r="AE13" i="43"/>
  <c r="AE36" i="43" s="1"/>
  <c r="AI21" i="43"/>
  <c r="AH31" i="43"/>
  <c r="AH9" i="43"/>
  <c r="AP9" i="43"/>
  <c r="AR33" i="43"/>
  <c r="AF56" i="42"/>
  <c r="AH78" i="42"/>
  <c r="M93" i="42"/>
  <c r="M108" i="42" s="1"/>
  <c r="U93" i="42"/>
  <c r="U108" i="42" s="1"/>
  <c r="AC93" i="42"/>
  <c r="AC13" i="43"/>
  <c r="AC36" i="43" s="1"/>
  <c r="AK93" i="42"/>
  <c r="AE9" i="43"/>
  <c r="AM24" i="43"/>
  <c r="AO93" i="42"/>
  <c r="AL106" i="42"/>
  <c r="X23" i="43"/>
  <c r="X33" i="43" s="1"/>
  <c r="N55" i="44"/>
  <c r="R56" i="44"/>
  <c r="AE106" i="42"/>
  <c r="AK13" i="43"/>
  <c r="AK36" i="43" s="1"/>
  <c r="AS13" i="43"/>
  <c r="AS36" i="43" s="1"/>
  <c r="AF106" i="42"/>
  <c r="AL13" i="43"/>
  <c r="AL14" i="43" s="1"/>
  <c r="AP21" i="43"/>
  <c r="AP31" i="43" s="1"/>
  <c r="L78" i="44"/>
  <c r="Z106" i="42"/>
  <c r="AH106" i="42"/>
  <c r="AJ21" i="43"/>
  <c r="AJ24" i="43" s="1"/>
  <c r="AR21" i="43"/>
  <c r="E56" i="44"/>
  <c r="M56" i="44"/>
  <c r="AA106" i="42"/>
  <c r="Q20" i="44"/>
  <c r="N77" i="44"/>
  <c r="AB106" i="42"/>
  <c r="T26" i="46"/>
  <c r="F26" i="46"/>
  <c r="Z104" i="46"/>
  <c r="AC104" i="46"/>
  <c r="W36" i="46"/>
  <c r="T83" i="48"/>
  <c r="C84" i="48"/>
  <c r="E105" i="48"/>
  <c r="H39" i="49"/>
  <c r="AF36" i="46"/>
  <c r="C56" i="46"/>
  <c r="T63" i="46"/>
  <c r="O84" i="48"/>
  <c r="M84" i="48"/>
  <c r="O106" i="48"/>
  <c r="Q25" i="46"/>
  <c r="C26" i="46"/>
  <c r="Z36" i="46"/>
  <c r="P106" i="48"/>
  <c r="N71" i="52"/>
  <c r="K36" i="46"/>
  <c r="W63" i="46"/>
  <c r="K70" i="48"/>
  <c r="Q91" i="48"/>
  <c r="J38" i="49"/>
  <c r="J39" i="49" s="1"/>
  <c r="M86" i="49"/>
  <c r="I71" i="48"/>
  <c r="K100" i="48"/>
  <c r="T105" i="48"/>
  <c r="M26" i="49"/>
  <c r="M38" i="49"/>
  <c r="Q24" i="52"/>
  <c r="O40" i="52"/>
  <c r="N79" i="52"/>
  <c r="Q91" i="52"/>
  <c r="W100" i="52"/>
  <c r="W105" i="52"/>
  <c r="L106" i="52"/>
  <c r="N106" i="52" s="1"/>
  <c r="G25" i="53"/>
  <c r="T24" i="53"/>
  <c r="E69" i="53"/>
  <c r="W72" i="53"/>
  <c r="E15" i="52"/>
  <c r="U25" i="52"/>
  <c r="W25" i="52" s="1"/>
  <c r="T51" i="52"/>
  <c r="W79" i="52"/>
  <c r="O84" i="52"/>
  <c r="Q84" i="52" s="1"/>
  <c r="F106" i="52"/>
  <c r="L40" i="53"/>
  <c r="H62" i="53"/>
  <c r="H70" i="53" s="1"/>
  <c r="Q40" i="54"/>
  <c r="N83" i="48"/>
  <c r="XEV43" i="49"/>
  <c r="T91" i="52"/>
  <c r="O106" i="52"/>
  <c r="K62" i="53"/>
  <c r="T77" i="53"/>
  <c r="R78" i="53"/>
  <c r="T78" i="53" s="1"/>
  <c r="H94" i="53"/>
  <c r="P106" i="52"/>
  <c r="R84" i="52"/>
  <c r="T84" i="52" s="1"/>
  <c r="I108" i="52"/>
  <c r="R106" i="52"/>
  <c r="U25" i="53"/>
  <c r="W25" i="53" s="1"/>
  <c r="W15" i="53"/>
  <c r="C40" i="53"/>
  <c r="E39" i="53"/>
  <c r="W63" i="52"/>
  <c r="L25" i="53"/>
  <c r="N15" i="53"/>
  <c r="C25" i="53"/>
  <c r="Q34" i="53"/>
  <c r="N50" i="53"/>
  <c r="L70" i="53"/>
  <c r="N70" i="53" s="1"/>
  <c r="O70" i="53"/>
  <c r="Q99" i="54"/>
  <c r="J25" i="52"/>
  <c r="W34" i="52"/>
  <c r="Q24" i="53"/>
  <c r="C70" i="53"/>
  <c r="R70" i="53"/>
  <c r="T70" i="53" s="1"/>
  <c r="G40" i="53"/>
  <c r="P40" i="53"/>
  <c r="Q74" i="53"/>
  <c r="Q94" i="53"/>
  <c r="Q24" i="54"/>
  <c r="T47" i="54"/>
  <c r="Q98" i="54"/>
  <c r="H21" i="55"/>
  <c r="C88" i="55"/>
  <c r="K88" i="55"/>
  <c r="L41" i="56"/>
  <c r="L88" i="57"/>
  <c r="T86" i="57"/>
  <c r="K27" i="58"/>
  <c r="P40" i="60"/>
  <c r="T58" i="57"/>
  <c r="Q15" i="53"/>
  <c r="U100" i="53"/>
  <c r="L40" i="54"/>
  <c r="N40" i="54" s="1"/>
  <c r="T31" i="56"/>
  <c r="X107" i="56"/>
  <c r="K21" i="57"/>
  <c r="K31" i="57"/>
  <c r="T24" i="54"/>
  <c r="T98" i="54"/>
  <c r="K59" i="55"/>
  <c r="K67" i="55" s="1"/>
  <c r="P67" i="55"/>
  <c r="N31" i="57"/>
  <c r="W58" i="57"/>
  <c r="U78" i="53"/>
  <c r="G116" i="55"/>
  <c r="C115" i="55"/>
  <c r="K115" i="55"/>
  <c r="K116" i="55" s="1"/>
  <c r="D31" i="56"/>
  <c r="X41" i="56"/>
  <c r="E38" i="59"/>
  <c r="E27" i="58"/>
  <c r="V67" i="55"/>
  <c r="O40" i="60"/>
  <c r="G591" i="26"/>
  <c r="G593" i="26" s="1"/>
  <c r="F591" i="26"/>
  <c r="E591" i="26"/>
  <c r="D591" i="26"/>
  <c r="H590" i="26"/>
  <c r="J590" i="26" s="1"/>
  <c r="H589" i="26"/>
  <c r="I589" i="26" s="1"/>
  <c r="K589" i="26" s="1"/>
  <c r="H588" i="26"/>
  <c r="J588" i="26" s="1"/>
  <c r="G586" i="26"/>
  <c r="F586" i="26"/>
  <c r="E586" i="26"/>
  <c r="D586" i="26"/>
  <c r="H585" i="26"/>
  <c r="I585" i="26" s="1"/>
  <c r="K585" i="26" s="1"/>
  <c r="H584" i="26"/>
  <c r="J584" i="26" s="1"/>
  <c r="H583" i="26"/>
  <c r="I583" i="26" s="1"/>
  <c r="K583" i="26" s="1"/>
  <c r="G581" i="26"/>
  <c r="F581" i="26"/>
  <c r="E581" i="26"/>
  <c r="E593" i="26" s="1"/>
  <c r="D581" i="26"/>
  <c r="H580" i="26"/>
  <c r="J580" i="26"/>
  <c r="H579" i="26"/>
  <c r="I579" i="26" s="1"/>
  <c r="K579" i="26" s="1"/>
  <c r="H578" i="26"/>
  <c r="J578" i="26" s="1"/>
  <c r="G568" i="26"/>
  <c r="F568" i="26"/>
  <c r="E568" i="26"/>
  <c r="D568" i="26"/>
  <c r="H567" i="26"/>
  <c r="J567" i="26" s="1"/>
  <c r="H566" i="26"/>
  <c r="I566" i="26" s="1"/>
  <c r="K566" i="26" s="1"/>
  <c r="H565" i="26"/>
  <c r="G563" i="26"/>
  <c r="F563" i="26"/>
  <c r="E563" i="26"/>
  <c r="D563" i="26"/>
  <c r="H562" i="26"/>
  <c r="I562" i="26"/>
  <c r="K562" i="26" s="1"/>
  <c r="H561" i="26"/>
  <c r="H560" i="26"/>
  <c r="I560" i="26" s="1"/>
  <c r="K560" i="26" s="1"/>
  <c r="G558" i="26"/>
  <c r="F558" i="26"/>
  <c r="E558" i="26"/>
  <c r="D558" i="26"/>
  <c r="H557" i="26"/>
  <c r="I557" i="26" s="1"/>
  <c r="K557" i="26" s="1"/>
  <c r="H556" i="26"/>
  <c r="I556" i="26" s="1"/>
  <c r="K556" i="26" s="1"/>
  <c r="H555" i="26"/>
  <c r="I555" i="26" s="1"/>
  <c r="K555" i="26" s="1"/>
  <c r="D545" i="26"/>
  <c r="G540" i="26"/>
  <c r="F540" i="26"/>
  <c r="E540" i="26"/>
  <c r="D540" i="26"/>
  <c r="H539" i="26"/>
  <c r="J539" i="26" s="1"/>
  <c r="H538" i="26"/>
  <c r="I538" i="26" s="1"/>
  <c r="K538" i="26" s="1"/>
  <c r="H537" i="26"/>
  <c r="J537" i="26" s="1"/>
  <c r="G535" i="26"/>
  <c r="F535" i="26"/>
  <c r="H535" i="26" s="1"/>
  <c r="E535" i="26"/>
  <c r="D535" i="26"/>
  <c r="H534" i="26"/>
  <c r="J534" i="26" s="1"/>
  <c r="H533" i="26"/>
  <c r="I533" i="26" s="1"/>
  <c r="K533" i="26" s="1"/>
  <c r="H532" i="26"/>
  <c r="J532" i="26" s="1"/>
  <c r="G530" i="26"/>
  <c r="F530" i="26"/>
  <c r="E530" i="26"/>
  <c r="D530" i="26"/>
  <c r="H529" i="26"/>
  <c r="J529" i="26" s="1"/>
  <c r="H528" i="26"/>
  <c r="J528" i="26" s="1"/>
  <c r="H527" i="26"/>
  <c r="J527" i="26" s="1"/>
  <c r="D518" i="26"/>
  <c r="G513" i="26"/>
  <c r="F513" i="26"/>
  <c r="H513" i="26" s="1"/>
  <c r="E513" i="26"/>
  <c r="D513" i="26"/>
  <c r="H512" i="26"/>
  <c r="I512" i="26" s="1"/>
  <c r="K512" i="26" s="1"/>
  <c r="H511" i="26"/>
  <c r="J511" i="26" s="1"/>
  <c r="H510" i="26"/>
  <c r="I510" i="26" s="1"/>
  <c r="K510" i="26" s="1"/>
  <c r="G508" i="26"/>
  <c r="F508" i="26"/>
  <c r="E508" i="26"/>
  <c r="D508" i="26"/>
  <c r="H507" i="26"/>
  <c r="J507" i="26" s="1"/>
  <c r="H506" i="26"/>
  <c r="I506" i="26" s="1"/>
  <c r="K506" i="26" s="1"/>
  <c r="H505" i="26"/>
  <c r="J505" i="26" s="1"/>
  <c r="G503" i="26"/>
  <c r="F503" i="26"/>
  <c r="E503" i="26"/>
  <c r="D503" i="26"/>
  <c r="H502" i="26"/>
  <c r="I502" i="26" s="1"/>
  <c r="K502" i="26" s="1"/>
  <c r="H501" i="26"/>
  <c r="J501" i="26"/>
  <c r="H500" i="26"/>
  <c r="I500" i="26" s="1"/>
  <c r="K500" i="26" s="1"/>
  <c r="G490" i="26"/>
  <c r="F490" i="26"/>
  <c r="E490" i="26"/>
  <c r="D490" i="26"/>
  <c r="H489" i="26"/>
  <c r="J489" i="26" s="1"/>
  <c r="J488" i="26"/>
  <c r="I488" i="26"/>
  <c r="K488" i="26" s="1"/>
  <c r="H487" i="26"/>
  <c r="I487" i="26" s="1"/>
  <c r="K487" i="26" s="1"/>
  <c r="G485" i="26"/>
  <c r="F485" i="26"/>
  <c r="E485" i="26"/>
  <c r="D485" i="26"/>
  <c r="H484" i="26"/>
  <c r="J484" i="26" s="1"/>
  <c r="H483" i="26"/>
  <c r="J483" i="26" s="1"/>
  <c r="H482" i="26"/>
  <c r="J482" i="26" s="1"/>
  <c r="D480" i="26"/>
  <c r="G475" i="26"/>
  <c r="F475" i="26"/>
  <c r="E475" i="26"/>
  <c r="E492" i="26" s="1"/>
  <c r="D475" i="26"/>
  <c r="H474" i="26"/>
  <c r="I474" i="26" s="1"/>
  <c r="K474" i="26" s="1"/>
  <c r="H473" i="26"/>
  <c r="I473" i="26" s="1"/>
  <c r="K473" i="26" s="1"/>
  <c r="H472" i="26"/>
  <c r="I472" i="26" s="1"/>
  <c r="K472" i="26" s="1"/>
  <c r="G462" i="26"/>
  <c r="F462" i="26"/>
  <c r="E462" i="26"/>
  <c r="D462" i="26"/>
  <c r="H461" i="26"/>
  <c r="J461" i="26" s="1"/>
  <c r="H460" i="26"/>
  <c r="I460" i="26" s="1"/>
  <c r="K460" i="26" s="1"/>
  <c r="H459" i="26"/>
  <c r="J459" i="26" s="1"/>
  <c r="G457" i="26"/>
  <c r="F457" i="26"/>
  <c r="E457" i="26"/>
  <c r="D457" i="26"/>
  <c r="H456" i="26"/>
  <c r="I456" i="26" s="1"/>
  <c r="K456" i="26" s="1"/>
  <c r="H455" i="26"/>
  <c r="J455" i="26" s="1"/>
  <c r="H454" i="26"/>
  <c r="I454" i="26" s="1"/>
  <c r="K454" i="26" s="1"/>
  <c r="D452" i="26"/>
  <c r="G447" i="26"/>
  <c r="G464" i="26" s="1"/>
  <c r="F447" i="26"/>
  <c r="E447" i="26"/>
  <c r="D447" i="26"/>
  <c r="H446" i="26"/>
  <c r="J446" i="26" s="1"/>
  <c r="H445" i="26"/>
  <c r="J445" i="26" s="1"/>
  <c r="H444" i="26"/>
  <c r="J444" i="26" s="1"/>
  <c r="G434" i="26"/>
  <c r="F434" i="26"/>
  <c r="E434" i="26"/>
  <c r="D434" i="26"/>
  <c r="H433" i="26"/>
  <c r="J433" i="26" s="1"/>
  <c r="H432" i="26"/>
  <c r="I432" i="26" s="1"/>
  <c r="K432" i="26" s="1"/>
  <c r="H431" i="26"/>
  <c r="J431" i="26" s="1"/>
  <c r="G429" i="26"/>
  <c r="F429" i="26"/>
  <c r="E429" i="26"/>
  <c r="D429" i="26"/>
  <c r="H428" i="26"/>
  <c r="J428" i="26" s="1"/>
  <c r="H427" i="26"/>
  <c r="J427" i="26" s="1"/>
  <c r="H426" i="26"/>
  <c r="J426" i="26" s="1"/>
  <c r="D424" i="26"/>
  <c r="G419" i="26"/>
  <c r="F419" i="26"/>
  <c r="E419" i="26"/>
  <c r="D419" i="26"/>
  <c r="H418" i="26"/>
  <c r="J418" i="26" s="1"/>
  <c r="H417" i="26"/>
  <c r="J417" i="26" s="1"/>
  <c r="H416" i="26"/>
  <c r="J416" i="26" s="1"/>
  <c r="K407" i="26"/>
  <c r="J407" i="26"/>
  <c r="D407" i="26"/>
  <c r="K406" i="26"/>
  <c r="K405" i="26"/>
  <c r="K404" i="26"/>
  <c r="G402" i="26"/>
  <c r="F402" i="26"/>
  <c r="E402" i="26"/>
  <c r="D402" i="26"/>
  <c r="H401" i="26"/>
  <c r="J401" i="26" s="1"/>
  <c r="H400" i="26"/>
  <c r="J400" i="26" s="1"/>
  <c r="H399" i="26"/>
  <c r="I399" i="26" s="1"/>
  <c r="K399" i="26" s="1"/>
  <c r="G397" i="26"/>
  <c r="F397" i="26"/>
  <c r="H397" i="26" s="1"/>
  <c r="E397" i="26"/>
  <c r="D397" i="26"/>
  <c r="H396" i="26"/>
  <c r="J396" i="26" s="1"/>
  <c r="H395" i="26"/>
  <c r="I395" i="26" s="1"/>
  <c r="K395" i="26" s="1"/>
  <c r="H394" i="26"/>
  <c r="J394" i="26" s="1"/>
  <c r="G392" i="26"/>
  <c r="G409" i="26" s="1"/>
  <c r="F392" i="26"/>
  <c r="E392" i="26"/>
  <c r="D392" i="26"/>
  <c r="H391" i="26"/>
  <c r="J391" i="26" s="1"/>
  <c r="H390" i="26"/>
  <c r="J390" i="26" s="1"/>
  <c r="H389" i="26"/>
  <c r="J389" i="26" s="1"/>
  <c r="G380" i="26"/>
  <c r="F380" i="26"/>
  <c r="E380" i="26"/>
  <c r="D380" i="26"/>
  <c r="H379" i="26"/>
  <c r="H378" i="26"/>
  <c r="H377" i="26"/>
  <c r="G375" i="26"/>
  <c r="F375" i="26"/>
  <c r="E375" i="26"/>
  <c r="D375" i="26"/>
  <c r="H374" i="26"/>
  <c r="H373" i="26"/>
  <c r="H372" i="26"/>
  <c r="G370" i="26"/>
  <c r="F370" i="26"/>
  <c r="E370" i="26"/>
  <c r="D370" i="26"/>
  <c r="H369" i="26"/>
  <c r="I369" i="26" s="1"/>
  <c r="H368" i="26"/>
  <c r="I368" i="26" s="1"/>
  <c r="H367" i="26"/>
  <c r="I367" i="26" s="1"/>
  <c r="G365" i="26"/>
  <c r="F365" i="26"/>
  <c r="E365" i="26"/>
  <c r="D365" i="26"/>
  <c r="H364" i="26"/>
  <c r="I364" i="26" s="1"/>
  <c r="H363" i="26"/>
  <c r="I363" i="26" s="1"/>
  <c r="H362" i="26"/>
  <c r="I362" i="26" s="1"/>
  <c r="G360" i="26"/>
  <c r="F360" i="26"/>
  <c r="E360" i="26"/>
  <c r="D360" i="26"/>
  <c r="H359" i="26"/>
  <c r="I359" i="26" s="1"/>
  <c r="H358" i="26"/>
  <c r="I358" i="26" s="1"/>
  <c r="H357" i="26"/>
  <c r="I357" i="26" s="1"/>
  <c r="G348" i="26"/>
  <c r="F348" i="26"/>
  <c r="E348" i="26"/>
  <c r="D348" i="26"/>
  <c r="H347" i="26"/>
  <c r="I347" i="26" s="1"/>
  <c r="K347" i="26" s="1"/>
  <c r="H346" i="26"/>
  <c r="I346" i="26" s="1"/>
  <c r="K346" i="26" s="1"/>
  <c r="H345" i="26"/>
  <c r="I345" i="26" s="1"/>
  <c r="K345" i="26" s="1"/>
  <c r="G343" i="26"/>
  <c r="F343" i="26"/>
  <c r="E343" i="26"/>
  <c r="D343" i="26"/>
  <c r="H342" i="26"/>
  <c r="H341" i="26"/>
  <c r="H340" i="26"/>
  <c r="G338" i="26"/>
  <c r="F338" i="26"/>
  <c r="E338" i="26"/>
  <c r="D338" i="26"/>
  <c r="H337" i="26"/>
  <c r="I337" i="26" s="1"/>
  <c r="K337" i="26" s="1"/>
  <c r="H336" i="26"/>
  <c r="I336" i="26" s="1"/>
  <c r="K336" i="26" s="1"/>
  <c r="H335" i="26"/>
  <c r="I335" i="26" s="1"/>
  <c r="K335" i="26" s="1"/>
  <c r="G333" i="26"/>
  <c r="F333" i="26"/>
  <c r="E333" i="26"/>
  <c r="D333" i="26"/>
  <c r="H332" i="26"/>
  <c r="I332" i="26" s="1"/>
  <c r="K332" i="26" s="1"/>
  <c r="H331" i="26"/>
  <c r="I331" i="26" s="1"/>
  <c r="K331" i="26" s="1"/>
  <c r="H330" i="26"/>
  <c r="I330" i="26" s="1"/>
  <c r="K330" i="26" s="1"/>
  <c r="G328" i="26"/>
  <c r="F328" i="26"/>
  <c r="E328" i="26"/>
  <c r="D328" i="26"/>
  <c r="H327" i="26"/>
  <c r="I327" i="26" s="1"/>
  <c r="K327" i="26" s="1"/>
  <c r="H326" i="26"/>
  <c r="I326" i="26" s="1"/>
  <c r="K326" i="26" s="1"/>
  <c r="H325" i="26"/>
  <c r="I325" i="26" s="1"/>
  <c r="K325" i="26" s="1"/>
  <c r="G316" i="26"/>
  <c r="F316" i="26"/>
  <c r="E316" i="26"/>
  <c r="D316" i="26"/>
  <c r="H315" i="26"/>
  <c r="I315" i="26" s="1"/>
  <c r="K315" i="26" s="1"/>
  <c r="H314" i="26"/>
  <c r="I314" i="26" s="1"/>
  <c r="K314" i="26" s="1"/>
  <c r="H313" i="26"/>
  <c r="I313" i="26" s="1"/>
  <c r="K313" i="26" s="1"/>
  <c r="G311" i="26"/>
  <c r="F311" i="26"/>
  <c r="E311" i="26"/>
  <c r="D311" i="26"/>
  <c r="H310" i="26"/>
  <c r="H309" i="26"/>
  <c r="H308" i="26"/>
  <c r="G306" i="26"/>
  <c r="F306" i="26"/>
  <c r="E306" i="26"/>
  <c r="D306" i="26"/>
  <c r="H305" i="26"/>
  <c r="I305" i="26" s="1"/>
  <c r="K305" i="26" s="1"/>
  <c r="H304" i="26"/>
  <c r="I304" i="26" s="1"/>
  <c r="K304" i="26" s="1"/>
  <c r="H303" i="26"/>
  <c r="I303" i="26" s="1"/>
  <c r="K303" i="26" s="1"/>
  <c r="G301" i="26"/>
  <c r="F301" i="26"/>
  <c r="E301" i="26"/>
  <c r="D301" i="26"/>
  <c r="H300" i="26"/>
  <c r="I300" i="26" s="1"/>
  <c r="K300" i="26" s="1"/>
  <c r="H299" i="26"/>
  <c r="I299" i="26" s="1"/>
  <c r="K299" i="26" s="1"/>
  <c r="H298" i="26"/>
  <c r="I298" i="26" s="1"/>
  <c r="K298" i="26" s="1"/>
  <c r="G296" i="26"/>
  <c r="F296" i="26"/>
  <c r="E296" i="26"/>
  <c r="D296" i="26"/>
  <c r="H295" i="26"/>
  <c r="I295" i="26" s="1"/>
  <c r="K295" i="26" s="1"/>
  <c r="H294" i="26"/>
  <c r="I294" i="26" s="1"/>
  <c r="K294" i="26" s="1"/>
  <c r="H293" i="26"/>
  <c r="I293" i="26" s="1"/>
  <c r="K293" i="26" s="1"/>
  <c r="G284" i="26"/>
  <c r="F284" i="26"/>
  <c r="H284" i="26" s="1"/>
  <c r="E284" i="26"/>
  <c r="D284" i="26"/>
  <c r="H283" i="26"/>
  <c r="J283" i="26" s="1"/>
  <c r="H282" i="26"/>
  <c r="J282" i="26" s="1"/>
  <c r="H281" i="26"/>
  <c r="J281" i="26" s="1"/>
  <c r="G279" i="26"/>
  <c r="F279" i="26"/>
  <c r="E279" i="26"/>
  <c r="D279" i="26"/>
  <c r="H278" i="26"/>
  <c r="J278" i="26" s="1"/>
  <c r="H277" i="26"/>
  <c r="J277" i="26" s="1"/>
  <c r="H276" i="26"/>
  <c r="J276" i="26" s="1"/>
  <c r="G274" i="26"/>
  <c r="F274" i="26"/>
  <c r="E274" i="26"/>
  <c r="D274" i="26"/>
  <c r="H273" i="26"/>
  <c r="J273" i="26" s="1"/>
  <c r="H272" i="26"/>
  <c r="J272" i="26" s="1"/>
  <c r="H271" i="26"/>
  <c r="J271" i="26" s="1"/>
  <c r="G269" i="26"/>
  <c r="F269" i="26"/>
  <c r="E269" i="26"/>
  <c r="D269" i="26"/>
  <c r="H268" i="26"/>
  <c r="I268" i="26" s="1"/>
  <c r="K268" i="26" s="1"/>
  <c r="H267" i="26"/>
  <c r="H266" i="26"/>
  <c r="I266" i="26" s="1"/>
  <c r="K266" i="26" s="1"/>
  <c r="G264" i="26"/>
  <c r="F264" i="26"/>
  <c r="E264" i="26"/>
  <c r="D264" i="26"/>
  <c r="H263" i="26"/>
  <c r="H262" i="26"/>
  <c r="H261" i="26"/>
  <c r="G253" i="26"/>
  <c r="F253" i="26"/>
  <c r="E253" i="26"/>
  <c r="D253" i="26"/>
  <c r="H252" i="26"/>
  <c r="J252" i="26" s="1"/>
  <c r="H251" i="26"/>
  <c r="I251" i="26" s="1"/>
  <c r="K251" i="26" s="1"/>
  <c r="H250" i="26"/>
  <c r="J250" i="26" s="1"/>
  <c r="G248" i="26"/>
  <c r="F248" i="26"/>
  <c r="E248" i="26"/>
  <c r="D248" i="26"/>
  <c r="H247" i="26"/>
  <c r="J247" i="26" s="1"/>
  <c r="H246" i="26"/>
  <c r="J246" i="26" s="1"/>
  <c r="H245" i="26"/>
  <c r="J245" i="26" s="1"/>
  <c r="G243" i="26"/>
  <c r="F243" i="26"/>
  <c r="E243" i="26"/>
  <c r="D243" i="26"/>
  <c r="H242" i="26"/>
  <c r="J242" i="26" s="1"/>
  <c r="H241" i="26"/>
  <c r="I241" i="26" s="1"/>
  <c r="K241" i="26" s="1"/>
  <c r="H240" i="26"/>
  <c r="J240" i="26" s="1"/>
  <c r="G238" i="26"/>
  <c r="F238" i="26"/>
  <c r="H238" i="26" s="1"/>
  <c r="E238" i="26"/>
  <c r="D238" i="26"/>
  <c r="H237" i="26"/>
  <c r="I237" i="26" s="1"/>
  <c r="K237" i="26" s="1"/>
  <c r="H236" i="26"/>
  <c r="J236" i="26" s="1"/>
  <c r="H235" i="26"/>
  <c r="I235" i="26" s="1"/>
  <c r="K235" i="26" s="1"/>
  <c r="G233" i="26"/>
  <c r="F233" i="26"/>
  <c r="E233" i="26"/>
  <c r="D233" i="26"/>
  <c r="H232" i="26"/>
  <c r="J232" i="26" s="1"/>
  <c r="H231" i="26"/>
  <c r="I231" i="26" s="1"/>
  <c r="K231" i="26" s="1"/>
  <c r="H230" i="26"/>
  <c r="J230" i="26" s="1"/>
  <c r="G222" i="26"/>
  <c r="F222" i="26"/>
  <c r="E222" i="26"/>
  <c r="D222" i="26"/>
  <c r="H221" i="26"/>
  <c r="J221" i="26" s="1"/>
  <c r="H220" i="26"/>
  <c r="J220" i="26" s="1"/>
  <c r="H219" i="26"/>
  <c r="I219" i="26" s="1"/>
  <c r="K219" i="26" s="1"/>
  <c r="G217" i="26"/>
  <c r="F217" i="26"/>
  <c r="E217" i="26"/>
  <c r="D217" i="26"/>
  <c r="H216" i="26"/>
  <c r="J216" i="26" s="1"/>
  <c r="H215" i="26"/>
  <c r="J215" i="26" s="1"/>
  <c r="H214" i="26"/>
  <c r="J214" i="26"/>
  <c r="G212" i="26"/>
  <c r="F212" i="26"/>
  <c r="E212" i="26"/>
  <c r="D212" i="26"/>
  <c r="H211" i="26"/>
  <c r="I211" i="26" s="1"/>
  <c r="K211" i="26" s="1"/>
  <c r="H210" i="26"/>
  <c r="J210" i="26" s="1"/>
  <c r="H209" i="26"/>
  <c r="I209" i="26" s="1"/>
  <c r="K209" i="26" s="1"/>
  <c r="G207" i="26"/>
  <c r="F207" i="26"/>
  <c r="E207" i="26"/>
  <c r="D207" i="26"/>
  <c r="H206" i="26"/>
  <c r="J206" i="26" s="1"/>
  <c r="H205" i="26"/>
  <c r="H204" i="26"/>
  <c r="J204" i="26" s="1"/>
  <c r="G202" i="26"/>
  <c r="F202" i="26"/>
  <c r="H202" i="26" s="1"/>
  <c r="E202" i="26"/>
  <c r="D202" i="26"/>
  <c r="H201" i="26"/>
  <c r="I201" i="26" s="1"/>
  <c r="K201" i="26" s="1"/>
  <c r="H200" i="26"/>
  <c r="J200" i="26" s="1"/>
  <c r="H199" i="26"/>
  <c r="J199" i="26" s="1"/>
  <c r="F191" i="26"/>
  <c r="E191" i="26"/>
  <c r="D191" i="26"/>
  <c r="H190" i="26"/>
  <c r="G190" i="26"/>
  <c r="I190" i="26" s="1"/>
  <c r="H189" i="26"/>
  <c r="G189" i="26"/>
  <c r="I189" i="26" s="1"/>
  <c r="H188" i="26"/>
  <c r="G188" i="26"/>
  <c r="I188" i="26" s="1"/>
  <c r="F186" i="26"/>
  <c r="E186" i="26"/>
  <c r="D186" i="26"/>
  <c r="H185" i="26"/>
  <c r="G185" i="26"/>
  <c r="I185" i="26" s="1"/>
  <c r="H184" i="26"/>
  <c r="G184" i="26"/>
  <c r="I184" i="26" s="1"/>
  <c r="H183" i="26"/>
  <c r="G183" i="26"/>
  <c r="I183" i="26" s="1"/>
  <c r="F181" i="26"/>
  <c r="E181" i="26"/>
  <c r="D181" i="26"/>
  <c r="H180" i="26"/>
  <c r="G180" i="26"/>
  <c r="I180" i="26" s="1"/>
  <c r="H179" i="26"/>
  <c r="G179" i="26"/>
  <c r="I179" i="26" s="1"/>
  <c r="H178" i="26"/>
  <c r="G178" i="26"/>
  <c r="I178" i="26" s="1"/>
  <c r="F176" i="26"/>
  <c r="E176" i="26"/>
  <c r="D176" i="26"/>
  <c r="H175" i="26"/>
  <c r="G175" i="26"/>
  <c r="I175" i="26" s="1"/>
  <c r="H174" i="26"/>
  <c r="G174" i="26"/>
  <c r="I174" i="26" s="1"/>
  <c r="H173" i="26"/>
  <c r="G173" i="26"/>
  <c r="I173" i="26" s="1"/>
  <c r="F171" i="26"/>
  <c r="E171" i="26"/>
  <c r="D171" i="26"/>
  <c r="H170" i="26"/>
  <c r="G170" i="26"/>
  <c r="I170" i="26" s="1"/>
  <c r="H169" i="26"/>
  <c r="G169" i="26"/>
  <c r="I169" i="26" s="1"/>
  <c r="H168" i="26"/>
  <c r="G168" i="26"/>
  <c r="I168" i="26" s="1"/>
  <c r="E157" i="26"/>
  <c r="D157" i="26"/>
  <c r="C157" i="26"/>
  <c r="G156" i="26"/>
  <c r="F156" i="26"/>
  <c r="H156" i="26" s="1"/>
  <c r="G155" i="26"/>
  <c r="F155" i="26"/>
  <c r="H155" i="26" s="1"/>
  <c r="G154" i="26"/>
  <c r="F154" i="26"/>
  <c r="H154" i="26" s="1"/>
  <c r="E152" i="26"/>
  <c r="D152" i="26"/>
  <c r="C152" i="26"/>
  <c r="G151" i="26"/>
  <c r="F151" i="26"/>
  <c r="H151" i="26" s="1"/>
  <c r="G150" i="26"/>
  <c r="F150" i="26"/>
  <c r="H150" i="26" s="1"/>
  <c r="G149" i="26"/>
  <c r="F149" i="26"/>
  <c r="H149" i="26" s="1"/>
  <c r="E147" i="26"/>
  <c r="D147" i="26"/>
  <c r="C147" i="26"/>
  <c r="G146" i="26"/>
  <c r="F146" i="26"/>
  <c r="H146" i="26" s="1"/>
  <c r="G145" i="26"/>
  <c r="F145" i="26"/>
  <c r="H145" i="26" s="1"/>
  <c r="G144" i="26"/>
  <c r="F144" i="26"/>
  <c r="H144" i="26" s="1"/>
  <c r="E142" i="26"/>
  <c r="D142" i="26"/>
  <c r="C142" i="26"/>
  <c r="G141" i="26"/>
  <c r="F141" i="26"/>
  <c r="H141" i="26" s="1"/>
  <c r="G140" i="26"/>
  <c r="F140" i="26"/>
  <c r="H140" i="26"/>
  <c r="G139" i="26"/>
  <c r="F139" i="26"/>
  <c r="H139" i="26" s="1"/>
  <c r="E137" i="26"/>
  <c r="D137" i="26"/>
  <c r="C137" i="26"/>
  <c r="G136" i="26"/>
  <c r="F136" i="26"/>
  <c r="H136" i="26" s="1"/>
  <c r="G135" i="26"/>
  <c r="F135" i="26"/>
  <c r="H135" i="26" s="1"/>
  <c r="G134" i="26"/>
  <c r="F134" i="26"/>
  <c r="H134" i="26" s="1"/>
  <c r="F126" i="26"/>
  <c r="D126" i="26"/>
  <c r="C126" i="26"/>
  <c r="H125" i="26"/>
  <c r="G125" i="26"/>
  <c r="I125" i="26" s="1"/>
  <c r="E125" i="26"/>
  <c r="H124" i="26"/>
  <c r="G124" i="26"/>
  <c r="I124" i="26" s="1"/>
  <c r="E124" i="26"/>
  <c r="H123" i="26"/>
  <c r="G123" i="26"/>
  <c r="I123" i="26" s="1"/>
  <c r="E123" i="26"/>
  <c r="F121" i="26"/>
  <c r="D121" i="26"/>
  <c r="C121" i="26"/>
  <c r="H120" i="26"/>
  <c r="G120" i="26"/>
  <c r="I120" i="26" s="1"/>
  <c r="E120" i="26"/>
  <c r="H119" i="26"/>
  <c r="G119" i="26"/>
  <c r="I119" i="26" s="1"/>
  <c r="E119" i="26"/>
  <c r="H118" i="26"/>
  <c r="G118" i="26"/>
  <c r="I118" i="26" s="1"/>
  <c r="E118" i="26"/>
  <c r="F116" i="26"/>
  <c r="D116" i="26"/>
  <c r="C116" i="26"/>
  <c r="H115" i="26"/>
  <c r="G115" i="26"/>
  <c r="I115" i="26" s="1"/>
  <c r="E115" i="26"/>
  <c r="H114" i="26"/>
  <c r="G114" i="26"/>
  <c r="I114" i="26" s="1"/>
  <c r="E114" i="26"/>
  <c r="H113" i="26"/>
  <c r="G113" i="26"/>
  <c r="I113" i="26" s="1"/>
  <c r="E113" i="26"/>
  <c r="F111" i="26"/>
  <c r="D111" i="26"/>
  <c r="C111" i="26"/>
  <c r="H110" i="26"/>
  <c r="G110" i="26"/>
  <c r="I110" i="26" s="1"/>
  <c r="E110" i="26"/>
  <c r="H109" i="26"/>
  <c r="G109" i="26"/>
  <c r="I109" i="26" s="1"/>
  <c r="E109" i="26"/>
  <c r="H108" i="26"/>
  <c r="G108" i="26"/>
  <c r="I108" i="26" s="1"/>
  <c r="E108" i="26"/>
  <c r="F106" i="26"/>
  <c r="D106" i="26"/>
  <c r="C106" i="26"/>
  <c r="H105" i="26"/>
  <c r="G105" i="26"/>
  <c r="I105" i="26" s="1"/>
  <c r="E105" i="26"/>
  <c r="H104" i="26"/>
  <c r="G104" i="26"/>
  <c r="I104" i="26" s="1"/>
  <c r="E104" i="26"/>
  <c r="H103" i="26"/>
  <c r="G103" i="26"/>
  <c r="I103" i="26" s="1"/>
  <c r="E103" i="26"/>
  <c r="F95" i="26"/>
  <c r="D95" i="26"/>
  <c r="C95" i="26"/>
  <c r="H94" i="26"/>
  <c r="G94" i="26"/>
  <c r="I94" i="26" s="1"/>
  <c r="E94" i="26"/>
  <c r="H93" i="26"/>
  <c r="G93" i="26"/>
  <c r="I93" i="26" s="1"/>
  <c r="E93" i="26"/>
  <c r="H92" i="26"/>
  <c r="G92" i="26"/>
  <c r="I92" i="26" s="1"/>
  <c r="E92" i="26"/>
  <c r="F90" i="26"/>
  <c r="G90" i="26" s="1"/>
  <c r="I90" i="26" s="1"/>
  <c r="D90" i="26"/>
  <c r="C90" i="26"/>
  <c r="H89" i="26"/>
  <c r="G89" i="26"/>
  <c r="I89" i="26" s="1"/>
  <c r="E89" i="26"/>
  <c r="H88" i="26"/>
  <c r="G88" i="26"/>
  <c r="I88" i="26" s="1"/>
  <c r="E88" i="26"/>
  <c r="H87" i="26"/>
  <c r="G87" i="26"/>
  <c r="I87" i="26" s="1"/>
  <c r="E87" i="26"/>
  <c r="F85" i="26"/>
  <c r="D85" i="26"/>
  <c r="C85" i="26"/>
  <c r="H84" i="26"/>
  <c r="G84" i="26"/>
  <c r="I84" i="26" s="1"/>
  <c r="E84" i="26"/>
  <c r="H83" i="26"/>
  <c r="G83" i="26"/>
  <c r="I83" i="26" s="1"/>
  <c r="E83" i="26"/>
  <c r="H82" i="26"/>
  <c r="G82" i="26"/>
  <c r="I82" i="26" s="1"/>
  <c r="E82" i="26"/>
  <c r="F80" i="26"/>
  <c r="D80" i="26"/>
  <c r="C80" i="26"/>
  <c r="H79" i="26"/>
  <c r="G79" i="26"/>
  <c r="I79" i="26" s="1"/>
  <c r="E79" i="26"/>
  <c r="H78" i="26"/>
  <c r="G78" i="26"/>
  <c r="I78" i="26" s="1"/>
  <c r="E78" i="26"/>
  <c r="H77" i="26"/>
  <c r="G77" i="26"/>
  <c r="I77" i="26" s="1"/>
  <c r="E77" i="26"/>
  <c r="F75" i="26"/>
  <c r="D75" i="26"/>
  <c r="C75" i="26"/>
  <c r="H74" i="26"/>
  <c r="G74" i="26"/>
  <c r="I74" i="26" s="1"/>
  <c r="E74" i="26"/>
  <c r="H73" i="26"/>
  <c r="G73" i="26"/>
  <c r="I73" i="26" s="1"/>
  <c r="E73" i="26"/>
  <c r="H72" i="26"/>
  <c r="G72" i="26"/>
  <c r="I72" i="26" s="1"/>
  <c r="E72" i="26"/>
  <c r="M35" i="24"/>
  <c r="L35" i="24"/>
  <c r="K35" i="24"/>
  <c r="J35" i="24"/>
  <c r="I35" i="24"/>
  <c r="H35" i="24"/>
  <c r="G35" i="24"/>
  <c r="F35" i="24"/>
  <c r="E35" i="24"/>
  <c r="D35" i="24"/>
  <c r="C35" i="24"/>
  <c r="M34" i="24"/>
  <c r="L34" i="24"/>
  <c r="K34" i="24"/>
  <c r="J34" i="24"/>
  <c r="I34" i="24"/>
  <c r="H34" i="24"/>
  <c r="G34" i="24"/>
  <c r="F34" i="24"/>
  <c r="E34" i="24"/>
  <c r="D34" i="24"/>
  <c r="C34" i="24"/>
  <c r="X27" i="24"/>
  <c r="W27" i="24"/>
  <c r="V27" i="24"/>
  <c r="U27" i="24"/>
  <c r="T27" i="24"/>
  <c r="S27" i="24"/>
  <c r="R27" i="24"/>
  <c r="Q27" i="24"/>
  <c r="P27" i="24"/>
  <c r="O27" i="24"/>
  <c r="N27" i="24"/>
  <c r="M27" i="24"/>
  <c r="L27" i="24"/>
  <c r="K27" i="24"/>
  <c r="J27" i="24"/>
  <c r="I27" i="24"/>
  <c r="H27" i="24"/>
  <c r="G27" i="24"/>
  <c r="F27" i="24"/>
  <c r="E27" i="24"/>
  <c r="D27" i="24"/>
  <c r="C27" i="24"/>
  <c r="X26" i="24"/>
  <c r="W26" i="24"/>
  <c r="V26" i="24"/>
  <c r="U26" i="24"/>
  <c r="T26" i="24"/>
  <c r="S26" i="24"/>
  <c r="R26" i="24"/>
  <c r="Q26" i="24"/>
  <c r="P26" i="24"/>
  <c r="O26" i="24"/>
  <c r="N26" i="24"/>
  <c r="M26" i="24"/>
  <c r="L26" i="24"/>
  <c r="K26" i="24"/>
  <c r="J26" i="24"/>
  <c r="I26" i="24"/>
  <c r="H26" i="24"/>
  <c r="G26" i="24"/>
  <c r="F26" i="24"/>
  <c r="E26" i="24"/>
  <c r="D26" i="24"/>
  <c r="C26" i="24"/>
  <c r="X25" i="24"/>
  <c r="W25" i="24"/>
  <c r="V25" i="24"/>
  <c r="V28" i="24" s="1"/>
  <c r="U25" i="24"/>
  <c r="T25" i="24"/>
  <c r="T28" i="24" s="1"/>
  <c r="S25" i="24"/>
  <c r="R25" i="24"/>
  <c r="Q25" i="24"/>
  <c r="P25" i="24"/>
  <c r="O25" i="24"/>
  <c r="N25" i="24"/>
  <c r="N28" i="24" s="1"/>
  <c r="M25" i="24"/>
  <c r="L25" i="24"/>
  <c r="L28" i="24" s="1"/>
  <c r="K25" i="24"/>
  <c r="J25" i="24"/>
  <c r="I25" i="24"/>
  <c r="H25" i="24"/>
  <c r="G25" i="24"/>
  <c r="F25" i="24"/>
  <c r="F28" i="24" s="1"/>
  <c r="E25" i="24"/>
  <c r="D25" i="24"/>
  <c r="C25" i="24"/>
  <c r="X17" i="24"/>
  <c r="W17" i="24"/>
  <c r="V17" i="24"/>
  <c r="U17" i="24"/>
  <c r="T17" i="24"/>
  <c r="S17" i="24"/>
  <c r="R17" i="24"/>
  <c r="R32" i="24" s="1"/>
  <c r="Q17" i="24"/>
  <c r="P17" i="24"/>
  <c r="O17" i="24"/>
  <c r="N17" i="24"/>
  <c r="N32" i="24" s="1"/>
  <c r="M17" i="24"/>
  <c r="M32" i="24" s="1"/>
  <c r="L17" i="24"/>
  <c r="L32" i="24" s="1"/>
  <c r="K17" i="24"/>
  <c r="J17" i="24"/>
  <c r="I17" i="24"/>
  <c r="H17" i="24"/>
  <c r="G17" i="24"/>
  <c r="F17" i="24"/>
  <c r="F32" i="24" s="1"/>
  <c r="E17" i="24"/>
  <c r="E32" i="24" s="1"/>
  <c r="D17" i="24"/>
  <c r="C17" i="24"/>
  <c r="X16" i="24"/>
  <c r="W16" i="24"/>
  <c r="V16" i="24"/>
  <c r="U16" i="24"/>
  <c r="T16" i="24"/>
  <c r="S16" i="24"/>
  <c r="R16" i="24"/>
  <c r="Q16" i="24"/>
  <c r="P16" i="24"/>
  <c r="O16" i="24"/>
  <c r="N16" i="24"/>
  <c r="M16" i="24"/>
  <c r="L16" i="24"/>
  <c r="L31" i="24" s="1"/>
  <c r="K16" i="24"/>
  <c r="J16" i="24"/>
  <c r="I16" i="24"/>
  <c r="H16" i="24"/>
  <c r="G16" i="24"/>
  <c r="F16" i="24"/>
  <c r="E16" i="24"/>
  <c r="D16" i="24"/>
  <c r="C16" i="24"/>
  <c r="X15" i="24"/>
  <c r="W15" i="24"/>
  <c r="V15" i="24"/>
  <c r="U15" i="24"/>
  <c r="T15" i="24"/>
  <c r="S15" i="24"/>
  <c r="R15" i="24"/>
  <c r="Q15" i="24"/>
  <c r="P15" i="24"/>
  <c r="O15" i="24"/>
  <c r="N15" i="24"/>
  <c r="M15" i="24"/>
  <c r="L15" i="24"/>
  <c r="K15" i="24"/>
  <c r="J15" i="24"/>
  <c r="I15" i="24"/>
  <c r="I18" i="24" s="1"/>
  <c r="H15" i="24"/>
  <c r="G15" i="24"/>
  <c r="F15" i="24"/>
  <c r="E15" i="24"/>
  <c r="D15" i="24"/>
  <c r="C15" i="24"/>
  <c r="C18" i="24" s="1"/>
  <c r="S12" i="24"/>
  <c r="S35" i="24" s="1"/>
  <c r="R12" i="24"/>
  <c r="R35" i="24" s="1"/>
  <c r="Q12" i="24"/>
  <c r="Q35" i="24" s="1"/>
  <c r="P12" i="24"/>
  <c r="P35" i="24" s="1"/>
  <c r="O12" i="24"/>
  <c r="O35" i="24" s="1"/>
  <c r="N12" i="24"/>
  <c r="N35" i="24" s="1"/>
  <c r="X11" i="24"/>
  <c r="X34" i="24" s="1"/>
  <c r="W11" i="24"/>
  <c r="W34" i="24" s="1"/>
  <c r="V11" i="24"/>
  <c r="V34" i="24" s="1"/>
  <c r="U11" i="24"/>
  <c r="U34" i="24" s="1"/>
  <c r="T11" i="24"/>
  <c r="T34" i="24" s="1"/>
  <c r="S11" i="24"/>
  <c r="S34" i="24" s="1"/>
  <c r="R11" i="24"/>
  <c r="R34" i="24" s="1"/>
  <c r="Q11" i="24"/>
  <c r="Q34" i="24" s="1"/>
  <c r="P11" i="24"/>
  <c r="P34" i="24"/>
  <c r="O11" i="24"/>
  <c r="O34" i="24" s="1"/>
  <c r="N11" i="24"/>
  <c r="N34" i="24" s="1"/>
  <c r="X10" i="24"/>
  <c r="W10" i="24"/>
  <c r="V10" i="24"/>
  <c r="U10" i="24"/>
  <c r="T10" i="24"/>
  <c r="S10" i="24"/>
  <c r="R10" i="24"/>
  <c r="Q10" i="24"/>
  <c r="P10" i="24"/>
  <c r="O10" i="24"/>
  <c r="N10" i="24"/>
  <c r="X7" i="24"/>
  <c r="X33" i="24" s="1"/>
  <c r="W7" i="24"/>
  <c r="W33" i="24" s="1"/>
  <c r="V7" i="24"/>
  <c r="V33" i="24" s="1"/>
  <c r="U7" i="24"/>
  <c r="T7" i="24"/>
  <c r="T33" i="24" s="1"/>
  <c r="S7" i="24"/>
  <c r="R7" i="24"/>
  <c r="Q7" i="24"/>
  <c r="Q33" i="24"/>
  <c r="P7" i="24"/>
  <c r="P33" i="24" s="1"/>
  <c r="O7" i="24"/>
  <c r="O33" i="24" s="1"/>
  <c r="N7" i="24"/>
  <c r="M7" i="24"/>
  <c r="L7" i="24"/>
  <c r="K7" i="24"/>
  <c r="J7" i="24"/>
  <c r="J33" i="24"/>
  <c r="I7" i="24"/>
  <c r="I33" i="24" s="1"/>
  <c r="H7" i="24"/>
  <c r="H33" i="24" s="1"/>
  <c r="G7" i="24"/>
  <c r="G33" i="24" s="1"/>
  <c r="F7" i="24"/>
  <c r="E7" i="24"/>
  <c r="D7" i="24"/>
  <c r="D33" i="24" s="1"/>
  <c r="C7" i="24"/>
  <c r="X6" i="24"/>
  <c r="W6" i="24"/>
  <c r="V6" i="24"/>
  <c r="U6" i="24"/>
  <c r="T6" i="24"/>
  <c r="S6" i="24"/>
  <c r="R6" i="24"/>
  <c r="Q6" i="24"/>
  <c r="P6" i="24"/>
  <c r="O6" i="24"/>
  <c r="N6" i="24"/>
  <c r="M6" i="24"/>
  <c r="L6" i="24"/>
  <c r="K6" i="24"/>
  <c r="K31" i="24" s="1"/>
  <c r="J6" i="24"/>
  <c r="I6" i="24"/>
  <c r="H6" i="24"/>
  <c r="H31" i="24" s="1"/>
  <c r="G6" i="24"/>
  <c r="G31" i="24" s="1"/>
  <c r="F6" i="24"/>
  <c r="E6" i="24"/>
  <c r="E31" i="24" s="1"/>
  <c r="D6" i="24"/>
  <c r="C6" i="24"/>
  <c r="C31" i="24" s="1"/>
  <c r="X5" i="24"/>
  <c r="W5" i="24"/>
  <c r="V5" i="24"/>
  <c r="V8" i="24" s="1"/>
  <c r="U5" i="24"/>
  <c r="T5" i="24"/>
  <c r="S5" i="24"/>
  <c r="R5" i="24"/>
  <c r="Q5" i="24"/>
  <c r="P5" i="24"/>
  <c r="O5" i="24"/>
  <c r="N5" i="24"/>
  <c r="N30" i="24" s="1"/>
  <c r="M5" i="24"/>
  <c r="M30" i="24" s="1"/>
  <c r="L5" i="24"/>
  <c r="K5" i="24"/>
  <c r="K30" i="24" s="1"/>
  <c r="J5" i="24"/>
  <c r="I5" i="24"/>
  <c r="I30" i="24" s="1"/>
  <c r="H5" i="24"/>
  <c r="G5" i="24"/>
  <c r="F5" i="24"/>
  <c r="F30" i="24" s="1"/>
  <c r="E5" i="24"/>
  <c r="D5" i="24"/>
  <c r="C5" i="24"/>
  <c r="AB102" i="23"/>
  <c r="X22" i="24" s="1"/>
  <c r="AA102" i="23"/>
  <c r="W22" i="24" s="1"/>
  <c r="Z102" i="23"/>
  <c r="Y102" i="23"/>
  <c r="U22" i="24" s="1"/>
  <c r="X102" i="23"/>
  <c r="T22" i="24" s="1"/>
  <c r="W102" i="23"/>
  <c r="S22" i="24"/>
  <c r="AB100" i="23"/>
  <c r="X21" i="24" s="1"/>
  <c r="AA100" i="23"/>
  <c r="W21" i="24"/>
  <c r="Z100" i="23"/>
  <c r="V21" i="24" s="1"/>
  <c r="Y100" i="23"/>
  <c r="U21" i="24" s="1"/>
  <c r="X100" i="23"/>
  <c r="W100" i="23"/>
  <c r="S21" i="24"/>
  <c r="AB96" i="23"/>
  <c r="X20" i="24" s="1"/>
  <c r="AA96" i="23"/>
  <c r="W20" i="24"/>
  <c r="Z96" i="23"/>
  <c r="V20" i="24" s="1"/>
  <c r="Y96" i="23"/>
  <c r="X96" i="23"/>
  <c r="T20" i="24" s="1"/>
  <c r="W96" i="23"/>
  <c r="S20" i="24"/>
  <c r="W94" i="23"/>
  <c r="AB93" i="23"/>
  <c r="X12" i="24" s="1"/>
  <c r="X35" i="24" s="1"/>
  <c r="AA93" i="23"/>
  <c r="W12" i="24" s="1"/>
  <c r="W35" i="24" s="1"/>
  <c r="Z93" i="23"/>
  <c r="V12" i="24" s="1"/>
  <c r="Y93" i="23"/>
  <c r="X93" i="23"/>
  <c r="T12" i="24" s="1"/>
  <c r="V93" i="23"/>
  <c r="U93" i="23"/>
  <c r="T93" i="23"/>
  <c r="S93" i="23"/>
  <c r="R93" i="23"/>
  <c r="AB88" i="23"/>
  <c r="AA88" i="23"/>
  <c r="Z88" i="23"/>
  <c r="Y88" i="23"/>
  <c r="X88" i="23"/>
  <c r="V88" i="23"/>
  <c r="U88" i="23"/>
  <c r="T88" i="23"/>
  <c r="S88" i="23"/>
  <c r="R88" i="23"/>
  <c r="AB84" i="23"/>
  <c r="AA84" i="23"/>
  <c r="Z84" i="23"/>
  <c r="Y84" i="23"/>
  <c r="X84" i="23"/>
  <c r="V84" i="23"/>
  <c r="U84" i="23"/>
  <c r="T84" i="23"/>
  <c r="S84" i="23"/>
  <c r="R84" i="23"/>
  <c r="W79" i="23"/>
  <c r="AB78" i="23"/>
  <c r="AA78" i="23"/>
  <c r="Z78" i="23"/>
  <c r="Y78" i="23"/>
  <c r="X78" i="23"/>
  <c r="V78" i="23"/>
  <c r="U78" i="23"/>
  <c r="T78" i="23"/>
  <c r="S78" i="23"/>
  <c r="R78" i="23"/>
  <c r="Q78" i="23"/>
  <c r="P78" i="23"/>
  <c r="O78" i="23"/>
  <c r="N78" i="23"/>
  <c r="M78" i="23"/>
  <c r="L78" i="23"/>
  <c r="L79" i="23" s="1"/>
  <c r="K78" i="23"/>
  <c r="J78" i="23"/>
  <c r="J79" i="23" s="1"/>
  <c r="I78" i="23"/>
  <c r="H78" i="23"/>
  <c r="G78" i="23"/>
  <c r="AB73" i="23"/>
  <c r="AA73" i="23"/>
  <c r="Z73" i="23"/>
  <c r="Y73" i="23"/>
  <c r="X73" i="23"/>
  <c r="V73" i="23"/>
  <c r="U73" i="23"/>
  <c r="T73" i="23"/>
  <c r="S73" i="23"/>
  <c r="R73" i="23"/>
  <c r="Q73" i="23"/>
  <c r="P73" i="23"/>
  <c r="O73" i="23"/>
  <c r="N73" i="23"/>
  <c r="M73" i="23"/>
  <c r="L73" i="23"/>
  <c r="K73" i="23"/>
  <c r="J73" i="23"/>
  <c r="I73" i="23"/>
  <c r="I79" i="23" s="1"/>
  <c r="H73" i="23"/>
  <c r="G73" i="23"/>
  <c r="AB64" i="23"/>
  <c r="AA64" i="23"/>
  <c r="Z64" i="23"/>
  <c r="Y64" i="23"/>
  <c r="X64" i="23"/>
  <c r="V64" i="23"/>
  <c r="U64" i="23"/>
  <c r="T64" i="23"/>
  <c r="S64" i="23"/>
  <c r="R64" i="23"/>
  <c r="Q64" i="23"/>
  <c r="P64" i="23"/>
  <c r="O64" i="23"/>
  <c r="N64" i="23"/>
  <c r="M64" i="23"/>
  <c r="L64" i="23"/>
  <c r="K64" i="23"/>
  <c r="J64" i="23"/>
  <c r="I64" i="23"/>
  <c r="H64" i="23"/>
  <c r="G64" i="23"/>
  <c r="AB56" i="23"/>
  <c r="AA56" i="23"/>
  <c r="Z56" i="23"/>
  <c r="Y56" i="23"/>
  <c r="Y57" i="23" s="1"/>
  <c r="X56" i="23"/>
  <c r="W56" i="23"/>
  <c r="V56" i="23"/>
  <c r="U56" i="23"/>
  <c r="T56" i="23"/>
  <c r="S56" i="23"/>
  <c r="R56" i="23"/>
  <c r="Q56" i="23"/>
  <c r="P56" i="23"/>
  <c r="O56" i="23"/>
  <c r="N56" i="23"/>
  <c r="M56" i="23"/>
  <c r="L56" i="23"/>
  <c r="K56" i="23"/>
  <c r="J56" i="23"/>
  <c r="I56" i="23"/>
  <c r="I57" i="23" s="1"/>
  <c r="H56" i="23"/>
  <c r="G56" i="23"/>
  <c r="AB49" i="23"/>
  <c r="AA49" i="23"/>
  <c r="Z49" i="23"/>
  <c r="Y49" i="23"/>
  <c r="X49" i="23"/>
  <c r="W49" i="23"/>
  <c r="V49" i="23"/>
  <c r="U49" i="23"/>
  <c r="T49" i="23"/>
  <c r="S49" i="23"/>
  <c r="R49" i="23"/>
  <c r="Q49" i="23"/>
  <c r="Q57" i="23"/>
  <c r="P49" i="23"/>
  <c r="O49" i="23"/>
  <c r="N49" i="23"/>
  <c r="M49" i="23"/>
  <c r="L49" i="23"/>
  <c r="K49" i="23"/>
  <c r="J49" i="23"/>
  <c r="I49" i="23"/>
  <c r="H49" i="23"/>
  <c r="G49" i="23"/>
  <c r="AB36" i="23"/>
  <c r="AA36" i="23"/>
  <c r="Z36" i="23"/>
  <c r="Y36" i="23"/>
  <c r="X36" i="23"/>
  <c r="X57" i="23"/>
  <c r="W36" i="23"/>
  <c r="V36" i="23"/>
  <c r="U36" i="23"/>
  <c r="T36" i="23"/>
  <c r="S36" i="23"/>
  <c r="R36" i="23"/>
  <c r="Q36" i="23"/>
  <c r="P36" i="23"/>
  <c r="P57" i="23" s="1"/>
  <c r="O36" i="23"/>
  <c r="N36" i="23"/>
  <c r="M36" i="23"/>
  <c r="L36" i="23"/>
  <c r="K36" i="23"/>
  <c r="J36" i="23"/>
  <c r="I36" i="23"/>
  <c r="H36" i="23"/>
  <c r="G36" i="23"/>
  <c r="AB24" i="23"/>
  <c r="AA24" i="23"/>
  <c r="Z24" i="23"/>
  <c r="Y24" i="23"/>
  <c r="X24" i="23"/>
  <c r="W24" i="23"/>
  <c r="V24" i="23"/>
  <c r="V25" i="23" s="1"/>
  <c r="U24" i="23"/>
  <c r="T24" i="23"/>
  <c r="S24" i="23"/>
  <c r="R24" i="23"/>
  <c r="Q24" i="23"/>
  <c r="P24" i="23"/>
  <c r="O24" i="23"/>
  <c r="N24" i="23"/>
  <c r="M24" i="23"/>
  <c r="L24" i="23"/>
  <c r="K24" i="23"/>
  <c r="J24" i="23"/>
  <c r="I24" i="23"/>
  <c r="H24" i="23"/>
  <c r="H25" i="23" s="1"/>
  <c r="G24" i="23"/>
  <c r="AB20" i="23"/>
  <c r="AA20" i="23"/>
  <c r="Z20" i="23"/>
  <c r="Y20" i="23"/>
  <c r="X20" i="23"/>
  <c r="W20" i="23"/>
  <c r="V20" i="23"/>
  <c r="U20" i="23"/>
  <c r="T20" i="23"/>
  <c r="S20" i="23"/>
  <c r="S25" i="23" s="1"/>
  <c r="R20" i="23"/>
  <c r="Q20" i="23"/>
  <c r="P20" i="23"/>
  <c r="O20" i="23"/>
  <c r="N20" i="23"/>
  <c r="M20" i="23"/>
  <c r="L20" i="23"/>
  <c r="K20" i="23"/>
  <c r="J20" i="23"/>
  <c r="I20" i="23"/>
  <c r="H20" i="23"/>
  <c r="G20" i="23"/>
  <c r="AB15" i="23"/>
  <c r="AA15" i="23"/>
  <c r="Z15" i="23"/>
  <c r="Y15" i="23"/>
  <c r="Y25" i="23" s="1"/>
  <c r="X15" i="23"/>
  <c r="W15" i="23"/>
  <c r="V15" i="23"/>
  <c r="U15" i="23"/>
  <c r="T15" i="23"/>
  <c r="S15" i="23"/>
  <c r="R15" i="23"/>
  <c r="Q15" i="23"/>
  <c r="P15" i="23"/>
  <c r="O15" i="23"/>
  <c r="N15" i="23"/>
  <c r="M15" i="23"/>
  <c r="L15" i="23"/>
  <c r="K15" i="23"/>
  <c r="J15" i="23"/>
  <c r="I15" i="23"/>
  <c r="I25" i="23" s="1"/>
  <c r="H15" i="23"/>
  <c r="G15" i="23"/>
  <c r="C35" i="22"/>
  <c r="C34" i="22"/>
  <c r="S27" i="22"/>
  <c r="R27" i="22"/>
  <c r="Q27" i="22"/>
  <c r="P27" i="22"/>
  <c r="O27" i="22"/>
  <c r="N27" i="22"/>
  <c r="M27" i="22"/>
  <c r="L27" i="22"/>
  <c r="K27" i="22"/>
  <c r="J27" i="22"/>
  <c r="I27" i="22"/>
  <c r="H27" i="22"/>
  <c r="G27" i="22"/>
  <c r="F27" i="22"/>
  <c r="E27" i="22"/>
  <c r="D27" i="22"/>
  <c r="C27" i="22"/>
  <c r="S26" i="22"/>
  <c r="R26" i="22"/>
  <c r="Q26" i="22"/>
  <c r="P26" i="22"/>
  <c r="O26" i="22"/>
  <c r="N26" i="22"/>
  <c r="M26" i="22"/>
  <c r="L26" i="22"/>
  <c r="K26" i="22"/>
  <c r="J26" i="22"/>
  <c r="I26" i="22"/>
  <c r="H26" i="22"/>
  <c r="G26" i="22"/>
  <c r="F26" i="22"/>
  <c r="E26" i="22"/>
  <c r="D26" i="22"/>
  <c r="C26" i="22"/>
  <c r="S25" i="22"/>
  <c r="R25" i="22"/>
  <c r="Q25" i="22"/>
  <c r="P25" i="22"/>
  <c r="O25" i="22"/>
  <c r="N25" i="22"/>
  <c r="M25" i="22"/>
  <c r="L25" i="22"/>
  <c r="K25" i="22"/>
  <c r="J25" i="22"/>
  <c r="I25" i="22"/>
  <c r="H25" i="22"/>
  <c r="G25" i="22"/>
  <c r="F25" i="22"/>
  <c r="E25" i="22"/>
  <c r="D25" i="22"/>
  <c r="C25" i="22"/>
  <c r="Q22" i="22"/>
  <c r="S17" i="22"/>
  <c r="R17" i="22"/>
  <c r="Q17" i="22"/>
  <c r="P17" i="22"/>
  <c r="O17" i="22"/>
  <c r="N17" i="22"/>
  <c r="M17" i="22"/>
  <c r="L17" i="22"/>
  <c r="K17" i="22"/>
  <c r="J17" i="22"/>
  <c r="J32" i="22" s="1"/>
  <c r="I17" i="22"/>
  <c r="H17" i="22"/>
  <c r="G17" i="22"/>
  <c r="F17" i="22"/>
  <c r="F32" i="22" s="1"/>
  <c r="E17" i="22"/>
  <c r="D17" i="22"/>
  <c r="C17" i="22"/>
  <c r="S16" i="22"/>
  <c r="R16" i="22"/>
  <c r="Q16" i="22"/>
  <c r="P16" i="22"/>
  <c r="O16" i="22"/>
  <c r="N16" i="22"/>
  <c r="M16" i="22"/>
  <c r="L16" i="22"/>
  <c r="K16" i="22"/>
  <c r="J16" i="22"/>
  <c r="I16" i="22"/>
  <c r="H16" i="22"/>
  <c r="G16" i="22"/>
  <c r="F16" i="22"/>
  <c r="E16" i="22"/>
  <c r="D16" i="22"/>
  <c r="C16" i="22"/>
  <c r="S15" i="22"/>
  <c r="R15" i="22"/>
  <c r="Q15" i="22"/>
  <c r="P15" i="22"/>
  <c r="O15" i="22"/>
  <c r="N15" i="22"/>
  <c r="M15" i="22"/>
  <c r="L15" i="22"/>
  <c r="K15" i="22"/>
  <c r="J15" i="22"/>
  <c r="I15" i="22"/>
  <c r="H15" i="22"/>
  <c r="G15" i="22"/>
  <c r="G18" i="22" s="1"/>
  <c r="F15" i="22"/>
  <c r="E15" i="22"/>
  <c r="D15" i="22"/>
  <c r="C15" i="22"/>
  <c r="S12" i="22"/>
  <c r="S35" i="22" s="1"/>
  <c r="R12" i="22"/>
  <c r="R35" i="22" s="1"/>
  <c r="Q12" i="22"/>
  <c r="Q35" i="22" s="1"/>
  <c r="P12" i="22"/>
  <c r="P35" i="22" s="1"/>
  <c r="O12" i="22"/>
  <c r="O35" i="22" s="1"/>
  <c r="N12" i="22"/>
  <c r="N35" i="22" s="1"/>
  <c r="M12" i="22"/>
  <c r="M35" i="22" s="1"/>
  <c r="L12" i="22"/>
  <c r="L35" i="22"/>
  <c r="K12" i="22"/>
  <c r="K35" i="22" s="1"/>
  <c r="J12" i="22"/>
  <c r="J35" i="22" s="1"/>
  <c r="I12" i="22"/>
  <c r="I35" i="22" s="1"/>
  <c r="H12" i="22"/>
  <c r="H35" i="22" s="1"/>
  <c r="G12" i="22"/>
  <c r="G35" i="22" s="1"/>
  <c r="F12" i="22"/>
  <c r="F35" i="22" s="1"/>
  <c r="E12" i="22"/>
  <c r="E35" i="22" s="1"/>
  <c r="D12" i="22"/>
  <c r="D35" i="22" s="1"/>
  <c r="S11" i="22"/>
  <c r="S34" i="22" s="1"/>
  <c r="R11" i="22"/>
  <c r="R34" i="22" s="1"/>
  <c r="Q11" i="22"/>
  <c r="Q34" i="22" s="1"/>
  <c r="P11" i="22"/>
  <c r="P34" i="22" s="1"/>
  <c r="O11" i="22"/>
  <c r="O34" i="22" s="1"/>
  <c r="N11" i="22"/>
  <c r="N34" i="22" s="1"/>
  <c r="M11" i="22"/>
  <c r="M34" i="22" s="1"/>
  <c r="L11" i="22"/>
  <c r="L34" i="22" s="1"/>
  <c r="K11" i="22"/>
  <c r="K34" i="22" s="1"/>
  <c r="J11" i="22"/>
  <c r="J34" i="22" s="1"/>
  <c r="I11" i="22"/>
  <c r="I34" i="22" s="1"/>
  <c r="H11" i="22"/>
  <c r="H34" i="22" s="1"/>
  <c r="G11" i="22"/>
  <c r="G34" i="22" s="1"/>
  <c r="F11" i="22"/>
  <c r="F34" i="22" s="1"/>
  <c r="E11" i="22"/>
  <c r="E34" i="22" s="1"/>
  <c r="D11" i="22"/>
  <c r="D34" i="22" s="1"/>
  <c r="S10" i="22"/>
  <c r="R10" i="22"/>
  <c r="R13" i="22" s="1"/>
  <c r="Q10" i="22"/>
  <c r="P10" i="22"/>
  <c r="O10" i="22"/>
  <c r="N10" i="22"/>
  <c r="N13" i="22" s="1"/>
  <c r="M10" i="22"/>
  <c r="M13" i="22" s="1"/>
  <c r="L10" i="22"/>
  <c r="L13" i="22" s="1"/>
  <c r="K10" i="22"/>
  <c r="J10" i="22"/>
  <c r="I10" i="22"/>
  <c r="H10" i="22"/>
  <c r="H13" i="22" s="1"/>
  <c r="G10" i="22"/>
  <c r="G13" i="22" s="1"/>
  <c r="F10" i="22"/>
  <c r="F13" i="22" s="1"/>
  <c r="E10" i="22"/>
  <c r="D10" i="22"/>
  <c r="S7" i="22"/>
  <c r="S33" i="22" s="1"/>
  <c r="R7" i="22"/>
  <c r="Q7" i="22"/>
  <c r="Q33" i="22" s="1"/>
  <c r="P7" i="22"/>
  <c r="O7" i="22"/>
  <c r="N7" i="22"/>
  <c r="M7" i="22"/>
  <c r="M33" i="22" s="1"/>
  <c r="L7" i="22"/>
  <c r="L33" i="22" s="1"/>
  <c r="K7" i="22"/>
  <c r="K33" i="22" s="1"/>
  <c r="J7" i="22"/>
  <c r="I7" i="22"/>
  <c r="I33" i="22" s="1"/>
  <c r="H7" i="22"/>
  <c r="G7" i="22"/>
  <c r="F7" i="22"/>
  <c r="E7" i="22"/>
  <c r="E33" i="22" s="1"/>
  <c r="D7" i="22"/>
  <c r="C7" i="22"/>
  <c r="S6" i="22"/>
  <c r="R6" i="22"/>
  <c r="Q6" i="22"/>
  <c r="P6" i="22"/>
  <c r="O6" i="22"/>
  <c r="N6" i="22"/>
  <c r="K6" i="22"/>
  <c r="J6" i="22"/>
  <c r="H6" i="22"/>
  <c r="G6" i="22"/>
  <c r="C6" i="22"/>
  <c r="S5" i="22"/>
  <c r="R5" i="22"/>
  <c r="Q5" i="22"/>
  <c r="P5" i="22"/>
  <c r="O5" i="22"/>
  <c r="N5" i="22"/>
  <c r="M5" i="22"/>
  <c r="L5" i="22"/>
  <c r="K5" i="22"/>
  <c r="J5" i="22"/>
  <c r="I5" i="22"/>
  <c r="I30" i="22" s="1"/>
  <c r="H5" i="22"/>
  <c r="G5" i="22"/>
  <c r="F5" i="22"/>
  <c r="F30" i="22" s="1"/>
  <c r="E5" i="22"/>
  <c r="E30" i="22" s="1"/>
  <c r="D5" i="22"/>
  <c r="C5" i="22"/>
  <c r="S104" i="21"/>
  <c r="R104" i="21"/>
  <c r="Q104" i="21"/>
  <c r="P104" i="21"/>
  <c r="O104" i="21"/>
  <c r="N104" i="21"/>
  <c r="M104" i="21"/>
  <c r="L104" i="21"/>
  <c r="K104" i="21"/>
  <c r="J104" i="21"/>
  <c r="I104" i="21"/>
  <c r="H104" i="21"/>
  <c r="G104" i="21"/>
  <c r="F104" i="21"/>
  <c r="E104" i="21"/>
  <c r="D104" i="21"/>
  <c r="C104" i="21"/>
  <c r="S99" i="21"/>
  <c r="R99" i="21"/>
  <c r="Q99" i="21"/>
  <c r="P99" i="21"/>
  <c r="O99" i="21"/>
  <c r="O105" i="21" s="1"/>
  <c r="N99" i="21"/>
  <c r="M99" i="21"/>
  <c r="L99" i="21"/>
  <c r="K99" i="21"/>
  <c r="J99" i="21"/>
  <c r="I99" i="21"/>
  <c r="H99" i="21"/>
  <c r="G99" i="21"/>
  <c r="F99" i="21"/>
  <c r="E99" i="21"/>
  <c r="D99" i="21"/>
  <c r="C99" i="21"/>
  <c r="S90" i="21"/>
  <c r="R90" i="21"/>
  <c r="Q90" i="21"/>
  <c r="Q105" i="21"/>
  <c r="P90" i="21"/>
  <c r="O90" i="21"/>
  <c r="N90" i="21"/>
  <c r="M90" i="21"/>
  <c r="L90" i="21"/>
  <c r="L105" i="21" s="1"/>
  <c r="K90" i="21"/>
  <c r="J90" i="21"/>
  <c r="I90" i="21"/>
  <c r="I105" i="21" s="1"/>
  <c r="H90" i="21"/>
  <c r="G90" i="21"/>
  <c r="F90" i="21"/>
  <c r="E90" i="21"/>
  <c r="D90" i="21"/>
  <c r="C90" i="21"/>
  <c r="S82" i="21"/>
  <c r="R82" i="21"/>
  <c r="R22" i="22" s="1"/>
  <c r="P82" i="21"/>
  <c r="P22" i="22" s="1"/>
  <c r="O82" i="21"/>
  <c r="O22" i="22" s="1"/>
  <c r="N82" i="21"/>
  <c r="N22" i="22"/>
  <c r="S78" i="21"/>
  <c r="S21" i="22" s="1"/>
  <c r="R78" i="21"/>
  <c r="R21" i="22" s="1"/>
  <c r="Q78" i="21"/>
  <c r="P78" i="21"/>
  <c r="P21" i="22"/>
  <c r="O78" i="21"/>
  <c r="O21" i="22" s="1"/>
  <c r="N78" i="21"/>
  <c r="N21" i="22"/>
  <c r="S74" i="21"/>
  <c r="S20" i="22" s="1"/>
  <c r="R74" i="21"/>
  <c r="R20" i="22" s="1"/>
  <c r="Q74" i="21"/>
  <c r="Q20" i="22" s="1"/>
  <c r="P74" i="21"/>
  <c r="P20" i="22" s="1"/>
  <c r="O74" i="21"/>
  <c r="N74" i="21"/>
  <c r="N20" i="22" s="1"/>
  <c r="S70" i="21"/>
  <c r="R70" i="21"/>
  <c r="Q70" i="21"/>
  <c r="P70" i="21"/>
  <c r="O70" i="21"/>
  <c r="N70" i="21"/>
  <c r="M70" i="21"/>
  <c r="L70" i="21"/>
  <c r="K70" i="21"/>
  <c r="J70" i="21"/>
  <c r="I70" i="21"/>
  <c r="H70" i="21"/>
  <c r="G70" i="21"/>
  <c r="F70" i="21"/>
  <c r="E70" i="21"/>
  <c r="E71" i="21" s="1"/>
  <c r="D70" i="21"/>
  <c r="D71" i="21" s="1"/>
  <c r="C70" i="21"/>
  <c r="S63" i="21"/>
  <c r="R63" i="21"/>
  <c r="Q63" i="21"/>
  <c r="P63" i="21"/>
  <c r="O63" i="21"/>
  <c r="N63" i="21"/>
  <c r="M63" i="21"/>
  <c r="L63" i="21"/>
  <c r="K63" i="21"/>
  <c r="J63" i="21"/>
  <c r="I63" i="21"/>
  <c r="I71" i="21" s="1"/>
  <c r="H63" i="21"/>
  <c r="G63" i="21"/>
  <c r="F63" i="21"/>
  <c r="E63" i="21"/>
  <c r="D63" i="21"/>
  <c r="C63" i="21"/>
  <c r="S50" i="21"/>
  <c r="S71" i="21"/>
  <c r="R50" i="21"/>
  <c r="Q50" i="21"/>
  <c r="P50" i="21"/>
  <c r="O50" i="21"/>
  <c r="O71" i="21" s="1"/>
  <c r="N50" i="21"/>
  <c r="M50" i="21"/>
  <c r="L50" i="21"/>
  <c r="L71" i="21" s="1"/>
  <c r="K50" i="21"/>
  <c r="K71" i="21" s="1"/>
  <c r="J50" i="21"/>
  <c r="I50" i="21"/>
  <c r="H50" i="21"/>
  <c r="G50" i="21"/>
  <c r="F50" i="21"/>
  <c r="E50" i="21"/>
  <c r="D50" i="21"/>
  <c r="C50" i="21"/>
  <c r="S38" i="21"/>
  <c r="S39" i="21" s="1"/>
  <c r="R38" i="21"/>
  <c r="Q38" i="21"/>
  <c r="P38" i="21"/>
  <c r="O38" i="21"/>
  <c r="N38" i="21"/>
  <c r="M38" i="21"/>
  <c r="L38" i="21"/>
  <c r="K38" i="21"/>
  <c r="K39" i="21" s="1"/>
  <c r="J38" i="21"/>
  <c r="I38" i="21"/>
  <c r="H38" i="21"/>
  <c r="G38" i="21"/>
  <c r="F38" i="21"/>
  <c r="E38" i="21"/>
  <c r="D38" i="21"/>
  <c r="C38" i="21"/>
  <c r="S33" i="21"/>
  <c r="R33" i="21"/>
  <c r="Q33" i="21"/>
  <c r="P33" i="21"/>
  <c r="O33" i="21"/>
  <c r="N33" i="21"/>
  <c r="M33" i="21"/>
  <c r="L33" i="21"/>
  <c r="K33" i="21"/>
  <c r="J33" i="21"/>
  <c r="I33" i="21"/>
  <c r="H33" i="21"/>
  <c r="G33" i="21"/>
  <c r="F33" i="21"/>
  <c r="E33" i="21"/>
  <c r="D33" i="21"/>
  <c r="D39" i="21" s="1"/>
  <c r="C33" i="21"/>
  <c r="S29" i="21"/>
  <c r="R29" i="21"/>
  <c r="Q29" i="21"/>
  <c r="P29" i="21"/>
  <c r="P39" i="21" s="1"/>
  <c r="O29" i="21"/>
  <c r="O39" i="21" s="1"/>
  <c r="N29" i="21"/>
  <c r="N39" i="21" s="1"/>
  <c r="M29" i="21"/>
  <c r="L29" i="21"/>
  <c r="K29" i="21"/>
  <c r="J29" i="21"/>
  <c r="I29" i="21"/>
  <c r="H29" i="21"/>
  <c r="H39" i="21" s="1"/>
  <c r="G29" i="21"/>
  <c r="F29" i="21"/>
  <c r="E29" i="21"/>
  <c r="D29" i="21"/>
  <c r="C29" i="21"/>
  <c r="S23" i="21"/>
  <c r="R23" i="21"/>
  <c r="Q23" i="21"/>
  <c r="P23" i="21"/>
  <c r="O23" i="21"/>
  <c r="N23" i="21"/>
  <c r="M23" i="21"/>
  <c r="L23" i="21"/>
  <c r="K23" i="21"/>
  <c r="K24" i="21" s="1"/>
  <c r="J23" i="21"/>
  <c r="I23" i="21"/>
  <c r="H23" i="21"/>
  <c r="G23" i="21"/>
  <c r="F23" i="21"/>
  <c r="E23" i="21"/>
  <c r="D23" i="21"/>
  <c r="C23" i="21"/>
  <c r="S19" i="21"/>
  <c r="R19" i="21"/>
  <c r="Q19" i="21"/>
  <c r="P19" i="21"/>
  <c r="O19" i="21"/>
  <c r="N19" i="21"/>
  <c r="K19" i="21"/>
  <c r="J19" i="21"/>
  <c r="H19" i="21"/>
  <c r="G19" i="21"/>
  <c r="G24" i="21" s="1"/>
  <c r="C19" i="21"/>
  <c r="M16" i="21"/>
  <c r="M6" i="22" s="1"/>
  <c r="L16" i="21"/>
  <c r="I16" i="21"/>
  <c r="I19" i="21" s="1"/>
  <c r="F16" i="21"/>
  <c r="F6" i="22"/>
  <c r="E16" i="21"/>
  <c r="D16" i="21"/>
  <c r="D6" i="22" s="1"/>
  <c r="S14" i="21"/>
  <c r="S24" i="21" s="1"/>
  <c r="R14" i="21"/>
  <c r="Q14" i="21"/>
  <c r="Q24" i="21" s="1"/>
  <c r="P14" i="21"/>
  <c r="O14" i="21"/>
  <c r="N14" i="21"/>
  <c r="M14" i="21"/>
  <c r="L14" i="21"/>
  <c r="K14" i="21"/>
  <c r="J14" i="21"/>
  <c r="I14" i="21"/>
  <c r="H14" i="21"/>
  <c r="H24" i="21" s="1"/>
  <c r="G14" i="21"/>
  <c r="F14" i="21"/>
  <c r="E14" i="21"/>
  <c r="D14" i="21"/>
  <c r="C14" i="21"/>
  <c r="AT36" i="20"/>
  <c r="AS36" i="20"/>
  <c r="AU36" i="20" s="1"/>
  <c r="AQ36" i="20"/>
  <c r="AP36" i="20"/>
  <c r="AR36" i="20" s="1"/>
  <c r="AN36" i="20"/>
  <c r="AM36" i="20"/>
  <c r="AK36" i="20"/>
  <c r="AJ36" i="20"/>
  <c r="AH36" i="20"/>
  <c r="AG36" i="20"/>
  <c r="AE36" i="20"/>
  <c r="AD36" i="20"/>
  <c r="AB36" i="20"/>
  <c r="AA36" i="20"/>
  <c r="Y36" i="20"/>
  <c r="X36" i="20"/>
  <c r="V36" i="20"/>
  <c r="U36" i="20"/>
  <c r="S36" i="20"/>
  <c r="R36" i="20"/>
  <c r="P36" i="20"/>
  <c r="O36" i="20"/>
  <c r="M36" i="20"/>
  <c r="L36" i="20"/>
  <c r="K36" i="20"/>
  <c r="J36" i="20"/>
  <c r="I36" i="20"/>
  <c r="H36" i="20"/>
  <c r="G36" i="20"/>
  <c r="F36" i="20"/>
  <c r="E36" i="20"/>
  <c r="D36" i="20"/>
  <c r="C36" i="20"/>
  <c r="AT35" i="20"/>
  <c r="AS35" i="20"/>
  <c r="AQ35" i="20"/>
  <c r="AR35" i="20" s="1"/>
  <c r="AP35" i="20"/>
  <c r="AN35" i="20"/>
  <c r="AM35" i="20"/>
  <c r="AK35" i="20"/>
  <c r="AJ35" i="20"/>
  <c r="AL35" i="20" s="1"/>
  <c r="AH35" i="20"/>
  <c r="AI35" i="20" s="1"/>
  <c r="AG35" i="20"/>
  <c r="AE35" i="20"/>
  <c r="AD35" i="20"/>
  <c r="AB35" i="20"/>
  <c r="AA35" i="20"/>
  <c r="Y35" i="20"/>
  <c r="X35" i="20"/>
  <c r="V35" i="20"/>
  <c r="U35" i="20"/>
  <c r="S35" i="20"/>
  <c r="R35" i="20"/>
  <c r="P35" i="20"/>
  <c r="O35" i="20"/>
  <c r="M35" i="20"/>
  <c r="L35" i="20"/>
  <c r="K35" i="20"/>
  <c r="J35" i="20"/>
  <c r="I35" i="20"/>
  <c r="H35" i="20"/>
  <c r="G35" i="20"/>
  <c r="F35" i="20"/>
  <c r="E35" i="20"/>
  <c r="D35" i="20"/>
  <c r="C35" i="20"/>
  <c r="AT34" i="20"/>
  <c r="AS34" i="20"/>
  <c r="AU34" i="20" s="1"/>
  <c r="AQ34" i="20"/>
  <c r="AP34" i="20"/>
  <c r="AN34" i="20"/>
  <c r="AM34" i="20"/>
  <c r="AO34" i="20" s="1"/>
  <c r="AK34" i="20"/>
  <c r="AJ34" i="20"/>
  <c r="AH34" i="20"/>
  <c r="AG34" i="20"/>
  <c r="AI34" i="20"/>
  <c r="AE34" i="20"/>
  <c r="AD34" i="20"/>
  <c r="AB34" i="20"/>
  <c r="AA34" i="20"/>
  <c r="Y34" i="20"/>
  <c r="X34" i="20"/>
  <c r="V34" i="20"/>
  <c r="U34" i="20"/>
  <c r="S34" i="20"/>
  <c r="R34" i="20"/>
  <c r="P34" i="20"/>
  <c r="O34" i="20"/>
  <c r="M34" i="20"/>
  <c r="L34" i="20"/>
  <c r="J34" i="20"/>
  <c r="I34" i="20"/>
  <c r="G34" i="20"/>
  <c r="F34" i="20"/>
  <c r="D34" i="20"/>
  <c r="D37" i="20" s="1"/>
  <c r="C34" i="20"/>
  <c r="AT33" i="20"/>
  <c r="AS33" i="20"/>
  <c r="AQ33" i="20"/>
  <c r="AP33" i="20"/>
  <c r="AR33" i="20" s="1"/>
  <c r="AN33" i="20"/>
  <c r="AM33" i="20"/>
  <c r="AO33" i="20" s="1"/>
  <c r="AK33" i="20"/>
  <c r="AJ33" i="20"/>
  <c r="AL33" i="20" s="1"/>
  <c r="AH33" i="20"/>
  <c r="AI33" i="20" s="1"/>
  <c r="AG33" i="20"/>
  <c r="AE33" i="20"/>
  <c r="AD33" i="20"/>
  <c r="AB33" i="20"/>
  <c r="AA33" i="20"/>
  <c r="AA37" i="20" s="1"/>
  <c r="Y33" i="20"/>
  <c r="X33" i="20"/>
  <c r="V33" i="20"/>
  <c r="U33" i="20"/>
  <c r="S33" i="20"/>
  <c r="R33" i="20"/>
  <c r="P33" i="20"/>
  <c r="O33" i="20"/>
  <c r="M33" i="20"/>
  <c r="L33" i="20"/>
  <c r="J33" i="20"/>
  <c r="I33" i="20"/>
  <c r="G33" i="20"/>
  <c r="F33" i="20"/>
  <c r="D33" i="20"/>
  <c r="C33" i="20"/>
  <c r="AT32" i="20"/>
  <c r="AS32" i="20"/>
  <c r="AQ32" i="20"/>
  <c r="AP32" i="20"/>
  <c r="AR32" i="20"/>
  <c r="AN32" i="20"/>
  <c r="AM32" i="20"/>
  <c r="AO32" i="20" s="1"/>
  <c r="AK32" i="20"/>
  <c r="AJ32" i="20"/>
  <c r="AH32" i="20"/>
  <c r="AG32" i="20"/>
  <c r="AI32" i="20" s="1"/>
  <c r="AE32" i="20"/>
  <c r="AD32" i="20"/>
  <c r="AF32" i="20"/>
  <c r="AB32" i="20"/>
  <c r="AA32" i="20"/>
  <c r="Y32" i="20"/>
  <c r="X32" i="20"/>
  <c r="V32" i="20"/>
  <c r="U32" i="20"/>
  <c r="S32" i="20"/>
  <c r="R32" i="20"/>
  <c r="M32" i="20"/>
  <c r="L32" i="20"/>
  <c r="J32" i="20"/>
  <c r="I32" i="20"/>
  <c r="G32" i="20"/>
  <c r="F32" i="20"/>
  <c r="D32" i="20"/>
  <c r="C32" i="20"/>
  <c r="AT31" i="20"/>
  <c r="AS31" i="20"/>
  <c r="AQ31" i="20"/>
  <c r="AP31" i="20"/>
  <c r="AN31" i="20"/>
  <c r="AM31" i="20"/>
  <c r="AK31" i="20"/>
  <c r="AJ31" i="20"/>
  <c r="AL31" i="20" s="1"/>
  <c r="AH31" i="20"/>
  <c r="AG31" i="20"/>
  <c r="AG37" i="20" s="1"/>
  <c r="AE31" i="20"/>
  <c r="AD31" i="20"/>
  <c r="AB31" i="20"/>
  <c r="AA31" i="20"/>
  <c r="Y31" i="20"/>
  <c r="Y37" i="20" s="1"/>
  <c r="X31" i="20"/>
  <c r="V31" i="20"/>
  <c r="U31" i="20"/>
  <c r="S31" i="20"/>
  <c r="R31" i="20"/>
  <c r="P31" i="20"/>
  <c r="O31" i="20"/>
  <c r="M31" i="20"/>
  <c r="L31" i="20"/>
  <c r="J31" i="20"/>
  <c r="I31" i="20"/>
  <c r="G31" i="20"/>
  <c r="F31" i="20"/>
  <c r="D31" i="20"/>
  <c r="C31" i="20"/>
  <c r="AT29" i="20"/>
  <c r="AS29" i="20"/>
  <c r="AQ29" i="20"/>
  <c r="AP29" i="20"/>
  <c r="AN29" i="20"/>
  <c r="AM29" i="20"/>
  <c r="AK29" i="20"/>
  <c r="AJ29" i="20"/>
  <c r="AH29" i="20"/>
  <c r="AG29" i="20"/>
  <c r="AE29" i="20"/>
  <c r="AD29" i="20"/>
  <c r="AB29" i="20"/>
  <c r="AA29" i="20"/>
  <c r="Y29" i="20"/>
  <c r="X29" i="20"/>
  <c r="V29" i="20"/>
  <c r="U29" i="20"/>
  <c r="S29" i="20"/>
  <c r="R29" i="20"/>
  <c r="P29" i="20"/>
  <c r="O29" i="20"/>
  <c r="M29" i="20"/>
  <c r="L29" i="20"/>
  <c r="J29" i="20"/>
  <c r="I29" i="20"/>
  <c r="G29" i="20"/>
  <c r="F29" i="20"/>
  <c r="D29" i="20"/>
  <c r="C29" i="20"/>
  <c r="AU28" i="20"/>
  <c r="AR28" i="20"/>
  <c r="AO28" i="20"/>
  <c r="AL28" i="20"/>
  <c r="AI28" i="20"/>
  <c r="AF28" i="20"/>
  <c r="AC28" i="20"/>
  <c r="AC34" i="20" s="1"/>
  <c r="Z28" i="20"/>
  <c r="W28" i="20"/>
  <c r="T28" i="20"/>
  <c r="Q28" i="20"/>
  <c r="N28" i="20"/>
  <c r="K28" i="20"/>
  <c r="H28" i="20"/>
  <c r="E28" i="20"/>
  <c r="AU27" i="20"/>
  <c r="AR27" i="20"/>
  <c r="AO27" i="20"/>
  <c r="AL27" i="20"/>
  <c r="AI27" i="20"/>
  <c r="AF27" i="20"/>
  <c r="AC27" i="20"/>
  <c r="AC29" i="20" s="1"/>
  <c r="Z27" i="20"/>
  <c r="Z33" i="20" s="1"/>
  <c r="W27" i="20"/>
  <c r="T27" i="20"/>
  <c r="T33" i="20" s="1"/>
  <c r="Q27" i="20"/>
  <c r="N27" i="20"/>
  <c r="K27" i="20"/>
  <c r="H27" i="20"/>
  <c r="E27" i="20"/>
  <c r="AU26" i="20"/>
  <c r="AR26" i="20"/>
  <c r="AR29" i="20"/>
  <c r="AO26" i="20"/>
  <c r="AL26" i="20"/>
  <c r="AL29" i="20" s="1"/>
  <c r="AI26" i="20"/>
  <c r="AF26" i="20"/>
  <c r="AF29" i="20" s="1"/>
  <c r="AC26" i="20"/>
  <c r="Z26" i="20"/>
  <c r="Z29" i="20" s="1"/>
  <c r="W26" i="20"/>
  <c r="W29" i="20" s="1"/>
  <c r="T26" i="20"/>
  <c r="Q26" i="20"/>
  <c r="N26" i="20"/>
  <c r="K26" i="20"/>
  <c r="H26" i="20"/>
  <c r="H29" i="20"/>
  <c r="E26" i="20"/>
  <c r="AT24" i="20"/>
  <c r="AS24" i="20"/>
  <c r="AQ24" i="20"/>
  <c r="AP24" i="20"/>
  <c r="AN24" i="20"/>
  <c r="AM24" i="20"/>
  <c r="AK24" i="20"/>
  <c r="AJ24" i="20"/>
  <c r="AH24" i="20"/>
  <c r="AG24" i="20"/>
  <c r="AE24" i="20"/>
  <c r="AD24" i="20"/>
  <c r="AU23" i="20"/>
  <c r="AR23" i="20"/>
  <c r="AR24" i="20" s="1"/>
  <c r="AO23" i="20"/>
  <c r="AO24" i="20" s="1"/>
  <c r="AL23" i="20"/>
  <c r="AI23" i="20"/>
  <c r="AF23" i="20"/>
  <c r="AU22" i="20"/>
  <c r="AR22" i="20"/>
  <c r="AO22" i="20"/>
  <c r="AL22" i="20"/>
  <c r="AI22" i="20"/>
  <c r="AF22" i="20"/>
  <c r="AU21" i="20"/>
  <c r="AR21" i="20"/>
  <c r="AO21" i="20"/>
  <c r="AL21" i="20"/>
  <c r="AI21" i="20"/>
  <c r="AF21" i="20"/>
  <c r="AT19" i="20"/>
  <c r="AS19" i="20"/>
  <c r="AQ19" i="20"/>
  <c r="AP19" i="20"/>
  <c r="AN19" i="20"/>
  <c r="AM19" i="20"/>
  <c r="AK19" i="20"/>
  <c r="AJ19" i="20"/>
  <c r="AH19" i="20"/>
  <c r="AG19" i="20"/>
  <c r="AE19" i="20"/>
  <c r="AD19" i="20"/>
  <c r="AB19" i="20"/>
  <c r="AA19" i="20"/>
  <c r="Y19" i="20"/>
  <c r="X19" i="20"/>
  <c r="V19" i="20"/>
  <c r="U19" i="20"/>
  <c r="S19" i="20"/>
  <c r="R19" i="20"/>
  <c r="P19" i="20"/>
  <c r="O19" i="20"/>
  <c r="M19" i="20"/>
  <c r="L19" i="20"/>
  <c r="J19" i="20"/>
  <c r="I19" i="20"/>
  <c r="G19" i="20"/>
  <c r="F19" i="20"/>
  <c r="D19" i="20"/>
  <c r="C19" i="20"/>
  <c r="AU18" i="20"/>
  <c r="AR18" i="20"/>
  <c r="AO18" i="20"/>
  <c r="AL18" i="20"/>
  <c r="AI18" i="20"/>
  <c r="AF18" i="20"/>
  <c r="AC18" i="20"/>
  <c r="Z18" i="20"/>
  <c r="W18" i="20"/>
  <c r="T18" i="20"/>
  <c r="Q18" i="20"/>
  <c r="Q33" i="20" s="1"/>
  <c r="N18" i="20"/>
  <c r="N33" i="20" s="1"/>
  <c r="K18" i="20"/>
  <c r="K33" i="20" s="1"/>
  <c r="H18" i="20"/>
  <c r="E18" i="20"/>
  <c r="E33" i="20" s="1"/>
  <c r="AU17" i="20"/>
  <c r="AR17" i="20"/>
  <c r="AO17" i="20"/>
  <c r="AL17" i="20"/>
  <c r="AI17" i="20"/>
  <c r="AF17" i="20"/>
  <c r="AC17" i="20"/>
  <c r="Z17" i="20"/>
  <c r="W17" i="20"/>
  <c r="T17" i="20"/>
  <c r="Q17" i="20"/>
  <c r="N17" i="20"/>
  <c r="K17" i="20"/>
  <c r="H17" i="20"/>
  <c r="E17" i="20"/>
  <c r="AU16" i="20"/>
  <c r="AR16" i="20"/>
  <c r="AO16" i="20"/>
  <c r="AO19" i="20" s="1"/>
  <c r="AL16" i="20"/>
  <c r="AI16" i="20"/>
  <c r="AI19" i="20" s="1"/>
  <c r="AF16" i="20"/>
  <c r="AC16" i="20"/>
  <c r="AC31" i="20" s="1"/>
  <c r="Z16" i="20"/>
  <c r="W16" i="20"/>
  <c r="T16" i="20"/>
  <c r="T19" i="20" s="1"/>
  <c r="Q16" i="20"/>
  <c r="N16" i="20"/>
  <c r="N19" i="20"/>
  <c r="K16" i="20"/>
  <c r="K19" i="20"/>
  <c r="H16" i="20"/>
  <c r="H19" i="20" s="1"/>
  <c r="E16" i="20"/>
  <c r="AT14" i="20"/>
  <c r="AS14" i="20"/>
  <c r="AQ14" i="20"/>
  <c r="AP14" i="20"/>
  <c r="AN14" i="20"/>
  <c r="AM14" i="20"/>
  <c r="AK14" i="20"/>
  <c r="AJ14" i="20"/>
  <c r="AH14" i="20"/>
  <c r="AG14" i="20"/>
  <c r="AE14" i="20"/>
  <c r="AD14" i="20"/>
  <c r="AB14" i="20"/>
  <c r="AA14" i="20"/>
  <c r="Y14" i="20"/>
  <c r="X14" i="20"/>
  <c r="V14" i="20"/>
  <c r="U14" i="20"/>
  <c r="S14" i="20"/>
  <c r="R14" i="20"/>
  <c r="M14" i="20"/>
  <c r="L14" i="20"/>
  <c r="AU13" i="20"/>
  <c r="AR13" i="20"/>
  <c r="AO13" i="20"/>
  <c r="AL13" i="20"/>
  <c r="AI13" i="20"/>
  <c r="AF13" i="20"/>
  <c r="AC13" i="20"/>
  <c r="AC36" i="20"/>
  <c r="Z13" i="20"/>
  <c r="Z36" i="20" s="1"/>
  <c r="W13" i="20"/>
  <c r="W36" i="20" s="1"/>
  <c r="T13" i="20"/>
  <c r="T36" i="20" s="1"/>
  <c r="Q13" i="20"/>
  <c r="Q36" i="20"/>
  <c r="N13" i="20"/>
  <c r="N36" i="20"/>
  <c r="AU12" i="20"/>
  <c r="AR12" i="20"/>
  <c r="AO12" i="20"/>
  <c r="AL12" i="20"/>
  <c r="AI12" i="20"/>
  <c r="AF12" i="20"/>
  <c r="AC12" i="20"/>
  <c r="AC35" i="20"/>
  <c r="Z12" i="20"/>
  <c r="Z35" i="20" s="1"/>
  <c r="W12" i="20"/>
  <c r="W35" i="20" s="1"/>
  <c r="T12" i="20"/>
  <c r="T35" i="20" s="1"/>
  <c r="Q12" i="20"/>
  <c r="Q35" i="20"/>
  <c r="N12" i="20"/>
  <c r="N35" i="20" s="1"/>
  <c r="AU11" i="20"/>
  <c r="AU14" i="20"/>
  <c r="AR11" i="20"/>
  <c r="AR14" i="20" s="1"/>
  <c r="AO11" i="20"/>
  <c r="AL11" i="20"/>
  <c r="AI11" i="20"/>
  <c r="AF11" i="20"/>
  <c r="AF14" i="20" s="1"/>
  <c r="AC11" i="20"/>
  <c r="AC32" i="20"/>
  <c r="Z11" i="20"/>
  <c r="Z14" i="20" s="1"/>
  <c r="W11" i="20"/>
  <c r="W14" i="20" s="1"/>
  <c r="T11" i="20"/>
  <c r="P11" i="20"/>
  <c r="P32" i="20" s="1"/>
  <c r="O11" i="20"/>
  <c r="O32" i="20" s="1"/>
  <c r="N11" i="20"/>
  <c r="N14" i="20"/>
  <c r="AT9" i="20"/>
  <c r="AS9" i="20"/>
  <c r="AQ9" i="20"/>
  <c r="AP9" i="20"/>
  <c r="AN9" i="20"/>
  <c r="AM9" i="20"/>
  <c r="AK9" i="20"/>
  <c r="AJ9" i="20"/>
  <c r="AH9" i="20"/>
  <c r="AG9" i="20"/>
  <c r="AE9" i="20"/>
  <c r="AD9" i="20"/>
  <c r="AC9" i="20"/>
  <c r="AB9" i="20"/>
  <c r="AA9" i="20"/>
  <c r="Y9" i="20"/>
  <c r="X9" i="20"/>
  <c r="V9" i="20"/>
  <c r="U9" i="20"/>
  <c r="S9" i="20"/>
  <c r="R9" i="20"/>
  <c r="P9" i="20"/>
  <c r="O9" i="20"/>
  <c r="M9" i="20"/>
  <c r="L9" i="20"/>
  <c r="J9" i="20"/>
  <c r="I9" i="20"/>
  <c r="G9" i="20"/>
  <c r="F9" i="20"/>
  <c r="D9" i="20"/>
  <c r="C9" i="20"/>
  <c r="AU8" i="20"/>
  <c r="AR8" i="20"/>
  <c r="AR9" i="20" s="1"/>
  <c r="AO8" i="20"/>
  <c r="AL8" i="20"/>
  <c r="AI8" i="20"/>
  <c r="AF8" i="20"/>
  <c r="Z8" i="20"/>
  <c r="W8" i="20"/>
  <c r="T8" i="20"/>
  <c r="T34" i="20" s="1"/>
  <c r="Q8" i="20"/>
  <c r="Q34" i="20" s="1"/>
  <c r="N8" i="20"/>
  <c r="N34" i="20" s="1"/>
  <c r="K8" i="20"/>
  <c r="K34" i="20" s="1"/>
  <c r="H8" i="20"/>
  <c r="E8" i="20"/>
  <c r="AU7" i="20"/>
  <c r="AR7" i="20"/>
  <c r="AO7" i="20"/>
  <c r="AL7" i="20"/>
  <c r="AI7" i="20"/>
  <c r="AF7" i="20"/>
  <c r="Z7" i="20"/>
  <c r="W7" i="20"/>
  <c r="T7" i="20"/>
  <c r="Q7" i="20"/>
  <c r="N7" i="20"/>
  <c r="N32" i="20" s="1"/>
  <c r="K7" i="20"/>
  <c r="K32" i="20" s="1"/>
  <c r="H7" i="20"/>
  <c r="E7" i="20"/>
  <c r="AU6" i="20"/>
  <c r="AR6" i="20"/>
  <c r="AO6" i="20"/>
  <c r="AL6" i="20"/>
  <c r="AL9" i="20" s="1"/>
  <c r="AI6" i="20"/>
  <c r="AI9" i="20" s="1"/>
  <c r="AF6" i="20"/>
  <c r="Z6" i="20"/>
  <c r="W6" i="20"/>
  <c r="T6" i="20"/>
  <c r="Q6" i="20"/>
  <c r="N6" i="20"/>
  <c r="N31" i="20" s="1"/>
  <c r="K6" i="20"/>
  <c r="H6" i="20"/>
  <c r="H31" i="20" s="1"/>
  <c r="E6" i="20"/>
  <c r="E31" i="20" s="1"/>
  <c r="CK28" i="19"/>
  <c r="CJ28" i="19"/>
  <c r="CI28" i="19"/>
  <c r="CG28" i="19"/>
  <c r="CF28" i="19"/>
  <c r="CE28" i="19"/>
  <c r="CC28" i="19"/>
  <c r="CB28" i="19"/>
  <c r="CA28" i="19"/>
  <c r="BY28" i="19"/>
  <c r="BX28" i="19"/>
  <c r="BW28" i="19"/>
  <c r="BU28" i="19"/>
  <c r="BT28" i="19"/>
  <c r="BS28" i="19"/>
  <c r="BQ28" i="19"/>
  <c r="BP28" i="19"/>
  <c r="BO28" i="19"/>
  <c r="BM28" i="19"/>
  <c r="BL28" i="19"/>
  <c r="BK28" i="19"/>
  <c r="BI28" i="19"/>
  <c r="BH28" i="19"/>
  <c r="BG28" i="19"/>
  <c r="BE28" i="19"/>
  <c r="BD28" i="19"/>
  <c r="BC28" i="19"/>
  <c r="BB28" i="19"/>
  <c r="BA28" i="19"/>
  <c r="AZ28" i="19"/>
  <c r="AY28" i="19"/>
  <c r="AW28" i="19"/>
  <c r="AV28" i="19"/>
  <c r="AU28" i="19"/>
  <c r="AS28" i="19"/>
  <c r="AR28" i="19"/>
  <c r="AQ28" i="19"/>
  <c r="AO28" i="19"/>
  <c r="AN28" i="19"/>
  <c r="AM28" i="19"/>
  <c r="AK28" i="19"/>
  <c r="AJ28" i="19"/>
  <c r="AI28" i="19"/>
  <c r="AG28" i="19"/>
  <c r="AF28" i="19"/>
  <c r="AE28" i="19"/>
  <c r="AC28" i="19"/>
  <c r="AB28" i="19"/>
  <c r="AA28" i="19"/>
  <c r="Y28" i="19"/>
  <c r="X28" i="19"/>
  <c r="W28" i="19"/>
  <c r="U28" i="19"/>
  <c r="T28" i="19"/>
  <c r="S28" i="19"/>
  <c r="R28" i="19"/>
  <c r="Q28" i="19"/>
  <c r="P28" i="19"/>
  <c r="O28" i="19"/>
  <c r="N28" i="19"/>
  <c r="M28" i="19"/>
  <c r="L28" i="19"/>
  <c r="K28" i="19"/>
  <c r="J28" i="19"/>
  <c r="I28" i="19"/>
  <c r="H28" i="19"/>
  <c r="G28" i="19"/>
  <c r="F28" i="19"/>
  <c r="E28" i="19"/>
  <c r="D28" i="19"/>
  <c r="C28" i="19"/>
  <c r="CK27" i="19"/>
  <c r="CJ27" i="19"/>
  <c r="CI27" i="19"/>
  <c r="CG27" i="19"/>
  <c r="CF27" i="19"/>
  <c r="CE27" i="19"/>
  <c r="CC27" i="19"/>
  <c r="CB27" i="19"/>
  <c r="CA27" i="19"/>
  <c r="BY27" i="19"/>
  <c r="BX27" i="19"/>
  <c r="BW27" i="19"/>
  <c r="BU27" i="19"/>
  <c r="BT27" i="19"/>
  <c r="BS27" i="19"/>
  <c r="BQ27" i="19"/>
  <c r="BP27" i="19"/>
  <c r="BO27" i="19"/>
  <c r="BM27" i="19"/>
  <c r="BL27" i="19"/>
  <c r="BK27" i="19"/>
  <c r="BI27" i="19"/>
  <c r="BH27" i="19"/>
  <c r="BG27" i="19"/>
  <c r="BE27" i="19"/>
  <c r="BD27" i="19"/>
  <c r="BC27" i="19"/>
  <c r="BA27" i="19"/>
  <c r="AZ27" i="19"/>
  <c r="AY27" i="19"/>
  <c r="AW27" i="19"/>
  <c r="AV27" i="19"/>
  <c r="AU27" i="19"/>
  <c r="AS27" i="19"/>
  <c r="AR27" i="19"/>
  <c r="AQ27" i="19"/>
  <c r="AO27" i="19"/>
  <c r="AN27" i="19"/>
  <c r="AM27" i="19"/>
  <c r="AK27" i="19"/>
  <c r="AJ27" i="19"/>
  <c r="AI27" i="19"/>
  <c r="AG27" i="19"/>
  <c r="AF27" i="19"/>
  <c r="AE27" i="19"/>
  <c r="AC27" i="19"/>
  <c r="AB27" i="19"/>
  <c r="AA27" i="19"/>
  <c r="Y27" i="19"/>
  <c r="X27" i="19"/>
  <c r="W27" i="19"/>
  <c r="U27" i="19"/>
  <c r="T27" i="19"/>
  <c r="S27" i="19"/>
  <c r="R27" i="19"/>
  <c r="Q27" i="19"/>
  <c r="P27" i="19"/>
  <c r="O27" i="19"/>
  <c r="N27" i="19"/>
  <c r="M27" i="19"/>
  <c r="L27" i="19"/>
  <c r="K27" i="19"/>
  <c r="J27" i="19"/>
  <c r="I27" i="19"/>
  <c r="H27" i="19"/>
  <c r="G27" i="19"/>
  <c r="F27" i="19"/>
  <c r="E27" i="19"/>
  <c r="D27" i="19"/>
  <c r="C27" i="19"/>
  <c r="CK26" i="19"/>
  <c r="CJ26" i="19"/>
  <c r="CI26" i="19"/>
  <c r="CG26" i="19"/>
  <c r="CF26" i="19"/>
  <c r="CE26" i="19"/>
  <c r="CC26" i="19"/>
  <c r="CB26" i="19"/>
  <c r="CA26" i="19"/>
  <c r="BY26" i="19"/>
  <c r="BY29" i="19" s="1"/>
  <c r="BX26" i="19"/>
  <c r="BW26" i="19"/>
  <c r="BW29" i="19" s="1"/>
  <c r="BU26" i="19"/>
  <c r="BT26" i="19"/>
  <c r="BS26" i="19"/>
  <c r="BQ26" i="19"/>
  <c r="BP26" i="19"/>
  <c r="BO26" i="19"/>
  <c r="BO29" i="19" s="1"/>
  <c r="BM26" i="19"/>
  <c r="BL26" i="19"/>
  <c r="BK26" i="19"/>
  <c r="BI26" i="19"/>
  <c r="BH26" i="19"/>
  <c r="BG26" i="19"/>
  <c r="BE26" i="19"/>
  <c r="BD26" i="19"/>
  <c r="BD29" i="19" s="1"/>
  <c r="BC26" i="19"/>
  <c r="BA26" i="19"/>
  <c r="AZ26" i="19"/>
  <c r="AY26" i="19"/>
  <c r="AW26" i="19"/>
  <c r="AV26" i="19"/>
  <c r="AU26" i="19"/>
  <c r="AS26" i="19"/>
  <c r="AS29" i="19" s="1"/>
  <c r="AR26" i="19"/>
  <c r="AQ26" i="19"/>
  <c r="AO26" i="19"/>
  <c r="AO29" i="19" s="1"/>
  <c r="AN26" i="19"/>
  <c r="AM26" i="19"/>
  <c r="AM29" i="19" s="1"/>
  <c r="AK26" i="19"/>
  <c r="AJ26" i="19"/>
  <c r="AI26" i="19"/>
  <c r="AG26" i="19"/>
  <c r="AF26" i="19"/>
  <c r="AE26" i="19"/>
  <c r="AC26" i="19"/>
  <c r="AB26" i="19"/>
  <c r="AA26" i="19"/>
  <c r="Y26" i="19"/>
  <c r="X26" i="19"/>
  <c r="W26" i="19"/>
  <c r="U26" i="19"/>
  <c r="T26" i="19"/>
  <c r="T29" i="19" s="1"/>
  <c r="S26" i="19"/>
  <c r="R26" i="19"/>
  <c r="Q26" i="19"/>
  <c r="P26" i="19"/>
  <c r="O26" i="19"/>
  <c r="N26" i="19"/>
  <c r="M26" i="19"/>
  <c r="L26" i="19"/>
  <c r="L29" i="19" s="1"/>
  <c r="K26" i="19"/>
  <c r="J26" i="19"/>
  <c r="I26" i="19"/>
  <c r="H26" i="19"/>
  <c r="G26" i="19"/>
  <c r="F26" i="19"/>
  <c r="E26" i="19"/>
  <c r="D26" i="19"/>
  <c r="D29" i="19" s="1"/>
  <c r="C26" i="19"/>
  <c r="CG22" i="19"/>
  <c r="CG21" i="19"/>
  <c r="CK18" i="19"/>
  <c r="CJ18" i="19"/>
  <c r="CI18" i="19"/>
  <c r="CG18" i="19"/>
  <c r="CF18" i="19"/>
  <c r="CE18" i="19"/>
  <c r="CC18" i="19"/>
  <c r="CB18" i="19"/>
  <c r="CA18" i="19"/>
  <c r="BY18" i="19"/>
  <c r="BX18" i="19"/>
  <c r="BW18" i="19"/>
  <c r="BU18" i="19"/>
  <c r="BT18" i="19"/>
  <c r="BS18" i="19"/>
  <c r="BQ18" i="19"/>
  <c r="BP18" i="19"/>
  <c r="BO18" i="19"/>
  <c r="BM18" i="19"/>
  <c r="BL18" i="19"/>
  <c r="BL33" i="19"/>
  <c r="BK18" i="19"/>
  <c r="BK33" i="19" s="1"/>
  <c r="BI18" i="19"/>
  <c r="BH18" i="19"/>
  <c r="BG18" i="19"/>
  <c r="BE18" i="19"/>
  <c r="BE33" i="19" s="1"/>
  <c r="BD18" i="19"/>
  <c r="BD33" i="19" s="1"/>
  <c r="BC18" i="19"/>
  <c r="BB18" i="19"/>
  <c r="BA18" i="19"/>
  <c r="AZ18" i="19"/>
  <c r="AZ33" i="19" s="1"/>
  <c r="AY18" i="19"/>
  <c r="AW18" i="19"/>
  <c r="AV18" i="19"/>
  <c r="AU18" i="19"/>
  <c r="AU33" i="19" s="1"/>
  <c r="AS18" i="19"/>
  <c r="AS33" i="19" s="1"/>
  <c r="AR18" i="19"/>
  <c r="AQ18" i="19"/>
  <c r="AO18" i="19"/>
  <c r="AO33" i="19" s="1"/>
  <c r="AN18" i="19"/>
  <c r="AM18" i="19"/>
  <c r="AK18" i="19"/>
  <c r="AJ18" i="19"/>
  <c r="AI18" i="19"/>
  <c r="AG18" i="19"/>
  <c r="AF18" i="19"/>
  <c r="AE18" i="19"/>
  <c r="AE33" i="19" s="1"/>
  <c r="AC18" i="19"/>
  <c r="AB18" i="19"/>
  <c r="AA18" i="19"/>
  <c r="Y18" i="19"/>
  <c r="Y33" i="19" s="1"/>
  <c r="X18" i="19"/>
  <c r="X33" i="19" s="1"/>
  <c r="W18" i="19"/>
  <c r="U18" i="19"/>
  <c r="U33" i="19" s="1"/>
  <c r="T18" i="19"/>
  <c r="S18" i="19"/>
  <c r="R18" i="19"/>
  <c r="Q18" i="19"/>
  <c r="P18" i="19"/>
  <c r="P33" i="19"/>
  <c r="O18" i="19"/>
  <c r="N18" i="19"/>
  <c r="M18" i="19"/>
  <c r="L18" i="19"/>
  <c r="K18" i="19"/>
  <c r="J18" i="19"/>
  <c r="I18" i="19"/>
  <c r="H18" i="19"/>
  <c r="H33" i="19" s="1"/>
  <c r="G18" i="19"/>
  <c r="F18" i="19"/>
  <c r="E18" i="19"/>
  <c r="E33" i="19" s="1"/>
  <c r="D18" i="19"/>
  <c r="D33" i="19" s="1"/>
  <c r="C18" i="19"/>
  <c r="CK17" i="19"/>
  <c r="CJ17" i="19"/>
  <c r="CI17" i="19"/>
  <c r="CG17" i="19"/>
  <c r="CF17" i="19"/>
  <c r="CE17" i="19"/>
  <c r="CC17" i="19"/>
  <c r="CB17" i="19"/>
  <c r="CA17" i="19"/>
  <c r="BY17" i="19"/>
  <c r="BX17" i="19"/>
  <c r="BW17" i="19"/>
  <c r="BU17" i="19"/>
  <c r="BT17" i="19"/>
  <c r="BS17" i="19"/>
  <c r="BQ17" i="19"/>
  <c r="BP17" i="19"/>
  <c r="BO17" i="19"/>
  <c r="BM17" i="19"/>
  <c r="BL17" i="19"/>
  <c r="BK17" i="19"/>
  <c r="BI17" i="19"/>
  <c r="BH17" i="19"/>
  <c r="BG17" i="19"/>
  <c r="BE17" i="19"/>
  <c r="BD17" i="19"/>
  <c r="BC17" i="19"/>
  <c r="BB17" i="19"/>
  <c r="BA17" i="19"/>
  <c r="AZ17" i="19"/>
  <c r="AY17" i="19"/>
  <c r="AW17" i="19"/>
  <c r="AV17" i="19"/>
  <c r="AU17" i="19"/>
  <c r="AS17" i="19"/>
  <c r="AR17" i="19"/>
  <c r="AQ17" i="19"/>
  <c r="AO17" i="19"/>
  <c r="AN17" i="19"/>
  <c r="AM17" i="19"/>
  <c r="AK17" i="19"/>
  <c r="AJ17" i="19"/>
  <c r="AI17" i="19"/>
  <c r="AG17" i="19"/>
  <c r="AF17" i="19"/>
  <c r="AE17" i="19"/>
  <c r="AC17" i="19"/>
  <c r="AB17" i="19"/>
  <c r="AA17" i="19"/>
  <c r="Y17" i="19"/>
  <c r="X17" i="19"/>
  <c r="W17" i="19"/>
  <c r="U17" i="19"/>
  <c r="T17" i="19"/>
  <c r="S17" i="19"/>
  <c r="R17" i="19"/>
  <c r="Q17" i="19"/>
  <c r="P17" i="19"/>
  <c r="O17" i="19"/>
  <c r="N17" i="19"/>
  <c r="M17" i="19"/>
  <c r="L17" i="19"/>
  <c r="K17" i="19"/>
  <c r="J17" i="19"/>
  <c r="I17" i="19"/>
  <c r="H17" i="19"/>
  <c r="G17" i="19"/>
  <c r="F17" i="19"/>
  <c r="E17" i="19"/>
  <c r="D17" i="19"/>
  <c r="C17" i="19"/>
  <c r="CK16" i="19"/>
  <c r="CJ16" i="19"/>
  <c r="CI16" i="19"/>
  <c r="CG16" i="19"/>
  <c r="CG19" i="19" s="1"/>
  <c r="CF16" i="19"/>
  <c r="CE16" i="19"/>
  <c r="CC16" i="19"/>
  <c r="CC19" i="19" s="1"/>
  <c r="CB16" i="19"/>
  <c r="CB19" i="19" s="1"/>
  <c r="CA16" i="19"/>
  <c r="BY16" i="19"/>
  <c r="BX16" i="19"/>
  <c r="BW16" i="19"/>
  <c r="BU16" i="19"/>
  <c r="BT16" i="19"/>
  <c r="BS16" i="19"/>
  <c r="BS19" i="19" s="1"/>
  <c r="BQ16" i="19"/>
  <c r="BQ19" i="19" s="1"/>
  <c r="BP16" i="19"/>
  <c r="BO16" i="19"/>
  <c r="BM16" i="19"/>
  <c r="BL16" i="19"/>
  <c r="BK16" i="19"/>
  <c r="BI16" i="19"/>
  <c r="BH16" i="19"/>
  <c r="BH19" i="19" s="1"/>
  <c r="BG16" i="19"/>
  <c r="BG19" i="19" s="1"/>
  <c r="BE16" i="19"/>
  <c r="BD16" i="19"/>
  <c r="BC16" i="19"/>
  <c r="BB16" i="19"/>
  <c r="BA16" i="19"/>
  <c r="AZ16" i="19"/>
  <c r="AY16" i="19"/>
  <c r="AY19" i="19" s="1"/>
  <c r="AW16" i="19"/>
  <c r="AW19" i="19" s="1"/>
  <c r="AV16" i="19"/>
  <c r="AU16" i="19"/>
  <c r="AS16" i="19"/>
  <c r="AR16" i="19"/>
  <c r="AQ16" i="19"/>
  <c r="AO16" i="19"/>
  <c r="AN16" i="19"/>
  <c r="AN19" i="19" s="1"/>
  <c r="AM16" i="19"/>
  <c r="AK16" i="19"/>
  <c r="AJ16" i="19"/>
  <c r="AI16" i="19"/>
  <c r="AG16" i="19"/>
  <c r="AF16" i="19"/>
  <c r="AE16" i="19"/>
  <c r="AC16" i="19"/>
  <c r="AC19" i="19" s="1"/>
  <c r="AB16" i="19"/>
  <c r="AA16" i="19"/>
  <c r="Y16" i="19"/>
  <c r="X16" i="19"/>
  <c r="W16" i="19"/>
  <c r="W19" i="19" s="1"/>
  <c r="U16" i="19"/>
  <c r="T16" i="19"/>
  <c r="S16" i="19"/>
  <c r="R16" i="19"/>
  <c r="R19" i="19" s="1"/>
  <c r="Q16" i="19"/>
  <c r="P16" i="19"/>
  <c r="O16" i="19"/>
  <c r="N16" i="19"/>
  <c r="M16" i="19"/>
  <c r="L16" i="19"/>
  <c r="K16" i="19"/>
  <c r="J16" i="19"/>
  <c r="J19" i="19" s="1"/>
  <c r="I16" i="19"/>
  <c r="H16" i="19"/>
  <c r="G16" i="19"/>
  <c r="F16" i="19"/>
  <c r="E16" i="19"/>
  <c r="D16" i="19"/>
  <c r="C16" i="19"/>
  <c r="C19" i="19" s="1"/>
  <c r="BI13" i="19"/>
  <c r="BI36" i="19" s="1"/>
  <c r="BH13" i="19"/>
  <c r="BH36" i="19" s="1"/>
  <c r="BG13" i="19"/>
  <c r="BG36" i="19" s="1"/>
  <c r="BE13" i="19"/>
  <c r="BE36" i="19" s="1"/>
  <c r="BD13" i="19"/>
  <c r="BD36" i="19" s="1"/>
  <c r="BC13" i="19"/>
  <c r="BC36" i="19" s="1"/>
  <c r="BB13" i="19"/>
  <c r="BB36" i="19" s="1"/>
  <c r="BA13" i="19"/>
  <c r="BA36" i="19" s="1"/>
  <c r="AZ13" i="19"/>
  <c r="AZ36" i="19" s="1"/>
  <c r="AY13" i="19"/>
  <c r="AY36" i="19" s="1"/>
  <c r="AW13" i="19"/>
  <c r="AW36" i="19" s="1"/>
  <c r="AV13" i="19"/>
  <c r="AV36" i="19" s="1"/>
  <c r="AU13" i="19"/>
  <c r="AU36" i="19" s="1"/>
  <c r="AS13" i="19"/>
  <c r="AS36" i="19"/>
  <c r="AR13" i="19"/>
  <c r="AR36" i="19" s="1"/>
  <c r="CK12" i="19"/>
  <c r="CK35" i="19" s="1"/>
  <c r="CJ12" i="19"/>
  <c r="CJ35" i="19" s="1"/>
  <c r="CI12" i="19"/>
  <c r="CI35" i="19" s="1"/>
  <c r="CG12" i="19"/>
  <c r="CG35" i="19" s="1"/>
  <c r="CF12" i="19"/>
  <c r="CF35" i="19" s="1"/>
  <c r="CE12" i="19"/>
  <c r="CE35" i="19" s="1"/>
  <c r="CC12" i="19"/>
  <c r="CC35" i="19" s="1"/>
  <c r="CB12" i="19"/>
  <c r="CB35" i="19" s="1"/>
  <c r="CA12" i="19"/>
  <c r="CA35" i="19" s="1"/>
  <c r="BY12" i="19"/>
  <c r="BY35" i="19" s="1"/>
  <c r="BX12" i="19"/>
  <c r="BX35" i="19" s="1"/>
  <c r="BW12" i="19"/>
  <c r="BW35" i="19" s="1"/>
  <c r="BU12" i="19"/>
  <c r="BU35" i="19" s="1"/>
  <c r="BT12" i="19"/>
  <c r="BT35" i="19" s="1"/>
  <c r="BS12" i="19"/>
  <c r="BS35" i="19" s="1"/>
  <c r="BQ12" i="19"/>
  <c r="BQ35" i="19" s="1"/>
  <c r="BP12" i="19"/>
  <c r="BP35" i="19" s="1"/>
  <c r="BO12" i="19"/>
  <c r="BO35" i="19" s="1"/>
  <c r="BM12" i="19"/>
  <c r="BM35" i="19" s="1"/>
  <c r="BL12" i="19"/>
  <c r="BL35" i="19" s="1"/>
  <c r="BK12" i="19"/>
  <c r="BK35" i="19" s="1"/>
  <c r="BI12" i="19"/>
  <c r="BI35" i="19" s="1"/>
  <c r="BH12" i="19"/>
  <c r="BH35" i="19" s="1"/>
  <c r="BG12" i="19"/>
  <c r="BG35" i="19" s="1"/>
  <c r="BE12" i="19"/>
  <c r="BE35" i="19" s="1"/>
  <c r="BD12" i="19"/>
  <c r="BD35" i="19" s="1"/>
  <c r="BC12" i="19"/>
  <c r="BC35" i="19" s="1"/>
  <c r="BB12" i="19"/>
  <c r="BB35" i="19" s="1"/>
  <c r="BA12" i="19"/>
  <c r="BA35" i="19" s="1"/>
  <c r="AZ12" i="19"/>
  <c r="AZ35" i="19" s="1"/>
  <c r="AY12" i="19"/>
  <c r="AY35" i="19" s="1"/>
  <c r="AW12" i="19"/>
  <c r="AW35" i="19" s="1"/>
  <c r="AV12" i="19"/>
  <c r="AV35" i="19" s="1"/>
  <c r="AU12" i="19"/>
  <c r="AU35" i="19" s="1"/>
  <c r="AS12" i="19"/>
  <c r="AS35" i="19" s="1"/>
  <c r="AR12" i="19"/>
  <c r="AR35" i="19" s="1"/>
  <c r="CK11" i="19"/>
  <c r="CJ11" i="19"/>
  <c r="CI11" i="19"/>
  <c r="CG11" i="19"/>
  <c r="CF11" i="19"/>
  <c r="CE11" i="19"/>
  <c r="CC11" i="19"/>
  <c r="CB11" i="19"/>
  <c r="CA11" i="19"/>
  <c r="BY11" i="19"/>
  <c r="BX11" i="19"/>
  <c r="BW11" i="19"/>
  <c r="BU11" i="19"/>
  <c r="BT11" i="19"/>
  <c r="BS11" i="19"/>
  <c r="BQ11" i="19"/>
  <c r="BP11" i="19"/>
  <c r="BO11" i="19"/>
  <c r="BM11" i="19"/>
  <c r="BL11" i="19"/>
  <c r="BK11" i="19"/>
  <c r="BI11" i="19"/>
  <c r="BH11" i="19"/>
  <c r="BG11" i="19"/>
  <c r="BG14" i="19" s="1"/>
  <c r="BE11" i="19"/>
  <c r="BE14" i="19" s="1"/>
  <c r="BD11" i="19"/>
  <c r="BC11" i="19"/>
  <c r="BC14" i="19" s="1"/>
  <c r="BB11" i="19"/>
  <c r="BA11" i="19"/>
  <c r="AZ11" i="19"/>
  <c r="AY11" i="19"/>
  <c r="AY14" i="19" s="1"/>
  <c r="AW11" i="19"/>
  <c r="AW14" i="19" s="1"/>
  <c r="AV11" i="19"/>
  <c r="AU11" i="19"/>
  <c r="AS11" i="19"/>
  <c r="AS14" i="19" s="1"/>
  <c r="AR11" i="19"/>
  <c r="CK8" i="19"/>
  <c r="CJ8" i="19"/>
  <c r="CI8" i="19"/>
  <c r="CG8" i="19"/>
  <c r="CF8" i="19"/>
  <c r="CE8" i="19"/>
  <c r="CE34" i="19" s="1"/>
  <c r="CC8" i="19"/>
  <c r="CB8" i="19"/>
  <c r="CB34" i="19" s="1"/>
  <c r="CA8" i="19"/>
  <c r="CA34" i="19" s="1"/>
  <c r="BY8" i="19"/>
  <c r="BX8" i="19"/>
  <c r="BX34" i="19" s="1"/>
  <c r="BW8" i="19"/>
  <c r="BW34" i="19" s="1"/>
  <c r="BU8" i="19"/>
  <c r="BT8" i="19"/>
  <c r="BT34" i="19" s="1"/>
  <c r="BS8" i="19"/>
  <c r="BQ8" i="19"/>
  <c r="BP8" i="19"/>
  <c r="BP34" i="19" s="1"/>
  <c r="BO8" i="19"/>
  <c r="BM8" i="19"/>
  <c r="BL8" i="19"/>
  <c r="BL34" i="19" s="1"/>
  <c r="BK8" i="19"/>
  <c r="BI8" i="19"/>
  <c r="BI34" i="19" s="1"/>
  <c r="BH8" i="19"/>
  <c r="BG8" i="19"/>
  <c r="BG34" i="19" s="1"/>
  <c r="BE8" i="19"/>
  <c r="BE34" i="19" s="1"/>
  <c r="BD8" i="19"/>
  <c r="BC8" i="19"/>
  <c r="BB8" i="19"/>
  <c r="BA8" i="19"/>
  <c r="AZ8" i="19"/>
  <c r="AZ34" i="19" s="1"/>
  <c r="AY8" i="19"/>
  <c r="AW8" i="19"/>
  <c r="AW34" i="19" s="1"/>
  <c r="AV8" i="19"/>
  <c r="AV34" i="19" s="1"/>
  <c r="AU8" i="19"/>
  <c r="AS8" i="19"/>
  <c r="AR8" i="19"/>
  <c r="AQ8" i="19"/>
  <c r="AO8" i="19"/>
  <c r="AO34" i="19" s="1"/>
  <c r="AN8" i="19"/>
  <c r="AM8" i="19"/>
  <c r="AM34" i="19" s="1"/>
  <c r="AK8" i="19"/>
  <c r="AK34" i="19" s="1"/>
  <c r="AJ8" i="19"/>
  <c r="AI8" i="19"/>
  <c r="AG8" i="19"/>
  <c r="AG34" i="19" s="1"/>
  <c r="AF8" i="19"/>
  <c r="AE8" i="19"/>
  <c r="AE34" i="19" s="1"/>
  <c r="AC8" i="19"/>
  <c r="AB8" i="19"/>
  <c r="AA8" i="19"/>
  <c r="AA34" i="19" s="1"/>
  <c r="Y8" i="19"/>
  <c r="X8" i="19"/>
  <c r="X34" i="19" s="1"/>
  <c r="W8" i="19"/>
  <c r="W34" i="19" s="1"/>
  <c r="U8" i="19"/>
  <c r="T8" i="19"/>
  <c r="T34" i="19" s="1"/>
  <c r="S8" i="19"/>
  <c r="R8" i="19"/>
  <c r="R34" i="19" s="1"/>
  <c r="Q8" i="19"/>
  <c r="Q34" i="19" s="1"/>
  <c r="P8" i="19"/>
  <c r="O8" i="19"/>
  <c r="N8" i="19"/>
  <c r="M8" i="19"/>
  <c r="L8" i="19"/>
  <c r="L34" i="19" s="1"/>
  <c r="K8" i="19"/>
  <c r="J8" i="19"/>
  <c r="J34" i="19" s="1"/>
  <c r="I8" i="19"/>
  <c r="I34" i="19" s="1"/>
  <c r="H8" i="19"/>
  <c r="G8" i="19"/>
  <c r="F8" i="19"/>
  <c r="F34" i="19" s="1"/>
  <c r="E8" i="19"/>
  <c r="D8" i="19"/>
  <c r="D34" i="19" s="1"/>
  <c r="C8" i="19"/>
  <c r="CK7" i="19"/>
  <c r="CJ7" i="19"/>
  <c r="CI7" i="19"/>
  <c r="CG7" i="19"/>
  <c r="CG32" i="19" s="1"/>
  <c r="CF7" i="19"/>
  <c r="CE7" i="19"/>
  <c r="CC7" i="19"/>
  <c r="CB7" i="19"/>
  <c r="CA7" i="19"/>
  <c r="BY7" i="19"/>
  <c r="BX7" i="19"/>
  <c r="BW7" i="19"/>
  <c r="BU7" i="19"/>
  <c r="BT7" i="19"/>
  <c r="BS7" i="19"/>
  <c r="BQ7" i="19"/>
  <c r="BP7" i="19"/>
  <c r="BO7" i="19"/>
  <c r="BM7" i="19"/>
  <c r="BK7" i="19"/>
  <c r="BI7" i="19"/>
  <c r="BH7" i="19"/>
  <c r="BH32" i="19" s="1"/>
  <c r="BG7" i="19"/>
  <c r="BE7" i="19"/>
  <c r="BE32" i="19" s="1"/>
  <c r="BD7" i="19"/>
  <c r="BC7" i="19"/>
  <c r="BB7" i="19"/>
  <c r="BA7" i="19"/>
  <c r="AZ7" i="19"/>
  <c r="AY7" i="19"/>
  <c r="AY32" i="19" s="1"/>
  <c r="AW7" i="19"/>
  <c r="AV7" i="19"/>
  <c r="AU7" i="19"/>
  <c r="AS7" i="19"/>
  <c r="AR7" i="19"/>
  <c r="AQ7" i="19"/>
  <c r="AQ32" i="19" s="1"/>
  <c r="AO7" i="19"/>
  <c r="AO32" i="19" s="1"/>
  <c r="AN7" i="19"/>
  <c r="AM7" i="19"/>
  <c r="AK7" i="19"/>
  <c r="AJ7" i="19"/>
  <c r="AI7" i="19"/>
  <c r="AG7" i="19"/>
  <c r="AF7" i="19"/>
  <c r="AE7" i="19"/>
  <c r="AE32" i="19" s="1"/>
  <c r="AC7" i="19"/>
  <c r="AB7" i="19"/>
  <c r="AA7" i="19"/>
  <c r="AA32" i="19" s="1"/>
  <c r="Y7" i="19"/>
  <c r="X7" i="19"/>
  <c r="W7" i="19"/>
  <c r="U7" i="19"/>
  <c r="T7" i="19"/>
  <c r="T32" i="19" s="1"/>
  <c r="S7" i="19"/>
  <c r="R7" i="19"/>
  <c r="Q7" i="19"/>
  <c r="Q32" i="19" s="1"/>
  <c r="P7" i="19"/>
  <c r="O7" i="19"/>
  <c r="N7" i="19"/>
  <c r="M7" i="19"/>
  <c r="L7" i="19"/>
  <c r="K7" i="19"/>
  <c r="K32" i="19" s="1"/>
  <c r="J7" i="19"/>
  <c r="J32" i="19"/>
  <c r="I7" i="19"/>
  <c r="I32" i="19" s="1"/>
  <c r="H7" i="19"/>
  <c r="G7" i="19"/>
  <c r="F7" i="19"/>
  <c r="E7" i="19"/>
  <c r="D7" i="19"/>
  <c r="C7" i="19"/>
  <c r="C32" i="19"/>
  <c r="CK6" i="19"/>
  <c r="CJ6" i="19"/>
  <c r="CI6" i="19"/>
  <c r="CG6" i="19"/>
  <c r="CF6" i="19"/>
  <c r="CE6" i="19"/>
  <c r="CC6" i="19"/>
  <c r="CB6" i="19"/>
  <c r="CA6" i="19"/>
  <c r="BY6" i="19"/>
  <c r="BX6" i="19"/>
  <c r="BW6" i="19"/>
  <c r="BU6" i="19"/>
  <c r="BT6" i="19"/>
  <c r="BS6" i="19"/>
  <c r="BQ6" i="19"/>
  <c r="BP6" i="19"/>
  <c r="BP9" i="19" s="1"/>
  <c r="BO6" i="19"/>
  <c r="BM6" i="19"/>
  <c r="BL6" i="19"/>
  <c r="BK6" i="19"/>
  <c r="BI6" i="19"/>
  <c r="BH6" i="19"/>
  <c r="BG6" i="19"/>
  <c r="BE6" i="19"/>
  <c r="BE31" i="19" s="1"/>
  <c r="BD6" i="19"/>
  <c r="BD31" i="19" s="1"/>
  <c r="BC6" i="19"/>
  <c r="BB6" i="19"/>
  <c r="BA6" i="19"/>
  <c r="AZ6" i="19"/>
  <c r="AZ31" i="19" s="1"/>
  <c r="AY6" i="19"/>
  <c r="AY31" i="19" s="1"/>
  <c r="AW6" i="19"/>
  <c r="AV6" i="19"/>
  <c r="AV31" i="19" s="1"/>
  <c r="AU6" i="19"/>
  <c r="AS6" i="19"/>
  <c r="AR6" i="19"/>
  <c r="AQ6" i="19"/>
  <c r="AO6" i="19"/>
  <c r="AN6" i="19"/>
  <c r="AN31" i="19" s="1"/>
  <c r="AM6" i="19"/>
  <c r="AK6" i="19"/>
  <c r="AK31" i="19" s="1"/>
  <c r="AJ6" i="19"/>
  <c r="AI6" i="19"/>
  <c r="AG6" i="19"/>
  <c r="AF6" i="19"/>
  <c r="AE6" i="19"/>
  <c r="AC6" i="19"/>
  <c r="AC31" i="19" s="1"/>
  <c r="AB6" i="19"/>
  <c r="AA6" i="19"/>
  <c r="Y6" i="19"/>
  <c r="Y31" i="19" s="1"/>
  <c r="X6" i="19"/>
  <c r="W6" i="19"/>
  <c r="U6" i="19"/>
  <c r="T6" i="19"/>
  <c r="S6" i="19"/>
  <c r="S31" i="19" s="1"/>
  <c r="R6" i="19"/>
  <c r="Q6" i="19"/>
  <c r="P6" i="19"/>
  <c r="P31" i="19" s="1"/>
  <c r="O6" i="19"/>
  <c r="N6" i="19"/>
  <c r="M6" i="19"/>
  <c r="L6" i="19"/>
  <c r="L31" i="19" s="1"/>
  <c r="K6" i="19"/>
  <c r="J6" i="19"/>
  <c r="I6" i="19"/>
  <c r="H6" i="19"/>
  <c r="G6" i="19"/>
  <c r="F6" i="19"/>
  <c r="E6" i="19"/>
  <c r="D6" i="19"/>
  <c r="C6" i="19"/>
  <c r="R107" i="18"/>
  <c r="Q107" i="18"/>
  <c r="P107" i="18"/>
  <c r="O107" i="18"/>
  <c r="N107" i="18"/>
  <c r="M107" i="18"/>
  <c r="L107" i="18"/>
  <c r="K107" i="18"/>
  <c r="J107" i="18"/>
  <c r="I107" i="18"/>
  <c r="H107" i="18"/>
  <c r="G107" i="18"/>
  <c r="F107" i="18"/>
  <c r="E107" i="18"/>
  <c r="D107" i="18"/>
  <c r="C107" i="18"/>
  <c r="CK104" i="18"/>
  <c r="CJ104" i="18"/>
  <c r="CI104" i="18"/>
  <c r="CG104" i="18"/>
  <c r="CG105" i="18" s="1"/>
  <c r="CF104" i="18"/>
  <c r="CE104" i="18"/>
  <c r="CC104" i="18"/>
  <c r="CB104" i="18"/>
  <c r="CA104" i="18"/>
  <c r="BY104" i="18"/>
  <c r="BX104" i="18"/>
  <c r="BW104" i="18"/>
  <c r="BU104" i="18"/>
  <c r="BT104" i="18"/>
  <c r="BS104" i="18"/>
  <c r="BQ104" i="18"/>
  <c r="BP104" i="18"/>
  <c r="BO104" i="18"/>
  <c r="BM104" i="18"/>
  <c r="BL104" i="18"/>
  <c r="BK104" i="18"/>
  <c r="BI104" i="18"/>
  <c r="BH104" i="18"/>
  <c r="BG104" i="18"/>
  <c r="BE104" i="18"/>
  <c r="BD104" i="18"/>
  <c r="BC104" i="18"/>
  <c r="BB104" i="18"/>
  <c r="BA104" i="18"/>
  <c r="AZ104" i="18"/>
  <c r="AY104" i="18"/>
  <c r="AW104" i="18"/>
  <c r="AV104" i="18"/>
  <c r="AU104" i="18"/>
  <c r="AS104" i="18"/>
  <c r="AR104" i="18"/>
  <c r="AQ104" i="18"/>
  <c r="AO104" i="18"/>
  <c r="AN104" i="18"/>
  <c r="AM104" i="18"/>
  <c r="AK104" i="18"/>
  <c r="AJ104" i="18"/>
  <c r="AI104" i="18"/>
  <c r="AG104" i="18"/>
  <c r="AF104" i="18"/>
  <c r="AE104" i="18"/>
  <c r="AC104" i="18"/>
  <c r="AB104" i="18"/>
  <c r="AA104" i="18"/>
  <c r="Y104" i="18"/>
  <c r="X104" i="18"/>
  <c r="W104" i="18"/>
  <c r="U104" i="18"/>
  <c r="T104" i="18"/>
  <c r="S104" i="18"/>
  <c r="CL103" i="18"/>
  <c r="CH103" i="18"/>
  <c r="CD103" i="18"/>
  <c r="BZ103" i="18"/>
  <c r="BV103" i="18"/>
  <c r="BR103" i="18"/>
  <c r="BN103" i="18"/>
  <c r="BJ103" i="18"/>
  <c r="BF103" i="18"/>
  <c r="AX103" i="18"/>
  <c r="AT103" i="18"/>
  <c r="AP103" i="18"/>
  <c r="AL103" i="18"/>
  <c r="AL28" i="19" s="1"/>
  <c r="AH103" i="18"/>
  <c r="AD103" i="18"/>
  <c r="Z103" i="18"/>
  <c r="V103" i="18"/>
  <c r="CL102" i="18"/>
  <c r="CH102" i="18"/>
  <c r="CD102" i="18"/>
  <c r="BZ102" i="18"/>
  <c r="BV102" i="18"/>
  <c r="BR102" i="18"/>
  <c r="BN102" i="18"/>
  <c r="BJ102" i="18"/>
  <c r="BF102" i="18"/>
  <c r="AX102" i="18"/>
  <c r="AT102" i="18"/>
  <c r="AP102" i="18"/>
  <c r="AL102" i="18"/>
  <c r="AH102" i="18"/>
  <c r="AD102" i="18"/>
  <c r="Z102" i="18"/>
  <c r="V102" i="18"/>
  <c r="CL101" i="18"/>
  <c r="CH101" i="18"/>
  <c r="CD101" i="18"/>
  <c r="BZ101" i="18"/>
  <c r="BV101" i="18"/>
  <c r="BR101" i="18"/>
  <c r="BN101" i="18"/>
  <c r="BJ101" i="18"/>
  <c r="BF101" i="18"/>
  <c r="AX101" i="18"/>
  <c r="AT101" i="18"/>
  <c r="AP101" i="18"/>
  <c r="AL101" i="18"/>
  <c r="AH101" i="18"/>
  <c r="AD101" i="18"/>
  <c r="Z101" i="18"/>
  <c r="V101" i="18"/>
  <c r="CL100" i="18"/>
  <c r="CH100" i="18"/>
  <c r="CD100" i="18"/>
  <c r="BZ100" i="18"/>
  <c r="BV100" i="18"/>
  <c r="BR100" i="18"/>
  <c r="BN100" i="18"/>
  <c r="BJ100" i="18"/>
  <c r="BF100" i="18"/>
  <c r="AX100" i="18"/>
  <c r="AT100" i="18"/>
  <c r="AP100" i="18"/>
  <c r="AL100" i="18"/>
  <c r="AH100" i="18"/>
  <c r="AD100" i="18"/>
  <c r="Z100" i="18"/>
  <c r="V100" i="18"/>
  <c r="V104" i="18" s="1"/>
  <c r="CK99" i="18"/>
  <c r="CJ99" i="18"/>
  <c r="CI99" i="18"/>
  <c r="CF99" i="18"/>
  <c r="CE99" i="18"/>
  <c r="CC99" i="18"/>
  <c r="CC105" i="18" s="1"/>
  <c r="CB99" i="18"/>
  <c r="CA99" i="18"/>
  <c r="BY99" i="18"/>
  <c r="BX99" i="18"/>
  <c r="BW99" i="18"/>
  <c r="BU99" i="18"/>
  <c r="BT99" i="18"/>
  <c r="BS99" i="18"/>
  <c r="BQ99" i="18"/>
  <c r="BP99" i="18"/>
  <c r="BO99" i="18"/>
  <c r="BM99" i="18"/>
  <c r="BL99" i="18"/>
  <c r="BK99" i="18"/>
  <c r="BI99" i="18"/>
  <c r="BH99" i="18"/>
  <c r="BG99" i="18"/>
  <c r="BE99" i="18"/>
  <c r="BD99" i="18"/>
  <c r="BC99" i="18"/>
  <c r="BA99" i="18"/>
  <c r="AZ99" i="18"/>
  <c r="AY99" i="18"/>
  <c r="AW99" i="18"/>
  <c r="AV99" i="18"/>
  <c r="AU99" i="18"/>
  <c r="AX99" i="18" s="1"/>
  <c r="AS99" i="18"/>
  <c r="AR99" i="18"/>
  <c r="AQ99" i="18"/>
  <c r="AO99" i="18"/>
  <c r="AN99" i="18"/>
  <c r="AM99" i="18"/>
  <c r="AK99" i="18"/>
  <c r="AJ99" i="18"/>
  <c r="AI99" i="18"/>
  <c r="AG99" i="18"/>
  <c r="AF99" i="18"/>
  <c r="AE99" i="18"/>
  <c r="AC99" i="18"/>
  <c r="AB99" i="18"/>
  <c r="AA99" i="18"/>
  <c r="Y99" i="18"/>
  <c r="X99" i="18"/>
  <c r="W99" i="18"/>
  <c r="U99" i="18"/>
  <c r="T99" i="18"/>
  <c r="S99" i="18"/>
  <c r="CL98" i="18"/>
  <c r="CH98" i="18"/>
  <c r="CD98" i="18"/>
  <c r="BZ98" i="18"/>
  <c r="BV98" i="18"/>
  <c r="BR98" i="18"/>
  <c r="BN98" i="18"/>
  <c r="BJ98" i="18"/>
  <c r="BF98" i="18"/>
  <c r="BB98" i="18"/>
  <c r="AX98" i="18"/>
  <c r="AT98" i="18"/>
  <c r="AP98" i="18"/>
  <c r="AL98" i="18"/>
  <c r="AH98" i="18"/>
  <c r="AD98" i="18"/>
  <c r="Z98" i="18"/>
  <c r="V98" i="18"/>
  <c r="CL97" i="18"/>
  <c r="CH97" i="18"/>
  <c r="CD97" i="18"/>
  <c r="BZ97" i="18"/>
  <c r="BV97" i="18"/>
  <c r="BR97" i="18"/>
  <c r="BN97" i="18"/>
  <c r="BJ97" i="18"/>
  <c r="BF97" i="18"/>
  <c r="BB97" i="18"/>
  <c r="AX97" i="18"/>
  <c r="AT97" i="18"/>
  <c r="AP97" i="18"/>
  <c r="AL97" i="18"/>
  <c r="AH97" i="18"/>
  <c r="AD97" i="18"/>
  <c r="Z97" i="18"/>
  <c r="V97" i="18"/>
  <c r="CL96" i="18"/>
  <c r="CH96" i="18"/>
  <c r="CD96" i="18"/>
  <c r="BZ96" i="18"/>
  <c r="BV96" i="18"/>
  <c r="BR96" i="18"/>
  <c r="BN96" i="18"/>
  <c r="BJ96" i="18"/>
  <c r="BF96" i="18"/>
  <c r="BB96" i="18"/>
  <c r="AX96" i="18"/>
  <c r="AT96" i="18"/>
  <c r="AP96" i="18"/>
  <c r="AL96" i="18"/>
  <c r="AH96" i="18"/>
  <c r="AD96" i="18"/>
  <c r="Z96" i="18"/>
  <c r="V96" i="18"/>
  <c r="CL95" i="18"/>
  <c r="CH95" i="18"/>
  <c r="CD95" i="18"/>
  <c r="BZ95" i="18"/>
  <c r="BV95" i="18"/>
  <c r="BR95" i="18"/>
  <c r="BN95" i="18"/>
  <c r="BJ95" i="18"/>
  <c r="BF95" i="18"/>
  <c r="BB95" i="18"/>
  <c r="AX95" i="18"/>
  <c r="AT95" i="18"/>
  <c r="AP95" i="18"/>
  <c r="AL95" i="18"/>
  <c r="AH95" i="18"/>
  <c r="AD95" i="18"/>
  <c r="Z95" i="18"/>
  <c r="V95" i="18"/>
  <c r="CL94" i="18"/>
  <c r="CH94" i="18"/>
  <c r="CD94" i="18"/>
  <c r="BZ94" i="18"/>
  <c r="BV94" i="18"/>
  <c r="BR94" i="18"/>
  <c r="BN94" i="18"/>
  <c r="BJ94" i="18"/>
  <c r="BF94" i="18"/>
  <c r="BB94" i="18"/>
  <c r="AX94" i="18"/>
  <c r="AT94" i="18"/>
  <c r="AP94" i="18"/>
  <c r="AL94" i="18"/>
  <c r="AH94" i="18"/>
  <c r="AD94" i="18"/>
  <c r="Z94" i="18"/>
  <c r="V94" i="18"/>
  <c r="CL93" i="18"/>
  <c r="CH93" i="18"/>
  <c r="CD93" i="18"/>
  <c r="BZ93" i="18"/>
  <c r="BV93" i="18"/>
  <c r="BR93" i="18"/>
  <c r="BN93" i="18"/>
  <c r="BJ93" i="18"/>
  <c r="BF93" i="18"/>
  <c r="BB93" i="18"/>
  <c r="AX93" i="18"/>
  <c r="AT93" i="18"/>
  <c r="AP93" i="18"/>
  <c r="AL93" i="18"/>
  <c r="AH93" i="18"/>
  <c r="AD93" i="18"/>
  <c r="Z93" i="18"/>
  <c r="V93" i="18"/>
  <c r="CL92" i="18"/>
  <c r="CH92" i="18"/>
  <c r="CD92" i="18"/>
  <c r="BZ92" i="18"/>
  <c r="BV92" i="18"/>
  <c r="BR92" i="18"/>
  <c r="BN92" i="18"/>
  <c r="BJ92" i="18"/>
  <c r="BF92" i="18"/>
  <c r="BB92" i="18"/>
  <c r="AX92" i="18"/>
  <c r="AT92" i="18"/>
  <c r="AP92" i="18"/>
  <c r="AL92" i="18"/>
  <c r="AH92" i="18"/>
  <c r="AD92" i="18"/>
  <c r="Z92" i="18"/>
  <c r="V92" i="18"/>
  <c r="CL91" i="18"/>
  <c r="CH91" i="18"/>
  <c r="CD91" i="18"/>
  <c r="BZ91" i="18"/>
  <c r="BV91" i="18"/>
  <c r="BR91" i="18"/>
  <c r="BN91" i="18"/>
  <c r="BJ91" i="18"/>
  <c r="BF91" i="18"/>
  <c r="BB91" i="18"/>
  <c r="AX91" i="18"/>
  <c r="AT91" i="18"/>
  <c r="AP91" i="18"/>
  <c r="AL91" i="18"/>
  <c r="AH91" i="18"/>
  <c r="AD91" i="18"/>
  <c r="Z91" i="18"/>
  <c r="V91" i="18"/>
  <c r="CK90" i="18"/>
  <c r="CJ90" i="18"/>
  <c r="CJ105" i="18"/>
  <c r="CI90" i="18"/>
  <c r="CF90" i="18"/>
  <c r="CE90" i="18"/>
  <c r="CC90" i="18"/>
  <c r="CB90" i="18"/>
  <c r="CA90" i="18"/>
  <c r="BY90" i="18"/>
  <c r="BX90" i="18"/>
  <c r="BW90" i="18"/>
  <c r="BU90" i="18"/>
  <c r="BT90" i="18"/>
  <c r="BS90" i="18"/>
  <c r="BQ90" i="18"/>
  <c r="BP90" i="18"/>
  <c r="BO90" i="18"/>
  <c r="BM90" i="18"/>
  <c r="BL90" i="18"/>
  <c r="BK90" i="18"/>
  <c r="BI90" i="18"/>
  <c r="BH90" i="18"/>
  <c r="BG90" i="18"/>
  <c r="BE90" i="18"/>
  <c r="BD90" i="18"/>
  <c r="BC90" i="18"/>
  <c r="BA90" i="18"/>
  <c r="AZ90" i="18"/>
  <c r="AY90" i="18"/>
  <c r="AW90" i="18"/>
  <c r="AV90" i="18"/>
  <c r="AU90" i="18"/>
  <c r="AS90" i="18"/>
  <c r="AR90" i="18"/>
  <c r="AQ90" i="18"/>
  <c r="AO90" i="18"/>
  <c r="AN90" i="18"/>
  <c r="AM90" i="18"/>
  <c r="AM105" i="18" s="1"/>
  <c r="AK90" i="18"/>
  <c r="AJ90" i="18"/>
  <c r="AI90" i="18"/>
  <c r="AG90" i="18"/>
  <c r="AF90" i="18"/>
  <c r="AE90" i="18"/>
  <c r="AC90" i="18"/>
  <c r="AB90" i="18"/>
  <c r="AA90" i="18"/>
  <c r="Y90" i="18"/>
  <c r="X90" i="18"/>
  <c r="W90" i="18"/>
  <c r="U90" i="18"/>
  <c r="T90" i="18"/>
  <c r="S90" i="18"/>
  <c r="CL89" i="18"/>
  <c r="CH89" i="18"/>
  <c r="CD89" i="18"/>
  <c r="BZ89" i="18"/>
  <c r="BV89" i="18"/>
  <c r="BR89" i="18"/>
  <c r="BN89" i="18"/>
  <c r="BJ89" i="18"/>
  <c r="BF89" i="18"/>
  <c r="BB89" i="18"/>
  <c r="AX89" i="18"/>
  <c r="AT89" i="18"/>
  <c r="AP89" i="18"/>
  <c r="AL89" i="18"/>
  <c r="AH89" i="18"/>
  <c r="AD89" i="18"/>
  <c r="Z89" i="18"/>
  <c r="V89" i="18"/>
  <c r="CL88" i="18"/>
  <c r="CH88" i="18"/>
  <c r="CD88" i="18"/>
  <c r="BZ88" i="18"/>
  <c r="BV88" i="18"/>
  <c r="BR88" i="18"/>
  <c r="BN88" i="18"/>
  <c r="BJ88" i="18"/>
  <c r="BF88" i="18"/>
  <c r="BB88" i="18"/>
  <c r="AX88" i="18"/>
  <c r="AT88" i="18"/>
  <c r="AP88" i="18"/>
  <c r="AL88" i="18"/>
  <c r="AH88" i="18"/>
  <c r="AD88" i="18"/>
  <c r="Z88" i="18"/>
  <c r="V88" i="18"/>
  <c r="CL87" i="18"/>
  <c r="CH87" i="18"/>
  <c r="CD87" i="18"/>
  <c r="BZ87" i="18"/>
  <c r="BV87" i="18"/>
  <c r="BR87" i="18"/>
  <c r="BN87" i="18"/>
  <c r="BJ87" i="18"/>
  <c r="BF87" i="18"/>
  <c r="BB87" i="18"/>
  <c r="AX87" i="18"/>
  <c r="AT87" i="18"/>
  <c r="AP87" i="18"/>
  <c r="AL87" i="18"/>
  <c r="AH87" i="18"/>
  <c r="AD87" i="18"/>
  <c r="Z87" i="18"/>
  <c r="V87" i="18"/>
  <c r="CL86" i="18"/>
  <c r="CH86" i="18"/>
  <c r="CD86" i="18"/>
  <c r="BZ86" i="18"/>
  <c r="BV86" i="18"/>
  <c r="BR86" i="18"/>
  <c r="BN86" i="18"/>
  <c r="BJ86" i="18"/>
  <c r="BF86" i="18"/>
  <c r="BB86" i="18"/>
  <c r="AX86" i="18"/>
  <c r="AT86" i="18"/>
  <c r="AP86" i="18"/>
  <c r="AL86" i="18"/>
  <c r="AH86" i="18"/>
  <c r="AD86" i="18"/>
  <c r="Z86" i="18"/>
  <c r="V86" i="18"/>
  <c r="CL85" i="18"/>
  <c r="CH85" i="18"/>
  <c r="CD85" i="18"/>
  <c r="BZ85" i="18"/>
  <c r="BV85" i="18"/>
  <c r="BR85" i="18"/>
  <c r="BN85" i="18"/>
  <c r="BJ85" i="18"/>
  <c r="BF85" i="18"/>
  <c r="BB85" i="18"/>
  <c r="AX85" i="18"/>
  <c r="AT85" i="18"/>
  <c r="AP85" i="18"/>
  <c r="AL85" i="18"/>
  <c r="AH85" i="18"/>
  <c r="AD85" i="18"/>
  <c r="Z85" i="18"/>
  <c r="V85" i="18"/>
  <c r="CL84" i="18"/>
  <c r="CH84" i="18"/>
  <c r="CD84" i="18"/>
  <c r="BZ84" i="18"/>
  <c r="BV84" i="18"/>
  <c r="BR84" i="18"/>
  <c r="BN84" i="18"/>
  <c r="BN26" i="19"/>
  <c r="BJ84" i="18"/>
  <c r="BF84" i="18"/>
  <c r="BB84" i="18"/>
  <c r="AX84" i="18"/>
  <c r="AT84" i="18"/>
  <c r="AP84" i="18"/>
  <c r="AL84" i="18"/>
  <c r="AH84" i="18"/>
  <c r="AH26" i="19" s="1"/>
  <c r="AD84" i="18"/>
  <c r="Z84" i="18"/>
  <c r="V84" i="18"/>
  <c r="CK82" i="18"/>
  <c r="CK23" i="19" s="1"/>
  <c r="CJ82" i="18"/>
  <c r="CJ23" i="19"/>
  <c r="CI82" i="18"/>
  <c r="CI23" i="19" s="1"/>
  <c r="CG82" i="18"/>
  <c r="CG23" i="19" s="1"/>
  <c r="CF82" i="18"/>
  <c r="CF23" i="19" s="1"/>
  <c r="CE82" i="18"/>
  <c r="CE23" i="19"/>
  <c r="CC82" i="18"/>
  <c r="CC23" i="19" s="1"/>
  <c r="CB82" i="18"/>
  <c r="CB23" i="19"/>
  <c r="CA82" i="18"/>
  <c r="CA23" i="19" s="1"/>
  <c r="BY82" i="18"/>
  <c r="BY23" i="19" s="1"/>
  <c r="BX82" i="18"/>
  <c r="BX23" i="19" s="1"/>
  <c r="BW82" i="18"/>
  <c r="BW23" i="19" s="1"/>
  <c r="BU82" i="18"/>
  <c r="BU23" i="19" s="1"/>
  <c r="BT82" i="18"/>
  <c r="BT23" i="19" s="1"/>
  <c r="BS82" i="18"/>
  <c r="BS23" i="19" s="1"/>
  <c r="BQ82" i="18"/>
  <c r="BQ23" i="19" s="1"/>
  <c r="BP82" i="18"/>
  <c r="BP23" i="19" s="1"/>
  <c r="BO82" i="18"/>
  <c r="BO23" i="19"/>
  <c r="CL79" i="18"/>
  <c r="CL82" i="18" s="1"/>
  <c r="CH79" i="18"/>
  <c r="CH82" i="18" s="1"/>
  <c r="CD79" i="18"/>
  <c r="CD82" i="18" s="1"/>
  <c r="BZ79" i="18"/>
  <c r="BZ82" i="18"/>
  <c r="BZ23" i="19" s="1"/>
  <c r="BV79" i="18"/>
  <c r="BV82" i="18" s="1"/>
  <c r="BR79" i="18"/>
  <c r="BR82" i="18"/>
  <c r="BR23" i="19" s="1"/>
  <c r="CK78" i="18"/>
  <c r="CK22" i="19" s="1"/>
  <c r="CJ78" i="18"/>
  <c r="CJ22" i="19" s="1"/>
  <c r="CI78" i="18"/>
  <c r="CI22" i="19"/>
  <c r="CF78" i="18"/>
  <c r="CF22" i="19" s="1"/>
  <c r="CE78" i="18"/>
  <c r="CE22" i="19"/>
  <c r="CC78" i="18"/>
  <c r="CC22" i="19" s="1"/>
  <c r="CB78" i="18"/>
  <c r="CB22" i="19" s="1"/>
  <c r="CA78" i="18"/>
  <c r="CA22" i="19" s="1"/>
  <c r="BY78" i="18"/>
  <c r="BY22" i="19" s="1"/>
  <c r="BX78" i="18"/>
  <c r="BX22" i="19" s="1"/>
  <c r="BW78" i="18"/>
  <c r="BW22" i="19" s="1"/>
  <c r="BU78" i="18"/>
  <c r="BU22" i="19" s="1"/>
  <c r="BT78" i="18"/>
  <c r="BT22" i="19" s="1"/>
  <c r="BS78" i="18"/>
  <c r="BS22" i="19" s="1"/>
  <c r="BQ78" i="18"/>
  <c r="BQ22" i="19"/>
  <c r="BP78" i="18"/>
  <c r="BP22" i="19" s="1"/>
  <c r="BO78" i="18"/>
  <c r="BO22" i="19" s="1"/>
  <c r="CL76" i="18"/>
  <c r="CH76" i="18"/>
  <c r="CD76" i="18"/>
  <c r="BZ76" i="18"/>
  <c r="CL75" i="18"/>
  <c r="CH75" i="18"/>
  <c r="CD75" i="18"/>
  <c r="BZ75" i="18"/>
  <c r="BZ78" i="18" s="1"/>
  <c r="BZ22" i="19" s="1"/>
  <c r="BV75" i="18"/>
  <c r="BV78" i="18" s="1"/>
  <c r="BV22" i="19" s="1"/>
  <c r="BR75" i="18"/>
  <c r="BR78" i="18" s="1"/>
  <c r="BR22" i="19" s="1"/>
  <c r="CK74" i="18"/>
  <c r="CK21" i="19" s="1"/>
  <c r="CJ74" i="18"/>
  <c r="CJ21" i="19" s="1"/>
  <c r="CJ31" i="19" s="1"/>
  <c r="CI74" i="18"/>
  <c r="CI21" i="19" s="1"/>
  <c r="CF74" i="18"/>
  <c r="CF21" i="19" s="1"/>
  <c r="CE74" i="18"/>
  <c r="CE21" i="19"/>
  <c r="CC74" i="18"/>
  <c r="CC21" i="19" s="1"/>
  <c r="CB74" i="18"/>
  <c r="CB21" i="19" s="1"/>
  <c r="CA74" i="18"/>
  <c r="CA21" i="19" s="1"/>
  <c r="BY74" i="18"/>
  <c r="BY21" i="19" s="1"/>
  <c r="BX74" i="18"/>
  <c r="BX21" i="19" s="1"/>
  <c r="BW74" i="18"/>
  <c r="BW21" i="19"/>
  <c r="BU74" i="18"/>
  <c r="BU21" i="19" s="1"/>
  <c r="BT74" i="18"/>
  <c r="BT21" i="19" s="1"/>
  <c r="BS74" i="18"/>
  <c r="BS21" i="19" s="1"/>
  <c r="BQ74" i="18"/>
  <c r="BQ21" i="19" s="1"/>
  <c r="BQ31" i="19" s="1"/>
  <c r="BP74" i="18"/>
  <c r="BP21" i="19" s="1"/>
  <c r="BO74" i="18"/>
  <c r="BO21" i="19" s="1"/>
  <c r="CL72" i="18"/>
  <c r="CL74" i="18" s="1"/>
  <c r="CH72" i="18"/>
  <c r="CH74" i="18" s="1"/>
  <c r="CH21" i="19" s="1"/>
  <c r="CD72" i="18"/>
  <c r="CD74" i="18" s="1"/>
  <c r="CD21" i="19" s="1"/>
  <c r="BZ72" i="18"/>
  <c r="BZ74" i="18" s="1"/>
  <c r="BZ21" i="19" s="1"/>
  <c r="BV72" i="18"/>
  <c r="BV74" i="18" s="1"/>
  <c r="BV21" i="19" s="1"/>
  <c r="BV31" i="19" s="1"/>
  <c r="BR72" i="18"/>
  <c r="BR74" i="18" s="1"/>
  <c r="CK70" i="18"/>
  <c r="CJ70" i="18"/>
  <c r="CI70" i="18"/>
  <c r="CG70" i="18"/>
  <c r="CG71" i="18" s="1"/>
  <c r="CF70" i="18"/>
  <c r="CE70" i="18"/>
  <c r="CC70" i="18"/>
  <c r="CB70" i="18"/>
  <c r="CA70" i="18"/>
  <c r="BY70" i="18"/>
  <c r="BX70" i="18"/>
  <c r="BW70" i="18"/>
  <c r="BU70" i="18"/>
  <c r="BT70" i="18"/>
  <c r="BS70" i="18"/>
  <c r="BQ70" i="18"/>
  <c r="BP70" i="18"/>
  <c r="BO70" i="18"/>
  <c r="BM70" i="18"/>
  <c r="BL70" i="18"/>
  <c r="BK70" i="18"/>
  <c r="BI70" i="18"/>
  <c r="BH70" i="18"/>
  <c r="BG70" i="18"/>
  <c r="BE70" i="18"/>
  <c r="BD70" i="18"/>
  <c r="BC70" i="18"/>
  <c r="BB70" i="18"/>
  <c r="BA70" i="18"/>
  <c r="AZ70" i="18"/>
  <c r="AY70" i="18"/>
  <c r="AW70" i="18"/>
  <c r="AV70" i="18"/>
  <c r="AU70" i="18"/>
  <c r="AS70" i="18"/>
  <c r="AR70" i="18"/>
  <c r="AQ70" i="18"/>
  <c r="AO70" i="18"/>
  <c r="AN70" i="18"/>
  <c r="AM70" i="18"/>
  <c r="AK70" i="18"/>
  <c r="AJ70" i="18"/>
  <c r="AI70" i="18"/>
  <c r="AG70" i="18"/>
  <c r="AF70" i="18"/>
  <c r="AE70" i="18"/>
  <c r="AC70" i="18"/>
  <c r="AB70" i="18"/>
  <c r="AA70" i="18"/>
  <c r="Y70" i="18"/>
  <c r="X70" i="18"/>
  <c r="W70" i="18"/>
  <c r="U70" i="18"/>
  <c r="T70" i="18"/>
  <c r="S70" i="18"/>
  <c r="CL69" i="18"/>
  <c r="CH69" i="18"/>
  <c r="CD69" i="18"/>
  <c r="BZ69" i="18"/>
  <c r="BV69" i="18"/>
  <c r="BR69" i="18"/>
  <c r="BN69" i="18"/>
  <c r="BJ69" i="18"/>
  <c r="BF69" i="18"/>
  <c r="AX69" i="18"/>
  <c r="AT69" i="18"/>
  <c r="AP69" i="18"/>
  <c r="AL69" i="18"/>
  <c r="AH69" i="18"/>
  <c r="AD69" i="18"/>
  <c r="Z69" i="18"/>
  <c r="V69" i="18"/>
  <c r="CL68" i="18"/>
  <c r="CH68" i="18"/>
  <c r="CD68" i="18"/>
  <c r="BZ68" i="18"/>
  <c r="BV68" i="18"/>
  <c r="BR68" i="18"/>
  <c r="BN68" i="18"/>
  <c r="BJ68" i="18"/>
  <c r="BF68" i="18"/>
  <c r="AX68" i="18"/>
  <c r="AT68" i="18"/>
  <c r="AP68" i="18"/>
  <c r="AL68" i="18"/>
  <c r="AH68" i="18"/>
  <c r="AD68" i="18"/>
  <c r="Z68" i="18"/>
  <c r="V68" i="18"/>
  <c r="CL67" i="18"/>
  <c r="CH67" i="18"/>
  <c r="CD67" i="18"/>
  <c r="BZ67" i="18"/>
  <c r="BV67" i="18"/>
  <c r="BR67" i="18"/>
  <c r="BN67" i="18"/>
  <c r="BJ67" i="18"/>
  <c r="BF67" i="18"/>
  <c r="AX67" i="18"/>
  <c r="AT67" i="18"/>
  <c r="AP67" i="18"/>
  <c r="AL67" i="18"/>
  <c r="AH67" i="18"/>
  <c r="AD67" i="18"/>
  <c r="Z67" i="18"/>
  <c r="V67" i="18"/>
  <c r="CL66" i="18"/>
  <c r="CH66" i="18"/>
  <c r="CD66" i="18"/>
  <c r="BZ66" i="18"/>
  <c r="BV66" i="18"/>
  <c r="BR66" i="18"/>
  <c r="BN66" i="18"/>
  <c r="BJ66" i="18"/>
  <c r="BF66" i="18"/>
  <c r="AX66" i="18"/>
  <c r="AT66" i="18"/>
  <c r="AP66" i="18"/>
  <c r="AL66" i="18"/>
  <c r="AH66" i="18"/>
  <c r="AD66" i="18"/>
  <c r="Z66" i="18"/>
  <c r="V66" i="18"/>
  <c r="CL65" i="18"/>
  <c r="CH65" i="18"/>
  <c r="CD65" i="18"/>
  <c r="BZ65" i="18"/>
  <c r="BV65" i="18"/>
  <c r="BR65" i="18"/>
  <c r="BN65" i="18"/>
  <c r="BJ65" i="18"/>
  <c r="BF65" i="18"/>
  <c r="AX65" i="18"/>
  <c r="AT65" i="18"/>
  <c r="AP65" i="18"/>
  <c r="AL65" i="18"/>
  <c r="AH65" i="18"/>
  <c r="AD65" i="18"/>
  <c r="Z65" i="18"/>
  <c r="V65" i="18"/>
  <c r="CL64" i="18"/>
  <c r="CH64" i="18"/>
  <c r="CD64" i="18"/>
  <c r="BZ64" i="18"/>
  <c r="BV64" i="18"/>
  <c r="BR64" i="18"/>
  <c r="BN64" i="18"/>
  <c r="BJ64" i="18"/>
  <c r="BF64" i="18"/>
  <c r="AX64" i="18"/>
  <c r="AT64" i="18"/>
  <c r="AP64" i="18"/>
  <c r="AL64" i="18"/>
  <c r="AH64" i="18"/>
  <c r="AD64" i="18"/>
  <c r="Z64" i="18"/>
  <c r="V64" i="18"/>
  <c r="CK63" i="18"/>
  <c r="CJ63" i="18"/>
  <c r="CI63" i="18"/>
  <c r="CF63" i="18"/>
  <c r="CE63" i="18"/>
  <c r="CC63" i="18"/>
  <c r="CB63" i="18"/>
  <c r="CA63" i="18"/>
  <c r="BY63" i="18"/>
  <c r="BX63" i="18"/>
  <c r="BW63" i="18"/>
  <c r="BU63" i="18"/>
  <c r="BT63" i="18"/>
  <c r="BS63" i="18"/>
  <c r="BQ63" i="18"/>
  <c r="BP63" i="18"/>
  <c r="BO63" i="18"/>
  <c r="BM63" i="18"/>
  <c r="BL63" i="18"/>
  <c r="BK63" i="18"/>
  <c r="BI63" i="18"/>
  <c r="BH63" i="18"/>
  <c r="BG63" i="18"/>
  <c r="BE63" i="18"/>
  <c r="BD63" i="18"/>
  <c r="BC63" i="18"/>
  <c r="BB63" i="18"/>
  <c r="BA63" i="18"/>
  <c r="AZ63" i="18"/>
  <c r="AY63" i="18"/>
  <c r="AW63" i="18"/>
  <c r="AV63" i="18"/>
  <c r="AU63" i="18"/>
  <c r="AS63" i="18"/>
  <c r="AR63" i="18"/>
  <c r="AQ63" i="18"/>
  <c r="AO63" i="18"/>
  <c r="AN63" i="18"/>
  <c r="AM63" i="18"/>
  <c r="AK63" i="18"/>
  <c r="AJ63" i="18"/>
  <c r="AI63" i="18"/>
  <c r="AG63" i="18"/>
  <c r="AF63" i="18"/>
  <c r="AE63" i="18"/>
  <c r="AC63" i="18"/>
  <c r="AB63" i="18"/>
  <c r="AA63" i="18"/>
  <c r="Y63" i="18"/>
  <c r="X63" i="18"/>
  <c r="W63" i="18"/>
  <c r="U63" i="18"/>
  <c r="T63" i="18"/>
  <c r="S63" i="18"/>
  <c r="CL62" i="18"/>
  <c r="CH62" i="18"/>
  <c r="CD62" i="18"/>
  <c r="BZ62" i="18"/>
  <c r="BV62" i="18"/>
  <c r="BR62" i="18"/>
  <c r="BN62" i="18"/>
  <c r="BJ62" i="18"/>
  <c r="BF62" i="18"/>
  <c r="AX62" i="18"/>
  <c r="AT62" i="18"/>
  <c r="AP62" i="18"/>
  <c r="AL62" i="18"/>
  <c r="AH62" i="18"/>
  <c r="AD62" i="18"/>
  <c r="Z62" i="18"/>
  <c r="V62" i="18"/>
  <c r="CL61" i="18"/>
  <c r="CH61" i="18"/>
  <c r="CD61" i="18"/>
  <c r="BZ61" i="18"/>
  <c r="BV61" i="18"/>
  <c r="BR61" i="18"/>
  <c r="BN61" i="18"/>
  <c r="BJ61" i="18"/>
  <c r="BF61" i="18"/>
  <c r="AX61" i="18"/>
  <c r="AT61" i="18"/>
  <c r="AP61" i="18"/>
  <c r="AL61" i="18"/>
  <c r="AH61" i="18"/>
  <c r="AD61" i="18"/>
  <c r="Z61" i="18"/>
  <c r="V61" i="18"/>
  <c r="CL60" i="18"/>
  <c r="CH60" i="18"/>
  <c r="CD60" i="18"/>
  <c r="BZ60" i="18"/>
  <c r="BV60" i="18"/>
  <c r="BR60" i="18"/>
  <c r="BN60" i="18"/>
  <c r="BJ60" i="18"/>
  <c r="BF60" i="18"/>
  <c r="AX60" i="18"/>
  <c r="AT60" i="18"/>
  <c r="AP60" i="18"/>
  <c r="AL60" i="18"/>
  <c r="AH60" i="18"/>
  <c r="AD60" i="18"/>
  <c r="Z60" i="18"/>
  <c r="V60" i="18"/>
  <c r="CL59" i="18"/>
  <c r="CH59" i="18"/>
  <c r="CD59" i="18"/>
  <c r="BZ59" i="18"/>
  <c r="BV59" i="18"/>
  <c r="BR59" i="18"/>
  <c r="BN59" i="18"/>
  <c r="BJ59" i="18"/>
  <c r="BF59" i="18"/>
  <c r="AX59" i="18"/>
  <c r="AT59" i="18"/>
  <c r="AP59" i="18"/>
  <c r="AL59" i="18"/>
  <c r="AH59" i="18"/>
  <c r="AD59" i="18"/>
  <c r="Z59" i="18"/>
  <c r="V59" i="18"/>
  <c r="CL58" i="18"/>
  <c r="CH58" i="18"/>
  <c r="CD58" i="18"/>
  <c r="BZ58" i="18"/>
  <c r="BV58" i="18"/>
  <c r="BR58" i="18"/>
  <c r="BN58" i="18"/>
  <c r="BJ58" i="18"/>
  <c r="BF58" i="18"/>
  <c r="AX58" i="18"/>
  <c r="AT58" i="18"/>
  <c r="AP58" i="18"/>
  <c r="AL58" i="18"/>
  <c r="AH58" i="18"/>
  <c r="AD58" i="18"/>
  <c r="Z58" i="18"/>
  <c r="V58" i="18"/>
  <c r="CL57" i="18"/>
  <c r="CH57" i="18"/>
  <c r="CD57" i="18"/>
  <c r="BZ57" i="18"/>
  <c r="BV57" i="18"/>
  <c r="BR57" i="18"/>
  <c r="BN57" i="18"/>
  <c r="BJ57" i="18"/>
  <c r="BF57" i="18"/>
  <c r="AX57" i="18"/>
  <c r="AT57" i="18"/>
  <c r="AP57" i="18"/>
  <c r="AL57" i="18"/>
  <c r="AH57" i="18"/>
  <c r="AD57" i="18"/>
  <c r="Z57" i="18"/>
  <c r="V57" i="18"/>
  <c r="CL56" i="18"/>
  <c r="CH56" i="18"/>
  <c r="CD56" i="18"/>
  <c r="BZ56" i="18"/>
  <c r="BV56" i="18"/>
  <c r="BR56" i="18"/>
  <c r="BN56" i="18"/>
  <c r="BJ56" i="18"/>
  <c r="BF56" i="18"/>
  <c r="AX56" i="18"/>
  <c r="AT56" i="18"/>
  <c r="AP56" i="18"/>
  <c r="AL56" i="18"/>
  <c r="AH56" i="18"/>
  <c r="AD56" i="18"/>
  <c r="Z56" i="18"/>
  <c r="V56" i="18"/>
  <c r="CL55" i="18"/>
  <c r="CH55" i="18"/>
  <c r="CD55" i="18"/>
  <c r="BZ55" i="18"/>
  <c r="BV55" i="18"/>
  <c r="BR55" i="18"/>
  <c r="BN55" i="18"/>
  <c r="BJ55" i="18"/>
  <c r="BF55" i="18"/>
  <c r="AX55" i="18"/>
  <c r="AT55" i="18"/>
  <c r="AP55" i="18"/>
  <c r="AL55" i="18"/>
  <c r="AH55" i="18"/>
  <c r="AD55" i="18"/>
  <c r="Z55" i="18"/>
  <c r="V55" i="18"/>
  <c r="CL54" i="18"/>
  <c r="CH54" i="18"/>
  <c r="CD54" i="18"/>
  <c r="BZ54" i="18"/>
  <c r="BV54" i="18"/>
  <c r="BR54" i="18"/>
  <c r="BN54" i="18"/>
  <c r="BJ54" i="18"/>
  <c r="BF54" i="18"/>
  <c r="AX54" i="18"/>
  <c r="AT54" i="18"/>
  <c r="AP54" i="18"/>
  <c r="AL54" i="18"/>
  <c r="AH54" i="18"/>
  <c r="AD54" i="18"/>
  <c r="Z54" i="18"/>
  <c r="V54" i="18"/>
  <c r="CL53" i="18"/>
  <c r="CH53" i="18"/>
  <c r="CD53" i="18"/>
  <c r="BZ53" i="18"/>
  <c r="BV53" i="18"/>
  <c r="BR53" i="18"/>
  <c r="BN53" i="18"/>
  <c r="BJ53" i="18"/>
  <c r="BF53" i="18"/>
  <c r="AX53" i="18"/>
  <c r="AT53" i="18"/>
  <c r="AP53" i="18"/>
  <c r="AL53" i="18"/>
  <c r="AH53" i="18"/>
  <c r="AD53" i="18"/>
  <c r="Z53" i="18"/>
  <c r="V53" i="18"/>
  <c r="CL52" i="18"/>
  <c r="CH52" i="18"/>
  <c r="CD52" i="18"/>
  <c r="BZ52" i="18"/>
  <c r="BV52" i="18"/>
  <c r="BR52" i="18"/>
  <c r="BN52" i="18"/>
  <c r="BJ52" i="18"/>
  <c r="BF52" i="18"/>
  <c r="AX52" i="18"/>
  <c r="AT52" i="18"/>
  <c r="AP52" i="18"/>
  <c r="AL52" i="18"/>
  <c r="AH52" i="18"/>
  <c r="AD52" i="18"/>
  <c r="Z52" i="18"/>
  <c r="V52" i="18"/>
  <c r="CK51" i="18"/>
  <c r="CJ51" i="18"/>
  <c r="CI51" i="18"/>
  <c r="CF51" i="18"/>
  <c r="CE51" i="18"/>
  <c r="CC51" i="18"/>
  <c r="CB51" i="18"/>
  <c r="CA51" i="18"/>
  <c r="BY51" i="18"/>
  <c r="BX51" i="18"/>
  <c r="BW51" i="18"/>
  <c r="BU51" i="18"/>
  <c r="BT51" i="18"/>
  <c r="BS51" i="18"/>
  <c r="BQ51" i="18"/>
  <c r="BP51" i="18"/>
  <c r="BO51" i="18"/>
  <c r="BM51" i="18"/>
  <c r="BL51" i="18"/>
  <c r="BK51" i="18"/>
  <c r="BI51" i="18"/>
  <c r="BH51" i="18"/>
  <c r="BG51" i="18"/>
  <c r="BE51" i="18"/>
  <c r="BD51" i="18"/>
  <c r="BC51" i="18"/>
  <c r="BB51" i="18"/>
  <c r="BA51" i="18"/>
  <c r="AZ51" i="18"/>
  <c r="AY51" i="18"/>
  <c r="AW51" i="18"/>
  <c r="AV51" i="18"/>
  <c r="AU51" i="18"/>
  <c r="AS51" i="18"/>
  <c r="AR51" i="18"/>
  <c r="AQ51" i="18"/>
  <c r="AT51" i="18" s="1"/>
  <c r="AO51" i="18"/>
  <c r="AN51" i="18"/>
  <c r="AM51" i="18"/>
  <c r="AK51" i="18"/>
  <c r="AJ51" i="18"/>
  <c r="AI51" i="18"/>
  <c r="AG51" i="18"/>
  <c r="AF51" i="18"/>
  <c r="AE51" i="18"/>
  <c r="AC51" i="18"/>
  <c r="AB51" i="18"/>
  <c r="AA51" i="18"/>
  <c r="Y51" i="18"/>
  <c r="X51" i="18"/>
  <c r="W51" i="18"/>
  <c r="U51" i="18"/>
  <c r="T51" i="18"/>
  <c r="S51" i="18"/>
  <c r="CL49" i="18"/>
  <c r="CH49" i="18"/>
  <c r="CD49" i="18"/>
  <c r="BZ49" i="18"/>
  <c r="BV49" i="18"/>
  <c r="BR49" i="18"/>
  <c r="BN49" i="18"/>
  <c r="BJ49" i="18"/>
  <c r="BF49" i="18"/>
  <c r="AX49" i="18"/>
  <c r="AT49" i="18"/>
  <c r="AP49" i="18"/>
  <c r="AL49" i="18"/>
  <c r="AH49" i="18"/>
  <c r="AD49" i="18"/>
  <c r="Z49" i="18"/>
  <c r="V49" i="18"/>
  <c r="CL48" i="18"/>
  <c r="CH48" i="18"/>
  <c r="CD48" i="18"/>
  <c r="BZ48" i="18"/>
  <c r="BV48" i="18"/>
  <c r="BR48" i="18"/>
  <c r="BN48" i="18"/>
  <c r="BJ48" i="18"/>
  <c r="BF48" i="18"/>
  <c r="AX48" i="18"/>
  <c r="AT48" i="18"/>
  <c r="AP48" i="18"/>
  <c r="AL48" i="18"/>
  <c r="AH48" i="18"/>
  <c r="AD48" i="18"/>
  <c r="Z48" i="18"/>
  <c r="V48" i="18"/>
  <c r="CL47" i="18"/>
  <c r="CH47" i="18"/>
  <c r="CD47" i="18"/>
  <c r="BZ47" i="18"/>
  <c r="BV47" i="18"/>
  <c r="BR47" i="18"/>
  <c r="BN47" i="18"/>
  <c r="BJ47" i="18"/>
  <c r="BF47" i="18"/>
  <c r="AX47" i="18"/>
  <c r="AT47" i="18"/>
  <c r="AP47" i="18"/>
  <c r="AL47" i="18"/>
  <c r="AH47" i="18"/>
  <c r="AD47" i="18"/>
  <c r="Z47" i="18"/>
  <c r="V47" i="18"/>
  <c r="CL46" i="18"/>
  <c r="CH46" i="18"/>
  <c r="CD46" i="18"/>
  <c r="BZ46" i="18"/>
  <c r="BV46" i="18"/>
  <c r="BR46" i="18"/>
  <c r="BN46" i="18"/>
  <c r="BJ46" i="18"/>
  <c r="BF46" i="18"/>
  <c r="AX46" i="18"/>
  <c r="AT46" i="18"/>
  <c r="AP46" i="18"/>
  <c r="AL46" i="18"/>
  <c r="AH46" i="18"/>
  <c r="AD46" i="18"/>
  <c r="Z46" i="18"/>
  <c r="V46" i="18"/>
  <c r="CL45" i="18"/>
  <c r="CH45" i="18"/>
  <c r="CD45" i="18"/>
  <c r="BZ45" i="18"/>
  <c r="BV45" i="18"/>
  <c r="BR45" i="18"/>
  <c r="BN45" i="18"/>
  <c r="BJ45" i="18"/>
  <c r="BF45" i="18"/>
  <c r="AX45" i="18"/>
  <c r="AT45" i="18"/>
  <c r="AP45" i="18"/>
  <c r="AL45" i="18"/>
  <c r="AH45" i="18"/>
  <c r="AD45" i="18"/>
  <c r="Z45" i="18"/>
  <c r="V45" i="18"/>
  <c r="CL44" i="18"/>
  <c r="CH44" i="18"/>
  <c r="CD44" i="18"/>
  <c r="BZ44" i="18"/>
  <c r="BV44" i="18"/>
  <c r="BR44" i="18"/>
  <c r="BN44" i="18"/>
  <c r="BJ44" i="18"/>
  <c r="BF44" i="18"/>
  <c r="AX44" i="18"/>
  <c r="AT44" i="18"/>
  <c r="AP44" i="18"/>
  <c r="AL44" i="18"/>
  <c r="AH44" i="18"/>
  <c r="AD44" i="18"/>
  <c r="Z44" i="18"/>
  <c r="V44" i="18"/>
  <c r="CL43" i="18"/>
  <c r="CH43" i="18"/>
  <c r="CD43" i="18"/>
  <c r="BZ43" i="18"/>
  <c r="BV43" i="18"/>
  <c r="BR43" i="18"/>
  <c r="BN43" i="18"/>
  <c r="BJ43" i="18"/>
  <c r="BF43" i="18"/>
  <c r="AX43" i="18"/>
  <c r="AT43" i="18"/>
  <c r="AP43" i="18"/>
  <c r="AL43" i="18"/>
  <c r="AH43" i="18"/>
  <c r="AD43" i="18"/>
  <c r="Z43" i="18"/>
  <c r="V43" i="18"/>
  <c r="CL42" i="18"/>
  <c r="CH42" i="18"/>
  <c r="CD42" i="18"/>
  <c r="BZ42" i="18"/>
  <c r="BV42" i="18"/>
  <c r="BR42" i="18"/>
  <c r="BN42" i="18"/>
  <c r="BJ42" i="18"/>
  <c r="BF42" i="18"/>
  <c r="AX42" i="18"/>
  <c r="AT42" i="18"/>
  <c r="AP42" i="18"/>
  <c r="AL42" i="18"/>
  <c r="AH42" i="18"/>
  <c r="AD42" i="18"/>
  <c r="Z42" i="18"/>
  <c r="V42" i="18"/>
  <c r="CL41" i="18"/>
  <c r="CH41" i="18"/>
  <c r="CD41" i="18"/>
  <c r="BZ41" i="18"/>
  <c r="BV41" i="18"/>
  <c r="BR41" i="18"/>
  <c r="BN41" i="18"/>
  <c r="BJ41" i="18"/>
  <c r="BF41" i="18"/>
  <c r="AX41" i="18"/>
  <c r="AT41" i="18"/>
  <c r="AP41" i="18"/>
  <c r="AL41" i="18"/>
  <c r="AH41" i="18"/>
  <c r="AD41" i="18"/>
  <c r="Z41" i="18"/>
  <c r="V41" i="18"/>
  <c r="CK39" i="18"/>
  <c r="CK13" i="19" s="1"/>
  <c r="CK36" i="19" s="1"/>
  <c r="CJ39" i="18"/>
  <c r="CJ13" i="19" s="1"/>
  <c r="CJ36" i="19" s="1"/>
  <c r="CI39" i="18"/>
  <c r="CI13" i="19" s="1"/>
  <c r="CI36" i="19" s="1"/>
  <c r="CG39" i="18"/>
  <c r="CF39" i="18"/>
  <c r="CF13" i="19"/>
  <c r="CF36" i="19" s="1"/>
  <c r="CE39" i="18"/>
  <c r="CE13" i="19" s="1"/>
  <c r="CC39" i="18"/>
  <c r="CC13" i="19" s="1"/>
  <c r="CC36" i="19" s="1"/>
  <c r="CB39" i="18"/>
  <c r="CB13" i="19" s="1"/>
  <c r="CB36" i="19" s="1"/>
  <c r="CA39" i="18"/>
  <c r="CA13" i="19" s="1"/>
  <c r="CA36" i="19" s="1"/>
  <c r="BY39" i="18"/>
  <c r="BY13" i="19" s="1"/>
  <c r="BY36" i="19" s="1"/>
  <c r="BX39" i="18"/>
  <c r="BW39" i="18"/>
  <c r="BW13" i="19" s="1"/>
  <c r="BU39" i="18"/>
  <c r="BU13" i="19" s="1"/>
  <c r="BU36" i="19" s="1"/>
  <c r="BT39" i="18"/>
  <c r="BT13" i="19" s="1"/>
  <c r="BT36" i="19" s="1"/>
  <c r="BS39" i="18"/>
  <c r="BS13" i="19" s="1"/>
  <c r="BS36" i="19" s="1"/>
  <c r="BQ39" i="18"/>
  <c r="BQ13" i="19" s="1"/>
  <c r="BQ36" i="19" s="1"/>
  <c r="BP39" i="18"/>
  <c r="BP13" i="19"/>
  <c r="BP36" i="19" s="1"/>
  <c r="BO39" i="18"/>
  <c r="BO13" i="19" s="1"/>
  <c r="BM39" i="18"/>
  <c r="BM13" i="19" s="1"/>
  <c r="BM36" i="19" s="1"/>
  <c r="BL39" i="18"/>
  <c r="BL13" i="19"/>
  <c r="BL36" i="19" s="1"/>
  <c r="BK39" i="18"/>
  <c r="BK13" i="19" s="1"/>
  <c r="BK36" i="19" s="1"/>
  <c r="BI39" i="18"/>
  <c r="BH39" i="18"/>
  <c r="BG39" i="18"/>
  <c r="BE39" i="18"/>
  <c r="BD39" i="18"/>
  <c r="BC39" i="18"/>
  <c r="BB39" i="18"/>
  <c r="BA39" i="18"/>
  <c r="BA40" i="18" s="1"/>
  <c r="AZ39" i="18"/>
  <c r="AY39" i="18"/>
  <c r="AW39" i="18"/>
  <c r="AV39" i="18"/>
  <c r="AU39" i="18"/>
  <c r="AS39" i="18"/>
  <c r="AR39" i="18"/>
  <c r="AQ39" i="18"/>
  <c r="CL38" i="18"/>
  <c r="CH38" i="18"/>
  <c r="CD38" i="18"/>
  <c r="BZ38" i="18"/>
  <c r="BV38" i="18"/>
  <c r="BR38" i="18"/>
  <c r="BN38" i="18"/>
  <c r="AX38" i="18"/>
  <c r="AT38" i="18"/>
  <c r="CL37" i="18"/>
  <c r="CH37" i="18"/>
  <c r="CD37" i="18"/>
  <c r="BZ37" i="18"/>
  <c r="BV37" i="18"/>
  <c r="BR37" i="18"/>
  <c r="BN37" i="18"/>
  <c r="BJ37" i="18"/>
  <c r="BF37" i="18"/>
  <c r="AX37" i="18"/>
  <c r="AT37" i="18"/>
  <c r="CL36" i="18"/>
  <c r="CH36" i="18"/>
  <c r="CD36" i="18"/>
  <c r="BZ36" i="18"/>
  <c r="BV36" i="18"/>
  <c r="BR36" i="18"/>
  <c r="BN36" i="18"/>
  <c r="BJ36" i="18"/>
  <c r="BF36" i="18"/>
  <c r="AX36" i="18"/>
  <c r="AT36" i="18"/>
  <c r="CL35" i="18"/>
  <c r="CH35" i="18"/>
  <c r="CH39" i="18" s="1"/>
  <c r="CH13" i="19" s="1"/>
  <c r="CH36" i="19" s="1"/>
  <c r="CD35" i="18"/>
  <c r="BZ35" i="18"/>
  <c r="BV35" i="18"/>
  <c r="BR35" i="18"/>
  <c r="BN35" i="18"/>
  <c r="BJ35" i="18"/>
  <c r="BF35" i="18"/>
  <c r="AX35" i="18"/>
  <c r="AT35" i="18"/>
  <c r="CK34" i="18"/>
  <c r="CJ34" i="18"/>
  <c r="CI34" i="18"/>
  <c r="CF34" i="18"/>
  <c r="CE34" i="18"/>
  <c r="CC34" i="18"/>
  <c r="CB34" i="18"/>
  <c r="CA34" i="18"/>
  <c r="BY34" i="18"/>
  <c r="BX34" i="18"/>
  <c r="BW34" i="18"/>
  <c r="BU34" i="18"/>
  <c r="BT34" i="18"/>
  <c r="BT40" i="18" s="1"/>
  <c r="BS34" i="18"/>
  <c r="BQ34" i="18"/>
  <c r="BP34" i="18"/>
  <c r="BO34" i="18"/>
  <c r="BM34" i="18"/>
  <c r="BL34" i="18"/>
  <c r="BK34" i="18"/>
  <c r="BI34" i="18"/>
  <c r="BH34" i="18"/>
  <c r="BG34" i="18"/>
  <c r="BE34" i="18"/>
  <c r="BD34" i="18"/>
  <c r="BC34" i="18"/>
  <c r="BB34" i="18"/>
  <c r="BA34" i="18"/>
  <c r="AZ34" i="18"/>
  <c r="AY34" i="18"/>
  <c r="AW34" i="18"/>
  <c r="AV34" i="18"/>
  <c r="AU34" i="18"/>
  <c r="AS34" i="18"/>
  <c r="AR34" i="18"/>
  <c r="AQ34" i="18"/>
  <c r="CL33" i="18"/>
  <c r="CH33" i="18"/>
  <c r="CD33" i="18"/>
  <c r="BZ33" i="18"/>
  <c r="BV33" i="18"/>
  <c r="BR33" i="18"/>
  <c r="BN33" i="18"/>
  <c r="BJ33" i="18"/>
  <c r="BF33" i="18"/>
  <c r="AX33" i="18"/>
  <c r="AT33" i="18"/>
  <c r="CL32" i="18"/>
  <c r="CH32" i="18"/>
  <c r="CD32" i="18"/>
  <c r="BZ32" i="18"/>
  <c r="BV32" i="18"/>
  <c r="BR32" i="18"/>
  <c r="BN32" i="18"/>
  <c r="BJ32" i="18"/>
  <c r="BF32" i="18"/>
  <c r="AX32" i="18"/>
  <c r="AT32" i="18"/>
  <c r="CL31" i="18"/>
  <c r="CH31" i="18"/>
  <c r="CD31" i="18"/>
  <c r="BZ31" i="18"/>
  <c r="BV31" i="18"/>
  <c r="BR31" i="18"/>
  <c r="BN31" i="18"/>
  <c r="BJ31" i="18"/>
  <c r="BF31" i="18"/>
  <c r="AX31" i="18"/>
  <c r="AT31" i="18"/>
  <c r="CK30" i="18"/>
  <c r="CK40" i="18" s="1"/>
  <c r="CJ30" i="18"/>
  <c r="CI30" i="18"/>
  <c r="CF30" i="18"/>
  <c r="CE30" i="18"/>
  <c r="CC30" i="18"/>
  <c r="CB30" i="18"/>
  <c r="CA30" i="18"/>
  <c r="BY30" i="18"/>
  <c r="BX30" i="18"/>
  <c r="BW30" i="18"/>
  <c r="BU30" i="18"/>
  <c r="BT30" i="18"/>
  <c r="BS30" i="18"/>
  <c r="BQ30" i="18"/>
  <c r="BP30" i="18"/>
  <c r="BO30" i="18"/>
  <c r="BM30" i="18"/>
  <c r="BM40" i="18" s="1"/>
  <c r="BL30" i="18"/>
  <c r="BK30" i="18"/>
  <c r="BI30" i="18"/>
  <c r="BH30" i="18"/>
  <c r="BG30" i="18"/>
  <c r="BG40" i="18" s="1"/>
  <c r="BE30" i="18"/>
  <c r="BD30" i="18"/>
  <c r="BC30" i="18"/>
  <c r="BB30" i="18"/>
  <c r="BA30" i="18"/>
  <c r="AZ30" i="18"/>
  <c r="AY30" i="18"/>
  <c r="AW30" i="18"/>
  <c r="AW40" i="18" s="1"/>
  <c r="AV30" i="18"/>
  <c r="AU30" i="18"/>
  <c r="AS30" i="18"/>
  <c r="AR30" i="18"/>
  <c r="AQ30" i="18"/>
  <c r="AQ40" i="18"/>
  <c r="CL29" i="18"/>
  <c r="CH29" i="18"/>
  <c r="CD29" i="18"/>
  <c r="BZ29" i="18"/>
  <c r="BV29" i="18"/>
  <c r="BR29" i="18"/>
  <c r="BN29" i="18"/>
  <c r="BJ29" i="18"/>
  <c r="BF29" i="18"/>
  <c r="AX29" i="18"/>
  <c r="AT29" i="18"/>
  <c r="CL28" i="18"/>
  <c r="CH28" i="18"/>
  <c r="CD28" i="18"/>
  <c r="BZ28" i="18"/>
  <c r="BV28" i="18"/>
  <c r="BR28" i="18"/>
  <c r="BN28" i="18"/>
  <c r="BJ28" i="18"/>
  <c r="BF28" i="18"/>
  <c r="AX28" i="18"/>
  <c r="AT28" i="18"/>
  <c r="CL27" i="18"/>
  <c r="CH27" i="18"/>
  <c r="CD27" i="18"/>
  <c r="BZ27" i="18"/>
  <c r="BV27" i="18"/>
  <c r="BR27" i="18"/>
  <c r="BN27" i="18"/>
  <c r="AX27" i="18"/>
  <c r="AT27" i="18"/>
  <c r="CL26" i="18"/>
  <c r="CH26" i="18"/>
  <c r="CD26" i="18"/>
  <c r="BZ26" i="18"/>
  <c r="BV26" i="18"/>
  <c r="BR26" i="18"/>
  <c r="BN26" i="18"/>
  <c r="BJ26" i="18"/>
  <c r="BF26" i="18"/>
  <c r="AX26" i="18"/>
  <c r="AT26" i="18"/>
  <c r="CK24" i="18"/>
  <c r="CJ24" i="18"/>
  <c r="CI24" i="18"/>
  <c r="CG24" i="18"/>
  <c r="CG25" i="18" s="1"/>
  <c r="CF24" i="18"/>
  <c r="CE24" i="18"/>
  <c r="CC24" i="18"/>
  <c r="CB24" i="18"/>
  <c r="CA24" i="18"/>
  <c r="BY24" i="18"/>
  <c r="BX24" i="18"/>
  <c r="BW24" i="18"/>
  <c r="BU24" i="18"/>
  <c r="BT24" i="18"/>
  <c r="BS24" i="18"/>
  <c r="BQ24" i="18"/>
  <c r="BP24" i="18"/>
  <c r="BO24" i="18"/>
  <c r="BM24" i="18"/>
  <c r="BL24" i="18"/>
  <c r="BK24" i="18"/>
  <c r="BI24" i="18"/>
  <c r="BH24" i="18"/>
  <c r="BG24" i="18"/>
  <c r="BE24" i="18"/>
  <c r="BD24" i="18"/>
  <c r="BC24" i="18"/>
  <c r="BB24" i="18"/>
  <c r="BA24" i="18"/>
  <c r="AZ24" i="18"/>
  <c r="AY24" i="18"/>
  <c r="AW24" i="18"/>
  <c r="AV24" i="18"/>
  <c r="AU24" i="18"/>
  <c r="AS24" i="18"/>
  <c r="AR24" i="18"/>
  <c r="AQ24" i="18"/>
  <c r="AO24" i="18"/>
  <c r="AN24" i="18"/>
  <c r="AM24" i="18"/>
  <c r="AK24" i="18"/>
  <c r="AJ24" i="18"/>
  <c r="AI24" i="18"/>
  <c r="AG24" i="18"/>
  <c r="AF24" i="18"/>
  <c r="AE24" i="18"/>
  <c r="AC24" i="18"/>
  <c r="AB24" i="18"/>
  <c r="AA24" i="18"/>
  <c r="Y24" i="18"/>
  <c r="X24" i="18"/>
  <c r="W24" i="18"/>
  <c r="U24" i="18"/>
  <c r="T24" i="18"/>
  <c r="S24" i="18"/>
  <c r="CL23" i="18"/>
  <c r="CH23" i="18"/>
  <c r="CD23" i="18"/>
  <c r="BZ23" i="18"/>
  <c r="BV23" i="18"/>
  <c r="BR23" i="18"/>
  <c r="BR24" i="18" s="1"/>
  <c r="BN23" i="18"/>
  <c r="BJ23" i="18"/>
  <c r="BF23" i="18"/>
  <c r="AX23" i="18"/>
  <c r="AT23" i="18"/>
  <c r="AP23" i="18"/>
  <c r="AL23" i="18"/>
  <c r="AH23" i="18"/>
  <c r="AD23" i="18"/>
  <c r="Z23" i="18"/>
  <c r="V23" i="18"/>
  <c r="CL22" i="18"/>
  <c r="CH22" i="18"/>
  <c r="CD22" i="18"/>
  <c r="BZ22" i="18"/>
  <c r="BZ24" i="18"/>
  <c r="BV22" i="18"/>
  <c r="BR22" i="18"/>
  <c r="BN22" i="18"/>
  <c r="BJ22" i="18"/>
  <c r="BF22" i="18"/>
  <c r="AX22" i="18"/>
  <c r="AT22" i="18"/>
  <c r="AP22" i="18"/>
  <c r="AL22" i="18"/>
  <c r="AH22" i="18"/>
  <c r="AD22" i="18"/>
  <c r="Z22" i="18"/>
  <c r="V22" i="18"/>
  <c r="CL21" i="18"/>
  <c r="CL8" i="19"/>
  <c r="CH21" i="18"/>
  <c r="CH24" i="18" s="1"/>
  <c r="CD21" i="18"/>
  <c r="BZ21" i="18"/>
  <c r="BV21" i="18"/>
  <c r="BR21" i="18"/>
  <c r="BN21" i="18"/>
  <c r="BJ21" i="18"/>
  <c r="BJ24" i="18" s="1"/>
  <c r="BF21" i="18"/>
  <c r="AX21" i="18"/>
  <c r="AT21" i="18"/>
  <c r="AP21" i="18"/>
  <c r="AL21" i="18"/>
  <c r="AL24" i="18" s="1"/>
  <c r="AH21" i="18"/>
  <c r="AD21" i="18"/>
  <c r="AD24" i="18"/>
  <c r="Z21" i="18"/>
  <c r="V21" i="18"/>
  <c r="V24" i="18" s="1"/>
  <c r="CK20" i="18"/>
  <c r="CJ20" i="18"/>
  <c r="CI20" i="18"/>
  <c r="CF20" i="18"/>
  <c r="CE20" i="18"/>
  <c r="CC20" i="18"/>
  <c r="CB20" i="18"/>
  <c r="CA20" i="18"/>
  <c r="BY20" i="18"/>
  <c r="BX20" i="18"/>
  <c r="BW20" i="18"/>
  <c r="BU20" i="18"/>
  <c r="BT20" i="18"/>
  <c r="BS20" i="18"/>
  <c r="BQ20" i="18"/>
  <c r="BP20" i="18"/>
  <c r="BO20" i="18"/>
  <c r="BM20" i="18"/>
  <c r="BK20" i="18"/>
  <c r="BI20" i="18"/>
  <c r="BH20" i="18"/>
  <c r="BG20" i="18"/>
  <c r="BE20" i="18"/>
  <c r="BD20" i="18"/>
  <c r="BD25" i="18" s="1"/>
  <c r="BC20" i="18"/>
  <c r="BB20" i="18"/>
  <c r="BA20" i="18"/>
  <c r="AZ20" i="18"/>
  <c r="AY20" i="18"/>
  <c r="AW20" i="18"/>
  <c r="AV20" i="18"/>
  <c r="AX20" i="18" s="1"/>
  <c r="AU20" i="18"/>
  <c r="AS20" i="18"/>
  <c r="AR20" i="18"/>
  <c r="AQ20" i="18"/>
  <c r="AO20" i="18"/>
  <c r="AN20" i="18"/>
  <c r="AM20" i="18"/>
  <c r="AK20" i="18"/>
  <c r="AJ20" i="18"/>
  <c r="AI20" i="18"/>
  <c r="AG20" i="18"/>
  <c r="AF20" i="18"/>
  <c r="AE20" i="18"/>
  <c r="AC20" i="18"/>
  <c r="AB20" i="18"/>
  <c r="AA20" i="18"/>
  <c r="Y20" i="18"/>
  <c r="X20" i="18"/>
  <c r="W20" i="18"/>
  <c r="U20" i="18"/>
  <c r="T20" i="18"/>
  <c r="S20" i="18"/>
  <c r="CL19" i="18"/>
  <c r="CH19" i="18"/>
  <c r="CD19" i="18"/>
  <c r="BZ19" i="18"/>
  <c r="BV19" i="18"/>
  <c r="BR19" i="18"/>
  <c r="BN19" i="18"/>
  <c r="BJ19" i="18"/>
  <c r="BF19" i="18"/>
  <c r="AX19" i="18"/>
  <c r="AT19" i="18"/>
  <c r="AP19" i="18"/>
  <c r="AL19" i="18"/>
  <c r="AH19" i="18"/>
  <c r="AD19" i="18"/>
  <c r="Z19" i="18"/>
  <c r="V19" i="18"/>
  <c r="CL18" i="18"/>
  <c r="CH18" i="18"/>
  <c r="CD18" i="18"/>
  <c r="BZ18" i="18"/>
  <c r="BV18" i="18"/>
  <c r="BR18" i="18"/>
  <c r="BN18" i="18"/>
  <c r="BJ18" i="18"/>
  <c r="BF18" i="18"/>
  <c r="AX18" i="18"/>
  <c r="AT18" i="18"/>
  <c r="AP18" i="18"/>
  <c r="AL18" i="18"/>
  <c r="AH18" i="18"/>
  <c r="AD18" i="18"/>
  <c r="Z18" i="18"/>
  <c r="V18" i="18"/>
  <c r="CL17" i="18"/>
  <c r="CH17" i="18"/>
  <c r="CD17" i="18"/>
  <c r="BZ17" i="18"/>
  <c r="BV17" i="18"/>
  <c r="BR17" i="18"/>
  <c r="BL17" i="18"/>
  <c r="BJ17" i="18"/>
  <c r="BF17" i="18"/>
  <c r="AX17" i="18"/>
  <c r="AT17" i="18"/>
  <c r="AP17" i="18"/>
  <c r="AL17" i="18"/>
  <c r="AH17" i="18"/>
  <c r="AH20" i="18"/>
  <c r="AD17" i="18"/>
  <c r="Z17" i="18"/>
  <c r="V17" i="18"/>
  <c r="CL16" i="18"/>
  <c r="CH16" i="18"/>
  <c r="CD16" i="18"/>
  <c r="BZ16" i="18"/>
  <c r="BV16" i="18"/>
  <c r="BR16" i="18"/>
  <c r="BN16" i="18"/>
  <c r="BJ16" i="18"/>
  <c r="BF16" i="18"/>
  <c r="AX16" i="18"/>
  <c r="AT16" i="18"/>
  <c r="AP16" i="18"/>
  <c r="AL16" i="18"/>
  <c r="AH16" i="18"/>
  <c r="AD16" i="18"/>
  <c r="Z16" i="18"/>
  <c r="V16" i="18"/>
  <c r="CK15" i="18"/>
  <c r="CJ15" i="18"/>
  <c r="CI15" i="18"/>
  <c r="CF15" i="18"/>
  <c r="CE15" i="18"/>
  <c r="CC15" i="18"/>
  <c r="CB15" i="18"/>
  <c r="CA15" i="18"/>
  <c r="BY15" i="18"/>
  <c r="BX15" i="18"/>
  <c r="BW15" i="18"/>
  <c r="BU15" i="18"/>
  <c r="BT15" i="18"/>
  <c r="BS15" i="18"/>
  <c r="BQ15" i="18"/>
  <c r="BP15" i="18"/>
  <c r="BO15" i="18"/>
  <c r="BM15" i="18"/>
  <c r="BL15" i="18"/>
  <c r="BK15" i="18"/>
  <c r="BI15" i="18"/>
  <c r="BH15" i="18"/>
  <c r="BG15" i="18"/>
  <c r="BE15" i="18"/>
  <c r="BD15" i="18"/>
  <c r="BC15" i="18"/>
  <c r="BB15" i="18"/>
  <c r="BA15" i="18"/>
  <c r="BA25" i="18" s="1"/>
  <c r="AZ15" i="18"/>
  <c r="AY15" i="18"/>
  <c r="AW15" i="18"/>
  <c r="AV15" i="18"/>
  <c r="AU15" i="18"/>
  <c r="AS15" i="18"/>
  <c r="AR15" i="18"/>
  <c r="AQ15" i="18"/>
  <c r="AO15" i="18"/>
  <c r="AN15" i="18"/>
  <c r="AM15" i="18"/>
  <c r="AK15" i="18"/>
  <c r="AJ15" i="18"/>
  <c r="AI15" i="18"/>
  <c r="AG15" i="18"/>
  <c r="AF15" i="18"/>
  <c r="AE15" i="18"/>
  <c r="AE25" i="18" s="1"/>
  <c r="AC15" i="18"/>
  <c r="AB15" i="18"/>
  <c r="AA15" i="18"/>
  <c r="Y15" i="18"/>
  <c r="X15" i="18"/>
  <c r="W15" i="18"/>
  <c r="U15" i="18"/>
  <c r="T15" i="18"/>
  <c r="S15" i="18"/>
  <c r="CL14" i="18"/>
  <c r="CH14" i="18"/>
  <c r="CD14" i="18"/>
  <c r="BZ14" i="18"/>
  <c r="BV14" i="18"/>
  <c r="BR14" i="18"/>
  <c r="BN14" i="18"/>
  <c r="BJ14" i="18"/>
  <c r="BF14" i="18"/>
  <c r="AX14" i="18"/>
  <c r="AT14" i="18"/>
  <c r="AP14" i="18"/>
  <c r="AL14" i="18"/>
  <c r="AH14" i="18"/>
  <c r="AD14" i="18"/>
  <c r="Z14" i="18"/>
  <c r="V14" i="18"/>
  <c r="CL13" i="18"/>
  <c r="CH13" i="18"/>
  <c r="CD13" i="18"/>
  <c r="BZ13" i="18"/>
  <c r="BV13" i="18"/>
  <c r="BR13" i="18"/>
  <c r="BN13" i="18"/>
  <c r="BJ13" i="18"/>
  <c r="BF13" i="18"/>
  <c r="AX13" i="18"/>
  <c r="AT13" i="18"/>
  <c r="AP13" i="18"/>
  <c r="AL13" i="18"/>
  <c r="AH13" i="18"/>
  <c r="AD13" i="18"/>
  <c r="Z13" i="18"/>
  <c r="V13" i="18"/>
  <c r="CL12" i="18"/>
  <c r="CH12" i="18"/>
  <c r="CD12" i="18"/>
  <c r="BZ12" i="18"/>
  <c r="BV12" i="18"/>
  <c r="BR12" i="18"/>
  <c r="BN12" i="18"/>
  <c r="BJ12" i="18"/>
  <c r="BF12" i="18"/>
  <c r="AX12" i="18"/>
  <c r="AT12" i="18"/>
  <c r="AP12" i="18"/>
  <c r="AL12" i="18"/>
  <c r="AH12" i="18"/>
  <c r="AD12" i="18"/>
  <c r="Z12" i="18"/>
  <c r="V12" i="18"/>
  <c r="CL11" i="18"/>
  <c r="CH11" i="18"/>
  <c r="CD11" i="18"/>
  <c r="BZ11" i="18"/>
  <c r="BV11" i="18"/>
  <c r="BR11" i="18"/>
  <c r="BN11" i="18"/>
  <c r="BJ11" i="18"/>
  <c r="BF11" i="18"/>
  <c r="AX11" i="18"/>
  <c r="AT11" i="18"/>
  <c r="AP11" i="18"/>
  <c r="AL11" i="18"/>
  <c r="AH11" i="18"/>
  <c r="AD11" i="18"/>
  <c r="Z11" i="18"/>
  <c r="V11" i="18"/>
  <c r="CL10" i="18"/>
  <c r="CH10" i="18"/>
  <c r="CD10" i="18"/>
  <c r="BZ10" i="18"/>
  <c r="BV10" i="18"/>
  <c r="BR10" i="18"/>
  <c r="BN10" i="18"/>
  <c r="BJ10" i="18"/>
  <c r="BF10" i="18"/>
  <c r="AX10" i="18"/>
  <c r="AT10" i="18"/>
  <c r="AP10" i="18"/>
  <c r="AL10" i="18"/>
  <c r="AH10" i="18"/>
  <c r="AD10" i="18"/>
  <c r="Z10" i="18"/>
  <c r="V10" i="18"/>
  <c r="CL9" i="18"/>
  <c r="CH9" i="18"/>
  <c r="CD9" i="18"/>
  <c r="BZ9" i="18"/>
  <c r="BV9" i="18"/>
  <c r="BR9" i="18"/>
  <c r="BN9" i="18"/>
  <c r="BJ9" i="18"/>
  <c r="BF9" i="18"/>
  <c r="AX9" i="18"/>
  <c r="AT9" i="18"/>
  <c r="AP9" i="18"/>
  <c r="AL9" i="18"/>
  <c r="AH9" i="18"/>
  <c r="AD9" i="18"/>
  <c r="Z9" i="18"/>
  <c r="V9" i="18"/>
  <c r="CL8" i="18"/>
  <c r="CH8" i="18"/>
  <c r="CD8" i="18"/>
  <c r="BZ8" i="18"/>
  <c r="BV8" i="18"/>
  <c r="BR8" i="18"/>
  <c r="BN8" i="18"/>
  <c r="BJ8" i="18"/>
  <c r="BF8" i="18"/>
  <c r="AX8" i="18"/>
  <c r="AT8" i="18"/>
  <c r="AP8" i="18"/>
  <c r="AL8" i="18"/>
  <c r="AH8" i="18"/>
  <c r="AD8" i="18"/>
  <c r="Z8" i="18"/>
  <c r="V8" i="18"/>
  <c r="CL7" i="18"/>
  <c r="CH7" i="18"/>
  <c r="CD7" i="18"/>
  <c r="BZ7" i="18"/>
  <c r="BV7" i="18"/>
  <c r="BR7" i="18"/>
  <c r="BN7" i="18"/>
  <c r="BJ7" i="18"/>
  <c r="BF7" i="18"/>
  <c r="AX7" i="18"/>
  <c r="AT7" i="18"/>
  <c r="AP7" i="18"/>
  <c r="AL7" i="18"/>
  <c r="AH7" i="18"/>
  <c r="AD7" i="18"/>
  <c r="Z7" i="18"/>
  <c r="V7" i="18"/>
  <c r="CL6" i="18"/>
  <c r="CH6" i="18"/>
  <c r="CD6" i="18"/>
  <c r="BZ6" i="18"/>
  <c r="BV6" i="18"/>
  <c r="BR6" i="18"/>
  <c r="BN6" i="18"/>
  <c r="BJ6" i="18"/>
  <c r="BF6" i="18"/>
  <c r="AX6" i="18"/>
  <c r="AT6" i="18"/>
  <c r="AP6" i="18"/>
  <c r="AL6" i="18"/>
  <c r="AH6" i="18"/>
  <c r="AD6" i="18"/>
  <c r="Z6" i="18"/>
  <c r="V6" i="18"/>
  <c r="CL5" i="18"/>
  <c r="CH5" i="18"/>
  <c r="CD5" i="18"/>
  <c r="BZ5" i="18"/>
  <c r="BV5" i="18"/>
  <c r="BR5" i="18"/>
  <c r="BN5" i="18"/>
  <c r="BJ5" i="18"/>
  <c r="BF5" i="18"/>
  <c r="AX5" i="18"/>
  <c r="AT5" i="18"/>
  <c r="AP5" i="18"/>
  <c r="AL5" i="18"/>
  <c r="AH5" i="18"/>
  <c r="AD5" i="18"/>
  <c r="Z5" i="18"/>
  <c r="V5" i="18"/>
  <c r="J36" i="17"/>
  <c r="J35" i="17"/>
  <c r="J34" i="17"/>
  <c r="J33" i="17"/>
  <c r="J32" i="17"/>
  <c r="J31" i="17"/>
  <c r="J29" i="17"/>
  <c r="T28" i="17"/>
  <c r="S28" i="17"/>
  <c r="R28" i="17"/>
  <c r="R34" i="17" s="1"/>
  <c r="Q28" i="17"/>
  <c r="P28" i="17"/>
  <c r="O28" i="17"/>
  <c r="N28" i="17"/>
  <c r="M28" i="17"/>
  <c r="L28" i="17"/>
  <c r="K28" i="17"/>
  <c r="K29" i="17"/>
  <c r="T27" i="17"/>
  <c r="S27" i="17"/>
  <c r="S29" i="17" s="1"/>
  <c r="R27" i="17"/>
  <c r="Q27" i="17"/>
  <c r="P27" i="17"/>
  <c r="O27" i="17"/>
  <c r="N27" i="17"/>
  <c r="M27" i="17"/>
  <c r="L27" i="17"/>
  <c r="K27" i="17"/>
  <c r="T26" i="17"/>
  <c r="S26" i="17"/>
  <c r="R26" i="17"/>
  <c r="Q26" i="17"/>
  <c r="P26" i="17"/>
  <c r="O26" i="17"/>
  <c r="N26" i="17"/>
  <c r="M26" i="17"/>
  <c r="L26" i="17"/>
  <c r="K26" i="17"/>
  <c r="T23" i="17"/>
  <c r="S23" i="17"/>
  <c r="R23" i="17"/>
  <c r="Q23" i="17"/>
  <c r="P23" i="17"/>
  <c r="O23" i="17"/>
  <c r="N23" i="17"/>
  <c r="M23" i="17"/>
  <c r="L23" i="17"/>
  <c r="K23" i="17"/>
  <c r="T22" i="17"/>
  <c r="S22" i="17"/>
  <c r="R22" i="17"/>
  <c r="Q22" i="17"/>
  <c r="P22" i="17"/>
  <c r="O22" i="17"/>
  <c r="N22" i="17"/>
  <c r="M22" i="17"/>
  <c r="L22" i="17"/>
  <c r="K22" i="17"/>
  <c r="K24" i="17" s="1"/>
  <c r="T21" i="17"/>
  <c r="S21" i="17"/>
  <c r="S24" i="17" s="1"/>
  <c r="R21" i="17"/>
  <c r="Q21" i="17"/>
  <c r="P21" i="17"/>
  <c r="O21" i="17"/>
  <c r="O24" i="17" s="1"/>
  <c r="N21" i="17"/>
  <c r="N24" i="17" s="1"/>
  <c r="M21" i="17"/>
  <c r="M24" i="17" s="1"/>
  <c r="L21" i="17"/>
  <c r="K21" i="17"/>
  <c r="J19" i="17"/>
  <c r="T18" i="17"/>
  <c r="S18" i="17"/>
  <c r="S33" i="17" s="1"/>
  <c r="R18" i="17"/>
  <c r="Q18" i="17"/>
  <c r="P18" i="17"/>
  <c r="O18" i="17"/>
  <c r="N18" i="17"/>
  <c r="N33" i="17"/>
  <c r="M18" i="17"/>
  <c r="L18" i="17"/>
  <c r="K18" i="17"/>
  <c r="K33" i="17" s="1"/>
  <c r="T17" i="17"/>
  <c r="S17" i="17"/>
  <c r="R17" i="17"/>
  <c r="Q17" i="17"/>
  <c r="P17" i="17"/>
  <c r="O17" i="17"/>
  <c r="O19" i="17" s="1"/>
  <c r="N17" i="17"/>
  <c r="M17" i="17"/>
  <c r="L17" i="17"/>
  <c r="K17" i="17"/>
  <c r="T16" i="17"/>
  <c r="S16" i="17"/>
  <c r="R16" i="17"/>
  <c r="Q16" i="17"/>
  <c r="P16" i="17"/>
  <c r="O16" i="17"/>
  <c r="N16" i="17"/>
  <c r="M16" i="17"/>
  <c r="L16" i="17"/>
  <c r="L19" i="17" s="1"/>
  <c r="K16" i="17"/>
  <c r="J14" i="17"/>
  <c r="T13" i="17"/>
  <c r="T36" i="17" s="1"/>
  <c r="S13" i="17"/>
  <c r="S36" i="17" s="1"/>
  <c r="R13" i="17"/>
  <c r="R36" i="17" s="1"/>
  <c r="Q13" i="17"/>
  <c r="Q36" i="17" s="1"/>
  <c r="P13" i="17"/>
  <c r="P36" i="17" s="1"/>
  <c r="O13" i="17"/>
  <c r="O36" i="17" s="1"/>
  <c r="N13" i="17"/>
  <c r="N36" i="17"/>
  <c r="M13" i="17"/>
  <c r="L13" i="17"/>
  <c r="L36" i="17"/>
  <c r="K13" i="17"/>
  <c r="K36" i="17" s="1"/>
  <c r="T12" i="17"/>
  <c r="S12" i="17"/>
  <c r="S35" i="17" s="1"/>
  <c r="R12" i="17"/>
  <c r="R35" i="17"/>
  <c r="Q12" i="17"/>
  <c r="Q35" i="17" s="1"/>
  <c r="P12" i="17"/>
  <c r="P35" i="17"/>
  <c r="O12" i="17"/>
  <c r="O35" i="17" s="1"/>
  <c r="N12" i="17"/>
  <c r="N35" i="17" s="1"/>
  <c r="M12" i="17"/>
  <c r="M35" i="17" s="1"/>
  <c r="L12" i="17"/>
  <c r="K12" i="17"/>
  <c r="K35" i="17" s="1"/>
  <c r="T11" i="17"/>
  <c r="S11" i="17"/>
  <c r="R11" i="17"/>
  <c r="Q11" i="17"/>
  <c r="P11" i="17"/>
  <c r="P14" i="17" s="1"/>
  <c r="O11" i="17"/>
  <c r="N11" i="17"/>
  <c r="N14" i="17" s="1"/>
  <c r="M11" i="17"/>
  <c r="L11" i="17"/>
  <c r="K11" i="17"/>
  <c r="J9" i="17"/>
  <c r="T8" i="17"/>
  <c r="T34" i="17" s="1"/>
  <c r="S8" i="17"/>
  <c r="R8" i="17"/>
  <c r="Q8" i="17"/>
  <c r="P8" i="17"/>
  <c r="O8" i="17"/>
  <c r="O34" i="17" s="1"/>
  <c r="N8" i="17"/>
  <c r="M8" i="17"/>
  <c r="M34" i="17" s="1"/>
  <c r="L8" i="17"/>
  <c r="K8" i="17"/>
  <c r="K34" i="17" s="1"/>
  <c r="T7" i="17"/>
  <c r="S7" i="17"/>
  <c r="R7" i="17"/>
  <c r="Q7" i="17"/>
  <c r="P7" i="17"/>
  <c r="O7" i="17"/>
  <c r="N7" i="17"/>
  <c r="M7" i="17"/>
  <c r="L7" i="17"/>
  <c r="K7" i="17"/>
  <c r="T6" i="17"/>
  <c r="S6" i="17"/>
  <c r="R6" i="17"/>
  <c r="Q6" i="17"/>
  <c r="P6" i="17"/>
  <c r="O6" i="17"/>
  <c r="N6" i="17"/>
  <c r="N31" i="17" s="1"/>
  <c r="M6" i="17"/>
  <c r="M31" i="17" s="1"/>
  <c r="L6" i="17"/>
  <c r="K6" i="17"/>
  <c r="T104" i="16"/>
  <c r="S104" i="16"/>
  <c r="R104" i="16"/>
  <c r="Q104" i="16"/>
  <c r="P104" i="16"/>
  <c r="O104" i="16"/>
  <c r="N104" i="16"/>
  <c r="M104" i="16"/>
  <c r="L104" i="16"/>
  <c r="K104" i="16"/>
  <c r="K105" i="16"/>
  <c r="J104" i="16"/>
  <c r="I104" i="16"/>
  <c r="H104" i="16"/>
  <c r="G104" i="16"/>
  <c r="F104" i="16"/>
  <c r="E104" i="16"/>
  <c r="D104" i="16"/>
  <c r="C104" i="16"/>
  <c r="T99" i="16"/>
  <c r="S99" i="16"/>
  <c r="R99" i="16"/>
  <c r="Q99" i="16"/>
  <c r="P99" i="16"/>
  <c r="O99" i="16"/>
  <c r="N99" i="16"/>
  <c r="M99" i="16"/>
  <c r="L99" i="16"/>
  <c r="K99" i="16"/>
  <c r="J99" i="16"/>
  <c r="I99" i="16"/>
  <c r="H99" i="16"/>
  <c r="G99" i="16"/>
  <c r="F99" i="16"/>
  <c r="E99" i="16"/>
  <c r="D99" i="16"/>
  <c r="C99" i="16"/>
  <c r="T90" i="16"/>
  <c r="S90" i="16"/>
  <c r="S105" i="16"/>
  <c r="R90" i="16"/>
  <c r="Q90" i="16"/>
  <c r="P90" i="16"/>
  <c r="O90" i="16"/>
  <c r="N90" i="16"/>
  <c r="M90" i="16"/>
  <c r="L90" i="16"/>
  <c r="K90" i="16"/>
  <c r="J90" i="16"/>
  <c r="I90" i="16"/>
  <c r="H90" i="16"/>
  <c r="G90" i="16"/>
  <c r="F90" i="16"/>
  <c r="E90" i="16"/>
  <c r="D90" i="16"/>
  <c r="C90" i="16"/>
  <c r="T82" i="16"/>
  <c r="S82" i="16"/>
  <c r="R82" i="16"/>
  <c r="Q82" i="16"/>
  <c r="T78" i="16"/>
  <c r="S78" i="16"/>
  <c r="R78" i="16"/>
  <c r="Q78" i="16"/>
  <c r="P78" i="16"/>
  <c r="P83" i="16" s="1"/>
  <c r="O78" i="16"/>
  <c r="O83" i="16" s="1"/>
  <c r="N78" i="16"/>
  <c r="N83" i="16" s="1"/>
  <c r="M78" i="16"/>
  <c r="M83" i="16"/>
  <c r="L78" i="16"/>
  <c r="L83" i="16" s="1"/>
  <c r="K78" i="16"/>
  <c r="K83" i="16"/>
  <c r="T74" i="16"/>
  <c r="T83" i="16" s="1"/>
  <c r="S74" i="16"/>
  <c r="S83" i="16" s="1"/>
  <c r="R74" i="16"/>
  <c r="Q74" i="16"/>
  <c r="T69" i="16"/>
  <c r="T70" i="16" s="1"/>
  <c r="S69" i="16"/>
  <c r="R69" i="16"/>
  <c r="Q69" i="16"/>
  <c r="P69" i="16"/>
  <c r="O69" i="16"/>
  <c r="N69" i="16"/>
  <c r="M69" i="16"/>
  <c r="L69" i="16"/>
  <c r="K69" i="16"/>
  <c r="J69" i="16"/>
  <c r="I69" i="16"/>
  <c r="H69" i="16"/>
  <c r="G69" i="16"/>
  <c r="F69" i="16"/>
  <c r="E69" i="16"/>
  <c r="D69" i="16"/>
  <c r="C69" i="16"/>
  <c r="T62" i="16"/>
  <c r="S62" i="16"/>
  <c r="R62" i="16"/>
  <c r="Q62" i="16"/>
  <c r="P62" i="16"/>
  <c r="O62" i="16"/>
  <c r="N62" i="16"/>
  <c r="M62" i="16"/>
  <c r="L62" i="16"/>
  <c r="K62" i="16"/>
  <c r="J62" i="16"/>
  <c r="I62" i="16"/>
  <c r="H62" i="16"/>
  <c r="G62" i="16"/>
  <c r="F62" i="16"/>
  <c r="E62" i="16"/>
  <c r="E70" i="16" s="1"/>
  <c r="D62" i="16"/>
  <c r="C62" i="16"/>
  <c r="T50" i="16"/>
  <c r="S50" i="16"/>
  <c r="R50" i="16"/>
  <c r="Q50" i="16"/>
  <c r="P50" i="16"/>
  <c r="O50" i="16"/>
  <c r="N50" i="16"/>
  <c r="M50" i="16"/>
  <c r="L50" i="16"/>
  <c r="K50" i="16"/>
  <c r="J50" i="16"/>
  <c r="J70" i="16"/>
  <c r="I50" i="16"/>
  <c r="H50" i="16"/>
  <c r="G50" i="16"/>
  <c r="F50" i="16"/>
  <c r="E50" i="16"/>
  <c r="D50" i="16"/>
  <c r="C50" i="16"/>
  <c r="I39" i="16"/>
  <c r="T38" i="16"/>
  <c r="S38" i="16"/>
  <c r="R38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T33" i="16"/>
  <c r="S33" i="16"/>
  <c r="R33" i="16"/>
  <c r="Q33" i="16"/>
  <c r="Q39" i="16" s="1"/>
  <c r="P33" i="16"/>
  <c r="O33" i="16"/>
  <c r="N33" i="16"/>
  <c r="M33" i="16"/>
  <c r="L33" i="16"/>
  <c r="K33" i="16"/>
  <c r="J33" i="16"/>
  <c r="I33" i="16"/>
  <c r="H33" i="16"/>
  <c r="G33" i="16"/>
  <c r="F33" i="16"/>
  <c r="E33" i="16"/>
  <c r="T29" i="16"/>
  <c r="S29" i="16"/>
  <c r="R29" i="16"/>
  <c r="Q29" i="16"/>
  <c r="P29" i="16"/>
  <c r="O29" i="16"/>
  <c r="N29" i="16"/>
  <c r="M29" i="16"/>
  <c r="L29" i="16"/>
  <c r="K29" i="16"/>
  <c r="J29" i="16"/>
  <c r="I29" i="16"/>
  <c r="H29" i="16"/>
  <c r="G29" i="16"/>
  <c r="F29" i="16"/>
  <c r="E29" i="16"/>
  <c r="T23" i="16"/>
  <c r="S23" i="16"/>
  <c r="R23" i="16"/>
  <c r="Q23" i="16"/>
  <c r="P23" i="16"/>
  <c r="O23" i="16"/>
  <c r="N23" i="16"/>
  <c r="M23" i="16"/>
  <c r="L23" i="16"/>
  <c r="K23" i="16"/>
  <c r="J23" i="16"/>
  <c r="I23" i="16"/>
  <c r="H23" i="16"/>
  <c r="G23" i="16"/>
  <c r="F23" i="16"/>
  <c r="E23" i="16"/>
  <c r="D23" i="16"/>
  <c r="C23" i="16"/>
  <c r="T19" i="16"/>
  <c r="S19" i="16"/>
  <c r="R19" i="16"/>
  <c r="Q19" i="16"/>
  <c r="P19" i="16"/>
  <c r="O19" i="16"/>
  <c r="N19" i="16"/>
  <c r="M19" i="16"/>
  <c r="L19" i="16"/>
  <c r="K19" i="16"/>
  <c r="J19" i="16"/>
  <c r="I19" i="16"/>
  <c r="H19" i="16"/>
  <c r="G19" i="16"/>
  <c r="F19" i="16"/>
  <c r="E19" i="16"/>
  <c r="D19" i="16"/>
  <c r="C19" i="16"/>
  <c r="T14" i="16"/>
  <c r="T24" i="16" s="1"/>
  <c r="S14" i="16"/>
  <c r="R14" i="16"/>
  <c r="Q14" i="16"/>
  <c r="Q24" i="16" s="1"/>
  <c r="P14" i="16"/>
  <c r="O14" i="16"/>
  <c r="O24" i="16" s="1"/>
  <c r="N14" i="16"/>
  <c r="M14" i="16"/>
  <c r="L14" i="16"/>
  <c r="L24" i="16"/>
  <c r="K14" i="16"/>
  <c r="J14" i="16"/>
  <c r="I14" i="16"/>
  <c r="H14" i="16"/>
  <c r="G14" i="16"/>
  <c r="F14" i="16"/>
  <c r="E14" i="16"/>
  <c r="D14" i="16"/>
  <c r="D24" i="16" s="1"/>
  <c r="C14" i="16"/>
  <c r="U36" i="15"/>
  <c r="T36" i="15"/>
  <c r="S36" i="15"/>
  <c r="R36" i="15"/>
  <c r="Q36" i="15"/>
  <c r="P36" i="15"/>
  <c r="O36" i="15"/>
  <c r="N36" i="15"/>
  <c r="M36" i="15"/>
  <c r="L36" i="15"/>
  <c r="K36" i="15"/>
  <c r="J36" i="15"/>
  <c r="I36" i="15"/>
  <c r="H36" i="15"/>
  <c r="G36" i="15"/>
  <c r="F36" i="15"/>
  <c r="E36" i="15"/>
  <c r="D36" i="15"/>
  <c r="C36" i="15"/>
  <c r="U35" i="15"/>
  <c r="T35" i="15"/>
  <c r="S35" i="15"/>
  <c r="R35" i="15"/>
  <c r="Q35" i="15"/>
  <c r="P35" i="15"/>
  <c r="O35" i="15"/>
  <c r="N35" i="15"/>
  <c r="M35" i="15"/>
  <c r="L35" i="15"/>
  <c r="K35" i="15"/>
  <c r="J35" i="15"/>
  <c r="I35" i="15"/>
  <c r="H35" i="15"/>
  <c r="G35" i="15"/>
  <c r="F35" i="15"/>
  <c r="E35" i="15"/>
  <c r="D35" i="15"/>
  <c r="C35" i="15"/>
  <c r="U34" i="15"/>
  <c r="T34" i="15"/>
  <c r="S34" i="15"/>
  <c r="R34" i="15"/>
  <c r="Q34" i="15"/>
  <c r="P34" i="15"/>
  <c r="O34" i="15"/>
  <c r="N34" i="15"/>
  <c r="M34" i="15"/>
  <c r="L34" i="15"/>
  <c r="K34" i="15"/>
  <c r="J34" i="15"/>
  <c r="I34" i="15"/>
  <c r="H34" i="15"/>
  <c r="G34" i="15"/>
  <c r="F34" i="15"/>
  <c r="E34" i="15"/>
  <c r="D34" i="15"/>
  <c r="C34" i="15"/>
  <c r="U33" i="15"/>
  <c r="T33" i="15"/>
  <c r="S33" i="15"/>
  <c r="R33" i="15"/>
  <c r="Q33" i="15"/>
  <c r="P33" i="15"/>
  <c r="O33" i="15"/>
  <c r="N33" i="15"/>
  <c r="M33" i="15"/>
  <c r="L33" i="15"/>
  <c r="K33" i="15"/>
  <c r="J33" i="15"/>
  <c r="I33" i="15"/>
  <c r="H33" i="15"/>
  <c r="G33" i="15"/>
  <c r="F33" i="15"/>
  <c r="E33" i="15"/>
  <c r="D33" i="15"/>
  <c r="C33" i="15"/>
  <c r="U32" i="15"/>
  <c r="T32" i="15"/>
  <c r="S32" i="15"/>
  <c r="R32" i="15"/>
  <c r="Q32" i="15"/>
  <c r="P32" i="15"/>
  <c r="O32" i="15"/>
  <c r="N32" i="15"/>
  <c r="M32" i="15"/>
  <c r="L32" i="15"/>
  <c r="K32" i="15"/>
  <c r="J32" i="15"/>
  <c r="I32" i="15"/>
  <c r="H32" i="15"/>
  <c r="G32" i="15"/>
  <c r="F32" i="15"/>
  <c r="E32" i="15"/>
  <c r="D32" i="15"/>
  <c r="C32" i="15"/>
  <c r="U31" i="15"/>
  <c r="U37" i="15" s="1"/>
  <c r="T31" i="15"/>
  <c r="S31" i="15"/>
  <c r="R31" i="15"/>
  <c r="Q31" i="15"/>
  <c r="P31" i="15"/>
  <c r="O31" i="15"/>
  <c r="N31" i="15"/>
  <c r="M31" i="15"/>
  <c r="L31" i="15"/>
  <c r="K31" i="15"/>
  <c r="J31" i="15"/>
  <c r="I31" i="15"/>
  <c r="H31" i="15"/>
  <c r="G31" i="15"/>
  <c r="F31" i="15"/>
  <c r="E31" i="15"/>
  <c r="D31" i="15"/>
  <c r="C31" i="15"/>
  <c r="U29" i="15"/>
  <c r="S29" i="15"/>
  <c r="R29" i="15"/>
  <c r="Q29" i="15"/>
  <c r="P29" i="15"/>
  <c r="O29" i="15"/>
  <c r="N29" i="15"/>
  <c r="M29" i="15"/>
  <c r="L29" i="15"/>
  <c r="K29" i="15"/>
  <c r="J29" i="15"/>
  <c r="I29" i="15"/>
  <c r="H29" i="15"/>
  <c r="G29" i="15"/>
  <c r="F29" i="15"/>
  <c r="E29" i="15"/>
  <c r="D29" i="15"/>
  <c r="C29" i="15"/>
  <c r="S24" i="15"/>
  <c r="Q24" i="15"/>
  <c r="O24" i="15"/>
  <c r="N24" i="15"/>
  <c r="L24" i="15"/>
  <c r="S19" i="15"/>
  <c r="R19" i="15"/>
  <c r="Q19" i="15"/>
  <c r="P19" i="15"/>
  <c r="O19" i="15"/>
  <c r="N19" i="15"/>
  <c r="M19" i="15"/>
  <c r="L19" i="15"/>
  <c r="K19" i="15"/>
  <c r="J19" i="15"/>
  <c r="I19" i="15"/>
  <c r="H19" i="15"/>
  <c r="G19" i="15"/>
  <c r="F19" i="15"/>
  <c r="E19" i="15"/>
  <c r="D19" i="15"/>
  <c r="C19" i="15"/>
  <c r="U14" i="15"/>
  <c r="S14" i="15"/>
  <c r="R14" i="15"/>
  <c r="Q14" i="15"/>
  <c r="P14" i="15"/>
  <c r="O14" i="15"/>
  <c r="N14" i="15"/>
  <c r="L14" i="15"/>
  <c r="K14" i="15"/>
  <c r="J14" i="15"/>
  <c r="I14" i="15"/>
  <c r="H14" i="15"/>
  <c r="G14" i="15"/>
  <c r="S9" i="15"/>
  <c r="R9" i="15"/>
  <c r="Q9" i="15"/>
  <c r="P9" i="15"/>
  <c r="O9" i="15"/>
  <c r="N9" i="15"/>
  <c r="M9" i="15"/>
  <c r="L9" i="15"/>
  <c r="K9" i="15"/>
  <c r="J9" i="15"/>
  <c r="I9" i="15"/>
  <c r="H9" i="15"/>
  <c r="G9" i="15"/>
  <c r="F9" i="15"/>
  <c r="E9" i="15"/>
  <c r="D9" i="15"/>
  <c r="C9" i="15"/>
  <c r="U36" i="14"/>
  <c r="T36" i="14"/>
  <c r="S36" i="14"/>
  <c r="R36" i="14"/>
  <c r="Q36" i="14"/>
  <c r="P36" i="14"/>
  <c r="O36" i="14"/>
  <c r="N36" i="14"/>
  <c r="N37" i="14" s="1"/>
  <c r="M36" i="14"/>
  <c r="L36" i="14"/>
  <c r="K36" i="14"/>
  <c r="J36" i="14"/>
  <c r="I36" i="14"/>
  <c r="H36" i="14"/>
  <c r="U35" i="14"/>
  <c r="T35" i="14"/>
  <c r="S35" i="14"/>
  <c r="R35" i="14"/>
  <c r="Q35" i="14"/>
  <c r="P35" i="14"/>
  <c r="O35" i="14"/>
  <c r="N35" i="14"/>
  <c r="M35" i="14"/>
  <c r="L35" i="14"/>
  <c r="K35" i="14"/>
  <c r="J35" i="14"/>
  <c r="I35" i="14"/>
  <c r="H35" i="14"/>
  <c r="U34" i="14"/>
  <c r="T34" i="14"/>
  <c r="S34" i="14"/>
  <c r="R34" i="14"/>
  <c r="Q34" i="14"/>
  <c r="P34" i="14"/>
  <c r="O34" i="14"/>
  <c r="N34" i="14"/>
  <c r="M34" i="14"/>
  <c r="L34" i="14"/>
  <c r="K34" i="14"/>
  <c r="J34" i="14"/>
  <c r="I34" i="14"/>
  <c r="H34" i="14"/>
  <c r="G34" i="14"/>
  <c r="F34" i="14"/>
  <c r="E34" i="14"/>
  <c r="D34" i="14"/>
  <c r="C34" i="14"/>
  <c r="U33" i="14"/>
  <c r="U37" i="14" s="1"/>
  <c r="T33" i="14"/>
  <c r="S33" i="14"/>
  <c r="R33" i="14"/>
  <c r="Q33" i="14"/>
  <c r="P33" i="14"/>
  <c r="O33" i="14"/>
  <c r="N33" i="14"/>
  <c r="M33" i="14"/>
  <c r="L33" i="14"/>
  <c r="K33" i="14"/>
  <c r="J33" i="14"/>
  <c r="I33" i="14"/>
  <c r="H33" i="14"/>
  <c r="G33" i="14"/>
  <c r="F33" i="14"/>
  <c r="E33" i="14"/>
  <c r="D33" i="14"/>
  <c r="C33" i="14"/>
  <c r="U32" i="14"/>
  <c r="T32" i="14"/>
  <c r="S32" i="14"/>
  <c r="R32" i="14"/>
  <c r="Q32" i="14"/>
  <c r="P32" i="14"/>
  <c r="O32" i="14"/>
  <c r="N32" i="14"/>
  <c r="M32" i="14"/>
  <c r="L32" i="14"/>
  <c r="K32" i="14"/>
  <c r="J32" i="14"/>
  <c r="I32" i="14"/>
  <c r="H32" i="14"/>
  <c r="G32" i="14"/>
  <c r="F32" i="14"/>
  <c r="E32" i="14"/>
  <c r="D32" i="14"/>
  <c r="C32" i="14"/>
  <c r="U31" i="14"/>
  <c r="T31" i="14"/>
  <c r="S31" i="14"/>
  <c r="R31" i="14"/>
  <c r="Q31" i="14"/>
  <c r="P31" i="14"/>
  <c r="O31" i="14"/>
  <c r="N31" i="14"/>
  <c r="M31" i="14"/>
  <c r="L31" i="14"/>
  <c r="K31" i="14"/>
  <c r="J31" i="14"/>
  <c r="I31" i="14"/>
  <c r="H31" i="14"/>
  <c r="G31" i="14"/>
  <c r="F31" i="14"/>
  <c r="E31" i="14"/>
  <c r="E37" i="14" s="1"/>
  <c r="D31" i="14"/>
  <c r="C31" i="14"/>
  <c r="U29" i="14"/>
  <c r="S29" i="14"/>
  <c r="R29" i="14"/>
  <c r="Q29" i="14"/>
  <c r="P29" i="14"/>
  <c r="O29" i="14"/>
  <c r="N29" i="14"/>
  <c r="M29" i="14"/>
  <c r="L29" i="14"/>
  <c r="K29" i="14"/>
  <c r="J29" i="14"/>
  <c r="I29" i="14"/>
  <c r="H29" i="14"/>
  <c r="G29" i="14"/>
  <c r="F29" i="14"/>
  <c r="E29" i="14"/>
  <c r="D29" i="14"/>
  <c r="C29" i="14"/>
  <c r="U24" i="14"/>
  <c r="S24" i="14"/>
  <c r="R24" i="14"/>
  <c r="Q24" i="14"/>
  <c r="P24" i="14"/>
  <c r="O24" i="14"/>
  <c r="N24" i="14"/>
  <c r="M24" i="14"/>
  <c r="L24" i="14"/>
  <c r="U19" i="14"/>
  <c r="S19" i="14"/>
  <c r="R19" i="14"/>
  <c r="Q19" i="14"/>
  <c r="P19" i="14"/>
  <c r="O19" i="14"/>
  <c r="N19" i="14"/>
  <c r="M19" i="14"/>
  <c r="L19" i="14"/>
  <c r="K19" i="14"/>
  <c r="J19" i="14"/>
  <c r="I19" i="14"/>
  <c r="H19" i="14"/>
  <c r="G19" i="14"/>
  <c r="F19" i="14"/>
  <c r="E19" i="14"/>
  <c r="D19" i="14"/>
  <c r="C19" i="14"/>
  <c r="U14" i="14"/>
  <c r="S14" i="14"/>
  <c r="R14" i="14"/>
  <c r="Q14" i="14"/>
  <c r="P14" i="14"/>
  <c r="O14" i="14"/>
  <c r="N14" i="14"/>
  <c r="M14" i="14"/>
  <c r="L14" i="14"/>
  <c r="K14" i="14"/>
  <c r="J14" i="14"/>
  <c r="I14" i="14"/>
  <c r="H14" i="14"/>
  <c r="G14" i="14"/>
  <c r="U9" i="14"/>
  <c r="S9" i="14"/>
  <c r="R9" i="14"/>
  <c r="Q9" i="14"/>
  <c r="P9" i="14"/>
  <c r="O9" i="14"/>
  <c r="N9" i="14"/>
  <c r="M9" i="14"/>
  <c r="L9" i="14"/>
  <c r="K9" i="14"/>
  <c r="J9" i="14"/>
  <c r="I9" i="14"/>
  <c r="H9" i="14"/>
  <c r="G9" i="14"/>
  <c r="F9" i="14"/>
  <c r="E9" i="14"/>
  <c r="D9" i="14"/>
  <c r="C9" i="14"/>
  <c r="W37" i="13"/>
  <c r="V37" i="13"/>
  <c r="U37" i="13"/>
  <c r="Q37" i="13"/>
  <c r="P37" i="13"/>
  <c r="O37" i="13"/>
  <c r="N37" i="13"/>
  <c r="M37" i="13"/>
  <c r="L37" i="13"/>
  <c r="K37" i="13"/>
  <c r="J37" i="13"/>
  <c r="I37" i="13"/>
  <c r="H37" i="13"/>
  <c r="G37" i="13"/>
  <c r="F37" i="13"/>
  <c r="E37" i="13"/>
  <c r="D37" i="13"/>
  <c r="C37" i="13"/>
  <c r="Z36" i="13"/>
  <c r="Y36" i="13"/>
  <c r="X36" i="13"/>
  <c r="Z35" i="13"/>
  <c r="Y35" i="13"/>
  <c r="X35" i="13"/>
  <c r="Z34" i="13"/>
  <c r="Y34" i="13"/>
  <c r="X34" i="13"/>
  <c r="Z33" i="13"/>
  <c r="Y33" i="13"/>
  <c r="X33" i="13"/>
  <c r="Z32" i="13"/>
  <c r="Y32" i="13"/>
  <c r="X32" i="13"/>
  <c r="Z31" i="13"/>
  <c r="Y31" i="13"/>
  <c r="X31" i="13"/>
  <c r="Z29" i="13"/>
  <c r="Y29" i="13"/>
  <c r="X29" i="13"/>
  <c r="BD28" i="13"/>
  <c r="BC28" i="13"/>
  <c r="BC29" i="13" s="1"/>
  <c r="BB28" i="13"/>
  <c r="BA28" i="13"/>
  <c r="AZ28" i="13"/>
  <c r="AY28" i="13"/>
  <c r="AX28" i="13"/>
  <c r="AW28" i="13"/>
  <c r="AV28" i="13"/>
  <c r="AV29" i="13" s="1"/>
  <c r="AU28" i="13"/>
  <c r="AU34" i="13" s="1"/>
  <c r="AT28" i="13"/>
  <c r="AS28" i="13"/>
  <c r="AR28" i="13"/>
  <c r="AQ28" i="13"/>
  <c r="AP28" i="13"/>
  <c r="AO28" i="13"/>
  <c r="AN28" i="13"/>
  <c r="AM28" i="13"/>
  <c r="AM29" i="13" s="1"/>
  <c r="AL28" i="13"/>
  <c r="AK28" i="13"/>
  <c r="AJ28" i="13"/>
  <c r="AI28" i="13"/>
  <c r="AH28" i="13"/>
  <c r="AG28" i="13"/>
  <c r="AF28" i="13"/>
  <c r="AE28" i="13"/>
  <c r="AD28" i="13"/>
  <c r="AC28" i="13"/>
  <c r="AB28" i="13"/>
  <c r="AA28" i="13"/>
  <c r="BD27" i="13"/>
  <c r="BC27" i="13"/>
  <c r="BB27" i="13"/>
  <c r="BA27" i="13"/>
  <c r="AZ27" i="13"/>
  <c r="AY27" i="13"/>
  <c r="AX27" i="13"/>
  <c r="AW27" i="13"/>
  <c r="AV27" i="13"/>
  <c r="AU27" i="13"/>
  <c r="AT27" i="13"/>
  <c r="AT29" i="13" s="1"/>
  <c r="AS27" i="13"/>
  <c r="AR27" i="13"/>
  <c r="AQ27" i="13"/>
  <c r="AP27" i="13"/>
  <c r="AO27" i="13"/>
  <c r="AN27" i="13"/>
  <c r="AM27" i="13"/>
  <c r="AL27" i="13"/>
  <c r="AK27" i="13"/>
  <c r="AJ27" i="13"/>
  <c r="AI27" i="13"/>
  <c r="AH27" i="13"/>
  <c r="AG27" i="13"/>
  <c r="AF27" i="13"/>
  <c r="AE27" i="13"/>
  <c r="AD27" i="13"/>
  <c r="AD33" i="13" s="1"/>
  <c r="AC27" i="13"/>
  <c r="AB27" i="13"/>
  <c r="AA27" i="13"/>
  <c r="BD26" i="13"/>
  <c r="BC26" i="13"/>
  <c r="BB26" i="13"/>
  <c r="BA26" i="13"/>
  <c r="BA32" i="13" s="1"/>
  <c r="AZ26" i="13"/>
  <c r="AZ29" i="13" s="1"/>
  <c r="AY26" i="13"/>
  <c r="AX26" i="13"/>
  <c r="AW26" i="13"/>
  <c r="AV26" i="13"/>
  <c r="AU26" i="13"/>
  <c r="AT26" i="13"/>
  <c r="AS26" i="13"/>
  <c r="AR26" i="13"/>
  <c r="AQ26" i="13"/>
  <c r="AP26" i="13"/>
  <c r="AO26" i="13"/>
  <c r="AN26" i="13"/>
  <c r="AM26" i="13"/>
  <c r="AL26" i="13"/>
  <c r="AK26" i="13"/>
  <c r="AJ26" i="13"/>
  <c r="AI26" i="13"/>
  <c r="AH26" i="13"/>
  <c r="AH29" i="13" s="1"/>
  <c r="AG26" i="13"/>
  <c r="AF26" i="13"/>
  <c r="AE26" i="13"/>
  <c r="AD26" i="13"/>
  <c r="AC26" i="13"/>
  <c r="AB26" i="13"/>
  <c r="AA26" i="13"/>
  <c r="BD23" i="13"/>
  <c r="BC23" i="13"/>
  <c r="BB23" i="13"/>
  <c r="BA23" i="13"/>
  <c r="AZ23" i="13"/>
  <c r="AY23" i="13"/>
  <c r="AX23" i="13"/>
  <c r="AW23" i="13"/>
  <c r="AV23" i="13"/>
  <c r="AU23" i="13"/>
  <c r="AT23" i="13"/>
  <c r="AS23" i="13"/>
  <c r="AR23" i="13"/>
  <c r="AQ23" i="13"/>
  <c r="AP23" i="13"/>
  <c r="AO23" i="13"/>
  <c r="AN23" i="13"/>
  <c r="AM23" i="13"/>
  <c r="AL23" i="13"/>
  <c r="AK23" i="13"/>
  <c r="AJ23" i="13"/>
  <c r="AI23" i="13"/>
  <c r="AH23" i="13"/>
  <c r="AG23" i="13"/>
  <c r="AF23" i="13"/>
  <c r="AE23" i="13"/>
  <c r="AD23" i="13"/>
  <c r="AC23" i="13"/>
  <c r="AB23" i="13"/>
  <c r="AA23" i="13"/>
  <c r="BD22" i="13"/>
  <c r="BC22" i="13"/>
  <c r="BB22" i="13"/>
  <c r="BB24" i="13" s="1"/>
  <c r="BA22" i="13"/>
  <c r="AZ22" i="13"/>
  <c r="AY22" i="13"/>
  <c r="AX22" i="13"/>
  <c r="AW22" i="13"/>
  <c r="AV22" i="13"/>
  <c r="AU22" i="13"/>
  <c r="AT22" i="13"/>
  <c r="AS22" i="13"/>
  <c r="AR22" i="13"/>
  <c r="AQ22" i="13"/>
  <c r="AP22" i="13"/>
  <c r="AO22" i="13"/>
  <c r="AN22" i="13"/>
  <c r="AM22" i="13"/>
  <c r="AL22" i="13"/>
  <c r="AK22" i="13"/>
  <c r="AK24" i="13" s="1"/>
  <c r="AJ22" i="13"/>
  <c r="AI22" i="13"/>
  <c r="AH22" i="13"/>
  <c r="AG22" i="13"/>
  <c r="AF22" i="13"/>
  <c r="AE22" i="13"/>
  <c r="AD22" i="13"/>
  <c r="AC22" i="13"/>
  <c r="AB22" i="13"/>
  <c r="AB32" i="13" s="1"/>
  <c r="AA22" i="13"/>
  <c r="BD21" i="13"/>
  <c r="BD24" i="13" s="1"/>
  <c r="BC21" i="13"/>
  <c r="BB21" i="13"/>
  <c r="BA21" i="13"/>
  <c r="BA24" i="13" s="1"/>
  <c r="AZ21" i="13"/>
  <c r="AY21" i="13"/>
  <c r="AX21" i="13"/>
  <c r="AX24" i="13" s="1"/>
  <c r="AW21" i="13"/>
  <c r="AV21" i="13"/>
  <c r="AV24" i="13" s="1"/>
  <c r="AU21" i="13"/>
  <c r="AU24" i="13" s="1"/>
  <c r="AT21" i="13"/>
  <c r="AS21" i="13"/>
  <c r="AR21" i="13"/>
  <c r="AQ21" i="13"/>
  <c r="AP21" i="13"/>
  <c r="AP24" i="13" s="1"/>
  <c r="AO21" i="13"/>
  <c r="AO24" i="13" s="1"/>
  <c r="AN21" i="13"/>
  <c r="AN24" i="13" s="1"/>
  <c r="AM21" i="13"/>
  <c r="AM24" i="13" s="1"/>
  <c r="AL21" i="13"/>
  <c r="AK21" i="13"/>
  <c r="AJ21" i="13"/>
  <c r="AI21" i="13"/>
  <c r="AH21" i="13"/>
  <c r="AH24" i="13" s="1"/>
  <c r="AG21" i="13"/>
  <c r="AG24" i="13" s="1"/>
  <c r="AF21" i="13"/>
  <c r="AE21" i="13"/>
  <c r="AD21" i="13"/>
  <c r="AC21" i="13"/>
  <c r="AB21" i="13"/>
  <c r="AA21" i="13"/>
  <c r="Z19" i="13"/>
  <c r="Y19" i="13"/>
  <c r="X19" i="13"/>
  <c r="BD18" i="13"/>
  <c r="BC18" i="13"/>
  <c r="BB18" i="13"/>
  <c r="BA18" i="13"/>
  <c r="AZ18" i="13"/>
  <c r="AZ33" i="13" s="1"/>
  <c r="AY18" i="13"/>
  <c r="AX18" i="13"/>
  <c r="AX33" i="13" s="1"/>
  <c r="AW18" i="13"/>
  <c r="AV18" i="13"/>
  <c r="AU18" i="13"/>
  <c r="AU33" i="13" s="1"/>
  <c r="AT18" i="13"/>
  <c r="AS18" i="13"/>
  <c r="AR18" i="13"/>
  <c r="AQ18" i="13"/>
  <c r="AP18" i="13"/>
  <c r="AP33" i="13" s="1"/>
  <c r="AO18" i="13"/>
  <c r="AO33" i="13" s="1"/>
  <c r="AN18" i="13"/>
  <c r="AM18" i="13"/>
  <c r="AL18" i="13"/>
  <c r="AK18" i="13"/>
  <c r="AJ18" i="13"/>
  <c r="AJ33" i="13" s="1"/>
  <c r="AI18" i="13"/>
  <c r="AH18" i="13"/>
  <c r="AH33" i="13" s="1"/>
  <c r="AG18" i="13"/>
  <c r="AG33" i="13" s="1"/>
  <c r="AF18" i="13"/>
  <c r="AE18" i="13"/>
  <c r="AE33" i="13" s="1"/>
  <c r="AD18" i="13"/>
  <c r="AC18" i="13"/>
  <c r="AB18" i="13"/>
  <c r="AA18" i="13"/>
  <c r="BD17" i="13"/>
  <c r="BC17" i="13"/>
  <c r="BB17" i="13"/>
  <c r="BA17" i="13"/>
  <c r="AZ17" i="13"/>
  <c r="AY17" i="13"/>
  <c r="AX17" i="13"/>
  <c r="AW17" i="13"/>
  <c r="AV17" i="13"/>
  <c r="AU17" i="13"/>
  <c r="AT17" i="13"/>
  <c r="AS17" i="13"/>
  <c r="AR17" i="13"/>
  <c r="AQ17" i="13"/>
  <c r="AP17" i="13"/>
  <c r="AO17" i="13"/>
  <c r="AN17" i="13"/>
  <c r="AM17" i="13"/>
  <c r="AL17" i="13"/>
  <c r="AK17" i="13"/>
  <c r="AJ17" i="13"/>
  <c r="AI17" i="13"/>
  <c r="AH17" i="13"/>
  <c r="AG17" i="13"/>
  <c r="AF17" i="13"/>
  <c r="AE17" i="13"/>
  <c r="AD17" i="13"/>
  <c r="AC17" i="13"/>
  <c r="AB17" i="13"/>
  <c r="AA17" i="13"/>
  <c r="BD16" i="13"/>
  <c r="BC16" i="13"/>
  <c r="BC19" i="13" s="1"/>
  <c r="BB16" i="13"/>
  <c r="BA16" i="13"/>
  <c r="BA19" i="13" s="1"/>
  <c r="AZ16" i="13"/>
  <c r="AY16" i="13"/>
  <c r="AX16" i="13"/>
  <c r="AX19" i="13" s="1"/>
  <c r="AW16" i="13"/>
  <c r="AV16" i="13"/>
  <c r="AU16" i="13"/>
  <c r="AU19" i="13" s="1"/>
  <c r="AT16" i="13"/>
  <c r="AS16" i="13"/>
  <c r="AR16" i="13"/>
  <c r="AQ16" i="13"/>
  <c r="AQ19" i="13"/>
  <c r="AP16" i="13"/>
  <c r="AP19" i="13"/>
  <c r="AO16" i="13"/>
  <c r="AN16" i="13"/>
  <c r="AM16" i="13"/>
  <c r="AL16" i="13"/>
  <c r="AK16" i="13"/>
  <c r="AJ16" i="13"/>
  <c r="AI16" i="13"/>
  <c r="AH16" i="13"/>
  <c r="AH19" i="13"/>
  <c r="AG16" i="13"/>
  <c r="AF16" i="13"/>
  <c r="AE16" i="13"/>
  <c r="AD16" i="13"/>
  <c r="AC16" i="13"/>
  <c r="AC19" i="13" s="1"/>
  <c r="AB16" i="13"/>
  <c r="AA16" i="13"/>
  <c r="AA19" i="13"/>
  <c r="Z14" i="13"/>
  <c r="Y14" i="13"/>
  <c r="X14" i="13"/>
  <c r="BD13" i="13"/>
  <c r="BD36" i="13"/>
  <c r="BC13" i="13"/>
  <c r="BC36" i="13"/>
  <c r="BB13" i="13"/>
  <c r="BB36" i="13" s="1"/>
  <c r="BA13" i="13"/>
  <c r="BA36" i="13" s="1"/>
  <c r="AZ13" i="13"/>
  <c r="AZ36" i="13"/>
  <c r="AY13" i="13"/>
  <c r="AY36" i="13" s="1"/>
  <c r="AX13" i="13"/>
  <c r="AX36" i="13"/>
  <c r="AW13" i="13"/>
  <c r="AW36" i="13" s="1"/>
  <c r="AV13" i="13"/>
  <c r="AV36" i="13" s="1"/>
  <c r="AU13" i="13"/>
  <c r="AU36" i="13" s="1"/>
  <c r="AT13" i="13"/>
  <c r="AT36" i="13"/>
  <c r="AS13" i="13"/>
  <c r="AR13" i="13"/>
  <c r="AR36" i="13" s="1"/>
  <c r="AQ13" i="13"/>
  <c r="AQ36" i="13" s="1"/>
  <c r="AP13" i="13"/>
  <c r="AP36" i="13" s="1"/>
  <c r="AO13" i="13"/>
  <c r="AO36" i="13" s="1"/>
  <c r="AN13" i="13"/>
  <c r="AN36" i="13" s="1"/>
  <c r="AM13" i="13"/>
  <c r="AM36" i="13" s="1"/>
  <c r="AL13" i="13"/>
  <c r="AL36" i="13"/>
  <c r="AK13" i="13"/>
  <c r="AK36" i="13" s="1"/>
  <c r="AJ13" i="13"/>
  <c r="AJ36" i="13" s="1"/>
  <c r="AI13" i="13"/>
  <c r="AH13" i="13"/>
  <c r="AH36" i="13" s="1"/>
  <c r="AG13" i="13"/>
  <c r="AG36" i="13"/>
  <c r="AF13" i="13"/>
  <c r="AF36" i="13"/>
  <c r="AE13" i="13"/>
  <c r="AE36" i="13" s="1"/>
  <c r="AD13" i="13"/>
  <c r="AD36" i="13" s="1"/>
  <c r="AC13" i="13"/>
  <c r="AC36" i="13" s="1"/>
  <c r="AB13" i="13"/>
  <c r="AB36" i="13" s="1"/>
  <c r="AA13" i="13"/>
  <c r="AA36" i="13" s="1"/>
  <c r="BD12" i="13"/>
  <c r="BD35" i="13" s="1"/>
  <c r="BC12" i="13"/>
  <c r="BC35" i="13" s="1"/>
  <c r="BB12" i="13"/>
  <c r="BB35" i="13" s="1"/>
  <c r="BA12" i="13"/>
  <c r="BA35" i="13" s="1"/>
  <c r="AZ12" i="13"/>
  <c r="AZ35" i="13" s="1"/>
  <c r="AY12" i="13"/>
  <c r="AY35" i="13"/>
  <c r="AX12" i="13"/>
  <c r="AW12" i="13"/>
  <c r="AW35" i="13" s="1"/>
  <c r="AV12" i="13"/>
  <c r="AV35" i="13" s="1"/>
  <c r="AU12" i="13"/>
  <c r="AU35" i="13"/>
  <c r="AT12" i="13"/>
  <c r="AT35" i="13" s="1"/>
  <c r="AS12" i="13"/>
  <c r="AS35" i="13" s="1"/>
  <c r="AR12" i="13"/>
  <c r="AR35" i="13" s="1"/>
  <c r="AQ12" i="13"/>
  <c r="AQ35" i="13" s="1"/>
  <c r="AP12" i="13"/>
  <c r="AO12" i="13"/>
  <c r="AO35" i="13"/>
  <c r="AN12" i="13"/>
  <c r="AN35" i="13" s="1"/>
  <c r="AM12" i="13"/>
  <c r="AL12" i="13"/>
  <c r="AL35" i="13" s="1"/>
  <c r="AK12" i="13"/>
  <c r="AK35" i="13" s="1"/>
  <c r="AJ12" i="13"/>
  <c r="AJ35" i="13" s="1"/>
  <c r="AI12" i="13"/>
  <c r="AI35" i="13" s="1"/>
  <c r="AH12" i="13"/>
  <c r="AG12" i="13"/>
  <c r="AG35" i="13" s="1"/>
  <c r="AF12" i="13"/>
  <c r="AF35" i="13" s="1"/>
  <c r="AE12" i="13"/>
  <c r="AE35" i="13" s="1"/>
  <c r="AD12" i="13"/>
  <c r="AD35" i="13" s="1"/>
  <c r="AC12" i="13"/>
  <c r="AB12" i="13"/>
  <c r="AB35" i="13" s="1"/>
  <c r="AA12" i="13"/>
  <c r="AA35" i="13" s="1"/>
  <c r="BD11" i="13"/>
  <c r="BC11" i="13"/>
  <c r="BC14" i="13" s="1"/>
  <c r="BB11" i="13"/>
  <c r="BA11" i="13"/>
  <c r="AZ11" i="13"/>
  <c r="AY11" i="13"/>
  <c r="AX11" i="13"/>
  <c r="AW11" i="13"/>
  <c r="AV11" i="13"/>
  <c r="AU11" i="13"/>
  <c r="AU14" i="13" s="1"/>
  <c r="AT11" i="13"/>
  <c r="AS11" i="13"/>
  <c r="AR11" i="13"/>
  <c r="AQ11" i="13"/>
  <c r="AQ14" i="13" s="1"/>
  <c r="AP11" i="13"/>
  <c r="AO11" i="13"/>
  <c r="AN11" i="13"/>
  <c r="AM11" i="13"/>
  <c r="AL11" i="13"/>
  <c r="AK11" i="13"/>
  <c r="AK14" i="13"/>
  <c r="AJ11" i="13"/>
  <c r="AI11" i="13"/>
  <c r="AH11" i="13"/>
  <c r="AG11" i="13"/>
  <c r="AF11" i="13"/>
  <c r="AE11" i="13"/>
  <c r="AE14" i="13"/>
  <c r="AD11" i="13"/>
  <c r="AC11" i="13"/>
  <c r="AB11" i="13"/>
  <c r="AA11" i="13"/>
  <c r="Z9" i="13"/>
  <c r="Y9" i="13"/>
  <c r="X9" i="13"/>
  <c r="BD8" i="13"/>
  <c r="BD34" i="13" s="1"/>
  <c r="BC8" i="13"/>
  <c r="BC34" i="13" s="1"/>
  <c r="BB8" i="13"/>
  <c r="BB34" i="13" s="1"/>
  <c r="BA8" i="13"/>
  <c r="AZ8" i="13"/>
  <c r="AZ34" i="13"/>
  <c r="AY8" i="13"/>
  <c r="AY34" i="13"/>
  <c r="AX8" i="13"/>
  <c r="AX34" i="13" s="1"/>
  <c r="AW8" i="13"/>
  <c r="AW34" i="13" s="1"/>
  <c r="AV8" i="13"/>
  <c r="AV34" i="13" s="1"/>
  <c r="AU8" i="13"/>
  <c r="AT8" i="13"/>
  <c r="AS8" i="13"/>
  <c r="AR8" i="13"/>
  <c r="AQ8" i="13"/>
  <c r="AP8" i="13"/>
  <c r="AO8" i="13"/>
  <c r="AO34" i="13" s="1"/>
  <c r="AN8" i="13"/>
  <c r="AN34" i="13" s="1"/>
  <c r="AM8" i="13"/>
  <c r="AL8" i="13"/>
  <c r="AL34" i="13" s="1"/>
  <c r="AK8" i="13"/>
  <c r="AJ8" i="13"/>
  <c r="AJ34" i="13" s="1"/>
  <c r="AI8" i="13"/>
  <c r="AI34" i="13" s="1"/>
  <c r="AH8" i="13"/>
  <c r="AH34" i="13" s="1"/>
  <c r="AG8" i="13"/>
  <c r="AG34" i="13" s="1"/>
  <c r="AF8" i="13"/>
  <c r="AF34" i="13" s="1"/>
  <c r="AE8" i="13"/>
  <c r="AD8" i="13"/>
  <c r="AD34" i="13" s="1"/>
  <c r="AC8" i="13"/>
  <c r="AB8" i="13"/>
  <c r="AB34" i="13" s="1"/>
  <c r="AA8" i="13"/>
  <c r="AA34" i="13"/>
  <c r="BD7" i="13"/>
  <c r="BC7" i="13"/>
  <c r="BB7" i="13"/>
  <c r="BA7" i="13"/>
  <c r="AZ7" i="13"/>
  <c r="AY7" i="13"/>
  <c r="AY32" i="13"/>
  <c r="AX7" i="13"/>
  <c r="AX32" i="13" s="1"/>
  <c r="AW7" i="13"/>
  <c r="AV7" i="13"/>
  <c r="AU7" i="13"/>
  <c r="AT7" i="13"/>
  <c r="AS7" i="13"/>
  <c r="AS32" i="13"/>
  <c r="AR7" i="13"/>
  <c r="AQ7" i="13"/>
  <c r="AP7" i="13"/>
  <c r="AO7" i="13"/>
  <c r="AN7" i="13"/>
  <c r="AM7" i="13"/>
  <c r="AL7" i="13"/>
  <c r="AK7" i="13"/>
  <c r="AJ7" i="13"/>
  <c r="AJ32" i="13" s="1"/>
  <c r="AI7" i="13"/>
  <c r="AI32" i="13" s="1"/>
  <c r="AH7" i="13"/>
  <c r="AG7" i="13"/>
  <c r="AF7" i="13"/>
  <c r="AE7" i="13"/>
  <c r="AD7" i="13"/>
  <c r="AC7" i="13"/>
  <c r="AB7" i="13"/>
  <c r="AA7" i="13"/>
  <c r="BD6" i="13"/>
  <c r="BC6" i="13"/>
  <c r="BB6" i="13"/>
  <c r="BB31" i="13"/>
  <c r="BA6" i="13"/>
  <c r="AZ6" i="13"/>
  <c r="AY6" i="13"/>
  <c r="AX6" i="13"/>
  <c r="AW6" i="13"/>
  <c r="AW9" i="13"/>
  <c r="AV6" i="13"/>
  <c r="AU6" i="13"/>
  <c r="AT6" i="13"/>
  <c r="AS6" i="13"/>
  <c r="AS31" i="13" s="1"/>
  <c r="AR6" i="13"/>
  <c r="AQ6" i="13"/>
  <c r="AP6" i="13"/>
  <c r="AO6" i="13"/>
  <c r="AO9" i="13" s="1"/>
  <c r="AN6" i="13"/>
  <c r="AM6" i="13"/>
  <c r="AM31" i="13" s="1"/>
  <c r="AL6" i="13"/>
  <c r="AL31" i="13" s="1"/>
  <c r="AK6" i="13"/>
  <c r="AK31" i="13" s="1"/>
  <c r="AJ6" i="13"/>
  <c r="AI6" i="13"/>
  <c r="AI9" i="13" s="1"/>
  <c r="AH6" i="13"/>
  <c r="AG6" i="13"/>
  <c r="AF6" i="13"/>
  <c r="AF31" i="13" s="1"/>
  <c r="AE6" i="13"/>
  <c r="AE31" i="13" s="1"/>
  <c r="AD6" i="13"/>
  <c r="AD31" i="13" s="1"/>
  <c r="AC6" i="13"/>
  <c r="AB6" i="13"/>
  <c r="AA6" i="13"/>
  <c r="AA9" i="13"/>
  <c r="AU106" i="12"/>
  <c r="BD105" i="12"/>
  <c r="BD106" i="12" s="1"/>
  <c r="BC105" i="12"/>
  <c r="BB105" i="12"/>
  <c r="BA105" i="12"/>
  <c r="AZ105" i="12"/>
  <c r="AY105" i="12"/>
  <c r="AX105" i="12"/>
  <c r="AW105" i="12"/>
  <c r="AW106" i="12" s="1"/>
  <c r="AV105" i="12"/>
  <c r="AV106" i="12" s="1"/>
  <c r="AU105" i="12"/>
  <c r="AT105" i="12"/>
  <c r="AS105" i="12"/>
  <c r="AR105" i="12"/>
  <c r="AQ105" i="12"/>
  <c r="AP105" i="12"/>
  <c r="AO105" i="12"/>
  <c r="AN105" i="12"/>
  <c r="AM105" i="12"/>
  <c r="AL105" i="12"/>
  <c r="AK105" i="12"/>
  <c r="AJ105" i="12"/>
  <c r="AI105" i="12"/>
  <c r="AH105" i="12"/>
  <c r="AG105" i="12"/>
  <c r="AF105" i="12"/>
  <c r="AE105" i="12"/>
  <c r="AD105" i="12"/>
  <c r="AC105" i="12"/>
  <c r="AB105" i="12"/>
  <c r="AA105" i="12"/>
  <c r="Z105" i="12"/>
  <c r="Y105" i="12"/>
  <c r="X105" i="12"/>
  <c r="W105" i="12"/>
  <c r="V105" i="12"/>
  <c r="U105" i="12"/>
  <c r="T105" i="12"/>
  <c r="S105" i="12"/>
  <c r="R105" i="12"/>
  <c r="Q105" i="12"/>
  <c r="P105" i="12"/>
  <c r="O105" i="12"/>
  <c r="N105" i="12"/>
  <c r="M105" i="12"/>
  <c r="L105" i="12"/>
  <c r="K105" i="12"/>
  <c r="K106" i="12" s="1"/>
  <c r="J105" i="12"/>
  <c r="I105" i="12"/>
  <c r="H105" i="12"/>
  <c r="G105" i="12"/>
  <c r="F105" i="12"/>
  <c r="E105" i="12"/>
  <c r="D105" i="12"/>
  <c r="C105" i="12"/>
  <c r="BD100" i="12"/>
  <c r="BC100" i="12"/>
  <c r="BB100" i="12"/>
  <c r="BA100" i="12"/>
  <c r="AZ100" i="12"/>
  <c r="AY100" i="12"/>
  <c r="AX100" i="12"/>
  <c r="AU100" i="12"/>
  <c r="AT100" i="12"/>
  <c r="AS100" i="12"/>
  <c r="AR100" i="12"/>
  <c r="AQ100" i="12"/>
  <c r="AP100" i="12"/>
  <c r="AO100" i="12"/>
  <c r="AN100" i="12"/>
  <c r="AM100" i="12"/>
  <c r="AL100" i="12"/>
  <c r="AK100" i="12"/>
  <c r="AJ100" i="12"/>
  <c r="AI100" i="12"/>
  <c r="AH100" i="12"/>
  <c r="AG100" i="12"/>
  <c r="AF100" i="12"/>
  <c r="AF106" i="12" s="1"/>
  <c r="AE100" i="12"/>
  <c r="AD100" i="12"/>
  <c r="AC100" i="12"/>
  <c r="AB100" i="12"/>
  <c r="AA100" i="12"/>
  <c r="Z100" i="12"/>
  <c r="Y100" i="12"/>
  <c r="X100" i="12"/>
  <c r="W100" i="12"/>
  <c r="V100" i="12"/>
  <c r="U100" i="12"/>
  <c r="T100" i="12"/>
  <c r="S100" i="12"/>
  <c r="R100" i="12"/>
  <c r="Q100" i="12"/>
  <c r="P100" i="12"/>
  <c r="P106" i="12" s="1"/>
  <c r="O100" i="12"/>
  <c r="O106" i="12" s="1"/>
  <c r="N100" i="12"/>
  <c r="M100" i="12"/>
  <c r="L100" i="12"/>
  <c r="K100" i="12"/>
  <c r="J100" i="12"/>
  <c r="I100" i="12"/>
  <c r="H100" i="12"/>
  <c r="G100" i="12"/>
  <c r="F100" i="12"/>
  <c r="E100" i="12"/>
  <c r="D100" i="12"/>
  <c r="C100" i="12"/>
  <c r="BD91" i="12"/>
  <c r="BC91" i="12"/>
  <c r="BB91" i="12"/>
  <c r="BB106" i="12" s="1"/>
  <c r="BA91" i="12"/>
  <c r="AZ91" i="12"/>
  <c r="AY91" i="12"/>
  <c r="AX91" i="12"/>
  <c r="AU91" i="12"/>
  <c r="AT91" i="12"/>
  <c r="AS91" i="12"/>
  <c r="AR91" i="12"/>
  <c r="AQ91" i="12"/>
  <c r="AP91" i="12"/>
  <c r="AO91" i="12"/>
  <c r="AN91" i="12"/>
  <c r="AM91" i="12"/>
  <c r="AL91" i="12"/>
  <c r="AK91" i="12"/>
  <c r="AJ91" i="12"/>
  <c r="AI91" i="12"/>
  <c r="AH91" i="12"/>
  <c r="AG91" i="12"/>
  <c r="AF91" i="12"/>
  <c r="AE91" i="12"/>
  <c r="AD91" i="12"/>
  <c r="AC91" i="12"/>
  <c r="AB91" i="12"/>
  <c r="AA91" i="12"/>
  <c r="Z91" i="12"/>
  <c r="Y91" i="12"/>
  <c r="X91" i="12"/>
  <c r="W91" i="12"/>
  <c r="V91" i="12"/>
  <c r="U91" i="12"/>
  <c r="T91" i="12"/>
  <c r="S91" i="12"/>
  <c r="R91" i="12"/>
  <c r="Q91" i="12"/>
  <c r="P91" i="12"/>
  <c r="O91" i="12"/>
  <c r="N91" i="12"/>
  <c r="N106" i="12" s="1"/>
  <c r="M91" i="12"/>
  <c r="L91" i="12"/>
  <c r="K91" i="12"/>
  <c r="J91" i="12"/>
  <c r="I91" i="12"/>
  <c r="H91" i="12"/>
  <c r="G91" i="12"/>
  <c r="F91" i="12"/>
  <c r="E91" i="12"/>
  <c r="D91" i="12"/>
  <c r="C91" i="12"/>
  <c r="BD83" i="12"/>
  <c r="BC83" i="12"/>
  <c r="BB83" i="12"/>
  <c r="BA83" i="12"/>
  <c r="AZ83" i="12"/>
  <c r="AY83" i="12"/>
  <c r="AX83" i="12"/>
  <c r="AW83" i="12"/>
  <c r="AW84" i="12" s="1"/>
  <c r="AV83" i="12"/>
  <c r="AV84" i="12"/>
  <c r="AU83" i="12"/>
  <c r="AT83" i="12"/>
  <c r="AS83" i="12"/>
  <c r="AR83" i="12"/>
  <c r="AQ83" i="12"/>
  <c r="AP83" i="12"/>
  <c r="AO83" i="12"/>
  <c r="AN83" i="12"/>
  <c r="AM83" i="12"/>
  <c r="AL83" i="12"/>
  <c r="AK83" i="12"/>
  <c r="AJ83" i="12"/>
  <c r="AI83" i="12"/>
  <c r="AH83" i="12"/>
  <c r="AG83" i="12"/>
  <c r="AF83" i="12"/>
  <c r="AE83" i="12"/>
  <c r="AD83" i="12"/>
  <c r="AC83" i="12"/>
  <c r="AB83" i="12"/>
  <c r="BD79" i="12"/>
  <c r="BC79" i="12"/>
  <c r="BB79" i="12"/>
  <c r="BA79" i="12"/>
  <c r="AZ79" i="12"/>
  <c r="AY79" i="12"/>
  <c r="AY84" i="12" s="1"/>
  <c r="AX79" i="12"/>
  <c r="AU79" i="12"/>
  <c r="AT79" i="12"/>
  <c r="AS79" i="12"/>
  <c r="AR79" i="12"/>
  <c r="AQ79" i="12"/>
  <c r="AP79" i="12"/>
  <c r="AO79" i="12"/>
  <c r="AN79" i="12"/>
  <c r="AM79" i="12"/>
  <c r="AL79" i="12"/>
  <c r="AK79" i="12"/>
  <c r="AJ79" i="12"/>
  <c r="AI79" i="12"/>
  <c r="AH79" i="12"/>
  <c r="AG79" i="12"/>
  <c r="AF79" i="12"/>
  <c r="AE79" i="12"/>
  <c r="AD79" i="12"/>
  <c r="AC79" i="12"/>
  <c r="AB79" i="12"/>
  <c r="BD75" i="12"/>
  <c r="BC75" i="12"/>
  <c r="BB75" i="12"/>
  <c r="BA75" i="12"/>
  <c r="AZ75" i="12"/>
  <c r="AY75" i="12"/>
  <c r="AX75" i="12"/>
  <c r="AU75" i="12"/>
  <c r="AT75" i="12"/>
  <c r="AS75" i="12"/>
  <c r="AR75" i="12"/>
  <c r="AQ75" i="12"/>
  <c r="AP75" i="12"/>
  <c r="AO75" i="12"/>
  <c r="AN75" i="12"/>
  <c r="AM75" i="12"/>
  <c r="AL75" i="12"/>
  <c r="AK75" i="12"/>
  <c r="AJ75" i="12"/>
  <c r="AI75" i="12"/>
  <c r="AH75" i="12"/>
  <c r="AG75" i="12"/>
  <c r="AF75" i="12"/>
  <c r="AE75" i="12"/>
  <c r="AD75" i="12"/>
  <c r="AC75" i="12"/>
  <c r="AB75" i="12"/>
  <c r="BD70" i="12"/>
  <c r="BC70" i="12"/>
  <c r="BB70" i="12"/>
  <c r="BA70" i="12"/>
  <c r="AZ70" i="12"/>
  <c r="AY70" i="12"/>
  <c r="AX70" i="12"/>
  <c r="AW70" i="12"/>
  <c r="AW71" i="12"/>
  <c r="AV70" i="12"/>
  <c r="AV71" i="12" s="1"/>
  <c r="AU70" i="12"/>
  <c r="AT70" i="12"/>
  <c r="AS70" i="12"/>
  <c r="AR70" i="12"/>
  <c r="AQ70" i="12"/>
  <c r="AP70" i="12"/>
  <c r="AO70" i="12"/>
  <c r="AN70" i="12"/>
  <c r="AM70" i="12"/>
  <c r="AL70" i="12"/>
  <c r="AK70" i="12"/>
  <c r="AJ70" i="12"/>
  <c r="AI70" i="12"/>
  <c r="AI71" i="12" s="1"/>
  <c r="AH70" i="12"/>
  <c r="AG70" i="12"/>
  <c r="AF70" i="12"/>
  <c r="AE70" i="12"/>
  <c r="AD70" i="12"/>
  <c r="AC70" i="12"/>
  <c r="AB70" i="12"/>
  <c r="AA70" i="12"/>
  <c r="Z70" i="12"/>
  <c r="Y70" i="12"/>
  <c r="X70" i="12"/>
  <c r="W70" i="12"/>
  <c r="V70" i="12"/>
  <c r="U70" i="12"/>
  <c r="T70" i="12"/>
  <c r="S70" i="12"/>
  <c r="R70" i="12"/>
  <c r="Q70" i="12"/>
  <c r="P70" i="12"/>
  <c r="O70" i="12"/>
  <c r="N70" i="12"/>
  <c r="M70" i="12"/>
  <c r="L70" i="12"/>
  <c r="K70" i="12"/>
  <c r="J70" i="12"/>
  <c r="I70" i="12"/>
  <c r="H70" i="12"/>
  <c r="G70" i="12"/>
  <c r="F70" i="12"/>
  <c r="E70" i="12"/>
  <c r="D70" i="12"/>
  <c r="C70" i="12"/>
  <c r="BD63" i="12"/>
  <c r="BC63" i="12"/>
  <c r="BB63" i="12"/>
  <c r="BA63" i="12"/>
  <c r="AZ63" i="12"/>
  <c r="AY63" i="12"/>
  <c r="AX63" i="12"/>
  <c r="AU63" i="12"/>
  <c r="AT63" i="12"/>
  <c r="AS63" i="12"/>
  <c r="AR63" i="12"/>
  <c r="AQ63" i="12"/>
  <c r="AP63" i="12"/>
  <c r="AP71" i="12" s="1"/>
  <c r="AO63" i="12"/>
  <c r="AN63" i="12"/>
  <c r="AM63" i="12"/>
  <c r="AL63" i="12"/>
  <c r="AK63" i="12"/>
  <c r="AJ63" i="12"/>
  <c r="AI63" i="12"/>
  <c r="AH63" i="12"/>
  <c r="AG63" i="12"/>
  <c r="AF63" i="12"/>
  <c r="AE63" i="12"/>
  <c r="AE71" i="12" s="1"/>
  <c r="AD63" i="12"/>
  <c r="AC63" i="12"/>
  <c r="AB63" i="12"/>
  <c r="AA63" i="12"/>
  <c r="Z63" i="12"/>
  <c r="Y63" i="12"/>
  <c r="X63" i="12"/>
  <c r="W63" i="12"/>
  <c r="W71" i="12" s="1"/>
  <c r="V63" i="12"/>
  <c r="U63" i="12"/>
  <c r="T63" i="12"/>
  <c r="S63" i="12"/>
  <c r="R63" i="12"/>
  <c r="Q63" i="12"/>
  <c r="P63" i="12"/>
  <c r="O63" i="12"/>
  <c r="O71" i="12" s="1"/>
  <c r="N63" i="12"/>
  <c r="M63" i="12"/>
  <c r="L63" i="12"/>
  <c r="K63" i="12"/>
  <c r="J63" i="12"/>
  <c r="I63" i="12"/>
  <c r="H63" i="12"/>
  <c r="G63" i="12"/>
  <c r="F63" i="12"/>
  <c r="E63" i="12"/>
  <c r="D63" i="12"/>
  <c r="C63" i="12"/>
  <c r="BD51" i="12"/>
  <c r="BC51" i="12"/>
  <c r="BB51" i="12"/>
  <c r="BA51" i="12"/>
  <c r="AZ51" i="12"/>
  <c r="AY51" i="12"/>
  <c r="AX51" i="12"/>
  <c r="AU51" i="12"/>
  <c r="AT51" i="12"/>
  <c r="AS51" i="12"/>
  <c r="AR51" i="12"/>
  <c r="AQ51" i="12"/>
  <c r="AP51" i="12"/>
  <c r="AO51" i="12"/>
  <c r="AN51" i="12"/>
  <c r="AM51" i="12"/>
  <c r="AL51" i="12"/>
  <c r="AK51" i="12"/>
  <c r="AJ51" i="12"/>
  <c r="AI51" i="12"/>
  <c r="AH51" i="12"/>
  <c r="AG51" i="12"/>
  <c r="AF51" i="12"/>
  <c r="AE51" i="12"/>
  <c r="AD51" i="12"/>
  <c r="AC51" i="12"/>
  <c r="AB51" i="12"/>
  <c r="AA51" i="12"/>
  <c r="Z51" i="12"/>
  <c r="Y51" i="12"/>
  <c r="X51" i="12"/>
  <c r="W51" i="12"/>
  <c r="V51" i="12"/>
  <c r="U51" i="12"/>
  <c r="T51" i="12"/>
  <c r="S51" i="12"/>
  <c r="R51" i="12"/>
  <c r="Q51" i="12"/>
  <c r="P51" i="12"/>
  <c r="O51" i="12"/>
  <c r="N51" i="12"/>
  <c r="M51" i="12"/>
  <c r="L51" i="12"/>
  <c r="K51" i="12"/>
  <c r="J51" i="12"/>
  <c r="I51" i="12"/>
  <c r="H51" i="12"/>
  <c r="G51" i="12"/>
  <c r="F51" i="12"/>
  <c r="E51" i="12"/>
  <c r="D51" i="12"/>
  <c r="C51" i="12"/>
  <c r="BD39" i="12"/>
  <c r="BC39" i="12"/>
  <c r="BB39" i="12"/>
  <c r="BA39" i="12"/>
  <c r="AZ39" i="12"/>
  <c r="AY39" i="12"/>
  <c r="AX39" i="12"/>
  <c r="AW39" i="12"/>
  <c r="AW40" i="12" s="1"/>
  <c r="AV39" i="12"/>
  <c r="AV40" i="12" s="1"/>
  <c r="AU39" i="12"/>
  <c r="AT39" i="12"/>
  <c r="AS39" i="12"/>
  <c r="AR39" i="12"/>
  <c r="AQ39" i="12"/>
  <c r="AQ40" i="12"/>
  <c r="AP39" i="12"/>
  <c r="AO39" i="12"/>
  <c r="AN39" i="12"/>
  <c r="AM39" i="12"/>
  <c r="AL39" i="12"/>
  <c r="AK39" i="12"/>
  <c r="AJ39" i="12"/>
  <c r="AI39" i="12"/>
  <c r="AI40" i="12" s="1"/>
  <c r="AH39" i="12"/>
  <c r="AG39" i="12"/>
  <c r="AF39" i="12"/>
  <c r="AE39" i="12"/>
  <c r="AE40" i="12"/>
  <c r="AD39" i="12"/>
  <c r="AC39" i="12"/>
  <c r="AB39" i="12"/>
  <c r="AA39" i="12"/>
  <c r="AA40" i="12" s="1"/>
  <c r="Z39" i="12"/>
  <c r="Y39" i="12"/>
  <c r="X39" i="12"/>
  <c r="W39" i="12"/>
  <c r="W40" i="12" s="1"/>
  <c r="V39" i="12"/>
  <c r="U39" i="12"/>
  <c r="T39" i="12"/>
  <c r="S39" i="12"/>
  <c r="S40" i="12" s="1"/>
  <c r="R39" i="12"/>
  <c r="Q39" i="12"/>
  <c r="P39" i="12"/>
  <c r="O39" i="12"/>
  <c r="N39" i="12"/>
  <c r="M39" i="12"/>
  <c r="L39" i="12"/>
  <c r="K39" i="12"/>
  <c r="BD34" i="12"/>
  <c r="BC34" i="12"/>
  <c r="BB34" i="12"/>
  <c r="BA34" i="12"/>
  <c r="AZ34" i="12"/>
  <c r="AY34" i="12"/>
  <c r="AY40" i="12" s="1"/>
  <c r="AX34" i="12"/>
  <c r="AU34" i="12"/>
  <c r="AT34" i="12"/>
  <c r="AS34" i="12"/>
  <c r="AR34" i="12"/>
  <c r="AQ34" i="12"/>
  <c r="AP34" i="12"/>
  <c r="AO34" i="12"/>
  <c r="AN34" i="12"/>
  <c r="AM34" i="12"/>
  <c r="AL34" i="12"/>
  <c r="AK34" i="12"/>
  <c r="AJ34" i="12"/>
  <c r="AI34" i="12"/>
  <c r="AH34" i="12"/>
  <c r="AG34" i="12"/>
  <c r="AF34" i="12"/>
  <c r="AE34" i="12"/>
  <c r="AD34" i="12"/>
  <c r="AC34" i="12"/>
  <c r="AB34" i="12"/>
  <c r="AA34" i="12"/>
  <c r="Z34" i="12"/>
  <c r="Y34" i="12"/>
  <c r="X34" i="12"/>
  <c r="W34" i="12"/>
  <c r="V34" i="12"/>
  <c r="U34" i="12"/>
  <c r="T34" i="12"/>
  <c r="S34" i="12"/>
  <c r="R34" i="12"/>
  <c r="Q34" i="12"/>
  <c r="P34" i="12"/>
  <c r="O34" i="12"/>
  <c r="N34" i="12"/>
  <c r="M34" i="12"/>
  <c r="L34" i="12"/>
  <c r="K34" i="12"/>
  <c r="BD30" i="12"/>
  <c r="BC30" i="12"/>
  <c r="BC40" i="12" s="1"/>
  <c r="BB30" i="12"/>
  <c r="BA30" i="12"/>
  <c r="AZ30" i="12"/>
  <c r="AY30" i="12"/>
  <c r="AX30" i="12"/>
  <c r="AU30" i="12"/>
  <c r="AT30" i="12"/>
  <c r="AS30" i="12"/>
  <c r="AR30" i="12"/>
  <c r="AQ30" i="12"/>
  <c r="AP30" i="12"/>
  <c r="AO30" i="12"/>
  <c r="AN30" i="12"/>
  <c r="AM30" i="12"/>
  <c r="AM40" i="12" s="1"/>
  <c r="AL30" i="12"/>
  <c r="AK30" i="12"/>
  <c r="AJ30" i="12"/>
  <c r="AI30" i="12"/>
  <c r="AH30" i="12"/>
  <c r="AG30" i="12"/>
  <c r="AF30" i="12"/>
  <c r="AE30" i="12"/>
  <c r="AD30" i="12"/>
  <c r="AC30" i="12"/>
  <c r="AB30" i="12"/>
  <c r="AA30" i="12"/>
  <c r="Z30" i="12"/>
  <c r="Y30" i="12"/>
  <c r="X30" i="12"/>
  <c r="W30" i="12"/>
  <c r="V30" i="12"/>
  <c r="U30" i="12"/>
  <c r="T30" i="12"/>
  <c r="S30" i="12"/>
  <c r="R30" i="12"/>
  <c r="Q30" i="12"/>
  <c r="P30" i="12"/>
  <c r="O30" i="12"/>
  <c r="O40" i="12" s="1"/>
  <c r="N30" i="12"/>
  <c r="M30" i="12"/>
  <c r="L30" i="12"/>
  <c r="K30" i="12"/>
  <c r="BD24" i="12"/>
  <c r="BC24" i="12"/>
  <c r="BB24" i="12"/>
  <c r="BA24" i="12"/>
  <c r="AZ24" i="12"/>
  <c r="AY24" i="12"/>
  <c r="AX24" i="12"/>
  <c r="AW24" i="12"/>
  <c r="AV24" i="12"/>
  <c r="AV25" i="12" s="1"/>
  <c r="AU24" i="12"/>
  <c r="AT24" i="12"/>
  <c r="AS24" i="12"/>
  <c r="AR24" i="12"/>
  <c r="AQ24" i="12"/>
  <c r="AQ25" i="12" s="1"/>
  <c r="AP24" i="12"/>
  <c r="AO24" i="12"/>
  <c r="AN24" i="12"/>
  <c r="AM24" i="12"/>
  <c r="AL24" i="12"/>
  <c r="AK24" i="12"/>
  <c r="AJ24" i="12"/>
  <c r="AI24" i="12"/>
  <c r="AH24" i="12"/>
  <c r="AG24" i="12"/>
  <c r="AF24" i="12"/>
  <c r="AE24" i="12"/>
  <c r="AE25" i="12" s="1"/>
  <c r="AD24" i="12"/>
  <c r="AC24" i="12"/>
  <c r="AC25" i="12" s="1"/>
  <c r="AB24" i="12"/>
  <c r="AA24" i="12"/>
  <c r="Z24" i="12"/>
  <c r="Y24" i="12"/>
  <c r="X24" i="12"/>
  <c r="W24" i="12"/>
  <c r="V24" i="12"/>
  <c r="U24" i="12"/>
  <c r="T24" i="12"/>
  <c r="S24" i="12"/>
  <c r="R24" i="12"/>
  <c r="Q24" i="12"/>
  <c r="P24" i="12"/>
  <c r="O24" i="12"/>
  <c r="N24" i="12"/>
  <c r="M24" i="12"/>
  <c r="M25" i="12" s="1"/>
  <c r="L24" i="12"/>
  <c r="K24" i="12"/>
  <c r="J24" i="12"/>
  <c r="I24" i="12"/>
  <c r="H24" i="12"/>
  <c r="H25" i="12" s="1"/>
  <c r="G24" i="12"/>
  <c r="F24" i="12"/>
  <c r="E24" i="12"/>
  <c r="E25" i="12" s="1"/>
  <c r="D24" i="12"/>
  <c r="C24" i="12"/>
  <c r="BD20" i="12"/>
  <c r="BC20" i="12"/>
  <c r="BB20" i="12"/>
  <c r="BA20" i="12"/>
  <c r="AZ20" i="12"/>
  <c r="AY20" i="12"/>
  <c r="AX20" i="12"/>
  <c r="AW20" i="12"/>
  <c r="AU20" i="12"/>
  <c r="AT20" i="12"/>
  <c r="AS20" i="12"/>
  <c r="AR20" i="12"/>
  <c r="AQ20" i="12"/>
  <c r="AP20" i="12"/>
  <c r="AO20" i="12"/>
  <c r="AN20" i="12"/>
  <c r="AM20" i="12"/>
  <c r="AL20" i="12"/>
  <c r="AK20" i="12"/>
  <c r="AJ20" i="12"/>
  <c r="AI20" i="12"/>
  <c r="AH20" i="12"/>
  <c r="AG20" i="12"/>
  <c r="AF20" i="12"/>
  <c r="AE20" i="12"/>
  <c r="AD20" i="12"/>
  <c r="AC20" i="12"/>
  <c r="AB20" i="12"/>
  <c r="AA20" i="12"/>
  <c r="Z20" i="12"/>
  <c r="Y20" i="12"/>
  <c r="X20" i="12"/>
  <c r="W20" i="12"/>
  <c r="V20" i="12"/>
  <c r="U20" i="12"/>
  <c r="T20" i="12"/>
  <c r="S20" i="12"/>
  <c r="R20" i="12"/>
  <c r="Q20" i="12"/>
  <c r="P20" i="12"/>
  <c r="O20" i="12"/>
  <c r="N20" i="12"/>
  <c r="M20" i="12"/>
  <c r="L20" i="12"/>
  <c r="K20" i="12"/>
  <c r="J20" i="12"/>
  <c r="I20" i="12"/>
  <c r="H20" i="12"/>
  <c r="G20" i="12"/>
  <c r="F20" i="12"/>
  <c r="E20" i="12"/>
  <c r="D20" i="12"/>
  <c r="C20" i="12"/>
  <c r="C25" i="12" s="1"/>
  <c r="BD15" i="12"/>
  <c r="BC15" i="12"/>
  <c r="BB15" i="12"/>
  <c r="BA15" i="12"/>
  <c r="AZ15" i="12"/>
  <c r="AY15" i="12"/>
  <c r="AX15" i="12"/>
  <c r="AW15" i="12"/>
  <c r="AU15" i="12"/>
  <c r="AT15" i="12"/>
  <c r="AS15" i="12"/>
  <c r="AR15" i="12"/>
  <c r="AQ15" i="12"/>
  <c r="AP15" i="12"/>
  <c r="AO15" i="12"/>
  <c r="AN15" i="12"/>
  <c r="AM15" i="12"/>
  <c r="AL15" i="12"/>
  <c r="AK15" i="12"/>
  <c r="AJ15" i="12"/>
  <c r="AI15" i="12"/>
  <c r="AH15" i="12"/>
  <c r="AG15" i="12"/>
  <c r="AF15" i="12"/>
  <c r="AE15" i="12"/>
  <c r="AD15" i="12"/>
  <c r="AC15" i="12"/>
  <c r="AB15" i="12"/>
  <c r="AA15" i="12"/>
  <c r="Z15" i="12"/>
  <c r="Y15" i="12"/>
  <c r="X15" i="12"/>
  <c r="W15" i="12"/>
  <c r="V15" i="12"/>
  <c r="U15" i="12"/>
  <c r="T15" i="12"/>
  <c r="S15" i="12"/>
  <c r="R15" i="12"/>
  <c r="Q15" i="12"/>
  <c r="P15" i="12"/>
  <c r="O15" i="12"/>
  <c r="N15" i="12"/>
  <c r="M15" i="12"/>
  <c r="L15" i="12"/>
  <c r="K15" i="12"/>
  <c r="J15" i="12"/>
  <c r="I15" i="12"/>
  <c r="H15" i="12"/>
  <c r="G15" i="12"/>
  <c r="F15" i="12"/>
  <c r="E15" i="12"/>
  <c r="D15" i="12"/>
  <c r="C15" i="12"/>
  <c r="AB36" i="11"/>
  <c r="AC36" i="11" s="1"/>
  <c r="Z36" i="11"/>
  <c r="AC35" i="11"/>
  <c r="AB35" i="11"/>
  <c r="Z35" i="11"/>
  <c r="AB34" i="11"/>
  <c r="AA34" i="11"/>
  <c r="X34" i="11"/>
  <c r="Z34" i="11"/>
  <c r="AB33" i="11"/>
  <c r="AA33" i="11"/>
  <c r="X33" i="11"/>
  <c r="Z33" i="11" s="1"/>
  <c r="AB32" i="11"/>
  <c r="AA32" i="11"/>
  <c r="AC32" i="11" s="1"/>
  <c r="X32" i="11"/>
  <c r="Z32" i="11"/>
  <c r="AB31" i="11"/>
  <c r="AA31" i="11"/>
  <c r="X31" i="11"/>
  <c r="Z31" i="11" s="1"/>
  <c r="AB29" i="11"/>
  <c r="AA29" i="11"/>
  <c r="X29" i="11"/>
  <c r="Z29" i="11" s="1"/>
  <c r="BC28" i="11"/>
  <c r="BB28" i="11"/>
  <c r="BD28" i="11" s="1"/>
  <c r="AZ28" i="11"/>
  <c r="AY28" i="11"/>
  <c r="AW28" i="11"/>
  <c r="AV28" i="11"/>
  <c r="AT28" i="11"/>
  <c r="AS28" i="11"/>
  <c r="AQ28" i="11"/>
  <c r="AP28" i="11"/>
  <c r="AN28" i="11"/>
  <c r="AM28" i="11"/>
  <c r="AK28" i="11"/>
  <c r="AJ28" i="11"/>
  <c r="AL28" i="11" s="1"/>
  <c r="AH28" i="11"/>
  <c r="AI28" i="11"/>
  <c r="AG28" i="11"/>
  <c r="AE28" i="11"/>
  <c r="AF28" i="11" s="1"/>
  <c r="AD28" i="11"/>
  <c r="AC28" i="11"/>
  <c r="Z28" i="11"/>
  <c r="BC27" i="11"/>
  <c r="BB27" i="11"/>
  <c r="BD27" i="11" s="1"/>
  <c r="AZ27" i="11"/>
  <c r="AY27" i="11"/>
  <c r="AW27" i="11"/>
  <c r="AV27" i="11"/>
  <c r="AT27" i="11"/>
  <c r="AS27" i="11"/>
  <c r="AU27" i="11" s="1"/>
  <c r="AQ27" i="11"/>
  <c r="AR27" i="11" s="1"/>
  <c r="AP27" i="11"/>
  <c r="AN27" i="11"/>
  <c r="AM27" i="11"/>
  <c r="AK27" i="11"/>
  <c r="AJ27" i="11"/>
  <c r="AH27" i="11"/>
  <c r="AG27" i="11"/>
  <c r="AE27" i="11"/>
  <c r="AD27" i="11"/>
  <c r="AC27" i="11"/>
  <c r="Z27" i="11"/>
  <c r="BC26" i="11"/>
  <c r="BB26" i="11"/>
  <c r="AZ26" i="11"/>
  <c r="AY26" i="11"/>
  <c r="AW26" i="11"/>
  <c r="AV26" i="11"/>
  <c r="AT26" i="11"/>
  <c r="AS26" i="11"/>
  <c r="AQ26" i="11"/>
  <c r="AP26" i="11"/>
  <c r="AR26" i="11"/>
  <c r="AN26" i="11"/>
  <c r="AO26" i="11" s="1"/>
  <c r="AM26" i="11"/>
  <c r="AK26" i="11"/>
  <c r="AK29" i="11" s="1"/>
  <c r="AJ26" i="11"/>
  <c r="AH26" i="11"/>
  <c r="AH29" i="11"/>
  <c r="AG26" i="11"/>
  <c r="AE26" i="11"/>
  <c r="AD26" i="11"/>
  <c r="AC26" i="11"/>
  <c r="Z26" i="11"/>
  <c r="AB24" i="11"/>
  <c r="AA24" i="11"/>
  <c r="BC23" i="11"/>
  <c r="BB23" i="11"/>
  <c r="AZ23" i="11"/>
  <c r="AY23" i="11"/>
  <c r="AW23" i="11"/>
  <c r="AV23" i="11"/>
  <c r="AX23" i="11" s="1"/>
  <c r="AT23" i="11"/>
  <c r="AS23" i="11"/>
  <c r="AU23" i="11" s="1"/>
  <c r="AQ23" i="11"/>
  <c r="AP23" i="11"/>
  <c r="AN23" i="11"/>
  <c r="AM23" i="11"/>
  <c r="AK23" i="11"/>
  <c r="AL23" i="11"/>
  <c r="AJ23" i="11"/>
  <c r="AH23" i="11"/>
  <c r="AG23" i="11"/>
  <c r="AE23" i="11"/>
  <c r="AF23" i="11" s="1"/>
  <c r="AC23" i="11"/>
  <c r="BC22" i="11"/>
  <c r="BB22" i="11"/>
  <c r="AZ22" i="11"/>
  <c r="AY22" i="11"/>
  <c r="AW22" i="11"/>
  <c r="AV22" i="11"/>
  <c r="AT22" i="11"/>
  <c r="AS22" i="11"/>
  <c r="AQ22" i="11"/>
  <c r="AP22" i="11"/>
  <c r="AN22" i="11"/>
  <c r="AM22" i="11"/>
  <c r="AO22" i="11" s="1"/>
  <c r="AL22" i="11"/>
  <c r="AK22" i="11"/>
  <c r="AJ22" i="11"/>
  <c r="AH22" i="11"/>
  <c r="AG22" i="11"/>
  <c r="AE22" i="11"/>
  <c r="AC22" i="11"/>
  <c r="BC21" i="11"/>
  <c r="BD21" i="11"/>
  <c r="BB21" i="11"/>
  <c r="AZ21" i="11"/>
  <c r="AY21" i="11"/>
  <c r="AW21" i="11"/>
  <c r="AV21" i="11"/>
  <c r="AT21" i="11"/>
  <c r="AS21" i="11"/>
  <c r="AR21" i="11"/>
  <c r="AQ21" i="11"/>
  <c r="AP21" i="11"/>
  <c r="AN21" i="11"/>
  <c r="AO21" i="11" s="1"/>
  <c r="AM21" i="11"/>
  <c r="AK21" i="11"/>
  <c r="AK24" i="11" s="1"/>
  <c r="AJ21" i="11"/>
  <c r="AH21" i="11"/>
  <c r="AG21" i="11"/>
  <c r="AE21" i="11"/>
  <c r="AF21" i="11"/>
  <c r="AC21" i="11"/>
  <c r="AB19" i="11"/>
  <c r="AA19" i="11"/>
  <c r="AC19" i="11" s="1"/>
  <c r="Y19" i="11"/>
  <c r="X19" i="11"/>
  <c r="BC18" i="11"/>
  <c r="BB18" i="11"/>
  <c r="AZ18" i="11"/>
  <c r="AY18" i="11"/>
  <c r="AW18" i="11"/>
  <c r="AW33" i="11" s="1"/>
  <c r="AV18" i="11"/>
  <c r="AT18" i="11"/>
  <c r="AS18" i="11"/>
  <c r="AQ18" i="11"/>
  <c r="AP18" i="11"/>
  <c r="AN18" i="11"/>
  <c r="AN33" i="11" s="1"/>
  <c r="AM18" i="11"/>
  <c r="AK18" i="11"/>
  <c r="AK33" i="11" s="1"/>
  <c r="AJ18" i="11"/>
  <c r="AH18" i="11"/>
  <c r="AG18" i="11"/>
  <c r="AE18" i="11"/>
  <c r="AD18" i="11"/>
  <c r="AD33" i="11" s="1"/>
  <c r="AC18" i="11"/>
  <c r="Z18" i="11"/>
  <c r="BC17" i="11"/>
  <c r="BC19" i="11" s="1"/>
  <c r="BB17" i="11"/>
  <c r="AZ17" i="11"/>
  <c r="AY17" i="11"/>
  <c r="BA17" i="11"/>
  <c r="AW17" i="11"/>
  <c r="AV17" i="11"/>
  <c r="AX17" i="11" s="1"/>
  <c r="AT17" i="11"/>
  <c r="AS17" i="11"/>
  <c r="AQ17" i="11"/>
  <c r="AP17" i="11"/>
  <c r="AN17" i="11"/>
  <c r="AM17" i="11"/>
  <c r="AK17" i="11"/>
  <c r="AJ17" i="11"/>
  <c r="AL17" i="11" s="1"/>
  <c r="AH17" i="11"/>
  <c r="AG17" i="11"/>
  <c r="AE17" i="11"/>
  <c r="AD17" i="11"/>
  <c r="AF17" i="11" s="1"/>
  <c r="AC17" i="11"/>
  <c r="Z17" i="11"/>
  <c r="BC16" i="11"/>
  <c r="BB16" i="11"/>
  <c r="AZ16" i="11"/>
  <c r="AZ19" i="11"/>
  <c r="AY16" i="11"/>
  <c r="AX16" i="11"/>
  <c r="AW16" i="11"/>
  <c r="AV16" i="11"/>
  <c r="AT16" i="11"/>
  <c r="AS16" i="11"/>
  <c r="AU16" i="11" s="1"/>
  <c r="AQ16" i="11"/>
  <c r="AP16" i="11"/>
  <c r="AN16" i="11"/>
  <c r="AM16" i="11"/>
  <c r="AK16" i="11"/>
  <c r="AJ16" i="11"/>
  <c r="AH16" i="11"/>
  <c r="AH19" i="11"/>
  <c r="AG16" i="11"/>
  <c r="AE16" i="11"/>
  <c r="AE19" i="11" s="1"/>
  <c r="AD16" i="11"/>
  <c r="AC16" i="11"/>
  <c r="Z16" i="11"/>
  <c r="Z19" i="11" s="1"/>
  <c r="AB14" i="11"/>
  <c r="AC14" i="11" s="1"/>
  <c r="Y14" i="11"/>
  <c r="Z14" i="11"/>
  <c r="BC13" i="11"/>
  <c r="BC36" i="11" s="1"/>
  <c r="BD36" i="11" s="1"/>
  <c r="AZ13" i="11"/>
  <c r="AX13" i="11"/>
  <c r="AW13" i="11"/>
  <c r="AW36" i="11" s="1"/>
  <c r="AX36" i="11" s="1"/>
  <c r="AT13" i="11"/>
  <c r="AQ13" i="11"/>
  <c r="AQ36" i="11" s="1"/>
  <c r="AR36" i="11" s="1"/>
  <c r="AN13" i="11"/>
  <c r="AL13" i="11"/>
  <c r="AK13" i="11"/>
  <c r="AK36" i="11" s="1"/>
  <c r="AL36" i="11" s="1"/>
  <c r="AH13" i="11"/>
  <c r="AF13" i="11"/>
  <c r="AE13" i="11"/>
  <c r="AE36" i="11" s="1"/>
  <c r="AF36" i="11" s="1"/>
  <c r="AC13" i="11"/>
  <c r="Z13" i="11"/>
  <c r="BD12" i="11"/>
  <c r="BC12" i="11"/>
  <c r="BC35" i="11" s="1"/>
  <c r="BD35" i="11" s="1"/>
  <c r="AZ12" i="11"/>
  <c r="BA12" i="11" s="1"/>
  <c r="AW12" i="11"/>
  <c r="AW35" i="11" s="1"/>
  <c r="AX35" i="11" s="1"/>
  <c r="AT12" i="11"/>
  <c r="AQ12" i="11"/>
  <c r="AQ35" i="11" s="1"/>
  <c r="AR35" i="11" s="1"/>
  <c r="AN12" i="11"/>
  <c r="AN35" i="11"/>
  <c r="AO35" i="11" s="1"/>
  <c r="AK12" i="11"/>
  <c r="AK35" i="11" s="1"/>
  <c r="AL35" i="11" s="1"/>
  <c r="AH12" i="11"/>
  <c r="AE12" i="11"/>
  <c r="AF12" i="11" s="1"/>
  <c r="AE35" i="11"/>
  <c r="AF35" i="11" s="1"/>
  <c r="AC12" i="11"/>
  <c r="Z12" i="11"/>
  <c r="BC11" i="11"/>
  <c r="AZ11" i="11"/>
  <c r="AW11" i="11"/>
  <c r="AW14" i="11" s="1"/>
  <c r="AT11" i="11"/>
  <c r="AQ11" i="11"/>
  <c r="AN11" i="11"/>
  <c r="AK11" i="11"/>
  <c r="AH11" i="11"/>
  <c r="AH32" i="11" s="1"/>
  <c r="AE11" i="11"/>
  <c r="AF11" i="11" s="1"/>
  <c r="AC11" i="11"/>
  <c r="Z11" i="11"/>
  <c r="AB9" i="11"/>
  <c r="AA9" i="11"/>
  <c r="X9" i="11"/>
  <c r="Z9" i="11" s="1"/>
  <c r="BC8" i="11"/>
  <c r="BC34" i="11" s="1"/>
  <c r="BB8" i="11"/>
  <c r="AZ8" i="11"/>
  <c r="AY8" i="11"/>
  <c r="BA8" i="11" s="1"/>
  <c r="AW8" i="11"/>
  <c r="AW34" i="11" s="1"/>
  <c r="AV8" i="11"/>
  <c r="AT8" i="11"/>
  <c r="AT34" i="11"/>
  <c r="AS8" i="11"/>
  <c r="AU8" i="11" s="1"/>
  <c r="AS34" i="11"/>
  <c r="AQ8" i="11"/>
  <c r="AQ34" i="11" s="1"/>
  <c r="AP8" i="11"/>
  <c r="AN8" i="11"/>
  <c r="AN34" i="11" s="1"/>
  <c r="AM8" i="11"/>
  <c r="AK8" i="11"/>
  <c r="AK34" i="11"/>
  <c r="AJ8" i="11"/>
  <c r="AH8" i="11"/>
  <c r="AH34" i="11" s="1"/>
  <c r="AG8" i="11"/>
  <c r="AE8" i="11"/>
  <c r="AE34" i="11" s="1"/>
  <c r="AD8" i="11"/>
  <c r="AD34" i="11" s="1"/>
  <c r="AC8" i="11"/>
  <c r="Z8" i="11"/>
  <c r="BC7" i="11"/>
  <c r="BB7" i="11"/>
  <c r="AZ7" i="11"/>
  <c r="AY7" i="11"/>
  <c r="AW7" i="11"/>
  <c r="AV7" i="11"/>
  <c r="AT7" i="11"/>
  <c r="AS7" i="11"/>
  <c r="AQ7" i="11"/>
  <c r="AP7" i="11"/>
  <c r="AN7" i="11"/>
  <c r="AN32" i="11" s="1"/>
  <c r="AM7" i="11"/>
  <c r="AK7" i="11"/>
  <c r="AJ7" i="11"/>
  <c r="AH7" i="11"/>
  <c r="AG7" i="11"/>
  <c r="AE7" i="11"/>
  <c r="AD7" i="11"/>
  <c r="AC7" i="11"/>
  <c r="Z7" i="11"/>
  <c r="BC6" i="11"/>
  <c r="BC31" i="11" s="1"/>
  <c r="BB6" i="11"/>
  <c r="AZ6" i="11"/>
  <c r="AY6" i="11"/>
  <c r="AY9" i="11"/>
  <c r="AW6" i="11"/>
  <c r="AV6" i="11"/>
  <c r="AT6" i="11"/>
  <c r="AS6" i="11"/>
  <c r="AU6" i="11" s="1"/>
  <c r="AQ6" i="11"/>
  <c r="AP6" i="11"/>
  <c r="AN6" i="11"/>
  <c r="AM6" i="11"/>
  <c r="AK6" i="11"/>
  <c r="AK9" i="11" s="1"/>
  <c r="AJ6" i="11"/>
  <c r="AH6" i="11"/>
  <c r="AG6" i="11"/>
  <c r="AE6" i="11"/>
  <c r="AE9" i="11" s="1"/>
  <c r="AD6" i="11"/>
  <c r="AC6" i="11"/>
  <c r="Z6" i="11"/>
  <c r="BC105" i="10"/>
  <c r="BB105" i="10"/>
  <c r="AZ105" i="10"/>
  <c r="AY105" i="10"/>
  <c r="AW105" i="10"/>
  <c r="AV105" i="10"/>
  <c r="AT105" i="10"/>
  <c r="AS105" i="10"/>
  <c r="AQ105" i="10"/>
  <c r="AP105" i="10"/>
  <c r="AN105" i="10"/>
  <c r="AM105" i="10"/>
  <c r="AK105" i="10"/>
  <c r="AJ105" i="10"/>
  <c r="AH105" i="10"/>
  <c r="AG105" i="10"/>
  <c r="AE105" i="10"/>
  <c r="AD105" i="10"/>
  <c r="AB105" i="10"/>
  <c r="AA105" i="10"/>
  <c r="BD104" i="10"/>
  <c r="BA104" i="10"/>
  <c r="AX104" i="10"/>
  <c r="BD103" i="10"/>
  <c r="BA103" i="10"/>
  <c r="AX103" i="10"/>
  <c r="AU103" i="10"/>
  <c r="BD102" i="10"/>
  <c r="BA102" i="10"/>
  <c r="AX102" i="10"/>
  <c r="AU102" i="10"/>
  <c r="AR102" i="10"/>
  <c r="AR105" i="10" s="1"/>
  <c r="AO102" i="10"/>
  <c r="AO105" i="10"/>
  <c r="AL102" i="10"/>
  <c r="AL105" i="10"/>
  <c r="AI102" i="10"/>
  <c r="AI105" i="10" s="1"/>
  <c r="AF102" i="10"/>
  <c r="AF105" i="10" s="1"/>
  <c r="AC102" i="10"/>
  <c r="AC105" i="10" s="1"/>
  <c r="BC101" i="10"/>
  <c r="BB101" i="10"/>
  <c r="BB106" i="10"/>
  <c r="AZ101" i="10"/>
  <c r="AY101" i="10"/>
  <c r="AW101" i="10"/>
  <c r="AV101" i="10"/>
  <c r="AT101" i="10"/>
  <c r="AS101" i="10"/>
  <c r="AQ101" i="10"/>
  <c r="AP101" i="10"/>
  <c r="AN101" i="10"/>
  <c r="AM101" i="10"/>
  <c r="AK101" i="10"/>
  <c r="AJ101" i="10"/>
  <c r="AH101" i="10"/>
  <c r="AG101" i="10"/>
  <c r="AE101" i="10"/>
  <c r="AD101" i="10"/>
  <c r="AD106" i="10" s="1"/>
  <c r="AB101" i="10"/>
  <c r="AA101" i="10"/>
  <c r="BD100" i="10"/>
  <c r="BA100" i="10"/>
  <c r="AX100" i="10"/>
  <c r="BD99" i="10"/>
  <c r="BA99" i="10"/>
  <c r="AX99" i="10"/>
  <c r="AU99" i="10"/>
  <c r="AR99" i="10"/>
  <c r="AO99" i="10"/>
  <c r="AL99" i="10"/>
  <c r="AI99" i="10"/>
  <c r="BD98" i="10"/>
  <c r="BA98" i="10"/>
  <c r="BA101" i="10"/>
  <c r="AX98" i="10"/>
  <c r="AX101" i="10" s="1"/>
  <c r="AU98" i="10"/>
  <c r="AR98" i="10"/>
  <c r="AO98" i="10"/>
  <c r="AO101" i="10" s="1"/>
  <c r="AL98" i="10"/>
  <c r="AL101" i="10" s="1"/>
  <c r="AI98" i="10"/>
  <c r="AI101" i="10" s="1"/>
  <c r="AF98" i="10"/>
  <c r="AF101" i="10" s="1"/>
  <c r="AC98" i="10"/>
  <c r="AC101" i="10" s="1"/>
  <c r="BC97" i="10"/>
  <c r="BB97" i="10"/>
  <c r="AZ97" i="10"/>
  <c r="AY97" i="10"/>
  <c r="AW97" i="10"/>
  <c r="AV97" i="10"/>
  <c r="AT97" i="10"/>
  <c r="AT106" i="10" s="1"/>
  <c r="AS97" i="10"/>
  <c r="AQ97" i="10"/>
  <c r="AP97" i="10"/>
  <c r="AN97" i="10"/>
  <c r="AM97" i="10"/>
  <c r="AK97" i="10"/>
  <c r="AJ97" i="10"/>
  <c r="AH97" i="10"/>
  <c r="AG97" i="10"/>
  <c r="AE97" i="10"/>
  <c r="AD97" i="10"/>
  <c r="AB97" i="10"/>
  <c r="AA97" i="10"/>
  <c r="BD96" i="10"/>
  <c r="BA96" i="10"/>
  <c r="AX96" i="10"/>
  <c r="BD95" i="10"/>
  <c r="BA95" i="10"/>
  <c r="AX95" i="10"/>
  <c r="AX97" i="10" s="1"/>
  <c r="AU95" i="10"/>
  <c r="BD94" i="10"/>
  <c r="BD97" i="10"/>
  <c r="BA94" i="10"/>
  <c r="AX94" i="10"/>
  <c r="AU94" i="10"/>
  <c r="AU97" i="10"/>
  <c r="AR94" i="10"/>
  <c r="AR97" i="10" s="1"/>
  <c r="AO94" i="10"/>
  <c r="AO97" i="10"/>
  <c r="AL94" i="10"/>
  <c r="AL97" i="10" s="1"/>
  <c r="AI94" i="10"/>
  <c r="AI97" i="10" s="1"/>
  <c r="AF94" i="10"/>
  <c r="AF97" i="10" s="1"/>
  <c r="AC94" i="10"/>
  <c r="AC97" i="10"/>
  <c r="BC92" i="10"/>
  <c r="BB92" i="10"/>
  <c r="AZ92" i="10"/>
  <c r="AY92" i="10"/>
  <c r="AW92" i="10"/>
  <c r="AV92" i="10"/>
  <c r="AT92" i="10"/>
  <c r="AS92" i="10"/>
  <c r="AQ92" i="10"/>
  <c r="AP92" i="10"/>
  <c r="AN92" i="10"/>
  <c r="AM92" i="10"/>
  <c r="AK92" i="10"/>
  <c r="AK93" i="10" s="1"/>
  <c r="AJ92" i="10"/>
  <c r="AH92" i="10"/>
  <c r="AG92" i="10"/>
  <c r="AE92" i="10"/>
  <c r="AD92" i="10"/>
  <c r="AB92" i="10"/>
  <c r="AA92" i="10"/>
  <c r="Y92" i="10"/>
  <c r="X92" i="10"/>
  <c r="W92" i="10"/>
  <c r="V92" i="10"/>
  <c r="U92" i="10"/>
  <c r="T92" i="10"/>
  <c r="S92" i="10"/>
  <c r="R92" i="10"/>
  <c r="Q92" i="10"/>
  <c r="P92" i="10"/>
  <c r="O92" i="10"/>
  <c r="N92" i="10"/>
  <c r="M92" i="10"/>
  <c r="L92" i="10"/>
  <c r="K92" i="10"/>
  <c r="J92" i="10"/>
  <c r="BD91" i="10"/>
  <c r="BA91" i="10"/>
  <c r="AX91" i="10"/>
  <c r="AU91" i="10"/>
  <c r="AR91" i="10"/>
  <c r="AO91" i="10"/>
  <c r="AL91" i="10"/>
  <c r="AI91" i="10"/>
  <c r="AF91" i="10"/>
  <c r="AC91" i="10"/>
  <c r="Z91" i="10"/>
  <c r="BD90" i="10"/>
  <c r="BA90" i="10"/>
  <c r="AX90" i="10"/>
  <c r="AU90" i="10"/>
  <c r="AR90" i="10"/>
  <c r="AO90" i="10"/>
  <c r="AL90" i="10"/>
  <c r="AI90" i="10"/>
  <c r="AF90" i="10"/>
  <c r="AC90" i="10"/>
  <c r="Z90" i="10"/>
  <c r="BD89" i="10"/>
  <c r="BA89" i="10"/>
  <c r="AX89" i="10"/>
  <c r="AU89" i="10"/>
  <c r="AR89" i="10"/>
  <c r="AO89" i="10"/>
  <c r="AL89" i="10"/>
  <c r="AI89" i="10"/>
  <c r="AF89" i="10"/>
  <c r="AC89" i="10"/>
  <c r="Z89" i="10"/>
  <c r="BD88" i="10"/>
  <c r="BA88" i="10"/>
  <c r="AX88" i="10"/>
  <c r="AU88" i="10"/>
  <c r="AR88" i="10"/>
  <c r="AO88" i="10"/>
  <c r="AL88" i="10"/>
  <c r="AI88" i="10"/>
  <c r="AF88" i="10"/>
  <c r="AC88" i="10"/>
  <c r="Z88" i="10"/>
  <c r="BC87" i="10"/>
  <c r="BB87" i="10"/>
  <c r="AZ87" i="10"/>
  <c r="AY87" i="10"/>
  <c r="AW87" i="10"/>
  <c r="AV87" i="10"/>
  <c r="AT87" i="10"/>
  <c r="AS87" i="10"/>
  <c r="AQ87" i="10"/>
  <c r="AP87" i="10"/>
  <c r="AN87" i="10"/>
  <c r="AM87" i="10"/>
  <c r="AK87" i="10"/>
  <c r="AJ87" i="10"/>
  <c r="AH87" i="10"/>
  <c r="AG87" i="10"/>
  <c r="AE87" i="10"/>
  <c r="AD87" i="10"/>
  <c r="AB87" i="10"/>
  <c r="AB93" i="10" s="1"/>
  <c r="AA87" i="10"/>
  <c r="Y87" i="10"/>
  <c r="X87" i="10"/>
  <c r="W87" i="10"/>
  <c r="V87" i="10"/>
  <c r="U87" i="10"/>
  <c r="T87" i="10"/>
  <c r="S87" i="10"/>
  <c r="R87" i="10"/>
  <c r="Q87" i="10"/>
  <c r="P87" i="10"/>
  <c r="O87" i="10"/>
  <c r="N87" i="10"/>
  <c r="M87" i="10"/>
  <c r="L87" i="10"/>
  <c r="K87" i="10"/>
  <c r="J87" i="10"/>
  <c r="BD86" i="10"/>
  <c r="BA86" i="10"/>
  <c r="AX86" i="10"/>
  <c r="AU86" i="10"/>
  <c r="AR86" i="10"/>
  <c r="AO86" i="10"/>
  <c r="AL86" i="10"/>
  <c r="AI86" i="10"/>
  <c r="AF86" i="10"/>
  <c r="AC86" i="10"/>
  <c r="Z86" i="10"/>
  <c r="BD85" i="10"/>
  <c r="BA85" i="10"/>
  <c r="BA87" i="10"/>
  <c r="AX85" i="10"/>
  <c r="AU85" i="10"/>
  <c r="AR85" i="10"/>
  <c r="AO85" i="10"/>
  <c r="AL85" i="10"/>
  <c r="AI85" i="10"/>
  <c r="AF85" i="10"/>
  <c r="AC85" i="10"/>
  <c r="Z85" i="10"/>
  <c r="BD84" i="10"/>
  <c r="BA84" i="10"/>
  <c r="AX84" i="10"/>
  <c r="AU84" i="10"/>
  <c r="AU87" i="10" s="1"/>
  <c r="AR84" i="10"/>
  <c r="AR87" i="10"/>
  <c r="AO84" i="10"/>
  <c r="AL84" i="10"/>
  <c r="AL87" i="10" s="1"/>
  <c r="AI84" i="10"/>
  <c r="AF84" i="10"/>
  <c r="AC84" i="10"/>
  <c r="Z84" i="10"/>
  <c r="BC83" i="10"/>
  <c r="BB83" i="10"/>
  <c r="BB11" i="11" s="1"/>
  <c r="AZ83" i="10"/>
  <c r="AY83" i="10"/>
  <c r="AY11" i="11"/>
  <c r="AY14" i="11" s="1"/>
  <c r="AW83" i="10"/>
  <c r="AV83" i="10"/>
  <c r="AV11" i="11"/>
  <c r="AV14" i="11" s="1"/>
  <c r="AT83" i="10"/>
  <c r="AS83" i="10"/>
  <c r="AS11" i="11"/>
  <c r="AQ83" i="10"/>
  <c r="AP83" i="10"/>
  <c r="AP11" i="11" s="1"/>
  <c r="AN83" i="10"/>
  <c r="AM83" i="10"/>
  <c r="AM11" i="11" s="1"/>
  <c r="AK83" i="10"/>
  <c r="AJ83" i="10"/>
  <c r="AJ11" i="11" s="1"/>
  <c r="AJ14" i="11" s="1"/>
  <c r="AH83" i="10"/>
  <c r="AG83" i="10"/>
  <c r="AE83" i="10"/>
  <c r="AD83" i="10"/>
  <c r="AB83" i="10"/>
  <c r="AA83" i="10"/>
  <c r="Y83" i="10"/>
  <c r="X83" i="10"/>
  <c r="W83" i="10"/>
  <c r="V83" i="10"/>
  <c r="U83" i="10"/>
  <c r="T83" i="10"/>
  <c r="S83" i="10"/>
  <c r="R83" i="10"/>
  <c r="Q83" i="10"/>
  <c r="P83" i="10"/>
  <c r="O83" i="10"/>
  <c r="N83" i="10"/>
  <c r="M83" i="10"/>
  <c r="L83" i="10"/>
  <c r="K83" i="10"/>
  <c r="J83" i="10"/>
  <c r="BD82" i="10"/>
  <c r="BA82" i="10"/>
  <c r="AX82" i="10"/>
  <c r="AU82" i="10"/>
  <c r="AR82" i="10"/>
  <c r="AO82" i="10"/>
  <c r="AL82" i="10"/>
  <c r="AI82" i="10"/>
  <c r="AF82" i="10"/>
  <c r="AC82" i="10"/>
  <c r="Z82" i="10"/>
  <c r="BD81" i="10"/>
  <c r="BA81" i="10"/>
  <c r="AX81" i="10"/>
  <c r="AU81" i="10"/>
  <c r="AR81" i="10"/>
  <c r="AO81" i="10"/>
  <c r="AL81" i="10"/>
  <c r="AI81" i="10"/>
  <c r="AF81" i="10"/>
  <c r="AC81" i="10"/>
  <c r="Z81" i="10"/>
  <c r="BD80" i="10"/>
  <c r="BA80" i="10"/>
  <c r="AX80" i="10"/>
  <c r="AU80" i="10"/>
  <c r="AR80" i="10"/>
  <c r="AO80" i="10"/>
  <c r="AL80" i="10"/>
  <c r="AI80" i="10"/>
  <c r="AF80" i="10"/>
  <c r="AC80" i="10"/>
  <c r="Z80" i="10"/>
  <c r="BD79" i="10"/>
  <c r="BA79" i="10"/>
  <c r="AX79" i="10"/>
  <c r="AU79" i="10"/>
  <c r="AR79" i="10"/>
  <c r="AO79" i="10"/>
  <c r="AL79" i="10"/>
  <c r="AI79" i="10"/>
  <c r="AF79" i="10"/>
  <c r="AC79" i="10"/>
  <c r="Z79" i="10"/>
  <c r="BC77" i="10"/>
  <c r="BB77" i="10"/>
  <c r="AZ77" i="10"/>
  <c r="AY77" i="10"/>
  <c r="AW77" i="10"/>
  <c r="AV77" i="10"/>
  <c r="AT77" i="10"/>
  <c r="AS77" i="10"/>
  <c r="AQ77" i="10"/>
  <c r="AP77" i="10"/>
  <c r="AN77" i="10"/>
  <c r="AM77" i="10"/>
  <c r="AK77" i="10"/>
  <c r="AJ77" i="10"/>
  <c r="AH77" i="10"/>
  <c r="AG77" i="10"/>
  <c r="AE77" i="10"/>
  <c r="AD77" i="10"/>
  <c r="AB77" i="10"/>
  <c r="AA77" i="10"/>
  <c r="Y77" i="10"/>
  <c r="X77" i="10"/>
  <c r="W77" i="10"/>
  <c r="V77" i="10"/>
  <c r="U77" i="10"/>
  <c r="T77" i="10"/>
  <c r="S77" i="10"/>
  <c r="R77" i="10"/>
  <c r="Q77" i="10"/>
  <c r="P77" i="10"/>
  <c r="O77" i="10"/>
  <c r="N77" i="10"/>
  <c r="M77" i="10"/>
  <c r="L77" i="10"/>
  <c r="K77" i="10"/>
  <c r="J77" i="10"/>
  <c r="I77" i="10"/>
  <c r="H77" i="10"/>
  <c r="G77" i="10"/>
  <c r="F77" i="10"/>
  <c r="E77" i="10"/>
  <c r="D77" i="10"/>
  <c r="C77" i="10"/>
  <c r="BD76" i="10"/>
  <c r="BA76" i="10"/>
  <c r="AX76" i="10"/>
  <c r="AU76" i="10"/>
  <c r="AR76" i="10"/>
  <c r="AO76" i="10"/>
  <c r="AL76" i="10"/>
  <c r="AI76" i="10"/>
  <c r="AF76" i="10"/>
  <c r="AC76" i="10"/>
  <c r="Z76" i="10"/>
  <c r="BD75" i="10"/>
  <c r="BA75" i="10"/>
  <c r="AX75" i="10"/>
  <c r="AU75" i="10"/>
  <c r="AR75" i="10"/>
  <c r="AO75" i="10"/>
  <c r="AL75" i="10"/>
  <c r="AI75" i="10"/>
  <c r="AF75" i="10"/>
  <c r="AC75" i="10"/>
  <c r="Z75" i="10"/>
  <c r="BD74" i="10"/>
  <c r="BA74" i="10"/>
  <c r="AX74" i="10"/>
  <c r="AU74" i="10"/>
  <c r="AR74" i="10"/>
  <c r="AO74" i="10"/>
  <c r="AL74" i="10"/>
  <c r="AI74" i="10"/>
  <c r="AF74" i="10"/>
  <c r="AF77" i="10" s="1"/>
  <c r="AC74" i="10"/>
  <c r="Z74" i="10"/>
  <c r="BD73" i="10"/>
  <c r="BA73" i="10"/>
  <c r="AX73" i="10"/>
  <c r="AU73" i="10"/>
  <c r="AR73" i="10"/>
  <c r="AO73" i="10"/>
  <c r="AL73" i="10"/>
  <c r="AI73" i="10"/>
  <c r="AF73" i="10"/>
  <c r="AC73" i="10"/>
  <c r="Z73" i="10"/>
  <c r="Z77" i="10"/>
  <c r="BC72" i="10"/>
  <c r="BB72" i="10"/>
  <c r="AZ72" i="10"/>
  <c r="AY72" i="10"/>
  <c r="AW72" i="10"/>
  <c r="AV72" i="10"/>
  <c r="AT72" i="10"/>
  <c r="AS72" i="10"/>
  <c r="AQ72" i="10"/>
  <c r="AP72" i="10"/>
  <c r="AN72" i="10"/>
  <c r="AM72" i="10"/>
  <c r="AK72" i="10"/>
  <c r="AJ72" i="10"/>
  <c r="AH72" i="10"/>
  <c r="AG72" i="10"/>
  <c r="AE72" i="10"/>
  <c r="AD72" i="10"/>
  <c r="AB72" i="10"/>
  <c r="AA72" i="10"/>
  <c r="Y72" i="10"/>
  <c r="X72" i="10"/>
  <c r="W72" i="10"/>
  <c r="V72" i="10"/>
  <c r="U72" i="10"/>
  <c r="T72" i="10"/>
  <c r="S72" i="10"/>
  <c r="R72" i="10"/>
  <c r="Q72" i="10"/>
  <c r="P72" i="10"/>
  <c r="O72" i="10"/>
  <c r="N72" i="10"/>
  <c r="M72" i="10"/>
  <c r="L72" i="10"/>
  <c r="K72" i="10"/>
  <c r="J72" i="10"/>
  <c r="I72" i="10"/>
  <c r="H72" i="10"/>
  <c r="G72" i="10"/>
  <c r="F72" i="10"/>
  <c r="E72" i="10"/>
  <c r="D72" i="10"/>
  <c r="C72" i="10"/>
  <c r="BD71" i="10"/>
  <c r="BA71" i="10"/>
  <c r="AX71" i="10"/>
  <c r="AU71" i="10"/>
  <c r="AR71" i="10"/>
  <c r="AO71" i="10"/>
  <c r="AL71" i="10"/>
  <c r="AI71" i="10"/>
  <c r="AF71" i="10"/>
  <c r="AC71" i="10"/>
  <c r="Z71" i="10"/>
  <c r="BD70" i="10"/>
  <c r="BA70" i="10"/>
  <c r="AX70" i="10"/>
  <c r="AU70" i="10"/>
  <c r="AR70" i="10"/>
  <c r="AO70" i="10"/>
  <c r="AL70" i="10"/>
  <c r="AI70" i="10"/>
  <c r="AF70" i="10"/>
  <c r="AC70" i="10"/>
  <c r="Z70" i="10"/>
  <c r="BD69" i="10"/>
  <c r="BA69" i="10"/>
  <c r="AX69" i="10"/>
  <c r="AU69" i="10"/>
  <c r="AR69" i="10"/>
  <c r="AO69" i="10"/>
  <c r="AL69" i="10"/>
  <c r="AI69" i="10"/>
  <c r="AF69" i="10"/>
  <c r="AC69" i="10"/>
  <c r="Z69" i="10"/>
  <c r="BD68" i="10"/>
  <c r="BA68" i="10"/>
  <c r="AX68" i="10"/>
  <c r="AU68" i="10"/>
  <c r="AR68" i="10"/>
  <c r="AO68" i="10"/>
  <c r="AL68" i="10"/>
  <c r="AI68" i="10"/>
  <c r="AF68" i="10"/>
  <c r="AC68" i="10"/>
  <c r="Z68" i="10"/>
  <c r="BD67" i="10"/>
  <c r="BA67" i="10"/>
  <c r="AX67" i="10"/>
  <c r="AU67" i="10"/>
  <c r="AR67" i="10"/>
  <c r="AO67" i="10"/>
  <c r="AL67" i="10"/>
  <c r="AI67" i="10"/>
  <c r="AF67" i="10"/>
  <c r="AC67" i="10"/>
  <c r="Z67" i="10"/>
  <c r="BD66" i="10"/>
  <c r="BA66" i="10"/>
  <c r="AX66" i="10"/>
  <c r="AU66" i="10"/>
  <c r="AR66" i="10"/>
  <c r="AO66" i="10"/>
  <c r="AL66" i="10"/>
  <c r="AI66" i="10"/>
  <c r="AF66" i="10"/>
  <c r="AC66" i="10"/>
  <c r="Z66" i="10"/>
  <c r="BD65" i="10"/>
  <c r="BA65" i="10"/>
  <c r="AX65" i="10"/>
  <c r="AU65" i="10"/>
  <c r="AR65" i="10"/>
  <c r="AO65" i="10"/>
  <c r="AL65" i="10"/>
  <c r="AI65" i="10"/>
  <c r="AF65" i="10"/>
  <c r="AC65" i="10"/>
  <c r="Z65" i="10"/>
  <c r="BD64" i="10"/>
  <c r="BA64" i="10"/>
  <c r="AX64" i="10"/>
  <c r="AU64" i="10"/>
  <c r="AR64" i="10"/>
  <c r="AO64" i="10"/>
  <c r="AL64" i="10"/>
  <c r="AI64" i="10"/>
  <c r="AF64" i="10"/>
  <c r="AC64" i="10"/>
  <c r="Z64" i="10"/>
  <c r="BC63" i="10"/>
  <c r="BB63" i="10"/>
  <c r="AZ63" i="10"/>
  <c r="AY63" i="10"/>
  <c r="AW63" i="10"/>
  <c r="AV63" i="10"/>
  <c r="AT63" i="10"/>
  <c r="AS63" i="10"/>
  <c r="AQ63" i="10"/>
  <c r="AP63" i="10"/>
  <c r="AN63" i="10"/>
  <c r="AM63" i="10"/>
  <c r="AK63" i="10"/>
  <c r="AJ63" i="10"/>
  <c r="AH63" i="10"/>
  <c r="AG63" i="10"/>
  <c r="AE63" i="10"/>
  <c r="AD63" i="10"/>
  <c r="AB63" i="10"/>
  <c r="AA63" i="10"/>
  <c r="Y63" i="10"/>
  <c r="X63" i="10"/>
  <c r="W63" i="10"/>
  <c r="V63" i="10"/>
  <c r="U63" i="10"/>
  <c r="T63" i="10"/>
  <c r="S63" i="10"/>
  <c r="R63" i="10"/>
  <c r="Q63" i="10"/>
  <c r="P63" i="10"/>
  <c r="O63" i="10"/>
  <c r="N63" i="10"/>
  <c r="M63" i="10"/>
  <c r="L63" i="10"/>
  <c r="K63" i="10"/>
  <c r="J63" i="10"/>
  <c r="I63" i="10"/>
  <c r="H63" i="10"/>
  <c r="G63" i="10"/>
  <c r="F63" i="10"/>
  <c r="E63" i="10"/>
  <c r="D63" i="10"/>
  <c r="C63" i="10"/>
  <c r="BD62" i="10"/>
  <c r="BA62" i="10"/>
  <c r="AX62" i="10"/>
  <c r="AU62" i="10"/>
  <c r="AR62" i="10"/>
  <c r="AO62" i="10"/>
  <c r="AL62" i="10"/>
  <c r="AI62" i="10"/>
  <c r="AF62" i="10"/>
  <c r="AC62" i="10"/>
  <c r="Z62" i="10"/>
  <c r="BD61" i="10"/>
  <c r="BA61" i="10"/>
  <c r="AX61" i="10"/>
  <c r="AU61" i="10"/>
  <c r="AR61" i="10"/>
  <c r="AO61" i="10"/>
  <c r="AL61" i="10"/>
  <c r="AI61" i="10"/>
  <c r="AF61" i="10"/>
  <c r="AC61" i="10"/>
  <c r="Z61" i="10"/>
  <c r="BD60" i="10"/>
  <c r="BA60" i="10"/>
  <c r="AX60" i="10"/>
  <c r="AU60" i="10"/>
  <c r="AR60" i="10"/>
  <c r="AO60" i="10"/>
  <c r="AL60" i="10"/>
  <c r="AI60" i="10"/>
  <c r="AF60" i="10"/>
  <c r="AC60" i="10"/>
  <c r="Z60" i="10"/>
  <c r="BD59" i="10"/>
  <c r="BA59" i="10"/>
  <c r="AX59" i="10"/>
  <c r="AU59" i="10"/>
  <c r="AR59" i="10"/>
  <c r="AO59" i="10"/>
  <c r="AL59" i="10"/>
  <c r="AI59" i="10"/>
  <c r="AF59" i="10"/>
  <c r="AC59" i="10"/>
  <c r="Z59" i="10"/>
  <c r="BD58" i="10"/>
  <c r="BA58" i="10"/>
  <c r="AX58" i="10"/>
  <c r="AU58" i="10"/>
  <c r="AR58" i="10"/>
  <c r="AO58" i="10"/>
  <c r="AL58" i="10"/>
  <c r="AI58" i="10"/>
  <c r="AF58" i="10"/>
  <c r="AC58" i="10"/>
  <c r="Z58" i="10"/>
  <c r="BD57" i="10"/>
  <c r="BA57" i="10"/>
  <c r="AX57" i="10"/>
  <c r="AU57" i="10"/>
  <c r="AU63" i="10" s="1"/>
  <c r="AR57" i="10"/>
  <c r="AO57" i="10"/>
  <c r="AL57" i="10"/>
  <c r="AI57" i="10"/>
  <c r="AF57" i="10"/>
  <c r="AC57" i="10"/>
  <c r="Z57" i="10"/>
  <c r="BC56" i="10"/>
  <c r="BC55" i="10"/>
  <c r="BB55" i="10"/>
  <c r="AZ55" i="10"/>
  <c r="AY55" i="10"/>
  <c r="AW55" i="10"/>
  <c r="AV55" i="10"/>
  <c r="AT55" i="10"/>
  <c r="AS55" i="10"/>
  <c r="AQ55" i="10"/>
  <c r="AP55" i="10"/>
  <c r="AN55" i="10"/>
  <c r="AM55" i="10"/>
  <c r="AK55" i="10"/>
  <c r="AJ55" i="10"/>
  <c r="AH55" i="10"/>
  <c r="AG55" i="10"/>
  <c r="AE55" i="10"/>
  <c r="AD55" i="10"/>
  <c r="AB55" i="10"/>
  <c r="AA55" i="10"/>
  <c r="Y55" i="10"/>
  <c r="X55" i="10"/>
  <c r="X56" i="10"/>
  <c r="W55" i="10"/>
  <c r="V55" i="10"/>
  <c r="U55" i="10"/>
  <c r="T55" i="10"/>
  <c r="S55" i="10"/>
  <c r="R55" i="10"/>
  <c r="Q55" i="10"/>
  <c r="P55" i="10"/>
  <c r="P56" i="10"/>
  <c r="O55" i="10"/>
  <c r="N55" i="10"/>
  <c r="M55" i="10"/>
  <c r="L55" i="10"/>
  <c r="K55" i="10"/>
  <c r="J55" i="10"/>
  <c r="I55" i="10"/>
  <c r="H55" i="10"/>
  <c r="H56" i="10" s="1"/>
  <c r="G55" i="10"/>
  <c r="F55" i="10"/>
  <c r="E55" i="10"/>
  <c r="D55" i="10"/>
  <c r="C55" i="10"/>
  <c r="BD54" i="10"/>
  <c r="BA54" i="10"/>
  <c r="AX54" i="10"/>
  <c r="AU54" i="10"/>
  <c r="AR54" i="10"/>
  <c r="AO54" i="10"/>
  <c r="AL54" i="10"/>
  <c r="AI54" i="10"/>
  <c r="AF54" i="10"/>
  <c r="AC54" i="10"/>
  <c r="Z54" i="10"/>
  <c r="BD53" i="10"/>
  <c r="BA53" i="10"/>
  <c r="AX53" i="10"/>
  <c r="AU53" i="10"/>
  <c r="AR53" i="10"/>
  <c r="AO53" i="10"/>
  <c r="AL53" i="10"/>
  <c r="AI53" i="10"/>
  <c r="AF53" i="10"/>
  <c r="AC53" i="10"/>
  <c r="Z53" i="10"/>
  <c r="BD52" i="10"/>
  <c r="BA52" i="10"/>
  <c r="AX52" i="10"/>
  <c r="AU52" i="10"/>
  <c r="AR52" i="10"/>
  <c r="AO52" i="10"/>
  <c r="AL52" i="10"/>
  <c r="AI52" i="10"/>
  <c r="AF52" i="10"/>
  <c r="AC52" i="10"/>
  <c r="Z52" i="10"/>
  <c r="BD51" i="10"/>
  <c r="BA51" i="10"/>
  <c r="AX51" i="10"/>
  <c r="AU51" i="10"/>
  <c r="AR51" i="10"/>
  <c r="AO51" i="10"/>
  <c r="AL51" i="10"/>
  <c r="AI51" i="10"/>
  <c r="AF51" i="10"/>
  <c r="AC51" i="10"/>
  <c r="Z51" i="10"/>
  <c r="BD50" i="10"/>
  <c r="BA50" i="10"/>
  <c r="AX50" i="10"/>
  <c r="AU50" i="10"/>
  <c r="AR50" i="10"/>
  <c r="AO50" i="10"/>
  <c r="AL50" i="10"/>
  <c r="AI50" i="10"/>
  <c r="AF50" i="10"/>
  <c r="AC50" i="10"/>
  <c r="Z50" i="10"/>
  <c r="BD49" i="10"/>
  <c r="BA49" i="10"/>
  <c r="AX49" i="10"/>
  <c r="AU49" i="10"/>
  <c r="AR49" i="10"/>
  <c r="AO49" i="10"/>
  <c r="AL49" i="10"/>
  <c r="AI49" i="10"/>
  <c r="AF49" i="10"/>
  <c r="AC49" i="10"/>
  <c r="Z49" i="10"/>
  <c r="BC48" i="10"/>
  <c r="BB48" i="10"/>
  <c r="AZ48" i="10"/>
  <c r="AY48" i="10"/>
  <c r="AW48" i="10"/>
  <c r="AV48" i="10"/>
  <c r="AT48" i="10"/>
  <c r="AS48" i="10"/>
  <c r="AQ48" i="10"/>
  <c r="AP48" i="10"/>
  <c r="AN48" i="10"/>
  <c r="AM48" i="10"/>
  <c r="AK48" i="10"/>
  <c r="AJ48" i="10"/>
  <c r="AH48" i="10"/>
  <c r="AG48" i="10"/>
  <c r="AE48" i="10"/>
  <c r="AD48" i="10"/>
  <c r="AB48" i="10"/>
  <c r="AA48" i="10"/>
  <c r="Y48" i="10"/>
  <c r="X48" i="10"/>
  <c r="W48" i="10"/>
  <c r="V48" i="10"/>
  <c r="U48" i="10"/>
  <c r="T48" i="10"/>
  <c r="S48" i="10"/>
  <c r="R48" i="10"/>
  <c r="Q48" i="10"/>
  <c r="P48" i="10"/>
  <c r="O48" i="10"/>
  <c r="O56" i="10" s="1"/>
  <c r="N48" i="10"/>
  <c r="M48" i="10"/>
  <c r="L48" i="10"/>
  <c r="K48" i="10"/>
  <c r="J48" i="10"/>
  <c r="I48" i="10"/>
  <c r="H48" i="10"/>
  <c r="G48" i="10"/>
  <c r="G56" i="10" s="1"/>
  <c r="F48" i="10"/>
  <c r="E48" i="10"/>
  <c r="D48" i="10"/>
  <c r="C48" i="10"/>
  <c r="BD47" i="10"/>
  <c r="BA47" i="10"/>
  <c r="AX47" i="10"/>
  <c r="AU47" i="10"/>
  <c r="AR47" i="10"/>
  <c r="AO47" i="10"/>
  <c r="AL47" i="10"/>
  <c r="AI47" i="10"/>
  <c r="AF47" i="10"/>
  <c r="AC47" i="10"/>
  <c r="Z47" i="10"/>
  <c r="BD46" i="10"/>
  <c r="BA46" i="10"/>
  <c r="AX46" i="10"/>
  <c r="AU46" i="10"/>
  <c r="AR46" i="10"/>
  <c r="AO46" i="10"/>
  <c r="AL46" i="10"/>
  <c r="AI46" i="10"/>
  <c r="AF46" i="10"/>
  <c r="AC46" i="10"/>
  <c r="Z46" i="10"/>
  <c r="BD45" i="10"/>
  <c r="BA45" i="10"/>
  <c r="AX45" i="10"/>
  <c r="AU45" i="10"/>
  <c r="AR45" i="10"/>
  <c r="AO45" i="10"/>
  <c r="AL45" i="10"/>
  <c r="AI45" i="10"/>
  <c r="AF45" i="10"/>
  <c r="AC45" i="10"/>
  <c r="Z45" i="10"/>
  <c r="BD44" i="10"/>
  <c r="BA44" i="10"/>
  <c r="AX44" i="10"/>
  <c r="AU44" i="10"/>
  <c r="AR44" i="10"/>
  <c r="AO44" i="10"/>
  <c r="AL44" i="10"/>
  <c r="AI44" i="10"/>
  <c r="AF44" i="10"/>
  <c r="AC44" i="10"/>
  <c r="Z44" i="10"/>
  <c r="BD43" i="10"/>
  <c r="BA43" i="10"/>
  <c r="AX43" i="10"/>
  <c r="AU43" i="10"/>
  <c r="AR43" i="10"/>
  <c r="AO43" i="10"/>
  <c r="AL43" i="10"/>
  <c r="AI43" i="10"/>
  <c r="AF43" i="10"/>
  <c r="AC43" i="10"/>
  <c r="Z43" i="10"/>
  <c r="BD42" i="10"/>
  <c r="BA42" i="10"/>
  <c r="AX42" i="10"/>
  <c r="AU42" i="10"/>
  <c r="AR42" i="10"/>
  <c r="AO42" i="10"/>
  <c r="AL42" i="10"/>
  <c r="AI42" i="10"/>
  <c r="AF42" i="10"/>
  <c r="AC42" i="10"/>
  <c r="Z42" i="10"/>
  <c r="BD41" i="10"/>
  <c r="BA41" i="10"/>
  <c r="AX41" i="10"/>
  <c r="AU41" i="10"/>
  <c r="AR41" i="10"/>
  <c r="AO41" i="10"/>
  <c r="AL41" i="10"/>
  <c r="AI41" i="10"/>
  <c r="AF41" i="10"/>
  <c r="AC41" i="10"/>
  <c r="Z41" i="10"/>
  <c r="BD40" i="10"/>
  <c r="BA40" i="10"/>
  <c r="AX40" i="10"/>
  <c r="AU40" i="10"/>
  <c r="AR40" i="10"/>
  <c r="AO40" i="10"/>
  <c r="AL40" i="10"/>
  <c r="AI40" i="10"/>
  <c r="AF40" i="10"/>
  <c r="AC40" i="10"/>
  <c r="Z40" i="10"/>
  <c r="BD39" i="10"/>
  <c r="BA39" i="10"/>
  <c r="AX39" i="10"/>
  <c r="AU39" i="10"/>
  <c r="AR39" i="10"/>
  <c r="AO39" i="10"/>
  <c r="AL39" i="10"/>
  <c r="AI39" i="10"/>
  <c r="AF39" i="10"/>
  <c r="AC39" i="10"/>
  <c r="Z39" i="10"/>
  <c r="BD38" i="10"/>
  <c r="BA38" i="10"/>
  <c r="AX38" i="10"/>
  <c r="AU38" i="10"/>
  <c r="AR38" i="10"/>
  <c r="AO38" i="10"/>
  <c r="AL38" i="10"/>
  <c r="AI38" i="10"/>
  <c r="AF38" i="10"/>
  <c r="AC38" i="10"/>
  <c r="Z38" i="10"/>
  <c r="BD37" i="10"/>
  <c r="BA37" i="10"/>
  <c r="AX37" i="10"/>
  <c r="AU37" i="10"/>
  <c r="AR37" i="10"/>
  <c r="AO37" i="10"/>
  <c r="AL37" i="10"/>
  <c r="AI37" i="10"/>
  <c r="AF37" i="10"/>
  <c r="AC37" i="10"/>
  <c r="Z37" i="10"/>
  <c r="BC36" i="10"/>
  <c r="BB36" i="10"/>
  <c r="AZ36" i="10"/>
  <c r="AY36" i="10"/>
  <c r="AW36" i="10"/>
  <c r="AV36" i="10"/>
  <c r="AT36" i="10"/>
  <c r="AS36" i="10"/>
  <c r="AQ36" i="10"/>
  <c r="AP36" i="10"/>
  <c r="AN36" i="10"/>
  <c r="AM36" i="10"/>
  <c r="AK36" i="10"/>
  <c r="AJ36" i="10"/>
  <c r="AH36" i="10"/>
  <c r="AG36" i="10"/>
  <c r="AE36" i="10"/>
  <c r="AD36" i="10"/>
  <c r="AB36" i="10"/>
  <c r="AA36" i="10"/>
  <c r="Y36" i="10"/>
  <c r="X36" i="10"/>
  <c r="W36" i="10"/>
  <c r="V36" i="10"/>
  <c r="U36" i="10"/>
  <c r="T36" i="10"/>
  <c r="S36" i="10"/>
  <c r="R36" i="10"/>
  <c r="Q36" i="10"/>
  <c r="P36" i="10"/>
  <c r="O36" i="10"/>
  <c r="N36" i="10"/>
  <c r="M36" i="10"/>
  <c r="L36" i="10"/>
  <c r="K36" i="10"/>
  <c r="J36" i="10"/>
  <c r="I36" i="10"/>
  <c r="H36" i="10"/>
  <c r="G36" i="10"/>
  <c r="F36" i="10"/>
  <c r="E36" i="10"/>
  <c r="D36" i="10"/>
  <c r="C36" i="10"/>
  <c r="BD35" i="10"/>
  <c r="BA35" i="10"/>
  <c r="AX35" i="10"/>
  <c r="AU35" i="10"/>
  <c r="AR35" i="10"/>
  <c r="BD34" i="10"/>
  <c r="BA34" i="10"/>
  <c r="AX34" i="10"/>
  <c r="AU34" i="10"/>
  <c r="AR34" i="10"/>
  <c r="AO34" i="10"/>
  <c r="AL34" i="10"/>
  <c r="AI34" i="10"/>
  <c r="AF34" i="10"/>
  <c r="AC34" i="10"/>
  <c r="Z34" i="10"/>
  <c r="BD33" i="10"/>
  <c r="BA33" i="10"/>
  <c r="AX33" i="10"/>
  <c r="AU33" i="10"/>
  <c r="AR33" i="10"/>
  <c r="AO33" i="10"/>
  <c r="AL33" i="10"/>
  <c r="AI33" i="10"/>
  <c r="AF33" i="10"/>
  <c r="AC33" i="10"/>
  <c r="Z33" i="10"/>
  <c r="BD32" i="10"/>
  <c r="BA32" i="10"/>
  <c r="AX32" i="10"/>
  <c r="AU32" i="10"/>
  <c r="AR32" i="10"/>
  <c r="AO32" i="10"/>
  <c r="AL32" i="10"/>
  <c r="AI32" i="10"/>
  <c r="AF32" i="10"/>
  <c r="AC32" i="10"/>
  <c r="Z32" i="10"/>
  <c r="BD31" i="10"/>
  <c r="BA31" i="10"/>
  <c r="AX31" i="10"/>
  <c r="AU31" i="10"/>
  <c r="AR31" i="10"/>
  <c r="AO31" i="10"/>
  <c r="AL31" i="10"/>
  <c r="AI31" i="10"/>
  <c r="AF31" i="10"/>
  <c r="AC31" i="10"/>
  <c r="Z31" i="10"/>
  <c r="BD30" i="10"/>
  <c r="BA30" i="10"/>
  <c r="AX30" i="10"/>
  <c r="AU30" i="10"/>
  <c r="AR30" i="10"/>
  <c r="AO30" i="10"/>
  <c r="AL30" i="10"/>
  <c r="AI30" i="10"/>
  <c r="AF30" i="10"/>
  <c r="AC30" i="10"/>
  <c r="Z30" i="10"/>
  <c r="BD29" i="10"/>
  <c r="BA29" i="10"/>
  <c r="AX29" i="10"/>
  <c r="AU29" i="10"/>
  <c r="AR29" i="10"/>
  <c r="AO29" i="10"/>
  <c r="AL29" i="10"/>
  <c r="AI29" i="10"/>
  <c r="AF29" i="10"/>
  <c r="AC29" i="10"/>
  <c r="Z29" i="10"/>
  <c r="BD28" i="10"/>
  <c r="BA28" i="10"/>
  <c r="AX28" i="10"/>
  <c r="AU28" i="10"/>
  <c r="AR28" i="10"/>
  <c r="AO28" i="10"/>
  <c r="AL28" i="10"/>
  <c r="AI28" i="10"/>
  <c r="AF28" i="10"/>
  <c r="AC28" i="10"/>
  <c r="Z28" i="10"/>
  <c r="BD27" i="10"/>
  <c r="BA27" i="10"/>
  <c r="AX27" i="10"/>
  <c r="AU27" i="10"/>
  <c r="AR27" i="10"/>
  <c r="AO27" i="10"/>
  <c r="AL27" i="10"/>
  <c r="AI27" i="10"/>
  <c r="AF27" i="10"/>
  <c r="AC27" i="10"/>
  <c r="Z27" i="10"/>
  <c r="BD26" i="10"/>
  <c r="BA26" i="10"/>
  <c r="AX26" i="10"/>
  <c r="AU26" i="10"/>
  <c r="AR26" i="10"/>
  <c r="AO26" i="10"/>
  <c r="AL26" i="10"/>
  <c r="AI26" i="10"/>
  <c r="AF26" i="10"/>
  <c r="AC26" i="10"/>
  <c r="Z26" i="10"/>
  <c r="BC24" i="10"/>
  <c r="BB24" i="10"/>
  <c r="AZ24" i="10"/>
  <c r="AY24" i="10"/>
  <c r="AW24" i="10"/>
  <c r="AV24" i="10"/>
  <c r="AT24" i="10"/>
  <c r="AS24" i="10"/>
  <c r="AQ24" i="10"/>
  <c r="AQ25" i="10" s="1"/>
  <c r="AP24" i="10"/>
  <c r="AP25" i="10" s="1"/>
  <c r="AN24" i="10"/>
  <c r="AM24" i="10"/>
  <c r="AK24" i="10"/>
  <c r="AJ24" i="10"/>
  <c r="AH24" i="10"/>
  <c r="AG24" i="10"/>
  <c r="AE24" i="10"/>
  <c r="AD24" i="10"/>
  <c r="AB24" i="10"/>
  <c r="AA24" i="10"/>
  <c r="Y24" i="10"/>
  <c r="X24" i="10"/>
  <c r="W24" i="10"/>
  <c r="W25" i="10"/>
  <c r="V24" i="10"/>
  <c r="U24" i="10"/>
  <c r="T24" i="10"/>
  <c r="S24" i="10"/>
  <c r="R24" i="10"/>
  <c r="R25" i="10" s="1"/>
  <c r="Q24" i="10"/>
  <c r="P24" i="10"/>
  <c r="O24" i="10"/>
  <c r="O25" i="10" s="1"/>
  <c r="N24" i="10"/>
  <c r="M24" i="10"/>
  <c r="L24" i="10"/>
  <c r="K24" i="10"/>
  <c r="K25" i="10" s="1"/>
  <c r="J24" i="10"/>
  <c r="I24" i="10"/>
  <c r="H24" i="10"/>
  <c r="G24" i="10"/>
  <c r="F24" i="10"/>
  <c r="E24" i="10"/>
  <c r="D24" i="10"/>
  <c r="C24" i="10"/>
  <c r="C25" i="10" s="1"/>
  <c r="BD23" i="10"/>
  <c r="BA23" i="10"/>
  <c r="AX23" i="10"/>
  <c r="AU23" i="10"/>
  <c r="AR23" i="10"/>
  <c r="AO23" i="10"/>
  <c r="AL23" i="10"/>
  <c r="AI23" i="10"/>
  <c r="AF23" i="10"/>
  <c r="AC23" i="10"/>
  <c r="AC24" i="10"/>
  <c r="Z23" i="10"/>
  <c r="BD22" i="10"/>
  <c r="BA22" i="10"/>
  <c r="AX22" i="10"/>
  <c r="AU22" i="10"/>
  <c r="AR22" i="10"/>
  <c r="AO22" i="10"/>
  <c r="AO24" i="10" s="1"/>
  <c r="AL22" i="10"/>
  <c r="AI22" i="10"/>
  <c r="AF22" i="10"/>
  <c r="AC22" i="10"/>
  <c r="Z22" i="10"/>
  <c r="BD21" i="10"/>
  <c r="BD24" i="10" s="1"/>
  <c r="BA21" i="10"/>
  <c r="AX21" i="10"/>
  <c r="AU21" i="10"/>
  <c r="AR21" i="10"/>
  <c r="AR24" i="10" s="1"/>
  <c r="AO21" i="10"/>
  <c r="AL21" i="10"/>
  <c r="AI21" i="10"/>
  <c r="AF21" i="10"/>
  <c r="AF24" i="10" s="1"/>
  <c r="AC21" i="10"/>
  <c r="Z21" i="10"/>
  <c r="BC20" i="10"/>
  <c r="BB20" i="10"/>
  <c r="AZ20" i="10"/>
  <c r="AY20" i="10"/>
  <c r="AW20" i="10"/>
  <c r="AV20" i="10"/>
  <c r="AT20" i="10"/>
  <c r="AS20" i="10"/>
  <c r="AQ20" i="10"/>
  <c r="AP20" i="10"/>
  <c r="AN20" i="10"/>
  <c r="AM20" i="10"/>
  <c r="AK20" i="10"/>
  <c r="AJ20" i="10"/>
  <c r="AH20" i="10"/>
  <c r="AG20" i="10"/>
  <c r="AE20" i="10"/>
  <c r="AD20" i="10"/>
  <c r="AB20" i="10"/>
  <c r="AA20" i="10"/>
  <c r="Y20" i="10"/>
  <c r="X20" i="10"/>
  <c r="W20" i="10"/>
  <c r="V20" i="10"/>
  <c r="U20" i="10"/>
  <c r="T20" i="10"/>
  <c r="S20" i="10"/>
  <c r="R20" i="10"/>
  <c r="Q20" i="10"/>
  <c r="P20" i="10"/>
  <c r="O20" i="10"/>
  <c r="N20" i="10"/>
  <c r="M20" i="10"/>
  <c r="L20" i="10"/>
  <c r="K20" i="10"/>
  <c r="J20" i="10"/>
  <c r="I20" i="10"/>
  <c r="H20" i="10"/>
  <c r="G20" i="10"/>
  <c r="F20" i="10"/>
  <c r="E20" i="10"/>
  <c r="D20" i="10"/>
  <c r="C20" i="10"/>
  <c r="BD19" i="10"/>
  <c r="BA19" i="10"/>
  <c r="AX19" i="10"/>
  <c r="AU19" i="10"/>
  <c r="AR19" i="10"/>
  <c r="AO19" i="10"/>
  <c r="AL19" i="10"/>
  <c r="AI19" i="10"/>
  <c r="AF19" i="10"/>
  <c r="AC19" i="10"/>
  <c r="Z19" i="10"/>
  <c r="BD18" i="10"/>
  <c r="BA18" i="10"/>
  <c r="AX18" i="10"/>
  <c r="AU18" i="10"/>
  <c r="AR18" i="10"/>
  <c r="AO18" i="10"/>
  <c r="AL18" i="10"/>
  <c r="AI18" i="10"/>
  <c r="AF18" i="10"/>
  <c r="AC18" i="10"/>
  <c r="Z18" i="10"/>
  <c r="BD17" i="10"/>
  <c r="BA17" i="10"/>
  <c r="AX17" i="10"/>
  <c r="AU17" i="10"/>
  <c r="AR17" i="10"/>
  <c r="AO17" i="10"/>
  <c r="AL17" i="10"/>
  <c r="AI17" i="10"/>
  <c r="AF17" i="10"/>
  <c r="AC17" i="10"/>
  <c r="Z17" i="10"/>
  <c r="BD16" i="10"/>
  <c r="BA16" i="10"/>
  <c r="AX16" i="10"/>
  <c r="AU16" i="10"/>
  <c r="AR16" i="10"/>
  <c r="AO16" i="10"/>
  <c r="AL16" i="10"/>
  <c r="AI16" i="10"/>
  <c r="AF16" i="10"/>
  <c r="AC16" i="10"/>
  <c r="Z16" i="10"/>
  <c r="BC15" i="10"/>
  <c r="BB15" i="10"/>
  <c r="AZ15" i="10"/>
  <c r="AY15" i="10"/>
  <c r="AW15" i="10"/>
  <c r="AV15" i="10"/>
  <c r="AT15" i="10"/>
  <c r="AS15" i="10"/>
  <c r="AQ15" i="10"/>
  <c r="AP15" i="10"/>
  <c r="AN15" i="10"/>
  <c r="AM15" i="10"/>
  <c r="AK15" i="10"/>
  <c r="AJ15" i="10"/>
  <c r="AH15" i="10"/>
  <c r="AG15" i="10"/>
  <c r="AE15" i="10"/>
  <c r="AD15" i="10"/>
  <c r="AB15" i="10"/>
  <c r="AA15" i="10"/>
  <c r="Y15" i="10"/>
  <c r="X15" i="10"/>
  <c r="W15" i="10"/>
  <c r="V15" i="10"/>
  <c r="U15" i="10"/>
  <c r="T15" i="10"/>
  <c r="S15" i="10"/>
  <c r="R15" i="10"/>
  <c r="Q15" i="10"/>
  <c r="P15" i="10"/>
  <c r="O15" i="10"/>
  <c r="N15" i="10"/>
  <c r="M15" i="10"/>
  <c r="L15" i="10"/>
  <c r="K15" i="10"/>
  <c r="J15" i="10"/>
  <c r="I15" i="10"/>
  <c r="H15" i="10"/>
  <c r="G15" i="10"/>
  <c r="F15" i="10"/>
  <c r="E15" i="10"/>
  <c r="D15" i="10"/>
  <c r="C15" i="10"/>
  <c r="BD14" i="10"/>
  <c r="BA14" i="10"/>
  <c r="AX14" i="10"/>
  <c r="AU14" i="10"/>
  <c r="AR14" i="10"/>
  <c r="AO14" i="10"/>
  <c r="AL14" i="10"/>
  <c r="AI14" i="10"/>
  <c r="AF14" i="10"/>
  <c r="AC14" i="10"/>
  <c r="Z14" i="10"/>
  <c r="BD13" i="10"/>
  <c r="BA13" i="10"/>
  <c r="AX13" i="10"/>
  <c r="AU13" i="10"/>
  <c r="AR13" i="10"/>
  <c r="AO13" i="10"/>
  <c r="AL13" i="10"/>
  <c r="AI13" i="10"/>
  <c r="AF13" i="10"/>
  <c r="AC13" i="10"/>
  <c r="Z13" i="10"/>
  <c r="BD12" i="10"/>
  <c r="BA12" i="10"/>
  <c r="AX12" i="10"/>
  <c r="AU12" i="10"/>
  <c r="AR12" i="10"/>
  <c r="AO12" i="10"/>
  <c r="AL12" i="10"/>
  <c r="AI12" i="10"/>
  <c r="AF12" i="10"/>
  <c r="AC12" i="10"/>
  <c r="Z12" i="10"/>
  <c r="BD11" i="10"/>
  <c r="BA11" i="10"/>
  <c r="AX11" i="10"/>
  <c r="AU11" i="10"/>
  <c r="AR11" i="10"/>
  <c r="AO11" i="10"/>
  <c r="AL11" i="10"/>
  <c r="AI11" i="10"/>
  <c r="AF11" i="10"/>
  <c r="AC11" i="10"/>
  <c r="Z11" i="10"/>
  <c r="BD10" i="10"/>
  <c r="BA10" i="10"/>
  <c r="AX10" i="10"/>
  <c r="AU10" i="10"/>
  <c r="AR10" i="10"/>
  <c r="AO10" i="10"/>
  <c r="AL10" i="10"/>
  <c r="AI10" i="10"/>
  <c r="AF10" i="10"/>
  <c r="AC10" i="10"/>
  <c r="Z10" i="10"/>
  <c r="BD9" i="10"/>
  <c r="BA9" i="10"/>
  <c r="AX9" i="10"/>
  <c r="AU9" i="10"/>
  <c r="AR9" i="10"/>
  <c r="AO9" i="10"/>
  <c r="AL9" i="10"/>
  <c r="AI9" i="10"/>
  <c r="AF9" i="10"/>
  <c r="AC9" i="10"/>
  <c r="Z9" i="10"/>
  <c r="BD8" i="10"/>
  <c r="BA8" i="10"/>
  <c r="AX8" i="10"/>
  <c r="AU8" i="10"/>
  <c r="AR8" i="10"/>
  <c r="AO8" i="10"/>
  <c r="AL8" i="10"/>
  <c r="AI8" i="10"/>
  <c r="AF8" i="10"/>
  <c r="AC8" i="10"/>
  <c r="Z8" i="10"/>
  <c r="BD7" i="10"/>
  <c r="BA7" i="10"/>
  <c r="AX7" i="10"/>
  <c r="AU7" i="10"/>
  <c r="AR7" i="10"/>
  <c r="AO7" i="10"/>
  <c r="AL7" i="10"/>
  <c r="AI7" i="10"/>
  <c r="AF7" i="10"/>
  <c r="AC7" i="10"/>
  <c r="Z7" i="10"/>
  <c r="BD6" i="10"/>
  <c r="BA6" i="10"/>
  <c r="AX6" i="10"/>
  <c r="AU6" i="10"/>
  <c r="AR6" i="10"/>
  <c r="AO6" i="10"/>
  <c r="AL6" i="10"/>
  <c r="AI6" i="10"/>
  <c r="AF6" i="10"/>
  <c r="AC6" i="10"/>
  <c r="Z6" i="10"/>
  <c r="BD5" i="10"/>
  <c r="BA5" i="10"/>
  <c r="AX5" i="10"/>
  <c r="AU5" i="10"/>
  <c r="AR5" i="10"/>
  <c r="AO5" i="10"/>
  <c r="AL5" i="10"/>
  <c r="AI5" i="10"/>
  <c r="AF5" i="10"/>
  <c r="AC5" i="10"/>
  <c r="Z5" i="10"/>
  <c r="AN36" i="8"/>
  <c r="AM36" i="8"/>
  <c r="AK36" i="8"/>
  <c r="AJ36" i="8"/>
  <c r="AH36" i="8"/>
  <c r="AG36" i="8"/>
  <c r="AE36" i="8"/>
  <c r="AD36" i="8"/>
  <c r="AB36" i="8"/>
  <c r="AA36" i="8"/>
  <c r="Y36" i="8"/>
  <c r="X36" i="8"/>
  <c r="V36" i="8"/>
  <c r="U36" i="8"/>
  <c r="S36" i="8"/>
  <c r="R36" i="8"/>
  <c r="P36" i="8"/>
  <c r="O36" i="8"/>
  <c r="M36" i="8"/>
  <c r="N36" i="8" s="1"/>
  <c r="L36" i="8"/>
  <c r="J36" i="8"/>
  <c r="I36" i="8"/>
  <c r="G36" i="8"/>
  <c r="F36" i="8"/>
  <c r="D36" i="8"/>
  <c r="C36" i="8"/>
  <c r="AN35" i="8"/>
  <c r="AM35" i="8"/>
  <c r="AK35" i="8"/>
  <c r="AJ35" i="8"/>
  <c r="AH35" i="8"/>
  <c r="AG35" i="8"/>
  <c r="AE35" i="8"/>
  <c r="AD35" i="8"/>
  <c r="AB35" i="8"/>
  <c r="AA35" i="8"/>
  <c r="Y35" i="8"/>
  <c r="X35" i="8"/>
  <c r="V35" i="8"/>
  <c r="U35" i="8"/>
  <c r="S35" i="8"/>
  <c r="T35" i="8" s="1"/>
  <c r="R35" i="8"/>
  <c r="P35" i="8"/>
  <c r="Q35" i="8" s="1"/>
  <c r="O35" i="8"/>
  <c r="M35" i="8"/>
  <c r="L35" i="8"/>
  <c r="J35" i="8"/>
  <c r="I35" i="8"/>
  <c r="G35" i="8"/>
  <c r="F35" i="8"/>
  <c r="D35" i="8"/>
  <c r="E35" i="8" s="1"/>
  <c r="C35" i="8"/>
  <c r="AN34" i="8"/>
  <c r="AM34" i="8"/>
  <c r="AK34" i="8"/>
  <c r="AJ34" i="8"/>
  <c r="AH34" i="8"/>
  <c r="AG34" i="8"/>
  <c r="AE34" i="8"/>
  <c r="AD34" i="8"/>
  <c r="AB34" i="8"/>
  <c r="AA34" i="8"/>
  <c r="Y34" i="8"/>
  <c r="X34" i="8"/>
  <c r="V34" i="8"/>
  <c r="U34" i="8"/>
  <c r="S34" i="8"/>
  <c r="T34" i="8" s="1"/>
  <c r="R34" i="8"/>
  <c r="P34" i="8"/>
  <c r="O34" i="8"/>
  <c r="M34" i="8"/>
  <c r="L34" i="8"/>
  <c r="J34" i="8"/>
  <c r="K34" i="8" s="1"/>
  <c r="I34" i="8"/>
  <c r="G34" i="8"/>
  <c r="F34" i="8"/>
  <c r="D34" i="8"/>
  <c r="C34" i="8"/>
  <c r="AN33" i="8"/>
  <c r="AM33" i="8"/>
  <c r="AK33" i="8"/>
  <c r="AJ33" i="8"/>
  <c r="AH33" i="8"/>
  <c r="AG33" i="8"/>
  <c r="AE33" i="8"/>
  <c r="AD33" i="8"/>
  <c r="AB33" i="8"/>
  <c r="AA33" i="8"/>
  <c r="Y33" i="8"/>
  <c r="X33" i="8"/>
  <c r="V33" i="8"/>
  <c r="U33" i="8"/>
  <c r="S33" i="8"/>
  <c r="R33" i="8"/>
  <c r="P33" i="8"/>
  <c r="O33" i="8"/>
  <c r="M33" i="8"/>
  <c r="N33" i="8" s="1"/>
  <c r="L33" i="8"/>
  <c r="J33" i="8"/>
  <c r="I33" i="8"/>
  <c r="K33" i="8" s="1"/>
  <c r="G33" i="8"/>
  <c r="F33" i="8"/>
  <c r="D33" i="8"/>
  <c r="C33" i="8"/>
  <c r="AN32" i="8"/>
  <c r="AM32" i="8"/>
  <c r="AK32" i="8"/>
  <c r="AJ32" i="8"/>
  <c r="AH32" i="8"/>
  <c r="AG32" i="8"/>
  <c r="AE32" i="8"/>
  <c r="AD32" i="8"/>
  <c r="AB32" i="8"/>
  <c r="AA32" i="8"/>
  <c r="Y32" i="8"/>
  <c r="X32" i="8"/>
  <c r="V32" i="8"/>
  <c r="U32" i="8"/>
  <c r="S32" i="8"/>
  <c r="R32" i="8"/>
  <c r="P32" i="8"/>
  <c r="O32" i="8"/>
  <c r="Q32" i="8" s="1"/>
  <c r="M32" i="8"/>
  <c r="L32" i="8"/>
  <c r="J32" i="8"/>
  <c r="I32" i="8"/>
  <c r="G32" i="8"/>
  <c r="F32" i="8"/>
  <c r="D32" i="8"/>
  <c r="C32" i="8"/>
  <c r="E32" i="8" s="1"/>
  <c r="AN31" i="8"/>
  <c r="AM31" i="8"/>
  <c r="AK31" i="8"/>
  <c r="AJ31" i="8"/>
  <c r="AJ37" i="8" s="1"/>
  <c r="AH31" i="8"/>
  <c r="AG31" i="8"/>
  <c r="AE31" i="8"/>
  <c r="AD31" i="8"/>
  <c r="AB31" i="8"/>
  <c r="AA31" i="8"/>
  <c r="AA37" i="8" s="1"/>
  <c r="Y31" i="8"/>
  <c r="X31" i="8"/>
  <c r="V31" i="8"/>
  <c r="U31" i="8"/>
  <c r="U37" i="8"/>
  <c r="S31" i="8"/>
  <c r="T31" i="8"/>
  <c r="R31" i="8"/>
  <c r="P31" i="8"/>
  <c r="O31" i="8"/>
  <c r="M31" i="8"/>
  <c r="L31" i="8"/>
  <c r="J31" i="8"/>
  <c r="I31" i="8"/>
  <c r="G31" i="8"/>
  <c r="F31" i="8"/>
  <c r="D31" i="8"/>
  <c r="C31" i="8"/>
  <c r="AN29" i="8"/>
  <c r="AM29" i="8"/>
  <c r="AK29" i="8"/>
  <c r="AJ29" i="8"/>
  <c r="AH29" i="8"/>
  <c r="AG29" i="8"/>
  <c r="AE29" i="8"/>
  <c r="AD29" i="8"/>
  <c r="AB29" i="8"/>
  <c r="AA29" i="8"/>
  <c r="Y29" i="8"/>
  <c r="X29" i="8"/>
  <c r="V29" i="8"/>
  <c r="U29" i="8"/>
  <c r="S29" i="8"/>
  <c r="R29" i="8"/>
  <c r="P29" i="8"/>
  <c r="O29" i="8"/>
  <c r="M29" i="8"/>
  <c r="L29" i="8"/>
  <c r="J29" i="8"/>
  <c r="I29" i="8"/>
  <c r="G29" i="8"/>
  <c r="F29" i="8"/>
  <c r="D29" i="8"/>
  <c r="C29" i="8"/>
  <c r="AO28" i="8"/>
  <c r="AL28" i="8"/>
  <c r="AI28" i="8"/>
  <c r="AI34" i="8" s="1"/>
  <c r="AF28" i="8"/>
  <c r="AC28" i="8"/>
  <c r="Z28" i="8"/>
  <c r="W28" i="8"/>
  <c r="T28" i="8"/>
  <c r="Q28" i="8"/>
  <c r="N28" i="8"/>
  <c r="K28" i="8"/>
  <c r="H28" i="8"/>
  <c r="E28" i="8"/>
  <c r="AO27" i="8"/>
  <c r="AL27" i="8"/>
  <c r="AI27" i="8"/>
  <c r="AF27" i="8"/>
  <c r="AC27" i="8"/>
  <c r="Z27" i="8"/>
  <c r="W27" i="8"/>
  <c r="T27" i="8"/>
  <c r="Q27" i="8"/>
  <c r="N27" i="8"/>
  <c r="K27" i="8"/>
  <c r="H27" i="8"/>
  <c r="E27" i="8"/>
  <c r="AO26" i="8"/>
  <c r="AL26" i="8"/>
  <c r="AI26" i="8"/>
  <c r="AF26" i="8"/>
  <c r="AC26" i="8"/>
  <c r="Z26" i="8"/>
  <c r="W26" i="8"/>
  <c r="T26" i="8"/>
  <c r="Q26" i="8"/>
  <c r="N26" i="8"/>
  <c r="K26" i="8"/>
  <c r="H26" i="8"/>
  <c r="E26" i="8"/>
  <c r="AN24" i="8"/>
  <c r="AM24" i="8"/>
  <c r="AK24" i="8"/>
  <c r="AJ24" i="8"/>
  <c r="AH24" i="8"/>
  <c r="AG24" i="8"/>
  <c r="AE24" i="8"/>
  <c r="AD24" i="8"/>
  <c r="AB24" i="8"/>
  <c r="AA24" i="8"/>
  <c r="Y24" i="8"/>
  <c r="X24" i="8"/>
  <c r="V24" i="8"/>
  <c r="U24" i="8"/>
  <c r="S24" i="8"/>
  <c r="R24" i="8"/>
  <c r="P24" i="8"/>
  <c r="O24" i="8"/>
  <c r="M24" i="8"/>
  <c r="L24" i="8"/>
  <c r="AO23" i="8"/>
  <c r="AL23" i="8"/>
  <c r="AI23" i="8"/>
  <c r="AF23" i="8"/>
  <c r="AC23" i="8"/>
  <c r="Z23" i="8"/>
  <c r="W23" i="8"/>
  <c r="T23" i="8"/>
  <c r="Q23" i="8"/>
  <c r="N23" i="8"/>
  <c r="AO22" i="8"/>
  <c r="AL22" i="8"/>
  <c r="AI22" i="8"/>
  <c r="AF22" i="8"/>
  <c r="AC22" i="8"/>
  <c r="Z22" i="8"/>
  <c r="W22" i="8"/>
  <c r="T22" i="8"/>
  <c r="Q22" i="8"/>
  <c r="N22" i="8"/>
  <c r="AO21" i="8"/>
  <c r="AL21" i="8"/>
  <c r="AI21" i="8"/>
  <c r="AF21" i="8"/>
  <c r="AC21" i="8"/>
  <c r="Z21" i="8"/>
  <c r="W21" i="8"/>
  <c r="T21" i="8"/>
  <c r="Q21" i="8"/>
  <c r="N21" i="8"/>
  <c r="AN19" i="8"/>
  <c r="AM19" i="8"/>
  <c r="AK19" i="8"/>
  <c r="AJ19" i="8"/>
  <c r="AH19" i="8"/>
  <c r="AG19" i="8"/>
  <c r="AE19" i="8"/>
  <c r="AD19" i="8"/>
  <c r="AB19" i="8"/>
  <c r="AA19" i="8"/>
  <c r="Y19" i="8"/>
  <c r="X19" i="8"/>
  <c r="V19" i="8"/>
  <c r="U19" i="8"/>
  <c r="S19" i="8"/>
  <c r="R19" i="8"/>
  <c r="P19" i="8"/>
  <c r="O19" i="8"/>
  <c r="M19" i="8"/>
  <c r="L19" i="8"/>
  <c r="J19" i="8"/>
  <c r="I19" i="8"/>
  <c r="G19" i="8"/>
  <c r="F19" i="8"/>
  <c r="D19" i="8"/>
  <c r="C19" i="8"/>
  <c r="AO18" i="8"/>
  <c r="AL18" i="8"/>
  <c r="AI18" i="8"/>
  <c r="AI33" i="8" s="1"/>
  <c r="AF18" i="8"/>
  <c r="AC18" i="8"/>
  <c r="AC33" i="8" s="1"/>
  <c r="Z18" i="8"/>
  <c r="W18" i="8"/>
  <c r="W33" i="8" s="1"/>
  <c r="T18" i="8"/>
  <c r="Q18" i="8"/>
  <c r="N18" i="8"/>
  <c r="K18" i="8"/>
  <c r="H18" i="8"/>
  <c r="E18" i="8"/>
  <c r="AO17" i="8"/>
  <c r="AO19" i="8" s="1"/>
  <c r="AL17" i="8"/>
  <c r="AI17" i="8"/>
  <c r="AF17" i="8"/>
  <c r="AC17" i="8"/>
  <c r="Z17" i="8"/>
  <c r="W17" i="8"/>
  <c r="T17" i="8"/>
  <c r="Q17" i="8"/>
  <c r="Q19" i="8"/>
  <c r="N17" i="8"/>
  <c r="K17" i="8"/>
  <c r="H17" i="8"/>
  <c r="E17" i="8"/>
  <c r="AO16" i="8"/>
  <c r="AL16" i="8"/>
  <c r="AI16" i="8"/>
  <c r="AF16" i="8"/>
  <c r="AF19" i="8" s="1"/>
  <c r="AC16" i="8"/>
  <c r="Z16" i="8"/>
  <c r="W16" i="8"/>
  <c r="T16" i="8"/>
  <c r="Q16" i="8"/>
  <c r="N16" i="8"/>
  <c r="N19" i="8" s="1"/>
  <c r="K16" i="8"/>
  <c r="H16" i="8"/>
  <c r="H19" i="8" s="1"/>
  <c r="E16" i="8"/>
  <c r="AN14" i="8"/>
  <c r="AM14" i="8"/>
  <c r="AK14" i="8"/>
  <c r="AJ14" i="8"/>
  <c r="AH14" i="8"/>
  <c r="AG14" i="8"/>
  <c r="AE14" i="8"/>
  <c r="AD14" i="8"/>
  <c r="AB14" i="8"/>
  <c r="AA14" i="8"/>
  <c r="Y14" i="8"/>
  <c r="X14" i="8"/>
  <c r="V14" i="8"/>
  <c r="U14" i="8"/>
  <c r="S14" i="8"/>
  <c r="R14" i="8"/>
  <c r="P14" i="8"/>
  <c r="O14" i="8"/>
  <c r="M14" i="8"/>
  <c r="L14" i="8"/>
  <c r="J14" i="8"/>
  <c r="I14" i="8"/>
  <c r="G14" i="8"/>
  <c r="F14" i="8"/>
  <c r="D14" i="8"/>
  <c r="C14" i="8"/>
  <c r="AO13" i="8"/>
  <c r="AO36" i="8" s="1"/>
  <c r="AL13" i="8"/>
  <c r="AL36" i="8" s="1"/>
  <c r="AI13" i="8"/>
  <c r="AI36" i="8" s="1"/>
  <c r="AF13" i="8"/>
  <c r="AF36" i="8" s="1"/>
  <c r="AC13" i="8"/>
  <c r="AC36" i="8" s="1"/>
  <c r="Z13" i="8"/>
  <c r="Z36" i="8" s="1"/>
  <c r="W13" i="8"/>
  <c r="W36" i="8" s="1"/>
  <c r="T13" i="8"/>
  <c r="Q13" i="8"/>
  <c r="N13" i="8"/>
  <c r="K13" i="8"/>
  <c r="H13" i="8"/>
  <c r="E13" i="8"/>
  <c r="AO12" i="8"/>
  <c r="AO35" i="8" s="1"/>
  <c r="AL12" i="8"/>
  <c r="AI12" i="8"/>
  <c r="AI35" i="8" s="1"/>
  <c r="AF12" i="8"/>
  <c r="AF35" i="8" s="1"/>
  <c r="AC12" i="8"/>
  <c r="AC35" i="8" s="1"/>
  <c r="Z12" i="8"/>
  <c r="Z35" i="8" s="1"/>
  <c r="W12" i="8"/>
  <c r="W35" i="8" s="1"/>
  <c r="T12" i="8"/>
  <c r="Q12" i="8"/>
  <c r="N12" i="8"/>
  <c r="K12" i="8"/>
  <c r="H12" i="8"/>
  <c r="E12" i="8"/>
  <c r="AO11" i="8"/>
  <c r="AL11" i="8"/>
  <c r="AI11" i="8"/>
  <c r="AF11" i="8"/>
  <c r="AC11" i="8"/>
  <c r="Z11" i="8"/>
  <c r="W11" i="8"/>
  <c r="T11" i="8"/>
  <c r="T14" i="8"/>
  <c r="Q11" i="8"/>
  <c r="N11" i="8"/>
  <c r="K11" i="8"/>
  <c r="H11" i="8"/>
  <c r="E11" i="8"/>
  <c r="AN9" i="8"/>
  <c r="AM9" i="8"/>
  <c r="AK9" i="8"/>
  <c r="AJ9" i="8"/>
  <c r="AH9" i="8"/>
  <c r="AG9" i="8"/>
  <c r="AE9" i="8"/>
  <c r="AD9" i="8"/>
  <c r="AB9" i="8"/>
  <c r="AA9" i="8"/>
  <c r="Y9" i="8"/>
  <c r="X9" i="8"/>
  <c r="V9" i="8"/>
  <c r="U9" i="8"/>
  <c r="S9" i="8"/>
  <c r="R9" i="8"/>
  <c r="P9" i="8"/>
  <c r="O9" i="8"/>
  <c r="M9" i="8"/>
  <c r="L9" i="8"/>
  <c r="J9" i="8"/>
  <c r="I9" i="8"/>
  <c r="G9" i="8"/>
  <c r="F9" i="8"/>
  <c r="D9" i="8"/>
  <c r="C9" i="8"/>
  <c r="AO8" i="8"/>
  <c r="AO34" i="8" s="1"/>
  <c r="AL8" i="8"/>
  <c r="AL34" i="8" s="1"/>
  <c r="AI8" i="8"/>
  <c r="AF8" i="8"/>
  <c r="AC8" i="8"/>
  <c r="AC34" i="8" s="1"/>
  <c r="Z8" i="8"/>
  <c r="W8" i="8"/>
  <c r="T8" i="8"/>
  <c r="Q8" i="8"/>
  <c r="N8" i="8"/>
  <c r="K8" i="8"/>
  <c r="H8" i="8"/>
  <c r="E8" i="8"/>
  <c r="AO7" i="8"/>
  <c r="AL7" i="8"/>
  <c r="AI7" i="8"/>
  <c r="AF7" i="8"/>
  <c r="AC7" i="8"/>
  <c r="Z7" i="8"/>
  <c r="W7" i="8"/>
  <c r="T7" i="8"/>
  <c r="Q7" i="8"/>
  <c r="N7" i="8"/>
  <c r="K7" i="8"/>
  <c r="H7" i="8"/>
  <c r="H9" i="8" s="1"/>
  <c r="E7" i="8"/>
  <c r="AO6" i="8"/>
  <c r="AL6" i="8"/>
  <c r="AI6" i="8"/>
  <c r="AF6" i="8"/>
  <c r="AC6" i="8"/>
  <c r="Z6" i="8"/>
  <c r="W6" i="8"/>
  <c r="T6" i="8"/>
  <c r="Q6" i="8"/>
  <c r="Q9" i="8"/>
  <c r="N6" i="8"/>
  <c r="N9" i="8" s="1"/>
  <c r="K6" i="8"/>
  <c r="H6" i="8"/>
  <c r="E6" i="8"/>
  <c r="AB36" i="7"/>
  <c r="AC36" i="7" s="1"/>
  <c r="Z36" i="7"/>
  <c r="AB35" i="7"/>
  <c r="AC35" i="7"/>
  <c r="Z35" i="7"/>
  <c r="AB34" i="7"/>
  <c r="AA34" i="7"/>
  <c r="AC34" i="7"/>
  <c r="X34" i="7"/>
  <c r="Z34" i="7"/>
  <c r="AB33" i="7"/>
  <c r="AA33" i="7"/>
  <c r="X33" i="7"/>
  <c r="Z33" i="7" s="1"/>
  <c r="AB32" i="7"/>
  <c r="AA32" i="7"/>
  <c r="AC32" i="7" s="1"/>
  <c r="X32" i="7"/>
  <c r="Z32" i="7" s="1"/>
  <c r="AB31" i="7"/>
  <c r="AA31" i="7"/>
  <c r="AC31" i="7" s="1"/>
  <c r="X31" i="7"/>
  <c r="AB29" i="7"/>
  <c r="AC29" i="7" s="1"/>
  <c r="X29" i="7"/>
  <c r="Z29" i="7" s="1"/>
  <c r="BC28" i="7"/>
  <c r="BB28" i="7"/>
  <c r="BD28" i="7"/>
  <c r="AZ28" i="7"/>
  <c r="AY28" i="7"/>
  <c r="AW28" i="7"/>
  <c r="AV28" i="7"/>
  <c r="AT28" i="7"/>
  <c r="AS28" i="7"/>
  <c r="AU28" i="7"/>
  <c r="AQ28" i="7"/>
  <c r="AP28" i="7"/>
  <c r="AN28" i="7"/>
  <c r="AM28" i="7"/>
  <c r="AO28" i="7" s="1"/>
  <c r="AK28" i="7"/>
  <c r="AJ28" i="7"/>
  <c r="AH28" i="7"/>
  <c r="AG28" i="7"/>
  <c r="AE28" i="7"/>
  <c r="AD28" i="7"/>
  <c r="AC28" i="7"/>
  <c r="Z28" i="7"/>
  <c r="BC27" i="7"/>
  <c r="BB27" i="7"/>
  <c r="AZ27" i="7"/>
  <c r="AY27" i="7"/>
  <c r="AW27" i="7"/>
  <c r="AV27" i="7"/>
  <c r="AT27" i="7"/>
  <c r="AS27" i="7"/>
  <c r="AU27" i="7"/>
  <c r="AQ27" i="7"/>
  <c r="AP27" i="7"/>
  <c r="AR27" i="7" s="1"/>
  <c r="AN27" i="7"/>
  <c r="AM27" i="7"/>
  <c r="AK27" i="7"/>
  <c r="AJ27" i="7"/>
  <c r="AL27" i="7" s="1"/>
  <c r="AH27" i="7"/>
  <c r="AG27" i="7"/>
  <c r="AE27" i="7"/>
  <c r="AD27" i="7"/>
  <c r="AC27" i="7"/>
  <c r="Z27" i="7"/>
  <c r="BC26" i="7"/>
  <c r="BB26" i="7"/>
  <c r="AZ26" i="7"/>
  <c r="AY26" i="7"/>
  <c r="BA26" i="7" s="1"/>
  <c r="AX26" i="7"/>
  <c r="AW26" i="7"/>
  <c r="AV26" i="7"/>
  <c r="AT26" i="7"/>
  <c r="AS26" i="7"/>
  <c r="AS29" i="7" s="1"/>
  <c r="AQ26" i="7"/>
  <c r="AR26" i="7"/>
  <c r="AP26" i="7"/>
  <c r="AN26" i="7"/>
  <c r="AM26" i="7"/>
  <c r="AK26" i="7"/>
  <c r="AJ26" i="7"/>
  <c r="AH26" i="7"/>
  <c r="AG26" i="7"/>
  <c r="AE26" i="7"/>
  <c r="AD26" i="7"/>
  <c r="AC26" i="7"/>
  <c r="Z26" i="7"/>
  <c r="AB24" i="7"/>
  <c r="AC24" i="7"/>
  <c r="AQ23" i="7"/>
  <c r="AP23" i="7"/>
  <c r="AR23" i="7" s="1"/>
  <c r="AN23" i="7"/>
  <c r="AM23" i="7"/>
  <c r="AK23" i="7"/>
  <c r="AJ23" i="7"/>
  <c r="AH23" i="7"/>
  <c r="AG23" i="7"/>
  <c r="AI23" i="7" s="1"/>
  <c r="AE23" i="7"/>
  <c r="AD23" i="7"/>
  <c r="AC23" i="7"/>
  <c r="AP22" i="7"/>
  <c r="AM22" i="7"/>
  <c r="AJ22" i="7"/>
  <c r="AG22" i="7"/>
  <c r="AE22" i="7"/>
  <c r="AD22" i="7"/>
  <c r="AF22" i="7" s="1"/>
  <c r="AC22" i="7"/>
  <c r="AQ21" i="7"/>
  <c r="AP21" i="7"/>
  <c r="AN21" i="7"/>
  <c r="AM21" i="7"/>
  <c r="AO21" i="7" s="1"/>
  <c r="AK21" i="7"/>
  <c r="AJ21" i="7"/>
  <c r="AJ24" i="7" s="1"/>
  <c r="AH21" i="7"/>
  <c r="AI21" i="7" s="1"/>
  <c r="AG21" i="7"/>
  <c r="AE21" i="7"/>
  <c r="AD21" i="7"/>
  <c r="AC21" i="7"/>
  <c r="AB19" i="7"/>
  <c r="AC19" i="7" s="1"/>
  <c r="X19" i="7"/>
  <c r="Z19" i="7" s="1"/>
  <c r="V19" i="7"/>
  <c r="U19" i="7"/>
  <c r="S19" i="7"/>
  <c r="R19" i="7"/>
  <c r="P19" i="7"/>
  <c r="O19" i="7"/>
  <c r="M19" i="7"/>
  <c r="L19" i="7"/>
  <c r="J19" i="7"/>
  <c r="I19" i="7"/>
  <c r="G19" i="7"/>
  <c r="F19" i="7"/>
  <c r="D19" i="7"/>
  <c r="C19" i="7"/>
  <c r="BC18" i="7"/>
  <c r="BB18" i="7"/>
  <c r="AZ18" i="7"/>
  <c r="AY18" i="7"/>
  <c r="AW18" i="7"/>
  <c r="AV18" i="7"/>
  <c r="AT18" i="7"/>
  <c r="AS18" i="7"/>
  <c r="AQ18" i="7"/>
  <c r="AP18" i="7"/>
  <c r="AR18" i="7" s="1"/>
  <c r="AN18" i="7"/>
  <c r="AM18" i="7"/>
  <c r="AK18" i="7"/>
  <c r="AK33" i="7"/>
  <c r="AJ18" i="7"/>
  <c r="AJ33" i="7" s="1"/>
  <c r="AH18" i="7"/>
  <c r="AG18" i="7"/>
  <c r="AE18" i="7"/>
  <c r="AD18" i="7"/>
  <c r="AC18" i="7"/>
  <c r="Z18" i="7"/>
  <c r="W18" i="7"/>
  <c r="T18" i="7"/>
  <c r="Q18" i="7"/>
  <c r="N18" i="7"/>
  <c r="K18" i="7"/>
  <c r="H18" i="7"/>
  <c r="H19" i="7" s="1"/>
  <c r="E18" i="7"/>
  <c r="BC17" i="7"/>
  <c r="BD17" i="7" s="1"/>
  <c r="BB17" i="7"/>
  <c r="AZ17" i="7"/>
  <c r="AY17" i="7"/>
  <c r="BA17" i="7" s="1"/>
  <c r="AW17" i="7"/>
  <c r="AV17" i="7"/>
  <c r="AX17" i="7" s="1"/>
  <c r="AT17" i="7"/>
  <c r="AS17" i="7"/>
  <c r="AQ17" i="7"/>
  <c r="AP17" i="7"/>
  <c r="AR17" i="7" s="1"/>
  <c r="AN17" i="7"/>
  <c r="AM17" i="7"/>
  <c r="AK17" i="7"/>
  <c r="AJ17" i="7"/>
  <c r="AL17" i="7"/>
  <c r="AH17" i="7"/>
  <c r="AG17" i="7"/>
  <c r="AE17" i="7"/>
  <c r="AD17" i="7"/>
  <c r="AF17" i="7" s="1"/>
  <c r="AC17" i="7"/>
  <c r="Z17" i="7"/>
  <c r="W17" i="7"/>
  <c r="T17" i="7"/>
  <c r="Q17" i="7"/>
  <c r="N17" i="7"/>
  <c r="K17" i="7"/>
  <c r="H17" i="7"/>
  <c r="E17" i="7"/>
  <c r="BC16" i="7"/>
  <c r="BB16" i="7"/>
  <c r="AZ16" i="7"/>
  <c r="AY16" i="7"/>
  <c r="AW16" i="7"/>
  <c r="AV16" i="7"/>
  <c r="AT16" i="7"/>
  <c r="AS16" i="7"/>
  <c r="AQ16" i="7"/>
  <c r="AP16" i="7"/>
  <c r="AN16" i="7"/>
  <c r="AN19" i="7" s="1"/>
  <c r="AM16" i="7"/>
  <c r="AM19" i="7" s="1"/>
  <c r="AK16" i="7"/>
  <c r="AJ16" i="7"/>
  <c r="AH16" i="7"/>
  <c r="AG16" i="7"/>
  <c r="AE16" i="7"/>
  <c r="AD16" i="7"/>
  <c r="AC16" i="7"/>
  <c r="Z16" i="7"/>
  <c r="W16" i="7"/>
  <c r="T16" i="7"/>
  <c r="Q16" i="7"/>
  <c r="N16" i="7"/>
  <c r="N19" i="7" s="1"/>
  <c r="K16" i="7"/>
  <c r="K19" i="7" s="1"/>
  <c r="H16" i="7"/>
  <c r="E16" i="7"/>
  <c r="AB14" i="7"/>
  <c r="AC14" i="7" s="1"/>
  <c r="BC13" i="7"/>
  <c r="BC36" i="7" s="1"/>
  <c r="BB13" i="7"/>
  <c r="BB36" i="7" s="1"/>
  <c r="AZ13" i="7"/>
  <c r="AZ36" i="7" s="1"/>
  <c r="AY13" i="7"/>
  <c r="AW13" i="7"/>
  <c r="AW36" i="7" s="1"/>
  <c r="AV13" i="7"/>
  <c r="AT13" i="7"/>
  <c r="AT36" i="7" s="1"/>
  <c r="AS13" i="7"/>
  <c r="AS36" i="7" s="1"/>
  <c r="AQ13" i="7"/>
  <c r="AQ36" i="7" s="1"/>
  <c r="AP13" i="7"/>
  <c r="AP36" i="7" s="1"/>
  <c r="AN13" i="7"/>
  <c r="AM13" i="7"/>
  <c r="AM36" i="7" s="1"/>
  <c r="AK13" i="7"/>
  <c r="AK36" i="7" s="1"/>
  <c r="AJ13" i="7"/>
  <c r="AJ36" i="7" s="1"/>
  <c r="AH13" i="7"/>
  <c r="AH36" i="7" s="1"/>
  <c r="AG13" i="7"/>
  <c r="AG36" i="7" s="1"/>
  <c r="AI36" i="7" s="1"/>
  <c r="AE13" i="7"/>
  <c r="AE36" i="7" s="1"/>
  <c r="AD13" i="7"/>
  <c r="AD36" i="7" s="1"/>
  <c r="AC13" i="7"/>
  <c r="Z13" i="7"/>
  <c r="BC12" i="7"/>
  <c r="BC35" i="7" s="1"/>
  <c r="BB12" i="7"/>
  <c r="BB35" i="7" s="1"/>
  <c r="AZ12" i="7"/>
  <c r="AZ35" i="7" s="1"/>
  <c r="AY12" i="7"/>
  <c r="AY35" i="7" s="1"/>
  <c r="BA35" i="7" s="1"/>
  <c r="AW12" i="7"/>
  <c r="AW35" i="7" s="1"/>
  <c r="AV12" i="7"/>
  <c r="AV35" i="7"/>
  <c r="AT12" i="7"/>
  <c r="AT35" i="7" s="1"/>
  <c r="AS12" i="7"/>
  <c r="AQ12" i="7"/>
  <c r="AQ35" i="7" s="1"/>
  <c r="AP12" i="7"/>
  <c r="AN12" i="7"/>
  <c r="AN35" i="7" s="1"/>
  <c r="AM12" i="7"/>
  <c r="AM35" i="7" s="1"/>
  <c r="AO35" i="7" s="1"/>
  <c r="AK12" i="7"/>
  <c r="AJ12" i="7"/>
  <c r="AJ35" i="7" s="1"/>
  <c r="AH12" i="7"/>
  <c r="AI12" i="7" s="1"/>
  <c r="AG12" i="7"/>
  <c r="AG35" i="7" s="1"/>
  <c r="AE12" i="7"/>
  <c r="AE35" i="7" s="1"/>
  <c r="AD12" i="7"/>
  <c r="AD35" i="7" s="1"/>
  <c r="AC12" i="7"/>
  <c r="Z12" i="7"/>
  <c r="BC11" i="7"/>
  <c r="BC14" i="7" s="1"/>
  <c r="BB11" i="7"/>
  <c r="BB14" i="7" s="1"/>
  <c r="AZ11" i="7"/>
  <c r="AY11" i="7"/>
  <c r="AW11" i="7"/>
  <c r="AV11" i="7"/>
  <c r="AX11" i="7" s="1"/>
  <c r="AT11" i="7"/>
  <c r="AS11" i="7"/>
  <c r="AU11" i="7" s="1"/>
  <c r="AQ11" i="7"/>
  <c r="AP11" i="7"/>
  <c r="AR11" i="7"/>
  <c r="AN11" i="7"/>
  <c r="AM11" i="7"/>
  <c r="AM32" i="7" s="1"/>
  <c r="AK11" i="7"/>
  <c r="AJ11" i="7"/>
  <c r="AH11" i="7"/>
  <c r="AG11" i="7"/>
  <c r="AE11" i="7"/>
  <c r="AD11" i="7"/>
  <c r="AC11" i="7"/>
  <c r="Z11" i="7"/>
  <c r="AB9" i="7"/>
  <c r="AC9" i="7" s="1"/>
  <c r="AA9" i="7"/>
  <c r="X9" i="7"/>
  <c r="Z9" i="7" s="1"/>
  <c r="V9" i="7"/>
  <c r="U9" i="7"/>
  <c r="S9" i="7"/>
  <c r="R9" i="7"/>
  <c r="P9" i="7"/>
  <c r="O9" i="7"/>
  <c r="M9" i="7"/>
  <c r="L9" i="7"/>
  <c r="J9" i="7"/>
  <c r="I9" i="7"/>
  <c r="G9" i="7"/>
  <c r="F9" i="7"/>
  <c r="D9" i="7"/>
  <c r="C9" i="7"/>
  <c r="BC8" i="7"/>
  <c r="BB8" i="7"/>
  <c r="AZ8" i="7"/>
  <c r="AY8" i="7"/>
  <c r="AW8" i="7"/>
  <c r="AW34" i="7"/>
  <c r="AV8" i="7"/>
  <c r="AX8" i="7" s="1"/>
  <c r="AT8" i="7"/>
  <c r="AS8" i="7"/>
  <c r="AS34" i="7" s="1"/>
  <c r="AQ8" i="7"/>
  <c r="AP8" i="7"/>
  <c r="AN8" i="7"/>
  <c r="AN34" i="7" s="1"/>
  <c r="AM8" i="7"/>
  <c r="AO8" i="7" s="1"/>
  <c r="AK8" i="7"/>
  <c r="AJ8" i="7"/>
  <c r="AH8" i="7"/>
  <c r="AH34" i="7" s="1"/>
  <c r="AG8" i="7"/>
  <c r="AE8" i="7"/>
  <c r="AD8" i="7"/>
  <c r="AD34" i="7" s="1"/>
  <c r="AC8" i="7"/>
  <c r="Z8" i="7"/>
  <c r="W8" i="7"/>
  <c r="T8" i="7"/>
  <c r="Q8" i="7"/>
  <c r="N8" i="7"/>
  <c r="K8" i="7"/>
  <c r="H8" i="7"/>
  <c r="E8" i="7"/>
  <c r="BC7" i="7"/>
  <c r="BB7" i="7"/>
  <c r="AZ7" i="7"/>
  <c r="AY7" i="7"/>
  <c r="AW7" i="7"/>
  <c r="AV7" i="7"/>
  <c r="AT7" i="7"/>
  <c r="AS7" i="7"/>
  <c r="AU7" i="7" s="1"/>
  <c r="AQ7" i="7"/>
  <c r="AQ9" i="7"/>
  <c r="AP7" i="7"/>
  <c r="AN7" i="7"/>
  <c r="AM7" i="7"/>
  <c r="AK7" i="7"/>
  <c r="AJ7" i="7"/>
  <c r="AH7" i="7"/>
  <c r="AG7" i="7"/>
  <c r="AE7" i="7"/>
  <c r="AD7" i="7"/>
  <c r="AC7" i="7"/>
  <c r="Z7" i="7"/>
  <c r="W7" i="7"/>
  <c r="T7" i="7"/>
  <c r="Q7" i="7"/>
  <c r="N7" i="7"/>
  <c r="K7" i="7"/>
  <c r="H7" i="7"/>
  <c r="E7" i="7"/>
  <c r="BC6" i="7"/>
  <c r="BB6" i="7"/>
  <c r="BB9" i="7" s="1"/>
  <c r="AZ6" i="7"/>
  <c r="AY6" i="7"/>
  <c r="AW6" i="7"/>
  <c r="AW31" i="7" s="1"/>
  <c r="AV6" i="7"/>
  <c r="AT6" i="7"/>
  <c r="AT9" i="7" s="1"/>
  <c r="AS6" i="7"/>
  <c r="AQ6" i="7"/>
  <c r="AP6" i="7"/>
  <c r="AN6" i="7"/>
  <c r="AM6" i="7"/>
  <c r="AO6" i="7" s="1"/>
  <c r="AK6" i="7"/>
  <c r="AK31" i="7" s="1"/>
  <c r="AJ6" i="7"/>
  <c r="AH6" i="7"/>
  <c r="AH31" i="7" s="1"/>
  <c r="AG6" i="7"/>
  <c r="AI6" i="7" s="1"/>
  <c r="AE6" i="7"/>
  <c r="AE31" i="7"/>
  <c r="AD6" i="7"/>
  <c r="AD9" i="7" s="1"/>
  <c r="AC6" i="7"/>
  <c r="Z6" i="7"/>
  <c r="W6" i="7"/>
  <c r="T6" i="7"/>
  <c r="T9" i="7" s="1"/>
  <c r="Q6" i="7"/>
  <c r="N6" i="7"/>
  <c r="K6" i="7"/>
  <c r="H6" i="7"/>
  <c r="H9" i="7" s="1"/>
  <c r="E6" i="7"/>
  <c r="BC106" i="6"/>
  <c r="BC23" i="7" s="1"/>
  <c r="BB106" i="6"/>
  <c r="BB23" i="7" s="1"/>
  <c r="AZ106" i="6"/>
  <c r="AZ23" i="7"/>
  <c r="AY106" i="6"/>
  <c r="AY23" i="7"/>
  <c r="AW106" i="6"/>
  <c r="AW23" i="7" s="1"/>
  <c r="AW33" i="7" s="1"/>
  <c r="AV106" i="6"/>
  <c r="AV23" i="7" s="1"/>
  <c r="AT106" i="6"/>
  <c r="AT23" i="7" s="1"/>
  <c r="AS106" i="6"/>
  <c r="AS23" i="7" s="1"/>
  <c r="AQ106" i="6"/>
  <c r="AP106" i="6"/>
  <c r="AN106" i="6"/>
  <c r="AN107" i="6" s="1"/>
  <c r="AM106" i="6"/>
  <c r="AK106" i="6"/>
  <c r="AJ106" i="6"/>
  <c r="AH106" i="6"/>
  <c r="AG106" i="6"/>
  <c r="AE106" i="6"/>
  <c r="AD106" i="6"/>
  <c r="AB106" i="6"/>
  <c r="AA106" i="6"/>
  <c r="BD105" i="6"/>
  <c r="BA105" i="6"/>
  <c r="AX105" i="6"/>
  <c r="BD104" i="6"/>
  <c r="BA104" i="6"/>
  <c r="AX104" i="6"/>
  <c r="AU104" i="6"/>
  <c r="BD103" i="6"/>
  <c r="BA103" i="6"/>
  <c r="AX103" i="6"/>
  <c r="AX106" i="6" s="1"/>
  <c r="AU103" i="6"/>
  <c r="AR103" i="6"/>
  <c r="AR106" i="6" s="1"/>
  <c r="AO103" i="6"/>
  <c r="AO106" i="6" s="1"/>
  <c r="AL103" i="6"/>
  <c r="AL106" i="6" s="1"/>
  <c r="AI103" i="6"/>
  <c r="AI106" i="6" s="1"/>
  <c r="AF103" i="6"/>
  <c r="AF106" i="6" s="1"/>
  <c r="AC103" i="6"/>
  <c r="AC106" i="6" s="1"/>
  <c r="BC102" i="6"/>
  <c r="BC22" i="7"/>
  <c r="BB102" i="6"/>
  <c r="BB22" i="7" s="1"/>
  <c r="AZ102" i="6"/>
  <c r="AZ22" i="7"/>
  <c r="AY102" i="6"/>
  <c r="AY22" i="7" s="1"/>
  <c r="AW102" i="6"/>
  <c r="AW22" i="7" s="1"/>
  <c r="AV102" i="6"/>
  <c r="AV22" i="7" s="1"/>
  <c r="AT102" i="6"/>
  <c r="AT22" i="7" s="1"/>
  <c r="AS102" i="6"/>
  <c r="AS22" i="7" s="1"/>
  <c r="AQ102" i="6"/>
  <c r="AP102" i="6"/>
  <c r="AN102" i="6"/>
  <c r="AN22" i="7" s="1"/>
  <c r="AM102" i="6"/>
  <c r="AK102" i="6"/>
  <c r="AK22" i="7" s="1"/>
  <c r="AJ102" i="6"/>
  <c r="AH102" i="6"/>
  <c r="AH22" i="7" s="1"/>
  <c r="AI22" i="7" s="1"/>
  <c r="AG102" i="6"/>
  <c r="AE102" i="6"/>
  <c r="AD102" i="6"/>
  <c r="AB102" i="6"/>
  <c r="AA102" i="6"/>
  <c r="BD101" i="6"/>
  <c r="BA101" i="6"/>
  <c r="AX101" i="6"/>
  <c r="BD100" i="6"/>
  <c r="BA100" i="6"/>
  <c r="AX100" i="6"/>
  <c r="AU100" i="6"/>
  <c r="AR100" i="6"/>
  <c r="AO100" i="6"/>
  <c r="AL100" i="6"/>
  <c r="AI100" i="6"/>
  <c r="BD99" i="6"/>
  <c r="BA99" i="6"/>
  <c r="AX99" i="6"/>
  <c r="AU99" i="6"/>
  <c r="AU102" i="6" s="1"/>
  <c r="AR99" i="6"/>
  <c r="AR102" i="6" s="1"/>
  <c r="AO99" i="6"/>
  <c r="AO102" i="6" s="1"/>
  <c r="AL99" i="6"/>
  <c r="AL102" i="6" s="1"/>
  <c r="AI99" i="6"/>
  <c r="AI102" i="6" s="1"/>
  <c r="AF99" i="6"/>
  <c r="AF102" i="6" s="1"/>
  <c r="AC99" i="6"/>
  <c r="AC102" i="6" s="1"/>
  <c r="BC98" i="6"/>
  <c r="BC21" i="7" s="1"/>
  <c r="BB98" i="6"/>
  <c r="AZ98" i="6"/>
  <c r="AZ21" i="7"/>
  <c r="AY98" i="6"/>
  <c r="AY21" i="7" s="1"/>
  <c r="AW98" i="6"/>
  <c r="AW21" i="7" s="1"/>
  <c r="AV98" i="6"/>
  <c r="AV21" i="7" s="1"/>
  <c r="AT98" i="6"/>
  <c r="AS98" i="6"/>
  <c r="AS21" i="7" s="1"/>
  <c r="AQ98" i="6"/>
  <c r="AP98" i="6"/>
  <c r="AN98" i="6"/>
  <c r="AM98" i="6"/>
  <c r="AK98" i="6"/>
  <c r="AJ98" i="6"/>
  <c r="AH98" i="6"/>
  <c r="AG98" i="6"/>
  <c r="AE98" i="6"/>
  <c r="AD98" i="6"/>
  <c r="AB98" i="6"/>
  <c r="AA98" i="6"/>
  <c r="BD97" i="6"/>
  <c r="BA97" i="6"/>
  <c r="AX97" i="6"/>
  <c r="BD96" i="6"/>
  <c r="BA96" i="6"/>
  <c r="AX96" i="6"/>
  <c r="AU96" i="6"/>
  <c r="BD95" i="6"/>
  <c r="BA95" i="6"/>
  <c r="AX95" i="6"/>
  <c r="AU95" i="6"/>
  <c r="AU98" i="6" s="1"/>
  <c r="AR95" i="6"/>
  <c r="AR98" i="6" s="1"/>
  <c r="AO95" i="6"/>
  <c r="AO98" i="6" s="1"/>
  <c r="AO107" i="6" s="1"/>
  <c r="AL95" i="6"/>
  <c r="AL98" i="6" s="1"/>
  <c r="AI95" i="6"/>
  <c r="AI98" i="6" s="1"/>
  <c r="AF95" i="6"/>
  <c r="AF98" i="6" s="1"/>
  <c r="AC95" i="6"/>
  <c r="AC98" i="6" s="1"/>
  <c r="BC93" i="6"/>
  <c r="BB93" i="6"/>
  <c r="AZ93" i="6"/>
  <c r="AY93" i="6"/>
  <c r="AW93" i="6"/>
  <c r="AV93" i="6"/>
  <c r="AT93" i="6"/>
  <c r="AS93" i="6"/>
  <c r="AQ93" i="6"/>
  <c r="AP93" i="6"/>
  <c r="AN93" i="6"/>
  <c r="AM93" i="6"/>
  <c r="AK93" i="6"/>
  <c r="AJ93" i="6"/>
  <c r="AH93" i="6"/>
  <c r="AG93" i="6"/>
  <c r="AE93" i="6"/>
  <c r="AD93" i="6"/>
  <c r="AB93" i="6"/>
  <c r="AA93" i="6"/>
  <c r="Y93" i="6"/>
  <c r="X93" i="6"/>
  <c r="V93" i="6"/>
  <c r="U93" i="6"/>
  <c r="S93" i="6"/>
  <c r="R93" i="6"/>
  <c r="P93" i="6"/>
  <c r="O93" i="6"/>
  <c r="M93" i="6"/>
  <c r="L93" i="6"/>
  <c r="J93" i="6"/>
  <c r="I93" i="6"/>
  <c r="BD92" i="6"/>
  <c r="BA92" i="6"/>
  <c r="AX92" i="6"/>
  <c r="AU92" i="6"/>
  <c r="AR92" i="6"/>
  <c r="AO92" i="6"/>
  <c r="AL92" i="6"/>
  <c r="AI92" i="6"/>
  <c r="AF92" i="6"/>
  <c r="AC92" i="6"/>
  <c r="Z92" i="6"/>
  <c r="W92" i="6"/>
  <c r="T92" i="6"/>
  <c r="Q92" i="6"/>
  <c r="N92" i="6"/>
  <c r="K92" i="6"/>
  <c r="BD91" i="6"/>
  <c r="BA91" i="6"/>
  <c r="AX91" i="6"/>
  <c r="AU91" i="6"/>
  <c r="AR91" i="6"/>
  <c r="AO91" i="6"/>
  <c r="AL91" i="6"/>
  <c r="AI91" i="6"/>
  <c r="AF91" i="6"/>
  <c r="AC91" i="6"/>
  <c r="Z91" i="6"/>
  <c r="W91" i="6"/>
  <c r="T91" i="6"/>
  <c r="Q91" i="6"/>
  <c r="N91" i="6"/>
  <c r="K91" i="6"/>
  <c r="BD90" i="6"/>
  <c r="BA90" i="6"/>
  <c r="AX90" i="6"/>
  <c r="AU90" i="6"/>
  <c r="AR90" i="6"/>
  <c r="AO90" i="6"/>
  <c r="AL90" i="6"/>
  <c r="AI90" i="6"/>
  <c r="AF90" i="6"/>
  <c r="AC90" i="6"/>
  <c r="Z90" i="6"/>
  <c r="W90" i="6"/>
  <c r="T90" i="6"/>
  <c r="Q90" i="6"/>
  <c r="N90" i="6"/>
  <c r="K90" i="6"/>
  <c r="BD89" i="6"/>
  <c r="BD93" i="6" s="1"/>
  <c r="BA89" i="6"/>
  <c r="BA93" i="6" s="1"/>
  <c r="AX89" i="6"/>
  <c r="AX93" i="6" s="1"/>
  <c r="AU89" i="6"/>
  <c r="AU93" i="6" s="1"/>
  <c r="AR89" i="6"/>
  <c r="AR93" i="6" s="1"/>
  <c r="AO89" i="6"/>
  <c r="AO93" i="6" s="1"/>
  <c r="AL89" i="6"/>
  <c r="AL93" i="6" s="1"/>
  <c r="AI89" i="6"/>
  <c r="AI93" i="6"/>
  <c r="AF89" i="6"/>
  <c r="AF93" i="6"/>
  <c r="AC89" i="6"/>
  <c r="AC93" i="6" s="1"/>
  <c r="Z89" i="6"/>
  <c r="W89" i="6"/>
  <c r="T89" i="6"/>
  <c r="T93" i="6" s="1"/>
  <c r="Q89" i="6"/>
  <c r="Q93" i="6" s="1"/>
  <c r="N89" i="6"/>
  <c r="N93" i="6" s="1"/>
  <c r="K89" i="6"/>
  <c r="K93" i="6" s="1"/>
  <c r="BC88" i="6"/>
  <c r="BB88" i="6"/>
  <c r="AZ88" i="6"/>
  <c r="AY88" i="6"/>
  <c r="AW88" i="6"/>
  <c r="AV88" i="6"/>
  <c r="AT88" i="6"/>
  <c r="AS88" i="6"/>
  <c r="AP88" i="6"/>
  <c r="AN88" i="6"/>
  <c r="AM88" i="6"/>
  <c r="AK88" i="6"/>
  <c r="AJ88" i="6"/>
  <c r="AH88" i="6"/>
  <c r="AG88" i="6"/>
  <c r="AE88" i="6"/>
  <c r="AD88" i="6"/>
  <c r="AB88" i="6"/>
  <c r="AA88" i="6"/>
  <c r="Y88" i="6"/>
  <c r="X88" i="6"/>
  <c r="V88" i="6"/>
  <c r="U88" i="6"/>
  <c r="S88" i="6"/>
  <c r="R88" i="6"/>
  <c r="P88" i="6"/>
  <c r="O88" i="6"/>
  <c r="M88" i="6"/>
  <c r="L88" i="6"/>
  <c r="J88" i="6"/>
  <c r="I88" i="6"/>
  <c r="BD87" i="6"/>
  <c r="BA87" i="6"/>
  <c r="AX87" i="6"/>
  <c r="AU87" i="6"/>
  <c r="AR87" i="6"/>
  <c r="AO87" i="6"/>
  <c r="AL87" i="6"/>
  <c r="AI87" i="6"/>
  <c r="AF87" i="6"/>
  <c r="AC87" i="6"/>
  <c r="Z87" i="6"/>
  <c r="W87" i="6"/>
  <c r="T87" i="6"/>
  <c r="Q87" i="6"/>
  <c r="N87" i="6"/>
  <c r="K87" i="6"/>
  <c r="BD86" i="6"/>
  <c r="BA86" i="6"/>
  <c r="BA88" i="6" s="1"/>
  <c r="AX86" i="6"/>
  <c r="AU86" i="6"/>
  <c r="AR86" i="6"/>
  <c r="AO86" i="6"/>
  <c r="AL86" i="6"/>
  <c r="AL88" i="6" s="1"/>
  <c r="AI86" i="6"/>
  <c r="AF86" i="6"/>
  <c r="AC86" i="6"/>
  <c r="AC88" i="6" s="1"/>
  <c r="Z86" i="6"/>
  <c r="W86" i="6"/>
  <c r="T86" i="6"/>
  <c r="Q86" i="6"/>
  <c r="N86" i="6"/>
  <c r="K86" i="6"/>
  <c r="BD85" i="6"/>
  <c r="BD88" i="6"/>
  <c r="BA85" i="6"/>
  <c r="AX85" i="6"/>
  <c r="AX88" i="6"/>
  <c r="AU85" i="6"/>
  <c r="AU88" i="6" s="1"/>
  <c r="AR85" i="6"/>
  <c r="AR88" i="6" s="1"/>
  <c r="AO85" i="6"/>
  <c r="AL85" i="6"/>
  <c r="AI85" i="6"/>
  <c r="AI88" i="6" s="1"/>
  <c r="AF85" i="6"/>
  <c r="AF88" i="6" s="1"/>
  <c r="AC85" i="6"/>
  <c r="Z85" i="6"/>
  <c r="Z88" i="6" s="1"/>
  <c r="W85" i="6"/>
  <c r="W88" i="6" s="1"/>
  <c r="T85" i="6"/>
  <c r="T88" i="6" s="1"/>
  <c r="Q85" i="6"/>
  <c r="Q88" i="6" s="1"/>
  <c r="N85" i="6"/>
  <c r="K85" i="6"/>
  <c r="BC84" i="6"/>
  <c r="BB84" i="6"/>
  <c r="AZ84" i="6"/>
  <c r="AY84" i="6"/>
  <c r="AW84" i="6"/>
  <c r="AV84" i="6"/>
  <c r="AT84" i="6"/>
  <c r="AS84" i="6"/>
  <c r="AQ84" i="6"/>
  <c r="AP84" i="6"/>
  <c r="AN84" i="6"/>
  <c r="AM84" i="6"/>
  <c r="AK84" i="6"/>
  <c r="AJ84" i="6"/>
  <c r="AH84" i="6"/>
  <c r="AG84" i="6"/>
  <c r="AE84" i="6"/>
  <c r="AD84" i="6"/>
  <c r="AB84" i="6"/>
  <c r="AA84" i="6"/>
  <c r="Y84" i="6"/>
  <c r="X84" i="6"/>
  <c r="V84" i="6"/>
  <c r="U84" i="6"/>
  <c r="S84" i="6"/>
  <c r="R84" i="6"/>
  <c r="P84" i="6"/>
  <c r="O84" i="6"/>
  <c r="M84" i="6"/>
  <c r="L84" i="6"/>
  <c r="J84" i="6"/>
  <c r="I84" i="6"/>
  <c r="BD83" i="6"/>
  <c r="BA83" i="6"/>
  <c r="AX83" i="6"/>
  <c r="AU83" i="6"/>
  <c r="AR83" i="6"/>
  <c r="AO83" i="6"/>
  <c r="AL83" i="6"/>
  <c r="AI83" i="6"/>
  <c r="AF83" i="6"/>
  <c r="AC83" i="6"/>
  <c r="Z83" i="6"/>
  <c r="W83" i="6"/>
  <c r="T83" i="6"/>
  <c r="Q83" i="6"/>
  <c r="N83" i="6"/>
  <c r="K83" i="6"/>
  <c r="BD82" i="6"/>
  <c r="BA82" i="6"/>
  <c r="AX82" i="6"/>
  <c r="AU82" i="6"/>
  <c r="AR82" i="6"/>
  <c r="AO82" i="6"/>
  <c r="AL82" i="6"/>
  <c r="AI82" i="6"/>
  <c r="AF82" i="6"/>
  <c r="AC82" i="6"/>
  <c r="Z82" i="6"/>
  <c r="W82" i="6"/>
  <c r="T82" i="6"/>
  <c r="Q82" i="6"/>
  <c r="N82" i="6"/>
  <c r="K82" i="6"/>
  <c r="BD81" i="6"/>
  <c r="BA81" i="6"/>
  <c r="AX81" i="6"/>
  <c r="AU81" i="6"/>
  <c r="AR81" i="6"/>
  <c r="AO81" i="6"/>
  <c r="AF81" i="6"/>
  <c r="AC81" i="6"/>
  <c r="Z81" i="6"/>
  <c r="W81" i="6"/>
  <c r="T81" i="6"/>
  <c r="Q81" i="6"/>
  <c r="N81" i="6"/>
  <c r="K81" i="6"/>
  <c r="K84" i="6" s="1"/>
  <c r="BD80" i="6"/>
  <c r="BA80" i="6"/>
  <c r="AX80" i="6"/>
  <c r="AU80" i="6"/>
  <c r="AU84" i="6" s="1"/>
  <c r="AR80" i="6"/>
  <c r="AO80" i="6"/>
  <c r="AO84" i="6"/>
  <c r="AL80" i="6"/>
  <c r="AI80" i="6"/>
  <c r="AF80" i="6"/>
  <c r="AF84" i="6" s="1"/>
  <c r="AC80" i="6"/>
  <c r="Z80" i="6"/>
  <c r="W80" i="6"/>
  <c r="T80" i="6"/>
  <c r="Q80" i="6"/>
  <c r="Q84" i="6" s="1"/>
  <c r="N80" i="6"/>
  <c r="K80" i="6"/>
  <c r="BC78" i="6"/>
  <c r="BB78" i="6"/>
  <c r="AZ78" i="6"/>
  <c r="AY78" i="6"/>
  <c r="AW78" i="6"/>
  <c r="AV78" i="6"/>
  <c r="AT78" i="6"/>
  <c r="AS78" i="6"/>
  <c r="AQ78" i="6"/>
  <c r="AP78" i="6"/>
  <c r="AN78" i="6"/>
  <c r="AM78" i="6"/>
  <c r="AK78" i="6"/>
  <c r="AJ78" i="6"/>
  <c r="AH78" i="6"/>
  <c r="AG78" i="6"/>
  <c r="AE78" i="6"/>
  <c r="AD78" i="6"/>
  <c r="AB78" i="6"/>
  <c r="AA78" i="6"/>
  <c r="Y78" i="6"/>
  <c r="X78" i="6"/>
  <c r="W78" i="6"/>
  <c r="V78" i="6"/>
  <c r="U78" i="6"/>
  <c r="T78" i="6"/>
  <c r="S78" i="6"/>
  <c r="R78" i="6"/>
  <c r="Q78" i="6"/>
  <c r="P78" i="6"/>
  <c r="O78" i="6"/>
  <c r="N78" i="6"/>
  <c r="M78" i="6"/>
  <c r="L78" i="6"/>
  <c r="K78" i="6"/>
  <c r="J78" i="6"/>
  <c r="I78" i="6"/>
  <c r="H78" i="6"/>
  <c r="G78" i="6"/>
  <c r="F78" i="6"/>
  <c r="E78" i="6"/>
  <c r="D78" i="6"/>
  <c r="C78" i="6"/>
  <c r="BD77" i="6"/>
  <c r="BA77" i="6"/>
  <c r="AX77" i="6"/>
  <c r="AU77" i="6"/>
  <c r="AR77" i="6"/>
  <c r="AO77" i="6"/>
  <c r="AL77" i="6"/>
  <c r="AI77" i="6"/>
  <c r="AF77" i="6"/>
  <c r="AC77" i="6"/>
  <c r="Z77" i="6"/>
  <c r="BD76" i="6"/>
  <c r="BA76" i="6"/>
  <c r="AX76" i="6"/>
  <c r="AU76" i="6"/>
  <c r="AR76" i="6"/>
  <c r="AO76" i="6"/>
  <c r="AL76" i="6"/>
  <c r="AI76" i="6"/>
  <c r="AF76" i="6"/>
  <c r="AC76" i="6"/>
  <c r="Z76" i="6"/>
  <c r="BD75" i="6"/>
  <c r="BA75" i="6"/>
  <c r="AX75" i="6"/>
  <c r="AU75" i="6"/>
  <c r="AR75" i="6"/>
  <c r="AO75" i="6"/>
  <c r="AL75" i="6"/>
  <c r="AI75" i="6"/>
  <c r="AF75" i="6"/>
  <c r="AC75" i="6"/>
  <c r="Z75" i="6"/>
  <c r="Z78" i="6"/>
  <c r="BD74" i="6"/>
  <c r="BD78" i="6" s="1"/>
  <c r="BA74" i="6"/>
  <c r="AX74" i="6"/>
  <c r="AU74" i="6"/>
  <c r="AR74" i="6"/>
  <c r="AO74" i="6"/>
  <c r="AL74" i="6"/>
  <c r="AI74" i="6"/>
  <c r="AI78" i="6" s="1"/>
  <c r="AF74" i="6"/>
  <c r="AC74" i="6"/>
  <c r="Z74" i="6"/>
  <c r="BC73" i="6"/>
  <c r="BB73" i="6"/>
  <c r="AZ73" i="6"/>
  <c r="AZ79" i="6" s="1"/>
  <c r="AY73" i="6"/>
  <c r="AW73" i="6"/>
  <c r="AV73" i="6"/>
  <c r="AT73" i="6"/>
  <c r="AS73" i="6"/>
  <c r="AQ73" i="6"/>
  <c r="AP73" i="6"/>
  <c r="AN73" i="6"/>
  <c r="AM73" i="6"/>
  <c r="AK73" i="6"/>
  <c r="AJ73" i="6"/>
  <c r="AH73" i="6"/>
  <c r="AG73" i="6"/>
  <c r="AE73" i="6"/>
  <c r="AD73" i="6"/>
  <c r="AB73" i="6"/>
  <c r="AB79" i="6"/>
  <c r="AA73" i="6"/>
  <c r="Y73" i="6"/>
  <c r="X73" i="6"/>
  <c r="W73" i="6"/>
  <c r="V73" i="6"/>
  <c r="U73" i="6"/>
  <c r="T73" i="6"/>
  <c r="S73" i="6"/>
  <c r="R73" i="6"/>
  <c r="Q73" i="6"/>
  <c r="P73" i="6"/>
  <c r="O73" i="6"/>
  <c r="N73" i="6"/>
  <c r="M73" i="6"/>
  <c r="L73" i="6"/>
  <c r="K73" i="6"/>
  <c r="J73" i="6"/>
  <c r="I73" i="6"/>
  <c r="H73" i="6"/>
  <c r="G73" i="6"/>
  <c r="F73" i="6"/>
  <c r="E73" i="6"/>
  <c r="D73" i="6"/>
  <c r="C73" i="6"/>
  <c r="BD72" i="6"/>
  <c r="BA72" i="6"/>
  <c r="AX72" i="6"/>
  <c r="AU72" i="6"/>
  <c r="AR72" i="6"/>
  <c r="AO72" i="6"/>
  <c r="AL72" i="6"/>
  <c r="AI72" i="6"/>
  <c r="AF72" i="6"/>
  <c r="AC72" i="6"/>
  <c r="Z72" i="6"/>
  <c r="BD71" i="6"/>
  <c r="BA71" i="6"/>
  <c r="AX71" i="6"/>
  <c r="AU71" i="6"/>
  <c r="AR71" i="6"/>
  <c r="AO71" i="6"/>
  <c r="AL71" i="6"/>
  <c r="AI71" i="6"/>
  <c r="AF71" i="6"/>
  <c r="AC71" i="6"/>
  <c r="Z71" i="6"/>
  <c r="BD70" i="6"/>
  <c r="BA70" i="6"/>
  <c r="AX70" i="6"/>
  <c r="AU70" i="6"/>
  <c r="AR70" i="6"/>
  <c r="AO70" i="6"/>
  <c r="AL70" i="6"/>
  <c r="AI70" i="6"/>
  <c r="AF70" i="6"/>
  <c r="AC70" i="6"/>
  <c r="Z70" i="6"/>
  <c r="BD69" i="6"/>
  <c r="BA69" i="6"/>
  <c r="AX69" i="6"/>
  <c r="AU69" i="6"/>
  <c r="AR69" i="6"/>
  <c r="AO69" i="6"/>
  <c r="AL69" i="6"/>
  <c r="AI69" i="6"/>
  <c r="AF69" i="6"/>
  <c r="AC69" i="6"/>
  <c r="Z69" i="6"/>
  <c r="BD68" i="6"/>
  <c r="BA68" i="6"/>
  <c r="AX68" i="6"/>
  <c r="AU68" i="6"/>
  <c r="AR68" i="6"/>
  <c r="AO68" i="6"/>
  <c r="AL68" i="6"/>
  <c r="AI68" i="6"/>
  <c r="AF68" i="6"/>
  <c r="AC68" i="6"/>
  <c r="Z68" i="6"/>
  <c r="BD67" i="6"/>
  <c r="BA67" i="6"/>
  <c r="AX67" i="6"/>
  <c r="AU67" i="6"/>
  <c r="AR67" i="6"/>
  <c r="AO67" i="6"/>
  <c r="AL67" i="6"/>
  <c r="AI67" i="6"/>
  <c r="AF67" i="6"/>
  <c r="AC67" i="6"/>
  <c r="Z67" i="6"/>
  <c r="BD66" i="6"/>
  <c r="BA66" i="6"/>
  <c r="AX66" i="6"/>
  <c r="AU66" i="6"/>
  <c r="AR66" i="6"/>
  <c r="AO66" i="6"/>
  <c r="AL66" i="6"/>
  <c r="AI66" i="6"/>
  <c r="AF66" i="6"/>
  <c r="AC66" i="6"/>
  <c r="Z66" i="6"/>
  <c r="BD65" i="6"/>
  <c r="BA65" i="6"/>
  <c r="AX65" i="6"/>
  <c r="AU65" i="6"/>
  <c r="AR65" i="6"/>
  <c r="AO65" i="6"/>
  <c r="AL65" i="6"/>
  <c r="AI65" i="6"/>
  <c r="AF65" i="6"/>
  <c r="AC65" i="6"/>
  <c r="Z65" i="6"/>
  <c r="BC64" i="6"/>
  <c r="BB64" i="6"/>
  <c r="AZ64" i="6"/>
  <c r="AY64" i="6"/>
  <c r="AW64" i="6"/>
  <c r="AV64" i="6"/>
  <c r="AT64" i="6"/>
  <c r="AS64" i="6"/>
  <c r="AQ64" i="6"/>
  <c r="AP64" i="6"/>
  <c r="AN64" i="6"/>
  <c r="AM64" i="6"/>
  <c r="AK64" i="6"/>
  <c r="AJ64" i="6"/>
  <c r="AH64" i="6"/>
  <c r="AG64" i="6"/>
  <c r="AE64" i="6"/>
  <c r="AD64" i="6"/>
  <c r="AB64" i="6"/>
  <c r="AA64" i="6"/>
  <c r="Y64" i="6"/>
  <c r="X64" i="6"/>
  <c r="W64" i="6"/>
  <c r="V64" i="6"/>
  <c r="U64" i="6"/>
  <c r="T64" i="6"/>
  <c r="S64" i="6"/>
  <c r="R64" i="6"/>
  <c r="Q64" i="6"/>
  <c r="P64" i="6"/>
  <c r="O64" i="6"/>
  <c r="N64" i="6"/>
  <c r="M64" i="6"/>
  <c r="L64" i="6"/>
  <c r="K64" i="6"/>
  <c r="J64" i="6"/>
  <c r="I64" i="6"/>
  <c r="H64" i="6"/>
  <c r="G64" i="6"/>
  <c r="F64" i="6"/>
  <c r="E64" i="6"/>
  <c r="D64" i="6"/>
  <c r="C64" i="6"/>
  <c r="BD63" i="6"/>
  <c r="BA63" i="6"/>
  <c r="AX63" i="6"/>
  <c r="AU63" i="6"/>
  <c r="AR63" i="6"/>
  <c r="AO63" i="6"/>
  <c r="AL63" i="6"/>
  <c r="AI63" i="6"/>
  <c r="AF63" i="6"/>
  <c r="AC63" i="6"/>
  <c r="Z63" i="6"/>
  <c r="BD62" i="6"/>
  <c r="BA62" i="6"/>
  <c r="AX62" i="6"/>
  <c r="AU62" i="6"/>
  <c r="AR62" i="6"/>
  <c r="AO62" i="6"/>
  <c r="AL62" i="6"/>
  <c r="AI62" i="6"/>
  <c r="AF62" i="6"/>
  <c r="AC62" i="6"/>
  <c r="Z62" i="6"/>
  <c r="BD61" i="6"/>
  <c r="BA61" i="6"/>
  <c r="AX61" i="6"/>
  <c r="AU61" i="6"/>
  <c r="AR61" i="6"/>
  <c r="AO61" i="6"/>
  <c r="AL61" i="6"/>
  <c r="AI61" i="6"/>
  <c r="AF61" i="6"/>
  <c r="AC61" i="6"/>
  <c r="Z61" i="6"/>
  <c r="BD60" i="6"/>
  <c r="BA60" i="6"/>
  <c r="AX60" i="6"/>
  <c r="AU60" i="6"/>
  <c r="AU64" i="6" s="1"/>
  <c r="AR60" i="6"/>
  <c r="AO60" i="6"/>
  <c r="AL60" i="6"/>
  <c r="AI60" i="6"/>
  <c r="AF60" i="6"/>
  <c r="AC60" i="6"/>
  <c r="Z60" i="6"/>
  <c r="BD59" i="6"/>
  <c r="BA59" i="6"/>
  <c r="AX59" i="6"/>
  <c r="AU59" i="6"/>
  <c r="AR59" i="6"/>
  <c r="AO59" i="6"/>
  <c r="AL59" i="6"/>
  <c r="AI59" i="6"/>
  <c r="AF59" i="6"/>
  <c r="AC59" i="6"/>
  <c r="Z59" i="6"/>
  <c r="BD58" i="6"/>
  <c r="BD64" i="6" s="1"/>
  <c r="BA58" i="6"/>
  <c r="AX58" i="6"/>
  <c r="AU58" i="6"/>
  <c r="AR58" i="6"/>
  <c r="AO58" i="6"/>
  <c r="AL58" i="6"/>
  <c r="AI58" i="6"/>
  <c r="AF58" i="6"/>
  <c r="AC58" i="6"/>
  <c r="Z58" i="6"/>
  <c r="BC56" i="6"/>
  <c r="BB56" i="6"/>
  <c r="AZ56" i="6"/>
  <c r="AY56" i="6"/>
  <c r="AW56" i="6"/>
  <c r="AV56" i="6"/>
  <c r="AT56" i="6"/>
  <c r="AS56" i="6"/>
  <c r="AQ56" i="6"/>
  <c r="AP56" i="6"/>
  <c r="AN56" i="6"/>
  <c r="AM56" i="6"/>
  <c r="AK56" i="6"/>
  <c r="AJ56" i="6"/>
  <c r="AH56" i="6"/>
  <c r="AG56" i="6"/>
  <c r="AE56" i="6"/>
  <c r="AD56" i="6"/>
  <c r="AB56" i="6"/>
  <c r="AA56" i="6"/>
  <c r="Y56" i="6"/>
  <c r="X56" i="6"/>
  <c r="W56" i="6"/>
  <c r="V56" i="6"/>
  <c r="U56" i="6"/>
  <c r="T56" i="6"/>
  <c r="S56" i="6"/>
  <c r="R56" i="6"/>
  <c r="Q56" i="6"/>
  <c r="P56" i="6"/>
  <c r="O56" i="6"/>
  <c r="N56" i="6"/>
  <c r="M56" i="6"/>
  <c r="L56" i="6"/>
  <c r="K56" i="6"/>
  <c r="J56" i="6"/>
  <c r="I56" i="6"/>
  <c r="H56" i="6"/>
  <c r="G56" i="6"/>
  <c r="F56" i="6"/>
  <c r="E56" i="6"/>
  <c r="D56" i="6"/>
  <c r="C56" i="6"/>
  <c r="BD55" i="6"/>
  <c r="BA55" i="6"/>
  <c r="AX55" i="6"/>
  <c r="AU55" i="6"/>
  <c r="AR55" i="6"/>
  <c r="AO55" i="6"/>
  <c r="AL55" i="6"/>
  <c r="AI55" i="6"/>
  <c r="AF55" i="6"/>
  <c r="AC55" i="6"/>
  <c r="Z55" i="6"/>
  <c r="BD54" i="6"/>
  <c r="BA54" i="6"/>
  <c r="AX54" i="6"/>
  <c r="AU54" i="6"/>
  <c r="AR54" i="6"/>
  <c r="AO54" i="6"/>
  <c r="AL54" i="6"/>
  <c r="AI54" i="6"/>
  <c r="AF54" i="6"/>
  <c r="AC54" i="6"/>
  <c r="Z54" i="6"/>
  <c r="BD53" i="6"/>
  <c r="BA53" i="6"/>
  <c r="AX53" i="6"/>
  <c r="AU53" i="6"/>
  <c r="AR53" i="6"/>
  <c r="AO53" i="6"/>
  <c r="AL53" i="6"/>
  <c r="AI53" i="6"/>
  <c r="AF53" i="6"/>
  <c r="AC53" i="6"/>
  <c r="Z53" i="6"/>
  <c r="BD52" i="6"/>
  <c r="BA52" i="6"/>
  <c r="AX52" i="6"/>
  <c r="AU52" i="6"/>
  <c r="AR52" i="6"/>
  <c r="AO52" i="6"/>
  <c r="AO56" i="6" s="1"/>
  <c r="AL52" i="6"/>
  <c r="AI52" i="6"/>
  <c r="AF52" i="6"/>
  <c r="AC52" i="6"/>
  <c r="Z52" i="6"/>
  <c r="BD51" i="6"/>
  <c r="BA51" i="6"/>
  <c r="AX51" i="6"/>
  <c r="AU51" i="6"/>
  <c r="AR51" i="6"/>
  <c r="AO51" i="6"/>
  <c r="AL51" i="6"/>
  <c r="AI51" i="6"/>
  <c r="AF51" i="6"/>
  <c r="AC51" i="6"/>
  <c r="Z51" i="6"/>
  <c r="BD50" i="6"/>
  <c r="BA50" i="6"/>
  <c r="AX50" i="6"/>
  <c r="AU50" i="6"/>
  <c r="AR50" i="6"/>
  <c r="AO50" i="6"/>
  <c r="AL50" i="6"/>
  <c r="AL56" i="6" s="1"/>
  <c r="AI50" i="6"/>
  <c r="AF50" i="6"/>
  <c r="AC50" i="6"/>
  <c r="Z50" i="6"/>
  <c r="BC49" i="6"/>
  <c r="BB49" i="6"/>
  <c r="AZ49" i="6"/>
  <c r="AY49" i="6"/>
  <c r="AW49" i="6"/>
  <c r="AV49" i="6"/>
  <c r="AT49" i="6"/>
  <c r="AS49" i="6"/>
  <c r="AQ49" i="6"/>
  <c r="AP49" i="6"/>
  <c r="AN49" i="6"/>
  <c r="AM49" i="6"/>
  <c r="AK49" i="6"/>
  <c r="AJ49" i="6"/>
  <c r="AH49" i="6"/>
  <c r="AG49" i="6"/>
  <c r="AE49" i="6"/>
  <c r="AD49" i="6"/>
  <c r="AB49" i="6"/>
  <c r="AA49" i="6"/>
  <c r="Y49" i="6"/>
  <c r="X49" i="6"/>
  <c r="W49" i="6"/>
  <c r="V49" i="6"/>
  <c r="U49" i="6"/>
  <c r="U57" i="6" s="1"/>
  <c r="T49" i="6"/>
  <c r="S49" i="6"/>
  <c r="R49" i="6"/>
  <c r="Q49" i="6"/>
  <c r="P49" i="6"/>
  <c r="O49" i="6"/>
  <c r="N49" i="6"/>
  <c r="M49" i="6"/>
  <c r="L49" i="6"/>
  <c r="K49" i="6"/>
  <c r="J49" i="6"/>
  <c r="I49" i="6"/>
  <c r="H49" i="6"/>
  <c r="G49" i="6"/>
  <c r="F49" i="6"/>
  <c r="E49" i="6"/>
  <c r="D49" i="6"/>
  <c r="C49" i="6"/>
  <c r="BD48" i="6"/>
  <c r="BA48" i="6"/>
  <c r="AX48" i="6"/>
  <c r="AU48" i="6"/>
  <c r="AR48" i="6"/>
  <c r="AO48" i="6"/>
  <c r="AL48" i="6"/>
  <c r="AI48" i="6"/>
  <c r="AF48" i="6"/>
  <c r="AC48" i="6"/>
  <c r="Z48" i="6"/>
  <c r="BD47" i="6"/>
  <c r="BA47" i="6"/>
  <c r="AX47" i="6"/>
  <c r="AU47" i="6"/>
  <c r="AR47" i="6"/>
  <c r="AO47" i="6"/>
  <c r="AL47" i="6"/>
  <c r="AI47" i="6"/>
  <c r="AF47" i="6"/>
  <c r="AC47" i="6"/>
  <c r="Z47" i="6"/>
  <c r="BD46" i="6"/>
  <c r="BA46" i="6"/>
  <c r="AX46" i="6"/>
  <c r="AU46" i="6"/>
  <c r="AR46" i="6"/>
  <c r="AO46" i="6"/>
  <c r="AL46" i="6"/>
  <c r="AI46" i="6"/>
  <c r="AF46" i="6"/>
  <c r="AC46" i="6"/>
  <c r="Z46" i="6"/>
  <c r="BD45" i="6"/>
  <c r="BA45" i="6"/>
  <c r="AX45" i="6"/>
  <c r="AU45" i="6"/>
  <c r="AR45" i="6"/>
  <c r="AO45" i="6"/>
  <c r="AL45" i="6"/>
  <c r="AI45" i="6"/>
  <c r="AF45" i="6"/>
  <c r="AC45" i="6"/>
  <c r="Z45" i="6"/>
  <c r="BD44" i="6"/>
  <c r="BA44" i="6"/>
  <c r="AX44" i="6"/>
  <c r="AU44" i="6"/>
  <c r="AR44" i="6"/>
  <c r="AO44" i="6"/>
  <c r="AL44" i="6"/>
  <c r="AI44" i="6"/>
  <c r="AF44" i="6"/>
  <c r="AC44" i="6"/>
  <c r="Z44" i="6"/>
  <c r="BD43" i="6"/>
  <c r="BA43" i="6"/>
  <c r="AX43" i="6"/>
  <c r="AU43" i="6"/>
  <c r="AR43" i="6"/>
  <c r="AO43" i="6"/>
  <c r="AL43" i="6"/>
  <c r="AI43" i="6"/>
  <c r="AF43" i="6"/>
  <c r="AC43" i="6"/>
  <c r="Z43" i="6"/>
  <c r="BD42" i="6"/>
  <c r="BA42" i="6"/>
  <c r="AX42" i="6"/>
  <c r="AU42" i="6"/>
  <c r="AR42" i="6"/>
  <c r="AO42" i="6"/>
  <c r="AL42" i="6"/>
  <c r="AI42" i="6"/>
  <c r="AF42" i="6"/>
  <c r="AC42" i="6"/>
  <c r="Z42" i="6"/>
  <c r="BD41" i="6"/>
  <c r="BA41" i="6"/>
  <c r="AX41" i="6"/>
  <c r="AU41" i="6"/>
  <c r="AR41" i="6"/>
  <c r="AO41" i="6"/>
  <c r="AL41" i="6"/>
  <c r="AI41" i="6"/>
  <c r="AF41" i="6"/>
  <c r="AC41" i="6"/>
  <c r="Z41" i="6"/>
  <c r="BD40" i="6"/>
  <c r="BA40" i="6"/>
  <c r="AX40" i="6"/>
  <c r="AU40" i="6"/>
  <c r="AR40" i="6"/>
  <c r="AO40" i="6"/>
  <c r="AL40" i="6"/>
  <c r="AI40" i="6"/>
  <c r="AF40" i="6"/>
  <c r="AC40" i="6"/>
  <c r="Z40" i="6"/>
  <c r="BD39" i="6"/>
  <c r="BA39" i="6"/>
  <c r="AX39" i="6"/>
  <c r="AU39" i="6"/>
  <c r="AR39" i="6"/>
  <c r="AO39" i="6"/>
  <c r="AL39" i="6"/>
  <c r="AI39" i="6"/>
  <c r="AF39" i="6"/>
  <c r="AC39" i="6"/>
  <c r="Z39" i="6"/>
  <c r="BD38" i="6"/>
  <c r="BA38" i="6"/>
  <c r="AX38" i="6"/>
  <c r="AU38" i="6"/>
  <c r="AR38" i="6"/>
  <c r="AO38" i="6"/>
  <c r="AL38" i="6"/>
  <c r="AI38" i="6"/>
  <c r="AF38" i="6"/>
  <c r="AC38" i="6"/>
  <c r="Z38" i="6"/>
  <c r="BC37" i="6"/>
  <c r="BC57" i="6" s="1"/>
  <c r="BB37" i="6"/>
  <c r="AZ37" i="6"/>
  <c r="AY37" i="6"/>
  <c r="AW37" i="6"/>
  <c r="AV37" i="6"/>
  <c r="AV57" i="6" s="1"/>
  <c r="AT37" i="6"/>
  <c r="AS37" i="6"/>
  <c r="AS57" i="6" s="1"/>
  <c r="AQ37" i="6"/>
  <c r="AQ57" i="6" s="1"/>
  <c r="AP37" i="6"/>
  <c r="AN37" i="6"/>
  <c r="AN57" i="6"/>
  <c r="AM37" i="6"/>
  <c r="AK37" i="6"/>
  <c r="AK57" i="6" s="1"/>
  <c r="AJ37" i="6"/>
  <c r="AJ57" i="6" s="1"/>
  <c r="AH37" i="6"/>
  <c r="AH57" i="6" s="1"/>
  <c r="AG37" i="6"/>
  <c r="AG57" i="6"/>
  <c r="AE37" i="6"/>
  <c r="AE57" i="6" s="1"/>
  <c r="AD37" i="6"/>
  <c r="AB37" i="6"/>
  <c r="AA37" i="6"/>
  <c r="Y37" i="6"/>
  <c r="X37" i="6"/>
  <c r="X57" i="6" s="1"/>
  <c r="W37" i="6"/>
  <c r="W57" i="6" s="1"/>
  <c r="V37" i="6"/>
  <c r="U37" i="6"/>
  <c r="T37" i="6"/>
  <c r="S37" i="6"/>
  <c r="S57" i="6" s="1"/>
  <c r="R37" i="6"/>
  <c r="R57" i="6"/>
  <c r="Q37" i="6"/>
  <c r="Q57" i="6" s="1"/>
  <c r="P37" i="6"/>
  <c r="P57" i="6" s="1"/>
  <c r="O37" i="6"/>
  <c r="O57" i="6" s="1"/>
  <c r="N37" i="6"/>
  <c r="M37" i="6"/>
  <c r="M57" i="6" s="1"/>
  <c r="L37" i="6"/>
  <c r="L57" i="6" s="1"/>
  <c r="K37" i="6"/>
  <c r="J37" i="6"/>
  <c r="I37" i="6"/>
  <c r="H37" i="6"/>
  <c r="H57" i="6" s="1"/>
  <c r="G37" i="6"/>
  <c r="F37" i="6"/>
  <c r="E37" i="6"/>
  <c r="E57" i="6" s="1"/>
  <c r="D37" i="6"/>
  <c r="C37" i="6"/>
  <c r="C57" i="6" s="1"/>
  <c r="BD36" i="6"/>
  <c r="BA36" i="6"/>
  <c r="AX36" i="6"/>
  <c r="AU36" i="6"/>
  <c r="AR36" i="6"/>
  <c r="BD35" i="6"/>
  <c r="BA35" i="6"/>
  <c r="AX35" i="6"/>
  <c r="AU35" i="6"/>
  <c r="AR35" i="6"/>
  <c r="AO35" i="6"/>
  <c r="AL35" i="6"/>
  <c r="AI35" i="6"/>
  <c r="AF35" i="6"/>
  <c r="AC35" i="6"/>
  <c r="Z35" i="6"/>
  <c r="BD34" i="6"/>
  <c r="BA34" i="6"/>
  <c r="AX34" i="6"/>
  <c r="AU34" i="6"/>
  <c r="AR34" i="6"/>
  <c r="AO34" i="6"/>
  <c r="AL34" i="6"/>
  <c r="AI34" i="6"/>
  <c r="AF34" i="6"/>
  <c r="AC34" i="6"/>
  <c r="Z34" i="6"/>
  <c r="BD33" i="6"/>
  <c r="BA33" i="6"/>
  <c r="AX33" i="6"/>
  <c r="AU33" i="6"/>
  <c r="AR33" i="6"/>
  <c r="AO33" i="6"/>
  <c r="AL33" i="6"/>
  <c r="AI33" i="6"/>
  <c r="AF33" i="6"/>
  <c r="AC33" i="6"/>
  <c r="Z33" i="6"/>
  <c r="BD32" i="6"/>
  <c r="BA32" i="6"/>
  <c r="AX32" i="6"/>
  <c r="AU32" i="6"/>
  <c r="AR32" i="6"/>
  <c r="AO32" i="6"/>
  <c r="AL32" i="6"/>
  <c r="AI32" i="6"/>
  <c r="AF32" i="6"/>
  <c r="AC32" i="6"/>
  <c r="Z32" i="6"/>
  <c r="BD31" i="6"/>
  <c r="BA31" i="6"/>
  <c r="AX31" i="6"/>
  <c r="AU31" i="6"/>
  <c r="AR31" i="6"/>
  <c r="AO31" i="6"/>
  <c r="AL31" i="6"/>
  <c r="AI31" i="6"/>
  <c r="AF31" i="6"/>
  <c r="AC31" i="6"/>
  <c r="Z31" i="6"/>
  <c r="BD30" i="6"/>
  <c r="BA30" i="6"/>
  <c r="AX30" i="6"/>
  <c r="AU30" i="6"/>
  <c r="AR30" i="6"/>
  <c r="AO30" i="6"/>
  <c r="AL30" i="6"/>
  <c r="AI30" i="6"/>
  <c r="AF30" i="6"/>
  <c r="AC30" i="6"/>
  <c r="Z30" i="6"/>
  <c r="BD29" i="6"/>
  <c r="BA29" i="6"/>
  <c r="AX29" i="6"/>
  <c r="AU29" i="6"/>
  <c r="AR29" i="6"/>
  <c r="AO29" i="6"/>
  <c r="AL29" i="6"/>
  <c r="AI29" i="6"/>
  <c r="AF29" i="6"/>
  <c r="AC29" i="6"/>
  <c r="Z29" i="6"/>
  <c r="BD28" i="6"/>
  <c r="BA28" i="6"/>
  <c r="AX28" i="6"/>
  <c r="AU28" i="6"/>
  <c r="AR28" i="6"/>
  <c r="AO28" i="6"/>
  <c r="AL28" i="6"/>
  <c r="AI28" i="6"/>
  <c r="AF28" i="6"/>
  <c r="AC28" i="6"/>
  <c r="AC37" i="6" s="1"/>
  <c r="Z28" i="6"/>
  <c r="BD27" i="6"/>
  <c r="BA27" i="6"/>
  <c r="AX27" i="6"/>
  <c r="AU27" i="6"/>
  <c r="AR27" i="6"/>
  <c r="AO27" i="6"/>
  <c r="AL27" i="6"/>
  <c r="AI27" i="6"/>
  <c r="AF27" i="6"/>
  <c r="AC27" i="6"/>
  <c r="Z27" i="6"/>
  <c r="BC25" i="6"/>
  <c r="BB25" i="6"/>
  <c r="AZ25" i="6"/>
  <c r="AY25" i="6"/>
  <c r="AW25" i="6"/>
  <c r="AV25" i="6"/>
  <c r="AT25" i="6"/>
  <c r="AS25" i="6"/>
  <c r="AQ25" i="6"/>
  <c r="AQ26" i="6" s="1"/>
  <c r="AP25" i="6"/>
  <c r="AN25" i="6"/>
  <c r="AM25" i="6"/>
  <c r="AK25" i="6"/>
  <c r="AJ25" i="6"/>
  <c r="AH25" i="6"/>
  <c r="AG25" i="6"/>
  <c r="AE25" i="6"/>
  <c r="AD25" i="6"/>
  <c r="AB25" i="6"/>
  <c r="AA25" i="6"/>
  <c r="Y25" i="6"/>
  <c r="X25" i="6"/>
  <c r="W25" i="6"/>
  <c r="V25" i="6"/>
  <c r="U25" i="6"/>
  <c r="T25" i="6"/>
  <c r="S25" i="6"/>
  <c r="S26" i="6" s="1"/>
  <c r="R25" i="6"/>
  <c r="Q25" i="6"/>
  <c r="P25" i="6"/>
  <c r="O25" i="6"/>
  <c r="N25" i="6"/>
  <c r="M25" i="6"/>
  <c r="L25" i="6"/>
  <c r="K25" i="6"/>
  <c r="K26" i="6" s="1"/>
  <c r="J25" i="6"/>
  <c r="I25" i="6"/>
  <c r="H25" i="6"/>
  <c r="G25" i="6"/>
  <c r="F25" i="6"/>
  <c r="E25" i="6"/>
  <c r="E26" i="6" s="1"/>
  <c r="D25" i="6"/>
  <c r="C25" i="6"/>
  <c r="BD24" i="6"/>
  <c r="BA24" i="6"/>
  <c r="AX24" i="6"/>
  <c r="AU24" i="6"/>
  <c r="AR24" i="6"/>
  <c r="AO24" i="6"/>
  <c r="AL24" i="6"/>
  <c r="AI24" i="6"/>
  <c r="AF24" i="6"/>
  <c r="AC24" i="6"/>
  <c r="Z24" i="6"/>
  <c r="BD23" i="6"/>
  <c r="BA23" i="6"/>
  <c r="AX23" i="6"/>
  <c r="AU23" i="6"/>
  <c r="AR23" i="6"/>
  <c r="AO23" i="6"/>
  <c r="AO25" i="6" s="1"/>
  <c r="AL23" i="6"/>
  <c r="AI23" i="6"/>
  <c r="AF23" i="6"/>
  <c r="AC23" i="6"/>
  <c r="Z23" i="6"/>
  <c r="BD22" i="6"/>
  <c r="BA22" i="6"/>
  <c r="AX22" i="6"/>
  <c r="AU22" i="6"/>
  <c r="AR22" i="6"/>
  <c r="AO22" i="6"/>
  <c r="AL22" i="6"/>
  <c r="AI22" i="6"/>
  <c r="AF22" i="6"/>
  <c r="AC22" i="6"/>
  <c r="Z22" i="6"/>
  <c r="BC21" i="6"/>
  <c r="BB21" i="6"/>
  <c r="AZ21" i="6"/>
  <c r="AY21" i="6"/>
  <c r="AW21" i="6"/>
  <c r="AV21" i="6"/>
  <c r="AT21" i="6"/>
  <c r="AS21" i="6"/>
  <c r="AQ21" i="6"/>
  <c r="AP21" i="6"/>
  <c r="AN21" i="6"/>
  <c r="AM21" i="6"/>
  <c r="AK21" i="6"/>
  <c r="AJ21" i="6"/>
  <c r="AH21" i="6"/>
  <c r="AG21" i="6"/>
  <c r="AE21" i="6"/>
  <c r="AD21" i="6"/>
  <c r="AB21" i="6"/>
  <c r="AA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21" i="6"/>
  <c r="C21" i="6"/>
  <c r="BD20" i="6"/>
  <c r="BA20" i="6"/>
  <c r="AX20" i="6"/>
  <c r="AU20" i="6"/>
  <c r="AR20" i="6"/>
  <c r="AO20" i="6"/>
  <c r="AL20" i="6"/>
  <c r="AI20" i="6"/>
  <c r="AF20" i="6"/>
  <c r="AC20" i="6"/>
  <c r="Z20" i="6"/>
  <c r="BD19" i="6"/>
  <c r="BA19" i="6"/>
  <c r="AX19" i="6"/>
  <c r="AU19" i="6"/>
  <c r="AR19" i="6"/>
  <c r="AO19" i="6"/>
  <c r="AL19" i="6"/>
  <c r="AI19" i="6"/>
  <c r="AF19" i="6"/>
  <c r="AC19" i="6"/>
  <c r="Z19" i="6"/>
  <c r="BD18" i="6"/>
  <c r="BA18" i="6"/>
  <c r="AX18" i="6"/>
  <c r="AU18" i="6"/>
  <c r="AR18" i="6"/>
  <c r="AO18" i="6"/>
  <c r="AL18" i="6"/>
  <c r="AI18" i="6"/>
  <c r="AF18" i="6"/>
  <c r="AC18" i="6"/>
  <c r="Z18" i="6"/>
  <c r="BD17" i="6"/>
  <c r="BD21" i="6" s="1"/>
  <c r="BA17" i="6"/>
  <c r="BA21" i="6" s="1"/>
  <c r="AX17" i="6"/>
  <c r="AU17" i="6"/>
  <c r="AR17" i="6"/>
  <c r="AO17" i="6"/>
  <c r="AL17" i="6"/>
  <c r="AI17" i="6"/>
  <c r="AF17" i="6"/>
  <c r="AF21" i="6"/>
  <c r="AC17" i="6"/>
  <c r="AC21" i="6" s="1"/>
  <c r="Z17" i="6"/>
  <c r="BC16" i="6"/>
  <c r="BB16" i="6"/>
  <c r="AZ16" i="6"/>
  <c r="AY16" i="6"/>
  <c r="AW16" i="6"/>
  <c r="AV16" i="6"/>
  <c r="AT16" i="6"/>
  <c r="AS16" i="6"/>
  <c r="AQ16" i="6"/>
  <c r="AP16" i="6"/>
  <c r="AN16" i="6"/>
  <c r="AM16" i="6"/>
  <c r="AK16" i="6"/>
  <c r="AK26" i="6" s="1"/>
  <c r="AJ16" i="6"/>
  <c r="AH16" i="6"/>
  <c r="AG16" i="6"/>
  <c r="AE16" i="6"/>
  <c r="AD16" i="6"/>
  <c r="AB16" i="6"/>
  <c r="AA16" i="6"/>
  <c r="Y16" i="6"/>
  <c r="X16" i="6"/>
  <c r="W16" i="6"/>
  <c r="V16" i="6"/>
  <c r="U16" i="6"/>
  <c r="T16" i="6"/>
  <c r="S16" i="6"/>
  <c r="R16" i="6"/>
  <c r="Q16" i="6"/>
  <c r="P16" i="6"/>
  <c r="O16" i="6"/>
  <c r="N16" i="6"/>
  <c r="M16" i="6"/>
  <c r="L16" i="6"/>
  <c r="K16" i="6"/>
  <c r="J16" i="6"/>
  <c r="I16" i="6"/>
  <c r="H16" i="6"/>
  <c r="G16" i="6"/>
  <c r="F16" i="6"/>
  <c r="E16" i="6"/>
  <c r="D16" i="6"/>
  <c r="C16" i="6"/>
  <c r="BD15" i="6"/>
  <c r="BA15" i="6"/>
  <c r="AX15" i="6"/>
  <c r="AU15" i="6"/>
  <c r="AR15" i="6"/>
  <c r="AO15" i="6"/>
  <c r="AL15" i="6"/>
  <c r="AI15" i="6"/>
  <c r="AF15" i="6"/>
  <c r="AC15" i="6"/>
  <c r="Z15" i="6"/>
  <c r="BD14" i="6"/>
  <c r="BA14" i="6"/>
  <c r="AX14" i="6"/>
  <c r="AU14" i="6"/>
  <c r="AR14" i="6"/>
  <c r="AO14" i="6"/>
  <c r="AL14" i="6"/>
  <c r="AI14" i="6"/>
  <c r="AF14" i="6"/>
  <c r="AC14" i="6"/>
  <c r="Z14" i="6"/>
  <c r="BD13" i="6"/>
  <c r="BA13" i="6"/>
  <c r="AX13" i="6"/>
  <c r="AU13" i="6"/>
  <c r="AU16" i="6" s="1"/>
  <c r="AR13" i="6"/>
  <c r="AO13" i="6"/>
  <c r="AL13" i="6"/>
  <c r="AI13" i="6"/>
  <c r="AF13" i="6"/>
  <c r="AC13" i="6"/>
  <c r="Z13" i="6"/>
  <c r="BD12" i="6"/>
  <c r="BA12" i="6"/>
  <c r="AX12" i="6"/>
  <c r="AU12" i="6"/>
  <c r="AR12" i="6"/>
  <c r="AO12" i="6"/>
  <c r="AL12" i="6"/>
  <c r="AI12" i="6"/>
  <c r="AF12" i="6"/>
  <c r="AF16" i="6" s="1"/>
  <c r="AC12" i="6"/>
  <c r="Z12" i="6"/>
  <c r="BD11" i="6"/>
  <c r="BA11" i="6"/>
  <c r="AX11" i="6"/>
  <c r="AU11" i="6"/>
  <c r="AR11" i="6"/>
  <c r="AO11" i="6"/>
  <c r="AL11" i="6"/>
  <c r="AI11" i="6"/>
  <c r="AF11" i="6"/>
  <c r="AC11" i="6"/>
  <c r="Z11" i="6"/>
  <c r="BD10" i="6"/>
  <c r="BA10" i="6"/>
  <c r="AX10" i="6"/>
  <c r="AU10" i="6"/>
  <c r="AR10" i="6"/>
  <c r="AO10" i="6"/>
  <c r="AL10" i="6"/>
  <c r="AI10" i="6"/>
  <c r="AF10" i="6"/>
  <c r="AC10" i="6"/>
  <c r="Z10" i="6"/>
  <c r="BD9" i="6"/>
  <c r="BA9" i="6"/>
  <c r="AX9" i="6"/>
  <c r="AU9" i="6"/>
  <c r="AR9" i="6"/>
  <c r="AO9" i="6"/>
  <c r="AL9" i="6"/>
  <c r="AI9" i="6"/>
  <c r="AI16" i="6" s="1"/>
  <c r="AF9" i="6"/>
  <c r="AC9" i="6"/>
  <c r="Z9" i="6"/>
  <c r="BD8" i="6"/>
  <c r="BA8" i="6"/>
  <c r="AX8" i="6"/>
  <c r="AU8" i="6"/>
  <c r="AR8" i="6"/>
  <c r="AO8" i="6"/>
  <c r="AL8" i="6"/>
  <c r="AI8" i="6"/>
  <c r="AF8" i="6"/>
  <c r="AC8" i="6"/>
  <c r="Z8" i="6"/>
  <c r="BD7" i="6"/>
  <c r="BA7" i="6"/>
  <c r="AX7" i="6"/>
  <c r="AX16" i="6" s="1"/>
  <c r="AU7" i="6"/>
  <c r="AR7" i="6"/>
  <c r="AO7" i="6"/>
  <c r="AL7" i="6"/>
  <c r="AI7" i="6"/>
  <c r="AF7" i="6"/>
  <c r="AC7" i="6"/>
  <c r="Z7" i="6"/>
  <c r="BD6" i="6"/>
  <c r="BA6" i="6"/>
  <c r="AX6" i="6"/>
  <c r="AU6" i="6"/>
  <c r="AR6" i="6"/>
  <c r="AO6" i="6"/>
  <c r="AO16" i="6" s="1"/>
  <c r="AL6" i="6"/>
  <c r="AI6" i="6"/>
  <c r="AF6" i="6"/>
  <c r="AC6" i="6"/>
  <c r="Z6" i="6"/>
  <c r="AT36" i="5"/>
  <c r="AS36" i="5"/>
  <c r="AQ36" i="5"/>
  <c r="AR36" i="5" s="1"/>
  <c r="AP36" i="5"/>
  <c r="AN36" i="5"/>
  <c r="AO36" i="5"/>
  <c r="AM36" i="5"/>
  <c r="AK36" i="5"/>
  <c r="AJ36" i="5"/>
  <c r="AL36" i="5" s="1"/>
  <c r="AH36" i="5"/>
  <c r="AG36" i="5"/>
  <c r="AE36" i="5"/>
  <c r="AD36" i="5"/>
  <c r="AB36" i="5"/>
  <c r="AA36" i="5"/>
  <c r="Y36" i="5"/>
  <c r="X36" i="5"/>
  <c r="Z36" i="5" s="1"/>
  <c r="V36" i="5"/>
  <c r="U36" i="5"/>
  <c r="S36" i="5"/>
  <c r="T36" i="5"/>
  <c r="R36" i="5"/>
  <c r="P36" i="5"/>
  <c r="O36" i="5"/>
  <c r="AT35" i="5"/>
  <c r="AS35" i="5"/>
  <c r="AQ35" i="5"/>
  <c r="AP35" i="5"/>
  <c r="AR35" i="5"/>
  <c r="AN35" i="5"/>
  <c r="AM35" i="5"/>
  <c r="AO35" i="5" s="1"/>
  <c r="AK35" i="5"/>
  <c r="AJ35" i="5"/>
  <c r="AH35" i="5"/>
  <c r="AG35" i="5"/>
  <c r="AE35" i="5"/>
  <c r="AD35" i="5"/>
  <c r="AF35" i="5" s="1"/>
  <c r="AB35" i="5"/>
  <c r="AC35" i="5"/>
  <c r="AA35" i="5"/>
  <c r="Y35" i="5"/>
  <c r="X35" i="5"/>
  <c r="Z35" i="5" s="1"/>
  <c r="V35" i="5"/>
  <c r="U35" i="5"/>
  <c r="W35" i="5" s="1"/>
  <c r="S35" i="5"/>
  <c r="R35" i="5"/>
  <c r="P35" i="5"/>
  <c r="O35" i="5"/>
  <c r="AT34" i="5"/>
  <c r="AS34" i="5"/>
  <c r="AQ34" i="5"/>
  <c r="AP34" i="5"/>
  <c r="AN34" i="5"/>
  <c r="AM34" i="5"/>
  <c r="AO34" i="5" s="1"/>
  <c r="AK34" i="5"/>
  <c r="AL34" i="5" s="1"/>
  <c r="AJ34" i="5"/>
  <c r="AH34" i="5"/>
  <c r="AG34" i="5"/>
  <c r="AE34" i="5"/>
  <c r="AD34" i="5"/>
  <c r="AF34" i="5" s="1"/>
  <c r="AB34" i="5"/>
  <c r="AA34" i="5"/>
  <c r="Y34" i="5"/>
  <c r="X34" i="5"/>
  <c r="V34" i="5"/>
  <c r="U34" i="5"/>
  <c r="S34" i="5"/>
  <c r="R34" i="5"/>
  <c r="P34" i="5"/>
  <c r="O34" i="5"/>
  <c r="AT33" i="5"/>
  <c r="AS33" i="5"/>
  <c r="AQ33" i="5"/>
  <c r="AP33" i="5"/>
  <c r="AR33" i="5" s="1"/>
  <c r="AN33" i="5"/>
  <c r="AM33" i="5"/>
  <c r="AO33" i="5" s="1"/>
  <c r="AK33" i="5"/>
  <c r="AJ33" i="5"/>
  <c r="AL33" i="5"/>
  <c r="AH33" i="5"/>
  <c r="AG33" i="5"/>
  <c r="AE33" i="5"/>
  <c r="AD33" i="5"/>
  <c r="AB33" i="5"/>
  <c r="AA33" i="5"/>
  <c r="AC33" i="5"/>
  <c r="Y33" i="5"/>
  <c r="X33" i="5"/>
  <c r="V33" i="5"/>
  <c r="U33" i="5"/>
  <c r="W33" i="5" s="1"/>
  <c r="S33" i="5"/>
  <c r="R33" i="5"/>
  <c r="T33" i="5" s="1"/>
  <c r="P33" i="5"/>
  <c r="O33" i="5"/>
  <c r="AT32" i="5"/>
  <c r="AS32" i="5"/>
  <c r="AU32" i="5" s="1"/>
  <c r="AQ32" i="5"/>
  <c r="AP32" i="5"/>
  <c r="AN32" i="5"/>
  <c r="AM32" i="5"/>
  <c r="AK32" i="5"/>
  <c r="AJ32" i="5"/>
  <c r="AL32" i="5" s="1"/>
  <c r="AH32" i="5"/>
  <c r="AG32" i="5"/>
  <c r="AI32" i="5" s="1"/>
  <c r="AE32" i="5"/>
  <c r="AD32" i="5"/>
  <c r="AF32" i="5" s="1"/>
  <c r="AB32" i="5"/>
  <c r="AA32" i="5"/>
  <c r="AC32" i="5" s="1"/>
  <c r="Y32" i="5"/>
  <c r="Z32" i="5" s="1"/>
  <c r="X32" i="5"/>
  <c r="V32" i="5"/>
  <c r="U32" i="5"/>
  <c r="S32" i="5"/>
  <c r="R32" i="5"/>
  <c r="T32" i="5"/>
  <c r="P32" i="5"/>
  <c r="Q32" i="5" s="1"/>
  <c r="O32" i="5"/>
  <c r="AT31" i="5"/>
  <c r="AS31" i="5"/>
  <c r="AU31" i="5"/>
  <c r="AQ31" i="5"/>
  <c r="AQ37" i="5"/>
  <c r="AP31" i="5"/>
  <c r="AN31" i="5"/>
  <c r="AM31" i="5"/>
  <c r="AK31" i="5"/>
  <c r="AJ31" i="5"/>
  <c r="AH31" i="5"/>
  <c r="AI31" i="5" s="1"/>
  <c r="AG31" i="5"/>
  <c r="AE31" i="5"/>
  <c r="AD31" i="5"/>
  <c r="AF31" i="5" s="1"/>
  <c r="AB31" i="5"/>
  <c r="AA31" i="5"/>
  <c r="Y31" i="5"/>
  <c r="X31" i="5"/>
  <c r="V31" i="5"/>
  <c r="U31" i="5"/>
  <c r="W31" i="5"/>
  <c r="S31" i="5"/>
  <c r="R31" i="5"/>
  <c r="P31" i="5"/>
  <c r="O31" i="5"/>
  <c r="Q31" i="5" s="1"/>
  <c r="AT29" i="5"/>
  <c r="AU29" i="5" s="1"/>
  <c r="AS29" i="5"/>
  <c r="AR29" i="5"/>
  <c r="AQ29" i="5"/>
  <c r="AP29" i="5"/>
  <c r="AN29" i="5"/>
  <c r="AO29" i="5" s="1"/>
  <c r="AM29" i="5"/>
  <c r="AK29" i="5"/>
  <c r="AJ29" i="5"/>
  <c r="AH29" i="5"/>
  <c r="AG29" i="5"/>
  <c r="AE29" i="5"/>
  <c r="AD29" i="5"/>
  <c r="AB29" i="5"/>
  <c r="AC29" i="5"/>
  <c r="AA29" i="5"/>
  <c r="Y29" i="5"/>
  <c r="X29" i="5"/>
  <c r="V29" i="5"/>
  <c r="W29" i="5" s="1"/>
  <c r="U29" i="5"/>
  <c r="S29" i="5"/>
  <c r="T29" i="5" s="1"/>
  <c r="R29" i="5"/>
  <c r="P29" i="5"/>
  <c r="O29" i="5"/>
  <c r="AU28" i="5"/>
  <c r="AR28" i="5"/>
  <c r="AO28" i="5"/>
  <c r="AL28" i="5"/>
  <c r="AI28" i="5"/>
  <c r="AF28" i="5"/>
  <c r="AC28" i="5"/>
  <c r="Z28" i="5"/>
  <c r="W28" i="5"/>
  <c r="T28" i="5"/>
  <c r="Q28" i="5"/>
  <c r="AU27" i="5"/>
  <c r="AR27" i="5"/>
  <c r="AO27" i="5"/>
  <c r="AL27" i="5"/>
  <c r="AI27" i="5"/>
  <c r="AF27" i="5"/>
  <c r="AC27" i="5"/>
  <c r="Z27" i="5"/>
  <c r="W27" i="5"/>
  <c r="T27" i="5"/>
  <c r="Q27" i="5"/>
  <c r="AU26" i="5"/>
  <c r="AR26" i="5"/>
  <c r="AO26" i="5"/>
  <c r="AL26" i="5"/>
  <c r="AI26" i="5"/>
  <c r="AF26" i="5"/>
  <c r="AC26" i="5"/>
  <c r="Z26" i="5"/>
  <c r="W26" i="5"/>
  <c r="T26" i="5"/>
  <c r="Q26" i="5"/>
  <c r="AT24" i="5"/>
  <c r="AS24" i="5"/>
  <c r="AQ24" i="5"/>
  <c r="AP24" i="5"/>
  <c r="AN24" i="5"/>
  <c r="AM24" i="5"/>
  <c r="AK24" i="5"/>
  <c r="AL24" i="5" s="1"/>
  <c r="AJ24" i="5"/>
  <c r="AH24" i="5"/>
  <c r="AG24" i="5"/>
  <c r="AE24" i="5"/>
  <c r="AD24" i="5"/>
  <c r="AB24" i="5"/>
  <c r="AA24" i="5"/>
  <c r="Y24" i="5"/>
  <c r="X24" i="5"/>
  <c r="V24" i="5"/>
  <c r="U24" i="5"/>
  <c r="S24" i="5"/>
  <c r="T24" i="5" s="1"/>
  <c r="R24" i="5"/>
  <c r="AU23" i="5"/>
  <c r="AR23" i="5"/>
  <c r="AO23" i="5"/>
  <c r="AL23" i="5"/>
  <c r="AI23" i="5"/>
  <c r="AF23" i="5"/>
  <c r="AC23" i="5"/>
  <c r="Z23" i="5"/>
  <c r="W23" i="5"/>
  <c r="T23" i="5"/>
  <c r="AU22" i="5"/>
  <c r="AR22" i="5"/>
  <c r="AO22" i="5"/>
  <c r="AL22" i="5"/>
  <c r="AI22" i="5"/>
  <c r="AF22" i="5"/>
  <c r="AC22" i="5"/>
  <c r="Z22" i="5"/>
  <c r="W22" i="5"/>
  <c r="T22" i="5"/>
  <c r="AU21" i="5"/>
  <c r="AR21" i="5"/>
  <c r="AO21" i="5"/>
  <c r="AL21" i="5"/>
  <c r="AI21" i="5"/>
  <c r="AF21" i="5"/>
  <c r="AC21" i="5"/>
  <c r="Z21" i="5"/>
  <c r="W21" i="5"/>
  <c r="T21" i="5"/>
  <c r="AT19" i="5"/>
  <c r="AS19" i="5"/>
  <c r="AQ19" i="5"/>
  <c r="AR19" i="5" s="1"/>
  <c r="AP19" i="5"/>
  <c r="AN19" i="5"/>
  <c r="AM19" i="5"/>
  <c r="AK19" i="5"/>
  <c r="AJ19" i="5"/>
  <c r="AH19" i="5"/>
  <c r="AG19" i="5"/>
  <c r="AE19" i="5"/>
  <c r="AF19" i="5" s="1"/>
  <c r="AD19" i="5"/>
  <c r="AB19" i="5"/>
  <c r="AC19" i="5" s="1"/>
  <c r="AA19" i="5"/>
  <c r="Y19" i="5"/>
  <c r="Z19" i="5" s="1"/>
  <c r="X19" i="5"/>
  <c r="V19" i="5"/>
  <c r="U19" i="5"/>
  <c r="S19" i="5"/>
  <c r="R19" i="5"/>
  <c r="P19" i="5"/>
  <c r="O19" i="5"/>
  <c r="AU18" i="5"/>
  <c r="AR18" i="5"/>
  <c r="AO18" i="5"/>
  <c r="AL18" i="5"/>
  <c r="AI18" i="5"/>
  <c r="AF18" i="5"/>
  <c r="AC18" i="5"/>
  <c r="Z18" i="5"/>
  <c r="W18" i="5"/>
  <c r="T18" i="5"/>
  <c r="Q18" i="5"/>
  <c r="AU17" i="5"/>
  <c r="AR17" i="5"/>
  <c r="AO17" i="5"/>
  <c r="AL17" i="5"/>
  <c r="AI17" i="5"/>
  <c r="AF17" i="5"/>
  <c r="AC17" i="5"/>
  <c r="Z17" i="5"/>
  <c r="W17" i="5"/>
  <c r="T17" i="5"/>
  <c r="Q17" i="5"/>
  <c r="AU16" i="5"/>
  <c r="AR16" i="5"/>
  <c r="AO16" i="5"/>
  <c r="AL16" i="5"/>
  <c r="AI16" i="5"/>
  <c r="AF16" i="5"/>
  <c r="AC16" i="5"/>
  <c r="Z16" i="5"/>
  <c r="W16" i="5"/>
  <c r="T16" i="5"/>
  <c r="Q16" i="5"/>
  <c r="AT14" i="5"/>
  <c r="AS14" i="5"/>
  <c r="AQ14" i="5"/>
  <c r="AR14" i="5" s="1"/>
  <c r="AP14" i="5"/>
  <c r="AN14" i="5"/>
  <c r="AM14" i="5"/>
  <c r="AK14" i="5"/>
  <c r="AJ14" i="5"/>
  <c r="AH14" i="5"/>
  <c r="AG14" i="5"/>
  <c r="AE14" i="5"/>
  <c r="AD14" i="5"/>
  <c r="AB14" i="5"/>
  <c r="AA14" i="5"/>
  <c r="Y14" i="5"/>
  <c r="Z14" i="5" s="1"/>
  <c r="X14" i="5"/>
  <c r="V14" i="5"/>
  <c r="W14" i="5"/>
  <c r="U14" i="5"/>
  <c r="S14" i="5"/>
  <c r="R14" i="5"/>
  <c r="P14" i="5"/>
  <c r="O14" i="5"/>
  <c r="AU13" i="5"/>
  <c r="AR13" i="5"/>
  <c r="AO13" i="5"/>
  <c r="AL13" i="5"/>
  <c r="AI13" i="5"/>
  <c r="AF13" i="5"/>
  <c r="AC13" i="5"/>
  <c r="Z13" i="5"/>
  <c r="W13" i="5"/>
  <c r="T13" i="5"/>
  <c r="Q13" i="5"/>
  <c r="AU12" i="5"/>
  <c r="AR12" i="5"/>
  <c r="AO12" i="5"/>
  <c r="AL12" i="5"/>
  <c r="AI12" i="5"/>
  <c r="AF12" i="5"/>
  <c r="AC12" i="5"/>
  <c r="Z12" i="5"/>
  <c r="W12" i="5"/>
  <c r="T12" i="5"/>
  <c r="Q12" i="5"/>
  <c r="AU11" i="5"/>
  <c r="AR11" i="5"/>
  <c r="AO11" i="5"/>
  <c r="AL11" i="5"/>
  <c r="AI11" i="5"/>
  <c r="AF11" i="5"/>
  <c r="AC11" i="5"/>
  <c r="Z11" i="5"/>
  <c r="W11" i="5"/>
  <c r="T11" i="5"/>
  <c r="Q11" i="5"/>
  <c r="AT9" i="5"/>
  <c r="AS9" i="5"/>
  <c r="AQ9" i="5"/>
  <c r="AR9" i="5" s="1"/>
  <c r="AP9" i="5"/>
  <c r="AN9" i="5"/>
  <c r="AM9" i="5"/>
  <c r="AK9" i="5"/>
  <c r="AL9" i="5" s="1"/>
  <c r="AJ9" i="5"/>
  <c r="AH9" i="5"/>
  <c r="AG9" i="5"/>
  <c r="AE9" i="5"/>
  <c r="AD9" i="5"/>
  <c r="AB9" i="5"/>
  <c r="AA9" i="5"/>
  <c r="Y9" i="5"/>
  <c r="X9" i="5"/>
  <c r="V9" i="5"/>
  <c r="U9" i="5"/>
  <c r="S9" i="5"/>
  <c r="T9" i="5"/>
  <c r="R9" i="5"/>
  <c r="P9" i="5"/>
  <c r="O9" i="5"/>
  <c r="AU8" i="5"/>
  <c r="AR8" i="5"/>
  <c r="AO8" i="5"/>
  <c r="AL8" i="5"/>
  <c r="AI8" i="5"/>
  <c r="AF8" i="5"/>
  <c r="AC8" i="5"/>
  <c r="Z8" i="5"/>
  <c r="W8" i="5"/>
  <c r="T8" i="5"/>
  <c r="Q8" i="5"/>
  <c r="AU7" i="5"/>
  <c r="AR7" i="5"/>
  <c r="AO7" i="5"/>
  <c r="AL7" i="5"/>
  <c r="AI7" i="5"/>
  <c r="AF7" i="5"/>
  <c r="AC7" i="5"/>
  <c r="Z7" i="5"/>
  <c r="W7" i="5"/>
  <c r="T7" i="5"/>
  <c r="Q7" i="5"/>
  <c r="AU6" i="5"/>
  <c r="AR6" i="5"/>
  <c r="AO6" i="5"/>
  <c r="AL6" i="5"/>
  <c r="AI6" i="5"/>
  <c r="AF6" i="5"/>
  <c r="AC6" i="5"/>
  <c r="Z6" i="5"/>
  <c r="W6" i="5"/>
  <c r="T6" i="5"/>
  <c r="Q6" i="5"/>
  <c r="X37" i="4"/>
  <c r="V37" i="4"/>
  <c r="U37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C37" i="4"/>
  <c r="B37" i="4"/>
  <c r="AA36" i="4"/>
  <c r="AB36" i="4" s="1"/>
  <c r="Y36" i="4"/>
  <c r="AA35" i="4"/>
  <c r="AB35" i="4" s="1"/>
  <c r="Y35" i="4"/>
  <c r="AA34" i="4"/>
  <c r="Z34" i="4"/>
  <c r="W34" i="4"/>
  <c r="Y34" i="4" s="1"/>
  <c r="AA33" i="4"/>
  <c r="Z33" i="4"/>
  <c r="W33" i="4"/>
  <c r="Y33" i="4" s="1"/>
  <c r="AA32" i="4"/>
  <c r="Z32" i="4"/>
  <c r="W32" i="4"/>
  <c r="Y32" i="4" s="1"/>
  <c r="AA31" i="4"/>
  <c r="AA37" i="4" s="1"/>
  <c r="Z31" i="4"/>
  <c r="W31" i="4"/>
  <c r="Z29" i="4"/>
  <c r="AB29" i="4" s="1"/>
  <c r="W29" i="4"/>
  <c r="Y29" i="4" s="1"/>
  <c r="BB28" i="4"/>
  <c r="BA28" i="4"/>
  <c r="AY28" i="4"/>
  <c r="AX28" i="4"/>
  <c r="AZ28" i="4" s="1"/>
  <c r="AV28" i="4"/>
  <c r="AU28" i="4"/>
  <c r="AW28" i="4" s="1"/>
  <c r="AS28" i="4"/>
  <c r="AR28" i="4"/>
  <c r="AP28" i="4"/>
  <c r="AO28" i="4"/>
  <c r="AM28" i="4"/>
  <c r="AL28" i="4"/>
  <c r="AJ28" i="4"/>
  <c r="AI28" i="4"/>
  <c r="AG28" i="4"/>
  <c r="AF28" i="4"/>
  <c r="AH28" i="4" s="1"/>
  <c r="AD28" i="4"/>
  <c r="AC28" i="4"/>
  <c r="AB28" i="4"/>
  <c r="Y28" i="4"/>
  <c r="BB27" i="4"/>
  <c r="BA27" i="4"/>
  <c r="AY27" i="4"/>
  <c r="AX27" i="4"/>
  <c r="AZ27" i="4" s="1"/>
  <c r="AV27" i="4"/>
  <c r="AU27" i="4"/>
  <c r="AS27" i="4"/>
  <c r="AR27" i="4"/>
  <c r="AP27" i="4"/>
  <c r="AO27" i="4"/>
  <c r="AQ27" i="4" s="1"/>
  <c r="AM27" i="4"/>
  <c r="AL27" i="4"/>
  <c r="AJ27" i="4"/>
  <c r="AI27" i="4"/>
  <c r="AG27" i="4"/>
  <c r="AF27" i="4"/>
  <c r="AD27" i="4"/>
  <c r="AC27" i="4"/>
  <c r="AB27" i="4"/>
  <c r="Y27" i="4"/>
  <c r="BB26" i="4"/>
  <c r="BA26" i="4"/>
  <c r="AY26" i="4"/>
  <c r="AY29" i="4" s="1"/>
  <c r="AX26" i="4"/>
  <c r="AX29" i="4" s="1"/>
  <c r="AV26" i="4"/>
  <c r="AU26" i="4"/>
  <c r="AU29" i="4" s="1"/>
  <c r="AS26" i="4"/>
  <c r="AR26" i="4"/>
  <c r="AT26" i="4" s="1"/>
  <c r="AP26" i="4"/>
  <c r="AO26" i="4"/>
  <c r="AM26" i="4"/>
  <c r="AM29" i="4" s="1"/>
  <c r="AL26" i="4"/>
  <c r="AJ26" i="4"/>
  <c r="AI26" i="4"/>
  <c r="AG26" i="4"/>
  <c r="AG29" i="4" s="1"/>
  <c r="AF26" i="4"/>
  <c r="AF29" i="4" s="1"/>
  <c r="AD26" i="4"/>
  <c r="AD29" i="4" s="1"/>
  <c r="AC26" i="4"/>
  <c r="AB26" i="4"/>
  <c r="Y26" i="4"/>
  <c r="Z24" i="4"/>
  <c r="AB24" i="4"/>
  <c r="AP23" i="4"/>
  <c r="AO23" i="4"/>
  <c r="AM23" i="4"/>
  <c r="AL23" i="4"/>
  <c r="AJ23" i="4"/>
  <c r="AI23" i="4"/>
  <c r="AG23" i="4"/>
  <c r="AF23" i="4"/>
  <c r="AD23" i="4"/>
  <c r="AC23" i="4"/>
  <c r="AB23" i="4"/>
  <c r="AR22" i="4"/>
  <c r="AD22" i="4"/>
  <c r="AC22" i="4"/>
  <c r="AB22" i="4"/>
  <c r="AP21" i="4"/>
  <c r="AO21" i="4"/>
  <c r="AM21" i="4"/>
  <c r="AL21" i="4"/>
  <c r="AJ21" i="4"/>
  <c r="AI21" i="4"/>
  <c r="AG21" i="4"/>
  <c r="AF21" i="4"/>
  <c r="AD21" i="4"/>
  <c r="AC21" i="4"/>
  <c r="AB21" i="4"/>
  <c r="Z19" i="4"/>
  <c r="AB19" i="4" s="1"/>
  <c r="W19" i="4"/>
  <c r="Y19" i="4" s="1"/>
  <c r="BB18" i="4"/>
  <c r="BA18" i="4"/>
  <c r="BC18" i="4" s="1"/>
  <c r="AY18" i="4"/>
  <c r="AX18" i="4"/>
  <c r="AV18" i="4"/>
  <c r="AU18" i="4"/>
  <c r="AW18" i="4" s="1"/>
  <c r="AS18" i="4"/>
  <c r="AR18" i="4"/>
  <c r="AP18" i="4"/>
  <c r="AP33" i="4" s="1"/>
  <c r="AO18" i="4"/>
  <c r="AM18" i="4"/>
  <c r="AM33" i="4" s="1"/>
  <c r="AL18" i="4"/>
  <c r="AJ18" i="4"/>
  <c r="AI18" i="4"/>
  <c r="AG18" i="4"/>
  <c r="AF18" i="4"/>
  <c r="AD18" i="4"/>
  <c r="AE18" i="4" s="1"/>
  <c r="AC18" i="4"/>
  <c r="AB18" i="4"/>
  <c r="Y18" i="4"/>
  <c r="BB17" i="4"/>
  <c r="BA17" i="4"/>
  <c r="AY17" i="4"/>
  <c r="AX17" i="4"/>
  <c r="AZ17" i="4" s="1"/>
  <c r="AW17" i="4"/>
  <c r="AV17" i="4"/>
  <c r="AU17" i="4"/>
  <c r="AS17" i="4"/>
  <c r="AR17" i="4"/>
  <c r="AT17" i="4" s="1"/>
  <c r="AP17" i="4"/>
  <c r="AO17" i="4"/>
  <c r="AQ17" i="4" s="1"/>
  <c r="AM17" i="4"/>
  <c r="AL17" i="4"/>
  <c r="AJ17" i="4"/>
  <c r="AI17" i="4"/>
  <c r="AG17" i="4"/>
  <c r="AF17" i="4"/>
  <c r="AH17" i="4" s="1"/>
  <c r="AD17" i="4"/>
  <c r="AC17" i="4"/>
  <c r="AE17" i="4" s="1"/>
  <c r="AB17" i="4"/>
  <c r="Y17" i="4"/>
  <c r="BB16" i="4"/>
  <c r="BB19" i="4" s="1"/>
  <c r="BA16" i="4"/>
  <c r="AY16" i="4"/>
  <c r="AX16" i="4"/>
  <c r="AV16" i="4"/>
  <c r="AV19" i="4" s="1"/>
  <c r="AU16" i="4"/>
  <c r="AU19" i="4" s="1"/>
  <c r="AS16" i="4"/>
  <c r="AS19" i="4" s="1"/>
  <c r="AR16" i="4"/>
  <c r="AR19" i="4" s="1"/>
  <c r="AP16" i="4"/>
  <c r="AO16" i="4"/>
  <c r="AO19" i="4" s="1"/>
  <c r="AM16" i="4"/>
  <c r="AL16" i="4"/>
  <c r="AN16" i="4" s="1"/>
  <c r="AN19" i="4" s="1"/>
  <c r="AJ16" i="4"/>
  <c r="AJ19" i="4" s="1"/>
  <c r="AI16" i="4"/>
  <c r="AG16" i="4"/>
  <c r="AG19" i="4" s="1"/>
  <c r="AF16" i="4"/>
  <c r="AD16" i="4"/>
  <c r="AC16" i="4"/>
  <c r="AB16" i="4"/>
  <c r="Y16" i="4"/>
  <c r="BB13" i="4"/>
  <c r="BA13" i="4"/>
  <c r="BC13" i="4" s="1"/>
  <c r="AY13" i="4"/>
  <c r="AY36" i="4" s="1"/>
  <c r="AX13" i="4"/>
  <c r="AX36" i="4" s="1"/>
  <c r="AV13" i="4"/>
  <c r="AV36" i="4" s="1"/>
  <c r="AU13" i="4"/>
  <c r="AU36" i="4" s="1"/>
  <c r="AS13" i="4"/>
  <c r="AS36" i="4" s="1"/>
  <c r="AR13" i="4"/>
  <c r="AR36" i="4" s="1"/>
  <c r="AP13" i="4"/>
  <c r="AP36" i="4" s="1"/>
  <c r="AO13" i="4"/>
  <c r="AO36" i="4" s="1"/>
  <c r="AQ36" i="4" s="1"/>
  <c r="AM13" i="4"/>
  <c r="AM36" i="4" s="1"/>
  <c r="AL13" i="4"/>
  <c r="AJ13" i="4"/>
  <c r="AJ36" i="4" s="1"/>
  <c r="AI13" i="4"/>
  <c r="AI36" i="4" s="1"/>
  <c r="AK36" i="4" s="1"/>
  <c r="AG13" i="4"/>
  <c r="AG36" i="4"/>
  <c r="AF13" i="4"/>
  <c r="AF36" i="4" s="1"/>
  <c r="AH36" i="4" s="1"/>
  <c r="AD13" i="4"/>
  <c r="AC13" i="4"/>
  <c r="AC36" i="4" s="1"/>
  <c r="BB12" i="4"/>
  <c r="BA12" i="4"/>
  <c r="BA35" i="4" s="1"/>
  <c r="AY12" i="4"/>
  <c r="AY35" i="4" s="1"/>
  <c r="AX12" i="4"/>
  <c r="AX35" i="4" s="1"/>
  <c r="AV12" i="4"/>
  <c r="AV35" i="4" s="1"/>
  <c r="AU12" i="4"/>
  <c r="AU35" i="4" s="1"/>
  <c r="AS12" i="4"/>
  <c r="AS35" i="4" s="1"/>
  <c r="AR12" i="4"/>
  <c r="AR35" i="4" s="1"/>
  <c r="AP12" i="4"/>
  <c r="AP35" i="4" s="1"/>
  <c r="AO12" i="4"/>
  <c r="AO35" i="4" s="1"/>
  <c r="AQ35" i="4" s="1"/>
  <c r="AM12" i="4"/>
  <c r="AM35" i="4" s="1"/>
  <c r="AL12" i="4"/>
  <c r="AJ12" i="4"/>
  <c r="AJ35" i="4" s="1"/>
  <c r="AI12" i="4"/>
  <c r="AG12" i="4"/>
  <c r="AG35" i="4" s="1"/>
  <c r="AF12" i="4"/>
  <c r="AF35" i="4" s="1"/>
  <c r="AD12" i="4"/>
  <c r="AC12" i="4"/>
  <c r="AC35" i="4" s="1"/>
  <c r="BB11" i="4"/>
  <c r="BA11" i="4"/>
  <c r="BA14" i="4" s="1"/>
  <c r="AY11" i="4"/>
  <c r="AX11" i="4"/>
  <c r="AX14" i="4" s="1"/>
  <c r="AV11" i="4"/>
  <c r="AU11" i="4"/>
  <c r="AU14" i="4" s="1"/>
  <c r="AS11" i="4"/>
  <c r="AR11" i="4"/>
  <c r="AP11" i="4"/>
  <c r="AO11" i="4"/>
  <c r="AM11" i="4"/>
  <c r="AL11" i="4"/>
  <c r="AJ11" i="4"/>
  <c r="AJ14" i="4" s="1"/>
  <c r="AI11" i="4"/>
  <c r="AK11" i="4" s="1"/>
  <c r="AG11" i="4"/>
  <c r="AF11" i="4"/>
  <c r="AF14" i="4" s="1"/>
  <c r="AD11" i="4"/>
  <c r="AC11" i="4"/>
  <c r="Z9" i="4"/>
  <c r="AB9" i="4" s="1"/>
  <c r="Y9" i="4"/>
  <c r="W9" i="4"/>
  <c r="BB8" i="4"/>
  <c r="BB34" i="4" s="1"/>
  <c r="BC34" i="4" s="1"/>
  <c r="BA8" i="4"/>
  <c r="BA34" i="4" s="1"/>
  <c r="AY8" i="4"/>
  <c r="AY34" i="4" s="1"/>
  <c r="AZ34" i="4" s="1"/>
  <c r="AX8" i="4"/>
  <c r="AX34" i="4" s="1"/>
  <c r="AV8" i="4"/>
  <c r="AV34" i="4"/>
  <c r="AU8" i="4"/>
  <c r="AS8" i="4"/>
  <c r="AS34" i="4" s="1"/>
  <c r="AR8" i="4"/>
  <c r="AR34" i="4" s="1"/>
  <c r="AP8" i="4"/>
  <c r="AP34" i="4" s="1"/>
  <c r="AO8" i="4"/>
  <c r="AO34" i="4" s="1"/>
  <c r="AM8" i="4"/>
  <c r="AM34" i="4" s="1"/>
  <c r="AL8" i="4"/>
  <c r="AJ8" i="4"/>
  <c r="AJ34" i="4" s="1"/>
  <c r="AI8" i="4"/>
  <c r="AG8" i="4"/>
  <c r="AG34" i="4" s="1"/>
  <c r="AH34" i="4" s="1"/>
  <c r="AF8" i="4"/>
  <c r="AF34" i="4" s="1"/>
  <c r="AD8" i="4"/>
  <c r="AC8" i="4"/>
  <c r="AE8" i="4" s="1"/>
  <c r="AB8" i="4"/>
  <c r="Y8" i="4"/>
  <c r="BB7" i="4"/>
  <c r="BA7" i="4"/>
  <c r="AY7" i="4"/>
  <c r="AX7" i="4"/>
  <c r="AV7" i="4"/>
  <c r="AU7" i="4"/>
  <c r="AS7" i="4"/>
  <c r="AR7" i="4"/>
  <c r="AP7" i="4"/>
  <c r="AO7" i="4"/>
  <c r="AQ7" i="4" s="1"/>
  <c r="AM7" i="4"/>
  <c r="AL7" i="4"/>
  <c r="AJ7" i="4"/>
  <c r="AI7" i="4"/>
  <c r="AK7" i="4" s="1"/>
  <c r="AG7" i="4"/>
  <c r="AF7" i="4"/>
  <c r="AD7" i="4"/>
  <c r="AC7" i="4"/>
  <c r="AC32" i="4" s="1"/>
  <c r="AB7" i="4"/>
  <c r="AB32" i="4" s="1"/>
  <c r="Y7" i="4"/>
  <c r="BB6" i="4"/>
  <c r="BA6" i="4"/>
  <c r="AY6" i="4"/>
  <c r="AY9" i="4" s="1"/>
  <c r="AX6" i="4"/>
  <c r="AV6" i="4"/>
  <c r="AU6" i="4"/>
  <c r="AU9" i="4" s="1"/>
  <c r="AS6" i="4"/>
  <c r="AR6" i="4"/>
  <c r="AP6" i="4"/>
  <c r="AP31" i="4" s="1"/>
  <c r="AO6" i="4"/>
  <c r="AO31" i="4" s="1"/>
  <c r="AM6" i="4"/>
  <c r="AM31" i="4" s="1"/>
  <c r="AL6" i="4"/>
  <c r="AJ6" i="4"/>
  <c r="AJ31" i="4" s="1"/>
  <c r="AI6" i="4"/>
  <c r="AG6" i="4"/>
  <c r="AF6" i="4"/>
  <c r="AF31" i="4" s="1"/>
  <c r="AD6" i="4"/>
  <c r="AD9" i="4" s="1"/>
  <c r="AC6" i="4"/>
  <c r="AB6" i="4"/>
  <c r="Y6" i="4"/>
  <c r="BB105" i="3"/>
  <c r="BA105" i="3"/>
  <c r="BA23" i="4" s="1"/>
  <c r="AY105" i="3"/>
  <c r="AY23" i="4" s="1"/>
  <c r="AY33" i="4" s="1"/>
  <c r="AX105" i="3"/>
  <c r="AX23" i="4" s="1"/>
  <c r="AV105" i="3"/>
  <c r="AV23" i="4"/>
  <c r="AU105" i="3"/>
  <c r="AU23" i="4" s="1"/>
  <c r="AW23" i="4" s="1"/>
  <c r="AS105" i="3"/>
  <c r="AS23" i="4" s="1"/>
  <c r="AR105" i="3"/>
  <c r="AP105" i="3"/>
  <c r="AO105" i="3"/>
  <c r="AM105" i="3"/>
  <c r="AL105" i="3"/>
  <c r="AJ105" i="3"/>
  <c r="AI105" i="3"/>
  <c r="AG105" i="3"/>
  <c r="AG106" i="3" s="1"/>
  <c r="AF105" i="3"/>
  <c r="AD105" i="3"/>
  <c r="AC105" i="3"/>
  <c r="AA105" i="3"/>
  <c r="Z105" i="3"/>
  <c r="BC104" i="3"/>
  <c r="AZ104" i="3"/>
  <c r="AW104" i="3"/>
  <c r="AW105" i="3" s="1"/>
  <c r="BC103" i="3"/>
  <c r="AZ103" i="3"/>
  <c r="AW103" i="3"/>
  <c r="AT103" i="3"/>
  <c r="BC102" i="3"/>
  <c r="AZ102" i="3"/>
  <c r="AW102" i="3"/>
  <c r="AT102" i="3"/>
  <c r="AT105" i="3" s="1"/>
  <c r="AQ102" i="3"/>
  <c r="AQ105" i="3" s="1"/>
  <c r="AN102" i="3"/>
  <c r="AN105" i="3" s="1"/>
  <c r="AK102" i="3"/>
  <c r="AK105" i="3" s="1"/>
  <c r="AH102" i="3"/>
  <c r="AH105" i="3" s="1"/>
  <c r="AE102" i="3"/>
  <c r="AE105" i="3" s="1"/>
  <c r="AB102" i="3"/>
  <c r="AB105" i="3" s="1"/>
  <c r="BB101" i="3"/>
  <c r="BB22" i="4" s="1"/>
  <c r="BA101" i="3"/>
  <c r="BA22" i="4" s="1"/>
  <c r="AY101" i="3"/>
  <c r="AX101" i="3"/>
  <c r="AX22" i="4" s="1"/>
  <c r="AV101" i="3"/>
  <c r="AV22" i="4" s="1"/>
  <c r="AU101" i="3"/>
  <c r="AU22" i="4" s="1"/>
  <c r="AS101" i="3"/>
  <c r="AS22" i="4" s="1"/>
  <c r="AT22" i="4" s="1"/>
  <c r="AP101" i="3"/>
  <c r="AP22" i="4" s="1"/>
  <c r="AO101" i="3"/>
  <c r="AO22" i="4"/>
  <c r="AO24" i="4" s="1"/>
  <c r="AM101" i="3"/>
  <c r="AM22" i="4" s="1"/>
  <c r="AM24" i="4" s="1"/>
  <c r="AL101" i="3"/>
  <c r="AL22" i="4" s="1"/>
  <c r="AJ101" i="3"/>
  <c r="AJ22" i="4" s="1"/>
  <c r="AI101" i="3"/>
  <c r="AI22" i="4" s="1"/>
  <c r="AG101" i="3"/>
  <c r="AG22" i="4" s="1"/>
  <c r="AF101" i="3"/>
  <c r="AD101" i="3"/>
  <c r="AC101" i="3"/>
  <c r="AC106" i="3" s="1"/>
  <c r="AA101" i="3"/>
  <c r="Z101" i="3"/>
  <c r="BC100" i="3"/>
  <c r="AZ100" i="3"/>
  <c r="AW100" i="3"/>
  <c r="BC99" i="3"/>
  <c r="AZ99" i="3"/>
  <c r="AW99" i="3"/>
  <c r="AT99" i="3"/>
  <c r="AQ99" i="3"/>
  <c r="AN99" i="3"/>
  <c r="AK99" i="3"/>
  <c r="AH99" i="3"/>
  <c r="BC98" i="3"/>
  <c r="BC101" i="3" s="1"/>
  <c r="AZ98" i="3"/>
  <c r="AW98" i="3"/>
  <c r="AT98" i="3"/>
  <c r="AT101" i="3" s="1"/>
  <c r="AQ98" i="3"/>
  <c r="AQ101" i="3" s="1"/>
  <c r="AN98" i="3"/>
  <c r="AN101" i="3" s="1"/>
  <c r="AK98" i="3"/>
  <c r="AK101" i="3" s="1"/>
  <c r="AH98" i="3"/>
  <c r="AH101" i="3" s="1"/>
  <c r="AE98" i="3"/>
  <c r="AE101" i="3" s="1"/>
  <c r="AB98" i="3"/>
  <c r="AB101" i="3" s="1"/>
  <c r="BB97" i="3"/>
  <c r="BB21" i="4" s="1"/>
  <c r="BB31" i="4" s="1"/>
  <c r="BA97" i="3"/>
  <c r="AY97" i="3"/>
  <c r="AY21" i="4" s="1"/>
  <c r="AX97" i="3"/>
  <c r="AX21" i="4" s="1"/>
  <c r="AX31" i="4" s="1"/>
  <c r="AV97" i="3"/>
  <c r="AV21" i="4" s="1"/>
  <c r="AU97" i="3"/>
  <c r="AU21" i="4" s="1"/>
  <c r="AS97" i="3"/>
  <c r="AS21" i="4" s="1"/>
  <c r="AR97" i="3"/>
  <c r="AP97" i="3"/>
  <c r="AO97" i="3"/>
  <c r="AM97" i="3"/>
  <c r="AL97" i="3"/>
  <c r="AJ97" i="3"/>
  <c r="AI97" i="3"/>
  <c r="AG97" i="3"/>
  <c r="AF97" i="3"/>
  <c r="AD97" i="3"/>
  <c r="AD106" i="3" s="1"/>
  <c r="AC97" i="3"/>
  <c r="AA97" i="3"/>
  <c r="Z97" i="3"/>
  <c r="BC96" i="3"/>
  <c r="AZ96" i="3"/>
  <c r="AW96" i="3"/>
  <c r="BC95" i="3"/>
  <c r="AZ95" i="3"/>
  <c r="AZ97" i="3" s="1"/>
  <c r="AW95" i="3"/>
  <c r="AT95" i="3"/>
  <c r="BC94" i="3"/>
  <c r="AZ94" i="3"/>
  <c r="AW94" i="3"/>
  <c r="AT94" i="3"/>
  <c r="AQ94" i="3"/>
  <c r="AQ97" i="3" s="1"/>
  <c r="AN94" i="3"/>
  <c r="AN97" i="3" s="1"/>
  <c r="AK94" i="3"/>
  <c r="AK97" i="3" s="1"/>
  <c r="AK106" i="3" s="1"/>
  <c r="AH94" i="3"/>
  <c r="AH97" i="3"/>
  <c r="AE94" i="3"/>
  <c r="AE97" i="3" s="1"/>
  <c r="AB94" i="3"/>
  <c r="AB97" i="3" s="1"/>
  <c r="BB92" i="3"/>
  <c r="BB93" i="3" s="1"/>
  <c r="BA92" i="3"/>
  <c r="AY92" i="3"/>
  <c r="AX92" i="3"/>
  <c r="AV92" i="3"/>
  <c r="AU92" i="3"/>
  <c r="AS92" i="3"/>
  <c r="AR92" i="3"/>
  <c r="AP92" i="3"/>
  <c r="AO92" i="3"/>
  <c r="AM92" i="3"/>
  <c r="AL92" i="3"/>
  <c r="AI92" i="3"/>
  <c r="AG92" i="3"/>
  <c r="AF92" i="3"/>
  <c r="AD92" i="3"/>
  <c r="AC92" i="3"/>
  <c r="AC93" i="3" s="1"/>
  <c r="AA92" i="3"/>
  <c r="Z92" i="3"/>
  <c r="X92" i="3"/>
  <c r="W92" i="3"/>
  <c r="V92" i="3"/>
  <c r="U92" i="3"/>
  <c r="T92" i="3"/>
  <c r="S92" i="3"/>
  <c r="S93" i="3" s="1"/>
  <c r="R92" i="3"/>
  <c r="Q92" i="3"/>
  <c r="P92" i="3"/>
  <c r="O92" i="3"/>
  <c r="N92" i="3"/>
  <c r="M92" i="3"/>
  <c r="L92" i="3"/>
  <c r="K92" i="3"/>
  <c r="K93" i="3" s="1"/>
  <c r="J92" i="3"/>
  <c r="I92" i="3"/>
  <c r="BC91" i="3"/>
  <c r="AZ91" i="3"/>
  <c r="AW91" i="3"/>
  <c r="AT91" i="3"/>
  <c r="AQ91" i="3"/>
  <c r="AN91" i="3"/>
  <c r="AK91" i="3"/>
  <c r="AH91" i="3"/>
  <c r="AE91" i="3"/>
  <c r="AB91" i="3"/>
  <c r="Y91" i="3"/>
  <c r="BC90" i="3"/>
  <c r="AZ90" i="3"/>
  <c r="AW90" i="3"/>
  <c r="AT90" i="3"/>
  <c r="AQ90" i="3"/>
  <c r="AN90" i="3"/>
  <c r="AK90" i="3"/>
  <c r="AH90" i="3"/>
  <c r="AE90" i="3"/>
  <c r="AE92" i="3" s="1"/>
  <c r="AB90" i="3"/>
  <c r="Y90" i="3"/>
  <c r="BC89" i="3"/>
  <c r="AZ89" i="3"/>
  <c r="AW89" i="3"/>
  <c r="AT89" i="3"/>
  <c r="AQ89" i="3"/>
  <c r="AN89" i="3"/>
  <c r="AK89" i="3"/>
  <c r="AH89" i="3"/>
  <c r="AE89" i="3"/>
  <c r="AB89" i="3"/>
  <c r="Y89" i="3"/>
  <c r="BC88" i="3"/>
  <c r="AZ88" i="3"/>
  <c r="AZ92" i="3" s="1"/>
  <c r="AW88" i="3"/>
  <c r="AT88" i="3"/>
  <c r="AQ88" i="3"/>
  <c r="AN88" i="3"/>
  <c r="AK88" i="3"/>
  <c r="AH88" i="3"/>
  <c r="AE88" i="3"/>
  <c r="AB88" i="3"/>
  <c r="AB92" i="3" s="1"/>
  <c r="Y88" i="3"/>
  <c r="BB87" i="3"/>
  <c r="BA87" i="3"/>
  <c r="AY87" i="3"/>
  <c r="AX87" i="3"/>
  <c r="AV87" i="3"/>
  <c r="AU87" i="3"/>
  <c r="AS87" i="3"/>
  <c r="AR87" i="3"/>
  <c r="AP87" i="3"/>
  <c r="AO87" i="3"/>
  <c r="AM87" i="3"/>
  <c r="AL87" i="3"/>
  <c r="AJ87" i="3"/>
  <c r="AI87" i="3"/>
  <c r="AG87" i="3"/>
  <c r="AG93" i="3" s="1"/>
  <c r="AF87" i="3"/>
  <c r="AD87" i="3"/>
  <c r="AC87" i="3"/>
  <c r="AA87" i="3"/>
  <c r="Z87" i="3"/>
  <c r="X87" i="3"/>
  <c r="W87" i="3"/>
  <c r="V87" i="3"/>
  <c r="U87" i="3"/>
  <c r="T87" i="3"/>
  <c r="S87" i="3"/>
  <c r="R87" i="3"/>
  <c r="Q87" i="3"/>
  <c r="P87" i="3"/>
  <c r="O87" i="3"/>
  <c r="N87" i="3"/>
  <c r="N93" i="3" s="1"/>
  <c r="M87" i="3"/>
  <c r="L87" i="3"/>
  <c r="K87" i="3"/>
  <c r="J87" i="3"/>
  <c r="I87" i="3"/>
  <c r="BC86" i="3"/>
  <c r="AZ86" i="3"/>
  <c r="AW86" i="3"/>
  <c r="AT86" i="3"/>
  <c r="AQ86" i="3"/>
  <c r="AN86" i="3"/>
  <c r="AK86" i="3"/>
  <c r="AH86" i="3"/>
  <c r="AE86" i="3"/>
  <c r="AB86" i="3"/>
  <c r="Y86" i="3"/>
  <c r="BC85" i="3"/>
  <c r="AZ85" i="3"/>
  <c r="AW85" i="3"/>
  <c r="AT85" i="3"/>
  <c r="AQ85" i="3"/>
  <c r="AN85" i="3"/>
  <c r="AK85" i="3"/>
  <c r="AH85" i="3"/>
  <c r="AE85" i="3"/>
  <c r="AB85" i="3"/>
  <c r="Y85" i="3"/>
  <c r="BC84" i="3"/>
  <c r="AZ84" i="3"/>
  <c r="AW84" i="3"/>
  <c r="AT84" i="3"/>
  <c r="AQ84" i="3"/>
  <c r="AQ87" i="3" s="1"/>
  <c r="AN84" i="3"/>
  <c r="AK84" i="3"/>
  <c r="AH84" i="3"/>
  <c r="AE84" i="3"/>
  <c r="AB84" i="3"/>
  <c r="AB87" i="3" s="1"/>
  <c r="Y84" i="3"/>
  <c r="BB83" i="3"/>
  <c r="BA83" i="3"/>
  <c r="AY83" i="3"/>
  <c r="AY93" i="3" s="1"/>
  <c r="AX83" i="3"/>
  <c r="AX93" i="3" s="1"/>
  <c r="AV83" i="3"/>
  <c r="AV93" i="3" s="1"/>
  <c r="AU83" i="3"/>
  <c r="AS83" i="3"/>
  <c r="AR83" i="3"/>
  <c r="AP83" i="3"/>
  <c r="AO83" i="3"/>
  <c r="AM83" i="3"/>
  <c r="AM93" i="3" s="1"/>
  <c r="AL83" i="3"/>
  <c r="AJ83" i="3"/>
  <c r="AJ93" i="3" s="1"/>
  <c r="AI83" i="3"/>
  <c r="AG83" i="3"/>
  <c r="AF83" i="3"/>
  <c r="AD83" i="3"/>
  <c r="AC83" i="3"/>
  <c r="AA83" i="3"/>
  <c r="Z83" i="3"/>
  <c r="Z93" i="3" s="1"/>
  <c r="X83" i="3"/>
  <c r="W83" i="3"/>
  <c r="V83" i="3"/>
  <c r="U83" i="3"/>
  <c r="T83" i="3"/>
  <c r="S83" i="3"/>
  <c r="R83" i="3"/>
  <c r="Q83" i="3"/>
  <c r="P83" i="3"/>
  <c r="O83" i="3"/>
  <c r="N83" i="3"/>
  <c r="M83" i="3"/>
  <c r="L83" i="3"/>
  <c r="K83" i="3"/>
  <c r="J83" i="3"/>
  <c r="I83" i="3"/>
  <c r="BC82" i="3"/>
  <c r="AZ82" i="3"/>
  <c r="AW82" i="3"/>
  <c r="AT82" i="3"/>
  <c r="AQ82" i="3"/>
  <c r="AN82" i="3"/>
  <c r="AK82" i="3"/>
  <c r="AH82" i="3"/>
  <c r="AH83" i="3" s="1"/>
  <c r="AE82" i="3"/>
  <c r="AB82" i="3"/>
  <c r="Y82" i="3"/>
  <c r="BC81" i="3"/>
  <c r="AZ81" i="3"/>
  <c r="AW81" i="3"/>
  <c r="AT81" i="3"/>
  <c r="AQ81" i="3"/>
  <c r="AN81" i="3"/>
  <c r="AK81" i="3"/>
  <c r="AH81" i="3"/>
  <c r="AE81" i="3"/>
  <c r="AB81" i="3"/>
  <c r="Y81" i="3"/>
  <c r="BC80" i="3"/>
  <c r="AZ80" i="3"/>
  <c r="AW80" i="3"/>
  <c r="AT80" i="3"/>
  <c r="AQ80" i="3"/>
  <c r="AN80" i="3"/>
  <c r="Y80" i="3"/>
  <c r="BC79" i="3"/>
  <c r="BC83" i="3" s="1"/>
  <c r="AZ79" i="3"/>
  <c r="AW79" i="3"/>
  <c r="AT79" i="3"/>
  <c r="AQ79" i="3"/>
  <c r="AN79" i="3"/>
  <c r="AK79" i="3"/>
  <c r="AH79" i="3"/>
  <c r="AE79" i="3"/>
  <c r="AE83" i="3"/>
  <c r="AB79" i="3"/>
  <c r="Y79" i="3"/>
  <c r="BB77" i="3"/>
  <c r="BA77" i="3"/>
  <c r="AY77" i="3"/>
  <c r="AX77" i="3"/>
  <c r="AV77" i="3"/>
  <c r="AU77" i="3"/>
  <c r="AU78" i="3" s="1"/>
  <c r="AS77" i="3"/>
  <c r="AR77" i="3"/>
  <c r="AP77" i="3"/>
  <c r="AO77" i="3"/>
  <c r="AM77" i="3"/>
  <c r="AL77" i="3"/>
  <c r="AJ77" i="3"/>
  <c r="AI77" i="3"/>
  <c r="AG77" i="3"/>
  <c r="AF77" i="3"/>
  <c r="AD77" i="3"/>
  <c r="AC77" i="3"/>
  <c r="AA77" i="3"/>
  <c r="Z77" i="3"/>
  <c r="X77" i="3"/>
  <c r="W77" i="3"/>
  <c r="W78" i="3" s="1"/>
  <c r="V77" i="3"/>
  <c r="U77" i="3"/>
  <c r="T77" i="3"/>
  <c r="S77" i="3"/>
  <c r="R77" i="3"/>
  <c r="Q77" i="3"/>
  <c r="P77" i="3"/>
  <c r="O77" i="3"/>
  <c r="N77" i="3"/>
  <c r="M77" i="3"/>
  <c r="L77" i="3"/>
  <c r="K77" i="3"/>
  <c r="J77" i="3"/>
  <c r="I77" i="3"/>
  <c r="H77" i="3"/>
  <c r="G77" i="3"/>
  <c r="F77" i="3"/>
  <c r="E77" i="3"/>
  <c r="D77" i="3"/>
  <c r="C77" i="3"/>
  <c r="B77" i="3"/>
  <c r="BC76" i="3"/>
  <c r="AZ76" i="3"/>
  <c r="AW76" i="3"/>
  <c r="AT76" i="3"/>
  <c r="AQ76" i="3"/>
  <c r="AN76" i="3"/>
  <c r="AK76" i="3"/>
  <c r="AH76" i="3"/>
  <c r="AE76" i="3"/>
  <c r="AB76" i="3"/>
  <c r="Y76" i="3"/>
  <c r="BC75" i="3"/>
  <c r="AZ75" i="3"/>
  <c r="AW75" i="3"/>
  <c r="AT75" i="3"/>
  <c r="AQ75" i="3"/>
  <c r="AN75" i="3"/>
  <c r="AK75" i="3"/>
  <c r="AH75" i="3"/>
  <c r="AH77" i="3" s="1"/>
  <c r="AE75" i="3"/>
  <c r="AB75" i="3"/>
  <c r="Y75" i="3"/>
  <c r="BC74" i="3"/>
  <c r="AZ74" i="3"/>
  <c r="AW74" i="3"/>
  <c r="AT74" i="3"/>
  <c r="AQ74" i="3"/>
  <c r="AN74" i="3"/>
  <c r="AK74" i="3"/>
  <c r="AH74" i="3"/>
  <c r="AE74" i="3"/>
  <c r="AB74" i="3"/>
  <c r="Y74" i="3"/>
  <c r="BC73" i="3"/>
  <c r="AZ73" i="3"/>
  <c r="AW73" i="3"/>
  <c r="AT73" i="3"/>
  <c r="AT77" i="3"/>
  <c r="AQ73" i="3"/>
  <c r="AN73" i="3"/>
  <c r="AK73" i="3"/>
  <c r="AH73" i="3"/>
  <c r="AE73" i="3"/>
  <c r="AB73" i="3"/>
  <c r="Y73" i="3"/>
  <c r="BB72" i="3"/>
  <c r="BA72" i="3"/>
  <c r="AY72" i="3"/>
  <c r="AX72" i="3"/>
  <c r="AV72" i="3"/>
  <c r="AU72" i="3"/>
  <c r="AS72" i="3"/>
  <c r="AR72" i="3"/>
  <c r="AP72" i="3"/>
  <c r="AO72" i="3"/>
  <c r="AM72" i="3"/>
  <c r="AL72" i="3"/>
  <c r="AJ72" i="3"/>
  <c r="AI72" i="3"/>
  <c r="AG72" i="3"/>
  <c r="AF72" i="3"/>
  <c r="AD72" i="3"/>
  <c r="AC72" i="3"/>
  <c r="AA72" i="3"/>
  <c r="Z72" i="3"/>
  <c r="X72" i="3"/>
  <c r="W72" i="3"/>
  <c r="V72" i="3"/>
  <c r="U72" i="3"/>
  <c r="T72" i="3"/>
  <c r="S72" i="3"/>
  <c r="R72" i="3"/>
  <c r="Q72" i="3"/>
  <c r="P72" i="3"/>
  <c r="O72" i="3"/>
  <c r="N72" i="3"/>
  <c r="M72" i="3"/>
  <c r="L72" i="3"/>
  <c r="K72" i="3"/>
  <c r="J72" i="3"/>
  <c r="I72" i="3"/>
  <c r="H72" i="3"/>
  <c r="G72" i="3"/>
  <c r="F72" i="3"/>
  <c r="E72" i="3"/>
  <c r="D72" i="3"/>
  <c r="C72" i="3"/>
  <c r="B72" i="3"/>
  <c r="BC71" i="3"/>
  <c r="AZ71" i="3"/>
  <c r="AW71" i="3"/>
  <c r="AT71" i="3"/>
  <c r="AQ71" i="3"/>
  <c r="AN71" i="3"/>
  <c r="AK71" i="3"/>
  <c r="AH71" i="3"/>
  <c r="AE71" i="3"/>
  <c r="AB71" i="3"/>
  <c r="Y71" i="3"/>
  <c r="BC70" i="3"/>
  <c r="AZ70" i="3"/>
  <c r="AW70" i="3"/>
  <c r="AT70" i="3"/>
  <c r="AQ70" i="3"/>
  <c r="AN70" i="3"/>
  <c r="AK70" i="3"/>
  <c r="AH70" i="3"/>
  <c r="AE70" i="3"/>
  <c r="AB70" i="3"/>
  <c r="Y70" i="3"/>
  <c r="BC69" i="3"/>
  <c r="AZ69" i="3"/>
  <c r="AW69" i="3"/>
  <c r="AT69" i="3"/>
  <c r="AQ69" i="3"/>
  <c r="AN69" i="3"/>
  <c r="AK69" i="3"/>
  <c r="AH69" i="3"/>
  <c r="AE69" i="3"/>
  <c r="AB69" i="3"/>
  <c r="Y69" i="3"/>
  <c r="BC68" i="3"/>
  <c r="AZ68" i="3"/>
  <c r="AW68" i="3"/>
  <c r="AT68" i="3"/>
  <c r="AQ68" i="3"/>
  <c r="AN68" i="3"/>
  <c r="AK68" i="3"/>
  <c r="AH68" i="3"/>
  <c r="AE68" i="3"/>
  <c r="AB68" i="3"/>
  <c r="Y68" i="3"/>
  <c r="BC67" i="3"/>
  <c r="AZ67" i="3"/>
  <c r="AW67" i="3"/>
  <c r="AT67" i="3"/>
  <c r="AQ67" i="3"/>
  <c r="AN67" i="3"/>
  <c r="AK67" i="3"/>
  <c r="AH67" i="3"/>
  <c r="AE67" i="3"/>
  <c r="AB67" i="3"/>
  <c r="Y67" i="3"/>
  <c r="BC66" i="3"/>
  <c r="AZ66" i="3"/>
  <c r="AW66" i="3"/>
  <c r="AT66" i="3"/>
  <c r="AQ66" i="3"/>
  <c r="AN66" i="3"/>
  <c r="AK66" i="3"/>
  <c r="AH66" i="3"/>
  <c r="AE66" i="3"/>
  <c r="AB66" i="3"/>
  <c r="Y66" i="3"/>
  <c r="BC65" i="3"/>
  <c r="AZ65" i="3"/>
  <c r="AW65" i="3"/>
  <c r="AT65" i="3"/>
  <c r="AQ65" i="3"/>
  <c r="AN65" i="3"/>
  <c r="AK65" i="3"/>
  <c r="AH65" i="3"/>
  <c r="AE65" i="3"/>
  <c r="AB65" i="3"/>
  <c r="Y65" i="3"/>
  <c r="BC64" i="3"/>
  <c r="AZ64" i="3"/>
  <c r="AW64" i="3"/>
  <c r="AT64" i="3"/>
  <c r="AQ64" i="3"/>
  <c r="AN64" i="3"/>
  <c r="AK64" i="3"/>
  <c r="AH64" i="3"/>
  <c r="AE64" i="3"/>
  <c r="AB64" i="3"/>
  <c r="Y64" i="3"/>
  <c r="BB63" i="3"/>
  <c r="BA63" i="3"/>
  <c r="BA78" i="3" s="1"/>
  <c r="AY63" i="3"/>
  <c r="AX63" i="3"/>
  <c r="AV63" i="3"/>
  <c r="AU63" i="3"/>
  <c r="AS63" i="3"/>
  <c r="AR63" i="3"/>
  <c r="AP63" i="3"/>
  <c r="AO63" i="3"/>
  <c r="AO78" i="3" s="1"/>
  <c r="AM63" i="3"/>
  <c r="AM78" i="3" s="1"/>
  <c r="AL63" i="3"/>
  <c r="AJ63" i="3"/>
  <c r="AI63" i="3"/>
  <c r="AG63" i="3"/>
  <c r="AF63" i="3"/>
  <c r="AD63" i="3"/>
  <c r="AC63" i="3"/>
  <c r="AC78" i="3" s="1"/>
  <c r="AA63" i="3"/>
  <c r="AA78" i="3" s="1"/>
  <c r="Z63" i="3"/>
  <c r="X63" i="3"/>
  <c r="W63" i="3"/>
  <c r="V63" i="3"/>
  <c r="U63" i="3"/>
  <c r="T63" i="3"/>
  <c r="S63" i="3"/>
  <c r="S78" i="3" s="1"/>
  <c r="R63" i="3"/>
  <c r="R78" i="3" s="1"/>
  <c r="R108" i="3" s="1"/>
  <c r="Q63" i="3"/>
  <c r="P63" i="3"/>
  <c r="O63" i="3"/>
  <c r="N63" i="3"/>
  <c r="N78" i="3" s="1"/>
  <c r="M63" i="3"/>
  <c r="L63" i="3"/>
  <c r="K63" i="3"/>
  <c r="K78" i="3" s="1"/>
  <c r="J63" i="3"/>
  <c r="I63" i="3"/>
  <c r="H63" i="3"/>
  <c r="G63" i="3"/>
  <c r="F63" i="3"/>
  <c r="E63" i="3"/>
  <c r="D63" i="3"/>
  <c r="C63" i="3"/>
  <c r="C78" i="3" s="1"/>
  <c r="B63" i="3"/>
  <c r="B78" i="3" s="1"/>
  <c r="B108" i="3" s="1"/>
  <c r="BC62" i="3"/>
  <c r="AZ62" i="3"/>
  <c r="AW62" i="3"/>
  <c r="AT62" i="3"/>
  <c r="AQ62" i="3"/>
  <c r="AN62" i="3"/>
  <c r="AK62" i="3"/>
  <c r="AH62" i="3"/>
  <c r="AH63" i="3" s="1"/>
  <c r="AE62" i="3"/>
  <c r="AB62" i="3"/>
  <c r="Y62" i="3"/>
  <c r="BC61" i="3"/>
  <c r="AZ61" i="3"/>
  <c r="AW61" i="3"/>
  <c r="AT61" i="3"/>
  <c r="AQ61" i="3"/>
  <c r="AN61" i="3"/>
  <c r="AK61" i="3"/>
  <c r="AH61" i="3"/>
  <c r="AE61" i="3"/>
  <c r="AB61" i="3"/>
  <c r="Y61" i="3"/>
  <c r="BC60" i="3"/>
  <c r="AZ60" i="3"/>
  <c r="AW60" i="3"/>
  <c r="AT60" i="3"/>
  <c r="AQ60" i="3"/>
  <c r="AN60" i="3"/>
  <c r="AK60" i="3"/>
  <c r="AH60" i="3"/>
  <c r="AE60" i="3"/>
  <c r="AB60" i="3"/>
  <c r="Y60" i="3"/>
  <c r="BC59" i="3"/>
  <c r="AZ59" i="3"/>
  <c r="AW59" i="3"/>
  <c r="AT59" i="3"/>
  <c r="AQ59" i="3"/>
  <c r="AN59" i="3"/>
  <c r="AN63" i="3" s="1"/>
  <c r="AK59" i="3"/>
  <c r="AH59" i="3"/>
  <c r="AE59" i="3"/>
  <c r="AB59" i="3"/>
  <c r="Y59" i="3"/>
  <c r="BC58" i="3"/>
  <c r="AZ58" i="3"/>
  <c r="AW58" i="3"/>
  <c r="AT58" i="3"/>
  <c r="AQ58" i="3"/>
  <c r="AN58" i="3"/>
  <c r="AK58" i="3"/>
  <c r="AH58" i="3"/>
  <c r="AE58" i="3"/>
  <c r="AB58" i="3"/>
  <c r="Y58" i="3"/>
  <c r="Y63" i="3" s="1"/>
  <c r="BC57" i="3"/>
  <c r="AZ57" i="3"/>
  <c r="AW57" i="3"/>
  <c r="AT57" i="3"/>
  <c r="AQ57" i="3"/>
  <c r="AN57" i="3"/>
  <c r="AK57" i="3"/>
  <c r="AH57" i="3"/>
  <c r="AE57" i="3"/>
  <c r="AE63" i="3" s="1"/>
  <c r="AB57" i="3"/>
  <c r="Y57" i="3"/>
  <c r="BB55" i="3"/>
  <c r="BA55" i="3"/>
  <c r="AY55" i="3"/>
  <c r="AX55" i="3"/>
  <c r="AX56" i="3" s="1"/>
  <c r="AV55" i="3"/>
  <c r="AU55" i="3"/>
  <c r="AS55" i="3"/>
  <c r="AR55" i="3"/>
  <c r="AP55" i="3"/>
  <c r="AO55" i="3"/>
  <c r="AM55" i="3"/>
  <c r="AL55" i="3"/>
  <c r="AJ55" i="3"/>
  <c r="AI55" i="3"/>
  <c r="AG55" i="3"/>
  <c r="AF55" i="3"/>
  <c r="AD55" i="3"/>
  <c r="AC55" i="3"/>
  <c r="AA55" i="3"/>
  <c r="Z55" i="3"/>
  <c r="X55" i="3"/>
  <c r="W55" i="3"/>
  <c r="V55" i="3"/>
  <c r="U55" i="3"/>
  <c r="T55" i="3"/>
  <c r="S55" i="3"/>
  <c r="R55" i="3"/>
  <c r="Q55" i="3"/>
  <c r="P55" i="3"/>
  <c r="O55" i="3"/>
  <c r="N55" i="3"/>
  <c r="M55" i="3"/>
  <c r="L55" i="3"/>
  <c r="K55" i="3"/>
  <c r="J55" i="3"/>
  <c r="I55" i="3"/>
  <c r="H55" i="3"/>
  <c r="G55" i="3"/>
  <c r="F55" i="3"/>
  <c r="E55" i="3"/>
  <c r="D55" i="3"/>
  <c r="C55" i="3"/>
  <c r="B55" i="3"/>
  <c r="BC54" i="3"/>
  <c r="AZ54" i="3"/>
  <c r="AW54" i="3"/>
  <c r="AT54" i="3"/>
  <c r="AQ54" i="3"/>
  <c r="AN54" i="3"/>
  <c r="AK54" i="3"/>
  <c r="AH54" i="3"/>
  <c r="AE54" i="3"/>
  <c r="AB54" i="3"/>
  <c r="Y54" i="3"/>
  <c r="BC53" i="3"/>
  <c r="AZ53" i="3"/>
  <c r="AW53" i="3"/>
  <c r="AT53" i="3"/>
  <c r="AQ53" i="3"/>
  <c r="AN53" i="3"/>
  <c r="AK53" i="3"/>
  <c r="AH53" i="3"/>
  <c r="AE53" i="3"/>
  <c r="AB53" i="3"/>
  <c r="Y53" i="3"/>
  <c r="BC52" i="3"/>
  <c r="AZ52" i="3"/>
  <c r="AW52" i="3"/>
  <c r="AT52" i="3"/>
  <c r="AQ52" i="3"/>
  <c r="AN52" i="3"/>
  <c r="AK52" i="3"/>
  <c r="AH52" i="3"/>
  <c r="AE52" i="3"/>
  <c r="AB52" i="3"/>
  <c r="Y52" i="3"/>
  <c r="BC51" i="3"/>
  <c r="AZ51" i="3"/>
  <c r="AW51" i="3"/>
  <c r="AT51" i="3"/>
  <c r="AQ51" i="3"/>
  <c r="AN51" i="3"/>
  <c r="AK51" i="3"/>
  <c r="AH51" i="3"/>
  <c r="AE51" i="3"/>
  <c r="AB51" i="3"/>
  <c r="Y51" i="3"/>
  <c r="BC50" i="3"/>
  <c r="AZ50" i="3"/>
  <c r="AW50" i="3"/>
  <c r="AT50" i="3"/>
  <c r="AQ50" i="3"/>
  <c r="AN50" i="3"/>
  <c r="AN55" i="3" s="1"/>
  <c r="AK50" i="3"/>
  <c r="AH50" i="3"/>
  <c r="AE50" i="3"/>
  <c r="AB50" i="3"/>
  <c r="Y50" i="3"/>
  <c r="BC49" i="3"/>
  <c r="AZ49" i="3"/>
  <c r="AW49" i="3"/>
  <c r="AT49" i="3"/>
  <c r="AQ49" i="3"/>
  <c r="AN49" i="3"/>
  <c r="AK49" i="3"/>
  <c r="AH49" i="3"/>
  <c r="AE49" i="3"/>
  <c r="AB49" i="3"/>
  <c r="Y49" i="3"/>
  <c r="BB48" i="3"/>
  <c r="BA48" i="3"/>
  <c r="AY48" i="3"/>
  <c r="AX48" i="3"/>
  <c r="AV48" i="3"/>
  <c r="AU48" i="3"/>
  <c r="AU56" i="3" s="1"/>
  <c r="AS48" i="3"/>
  <c r="AR48" i="3"/>
  <c r="AP48" i="3"/>
  <c r="AO48" i="3"/>
  <c r="AM48" i="3"/>
  <c r="AL48" i="3"/>
  <c r="AJ48" i="3"/>
  <c r="AI48" i="3"/>
  <c r="AG48" i="3"/>
  <c r="AF48" i="3"/>
  <c r="AF56" i="3" s="1"/>
  <c r="AD48" i="3"/>
  <c r="AC48" i="3"/>
  <c r="AA48" i="3"/>
  <c r="Z48" i="3"/>
  <c r="X48" i="3"/>
  <c r="W48" i="3"/>
  <c r="V48" i="3"/>
  <c r="U48" i="3"/>
  <c r="T48" i="3"/>
  <c r="S48" i="3"/>
  <c r="R48" i="3"/>
  <c r="Q48" i="3"/>
  <c r="P48" i="3"/>
  <c r="O48" i="3"/>
  <c r="N48" i="3"/>
  <c r="M48" i="3"/>
  <c r="L48" i="3"/>
  <c r="K48" i="3"/>
  <c r="J48" i="3"/>
  <c r="I48" i="3"/>
  <c r="H48" i="3"/>
  <c r="G48" i="3"/>
  <c r="F48" i="3"/>
  <c r="E48" i="3"/>
  <c r="D48" i="3"/>
  <c r="C48" i="3"/>
  <c r="B48" i="3"/>
  <c r="BC47" i="3"/>
  <c r="AZ47" i="3"/>
  <c r="AW47" i="3"/>
  <c r="AT47" i="3"/>
  <c r="AQ47" i="3"/>
  <c r="AN47" i="3"/>
  <c r="AK47" i="3"/>
  <c r="AH47" i="3"/>
  <c r="AE47" i="3"/>
  <c r="AB47" i="3"/>
  <c r="Y47" i="3"/>
  <c r="BC46" i="3"/>
  <c r="AZ46" i="3"/>
  <c r="AW46" i="3"/>
  <c r="AT46" i="3"/>
  <c r="AQ46" i="3"/>
  <c r="AN46" i="3"/>
  <c r="AK46" i="3"/>
  <c r="AH46" i="3"/>
  <c r="AE46" i="3"/>
  <c r="AB46" i="3"/>
  <c r="Y46" i="3"/>
  <c r="BC45" i="3"/>
  <c r="AZ45" i="3"/>
  <c r="AW45" i="3"/>
  <c r="AT45" i="3"/>
  <c r="AQ45" i="3"/>
  <c r="AN45" i="3"/>
  <c r="AK45" i="3"/>
  <c r="AH45" i="3"/>
  <c r="AE45" i="3"/>
  <c r="AB45" i="3"/>
  <c r="Y45" i="3"/>
  <c r="BC44" i="3"/>
  <c r="AZ44" i="3"/>
  <c r="AW44" i="3"/>
  <c r="AT44" i="3"/>
  <c r="AQ44" i="3"/>
  <c r="AN44" i="3"/>
  <c r="AK44" i="3"/>
  <c r="AH44" i="3"/>
  <c r="AE44" i="3"/>
  <c r="AB44" i="3"/>
  <c r="Y44" i="3"/>
  <c r="BC43" i="3"/>
  <c r="AZ43" i="3"/>
  <c r="AW43" i="3"/>
  <c r="AT43" i="3"/>
  <c r="AQ43" i="3"/>
  <c r="AN43" i="3"/>
  <c r="AK43" i="3"/>
  <c r="AH43" i="3"/>
  <c r="AE43" i="3"/>
  <c r="AB43" i="3"/>
  <c r="Y43" i="3"/>
  <c r="BC42" i="3"/>
  <c r="AZ42" i="3"/>
  <c r="AW42" i="3"/>
  <c r="AT42" i="3"/>
  <c r="AQ42" i="3"/>
  <c r="AN42" i="3"/>
  <c r="AK42" i="3"/>
  <c r="AH42" i="3"/>
  <c r="AE42" i="3"/>
  <c r="AB42" i="3"/>
  <c r="Y42" i="3"/>
  <c r="BC41" i="3"/>
  <c r="AZ41" i="3"/>
  <c r="AW41" i="3"/>
  <c r="AT41" i="3"/>
  <c r="AQ41" i="3"/>
  <c r="AN41" i="3"/>
  <c r="AK41" i="3"/>
  <c r="AH41" i="3"/>
  <c r="AE41" i="3"/>
  <c r="AB41" i="3"/>
  <c r="Y41" i="3"/>
  <c r="BC40" i="3"/>
  <c r="AZ40" i="3"/>
  <c r="AW40" i="3"/>
  <c r="AT40" i="3"/>
  <c r="AQ40" i="3"/>
  <c r="AN40" i="3"/>
  <c r="AK40" i="3"/>
  <c r="AH40" i="3"/>
  <c r="AE40" i="3"/>
  <c r="AB40" i="3"/>
  <c r="Y40" i="3"/>
  <c r="BC39" i="3"/>
  <c r="AZ39" i="3"/>
  <c r="AW39" i="3"/>
  <c r="AT39" i="3"/>
  <c r="AQ39" i="3"/>
  <c r="AN39" i="3"/>
  <c r="AK39" i="3"/>
  <c r="AH39" i="3"/>
  <c r="AE39" i="3"/>
  <c r="AB39" i="3"/>
  <c r="Y39" i="3"/>
  <c r="BC38" i="3"/>
  <c r="AZ38" i="3"/>
  <c r="AW38" i="3"/>
  <c r="AT38" i="3"/>
  <c r="AQ38" i="3"/>
  <c r="AN38" i="3"/>
  <c r="AK38" i="3"/>
  <c r="AH38" i="3"/>
  <c r="AE38" i="3"/>
  <c r="AB38" i="3"/>
  <c r="Y38" i="3"/>
  <c r="BC37" i="3"/>
  <c r="AZ37" i="3"/>
  <c r="AW37" i="3"/>
  <c r="AT37" i="3"/>
  <c r="AQ37" i="3"/>
  <c r="AN37" i="3"/>
  <c r="AK37" i="3"/>
  <c r="AH37" i="3"/>
  <c r="AE37" i="3"/>
  <c r="AB37" i="3"/>
  <c r="Y37" i="3"/>
  <c r="BB36" i="3"/>
  <c r="AY36" i="3"/>
  <c r="AV36" i="3"/>
  <c r="AS36" i="3"/>
  <c r="AS56" i="3" s="1"/>
  <c r="AR36" i="3"/>
  <c r="AP36" i="3"/>
  <c r="AO36" i="3"/>
  <c r="AM36" i="3"/>
  <c r="AL36" i="3"/>
  <c r="AJ36" i="3"/>
  <c r="AI36" i="3"/>
  <c r="AG36" i="3"/>
  <c r="AG56" i="3" s="1"/>
  <c r="AF36" i="3"/>
  <c r="AD36" i="3"/>
  <c r="AD56" i="3" s="1"/>
  <c r="AC36" i="3"/>
  <c r="AA36" i="3"/>
  <c r="AA56" i="3" s="1"/>
  <c r="Z36" i="3"/>
  <c r="X36" i="3"/>
  <c r="W36" i="3"/>
  <c r="V36" i="3"/>
  <c r="V56" i="3" s="1"/>
  <c r="U36" i="3"/>
  <c r="T36" i="3"/>
  <c r="S36" i="3"/>
  <c r="R36" i="3"/>
  <c r="R56" i="3" s="1"/>
  <c r="Q36" i="3"/>
  <c r="P36" i="3"/>
  <c r="O36" i="3"/>
  <c r="N36" i="3"/>
  <c r="N56" i="3" s="1"/>
  <c r="M36" i="3"/>
  <c r="L36" i="3"/>
  <c r="K36" i="3"/>
  <c r="J36" i="3"/>
  <c r="I36" i="3"/>
  <c r="H36" i="3"/>
  <c r="G36" i="3"/>
  <c r="G56" i="3" s="1"/>
  <c r="F36" i="3"/>
  <c r="F56" i="3" s="1"/>
  <c r="E36" i="3"/>
  <c r="D36" i="3"/>
  <c r="C36" i="3"/>
  <c r="B36" i="3"/>
  <c r="B56" i="3" s="1"/>
  <c r="BC35" i="3"/>
  <c r="AZ35" i="3"/>
  <c r="AW35" i="3"/>
  <c r="AT35" i="3"/>
  <c r="AQ35" i="3"/>
  <c r="BC34" i="3"/>
  <c r="AZ34" i="3"/>
  <c r="AW34" i="3"/>
  <c r="AT34" i="3"/>
  <c r="AQ34" i="3"/>
  <c r="AN34" i="3"/>
  <c r="AK34" i="3"/>
  <c r="AH34" i="3"/>
  <c r="AE34" i="3"/>
  <c r="AB34" i="3"/>
  <c r="Y34" i="3"/>
  <c r="BC33" i="3"/>
  <c r="AZ33" i="3"/>
  <c r="AW33" i="3"/>
  <c r="AT33" i="3"/>
  <c r="AQ33" i="3"/>
  <c r="AN33" i="3"/>
  <c r="AK33" i="3"/>
  <c r="AH33" i="3"/>
  <c r="AE33" i="3"/>
  <c r="AB33" i="3"/>
  <c r="Y33" i="3"/>
  <c r="BC32" i="3"/>
  <c r="AZ32" i="3"/>
  <c r="AW32" i="3"/>
  <c r="AT32" i="3"/>
  <c r="AQ32" i="3"/>
  <c r="AN32" i="3"/>
  <c r="AK32" i="3"/>
  <c r="AH32" i="3"/>
  <c r="AE32" i="3"/>
  <c r="AB32" i="3"/>
  <c r="Y32" i="3"/>
  <c r="BC31" i="3"/>
  <c r="AZ31" i="3"/>
  <c r="AW31" i="3"/>
  <c r="AT31" i="3"/>
  <c r="AQ31" i="3"/>
  <c r="AN31" i="3"/>
  <c r="AK31" i="3"/>
  <c r="AH31" i="3"/>
  <c r="AE31" i="3"/>
  <c r="AB31" i="3"/>
  <c r="Y31" i="3"/>
  <c r="BC30" i="3"/>
  <c r="AZ30" i="3"/>
  <c r="AW30" i="3"/>
  <c r="AT30" i="3"/>
  <c r="AQ30" i="3"/>
  <c r="AN30" i="3"/>
  <c r="AK30" i="3"/>
  <c r="AH30" i="3"/>
  <c r="AE30" i="3"/>
  <c r="AB30" i="3"/>
  <c r="Y30" i="3"/>
  <c r="BC29" i="3"/>
  <c r="AZ29" i="3"/>
  <c r="AW29" i="3"/>
  <c r="AT29" i="3"/>
  <c r="AQ29" i="3"/>
  <c r="AN29" i="3"/>
  <c r="AK29" i="3"/>
  <c r="AH29" i="3"/>
  <c r="AH36" i="3" s="1"/>
  <c r="AE29" i="3"/>
  <c r="AB29" i="3"/>
  <c r="Y29" i="3"/>
  <c r="BC28" i="3"/>
  <c r="AZ28" i="3"/>
  <c r="AW28" i="3"/>
  <c r="AT28" i="3"/>
  <c r="AQ28" i="3"/>
  <c r="AN28" i="3"/>
  <c r="AK28" i="3"/>
  <c r="AH28" i="3"/>
  <c r="AE28" i="3"/>
  <c r="AB28" i="3"/>
  <c r="Y28" i="3"/>
  <c r="BC27" i="3"/>
  <c r="AZ27" i="3"/>
  <c r="AW27" i="3"/>
  <c r="AT27" i="3"/>
  <c r="AQ27" i="3"/>
  <c r="AN27" i="3"/>
  <c r="AK27" i="3"/>
  <c r="AH27" i="3"/>
  <c r="AE27" i="3"/>
  <c r="AB27" i="3"/>
  <c r="Y27" i="3"/>
  <c r="BC26" i="3"/>
  <c r="AZ26" i="3"/>
  <c r="AW26" i="3"/>
  <c r="AT26" i="3"/>
  <c r="AQ26" i="3"/>
  <c r="AN26" i="3"/>
  <c r="AK26" i="3"/>
  <c r="AK36" i="3" s="1"/>
  <c r="AH26" i="3"/>
  <c r="AE26" i="3"/>
  <c r="AB26" i="3"/>
  <c r="Y26" i="3"/>
  <c r="BB24" i="3"/>
  <c r="BA24" i="3"/>
  <c r="AY24" i="3"/>
  <c r="AX24" i="3"/>
  <c r="AV24" i="3"/>
  <c r="AU24" i="3"/>
  <c r="AS24" i="3"/>
  <c r="AR24" i="3"/>
  <c r="AP24" i="3"/>
  <c r="AO24" i="3"/>
  <c r="AM24" i="3"/>
  <c r="AL24" i="3"/>
  <c r="AL25" i="3" s="1"/>
  <c r="AJ24" i="3"/>
  <c r="AI24" i="3"/>
  <c r="AG24" i="3"/>
  <c r="AF24" i="3"/>
  <c r="AD24" i="3"/>
  <c r="AC24" i="3"/>
  <c r="AA24" i="3"/>
  <c r="Z24" i="3"/>
  <c r="Z25" i="3" s="1"/>
  <c r="X24" i="3"/>
  <c r="W24" i="3"/>
  <c r="V24" i="3"/>
  <c r="U24" i="3"/>
  <c r="T24" i="3"/>
  <c r="S24" i="3"/>
  <c r="R24" i="3"/>
  <c r="Q24" i="3"/>
  <c r="Q25" i="3" s="1"/>
  <c r="P24" i="3"/>
  <c r="O24" i="3"/>
  <c r="N24" i="3"/>
  <c r="M24" i="3"/>
  <c r="L24" i="3"/>
  <c r="K24" i="3"/>
  <c r="J24" i="3"/>
  <c r="I24" i="3"/>
  <c r="I25" i="3" s="1"/>
  <c r="H24" i="3"/>
  <c r="G24" i="3"/>
  <c r="F24" i="3"/>
  <c r="E24" i="3"/>
  <c r="D24" i="3"/>
  <c r="C24" i="3"/>
  <c r="B24" i="3"/>
  <c r="BC23" i="3"/>
  <c r="AZ23" i="3"/>
  <c r="AW23" i="3"/>
  <c r="AT23" i="3"/>
  <c r="AQ23" i="3"/>
  <c r="AN23" i="3"/>
  <c r="AK23" i="3"/>
  <c r="AH23" i="3"/>
  <c r="AE23" i="3"/>
  <c r="AB23" i="3"/>
  <c r="Y23" i="3"/>
  <c r="BC22" i="3"/>
  <c r="AZ22" i="3"/>
  <c r="AW22" i="3"/>
  <c r="AT22" i="3"/>
  <c r="AQ22" i="3"/>
  <c r="AN22" i="3"/>
  <c r="AN24" i="3" s="1"/>
  <c r="AK22" i="3"/>
  <c r="AH22" i="3"/>
  <c r="AE22" i="3"/>
  <c r="AB22" i="3"/>
  <c r="Y22" i="3"/>
  <c r="BC21" i="3"/>
  <c r="AZ21" i="3"/>
  <c r="AW21" i="3"/>
  <c r="AW24" i="3" s="1"/>
  <c r="AT21" i="3"/>
  <c r="AQ21" i="3"/>
  <c r="AN21" i="3"/>
  <c r="AK21" i="3"/>
  <c r="AH21" i="3"/>
  <c r="AE21" i="3"/>
  <c r="AB21" i="3"/>
  <c r="Y21" i="3"/>
  <c r="Y24" i="3" s="1"/>
  <c r="BB20" i="3"/>
  <c r="BA20" i="3"/>
  <c r="AY20" i="3"/>
  <c r="AX20" i="3"/>
  <c r="AV20" i="3"/>
  <c r="AU20" i="3"/>
  <c r="AS20" i="3"/>
  <c r="AR20" i="3"/>
  <c r="AP20" i="3"/>
  <c r="AO20" i="3"/>
  <c r="AM20" i="3"/>
  <c r="AM25" i="3" s="1"/>
  <c r="AL20" i="3"/>
  <c r="AJ20" i="3"/>
  <c r="AI20" i="3"/>
  <c r="AG20" i="3"/>
  <c r="AF20" i="3"/>
  <c r="AD20" i="3"/>
  <c r="AC20" i="3"/>
  <c r="AA20" i="3"/>
  <c r="Z20" i="3"/>
  <c r="X20" i="3"/>
  <c r="W20" i="3"/>
  <c r="V20" i="3"/>
  <c r="U20" i="3"/>
  <c r="T20" i="3"/>
  <c r="S20" i="3"/>
  <c r="R20" i="3"/>
  <c r="Q20" i="3"/>
  <c r="P20" i="3"/>
  <c r="O20" i="3"/>
  <c r="N20" i="3"/>
  <c r="M20" i="3"/>
  <c r="L20" i="3"/>
  <c r="K20" i="3"/>
  <c r="J20" i="3"/>
  <c r="I20" i="3"/>
  <c r="H20" i="3"/>
  <c r="G20" i="3"/>
  <c r="F20" i="3"/>
  <c r="E20" i="3"/>
  <c r="D20" i="3"/>
  <c r="C20" i="3"/>
  <c r="B20" i="3"/>
  <c r="BC19" i="3"/>
  <c r="AZ19" i="3"/>
  <c r="AW19" i="3"/>
  <c r="AT19" i="3"/>
  <c r="AQ19" i="3"/>
  <c r="AN19" i="3"/>
  <c r="AK19" i="3"/>
  <c r="AH19" i="3"/>
  <c r="AE19" i="3"/>
  <c r="AB19" i="3"/>
  <c r="Y19" i="3"/>
  <c r="BC18" i="3"/>
  <c r="AZ18" i="3"/>
  <c r="AW18" i="3"/>
  <c r="AT18" i="3"/>
  <c r="AQ18" i="3"/>
  <c r="AN18" i="3"/>
  <c r="AK18" i="3"/>
  <c r="AH18" i="3"/>
  <c r="AE18" i="3"/>
  <c r="AB18" i="3"/>
  <c r="Y18" i="3"/>
  <c r="BC17" i="3"/>
  <c r="AZ17" i="3"/>
  <c r="AW17" i="3"/>
  <c r="AT17" i="3"/>
  <c r="AQ17" i="3"/>
  <c r="AN17" i="3"/>
  <c r="AK17" i="3"/>
  <c r="AH17" i="3"/>
  <c r="AE17" i="3"/>
  <c r="AB17" i="3"/>
  <c r="Y17" i="3"/>
  <c r="BC16" i="3"/>
  <c r="AZ16" i="3"/>
  <c r="AW16" i="3"/>
  <c r="AT16" i="3"/>
  <c r="AQ16" i="3"/>
  <c r="AN16" i="3"/>
  <c r="AK16" i="3"/>
  <c r="AH16" i="3"/>
  <c r="AE16" i="3"/>
  <c r="AB16" i="3"/>
  <c r="Y16" i="3"/>
  <c r="BB15" i="3"/>
  <c r="BA15" i="3"/>
  <c r="AY15" i="3"/>
  <c r="AX15" i="3"/>
  <c r="AV15" i="3"/>
  <c r="AU15" i="3"/>
  <c r="AS15" i="3"/>
  <c r="AS25" i="3" s="1"/>
  <c r="AR15" i="3"/>
  <c r="AP15" i="3"/>
  <c r="AO15" i="3"/>
  <c r="AM15" i="3"/>
  <c r="AL15" i="3"/>
  <c r="AJ15" i="3"/>
  <c r="AI15" i="3"/>
  <c r="AG15" i="3"/>
  <c r="AF15" i="3"/>
  <c r="AD15" i="3"/>
  <c r="AC15" i="3"/>
  <c r="AA15" i="3"/>
  <c r="Z15" i="3"/>
  <c r="X15" i="3"/>
  <c r="W15" i="3"/>
  <c r="V15" i="3"/>
  <c r="U15" i="3"/>
  <c r="U25" i="3" s="1"/>
  <c r="T15" i="3"/>
  <c r="S15" i="3"/>
  <c r="R15" i="3"/>
  <c r="Q15" i="3"/>
  <c r="P15" i="3"/>
  <c r="O15" i="3"/>
  <c r="N15" i="3"/>
  <c r="M15" i="3"/>
  <c r="L15" i="3"/>
  <c r="K15" i="3"/>
  <c r="J15" i="3"/>
  <c r="I15" i="3"/>
  <c r="H15" i="3"/>
  <c r="G15" i="3"/>
  <c r="F15" i="3"/>
  <c r="E15" i="3"/>
  <c r="D15" i="3"/>
  <c r="C15" i="3"/>
  <c r="B15" i="3"/>
  <c r="B25" i="3" s="1"/>
  <c r="BC14" i="3"/>
  <c r="AZ14" i="3"/>
  <c r="AW14" i="3"/>
  <c r="AT14" i="3"/>
  <c r="AQ14" i="3"/>
  <c r="AN14" i="3"/>
  <c r="AK14" i="3"/>
  <c r="AH14" i="3"/>
  <c r="AE14" i="3"/>
  <c r="AB14" i="3"/>
  <c r="Y14" i="3"/>
  <c r="BC13" i="3"/>
  <c r="AZ13" i="3"/>
  <c r="AW13" i="3"/>
  <c r="AT13" i="3"/>
  <c r="AQ13" i="3"/>
  <c r="AN13" i="3"/>
  <c r="AK13" i="3"/>
  <c r="AH13" i="3"/>
  <c r="AE13" i="3"/>
  <c r="AB13" i="3"/>
  <c r="Y13" i="3"/>
  <c r="BC12" i="3"/>
  <c r="AZ12" i="3"/>
  <c r="AW12" i="3"/>
  <c r="AT12" i="3"/>
  <c r="AQ12" i="3"/>
  <c r="AN12" i="3"/>
  <c r="AK12" i="3"/>
  <c r="AH12" i="3"/>
  <c r="AE12" i="3"/>
  <c r="AB12" i="3"/>
  <c r="Y12" i="3"/>
  <c r="BC11" i="3"/>
  <c r="AZ11" i="3"/>
  <c r="AW11" i="3"/>
  <c r="AT11" i="3"/>
  <c r="AQ11" i="3"/>
  <c r="AN11" i="3"/>
  <c r="AK11" i="3"/>
  <c r="AH11" i="3"/>
  <c r="AE11" i="3"/>
  <c r="AB11" i="3"/>
  <c r="Y11" i="3"/>
  <c r="BC10" i="3"/>
  <c r="AZ10" i="3"/>
  <c r="AW10" i="3"/>
  <c r="AT10" i="3"/>
  <c r="AQ10" i="3"/>
  <c r="AN10" i="3"/>
  <c r="AK10" i="3"/>
  <c r="AH10" i="3"/>
  <c r="AE10" i="3"/>
  <c r="AB10" i="3"/>
  <c r="Y10" i="3"/>
  <c r="BC9" i="3"/>
  <c r="AZ9" i="3"/>
  <c r="AW9" i="3"/>
  <c r="AT9" i="3"/>
  <c r="AQ9" i="3"/>
  <c r="AN9" i="3"/>
  <c r="AK9" i="3"/>
  <c r="AH9" i="3"/>
  <c r="AE9" i="3"/>
  <c r="AB9" i="3"/>
  <c r="Y9" i="3"/>
  <c r="BC8" i="3"/>
  <c r="AZ8" i="3"/>
  <c r="AW8" i="3"/>
  <c r="AT8" i="3"/>
  <c r="AQ8" i="3"/>
  <c r="AN8" i="3"/>
  <c r="AK8" i="3"/>
  <c r="AH8" i="3"/>
  <c r="AE8" i="3"/>
  <c r="AB8" i="3"/>
  <c r="Y8" i="3"/>
  <c r="BC7" i="3"/>
  <c r="AZ7" i="3"/>
  <c r="AW7" i="3"/>
  <c r="AT7" i="3"/>
  <c r="AQ7" i="3"/>
  <c r="AN7" i="3"/>
  <c r="AK7" i="3"/>
  <c r="AH7" i="3"/>
  <c r="AE7" i="3"/>
  <c r="AB7" i="3"/>
  <c r="Y7" i="3"/>
  <c r="BC6" i="3"/>
  <c r="AZ6" i="3"/>
  <c r="AW6" i="3"/>
  <c r="AT6" i="3"/>
  <c r="AQ6" i="3"/>
  <c r="AN6" i="3"/>
  <c r="AK6" i="3"/>
  <c r="AH6" i="3"/>
  <c r="AE6" i="3"/>
  <c r="AB6" i="3"/>
  <c r="Y6" i="3"/>
  <c r="BC5" i="3"/>
  <c r="AZ5" i="3"/>
  <c r="AW5" i="3"/>
  <c r="AT5" i="3"/>
  <c r="AQ5" i="3"/>
  <c r="AN5" i="3"/>
  <c r="AK5" i="3"/>
  <c r="AH5" i="3"/>
  <c r="AE5" i="3"/>
  <c r="AB5" i="3"/>
  <c r="Y5" i="3"/>
  <c r="W84" i="52"/>
  <c r="K71" i="52"/>
  <c r="N99" i="54"/>
  <c r="Q56" i="3"/>
  <c r="AE77" i="3"/>
  <c r="BC77" i="3"/>
  <c r="R25" i="3"/>
  <c r="AA25" i="3"/>
  <c r="J56" i="3"/>
  <c r="K25" i="3"/>
  <c r="K56" i="3"/>
  <c r="BA56" i="3"/>
  <c r="I78" i="3"/>
  <c r="Q78" i="3"/>
  <c r="AL78" i="3"/>
  <c r="AK77" i="3"/>
  <c r="J78" i="3"/>
  <c r="AY25" i="3"/>
  <c r="AP56" i="3"/>
  <c r="BB56" i="3"/>
  <c r="AQ77" i="3"/>
  <c r="AP25" i="3"/>
  <c r="BC72" i="3"/>
  <c r="AW63" i="3"/>
  <c r="AP78" i="3"/>
  <c r="AN83" i="3"/>
  <c r="BB106" i="3"/>
  <c r="AP32" i="4"/>
  <c r="AP9" i="4"/>
  <c r="AL14" i="4"/>
  <c r="AF19" i="4"/>
  <c r="AP24" i="4"/>
  <c r="AL33" i="4"/>
  <c r="AN33" i="4" s="1"/>
  <c r="AU25" i="6"/>
  <c r="I26" i="6"/>
  <c r="Q26" i="6"/>
  <c r="Y26" i="6"/>
  <c r="AV26" i="6"/>
  <c r="AU56" i="6"/>
  <c r="AR56" i="6"/>
  <c r="AC64" i="6"/>
  <c r="BA64" i="6"/>
  <c r="AR64" i="6"/>
  <c r="AI64" i="6"/>
  <c r="Z64" i="6"/>
  <c r="AX64" i="6"/>
  <c r="E79" i="6"/>
  <c r="M79" i="6"/>
  <c r="U79" i="6"/>
  <c r="AE79" i="6"/>
  <c r="BC79" i="6"/>
  <c r="AU78" i="6"/>
  <c r="AL78" i="6"/>
  <c r="F79" i="6"/>
  <c r="N79" i="6"/>
  <c r="V79" i="6"/>
  <c r="AQ79" i="6"/>
  <c r="U94" i="6"/>
  <c r="AE94" i="6"/>
  <c r="AN94" i="6"/>
  <c r="AZ94" i="6"/>
  <c r="BD102" i="6"/>
  <c r="AE107" i="6"/>
  <c r="AR6" i="7"/>
  <c r="W9" i="7"/>
  <c r="AE9" i="7"/>
  <c r="AM14" i="7"/>
  <c r="AF13" i="7"/>
  <c r="AO27" i="7"/>
  <c r="AI24" i="8"/>
  <c r="AC24" i="8"/>
  <c r="F37" i="8"/>
  <c r="AK37" i="8"/>
  <c r="J37" i="8"/>
  <c r="K35" i="8"/>
  <c r="C37" i="8"/>
  <c r="AC15" i="10"/>
  <c r="BA15" i="10"/>
  <c r="Z20" i="10"/>
  <c r="AX20" i="10"/>
  <c r="AU24" i="10"/>
  <c r="I25" i="10"/>
  <c r="Q25" i="10"/>
  <c r="Y25" i="10"/>
  <c r="AK25" i="10"/>
  <c r="AV25" i="10"/>
  <c r="AL36" i="10"/>
  <c r="AP56" i="10"/>
  <c r="BB56" i="10"/>
  <c r="AH78" i="10"/>
  <c r="AC77" i="10"/>
  <c r="BA77" i="10"/>
  <c r="AR77" i="10"/>
  <c r="AI77" i="10"/>
  <c r="AT78" i="10"/>
  <c r="AC92" i="10"/>
  <c r="BA92" i="10"/>
  <c r="AH93" i="10"/>
  <c r="BA97" i="10"/>
  <c r="AK106" i="10"/>
  <c r="AL106" i="10"/>
  <c r="AN106" i="10"/>
  <c r="AL6" i="11"/>
  <c r="AP32" i="11"/>
  <c r="AF8" i="11"/>
  <c r="AZ34" i="11"/>
  <c r="AO12" i="11"/>
  <c r="AL18" i="11"/>
  <c r="AY24" i="11"/>
  <c r="AF78" i="3"/>
  <c r="AR78" i="3"/>
  <c r="AT87" i="3"/>
  <c r="AK87" i="3"/>
  <c r="AK92" i="3"/>
  <c r="L93" i="3"/>
  <c r="T93" i="3"/>
  <c r="BC11" i="4"/>
  <c r="AW12" i="4"/>
  <c r="AQ13" i="4"/>
  <c r="AR21" i="4"/>
  <c r="AR31" i="4" s="1"/>
  <c r="AB33" i="4"/>
  <c r="Q9" i="5"/>
  <c r="AU9" i="5"/>
  <c r="AT26" i="6"/>
  <c r="J26" i="6"/>
  <c r="R26" i="6"/>
  <c r="AM26" i="6"/>
  <c r="AW26" i="6"/>
  <c r="AL49" i="6"/>
  <c r="F57" i="6"/>
  <c r="N57" i="6"/>
  <c r="V57" i="6"/>
  <c r="Z56" i="6"/>
  <c r="AX56" i="6"/>
  <c r="AS79" i="6"/>
  <c r="AG79" i="6"/>
  <c r="V94" i="6"/>
  <c r="AG94" i="6"/>
  <c r="AP94" i="6"/>
  <c r="AG107" i="6"/>
  <c r="BD106" i="6"/>
  <c r="AP107" i="6"/>
  <c r="BC31" i="7"/>
  <c r="AG9" i="7"/>
  <c r="AD14" i="7"/>
  <c r="AY14" i="7"/>
  <c r="BA12" i="7"/>
  <c r="Q19" i="7"/>
  <c r="BC19" i="7"/>
  <c r="AK19" i="7"/>
  <c r="AN33" i="7"/>
  <c r="AE24" i="7"/>
  <c r="AN29" i="7"/>
  <c r="E14" i="8"/>
  <c r="AC14" i="8"/>
  <c r="AF24" i="8"/>
  <c r="H29" i="8"/>
  <c r="AF29" i="8"/>
  <c r="AB37" i="8"/>
  <c r="S37" i="8"/>
  <c r="AH25" i="10"/>
  <c r="AC20" i="10"/>
  <c r="BA20" i="10"/>
  <c r="AR20" i="10"/>
  <c r="AI20" i="10"/>
  <c r="AT25" i="10"/>
  <c r="Z24" i="10"/>
  <c r="AX24" i="10"/>
  <c r="AM25" i="10"/>
  <c r="AW25" i="10"/>
  <c r="AO55" i="10"/>
  <c r="AG56" i="10"/>
  <c r="AO72" i="10"/>
  <c r="AF72" i="10"/>
  <c r="BD72" i="10"/>
  <c r="AJ78" i="10"/>
  <c r="AV78" i="10"/>
  <c r="AC83" i="10"/>
  <c r="BA83" i="10"/>
  <c r="BA93" i="10"/>
  <c r="AI83" i="10"/>
  <c r="AF92" i="10"/>
  <c r="BD92" i="10"/>
  <c r="AU92" i="10"/>
  <c r="P93" i="10"/>
  <c r="X93" i="10"/>
  <c r="AJ93" i="10"/>
  <c r="AT93" i="10"/>
  <c r="BD101" i="10"/>
  <c r="AG106" i="10"/>
  <c r="AE106" i="10"/>
  <c r="AI8" i="11"/>
  <c r="BD13" i="11"/>
  <c r="BD16" i="11"/>
  <c r="AK19" i="11"/>
  <c r="AP24" i="11"/>
  <c r="BC24" i="11"/>
  <c r="AS78" i="3"/>
  <c r="M93" i="3"/>
  <c r="U93" i="3"/>
  <c r="AF93" i="3"/>
  <c r="AZ105" i="3"/>
  <c r="AQ16" i="4"/>
  <c r="AH21" i="4"/>
  <c r="AQ23" i="4"/>
  <c r="AE26" i="4"/>
  <c r="AQ26" i="4"/>
  <c r="AZ26" i="4"/>
  <c r="AN27" i="4"/>
  <c r="AC9" i="5"/>
  <c r="AI14" i="5"/>
  <c r="AO19" i="5"/>
  <c r="W24" i="5"/>
  <c r="AI24" i="5"/>
  <c r="AF29" i="5"/>
  <c r="S37" i="5"/>
  <c r="AO32" i="5"/>
  <c r="Q34" i="5"/>
  <c r="AL35" i="5"/>
  <c r="AL16" i="6"/>
  <c r="AR25" i="6"/>
  <c r="AI25" i="6"/>
  <c r="AB26" i="6"/>
  <c r="AL73" i="6"/>
  <c r="G79" i="6"/>
  <c r="O79" i="6"/>
  <c r="W79" i="6"/>
  <c r="AH79" i="6"/>
  <c r="AC78" i="6"/>
  <c r="BA78" i="6"/>
  <c r="AT79" i="6"/>
  <c r="X94" i="6"/>
  <c r="AH94" i="6"/>
  <c r="AQ94" i="6"/>
  <c r="BB94" i="6"/>
  <c r="BD22" i="7"/>
  <c r="AK9" i="7"/>
  <c r="AE32" i="7"/>
  <c r="AU36" i="7"/>
  <c r="BD13" i="7"/>
  <c r="E19" i="7"/>
  <c r="AB37" i="7"/>
  <c r="AY36" i="7"/>
  <c r="AF32" i="8"/>
  <c r="K29" i="8"/>
  <c r="AI29" i="8"/>
  <c r="H31" i="8"/>
  <c r="AN37" i="8"/>
  <c r="AH37" i="8"/>
  <c r="H33" i="8"/>
  <c r="N35" i="8"/>
  <c r="AI15" i="10"/>
  <c r="AB25" i="10"/>
  <c r="AN25" i="10"/>
  <c r="AH56" i="10"/>
  <c r="AO63" i="10"/>
  <c r="I78" i="10"/>
  <c r="Q78" i="10"/>
  <c r="Y78" i="10"/>
  <c r="AK78" i="10"/>
  <c r="AW78" i="10"/>
  <c r="AA78" i="10"/>
  <c r="AF83" i="10"/>
  <c r="BD83" i="10"/>
  <c r="AA93" i="10"/>
  <c r="AV93" i="10"/>
  <c r="AP106" i="10"/>
  <c r="AZ106" i="10"/>
  <c r="AZ31" i="11"/>
  <c r="AR7" i="11"/>
  <c r="AZ9" i="11"/>
  <c r="BA9" i="11" s="1"/>
  <c r="AK14" i="11"/>
  <c r="AR12" i="11"/>
  <c r="BA21" i="11"/>
  <c r="AO23" i="11"/>
  <c r="BA23" i="11"/>
  <c r="AD29" i="11"/>
  <c r="Z78" i="3"/>
  <c r="Y83" i="3"/>
  <c r="AW83" i="3"/>
  <c r="AT97" i="3"/>
  <c r="BC105" i="3"/>
  <c r="Z106" i="3"/>
  <c r="AJ106" i="3"/>
  <c r="AQ6" i="4"/>
  <c r="AX9" i="4"/>
  <c r="BC17" i="4"/>
  <c r="AI35" i="4"/>
  <c r="AK35" i="4" s="1"/>
  <c r="U37" i="5"/>
  <c r="Z16" i="6"/>
  <c r="AI21" i="6"/>
  <c r="AI26" i="6" s="1"/>
  <c r="Z21" i="6"/>
  <c r="AX21" i="6"/>
  <c r="AF25" i="6"/>
  <c r="AF26" i="6" s="1"/>
  <c r="BD25" i="6"/>
  <c r="D26" i="6"/>
  <c r="L26" i="6"/>
  <c r="T26" i="6"/>
  <c r="AZ26" i="6"/>
  <c r="AF37" i="6"/>
  <c r="BD37" i="6"/>
  <c r="AU37" i="6"/>
  <c r="BA37" i="6"/>
  <c r="AJ79" i="6"/>
  <c r="I79" i="6"/>
  <c r="Q79" i="6"/>
  <c r="Y79" i="6"/>
  <c r="AV79" i="6"/>
  <c r="N84" i="6"/>
  <c r="AL84" i="6"/>
  <c r="AR84" i="6"/>
  <c r="Y94" i="6"/>
  <c r="BC94" i="6"/>
  <c r="AH107" i="6"/>
  <c r="AR8" i="7"/>
  <c r="AM9" i="7"/>
  <c r="AF11" i="7"/>
  <c r="W19" i="7"/>
  <c r="AY19" i="7"/>
  <c r="AI18" i="7"/>
  <c r="AZ29" i="7"/>
  <c r="AX28" i="7"/>
  <c r="AG31" i="7"/>
  <c r="AI32" i="8"/>
  <c r="AO33" i="8"/>
  <c r="AD37" i="8"/>
  <c r="G37" i="8"/>
  <c r="T33" i="8"/>
  <c r="AM37" i="8"/>
  <c r="D25" i="10"/>
  <c r="L25" i="10"/>
  <c r="T25" i="10"/>
  <c r="AZ25" i="10"/>
  <c r="AU36" i="10"/>
  <c r="AU55" i="10"/>
  <c r="AJ56" i="10"/>
  <c r="AT56" i="10"/>
  <c r="AU72" i="10"/>
  <c r="AL72" i="10"/>
  <c r="AC72" i="10"/>
  <c r="BA72" i="10"/>
  <c r="Z72" i="10"/>
  <c r="AX72" i="10"/>
  <c r="J78" i="10"/>
  <c r="R78" i="10"/>
  <c r="C78" i="10"/>
  <c r="K78" i="10"/>
  <c r="S78" i="10"/>
  <c r="AB78" i="10"/>
  <c r="AM78" i="10"/>
  <c r="AY78" i="10"/>
  <c r="AX14" i="11"/>
  <c r="AF87" i="10"/>
  <c r="BD87" i="10"/>
  <c r="K93" i="10"/>
  <c r="S93" i="10"/>
  <c r="AY93" i="10"/>
  <c r="AL92" i="10"/>
  <c r="AL93" i="10" s="1"/>
  <c r="J93" i="10"/>
  <c r="R93" i="10"/>
  <c r="AM93" i="10"/>
  <c r="AX105" i="10"/>
  <c r="AX106" i="10" s="1"/>
  <c r="BC9" i="11"/>
  <c r="AR13" i="11"/>
  <c r="AZ29" i="11"/>
  <c r="AI27" i="11"/>
  <c r="AV78" i="3"/>
  <c r="O93" i="3"/>
  <c r="W93" i="3"/>
  <c r="AU93" i="3"/>
  <c r="AW97" i="3"/>
  <c r="AL106" i="3"/>
  <c r="AV106" i="3"/>
  <c r="AT7" i="4"/>
  <c r="AZ12" i="4"/>
  <c r="AT13" i="4"/>
  <c r="AI31" i="4"/>
  <c r="AK18" i="4"/>
  <c r="AQ28" i="4"/>
  <c r="AO9" i="5"/>
  <c r="Q14" i="5"/>
  <c r="AU14" i="5"/>
  <c r="W19" i="5"/>
  <c r="Z24" i="5"/>
  <c r="AI29" i="5"/>
  <c r="AC36" i="5"/>
  <c r="AE26" i="6"/>
  <c r="AP26" i="6"/>
  <c r="AK79" i="6"/>
  <c r="AA79" i="6"/>
  <c r="AW79" i="6"/>
  <c r="O94" i="6"/>
  <c r="AT94" i="6"/>
  <c r="AJ107" i="6"/>
  <c r="AS9" i="7"/>
  <c r="AX15" i="10"/>
  <c r="E25" i="10"/>
  <c r="M25" i="10"/>
  <c r="U25" i="10"/>
  <c r="AE25" i="10"/>
  <c r="AR48" i="10"/>
  <c r="AR63" i="10"/>
  <c r="AN78" i="10"/>
  <c r="AZ78" i="10"/>
  <c r="AH106" i="10"/>
  <c r="BC106" i="10"/>
  <c r="AJ19" i="11"/>
  <c r="AM24" i="11"/>
  <c r="AO24" i="11" s="1"/>
  <c r="AX78" i="3"/>
  <c r="P93" i="3"/>
  <c r="X93" i="3"/>
  <c r="AI93" i="3"/>
  <c r="AM106" i="3"/>
  <c r="AW8" i="4"/>
  <c r="AT16" i="4"/>
  <c r="AN17" i="4"/>
  <c r="AN18" i="4"/>
  <c r="AH23" i="4"/>
  <c r="AH26" i="4"/>
  <c r="BC26" i="4"/>
  <c r="AS37" i="5"/>
  <c r="BA16" i="6"/>
  <c r="AR16" i="6"/>
  <c r="AO21" i="6"/>
  <c r="AO26" i="6" s="1"/>
  <c r="AD26" i="6"/>
  <c r="AG26" i="6"/>
  <c r="BC26" i="6"/>
  <c r="AL37" i="6"/>
  <c r="AI37" i="6"/>
  <c r="AU73" i="6"/>
  <c r="Z73" i="6"/>
  <c r="AX73" i="6"/>
  <c r="J79" i="6"/>
  <c r="R79" i="6"/>
  <c r="R109" i="6" s="1"/>
  <c r="AM79" i="6"/>
  <c r="C79" i="6"/>
  <c r="K79" i="6"/>
  <c r="S79" i="6"/>
  <c r="AY79" i="6"/>
  <c r="AX84" i="6"/>
  <c r="Z84" i="6"/>
  <c r="P94" i="6"/>
  <c r="AK94" i="6"/>
  <c r="AV94" i="6"/>
  <c r="AX98" i="6"/>
  <c r="AK107" i="6"/>
  <c r="N9" i="7"/>
  <c r="AF7" i="7"/>
  <c r="AW9" i="7"/>
  <c r="AI11" i="7"/>
  <c r="AT14" i="7"/>
  <c r="BD11" i="7"/>
  <c r="AL13" i="7"/>
  <c r="AO19" i="7"/>
  <c r="AQ19" i="7"/>
  <c r="AL33" i="7"/>
  <c r="BC29" i="7"/>
  <c r="AT29" i="7"/>
  <c r="AU29" i="7" s="1"/>
  <c r="AF31" i="8"/>
  <c r="AO32" i="8"/>
  <c r="Z34" i="8"/>
  <c r="AG37" i="8"/>
  <c r="H32" i="8"/>
  <c r="AL32" i="8"/>
  <c r="AE37" i="8"/>
  <c r="E34" i="8"/>
  <c r="N34" i="8"/>
  <c r="H36" i="8"/>
  <c r="Q36" i="8"/>
  <c r="AO20" i="10"/>
  <c r="AD25" i="10"/>
  <c r="AG25" i="10"/>
  <c r="BC25" i="10"/>
  <c r="AC55" i="10"/>
  <c r="BA55" i="10"/>
  <c r="AR55" i="10"/>
  <c r="J56" i="10"/>
  <c r="R56" i="10"/>
  <c r="AW56" i="10"/>
  <c r="AP78" i="10"/>
  <c r="AE78" i="10"/>
  <c r="BB78" i="10"/>
  <c r="AO83" i="10"/>
  <c r="AQ93" i="10"/>
  <c r="Z92" i="10"/>
  <c r="AX92" i="10"/>
  <c r="L93" i="10"/>
  <c r="T93" i="10"/>
  <c r="AD93" i="10"/>
  <c r="AP93" i="10"/>
  <c r="AZ93" i="10"/>
  <c r="AC106" i="10"/>
  <c r="BA105" i="10"/>
  <c r="BA106" i="10" s="1"/>
  <c r="BD105" i="10"/>
  <c r="AJ106" i="10"/>
  <c r="AS31" i="11"/>
  <c r="AV32" i="11"/>
  <c r="AY31" i="11"/>
  <c r="AH33" i="11"/>
  <c r="AQ33" i="11"/>
  <c r="X37" i="11"/>
  <c r="Z37" i="11" s="1"/>
  <c r="AY78" i="3"/>
  <c r="AO106" i="3"/>
  <c r="AE11" i="4"/>
  <c r="AZ11" i="4"/>
  <c r="AT12" i="4"/>
  <c r="BB14" i="4"/>
  <c r="AX33" i="4"/>
  <c r="AT28" i="4"/>
  <c r="W37" i="4"/>
  <c r="AB34" i="4"/>
  <c r="W9" i="5"/>
  <c r="AC14" i="5"/>
  <c r="AI19" i="5"/>
  <c r="AC24" i="5"/>
  <c r="AO24" i="5"/>
  <c r="Q29" i="5"/>
  <c r="W34" i="5"/>
  <c r="BB26" i="6"/>
  <c r="G26" i="6"/>
  <c r="O26" i="6"/>
  <c r="W26" i="6"/>
  <c r="AD79" i="6"/>
  <c r="R94" i="6"/>
  <c r="AW94" i="6"/>
  <c r="BC9" i="7"/>
  <c r="AP19" i="7"/>
  <c r="AL21" i="7"/>
  <c r="AU26" i="7"/>
  <c r="AU15" i="10"/>
  <c r="BB25" i="10"/>
  <c r="AF36" i="10"/>
  <c r="BD36" i="10"/>
  <c r="BA36" i="10"/>
  <c r="AB56" i="10"/>
  <c r="AQ78" i="10"/>
  <c r="BC78" i="10"/>
  <c r="AE14" i="11"/>
  <c r="AF14" i="11" s="1"/>
  <c r="AQ31" i="11"/>
  <c r="E78" i="3"/>
  <c r="M78" i="3"/>
  <c r="U78" i="3"/>
  <c r="J93" i="3"/>
  <c r="R93" i="3"/>
  <c r="AA93" i="3"/>
  <c r="AY106" i="3"/>
  <c r="AP106" i="3"/>
  <c r="AM9" i="4"/>
  <c r="AW13" i="4"/>
  <c r="AQ21" i="4"/>
  <c r="AW27" i="4"/>
  <c r="Y31" i="4"/>
  <c r="AD36" i="4"/>
  <c r="Z9" i="5"/>
  <c r="AI9" i="5"/>
  <c r="AF14" i="5"/>
  <c r="AO14" i="5"/>
  <c r="Q19" i="5"/>
  <c r="AU19" i="5"/>
  <c r="AF24" i="5"/>
  <c r="AL31" i="5"/>
  <c r="O37" i="5"/>
  <c r="AI34" i="5"/>
  <c r="AU34" i="5"/>
  <c r="AI35" i="5"/>
  <c r="AI36" i="5"/>
  <c r="AU21" i="6"/>
  <c r="AL21" i="6"/>
  <c r="F26" i="6"/>
  <c r="N26" i="6"/>
  <c r="V26" i="6"/>
  <c r="AJ26" i="6"/>
  <c r="AR37" i="6"/>
  <c r="AD57" i="6"/>
  <c r="D79" i="6"/>
  <c r="L79" i="6"/>
  <c r="T79" i="6"/>
  <c r="AP79" i="6"/>
  <c r="BB79" i="6"/>
  <c r="J94" i="6"/>
  <c r="S94" i="6"/>
  <c r="AD94" i="6"/>
  <c r="AM94" i="6"/>
  <c r="AY94" i="6"/>
  <c r="AT107" i="6"/>
  <c r="AM107" i="6"/>
  <c r="K9" i="7"/>
  <c r="BD7" i="7"/>
  <c r="Z14" i="7"/>
  <c r="AK14" i="7"/>
  <c r="AW14" i="7"/>
  <c r="AE19" i="7"/>
  <c r="AI17" i="7"/>
  <c r="AL18" i="7"/>
  <c r="AR28" i="7"/>
  <c r="W32" i="8"/>
  <c r="W14" i="8"/>
  <c r="K19" i="8"/>
  <c r="AI19" i="8"/>
  <c r="T19" i="8"/>
  <c r="Q29" i="8"/>
  <c r="AO29" i="8"/>
  <c r="Z29" i="8"/>
  <c r="H35" i="8"/>
  <c r="AL20" i="10"/>
  <c r="F25" i="10"/>
  <c r="N25" i="10"/>
  <c r="V25" i="10"/>
  <c r="AJ25" i="10"/>
  <c r="AI55" i="10"/>
  <c r="Z55" i="10"/>
  <c r="AX55" i="10"/>
  <c r="D56" i="10"/>
  <c r="L56" i="10"/>
  <c r="T56" i="10"/>
  <c r="AZ56" i="10"/>
  <c r="AG78" i="10"/>
  <c r="AS78" i="10"/>
  <c r="G78" i="10"/>
  <c r="O78" i="10"/>
  <c r="W78" i="10"/>
  <c r="AL83" i="10"/>
  <c r="AI87" i="10"/>
  <c r="Z87" i="10"/>
  <c r="AX87" i="10"/>
  <c r="N93" i="10"/>
  <c r="V93" i="10"/>
  <c r="BC93" i="10"/>
  <c r="AW106" i="10"/>
  <c r="AI106" i="10"/>
  <c r="AB106" i="10"/>
  <c r="AM106" i="10"/>
  <c r="AV106" i="10"/>
  <c r="AV31" i="11"/>
  <c r="BB19" i="11"/>
  <c r="BD19" i="11" s="1"/>
  <c r="AI17" i="11"/>
  <c r="AN24" i="11"/>
  <c r="AW24" i="11"/>
  <c r="AR22" i="11"/>
  <c r="BA22" i="11"/>
  <c r="BC25" i="12"/>
  <c r="I25" i="12"/>
  <c r="Q25" i="12"/>
  <c r="Y25" i="12"/>
  <c r="AG25" i="12"/>
  <c r="AO25" i="12"/>
  <c r="AW25" i="12"/>
  <c r="AW108" i="12"/>
  <c r="R40" i="12"/>
  <c r="Z40" i="12"/>
  <c r="AH40" i="12"/>
  <c r="AP40" i="12"/>
  <c r="E71" i="12"/>
  <c r="M71" i="12"/>
  <c r="U71" i="12"/>
  <c r="AC71" i="12"/>
  <c r="AK71" i="12"/>
  <c r="AS71" i="12"/>
  <c r="BA71" i="12"/>
  <c r="AP84" i="12"/>
  <c r="AE84" i="12"/>
  <c r="AM84" i="12"/>
  <c r="AU84" i="12"/>
  <c r="AB9" i="13"/>
  <c r="AJ9" i="13"/>
  <c r="AR9" i="13"/>
  <c r="AZ9" i="13"/>
  <c r="AA24" i="13"/>
  <c r="AI24" i="13"/>
  <c r="AQ24" i="13"/>
  <c r="AY24" i="13"/>
  <c r="AG29" i="13"/>
  <c r="AO29" i="13"/>
  <c r="AW29" i="13"/>
  <c r="AC34" i="13"/>
  <c r="AK34" i="13"/>
  <c r="AS34" i="13"/>
  <c r="BA34" i="13"/>
  <c r="I37" i="14"/>
  <c r="G39" i="16"/>
  <c r="H105" i="16"/>
  <c r="P105" i="16"/>
  <c r="K14" i="17"/>
  <c r="S14" i="17"/>
  <c r="L24" i="17"/>
  <c r="T24" i="17"/>
  <c r="P24" i="17"/>
  <c r="J37" i="17"/>
  <c r="AL7" i="19"/>
  <c r="BV7" i="19"/>
  <c r="AG25" i="18"/>
  <c r="AQ25" i="18"/>
  <c r="BR39" i="18"/>
  <c r="BR13" i="19"/>
  <c r="BR36" i="19" s="1"/>
  <c r="AU40" i="18"/>
  <c r="BC40" i="18"/>
  <c r="X71" i="18"/>
  <c r="AI71" i="18"/>
  <c r="AS71" i="18"/>
  <c r="BB71" i="18"/>
  <c r="BL71" i="18"/>
  <c r="F71" i="12"/>
  <c r="N71" i="12"/>
  <c r="V71" i="12"/>
  <c r="AD71" i="12"/>
  <c r="AL71" i="12"/>
  <c r="AT71" i="12"/>
  <c r="BB71" i="12"/>
  <c r="AI84" i="12"/>
  <c r="AQ84" i="12"/>
  <c r="AF84" i="12"/>
  <c r="AN84" i="12"/>
  <c r="AW33" i="13"/>
  <c r="AJ29" i="13"/>
  <c r="Z37" i="13"/>
  <c r="H39" i="16"/>
  <c r="P39" i="16"/>
  <c r="L32" i="17"/>
  <c r="T32" i="17"/>
  <c r="M19" i="17"/>
  <c r="K19" i="17"/>
  <c r="S19" i="17"/>
  <c r="Q33" i="17"/>
  <c r="L29" i="17"/>
  <c r="T29" i="17"/>
  <c r="AT15" i="18"/>
  <c r="AP7" i="19"/>
  <c r="BR20" i="18"/>
  <c r="Y25" i="18"/>
  <c r="AI25" i="18"/>
  <c r="BO40" i="18"/>
  <c r="BZ12" i="19"/>
  <c r="BZ35" i="19" s="1"/>
  <c r="BV39" i="18"/>
  <c r="BV13" i="19" s="1"/>
  <c r="BV36" i="19" s="1"/>
  <c r="BR70" i="18"/>
  <c r="AC34" i="11"/>
  <c r="BB40" i="12"/>
  <c r="P40" i="12"/>
  <c r="X40" i="12"/>
  <c r="AZ40" i="12"/>
  <c r="AG84" i="12"/>
  <c r="AO84" i="12"/>
  <c r="AD14" i="13"/>
  <c r="AL14" i="13"/>
  <c r="AT14" i="13"/>
  <c r="BB14" i="13"/>
  <c r="J24" i="16"/>
  <c r="R24" i="16"/>
  <c r="I70" i="16"/>
  <c r="G70" i="16"/>
  <c r="O70" i="16"/>
  <c r="F105" i="16"/>
  <c r="N105" i="16"/>
  <c r="J105" i="16"/>
  <c r="R105" i="16"/>
  <c r="K32" i="17"/>
  <c r="S32" i="17"/>
  <c r="AA25" i="18"/>
  <c r="AJ25" i="18"/>
  <c r="AS25" i="18"/>
  <c r="BB25" i="18"/>
  <c r="BT25" i="18"/>
  <c r="BZ11" i="19"/>
  <c r="BJ30" i="18"/>
  <c r="BE40" i="18"/>
  <c r="BQ40" i="18"/>
  <c r="BZ34" i="18"/>
  <c r="AT63" i="18"/>
  <c r="AT29" i="11"/>
  <c r="AO28" i="11"/>
  <c r="AC29" i="11"/>
  <c r="AC33" i="11"/>
  <c r="D25" i="12"/>
  <c r="L25" i="12"/>
  <c r="T25" i="12"/>
  <c r="AB25" i="12"/>
  <c r="AJ25" i="12"/>
  <c r="AR25" i="12"/>
  <c r="BA40" i="12"/>
  <c r="D71" i="12"/>
  <c r="L71" i="12"/>
  <c r="T71" i="12"/>
  <c r="AB71" i="12"/>
  <c r="AJ71" i="12"/>
  <c r="BD71" i="12"/>
  <c r="AI14" i="13"/>
  <c r="D37" i="14"/>
  <c r="E37" i="15"/>
  <c r="M37" i="15"/>
  <c r="J37" i="15"/>
  <c r="I24" i="16"/>
  <c r="H70" i="16"/>
  <c r="P70" i="16"/>
  <c r="C105" i="16"/>
  <c r="AX15" i="18"/>
  <c r="AP20" i="18"/>
  <c r="BI25" i="18"/>
  <c r="AH8" i="19"/>
  <c r="BR8" i="19"/>
  <c r="S25" i="18"/>
  <c r="AK25" i="18"/>
  <c r="AT24" i="18"/>
  <c r="CF25" i="18"/>
  <c r="BF39" i="18"/>
  <c r="AX39" i="18"/>
  <c r="AX51" i="18"/>
  <c r="AP18" i="19"/>
  <c r="BZ18" i="19"/>
  <c r="BV70" i="18"/>
  <c r="AM71" i="18"/>
  <c r="AW71" i="18"/>
  <c r="BA25" i="12"/>
  <c r="J106" i="12"/>
  <c r="R106" i="12"/>
  <c r="Z106" i="12"/>
  <c r="AH106" i="12"/>
  <c r="AP106" i="12"/>
  <c r="AD9" i="13"/>
  <c r="G37" i="14"/>
  <c r="K39" i="16"/>
  <c r="S39" i="16"/>
  <c r="L33" i="17"/>
  <c r="AC25" i="18"/>
  <c r="BH40" i="18"/>
  <c r="AC71" i="18"/>
  <c r="AN71" i="18"/>
  <c r="AX26" i="11"/>
  <c r="AN29" i="11"/>
  <c r="AR28" i="11"/>
  <c r="BA28" i="11"/>
  <c r="AB84" i="12"/>
  <c r="AJ84" i="12"/>
  <c r="AR84" i="12"/>
  <c r="AL9" i="13"/>
  <c r="AG31" i="13"/>
  <c r="AG37" i="13" s="1"/>
  <c r="AO31" i="13"/>
  <c r="AW31" i="13"/>
  <c r="AC33" i="13"/>
  <c r="AK33" i="13"/>
  <c r="AS33" i="13"/>
  <c r="BA33" i="13"/>
  <c r="F37" i="14"/>
  <c r="G37" i="15"/>
  <c r="F37" i="15"/>
  <c r="S37" i="15"/>
  <c r="L39" i="16"/>
  <c r="T39" i="16"/>
  <c r="N32" i="17"/>
  <c r="M33" i="17"/>
  <c r="T33" i="17"/>
  <c r="BL20" i="18"/>
  <c r="BL25" i="18" s="1"/>
  <c r="BL107" i="18" s="1"/>
  <c r="U25" i="18"/>
  <c r="AM25" i="18"/>
  <c r="AM107" i="18"/>
  <c r="AV25" i="18"/>
  <c r="BO25" i="18"/>
  <c r="BX25" i="18"/>
  <c r="CH30" i="18"/>
  <c r="BI40" i="18"/>
  <c r="CE40" i="18"/>
  <c r="AT39" i="18"/>
  <c r="AZ40" i="18"/>
  <c r="T71" i="18"/>
  <c r="AE71" i="18"/>
  <c r="BD40" i="12"/>
  <c r="BA84" i="12"/>
  <c r="AZ106" i="12"/>
  <c r="AT9" i="13"/>
  <c r="AA32" i="13"/>
  <c r="AQ32" i="13"/>
  <c r="AI31" i="13"/>
  <c r="E39" i="16"/>
  <c r="C70" i="16"/>
  <c r="K70" i="16"/>
  <c r="S70" i="16"/>
  <c r="M14" i="17"/>
  <c r="P19" i="17"/>
  <c r="O29" i="17"/>
  <c r="CD20" i="18"/>
  <c r="AT20" i="18"/>
  <c r="AR40" i="18"/>
  <c r="BA27" i="11"/>
  <c r="J25" i="12"/>
  <c r="R25" i="12"/>
  <c r="Z25" i="12"/>
  <c r="AH25" i="12"/>
  <c r="AP25" i="12"/>
  <c r="AY25" i="12"/>
  <c r="P25" i="12"/>
  <c r="X25" i="12"/>
  <c r="AF25" i="12"/>
  <c r="AN25" i="12"/>
  <c r="AV108" i="12"/>
  <c r="BD25" i="12"/>
  <c r="AR71" i="12"/>
  <c r="AZ71" i="12"/>
  <c r="BB84" i="12"/>
  <c r="AY106" i="12"/>
  <c r="BA106" i="12"/>
  <c r="BA108" i="12" s="1"/>
  <c r="AB24" i="13"/>
  <c r="AJ24" i="13"/>
  <c r="AR24" i="13"/>
  <c r="AZ24" i="13"/>
  <c r="H37" i="14"/>
  <c r="P37" i="14"/>
  <c r="M37" i="14"/>
  <c r="M24" i="16"/>
  <c r="F39" i="16"/>
  <c r="N39" i="16"/>
  <c r="D70" i="16"/>
  <c r="Q105" i="16"/>
  <c r="G105" i="16"/>
  <c r="O105" i="16"/>
  <c r="P32" i="17"/>
  <c r="N9" i="17"/>
  <c r="Q19" i="17"/>
  <c r="O33" i="17"/>
  <c r="P29" i="17"/>
  <c r="BY25" i="18"/>
  <c r="W25" i="18"/>
  <c r="AO25" i="18"/>
  <c r="AY25" i="18"/>
  <c r="BQ25" i="18"/>
  <c r="CJ25" i="18"/>
  <c r="BL40" i="18"/>
  <c r="CI40" i="18"/>
  <c r="W71" i="18"/>
  <c r="AR71" i="18"/>
  <c r="BA71" i="18"/>
  <c r="BK71" i="18"/>
  <c r="BW71" i="18"/>
  <c r="CD78" i="18"/>
  <c r="CD22" i="19" s="1"/>
  <c r="AT90" i="18"/>
  <c r="X105" i="18"/>
  <c r="AI105" i="18"/>
  <c r="AS105" i="18"/>
  <c r="BC105" i="18"/>
  <c r="BM105" i="18"/>
  <c r="CI105" i="18"/>
  <c r="AH37" i="20"/>
  <c r="I39" i="21"/>
  <c r="Q39" i="21"/>
  <c r="J71" i="21"/>
  <c r="D105" i="21"/>
  <c r="C105" i="21"/>
  <c r="W31" i="24"/>
  <c r="F8" i="24"/>
  <c r="X32" i="24"/>
  <c r="G80" i="26"/>
  <c r="I80" i="26" s="1"/>
  <c r="C128" i="26"/>
  <c r="H248" i="26"/>
  <c r="G492" i="26"/>
  <c r="H540" i="26"/>
  <c r="T71" i="52"/>
  <c r="E108" i="42"/>
  <c r="AU71" i="18"/>
  <c r="BC71" i="18"/>
  <c r="CI24" i="19"/>
  <c r="CH78" i="18"/>
  <c r="CH22" i="19"/>
  <c r="V26" i="19"/>
  <c r="BB26" i="19"/>
  <c r="CH26" i="19"/>
  <c r="Z28" i="19"/>
  <c r="BJ28" i="19"/>
  <c r="CH104" i="18"/>
  <c r="BD105" i="18"/>
  <c r="BY105" i="18"/>
  <c r="T9" i="20"/>
  <c r="Q11" i="20"/>
  <c r="Q14" i="20" s="1"/>
  <c r="AO14" i="20"/>
  <c r="W19" i="20"/>
  <c r="AU19" i="20"/>
  <c r="Z19" i="20"/>
  <c r="Q29" i="20"/>
  <c r="AO29" i="20"/>
  <c r="O24" i="21"/>
  <c r="C71" i="21"/>
  <c r="T94" i="23"/>
  <c r="E85" i="26"/>
  <c r="H212" i="26"/>
  <c r="H222" i="26"/>
  <c r="I222" i="26" s="1"/>
  <c r="K222" i="26" s="1"/>
  <c r="H243" i="26"/>
  <c r="I243" i="26" s="1"/>
  <c r="K243" i="26" s="1"/>
  <c r="H380" i="26"/>
  <c r="H116" i="55"/>
  <c r="AK71" i="18"/>
  <c r="AV71" i="18"/>
  <c r="BD71" i="18"/>
  <c r="BY71" i="18"/>
  <c r="CJ71" i="18"/>
  <c r="CL78" i="18"/>
  <c r="CL22" i="19" s="1"/>
  <c r="AD104" i="18"/>
  <c r="AA105" i="18"/>
  <c r="AK105" i="18"/>
  <c r="AX104" i="18"/>
  <c r="CK105" i="18"/>
  <c r="W9" i="20"/>
  <c r="AF9" i="20"/>
  <c r="AL24" i="20"/>
  <c r="AU31" i="20"/>
  <c r="AU33" i="20"/>
  <c r="AU35" i="20"/>
  <c r="AF36" i="20"/>
  <c r="F19" i="21"/>
  <c r="F24" i="21" s="1"/>
  <c r="E105" i="21"/>
  <c r="I6" i="22"/>
  <c r="J57" i="23"/>
  <c r="R57" i="23"/>
  <c r="Z57" i="23"/>
  <c r="L57" i="23"/>
  <c r="T57" i="23"/>
  <c r="AB57" i="23"/>
  <c r="G79" i="23"/>
  <c r="O79" i="23"/>
  <c r="X79" i="23"/>
  <c r="X94" i="23"/>
  <c r="P31" i="24"/>
  <c r="X31" i="24"/>
  <c r="H485" i="26"/>
  <c r="I485" i="26" s="1"/>
  <c r="K485" i="26" s="1"/>
  <c r="N163" i="33"/>
  <c r="BB80" i="30"/>
  <c r="BT160" i="29"/>
  <c r="J116" i="55"/>
  <c r="G86" i="49"/>
  <c r="K26" i="46"/>
  <c r="G108" i="42"/>
  <c r="AN25" i="42"/>
  <c r="BP71" i="18"/>
  <c r="CA71" i="18"/>
  <c r="CK71" i="18"/>
  <c r="BJ90" i="18"/>
  <c r="V27" i="19"/>
  <c r="BB27" i="19"/>
  <c r="CH27" i="19"/>
  <c r="BZ99" i="18"/>
  <c r="AL99" i="18"/>
  <c r="BR99" i="18"/>
  <c r="BI105" i="18"/>
  <c r="AH28" i="19"/>
  <c r="BR28" i="19"/>
  <c r="BG105" i="18"/>
  <c r="BQ105" i="18"/>
  <c r="CB105" i="18"/>
  <c r="AI14" i="20"/>
  <c r="AU24" i="20"/>
  <c r="M71" i="21"/>
  <c r="R25" i="23"/>
  <c r="Z25" i="23"/>
  <c r="L25" i="23"/>
  <c r="T25" i="23"/>
  <c r="AB25" i="23"/>
  <c r="K57" i="23"/>
  <c r="S57" i="23"/>
  <c r="AA57" i="23"/>
  <c r="M57" i="23"/>
  <c r="U57" i="23"/>
  <c r="M79" i="23"/>
  <c r="H79" i="23"/>
  <c r="P79" i="23"/>
  <c r="Y79" i="23"/>
  <c r="AB94" i="23"/>
  <c r="F147" i="26"/>
  <c r="H147" i="26" s="1"/>
  <c r="J235" i="26"/>
  <c r="G318" i="26"/>
  <c r="I417" i="26"/>
  <c r="K417" i="26" s="1"/>
  <c r="J432" i="26"/>
  <c r="I445" i="26"/>
  <c r="K445" i="26" s="1"/>
  <c r="J473" i="26"/>
  <c r="I482" i="26"/>
  <c r="K482" i="26"/>
  <c r="D547" i="26"/>
  <c r="G570" i="26"/>
  <c r="S87" i="34"/>
  <c r="G239" i="34"/>
  <c r="F163" i="33"/>
  <c r="M161" i="31"/>
  <c r="AM161" i="31"/>
  <c r="AA161" i="31"/>
  <c r="BQ71" i="18"/>
  <c r="CB71" i="18"/>
  <c r="CD90" i="18"/>
  <c r="S105" i="18"/>
  <c r="AC105" i="18"/>
  <c r="AN105" i="18"/>
  <c r="AY105" i="18"/>
  <c r="BS105" i="18"/>
  <c r="AK37" i="20"/>
  <c r="G71" i="21"/>
  <c r="M25" i="23"/>
  <c r="U25" i="23"/>
  <c r="I105" i="23"/>
  <c r="Q79" i="23"/>
  <c r="Z79" i="23"/>
  <c r="G157" i="26"/>
  <c r="D193" i="26"/>
  <c r="J201" i="26"/>
  <c r="H503" i="26"/>
  <c r="H581" i="26"/>
  <c r="BS71" i="18"/>
  <c r="AL90" i="18"/>
  <c r="BR90" i="18"/>
  <c r="BR105" i="18" s="1"/>
  <c r="AD27" i="19"/>
  <c r="BJ27" i="19"/>
  <c r="AT99" i="18"/>
  <c r="BL105" i="18"/>
  <c r="AE105" i="18"/>
  <c r="AO105" i="18"/>
  <c r="BT105" i="18"/>
  <c r="CE105" i="18"/>
  <c r="AO9" i="20"/>
  <c r="P37" i="20"/>
  <c r="AO35" i="20"/>
  <c r="AL36" i="20"/>
  <c r="J24" i="21"/>
  <c r="G57" i="23"/>
  <c r="O57" i="23"/>
  <c r="W57" i="23"/>
  <c r="AA79" i="23"/>
  <c r="Y94" i="23"/>
  <c r="U12" i="24"/>
  <c r="U35" i="24" s="1"/>
  <c r="AO108" i="42"/>
  <c r="Y108" i="42"/>
  <c r="P86" i="34"/>
  <c r="AT160" i="29"/>
  <c r="K161" i="31"/>
  <c r="F245" i="34"/>
  <c r="BI71" i="18"/>
  <c r="BT71" i="18"/>
  <c r="AP104" i="18"/>
  <c r="BZ104" i="18"/>
  <c r="U105" i="18"/>
  <c r="AF105" i="18"/>
  <c r="AQ105" i="18"/>
  <c r="BA105" i="18"/>
  <c r="BK105" i="18"/>
  <c r="BU105" i="18"/>
  <c r="K29" i="20"/>
  <c r="AI29" i="20"/>
  <c r="AF33" i="20"/>
  <c r="AR34" i="20"/>
  <c r="C24" i="21"/>
  <c r="G39" i="21"/>
  <c r="G25" i="23"/>
  <c r="O25" i="23"/>
  <c r="W25" i="23"/>
  <c r="U94" i="23"/>
  <c r="I391" i="26"/>
  <c r="K391" i="26" s="1"/>
  <c r="I484" i="26"/>
  <c r="K484" i="26" s="1"/>
  <c r="AR108" i="42"/>
  <c r="T161" i="31"/>
  <c r="BO105" i="18"/>
  <c r="W105" i="18"/>
  <c r="AG105" i="18"/>
  <c r="BW105" i="18"/>
  <c r="AO31" i="20"/>
  <c r="I24" i="21"/>
  <c r="I107" i="21" s="1"/>
  <c r="R94" i="23"/>
  <c r="AA94" i="23"/>
  <c r="E75" i="26"/>
  <c r="H121" i="26"/>
  <c r="G142" i="26"/>
  <c r="G286" i="26"/>
  <c r="D409" i="26"/>
  <c r="H447" i="26"/>
  <c r="H457" i="26"/>
  <c r="I457" i="26" s="1"/>
  <c r="K457" i="26" s="1"/>
  <c r="F492" i="26"/>
  <c r="F493" i="26" s="1"/>
  <c r="I527" i="26"/>
  <c r="K527" i="26" s="1"/>
  <c r="J557" i="26"/>
  <c r="AH14" i="43"/>
  <c r="Z108" i="42"/>
  <c r="U80" i="34"/>
  <c r="J242" i="34"/>
  <c r="BW80" i="30"/>
  <c r="CB160" i="29"/>
  <c r="L161" i="31"/>
  <c r="G161" i="31"/>
  <c r="AH161" i="31"/>
  <c r="L109" i="40"/>
  <c r="N109" i="40" s="1"/>
  <c r="G179" i="37"/>
  <c r="M179" i="37"/>
  <c r="R8" i="24"/>
  <c r="I31" i="24"/>
  <c r="Q31" i="24"/>
  <c r="C28" i="24"/>
  <c r="K28" i="24"/>
  <c r="S28" i="24"/>
  <c r="G28" i="24"/>
  <c r="O28" i="24"/>
  <c r="W28" i="24"/>
  <c r="H30" i="24"/>
  <c r="P30" i="24"/>
  <c r="J31" i="24"/>
  <c r="G32" i="24"/>
  <c r="O32" i="24"/>
  <c r="E33" i="24"/>
  <c r="M33" i="24"/>
  <c r="U33" i="24"/>
  <c r="E28" i="24"/>
  <c r="M28" i="24"/>
  <c r="U28" i="24"/>
  <c r="I32" i="24"/>
  <c r="Q32" i="24"/>
  <c r="S30" i="24"/>
  <c r="U31" i="24"/>
  <c r="F31" i="24"/>
  <c r="N31" i="24"/>
  <c r="V31" i="24"/>
  <c r="C32" i="24"/>
  <c r="K32" i="24"/>
  <c r="S32" i="24"/>
  <c r="I212" i="26"/>
  <c r="K212" i="26" s="1"/>
  <c r="J212" i="26"/>
  <c r="F157" i="26"/>
  <c r="H157" i="26" s="1"/>
  <c r="J231" i="26"/>
  <c r="H279" i="26"/>
  <c r="J279" i="26" s="1"/>
  <c r="E382" i="26"/>
  <c r="H370" i="26"/>
  <c r="I370" i="26" s="1"/>
  <c r="E409" i="26"/>
  <c r="I401" i="26"/>
  <c r="K401" i="26" s="1"/>
  <c r="I446" i="26"/>
  <c r="K446" i="26" s="1"/>
  <c r="J485" i="26"/>
  <c r="I537" i="26"/>
  <c r="K537" i="26" s="1"/>
  <c r="J556" i="26"/>
  <c r="J560" i="26"/>
  <c r="E95" i="26"/>
  <c r="G121" i="26"/>
  <c r="I121" i="26" s="1"/>
  <c r="H217" i="26"/>
  <c r="J217" i="26" s="1"/>
  <c r="F382" i="26"/>
  <c r="F409" i="26"/>
  <c r="H434" i="26"/>
  <c r="I434" i="26" s="1"/>
  <c r="K434" i="26" s="1"/>
  <c r="F547" i="26"/>
  <c r="H568" i="26"/>
  <c r="I568" i="26" s="1"/>
  <c r="K568" i="26" s="1"/>
  <c r="D159" i="26"/>
  <c r="D224" i="26"/>
  <c r="D520" i="26"/>
  <c r="I581" i="26"/>
  <c r="K581" i="26" s="1"/>
  <c r="D128" i="26"/>
  <c r="G116" i="26"/>
  <c r="I116" i="26" s="1"/>
  <c r="F137" i="26"/>
  <c r="H137" i="26" s="1"/>
  <c r="H181" i="26"/>
  <c r="J241" i="26"/>
  <c r="J251" i="26"/>
  <c r="E350" i="26"/>
  <c r="I389" i="26"/>
  <c r="K389" i="26" s="1"/>
  <c r="J474" i="26"/>
  <c r="D570" i="26"/>
  <c r="C97" i="26"/>
  <c r="F128" i="26"/>
  <c r="E121" i="26"/>
  <c r="G137" i="26"/>
  <c r="H176" i="26"/>
  <c r="H186" i="26"/>
  <c r="F224" i="26"/>
  <c r="J211" i="26"/>
  <c r="J219" i="26"/>
  <c r="H233" i="26"/>
  <c r="J233" i="26" s="1"/>
  <c r="J268" i="26"/>
  <c r="D318" i="26"/>
  <c r="H311" i="26"/>
  <c r="H316" i="26"/>
  <c r="I316" i="26" s="1"/>
  <c r="K316" i="26" s="1"/>
  <c r="H333" i="26"/>
  <c r="I333" i="26" s="1"/>
  <c r="K333" i="26" s="1"/>
  <c r="H338" i="26"/>
  <c r="I338" i="26" s="1"/>
  <c r="K338" i="26" s="1"/>
  <c r="I444" i="26"/>
  <c r="K444" i="26" s="1"/>
  <c r="D492" i="26"/>
  <c r="I483" i="26"/>
  <c r="K483" i="26" s="1"/>
  <c r="I528" i="26"/>
  <c r="K528" i="26" s="1"/>
  <c r="I539" i="26"/>
  <c r="K539" i="26" s="1"/>
  <c r="E570" i="26"/>
  <c r="G571" i="26" s="1"/>
  <c r="J562" i="26"/>
  <c r="J566" i="26"/>
  <c r="D97" i="26"/>
  <c r="H95" i="26"/>
  <c r="G106" i="26"/>
  <c r="I106" i="26" s="1"/>
  <c r="G111" i="26"/>
  <c r="I111" i="26" s="1"/>
  <c r="G224" i="26"/>
  <c r="G255" i="26"/>
  <c r="D286" i="26"/>
  <c r="E318" i="26"/>
  <c r="H301" i="26"/>
  <c r="I301" i="26" s="1"/>
  <c r="K301" i="26" s="1"/>
  <c r="H306" i="26"/>
  <c r="I306" i="26" s="1"/>
  <c r="K306" i="26" s="1"/>
  <c r="G350" i="26"/>
  <c r="H490" i="26"/>
  <c r="I532" i="26"/>
  <c r="K532" i="26" s="1"/>
  <c r="H558" i="26"/>
  <c r="H90" i="26"/>
  <c r="H106" i="26"/>
  <c r="E116" i="26"/>
  <c r="E126" i="26"/>
  <c r="G152" i="26"/>
  <c r="H207" i="26"/>
  <c r="I207" i="26" s="1"/>
  <c r="K207" i="26" s="1"/>
  <c r="J243" i="26"/>
  <c r="H296" i="26"/>
  <c r="J540" i="26"/>
  <c r="AP29" i="43"/>
  <c r="AT18" i="43"/>
  <c r="AD14" i="43"/>
  <c r="S228" i="34"/>
  <c r="N167" i="34"/>
  <c r="U184" i="34"/>
  <c r="U218" i="34"/>
  <c r="O28" i="22"/>
  <c r="N23" i="22"/>
  <c r="C8" i="22"/>
  <c r="K8" i="22"/>
  <c r="S8" i="22"/>
  <c r="F33" i="22"/>
  <c r="N33" i="22"/>
  <c r="C28" i="22"/>
  <c r="K28" i="22"/>
  <c r="S28" i="22"/>
  <c r="D32" i="22"/>
  <c r="L32" i="22"/>
  <c r="D28" i="22"/>
  <c r="L28" i="22"/>
  <c r="H31" i="22"/>
  <c r="P18" i="22"/>
  <c r="N32" i="22"/>
  <c r="G32" i="22"/>
  <c r="G28" i="22"/>
  <c r="G30" i="22"/>
  <c r="I31" i="22"/>
  <c r="O32" i="22"/>
  <c r="H32" i="22"/>
  <c r="C30" i="22"/>
  <c r="K30" i="22"/>
  <c r="S30" i="22"/>
  <c r="I18" i="22"/>
  <c r="Q18" i="22"/>
  <c r="D30" i="22"/>
  <c r="L30" i="22"/>
  <c r="C31" i="22"/>
  <c r="K31" i="22"/>
  <c r="G33" i="22"/>
  <c r="O33" i="22"/>
  <c r="F28" i="22"/>
  <c r="N28" i="22"/>
  <c r="E28" i="22"/>
  <c r="M28" i="22"/>
  <c r="F18" i="22"/>
  <c r="N18" i="22"/>
  <c r="C18" i="22"/>
  <c r="CH70" i="18"/>
  <c r="CD70" i="18"/>
  <c r="V18" i="19"/>
  <c r="V33" i="19" s="1"/>
  <c r="CL18" i="19"/>
  <c r="BS24" i="19"/>
  <c r="CC24" i="19"/>
  <c r="AD51" i="18"/>
  <c r="AU14" i="19"/>
  <c r="BD14" i="19"/>
  <c r="BF8" i="19"/>
  <c r="AH63" i="18"/>
  <c r="AD18" i="19"/>
  <c r="AD33" i="19" s="1"/>
  <c r="BN18" i="19"/>
  <c r="Z70" i="18"/>
  <c r="J31" i="19"/>
  <c r="R31" i="19"/>
  <c r="AW31" i="19"/>
  <c r="BG31" i="19"/>
  <c r="AZ32" i="19"/>
  <c r="BI32" i="19"/>
  <c r="AL70" i="18"/>
  <c r="CD63" i="18"/>
  <c r="AP63" i="18"/>
  <c r="AH70" i="18"/>
  <c r="V15" i="18"/>
  <c r="BF20" i="18"/>
  <c r="BX24" i="19"/>
  <c r="CJ24" i="19"/>
  <c r="D9" i="19"/>
  <c r="T9" i="19"/>
  <c r="BK32" i="19"/>
  <c r="BH14" i="19"/>
  <c r="G19" i="19"/>
  <c r="O19" i="19"/>
  <c r="X19" i="19"/>
  <c r="AI19" i="19"/>
  <c r="AS19" i="19"/>
  <c r="BC19" i="19"/>
  <c r="BM19" i="19"/>
  <c r="BX19" i="19"/>
  <c r="CI19" i="19"/>
  <c r="I33" i="19"/>
  <c r="Q33" i="19"/>
  <c r="AA33" i="19"/>
  <c r="AK33" i="19"/>
  <c r="AV33" i="19"/>
  <c r="H29" i="19"/>
  <c r="P29" i="19"/>
  <c r="Y29" i="19"/>
  <c r="AJ29" i="19"/>
  <c r="AU29" i="19"/>
  <c r="BH29" i="19"/>
  <c r="BJ15" i="18"/>
  <c r="BP24" i="19"/>
  <c r="E31" i="19"/>
  <c r="M31" i="19"/>
  <c r="U31" i="19"/>
  <c r="AF31" i="19"/>
  <c r="AQ31" i="19"/>
  <c r="BA31" i="19"/>
  <c r="CF9" i="19"/>
  <c r="F32" i="19"/>
  <c r="N32" i="19"/>
  <c r="W32" i="19"/>
  <c r="AG32" i="19"/>
  <c r="AR32" i="19"/>
  <c r="BM32" i="19"/>
  <c r="H34" i="19"/>
  <c r="P34" i="19"/>
  <c r="Y34" i="19"/>
  <c r="AJ34" i="19"/>
  <c r="AU34" i="19"/>
  <c r="BD34" i="19"/>
  <c r="BO34" i="19"/>
  <c r="BY34" i="19"/>
  <c r="CJ34" i="19"/>
  <c r="AZ14" i="19"/>
  <c r="BI14" i="19"/>
  <c r="H19" i="19"/>
  <c r="P19" i="19"/>
  <c r="Y19" i="19"/>
  <c r="AJ19" i="19"/>
  <c r="AU19" i="19"/>
  <c r="BD19" i="19"/>
  <c r="BO19" i="19"/>
  <c r="BY19" i="19"/>
  <c r="CJ19" i="19"/>
  <c r="J33" i="19"/>
  <c r="R33" i="19"/>
  <c r="AB33" i="19"/>
  <c r="AM33" i="19"/>
  <c r="AW33" i="19"/>
  <c r="BG33" i="19"/>
  <c r="I29" i="19"/>
  <c r="Q29" i="19"/>
  <c r="AA29" i="19"/>
  <c r="AK29" i="19"/>
  <c r="AV29" i="19"/>
  <c r="BG29" i="19"/>
  <c r="BQ29" i="19"/>
  <c r="CB29" i="19"/>
  <c r="AT8" i="19"/>
  <c r="CA24" i="19"/>
  <c r="N31" i="19"/>
  <c r="AG31" i="19"/>
  <c r="AR9" i="19"/>
  <c r="BB9" i="19"/>
  <c r="BL31" i="19"/>
  <c r="CG31" i="19"/>
  <c r="G32" i="19"/>
  <c r="O32" i="19"/>
  <c r="X32" i="19"/>
  <c r="AI32" i="19"/>
  <c r="AS32" i="19"/>
  <c r="BC32" i="19"/>
  <c r="BA14" i="19"/>
  <c r="I19" i="19"/>
  <c r="Q19" i="19"/>
  <c r="AA19" i="19"/>
  <c r="AK19" i="19"/>
  <c r="AV19" i="19"/>
  <c r="BE19" i="19"/>
  <c r="BP19" i="19"/>
  <c r="CA19" i="19"/>
  <c r="CK19" i="19"/>
  <c r="J29" i="19"/>
  <c r="R29" i="19"/>
  <c r="AB29" i="19"/>
  <c r="AW29" i="19"/>
  <c r="BS29" i="19"/>
  <c r="CC29" i="19"/>
  <c r="AD15" i="18"/>
  <c r="BN15" i="18"/>
  <c r="BJ16" i="19"/>
  <c r="V51" i="18"/>
  <c r="CL51" i="18"/>
  <c r="BZ51" i="18"/>
  <c r="AL51" i="18"/>
  <c r="BR51" i="18"/>
  <c r="X31" i="19"/>
  <c r="AI31" i="19"/>
  <c r="AS31" i="19"/>
  <c r="BM31" i="19"/>
  <c r="H32" i="19"/>
  <c r="P32" i="19"/>
  <c r="Y32" i="19"/>
  <c r="AJ32" i="19"/>
  <c r="AU32" i="19"/>
  <c r="AR14" i="19"/>
  <c r="BB14" i="19"/>
  <c r="C29" i="19"/>
  <c r="K29" i="19"/>
  <c r="S29" i="19"/>
  <c r="AC29" i="19"/>
  <c r="AN29" i="19"/>
  <c r="AY29" i="19"/>
  <c r="BI29" i="19"/>
  <c r="BT29" i="19"/>
  <c r="CE29" i="19"/>
  <c r="BF18" i="19"/>
  <c r="BZ24" i="19"/>
  <c r="S34" i="19"/>
  <c r="AN34" i="19"/>
  <c r="BH34" i="19"/>
  <c r="CC34" i="19"/>
  <c r="C34" i="19"/>
  <c r="AL15" i="18"/>
  <c r="BV15" i="18"/>
  <c r="AW32" i="19"/>
  <c r="BG32" i="19"/>
  <c r="D19" i="19"/>
  <c r="L19" i="19"/>
  <c r="T19" i="19"/>
  <c r="AE19" i="19"/>
  <c r="AO19" i="19"/>
  <c r="AZ19" i="19"/>
  <c r="BI19" i="19"/>
  <c r="BT19" i="19"/>
  <c r="CE19" i="19"/>
  <c r="F33" i="19"/>
  <c r="AG33" i="19"/>
  <c r="AR33" i="19"/>
  <c r="G33" i="19"/>
  <c r="O29" i="19"/>
  <c r="CA29" i="19"/>
  <c r="K34" i="19"/>
  <c r="AC34" i="19"/>
  <c r="AY34" i="19"/>
  <c r="BS34" i="19"/>
  <c r="CF24" i="19"/>
  <c r="AB9" i="19"/>
  <c r="E19" i="19"/>
  <c r="M19" i="19"/>
  <c r="U19" i="19"/>
  <c r="AF19" i="19"/>
  <c r="AQ19" i="19"/>
  <c r="BA19" i="19"/>
  <c r="BK19" i="19"/>
  <c r="BU19" i="19"/>
  <c r="CF19" i="19"/>
  <c r="BC33" i="19"/>
  <c r="BM33" i="19"/>
  <c r="F29" i="19"/>
  <c r="N29" i="19"/>
  <c r="W29" i="19"/>
  <c r="AG29" i="19"/>
  <c r="AR29" i="19"/>
  <c r="BC29" i="19"/>
  <c r="BM29" i="19"/>
  <c r="BX29" i="19"/>
  <c r="CI29" i="19"/>
  <c r="AB161" i="31"/>
  <c r="AJ161" i="31"/>
  <c r="U161" i="31"/>
  <c r="AW161" i="31"/>
  <c r="E161" i="31"/>
  <c r="AO161" i="31"/>
  <c r="AG161" i="31"/>
  <c r="Y161" i="31"/>
  <c r="Q161" i="31"/>
  <c r="D161" i="31"/>
  <c r="AY161" i="31"/>
  <c r="I161" i="31"/>
  <c r="AC161" i="31"/>
  <c r="CD52" i="30"/>
  <c r="CH75" i="30"/>
  <c r="O81" i="30"/>
  <c r="BO81" i="30"/>
  <c r="J74" i="30"/>
  <c r="BK78" i="30"/>
  <c r="CK55" i="30"/>
  <c r="CL36" i="30"/>
  <c r="L160" i="29"/>
  <c r="O160" i="29"/>
  <c r="BN160" i="29"/>
  <c r="I160" i="29"/>
  <c r="M160" i="29"/>
  <c r="R76" i="30"/>
  <c r="CA158" i="29"/>
  <c r="Y160" i="29"/>
  <c r="AL160" i="29"/>
  <c r="BP160" i="29"/>
  <c r="U160" i="29"/>
  <c r="BV160" i="29"/>
  <c r="AB160" i="29"/>
  <c r="BL160" i="29"/>
  <c r="BI160" i="29"/>
  <c r="AZ160" i="29"/>
  <c r="BN26" i="30"/>
  <c r="BK66" i="29"/>
  <c r="AC160" i="29"/>
  <c r="V160" i="29"/>
  <c r="BN34" i="30"/>
  <c r="CF38" i="30"/>
  <c r="BM38" i="30"/>
  <c r="BZ13" i="30"/>
  <c r="BL82" i="30"/>
  <c r="BR47" i="30"/>
  <c r="BN36" i="30"/>
  <c r="CF82" i="30"/>
  <c r="CH74" i="30"/>
  <c r="BW82" i="30"/>
  <c r="CE80" i="30"/>
  <c r="CJ78" i="30"/>
  <c r="BX160" i="29"/>
  <c r="Z160" i="29"/>
  <c r="BJ51" i="30"/>
  <c r="BL55" i="30"/>
  <c r="AP160" i="29"/>
  <c r="P160" i="29"/>
  <c r="D160" i="29"/>
  <c r="R52" i="30"/>
  <c r="BR43" i="30"/>
  <c r="CC160" i="29"/>
  <c r="CL77" i="30"/>
  <c r="BZ74" i="30"/>
  <c r="BZ36" i="30"/>
  <c r="CH54" i="30"/>
  <c r="BJ18" i="30"/>
  <c r="AF160" i="29"/>
  <c r="X160" i="29"/>
  <c r="BN77" i="30"/>
  <c r="CK160" i="29"/>
  <c r="CJ160" i="29"/>
  <c r="CR31" i="68"/>
  <c r="P169" i="68"/>
  <c r="M39" i="66"/>
  <c r="D34" i="67"/>
  <c r="AQ28" i="43"/>
  <c r="AJ31" i="43"/>
  <c r="AK14" i="43"/>
  <c r="Q184" i="34"/>
  <c r="F237" i="34"/>
  <c r="F179" i="34"/>
  <c r="N210" i="34"/>
  <c r="N201" i="34"/>
  <c r="E239" i="34"/>
  <c r="T184" i="34"/>
  <c r="AF108" i="42"/>
  <c r="AG14" i="43"/>
  <c r="AC14" i="43"/>
  <c r="P177" i="34"/>
  <c r="P167" i="34"/>
  <c r="O177" i="34"/>
  <c r="O167" i="34"/>
  <c r="P184" i="34"/>
  <c r="N84" i="34"/>
  <c r="Q176" i="34"/>
  <c r="H237" i="34"/>
  <c r="D179" i="34"/>
  <c r="BN76" i="30"/>
  <c r="G78" i="30"/>
  <c r="BF66" i="30"/>
  <c r="I80" i="30"/>
  <c r="BI80" i="30"/>
  <c r="AN19" i="43"/>
  <c r="AE108" i="42"/>
  <c r="AA14" i="43"/>
  <c r="AN31" i="43"/>
  <c r="AN24" i="43"/>
  <c r="I213" i="34"/>
  <c r="T167" i="34"/>
  <c r="D237" i="34"/>
  <c r="AT13" i="43"/>
  <c r="AT36" i="43" s="1"/>
  <c r="AI108" i="42"/>
  <c r="AS14" i="43"/>
  <c r="O184" i="34"/>
  <c r="U54" i="34"/>
  <c r="L213" i="34"/>
  <c r="Q210" i="34"/>
  <c r="Q71" i="34"/>
  <c r="U87" i="34"/>
  <c r="I237" i="34"/>
  <c r="R20" i="34"/>
  <c r="N81" i="34"/>
  <c r="AT78" i="30"/>
  <c r="BZ76" i="30"/>
  <c r="BG80" i="30"/>
  <c r="BW78" i="30"/>
  <c r="O80" i="30"/>
  <c r="CA55" i="30"/>
  <c r="T106" i="52"/>
  <c r="Q106" i="52"/>
  <c r="Q40" i="53"/>
  <c r="AT21" i="43"/>
  <c r="AA108" i="42"/>
  <c r="BJ34" i="30"/>
  <c r="AH108" i="42"/>
  <c r="AG108" i="42"/>
  <c r="AL108" i="42"/>
  <c r="AS108" i="42"/>
  <c r="AQ33" i="43"/>
  <c r="AE14" i="43"/>
  <c r="N184" i="34"/>
  <c r="R210" i="34"/>
  <c r="R201" i="34"/>
  <c r="O84" i="34"/>
  <c r="L238" i="34"/>
  <c r="E237" i="34"/>
  <c r="E179" i="34"/>
  <c r="R71" i="34"/>
  <c r="U84" i="34"/>
  <c r="K78" i="30"/>
  <c r="N75" i="30"/>
  <c r="BX82" i="30"/>
  <c r="AM37" i="43"/>
  <c r="AD108" i="42"/>
  <c r="AO34" i="43"/>
  <c r="AQ8" i="43"/>
  <c r="AQ34" i="43" s="1"/>
  <c r="AK108" i="42"/>
  <c r="S193" i="34"/>
  <c r="N86" i="34"/>
  <c r="O211" i="34"/>
  <c r="P227" i="34"/>
  <c r="F66" i="30"/>
  <c r="CL60" i="30"/>
  <c r="CL61" i="30" s="1"/>
  <c r="CI61" i="30"/>
  <c r="BC78" i="30"/>
  <c r="C116" i="55"/>
  <c r="AL36" i="43"/>
  <c r="AC108" i="42"/>
  <c r="AB108" i="42"/>
  <c r="O79" i="34"/>
  <c r="P210" i="34"/>
  <c r="P201" i="34"/>
  <c r="G242" i="34"/>
  <c r="S210" i="34"/>
  <c r="P176" i="34"/>
  <c r="U167" i="34"/>
  <c r="U242" i="34"/>
  <c r="J52" i="30"/>
  <c r="CA82" i="30"/>
  <c r="AH106" i="3"/>
  <c r="BB32" i="4"/>
  <c r="AY31" i="4"/>
  <c r="AZ31" i="4" s="1"/>
  <c r="AH35" i="4"/>
  <c r="AJ32" i="4"/>
  <c r="AS32" i="4"/>
  <c r="AU33" i="4"/>
  <c r="AW22" i="4"/>
  <c r="AL32" i="4"/>
  <c r="AV33" i="4"/>
  <c r="AW33" i="4" s="1"/>
  <c r="AJ24" i="4"/>
  <c r="Z79" i="6"/>
  <c r="AZ23" i="4"/>
  <c r="AS31" i="4"/>
  <c r="AU32" i="4"/>
  <c r="AL24" i="4"/>
  <c r="AZ33" i="4"/>
  <c r="AT21" i="4"/>
  <c r="AQ106" i="3"/>
  <c r="AV31" i="4"/>
  <c r="AU106" i="3"/>
  <c r="AZ6" i="4"/>
  <c r="AH13" i="4"/>
  <c r="AK21" i="4"/>
  <c r="BA21" i="4"/>
  <c r="AN37" i="5"/>
  <c r="AM37" i="5"/>
  <c r="AU36" i="5"/>
  <c r="F109" i="6"/>
  <c r="V109" i="6"/>
  <c r="H26" i="6"/>
  <c r="H109" i="6" s="1"/>
  <c r="P26" i="6"/>
  <c r="X26" i="6"/>
  <c r="E109" i="6"/>
  <c r="AO37" i="6"/>
  <c r="Z49" i="6"/>
  <c r="AX49" i="6"/>
  <c r="AI73" i="6"/>
  <c r="AI79" i="6" s="1"/>
  <c r="AR78" i="6"/>
  <c r="AZ24" i="7"/>
  <c r="AU22" i="7"/>
  <c r="AR107" i="6"/>
  <c r="AV14" i="7"/>
  <c r="AL12" i="7"/>
  <c r="AK35" i="7"/>
  <c r="AV32" i="7"/>
  <c r="AX7" i="7"/>
  <c r="AN36" i="7"/>
  <c r="AO36" i="7" s="1"/>
  <c r="AO13" i="7"/>
  <c r="AL17" i="19"/>
  <c r="AL63" i="18"/>
  <c r="BV17" i="19"/>
  <c r="BV63" i="18"/>
  <c r="BB23" i="4"/>
  <c r="AT6" i="4"/>
  <c r="AW7" i="4"/>
  <c r="AZ8" i="4"/>
  <c r="AH11" i="4"/>
  <c r="BC12" i="4"/>
  <c r="BC14" i="4" s="1"/>
  <c r="AZ13" i="4"/>
  <c r="AG14" i="4"/>
  <c r="AZ16" i="4"/>
  <c r="AH18" i="4"/>
  <c r="AI19" i="4"/>
  <c r="AY19" i="4"/>
  <c r="AE21" i="4"/>
  <c r="AY22" i="4"/>
  <c r="AY32" i="4" s="1"/>
  <c r="AE23" i="4"/>
  <c r="AR29" i="4"/>
  <c r="AB31" i="4"/>
  <c r="AJ33" i="4"/>
  <c r="AL35" i="4"/>
  <c r="BB36" i="4"/>
  <c r="AG37" i="5"/>
  <c r="AF49" i="6"/>
  <c r="BD49" i="6"/>
  <c r="AO73" i="6"/>
  <c r="AF73" i="6"/>
  <c r="BD73" i="6"/>
  <c r="BD79" i="6"/>
  <c r="AR94" i="6"/>
  <c r="L94" i="6"/>
  <c r="L109" i="6" s="1"/>
  <c r="AJ31" i="7"/>
  <c r="AJ9" i="7"/>
  <c r="AL9" i="7"/>
  <c r="AL6" i="7"/>
  <c r="AZ34" i="7"/>
  <c r="BA8" i="7"/>
  <c r="AD19" i="7"/>
  <c r="AF19" i="7" s="1"/>
  <c r="AF16" i="7"/>
  <c r="AT33" i="7"/>
  <c r="AU18" i="7"/>
  <c r="AX106" i="3"/>
  <c r="AE6" i="4"/>
  <c r="BC6" i="4"/>
  <c r="AH7" i="4"/>
  <c r="AK8" i="4"/>
  <c r="AQ11" i="4"/>
  <c r="AN12" i="4"/>
  <c r="AK13" i="4"/>
  <c r="AK16" i="4"/>
  <c r="AN21" i="4"/>
  <c r="AN23" i="4"/>
  <c r="V37" i="5"/>
  <c r="AH37" i="5"/>
  <c r="AE37" i="5"/>
  <c r="AC25" i="6"/>
  <c r="BA25" i="6"/>
  <c r="BA26" i="6" s="1"/>
  <c r="AN26" i="6"/>
  <c r="Z37" i="6"/>
  <c r="AX37" i="6"/>
  <c r="AI49" i="6"/>
  <c r="BB57" i="6"/>
  <c r="H79" i="6"/>
  <c r="P79" i="6"/>
  <c r="X79" i="6"/>
  <c r="BA98" i="6"/>
  <c r="AS24" i="7"/>
  <c r="AI107" i="6"/>
  <c r="AX23" i="7"/>
  <c r="AV9" i="7"/>
  <c r="AX9" i="7" s="1"/>
  <c r="AY32" i="7"/>
  <c r="AN14" i="7"/>
  <c r="AO14" i="7" s="1"/>
  <c r="AH19" i="7"/>
  <c r="AI19" i="7" s="1"/>
  <c r="AT21" i="7"/>
  <c r="AL22" i="7"/>
  <c r="AY14" i="4"/>
  <c r="AD31" i="4"/>
  <c r="AL31" i="4"/>
  <c r="AD34" i="4"/>
  <c r="AL34" i="4"/>
  <c r="AN34" i="4" s="1"/>
  <c r="AL36" i="4"/>
  <c r="AX94" i="6"/>
  <c r="AN32" i="7"/>
  <c r="AO32" i="7" s="1"/>
  <c r="AO7" i="7"/>
  <c r="BB19" i="7"/>
  <c r="BD19" i="7" s="1"/>
  <c r="BD16" i="7"/>
  <c r="AR19" i="7"/>
  <c r="BB21" i="7"/>
  <c r="AO22" i="7"/>
  <c r="AF9" i="4"/>
  <c r="AV9" i="4"/>
  <c r="AH12" i="4"/>
  <c r="AR14" i="4"/>
  <c r="AE16" i="4"/>
  <c r="BC16" i="4"/>
  <c r="AL19" i="4"/>
  <c r="AN26" i="4"/>
  <c r="BB35" i="4"/>
  <c r="AL19" i="5"/>
  <c r="Y37" i="5"/>
  <c r="AT37" i="5"/>
  <c r="AE109" i="6"/>
  <c r="AJ94" i="6"/>
  <c r="AJ109" i="6" s="1"/>
  <c r="AX21" i="7"/>
  <c r="AV24" i="7"/>
  <c r="AN9" i="7"/>
  <c r="AO9" i="7" s="1"/>
  <c r="AJ34" i="7"/>
  <c r="AL8" i="7"/>
  <c r="AS35" i="7"/>
  <c r="AU35" i="7" s="1"/>
  <c r="AU12" i="7"/>
  <c r="AD33" i="7"/>
  <c r="AF18" i="7"/>
  <c r="AH6" i="4"/>
  <c r="P37" i="5"/>
  <c r="Q37" i="5" s="1"/>
  <c r="AA37" i="5"/>
  <c r="AC31" i="5"/>
  <c r="AL37" i="5"/>
  <c r="Z33" i="5"/>
  <c r="W36" i="5"/>
  <c r="AL25" i="6"/>
  <c r="AL26" i="6" s="1"/>
  <c r="AG109" i="6"/>
  <c r="AR49" i="6"/>
  <c r="AR57" i="6" s="1"/>
  <c r="AO49" i="6"/>
  <c r="AT57" i="6"/>
  <c r="AT109" i="6" s="1"/>
  <c r="AC56" i="6"/>
  <c r="BA56" i="6"/>
  <c r="AC73" i="6"/>
  <c r="AC79" i="6" s="1"/>
  <c r="BA73" i="6"/>
  <c r="BA79" i="6" s="1"/>
  <c r="AR73" i="6"/>
  <c r="AB94" i="6"/>
  <c r="BA23" i="7"/>
  <c r="AF9" i="7"/>
  <c r="AY31" i="7"/>
  <c r="AV36" i="7"/>
  <c r="AX36" i="7" s="1"/>
  <c r="AX13" i="7"/>
  <c r="AH14" i="7"/>
  <c r="AE29" i="7"/>
  <c r="AF26" i="7"/>
  <c r="O109" i="6"/>
  <c r="AH26" i="6"/>
  <c r="AH109" i="6" s="1"/>
  <c r="AK109" i="6"/>
  <c r="AL57" i="6"/>
  <c r="AU49" i="6"/>
  <c r="AU57" i="6"/>
  <c r="AN79" i="6"/>
  <c r="AY24" i="7"/>
  <c r="BA21" i="7"/>
  <c r="AQ107" i="6"/>
  <c r="AQ22" i="7"/>
  <c r="AR22" i="7" s="1"/>
  <c r="AZ31" i="7"/>
  <c r="AZ9" i="7"/>
  <c r="BA6" i="7"/>
  <c r="AT19" i="7"/>
  <c r="AU16" i="7"/>
  <c r="BD18" i="7"/>
  <c r="AD24" i="7"/>
  <c r="AF24" i="7"/>
  <c r="AF21" i="7"/>
  <c r="Z31" i="5"/>
  <c r="AF33" i="5"/>
  <c r="AS107" i="6"/>
  <c r="AI8" i="7"/>
  <c r="AO11" i="7"/>
  <c r="AL35" i="7"/>
  <c r="AR12" i="7"/>
  <c r="AU13" i="7"/>
  <c r="AS33" i="7"/>
  <c r="AU33" i="7"/>
  <c r="AG19" i="7"/>
  <c r="AO26" i="7"/>
  <c r="AV29" i="7"/>
  <c r="AM29" i="7"/>
  <c r="AO29" i="7" s="1"/>
  <c r="W34" i="8"/>
  <c r="AL33" i="8"/>
  <c r="W29" i="8"/>
  <c r="O37" i="8"/>
  <c r="Q33" i="8"/>
  <c r="AP108" i="10"/>
  <c r="AL24" i="10"/>
  <c r="BC108" i="10"/>
  <c r="Z36" i="10"/>
  <c r="AX36" i="10"/>
  <c r="AO36" i="10"/>
  <c r="AI48" i="10"/>
  <c r="AS56" i="10"/>
  <c r="AI63" i="10"/>
  <c r="Z83" i="10"/>
  <c r="Z93" i="10" s="1"/>
  <c r="AX83" i="10"/>
  <c r="AU11" i="11"/>
  <c r="AS14" i="11"/>
  <c r="AU14" i="11" s="1"/>
  <c r="O93" i="10"/>
  <c r="O108" i="10" s="1"/>
  <c r="W93" i="10"/>
  <c r="AA106" i="10"/>
  <c r="AM31" i="11"/>
  <c r="AO6" i="11"/>
  <c r="AM9" i="11"/>
  <c r="T31" i="5"/>
  <c r="AR31" i="5"/>
  <c r="AD37" i="5"/>
  <c r="BC107" i="6"/>
  <c r="BC109" i="6" s="1"/>
  <c r="AS31" i="7"/>
  <c r="AK34" i="7"/>
  <c r="AF35" i="7"/>
  <c r="BD35" i="7"/>
  <c r="AP29" i="7"/>
  <c r="AR29" i="7" s="1"/>
  <c r="AD29" i="7"/>
  <c r="AF29" i="7" s="1"/>
  <c r="AF27" i="7"/>
  <c r="AQ29" i="7"/>
  <c r="K9" i="8"/>
  <c r="AI31" i="8"/>
  <c r="AI37" i="8" s="1"/>
  <c r="AI9" i="8"/>
  <c r="Q14" i="8"/>
  <c r="AO14" i="8"/>
  <c r="I37" i="8"/>
  <c r="H25" i="10"/>
  <c r="P25" i="10"/>
  <c r="X25" i="10"/>
  <c r="AJ108" i="10"/>
  <c r="AK56" i="10"/>
  <c r="AK108" i="10" s="1"/>
  <c r="AR72" i="10"/>
  <c r="AR78" i="10"/>
  <c r="H78" i="10"/>
  <c r="P78" i="10"/>
  <c r="X78" i="10"/>
  <c r="X108" i="10" s="1"/>
  <c r="AP108" i="12"/>
  <c r="AF32" i="13"/>
  <c r="AF14" i="13"/>
  <c r="AN32" i="13"/>
  <c r="AN14" i="13"/>
  <c r="AV32" i="13"/>
  <c r="AV14" i="13"/>
  <c r="BD32" i="13"/>
  <c r="BD14" i="13"/>
  <c r="AH35" i="13"/>
  <c r="AH14" i="13"/>
  <c r="AP35" i="13"/>
  <c r="AP14" i="13"/>
  <c r="AX35" i="13"/>
  <c r="AX14" i="13"/>
  <c r="AV107" i="6"/>
  <c r="AV109" i="6"/>
  <c r="AD31" i="7"/>
  <c r="AT31" i="7"/>
  <c r="AH32" i="7"/>
  <c r="AP32" i="7"/>
  <c r="AR36" i="7"/>
  <c r="AJ14" i="7"/>
  <c r="AL14" i="7" s="1"/>
  <c r="AZ14" i="7"/>
  <c r="AV33" i="7"/>
  <c r="AX33" i="7" s="1"/>
  <c r="AJ19" i="7"/>
  <c r="AL19" i="7"/>
  <c r="AZ19" i="7"/>
  <c r="BA19" i="7"/>
  <c r="AN24" i="7"/>
  <c r="AH108" i="10"/>
  <c r="AC25" i="10"/>
  <c r="AY106" i="10"/>
  <c r="AW107" i="6"/>
  <c r="AU6" i="7"/>
  <c r="AI7" i="7"/>
  <c r="AU8" i="7"/>
  <c r="AH9" i="7"/>
  <c r="AI9" i="7"/>
  <c r="AP9" i="7"/>
  <c r="AR9" i="7" s="1"/>
  <c r="AF12" i="7"/>
  <c r="AX35" i="7"/>
  <c r="BD12" i="7"/>
  <c r="BD14" i="7" s="1"/>
  <c r="AI13" i="7"/>
  <c r="AS14" i="7"/>
  <c r="AO16" i="7"/>
  <c r="AO18" i="7"/>
  <c r="AS19" i="7"/>
  <c r="AH29" i="7"/>
  <c r="AI31" i="7"/>
  <c r="AY33" i="7"/>
  <c r="AM34" i="7"/>
  <c r="AO34" i="7" s="1"/>
  <c r="AA37" i="7"/>
  <c r="AO31" i="8"/>
  <c r="AO37" i="8" s="1"/>
  <c r="AO9" i="8"/>
  <c r="AF14" i="8"/>
  <c r="V37" i="8"/>
  <c r="AT108" i="10"/>
  <c r="AX25" i="10"/>
  <c r="AU48" i="10"/>
  <c r="AU56" i="10" s="1"/>
  <c r="AF55" i="10"/>
  <c r="BD55" i="10"/>
  <c r="AM14" i="11"/>
  <c r="AO11" i="11"/>
  <c r="AF106" i="10"/>
  <c r="AM34" i="11"/>
  <c r="AO34" i="11" s="1"/>
  <c r="AO8" i="11"/>
  <c r="AV34" i="11"/>
  <c r="AX34" i="11" s="1"/>
  <c r="AX8" i="11"/>
  <c r="AV9" i="11"/>
  <c r="AX9" i="11" s="1"/>
  <c r="AT36" i="11"/>
  <c r="AU36" i="11" s="1"/>
  <c r="AU13" i="11"/>
  <c r="AT24" i="11"/>
  <c r="AU22" i="11"/>
  <c r="E106" i="12"/>
  <c r="E108" i="12" s="1"/>
  <c r="M106" i="12"/>
  <c r="U106" i="12"/>
  <c r="AC106" i="12"/>
  <c r="AK106" i="12"/>
  <c r="AS106" i="12"/>
  <c r="AF6" i="7"/>
  <c r="AN31" i="7"/>
  <c r="AN37" i="7" s="1"/>
  <c r="AV31" i="7"/>
  <c r="BD6" i="7"/>
  <c r="AJ32" i="7"/>
  <c r="AR7" i="7"/>
  <c r="AZ32" i="7"/>
  <c r="AF8" i="7"/>
  <c r="AV34" i="7"/>
  <c r="AX34" i="7"/>
  <c r="BD8" i="7"/>
  <c r="AY9" i="7"/>
  <c r="BA9" i="7"/>
  <c r="AO12" i="7"/>
  <c r="AL36" i="7"/>
  <c r="AR13" i="7"/>
  <c r="AX16" i="7"/>
  <c r="AP33" i="7"/>
  <c r="AX18" i="7"/>
  <c r="AH24" i="7"/>
  <c r="AP24" i="7"/>
  <c r="AI26" i="7"/>
  <c r="AY29" i="7"/>
  <c r="BA29" i="7" s="1"/>
  <c r="AM31" i="7"/>
  <c r="AG33" i="7"/>
  <c r="T9" i="8"/>
  <c r="E9" i="8"/>
  <c r="AC9" i="8"/>
  <c r="K14" i="8"/>
  <c r="N29" i="8"/>
  <c r="AL29" i="8"/>
  <c r="R108" i="10"/>
  <c r="Z48" i="10"/>
  <c r="Z56" i="10" s="1"/>
  <c r="AX48" i="10"/>
  <c r="AO48" i="10"/>
  <c r="AO56" i="10" s="1"/>
  <c r="AD56" i="10"/>
  <c r="Z63" i="10"/>
  <c r="Z78" i="10" s="1"/>
  <c r="AX63" i="10"/>
  <c r="AX93" i="10"/>
  <c r="AU105" i="10"/>
  <c r="AQ106" i="10"/>
  <c r="AW32" i="11"/>
  <c r="AX32" i="11" s="1"/>
  <c r="AX7" i="11"/>
  <c r="AY107" i="6"/>
  <c r="AK32" i="7"/>
  <c r="AK37" i="7" s="1"/>
  <c r="AS32" i="7"/>
  <c r="BA7" i="7"/>
  <c r="AX12" i="7"/>
  <c r="AE14" i="7"/>
  <c r="AF14" i="7" s="1"/>
  <c r="AQ24" i="7"/>
  <c r="AL26" i="7"/>
  <c r="AJ29" i="7"/>
  <c r="AI28" i="7"/>
  <c r="AG29" i="7"/>
  <c r="AI29" i="7" s="1"/>
  <c r="W9" i="8"/>
  <c r="W31" i="8"/>
  <c r="AF9" i="8"/>
  <c r="Y37" i="8"/>
  <c r="Q34" i="8"/>
  <c r="K36" i="8"/>
  <c r="AR15" i="10"/>
  <c r="AR25" i="10"/>
  <c r="AR36" i="10"/>
  <c r="AR56" i="10" s="1"/>
  <c r="AI36" i="10"/>
  <c r="AI56" i="10"/>
  <c r="E56" i="10"/>
  <c r="M56" i="10"/>
  <c r="U56" i="10"/>
  <c r="AC63" i="10"/>
  <c r="AC78" i="10" s="1"/>
  <c r="BA63" i="10"/>
  <c r="BA78" i="10" s="1"/>
  <c r="AR83" i="10"/>
  <c r="AP14" i="11"/>
  <c r="AR11" i="11"/>
  <c r="AE93" i="10"/>
  <c r="BA31" i="11"/>
  <c r="AS33" i="11"/>
  <c r="AU18" i="11"/>
  <c r="AS19" i="11"/>
  <c r="AB19" i="13"/>
  <c r="AB31" i="13"/>
  <c r="AJ19" i="13"/>
  <c r="AJ31" i="13"/>
  <c r="AJ37" i="13" s="1"/>
  <c r="AR19" i="13"/>
  <c r="AR31" i="13"/>
  <c r="AZ19" i="13"/>
  <c r="AZ31" i="13"/>
  <c r="AF33" i="13"/>
  <c r="AF19" i="13"/>
  <c r="AN33" i="13"/>
  <c r="AN19" i="13"/>
  <c r="AV33" i="13"/>
  <c r="AV19" i="13"/>
  <c r="BD33" i="13"/>
  <c r="BD19" i="13"/>
  <c r="AZ107" i="6"/>
  <c r="AT32" i="7"/>
  <c r="BB32" i="7"/>
  <c r="AF36" i="7"/>
  <c r="AZ33" i="7"/>
  <c r="AK29" i="7"/>
  <c r="BB29" i="7"/>
  <c r="BD29" i="7" s="1"/>
  <c r="BD27" i="7"/>
  <c r="X37" i="7"/>
  <c r="Z37" i="7" s="1"/>
  <c r="Z31" i="7"/>
  <c r="Z31" i="8"/>
  <c r="N24" i="8"/>
  <c r="AL24" i="8"/>
  <c r="AF48" i="10"/>
  <c r="BD48" i="10"/>
  <c r="F56" i="10"/>
  <c r="N56" i="10"/>
  <c r="V56" i="10"/>
  <c r="AI72" i="10"/>
  <c r="AI78" i="10" s="1"/>
  <c r="BD106" i="10"/>
  <c r="AI14" i="8"/>
  <c r="AC32" i="8"/>
  <c r="R37" i="8"/>
  <c r="BD11" i="11"/>
  <c r="BB14" i="11"/>
  <c r="AM32" i="11"/>
  <c r="AO32" i="11" s="1"/>
  <c r="BD8" i="11"/>
  <c r="AL11" i="11"/>
  <c r="AT14" i="11"/>
  <c r="AT35" i="11"/>
  <c r="AU35" i="11" s="1"/>
  <c r="AU12" i="11"/>
  <c r="AI16" i="11"/>
  <c r="AT19" i="11"/>
  <c r="AU19" i="11" s="1"/>
  <c r="AU17" i="11"/>
  <c r="AI21" i="11"/>
  <c r="AQ24" i="11"/>
  <c r="AR24" i="11" s="1"/>
  <c r="BB24" i="11"/>
  <c r="BD24" i="11" s="1"/>
  <c r="BD22" i="11"/>
  <c r="AJ29" i="11"/>
  <c r="AL29" i="11" s="1"/>
  <c r="AL26" i="11"/>
  <c r="AS29" i="11"/>
  <c r="AU29" i="11" s="1"/>
  <c r="AU26" i="11"/>
  <c r="BC33" i="11"/>
  <c r="BC29" i="11"/>
  <c r="M40" i="12"/>
  <c r="U40" i="12"/>
  <c r="AC40" i="12"/>
  <c r="AK40" i="12"/>
  <c r="AS40" i="12"/>
  <c r="BD84" i="12"/>
  <c r="BD108" i="12" s="1"/>
  <c r="D106" i="12"/>
  <c r="D108" i="12" s="1"/>
  <c r="L106" i="12"/>
  <c r="T106" i="12"/>
  <c r="AB106" i="12"/>
  <c r="AJ106" i="12"/>
  <c r="AJ108" i="12" s="1"/>
  <c r="AR106" i="12"/>
  <c r="AD32" i="13"/>
  <c r="AD37" i="13" s="1"/>
  <c r="AL32" i="13"/>
  <c r="AT32" i="13"/>
  <c r="BB32" i="13"/>
  <c r="AS9" i="13"/>
  <c r="P37" i="15"/>
  <c r="BA107" i="18"/>
  <c r="N31" i="8"/>
  <c r="AD31" i="11"/>
  <c r="AD9" i="11"/>
  <c r="AF9" i="11" s="1"/>
  <c r="AF6" i="11"/>
  <c r="AN31" i="11"/>
  <c r="AW9" i="11"/>
  <c r="AW31" i="11"/>
  <c r="AD32" i="11"/>
  <c r="AF34" i="11"/>
  <c r="AN9" i="11"/>
  <c r="AX11" i="11"/>
  <c r="AH35" i="11"/>
  <c r="AI35" i="11"/>
  <c r="AI12" i="11"/>
  <c r="AT33" i="11"/>
  <c r="BD18" i="11"/>
  <c r="AL19" i="11"/>
  <c r="AJ24" i="11"/>
  <c r="AL24" i="11" s="1"/>
  <c r="AL21" i="11"/>
  <c r="AS24" i="11"/>
  <c r="AU24" i="11" s="1"/>
  <c r="AU21" i="11"/>
  <c r="AY29" i="11"/>
  <c r="BA29" i="11" s="1"/>
  <c r="AY34" i="11"/>
  <c r="BA34" i="11" s="1"/>
  <c r="H71" i="12"/>
  <c r="P71" i="12"/>
  <c r="P108" i="12" s="1"/>
  <c r="X71" i="12"/>
  <c r="AF71" i="12"/>
  <c r="AN71" i="12"/>
  <c r="BA9" i="13"/>
  <c r="AG14" i="13"/>
  <c r="AO14" i="13"/>
  <c r="AW14" i="13"/>
  <c r="AE32" i="13"/>
  <c r="AM32" i="13"/>
  <c r="AU32" i="13"/>
  <c r="BC32" i="13"/>
  <c r="AI36" i="13"/>
  <c r="J37" i="14"/>
  <c r="R37" i="15"/>
  <c r="J39" i="16"/>
  <c r="J107" i="16" s="1"/>
  <c r="R39" i="16"/>
  <c r="Q83" i="16"/>
  <c r="Q9" i="17"/>
  <c r="Q31" i="17"/>
  <c r="AE31" i="11"/>
  <c r="AX6" i="11"/>
  <c r="AE32" i="11"/>
  <c r="AD19" i="11"/>
  <c r="AF19" i="11"/>
  <c r="AO16" i="11"/>
  <c r="AW19" i="11"/>
  <c r="AV33" i="11"/>
  <c r="AX33" i="11"/>
  <c r="AX18" i="11"/>
  <c r="AG24" i="11"/>
  <c r="AM33" i="11"/>
  <c r="AO33" i="11" s="1"/>
  <c r="AM29" i="11"/>
  <c r="AO29" i="11" s="1"/>
  <c r="AO27" i="11"/>
  <c r="AV29" i="11"/>
  <c r="AX27" i="11"/>
  <c r="AF40" i="12"/>
  <c r="AN40" i="12"/>
  <c r="I71" i="12"/>
  <c r="I108" i="12" s="1"/>
  <c r="Q71" i="12"/>
  <c r="Y71" i="12"/>
  <c r="AG71" i="12"/>
  <c r="AO71" i="12"/>
  <c r="AG32" i="13"/>
  <c r="AO32" i="13"/>
  <c r="AO37" i="13" s="1"/>
  <c r="AW32" i="13"/>
  <c r="AW37" i="13" s="1"/>
  <c r="BB9" i="13"/>
  <c r="AD19" i="13"/>
  <c r="AL19" i="13"/>
  <c r="AT19" i="13"/>
  <c r="BB19" i="13"/>
  <c r="BA29" i="13"/>
  <c r="AQ31" i="13"/>
  <c r="AH32" i="13"/>
  <c r="AG9" i="11"/>
  <c r="AI6" i="11"/>
  <c r="AG31" i="11"/>
  <c r="AG37" i="11" s="1"/>
  <c r="AP9" i="11"/>
  <c r="AR6" i="11"/>
  <c r="AG32" i="11"/>
  <c r="AI32" i="11" s="1"/>
  <c r="AI7" i="11"/>
  <c r="AZ32" i="11"/>
  <c r="BA11" i="11"/>
  <c r="AE33" i="11"/>
  <c r="AF33" i="11"/>
  <c r="AE29" i="11"/>
  <c r="AF29" i="11"/>
  <c r="AZ25" i="12"/>
  <c r="Q40" i="12"/>
  <c r="Q108" i="12" s="1"/>
  <c r="Y40" i="12"/>
  <c r="AG40" i="12"/>
  <c r="AO40" i="12"/>
  <c r="AZ84" i="12"/>
  <c r="AC9" i="13"/>
  <c r="AA33" i="13"/>
  <c r="AI33" i="13"/>
  <c r="AQ33" i="13"/>
  <c r="AY33" i="13"/>
  <c r="Q37" i="14"/>
  <c r="S37" i="14"/>
  <c r="N37" i="15"/>
  <c r="C37" i="15"/>
  <c r="K37" i="15"/>
  <c r="AZ36" i="11"/>
  <c r="BA36" i="11" s="1"/>
  <c r="BA13" i="11"/>
  <c r="AL14" i="11"/>
  <c r="AZ14" i="11"/>
  <c r="BA14" i="11" s="1"/>
  <c r="AP19" i="11"/>
  <c r="AR16" i="11"/>
  <c r="AY19" i="11"/>
  <c r="BA19" i="11"/>
  <c r="BA16" i="11"/>
  <c r="AN19" i="11"/>
  <c r="AE24" i="11"/>
  <c r="AF24" i="11" s="1"/>
  <c r="AF22" i="11"/>
  <c r="AA37" i="11"/>
  <c r="AC31" i="11"/>
  <c r="AC37" i="11" s="1"/>
  <c r="AX40" i="12"/>
  <c r="AC84" i="12"/>
  <c r="AK84" i="12"/>
  <c r="AS84" i="12"/>
  <c r="I106" i="12"/>
  <c r="Q106" i="12"/>
  <c r="Y106" i="12"/>
  <c r="AG106" i="12"/>
  <c r="AO106" i="12"/>
  <c r="AB14" i="13"/>
  <c r="AJ14" i="13"/>
  <c r="AR14" i="13"/>
  <c r="AZ14" i="13"/>
  <c r="AC29" i="13"/>
  <c r="AY31" i="13"/>
  <c r="BB31" i="11"/>
  <c r="BB9" i="11"/>
  <c r="BD9" i="11" s="1"/>
  <c r="BD6" i="11"/>
  <c r="AJ32" i="11"/>
  <c r="AL7" i="11"/>
  <c r="AS32" i="11"/>
  <c r="AS37" i="11" s="1"/>
  <c r="AU7" i="11"/>
  <c r="BB32" i="11"/>
  <c r="BD32" i="11" s="1"/>
  <c r="AU34" i="11"/>
  <c r="AN36" i="11"/>
  <c r="AO36" i="11" s="1"/>
  <c r="AO13" i="11"/>
  <c r="AG19" i="11"/>
  <c r="AI19" i="11" s="1"/>
  <c r="AQ19" i="11"/>
  <c r="AR17" i="11"/>
  <c r="AF18" i="11"/>
  <c r="AO18" i="11"/>
  <c r="AX21" i="11"/>
  <c r="AI22" i="11"/>
  <c r="AR23" i="11"/>
  <c r="BD23" i="11"/>
  <c r="BA26" i="11"/>
  <c r="AB37" i="11"/>
  <c r="AY32" i="11"/>
  <c r="F25" i="12"/>
  <c r="N25" i="12"/>
  <c r="V25" i="12"/>
  <c r="AD25" i="12"/>
  <c r="AL25" i="12"/>
  <c r="AT25" i="12"/>
  <c r="BB25" i="12"/>
  <c r="BB108" i="12"/>
  <c r="AD84" i="12"/>
  <c r="AL84" i="12"/>
  <c r="AT84" i="12"/>
  <c r="AX106" i="12"/>
  <c r="AH9" i="13"/>
  <c r="AH31" i="13"/>
  <c r="AP9" i="13"/>
  <c r="AP31" i="13"/>
  <c r="AX9" i="13"/>
  <c r="AX31" i="13"/>
  <c r="AX37" i="13" s="1"/>
  <c r="AK9" i="13"/>
  <c r="K31" i="8"/>
  <c r="AT31" i="11"/>
  <c r="AT9" i="11"/>
  <c r="AK32" i="11"/>
  <c r="AT32" i="11"/>
  <c r="BC32" i="11"/>
  <c r="AJ34" i="11"/>
  <c r="AL34" i="11" s="1"/>
  <c r="AL8" i="11"/>
  <c r="AJ9" i="11"/>
  <c r="AL9" i="11" s="1"/>
  <c r="AH14" i="11"/>
  <c r="AI14" i="11" s="1"/>
  <c r="AI11" i="11"/>
  <c r="AI18" i="11"/>
  <c r="AG33" i="11"/>
  <c r="AI33" i="11" s="1"/>
  <c r="AP29" i="11"/>
  <c r="AH31" i="11"/>
  <c r="AP34" i="11"/>
  <c r="AR34" i="11" s="1"/>
  <c r="L40" i="12"/>
  <c r="L108" i="12" s="1"/>
  <c r="T40" i="12"/>
  <c r="AB40" i="12"/>
  <c r="AB108" i="12"/>
  <c r="AJ40" i="12"/>
  <c r="AR40" i="12"/>
  <c r="BC84" i="12"/>
  <c r="AA29" i="13"/>
  <c r="AI29" i="13"/>
  <c r="AQ29" i="13"/>
  <c r="AY29" i="13"/>
  <c r="AK29" i="13"/>
  <c r="AA31" i="13"/>
  <c r="L35" i="17"/>
  <c r="L14" i="17"/>
  <c r="T35" i="17"/>
  <c r="T14" i="17"/>
  <c r="AI26" i="11"/>
  <c r="AW29" i="11"/>
  <c r="AG34" i="11"/>
  <c r="AI34" i="11" s="1"/>
  <c r="O37" i="14"/>
  <c r="H24" i="16"/>
  <c r="H107" i="16" s="1"/>
  <c r="P24" i="16"/>
  <c r="P107" i="16" s="1"/>
  <c r="F24" i="16"/>
  <c r="N24" i="16"/>
  <c r="R83" i="16"/>
  <c r="O31" i="17"/>
  <c r="O9" i="17"/>
  <c r="R24" i="17"/>
  <c r="CH15" i="18"/>
  <c r="BI107" i="18"/>
  <c r="AB25" i="18"/>
  <c r="AE9" i="13"/>
  <c r="AM9" i="13"/>
  <c r="AU9" i="13"/>
  <c r="BC9" i="13"/>
  <c r="AG19" i="13"/>
  <c r="AO19" i="13"/>
  <c r="AW19" i="13"/>
  <c r="R37" i="14"/>
  <c r="I37" i="15"/>
  <c r="Q37" i="15"/>
  <c r="C24" i="16"/>
  <c r="C107" i="16" s="1"/>
  <c r="K24" i="16"/>
  <c r="K107" i="16" s="1"/>
  <c r="S24" i="16"/>
  <c r="S107" i="16" s="1"/>
  <c r="M9" i="17"/>
  <c r="R33" i="17"/>
  <c r="R29" i="17"/>
  <c r="AD7" i="19"/>
  <c r="AD20" i="18"/>
  <c r="AD25" i="18"/>
  <c r="CD8" i="19"/>
  <c r="CD24" i="18"/>
  <c r="AN25" i="18"/>
  <c r="AN107" i="18" s="1"/>
  <c r="BP25" i="18"/>
  <c r="AF9" i="13"/>
  <c r="AN9" i="13"/>
  <c r="AV9" i="13"/>
  <c r="BD9" i="13"/>
  <c r="D105" i="16"/>
  <c r="D107" i="16"/>
  <c r="L105" i="16"/>
  <c r="T105" i="16"/>
  <c r="T107" i="16" s="1"/>
  <c r="AH6" i="19"/>
  <c r="AH15" i="18"/>
  <c r="BR6" i="19"/>
  <c r="BR15" i="18"/>
  <c r="BR25" i="18" s="1"/>
  <c r="AF25" i="18"/>
  <c r="BH25" i="18"/>
  <c r="BH107" i="18" s="1"/>
  <c r="BR11" i="19"/>
  <c r="BR30" i="18"/>
  <c r="CG13" i="19"/>
  <c r="CG36" i="19" s="1"/>
  <c r="CG40" i="18"/>
  <c r="BA6" i="11"/>
  <c r="AF7" i="11"/>
  <c r="BD7" i="11"/>
  <c r="AL12" i="11"/>
  <c r="AX12" i="11"/>
  <c r="BD26" i="11"/>
  <c r="L37" i="14"/>
  <c r="T37" i="14"/>
  <c r="F70" i="16"/>
  <c r="N70" i="16"/>
  <c r="L9" i="17"/>
  <c r="L31" i="17"/>
  <c r="T9" i="17"/>
  <c r="T31" i="17"/>
  <c r="T37" i="17" s="1"/>
  <c r="R32" i="17"/>
  <c r="P34" i="17"/>
  <c r="R9" i="17"/>
  <c r="X25" i="18"/>
  <c r="X107" i="18" s="1"/>
  <c r="AZ25" i="18"/>
  <c r="BX13" i="19"/>
  <c r="BX36" i="19" s="1"/>
  <c r="BX40" i="18"/>
  <c r="D37" i="15"/>
  <c r="L37" i="15"/>
  <c r="O14" i="17"/>
  <c r="AI107" i="18"/>
  <c r="AR25" i="18"/>
  <c r="AR107" i="18" s="1"/>
  <c r="CB25" i="18"/>
  <c r="Y37" i="13"/>
  <c r="Q14" i="17"/>
  <c r="AD6" i="19"/>
  <c r="BN6" i="19"/>
  <c r="Z7" i="19"/>
  <c r="BJ7" i="19"/>
  <c r="AP8" i="19"/>
  <c r="BZ8" i="19"/>
  <c r="BN11" i="19"/>
  <c r="BN30" i="18"/>
  <c r="AX12" i="19"/>
  <c r="AX35" i="19" s="1"/>
  <c r="CH12" i="19"/>
  <c r="CH35" i="19" s="1"/>
  <c r="BZ39" i="18"/>
  <c r="BZ13" i="19" s="1"/>
  <c r="CA40" i="18"/>
  <c r="AD16" i="19"/>
  <c r="BN16" i="19"/>
  <c r="BN51" i="18"/>
  <c r="AG71" i="18"/>
  <c r="AG107" i="18"/>
  <c r="BU71" i="18"/>
  <c r="CF71" i="18"/>
  <c r="AL6" i="19"/>
  <c r="BV6" i="19"/>
  <c r="AH7" i="19"/>
  <c r="BR7" i="19"/>
  <c r="AX8" i="19"/>
  <c r="CH8" i="19"/>
  <c r="AU25" i="18"/>
  <c r="BD40" i="18"/>
  <c r="BD107" i="18" s="1"/>
  <c r="BW40" i="18"/>
  <c r="BJ12" i="19"/>
  <c r="BJ35" i="19" s="1"/>
  <c r="BP40" i="18"/>
  <c r="CF40" i="18"/>
  <c r="AL16" i="19"/>
  <c r="BV16" i="19"/>
  <c r="BV51" i="18"/>
  <c r="BV71" i="18" s="1"/>
  <c r="Y71" i="18"/>
  <c r="AJ71" i="18"/>
  <c r="AX71" i="18"/>
  <c r="BM71" i="18"/>
  <c r="BX71" i="18"/>
  <c r="CI71" i="18"/>
  <c r="M36" i="17"/>
  <c r="AP6" i="19"/>
  <c r="BZ6" i="19"/>
  <c r="BZ15" i="18"/>
  <c r="BZ25" i="18" s="1"/>
  <c r="BV20" i="18"/>
  <c r="BV30" i="18"/>
  <c r="AX30" i="18"/>
  <c r="AV40" i="18"/>
  <c r="BN12" i="19"/>
  <c r="BN35" i="19" s="1"/>
  <c r="BN34" i="18"/>
  <c r="AA71" i="18"/>
  <c r="AA107" i="18" s="1"/>
  <c r="BO71" i="18"/>
  <c r="BV23" i="19"/>
  <c r="K9" i="17"/>
  <c r="S9" i="17"/>
  <c r="R14" i="17"/>
  <c r="AT6" i="19"/>
  <c r="AT9" i="19" s="1"/>
  <c r="CD6" i="19"/>
  <c r="BZ7" i="19"/>
  <c r="Z8" i="19"/>
  <c r="Z34" i="19" s="1"/>
  <c r="BJ8" i="19"/>
  <c r="BJ34" i="19" s="1"/>
  <c r="AW25" i="18"/>
  <c r="BE25" i="18"/>
  <c r="BM25" i="18"/>
  <c r="BM107" i="18" s="1"/>
  <c r="BU25" i="18"/>
  <c r="CC25" i="18"/>
  <c r="CK25" i="18"/>
  <c r="BJ13" i="19"/>
  <c r="BJ36" i="19" s="1"/>
  <c r="BJ39" i="18"/>
  <c r="BS40" i="18"/>
  <c r="AX17" i="19"/>
  <c r="CH17" i="19"/>
  <c r="CH63" i="18"/>
  <c r="AB71" i="18"/>
  <c r="BE71" i="18"/>
  <c r="AX6" i="19"/>
  <c r="CH6" i="19"/>
  <c r="AT7" i="19"/>
  <c r="CD7" i="19"/>
  <c r="AD8" i="19"/>
  <c r="AD9" i="19" s="1"/>
  <c r="BN8" i="19"/>
  <c r="Z24" i="18"/>
  <c r="AH24" i="18"/>
  <c r="AH25" i="18"/>
  <c r="AP24" i="18"/>
  <c r="BF24" i="18"/>
  <c r="BN24" i="18"/>
  <c r="CL24" i="18"/>
  <c r="AX11" i="19"/>
  <c r="CH11" i="19"/>
  <c r="AY40" i="18"/>
  <c r="BZ30" i="18"/>
  <c r="BZ40" i="18" s="1"/>
  <c r="BV12" i="19"/>
  <c r="BV35" i="19" s="1"/>
  <c r="BV34" i="18"/>
  <c r="CH34" i="18"/>
  <c r="CH40" i="18" s="1"/>
  <c r="AX16" i="19"/>
  <c r="CH16" i="19"/>
  <c r="CH51" i="18"/>
  <c r="BJ51" i="18"/>
  <c r="V63" i="18"/>
  <c r="S71" i="18"/>
  <c r="S107" i="18" s="1"/>
  <c r="BG71" i="18"/>
  <c r="CD23" i="19"/>
  <c r="CD24" i="19" s="1"/>
  <c r="CD83" i="18"/>
  <c r="N34" i="17"/>
  <c r="N37" i="17" s="1"/>
  <c r="V6" i="19"/>
  <c r="BF6" i="19"/>
  <c r="CL6" i="19"/>
  <c r="CL15" i="18"/>
  <c r="AX7" i="19"/>
  <c r="CH7" i="19"/>
  <c r="CH9" i="19" s="1"/>
  <c r="CH20" i="18"/>
  <c r="CH25" i="18" s="1"/>
  <c r="BW25" i="18"/>
  <c r="CE25" i="18"/>
  <c r="BF11" i="19"/>
  <c r="BF30" i="18"/>
  <c r="CL11" i="19"/>
  <c r="CL30" i="18"/>
  <c r="Z17" i="19"/>
  <c r="Z63" i="18"/>
  <c r="BJ17" i="19"/>
  <c r="BJ63" i="18"/>
  <c r="BF63" i="18"/>
  <c r="CL63" i="18"/>
  <c r="AO71" i="18"/>
  <c r="AO107" i="18"/>
  <c r="AY71" i="18"/>
  <c r="BH71" i="18"/>
  <c r="CC71" i="18"/>
  <c r="CH23" i="19"/>
  <c r="CH24" i="19" s="1"/>
  <c r="CH83" i="18"/>
  <c r="Z6" i="19"/>
  <c r="BJ6" i="19"/>
  <c r="BJ31" i="19" s="1"/>
  <c r="Z15" i="18"/>
  <c r="AP15" i="18"/>
  <c r="BF15" i="18"/>
  <c r="BF25" i="18" s="1"/>
  <c r="CD15" i="18"/>
  <c r="V7" i="19"/>
  <c r="BF7" i="19"/>
  <c r="CL7" i="19"/>
  <c r="V20" i="18"/>
  <c r="V25" i="18" s="1"/>
  <c r="AL20" i="18"/>
  <c r="AL25" i="18" s="1"/>
  <c r="BZ20" i="18"/>
  <c r="AL8" i="19"/>
  <c r="AL34" i="19" s="1"/>
  <c r="BV8" i="19"/>
  <c r="CB40" i="18"/>
  <c r="Z16" i="19"/>
  <c r="Z51" i="18"/>
  <c r="AD17" i="19"/>
  <c r="AD63" i="18"/>
  <c r="BN17" i="19"/>
  <c r="BN63" i="18"/>
  <c r="AQ71" i="18"/>
  <c r="AT71" i="18"/>
  <c r="AZ71" i="18"/>
  <c r="CE71" i="18"/>
  <c r="CL23" i="19"/>
  <c r="BV11" i="19"/>
  <c r="BR12" i="19"/>
  <c r="BR35" i="19" s="1"/>
  <c r="AH16" i="19"/>
  <c r="BR16" i="19"/>
  <c r="AH17" i="19"/>
  <c r="BR17" i="19"/>
  <c r="Z18" i="19"/>
  <c r="BJ18" i="19"/>
  <c r="BJ33" i="19" s="1"/>
  <c r="V70" i="18"/>
  <c r="V71" i="18" s="1"/>
  <c r="AD70" i="18"/>
  <c r="AD71" i="18" s="1"/>
  <c r="AT70" i="18"/>
  <c r="BJ70" i="18"/>
  <c r="BZ70" i="18"/>
  <c r="BT24" i="19"/>
  <c r="CB24" i="19"/>
  <c r="CK24" i="19"/>
  <c r="AX26" i="19"/>
  <c r="CD26" i="19"/>
  <c r="V90" i="18"/>
  <c r="BB90" i="18"/>
  <c r="BZ90" i="18"/>
  <c r="BZ105" i="18" s="1"/>
  <c r="AL27" i="19"/>
  <c r="BR27" i="19"/>
  <c r="AP28" i="19"/>
  <c r="BZ28" i="19"/>
  <c r="T105" i="18"/>
  <c r="AB105" i="18"/>
  <c r="AJ105" i="18"/>
  <c r="AJ107" i="18" s="1"/>
  <c r="AR105" i="18"/>
  <c r="AT105" i="18" s="1"/>
  <c r="AZ105" i="18"/>
  <c r="BR104" i="18"/>
  <c r="AV105" i="18"/>
  <c r="CA31" i="19"/>
  <c r="CA9" i="19"/>
  <c r="BS32" i="19"/>
  <c r="BY14" i="19"/>
  <c r="CJ14" i="19"/>
  <c r="BO83" i="18"/>
  <c r="BW83" i="18"/>
  <c r="BW107" i="18" s="1"/>
  <c r="CE83" i="18"/>
  <c r="AT28" i="19"/>
  <c r="AT34" i="19" s="1"/>
  <c r="CD28" i="19"/>
  <c r="CD104" i="18"/>
  <c r="CD105" i="18" s="1"/>
  <c r="BJ104" i="18"/>
  <c r="AM31" i="19"/>
  <c r="AM9" i="19"/>
  <c r="BP14" i="19"/>
  <c r="CA14" i="19"/>
  <c r="CK14" i="19"/>
  <c r="CI33" i="19"/>
  <c r="AT11" i="19"/>
  <c r="CD11" i="19"/>
  <c r="CJ40" i="18"/>
  <c r="AP16" i="19"/>
  <c r="BZ16" i="19"/>
  <c r="AP17" i="19"/>
  <c r="BZ17" i="19"/>
  <c r="AH18" i="19"/>
  <c r="BR18" i="19"/>
  <c r="BP83" i="18"/>
  <c r="BX83" i="18"/>
  <c r="CF83" i="18"/>
  <c r="Z26" i="19"/>
  <c r="BF26" i="19"/>
  <c r="CL26" i="19"/>
  <c r="AT27" i="19"/>
  <c r="BZ27" i="19"/>
  <c r="AX28" i="19"/>
  <c r="CH28" i="19"/>
  <c r="AL104" i="18"/>
  <c r="AL105" i="18"/>
  <c r="AT104" i="18"/>
  <c r="BS31" i="19"/>
  <c r="BS9" i="19"/>
  <c r="CF32" i="19"/>
  <c r="BQ14" i="19"/>
  <c r="CB14" i="19"/>
  <c r="CJ33" i="19"/>
  <c r="CD30" i="18"/>
  <c r="AT12" i="19"/>
  <c r="AT35" i="19" s="1"/>
  <c r="CD12" i="19"/>
  <c r="CD35" i="19" s="1"/>
  <c r="CD34" i="18"/>
  <c r="AT13" i="19"/>
  <c r="AT36" i="19" s="1"/>
  <c r="AT16" i="19"/>
  <c r="CD16" i="19"/>
  <c r="AT17" i="19"/>
  <c r="CD17" i="19"/>
  <c r="BR63" i="18"/>
  <c r="BR71" i="18" s="1"/>
  <c r="BZ63" i="18"/>
  <c r="AL18" i="19"/>
  <c r="BV18" i="19"/>
  <c r="BW24" i="19"/>
  <c r="CE24" i="19"/>
  <c r="CG83" i="18"/>
  <c r="AD26" i="19"/>
  <c r="BJ26" i="19"/>
  <c r="BJ29" i="19" s="1"/>
  <c r="CL90" i="18"/>
  <c r="AX27" i="19"/>
  <c r="CD27" i="19"/>
  <c r="AH99" i="18"/>
  <c r="AH105" i="18" s="1"/>
  <c r="AP99" i="18"/>
  <c r="BN99" i="18"/>
  <c r="BV99" i="18"/>
  <c r="BV105" i="18" s="1"/>
  <c r="CD99" i="18"/>
  <c r="V28" i="19"/>
  <c r="BF28" i="19"/>
  <c r="BF34" i="19" s="1"/>
  <c r="BF104" i="18"/>
  <c r="CL28" i="19"/>
  <c r="CL34" i="19" s="1"/>
  <c r="CL104" i="18"/>
  <c r="AE31" i="19"/>
  <c r="AE9" i="19"/>
  <c r="BS14" i="19"/>
  <c r="CC14" i="19"/>
  <c r="CA33" i="19"/>
  <c r="AP70" i="18"/>
  <c r="BF70" i="18"/>
  <c r="BN70" i="18"/>
  <c r="CL70" i="18"/>
  <c r="CL71" i="18" s="1"/>
  <c r="BZ83" i="18"/>
  <c r="AH90" i="18"/>
  <c r="AP90" i="18"/>
  <c r="BN90" i="18"/>
  <c r="BV90" i="18"/>
  <c r="CF105" i="18"/>
  <c r="BK31" i="19"/>
  <c r="BK9" i="19"/>
  <c r="BB32" i="19"/>
  <c r="BX32" i="19"/>
  <c r="CI32" i="19"/>
  <c r="BT14" i="19"/>
  <c r="BJ11" i="19"/>
  <c r="BF12" i="19"/>
  <c r="BF35" i="19" s="1"/>
  <c r="CL12" i="19"/>
  <c r="CL35" i="19" s="1"/>
  <c r="BF13" i="19"/>
  <c r="BO36" i="19"/>
  <c r="BO14" i="19"/>
  <c r="BW36" i="19"/>
  <c r="BW14" i="19"/>
  <c r="CE36" i="19"/>
  <c r="CE14" i="19"/>
  <c r="V16" i="19"/>
  <c r="BF16" i="19"/>
  <c r="CL16" i="19"/>
  <c r="AH51" i="18"/>
  <c r="AH71" i="18" s="1"/>
  <c r="AP51" i="18"/>
  <c r="AP71" i="18" s="1"/>
  <c r="BF51" i="18"/>
  <c r="CD51" i="18"/>
  <c r="CD71" i="18" s="1"/>
  <c r="V17" i="19"/>
  <c r="BF17" i="19"/>
  <c r="CL17" i="19"/>
  <c r="AT18" i="19"/>
  <c r="AT19" i="19" s="1"/>
  <c r="CD18" i="19"/>
  <c r="BS83" i="18"/>
  <c r="CA83" i="18"/>
  <c r="CI83" i="18"/>
  <c r="AL26" i="19"/>
  <c r="AL29" i="19" s="1"/>
  <c r="BR26" i="19"/>
  <c r="BR29" i="19" s="1"/>
  <c r="Z27" i="19"/>
  <c r="BF27" i="19"/>
  <c r="CL27" i="19"/>
  <c r="AD28" i="19"/>
  <c r="BN28" i="19"/>
  <c r="BN104" i="18"/>
  <c r="BN105" i="18" s="1"/>
  <c r="BX105" i="18"/>
  <c r="BX107" i="18" s="1"/>
  <c r="F9" i="19"/>
  <c r="F31" i="19"/>
  <c r="W31" i="19"/>
  <c r="W9" i="19"/>
  <c r="BK14" i="19"/>
  <c r="BU14" i="19"/>
  <c r="CF14" i="19"/>
  <c r="AX18" i="19"/>
  <c r="CH18" i="19"/>
  <c r="BT83" i="18"/>
  <c r="BT107" i="18" s="1"/>
  <c r="CB83" i="18"/>
  <c r="CH99" i="18"/>
  <c r="Z104" i="18"/>
  <c r="AH104" i="18"/>
  <c r="BP105" i="18"/>
  <c r="G31" i="19"/>
  <c r="G9" i="19"/>
  <c r="O31" i="19"/>
  <c r="O9" i="19"/>
  <c r="BC31" i="19"/>
  <c r="BC9" i="19"/>
  <c r="BX31" i="19"/>
  <c r="CI31" i="19"/>
  <c r="CI9" i="19"/>
  <c r="BP32" i="19"/>
  <c r="CA32" i="19"/>
  <c r="BL14" i="19"/>
  <c r="BU83" i="18"/>
  <c r="CC83" i="18"/>
  <c r="CK83" i="18"/>
  <c r="CH90" i="18"/>
  <c r="V99" i="18"/>
  <c r="V105" i="18" s="1"/>
  <c r="AD99" i="18"/>
  <c r="BB99" i="18"/>
  <c r="BJ99" i="18"/>
  <c r="BV28" i="19"/>
  <c r="BV104" i="18"/>
  <c r="BH105" i="18"/>
  <c r="AU31" i="19"/>
  <c r="AU37" i="19" s="1"/>
  <c r="AU9" i="19"/>
  <c r="BM14" i="19"/>
  <c r="BX14" i="19"/>
  <c r="CI14" i="19"/>
  <c r="BO33" i="19"/>
  <c r="BW33" i="19"/>
  <c r="CE33" i="19"/>
  <c r="BH31" i="19"/>
  <c r="O33" i="19"/>
  <c r="BT31" i="19"/>
  <c r="CB31" i="19"/>
  <c r="AV32" i="19"/>
  <c r="AV37" i="19" s="1"/>
  <c r="BD32" i="19"/>
  <c r="BD37" i="19" s="1"/>
  <c r="BT32" i="19"/>
  <c r="CB32" i="19"/>
  <c r="CJ32" i="19"/>
  <c r="H9" i="19"/>
  <c r="P9" i="19"/>
  <c r="X9" i="19"/>
  <c r="AF9" i="19"/>
  <c r="AN9" i="19"/>
  <c r="AV9" i="19"/>
  <c r="BD9" i="19"/>
  <c r="BT9" i="19"/>
  <c r="CB9" i="19"/>
  <c r="CJ9" i="19"/>
  <c r="BH33" i="19"/>
  <c r="BP33" i="19"/>
  <c r="BX33" i="19"/>
  <c r="CF33" i="19"/>
  <c r="T31" i="19"/>
  <c r="CF31" i="19"/>
  <c r="BU31" i="19"/>
  <c r="CC31" i="19"/>
  <c r="CK31" i="19"/>
  <c r="BU32" i="19"/>
  <c r="CC32" i="19"/>
  <c r="CK32" i="19"/>
  <c r="I9" i="19"/>
  <c r="Q9" i="19"/>
  <c r="Y9" i="19"/>
  <c r="AG9" i="19"/>
  <c r="AO9" i="19"/>
  <c r="AW9" i="19"/>
  <c r="BE9" i="19"/>
  <c r="BM9" i="19"/>
  <c r="BU9" i="19"/>
  <c r="CC9" i="19"/>
  <c r="CK9" i="19"/>
  <c r="BQ33" i="19"/>
  <c r="BY33" i="19"/>
  <c r="AR31" i="19"/>
  <c r="J9" i="19"/>
  <c r="R9" i="19"/>
  <c r="N33" i="19"/>
  <c r="BB33" i="19"/>
  <c r="D31" i="19"/>
  <c r="BP31" i="19"/>
  <c r="BG37" i="19"/>
  <c r="BW31" i="19"/>
  <c r="CE31" i="19"/>
  <c r="BO32" i="19"/>
  <c r="BW32" i="19"/>
  <c r="CE32" i="19"/>
  <c r="C9" i="19"/>
  <c r="K9" i="19"/>
  <c r="S9" i="19"/>
  <c r="AA9" i="19"/>
  <c r="AI9" i="19"/>
  <c r="AQ9" i="19"/>
  <c r="AY9" i="19"/>
  <c r="BG9" i="19"/>
  <c r="BO9" i="19"/>
  <c r="BW9" i="19"/>
  <c r="CE9" i="19"/>
  <c r="W33" i="19"/>
  <c r="BS33" i="19"/>
  <c r="AB31" i="19"/>
  <c r="L9" i="19"/>
  <c r="AJ9" i="19"/>
  <c r="AZ9" i="19"/>
  <c r="BX9" i="19"/>
  <c r="BT33" i="19"/>
  <c r="CB33" i="19"/>
  <c r="BQ32" i="19"/>
  <c r="BY32" i="19"/>
  <c r="E9" i="19"/>
  <c r="M9" i="19"/>
  <c r="U9" i="19"/>
  <c r="AC9" i="19"/>
  <c r="AK9" i="19"/>
  <c r="AS9" i="19"/>
  <c r="BA9" i="19"/>
  <c r="BI9" i="19"/>
  <c r="BQ9" i="19"/>
  <c r="BY9" i="19"/>
  <c r="CG9" i="19"/>
  <c r="BU33" i="19"/>
  <c r="CC33" i="19"/>
  <c r="CK33" i="19"/>
  <c r="CG24" i="19"/>
  <c r="BB31" i="19"/>
  <c r="N9" i="19"/>
  <c r="Z9" i="20"/>
  <c r="Z31" i="20"/>
  <c r="F31" i="22"/>
  <c r="F8" i="22"/>
  <c r="Z32" i="20"/>
  <c r="H34" i="20"/>
  <c r="N9" i="20"/>
  <c r="T14" i="20"/>
  <c r="G37" i="20"/>
  <c r="O37" i="20"/>
  <c r="W31" i="20"/>
  <c r="AP37" i="20"/>
  <c r="P24" i="21"/>
  <c r="L6" i="22"/>
  <c r="L19" i="21"/>
  <c r="L24" i="21" s="1"/>
  <c r="L39" i="21"/>
  <c r="J39" i="21"/>
  <c r="N105" i="21"/>
  <c r="G31" i="22"/>
  <c r="H33" i="22"/>
  <c r="P33" i="22"/>
  <c r="M8" i="22"/>
  <c r="H28" i="22"/>
  <c r="P28" i="22"/>
  <c r="K79" i="23"/>
  <c r="S79" i="23"/>
  <c r="N79" i="23"/>
  <c r="V79" i="23"/>
  <c r="AC14" i="20"/>
  <c r="M39" i="21"/>
  <c r="O8" i="22"/>
  <c r="J262" i="26"/>
  <c r="I262" i="26"/>
  <c r="K262" i="26" s="1"/>
  <c r="I447" i="26"/>
  <c r="K447" i="26" s="1"/>
  <c r="H9" i="20"/>
  <c r="Q31" i="20"/>
  <c r="AS37" i="20"/>
  <c r="S83" i="21"/>
  <c r="S22" i="22"/>
  <c r="S23" i="22" s="1"/>
  <c r="F105" i="21"/>
  <c r="H30" i="22"/>
  <c r="H36" i="22" s="1"/>
  <c r="H8" i="22"/>
  <c r="P30" i="22"/>
  <c r="P8" i="22"/>
  <c r="M105" i="23"/>
  <c r="T21" i="24"/>
  <c r="X103" i="23"/>
  <c r="V22" i="24"/>
  <c r="V32" i="24" s="1"/>
  <c r="Z103" i="23"/>
  <c r="O14" i="20"/>
  <c r="H33" i="20"/>
  <c r="AC19" i="20"/>
  <c r="E39" i="21"/>
  <c r="O20" i="22"/>
  <c r="O30" i="22" s="1"/>
  <c r="O83" i="21"/>
  <c r="O107" i="21" s="1"/>
  <c r="Q21" i="22"/>
  <c r="Q31" i="22" s="1"/>
  <c r="Q83" i="21"/>
  <c r="N83" i="21"/>
  <c r="G105" i="21"/>
  <c r="Q30" i="22"/>
  <c r="P32" i="22"/>
  <c r="N30" i="22"/>
  <c r="T35" i="24"/>
  <c r="T13" i="24"/>
  <c r="P14" i="20"/>
  <c r="K31" i="20"/>
  <c r="K37" i="20" s="1"/>
  <c r="AI31" i="20"/>
  <c r="D31" i="22"/>
  <c r="F39" i="21"/>
  <c r="F107" i="21" s="1"/>
  <c r="N71" i="21"/>
  <c r="P23" i="22"/>
  <c r="P83" i="21"/>
  <c r="J30" i="22"/>
  <c r="J8" i="22"/>
  <c r="R30" i="22"/>
  <c r="R8" i="22"/>
  <c r="D8" i="22"/>
  <c r="J31" i="22"/>
  <c r="R31" i="22"/>
  <c r="R23" i="22"/>
  <c r="L37" i="20"/>
  <c r="T31" i="20"/>
  <c r="AT37" i="20"/>
  <c r="E6" i="22"/>
  <c r="E8" i="22" s="1"/>
  <c r="E19" i="21"/>
  <c r="E24" i="21" s="1"/>
  <c r="E107" i="21" s="1"/>
  <c r="N31" i="22"/>
  <c r="N8" i="22"/>
  <c r="S31" i="22"/>
  <c r="R32" i="22"/>
  <c r="AU32" i="20"/>
  <c r="AU37" i="20"/>
  <c r="N24" i="21"/>
  <c r="R39" i="21"/>
  <c r="H71" i="21"/>
  <c r="P71" i="21"/>
  <c r="F71" i="21"/>
  <c r="K105" i="21"/>
  <c r="K107" i="21" s="1"/>
  <c r="S105" i="21"/>
  <c r="S107" i="21" s="1"/>
  <c r="O31" i="22"/>
  <c r="G8" i="22"/>
  <c r="E18" i="22"/>
  <c r="M18" i="22"/>
  <c r="W32" i="20"/>
  <c r="E9" i="20"/>
  <c r="F37" i="20"/>
  <c r="AD37" i="20"/>
  <c r="AF35" i="20"/>
  <c r="AI36" i="20"/>
  <c r="M105" i="21"/>
  <c r="P31" i="22"/>
  <c r="L105" i="23"/>
  <c r="AJ37" i="20"/>
  <c r="J18" i="22"/>
  <c r="R18" i="22"/>
  <c r="V35" i="24"/>
  <c r="V13" i="24"/>
  <c r="Z94" i="23"/>
  <c r="Z105" i="23" s="1"/>
  <c r="E8" i="24"/>
  <c r="U8" i="24"/>
  <c r="V30" i="24"/>
  <c r="F193" i="26"/>
  <c r="H171" i="26"/>
  <c r="G171" i="26"/>
  <c r="I171" i="26" s="1"/>
  <c r="D18" i="22"/>
  <c r="L18" i="22"/>
  <c r="R79" i="23"/>
  <c r="R105" i="23"/>
  <c r="S94" i="23"/>
  <c r="S105" i="23" s="1"/>
  <c r="S23" i="24"/>
  <c r="G30" i="24"/>
  <c r="G8" i="24"/>
  <c r="O30" i="24"/>
  <c r="O8" i="24"/>
  <c r="W30" i="24"/>
  <c r="W8" i="24"/>
  <c r="C8" i="24"/>
  <c r="C33" i="24"/>
  <c r="K8" i="24"/>
  <c r="K33" i="24"/>
  <c r="K36" i="24"/>
  <c r="S8" i="24"/>
  <c r="S33" i="24"/>
  <c r="H8" i="24"/>
  <c r="H18" i="24"/>
  <c r="P18" i="24"/>
  <c r="X18" i="24"/>
  <c r="J18" i="24"/>
  <c r="R18" i="24"/>
  <c r="T32" i="24"/>
  <c r="H126" i="26"/>
  <c r="J207" i="26"/>
  <c r="R83" i="21"/>
  <c r="I8" i="22"/>
  <c r="Q8" i="22"/>
  <c r="AB79" i="23"/>
  <c r="X30" i="24"/>
  <c r="R31" i="24"/>
  <c r="J8" i="24"/>
  <c r="U32" i="24"/>
  <c r="J248" i="26"/>
  <c r="T79" i="23"/>
  <c r="T105" i="23" s="1"/>
  <c r="U20" i="24"/>
  <c r="U23" i="24" s="1"/>
  <c r="Y103" i="23"/>
  <c r="Y105" i="23" s="1"/>
  <c r="W103" i="23"/>
  <c r="W105" i="23" s="1"/>
  <c r="I36" i="24"/>
  <c r="S31" i="24"/>
  <c r="M8" i="24"/>
  <c r="O13" i="24"/>
  <c r="W13" i="24"/>
  <c r="H28" i="24"/>
  <c r="P28" i="24"/>
  <c r="X28" i="24"/>
  <c r="J28" i="24"/>
  <c r="R28" i="24"/>
  <c r="M19" i="21"/>
  <c r="M24" i="21" s="1"/>
  <c r="V94" i="23"/>
  <c r="N8" i="24"/>
  <c r="P13" i="24"/>
  <c r="X13" i="24"/>
  <c r="W32" i="24"/>
  <c r="C159" i="26"/>
  <c r="D161" i="26" s="1"/>
  <c r="I32" i="22"/>
  <c r="Q32" i="22"/>
  <c r="P8" i="24"/>
  <c r="X23" i="24"/>
  <c r="AB103" i="23"/>
  <c r="D30" i="24"/>
  <c r="D8" i="24"/>
  <c r="L30" i="24"/>
  <c r="L8" i="24"/>
  <c r="T30" i="24"/>
  <c r="T8" i="24"/>
  <c r="G75" i="26"/>
  <c r="I75" i="26" s="1"/>
  <c r="E255" i="26"/>
  <c r="AA103" i="23"/>
  <c r="I8" i="24"/>
  <c r="Q8" i="24"/>
  <c r="H264" i="26"/>
  <c r="J490" i="26"/>
  <c r="I490" i="26"/>
  <c r="K490" i="26" s="1"/>
  <c r="J558" i="26"/>
  <c r="I558" i="26"/>
  <c r="K558" i="26" s="1"/>
  <c r="G18" i="24"/>
  <c r="O18" i="24"/>
  <c r="W18" i="24"/>
  <c r="I200" i="26"/>
  <c r="K200" i="26" s="1"/>
  <c r="I204" i="26"/>
  <c r="K204" i="26" s="1"/>
  <c r="I206" i="26"/>
  <c r="K206" i="26" s="1"/>
  <c r="I210" i="26"/>
  <c r="K210" i="26" s="1"/>
  <c r="I220" i="26"/>
  <c r="K220" i="26" s="1"/>
  <c r="I230" i="26"/>
  <c r="K230" i="26" s="1"/>
  <c r="I232" i="26"/>
  <c r="K232" i="26" s="1"/>
  <c r="I236" i="26"/>
  <c r="K236" i="26" s="1"/>
  <c r="I240" i="26"/>
  <c r="K240" i="26" s="1"/>
  <c r="I242" i="26"/>
  <c r="K242" i="26" s="1"/>
  <c r="I250" i="26"/>
  <c r="K250" i="26" s="1"/>
  <c r="I252" i="26"/>
  <c r="K252" i="26" s="1"/>
  <c r="J266" i="26"/>
  <c r="I296" i="26"/>
  <c r="K296" i="26" s="1"/>
  <c r="J263" i="26"/>
  <c r="I263" i="26"/>
  <c r="K263" i="26" s="1"/>
  <c r="G493" i="26"/>
  <c r="J267" i="26"/>
  <c r="I267" i="26"/>
  <c r="K267" i="26" s="1"/>
  <c r="J434" i="26"/>
  <c r="J261" i="26"/>
  <c r="I261" i="26"/>
  <c r="K261" i="26" s="1"/>
  <c r="E286" i="26"/>
  <c r="J568" i="26"/>
  <c r="H360" i="26"/>
  <c r="I360" i="26" s="1"/>
  <c r="H392" i="26"/>
  <c r="J392" i="26" s="1"/>
  <c r="H402" i="26"/>
  <c r="I402" i="26" s="1"/>
  <c r="K402" i="26" s="1"/>
  <c r="I426" i="26"/>
  <c r="K426" i="26" s="1"/>
  <c r="I428" i="26"/>
  <c r="K428" i="26" s="1"/>
  <c r="E436" i="26"/>
  <c r="J454" i="26"/>
  <c r="J456" i="26"/>
  <c r="J460" i="26"/>
  <c r="F464" i="26"/>
  <c r="H475" i="26"/>
  <c r="J500" i="26"/>
  <c r="J502" i="26"/>
  <c r="J503" i="26"/>
  <c r="J506" i="26"/>
  <c r="J510" i="26"/>
  <c r="J512" i="26"/>
  <c r="J579" i="26"/>
  <c r="J583" i="26"/>
  <c r="J585" i="26"/>
  <c r="J589" i="26"/>
  <c r="I272" i="26"/>
  <c r="K272" i="26" s="1"/>
  <c r="I282" i="26"/>
  <c r="K282" i="26" s="1"/>
  <c r="F350" i="26"/>
  <c r="F318" i="26"/>
  <c r="H419" i="26"/>
  <c r="J419" i="26" s="1"/>
  <c r="F570" i="26"/>
  <c r="F571" i="26" s="1"/>
  <c r="I416" i="26"/>
  <c r="K416" i="26" s="1"/>
  <c r="I418" i="26"/>
  <c r="K418" i="26" s="1"/>
  <c r="J447" i="26"/>
  <c r="I455" i="26"/>
  <c r="K455" i="26" s="1"/>
  <c r="I459" i="26"/>
  <c r="K459" i="26" s="1"/>
  <c r="I461" i="26"/>
  <c r="K461" i="26" s="1"/>
  <c r="I501" i="26"/>
  <c r="K501" i="26" s="1"/>
  <c r="I505" i="26"/>
  <c r="K505" i="26" s="1"/>
  <c r="I507" i="26"/>
  <c r="K507" i="26" s="1"/>
  <c r="I511" i="26"/>
  <c r="K511" i="26" s="1"/>
  <c r="E547" i="26"/>
  <c r="F548" i="26" s="1"/>
  <c r="I578" i="26"/>
  <c r="K578" i="26" s="1"/>
  <c r="I580" i="26"/>
  <c r="K580" i="26" s="1"/>
  <c r="I584" i="26"/>
  <c r="K584" i="26" s="1"/>
  <c r="I588" i="26"/>
  <c r="K588" i="26" s="1"/>
  <c r="I590" i="26"/>
  <c r="K590" i="26" s="1"/>
  <c r="I427" i="26"/>
  <c r="K427" i="26" s="1"/>
  <c r="I431" i="26"/>
  <c r="K431" i="26" s="1"/>
  <c r="I433" i="26"/>
  <c r="K433" i="26" s="1"/>
  <c r="J581" i="26"/>
  <c r="I271" i="26"/>
  <c r="K271" i="26" s="1"/>
  <c r="I273" i="26"/>
  <c r="K273" i="26" s="1"/>
  <c r="I281" i="26"/>
  <c r="K281" i="26" s="1"/>
  <c r="I283" i="26"/>
  <c r="K283" i="26" s="1"/>
  <c r="I390" i="26"/>
  <c r="K390" i="26" s="1"/>
  <c r="I394" i="26"/>
  <c r="K394" i="26" s="1"/>
  <c r="I396" i="26"/>
  <c r="K396" i="26" s="1"/>
  <c r="I400" i="26"/>
  <c r="K400" i="26" s="1"/>
  <c r="I540" i="26"/>
  <c r="K540" i="26" s="1"/>
  <c r="I503" i="26"/>
  <c r="K503" i="26" s="1"/>
  <c r="BA24" i="7"/>
  <c r="AN109" i="6"/>
  <c r="AC107" i="18"/>
  <c r="BR34" i="19"/>
  <c r="AZ108" i="10"/>
  <c r="AY107" i="18"/>
  <c r="T108" i="12"/>
  <c r="AI37" i="13"/>
  <c r="Y108" i="12"/>
  <c r="AU33" i="11"/>
  <c r="AH34" i="19"/>
  <c r="BD93" i="10"/>
  <c r="AW37" i="11"/>
  <c r="AX56" i="10"/>
  <c r="O105" i="23"/>
  <c r="BB29" i="19"/>
  <c r="U13" i="24"/>
  <c r="AB108" i="10"/>
  <c r="AF93" i="10"/>
  <c r="AU79" i="6"/>
  <c r="G105" i="23"/>
  <c r="F107" i="16"/>
  <c r="AU26" i="6"/>
  <c r="AC108" i="12"/>
  <c r="AP105" i="18"/>
  <c r="J457" i="26"/>
  <c r="J222" i="26"/>
  <c r="W107" i="18"/>
  <c r="AK107" i="18"/>
  <c r="H128" i="26"/>
  <c r="T242" i="34"/>
  <c r="CG107" i="18"/>
  <c r="AG37" i="19"/>
  <c r="AP25" i="18"/>
  <c r="V29" i="19"/>
  <c r="Z71" i="18"/>
  <c r="AQ9" i="43"/>
  <c r="S237" i="34"/>
  <c r="O242" i="34"/>
  <c r="P242" i="34"/>
  <c r="AT14" i="43"/>
  <c r="BF71" i="18"/>
  <c r="AP19" i="19"/>
  <c r="BV14" i="19"/>
  <c r="AD31" i="19"/>
  <c r="AX29" i="11"/>
  <c r="AO57" i="6"/>
  <c r="AT31" i="4"/>
  <c r="BN31" i="19"/>
  <c r="BZ33" i="19"/>
  <c r="AX34" i="19"/>
  <c r="BR9" i="19"/>
  <c r="CD25" i="18"/>
  <c r="AU21" i="7"/>
  <c r="BC21" i="4"/>
  <c r="U30" i="24"/>
  <c r="Q23" i="22"/>
  <c r="CL19" i="19"/>
  <c r="Z33" i="19"/>
  <c r="CH14" i="19"/>
  <c r="AQ107" i="18"/>
  <c r="AB107" i="18"/>
  <c r="N107" i="16"/>
  <c r="BD31" i="11"/>
  <c r="AR19" i="11"/>
  <c r="AX31" i="11"/>
  <c r="AX37" i="11" s="1"/>
  <c r="AL34" i="7"/>
  <c r="BA32" i="7"/>
  <c r="AJ37" i="7"/>
  <c r="AL31" i="7"/>
  <c r="AY24" i="4"/>
  <c r="L31" i="22"/>
  <c r="L8" i="22"/>
  <c r="CG14" i="19"/>
  <c r="Z31" i="19"/>
  <c r="AL32" i="19"/>
  <c r="BN19" i="19"/>
  <c r="BZ34" i="19"/>
  <c r="AH31" i="19"/>
  <c r="AH9" i="19"/>
  <c r="AT37" i="11"/>
  <c r="AU31" i="11"/>
  <c r="AV37" i="11"/>
  <c r="BA33" i="7"/>
  <c r="BA31" i="4"/>
  <c r="I419" i="26"/>
  <c r="K419" i="26" s="1"/>
  <c r="E31" i="22"/>
  <c r="BV40" i="18"/>
  <c r="AD37" i="11"/>
  <c r="AF31" i="11"/>
  <c r="AU32" i="7"/>
  <c r="BD56" i="10"/>
  <c r="AQ32" i="7"/>
  <c r="AR32" i="7" s="1"/>
  <c r="AN31" i="4"/>
  <c r="AR79" i="6"/>
  <c r="X109" i="6"/>
  <c r="J475" i="26"/>
  <c r="I475" i="26"/>
  <c r="K475" i="26" s="1"/>
  <c r="H492" i="26"/>
  <c r="J492" i="26" s="1"/>
  <c r="S32" i="22"/>
  <c r="S36" i="22" s="1"/>
  <c r="AD29" i="19"/>
  <c r="BJ71" i="18"/>
  <c r="V32" i="19"/>
  <c r="BZ9" i="19"/>
  <c r="AL31" i="19"/>
  <c r="AU32" i="11"/>
  <c r="AE37" i="11"/>
  <c r="AL29" i="7"/>
  <c r="AL32" i="7"/>
  <c r="AF56" i="10"/>
  <c r="AF31" i="7"/>
  <c r="H108" i="10"/>
  <c r="BB24" i="7"/>
  <c r="AX57" i="6"/>
  <c r="P109" i="6"/>
  <c r="AZ22" i="4"/>
  <c r="BF9" i="19"/>
  <c r="AX31" i="7"/>
  <c r="I392" i="26"/>
  <c r="K392" i="26" s="1"/>
  <c r="BV34" i="19"/>
  <c r="CL9" i="19"/>
  <c r="Z32" i="19"/>
  <c r="AF32" i="11"/>
  <c r="AF37" i="11" s="1"/>
  <c r="Z57" i="6"/>
  <c r="AL37" i="7"/>
  <c r="C29" i="55" l="1"/>
  <c r="O29" i="55"/>
  <c r="D29" i="55"/>
  <c r="L116" i="55"/>
  <c r="C33" i="51"/>
  <c r="H8" i="51"/>
  <c r="K73" i="51"/>
  <c r="F78" i="51"/>
  <c r="F57" i="51"/>
  <c r="P104" i="46"/>
  <c r="AI63" i="46"/>
  <c r="AC48" i="46"/>
  <c r="K21" i="46"/>
  <c r="M104" i="46"/>
  <c r="X104" i="46"/>
  <c r="E21" i="46"/>
  <c r="Q21" i="46"/>
  <c r="AC21" i="46"/>
  <c r="N55" i="46"/>
  <c r="H87" i="46"/>
  <c r="AI87" i="46"/>
  <c r="K87" i="46"/>
  <c r="M93" i="46"/>
  <c r="Y93" i="46"/>
  <c r="C93" i="46"/>
  <c r="AH93" i="46"/>
  <c r="N25" i="46"/>
  <c r="Y26" i="46"/>
  <c r="X78" i="46"/>
  <c r="P78" i="46"/>
  <c r="Q59" i="45"/>
  <c r="W59" i="45"/>
  <c r="E17" i="45"/>
  <c r="E50" i="45"/>
  <c r="L21" i="45"/>
  <c r="L65" i="45"/>
  <c r="E64" i="45"/>
  <c r="P37" i="41"/>
  <c r="D31" i="41"/>
  <c r="K37" i="59"/>
  <c r="G37" i="59"/>
  <c r="K10" i="59"/>
  <c r="R34" i="41"/>
  <c r="R30" i="24"/>
  <c r="F33" i="24"/>
  <c r="F36" i="24" s="1"/>
  <c r="W36" i="24"/>
  <c r="D31" i="24"/>
  <c r="X36" i="24"/>
  <c r="D18" i="24"/>
  <c r="Q28" i="24"/>
  <c r="H32" i="24"/>
  <c r="H36" i="24" s="1"/>
  <c r="G36" i="24"/>
  <c r="M18" i="24"/>
  <c r="U36" i="24"/>
  <c r="V23" i="24"/>
  <c r="N107" i="21"/>
  <c r="C32" i="22"/>
  <c r="J28" i="22"/>
  <c r="D13" i="22"/>
  <c r="CL21" i="19"/>
  <c r="CL83" i="18"/>
  <c r="BO24" i="19"/>
  <c r="BO31" i="19"/>
  <c r="BY31" i="19"/>
  <c r="BY24" i="19"/>
  <c r="BR21" i="19"/>
  <c r="BR24" i="19" s="1"/>
  <c r="BR83" i="18"/>
  <c r="CB37" i="19"/>
  <c r="BY83" i="18"/>
  <c r="CF107" i="18"/>
  <c r="BV83" i="18"/>
  <c r="BQ83" i="18"/>
  <c r="BQ107" i="18" s="1"/>
  <c r="CJ83" i="18"/>
  <c r="CE107" i="18"/>
  <c r="BV24" i="19"/>
  <c r="BQ24" i="19"/>
  <c r="CK107" i="18"/>
  <c r="BO107" i="18"/>
  <c r="CL31" i="19"/>
  <c r="BP107" i="18"/>
  <c r="BE37" i="19"/>
  <c r="CJ37" i="19"/>
  <c r="AX31" i="19"/>
  <c r="X37" i="19"/>
  <c r="G320" i="80"/>
  <c r="G406" i="80"/>
  <c r="G413" i="80"/>
  <c r="G420" i="80"/>
  <c r="Q51" i="52"/>
  <c r="T20" i="52"/>
  <c r="E24" i="52"/>
  <c r="K40" i="52"/>
  <c r="L25" i="52"/>
  <c r="N25" i="52" s="1"/>
  <c r="N15" i="52"/>
  <c r="N20" i="52"/>
  <c r="AK37" i="43"/>
  <c r="AN32" i="43"/>
  <c r="AT19" i="43"/>
  <c r="AH37" i="43"/>
  <c r="AQ13" i="43"/>
  <c r="AQ36" i="43" s="1"/>
  <c r="AK9" i="43"/>
  <c r="AS19" i="43"/>
  <c r="AH33" i="43"/>
  <c r="AK32" i="43"/>
  <c r="AN27" i="43"/>
  <c r="AN33" i="43" s="1"/>
  <c r="AA34" i="43"/>
  <c r="AB33" i="43"/>
  <c r="AL37" i="43"/>
  <c r="AG9" i="43"/>
  <c r="X24" i="43"/>
  <c r="AR32" i="43"/>
  <c r="AT22" i="43"/>
  <c r="AT32" i="43" s="1"/>
  <c r="AE24" i="43"/>
  <c r="AQ21" i="43"/>
  <c r="AQ31" i="43" s="1"/>
  <c r="AR31" i="43"/>
  <c r="AI24" i="43"/>
  <c r="AL29" i="43"/>
  <c r="AT6" i="43"/>
  <c r="AT9" i="43" s="1"/>
  <c r="AN8" i="43"/>
  <c r="AN34" i="43" s="1"/>
  <c r="AD29" i="43"/>
  <c r="AK34" i="43"/>
  <c r="AL34" i="43"/>
  <c r="AO32" i="43"/>
  <c r="AO37" i="43" s="1"/>
  <c r="AP14" i="43"/>
  <c r="AQ11" i="43"/>
  <c r="AQ14" i="43" s="1"/>
  <c r="AF37" i="43"/>
  <c r="AD33" i="43"/>
  <c r="AD37" i="43" s="1"/>
  <c r="AS32" i="43"/>
  <c r="AS37" i="43" s="1"/>
  <c r="AM14" i="43"/>
  <c r="AN13" i="43"/>
  <c r="AF14" i="43"/>
  <c r="AN9" i="32"/>
  <c r="AV9" i="32"/>
  <c r="AZ37" i="32"/>
  <c r="AL9" i="32"/>
  <c r="AE13" i="32"/>
  <c r="AM13" i="32"/>
  <c r="AU13" i="32"/>
  <c r="AK17" i="32"/>
  <c r="BA17" i="32"/>
  <c r="AD76" i="32"/>
  <c r="AL76" i="32"/>
  <c r="AT76" i="32"/>
  <c r="BB76" i="32"/>
  <c r="H77" i="32"/>
  <c r="P77" i="32"/>
  <c r="AN77" i="32"/>
  <c r="X74" i="32"/>
  <c r="AN74" i="32"/>
  <c r="AV74" i="32"/>
  <c r="BD74" i="32"/>
  <c r="AE19" i="32"/>
  <c r="BC19" i="32"/>
  <c r="AJ20" i="32"/>
  <c r="AR9" i="32"/>
  <c r="AZ20" i="32"/>
  <c r="AF18" i="32"/>
  <c r="AV18" i="32"/>
  <c r="BD18" i="32"/>
  <c r="AG47" i="32"/>
  <c r="AO47" i="32"/>
  <c r="AW47" i="32"/>
  <c r="AQ43" i="32"/>
  <c r="P82" i="32"/>
  <c r="AK36" i="32"/>
  <c r="AS36" i="32"/>
  <c r="BA52" i="32"/>
  <c r="G53" i="32"/>
  <c r="AE53" i="32"/>
  <c r="AU53" i="32"/>
  <c r="I54" i="32"/>
  <c r="Y54" i="32"/>
  <c r="AG54" i="32"/>
  <c r="AO54" i="32"/>
  <c r="AW54" i="32"/>
  <c r="C52" i="32"/>
  <c r="K52" i="32"/>
  <c r="AA52" i="32"/>
  <c r="H75" i="32"/>
  <c r="X75" i="32"/>
  <c r="AN75" i="32"/>
  <c r="AV75" i="32"/>
  <c r="BD75" i="32"/>
  <c r="J76" i="32"/>
  <c r="BE37" i="32"/>
  <c r="BE13" i="32"/>
  <c r="AT9" i="32"/>
  <c r="BB9" i="32"/>
  <c r="BB21" i="32" s="1"/>
  <c r="AO36" i="32"/>
  <c r="AW36" i="32"/>
  <c r="AS19" i="32"/>
  <c r="AH13" i="32"/>
  <c r="AP20" i="32"/>
  <c r="AL18" i="32"/>
  <c r="AY19" i="32"/>
  <c r="AV17" i="32"/>
  <c r="AU26" i="32"/>
  <c r="AS76" i="32"/>
  <c r="AG19" i="32"/>
  <c r="AO19" i="32"/>
  <c r="AW19" i="32"/>
  <c r="AD20" i="32"/>
  <c r="AL20" i="32"/>
  <c r="AT20" i="32"/>
  <c r="BB20" i="32"/>
  <c r="BA26" i="32"/>
  <c r="AJ9" i="32"/>
  <c r="AQ36" i="32"/>
  <c r="AY36" i="32"/>
  <c r="AU37" i="32"/>
  <c r="AF37" i="32"/>
  <c r="BD37" i="32"/>
  <c r="V43" i="32"/>
  <c r="V54" i="32"/>
  <c r="V82" i="32" s="1"/>
  <c r="AF52" i="32"/>
  <c r="AJ51" i="32"/>
  <c r="AZ51" i="32"/>
  <c r="C76" i="32"/>
  <c r="AI76" i="32"/>
  <c r="M77" i="32"/>
  <c r="AC74" i="32"/>
  <c r="BF36" i="32"/>
  <c r="AG34" i="32"/>
  <c r="AE9" i="32"/>
  <c r="AV13" i="32"/>
  <c r="AL17" i="32"/>
  <c r="AQ17" i="32"/>
  <c r="AX26" i="32"/>
  <c r="AI75" i="32"/>
  <c r="BG76" i="32"/>
  <c r="BA34" i="32"/>
  <c r="AG26" i="32"/>
  <c r="BE18" i="32"/>
  <c r="AQ34" i="32"/>
  <c r="BG66" i="32"/>
  <c r="X43" i="32"/>
  <c r="AF43" i="32"/>
  <c r="AN43" i="32"/>
  <c r="AI37" i="32"/>
  <c r="AQ37" i="32"/>
  <c r="AQ38" i="32" s="1"/>
  <c r="AY37" i="32"/>
  <c r="AY38" i="32" s="1"/>
  <c r="AI9" i="32"/>
  <c r="AQ9" i="32"/>
  <c r="AY9" i="32"/>
  <c r="AJ13" i="32"/>
  <c r="AR13" i="32"/>
  <c r="AZ13" i="32"/>
  <c r="AL26" i="32"/>
  <c r="AT26" i="32"/>
  <c r="AT36" i="32"/>
  <c r="AJ37" i="32"/>
  <c r="AR37" i="32"/>
  <c r="AU9" i="32"/>
  <c r="BC9" i="32"/>
  <c r="AN13" i="32"/>
  <c r="BD13" i="32"/>
  <c r="AK13" i="32"/>
  <c r="AS13" i="32"/>
  <c r="BA13" i="32"/>
  <c r="AH20" i="32"/>
  <c r="AP13" i="32"/>
  <c r="AX20" i="32"/>
  <c r="AD18" i="32"/>
  <c r="AT18" i="32"/>
  <c r="BB18" i="32"/>
  <c r="AI17" i="32"/>
  <c r="AQ19" i="32"/>
  <c r="AY17" i="32"/>
  <c r="AF20" i="32"/>
  <c r="AN20" i="32"/>
  <c r="AV20" i="32"/>
  <c r="BD17" i="32"/>
  <c r="AH26" i="32"/>
  <c r="AP36" i="32"/>
  <c r="AX36" i="32"/>
  <c r="BD19" i="32"/>
  <c r="AJ17" i="32"/>
  <c r="AR17" i="32"/>
  <c r="AN37" i="32"/>
  <c r="AV36" i="32"/>
  <c r="AX52" i="32"/>
  <c r="AX80" i="32" s="1"/>
  <c r="D53" i="32"/>
  <c r="L53" i="32"/>
  <c r="AB53" i="32"/>
  <c r="AJ53" i="32"/>
  <c r="AR53" i="32"/>
  <c r="AZ53" i="32"/>
  <c r="F54" i="32"/>
  <c r="F82" i="32" s="1"/>
  <c r="N54" i="32"/>
  <c r="N82" i="32" s="1"/>
  <c r="AD54" i="32"/>
  <c r="AL54" i="32"/>
  <c r="AT54" i="32"/>
  <c r="BB54" i="32"/>
  <c r="H52" i="32"/>
  <c r="P52" i="32"/>
  <c r="X52" i="32"/>
  <c r="X80" i="32" s="1"/>
  <c r="AN52" i="32"/>
  <c r="Z47" i="32"/>
  <c r="AR54" i="32"/>
  <c r="AZ47" i="32"/>
  <c r="AF51" i="32"/>
  <c r="U75" i="32"/>
  <c r="W66" i="32"/>
  <c r="AE66" i="32"/>
  <c r="AM66" i="32"/>
  <c r="AU66" i="32"/>
  <c r="BC66" i="32"/>
  <c r="Y66" i="32"/>
  <c r="AO77" i="32"/>
  <c r="C75" i="32"/>
  <c r="K75" i="32"/>
  <c r="AA75" i="32"/>
  <c r="AY75" i="32"/>
  <c r="E76" i="32"/>
  <c r="M76" i="32"/>
  <c r="U76" i="32"/>
  <c r="AC76" i="32"/>
  <c r="AK76" i="32"/>
  <c r="BA70" i="32"/>
  <c r="G77" i="32"/>
  <c r="O77" i="32"/>
  <c r="W77" i="32"/>
  <c r="AU70" i="32"/>
  <c r="AE26" i="32"/>
  <c r="AY34" i="32"/>
  <c r="AD43" i="32"/>
  <c r="AF13" i="32"/>
  <c r="AI19" i="32"/>
  <c r="AR20" i="32"/>
  <c r="AU19" i="32"/>
  <c r="AS26" i="32"/>
  <c r="BA76" i="32"/>
  <c r="AQ75" i="32"/>
  <c r="BA19" i="32"/>
  <c r="AA70" i="32"/>
  <c r="BE34" i="32"/>
  <c r="AK38" i="32"/>
  <c r="AK26" i="32"/>
  <c r="AK19" i="32"/>
  <c r="AN17" i="32"/>
  <c r="AN21" i="32" s="1"/>
  <c r="BG18" i="32"/>
  <c r="AN18" i="32"/>
  <c r="BA36" i="32"/>
  <c r="BA38" i="32" s="1"/>
  <c r="AF17" i="32"/>
  <c r="AN51" i="32"/>
  <c r="AV51" i="32"/>
  <c r="I76" i="32"/>
  <c r="Q76" i="32"/>
  <c r="AG66" i="32"/>
  <c r="AO66" i="32"/>
  <c r="AW66" i="32"/>
  <c r="AI77" i="32"/>
  <c r="U70" i="32"/>
  <c r="AC70" i="32"/>
  <c r="AC78" i="32" s="1"/>
  <c r="W70" i="32"/>
  <c r="AE70" i="32"/>
  <c r="AM70" i="32"/>
  <c r="AI74" i="32"/>
  <c r="AQ76" i="32"/>
  <c r="AY74" i="32"/>
  <c r="E77" i="32"/>
  <c r="U74" i="32"/>
  <c r="AC77" i="32"/>
  <c r="AK77" i="32"/>
  <c r="AS74" i="32"/>
  <c r="BA74" i="32"/>
  <c r="BE26" i="32"/>
  <c r="AW34" i="32"/>
  <c r="AX13" i="32"/>
  <c r="Y80" i="32"/>
  <c r="AZ9" i="32"/>
  <c r="AI36" i="32"/>
  <c r="AI38" i="32" s="1"/>
  <c r="BB17" i="32"/>
  <c r="AA53" i="32"/>
  <c r="AI53" i="32"/>
  <c r="H80" i="32"/>
  <c r="AL75" i="32"/>
  <c r="BC26" i="32"/>
  <c r="AT17" i="32"/>
  <c r="AT21" i="32" s="1"/>
  <c r="AY70" i="32"/>
  <c r="AL21" i="32"/>
  <c r="BC18" i="32"/>
  <c r="BC80" i="32" s="1"/>
  <c r="AG13" i="32"/>
  <c r="AO13" i="32"/>
  <c r="AW13" i="32"/>
  <c r="AK21" i="32"/>
  <c r="AS18" i="32"/>
  <c r="AH19" i="32"/>
  <c r="AP19" i="32"/>
  <c r="AX19" i="32"/>
  <c r="AE20" i="32"/>
  <c r="AM20" i="32"/>
  <c r="AU20" i="32"/>
  <c r="BC20" i="32"/>
  <c r="BB37" i="32"/>
  <c r="AS34" i="32"/>
  <c r="AR36" i="32"/>
  <c r="AZ36" i="32"/>
  <c r="AH34" i="32"/>
  <c r="AP34" i="32"/>
  <c r="AT43" i="32"/>
  <c r="BB43" i="32"/>
  <c r="AV43" i="32"/>
  <c r="Z43" i="32"/>
  <c r="AP54" i="32"/>
  <c r="AB47" i="32"/>
  <c r="AJ47" i="32"/>
  <c r="AR47" i="32"/>
  <c r="AZ52" i="32"/>
  <c r="F53" i="32"/>
  <c r="N53" i="32"/>
  <c r="V53" i="32"/>
  <c r="AL53" i="32"/>
  <c r="AT53" i="32"/>
  <c r="BB53" i="32"/>
  <c r="H54" i="32"/>
  <c r="X54" i="32"/>
  <c r="AF54" i="32"/>
  <c r="AN54" i="32"/>
  <c r="AP51" i="32"/>
  <c r="I75" i="32"/>
  <c r="AE76" i="32"/>
  <c r="AM26" i="32"/>
  <c r="AP26" i="32"/>
  <c r="AL43" i="32"/>
  <c r="AD17" i="32"/>
  <c r="AG18" i="32"/>
  <c r="AW18" i="32"/>
  <c r="AL34" i="32"/>
  <c r="BB34" i="32"/>
  <c r="AV52" i="32"/>
  <c r="BD52" i="32"/>
  <c r="BD80" i="32" s="1"/>
  <c r="J53" i="32"/>
  <c r="Z53" i="32"/>
  <c r="AH53" i="32"/>
  <c r="AP53" i="32"/>
  <c r="AX53" i="32"/>
  <c r="D54" i="32"/>
  <c r="L54" i="32"/>
  <c r="AB43" i="32"/>
  <c r="AJ43" i="32"/>
  <c r="F52" i="32"/>
  <c r="N52" i="32"/>
  <c r="AU77" i="32"/>
  <c r="AS35" i="32"/>
  <c r="AO20" i="32"/>
  <c r="AW52" i="32"/>
  <c r="AK74" i="32"/>
  <c r="U77" i="32"/>
  <c r="AA66" i="32"/>
  <c r="AQ66" i="32"/>
  <c r="AY66" i="32"/>
  <c r="E75" i="32"/>
  <c r="E78" i="32" s="1"/>
  <c r="M75" i="32"/>
  <c r="AK75" i="32"/>
  <c r="AS75" i="32"/>
  <c r="BA75" i="32"/>
  <c r="G76" i="32"/>
  <c r="O76" i="32"/>
  <c r="AU76" i="32"/>
  <c r="BC76" i="32"/>
  <c r="I77" i="32"/>
  <c r="I82" i="32" s="1"/>
  <c r="Q77" i="32"/>
  <c r="Y70" i="32"/>
  <c r="AG70" i="32"/>
  <c r="AO70" i="32"/>
  <c r="AW70" i="32"/>
  <c r="K76" i="32"/>
  <c r="AA76" i="32"/>
  <c r="BF26" i="32"/>
  <c r="BC43" i="32"/>
  <c r="AQ51" i="32"/>
  <c r="BE53" i="32"/>
  <c r="BF19" i="32"/>
  <c r="BE19" i="32"/>
  <c r="BG53" i="32"/>
  <c r="BF53" i="32"/>
  <c r="AE34" i="32"/>
  <c r="BB26" i="32"/>
  <c r="AY76" i="32"/>
  <c r="AZ34" i="32"/>
  <c r="AR43" i="32"/>
  <c r="AZ43" i="32"/>
  <c r="V47" i="32"/>
  <c r="AD47" i="32"/>
  <c r="AL47" i="32"/>
  <c r="AT47" i="32"/>
  <c r="BB47" i="32"/>
  <c r="P53" i="32"/>
  <c r="X47" i="32"/>
  <c r="AF47" i="32"/>
  <c r="AN47" i="32"/>
  <c r="AV47" i="32"/>
  <c r="BD47" i="32"/>
  <c r="Z54" i="32"/>
  <c r="AH47" i="32"/>
  <c r="AP47" i="32"/>
  <c r="AX47" i="32"/>
  <c r="L52" i="32"/>
  <c r="L80" i="32" s="1"/>
  <c r="AB52" i="32"/>
  <c r="AJ52" i="32"/>
  <c r="AR52" i="32"/>
  <c r="AY51" i="32"/>
  <c r="AH66" i="32"/>
  <c r="AP66" i="32"/>
  <c r="AX66" i="32"/>
  <c r="AB76" i="32"/>
  <c r="AJ76" i="32"/>
  <c r="AT75" i="32"/>
  <c r="BB75" i="32"/>
  <c r="BA77" i="32"/>
  <c r="AI43" i="32"/>
  <c r="AU18" i="32"/>
  <c r="AD75" i="32"/>
  <c r="AP17" i="32"/>
  <c r="AS17" i="32"/>
  <c r="AS77" i="32"/>
  <c r="AX37" i="32"/>
  <c r="AX38" i="32" s="1"/>
  <c r="AF34" i="32"/>
  <c r="AB66" i="32"/>
  <c r="AJ66" i="32"/>
  <c r="Y74" i="32"/>
  <c r="AG74" i="32"/>
  <c r="AW74" i="32"/>
  <c r="V75" i="32"/>
  <c r="AH52" i="32"/>
  <c r="F75" i="32"/>
  <c r="N75" i="32"/>
  <c r="AD66" i="32"/>
  <c r="G428" i="80"/>
  <c r="D160" i="80"/>
  <c r="G279" i="80"/>
  <c r="G290" i="80"/>
  <c r="G274" i="80"/>
  <c r="F285" i="80"/>
  <c r="G304" i="80"/>
  <c r="G264" i="80"/>
  <c r="D313" i="80"/>
  <c r="G269" i="80"/>
  <c r="G218" i="80"/>
  <c r="G444" i="80"/>
  <c r="D12" i="83"/>
  <c r="E25" i="83"/>
  <c r="C38" i="83"/>
  <c r="E12" i="83"/>
  <c r="D38" i="83"/>
  <c r="D38" i="59"/>
  <c r="J10" i="59"/>
  <c r="J38" i="59" s="1"/>
  <c r="G38" i="59"/>
  <c r="Q71" i="57"/>
  <c r="I86" i="57"/>
  <c r="U86" i="57"/>
  <c r="N50" i="57"/>
  <c r="W86" i="57"/>
  <c r="N81" i="57"/>
  <c r="N86" i="57" s="1"/>
  <c r="S86" i="57"/>
  <c r="S88" i="57" s="1"/>
  <c r="V88" i="57"/>
  <c r="H58" i="57"/>
  <c r="C88" i="57"/>
  <c r="G88" i="57"/>
  <c r="D88" i="57"/>
  <c r="H21" i="57"/>
  <c r="R21" i="57"/>
  <c r="R88" i="57" s="1"/>
  <c r="F21" i="57"/>
  <c r="F88" i="57" s="1"/>
  <c r="J21" i="57"/>
  <c r="S21" i="57"/>
  <c r="I21" i="57"/>
  <c r="I88" i="57" s="1"/>
  <c r="E21" i="57"/>
  <c r="F41" i="56"/>
  <c r="W107" i="56"/>
  <c r="U31" i="56"/>
  <c r="J31" i="56"/>
  <c r="I34" i="56"/>
  <c r="I41" i="56" s="1"/>
  <c r="W31" i="56"/>
  <c r="O24" i="56"/>
  <c r="L106" i="56"/>
  <c r="L107" i="56" s="1"/>
  <c r="E107" i="56"/>
  <c r="U107" i="56"/>
  <c r="M107" i="56"/>
  <c r="D107" i="56"/>
  <c r="D109" i="56" s="1"/>
  <c r="T107" i="56"/>
  <c r="T109" i="56" s="1"/>
  <c r="R78" i="56"/>
  <c r="L56" i="56"/>
  <c r="G79" i="56"/>
  <c r="E41" i="56"/>
  <c r="K41" i="56"/>
  <c r="R41" i="56"/>
  <c r="V41" i="56"/>
  <c r="O30" i="56"/>
  <c r="V31" i="56"/>
  <c r="V109" i="56" s="1"/>
  <c r="N31" i="56"/>
  <c r="N109" i="56" s="1"/>
  <c r="F67" i="55"/>
  <c r="F69" i="55" s="1"/>
  <c r="Z44" i="55"/>
  <c r="W66" i="55"/>
  <c r="AA67" i="55"/>
  <c r="U29" i="55"/>
  <c r="K15" i="54"/>
  <c r="K47" i="54"/>
  <c r="K65" i="54" s="1"/>
  <c r="G65" i="54"/>
  <c r="H59" i="54"/>
  <c r="H65" i="54" s="1"/>
  <c r="D65" i="54"/>
  <c r="T59" i="54"/>
  <c r="P101" i="54"/>
  <c r="G101" i="54"/>
  <c r="C101" i="54"/>
  <c r="D101" i="54"/>
  <c r="L25" i="54"/>
  <c r="N25" i="54"/>
  <c r="L101" i="54"/>
  <c r="J25" i="54"/>
  <c r="J101" i="54" s="1"/>
  <c r="Q25" i="54"/>
  <c r="M40" i="53"/>
  <c r="K50" i="53"/>
  <c r="N74" i="53"/>
  <c r="K70" i="53"/>
  <c r="F25" i="53"/>
  <c r="R25" i="53"/>
  <c r="T25" i="53" s="1"/>
  <c r="K34" i="53"/>
  <c r="N40" i="53"/>
  <c r="Q78" i="53"/>
  <c r="W34" i="53"/>
  <c r="F40" i="53"/>
  <c r="T39" i="53"/>
  <c r="T69" i="53"/>
  <c r="T50" i="53"/>
  <c r="G102" i="53"/>
  <c r="Q70" i="53"/>
  <c r="N78" i="53"/>
  <c r="C100" i="53"/>
  <c r="O100" i="53"/>
  <c r="K29" i="53"/>
  <c r="W29" i="53"/>
  <c r="W62" i="53"/>
  <c r="K78" i="53"/>
  <c r="Q99" i="53"/>
  <c r="E100" i="53"/>
  <c r="W100" i="53"/>
  <c r="D100" i="53"/>
  <c r="H78" i="53"/>
  <c r="T72" i="53"/>
  <c r="R40" i="53"/>
  <c r="H39" i="53"/>
  <c r="N20" i="53"/>
  <c r="K83" i="52"/>
  <c r="H100" i="52"/>
  <c r="W83" i="52"/>
  <c r="K84" i="52"/>
  <c r="H15" i="52"/>
  <c r="R25" i="52"/>
  <c r="R108" i="52" s="1"/>
  <c r="G25" i="52"/>
  <c r="M40" i="52"/>
  <c r="R40" i="52"/>
  <c r="T40" i="52" s="1"/>
  <c r="E25" i="52"/>
  <c r="L40" i="52"/>
  <c r="L108" i="52" s="1"/>
  <c r="H106" i="52"/>
  <c r="J108" i="52"/>
  <c r="W106" i="52"/>
  <c r="Q79" i="52"/>
  <c r="D84" i="52"/>
  <c r="T79" i="52"/>
  <c r="T75" i="52"/>
  <c r="N83" i="52"/>
  <c r="U108" i="52"/>
  <c r="W51" i="52"/>
  <c r="Q40" i="52"/>
  <c r="W39" i="52"/>
  <c r="O108" i="52"/>
  <c r="C40" i="52"/>
  <c r="V40" i="52"/>
  <c r="G108" i="52"/>
  <c r="H25" i="52"/>
  <c r="H108" i="52" s="1"/>
  <c r="F25" i="52"/>
  <c r="Q15" i="52"/>
  <c r="C80" i="51"/>
  <c r="J23" i="51"/>
  <c r="F25" i="50"/>
  <c r="G76" i="50"/>
  <c r="I122" i="49"/>
  <c r="M114" i="49"/>
  <c r="M120" i="49"/>
  <c r="O120" i="49"/>
  <c r="H86" i="49"/>
  <c r="K122" i="49"/>
  <c r="H122" i="49"/>
  <c r="M39" i="49"/>
  <c r="E39" i="48"/>
  <c r="S106" i="48"/>
  <c r="T106" i="48" s="1"/>
  <c r="N75" i="48"/>
  <c r="K63" i="48"/>
  <c r="Q34" i="48"/>
  <c r="J71" i="48"/>
  <c r="W39" i="48"/>
  <c r="N29" i="48"/>
  <c r="W29" i="48"/>
  <c r="D71" i="48"/>
  <c r="N84" i="48"/>
  <c r="E29" i="48"/>
  <c r="S84" i="48"/>
  <c r="W63" i="48"/>
  <c r="M79" i="47"/>
  <c r="K88" i="47"/>
  <c r="K49" i="47"/>
  <c r="N84" i="47"/>
  <c r="M57" i="47"/>
  <c r="X26" i="46"/>
  <c r="Z26" i="46" s="1"/>
  <c r="F78" i="46"/>
  <c r="O26" i="46"/>
  <c r="Q26" i="46" s="1"/>
  <c r="AI55" i="46"/>
  <c r="E26" i="46"/>
  <c r="L78" i="46"/>
  <c r="L56" i="46"/>
  <c r="W25" i="46"/>
  <c r="AF48" i="46"/>
  <c r="AF83" i="46"/>
  <c r="AA26" i="46"/>
  <c r="AC26" i="46" s="1"/>
  <c r="K55" i="46"/>
  <c r="W55" i="46"/>
  <c r="M78" i="46"/>
  <c r="W83" i="46"/>
  <c r="W93" i="46" s="1"/>
  <c r="R78" i="46"/>
  <c r="Z77" i="46"/>
  <c r="E36" i="46"/>
  <c r="AC36" i="46"/>
  <c r="AI48" i="46"/>
  <c r="AH26" i="46"/>
  <c r="AI25" i="46"/>
  <c r="Z50" i="45"/>
  <c r="C21" i="45"/>
  <c r="D74" i="45"/>
  <c r="T65" i="45"/>
  <c r="X74" i="45"/>
  <c r="H37" i="45"/>
  <c r="C44" i="45"/>
  <c r="O44" i="45"/>
  <c r="T74" i="45"/>
  <c r="X21" i="45"/>
  <c r="H17" i="45"/>
  <c r="J21" i="45"/>
  <c r="V21" i="45"/>
  <c r="E73" i="45"/>
  <c r="H64" i="45"/>
  <c r="X65" i="45"/>
  <c r="Y44" i="45"/>
  <c r="V56" i="44"/>
  <c r="V106" i="44"/>
  <c r="U106" i="44"/>
  <c r="T55" i="44"/>
  <c r="U56" i="44"/>
  <c r="Q24" i="44"/>
  <c r="I78" i="44"/>
  <c r="S78" i="44"/>
  <c r="L56" i="44"/>
  <c r="H56" i="44"/>
  <c r="S37" i="41"/>
  <c r="K32" i="60"/>
  <c r="K39" i="60" s="1"/>
  <c r="H32" i="60"/>
  <c r="H39" i="60" s="1"/>
  <c r="H40" i="60" s="1"/>
  <c r="N36" i="60"/>
  <c r="I14" i="56"/>
  <c r="I31" i="56" s="1"/>
  <c r="I78" i="56"/>
  <c r="O78" i="56"/>
  <c r="F70" i="56"/>
  <c r="R70" i="56"/>
  <c r="L78" i="56"/>
  <c r="F56" i="56"/>
  <c r="U56" i="56"/>
  <c r="L70" i="56"/>
  <c r="F14" i="56"/>
  <c r="F31" i="56" s="1"/>
  <c r="O70" i="56"/>
  <c r="H23" i="51"/>
  <c r="F23" i="51"/>
  <c r="F80" i="51" s="1"/>
  <c r="I33" i="51"/>
  <c r="J57" i="51"/>
  <c r="E23" i="51"/>
  <c r="E80" i="51" s="1"/>
  <c r="I23" i="51"/>
  <c r="J33" i="51"/>
  <c r="H65" i="51"/>
  <c r="K42" i="51"/>
  <c r="K50" i="50"/>
  <c r="H29" i="50"/>
  <c r="G97" i="50"/>
  <c r="K24" i="50"/>
  <c r="K85" i="50"/>
  <c r="E87" i="46"/>
  <c r="AG19" i="38"/>
  <c r="AH11" i="38"/>
  <c r="AH26" i="38"/>
  <c r="AX26" i="38"/>
  <c r="AS144" i="35"/>
  <c r="M35" i="36"/>
  <c r="BU52" i="36"/>
  <c r="CP101" i="35"/>
  <c r="CN53" i="36"/>
  <c r="I144" i="35"/>
  <c r="BL51" i="36"/>
  <c r="BU71" i="36"/>
  <c r="BM68" i="36"/>
  <c r="BU155" i="35"/>
  <c r="CF155" i="35"/>
  <c r="BK154" i="35"/>
  <c r="BE18" i="36"/>
  <c r="BP18" i="36"/>
  <c r="BS154" i="35"/>
  <c r="BS155" i="35" s="1"/>
  <c r="BK26" i="36"/>
  <c r="BU26" i="36"/>
  <c r="C52" i="36"/>
  <c r="M52" i="36"/>
  <c r="BE52" i="36"/>
  <c r="BP52" i="36"/>
  <c r="CA52" i="36"/>
  <c r="CK52" i="36"/>
  <c r="L53" i="36"/>
  <c r="K54" i="36"/>
  <c r="AZ144" i="35"/>
  <c r="BN68" i="36"/>
  <c r="J101" i="35"/>
  <c r="Z11" i="38"/>
  <c r="AD24" i="38"/>
  <c r="C19" i="38"/>
  <c r="AI19" i="38"/>
  <c r="C27" i="38"/>
  <c r="AI27" i="38"/>
  <c r="AP24" i="38"/>
  <c r="BA31" i="38"/>
  <c r="Z25" i="38"/>
  <c r="AP11" i="38"/>
  <c r="N26" i="38"/>
  <c r="AD26" i="38"/>
  <c r="N59" i="37"/>
  <c r="J116" i="37"/>
  <c r="N163" i="37"/>
  <c r="J174" i="37"/>
  <c r="O30" i="38"/>
  <c r="V8" i="38"/>
  <c r="AX24" i="38"/>
  <c r="AT26" i="38"/>
  <c r="AX11" i="38"/>
  <c r="O179" i="37"/>
  <c r="D179" i="37"/>
  <c r="V18" i="38"/>
  <c r="F116" i="37"/>
  <c r="F179" i="37" s="1"/>
  <c r="N116" i="37"/>
  <c r="J163" i="37"/>
  <c r="K174" i="37"/>
  <c r="K179" i="37" s="1"/>
  <c r="H179" i="37"/>
  <c r="R16" i="38"/>
  <c r="AU19" i="38"/>
  <c r="AE19" i="38"/>
  <c r="I27" i="38"/>
  <c r="AE27" i="38"/>
  <c r="R7" i="38"/>
  <c r="L179" i="37"/>
  <c r="L6" i="38"/>
  <c r="AU9" i="38"/>
  <c r="AJ32" i="38"/>
  <c r="AD12" i="38"/>
  <c r="E179" i="37"/>
  <c r="J16" i="38"/>
  <c r="Z16" i="38"/>
  <c r="AP16" i="38"/>
  <c r="V26" i="38"/>
  <c r="AT6" i="38"/>
  <c r="AL16" i="38"/>
  <c r="AH18" i="38"/>
  <c r="AT25" i="38"/>
  <c r="AD7" i="38"/>
  <c r="N8" i="38"/>
  <c r="N32" i="38" s="1"/>
  <c r="AO19" i="38"/>
  <c r="O19" i="38"/>
  <c r="I116" i="37"/>
  <c r="I179" i="37" s="1"/>
  <c r="CL44" i="36"/>
  <c r="CM149" i="35"/>
  <c r="BC47" i="36"/>
  <c r="CF51" i="36"/>
  <c r="BR65" i="36"/>
  <c r="CH50" i="36"/>
  <c r="K47" i="36"/>
  <c r="BM47" i="36"/>
  <c r="BX47" i="36"/>
  <c r="CI47" i="36"/>
  <c r="BN49" i="36"/>
  <c r="BU51" i="36"/>
  <c r="CL66" i="36"/>
  <c r="BK52" i="35"/>
  <c r="AJ53" i="35"/>
  <c r="BV67" i="36"/>
  <c r="BN46" i="36"/>
  <c r="O18" i="35"/>
  <c r="E144" i="35"/>
  <c r="P144" i="35"/>
  <c r="CM89" i="35"/>
  <c r="CI122" i="35"/>
  <c r="CE138" i="35"/>
  <c r="BC143" i="35"/>
  <c r="CM143" i="35"/>
  <c r="CM147" i="35"/>
  <c r="BF44" i="36"/>
  <c r="F101" i="35"/>
  <c r="AL101" i="35"/>
  <c r="BR101" i="35"/>
  <c r="BQ155" i="35"/>
  <c r="CL155" i="35"/>
  <c r="CM35" i="35"/>
  <c r="CI18" i="35"/>
  <c r="CM52" i="35"/>
  <c r="CE70" i="35"/>
  <c r="BR155" i="35"/>
  <c r="CC155" i="35"/>
  <c r="BW53" i="36"/>
  <c r="D53" i="35"/>
  <c r="BQ144" i="35"/>
  <c r="CL144" i="35"/>
  <c r="CD65" i="36"/>
  <c r="BR62" i="36"/>
  <c r="BR64" i="36" s="1"/>
  <c r="BZ45" i="36"/>
  <c r="BK51" i="36"/>
  <c r="M53" i="35"/>
  <c r="AH53" i="35"/>
  <c r="AS53" i="35"/>
  <c r="BN53" i="35"/>
  <c r="BY53" i="35"/>
  <c r="CE35" i="35"/>
  <c r="BO52" i="35"/>
  <c r="G70" i="35"/>
  <c r="H101" i="35"/>
  <c r="CI100" i="35"/>
  <c r="CM122" i="35"/>
  <c r="AP144" i="35"/>
  <c r="BG143" i="35"/>
  <c r="CE143" i="35"/>
  <c r="BI155" i="35"/>
  <c r="BT155" i="35"/>
  <c r="CE147" i="35"/>
  <c r="CE154" i="35"/>
  <c r="Z144" i="35"/>
  <c r="AK144" i="35"/>
  <c r="AV144" i="35"/>
  <c r="BF144" i="35"/>
  <c r="CB144" i="35"/>
  <c r="BL68" i="36"/>
  <c r="BM52" i="36"/>
  <c r="BL69" i="36"/>
  <c r="BL72" i="36" s="1"/>
  <c r="N44" i="36"/>
  <c r="BG60" i="36"/>
  <c r="AC53" i="35"/>
  <c r="R101" i="35"/>
  <c r="AC101" i="35"/>
  <c r="AN101" i="35"/>
  <c r="AX101" i="35"/>
  <c r="BI101" i="35"/>
  <c r="BT101" i="35"/>
  <c r="CE89" i="35"/>
  <c r="G100" i="35"/>
  <c r="J144" i="35"/>
  <c r="BA144" i="35"/>
  <c r="BL144" i="35"/>
  <c r="BV144" i="35"/>
  <c r="T144" i="35"/>
  <c r="CE149" i="35"/>
  <c r="CD101" i="35"/>
  <c r="CI138" i="35"/>
  <c r="CI154" i="35"/>
  <c r="CM154" i="35"/>
  <c r="CE52" i="35"/>
  <c r="X53" i="35"/>
  <c r="BD53" i="35"/>
  <c r="S18" i="35"/>
  <c r="O35" i="35"/>
  <c r="AI52" i="35"/>
  <c r="K100" i="35"/>
  <c r="AI138" i="35"/>
  <c r="BK143" i="35"/>
  <c r="AO53" i="35"/>
  <c r="AZ53" i="35"/>
  <c r="H53" i="35"/>
  <c r="R53" i="35"/>
  <c r="AN53" i="35"/>
  <c r="AX53" i="35"/>
  <c r="BI53" i="35"/>
  <c r="BT53" i="35"/>
  <c r="I101" i="35"/>
  <c r="T101" i="35"/>
  <c r="AD101" i="35"/>
  <c r="AO101" i="35"/>
  <c r="AZ101" i="35"/>
  <c r="BJ101" i="35"/>
  <c r="BU101" i="35"/>
  <c r="CF101" i="35"/>
  <c r="L144" i="35"/>
  <c r="V144" i="35"/>
  <c r="U144" i="35"/>
  <c r="AD144" i="35"/>
  <c r="AO144" i="35"/>
  <c r="BJ144" i="35"/>
  <c r="BU144" i="35"/>
  <c r="CF144" i="35"/>
  <c r="CD53" i="35"/>
  <c r="Z53" i="35"/>
  <c r="BF53" i="35"/>
  <c r="M101" i="35"/>
  <c r="X101" i="35"/>
  <c r="AH101" i="35"/>
  <c r="AS101" i="35"/>
  <c r="BD101" i="35"/>
  <c r="BN101" i="35"/>
  <c r="BY101" i="35"/>
  <c r="H144" i="35"/>
  <c r="R144" i="35"/>
  <c r="BM155" i="35"/>
  <c r="CH155" i="35"/>
  <c r="CA154" i="35"/>
  <c r="CN60" i="36"/>
  <c r="BX70" i="36"/>
  <c r="BJ64" i="36"/>
  <c r="CN37" i="36"/>
  <c r="CO60" i="36"/>
  <c r="CO51" i="36"/>
  <c r="CP29" i="36"/>
  <c r="AQ143" i="35"/>
  <c r="CM70" i="35"/>
  <c r="BZ41" i="36"/>
  <c r="S122" i="35"/>
  <c r="AM18" i="35"/>
  <c r="AD53" i="35"/>
  <c r="O52" i="35"/>
  <c r="AU52" i="35"/>
  <c r="S70" i="35"/>
  <c r="AQ122" i="35"/>
  <c r="BL155" i="35"/>
  <c r="BV155" i="35"/>
  <c r="CG155" i="35"/>
  <c r="BC18" i="35"/>
  <c r="AY18" i="35"/>
  <c r="F53" i="35"/>
  <c r="AB53" i="35"/>
  <c r="AL53" i="35"/>
  <c r="AW53" i="35"/>
  <c r="CE18" i="35"/>
  <c r="AA35" i="35"/>
  <c r="BB53" i="35"/>
  <c r="CI35" i="35"/>
  <c r="W52" i="35"/>
  <c r="BC52" i="35"/>
  <c r="AQ52" i="35"/>
  <c r="BS52" i="35"/>
  <c r="CI52" i="35"/>
  <c r="BG70" i="35"/>
  <c r="AI70" i="35"/>
  <c r="BK70" i="35"/>
  <c r="AE70" i="35"/>
  <c r="AM89" i="35"/>
  <c r="BC89" i="35"/>
  <c r="AE89" i="35"/>
  <c r="AQ100" i="35"/>
  <c r="BW100" i="35"/>
  <c r="AY100" i="35"/>
  <c r="AY122" i="35"/>
  <c r="CD41" i="36"/>
  <c r="CL41" i="36"/>
  <c r="BW122" i="35"/>
  <c r="BR41" i="36"/>
  <c r="AC144" i="35"/>
  <c r="AN144" i="35"/>
  <c r="AX144" i="35"/>
  <c r="BI144" i="35"/>
  <c r="BT144" i="35"/>
  <c r="CD144" i="35"/>
  <c r="O138" i="35"/>
  <c r="CA143" i="35"/>
  <c r="K35" i="35"/>
  <c r="K53" i="35" s="1"/>
  <c r="BO143" i="35"/>
  <c r="AP53" i="35"/>
  <c r="BA53" i="35"/>
  <c r="AU89" i="35"/>
  <c r="S52" i="35"/>
  <c r="AY52" i="35"/>
  <c r="AI100" i="35"/>
  <c r="BO100" i="35"/>
  <c r="AY143" i="35"/>
  <c r="AU18" i="35"/>
  <c r="CM18" i="35"/>
  <c r="AE35" i="35"/>
  <c r="O70" i="35"/>
  <c r="CI70" i="35"/>
  <c r="AM100" i="35"/>
  <c r="S138" i="35"/>
  <c r="S144" i="35" s="1"/>
  <c r="AE138" i="35"/>
  <c r="CA35" i="35"/>
  <c r="CA52" i="35"/>
  <c r="I53" i="35"/>
  <c r="T53" i="35"/>
  <c r="BJ53" i="35"/>
  <c r="BU53" i="35"/>
  <c r="CF53" i="35"/>
  <c r="W70" i="35"/>
  <c r="M144" i="35"/>
  <c r="BN144" i="35"/>
  <c r="BY144" i="35"/>
  <c r="AF144" i="35"/>
  <c r="CG144" i="35"/>
  <c r="BN155" i="35"/>
  <c r="BT70" i="36"/>
  <c r="CE70" i="36"/>
  <c r="L101" i="35"/>
  <c r="V101" i="35"/>
  <c r="AG101" i="35"/>
  <c r="AR101" i="35"/>
  <c r="BB101" i="35"/>
  <c r="BM101" i="35"/>
  <c r="BX101" i="35"/>
  <c r="CH101" i="35"/>
  <c r="CH41" i="36"/>
  <c r="K122" i="35"/>
  <c r="W138" i="35"/>
  <c r="BC138" i="35"/>
  <c r="D144" i="35"/>
  <c r="BW143" i="35"/>
  <c r="BS143" i="35"/>
  <c r="CI143" i="35"/>
  <c r="AA52" i="35"/>
  <c r="CA147" i="35"/>
  <c r="BY155" i="35"/>
  <c r="CJ155" i="35"/>
  <c r="CL53" i="35"/>
  <c r="AI18" i="35"/>
  <c r="AM52" i="35"/>
  <c r="CJ101" i="35"/>
  <c r="BD26" i="36"/>
  <c r="BO26" i="36"/>
  <c r="BY26" i="36"/>
  <c r="CJ26" i="36"/>
  <c r="BO71" i="36"/>
  <c r="BO72" i="36" s="1"/>
  <c r="BY71" i="36"/>
  <c r="CJ71" i="36"/>
  <c r="XEM69" i="35"/>
  <c r="CB101" i="35"/>
  <c r="N144" i="35"/>
  <c r="Y144" i="35"/>
  <c r="AJ144" i="35"/>
  <c r="AT144" i="35"/>
  <c r="BE144" i="35"/>
  <c r="BP144" i="35"/>
  <c r="BZ144" i="35"/>
  <c r="CK144" i="35"/>
  <c r="AG144" i="35"/>
  <c r="AR144" i="35"/>
  <c r="BB144" i="35"/>
  <c r="BM144" i="35"/>
  <c r="BX144" i="35"/>
  <c r="BU18" i="36"/>
  <c r="C26" i="36"/>
  <c r="BK52" i="36"/>
  <c r="CF52" i="36"/>
  <c r="BP68" i="36"/>
  <c r="CA68" i="36"/>
  <c r="CK68" i="36"/>
  <c r="S35" i="35"/>
  <c r="CE100" i="35"/>
  <c r="BP71" i="36"/>
  <c r="CA71" i="36"/>
  <c r="CK71" i="36"/>
  <c r="CH144" i="35"/>
  <c r="CI147" i="35"/>
  <c r="W18" i="35"/>
  <c r="AQ18" i="35"/>
  <c r="BW18" i="35"/>
  <c r="AA18" i="35"/>
  <c r="BG18" i="35"/>
  <c r="L53" i="35"/>
  <c r="V53" i="35"/>
  <c r="AG53" i="35"/>
  <c r="AR53" i="35"/>
  <c r="BM53" i="35"/>
  <c r="BX53" i="35"/>
  <c r="CH53" i="35"/>
  <c r="W35" i="35"/>
  <c r="Q53" i="35"/>
  <c r="BH53" i="35"/>
  <c r="BR53" i="35"/>
  <c r="CC53" i="35"/>
  <c r="AE52" i="35"/>
  <c r="E53" i="35"/>
  <c r="K70" i="35"/>
  <c r="BV41" i="36"/>
  <c r="M18" i="36"/>
  <c r="CJ19" i="36"/>
  <c r="K20" i="36"/>
  <c r="BC20" i="36"/>
  <c r="CI20" i="36"/>
  <c r="BS18" i="35"/>
  <c r="AE18" i="35"/>
  <c r="BK18" i="35"/>
  <c r="BO18" i="35"/>
  <c r="J53" i="35"/>
  <c r="U53" i="35"/>
  <c r="AF53" i="35"/>
  <c r="BL53" i="35"/>
  <c r="BV53" i="35"/>
  <c r="CG53" i="35"/>
  <c r="AU35" i="35"/>
  <c r="AI35" i="35"/>
  <c r="AQ35" i="35"/>
  <c r="L36" i="36"/>
  <c r="G35" i="35"/>
  <c r="AM35" i="35"/>
  <c r="BK35" i="35"/>
  <c r="P53" i="35"/>
  <c r="AK53" i="35"/>
  <c r="AV53" i="35"/>
  <c r="BQ53" i="35"/>
  <c r="CB53" i="35"/>
  <c r="BG52" i="35"/>
  <c r="AA70" i="35"/>
  <c r="G89" i="35"/>
  <c r="CJ52" i="36"/>
  <c r="BM53" i="36"/>
  <c r="BL54" i="36"/>
  <c r="BU60" i="36"/>
  <c r="CF60" i="36"/>
  <c r="AU143" i="35"/>
  <c r="BH155" i="35"/>
  <c r="F144" i="35"/>
  <c r="AB144" i="35"/>
  <c r="AL144" i="35"/>
  <c r="AW144" i="35"/>
  <c r="BH144" i="35"/>
  <c r="BR144" i="35"/>
  <c r="AT101" i="35"/>
  <c r="BP101" i="35"/>
  <c r="CK101" i="35"/>
  <c r="CP53" i="35"/>
  <c r="CQ52" i="35"/>
  <c r="CN53" i="35"/>
  <c r="N53" i="35"/>
  <c r="Y53" i="35"/>
  <c r="AT53" i="35"/>
  <c r="BE53" i="35"/>
  <c r="BP53" i="35"/>
  <c r="BZ53" i="35"/>
  <c r="CK53" i="35"/>
  <c r="CP155" i="35"/>
  <c r="AK101" i="35"/>
  <c r="CL101" i="35"/>
  <c r="G35" i="36"/>
  <c r="CQ35" i="35"/>
  <c r="CQ147" i="35"/>
  <c r="CQ18" i="35"/>
  <c r="CN144" i="35"/>
  <c r="CQ149" i="35"/>
  <c r="G52" i="35"/>
  <c r="BK147" i="35"/>
  <c r="CO101" i="35"/>
  <c r="BW154" i="35"/>
  <c r="CN155" i="35"/>
  <c r="CO53" i="35"/>
  <c r="P101" i="35"/>
  <c r="BX155" i="35"/>
  <c r="BG35" i="35"/>
  <c r="BW52" i="35"/>
  <c r="BC70" i="35"/>
  <c r="AA122" i="35"/>
  <c r="BZ155" i="35"/>
  <c r="CK155" i="35"/>
  <c r="L36" i="22"/>
  <c r="S18" i="22"/>
  <c r="I13" i="22"/>
  <c r="J13" i="22"/>
  <c r="I36" i="22"/>
  <c r="N36" i="22"/>
  <c r="C33" i="22"/>
  <c r="C36" i="22" s="1"/>
  <c r="O36" i="22"/>
  <c r="M30" i="22"/>
  <c r="F36" i="22"/>
  <c r="T13" i="22"/>
  <c r="CO31" i="19"/>
  <c r="Z29" i="19"/>
  <c r="BZ19" i="19"/>
  <c r="CD19" i="19"/>
  <c r="BO37" i="19"/>
  <c r="AW37" i="19"/>
  <c r="Y37" i="19"/>
  <c r="Z9" i="19"/>
  <c r="AP31" i="19"/>
  <c r="AZ37" i="19"/>
  <c r="BS37" i="19"/>
  <c r="AX29" i="19"/>
  <c r="BH37" i="19"/>
  <c r="AX33" i="19"/>
  <c r="CD9" i="19"/>
  <c r="BV19" i="19"/>
  <c r="CH34" i="19"/>
  <c r="BF90" i="18"/>
  <c r="BI33" i="19"/>
  <c r="BP37" i="19"/>
  <c r="BZ71" i="18"/>
  <c r="BR19" i="19"/>
  <c r="CN9" i="19"/>
  <c r="AT31" i="19"/>
  <c r="BW37" i="19"/>
  <c r="BF31" i="19"/>
  <c r="P37" i="19"/>
  <c r="CG29" i="19"/>
  <c r="AI34" i="19"/>
  <c r="CN33" i="19"/>
  <c r="CO9" i="19"/>
  <c r="CO32" i="19"/>
  <c r="CO33" i="19"/>
  <c r="AD34" i="19"/>
  <c r="AE37" i="19"/>
  <c r="BR33" i="19"/>
  <c r="AX9" i="19"/>
  <c r="H31" i="19"/>
  <c r="BZ31" i="19"/>
  <c r="CE37" i="19"/>
  <c r="BN71" i="18"/>
  <c r="AT33" i="19"/>
  <c r="BV9" i="19"/>
  <c r="AI33" i="19"/>
  <c r="CK34" i="19"/>
  <c r="CK37" i="19" s="1"/>
  <c r="AK32" i="19"/>
  <c r="AK37" i="19" s="1"/>
  <c r="R32" i="19"/>
  <c r="R37" i="19" s="1"/>
  <c r="CP17" i="19"/>
  <c r="CD31" i="19"/>
  <c r="W37" i="19"/>
  <c r="CC37" i="19"/>
  <c r="F37" i="19"/>
  <c r="CD33" i="19"/>
  <c r="Z19" i="19"/>
  <c r="BN34" i="19"/>
  <c r="AX13" i="19"/>
  <c r="AX36" i="19" s="1"/>
  <c r="F131" i="40"/>
  <c r="M98" i="40"/>
  <c r="L212" i="40"/>
  <c r="M212" i="40" s="1"/>
  <c r="G228" i="40"/>
  <c r="D359" i="40"/>
  <c r="Q61" i="40"/>
  <c r="Q63" i="40" s="1"/>
  <c r="M128" i="40"/>
  <c r="L189" i="40"/>
  <c r="M189" i="40" s="1"/>
  <c r="K85" i="40"/>
  <c r="R85" i="40" s="1"/>
  <c r="Q73" i="40"/>
  <c r="K80" i="40"/>
  <c r="R80" i="40" s="1"/>
  <c r="K51" i="40"/>
  <c r="R51" i="40" s="1"/>
  <c r="Q58" i="40"/>
  <c r="L221" i="40"/>
  <c r="M221" i="40" s="1"/>
  <c r="K47" i="40"/>
  <c r="R47" i="40" s="1"/>
  <c r="Q56" i="40"/>
  <c r="M127" i="40"/>
  <c r="K431" i="40"/>
  <c r="L431" i="40" s="1"/>
  <c r="M431" i="40" s="1"/>
  <c r="M151" i="40"/>
  <c r="L206" i="40"/>
  <c r="M206" i="40" s="1"/>
  <c r="C98" i="40"/>
  <c r="J76" i="40"/>
  <c r="L124" i="40"/>
  <c r="N124" i="40" s="1"/>
  <c r="L177" i="40"/>
  <c r="M177" i="40" s="1"/>
  <c r="L351" i="40"/>
  <c r="M351" i="40" s="1"/>
  <c r="L378" i="40"/>
  <c r="L141" i="40"/>
  <c r="N141" i="40" s="1"/>
  <c r="P92" i="40"/>
  <c r="F255" i="40"/>
  <c r="J48" i="40"/>
  <c r="K48" i="40" s="1"/>
  <c r="R48" i="40" s="1"/>
  <c r="G436" i="26"/>
  <c r="G437" i="26" s="1"/>
  <c r="E43" i="26"/>
  <c r="H343" i="26"/>
  <c r="H318" i="26"/>
  <c r="I318" i="26" s="1"/>
  <c r="K318" i="26" s="1"/>
  <c r="BM9" i="64"/>
  <c r="BD14" i="64"/>
  <c r="BT24" i="64"/>
  <c r="BZ8" i="64"/>
  <c r="BW66" i="64"/>
  <c r="BX101" i="64"/>
  <c r="BX136" i="64"/>
  <c r="AT8" i="64"/>
  <c r="BZ16" i="64"/>
  <c r="BZ21" i="64"/>
  <c r="BP11" i="64"/>
  <c r="BH9" i="64"/>
  <c r="BS9" i="64"/>
  <c r="BU24" i="64"/>
  <c r="BP19" i="64"/>
  <c r="AP29" i="64"/>
  <c r="CV11" i="68"/>
  <c r="AN31" i="64"/>
  <c r="Z19" i="64"/>
  <c r="AV19" i="64"/>
  <c r="AQ29" i="64"/>
  <c r="BA29" i="64"/>
  <c r="BJ44" i="64"/>
  <c r="BV49" i="64"/>
  <c r="AL54" i="64"/>
  <c r="BG66" i="64"/>
  <c r="BB64" i="64"/>
  <c r="AQ66" i="64"/>
  <c r="BA66" i="64"/>
  <c r="AT79" i="64"/>
  <c r="BL101" i="64"/>
  <c r="AW101" i="64"/>
  <c r="AM136" i="64"/>
  <c r="AW136" i="64"/>
  <c r="BH136" i="64"/>
  <c r="AJ136" i="64"/>
  <c r="BD136" i="64"/>
  <c r="BO136" i="64"/>
  <c r="BZ12" i="64"/>
  <c r="AQ9" i="64"/>
  <c r="BA9" i="64"/>
  <c r="AY9" i="64"/>
  <c r="AY31" i="64" s="1"/>
  <c r="AO31" i="64"/>
  <c r="BV17" i="64"/>
  <c r="BM19" i="64"/>
  <c r="BA24" i="64"/>
  <c r="BH24" i="64"/>
  <c r="BL24" i="64"/>
  <c r="BM29" i="64"/>
  <c r="BO29" i="64"/>
  <c r="BB28" i="64"/>
  <c r="BN28" i="64"/>
  <c r="AX44" i="64"/>
  <c r="AS66" i="64"/>
  <c r="BF64" i="64"/>
  <c r="BC101" i="64"/>
  <c r="BI101" i="64"/>
  <c r="AN101" i="64"/>
  <c r="AT114" i="64"/>
  <c r="AL114" i="64"/>
  <c r="BR114" i="64"/>
  <c r="BI136" i="64"/>
  <c r="BN124" i="64"/>
  <c r="BN134" i="64"/>
  <c r="BJ22" i="64"/>
  <c r="BZ13" i="64"/>
  <c r="BZ18" i="64"/>
  <c r="AY29" i="64"/>
  <c r="BF12" i="64"/>
  <c r="BF14" i="64" s="1"/>
  <c r="Z49" i="64"/>
  <c r="BN49" i="64"/>
  <c r="AS101" i="64"/>
  <c r="BU136" i="64"/>
  <c r="BX9" i="64"/>
  <c r="BZ114" i="64"/>
  <c r="CU9" i="68" s="1"/>
  <c r="BX14" i="64"/>
  <c r="AI31" i="64"/>
  <c r="AL14" i="64"/>
  <c r="AR66" i="64"/>
  <c r="BC66" i="64"/>
  <c r="AJ31" i="64"/>
  <c r="AP14" i="64"/>
  <c r="BE14" i="64"/>
  <c r="AL64" i="64"/>
  <c r="BJ64" i="64"/>
  <c r="AV101" i="64"/>
  <c r="AH89" i="64"/>
  <c r="BN89" i="64"/>
  <c r="AX114" i="64"/>
  <c r="AP119" i="64"/>
  <c r="AT124" i="64"/>
  <c r="AL124" i="64"/>
  <c r="AL136" i="64" s="1"/>
  <c r="BR124" i="64"/>
  <c r="BJ134" i="64"/>
  <c r="BW9" i="64"/>
  <c r="AW9" i="64"/>
  <c r="BO19" i="64"/>
  <c r="BH101" i="64"/>
  <c r="BS101" i="64"/>
  <c r="AS136" i="64"/>
  <c r="AX124" i="64"/>
  <c r="BZ84" i="64"/>
  <c r="CT14" i="68" s="1"/>
  <c r="BZ79" i="64"/>
  <c r="CT9" i="68" s="1"/>
  <c r="BP14" i="64"/>
  <c r="AW24" i="64"/>
  <c r="AL29" i="64"/>
  <c r="BT29" i="64"/>
  <c r="AK66" i="64"/>
  <c r="AC101" i="64"/>
  <c r="BT101" i="64"/>
  <c r="AU136" i="64"/>
  <c r="AL134" i="64"/>
  <c r="BZ119" i="64"/>
  <c r="CU14" i="68" s="1"/>
  <c r="AP9" i="64"/>
  <c r="AZ9" i="64"/>
  <c r="BU9" i="64"/>
  <c r="BB12" i="64"/>
  <c r="AT17" i="64"/>
  <c r="BN18" i="64"/>
  <c r="BN23" i="64"/>
  <c r="BN24" i="64" s="1"/>
  <c r="BK29" i="64"/>
  <c r="BU29" i="64"/>
  <c r="BJ28" i="64"/>
  <c r="BV28" i="64"/>
  <c r="BN44" i="64"/>
  <c r="AM66" i="64"/>
  <c r="AW66" i="64"/>
  <c r="AT99" i="64"/>
  <c r="F9" i="64"/>
  <c r="BT9" i="64"/>
  <c r="AD79" i="64"/>
  <c r="BJ79" i="64"/>
  <c r="BY9" i="64"/>
  <c r="AS9" i="64"/>
  <c r="BX24" i="64"/>
  <c r="BY24" i="64"/>
  <c r="BX29" i="64"/>
  <c r="AB101" i="64"/>
  <c r="AR101" i="64"/>
  <c r="BQ101" i="64"/>
  <c r="AY136" i="64"/>
  <c r="BT136" i="64"/>
  <c r="AI136" i="64"/>
  <c r="AT49" i="64"/>
  <c r="AX21" i="64"/>
  <c r="BR28" i="64"/>
  <c r="BZ17" i="64"/>
  <c r="AW29" i="64"/>
  <c r="AV29" i="64"/>
  <c r="BF44" i="64"/>
  <c r="BF49" i="64"/>
  <c r="AO66" i="64"/>
  <c r="BN54" i="64"/>
  <c r="AX59" i="64"/>
  <c r="BN59" i="64"/>
  <c r="AX64" i="64"/>
  <c r="BL19" i="64"/>
  <c r="AQ19" i="64"/>
  <c r="AQ31" i="64" s="1"/>
  <c r="AZ101" i="64"/>
  <c r="BY136" i="64"/>
  <c r="BV8" i="64"/>
  <c r="Z14" i="64"/>
  <c r="BB23" i="64"/>
  <c r="BZ6" i="64"/>
  <c r="BR49" i="64"/>
  <c r="AH31" i="64"/>
  <c r="AX22" i="64"/>
  <c r="BL66" i="64"/>
  <c r="BZ22" i="64"/>
  <c r="CT7" i="68"/>
  <c r="CV7" i="68" s="1"/>
  <c r="BM24" i="64"/>
  <c r="BB49" i="64"/>
  <c r="BB66" i="64" s="1"/>
  <c r="BM101" i="64"/>
  <c r="AX89" i="64"/>
  <c r="AT134" i="64"/>
  <c r="BV26" i="64"/>
  <c r="BN26" i="64"/>
  <c r="BB6" i="64"/>
  <c r="X31" i="64"/>
  <c r="AU66" i="64"/>
  <c r="AP59" i="64"/>
  <c r="BF7" i="64"/>
  <c r="AX16" i="64"/>
  <c r="AV66" i="64"/>
  <c r="CV8" i="68"/>
  <c r="T151" i="68" s="1"/>
  <c r="AV9" i="64"/>
  <c r="BJ13" i="64"/>
  <c r="BV13" i="64"/>
  <c r="AT18" i="64"/>
  <c r="BA19" i="64"/>
  <c r="BJ23" i="64"/>
  <c r="AT6" i="64"/>
  <c r="AT9" i="64" s="1"/>
  <c r="BD24" i="64"/>
  <c r="BB89" i="64"/>
  <c r="BR89" i="64"/>
  <c r="BB99" i="64"/>
  <c r="BZ26" i="64"/>
  <c r="BW101" i="64"/>
  <c r="BV16" i="64"/>
  <c r="BI19" i="64"/>
  <c r="AP24" i="64"/>
  <c r="AE101" i="64"/>
  <c r="AP114" i="64"/>
  <c r="BV114" i="64"/>
  <c r="BD9" i="64"/>
  <c r="BF16" i="64"/>
  <c r="AX17" i="64"/>
  <c r="BR18" i="64"/>
  <c r="AL24" i="64"/>
  <c r="BS66" i="64"/>
  <c r="BJ59" i="64"/>
  <c r="AL79" i="64"/>
  <c r="BR79" i="64"/>
  <c r="AQ101" i="64"/>
  <c r="BL136" i="64"/>
  <c r="BB8" i="64"/>
  <c r="BL9" i="64"/>
  <c r="AP64" i="64"/>
  <c r="BV64" i="64"/>
  <c r="BF79" i="64"/>
  <c r="BS136" i="64"/>
  <c r="BZ23" i="64"/>
  <c r="BV7" i="64"/>
  <c r="BR23" i="64"/>
  <c r="AP134" i="64"/>
  <c r="AP136" i="64" s="1"/>
  <c r="BW29" i="64"/>
  <c r="AD14" i="64"/>
  <c r="BQ66" i="64"/>
  <c r="BN79" i="64"/>
  <c r="BN114" i="64"/>
  <c r="BN136" i="64" s="1"/>
  <c r="AX8" i="64"/>
  <c r="AL19" i="64"/>
  <c r="BF17" i="64"/>
  <c r="BB22" i="64"/>
  <c r="BV23" i="64"/>
  <c r="AT54" i="64"/>
  <c r="BN84" i="64"/>
  <c r="AT89" i="64"/>
  <c r="BY66" i="64"/>
  <c r="CG31" i="68"/>
  <c r="CJ31" i="68" s="1"/>
  <c r="S162" i="68"/>
  <c r="S169" i="68"/>
  <c r="CV27" i="68"/>
  <c r="T226" i="34"/>
  <c r="T247" i="34" s="1"/>
  <c r="T227" i="34"/>
  <c r="R194" i="34"/>
  <c r="N242" i="34"/>
  <c r="S188" i="34"/>
  <c r="T54" i="34"/>
  <c r="R239" i="34"/>
  <c r="P69" i="34"/>
  <c r="P71" i="34" s="1"/>
  <c r="U12" i="34"/>
  <c r="P195" i="34"/>
  <c r="T34" i="34"/>
  <c r="T211" i="34"/>
  <c r="S218" i="34"/>
  <c r="P179" i="34"/>
  <c r="N213" i="34"/>
  <c r="R84" i="34"/>
  <c r="U193" i="34"/>
  <c r="U194" i="34"/>
  <c r="T209" i="34"/>
  <c r="P193" i="34"/>
  <c r="P237" i="34" s="1"/>
  <c r="P50" i="34"/>
  <c r="P87" i="34" s="1"/>
  <c r="P226" i="34"/>
  <c r="P247" i="34" s="1"/>
  <c r="V8" i="34"/>
  <c r="V84" i="34" s="1"/>
  <c r="N212" i="34"/>
  <c r="O188" i="34"/>
  <c r="N218" i="34"/>
  <c r="O205" i="34"/>
  <c r="V17" i="34"/>
  <c r="U17" i="34"/>
  <c r="V12" i="34"/>
  <c r="V176" i="34"/>
  <c r="S55" i="33"/>
  <c r="S163" i="33" s="1"/>
  <c r="Q171" i="34"/>
  <c r="Q243" i="34" s="1"/>
  <c r="U176" i="34"/>
  <c r="N20" i="34"/>
  <c r="P196" i="34"/>
  <c r="S194" i="34"/>
  <c r="S184" i="34"/>
  <c r="O192" i="34"/>
  <c r="O195" i="34"/>
  <c r="R218" i="34"/>
  <c r="R228" i="34"/>
  <c r="R230" i="34" s="1"/>
  <c r="T79" i="34"/>
  <c r="N227" i="34"/>
  <c r="T87" i="34"/>
  <c r="T69" i="34"/>
  <c r="T228" i="34"/>
  <c r="T230" i="34" s="1"/>
  <c r="N67" i="34"/>
  <c r="N89" i="34" s="1"/>
  <c r="P36" i="34"/>
  <c r="O16" i="34"/>
  <c r="U171" i="34"/>
  <c r="N12" i="34"/>
  <c r="S76" i="34"/>
  <c r="S77" i="34" s="1"/>
  <c r="S59" i="34"/>
  <c r="S85" i="34" s="1"/>
  <c r="U36" i="34"/>
  <c r="U37" i="34" s="1"/>
  <c r="P53" i="34"/>
  <c r="O18" i="34"/>
  <c r="O20" i="34" s="1"/>
  <c r="N175" i="34"/>
  <c r="N245" i="34" s="1"/>
  <c r="U29" i="34"/>
  <c r="U85" i="34" s="1"/>
  <c r="T195" i="34"/>
  <c r="N68" i="34"/>
  <c r="N71" i="34" s="1"/>
  <c r="T185" i="34"/>
  <c r="R35" i="34"/>
  <c r="U86" i="34"/>
  <c r="S192" i="34"/>
  <c r="S244" i="34" s="1"/>
  <c r="N178" i="34"/>
  <c r="N168" i="34"/>
  <c r="N171" i="34" s="1"/>
  <c r="Q19" i="34"/>
  <c r="T178" i="34"/>
  <c r="T239" i="34" s="1"/>
  <c r="O212" i="34"/>
  <c r="O213" i="34" s="1"/>
  <c r="Q226" i="34"/>
  <c r="Q247" i="34" s="1"/>
  <c r="Q25" i="34"/>
  <c r="Q84" i="34" s="1"/>
  <c r="T42" i="34"/>
  <c r="S229" i="34"/>
  <c r="S230" i="34" s="1"/>
  <c r="Q178" i="34"/>
  <c r="T212" i="34"/>
  <c r="V166" i="34"/>
  <c r="T59" i="34"/>
  <c r="T198" i="34"/>
  <c r="R181" i="34"/>
  <c r="O33" i="34"/>
  <c r="U177" i="34"/>
  <c r="N194" i="34"/>
  <c r="S165" i="34"/>
  <c r="R53" i="34"/>
  <c r="R81" i="34" s="1"/>
  <c r="R34" i="34"/>
  <c r="R37" i="34" s="1"/>
  <c r="N177" i="34"/>
  <c r="O53" i="34"/>
  <c r="O36" i="34"/>
  <c r="O37" i="34" s="1"/>
  <c r="R29" i="34"/>
  <c r="R46" i="34"/>
  <c r="R86" i="34" s="1"/>
  <c r="Q46" i="34"/>
  <c r="Q86" i="34" s="1"/>
  <c r="N229" i="34"/>
  <c r="O71" i="34"/>
  <c r="N37" i="34"/>
  <c r="R188" i="34"/>
  <c r="R243" i="34" s="1"/>
  <c r="Q35" i="34"/>
  <c r="S46" i="34"/>
  <c r="P208" i="34"/>
  <c r="P212" i="34" s="1"/>
  <c r="P213" i="34" s="1"/>
  <c r="P220" i="34"/>
  <c r="U70" i="34"/>
  <c r="U71" i="34" s="1"/>
  <c r="U178" i="34"/>
  <c r="T238" i="34"/>
  <c r="P34" i="34"/>
  <c r="P37" i="34" s="1"/>
  <c r="S18" i="34"/>
  <c r="S80" i="34" s="1"/>
  <c r="O194" i="34"/>
  <c r="O196" i="34" s="1"/>
  <c r="P63" i="34"/>
  <c r="P88" i="34" s="1"/>
  <c r="O12" i="34"/>
  <c r="O85" i="34" s="1"/>
  <c r="U195" i="34"/>
  <c r="U196" i="34" s="1"/>
  <c r="Q16" i="34"/>
  <c r="O171" i="34"/>
  <c r="O243" i="34" s="1"/>
  <c r="R42" i="34"/>
  <c r="R205" i="34"/>
  <c r="T46" i="34"/>
  <c r="T86" i="34" s="1"/>
  <c r="S70" i="34"/>
  <c r="S71" i="34" s="1"/>
  <c r="T8" i="34"/>
  <c r="T84" i="34" s="1"/>
  <c r="Q195" i="34"/>
  <c r="Q196" i="34" s="1"/>
  <c r="U211" i="34"/>
  <c r="AA30" i="70"/>
  <c r="X35" i="70"/>
  <c r="AA61" i="70"/>
  <c r="AA65" i="70"/>
  <c r="O53" i="70"/>
  <c r="U66" i="70"/>
  <c r="W66" i="70"/>
  <c r="X82" i="70"/>
  <c r="Q46" i="70"/>
  <c r="P53" i="70"/>
  <c r="V52" i="70"/>
  <c r="E66" i="70"/>
  <c r="C82" i="70"/>
  <c r="W35" i="70"/>
  <c r="X66" i="70"/>
  <c r="R22" i="70"/>
  <c r="V16" i="70"/>
  <c r="V34" i="70"/>
  <c r="S82" i="70"/>
  <c r="V26" i="70"/>
  <c r="S35" i="70"/>
  <c r="Q34" i="70"/>
  <c r="E53" i="70"/>
  <c r="Q61" i="70"/>
  <c r="G66" i="70"/>
  <c r="T22" i="70"/>
  <c r="V21" i="70"/>
  <c r="AA10" i="70"/>
  <c r="AA46" i="70"/>
  <c r="C22" i="70"/>
  <c r="E22" i="70"/>
  <c r="G82" i="70"/>
  <c r="AA71" i="70"/>
  <c r="AA82" i="70" s="1"/>
  <c r="Z93" i="70" s="1"/>
  <c r="M53" i="70"/>
  <c r="S66" i="70"/>
  <c r="AA26" i="70"/>
  <c r="AA41" i="70"/>
  <c r="AA53" i="70" s="1"/>
  <c r="Y91" i="70" s="1"/>
  <c r="AA52" i="70"/>
  <c r="AA57" i="70"/>
  <c r="P109" i="74"/>
  <c r="Z20" i="76"/>
  <c r="Q30" i="76"/>
  <c r="H10" i="76"/>
  <c r="H20" i="76"/>
  <c r="Q10" i="76"/>
  <c r="Z52" i="76"/>
  <c r="H41" i="76"/>
  <c r="AA62" i="76"/>
  <c r="F55" i="32"/>
  <c r="F80" i="32"/>
  <c r="AU78" i="32"/>
  <c r="AH43" i="32"/>
  <c r="AO34" i="32"/>
  <c r="BC34" i="32"/>
  <c r="AW20" i="32"/>
  <c r="AO26" i="32"/>
  <c r="BB36" i="32"/>
  <c r="BC13" i="32"/>
  <c r="BC21" i="32" s="1"/>
  <c r="AB80" i="32"/>
  <c r="AR34" i="32"/>
  <c r="AX17" i="32"/>
  <c r="AW77" i="32"/>
  <c r="AM76" i="32"/>
  <c r="AC75" i="32"/>
  <c r="AT37" i="32"/>
  <c r="AR51" i="32"/>
  <c r="AR55" i="32" s="1"/>
  <c r="AZ54" i="32"/>
  <c r="BC70" i="32"/>
  <c r="BC78" i="32" s="1"/>
  <c r="AX9" i="32"/>
  <c r="AX21" i="32" s="1"/>
  <c r="Q78" i="32"/>
  <c r="AG76" i="32"/>
  <c r="AO38" i="32"/>
  <c r="AJ38" i="32"/>
  <c r="AE78" i="32"/>
  <c r="BA78" i="32"/>
  <c r="BA21" i="32"/>
  <c r="AG20" i="32"/>
  <c r="AH17" i="32"/>
  <c r="AG77" i="32"/>
  <c r="W76" i="32"/>
  <c r="AB51" i="32"/>
  <c r="AJ54" i="32"/>
  <c r="AS70" i="32"/>
  <c r="AS78" i="32" s="1"/>
  <c r="AK51" i="32"/>
  <c r="AK55" i="32" s="1"/>
  <c r="AS38" i="32"/>
  <c r="BB52" i="32"/>
  <c r="BB80" i="32" s="1"/>
  <c r="AZ19" i="32"/>
  <c r="AM18" i="32"/>
  <c r="Y77" i="32"/>
  <c r="Y82" i="32" s="1"/>
  <c r="AB54" i="32"/>
  <c r="AN53" i="32"/>
  <c r="AK70" i="32"/>
  <c r="AK78" i="32" s="1"/>
  <c r="AG80" i="32"/>
  <c r="AD19" i="32"/>
  <c r="AL19" i="32"/>
  <c r="AT19" i="32"/>
  <c r="AT81" i="32" s="1"/>
  <c r="BB19" i="32"/>
  <c r="AI20" i="32"/>
  <c r="AY13" i="32"/>
  <c r="AE17" i="32"/>
  <c r="AM17" i="32"/>
  <c r="AU17" i="32"/>
  <c r="AU21" i="32" s="1"/>
  <c r="AR21" i="32"/>
  <c r="AZ17" i="32"/>
  <c r="AZ21" i="32" s="1"/>
  <c r="AG17" i="32"/>
  <c r="AG21" i="32" s="1"/>
  <c r="AO17" i="32"/>
  <c r="AW17" i="32"/>
  <c r="AN34" i="32"/>
  <c r="AV34" i="32"/>
  <c r="BD36" i="32"/>
  <c r="BD38" i="32" s="1"/>
  <c r="AT34" i="32"/>
  <c r="AX43" i="32"/>
  <c r="Z66" i="32"/>
  <c r="AU75" i="32"/>
  <c r="BG36" i="32"/>
  <c r="BF37" i="32"/>
  <c r="AT52" i="32"/>
  <c r="AT80" i="32" s="1"/>
  <c r="AR19" i="32"/>
  <c r="AR81" i="32" s="1"/>
  <c r="AL36" i="32"/>
  <c r="AH36" i="32"/>
  <c r="X53" i="32"/>
  <c r="AD82" i="32"/>
  <c r="BB82" i="32"/>
  <c r="M53" i="32"/>
  <c r="M81" i="32" s="1"/>
  <c r="I80" i="32"/>
  <c r="M54" i="32"/>
  <c r="BB55" i="32"/>
  <c r="H53" i="32"/>
  <c r="H55" i="32" s="1"/>
  <c r="X51" i="32"/>
  <c r="X55" i="32" s="1"/>
  <c r="AF53" i="32"/>
  <c r="AV53" i="32"/>
  <c r="BD51" i="32"/>
  <c r="J54" i="32"/>
  <c r="Z51" i="32"/>
  <c r="Z55" i="32" s="1"/>
  <c r="AH51" i="32"/>
  <c r="AX51" i="32"/>
  <c r="Z76" i="32"/>
  <c r="Z81" i="32" s="1"/>
  <c r="BE43" i="32"/>
  <c r="AI66" i="32"/>
  <c r="AI78" i="32" s="1"/>
  <c r="AL52" i="32"/>
  <c r="AL80" i="32" s="1"/>
  <c r="AJ19" i="32"/>
  <c r="AJ81" i="32" s="1"/>
  <c r="AE18" i="32"/>
  <c r="AF80" i="32"/>
  <c r="AV55" i="32"/>
  <c r="BG19" i="32"/>
  <c r="BG81" i="32" s="1"/>
  <c r="BG20" i="32"/>
  <c r="AI34" i="32"/>
  <c r="AD52" i="32"/>
  <c r="AD80" i="32" s="1"/>
  <c r="AW26" i="32"/>
  <c r="AD26" i="32"/>
  <c r="AY52" i="32"/>
  <c r="AQ52" i="32"/>
  <c r="BE17" i="32"/>
  <c r="BE21" i="32" s="1"/>
  <c r="BG17" i="32"/>
  <c r="BG21" i="32" s="1"/>
  <c r="AP43" i="32"/>
  <c r="AP55" i="32" s="1"/>
  <c r="V52" i="32"/>
  <c r="V80" i="32" s="1"/>
  <c r="AR38" i="32"/>
  <c r="U78" i="32"/>
  <c r="AH54" i="32"/>
  <c r="AX54" i="32"/>
  <c r="D52" i="32"/>
  <c r="D80" i="32" s="1"/>
  <c r="BE38" i="32"/>
  <c r="BZ53" i="30"/>
  <c r="BW55" i="30"/>
  <c r="C55" i="30"/>
  <c r="C80" i="30"/>
  <c r="F52" i="30"/>
  <c r="M55" i="30"/>
  <c r="N52" i="30"/>
  <c r="BJ47" i="30"/>
  <c r="K55" i="30"/>
  <c r="K82" i="30"/>
  <c r="BR54" i="30"/>
  <c r="CL34" i="30"/>
  <c r="BW21" i="30"/>
  <c r="BZ9" i="30"/>
  <c r="J54" i="30"/>
  <c r="BU80" i="30"/>
  <c r="BP78" i="30"/>
  <c r="N76" i="30"/>
  <c r="BN67" i="30"/>
  <c r="CA66" i="30"/>
  <c r="BK47" i="30"/>
  <c r="BN47" i="30" s="1"/>
  <c r="BV68" i="30"/>
  <c r="BV76" i="30" s="1"/>
  <c r="CH59" i="30"/>
  <c r="BR26" i="30"/>
  <c r="BH54" i="30"/>
  <c r="BH55" i="30" s="1"/>
  <c r="BY81" i="30"/>
  <c r="BR37" i="30"/>
  <c r="BM43" i="30"/>
  <c r="BR63" i="30"/>
  <c r="CE13" i="30"/>
  <c r="CH13" i="30" s="1"/>
  <c r="CL48" i="30"/>
  <c r="J14" i="30"/>
  <c r="N15" i="30"/>
  <c r="C47" i="30"/>
  <c r="F47" i="30" s="1"/>
  <c r="CC43" i="30"/>
  <c r="CD43" i="30" s="1"/>
  <c r="BZ49" i="30"/>
  <c r="CC26" i="30"/>
  <c r="CD26" i="30" s="1"/>
  <c r="BZ6" i="30"/>
  <c r="BZ18" i="30" s="1"/>
  <c r="P75" i="30"/>
  <c r="L74" i="30"/>
  <c r="N74" i="30" s="1"/>
  <c r="M81" i="30"/>
  <c r="BJ45" i="30"/>
  <c r="BI53" i="30"/>
  <c r="BI55" i="30" s="1"/>
  <c r="BR46" i="30"/>
  <c r="BY34" i="30"/>
  <c r="BZ34" i="30" s="1"/>
  <c r="BR32" i="30"/>
  <c r="BR36" i="30" s="1"/>
  <c r="BZ67" i="30"/>
  <c r="BZ75" i="30" s="1"/>
  <c r="BJ46" i="30"/>
  <c r="M77" i="30"/>
  <c r="N77" i="30" s="1"/>
  <c r="BQ70" i="30"/>
  <c r="BS37" i="30"/>
  <c r="BM53" i="30"/>
  <c r="CI70" i="30"/>
  <c r="CA75" i="30"/>
  <c r="CA78" i="30" s="1"/>
  <c r="M74" i="30"/>
  <c r="CC74" i="30"/>
  <c r="CP7" i="30"/>
  <c r="CM19" i="30"/>
  <c r="CP14" i="30"/>
  <c r="CP63" i="30"/>
  <c r="CM75" i="30"/>
  <c r="BT55" i="30"/>
  <c r="BJ68" i="30"/>
  <c r="BJ76" i="30" s="1"/>
  <c r="R67" i="30"/>
  <c r="BW43" i="30"/>
  <c r="BZ43" i="30" s="1"/>
  <c r="BG77" i="30"/>
  <c r="BG78" i="30" s="1"/>
  <c r="BX18" i="30"/>
  <c r="BX51" i="30"/>
  <c r="CE76" i="30"/>
  <c r="CE78" i="30" s="1"/>
  <c r="BP34" i="30"/>
  <c r="CG43" i="30"/>
  <c r="CH43" i="30" s="1"/>
  <c r="BD35" i="30"/>
  <c r="BG26" i="30"/>
  <c r="BJ26" i="30" s="1"/>
  <c r="N10" i="30"/>
  <c r="BQ36" i="30"/>
  <c r="BQ38" i="30" s="1"/>
  <c r="BJ25" i="30"/>
  <c r="BW19" i="30"/>
  <c r="BW81" i="30" s="1"/>
  <c r="BW83" i="30" s="1"/>
  <c r="BJ65" i="30"/>
  <c r="I70" i="30"/>
  <c r="N16" i="30"/>
  <c r="H43" i="30"/>
  <c r="J43" i="30" s="1"/>
  <c r="BZ7" i="30"/>
  <c r="BZ19" i="30" s="1"/>
  <c r="BM52" i="30"/>
  <c r="BM55" i="30" s="1"/>
  <c r="CD69" i="30"/>
  <c r="BR49" i="30"/>
  <c r="BT47" i="30"/>
  <c r="BV47" i="30" s="1"/>
  <c r="L77" i="30"/>
  <c r="L78" i="30" s="1"/>
  <c r="N78" i="30" s="1"/>
  <c r="CD16" i="30"/>
  <c r="CJ54" i="30"/>
  <c r="CL54" i="30" s="1"/>
  <c r="BD34" i="30"/>
  <c r="BF34" i="30" s="1"/>
  <c r="F44" i="30"/>
  <c r="BQ76" i="30"/>
  <c r="H75" i="30"/>
  <c r="J75" i="30" s="1"/>
  <c r="CN13" i="30"/>
  <c r="BF76" i="30"/>
  <c r="CG78" i="30"/>
  <c r="M78" i="30"/>
  <c r="CD72" i="30"/>
  <c r="CD76" i="30" s="1"/>
  <c r="BX75" i="30"/>
  <c r="BX78" i="30" s="1"/>
  <c r="CB34" i="30"/>
  <c r="BM9" i="30"/>
  <c r="BM21" i="30" s="1"/>
  <c r="BO38" i="30"/>
  <c r="BR38" i="30" s="1"/>
  <c r="CL31" i="30"/>
  <c r="CL35" i="30" s="1"/>
  <c r="BN6" i="30"/>
  <c r="E75" i="30"/>
  <c r="F75" i="30" s="1"/>
  <c r="BD51" i="30"/>
  <c r="BF51" i="30" s="1"/>
  <c r="BY51" i="30"/>
  <c r="N41" i="30"/>
  <c r="CL70" i="30"/>
  <c r="CL78" i="30" s="1"/>
  <c r="BH37" i="30"/>
  <c r="BH38" i="30" s="1"/>
  <c r="BJ38" i="30" s="1"/>
  <c r="CB13" i="30"/>
  <c r="BR15" i="30"/>
  <c r="H66" i="30"/>
  <c r="J66" i="30" s="1"/>
  <c r="BZ41" i="30"/>
  <c r="CD65" i="30"/>
  <c r="CD77" i="30" s="1"/>
  <c r="L18" i="30"/>
  <c r="L80" i="30" s="1"/>
  <c r="P47" i="30"/>
  <c r="R47" i="30" s="1"/>
  <c r="BT13" i="30"/>
  <c r="CK76" i="30"/>
  <c r="CK81" i="30" s="1"/>
  <c r="CH68" i="30"/>
  <c r="CH76" i="30" s="1"/>
  <c r="CD25" i="30"/>
  <c r="CD37" i="30" s="1"/>
  <c r="J42" i="30"/>
  <c r="BT52" i="30"/>
  <c r="P53" i="30"/>
  <c r="E77" i="30"/>
  <c r="E82" i="30" s="1"/>
  <c r="BZ66" i="30"/>
  <c r="BS43" i="30"/>
  <c r="BV43" i="30" s="1"/>
  <c r="BL9" i="30"/>
  <c r="CD31" i="30"/>
  <c r="CD35" i="30" s="1"/>
  <c r="BS66" i="30"/>
  <c r="CA18" i="30"/>
  <c r="C77" i="30"/>
  <c r="C78" i="30" s="1"/>
  <c r="BD52" i="30"/>
  <c r="BF52" i="30" s="1"/>
  <c r="BV25" i="30"/>
  <c r="BR10" i="30"/>
  <c r="BV65" i="30"/>
  <c r="BV77" i="30" s="1"/>
  <c r="CH41" i="30"/>
  <c r="L82" i="30"/>
  <c r="E47" i="30"/>
  <c r="N44" i="30"/>
  <c r="I53" i="30"/>
  <c r="I55" i="30" s="1"/>
  <c r="CH7" i="30"/>
  <c r="F73" i="30"/>
  <c r="BF69" i="30"/>
  <c r="BF77" i="30" s="1"/>
  <c r="CK13" i="30"/>
  <c r="CK21" i="30" s="1"/>
  <c r="C17" i="30"/>
  <c r="BZ30" i="30"/>
  <c r="BP55" i="30"/>
  <c r="CC66" i="30"/>
  <c r="BF41" i="30"/>
  <c r="BV44" i="30"/>
  <c r="BO17" i="30"/>
  <c r="I9" i="30"/>
  <c r="BG54" i="30"/>
  <c r="BJ54" i="30" s="1"/>
  <c r="N43" i="30"/>
  <c r="BO34" i="30"/>
  <c r="CB76" i="30"/>
  <c r="CB78" i="30" s="1"/>
  <c r="BH43" i="30"/>
  <c r="BJ43" i="30" s="1"/>
  <c r="C20" i="30"/>
  <c r="BS20" i="30"/>
  <c r="BS82" i="30" s="1"/>
  <c r="C13" i="30"/>
  <c r="CL49" i="30"/>
  <c r="CB54" i="30"/>
  <c r="CD54" i="30" s="1"/>
  <c r="BP76" i="30"/>
  <c r="BP81" i="30" s="1"/>
  <c r="CD42" i="30"/>
  <c r="CL33" i="30"/>
  <c r="CL37" i="30" s="1"/>
  <c r="BY37" i="30"/>
  <c r="BY38" i="30" s="1"/>
  <c r="H53" i="30"/>
  <c r="H55" i="30" s="1"/>
  <c r="BI70" i="30"/>
  <c r="CE61" i="30"/>
  <c r="BJ73" i="30"/>
  <c r="BJ74" i="30" s="1"/>
  <c r="BN44" i="30"/>
  <c r="K9" i="30"/>
  <c r="P54" i="30"/>
  <c r="CK35" i="30"/>
  <c r="CK38" i="30" s="1"/>
  <c r="BY54" i="30"/>
  <c r="BZ54" i="30" s="1"/>
  <c r="CI51" i="30"/>
  <c r="CL51" i="30" s="1"/>
  <c r="BF33" i="30"/>
  <c r="BF37" i="30" s="1"/>
  <c r="BN7" i="30"/>
  <c r="BO18" i="30"/>
  <c r="BO80" i="30" s="1"/>
  <c r="BO83" i="30" s="1"/>
  <c r="BX52" i="30"/>
  <c r="BX55" i="30" s="1"/>
  <c r="CI75" i="30"/>
  <c r="CI78" i="30" s="1"/>
  <c r="CA34" i="30"/>
  <c r="L53" i="30"/>
  <c r="L55" i="30" s="1"/>
  <c r="BQ19" i="30"/>
  <c r="CD28" i="30"/>
  <c r="CD36" i="30" s="1"/>
  <c r="BO37" i="30"/>
  <c r="BO82" i="30" s="1"/>
  <c r="BE70" i="30"/>
  <c r="BF70" i="30" s="1"/>
  <c r="BG82" i="30"/>
  <c r="CP10" i="30"/>
  <c r="CP18" i="30" s="1"/>
  <c r="CM66" i="30"/>
  <c r="BQ78" i="30"/>
  <c r="BI13" i="30"/>
  <c r="BJ13" i="30" s="1"/>
  <c r="N53" i="30"/>
  <c r="K51" i="30"/>
  <c r="N51" i="30" s="1"/>
  <c r="BE30" i="30"/>
  <c r="BF30" i="30" s="1"/>
  <c r="CH8" i="30"/>
  <c r="F46" i="30"/>
  <c r="N50" i="30"/>
  <c r="BE36" i="30"/>
  <c r="BE38" i="30" s="1"/>
  <c r="BR31" i="30"/>
  <c r="BR35" i="30" s="1"/>
  <c r="CD46" i="30"/>
  <c r="CB36" i="30"/>
  <c r="CB38" i="30" s="1"/>
  <c r="CD38" i="30" s="1"/>
  <c r="BR11" i="30"/>
  <c r="N12" i="30"/>
  <c r="BS36" i="30"/>
  <c r="AE38" i="32"/>
  <c r="AE81" i="32"/>
  <c r="AV80" i="32"/>
  <c r="AV38" i="32"/>
  <c r="AB77" i="32"/>
  <c r="AJ74" i="32"/>
  <c r="AZ77" i="32"/>
  <c r="AZ38" i="32"/>
  <c r="BD34" i="32"/>
  <c r="AN36" i="32"/>
  <c r="AH9" i="32"/>
  <c r="AX70" i="32"/>
  <c r="BF81" i="32"/>
  <c r="AF55" i="32"/>
  <c r="AW9" i="32"/>
  <c r="AW21" i="32" s="1"/>
  <c r="AF36" i="32"/>
  <c r="AF38" i="32" s="1"/>
  <c r="BD53" i="32"/>
  <c r="E53" i="32"/>
  <c r="E81" i="32" s="1"/>
  <c r="AY53" i="32"/>
  <c r="E54" i="32"/>
  <c r="E82" i="32" s="1"/>
  <c r="AK52" i="32"/>
  <c r="AS52" i="32"/>
  <c r="AS80" i="32" s="1"/>
  <c r="BA47" i="32"/>
  <c r="AH76" i="32"/>
  <c r="AO76" i="32"/>
  <c r="AP77" i="32"/>
  <c r="I78" i="32"/>
  <c r="AD9" i="32"/>
  <c r="AD21" i="32" s="1"/>
  <c r="M82" i="32"/>
  <c r="AJ18" i="32"/>
  <c r="AJ80" i="32" s="1"/>
  <c r="AR18" i="32"/>
  <c r="AR80" i="32" s="1"/>
  <c r="AZ18" i="32"/>
  <c r="AZ80" i="32" s="1"/>
  <c r="AC53" i="32"/>
  <c r="AC81" i="32" s="1"/>
  <c r="G52" i="32"/>
  <c r="AV66" i="32"/>
  <c r="P76" i="32"/>
  <c r="P81" i="32" s="1"/>
  <c r="AP76" i="32"/>
  <c r="AP81" i="32" s="1"/>
  <c r="L77" i="32"/>
  <c r="L82" i="32" s="1"/>
  <c r="AR70" i="32"/>
  <c r="AM77" i="32"/>
  <c r="Y76" i="32"/>
  <c r="AM74" i="32"/>
  <c r="AM78" i="32" s="1"/>
  <c r="AO9" i="32"/>
  <c r="AO21" i="32" s="1"/>
  <c r="AX34" i="32"/>
  <c r="AB55" i="32"/>
  <c r="AH37" i="32"/>
  <c r="O52" i="32"/>
  <c r="O80" i="32" s="1"/>
  <c r="W52" i="32"/>
  <c r="W80" i="32" s="1"/>
  <c r="AE52" i="32"/>
  <c r="AU47" i="32"/>
  <c r="BC47" i="32"/>
  <c r="Q53" i="32"/>
  <c r="Q81" i="32" s="1"/>
  <c r="Y47" i="32"/>
  <c r="AI47" i="32"/>
  <c r="X76" i="32"/>
  <c r="X81" i="32" s="1"/>
  <c r="AL70" i="32"/>
  <c r="AV77" i="32"/>
  <c r="AV82" i="32" s="1"/>
  <c r="J81" i="32"/>
  <c r="AG78" i="32"/>
  <c r="AY20" i="32"/>
  <c r="AU43" i="32"/>
  <c r="BF20" i="32"/>
  <c r="AG55" i="32"/>
  <c r="AB81" i="32"/>
  <c r="Q52" i="32"/>
  <c r="Q80" i="32" s="1"/>
  <c r="V55" i="32"/>
  <c r="AL37" i="32"/>
  <c r="AA80" i="32"/>
  <c r="AG36" i="32"/>
  <c r="AG38" i="32" s="1"/>
  <c r="AU36" i="32"/>
  <c r="BC36" i="32"/>
  <c r="BC38" i="32" s="1"/>
  <c r="AU51" i="32"/>
  <c r="AP74" i="32"/>
  <c r="BF11" i="30"/>
  <c r="CL26" i="30"/>
  <c r="BW38" i="30"/>
  <c r="CM134" i="29"/>
  <c r="CM158" i="29" s="1"/>
  <c r="BQ80" i="30"/>
  <c r="CB80" i="30"/>
  <c r="C81" i="30"/>
  <c r="N7" i="30"/>
  <c r="BD81" i="30"/>
  <c r="CM83" i="29"/>
  <c r="BG83" i="29"/>
  <c r="BG99" i="29"/>
  <c r="CM99" i="29"/>
  <c r="CL30" i="30"/>
  <c r="CM17" i="30"/>
  <c r="CH16" i="30"/>
  <c r="CQ152" i="29"/>
  <c r="BC110" i="29"/>
  <c r="CI110" i="29"/>
  <c r="AY110" i="29"/>
  <c r="CE110" i="29"/>
  <c r="BO110" i="29"/>
  <c r="AQ110" i="29"/>
  <c r="CQ158" i="29"/>
  <c r="CH20" i="30"/>
  <c r="CG55" i="30"/>
  <c r="CQ110" i="29"/>
  <c r="BZ38" i="30"/>
  <c r="BI81" i="30"/>
  <c r="BJ37" i="30"/>
  <c r="BN37" i="30"/>
  <c r="BW54" i="29"/>
  <c r="CM54" i="29"/>
  <c r="CJ18" i="30"/>
  <c r="BR19" i="30"/>
  <c r="CA13" i="30"/>
  <c r="CA21" i="30" s="1"/>
  <c r="BS13" i="30"/>
  <c r="P18" i="30"/>
  <c r="P80" i="30" s="1"/>
  <c r="CG18" i="30"/>
  <c r="CG80" i="30" s="1"/>
  <c r="H17" i="30"/>
  <c r="BM19" i="30"/>
  <c r="BY17" i="30"/>
  <c r="BY21" i="30" s="1"/>
  <c r="CJ17" i="30"/>
  <c r="CL17" i="30" s="1"/>
  <c r="CN77" i="30"/>
  <c r="BJ19" i="30"/>
  <c r="BX38" i="30"/>
  <c r="BK21" i="30"/>
  <c r="BI82" i="30"/>
  <c r="CE82" i="30"/>
  <c r="BR13" i="30"/>
  <c r="BZ70" i="30"/>
  <c r="BT20" i="30"/>
  <c r="BT82" i="30" s="1"/>
  <c r="I21" i="30"/>
  <c r="CG17" i="30"/>
  <c r="CG21" i="30" s="1"/>
  <c r="BE13" i="30"/>
  <c r="BK70" i="30"/>
  <c r="CQ55" i="29"/>
  <c r="CM26" i="30"/>
  <c r="CP67" i="30"/>
  <c r="CP75" i="30" s="1"/>
  <c r="CO76" i="30"/>
  <c r="CD53" i="30"/>
  <c r="CG81" i="30"/>
  <c r="CH37" i="30"/>
  <c r="CH53" i="30"/>
  <c r="CC13" i="30"/>
  <c r="CC21" i="30" s="1"/>
  <c r="CP25" i="30"/>
  <c r="CP68" i="30"/>
  <c r="CP76" i="30" s="1"/>
  <c r="BT38" i="30"/>
  <c r="BQ55" i="30"/>
  <c r="I82" i="30"/>
  <c r="BP66" i="30"/>
  <c r="D77" i="30"/>
  <c r="F77" i="30" s="1"/>
  <c r="CN20" i="30"/>
  <c r="CN36" i="30"/>
  <c r="CN38" i="30" s="1"/>
  <c r="CD34" i="30"/>
  <c r="P17" i="30"/>
  <c r="H20" i="30"/>
  <c r="CC18" i="30"/>
  <c r="BQ53" i="30"/>
  <c r="CP32" i="30"/>
  <c r="CN75" i="30"/>
  <c r="CN80" i="30" s="1"/>
  <c r="CM18" i="30"/>
  <c r="CN74" i="30"/>
  <c r="BZ17" i="30"/>
  <c r="BZ21" i="30" s="1"/>
  <c r="BK80" i="30"/>
  <c r="BD9" i="30"/>
  <c r="BD21" i="30" s="1"/>
  <c r="BM78" i="30"/>
  <c r="BS21" i="30"/>
  <c r="CD11" i="30"/>
  <c r="CD19" i="30" s="1"/>
  <c r="N54" i="30"/>
  <c r="BE55" i="30"/>
  <c r="L21" i="30"/>
  <c r="BC53" i="30"/>
  <c r="BC55" i="30" s="1"/>
  <c r="CC75" i="30"/>
  <c r="J77" i="30"/>
  <c r="BF13" i="30"/>
  <c r="BV26" i="30"/>
  <c r="CL47" i="30"/>
  <c r="J70" i="30"/>
  <c r="CD74" i="30"/>
  <c r="R51" i="30"/>
  <c r="BO36" i="29"/>
  <c r="CM36" i="29"/>
  <c r="BK36" i="29"/>
  <c r="CI36" i="29"/>
  <c r="BW36" i="29"/>
  <c r="BS36" i="29"/>
  <c r="CE36" i="29"/>
  <c r="CA36" i="29"/>
  <c r="BY26" i="30"/>
  <c r="BD47" i="30"/>
  <c r="BF47" i="30" s="1"/>
  <c r="CM53" i="30"/>
  <c r="CO20" i="30"/>
  <c r="BE21" i="30"/>
  <c r="BZ26" i="30"/>
  <c r="CD55" i="30"/>
  <c r="R70" i="30"/>
  <c r="BF20" i="30"/>
  <c r="BN8" i="30"/>
  <c r="CG74" i="30"/>
  <c r="CP41" i="30"/>
  <c r="CL29" i="19"/>
  <c r="CG33" i="19"/>
  <c r="CH29" i="19"/>
  <c r="T32" i="22"/>
  <c r="T30" i="22"/>
  <c r="T35" i="22"/>
  <c r="AX14" i="20"/>
  <c r="AX33" i="20"/>
  <c r="AX9" i="20"/>
  <c r="CP104" i="18"/>
  <c r="CP63" i="18"/>
  <c r="CP70" i="18"/>
  <c r="CP39" i="18"/>
  <c r="CP13" i="19" s="1"/>
  <c r="CP36" i="19" s="1"/>
  <c r="CP11" i="19"/>
  <c r="CP14" i="19" s="1"/>
  <c r="CO107" i="18"/>
  <c r="CP6" i="19"/>
  <c r="CP24" i="18"/>
  <c r="F40" i="36"/>
  <c r="CD40" i="36"/>
  <c r="N42" i="36"/>
  <c r="BF42" i="36"/>
  <c r="BF45" i="36"/>
  <c r="BZ49" i="36"/>
  <c r="N25" i="36"/>
  <c r="BR27" i="36"/>
  <c r="CA18" i="35"/>
  <c r="AY35" i="35"/>
  <c r="BS35" i="35"/>
  <c r="BC35" i="35"/>
  <c r="BW35" i="35"/>
  <c r="BO35" i="35"/>
  <c r="BS70" i="35"/>
  <c r="AU70" i="35"/>
  <c r="CA70" i="35"/>
  <c r="AM70" i="35"/>
  <c r="AY70" i="35"/>
  <c r="AQ70" i="35"/>
  <c r="BW70" i="35"/>
  <c r="BO70" i="35"/>
  <c r="BW89" i="35"/>
  <c r="BK89" i="35"/>
  <c r="CH24" i="36"/>
  <c r="L43" i="36"/>
  <c r="BR40" i="36"/>
  <c r="CH31" i="36"/>
  <c r="O122" i="35"/>
  <c r="CI18" i="36"/>
  <c r="BL19" i="36"/>
  <c r="BW19" i="36"/>
  <c r="CG19" i="36"/>
  <c r="J25" i="36"/>
  <c r="BW26" i="36"/>
  <c r="BN27" i="36"/>
  <c r="BU30" i="36"/>
  <c r="CF36" i="36"/>
  <c r="C43" i="36"/>
  <c r="BP43" i="36"/>
  <c r="CA43" i="36"/>
  <c r="CK43" i="36"/>
  <c r="C53" i="36"/>
  <c r="BY47" i="36"/>
  <c r="BC54" i="36"/>
  <c r="BW60" i="36"/>
  <c r="U81" i="36"/>
  <c r="BW51" i="36"/>
  <c r="CG51" i="36"/>
  <c r="AT82" i="36"/>
  <c r="AX20" i="36"/>
  <c r="BC26" i="36"/>
  <c r="BM26" i="36"/>
  <c r="BX26" i="36"/>
  <c r="CI26" i="36"/>
  <c r="BB26" i="36"/>
  <c r="N27" i="36"/>
  <c r="BF27" i="36"/>
  <c r="BZ27" i="36"/>
  <c r="CL27" i="36"/>
  <c r="K30" i="36"/>
  <c r="BC30" i="36"/>
  <c r="BM30" i="36"/>
  <c r="BX30" i="36"/>
  <c r="BZ31" i="36"/>
  <c r="CI35" i="36"/>
  <c r="BN32" i="36"/>
  <c r="BH43" i="36"/>
  <c r="D43" i="36"/>
  <c r="O43" i="36"/>
  <c r="E52" i="36"/>
  <c r="BS52" i="36"/>
  <c r="CC52" i="36"/>
  <c r="CL46" i="36"/>
  <c r="BD54" i="36"/>
  <c r="CH58" i="36"/>
  <c r="BS68" i="36"/>
  <c r="BX71" i="36"/>
  <c r="CI71" i="36"/>
  <c r="CM54" i="36"/>
  <c r="BE43" i="36"/>
  <c r="M43" i="36"/>
  <c r="S21" i="36"/>
  <c r="AA21" i="36"/>
  <c r="K52" i="36"/>
  <c r="BC52" i="36"/>
  <c r="BX52" i="36"/>
  <c r="CI52" i="36"/>
  <c r="BL53" i="36"/>
  <c r="CG53" i="36"/>
  <c r="H54" i="36"/>
  <c r="BK54" i="36"/>
  <c r="BU54" i="36"/>
  <c r="CF54" i="36"/>
  <c r="CH45" i="36"/>
  <c r="BS71" i="36"/>
  <c r="CC71" i="36"/>
  <c r="BZ66" i="36"/>
  <c r="BT68" i="36"/>
  <c r="BV62" i="36"/>
  <c r="BV64" i="36" s="1"/>
  <c r="CL42" i="36"/>
  <c r="AC81" i="36"/>
  <c r="AG83" i="36"/>
  <c r="AX34" i="36"/>
  <c r="CE68" i="36"/>
  <c r="CP25" i="36"/>
  <c r="BO60" i="36"/>
  <c r="CM26" i="36"/>
  <c r="CN9" i="36"/>
  <c r="CM17" i="36"/>
  <c r="CO30" i="36"/>
  <c r="CL67" i="36"/>
  <c r="L26" i="36"/>
  <c r="BL36" i="36"/>
  <c r="BV66" i="36"/>
  <c r="BV69" i="36"/>
  <c r="N24" i="36"/>
  <c r="CH62" i="36"/>
  <c r="CH64" i="36" s="1"/>
  <c r="BZ28" i="36"/>
  <c r="AK83" i="36"/>
  <c r="CG60" i="36"/>
  <c r="CJ60" i="36"/>
  <c r="BZ59" i="36"/>
  <c r="CL24" i="36"/>
  <c r="K26" i="36"/>
  <c r="CL11" i="36"/>
  <c r="BY60" i="36"/>
  <c r="BL60" i="36"/>
  <c r="BF24" i="36"/>
  <c r="BH18" i="36"/>
  <c r="M13" i="36"/>
  <c r="Q17" i="36"/>
  <c r="CA30" i="36"/>
  <c r="CG52" i="36"/>
  <c r="CH66" i="36"/>
  <c r="BU68" i="36"/>
  <c r="CN18" i="36"/>
  <c r="CI68" i="36"/>
  <c r="CJ68" i="36"/>
  <c r="E18" i="36"/>
  <c r="M20" i="36"/>
  <c r="H43" i="36"/>
  <c r="R7" i="36"/>
  <c r="BH9" i="36"/>
  <c r="BS9" i="36"/>
  <c r="BJ8" i="36"/>
  <c r="BV12" i="36"/>
  <c r="R33" i="36"/>
  <c r="BJ33" i="36"/>
  <c r="CL23" i="36"/>
  <c r="BZ25" i="36"/>
  <c r="BN28" i="36"/>
  <c r="BN29" i="36"/>
  <c r="J33" i="36"/>
  <c r="CH33" i="36"/>
  <c r="CM19" i="36"/>
  <c r="CO35" i="36"/>
  <c r="AG21" i="36"/>
  <c r="AG38" i="36"/>
  <c r="CI60" i="36"/>
  <c r="CL6" i="36"/>
  <c r="BC9" i="36"/>
  <c r="BZ7" i="36"/>
  <c r="F10" i="36"/>
  <c r="CP11" i="36"/>
  <c r="BR67" i="36"/>
  <c r="BH30" i="36"/>
  <c r="BC43" i="36"/>
  <c r="E9" i="36"/>
  <c r="CO37" i="36"/>
  <c r="CN43" i="36"/>
  <c r="K36" i="36"/>
  <c r="I36" i="36"/>
  <c r="BW36" i="36"/>
  <c r="CC17" i="36"/>
  <c r="BL9" i="36"/>
  <c r="BE13" i="36"/>
  <c r="H13" i="36"/>
  <c r="CF13" i="36"/>
  <c r="K17" i="36"/>
  <c r="CI17" i="36"/>
  <c r="BN16" i="36"/>
  <c r="X21" i="36"/>
  <c r="AR21" i="36"/>
  <c r="BX43" i="36"/>
  <c r="I43" i="36"/>
  <c r="BH51" i="36"/>
  <c r="BS54" i="36"/>
  <c r="CL69" i="36"/>
  <c r="BR69" i="36"/>
  <c r="CP42" i="36"/>
  <c r="CO34" i="36"/>
  <c r="K37" i="36"/>
  <c r="AX51" i="36"/>
  <c r="CN13" i="36"/>
  <c r="H37" i="36"/>
  <c r="BU37" i="36"/>
  <c r="CG30" i="36"/>
  <c r="BV33" i="36"/>
  <c r="CM35" i="36"/>
  <c r="CP33" i="36"/>
  <c r="CP10" i="36"/>
  <c r="CP31" i="36"/>
  <c r="CP46" i="36"/>
  <c r="CM70" i="36"/>
  <c r="BT18" i="36"/>
  <c r="AX26" i="36"/>
  <c r="CN68" i="36"/>
  <c r="BF10" i="36"/>
  <c r="CP14" i="36"/>
  <c r="J6" i="36"/>
  <c r="BZ16" i="36"/>
  <c r="CD33" i="36"/>
  <c r="P9" i="36"/>
  <c r="J11" i="36"/>
  <c r="BW70" i="36"/>
  <c r="CG70" i="36"/>
  <c r="Q18" i="36"/>
  <c r="CE18" i="36"/>
  <c r="E19" i="36"/>
  <c r="P19" i="36"/>
  <c r="BH19" i="36"/>
  <c r="CC19" i="36"/>
  <c r="D20" i="36"/>
  <c r="BG20" i="36"/>
  <c r="BQ20" i="36"/>
  <c r="BL18" i="36"/>
  <c r="M26" i="36"/>
  <c r="CA26" i="36"/>
  <c r="CA51" i="36"/>
  <c r="BN58" i="36"/>
  <c r="CC9" i="36"/>
  <c r="BJ7" i="36"/>
  <c r="BQ9" i="36"/>
  <c r="F8" i="36"/>
  <c r="CD8" i="36"/>
  <c r="BN10" i="36"/>
  <c r="BU13" i="36"/>
  <c r="CH11" i="36"/>
  <c r="N14" i="36"/>
  <c r="BF14" i="36"/>
  <c r="BM17" i="36"/>
  <c r="BX17" i="36"/>
  <c r="CL14" i="36"/>
  <c r="I19" i="36"/>
  <c r="I82" i="36" s="1"/>
  <c r="BN15" i="36"/>
  <c r="BZ15" i="36"/>
  <c r="CG17" i="36"/>
  <c r="H20" i="36"/>
  <c r="BK20" i="36"/>
  <c r="BU20" i="36"/>
  <c r="CF20" i="36"/>
  <c r="BS36" i="36"/>
  <c r="BQ37" i="36"/>
  <c r="P35" i="36"/>
  <c r="BH35" i="36"/>
  <c r="CL29" i="36"/>
  <c r="BQ54" i="36"/>
  <c r="AK55" i="36"/>
  <c r="W55" i="36"/>
  <c r="AE55" i="36"/>
  <c r="CK30" i="36"/>
  <c r="BM18" i="36"/>
  <c r="AQ21" i="36"/>
  <c r="AW21" i="36"/>
  <c r="BX18" i="36"/>
  <c r="BK13" i="36"/>
  <c r="CM18" i="36"/>
  <c r="CP6" i="36"/>
  <c r="CO9" i="36"/>
  <c r="CO20" i="36"/>
  <c r="CN20" i="36"/>
  <c r="CP16" i="36"/>
  <c r="CN54" i="36"/>
  <c r="CP50" i="36"/>
  <c r="AC21" i="36"/>
  <c r="BG9" i="36"/>
  <c r="BC17" i="36"/>
  <c r="CN26" i="36"/>
  <c r="BC18" i="36"/>
  <c r="CM37" i="36"/>
  <c r="K18" i="36"/>
  <c r="CN51" i="36"/>
  <c r="N12" i="36"/>
  <c r="AU38" i="36"/>
  <c r="H52" i="36"/>
  <c r="G53" i="36"/>
  <c r="E54" i="36"/>
  <c r="P54" i="36"/>
  <c r="U55" i="36"/>
  <c r="AC55" i="36"/>
  <c r="AW55" i="36"/>
  <c r="CB70" i="36"/>
  <c r="CO17" i="36"/>
  <c r="CN34" i="36"/>
  <c r="CM43" i="36"/>
  <c r="CM47" i="36"/>
  <c r="CO71" i="36"/>
  <c r="D9" i="36"/>
  <c r="R6" i="36"/>
  <c r="CB9" i="36"/>
  <c r="F7" i="36"/>
  <c r="BE9" i="36"/>
  <c r="BP9" i="36"/>
  <c r="CD7" i="36"/>
  <c r="BF8" i="36"/>
  <c r="BR8" i="36"/>
  <c r="CJ9" i="36"/>
  <c r="G13" i="36"/>
  <c r="BI13" i="36"/>
  <c r="BV11" i="36"/>
  <c r="R12" i="36"/>
  <c r="CB20" i="36"/>
  <c r="I17" i="36"/>
  <c r="BZ14" i="36"/>
  <c r="BK17" i="36"/>
  <c r="J16" i="36"/>
  <c r="BT17" i="36"/>
  <c r="CH16" i="36"/>
  <c r="AT21" i="36"/>
  <c r="AX19" i="36"/>
  <c r="D26" i="36"/>
  <c r="BR24" i="36"/>
  <c r="CB26" i="36"/>
  <c r="BF25" i="36"/>
  <c r="BR25" i="36"/>
  <c r="CL25" i="36"/>
  <c r="F27" i="36"/>
  <c r="O35" i="36"/>
  <c r="CD27" i="36"/>
  <c r="C30" i="36"/>
  <c r="M30" i="36"/>
  <c r="BE36" i="36"/>
  <c r="BP30" i="36"/>
  <c r="CA36" i="36"/>
  <c r="CL28" i="36"/>
  <c r="L30" i="36"/>
  <c r="BD30" i="36"/>
  <c r="BO30" i="36"/>
  <c r="BY30" i="36"/>
  <c r="CJ37" i="36"/>
  <c r="C35" i="36"/>
  <c r="N31" i="36"/>
  <c r="BE35" i="36"/>
  <c r="BP35" i="36"/>
  <c r="CA35" i="36"/>
  <c r="CL31" i="36"/>
  <c r="L34" i="36"/>
  <c r="BD34" i="36"/>
  <c r="BO34" i="36"/>
  <c r="BZ32" i="36"/>
  <c r="CJ36" i="36"/>
  <c r="K34" i="36"/>
  <c r="BC37" i="36"/>
  <c r="BM37" i="36"/>
  <c r="BX37" i="36"/>
  <c r="CI37" i="36"/>
  <c r="Z38" i="36"/>
  <c r="AH38" i="36"/>
  <c r="AT38" i="36"/>
  <c r="BU43" i="36"/>
  <c r="CF43" i="36"/>
  <c r="J42" i="36"/>
  <c r="Q43" i="36"/>
  <c r="BV42" i="36"/>
  <c r="BV44" i="36"/>
  <c r="BJ45" i="36"/>
  <c r="CC47" i="36"/>
  <c r="CD46" i="36"/>
  <c r="BG51" i="36"/>
  <c r="CB53" i="36"/>
  <c r="BP54" i="36"/>
  <c r="CK54" i="36"/>
  <c r="Z55" i="36"/>
  <c r="AX53" i="36"/>
  <c r="BZ58" i="36"/>
  <c r="CN71" i="36"/>
  <c r="BX53" i="36"/>
  <c r="I54" i="36"/>
  <c r="BV50" i="36"/>
  <c r="AX52" i="36"/>
  <c r="CP27" i="36"/>
  <c r="K35" i="36"/>
  <c r="BC35" i="36"/>
  <c r="BM35" i="36"/>
  <c r="BX35" i="36"/>
  <c r="AQ55" i="36"/>
  <c r="CN17" i="36"/>
  <c r="CM30" i="36"/>
  <c r="CO47" i="36"/>
  <c r="CF68" i="36"/>
  <c r="CK60" i="36"/>
  <c r="BP51" i="36"/>
  <c r="CK26" i="36"/>
  <c r="BD36" i="36"/>
  <c r="BD9" i="36"/>
  <c r="CE17" i="36"/>
  <c r="CJ34" i="36"/>
  <c r="J10" i="36"/>
  <c r="CK35" i="36"/>
  <c r="BN33" i="36"/>
  <c r="BF28" i="36"/>
  <c r="BY36" i="36"/>
  <c r="F24" i="36"/>
  <c r="O26" i="36"/>
  <c r="BG26" i="36"/>
  <c r="D36" i="36"/>
  <c r="BR28" i="36"/>
  <c r="N29" i="36"/>
  <c r="BF29" i="36"/>
  <c r="D35" i="36"/>
  <c r="BG35" i="36"/>
  <c r="BQ35" i="36"/>
  <c r="CB35" i="36"/>
  <c r="C36" i="36"/>
  <c r="M36" i="36"/>
  <c r="BF32" i="36"/>
  <c r="BP36" i="36"/>
  <c r="CK36" i="36"/>
  <c r="L37" i="36"/>
  <c r="BF33" i="36"/>
  <c r="BO37" i="36"/>
  <c r="BY34" i="36"/>
  <c r="S81" i="36"/>
  <c r="AA81" i="36"/>
  <c r="BQ60" i="36"/>
  <c r="CH69" i="36"/>
  <c r="CH65" i="36"/>
  <c r="BM60" i="36"/>
  <c r="CD69" i="36"/>
  <c r="BW17" i="36"/>
  <c r="BP26" i="36"/>
  <c r="CL32" i="36"/>
  <c r="CB51" i="36"/>
  <c r="Q13" i="36"/>
  <c r="N28" i="36"/>
  <c r="BJ12" i="36"/>
  <c r="AF21" i="36"/>
  <c r="BB36" i="36"/>
  <c r="BM43" i="36"/>
  <c r="AB55" i="36"/>
  <c r="CA60" i="36"/>
  <c r="CL58" i="36"/>
  <c r="BI18" i="36"/>
  <c r="CH10" i="36"/>
  <c r="BZ29" i="36"/>
  <c r="CI34" i="36"/>
  <c r="BT13" i="36"/>
  <c r="AT81" i="36"/>
  <c r="AT84" i="36" s="1"/>
  <c r="AE21" i="36"/>
  <c r="AZ21" i="36"/>
  <c r="AE38" i="36"/>
  <c r="BX60" i="36"/>
  <c r="BE26" i="36"/>
  <c r="CD24" i="36"/>
  <c r="BX34" i="36"/>
  <c r="O13" i="36"/>
  <c r="F6" i="36"/>
  <c r="CJ30" i="36"/>
  <c r="G18" i="36"/>
  <c r="BF31" i="36"/>
  <c r="O20" i="36"/>
  <c r="CE13" i="36"/>
  <c r="BM34" i="36"/>
  <c r="CF9" i="36"/>
  <c r="CE20" i="36"/>
  <c r="CG13" i="36"/>
  <c r="C19" i="36"/>
  <c r="BE19" i="36"/>
  <c r="CK19" i="36"/>
  <c r="AD21" i="36"/>
  <c r="BZ24" i="36"/>
  <c r="BU36" i="36"/>
  <c r="Q37" i="36"/>
  <c r="BI37" i="36"/>
  <c r="V38" i="36"/>
  <c r="O9" i="36"/>
  <c r="AL21" i="36"/>
  <c r="BL17" i="36"/>
  <c r="BC34" i="36"/>
  <c r="AI21" i="36"/>
  <c r="BC36" i="36"/>
  <c r="BM36" i="36"/>
  <c r="BX36" i="36"/>
  <c r="I37" i="36"/>
  <c r="BL37" i="36"/>
  <c r="BW37" i="36"/>
  <c r="CG37" i="36"/>
  <c r="CI30" i="36"/>
  <c r="I34" i="36"/>
  <c r="CI70" i="36"/>
  <c r="CD67" i="36"/>
  <c r="CO18" i="36"/>
  <c r="BE30" i="36"/>
  <c r="BS19" i="36"/>
  <c r="Z21" i="36"/>
  <c r="T21" i="36"/>
  <c r="L35" i="36"/>
  <c r="BD35" i="36"/>
  <c r="BO35" i="36"/>
  <c r="BY35" i="36"/>
  <c r="CJ35" i="36"/>
  <c r="F41" i="36"/>
  <c r="CL59" i="36"/>
  <c r="BV65" i="36"/>
  <c r="AH81" i="36"/>
  <c r="BO36" i="36"/>
  <c r="CL7" i="36"/>
  <c r="E13" i="36"/>
  <c r="BN40" i="36"/>
  <c r="E47" i="36"/>
  <c r="P47" i="36"/>
  <c r="BH47" i="36"/>
  <c r="BS47" i="36"/>
  <c r="R45" i="36"/>
  <c r="BG53" i="36"/>
  <c r="BQ53" i="36"/>
  <c r="F46" i="36"/>
  <c r="BE54" i="36"/>
  <c r="CA54" i="36"/>
  <c r="BE51" i="36"/>
  <c r="CD49" i="36"/>
  <c r="CK51" i="36"/>
  <c r="BR50" i="36"/>
  <c r="CD59" i="36"/>
  <c r="CB71" i="36"/>
  <c r="CB60" i="36"/>
  <c r="CJ64" i="36"/>
  <c r="CJ70" i="36"/>
  <c r="BX68" i="36"/>
  <c r="L52" i="36"/>
  <c r="N40" i="36"/>
  <c r="BD43" i="36"/>
  <c r="BF40" i="36"/>
  <c r="BD52" i="36"/>
  <c r="BO52" i="36"/>
  <c r="BO43" i="36"/>
  <c r="BZ40" i="36"/>
  <c r="BY52" i="36"/>
  <c r="BY43" i="36"/>
  <c r="CJ43" i="36"/>
  <c r="CL40" i="36"/>
  <c r="N41" i="36"/>
  <c r="K53" i="36"/>
  <c r="K43" i="36"/>
  <c r="BF41" i="36"/>
  <c r="BC53" i="36"/>
  <c r="CI43" i="36"/>
  <c r="CI53" i="36"/>
  <c r="BN42" i="36"/>
  <c r="BL43" i="36"/>
  <c r="BZ42" i="36"/>
  <c r="BW43" i="36"/>
  <c r="CG54" i="36"/>
  <c r="CH42" i="36"/>
  <c r="CG43" i="36"/>
  <c r="I47" i="36"/>
  <c r="J44" i="36"/>
  <c r="I52" i="36"/>
  <c r="BN44" i="36"/>
  <c r="BL47" i="36"/>
  <c r="BL52" i="36"/>
  <c r="BW47" i="36"/>
  <c r="BZ44" i="36"/>
  <c r="BW52" i="36"/>
  <c r="CG47" i="36"/>
  <c r="CH44" i="36"/>
  <c r="H53" i="36"/>
  <c r="H47" i="36"/>
  <c r="J45" i="36"/>
  <c r="BK53" i="36"/>
  <c r="BK47" i="36"/>
  <c r="BN45" i="36"/>
  <c r="BU53" i="36"/>
  <c r="BU47" i="36"/>
  <c r="BV45" i="36"/>
  <c r="CF53" i="36"/>
  <c r="CF47" i="36"/>
  <c r="G47" i="36"/>
  <c r="G54" i="36"/>
  <c r="J46" i="36"/>
  <c r="Q47" i="36"/>
  <c r="Q54" i="36"/>
  <c r="R46" i="36"/>
  <c r="BI47" i="36"/>
  <c r="BI54" i="36"/>
  <c r="BJ46" i="36"/>
  <c r="BT47" i="36"/>
  <c r="BT54" i="36"/>
  <c r="BV46" i="36"/>
  <c r="CH46" i="36"/>
  <c r="CE54" i="36"/>
  <c r="CE47" i="36"/>
  <c r="Q51" i="36"/>
  <c r="R51" i="36" s="1"/>
  <c r="R49" i="36"/>
  <c r="BI51" i="36"/>
  <c r="BI53" i="36"/>
  <c r="BJ49" i="36"/>
  <c r="BV49" i="36"/>
  <c r="BT51" i="36"/>
  <c r="CH49" i="36"/>
  <c r="CE51" i="36"/>
  <c r="BJ50" i="36"/>
  <c r="BH54" i="36"/>
  <c r="CC51" i="36"/>
  <c r="CD50" i="36"/>
  <c r="BP70" i="36"/>
  <c r="BP60" i="36"/>
  <c r="BR58" i="36"/>
  <c r="CG35" i="36"/>
  <c r="CH23" i="36"/>
  <c r="J24" i="36"/>
  <c r="I26" i="36"/>
  <c r="BL26" i="36"/>
  <c r="BN24" i="36"/>
  <c r="BK37" i="36"/>
  <c r="BN25" i="36"/>
  <c r="CH25" i="36"/>
  <c r="CF37" i="36"/>
  <c r="CF26" i="36"/>
  <c r="J27" i="36"/>
  <c r="I30" i="36"/>
  <c r="I35" i="36"/>
  <c r="BL30" i="36"/>
  <c r="BL35" i="36"/>
  <c r="BW35" i="36"/>
  <c r="BW30" i="36"/>
  <c r="H36" i="36"/>
  <c r="H30" i="36"/>
  <c r="J28" i="36"/>
  <c r="BK30" i="36"/>
  <c r="BK36" i="36"/>
  <c r="CH28" i="36"/>
  <c r="CF30" i="36"/>
  <c r="G37" i="36"/>
  <c r="J29" i="36"/>
  <c r="BT37" i="36"/>
  <c r="BV29" i="36"/>
  <c r="CE37" i="36"/>
  <c r="CH29" i="36"/>
  <c r="H34" i="36"/>
  <c r="H35" i="36"/>
  <c r="J31" i="36"/>
  <c r="BN31" i="36"/>
  <c r="BK34" i="36"/>
  <c r="BK35" i="36"/>
  <c r="BV31" i="36"/>
  <c r="BU34" i="36"/>
  <c r="BU35" i="36"/>
  <c r="CF34" i="36"/>
  <c r="CF35" i="36"/>
  <c r="G34" i="36"/>
  <c r="J32" i="36"/>
  <c r="Q36" i="36"/>
  <c r="Q34" i="36"/>
  <c r="BI34" i="36"/>
  <c r="BI36" i="36"/>
  <c r="BT34" i="36"/>
  <c r="BV32" i="36"/>
  <c r="CH32" i="36"/>
  <c r="CE34" i="36"/>
  <c r="BA81" i="36"/>
  <c r="BA21" i="36"/>
  <c r="AH21" i="36"/>
  <c r="AH82" i="36"/>
  <c r="AH84" i="36" s="1"/>
  <c r="BQ71" i="36"/>
  <c r="BR59" i="36"/>
  <c r="BY64" i="36"/>
  <c r="BY70" i="36"/>
  <c r="BZ62" i="36"/>
  <c r="BZ64" i="36" s="1"/>
  <c r="C18" i="36"/>
  <c r="C9" i="36"/>
  <c r="M9" i="36"/>
  <c r="N6" i="36"/>
  <c r="CA18" i="36"/>
  <c r="CA9" i="36"/>
  <c r="CD6" i="36"/>
  <c r="CK18" i="36"/>
  <c r="CK9" i="36"/>
  <c r="L19" i="36"/>
  <c r="N7" i="36"/>
  <c r="L9" i="36"/>
  <c r="BD19" i="36"/>
  <c r="BF7" i="36"/>
  <c r="BR7" i="36"/>
  <c r="BO9" i="36"/>
  <c r="BO19" i="36"/>
  <c r="BY9" i="36"/>
  <c r="BY19" i="36"/>
  <c r="N8" i="36"/>
  <c r="K9" i="36"/>
  <c r="BM9" i="36"/>
  <c r="BM20" i="36"/>
  <c r="BN8" i="36"/>
  <c r="BX9" i="36"/>
  <c r="BX20" i="36"/>
  <c r="BZ8" i="36"/>
  <c r="CL8" i="36"/>
  <c r="CI9" i="36"/>
  <c r="R10" i="36"/>
  <c r="P13" i="36"/>
  <c r="P18" i="36"/>
  <c r="BJ10" i="36"/>
  <c r="BH13" i="36"/>
  <c r="BV10" i="36"/>
  <c r="BS13" i="36"/>
  <c r="BS18" i="36"/>
  <c r="CC18" i="36"/>
  <c r="CD10" i="36"/>
  <c r="CC13" i="36"/>
  <c r="F11" i="36"/>
  <c r="D13" i="36"/>
  <c r="D19" i="36"/>
  <c r="O19" i="36"/>
  <c r="R11" i="36"/>
  <c r="BJ11" i="36"/>
  <c r="BG19" i="36"/>
  <c r="BG13" i="36"/>
  <c r="BR11" i="36"/>
  <c r="BQ19" i="36"/>
  <c r="BQ13" i="36"/>
  <c r="CB19" i="36"/>
  <c r="CB13" i="36"/>
  <c r="CD11" i="36"/>
  <c r="C20" i="36"/>
  <c r="F12" i="36"/>
  <c r="C13" i="36"/>
  <c r="BE20" i="36"/>
  <c r="BF12" i="36"/>
  <c r="BP20" i="36"/>
  <c r="BP13" i="36"/>
  <c r="BR12" i="36"/>
  <c r="CA13" i="36"/>
  <c r="CD12" i="36"/>
  <c r="CA20" i="36"/>
  <c r="CL12" i="36"/>
  <c r="CK20" i="36"/>
  <c r="H18" i="36"/>
  <c r="J14" i="36"/>
  <c r="H17" i="36"/>
  <c r="BK18" i="36"/>
  <c r="BN14" i="36"/>
  <c r="BU17" i="36"/>
  <c r="BV14" i="36"/>
  <c r="CF17" i="36"/>
  <c r="CF18" i="36"/>
  <c r="CH14" i="36"/>
  <c r="J15" i="36"/>
  <c r="G19" i="36"/>
  <c r="G17" i="36"/>
  <c r="R15" i="36"/>
  <c r="Q19" i="36"/>
  <c r="BI17" i="36"/>
  <c r="BJ15" i="36"/>
  <c r="BI19" i="36"/>
  <c r="BT19" i="36"/>
  <c r="BV15" i="36"/>
  <c r="CE19" i="36"/>
  <c r="CH15" i="36"/>
  <c r="E20" i="36"/>
  <c r="E17" i="36"/>
  <c r="F16" i="36"/>
  <c r="R16" i="36"/>
  <c r="P20" i="36"/>
  <c r="P17" i="36"/>
  <c r="BH20" i="36"/>
  <c r="BJ16" i="36"/>
  <c r="BH17" i="36"/>
  <c r="BV16" i="36"/>
  <c r="BS20" i="36"/>
  <c r="BS17" i="36"/>
  <c r="CC20" i="36"/>
  <c r="CD16" i="36"/>
  <c r="Y81" i="36"/>
  <c r="Y21" i="36"/>
  <c r="Q53" i="36"/>
  <c r="BT53" i="36"/>
  <c r="CE53" i="36"/>
  <c r="CC54" i="36"/>
  <c r="BB19" i="36"/>
  <c r="BF49" i="36"/>
  <c r="BK43" i="36"/>
  <c r="BO54" i="36"/>
  <c r="BD37" i="36"/>
  <c r="U83" i="36"/>
  <c r="AC83" i="36"/>
  <c r="AC84" i="36" s="1"/>
  <c r="CO54" i="36"/>
  <c r="CP23" i="36"/>
  <c r="CP7" i="36"/>
  <c r="BB18" i="36"/>
  <c r="BR31" i="36"/>
  <c r="BQ34" i="36"/>
  <c r="CK17" i="36"/>
  <c r="BZ33" i="36"/>
  <c r="AJ21" i="36"/>
  <c r="AV82" i="36"/>
  <c r="AY55" i="36"/>
  <c r="F31" i="36"/>
  <c r="N32" i="36"/>
  <c r="BY37" i="36"/>
  <c r="AW83" i="36"/>
  <c r="AF38" i="36"/>
  <c r="AR38" i="36"/>
  <c r="BA38" i="36"/>
  <c r="O53" i="36"/>
  <c r="C54" i="36"/>
  <c r="M54" i="36"/>
  <c r="AG55" i="36"/>
  <c r="AU83" i="36"/>
  <c r="CN19" i="36"/>
  <c r="AY21" i="36"/>
  <c r="BU70" i="36"/>
  <c r="CL65" i="36"/>
  <c r="CF70" i="36"/>
  <c r="V82" i="36"/>
  <c r="AD82" i="36"/>
  <c r="AY82" i="36"/>
  <c r="AY84" i="36" s="1"/>
  <c r="X83" i="36"/>
  <c r="AF83" i="36"/>
  <c r="F42" i="36"/>
  <c r="R42" i="36"/>
  <c r="W82" i="36"/>
  <c r="BQ26" i="36"/>
  <c r="CC68" i="36"/>
  <c r="AR83" i="36"/>
  <c r="G30" i="36"/>
  <c r="W21" i="36"/>
  <c r="J41" i="36"/>
  <c r="CL15" i="36"/>
  <c r="AX35" i="36"/>
  <c r="BB37" i="36"/>
  <c r="BB54" i="36"/>
  <c r="CM13" i="36"/>
  <c r="CP12" i="36"/>
  <c r="CP65" i="36"/>
  <c r="CM68" i="36"/>
  <c r="CM69" i="36"/>
  <c r="CP69" i="36" s="1"/>
  <c r="AK81" i="36"/>
  <c r="AK84" i="36" s="1"/>
  <c r="AK21" i="36"/>
  <c r="J40" i="36"/>
  <c r="G43" i="36"/>
  <c r="Q52" i="36"/>
  <c r="R40" i="36"/>
  <c r="BI52" i="36"/>
  <c r="BI43" i="36"/>
  <c r="BJ40" i="36"/>
  <c r="BV40" i="36"/>
  <c r="BT52" i="36"/>
  <c r="BT43" i="36"/>
  <c r="CE43" i="36"/>
  <c r="CH40" i="36"/>
  <c r="R41" i="36"/>
  <c r="P43" i="36"/>
  <c r="P53" i="36"/>
  <c r="BJ41" i="36"/>
  <c r="BH53" i="36"/>
  <c r="BS43" i="36"/>
  <c r="BS53" i="36"/>
  <c r="CC43" i="36"/>
  <c r="CC53" i="36"/>
  <c r="BG43" i="36"/>
  <c r="BJ42" i="36"/>
  <c r="BG54" i="36"/>
  <c r="BR42" i="36"/>
  <c r="BQ43" i="36"/>
  <c r="CD42" i="36"/>
  <c r="CB54" i="36"/>
  <c r="CB43" i="36"/>
  <c r="F44" i="36"/>
  <c r="D52" i="36"/>
  <c r="R44" i="36"/>
  <c r="O52" i="36"/>
  <c r="BG52" i="36"/>
  <c r="BJ44" i="36"/>
  <c r="BQ52" i="36"/>
  <c r="BR44" i="36"/>
  <c r="CB52" i="36"/>
  <c r="CD44" i="36"/>
  <c r="C47" i="36"/>
  <c r="F45" i="36"/>
  <c r="M53" i="36"/>
  <c r="N45" i="36"/>
  <c r="M47" i="36"/>
  <c r="BE53" i="36"/>
  <c r="BE47" i="36"/>
  <c r="BP53" i="36"/>
  <c r="BP47" i="36"/>
  <c r="BR45" i="36"/>
  <c r="CA53" i="36"/>
  <c r="CD45" i="36"/>
  <c r="CA47" i="36"/>
  <c r="CL45" i="36"/>
  <c r="CK53" i="36"/>
  <c r="CK47" i="36"/>
  <c r="L47" i="36"/>
  <c r="L54" i="36"/>
  <c r="N46" i="36"/>
  <c r="BF46" i="36"/>
  <c r="BD47" i="36"/>
  <c r="BR46" i="36"/>
  <c r="BO47" i="36"/>
  <c r="BZ46" i="36"/>
  <c r="BY54" i="36"/>
  <c r="CJ47" i="36"/>
  <c r="CJ54" i="36"/>
  <c r="BD53" i="36"/>
  <c r="BD51" i="36"/>
  <c r="BO51" i="36"/>
  <c r="BO53" i="36"/>
  <c r="BR49" i="36"/>
  <c r="BY51" i="36"/>
  <c r="BY53" i="36"/>
  <c r="CL49" i="36"/>
  <c r="CJ51" i="36"/>
  <c r="CJ53" i="36"/>
  <c r="BC51" i="36"/>
  <c r="BF50" i="36"/>
  <c r="BM54" i="36"/>
  <c r="BM51" i="36"/>
  <c r="BN50" i="36"/>
  <c r="BX54" i="36"/>
  <c r="BZ50" i="36"/>
  <c r="BX51" i="36"/>
  <c r="CI54" i="36"/>
  <c r="CI51" i="36"/>
  <c r="CL50" i="36"/>
  <c r="I18" i="36"/>
  <c r="I9" i="36"/>
  <c r="BW18" i="36"/>
  <c r="BW9" i="36"/>
  <c r="BZ6" i="36"/>
  <c r="CG9" i="36"/>
  <c r="CG18" i="36"/>
  <c r="CH6" i="36"/>
  <c r="H19" i="36"/>
  <c r="H9" i="36"/>
  <c r="J7" i="36"/>
  <c r="BN7" i="36"/>
  <c r="BK9" i="36"/>
  <c r="BK19" i="36"/>
  <c r="BU19" i="36"/>
  <c r="BV7" i="36"/>
  <c r="CF19" i="36"/>
  <c r="CH7" i="36"/>
  <c r="G9" i="36"/>
  <c r="J8" i="36"/>
  <c r="G20" i="36"/>
  <c r="R8" i="36"/>
  <c r="Q9" i="36"/>
  <c r="Q20" i="36"/>
  <c r="BI20" i="36"/>
  <c r="BI9" i="36"/>
  <c r="BV8" i="36"/>
  <c r="BT20" i="36"/>
  <c r="BT9" i="36"/>
  <c r="CH8" i="36"/>
  <c r="CE9" i="36"/>
  <c r="L13" i="36"/>
  <c r="N10" i="36"/>
  <c r="L18" i="36"/>
  <c r="BD13" i="36"/>
  <c r="BD18" i="36"/>
  <c r="BR10" i="36"/>
  <c r="BO13" i="36"/>
  <c r="BO18" i="36"/>
  <c r="BY18" i="36"/>
  <c r="BY13" i="36"/>
  <c r="BZ10" i="36"/>
  <c r="CJ13" i="36"/>
  <c r="CJ18" i="36"/>
  <c r="CL10" i="36"/>
  <c r="N11" i="36"/>
  <c r="K19" i="36"/>
  <c r="K13" i="36"/>
  <c r="BC13" i="36"/>
  <c r="BC19" i="36"/>
  <c r="BF11" i="36"/>
  <c r="BM19" i="36"/>
  <c r="BM13" i="36"/>
  <c r="BN11" i="36"/>
  <c r="BX13" i="36"/>
  <c r="BX19" i="36"/>
  <c r="BZ11" i="36"/>
  <c r="CI13" i="36"/>
  <c r="CI19" i="36"/>
  <c r="J12" i="36"/>
  <c r="I13" i="36"/>
  <c r="I20" i="36"/>
  <c r="BL20" i="36"/>
  <c r="BN12" i="36"/>
  <c r="BL13" i="36"/>
  <c r="BZ12" i="36"/>
  <c r="BW20" i="36"/>
  <c r="BW13" i="36"/>
  <c r="CH12" i="36"/>
  <c r="CG20" i="36"/>
  <c r="F14" i="36"/>
  <c r="D17" i="36"/>
  <c r="D18" i="36"/>
  <c r="O18" i="36"/>
  <c r="R14" i="36"/>
  <c r="O17" i="36"/>
  <c r="BG18" i="36"/>
  <c r="BG17" i="36"/>
  <c r="BJ14" i="36"/>
  <c r="BR14" i="36"/>
  <c r="BQ17" i="36"/>
  <c r="BQ18" i="36"/>
  <c r="CD14" i="36"/>
  <c r="CB18" i="36"/>
  <c r="CB17" i="36"/>
  <c r="C17" i="36"/>
  <c r="F15" i="36"/>
  <c r="M19" i="36"/>
  <c r="N15" i="36"/>
  <c r="M17" i="36"/>
  <c r="BE17" i="36"/>
  <c r="BF15" i="36"/>
  <c r="BR15" i="36"/>
  <c r="BP19" i="36"/>
  <c r="BP17" i="36"/>
  <c r="CA19" i="36"/>
  <c r="CD15" i="36"/>
  <c r="CA17" i="36"/>
  <c r="N16" i="36"/>
  <c r="L20" i="36"/>
  <c r="L17" i="36"/>
  <c r="BD17" i="36"/>
  <c r="BD20" i="36"/>
  <c r="BF16" i="36"/>
  <c r="BO17" i="36"/>
  <c r="BR16" i="36"/>
  <c r="BO20" i="36"/>
  <c r="BY20" i="36"/>
  <c r="BY17" i="36"/>
  <c r="CJ20" i="36"/>
  <c r="CL16" i="36"/>
  <c r="CJ17" i="36"/>
  <c r="V81" i="36"/>
  <c r="V21" i="36"/>
  <c r="U21" i="36"/>
  <c r="U82" i="36"/>
  <c r="BB52" i="36"/>
  <c r="AZ55" i="36"/>
  <c r="BA83" i="36"/>
  <c r="BB20" i="36"/>
  <c r="G36" i="36"/>
  <c r="G26" i="36"/>
  <c r="Q26" i="36"/>
  <c r="R24" i="36"/>
  <c r="BJ24" i="36"/>
  <c r="BI26" i="36"/>
  <c r="BT36" i="36"/>
  <c r="BV24" i="36"/>
  <c r="BT26" i="36"/>
  <c r="CE26" i="36"/>
  <c r="CE36" i="36"/>
  <c r="F25" i="36"/>
  <c r="E37" i="36"/>
  <c r="E26" i="36"/>
  <c r="R25" i="36"/>
  <c r="P37" i="36"/>
  <c r="P26" i="36"/>
  <c r="BH26" i="36"/>
  <c r="BH37" i="36"/>
  <c r="BJ25" i="36"/>
  <c r="BV25" i="36"/>
  <c r="BS37" i="36"/>
  <c r="BS26" i="36"/>
  <c r="CD25" i="36"/>
  <c r="CC37" i="36"/>
  <c r="CC26" i="36"/>
  <c r="Q35" i="36"/>
  <c r="R27" i="36"/>
  <c r="Q30" i="36"/>
  <c r="BI35" i="36"/>
  <c r="BI30" i="36"/>
  <c r="BJ27" i="36"/>
  <c r="BT30" i="36"/>
  <c r="BT35" i="36"/>
  <c r="BV27" i="36"/>
  <c r="CH27" i="36"/>
  <c r="CE35" i="36"/>
  <c r="CE30" i="36"/>
  <c r="E36" i="36"/>
  <c r="F28" i="36"/>
  <c r="E30" i="36"/>
  <c r="P36" i="36"/>
  <c r="R28" i="36"/>
  <c r="P30" i="36"/>
  <c r="BJ28" i="36"/>
  <c r="BH36" i="36"/>
  <c r="BS30" i="36"/>
  <c r="BV28" i="36"/>
  <c r="CC36" i="36"/>
  <c r="CD28" i="36"/>
  <c r="CC30" i="36"/>
  <c r="F29" i="36"/>
  <c r="D30" i="36"/>
  <c r="D37" i="36"/>
  <c r="R29" i="36"/>
  <c r="O30" i="36"/>
  <c r="O37" i="36"/>
  <c r="BG30" i="36"/>
  <c r="BJ29" i="36"/>
  <c r="BG37" i="36"/>
  <c r="BQ30" i="36"/>
  <c r="BR29" i="36"/>
  <c r="CB37" i="36"/>
  <c r="CD29" i="36"/>
  <c r="CB30" i="36"/>
  <c r="E34" i="36"/>
  <c r="E35" i="36"/>
  <c r="P34" i="36"/>
  <c r="R31" i="36"/>
  <c r="BH34" i="36"/>
  <c r="BJ31" i="36"/>
  <c r="BS35" i="36"/>
  <c r="BS34" i="36"/>
  <c r="CD31" i="36"/>
  <c r="CC35" i="36"/>
  <c r="CC34" i="36"/>
  <c r="F32" i="36"/>
  <c r="D34" i="36"/>
  <c r="O36" i="36"/>
  <c r="O34" i="36"/>
  <c r="R32" i="36"/>
  <c r="BG36" i="36"/>
  <c r="BG34" i="36"/>
  <c r="BJ32" i="36"/>
  <c r="BQ36" i="36"/>
  <c r="BR32" i="36"/>
  <c r="CB34" i="36"/>
  <c r="CD32" i="36"/>
  <c r="CB36" i="36"/>
  <c r="F33" i="36"/>
  <c r="C37" i="36"/>
  <c r="C34" i="36"/>
  <c r="M34" i="36"/>
  <c r="M37" i="36"/>
  <c r="N33" i="36"/>
  <c r="BE37" i="36"/>
  <c r="BE34" i="36"/>
  <c r="BR33" i="36"/>
  <c r="BP37" i="36"/>
  <c r="BP34" i="36"/>
  <c r="CA37" i="36"/>
  <c r="CA34" i="36"/>
  <c r="CL33" i="36"/>
  <c r="CK37" i="36"/>
  <c r="CK34" i="36"/>
  <c r="AI38" i="36"/>
  <c r="AI81" i="36"/>
  <c r="CP67" i="36"/>
  <c r="CM71" i="36"/>
  <c r="CM60" i="36"/>
  <c r="CP59" i="36"/>
  <c r="AS83" i="36"/>
  <c r="AS21" i="36"/>
  <c r="AV81" i="36"/>
  <c r="AV21" i="36"/>
  <c r="AX18" i="36"/>
  <c r="BI70" i="36"/>
  <c r="BJ70" i="36" s="1"/>
  <c r="BJ58" i="36"/>
  <c r="BJ60" i="36" s="1"/>
  <c r="BI60" i="36"/>
  <c r="T83" i="36"/>
  <c r="BQ70" i="36"/>
  <c r="BQ68" i="36"/>
  <c r="BR66" i="36"/>
  <c r="CD66" i="36"/>
  <c r="CB68" i="36"/>
  <c r="BZ67" i="36"/>
  <c r="BW68" i="36"/>
  <c r="BW71" i="36"/>
  <c r="CG68" i="36"/>
  <c r="CG71" i="36"/>
  <c r="CH67" i="36"/>
  <c r="AU82" i="36"/>
  <c r="AU21" i="36"/>
  <c r="BM64" i="36"/>
  <c r="BN62" i="36"/>
  <c r="BN64" i="36" s="1"/>
  <c r="CA64" i="36"/>
  <c r="CD62" i="36"/>
  <c r="CD64" i="36" s="1"/>
  <c r="CK64" i="36"/>
  <c r="CK70" i="36"/>
  <c r="CL62" i="36"/>
  <c r="CL64" i="36" s="1"/>
  <c r="BH69" i="36"/>
  <c r="BJ69" i="36" s="1"/>
  <c r="BJ65" i="36"/>
  <c r="BJ68" i="36" s="1"/>
  <c r="BY69" i="36"/>
  <c r="BY68" i="36"/>
  <c r="BZ65" i="36"/>
  <c r="AB21" i="36"/>
  <c r="BS70" i="36"/>
  <c r="BV58" i="36"/>
  <c r="BS60" i="36"/>
  <c r="CC70" i="36"/>
  <c r="CC60" i="36"/>
  <c r="CD58" i="36"/>
  <c r="BK71" i="36"/>
  <c r="BN59" i="36"/>
  <c r="BK60" i="36"/>
  <c r="BT71" i="36"/>
  <c r="BT60" i="36"/>
  <c r="BV59" i="36"/>
  <c r="CE71" i="36"/>
  <c r="CE60" i="36"/>
  <c r="CH59" i="36"/>
  <c r="CK13" i="36"/>
  <c r="AW81" i="36"/>
  <c r="AW84" i="36" s="1"/>
  <c r="H26" i="36"/>
  <c r="AC38" i="36"/>
  <c r="AQ81" i="36"/>
  <c r="CP45" i="36"/>
  <c r="AF81" i="36"/>
  <c r="AE82" i="36"/>
  <c r="AE84" i="36" s="1"/>
  <c r="AQ82" i="36"/>
  <c r="S55" i="36"/>
  <c r="AA55" i="36"/>
  <c r="BW54" i="36"/>
  <c r="AZ82" i="36"/>
  <c r="Y83" i="36"/>
  <c r="V55" i="36"/>
  <c r="AL55" i="36"/>
  <c r="BB53" i="36"/>
  <c r="T81" i="36"/>
  <c r="AB81" i="36"/>
  <c r="S82" i="36"/>
  <c r="AG82" i="36"/>
  <c r="AA82" i="36"/>
  <c r="AI82" i="36"/>
  <c r="AA38" i="36"/>
  <c r="AI83" i="36"/>
  <c r="CM34" i="36"/>
  <c r="CO53" i="36"/>
  <c r="CQ138" i="35"/>
  <c r="CQ89" i="35"/>
  <c r="CP41" i="36"/>
  <c r="CQ100" i="35"/>
  <c r="D53" i="36"/>
  <c r="CP28" i="36"/>
  <c r="CO13" i="36"/>
  <c r="O27" i="38"/>
  <c r="AZ32" i="38"/>
  <c r="AC32" i="38"/>
  <c r="J24" i="38"/>
  <c r="J27" i="38" s="1"/>
  <c r="AL29" i="38"/>
  <c r="I30" i="38"/>
  <c r="Y19" i="38"/>
  <c r="AU27" i="38"/>
  <c r="AF14" i="38"/>
  <c r="F18" i="38"/>
  <c r="AV32" i="38"/>
  <c r="Z18" i="38"/>
  <c r="AS29" i="38"/>
  <c r="M27" i="38"/>
  <c r="Z6" i="38"/>
  <c r="J7" i="38"/>
  <c r="T30" i="38"/>
  <c r="AE30" i="38"/>
  <c r="AO30" i="38"/>
  <c r="AO35" i="38" s="1"/>
  <c r="D19" i="38"/>
  <c r="T19" i="38"/>
  <c r="AJ19" i="38"/>
  <c r="AX16" i="38"/>
  <c r="V17" i="38"/>
  <c r="AH17" i="38"/>
  <c r="AQ30" i="38"/>
  <c r="R18" i="38"/>
  <c r="AL18" i="38"/>
  <c r="V24" i="38"/>
  <c r="AH24" i="38"/>
  <c r="F25" i="38"/>
  <c r="R25" i="38"/>
  <c r="AA31" i="38"/>
  <c r="AA35" i="38" s="1"/>
  <c r="AL25" i="38"/>
  <c r="AX25" i="38"/>
  <c r="AX27" i="38" s="1"/>
  <c r="AN33" i="38"/>
  <c r="AP33" i="38" s="1"/>
  <c r="AN14" i="38"/>
  <c r="N6" i="38"/>
  <c r="Y27" i="38"/>
  <c r="M19" i="38"/>
  <c r="AS27" i="38"/>
  <c r="S9" i="38"/>
  <c r="AC9" i="38"/>
  <c r="AN9" i="38"/>
  <c r="AO27" i="38"/>
  <c r="AP17" i="38"/>
  <c r="I19" i="38"/>
  <c r="AH16" i="38"/>
  <c r="AG29" i="38"/>
  <c r="AJ9" i="38"/>
  <c r="V16" i="38"/>
  <c r="AO14" i="38"/>
  <c r="AU29" i="38"/>
  <c r="U30" i="38"/>
  <c r="AF30" i="38"/>
  <c r="F16" i="38"/>
  <c r="AF32" i="38"/>
  <c r="R8" i="38"/>
  <c r="R32" i="38" s="1"/>
  <c r="AW32" i="38"/>
  <c r="Z17" i="38"/>
  <c r="Z19" i="38" s="1"/>
  <c r="AS19" i="38"/>
  <c r="J18" i="38"/>
  <c r="J31" i="38" s="1"/>
  <c r="S19" i="38"/>
  <c r="N24" i="38"/>
  <c r="Z24" i="38"/>
  <c r="S27" i="38"/>
  <c r="AP25" i="38"/>
  <c r="BB26" i="38"/>
  <c r="AP7" i="38"/>
  <c r="AT12" i="38"/>
  <c r="AZ30" i="38"/>
  <c r="D29" i="38"/>
  <c r="AK31" i="38"/>
  <c r="AL31" i="38" s="1"/>
  <c r="T29" i="38"/>
  <c r="AO9" i="38"/>
  <c r="AX7" i="38"/>
  <c r="E19" i="38"/>
  <c r="P19" i="38"/>
  <c r="AA19" i="38"/>
  <c r="AV27" i="38"/>
  <c r="AY34" i="38"/>
  <c r="AX18" i="38"/>
  <c r="P32" i="38"/>
  <c r="AX6" i="38"/>
  <c r="AE34" i="38"/>
  <c r="AH34" i="38" s="1"/>
  <c r="Y29" i="38"/>
  <c r="AY29" i="38"/>
  <c r="BA32" i="38"/>
  <c r="D9" i="38"/>
  <c r="Y9" i="38"/>
  <c r="I9" i="38"/>
  <c r="AL17" i="38"/>
  <c r="AL19" i="38" s="1"/>
  <c r="AV19" i="38"/>
  <c r="K19" i="38"/>
  <c r="K27" i="38"/>
  <c r="AC27" i="38"/>
  <c r="X14" i="38"/>
  <c r="Z34" i="38"/>
  <c r="AE9" i="38"/>
  <c r="AU30" i="38"/>
  <c r="Z13" i="38"/>
  <c r="Z14" i="38" s="1"/>
  <c r="AK19" i="38"/>
  <c r="AN30" i="38"/>
  <c r="Y30" i="38"/>
  <c r="AL13" i="38"/>
  <c r="AH6" i="38"/>
  <c r="G9" i="38"/>
  <c r="N25" i="38"/>
  <c r="AQ27" i="38"/>
  <c r="AH8" i="38"/>
  <c r="J6" i="38"/>
  <c r="J29" i="38" s="1"/>
  <c r="V6" i="38"/>
  <c r="T9" i="38"/>
  <c r="AU34" i="38"/>
  <c r="I32" i="38"/>
  <c r="AB9" i="38"/>
  <c r="AJ30" i="38"/>
  <c r="D32" i="38"/>
  <c r="F7" i="38"/>
  <c r="M9" i="38"/>
  <c r="X30" i="38"/>
  <c r="AL7" i="38"/>
  <c r="H9" i="38"/>
  <c r="Z7" i="38"/>
  <c r="AN19" i="38"/>
  <c r="S29" i="38"/>
  <c r="N17" i="38"/>
  <c r="AL11" i="38"/>
  <c r="Q32" i="38"/>
  <c r="H29" i="38"/>
  <c r="U19" i="38"/>
  <c r="AF19" i="38"/>
  <c r="AF27" i="38"/>
  <c r="AX8" i="38"/>
  <c r="X19" i="38"/>
  <c r="F17" i="38"/>
  <c r="AT24" i="38"/>
  <c r="AT27" i="38" s="1"/>
  <c r="AT17" i="38"/>
  <c r="AI30" i="38"/>
  <c r="AC19" i="38"/>
  <c r="AW19" i="38"/>
  <c r="AY19" i="38"/>
  <c r="AP8" i="38"/>
  <c r="AR14" i="38"/>
  <c r="T27" i="38"/>
  <c r="F26" i="38"/>
  <c r="AD25" i="38"/>
  <c r="AD27" i="38" s="1"/>
  <c r="C9" i="38"/>
  <c r="M30" i="38"/>
  <c r="T32" i="38"/>
  <c r="X29" i="38"/>
  <c r="H19" i="38"/>
  <c r="AT13" i="38"/>
  <c r="AH13" i="38"/>
  <c r="AH14" i="38" s="1"/>
  <c r="AD18" i="38"/>
  <c r="C30" i="38"/>
  <c r="C35" i="38" s="1"/>
  <c r="Z8" i="38"/>
  <c r="AP6" i="38"/>
  <c r="S14" i="38"/>
  <c r="AN29" i="38"/>
  <c r="J8" i="38"/>
  <c r="S34" i="38"/>
  <c r="V34" i="38" s="1"/>
  <c r="AM9" i="38"/>
  <c r="D27" i="38"/>
  <c r="AB32" i="38"/>
  <c r="AG14" i="38"/>
  <c r="AP18" i="38"/>
  <c r="AD8" i="38"/>
  <c r="BB11" i="38"/>
  <c r="P163" i="37"/>
  <c r="AZ31" i="38"/>
  <c r="AS9" i="38"/>
  <c r="AS30" i="38"/>
  <c r="AV9" i="38"/>
  <c r="K9" i="38"/>
  <c r="AQ9" i="38"/>
  <c r="F8" i="38"/>
  <c r="E9" i="38"/>
  <c r="Q9" i="38"/>
  <c r="AB29" i="38"/>
  <c r="AD29" i="38" s="1"/>
  <c r="AK32" i="38"/>
  <c r="N16" i="38"/>
  <c r="AT16" i="38"/>
  <c r="G30" i="38"/>
  <c r="R17" i="38"/>
  <c r="AB30" i="38"/>
  <c r="AM30" i="38"/>
  <c r="L19" i="38"/>
  <c r="E27" i="38"/>
  <c r="P30" i="38"/>
  <c r="AK30" i="38"/>
  <c r="AV30" i="38"/>
  <c r="V25" i="38"/>
  <c r="X27" i="38"/>
  <c r="AN32" i="38"/>
  <c r="AP32" i="38" s="1"/>
  <c r="P116" i="37"/>
  <c r="E29" i="38"/>
  <c r="X9" i="38"/>
  <c r="O9" i="38"/>
  <c r="AL6" i="38"/>
  <c r="AD11" i="38"/>
  <c r="N18" i="38"/>
  <c r="AX17" i="38"/>
  <c r="AK27" i="38"/>
  <c r="K30" i="38"/>
  <c r="AR19" i="38"/>
  <c r="U27" i="38"/>
  <c r="E30" i="38"/>
  <c r="AP26" i="38"/>
  <c r="AJ33" i="38"/>
  <c r="AL33" i="38" s="1"/>
  <c r="AJ14" i="38"/>
  <c r="Q29" i="38"/>
  <c r="AT7" i="38"/>
  <c r="AD6" i="38"/>
  <c r="AV29" i="38"/>
  <c r="AB19" i="38"/>
  <c r="AA27" i="38"/>
  <c r="AW30" i="38"/>
  <c r="AN27" i="38"/>
  <c r="AK9" i="38"/>
  <c r="Z26" i="38"/>
  <c r="L9" i="38"/>
  <c r="R24" i="38"/>
  <c r="AV14" i="38"/>
  <c r="AH7" i="38"/>
  <c r="R6" i="38"/>
  <c r="AB14" i="38"/>
  <c r="AT11" i="38"/>
  <c r="M29" i="38"/>
  <c r="AP13" i="38"/>
  <c r="AD16" i="38"/>
  <c r="P27" i="38"/>
  <c r="AS14" i="38"/>
  <c r="U9" i="38"/>
  <c r="H27" i="38"/>
  <c r="H32" i="38"/>
  <c r="AM34" i="38"/>
  <c r="AP34" i="38" s="1"/>
  <c r="AD17" i="38"/>
  <c r="AT8" i="38"/>
  <c r="F6" i="38"/>
  <c r="L31" i="38"/>
  <c r="AX13" i="38"/>
  <c r="AX14" i="38" s="1"/>
  <c r="X32" i="38"/>
  <c r="AL8" i="38"/>
  <c r="V7" i="38"/>
  <c r="AD13" i="38"/>
  <c r="AL24" i="38"/>
  <c r="AQ19" i="38"/>
  <c r="AI9" i="38"/>
  <c r="N7" i="38"/>
  <c r="AR29" i="38"/>
  <c r="AH25" i="38"/>
  <c r="F24" i="38"/>
  <c r="K31" i="38"/>
  <c r="L29" i="38"/>
  <c r="AF9" i="38"/>
  <c r="J17" i="38"/>
  <c r="AT18" i="38"/>
  <c r="G19" i="38"/>
  <c r="H30" i="38"/>
  <c r="BB16" i="38"/>
  <c r="BA29" i="38"/>
  <c r="BA30" i="38"/>
  <c r="BB6" i="38"/>
  <c r="P59" i="37"/>
  <c r="AW35" i="4"/>
  <c r="AP37" i="4"/>
  <c r="AM19" i="4"/>
  <c r="BE32" i="4"/>
  <c r="AY37" i="4"/>
  <c r="AZ7" i="4"/>
  <c r="AE12" i="4"/>
  <c r="AH14" i="4"/>
  <c r="AT35" i="4"/>
  <c r="BA32" i="4"/>
  <c r="BC32" i="4" s="1"/>
  <c r="AW36" i="4"/>
  <c r="AK31" i="4"/>
  <c r="AE36" i="4"/>
  <c r="AQ29" i="4"/>
  <c r="BC22" i="4"/>
  <c r="AK26" i="4"/>
  <c r="AB37" i="4"/>
  <c r="AC24" i="4"/>
  <c r="AK23" i="4"/>
  <c r="AQ31" i="4"/>
  <c r="AS33" i="4"/>
  <c r="AS24" i="4"/>
  <c r="BA24" i="4"/>
  <c r="BC19" i="4"/>
  <c r="AW6" i="4"/>
  <c r="BA9" i="4"/>
  <c r="AH8" i="4"/>
  <c r="AM32" i="4"/>
  <c r="AQ22" i="4"/>
  <c r="AQ24" i="4" s="1"/>
  <c r="AO29" i="4"/>
  <c r="AW55" i="3"/>
  <c r="I56" i="3"/>
  <c r="Z56" i="3"/>
  <c r="Z108" i="3" s="1"/>
  <c r="AL56" i="3"/>
  <c r="BC63" i="3"/>
  <c r="BC78" i="3" s="1"/>
  <c r="K108" i="3"/>
  <c r="AQ72" i="3"/>
  <c r="AH72" i="3"/>
  <c r="AH78" i="3" s="1"/>
  <c r="AN72" i="3"/>
  <c r="H78" i="3"/>
  <c r="P78" i="3"/>
  <c r="X78" i="3"/>
  <c r="AJ78" i="3"/>
  <c r="AK83" i="3"/>
  <c r="AK93" i="3" s="1"/>
  <c r="AT92" i="3"/>
  <c r="AD93" i="3"/>
  <c r="AR93" i="3"/>
  <c r="AZ101" i="3"/>
  <c r="BB9" i="4"/>
  <c r="AI34" i="4"/>
  <c r="AU34" i="4"/>
  <c r="AW34" i="4" s="1"/>
  <c r="BC27" i="4"/>
  <c r="BF15" i="3"/>
  <c r="BF36" i="3"/>
  <c r="BF48" i="3"/>
  <c r="BF63" i="3"/>
  <c r="BE23" i="4"/>
  <c r="BE24" i="4" s="1"/>
  <c r="AO9" i="4"/>
  <c r="AE19" i="4"/>
  <c r="AN36" i="4"/>
  <c r="AI14" i="4"/>
  <c r="AO14" i="4"/>
  <c r="AS9" i="4"/>
  <c r="BC7" i="4"/>
  <c r="AZ14" i="4"/>
  <c r="AN13" i="4"/>
  <c r="AD33" i="4"/>
  <c r="AT8" i="4"/>
  <c r="BC8" i="4"/>
  <c r="O25" i="3"/>
  <c r="AI25" i="3"/>
  <c r="AE20" i="3"/>
  <c r="BC20" i="3"/>
  <c r="AB20" i="3"/>
  <c r="X25" i="3"/>
  <c r="AU25" i="3"/>
  <c r="AQ36" i="3"/>
  <c r="AY56" i="3"/>
  <c r="AY108" i="3" s="1"/>
  <c r="AN48" i="3"/>
  <c r="AI56" i="3"/>
  <c r="AE55" i="3"/>
  <c r="BC55" i="3"/>
  <c r="AN87" i="3"/>
  <c r="AN92" i="3"/>
  <c r="AN93" i="3" s="1"/>
  <c r="AF106" i="3"/>
  <c r="AR9" i="4"/>
  <c r="BF26" i="4"/>
  <c r="AG9" i="4"/>
  <c r="AC9" i="4"/>
  <c r="AE7" i="4"/>
  <c r="AI32" i="4"/>
  <c r="AH15" i="3"/>
  <c r="AH24" i="3"/>
  <c r="AD25" i="3"/>
  <c r="BB25" i="3"/>
  <c r="AV56" i="3"/>
  <c r="AH87" i="3"/>
  <c r="Y87" i="3"/>
  <c r="AB93" i="3"/>
  <c r="AQ92" i="3"/>
  <c r="AN8" i="4"/>
  <c r="AN11" i="4"/>
  <c r="AN14" i="4" s="1"/>
  <c r="AK12" i="4"/>
  <c r="AK14" i="4" s="1"/>
  <c r="AI33" i="4"/>
  <c r="AK33" i="4" s="1"/>
  <c r="BE14" i="4"/>
  <c r="AQ18" i="4"/>
  <c r="AQ19" i="4" s="1"/>
  <c r="AZ9" i="4"/>
  <c r="AJ9" i="4"/>
  <c r="AK6" i="4"/>
  <c r="AK9" i="4" s="1"/>
  <c r="AD14" i="4"/>
  <c r="AW16" i="4"/>
  <c r="AW19" i="4" s="1"/>
  <c r="AB24" i="3"/>
  <c r="AZ24" i="3"/>
  <c r="M25" i="3"/>
  <c r="AM56" i="3"/>
  <c r="AZ36" i="4"/>
  <c r="AD35" i="4"/>
  <c r="AE35" i="4" s="1"/>
  <c r="BA33" i="4"/>
  <c r="AQ15" i="3"/>
  <c r="BC24" i="3"/>
  <c r="AT55" i="3"/>
  <c r="E56" i="3"/>
  <c r="M56" i="3"/>
  <c r="M108" i="3" s="1"/>
  <c r="U56" i="3"/>
  <c r="U108" i="3" s="1"/>
  <c r="AK63" i="3"/>
  <c r="AB63" i="3"/>
  <c r="AZ63" i="3"/>
  <c r="AQ63" i="3"/>
  <c r="G78" i="3"/>
  <c r="O78" i="3"/>
  <c r="AI78" i="3"/>
  <c r="AE72" i="3"/>
  <c r="AE78" i="3" s="1"/>
  <c r="Y77" i="3"/>
  <c r="AW77" i="3"/>
  <c r="AN77" i="3"/>
  <c r="AN78" i="3" s="1"/>
  <c r="D78" i="3"/>
  <c r="L78" i="3"/>
  <c r="T78" i="3"/>
  <c r="AK17" i="4"/>
  <c r="AK19" i="4" s="1"/>
  <c r="AJ29" i="4"/>
  <c r="AE9" i="4"/>
  <c r="AT9" i="4"/>
  <c r="C25" i="3"/>
  <c r="S25" i="3"/>
  <c r="AC25" i="3"/>
  <c r="AN20" i="3"/>
  <c r="AN25" i="3" s="1"/>
  <c r="L25" i="3"/>
  <c r="BA25" i="3"/>
  <c r="W25" i="3"/>
  <c r="AZ36" i="3"/>
  <c r="AE48" i="3"/>
  <c r="C56" i="3"/>
  <c r="C108" i="3" s="1"/>
  <c r="S56" i="3"/>
  <c r="AC56" i="3"/>
  <c r="AC108" i="3" s="1"/>
  <c r="AO56" i="3"/>
  <c r="AQ55" i="3"/>
  <c r="BF105" i="3"/>
  <c r="BF106" i="3" s="1"/>
  <c r="BE33" i="4"/>
  <c r="BD25" i="3"/>
  <c r="AZ83" i="3"/>
  <c r="AO32" i="4"/>
  <c r="AQ32" i="4" s="1"/>
  <c r="AN15" i="3"/>
  <c r="E25" i="3"/>
  <c r="AT24" i="3"/>
  <c r="AK24" i="3"/>
  <c r="AV25" i="3"/>
  <c r="AV108" i="3" s="1"/>
  <c r="AB83" i="3"/>
  <c r="AE87" i="3"/>
  <c r="AO93" i="3"/>
  <c r="BA93" i="3"/>
  <c r="AR106" i="3"/>
  <c r="AE13" i="4"/>
  <c r="AE14" i="4" s="1"/>
  <c r="AC33" i="4"/>
  <c r="AE33" i="4" s="1"/>
  <c r="AO33" i="4"/>
  <c r="AQ33" i="4" s="1"/>
  <c r="BD78" i="3"/>
  <c r="CH32" i="19"/>
  <c r="V36" i="24"/>
  <c r="AZ37" i="7"/>
  <c r="BA31" i="7"/>
  <c r="CL32" i="19"/>
  <c r="AX25" i="18"/>
  <c r="AV37" i="7"/>
  <c r="S108" i="3"/>
  <c r="AQ78" i="3"/>
  <c r="Q36" i="22"/>
  <c r="BB105" i="18"/>
  <c r="AX40" i="18"/>
  <c r="AV107" i="18"/>
  <c r="AA37" i="13"/>
  <c r="AO31" i="11"/>
  <c r="AN37" i="11"/>
  <c r="AF37" i="13"/>
  <c r="AU31" i="4"/>
  <c r="AU24" i="4"/>
  <c r="AW21" i="4"/>
  <c r="AW24" i="4" s="1"/>
  <c r="AT25" i="18"/>
  <c r="BJ9" i="19"/>
  <c r="L107" i="21"/>
  <c r="CA37" i="19"/>
  <c r="CD29" i="19"/>
  <c r="AH107" i="18"/>
  <c r="AR24" i="7"/>
  <c r="AM37" i="11"/>
  <c r="E108" i="3"/>
  <c r="I264" i="26"/>
  <c r="K264" i="26" s="1"/>
  <c r="J264" i="26"/>
  <c r="P36" i="22"/>
  <c r="CH19" i="19"/>
  <c r="CH31" i="19"/>
  <c r="AI37" i="20"/>
  <c r="G107" i="21"/>
  <c r="CH105" i="18"/>
  <c r="BR32" i="19"/>
  <c r="AR108" i="12"/>
  <c r="BA32" i="11"/>
  <c r="AZ108" i="12"/>
  <c r="AF108" i="12"/>
  <c r="BY37" i="19"/>
  <c r="J37" i="19"/>
  <c r="AJ25" i="3"/>
  <c r="AH20" i="3"/>
  <c r="AH25" i="3" s="1"/>
  <c r="AX25" i="3"/>
  <c r="AX108" i="3" s="1"/>
  <c r="AT63" i="3"/>
  <c r="AF22" i="4"/>
  <c r="BT37" i="19"/>
  <c r="AH37" i="13"/>
  <c r="AX14" i="7"/>
  <c r="P108" i="10"/>
  <c r="AJ37" i="4"/>
  <c r="AL71" i="18"/>
  <c r="AS106" i="3"/>
  <c r="AK20" i="3"/>
  <c r="J25" i="3"/>
  <c r="J108" i="3" s="1"/>
  <c r="AR56" i="3"/>
  <c r="AK55" i="3"/>
  <c r="F78" i="3"/>
  <c r="AG78" i="3"/>
  <c r="AB77" i="3"/>
  <c r="AT83" i="3"/>
  <c r="AT93" i="3" s="1"/>
  <c r="CJ107" i="18"/>
  <c r="AL9" i="19"/>
  <c r="G36" i="22"/>
  <c r="AG108" i="12"/>
  <c r="AO9" i="11"/>
  <c r="AH9" i="4"/>
  <c r="U90" i="34"/>
  <c r="BF19" i="19"/>
  <c r="H37" i="19"/>
  <c r="G128" i="26"/>
  <c r="I128" i="26" s="1"/>
  <c r="AE107" i="18"/>
  <c r="AZ106" i="3"/>
  <c r="AT15" i="3"/>
  <c r="AK15" i="3"/>
  <c r="AB15" i="3"/>
  <c r="AB25" i="3" s="1"/>
  <c r="AZ15" i="3"/>
  <c r="BC15" i="3"/>
  <c r="BC25" i="3" s="1"/>
  <c r="AT20" i="3"/>
  <c r="AT25" i="3" s="1"/>
  <c r="AO25" i="3"/>
  <c r="AO108" i="3" s="1"/>
  <c r="AB55" i="3"/>
  <c r="X56" i="3"/>
  <c r="AZ77" i="3"/>
  <c r="I93" i="3"/>
  <c r="I108" i="3" s="1"/>
  <c r="BC97" i="3"/>
  <c r="BC106" i="3" s="1"/>
  <c r="BF78" i="30"/>
  <c r="Y15" i="3"/>
  <c r="D25" i="3"/>
  <c r="BJ14" i="19"/>
  <c r="AI31" i="11"/>
  <c r="S36" i="24"/>
  <c r="AB105" i="23"/>
  <c r="CH33" i="19"/>
  <c r="CB107" i="18"/>
  <c r="BC37" i="11"/>
  <c r="AY37" i="13"/>
  <c r="AO108" i="12"/>
  <c r="T179" i="34"/>
  <c r="T25" i="3"/>
  <c r="AE24" i="3"/>
  <c r="AF25" i="3"/>
  <c r="AF108" i="3" s="1"/>
  <c r="Y36" i="3"/>
  <c r="AT36" i="3"/>
  <c r="AT48" i="3"/>
  <c r="AK48" i="3"/>
  <c r="AB48" i="3"/>
  <c r="AZ48" i="3"/>
  <c r="AQ48" i="3"/>
  <c r="AH48" i="3"/>
  <c r="AW48" i="3"/>
  <c r="BC48" i="3"/>
  <c r="BC56" i="3" s="1"/>
  <c r="H56" i="3"/>
  <c r="P56" i="3"/>
  <c r="AJ56" i="3"/>
  <c r="AJ108" i="3" s="1"/>
  <c r="AD78" i="3"/>
  <c r="AD108" i="3" s="1"/>
  <c r="BB78" i="3"/>
  <c r="AT72" i="3"/>
  <c r="AT78" i="3" s="1"/>
  <c r="AP107" i="18"/>
  <c r="AU37" i="11"/>
  <c r="BJ105" i="18"/>
  <c r="AZ107" i="18"/>
  <c r="CD34" i="19"/>
  <c r="M108" i="12"/>
  <c r="AU19" i="7"/>
  <c r="AU14" i="7"/>
  <c r="AW9" i="4"/>
  <c r="AU108" i="3"/>
  <c r="Q32" i="20"/>
  <c r="Q37" i="20" s="1"/>
  <c r="F25" i="3"/>
  <c r="N25" i="3"/>
  <c r="N108" i="3" s="1"/>
  <c r="AR25" i="3"/>
  <c r="AQ24" i="3"/>
  <c r="V25" i="3"/>
  <c r="AG25" i="3"/>
  <c r="AB36" i="3"/>
  <c r="AW36" i="3"/>
  <c r="AM108" i="3"/>
  <c r="Y48" i="3"/>
  <c r="Y72" i="3"/>
  <c r="AW15" i="3"/>
  <c r="AE15" i="3"/>
  <c r="AZ20" i="3"/>
  <c r="AQ20" i="3"/>
  <c r="Y20" i="3"/>
  <c r="Y25" i="3" s="1"/>
  <c r="AW20" i="3"/>
  <c r="AW25" i="3" s="1"/>
  <c r="G25" i="3"/>
  <c r="G108" i="3" s="1"/>
  <c r="AN36" i="3"/>
  <c r="AN56" i="3" s="1"/>
  <c r="AE36" i="3"/>
  <c r="AE56" i="3" s="1"/>
  <c r="BC36" i="3"/>
  <c r="D56" i="3"/>
  <c r="D108" i="3" s="1"/>
  <c r="L56" i="3"/>
  <c r="L108" i="3" s="1"/>
  <c r="T56" i="3"/>
  <c r="AB72" i="3"/>
  <c r="AZ72" i="3"/>
  <c r="AP93" i="3"/>
  <c r="AP108" i="3" s="1"/>
  <c r="Y92" i="3"/>
  <c r="Y93" i="3" s="1"/>
  <c r="AW92" i="3"/>
  <c r="AE93" i="3"/>
  <c r="AR23" i="4"/>
  <c r="H25" i="3"/>
  <c r="P25" i="3"/>
  <c r="V78" i="3"/>
  <c r="AQ83" i="3"/>
  <c r="AQ93" i="3" s="1"/>
  <c r="AZ87" i="3"/>
  <c r="AZ93" i="3" s="1"/>
  <c r="Q93" i="3"/>
  <c r="Q108" i="3" s="1"/>
  <c r="AK22" i="4"/>
  <c r="AK24" i="4" s="1"/>
  <c r="AB106" i="3"/>
  <c r="AR32" i="4"/>
  <c r="AQ34" i="4"/>
  <c r="AS14" i="4"/>
  <c r="BC35" i="4"/>
  <c r="AG33" i="4"/>
  <c r="AP29" i="4"/>
  <c r="BB29" i="4"/>
  <c r="Y37" i="4"/>
  <c r="AC16" i="6"/>
  <c r="AC26" i="6" s="1"/>
  <c r="AQ109" i="6"/>
  <c r="AA57" i="6"/>
  <c r="AY57" i="6"/>
  <c r="BB107" i="6"/>
  <c r="BB109" i="6" s="1"/>
  <c r="AA107" i="6"/>
  <c r="AE34" i="7"/>
  <c r="AF34" i="7" s="1"/>
  <c r="AQ34" i="7"/>
  <c r="BA36" i="7"/>
  <c r="AL19" i="8"/>
  <c r="AO24" i="8"/>
  <c r="AF20" i="10"/>
  <c r="BD20" i="10"/>
  <c r="AI24" i="10"/>
  <c r="AI25" i="10" s="1"/>
  <c r="AQ56" i="10"/>
  <c r="AQ108" i="10" s="1"/>
  <c r="AL48" i="10"/>
  <c r="I56" i="10"/>
  <c r="I108" i="10" s="1"/>
  <c r="Q56" i="10"/>
  <c r="Y56" i="10"/>
  <c r="AF63" i="10"/>
  <c r="AF78" i="10" s="1"/>
  <c r="BD63" i="10"/>
  <c r="AP31" i="11"/>
  <c r="BA18" i="11"/>
  <c r="J71" i="12"/>
  <c r="J108" i="12" s="1"/>
  <c r="R71" i="12"/>
  <c r="R108" i="12" s="1"/>
  <c r="Z71" i="12"/>
  <c r="Z108" i="12" s="1"/>
  <c r="F106" i="12"/>
  <c r="F108" i="12" s="1"/>
  <c r="AK32" i="13"/>
  <c r="AK37" i="13" s="1"/>
  <c r="AL33" i="13"/>
  <c r="AL37" i="13" s="1"/>
  <c r="AT33" i="13"/>
  <c r="AF29" i="13"/>
  <c r="Q70" i="16"/>
  <c r="Q107" i="16" s="1"/>
  <c r="S31" i="17"/>
  <c r="Q24" i="17"/>
  <c r="V93" i="3"/>
  <c r="BC87" i="3"/>
  <c r="AL93" i="3"/>
  <c r="AL108" i="3" s="1"/>
  <c r="AC19" i="4"/>
  <c r="BA19" i="4"/>
  <c r="AE22" i="4"/>
  <c r="AE24" i="4" s="1"/>
  <c r="AL29" i="4"/>
  <c r="BC28" i="4"/>
  <c r="AR24" i="5"/>
  <c r="X37" i="5"/>
  <c r="AJ37" i="5"/>
  <c r="W32" i="5"/>
  <c r="W37" i="5" s="1"/>
  <c r="AR32" i="5"/>
  <c r="AR37" i="5" s="1"/>
  <c r="T34" i="5"/>
  <c r="T37" i="5" s="1"/>
  <c r="AR34" i="5"/>
  <c r="AF36" i="5"/>
  <c r="AF37" i="5" s="1"/>
  <c r="M26" i="6"/>
  <c r="U26" i="6"/>
  <c r="U109" i="6" s="1"/>
  <c r="AS26" i="6"/>
  <c r="AS109" i="6" s="1"/>
  <c r="I57" i="6"/>
  <c r="I109" i="6" s="1"/>
  <c r="AB57" i="6"/>
  <c r="AB109" i="6" s="1"/>
  <c r="AZ57" i="6"/>
  <c r="AZ109" i="6" s="1"/>
  <c r="AF64" i="6"/>
  <c r="AX78" i="6"/>
  <c r="AX79" i="6" s="1"/>
  <c r="AC84" i="6"/>
  <c r="Q94" i="6"/>
  <c r="Q109" i="6" s="1"/>
  <c r="I94" i="6"/>
  <c r="BA22" i="7"/>
  <c r="AT24" i="7"/>
  <c r="AU24" i="7" s="1"/>
  <c r="BD23" i="7"/>
  <c r="AG34" i="7"/>
  <c r="AH35" i="7"/>
  <c r="AI35" i="7" s="1"/>
  <c r="AI16" i="7"/>
  <c r="AO23" i="7"/>
  <c r="AI27" i="7"/>
  <c r="T24" i="8"/>
  <c r="E29" i="8"/>
  <c r="T32" i="8"/>
  <c r="AL15" i="10"/>
  <c r="AL25" i="10" s="1"/>
  <c r="AL108" i="10" s="1"/>
  <c r="AU101" i="10"/>
  <c r="AU106" i="10" s="1"/>
  <c r="AZ33" i="11"/>
  <c r="C71" i="12"/>
  <c r="S71" i="12"/>
  <c r="AA71" i="12"/>
  <c r="AT31" i="13"/>
  <c r="AT37" i="13" s="1"/>
  <c r="BA31" i="13"/>
  <c r="BA37" i="13" s="1"/>
  <c r="BB33" i="13"/>
  <c r="BB37" i="13" s="1"/>
  <c r="BA106" i="3"/>
  <c r="BA108" i="3" s="1"/>
  <c r="AA106" i="3"/>
  <c r="AA108" i="3" s="1"/>
  <c r="AN22" i="4"/>
  <c r="AN24" i="4" s="1"/>
  <c r="AC14" i="4"/>
  <c r="AV14" i="4"/>
  <c r="AQ12" i="4"/>
  <c r="AQ14" i="4" s="1"/>
  <c r="AT36" i="4"/>
  <c r="AD19" i="4"/>
  <c r="AS29" i="4"/>
  <c r="AK37" i="5"/>
  <c r="AR21" i="6"/>
  <c r="AR26" i="6" s="1"/>
  <c r="AR109" i="6" s="1"/>
  <c r="J57" i="6"/>
  <c r="J109" i="6" s="1"/>
  <c r="AF94" i="6"/>
  <c r="BA84" i="6"/>
  <c r="K88" i="6"/>
  <c r="K94" i="6" s="1"/>
  <c r="AO88" i="6"/>
  <c r="AL94" i="6"/>
  <c r="AU9" i="7"/>
  <c r="AD32" i="7"/>
  <c r="AF32" i="7" s="1"/>
  <c r="AG14" i="7"/>
  <c r="AI14" i="7" s="1"/>
  <c r="AQ14" i="7"/>
  <c r="AL31" i="8"/>
  <c r="AR18" i="11"/>
  <c r="AP33" i="11"/>
  <c r="AR33" i="11" s="1"/>
  <c r="AN31" i="13"/>
  <c r="AN37" i="13" s="1"/>
  <c r="AU31" i="13"/>
  <c r="AU37" i="13" s="1"/>
  <c r="Y55" i="3"/>
  <c r="AW72" i="3"/>
  <c r="AW78" i="3" s="1"/>
  <c r="AS93" i="3"/>
  <c r="AS108" i="3" s="1"/>
  <c r="AW101" i="3"/>
  <c r="AW106" i="3" s="1"/>
  <c r="AV32" i="4"/>
  <c r="AV37" i="4" s="1"/>
  <c r="AC31" i="4"/>
  <c r="AE31" i="4" s="1"/>
  <c r="AN6" i="4"/>
  <c r="AH16" i="4"/>
  <c r="AH19" i="4" s="1"/>
  <c r="AW26" i="4"/>
  <c r="AW29" i="4" s="1"/>
  <c r="AE27" i="4"/>
  <c r="AF9" i="5"/>
  <c r="T14" i="5"/>
  <c r="T19" i="5"/>
  <c r="AU24" i="5"/>
  <c r="AO31" i="5"/>
  <c r="AI33" i="5"/>
  <c r="AI37" i="5" s="1"/>
  <c r="AU35" i="5"/>
  <c r="BD16" i="6"/>
  <c r="BD26" i="6" s="1"/>
  <c r="K57" i="6"/>
  <c r="AF56" i="6"/>
  <c r="AF57" i="6" s="1"/>
  <c r="AM57" i="6"/>
  <c r="AM109" i="6" s="1"/>
  <c r="AL64" i="6"/>
  <c r="AL79" i="6" s="1"/>
  <c r="AF78" i="6"/>
  <c r="AF79" i="6" s="1"/>
  <c r="AO78" i="6"/>
  <c r="AO79" i="6" s="1"/>
  <c r="AO109" i="6" s="1"/>
  <c r="AI84" i="6"/>
  <c r="AI94" i="6" s="1"/>
  <c r="BD84" i="6"/>
  <c r="N88" i="6"/>
  <c r="M94" i="6"/>
  <c r="W93" i="6"/>
  <c r="AC107" i="6"/>
  <c r="BA102" i="6"/>
  <c r="BA107" i="6" s="1"/>
  <c r="E9" i="7"/>
  <c r="AX6" i="7"/>
  <c r="AT34" i="7"/>
  <c r="AU34" i="7" s="1"/>
  <c r="AF23" i="7"/>
  <c r="AC33" i="7"/>
  <c r="AC37" i="7" s="1"/>
  <c r="AL9" i="8"/>
  <c r="Z14" i="8"/>
  <c r="D37" i="8"/>
  <c r="P37" i="8"/>
  <c r="K32" i="8"/>
  <c r="K37" i="8" s="1"/>
  <c r="AH9" i="11"/>
  <c r="AI9" i="11" s="1"/>
  <c r="AI13" i="11"/>
  <c r="AH36" i="11"/>
  <c r="AI36" i="11" s="1"/>
  <c r="AF16" i="11"/>
  <c r="AG29" i="11"/>
  <c r="AI29" i="11" s="1"/>
  <c r="BB29" i="11"/>
  <c r="BD29" i="11" s="1"/>
  <c r="AA25" i="12"/>
  <c r="AG9" i="13"/>
  <c r="AE34" i="13"/>
  <c r="AE37" i="13" s="1"/>
  <c r="AM34" i="13"/>
  <c r="AT24" i="13"/>
  <c r="AX32" i="4"/>
  <c r="AZ32" i="4" s="1"/>
  <c r="AN7" i="4"/>
  <c r="AC34" i="4"/>
  <c r="AE34" i="4" s="1"/>
  <c r="AZ18" i="4"/>
  <c r="AZ19" i="4" s="1"/>
  <c r="AV29" i="4"/>
  <c r="BC29" i="4"/>
  <c r="AK28" i="4"/>
  <c r="R37" i="5"/>
  <c r="AB37" i="5"/>
  <c r="AU33" i="5"/>
  <c r="Z34" i="5"/>
  <c r="Z37" i="5" s="1"/>
  <c r="Q35" i="5"/>
  <c r="AI56" i="6"/>
  <c r="AI57" i="6" s="1"/>
  <c r="AI109" i="6" s="1"/>
  <c r="BD56" i="6"/>
  <c r="BD57" i="6" s="1"/>
  <c r="AO64" i="6"/>
  <c r="AL11" i="7"/>
  <c r="AU17" i="7"/>
  <c r="AM33" i="7"/>
  <c r="AO33" i="7" s="1"/>
  <c r="AE56" i="10"/>
  <c r="AE108" i="10" s="1"/>
  <c r="AJ31" i="11"/>
  <c r="AO7" i="11"/>
  <c r="AX22" i="11"/>
  <c r="AI23" i="11"/>
  <c r="AJ33" i="11"/>
  <c r="AL33" i="11" s="1"/>
  <c r="AL27" i="11"/>
  <c r="AL40" i="12"/>
  <c r="M39" i="16"/>
  <c r="Z37" i="4"/>
  <c r="AU94" i="6"/>
  <c r="BC32" i="7"/>
  <c r="BD32" i="7" s="1"/>
  <c r="AP14" i="4"/>
  <c r="AD24" i="4"/>
  <c r="AH27" i="4"/>
  <c r="AH29" i="4" s="1"/>
  <c r="AT27" i="4"/>
  <c r="AT29" i="4" s="1"/>
  <c r="Z29" i="5"/>
  <c r="Q36" i="5"/>
  <c r="S109" i="6"/>
  <c r="AC49" i="6"/>
  <c r="AC57" i="6" s="1"/>
  <c r="AD107" i="6"/>
  <c r="AD109" i="6" s="1"/>
  <c r="AK24" i="7"/>
  <c r="AL24" i="7" s="1"/>
  <c r="AG24" i="7"/>
  <c r="AI24" i="7" s="1"/>
  <c r="W56" i="10"/>
  <c r="W108" i="10" s="1"/>
  <c r="AU77" i="10"/>
  <c r="AU78" i="10" s="1"/>
  <c r="E78" i="10"/>
  <c r="E108" i="10" s="1"/>
  <c r="M78" i="10"/>
  <c r="U78" i="10"/>
  <c r="BC14" i="11"/>
  <c r="BD14" i="11" s="1"/>
  <c r="Q29" i="17"/>
  <c r="AZ55" i="3"/>
  <c r="AH55" i="3"/>
  <c r="AH56" i="3" s="1"/>
  <c r="O56" i="3"/>
  <c r="O108" i="3" s="1"/>
  <c r="W56" i="3"/>
  <c r="W108" i="3" s="1"/>
  <c r="AK72" i="3"/>
  <c r="AK78" i="3" s="1"/>
  <c r="AW87" i="3"/>
  <c r="AH92" i="3"/>
  <c r="AH93" i="3" s="1"/>
  <c r="BC92" i="3"/>
  <c r="BC93" i="3" s="1"/>
  <c r="AI106" i="3"/>
  <c r="AI108" i="3" s="1"/>
  <c r="AD32" i="4"/>
  <c r="AD37" i="4" s="1"/>
  <c r="AT11" i="4"/>
  <c r="AT14" i="4" s="1"/>
  <c r="AF33" i="4"/>
  <c r="AT18" i="4"/>
  <c r="AT19" i="4" s="1"/>
  <c r="BA29" i="4"/>
  <c r="AK27" i="4"/>
  <c r="AK29" i="4" s="1"/>
  <c r="AE28" i="4"/>
  <c r="AN28" i="4"/>
  <c r="AN29" i="4" s="1"/>
  <c r="AL14" i="5"/>
  <c r="AL29" i="5"/>
  <c r="Q33" i="5"/>
  <c r="AC34" i="5"/>
  <c r="AC37" i="5" s="1"/>
  <c r="T35" i="5"/>
  <c r="C26" i="6"/>
  <c r="C109" i="6" s="1"/>
  <c r="AA26" i="6"/>
  <c r="AY26" i="6"/>
  <c r="Z25" i="6"/>
  <c r="Z26" i="6" s="1"/>
  <c r="Z109" i="6" s="1"/>
  <c r="AX25" i="6"/>
  <c r="AX26" i="6" s="1"/>
  <c r="G57" i="6"/>
  <c r="G109" i="6" s="1"/>
  <c r="Y57" i="6"/>
  <c r="Y109" i="6" s="1"/>
  <c r="AW57" i="6"/>
  <c r="AW109" i="6" s="1"/>
  <c r="BA49" i="6"/>
  <c r="BA57" i="6" s="1"/>
  <c r="D57" i="6"/>
  <c r="D109" i="6" s="1"/>
  <c r="T57" i="6"/>
  <c r="AP57" i="6"/>
  <c r="AP109" i="6" s="1"/>
  <c r="AS94" i="6"/>
  <c r="AP31" i="7"/>
  <c r="BD9" i="7"/>
  <c r="AP34" i="7"/>
  <c r="AR34" i="7" s="1"/>
  <c r="AR16" i="7"/>
  <c r="AW29" i="7"/>
  <c r="AX29" i="7" s="1"/>
  <c r="BA27" i="7"/>
  <c r="Z33" i="8"/>
  <c r="E36" i="8"/>
  <c r="BD15" i="10"/>
  <c r="G25" i="10"/>
  <c r="BA24" i="10"/>
  <c r="BA25" i="10" s="1"/>
  <c r="BA108" i="10" s="1"/>
  <c r="AO87" i="10"/>
  <c r="BB93" i="10"/>
  <c r="BB108" i="10" s="1"/>
  <c r="AR92" i="10"/>
  <c r="AR93" i="10" s="1"/>
  <c r="AR108" i="10" s="1"/>
  <c r="AO106" i="10"/>
  <c r="AQ32" i="11"/>
  <c r="AQ37" i="11" s="1"/>
  <c r="AV24" i="11"/>
  <c r="AX24" i="11" s="1"/>
  <c r="K25" i="12"/>
  <c r="S25" i="12"/>
  <c r="U25" i="12"/>
  <c r="U108" i="12" s="1"/>
  <c r="AK25" i="12"/>
  <c r="AK108" i="12" s="1"/>
  <c r="AS25" i="12"/>
  <c r="AS108" i="12" s="1"/>
  <c r="AM25" i="12"/>
  <c r="AM35" i="13"/>
  <c r="AM14" i="13"/>
  <c r="AE29" i="13"/>
  <c r="E105" i="16"/>
  <c r="M37" i="20"/>
  <c r="W23" i="24"/>
  <c r="J561" i="26"/>
  <c r="I561" i="26"/>
  <c r="K561" i="26" s="1"/>
  <c r="CL39" i="18"/>
  <c r="CL13" i="19" s="1"/>
  <c r="CL36" i="19" s="1"/>
  <c r="Z90" i="18"/>
  <c r="AU105" i="18"/>
  <c r="AU107" i="18" s="1"/>
  <c r="AO31" i="19"/>
  <c r="AO37" i="19" s="1"/>
  <c r="BM34" i="19"/>
  <c r="BM37" i="19" s="1"/>
  <c r="Q9" i="20"/>
  <c r="AR19" i="20"/>
  <c r="C37" i="20"/>
  <c r="T19" i="7"/>
  <c r="AL16" i="7"/>
  <c r="AO17" i="7"/>
  <c r="AE33" i="7"/>
  <c r="AE37" i="7" s="1"/>
  <c r="BA18" i="7"/>
  <c r="AL28" i="7"/>
  <c r="Z32" i="8"/>
  <c r="Z37" i="8" s="1"/>
  <c r="AF34" i="8"/>
  <c r="H14" i="8"/>
  <c r="AF33" i="8"/>
  <c r="Q24" i="8"/>
  <c r="T29" i="8"/>
  <c r="N32" i="8"/>
  <c r="N37" i="8" s="1"/>
  <c r="T36" i="8"/>
  <c r="AO15" i="10"/>
  <c r="AO25" i="10" s="1"/>
  <c r="AA25" i="10"/>
  <c r="J25" i="10"/>
  <c r="J108" i="10" s="1"/>
  <c r="AC36" i="10"/>
  <c r="C56" i="10"/>
  <c r="C108" i="10" s="1"/>
  <c r="AV56" i="10"/>
  <c r="AV108" i="10" s="1"/>
  <c r="AX77" i="10"/>
  <c r="AX78" i="10" s="1"/>
  <c r="AX108" i="10" s="1"/>
  <c r="F78" i="10"/>
  <c r="F108" i="10" s="1"/>
  <c r="N78" i="10"/>
  <c r="N108" i="10" s="1"/>
  <c r="V78" i="10"/>
  <c r="V108" i="10" s="1"/>
  <c r="AC87" i="10"/>
  <c r="AC93" i="10" s="1"/>
  <c r="AG93" i="10"/>
  <c r="AG108" i="10" s="1"/>
  <c r="BB34" i="11"/>
  <c r="BD34" i="11" s="1"/>
  <c r="BD17" i="11"/>
  <c r="AC24" i="11"/>
  <c r="AQ29" i="11"/>
  <c r="AR29" i="11" s="1"/>
  <c r="AU28" i="11"/>
  <c r="AI25" i="12"/>
  <c r="AD40" i="12"/>
  <c r="AD108" i="12" s="1"/>
  <c r="AX71" i="12"/>
  <c r="H106" i="12"/>
  <c r="H108" i="12" s="1"/>
  <c r="X106" i="12"/>
  <c r="X108" i="12" s="1"/>
  <c r="C106" i="12"/>
  <c r="AV31" i="13"/>
  <c r="AV37" i="13" s="1"/>
  <c r="AT34" i="13"/>
  <c r="AY14" i="13"/>
  <c r="AI19" i="13"/>
  <c r="AB33" i="13"/>
  <c r="AB37" i="13" s="1"/>
  <c r="AN29" i="13"/>
  <c r="AU29" i="13"/>
  <c r="BB29" i="13"/>
  <c r="E24" i="16"/>
  <c r="E107" i="16" s="1"/>
  <c r="M70" i="16"/>
  <c r="P9" i="17"/>
  <c r="Q34" i="17"/>
  <c r="M32" i="17"/>
  <c r="M37" i="17" s="1"/>
  <c r="T19" i="17"/>
  <c r="R19" i="17"/>
  <c r="N29" i="17"/>
  <c r="AT30" i="18"/>
  <c r="CC40" i="18"/>
  <c r="CC107" i="18" s="1"/>
  <c r="BN39" i="18"/>
  <c r="BN13" i="19" s="1"/>
  <c r="BE105" i="18"/>
  <c r="BE107" i="18" s="1"/>
  <c r="CA105" i="18"/>
  <c r="Y105" i="18"/>
  <c r="Y107" i="18" s="1"/>
  <c r="BH9" i="19"/>
  <c r="BA32" i="19"/>
  <c r="BI31" i="19"/>
  <c r="BI37" i="19" s="1"/>
  <c r="AF33" i="19"/>
  <c r="AE29" i="19"/>
  <c r="AN32" i="19"/>
  <c r="BE29" i="19"/>
  <c r="BP29" i="19"/>
  <c r="T32" i="20"/>
  <c r="T37" i="20" s="1"/>
  <c r="W34" i="20"/>
  <c r="AF24" i="20"/>
  <c r="AU29" i="20"/>
  <c r="E34" i="20"/>
  <c r="AF34" i="20"/>
  <c r="R71" i="21"/>
  <c r="R105" i="21"/>
  <c r="O13" i="22"/>
  <c r="I28" i="22"/>
  <c r="Q28" i="22"/>
  <c r="K25" i="23"/>
  <c r="K105" i="23" s="1"/>
  <c r="M31" i="24"/>
  <c r="M36" i="24" s="1"/>
  <c r="K18" i="24"/>
  <c r="H75" i="26"/>
  <c r="H85" i="26"/>
  <c r="H111" i="26"/>
  <c r="J395" i="26"/>
  <c r="H591" i="26"/>
  <c r="AD81" i="32"/>
  <c r="AD38" i="32"/>
  <c r="BC31" i="13"/>
  <c r="BC37" i="13" s="1"/>
  <c r="AC24" i="13"/>
  <c r="BC24" i="13"/>
  <c r="BF34" i="18"/>
  <c r="BF40" i="18" s="1"/>
  <c r="AX63" i="18"/>
  <c r="BV26" i="19"/>
  <c r="BV32" i="19" s="1"/>
  <c r="I31" i="19"/>
  <c r="I37" i="19" s="1"/>
  <c r="D32" i="19"/>
  <c r="D37" i="19" s="1"/>
  <c r="S32" i="19"/>
  <c r="G29" i="19"/>
  <c r="AF32" i="19"/>
  <c r="Z34" i="20"/>
  <c r="Z37" i="20" s="1"/>
  <c r="W33" i="20"/>
  <c r="W37" i="20" s="1"/>
  <c r="AI24" i="20"/>
  <c r="AB37" i="20"/>
  <c r="AM37" i="20"/>
  <c r="U37" i="20"/>
  <c r="Q71" i="21"/>
  <c r="Q107" i="21" s="1"/>
  <c r="J105" i="21"/>
  <c r="J107" i="21" s="1"/>
  <c r="P13" i="22"/>
  <c r="AA25" i="23"/>
  <c r="AA105" i="23" s="1"/>
  <c r="L18" i="24"/>
  <c r="I78" i="30"/>
  <c r="T84" i="6"/>
  <c r="T94" i="6" s="1"/>
  <c r="T109" i="6" s="1"/>
  <c r="AA94" i="6"/>
  <c r="Z93" i="6"/>
  <c r="Z94" i="6" s="1"/>
  <c r="AO94" i="6"/>
  <c r="BD98" i="6"/>
  <c r="BD107" i="6" s="1"/>
  <c r="BA106" i="6"/>
  <c r="Q9" i="7"/>
  <c r="BB34" i="7"/>
  <c r="BA11" i="7"/>
  <c r="AV19" i="7"/>
  <c r="AQ33" i="7"/>
  <c r="AR33" i="7" s="1"/>
  <c r="AH33" i="7"/>
  <c r="BD26" i="7"/>
  <c r="AL14" i="8"/>
  <c r="W19" i="8"/>
  <c r="W24" i="8"/>
  <c r="L37" i="8"/>
  <c r="H34" i="8"/>
  <c r="H37" i="8" s="1"/>
  <c r="AF15" i="10"/>
  <c r="S25" i="10"/>
  <c r="AL55" i="10"/>
  <c r="AL56" i="10" s="1"/>
  <c r="AA56" i="10"/>
  <c r="AM56" i="10"/>
  <c r="AM108" i="10" s="1"/>
  <c r="AY56" i="10"/>
  <c r="D78" i="10"/>
  <c r="D108" i="10" s="1"/>
  <c r="L78" i="10"/>
  <c r="L108" i="10" s="1"/>
  <c r="T78" i="10"/>
  <c r="T108" i="10" s="1"/>
  <c r="AD78" i="10"/>
  <c r="AD108" i="10" s="1"/>
  <c r="AU83" i="10"/>
  <c r="AU93" i="10" s="1"/>
  <c r="AS93" i="10"/>
  <c r="BB33" i="11"/>
  <c r="BB37" i="11" s="1"/>
  <c r="AX28" i="11"/>
  <c r="K71" i="12"/>
  <c r="AQ71" i="12"/>
  <c r="G106" i="12"/>
  <c r="V106" i="12"/>
  <c r="AD106" i="12"/>
  <c r="AL106" i="12"/>
  <c r="AC31" i="13"/>
  <c r="BD31" i="13"/>
  <c r="BD37" i="13" s="1"/>
  <c r="AK19" i="13"/>
  <c r="AY19" i="13"/>
  <c r="BC33" i="13"/>
  <c r="AD24" i="13"/>
  <c r="AW24" i="13"/>
  <c r="AP29" i="13"/>
  <c r="G24" i="16"/>
  <c r="G107" i="16" s="1"/>
  <c r="K31" i="17"/>
  <c r="K37" i="17" s="1"/>
  <c r="R31" i="17"/>
  <c r="R37" i="17" s="1"/>
  <c r="L34" i="17"/>
  <c r="L37" i="17" s="1"/>
  <c r="S34" i="17"/>
  <c r="O32" i="17"/>
  <c r="O37" i="17" s="1"/>
  <c r="P33" i="17"/>
  <c r="CA25" i="18"/>
  <c r="CA107" i="18" s="1"/>
  <c r="CL20" i="18"/>
  <c r="CL25" i="18" s="1"/>
  <c r="BK25" i="18"/>
  <c r="CI25" i="18"/>
  <c r="CI107" i="18" s="1"/>
  <c r="BK40" i="18"/>
  <c r="BU40" i="18"/>
  <c r="BU107" i="18" s="1"/>
  <c r="BJ34" i="18"/>
  <c r="BJ40" i="18" s="1"/>
  <c r="AS40" i="18"/>
  <c r="AF71" i="18"/>
  <c r="AF107" i="18" s="1"/>
  <c r="CL99" i="18"/>
  <c r="CL105" i="18" s="1"/>
  <c r="AH27" i="19"/>
  <c r="AH29" i="19" s="1"/>
  <c r="Z99" i="18"/>
  <c r="Z105" i="18" s="1"/>
  <c r="BF99" i="18"/>
  <c r="BF105" i="18" s="1"/>
  <c r="C31" i="19"/>
  <c r="Q31" i="19"/>
  <c r="Q37" i="19" s="1"/>
  <c r="AA31" i="19"/>
  <c r="AA37" i="19" s="1"/>
  <c r="AJ31" i="19"/>
  <c r="L32" i="19"/>
  <c r="AB32" i="19"/>
  <c r="G34" i="19"/>
  <c r="G37" i="19" s="1"/>
  <c r="AB34" i="19"/>
  <c r="AR34" i="19"/>
  <c r="AR37" i="19" s="1"/>
  <c r="K19" i="19"/>
  <c r="AB19" i="19"/>
  <c r="L33" i="19"/>
  <c r="AQ33" i="19"/>
  <c r="BA33" i="19"/>
  <c r="CJ29" i="19"/>
  <c r="AF19" i="20"/>
  <c r="N29" i="20"/>
  <c r="S37" i="20"/>
  <c r="J37" i="20"/>
  <c r="R24" i="21"/>
  <c r="R107" i="21" s="1"/>
  <c r="E13" i="22"/>
  <c r="K13" i="22"/>
  <c r="M32" i="22"/>
  <c r="J25" i="23"/>
  <c r="J105" i="23" s="1"/>
  <c r="N57" i="23"/>
  <c r="N105" i="23" s="1"/>
  <c r="V57" i="23"/>
  <c r="V105" i="23" s="1"/>
  <c r="T18" i="24"/>
  <c r="H429" i="26"/>
  <c r="F19" i="30"/>
  <c r="W84" i="6"/>
  <c r="AB107" i="6"/>
  <c r="AX102" i="6"/>
  <c r="AX107" i="6" s="1"/>
  <c r="AU106" i="6"/>
  <c r="AL7" i="7"/>
  <c r="BC34" i="7"/>
  <c r="AP14" i="7"/>
  <c r="AR14" i="7" s="1"/>
  <c r="AW19" i="7"/>
  <c r="AG32" i="7"/>
  <c r="AL23" i="7"/>
  <c r="Z19" i="8"/>
  <c r="Z24" i="8"/>
  <c r="AC29" i="8"/>
  <c r="M37" i="8"/>
  <c r="Z15" i="10"/>
  <c r="Z25" i="10" s="1"/>
  <c r="AY25" i="10"/>
  <c r="AY108" i="10" s="1"/>
  <c r="AC48" i="10"/>
  <c r="AC56" i="10" s="1"/>
  <c r="AC108" i="10" s="1"/>
  <c r="BA48" i="10"/>
  <c r="BA56" i="10" s="1"/>
  <c r="K56" i="10"/>
  <c r="K108" i="10" s="1"/>
  <c r="S56" i="10"/>
  <c r="AN56" i="10"/>
  <c r="AL63" i="10"/>
  <c r="AI92" i="10"/>
  <c r="AI93" i="10" s="1"/>
  <c r="AS106" i="10"/>
  <c r="AN14" i="11"/>
  <c r="AO14" i="11" s="1"/>
  <c r="AL16" i="11"/>
  <c r="AV19" i="11"/>
  <c r="AX19" i="11" s="1"/>
  <c r="AZ24" i="11"/>
  <c r="BA24" i="11" s="1"/>
  <c r="G25" i="12"/>
  <c r="W25" i="12"/>
  <c r="O25" i="12"/>
  <c r="AU25" i="12"/>
  <c r="N40" i="12"/>
  <c r="N108" i="12" s="1"/>
  <c r="V40" i="12"/>
  <c r="V108" i="12" s="1"/>
  <c r="AT40" i="12"/>
  <c r="AU40" i="12"/>
  <c r="AH84" i="12"/>
  <c r="AI106" i="12"/>
  <c r="BC106" i="12"/>
  <c r="W106" i="12"/>
  <c r="AE106" i="12"/>
  <c r="AE108" i="12" s="1"/>
  <c r="AP32" i="13"/>
  <c r="AP37" i="13" s="1"/>
  <c r="AA14" i="13"/>
  <c r="AE19" i="13"/>
  <c r="AE24" i="13"/>
  <c r="AL24" i="13"/>
  <c r="BD29" i="13"/>
  <c r="AB29" i="13"/>
  <c r="X37" i="13"/>
  <c r="R70" i="16"/>
  <c r="M105" i="16"/>
  <c r="Z20" i="18"/>
  <c r="Z25" i="18" s="1"/>
  <c r="Z107" i="18" s="1"/>
  <c r="BJ20" i="18"/>
  <c r="BJ25" i="18" s="1"/>
  <c r="BV24" i="18"/>
  <c r="BV25" i="18" s="1"/>
  <c r="BV107" i="18" s="1"/>
  <c r="AX34" i="18"/>
  <c r="AX70" i="18"/>
  <c r="AP26" i="19"/>
  <c r="AP32" i="19" s="1"/>
  <c r="BZ26" i="19"/>
  <c r="M32" i="19"/>
  <c r="AC32" i="19"/>
  <c r="AM32" i="19"/>
  <c r="AM37" i="19" s="1"/>
  <c r="N34" i="19"/>
  <c r="N37" i="19" s="1"/>
  <c r="AS34" i="19"/>
  <c r="AS37" i="19" s="1"/>
  <c r="BQ34" i="19"/>
  <c r="BQ37" i="19" s="1"/>
  <c r="CG34" i="19"/>
  <c r="CG37" i="19" s="1"/>
  <c r="AV14" i="19"/>
  <c r="S19" i="19"/>
  <c r="AM19" i="19"/>
  <c r="M33" i="19"/>
  <c r="T33" i="19"/>
  <c r="T37" i="19" s="1"/>
  <c r="X29" i="19"/>
  <c r="AI29" i="19"/>
  <c r="AQ29" i="19"/>
  <c r="AZ29" i="19"/>
  <c r="CK29" i="19"/>
  <c r="H32" i="20"/>
  <c r="H37" i="20" s="1"/>
  <c r="AL14" i="20"/>
  <c r="AC33" i="20"/>
  <c r="AC37" i="20" s="1"/>
  <c r="I37" i="20"/>
  <c r="AR31" i="20"/>
  <c r="AR37" i="20" s="1"/>
  <c r="M31" i="22"/>
  <c r="H105" i="21"/>
  <c r="H107" i="21" s="1"/>
  <c r="Q13" i="22"/>
  <c r="R28" i="22"/>
  <c r="N25" i="23"/>
  <c r="N33" i="24"/>
  <c r="N36" i="24" s="1"/>
  <c r="F18" i="24"/>
  <c r="AA81" i="32"/>
  <c r="BD38" i="30"/>
  <c r="BF38" i="30" s="1"/>
  <c r="BD80" i="30"/>
  <c r="BF80" i="30" s="1"/>
  <c r="CD75" i="30"/>
  <c r="CD66" i="30"/>
  <c r="BA13" i="7"/>
  <c r="BA16" i="7"/>
  <c r="AR21" i="7"/>
  <c r="AX27" i="7"/>
  <c r="AF28" i="7"/>
  <c r="BA28" i="7"/>
  <c r="N14" i="8"/>
  <c r="E19" i="8"/>
  <c r="AC19" i="8"/>
  <c r="E31" i="8"/>
  <c r="E37" i="8" s="1"/>
  <c r="Q31" i="8"/>
  <c r="Q37" i="8" s="1"/>
  <c r="X37" i="8"/>
  <c r="E33" i="8"/>
  <c r="AU20" i="10"/>
  <c r="AU25" i="10" s="1"/>
  <c r="AU108" i="10" s="1"/>
  <c r="AS25" i="10"/>
  <c r="AS108" i="10" s="1"/>
  <c r="AL77" i="10"/>
  <c r="AL78" i="10" s="1"/>
  <c r="AO77" i="10"/>
  <c r="AO78" i="10" s="1"/>
  <c r="BD77" i="10"/>
  <c r="BD78" i="10" s="1"/>
  <c r="AR101" i="10"/>
  <c r="AR106" i="10" s="1"/>
  <c r="BA7" i="11"/>
  <c r="AC9" i="11"/>
  <c r="AQ14" i="11"/>
  <c r="AR14" i="11" s="1"/>
  <c r="AO17" i="11"/>
  <c r="AH24" i="11"/>
  <c r="AI24" i="11" s="1"/>
  <c r="AF26" i="11"/>
  <c r="AF27" i="11"/>
  <c r="BC71" i="12"/>
  <c r="BC108" i="12" s="1"/>
  <c r="AX84" i="12"/>
  <c r="AN106" i="12"/>
  <c r="AN108" i="12" s="1"/>
  <c r="AY9" i="13"/>
  <c r="AP34" i="13"/>
  <c r="AR33" i="13"/>
  <c r="AF24" i="13"/>
  <c r="AD29" i="13"/>
  <c r="AX29" i="13"/>
  <c r="C37" i="14"/>
  <c r="Q32" i="17"/>
  <c r="Q37" i="17" s="1"/>
  <c r="N19" i="17"/>
  <c r="M29" i="17"/>
  <c r="BS25" i="18"/>
  <c r="BS107" i="18" s="1"/>
  <c r="BG25" i="18"/>
  <c r="BG107" i="18" s="1"/>
  <c r="BR34" i="18"/>
  <c r="BR40" i="18" s="1"/>
  <c r="BR107" i="18" s="1"/>
  <c r="CL34" i="18"/>
  <c r="CL40" i="18" s="1"/>
  <c r="AD90" i="18"/>
  <c r="AD105" i="18" s="1"/>
  <c r="AD107" i="18" s="1"/>
  <c r="U32" i="19"/>
  <c r="O34" i="19"/>
  <c r="O37" i="19" s="1"/>
  <c r="BB34" i="19"/>
  <c r="BB37" i="19" s="1"/>
  <c r="CI34" i="19"/>
  <c r="CI37" i="19" s="1"/>
  <c r="F19" i="19"/>
  <c r="AG19" i="19"/>
  <c r="AJ33" i="19"/>
  <c r="BU29" i="19"/>
  <c r="K33" i="19"/>
  <c r="AC33" i="19"/>
  <c r="AN33" i="19"/>
  <c r="M29" i="19"/>
  <c r="BA29" i="19"/>
  <c r="BK29" i="19"/>
  <c r="K9" i="20"/>
  <c r="E19" i="20"/>
  <c r="T29" i="20"/>
  <c r="V37" i="20"/>
  <c r="AL34" i="20"/>
  <c r="D33" i="22"/>
  <c r="D36" i="22" s="1"/>
  <c r="H57" i="23"/>
  <c r="H105" i="23" s="1"/>
  <c r="AM106" i="12"/>
  <c r="AC32" i="13"/>
  <c r="AS24" i="13"/>
  <c r="AL29" i="13"/>
  <c r="AS29" i="13"/>
  <c r="L70" i="16"/>
  <c r="L107" i="16" s="1"/>
  <c r="I105" i="16"/>
  <c r="I107" i="16" s="1"/>
  <c r="BY40" i="18"/>
  <c r="BY107" i="18" s="1"/>
  <c r="BC34" i="19"/>
  <c r="BC37" i="19" s="1"/>
  <c r="BL29" i="19"/>
  <c r="AL19" i="20"/>
  <c r="AL32" i="20"/>
  <c r="P105" i="21"/>
  <c r="P107" i="21" s="1"/>
  <c r="S13" i="22"/>
  <c r="R13" i="24"/>
  <c r="J565" i="26"/>
  <c r="I565" i="26"/>
  <c r="K565" i="26" s="1"/>
  <c r="BX81" i="30"/>
  <c r="R74" i="30"/>
  <c r="O18" i="22"/>
  <c r="P25" i="23"/>
  <c r="P105" i="23" s="1"/>
  <c r="X25" i="23"/>
  <c r="X105" i="23" s="1"/>
  <c r="J30" i="24"/>
  <c r="L33" i="24"/>
  <c r="L36" i="24" s="1"/>
  <c r="R33" i="24"/>
  <c r="R36" i="24" s="1"/>
  <c r="U18" i="24"/>
  <c r="E193" i="26"/>
  <c r="O86" i="34"/>
  <c r="Q167" i="34"/>
  <c r="Q242" i="34" s="1"/>
  <c r="P81" i="34"/>
  <c r="BJ70" i="30"/>
  <c r="L81" i="30"/>
  <c r="L83" i="30" s="1"/>
  <c r="CH66" i="30"/>
  <c r="CH78" i="30" s="1"/>
  <c r="BZ37" i="30"/>
  <c r="BR53" i="30"/>
  <c r="BR55" i="30" s="1"/>
  <c r="H78" i="30"/>
  <c r="J78" i="30" s="1"/>
  <c r="F79" i="56"/>
  <c r="H18" i="22"/>
  <c r="E32" i="22"/>
  <c r="E36" i="22" s="1"/>
  <c r="K32" i="22"/>
  <c r="K36" i="22" s="1"/>
  <c r="E30" i="24"/>
  <c r="E36" i="24" s="1"/>
  <c r="Q30" i="24"/>
  <c r="Q36" i="24" s="1"/>
  <c r="X8" i="24"/>
  <c r="N13" i="24"/>
  <c r="N18" i="24"/>
  <c r="V18" i="24"/>
  <c r="J32" i="24"/>
  <c r="P32" i="24"/>
  <c r="P36" i="24" s="1"/>
  <c r="P55" i="32"/>
  <c r="BY82" i="30"/>
  <c r="BZ82" i="30" s="1"/>
  <c r="BF160" i="29"/>
  <c r="BV37" i="30"/>
  <c r="CK78" i="30"/>
  <c r="BV52" i="30"/>
  <c r="AN82" i="32"/>
  <c r="CI66" i="29"/>
  <c r="BL81" i="30"/>
  <c r="H82" i="30"/>
  <c r="Q192" i="34"/>
  <c r="AJ21" i="32"/>
  <c r="BI78" i="30"/>
  <c r="Q13" i="24"/>
  <c r="Q18" i="24"/>
  <c r="I28" i="24"/>
  <c r="E90" i="26"/>
  <c r="F152" i="26"/>
  <c r="H152" i="26" s="1"/>
  <c r="G191" i="26"/>
  <c r="I191" i="26" s="1"/>
  <c r="F255" i="26"/>
  <c r="H328" i="26"/>
  <c r="I328" i="26" s="1"/>
  <c r="K328" i="26" s="1"/>
  <c r="S37" i="34"/>
  <c r="AY81" i="32"/>
  <c r="CD70" i="30"/>
  <c r="BS66" i="29"/>
  <c r="BQ160" i="29"/>
  <c r="E18" i="24"/>
  <c r="S18" i="24"/>
  <c r="AY21" i="32"/>
  <c r="BB38" i="32"/>
  <c r="CD51" i="30"/>
  <c r="N160" i="29"/>
  <c r="BM81" i="30"/>
  <c r="J76" i="30"/>
  <c r="BC161" i="31"/>
  <c r="BD161" i="31"/>
  <c r="P109" i="56"/>
  <c r="BR70" i="30"/>
  <c r="BL38" i="30"/>
  <c r="R160" i="29"/>
  <c r="CH52" i="30"/>
  <c r="CH55" i="30" s="1"/>
  <c r="AL38" i="32"/>
  <c r="H161" i="31"/>
  <c r="AX161" i="31"/>
  <c r="H82" i="32"/>
  <c r="AB14" i="43"/>
  <c r="AA36" i="29"/>
  <c r="AE110" i="29"/>
  <c r="AU134" i="29"/>
  <c r="BI9" i="30"/>
  <c r="BI21" i="30" s="1"/>
  <c r="CL7" i="30"/>
  <c r="CL19" i="30" s="1"/>
  <c r="AV55" i="30"/>
  <c r="AV83" i="30" s="1"/>
  <c r="BK53" i="30"/>
  <c r="BN53" i="30" s="1"/>
  <c r="BU54" i="30"/>
  <c r="BU55" i="30" s="1"/>
  <c r="BE76" i="30"/>
  <c r="BE78" i="30" s="1"/>
  <c r="CC76" i="30"/>
  <c r="CC81" i="30" s="1"/>
  <c r="O77" i="30"/>
  <c r="O78" i="30" s="1"/>
  <c r="J68" i="30"/>
  <c r="AU81" i="30"/>
  <c r="AG83" i="30"/>
  <c r="P112" i="31"/>
  <c r="P161" i="31" s="1"/>
  <c r="AN112" i="31"/>
  <c r="AN161" i="31" s="1"/>
  <c r="AK20" i="32"/>
  <c r="AS20" i="32"/>
  <c r="AS82" i="32" s="1"/>
  <c r="AK18" i="32"/>
  <c r="AK80" i="32" s="1"/>
  <c r="AB38" i="32"/>
  <c r="AC54" i="32"/>
  <c r="AC82" i="32" s="1"/>
  <c r="AS54" i="32"/>
  <c r="AA47" i="32"/>
  <c r="AQ47" i="32"/>
  <c r="AQ55" i="32" s="1"/>
  <c r="U54" i="32"/>
  <c r="U82" i="32" s="1"/>
  <c r="AK54" i="32"/>
  <c r="BA54" i="32"/>
  <c r="U53" i="32"/>
  <c r="U81" i="32" s="1"/>
  <c r="AK53" i="32"/>
  <c r="AK81" i="32" s="1"/>
  <c r="BA53" i="32"/>
  <c r="BA81" i="32" s="1"/>
  <c r="O54" i="32"/>
  <c r="O82" i="32" s="1"/>
  <c r="W54" i="32"/>
  <c r="W82" i="32" s="1"/>
  <c r="AE54" i="32"/>
  <c r="AM54" i="32"/>
  <c r="AM82" i="32" s="1"/>
  <c r="AU54" i="32"/>
  <c r="AU82" i="32" s="1"/>
  <c r="BC54" i="32"/>
  <c r="P75" i="32"/>
  <c r="P78" i="32" s="1"/>
  <c r="X66" i="32"/>
  <c r="AR66" i="32"/>
  <c r="X77" i="32"/>
  <c r="X82" i="32" s="1"/>
  <c r="AL77" i="32"/>
  <c r="AL82" i="32" s="1"/>
  <c r="AR77" i="32"/>
  <c r="AR82" i="32" s="1"/>
  <c r="AV70" i="32"/>
  <c r="AV78" i="32" s="1"/>
  <c r="AN76" i="32"/>
  <c r="AV76" i="32"/>
  <c r="BD76" i="32"/>
  <c r="AH77" i="32"/>
  <c r="AH82" i="32" s="1"/>
  <c r="AX77" i="32"/>
  <c r="AX82" i="32" s="1"/>
  <c r="D76" i="32"/>
  <c r="L76" i="32"/>
  <c r="Z74" i="32"/>
  <c r="AF74" i="32"/>
  <c r="AR74" i="32"/>
  <c r="U102" i="33"/>
  <c r="T147" i="33"/>
  <c r="T163" i="33" s="1"/>
  <c r="H147" i="33"/>
  <c r="M158" i="33"/>
  <c r="M163" i="33" s="1"/>
  <c r="L20" i="34"/>
  <c r="S171" i="34"/>
  <c r="S243" i="34" s="1"/>
  <c r="T175" i="34"/>
  <c r="T245" i="34" s="1"/>
  <c r="T36" i="34"/>
  <c r="T29" i="34"/>
  <c r="T85" i="34" s="1"/>
  <c r="Q51" i="34"/>
  <c r="Q52" i="34"/>
  <c r="Q80" i="34" s="1"/>
  <c r="O229" i="34"/>
  <c r="O230" i="34" s="1"/>
  <c r="L80" i="34"/>
  <c r="K184" i="34"/>
  <c r="K242" i="34" s="1"/>
  <c r="G194" i="34"/>
  <c r="G238" i="34" s="1"/>
  <c r="K210" i="34"/>
  <c r="U235" i="34"/>
  <c r="N58" i="57"/>
  <c r="H25" i="53"/>
  <c r="H163" i="33"/>
  <c r="P54" i="34"/>
  <c r="K40" i="54"/>
  <c r="BO66" i="29"/>
  <c r="BS157" i="29"/>
  <c r="BK157" i="29"/>
  <c r="BC157" i="29"/>
  <c r="BC158" i="29" s="1"/>
  <c r="CJ81" i="30"/>
  <c r="G20" i="30"/>
  <c r="G82" i="30" s="1"/>
  <c r="J82" i="30" s="1"/>
  <c r="Q20" i="30"/>
  <c r="BN16" i="30"/>
  <c r="BU36" i="30"/>
  <c r="BU38" i="30" s="1"/>
  <c r="CG37" i="30"/>
  <c r="CG38" i="30" s="1"/>
  <c r="BR30" i="30"/>
  <c r="CD30" i="30"/>
  <c r="BY52" i="30"/>
  <c r="AT75" i="30"/>
  <c r="BH76" i="30"/>
  <c r="BH78" i="30" s="1"/>
  <c r="AL83" i="30"/>
  <c r="AT65" i="31"/>
  <c r="AT161" i="31" s="1"/>
  <c r="AP9" i="32"/>
  <c r="AP21" i="32" s="1"/>
  <c r="BA20" i="32"/>
  <c r="BA18" i="32"/>
  <c r="BA80" i="32" s="1"/>
  <c r="AI18" i="32"/>
  <c r="AI80" i="32" s="1"/>
  <c r="AY18" i="32"/>
  <c r="AY80" i="32" s="1"/>
  <c r="AV19" i="32"/>
  <c r="AY43" i="32"/>
  <c r="C53" i="32"/>
  <c r="K53" i="32"/>
  <c r="K81" i="32" s="1"/>
  <c r="AG53" i="32"/>
  <c r="AG81" i="32" s="1"/>
  <c r="U52" i="32"/>
  <c r="U80" i="32" s="1"/>
  <c r="AC52" i="32"/>
  <c r="AC80" i="32" s="1"/>
  <c r="AC83" i="32" s="1"/>
  <c r="AE75" i="32"/>
  <c r="AW76" i="32"/>
  <c r="AE77" i="32"/>
  <c r="AB70" i="32"/>
  <c r="H102" i="33"/>
  <c r="U158" i="33"/>
  <c r="J85" i="34"/>
  <c r="J90" i="34" s="1"/>
  <c r="U175" i="34"/>
  <c r="U245" i="34" s="1"/>
  <c r="U188" i="34"/>
  <c r="U243" i="34" s="1"/>
  <c r="U192" i="34"/>
  <c r="N195" i="34"/>
  <c r="R51" i="34"/>
  <c r="R79" i="34" s="1"/>
  <c r="N205" i="34"/>
  <c r="R226" i="34"/>
  <c r="R247" i="34" s="1"/>
  <c r="K176" i="34"/>
  <c r="J175" i="34"/>
  <c r="BO155" i="35"/>
  <c r="AS82" i="36"/>
  <c r="CI81" i="30"/>
  <c r="AJ160" i="29"/>
  <c r="W55" i="29"/>
  <c r="BV13" i="30"/>
  <c r="BN70" i="30"/>
  <c r="AW160" i="29"/>
  <c r="AI21" i="32"/>
  <c r="N55" i="32"/>
  <c r="BD81" i="32"/>
  <c r="AI161" i="31"/>
  <c r="L240" i="40"/>
  <c r="M240" i="40" s="1"/>
  <c r="E39" i="60"/>
  <c r="T99" i="54"/>
  <c r="D244" i="34"/>
  <c r="F55" i="29"/>
  <c r="F160" i="29" s="1"/>
  <c r="CL66" i="29"/>
  <c r="CL160" i="29" s="1"/>
  <c r="CE65" i="29"/>
  <c r="CE66" i="29" s="1"/>
  <c r="BW65" i="29"/>
  <c r="AQ157" i="29"/>
  <c r="D13" i="30"/>
  <c r="F13" i="30" s="1"/>
  <c r="BA82" i="30"/>
  <c r="BA83" i="30" s="1"/>
  <c r="CI37" i="30"/>
  <c r="CI82" i="30" s="1"/>
  <c r="BK37" i="30"/>
  <c r="BK38" i="30" s="1"/>
  <c r="BN38" i="30" s="1"/>
  <c r="BL43" i="30"/>
  <c r="BN43" i="30" s="1"/>
  <c r="AX52" i="30"/>
  <c r="AX80" i="30" s="1"/>
  <c r="AX53" i="30"/>
  <c r="AX54" i="30"/>
  <c r="BU76" i="30"/>
  <c r="BU78" i="30" s="1"/>
  <c r="CF76" i="30"/>
  <c r="CF78" i="30" s="1"/>
  <c r="AF112" i="31"/>
  <c r="Y21" i="32"/>
  <c r="AM36" i="32"/>
  <c r="AM38" i="32" s="1"/>
  <c r="AP37" i="32"/>
  <c r="AA43" i="32"/>
  <c r="AY47" i="32"/>
  <c r="O53" i="32"/>
  <c r="W53" i="32"/>
  <c r="W81" i="32" s="1"/>
  <c r="AM53" i="32"/>
  <c r="BC53" i="32"/>
  <c r="Q54" i="32"/>
  <c r="Y51" i="32"/>
  <c r="Y55" i="32" s="1"/>
  <c r="AO51" i="32"/>
  <c r="AO55" i="32" s="1"/>
  <c r="AL66" i="32"/>
  <c r="AL78" i="32" s="1"/>
  <c r="AZ66" i="32"/>
  <c r="F76" i="32"/>
  <c r="F78" i="32" s="1"/>
  <c r="AX76" i="32"/>
  <c r="AX81" i="32" s="1"/>
  <c r="AX83" i="32" s="1"/>
  <c r="D77" i="32"/>
  <c r="D82" i="32" s="1"/>
  <c r="K77" i="32"/>
  <c r="K78" i="32" s="1"/>
  <c r="Z77" i="32"/>
  <c r="Z82" i="32" s="1"/>
  <c r="AF77" i="32"/>
  <c r="AF82" i="32" s="1"/>
  <c r="AT77" i="32"/>
  <c r="AT82" i="32" s="1"/>
  <c r="AT83" i="32" s="1"/>
  <c r="AJ77" i="32"/>
  <c r="AZ70" i="32"/>
  <c r="N76" i="32"/>
  <c r="N78" i="32" s="1"/>
  <c r="AB74" i="32"/>
  <c r="AH74" i="32"/>
  <c r="AT74" i="32"/>
  <c r="C77" i="32"/>
  <c r="C78" i="32" s="1"/>
  <c r="AQ77" i="32"/>
  <c r="AY77" i="32"/>
  <c r="D147" i="33"/>
  <c r="S19" i="34"/>
  <c r="L87" i="34"/>
  <c r="F81" i="34"/>
  <c r="T205" i="34"/>
  <c r="Q203" i="34"/>
  <c r="Q211" i="34" s="1"/>
  <c r="U225" i="34"/>
  <c r="U226" i="34" s="1"/>
  <c r="U247" i="34" s="1"/>
  <c r="M178" i="34"/>
  <c r="E184" i="34"/>
  <c r="F195" i="34"/>
  <c r="I188" i="34"/>
  <c r="I243" i="34" s="1"/>
  <c r="I248" i="34" s="1"/>
  <c r="J211" i="34"/>
  <c r="H201" i="34"/>
  <c r="D212" i="34"/>
  <c r="AD81" i="36"/>
  <c r="AD84" i="36" s="1"/>
  <c r="AD38" i="36"/>
  <c r="E242" i="34"/>
  <c r="AA55" i="29"/>
  <c r="AK160" i="29"/>
  <c r="BZ66" i="29"/>
  <c r="BZ160" i="29" s="1"/>
  <c r="BJ66" i="29"/>
  <c r="BJ160" i="29" s="1"/>
  <c r="W83" i="29"/>
  <c r="W111" i="29" s="1"/>
  <c r="BC83" i="29"/>
  <c r="CI83" i="29"/>
  <c r="CI111" i="29" s="1"/>
  <c r="AU83" i="29"/>
  <c r="CA83" i="29"/>
  <c r="AE83" i="29"/>
  <c r="AM83" i="29"/>
  <c r="BY160" i="29"/>
  <c r="AU99" i="29"/>
  <c r="AU111" i="29" s="1"/>
  <c r="CE99" i="29"/>
  <c r="BK99" i="29"/>
  <c r="BK111" i="29" s="1"/>
  <c r="AE99" i="29"/>
  <c r="BO99" i="29"/>
  <c r="AA99" i="29"/>
  <c r="CA99" i="29"/>
  <c r="CA111" i="29" s="1"/>
  <c r="BC99" i="29"/>
  <c r="CI99" i="29"/>
  <c r="AM99" i="29"/>
  <c r="BS99" i="29"/>
  <c r="BS111" i="29" s="1"/>
  <c r="BS76" i="30"/>
  <c r="BS81" i="30" s="1"/>
  <c r="P175" i="34"/>
  <c r="O178" i="34"/>
  <c r="O239" i="34" s="1"/>
  <c r="P205" i="34"/>
  <c r="I177" i="34"/>
  <c r="S161" i="31"/>
  <c r="AK161" i="31"/>
  <c r="AV161" i="31"/>
  <c r="K80" i="32"/>
  <c r="AW78" i="32"/>
  <c r="P88" i="57"/>
  <c r="W71" i="52"/>
  <c r="AM16" i="29"/>
  <c r="BS16" i="29"/>
  <c r="AE16" i="29"/>
  <c r="BK16" i="29"/>
  <c r="BO16" i="29"/>
  <c r="CE16" i="29"/>
  <c r="CE55" i="29" s="1"/>
  <c r="AQ16" i="29"/>
  <c r="BW16" i="29"/>
  <c r="BW55" i="29" s="1"/>
  <c r="AI16" i="29"/>
  <c r="CD66" i="29"/>
  <c r="CD160" i="29" s="1"/>
  <c r="BW66" i="29"/>
  <c r="CE9" i="30"/>
  <c r="CC20" i="30"/>
  <c r="CC82" i="30" s="1"/>
  <c r="AR81" i="30"/>
  <c r="Y83" i="30"/>
  <c r="AR65" i="31"/>
  <c r="AZ65" i="31"/>
  <c r="AZ161" i="31" s="1"/>
  <c r="AO18" i="32"/>
  <c r="AO80" i="32" s="1"/>
  <c r="AQ53" i="32"/>
  <c r="AQ81" i="32" s="1"/>
  <c r="C54" i="32"/>
  <c r="AA51" i="32"/>
  <c r="G75" i="32"/>
  <c r="AN66" i="32"/>
  <c r="BB66" i="32"/>
  <c r="BB78" i="32" s="1"/>
  <c r="W74" i="32"/>
  <c r="W78" i="32" s="1"/>
  <c r="AD78" i="32"/>
  <c r="Q158" i="33"/>
  <c r="I20" i="34"/>
  <c r="H81" i="34"/>
  <c r="H82" i="34" s="1"/>
  <c r="Q29" i="34"/>
  <c r="Q85" i="34" s="1"/>
  <c r="U210" i="34"/>
  <c r="Q50" i="34"/>
  <c r="Q87" i="34" s="1"/>
  <c r="F80" i="34"/>
  <c r="F82" i="34" s="1"/>
  <c r="J209" i="34"/>
  <c r="CJ53" i="35"/>
  <c r="AF161" i="31"/>
  <c r="AP161" i="31"/>
  <c r="G109" i="56"/>
  <c r="BS54" i="29"/>
  <c r="BS55" i="29" s="1"/>
  <c r="CA54" i="29"/>
  <c r="AM54" i="29"/>
  <c r="K55" i="29"/>
  <c r="BU55" i="29"/>
  <c r="BU160" i="29" s="1"/>
  <c r="CF55" i="29"/>
  <c r="CF160" i="29" s="1"/>
  <c r="CH66" i="29"/>
  <c r="CH160" i="29" s="1"/>
  <c r="AA157" i="29"/>
  <c r="AX20" i="30"/>
  <c r="AX82" i="30" s="1"/>
  <c r="AT80" i="30"/>
  <c r="BB54" i="30"/>
  <c r="AR78" i="30"/>
  <c r="AR83" i="30" s="1"/>
  <c r="W83" i="30"/>
  <c r="AU55" i="32"/>
  <c r="K54" i="32"/>
  <c r="J52" i="32"/>
  <c r="AI51" i="32"/>
  <c r="AI55" i="32" s="1"/>
  <c r="V66" i="32"/>
  <c r="V78" i="32" s="1"/>
  <c r="BC77" i="32"/>
  <c r="X70" i="32"/>
  <c r="X78" i="32" s="1"/>
  <c r="X83" i="32" s="1"/>
  <c r="I55" i="33"/>
  <c r="I163" i="33" s="1"/>
  <c r="Q55" i="33"/>
  <c r="Q163" i="33" s="1"/>
  <c r="L102" i="33"/>
  <c r="R158" i="33"/>
  <c r="R163" i="33" s="1"/>
  <c r="P18" i="34"/>
  <c r="P80" i="34" s="1"/>
  <c r="R175" i="34"/>
  <c r="Q34" i="34"/>
  <c r="Q79" i="34" s="1"/>
  <c r="P25" i="34"/>
  <c r="P84" i="34" s="1"/>
  <c r="I37" i="34"/>
  <c r="N52" i="34"/>
  <c r="N80" i="34" s="1"/>
  <c r="K54" i="34"/>
  <c r="G193" i="34"/>
  <c r="E211" i="34"/>
  <c r="E213" i="34" s="1"/>
  <c r="M211" i="34"/>
  <c r="M213" i="34" s="1"/>
  <c r="K212" i="34"/>
  <c r="Y38" i="36"/>
  <c r="M109" i="40"/>
  <c r="E243" i="34"/>
  <c r="K245" i="34"/>
  <c r="K82" i="34"/>
  <c r="N40" i="52"/>
  <c r="CJ52" i="30"/>
  <c r="BB47" i="30"/>
  <c r="BB66" i="30"/>
  <c r="BB78" i="30" s="1"/>
  <c r="X83" i="30"/>
  <c r="BB65" i="31"/>
  <c r="BB161" i="31" s="1"/>
  <c r="AQ112" i="31"/>
  <c r="AQ161" i="31" s="1"/>
  <c r="AQ20" i="32"/>
  <c r="AQ82" i="32" s="1"/>
  <c r="I53" i="32"/>
  <c r="BD66" i="32"/>
  <c r="AM75" i="32"/>
  <c r="P147" i="33"/>
  <c r="P163" i="33" s="1"/>
  <c r="U147" i="33"/>
  <c r="Q177" i="34"/>
  <c r="J79" i="34"/>
  <c r="J82" i="34" s="1"/>
  <c r="O52" i="34"/>
  <c r="D242" i="34"/>
  <c r="J239" i="34"/>
  <c r="H188" i="34"/>
  <c r="H243" i="34" s="1"/>
  <c r="H248" i="34" s="1"/>
  <c r="E194" i="34"/>
  <c r="E196" i="34" s="1"/>
  <c r="K195" i="34"/>
  <c r="K239" i="34" s="1"/>
  <c r="L245" i="34"/>
  <c r="AZ38" i="36"/>
  <c r="AZ81" i="36"/>
  <c r="E82" i="34"/>
  <c r="K90" i="34"/>
  <c r="M90" i="34"/>
  <c r="AI55" i="29"/>
  <c r="BO55" i="29"/>
  <c r="AY55" i="29"/>
  <c r="G55" i="29"/>
  <c r="G160" i="29" s="1"/>
  <c r="S160" i="29"/>
  <c r="AH160" i="29"/>
  <c r="AQ55" i="29"/>
  <c r="BG66" i="29"/>
  <c r="CM111" i="29"/>
  <c r="BC111" i="29"/>
  <c r="AA110" i="29"/>
  <c r="AA111" i="29" s="1"/>
  <c r="BG110" i="29"/>
  <c r="BG111" i="29" s="1"/>
  <c r="AY111" i="29"/>
  <c r="CE111" i="29"/>
  <c r="BO111" i="29"/>
  <c r="AQ111" i="29"/>
  <c r="G111" i="29"/>
  <c r="Q160" i="29"/>
  <c r="BR160" i="29"/>
  <c r="BK134" i="29"/>
  <c r="BK158" i="29" s="1"/>
  <c r="CE134" i="29"/>
  <c r="CE158" i="29" s="1"/>
  <c r="AY158" i="29"/>
  <c r="AM134" i="29"/>
  <c r="BG158" i="29"/>
  <c r="AE158" i="29"/>
  <c r="AM152" i="29"/>
  <c r="AM158" i="29" s="1"/>
  <c r="E160" i="29"/>
  <c r="CG160" i="29"/>
  <c r="C21" i="30"/>
  <c r="AW43" i="32"/>
  <c r="AW55" i="32" s="1"/>
  <c r="AX78" i="32"/>
  <c r="S195" i="34"/>
  <c r="S196" i="34" s="1"/>
  <c r="O50" i="34"/>
  <c r="O87" i="34" s="1"/>
  <c r="F188" i="34"/>
  <c r="F243" i="34" s="1"/>
  <c r="K194" i="34"/>
  <c r="K196" i="34" s="1"/>
  <c r="M192" i="34"/>
  <c r="G210" i="34"/>
  <c r="G213" i="34" s="1"/>
  <c r="S83" i="36"/>
  <c r="S38" i="36"/>
  <c r="AB83" i="36"/>
  <c r="E43" i="36"/>
  <c r="P52" i="36"/>
  <c r="BH52" i="36"/>
  <c r="BB43" i="36"/>
  <c r="T55" i="36"/>
  <c r="AH55" i="36"/>
  <c r="AT55" i="36"/>
  <c r="AX54" i="36"/>
  <c r="L238" i="40"/>
  <c r="M238" i="40" s="1"/>
  <c r="L253" i="40"/>
  <c r="M253" i="40" s="1"/>
  <c r="X34" i="41"/>
  <c r="AT24" i="42"/>
  <c r="AT25" i="42" s="1"/>
  <c r="L56" i="42"/>
  <c r="L108" i="42" s="1"/>
  <c r="T56" i="42"/>
  <c r="AM29" i="43"/>
  <c r="C78" i="42"/>
  <c r="C108" i="42" s="1"/>
  <c r="AA24" i="43"/>
  <c r="AI33" i="43"/>
  <c r="AI37" i="43" s="1"/>
  <c r="T20" i="44"/>
  <c r="J25" i="44"/>
  <c r="K106" i="44"/>
  <c r="T101" i="44"/>
  <c r="K50" i="45"/>
  <c r="W50" i="45"/>
  <c r="R74" i="45"/>
  <c r="K73" i="45"/>
  <c r="F56" i="46"/>
  <c r="R56" i="46"/>
  <c r="R106" i="46" s="1"/>
  <c r="K48" i="46"/>
  <c r="W48" i="46"/>
  <c r="C78" i="46"/>
  <c r="V78" i="46"/>
  <c r="Z83" i="46"/>
  <c r="G79" i="47"/>
  <c r="D94" i="47"/>
  <c r="H88" i="47"/>
  <c r="C40" i="48"/>
  <c r="K83" i="48"/>
  <c r="K91" i="48"/>
  <c r="K105" i="48"/>
  <c r="Q29" i="52"/>
  <c r="W70" i="52"/>
  <c r="T105" i="52"/>
  <c r="I78" i="53"/>
  <c r="E101" i="35"/>
  <c r="Y82" i="36"/>
  <c r="AA83" i="36"/>
  <c r="AB82" i="36"/>
  <c r="AJ82" i="36"/>
  <c r="AI55" i="36"/>
  <c r="AU55" i="36"/>
  <c r="CA70" i="36"/>
  <c r="U32" i="38"/>
  <c r="P96" i="40"/>
  <c r="I293" i="40"/>
  <c r="C326" i="40"/>
  <c r="G326" i="40"/>
  <c r="F320" i="40"/>
  <c r="J326" i="40"/>
  <c r="I359" i="40"/>
  <c r="E359" i="40"/>
  <c r="J437" i="40"/>
  <c r="H25" i="42"/>
  <c r="H108" i="42" s="1"/>
  <c r="AT105" i="42"/>
  <c r="AT106" i="42" s="1"/>
  <c r="L44" i="45"/>
  <c r="H50" i="45"/>
  <c r="J65" i="45"/>
  <c r="AD56" i="46"/>
  <c r="H39" i="48"/>
  <c r="H91" i="48"/>
  <c r="H100" i="48"/>
  <c r="K105" i="52"/>
  <c r="Z101" i="35"/>
  <c r="W89" i="35"/>
  <c r="BG89" i="35"/>
  <c r="AI89" i="35"/>
  <c r="BO89" i="35"/>
  <c r="K89" i="35"/>
  <c r="AY89" i="35"/>
  <c r="AA89" i="35"/>
  <c r="BS89" i="35"/>
  <c r="AQ89" i="35"/>
  <c r="CA89" i="35"/>
  <c r="S89" i="35"/>
  <c r="O89" i="35"/>
  <c r="U101" i="35"/>
  <c r="AF101" i="35"/>
  <c r="AP101" i="35"/>
  <c r="BA101" i="35"/>
  <c r="BL101" i="35"/>
  <c r="BV101" i="35"/>
  <c r="S100" i="35"/>
  <c r="BS100" i="35"/>
  <c r="O100" i="35"/>
  <c r="AU100" i="35"/>
  <c r="AU101" i="35" s="1"/>
  <c r="CA100" i="35"/>
  <c r="W100" i="35"/>
  <c r="AA100" i="35"/>
  <c r="BG100" i="35"/>
  <c r="BC100" i="35"/>
  <c r="AE100" i="35"/>
  <c r="BK100" i="35"/>
  <c r="N101" i="35"/>
  <c r="Y101" i="35"/>
  <c r="AJ101" i="35"/>
  <c r="BE101" i="35"/>
  <c r="BZ101" i="35"/>
  <c r="CM100" i="35"/>
  <c r="AI122" i="35"/>
  <c r="BO122" i="35"/>
  <c r="AE122" i="35"/>
  <c r="BK122" i="35"/>
  <c r="AU122" i="35"/>
  <c r="CA122" i="35"/>
  <c r="W122" i="35"/>
  <c r="W144" i="35" s="1"/>
  <c r="BC122" i="35"/>
  <c r="AM122" i="35"/>
  <c r="BS122" i="35"/>
  <c r="BG122" i="35"/>
  <c r="BN41" i="36"/>
  <c r="G122" i="35"/>
  <c r="Q144" i="35"/>
  <c r="BG138" i="35"/>
  <c r="K138" i="35"/>
  <c r="BO138" i="35"/>
  <c r="AU138" i="35"/>
  <c r="AA138" i="35"/>
  <c r="BK138" i="35"/>
  <c r="G138" i="35"/>
  <c r="AQ138" i="35"/>
  <c r="BW138" i="35"/>
  <c r="AY138" i="35"/>
  <c r="AM138" i="35"/>
  <c r="BS138" i="35"/>
  <c r="CA138" i="35"/>
  <c r="X144" i="35"/>
  <c r="AH144" i="35"/>
  <c r="BD144" i="35"/>
  <c r="BP155" i="35"/>
  <c r="BJ155" i="35"/>
  <c r="CI149" i="35"/>
  <c r="Z82" i="36"/>
  <c r="Z84" i="36" s="1"/>
  <c r="CI36" i="36"/>
  <c r="AQ38" i="36"/>
  <c r="AW38" i="36"/>
  <c r="O47" i="36"/>
  <c r="BG47" i="36"/>
  <c r="BQ47" i="36"/>
  <c r="AJ55" i="36"/>
  <c r="AV55" i="36"/>
  <c r="L214" i="40"/>
  <c r="M214" i="40" s="1"/>
  <c r="K282" i="40"/>
  <c r="G293" i="40"/>
  <c r="F287" i="40"/>
  <c r="K305" i="40"/>
  <c r="I326" i="40"/>
  <c r="F324" i="40"/>
  <c r="L324" i="40" s="1"/>
  <c r="M324" i="40" s="1"/>
  <c r="F426" i="40"/>
  <c r="R35" i="41"/>
  <c r="U36" i="41"/>
  <c r="AG33" i="43"/>
  <c r="AG37" i="43" s="1"/>
  <c r="AM106" i="42"/>
  <c r="AM108" i="42" s="1"/>
  <c r="AN101" i="42"/>
  <c r="AN106" i="42" s="1"/>
  <c r="AJ106" i="42"/>
  <c r="AJ108" i="42" s="1"/>
  <c r="M106" i="44"/>
  <c r="S106" i="44"/>
  <c r="I56" i="46"/>
  <c r="U56" i="46"/>
  <c r="Y78" i="46"/>
  <c r="Y106" i="46" s="1"/>
  <c r="E83" i="46"/>
  <c r="Z87" i="46"/>
  <c r="H63" i="48"/>
  <c r="G71" i="48"/>
  <c r="S71" i="48"/>
  <c r="S108" i="48" s="1"/>
  <c r="N91" i="48"/>
  <c r="G70" i="50"/>
  <c r="E97" i="50"/>
  <c r="W15" i="52"/>
  <c r="T24" i="52"/>
  <c r="N70" i="52"/>
  <c r="T20" i="53"/>
  <c r="N72" i="53"/>
  <c r="H85" i="53"/>
  <c r="H100" i="53" s="1"/>
  <c r="K99" i="53"/>
  <c r="K100" i="53" s="1"/>
  <c r="Q101" i="35"/>
  <c r="AB101" i="35"/>
  <c r="AV101" i="35"/>
  <c r="BF101" i="35"/>
  <c r="BQ101" i="35"/>
  <c r="AR81" i="36"/>
  <c r="AL82" i="36"/>
  <c r="AL84" i="36" s="1"/>
  <c r="W81" i="36"/>
  <c r="H31" i="38"/>
  <c r="AE29" i="43"/>
  <c r="AN77" i="42"/>
  <c r="F37" i="43"/>
  <c r="N105" i="44"/>
  <c r="N106" i="44" s="1"/>
  <c r="J56" i="46"/>
  <c r="V56" i="46"/>
  <c r="AE56" i="46"/>
  <c r="AA78" i="46"/>
  <c r="H83" i="46"/>
  <c r="O104" i="46"/>
  <c r="G107" i="47"/>
  <c r="K102" i="47"/>
  <c r="H85" i="50"/>
  <c r="G78" i="51"/>
  <c r="G80" i="51" s="1"/>
  <c r="H39" i="52"/>
  <c r="H40" i="52" s="1"/>
  <c r="K20" i="53"/>
  <c r="K25" i="53" s="1"/>
  <c r="M209" i="34"/>
  <c r="M245" i="34" s="1"/>
  <c r="M227" i="34"/>
  <c r="CC101" i="35"/>
  <c r="AW101" i="35"/>
  <c r="BH101" i="35"/>
  <c r="AG81" i="36"/>
  <c r="BL34" i="36"/>
  <c r="BW34" i="36"/>
  <c r="W38" i="36"/>
  <c r="BB35" i="36"/>
  <c r="G52" i="36"/>
  <c r="CE52" i="36"/>
  <c r="E53" i="36"/>
  <c r="D47" i="36"/>
  <c r="AX47" i="36"/>
  <c r="BM70" i="36"/>
  <c r="D30" i="38"/>
  <c r="I31" i="38"/>
  <c r="I35" i="38" s="1"/>
  <c r="S31" i="38"/>
  <c r="P81" i="40"/>
  <c r="F96" i="40"/>
  <c r="J228" i="40"/>
  <c r="AQ20" i="42"/>
  <c r="AQ25" i="42" s="1"/>
  <c r="P25" i="42"/>
  <c r="X25" i="42"/>
  <c r="X108" i="42" s="1"/>
  <c r="AI19" i="43"/>
  <c r="U37" i="43"/>
  <c r="C37" i="43"/>
  <c r="T83" i="44"/>
  <c r="V74" i="45"/>
  <c r="X56" i="46"/>
  <c r="Z56" i="46" s="1"/>
  <c r="H63" i="46"/>
  <c r="AB78" i="46"/>
  <c r="H72" i="46"/>
  <c r="T100" i="52"/>
  <c r="E15" i="53"/>
  <c r="E25" i="53" s="1"/>
  <c r="W20" i="53"/>
  <c r="M25" i="53"/>
  <c r="N25" i="53" s="1"/>
  <c r="G209" i="34"/>
  <c r="G245" i="34" s="1"/>
  <c r="G248" i="34" s="1"/>
  <c r="D209" i="34"/>
  <c r="D245" i="34" s="1"/>
  <c r="BW147" i="35"/>
  <c r="CB155" i="35"/>
  <c r="BU9" i="36"/>
  <c r="AS38" i="36"/>
  <c r="X55" i="36"/>
  <c r="CF71" i="36"/>
  <c r="AS32" i="38"/>
  <c r="Q75" i="40"/>
  <c r="I98" i="40"/>
  <c r="Q79" i="40"/>
  <c r="M107" i="40"/>
  <c r="L139" i="40"/>
  <c r="N139" i="40" s="1"/>
  <c r="G196" i="40"/>
  <c r="L216" i="40"/>
  <c r="M216" i="40" s="1"/>
  <c r="AK29" i="43"/>
  <c r="AC29" i="43"/>
  <c r="T93" i="42"/>
  <c r="F21" i="45"/>
  <c r="R21" i="45"/>
  <c r="Q37" i="45"/>
  <c r="Q44" i="45" s="1"/>
  <c r="L26" i="46"/>
  <c r="N36" i="46"/>
  <c r="E77" i="46"/>
  <c r="AB104" i="46"/>
  <c r="K16" i="47"/>
  <c r="H16" i="47"/>
  <c r="E16" i="47"/>
  <c r="E21" i="47"/>
  <c r="F26" i="47"/>
  <c r="E37" i="47"/>
  <c r="E49" i="47"/>
  <c r="E57" i="47" s="1"/>
  <c r="K56" i="47"/>
  <c r="H56" i="47"/>
  <c r="K64" i="47"/>
  <c r="K73" i="47"/>
  <c r="E73" i="47"/>
  <c r="F79" i="47"/>
  <c r="K84" i="47"/>
  <c r="K91" i="52"/>
  <c r="O25" i="53"/>
  <c r="O102" i="53" s="1"/>
  <c r="N39" i="53"/>
  <c r="AJ33" i="43"/>
  <c r="BA82" i="36"/>
  <c r="BA55" i="36"/>
  <c r="L178" i="40"/>
  <c r="M178" i="40" s="1"/>
  <c r="L237" i="40"/>
  <c r="M237" i="40" s="1"/>
  <c r="F399" i="40"/>
  <c r="AC19" i="43"/>
  <c r="AA33" i="43"/>
  <c r="AA37" i="43" s="1"/>
  <c r="AG24" i="43"/>
  <c r="G93" i="44"/>
  <c r="Q87" i="44"/>
  <c r="I44" i="45"/>
  <c r="U44" i="45"/>
  <c r="C107" i="47"/>
  <c r="G106" i="48"/>
  <c r="P25" i="52"/>
  <c r="Q25" i="52" s="1"/>
  <c r="T34" i="52"/>
  <c r="F40" i="52"/>
  <c r="F108" i="52" s="1"/>
  <c r="BV19" i="64"/>
  <c r="I25" i="53"/>
  <c r="N62" i="53"/>
  <c r="F78" i="53"/>
  <c r="F102" i="53" s="1"/>
  <c r="Q72" i="53"/>
  <c r="H85" i="54"/>
  <c r="H99" i="54" s="1"/>
  <c r="I29" i="55"/>
  <c r="P47" i="55"/>
  <c r="M67" i="55"/>
  <c r="S41" i="56"/>
  <c r="U40" i="56"/>
  <c r="O103" i="56"/>
  <c r="T30" i="57"/>
  <c r="T31" i="57" s="1"/>
  <c r="Q41" i="57"/>
  <c r="U58" i="57"/>
  <c r="U88" i="57" s="1"/>
  <c r="C27" i="58"/>
  <c r="F14" i="60"/>
  <c r="F40" i="60" s="1"/>
  <c r="M14" i="60"/>
  <c r="M40" i="60" s="1"/>
  <c r="K18" i="60"/>
  <c r="K24" i="60" s="1"/>
  <c r="E23" i="60"/>
  <c r="G24" i="60"/>
  <c r="Q36" i="60"/>
  <c r="Q39" i="60" s="1"/>
  <c r="D39" i="60"/>
  <c r="D40" i="60" s="1"/>
  <c r="AF119" i="65"/>
  <c r="BN66" i="64"/>
  <c r="BI9" i="64"/>
  <c r="AS14" i="64"/>
  <c r="BV11" i="64"/>
  <c r="AX12" i="64"/>
  <c r="BI14" i="64"/>
  <c r="AP19" i="64"/>
  <c r="AD19" i="64"/>
  <c r="AW19" i="64"/>
  <c r="BN17" i="64"/>
  <c r="BI24" i="64"/>
  <c r="BL29" i="64"/>
  <c r="Z29" i="64"/>
  <c r="AX28" i="64"/>
  <c r="AH79" i="64"/>
  <c r="BN99" i="64"/>
  <c r="BN101" i="64" s="1"/>
  <c r="AX99" i="64"/>
  <c r="AK101" i="64"/>
  <c r="BF114" i="64"/>
  <c r="T19" i="65"/>
  <c r="R75" i="65"/>
  <c r="T71" i="65"/>
  <c r="P100" i="53"/>
  <c r="Q100" i="53" s="1"/>
  <c r="R100" i="53"/>
  <c r="M100" i="53"/>
  <c r="M65" i="54"/>
  <c r="J29" i="55"/>
  <c r="J69" i="55" s="1"/>
  <c r="O93" i="56"/>
  <c r="J107" i="56"/>
  <c r="J109" i="56" s="1"/>
  <c r="R106" i="56"/>
  <c r="J31" i="57"/>
  <c r="J88" i="57" s="1"/>
  <c r="O58" i="57"/>
  <c r="O88" i="57" s="1"/>
  <c r="E14" i="60"/>
  <c r="G14" i="60"/>
  <c r="G40" i="60" s="1"/>
  <c r="S24" i="60"/>
  <c r="S40" i="60" s="1"/>
  <c r="N32" i="60"/>
  <c r="N39" i="60" s="1"/>
  <c r="BE38" i="72"/>
  <c r="BV6" i="64"/>
  <c r="BB7" i="64"/>
  <c r="AZ19" i="64"/>
  <c r="AX24" i="64"/>
  <c r="BP24" i="64"/>
  <c r="AT44" i="64"/>
  <c r="BF59" i="64"/>
  <c r="BD66" i="64"/>
  <c r="AF101" i="64"/>
  <c r="BJ114" i="64"/>
  <c r="AT119" i="64"/>
  <c r="AT136" i="64" s="1"/>
  <c r="W24" i="53"/>
  <c r="T29" i="53"/>
  <c r="N34" i="53"/>
  <c r="E50" i="53"/>
  <c r="E70" i="53" s="1"/>
  <c r="Q69" i="53"/>
  <c r="O65" i="54"/>
  <c r="L29" i="55"/>
  <c r="M41" i="56"/>
  <c r="M109" i="56" s="1"/>
  <c r="O56" i="56"/>
  <c r="O79" i="56" s="1"/>
  <c r="R93" i="56"/>
  <c r="K107" i="56"/>
  <c r="K109" i="56" s="1"/>
  <c r="Q16" i="57"/>
  <c r="Q21" i="57" s="1"/>
  <c r="H71" i="57"/>
  <c r="H86" i="57" s="1"/>
  <c r="H88" i="57" s="1"/>
  <c r="R14" i="60"/>
  <c r="R40" i="60" s="1"/>
  <c r="Q18" i="60"/>
  <c r="Q24" i="60" s="1"/>
  <c r="BN16" i="64"/>
  <c r="AD9" i="64"/>
  <c r="BN7" i="64"/>
  <c r="W31" i="64"/>
  <c r="AW14" i="64"/>
  <c r="BN11" i="64"/>
  <c r="AZ14" i="64"/>
  <c r="AR19" i="64"/>
  <c r="AU19" i="64"/>
  <c r="BF23" i="64"/>
  <c r="AU29" i="64"/>
  <c r="AP54" i="64"/>
  <c r="BV54" i="64"/>
  <c r="BM66" i="64"/>
  <c r="AG101" i="64"/>
  <c r="BF84" i="64"/>
  <c r="BV99" i="64"/>
  <c r="BF99" i="64"/>
  <c r="AO101" i="64"/>
  <c r="BE101" i="64"/>
  <c r="BU101" i="64"/>
  <c r="AR136" i="64"/>
  <c r="BA136" i="64"/>
  <c r="AU19" i="65"/>
  <c r="H24" i="54"/>
  <c r="H25" i="54" s="1"/>
  <c r="F65" i="54"/>
  <c r="F101" i="54" s="1"/>
  <c r="X29" i="55"/>
  <c r="F115" i="55"/>
  <c r="R56" i="56"/>
  <c r="R79" i="56" s="1"/>
  <c r="X70" i="56"/>
  <c r="X79" i="56" s="1"/>
  <c r="X109" i="56" s="1"/>
  <c r="I14" i="60"/>
  <c r="I40" i="60" s="1"/>
  <c r="T18" i="60"/>
  <c r="T24" i="60" s="1"/>
  <c r="I39" i="60"/>
  <c r="R34" i="67"/>
  <c r="G34" i="67"/>
  <c r="BU31" i="64"/>
  <c r="BJ54" i="64"/>
  <c r="BR64" i="64"/>
  <c r="BV79" i="64"/>
  <c r="E31" i="57"/>
  <c r="E88" i="57" s="1"/>
  <c r="J39" i="60"/>
  <c r="C34" i="67"/>
  <c r="BR7" i="64"/>
  <c r="AL9" i="64"/>
  <c r="BA14" i="64"/>
  <c r="BM14" i="64"/>
  <c r="BM31" i="64" s="1"/>
  <c r="BR12" i="64"/>
  <c r="BR17" i="64"/>
  <c r="BR19" i="64" s="1"/>
  <c r="AX18" i="64"/>
  <c r="AX19" i="64" s="1"/>
  <c r="BJ18" i="64"/>
  <c r="AL49" i="64"/>
  <c r="AJ66" i="64"/>
  <c r="BE66" i="64"/>
  <c r="AT59" i="64"/>
  <c r="AL59" i="64"/>
  <c r="H129" i="65"/>
  <c r="V40" i="53"/>
  <c r="W40" i="53" s="1"/>
  <c r="W69" i="53"/>
  <c r="V78" i="53"/>
  <c r="W78" i="53" s="1"/>
  <c r="W85" i="53"/>
  <c r="N94" i="53"/>
  <c r="N24" i="54"/>
  <c r="I97" i="55"/>
  <c r="I116" i="55" s="1"/>
  <c r="U34" i="56"/>
  <c r="I103" i="56"/>
  <c r="I107" i="56" s="1"/>
  <c r="J14" i="60"/>
  <c r="J40" i="60" s="1"/>
  <c r="K14" i="60"/>
  <c r="K40" i="60" s="1"/>
  <c r="C24" i="60"/>
  <c r="L39" i="60"/>
  <c r="L40" i="60" s="1"/>
  <c r="Q38" i="66"/>
  <c r="Q39" i="66" s="1"/>
  <c r="BJ6" i="64"/>
  <c r="BJ7" i="64"/>
  <c r="Y31" i="64"/>
  <c r="BB18" i="64"/>
  <c r="BB19" i="64" s="1"/>
  <c r="BF22" i="64"/>
  <c r="BS29" i="64"/>
  <c r="BF28" i="64"/>
  <c r="BH66" i="64"/>
  <c r="BR54" i="64"/>
  <c r="BK101" i="64"/>
  <c r="AT84" i="64"/>
  <c r="BJ124" i="64"/>
  <c r="BB124" i="64"/>
  <c r="BQ136" i="64"/>
  <c r="AX134" i="64"/>
  <c r="X47" i="55"/>
  <c r="F88" i="55"/>
  <c r="F116" i="55" s="1"/>
  <c r="R24" i="56"/>
  <c r="R31" i="56" s="1"/>
  <c r="I56" i="56"/>
  <c r="Q79" i="56"/>
  <c r="Q109" i="56" s="1"/>
  <c r="W79" i="56"/>
  <c r="T16" i="57"/>
  <c r="E18" i="60"/>
  <c r="AL37" i="65"/>
  <c r="AR9" i="64"/>
  <c r="BN8" i="64"/>
  <c r="AT13" i="64"/>
  <c r="AT14" i="64" s="1"/>
  <c r="AX27" i="64"/>
  <c r="AX29" i="64" s="1"/>
  <c r="BU66" i="64"/>
  <c r="BR101" i="64"/>
  <c r="W117" i="65"/>
  <c r="S107" i="56"/>
  <c r="AZ66" i="64"/>
  <c r="AD101" i="64"/>
  <c r="AN136" i="64"/>
  <c r="BF134" i="64"/>
  <c r="Y108" i="65"/>
  <c r="AK108" i="65"/>
  <c r="AP79" i="64"/>
  <c r="BJ84" i="64"/>
  <c r="BJ101" i="64" s="1"/>
  <c r="BM136" i="64"/>
  <c r="BB119" i="64"/>
  <c r="Z134" i="65"/>
  <c r="AL24" i="65"/>
  <c r="W137" i="65"/>
  <c r="W139" i="65" s="1"/>
  <c r="AU29" i="65"/>
  <c r="Z31" i="65"/>
  <c r="AL32" i="65"/>
  <c r="T35" i="65"/>
  <c r="AO36" i="65"/>
  <c r="E69" i="65"/>
  <c r="AL47" i="65"/>
  <c r="Q52" i="65"/>
  <c r="AL52" i="65"/>
  <c r="Q129" i="65"/>
  <c r="Q57" i="65"/>
  <c r="AC57" i="65"/>
  <c r="AO57" i="65"/>
  <c r="Z67" i="65"/>
  <c r="AL69" i="65"/>
  <c r="AX69" i="65"/>
  <c r="N70" i="65"/>
  <c r="W70" i="65"/>
  <c r="AI70" i="65"/>
  <c r="Z102" i="65"/>
  <c r="T85" i="65"/>
  <c r="AR85" i="65"/>
  <c r="Z100" i="65"/>
  <c r="D119" i="65"/>
  <c r="AS142" i="65"/>
  <c r="AS147" i="65" s="1"/>
  <c r="H124" i="65"/>
  <c r="S124" i="65"/>
  <c r="W145" i="65"/>
  <c r="AF126" i="65"/>
  <c r="U143" i="65"/>
  <c r="W143" i="65" s="1"/>
  <c r="Y134" i="65"/>
  <c r="R139" i="65"/>
  <c r="C53" i="70"/>
  <c r="CD10" i="72"/>
  <c r="AK15" i="72"/>
  <c r="CX15" i="72"/>
  <c r="AL19" i="73"/>
  <c r="AL31" i="73"/>
  <c r="CM37" i="30"/>
  <c r="CP33" i="30"/>
  <c r="CP37" i="30" s="1"/>
  <c r="CM34" i="30"/>
  <c r="CP34" i="30" s="1"/>
  <c r="CM43" i="30"/>
  <c r="CP43" i="30" s="1"/>
  <c r="CP42" i="30"/>
  <c r="CM54" i="30"/>
  <c r="CP45" i="30"/>
  <c r="CO53" i="30"/>
  <c r="CO55" i="30" s="1"/>
  <c r="CO47" i="30"/>
  <c r="CP47" i="30" s="1"/>
  <c r="CP49" i="30"/>
  <c r="CN53" i="30"/>
  <c r="CN55" i="30" s="1"/>
  <c r="CN51" i="30"/>
  <c r="BF66" i="32"/>
  <c r="BF78" i="32" s="1"/>
  <c r="BF77" i="32"/>
  <c r="BE70" i="32"/>
  <c r="BE77" i="32"/>
  <c r="BE82" i="32" s="1"/>
  <c r="BG77" i="32"/>
  <c r="BG74" i="32"/>
  <c r="BG78" i="32" s="1"/>
  <c r="U14" i="17"/>
  <c r="U35" i="17"/>
  <c r="N127" i="65"/>
  <c r="AW75" i="65"/>
  <c r="AX75" i="65" s="1"/>
  <c r="N102" i="65"/>
  <c r="N103" i="65"/>
  <c r="AJ142" i="65"/>
  <c r="AJ147" i="65" s="1"/>
  <c r="AG142" i="65"/>
  <c r="F35" i="70"/>
  <c r="I31" i="71"/>
  <c r="I36" i="71" s="1"/>
  <c r="Q35" i="72"/>
  <c r="Q10" i="72"/>
  <c r="AP15" i="72"/>
  <c r="T9" i="65"/>
  <c r="AR14" i="65"/>
  <c r="AC137" i="65"/>
  <c r="AL29" i="65"/>
  <c r="AX31" i="65"/>
  <c r="Q47" i="65"/>
  <c r="K124" i="65"/>
  <c r="AO52" i="65"/>
  <c r="W126" i="65"/>
  <c r="W129" i="65" s="1"/>
  <c r="AR57" i="65"/>
  <c r="J75" i="65"/>
  <c r="AA75" i="65"/>
  <c r="AI85" i="65"/>
  <c r="AC90" i="65"/>
  <c r="AC100" i="65"/>
  <c r="D142" i="65"/>
  <c r="D147" i="65" s="1"/>
  <c r="AL117" i="65"/>
  <c r="T146" i="65"/>
  <c r="AJ146" i="65"/>
  <c r="AL146" i="65" s="1"/>
  <c r="Q134" i="65"/>
  <c r="AH134" i="65"/>
  <c r="N141" i="65"/>
  <c r="Z126" i="65"/>
  <c r="AR62" i="65"/>
  <c r="T75" i="65"/>
  <c r="U75" i="65"/>
  <c r="W75" i="65" s="1"/>
  <c r="N108" i="65"/>
  <c r="W108" i="65"/>
  <c r="P142" i="65"/>
  <c r="AL142" i="65"/>
  <c r="C124" i="65"/>
  <c r="AB134" i="65"/>
  <c r="AC134" i="65" s="1"/>
  <c r="AN134" i="65"/>
  <c r="AO134" i="65" s="1"/>
  <c r="CN33" i="72"/>
  <c r="BG26" i="6"/>
  <c r="BG79" i="6"/>
  <c r="BF32" i="7"/>
  <c r="BG7" i="7"/>
  <c r="AM101" i="64"/>
  <c r="AX84" i="64"/>
  <c r="AL89" i="64"/>
  <c r="AY101" i="64"/>
  <c r="W9" i="65"/>
  <c r="AI14" i="65"/>
  <c r="AR19" i="65"/>
  <c r="AR32" i="65"/>
  <c r="AF33" i="65"/>
  <c r="AL35" i="65"/>
  <c r="W36" i="65"/>
  <c r="AU36" i="65"/>
  <c r="T47" i="65"/>
  <c r="AF47" i="65"/>
  <c r="AR47" i="65"/>
  <c r="E136" i="65"/>
  <c r="E142" i="65" s="1"/>
  <c r="T67" i="65"/>
  <c r="C75" i="65"/>
  <c r="M75" i="65"/>
  <c r="AO70" i="65"/>
  <c r="AX70" i="65"/>
  <c r="AU71" i="65"/>
  <c r="AR100" i="65"/>
  <c r="AG108" i="65"/>
  <c r="AK119" i="65"/>
  <c r="AL119" i="65" s="1"/>
  <c r="D124" i="65"/>
  <c r="P124" i="65"/>
  <c r="AU145" i="65"/>
  <c r="I129" i="65"/>
  <c r="AJ129" i="65"/>
  <c r="S134" i="65"/>
  <c r="AV143" i="65"/>
  <c r="L142" i="65"/>
  <c r="L147" i="65" s="1"/>
  <c r="E27" i="66"/>
  <c r="E30" i="66" s="1"/>
  <c r="U84" i="70"/>
  <c r="BT34" i="72"/>
  <c r="BT25" i="72"/>
  <c r="BB24" i="73"/>
  <c r="S37" i="65"/>
  <c r="T37" i="65" s="1"/>
  <c r="Q124" i="65"/>
  <c r="Q144" i="65"/>
  <c r="Q147" i="65" s="1"/>
  <c r="E108" i="65"/>
  <c r="E103" i="65"/>
  <c r="AL103" i="65"/>
  <c r="AR103" i="65"/>
  <c r="AT108" i="65"/>
  <c r="AD142" i="65"/>
  <c r="AQ144" i="65"/>
  <c r="R129" i="65"/>
  <c r="AX129" i="65"/>
  <c r="X139" i="65"/>
  <c r="AQ139" i="65"/>
  <c r="DC20" i="72"/>
  <c r="BP136" i="64"/>
  <c r="W118" i="65"/>
  <c r="W32" i="65"/>
  <c r="Y37" i="65"/>
  <c r="AL36" i="65"/>
  <c r="AU47" i="65"/>
  <c r="N52" i="65"/>
  <c r="W52" i="65"/>
  <c r="Z57" i="65"/>
  <c r="AL57" i="65"/>
  <c r="Z137" i="65"/>
  <c r="Z139" i="65" s="1"/>
  <c r="W67" i="65"/>
  <c r="AR67" i="65"/>
  <c r="AS75" i="65"/>
  <c r="AX71" i="65"/>
  <c r="N72" i="65"/>
  <c r="N73" i="65"/>
  <c r="AX73" i="65"/>
  <c r="W74" i="65"/>
  <c r="H103" i="65"/>
  <c r="H108" i="65" s="1"/>
  <c r="H105" i="65"/>
  <c r="Q108" i="65"/>
  <c r="X108" i="65"/>
  <c r="Z108" i="65" s="1"/>
  <c r="AJ108" i="65"/>
  <c r="AV108" i="65"/>
  <c r="U142" i="65"/>
  <c r="AB124" i="65"/>
  <c r="AA124" i="65"/>
  <c r="AC124" i="65" s="1"/>
  <c r="AB129" i="65"/>
  <c r="AU127" i="65"/>
  <c r="AB143" i="65"/>
  <c r="AB147" i="65" s="1"/>
  <c r="AK143" i="65"/>
  <c r="V134" i="65"/>
  <c r="AG134" i="65"/>
  <c r="AI134" i="65" s="1"/>
  <c r="H25" i="66"/>
  <c r="G40" i="78"/>
  <c r="G35" i="78"/>
  <c r="G36" i="78"/>
  <c r="N32" i="78"/>
  <c r="N38" i="78" s="1"/>
  <c r="E31" i="79"/>
  <c r="E25" i="79"/>
  <c r="E29" i="79"/>
  <c r="E26" i="79"/>
  <c r="E30" i="79"/>
  <c r="E27" i="79"/>
  <c r="E28" i="79"/>
  <c r="AS134" i="65"/>
  <c r="AU134" i="65" s="1"/>
  <c r="AL133" i="65"/>
  <c r="V139" i="65"/>
  <c r="AN139" i="65"/>
  <c r="AO139" i="65" s="1"/>
  <c r="AJ139" i="65"/>
  <c r="D25" i="66"/>
  <c r="F26" i="66"/>
  <c r="S30" i="66"/>
  <c r="R53" i="70"/>
  <c r="D66" i="70"/>
  <c r="F82" i="70"/>
  <c r="AP33" i="72"/>
  <c r="AP38" i="72" s="1"/>
  <c r="CX33" i="72"/>
  <c r="CX38" i="72" s="1"/>
  <c r="BY25" i="72"/>
  <c r="CX30" i="72"/>
  <c r="U38" i="72"/>
  <c r="BW38" i="72"/>
  <c r="CO38" i="72"/>
  <c r="CW38" i="72"/>
  <c r="AL29" i="73"/>
  <c r="BA37" i="73"/>
  <c r="AY37" i="73"/>
  <c r="BV32" i="73"/>
  <c r="AM37" i="73"/>
  <c r="AW37" i="73"/>
  <c r="BF36" i="73"/>
  <c r="BE81" i="32"/>
  <c r="H40" i="78"/>
  <c r="H39" i="78"/>
  <c r="G37" i="78"/>
  <c r="G38" i="78"/>
  <c r="G39" i="78"/>
  <c r="CN82" i="30"/>
  <c r="CN78" i="30"/>
  <c r="BE25" i="12"/>
  <c r="BE108" i="12" s="1"/>
  <c r="CO30" i="30"/>
  <c r="CP28" i="30"/>
  <c r="BE75" i="32"/>
  <c r="BE66" i="32"/>
  <c r="BE78" i="32" s="1"/>
  <c r="U30" i="66"/>
  <c r="U36" i="66" s="1"/>
  <c r="U35" i="66"/>
  <c r="T32" i="78"/>
  <c r="T37" i="78" s="1"/>
  <c r="BW14" i="64"/>
  <c r="BZ11" i="64"/>
  <c r="BY29" i="64"/>
  <c r="BZ27" i="64"/>
  <c r="AZ37" i="65"/>
  <c r="BA31" i="65"/>
  <c r="AV141" i="65"/>
  <c r="AX141" i="65" s="1"/>
  <c r="AB119" i="65"/>
  <c r="AC119" i="65" s="1"/>
  <c r="J144" i="65"/>
  <c r="I124" i="65"/>
  <c r="AE124" i="65"/>
  <c r="AQ124" i="65"/>
  <c r="AR124" i="65" s="1"/>
  <c r="C129" i="65"/>
  <c r="O143" i="65"/>
  <c r="AE139" i="65"/>
  <c r="AF139" i="65" s="1"/>
  <c r="H27" i="66"/>
  <c r="T30" i="66"/>
  <c r="V10" i="70"/>
  <c r="V22" i="70" s="1"/>
  <c r="D35" i="70"/>
  <c r="F53" i="70"/>
  <c r="DC33" i="72"/>
  <c r="DC38" i="72" s="1"/>
  <c r="G30" i="72"/>
  <c r="DC30" i="72"/>
  <c r="Q30" i="72"/>
  <c r="M38" i="72"/>
  <c r="W38" i="72"/>
  <c r="AE38" i="72"/>
  <c r="CG38" i="72"/>
  <c r="CY38" i="72"/>
  <c r="BR19" i="73"/>
  <c r="AP29" i="73"/>
  <c r="BR29" i="73"/>
  <c r="AK37" i="73"/>
  <c r="BF31" i="73"/>
  <c r="BM37" i="73"/>
  <c r="BB33" i="73"/>
  <c r="E38" i="78"/>
  <c r="I39" i="78"/>
  <c r="I37" i="78"/>
  <c r="H37" i="78"/>
  <c r="CM81" i="30"/>
  <c r="BG32" i="13"/>
  <c r="BF19" i="13"/>
  <c r="BD9" i="4"/>
  <c r="BG57" i="6"/>
  <c r="BE22" i="7"/>
  <c r="BE107" i="6"/>
  <c r="BE109" i="6" s="1"/>
  <c r="AQ37" i="8"/>
  <c r="BG36" i="10"/>
  <c r="BE108" i="10"/>
  <c r="Q30" i="70"/>
  <c r="G53" i="70"/>
  <c r="G84" i="70" s="1"/>
  <c r="V61" i="70"/>
  <c r="V66" i="70" s="1"/>
  <c r="F66" i="70"/>
  <c r="E36" i="71"/>
  <c r="V32" i="72"/>
  <c r="L33" i="72"/>
  <c r="L38" i="72" s="1"/>
  <c r="BE15" i="72"/>
  <c r="CD15" i="72"/>
  <c r="Q20" i="72"/>
  <c r="DC25" i="72"/>
  <c r="CN34" i="72"/>
  <c r="E38" i="72"/>
  <c r="AG38" i="72"/>
  <c r="AO38" i="72"/>
  <c r="AX38" i="72"/>
  <c r="CH38" i="72"/>
  <c r="CQ38" i="72"/>
  <c r="N38" i="72"/>
  <c r="X38" i="72"/>
  <c r="AH38" i="72"/>
  <c r="AR38" i="72"/>
  <c r="BB38" i="72"/>
  <c r="BL38" i="72"/>
  <c r="BV38" i="72"/>
  <c r="CF38" i="72"/>
  <c r="CP38" i="72"/>
  <c r="CZ38" i="72"/>
  <c r="S38" i="72"/>
  <c r="AX9" i="73"/>
  <c r="BV19" i="73"/>
  <c r="AL33" i="73"/>
  <c r="AT29" i="73"/>
  <c r="BV29" i="73"/>
  <c r="BR31" i="73"/>
  <c r="AN37" i="73"/>
  <c r="AI37" i="73"/>
  <c r="AS37" i="73"/>
  <c r="BR36" i="73"/>
  <c r="J44" i="81"/>
  <c r="CM20" i="30"/>
  <c r="CP8" i="30"/>
  <c r="CP20" i="30" s="1"/>
  <c r="CM9" i="30"/>
  <c r="CO19" i="30"/>
  <c r="CO81" i="30" s="1"/>
  <c r="CO13" i="30"/>
  <c r="CP15" i="30"/>
  <c r="CN17" i="30"/>
  <c r="CN21" i="30" s="1"/>
  <c r="CO36" i="30"/>
  <c r="CO38" i="30" s="1"/>
  <c r="CP24" i="30"/>
  <c r="CO26" i="30"/>
  <c r="CP26" i="30" s="1"/>
  <c r="BF38" i="32"/>
  <c r="BG37" i="11"/>
  <c r="BF20" i="3"/>
  <c r="BF25" i="3" s="1"/>
  <c r="BF55" i="3"/>
  <c r="BF56" i="3" s="1"/>
  <c r="BF72" i="3"/>
  <c r="BF78" i="3" s="1"/>
  <c r="BD36" i="4"/>
  <c r="BD14" i="4"/>
  <c r="BF13" i="4"/>
  <c r="AR19" i="8"/>
  <c r="CN101" i="35"/>
  <c r="CQ70" i="35"/>
  <c r="X134" i="65"/>
  <c r="AR133" i="65"/>
  <c r="AR137" i="65"/>
  <c r="AF138" i="65"/>
  <c r="D16" i="66"/>
  <c r="G25" i="66"/>
  <c r="D27" i="66"/>
  <c r="S22" i="70"/>
  <c r="S84" i="70" s="1"/>
  <c r="V30" i="70"/>
  <c r="V35" i="70" s="1"/>
  <c r="C35" i="70"/>
  <c r="J36" i="71"/>
  <c r="BE10" i="72"/>
  <c r="CS20" i="72"/>
  <c r="CI25" i="72"/>
  <c r="AU30" i="72"/>
  <c r="F38" i="72"/>
  <c r="O38" i="72"/>
  <c r="Y38" i="72"/>
  <c r="AQ38" i="72"/>
  <c r="AY38" i="72"/>
  <c r="BH38" i="72"/>
  <c r="DA38" i="72"/>
  <c r="AH31" i="73"/>
  <c r="AH9" i="73"/>
  <c r="AH32" i="73"/>
  <c r="BN24" i="73"/>
  <c r="M32" i="78"/>
  <c r="D32" i="78"/>
  <c r="D36" i="78" s="1"/>
  <c r="D340" i="80"/>
  <c r="G398" i="80"/>
  <c r="K40" i="81"/>
  <c r="K42" i="81"/>
  <c r="K50" i="81"/>
  <c r="K60" i="81"/>
  <c r="K66" i="81" s="1"/>
  <c r="BF108" i="12"/>
  <c r="BF34" i="13"/>
  <c r="BF9" i="13"/>
  <c r="CQ83" i="29"/>
  <c r="CQ99" i="29"/>
  <c r="CQ111" i="29" s="1"/>
  <c r="CQ160" i="29" s="1"/>
  <c r="BG35" i="32"/>
  <c r="BG34" i="32"/>
  <c r="BF52" i="32"/>
  <c r="BF43" i="32"/>
  <c r="BE52" i="32"/>
  <c r="BE47" i="32"/>
  <c r="BE55" i="32" s="1"/>
  <c r="BG47" i="32"/>
  <c r="BG55" i="32" s="1"/>
  <c r="BG54" i="32"/>
  <c r="BF54" i="32"/>
  <c r="BF82" i="32" s="1"/>
  <c r="BF51" i="32"/>
  <c r="BD22" i="4"/>
  <c r="BD106" i="3"/>
  <c r="BD108" i="3" s="1"/>
  <c r="BF8" i="4"/>
  <c r="BD34" i="4"/>
  <c r="BF34" i="4" s="1"/>
  <c r="AR14" i="8"/>
  <c r="BG25" i="10"/>
  <c r="BG78" i="10"/>
  <c r="BG106" i="10"/>
  <c r="CN25" i="72"/>
  <c r="CD30" i="72"/>
  <c r="P38" i="72"/>
  <c r="BA38" i="72"/>
  <c r="BI38" i="72"/>
  <c r="G37" i="72"/>
  <c r="BF9" i="73"/>
  <c r="AF37" i="73"/>
  <c r="BR32" i="73"/>
  <c r="BF33" i="73"/>
  <c r="BV34" i="73"/>
  <c r="BV36" i="73"/>
  <c r="E40" i="78"/>
  <c r="E35" i="78"/>
  <c r="E37" i="78"/>
  <c r="I100" i="81"/>
  <c r="K95" i="81"/>
  <c r="BG37" i="13"/>
  <c r="BE80" i="32"/>
  <c r="DH33" i="72"/>
  <c r="DH15" i="72"/>
  <c r="M142" i="65"/>
  <c r="M147" i="65" s="1"/>
  <c r="AH144" i="65"/>
  <c r="AH147" i="65" s="1"/>
  <c r="E124" i="65"/>
  <c r="Y124" i="65"/>
  <c r="Z124" i="65" s="1"/>
  <c r="AK124" i="65"/>
  <c r="AV124" i="65"/>
  <c r="X129" i="65"/>
  <c r="S129" i="65"/>
  <c r="AW143" i="65"/>
  <c r="AU133" i="65"/>
  <c r="S139" i="65"/>
  <c r="AU137" i="65"/>
  <c r="F16" i="66"/>
  <c r="G28" i="66"/>
  <c r="P30" i="66"/>
  <c r="T82" i="70"/>
  <c r="V81" i="70"/>
  <c r="V82" i="70" s="1"/>
  <c r="AF10" i="72"/>
  <c r="BJ35" i="72"/>
  <c r="BJ38" i="72" s="1"/>
  <c r="Q34" i="72"/>
  <c r="Q38" i="72" s="1"/>
  <c r="BO34" i="72"/>
  <c r="BO38" i="72" s="1"/>
  <c r="CS25" i="72"/>
  <c r="AA30" i="72"/>
  <c r="V34" i="72"/>
  <c r="AS38" i="72"/>
  <c r="BK38" i="72"/>
  <c r="BS38" i="72"/>
  <c r="CB38" i="72"/>
  <c r="G33" i="72"/>
  <c r="AT32" i="73"/>
  <c r="AT37" i="73" s="1"/>
  <c r="BB14" i="73"/>
  <c r="BF29" i="73"/>
  <c r="AP33" i="73"/>
  <c r="BH37" i="73"/>
  <c r="BR33" i="73"/>
  <c r="BR37" i="73" s="1"/>
  <c r="AG37" i="73"/>
  <c r="AR37" i="73"/>
  <c r="BN34" i="73"/>
  <c r="K100" i="81"/>
  <c r="N35" i="78"/>
  <c r="L36" i="78"/>
  <c r="L39" i="78"/>
  <c r="K31" i="79"/>
  <c r="K27" i="79"/>
  <c r="K28" i="79"/>
  <c r="K25" i="79"/>
  <c r="K29" i="79"/>
  <c r="CP11" i="30"/>
  <c r="CP160" i="29"/>
  <c r="BF18" i="32"/>
  <c r="BF13" i="32"/>
  <c r="BF21" i="32" s="1"/>
  <c r="DH32" i="72"/>
  <c r="DH38" i="72" s="1"/>
  <c r="DH10" i="72"/>
  <c r="BF9" i="7"/>
  <c r="BG9" i="7" s="1"/>
  <c r="BF35" i="7"/>
  <c r="BF14" i="7"/>
  <c r="BF34" i="7"/>
  <c r="BG34" i="7" s="1"/>
  <c r="BG28" i="7"/>
  <c r="AL9" i="73"/>
  <c r="AQ37" i="73"/>
  <c r="BS37" i="73"/>
  <c r="BJ32" i="73"/>
  <c r="BF34" i="73"/>
  <c r="BB36" i="73"/>
  <c r="BN36" i="73"/>
  <c r="H41" i="78"/>
  <c r="L41" i="78"/>
  <c r="M39" i="78"/>
  <c r="D31" i="79"/>
  <c r="D32" i="79" s="1"/>
  <c r="D27" i="79"/>
  <c r="D28" i="79"/>
  <c r="D25" i="79"/>
  <c r="D29" i="79"/>
  <c r="P25" i="79"/>
  <c r="P26" i="79"/>
  <c r="P27" i="79"/>
  <c r="P28" i="79"/>
  <c r="P29" i="79"/>
  <c r="P30" i="79"/>
  <c r="CO60" i="30"/>
  <c r="CO61" i="30" s="1"/>
  <c r="CP59" i="30"/>
  <c r="CP65" i="30"/>
  <c r="CN66" i="30"/>
  <c r="CM77" i="30"/>
  <c r="CM78" i="30" s="1"/>
  <c r="CM70" i="30"/>
  <c r="CP70" i="30" s="1"/>
  <c r="CP69" i="30"/>
  <c r="CO77" i="30"/>
  <c r="CO74" i="30"/>
  <c r="CP73" i="30"/>
  <c r="CP74" i="30" s="1"/>
  <c r="BG161" i="31"/>
  <c r="V20" i="34"/>
  <c r="J33" i="81"/>
  <c r="AC60" i="81"/>
  <c r="F32" i="79"/>
  <c r="D285" i="80"/>
  <c r="G330" i="80"/>
  <c r="CN19" i="30"/>
  <c r="CN81" i="30" s="1"/>
  <c r="BG19" i="13"/>
  <c r="BF36" i="4"/>
  <c r="BG107" i="6"/>
  <c r="BF108" i="10"/>
  <c r="BZ19" i="64"/>
  <c r="BA37" i="65"/>
  <c r="BA126" i="65"/>
  <c r="AY129" i="65"/>
  <c r="AY141" i="65"/>
  <c r="BA141" i="65" s="1"/>
  <c r="AY134" i="65"/>
  <c r="BA134" i="65" s="1"/>
  <c r="BA132" i="65"/>
  <c r="AY144" i="65"/>
  <c r="AY139" i="65"/>
  <c r="BA139" i="65" s="1"/>
  <c r="BA138" i="65"/>
  <c r="Y35" i="70"/>
  <c r="P32" i="78"/>
  <c r="F32" i="78"/>
  <c r="F39" i="78" s="1"/>
  <c r="K32" i="78"/>
  <c r="F340" i="80"/>
  <c r="BG55" i="10"/>
  <c r="BG56" i="10" s="1"/>
  <c r="BG108" i="10" s="1"/>
  <c r="V217" i="34"/>
  <c r="V229" i="34" s="1"/>
  <c r="V70" i="34"/>
  <c r="V71" i="34" s="1"/>
  <c r="P174" i="37"/>
  <c r="BA27" i="38"/>
  <c r="BA143" i="65"/>
  <c r="CT28" i="68"/>
  <c r="BZ99" i="64"/>
  <c r="CT29" i="68" s="1"/>
  <c r="CU18" i="68"/>
  <c r="CV18" i="68" s="1"/>
  <c r="BZ124" i="64"/>
  <c r="CU19" i="68" s="1"/>
  <c r="AZ144" i="65"/>
  <c r="AZ119" i="65"/>
  <c r="K46" i="40"/>
  <c r="R46" i="40" s="1"/>
  <c r="Z30" i="76"/>
  <c r="Q52" i="76"/>
  <c r="H52" i="76"/>
  <c r="H62" i="76"/>
  <c r="S32" i="78"/>
  <c r="J41" i="78"/>
  <c r="E340" i="80"/>
  <c r="BE14" i="13"/>
  <c r="BE37" i="13"/>
  <c r="BF7" i="4"/>
  <c r="BE19" i="7"/>
  <c r="BE29" i="7"/>
  <c r="BG29" i="7" s="1"/>
  <c r="U107" i="16"/>
  <c r="T107" i="21"/>
  <c r="F65" i="26"/>
  <c r="K44" i="81"/>
  <c r="R32" i="79"/>
  <c r="I32" i="79"/>
  <c r="G32" i="79"/>
  <c r="S40" i="78"/>
  <c r="H30" i="79"/>
  <c r="G294" i="80"/>
  <c r="BE31" i="13"/>
  <c r="BF14" i="13"/>
  <c r="BF24" i="13"/>
  <c r="BE19" i="4"/>
  <c r="BF29" i="4"/>
  <c r="BF19" i="7"/>
  <c r="BG14" i="11"/>
  <c r="CP27" i="19"/>
  <c r="CO14" i="19"/>
  <c r="CO29" i="19"/>
  <c r="V173" i="34"/>
  <c r="V177" i="34" s="1"/>
  <c r="V16" i="34"/>
  <c r="V186" i="34"/>
  <c r="V29" i="34"/>
  <c r="V202" i="34"/>
  <c r="V210" i="34" s="1"/>
  <c r="V46" i="34"/>
  <c r="V86" i="34" s="1"/>
  <c r="Y13" i="24"/>
  <c r="Y34" i="24"/>
  <c r="AI83" i="46"/>
  <c r="S32" i="79"/>
  <c r="BG108" i="12"/>
  <c r="BG24" i="13"/>
  <c r="BG12" i="7"/>
  <c r="BG14" i="7" s="1"/>
  <c r="BF12" i="4"/>
  <c r="BF14" i="4" s="1"/>
  <c r="BG6" i="7"/>
  <c r="BG17" i="7"/>
  <c r="BZ32" i="73"/>
  <c r="BY37" i="73"/>
  <c r="BX37" i="73"/>
  <c r="BZ35" i="73"/>
  <c r="U32" i="17"/>
  <c r="CM107" i="18"/>
  <c r="CP26" i="19"/>
  <c r="BX66" i="64"/>
  <c r="BY14" i="64"/>
  <c r="BY31" i="64" s="1"/>
  <c r="U36" i="71"/>
  <c r="AA16" i="70"/>
  <c r="AA22" i="70" s="1"/>
  <c r="Z89" i="70" s="1"/>
  <c r="AA21" i="70"/>
  <c r="AA66" i="70"/>
  <c r="Z92" i="70" s="1"/>
  <c r="K89" i="81"/>
  <c r="O32" i="79"/>
  <c r="J32" i="79"/>
  <c r="E192" i="80"/>
  <c r="F192" i="80"/>
  <c r="G174" i="80"/>
  <c r="G180" i="80"/>
  <c r="G185" i="80"/>
  <c r="G207" i="80"/>
  <c r="G213" i="80"/>
  <c r="G316" i="80"/>
  <c r="CM38" i="30"/>
  <c r="BF31" i="13"/>
  <c r="BF37" i="13" s="1"/>
  <c r="CO51" i="30"/>
  <c r="DH30" i="72"/>
  <c r="BE37" i="4"/>
  <c r="BG35" i="7"/>
  <c r="CO68" i="36"/>
  <c r="CP66" i="36"/>
  <c r="CP20" i="18"/>
  <c r="CP7" i="19"/>
  <c r="CM36" i="19"/>
  <c r="CM14" i="19"/>
  <c r="BB13" i="38"/>
  <c r="BB14" i="38" s="1"/>
  <c r="AZ34" i="38"/>
  <c r="CS26" i="68"/>
  <c r="CV26" i="68" s="1"/>
  <c r="T26" i="68" s="1"/>
  <c r="BZ64" i="64"/>
  <c r="CS29" i="68" s="1"/>
  <c r="AY75" i="65"/>
  <c r="BA75" i="65" s="1"/>
  <c r="BA71" i="65"/>
  <c r="G307" i="80"/>
  <c r="CP30" i="30"/>
  <c r="BF18" i="4"/>
  <c r="BF19" i="4" s="1"/>
  <c r="BG88" i="6"/>
  <c r="BG94" i="6" s="1"/>
  <c r="BG109" i="6" s="1"/>
  <c r="BG18" i="7"/>
  <c r="CP144" i="35"/>
  <c r="CQ122" i="35"/>
  <c r="CO144" i="35"/>
  <c r="CQ143" i="35"/>
  <c r="CQ154" i="35"/>
  <c r="CO155" i="35"/>
  <c r="CM20" i="36"/>
  <c r="CP8" i="36"/>
  <c r="CM9" i="36"/>
  <c r="CP15" i="36"/>
  <c r="CO19" i="36"/>
  <c r="CO26" i="36"/>
  <c r="CP24" i="36"/>
  <c r="CO36" i="36"/>
  <c r="CN36" i="36"/>
  <c r="CN30" i="36"/>
  <c r="CM36" i="36"/>
  <c r="CP32" i="36"/>
  <c r="CP40" i="36"/>
  <c r="CO43" i="36"/>
  <c r="CO52" i="36"/>
  <c r="CN47" i="36"/>
  <c r="CN52" i="36"/>
  <c r="CP44" i="36"/>
  <c r="CM53" i="36"/>
  <c r="CP49" i="36"/>
  <c r="CM51" i="36"/>
  <c r="CN70" i="36"/>
  <c r="CP58" i="36"/>
  <c r="CO64" i="36"/>
  <c r="CO70" i="36"/>
  <c r="CP62" i="36"/>
  <c r="CP64" i="36" s="1"/>
  <c r="CS13" i="68"/>
  <c r="CV13" i="68" s="1"/>
  <c r="BZ49" i="64"/>
  <c r="CS14" i="68" s="1"/>
  <c r="CN83" i="18"/>
  <c r="CN107" i="18" s="1"/>
  <c r="U34" i="17"/>
  <c r="CP28" i="19"/>
  <c r="T8" i="22"/>
  <c r="V42" i="34"/>
  <c r="BB17" i="38"/>
  <c r="AY31" i="38"/>
  <c r="BX19" i="64"/>
  <c r="BX31" i="64" s="1"/>
  <c r="BZ59" i="64"/>
  <c r="CS24" i="68" s="1"/>
  <c r="BA128" i="65"/>
  <c r="BZ7" i="64"/>
  <c r="BZ9" i="64" s="1"/>
  <c r="U27" i="67"/>
  <c r="U33" i="66"/>
  <c r="W82" i="70"/>
  <c r="W93" i="70" s="1"/>
  <c r="E22" i="81"/>
  <c r="J43" i="40"/>
  <c r="W63" i="44"/>
  <c r="AC66" i="55"/>
  <c r="CP90" i="18"/>
  <c r="CP8" i="19"/>
  <c r="U24" i="17"/>
  <c r="AX29" i="20"/>
  <c r="V53" i="34"/>
  <c r="V50" i="34"/>
  <c r="V212" i="34"/>
  <c r="AZ27" i="38"/>
  <c r="BA19" i="38"/>
  <c r="BA122" i="65"/>
  <c r="BA118" i="65"/>
  <c r="W53" i="70"/>
  <c r="H48" i="26"/>
  <c r="K61" i="40"/>
  <c r="R61" i="40" s="1"/>
  <c r="Q53" i="40"/>
  <c r="Q54" i="40" s="1"/>
  <c r="W92" i="44"/>
  <c r="CP99" i="18"/>
  <c r="CN14" i="19"/>
  <c r="CP51" i="18"/>
  <c r="CP71" i="18" s="1"/>
  <c r="AC94" i="23"/>
  <c r="V35" i="34"/>
  <c r="AZ124" i="65"/>
  <c r="BA124" i="65" s="1"/>
  <c r="AZ142" i="65"/>
  <c r="AZ147" i="65" s="1"/>
  <c r="BA108" i="65"/>
  <c r="X84" i="70"/>
  <c r="Y66" i="70"/>
  <c r="M65" i="40"/>
  <c r="C25" i="83"/>
  <c r="CP15" i="18"/>
  <c r="CM19" i="19"/>
  <c r="AC25" i="23"/>
  <c r="V67" i="34"/>
  <c r="V89" i="34" s="1"/>
  <c r="V36" i="34"/>
  <c r="AZ14" i="38"/>
  <c r="BZ44" i="64"/>
  <c r="BZ89" i="64"/>
  <c r="CT19" i="68" s="1"/>
  <c r="AZ129" i="65"/>
  <c r="BZ54" i="64"/>
  <c r="CS19" i="68" s="1"/>
  <c r="Z53" i="70"/>
  <c r="H43" i="26"/>
  <c r="E58" i="26"/>
  <c r="H58" i="26"/>
  <c r="C65" i="40"/>
  <c r="P63" i="40"/>
  <c r="W105" i="44"/>
  <c r="U78" i="44"/>
  <c r="AC103" i="23"/>
  <c r="V52" i="34"/>
  <c r="V209" i="34"/>
  <c r="V226" i="34"/>
  <c r="V247" i="34" s="1"/>
  <c r="AZ33" i="38"/>
  <c r="BB33" i="38" s="1"/>
  <c r="BA9" i="38"/>
  <c r="BZ28" i="64"/>
  <c r="BA32" i="65"/>
  <c r="AY119" i="65"/>
  <c r="U26" i="67"/>
  <c r="BA62" i="65"/>
  <c r="J54" i="40"/>
  <c r="P54" i="40"/>
  <c r="P65" i="40" s="1"/>
  <c r="P59" i="40"/>
  <c r="Y28" i="24"/>
  <c r="W55" i="44"/>
  <c r="W83" i="44"/>
  <c r="W97" i="44"/>
  <c r="X44" i="45"/>
  <c r="X82" i="45" s="1"/>
  <c r="AI72" i="46"/>
  <c r="N37" i="47"/>
  <c r="N98" i="47"/>
  <c r="N107" i="47" s="1"/>
  <c r="L79" i="47"/>
  <c r="L107" i="47"/>
  <c r="AC44" i="55"/>
  <c r="AC47" i="55" s="1"/>
  <c r="W79" i="48"/>
  <c r="N39" i="49"/>
  <c r="O48" i="49"/>
  <c r="K18" i="51"/>
  <c r="BE24" i="11"/>
  <c r="AA36" i="41"/>
  <c r="AA37" i="41" s="1"/>
  <c r="CP31" i="19"/>
  <c r="CP30" i="18"/>
  <c r="CP40" i="18" s="1"/>
  <c r="CM32" i="19"/>
  <c r="CM33" i="19"/>
  <c r="AX31" i="20"/>
  <c r="V51" i="34"/>
  <c r="BZ134" i="64"/>
  <c r="CU29" i="68" s="1"/>
  <c r="CV16" i="68"/>
  <c r="T93" i="68" s="1"/>
  <c r="CV22" i="68"/>
  <c r="T99" i="68" s="1"/>
  <c r="AA34" i="70"/>
  <c r="AA35" i="70" s="1"/>
  <c r="Z90" i="70" s="1"/>
  <c r="I22" i="81"/>
  <c r="K19" i="81"/>
  <c r="K21" i="81"/>
  <c r="E48" i="26"/>
  <c r="H53" i="26"/>
  <c r="C65" i="26"/>
  <c r="Q47" i="40"/>
  <c r="I73" i="76"/>
  <c r="BF24" i="11"/>
  <c r="AZ9" i="38"/>
  <c r="CV12" i="68"/>
  <c r="T89" i="68" s="1"/>
  <c r="CV17" i="68"/>
  <c r="T160" i="68" s="1"/>
  <c r="CV23" i="68"/>
  <c r="T23" i="68" s="1"/>
  <c r="E38" i="83"/>
  <c r="P103" i="49"/>
  <c r="AA30" i="41"/>
  <c r="AI37" i="11"/>
  <c r="BC31" i="4"/>
  <c r="Z37" i="19"/>
  <c r="V19" i="19"/>
  <c r="V31" i="19"/>
  <c r="BF32" i="19"/>
  <c r="BF29" i="19"/>
  <c r="AH32" i="19"/>
  <c r="AH19" i="19"/>
  <c r="V107" i="18"/>
  <c r="AI37" i="4"/>
  <c r="AK32" i="4"/>
  <c r="AO37" i="11"/>
  <c r="AI108" i="10"/>
  <c r="AL37" i="4"/>
  <c r="AN35" i="4"/>
  <c r="BB24" i="4"/>
  <c r="BB33" i="4"/>
  <c r="BC33" i="4" s="1"/>
  <c r="BC23" i="4"/>
  <c r="BC24" i="4" s="1"/>
  <c r="AS37" i="4"/>
  <c r="AT32" i="4"/>
  <c r="O238" i="34"/>
  <c r="AL33" i="19"/>
  <c r="AL37" i="19" s="1"/>
  <c r="AL19" i="19"/>
  <c r="CD32" i="19"/>
  <c r="AX19" i="19"/>
  <c r="AX32" i="19"/>
  <c r="AX37" i="19" s="1"/>
  <c r="BZ107" i="18"/>
  <c r="R107" i="16"/>
  <c r="AM37" i="7"/>
  <c r="AO31" i="7"/>
  <c r="AO37" i="7" s="1"/>
  <c r="BB31" i="7"/>
  <c r="BD21" i="7"/>
  <c r="AQ37" i="4"/>
  <c r="BX37" i="19"/>
  <c r="AT14" i="19"/>
  <c r="BJ19" i="19"/>
  <c r="BJ32" i="19"/>
  <c r="BJ37" i="19" s="1"/>
  <c r="AP34" i="19"/>
  <c r="AP9" i="19"/>
  <c r="W37" i="8"/>
  <c r="AT31" i="43"/>
  <c r="AT24" i="43"/>
  <c r="BJ80" i="30"/>
  <c r="BR14" i="19"/>
  <c r="AL107" i="18"/>
  <c r="BZ36" i="19"/>
  <c r="BZ14" i="19"/>
  <c r="Z108" i="10"/>
  <c r="AS37" i="7"/>
  <c r="AU31" i="7"/>
  <c r="CH71" i="18"/>
  <c r="CH107" i="18" s="1"/>
  <c r="M107" i="21"/>
  <c r="T31" i="24"/>
  <c r="T36" i="24" s="1"/>
  <c r="T23" i="24"/>
  <c r="BF14" i="19"/>
  <c r="BF36" i="19"/>
  <c r="CL33" i="19"/>
  <c r="CL37" i="19" s="1"/>
  <c r="CL24" i="19"/>
  <c r="AD19" i="19"/>
  <c r="AD32" i="19"/>
  <c r="AD37" i="19" s="1"/>
  <c r="AL32" i="11"/>
  <c r="AJ37" i="11"/>
  <c r="I233" i="26"/>
  <c r="K233" i="26" s="1"/>
  <c r="BF33" i="19"/>
  <c r="AZ21" i="4"/>
  <c r="AZ24" i="4" s="1"/>
  <c r="AW56" i="3"/>
  <c r="AV24" i="4"/>
  <c r="AH22" i="4"/>
  <c r="AH24" i="4" s="1"/>
  <c r="AG24" i="4"/>
  <c r="AG32" i="4"/>
  <c r="AH33" i="4"/>
  <c r="AC94" i="6"/>
  <c r="AU23" i="7"/>
  <c r="T37" i="8"/>
  <c r="AE106" i="3"/>
  <c r="AZ29" i="4"/>
  <c r="AF107" i="6"/>
  <c r="BC24" i="7"/>
  <c r="BD24" i="7" s="1"/>
  <c r="BC33" i="7"/>
  <c r="BC37" i="7" s="1"/>
  <c r="G108" i="10"/>
  <c r="O23" i="22"/>
  <c r="BB33" i="7"/>
  <c r="AT56" i="3"/>
  <c r="AT106" i="3"/>
  <c r="AT34" i="4"/>
  <c r="N94" i="6"/>
  <c r="N109" i="6" s="1"/>
  <c r="BA94" i="6"/>
  <c r="AU107" i="6"/>
  <c r="AU109" i="6" s="1"/>
  <c r="BD36" i="7"/>
  <c r="AO37" i="5"/>
  <c r="BD94" i="6"/>
  <c r="BD109" i="6" s="1"/>
  <c r="AI24" i="4"/>
  <c r="AN106" i="3"/>
  <c r="AK34" i="4"/>
  <c r="AX22" i="7"/>
  <c r="AL107" i="6"/>
  <c r="AL109" i="6" s="1"/>
  <c r="AI34" i="7"/>
  <c r="BD25" i="10"/>
  <c r="BD108" i="10" s="1"/>
  <c r="AW32" i="7"/>
  <c r="AX32" i="7" s="1"/>
  <c r="AX37" i="7" s="1"/>
  <c r="AW24" i="7"/>
  <c r="AX24" i="7" s="1"/>
  <c r="AX24" i="4"/>
  <c r="AE32" i="4"/>
  <c r="AZ35" i="4"/>
  <c r="BA14" i="7"/>
  <c r="AQ34" i="13"/>
  <c r="AQ37" i="13" s="1"/>
  <c r="AQ9" i="13"/>
  <c r="AX90" i="18"/>
  <c r="AW105" i="18"/>
  <c r="AW107" i="18" s="1"/>
  <c r="Q25" i="23"/>
  <c r="Q105" i="23" s="1"/>
  <c r="AW11" i="4"/>
  <c r="AW14" i="4" s="1"/>
  <c r="AP35" i="7"/>
  <c r="AL35" i="8"/>
  <c r="AL37" i="8" s="1"/>
  <c r="AQ9" i="11"/>
  <c r="AR9" i="11" s="1"/>
  <c r="S106" i="12"/>
  <c r="S108" i="12" s="1"/>
  <c r="AA106" i="12"/>
  <c r="AA108" i="12" s="1"/>
  <c r="AQ106" i="12"/>
  <c r="AQ108" i="12" s="1"/>
  <c r="T25" i="18"/>
  <c r="T107" i="18" s="1"/>
  <c r="CD39" i="18"/>
  <c r="CD13" i="19" s="1"/>
  <c r="AT26" i="19"/>
  <c r="AT29" i="19" s="1"/>
  <c r="E34" i="19"/>
  <c r="BU34" i="19"/>
  <c r="BU37" i="19" s="1"/>
  <c r="N19" i="19"/>
  <c r="Q19" i="20"/>
  <c r="AQ37" i="20"/>
  <c r="AO36" i="20"/>
  <c r="AO37" i="20" s="1"/>
  <c r="AN37" i="20"/>
  <c r="O31" i="24"/>
  <c r="O36" i="24" s="1"/>
  <c r="AL9" i="4"/>
  <c r="AP19" i="4"/>
  <c r="AC29" i="4"/>
  <c r="AI29" i="4"/>
  <c r="AQ31" i="7"/>
  <c r="AM19" i="13"/>
  <c r="AM33" i="13"/>
  <c r="AM37" i="13" s="1"/>
  <c r="BL7" i="19"/>
  <c r="BN17" i="18"/>
  <c r="AE37" i="20"/>
  <c r="AF31" i="20"/>
  <c r="AF37" i="20" s="1"/>
  <c r="AQ8" i="4"/>
  <c r="AQ9" i="4" s="1"/>
  <c r="BA36" i="4"/>
  <c r="BC36" i="4" s="1"/>
  <c r="AW93" i="10"/>
  <c r="AW108" i="10" s="1"/>
  <c r="Q93" i="10"/>
  <c r="Q108" i="10" s="1"/>
  <c r="Y93" i="10"/>
  <c r="Y108" i="10" s="1"/>
  <c r="AY71" i="12"/>
  <c r="AY108" i="12" s="1"/>
  <c r="AZ32" i="13"/>
  <c r="AZ37" i="13" s="1"/>
  <c r="AS36" i="13"/>
  <c r="AS37" i="13" s="1"/>
  <c r="AS14" i="13"/>
  <c r="K31" i="19"/>
  <c r="K37" i="19" s="1"/>
  <c r="M34" i="19"/>
  <c r="M37" i="19" s="1"/>
  <c r="AQ34" i="19"/>
  <c r="N37" i="20"/>
  <c r="X37" i="20"/>
  <c r="K18" i="22"/>
  <c r="AG31" i="4"/>
  <c r="AM14" i="4"/>
  <c r="AX19" i="4"/>
  <c r="Z9" i="8"/>
  <c r="G71" i="12"/>
  <c r="AT106" i="12"/>
  <c r="AT108" i="12" s="1"/>
  <c r="AC35" i="13"/>
  <c r="AC37" i="13" s="1"/>
  <c r="AC14" i="13"/>
  <c r="O39" i="16"/>
  <c r="O107" i="16" s="1"/>
  <c r="BC25" i="18"/>
  <c r="BC107" i="18" s="1"/>
  <c r="BU24" i="19"/>
  <c r="BN27" i="19"/>
  <c r="BN29" i="19" s="1"/>
  <c r="AR19" i="19"/>
  <c r="C33" i="19"/>
  <c r="C37" i="19" s="1"/>
  <c r="E29" i="19"/>
  <c r="E32" i="19"/>
  <c r="CF29" i="19"/>
  <c r="AM24" i="7"/>
  <c r="AO24" i="7" s="1"/>
  <c r="AN93" i="10"/>
  <c r="AN108" i="10" s="1"/>
  <c r="AO92" i="10"/>
  <c r="AO93" i="10" s="1"/>
  <c r="AO108" i="10" s="1"/>
  <c r="G108" i="12"/>
  <c r="O108" i="12"/>
  <c r="AM71" i="12"/>
  <c r="AM108" i="12" s="1"/>
  <c r="AU71" i="12"/>
  <c r="AU108" i="12" s="1"/>
  <c r="BA14" i="13"/>
  <c r="AR32" i="13"/>
  <c r="H37" i="15"/>
  <c r="AX24" i="18"/>
  <c r="AT34" i="18"/>
  <c r="U34" i="19"/>
  <c r="U37" i="19" s="1"/>
  <c r="BA34" i="19"/>
  <c r="BA37" i="19" s="1"/>
  <c r="CF34" i="19"/>
  <c r="CF37" i="19" s="1"/>
  <c r="BB19" i="19"/>
  <c r="AY33" i="19"/>
  <c r="AY37" i="19" s="1"/>
  <c r="E29" i="20"/>
  <c r="E32" i="20"/>
  <c r="E37" i="20" s="1"/>
  <c r="J33" i="22"/>
  <c r="J36" i="22" s="1"/>
  <c r="U79" i="23"/>
  <c r="U105" i="23" s="1"/>
  <c r="AI9" i="4"/>
  <c r="AP37" i="5"/>
  <c r="AY34" i="7"/>
  <c r="AC31" i="8"/>
  <c r="AC37" i="8" s="1"/>
  <c r="K40" i="12"/>
  <c r="K108" i="12" s="1"/>
  <c r="U71" i="18"/>
  <c r="U107" i="18" s="1"/>
  <c r="AP27" i="19"/>
  <c r="BV27" i="19"/>
  <c r="BL19" i="19"/>
  <c r="U29" i="19"/>
  <c r="AF29" i="19"/>
  <c r="R37" i="20"/>
  <c r="C39" i="21"/>
  <c r="C107" i="21" s="1"/>
  <c r="U93" i="10"/>
  <c r="U108" i="10" s="1"/>
  <c r="M93" i="10"/>
  <c r="M108" i="10" s="1"/>
  <c r="AR8" i="11"/>
  <c r="AM19" i="11"/>
  <c r="AO19" i="11" s="1"/>
  <c r="AX25" i="12"/>
  <c r="AX108" i="12" s="1"/>
  <c r="AH71" i="12"/>
  <c r="AH108" i="12" s="1"/>
  <c r="AS19" i="13"/>
  <c r="AR29" i="13"/>
  <c r="AR34" i="13"/>
  <c r="BB40" i="18"/>
  <c r="BB107" i="18" s="1"/>
  <c r="AF34" i="19"/>
  <c r="AF37" i="19" s="1"/>
  <c r="BK34" i="19"/>
  <c r="BK37" i="19" s="1"/>
  <c r="BW19" i="19"/>
  <c r="S33" i="19"/>
  <c r="S37" i="19" s="1"/>
  <c r="AU9" i="20"/>
  <c r="R33" i="22"/>
  <c r="R36" i="22" s="1"/>
  <c r="C30" i="24"/>
  <c r="C36" i="24" s="1"/>
  <c r="S13" i="24"/>
  <c r="AK31" i="11"/>
  <c r="AS9" i="11"/>
  <c r="AU9" i="11" s="1"/>
  <c r="AZ35" i="11"/>
  <c r="BA35" i="11" s="1"/>
  <c r="AY33" i="11"/>
  <c r="T37" i="15"/>
  <c r="O37" i="15"/>
  <c r="P31" i="17"/>
  <c r="P37" i="17" s="1"/>
  <c r="V8" i="19"/>
  <c r="D19" i="21"/>
  <c r="D24" i="21" s="1"/>
  <c r="D107" i="21" s="1"/>
  <c r="D32" i="24"/>
  <c r="D36" i="24" s="1"/>
  <c r="J209" i="26"/>
  <c r="H80" i="26"/>
  <c r="I205" i="26"/>
  <c r="K205" i="26" s="1"/>
  <c r="J205" i="26"/>
  <c r="R177" i="34"/>
  <c r="R167" i="34"/>
  <c r="H193" i="26"/>
  <c r="D28" i="24"/>
  <c r="H365" i="26"/>
  <c r="H382" i="26" s="1"/>
  <c r="I382" i="26" s="1"/>
  <c r="E111" i="26"/>
  <c r="G126" i="26"/>
  <c r="I126" i="26" s="1"/>
  <c r="AQ158" i="29"/>
  <c r="W109" i="56"/>
  <c r="M108" i="52"/>
  <c r="N108" i="52" s="1"/>
  <c r="AE55" i="29"/>
  <c r="BC55" i="29"/>
  <c r="BC160" i="29" s="1"/>
  <c r="CA55" i="29"/>
  <c r="CA160" i="29" s="1"/>
  <c r="AM55" i="29"/>
  <c r="BB55" i="29"/>
  <c r="BB160" i="29" s="1"/>
  <c r="Q19" i="30"/>
  <c r="R7" i="30"/>
  <c r="Q9" i="30"/>
  <c r="G81" i="32"/>
  <c r="K55" i="32"/>
  <c r="K82" i="32"/>
  <c r="K83" i="32" s="1"/>
  <c r="H253" i="26"/>
  <c r="F436" i="26"/>
  <c r="D593" i="26"/>
  <c r="Q106" i="48"/>
  <c r="AE21" i="32"/>
  <c r="AR161" i="31"/>
  <c r="F34" i="67"/>
  <c r="CM55" i="29"/>
  <c r="CM160" i="29" s="1"/>
  <c r="CI18" i="30"/>
  <c r="CI80" i="30" s="1"/>
  <c r="CI9" i="30"/>
  <c r="CL6" i="30"/>
  <c r="J7" i="30"/>
  <c r="H9" i="30"/>
  <c r="J9" i="30" s="1"/>
  <c r="H19" i="30"/>
  <c r="BL75" i="30"/>
  <c r="BL78" i="30" s="1"/>
  <c r="BL66" i="30"/>
  <c r="BN63" i="30"/>
  <c r="BT66" i="30"/>
  <c r="BT75" i="30"/>
  <c r="BV63" i="30"/>
  <c r="N64" i="30"/>
  <c r="L66" i="30"/>
  <c r="N66" i="30" s="1"/>
  <c r="BT70" i="30"/>
  <c r="BV70" i="30" s="1"/>
  <c r="BV67" i="30"/>
  <c r="D74" i="30"/>
  <c r="F74" i="30" s="1"/>
  <c r="D76" i="30"/>
  <c r="F72" i="30"/>
  <c r="AF19" i="32"/>
  <c r="AF9" i="32"/>
  <c r="AF21" i="32" s="1"/>
  <c r="AM19" i="32"/>
  <c r="AM9" i="32"/>
  <c r="AM21" i="32" s="1"/>
  <c r="AQ18" i="32"/>
  <c r="AQ80" i="32" s="1"/>
  <c r="AQ13" i="32"/>
  <c r="AQ21" i="32" s="1"/>
  <c r="AH38" i="32"/>
  <c r="AH80" i="32"/>
  <c r="AN38" i="32"/>
  <c r="AT38" i="32"/>
  <c r="CG36" i="36"/>
  <c r="CG26" i="36"/>
  <c r="AV38" i="36"/>
  <c r="AX36" i="36"/>
  <c r="CI55" i="29"/>
  <c r="N20" i="30"/>
  <c r="M82" i="30"/>
  <c r="N82" i="30" s="1"/>
  <c r="BK55" i="29"/>
  <c r="AI158" i="29"/>
  <c r="BS158" i="29"/>
  <c r="AA158" i="29"/>
  <c r="W158" i="29"/>
  <c r="W160" i="29" s="1"/>
  <c r="M9" i="30"/>
  <c r="N9" i="30" s="1"/>
  <c r="N6" i="30"/>
  <c r="M18" i="30"/>
  <c r="BP9" i="30"/>
  <c r="BR6" i="30"/>
  <c r="BR18" i="30" s="1"/>
  <c r="BP18" i="30"/>
  <c r="BP80" i="30" s="1"/>
  <c r="AX9" i="30"/>
  <c r="AX21" i="30" s="1"/>
  <c r="AU21" i="30"/>
  <c r="AU83" i="30" s="1"/>
  <c r="CH44" i="30"/>
  <c r="CF47" i="30"/>
  <c r="CH47" i="30" s="1"/>
  <c r="G53" i="30"/>
  <c r="G47" i="30"/>
  <c r="J47" i="30" s="1"/>
  <c r="J45" i="30"/>
  <c r="Q53" i="30"/>
  <c r="R45" i="30"/>
  <c r="AT51" i="30"/>
  <c r="AT55" i="30" s="1"/>
  <c r="AT83" i="30" s="1"/>
  <c r="AS55" i="30"/>
  <c r="AS83" i="30" s="1"/>
  <c r="M194" i="34"/>
  <c r="M184" i="34"/>
  <c r="CI89" i="35"/>
  <c r="CG101" i="35"/>
  <c r="CE122" i="35"/>
  <c r="CC144" i="35"/>
  <c r="CM138" i="35"/>
  <c r="CJ144" i="35"/>
  <c r="F97" i="26"/>
  <c r="H97" i="26" s="1"/>
  <c r="G95" i="26"/>
  <c r="I95" i="26" s="1"/>
  <c r="F142" i="26"/>
  <c r="H142" i="26" s="1"/>
  <c r="G147" i="26"/>
  <c r="E464" i="26"/>
  <c r="H462" i="26"/>
  <c r="H508" i="26"/>
  <c r="F593" i="26"/>
  <c r="L55" i="32"/>
  <c r="M242" i="34"/>
  <c r="AE111" i="29"/>
  <c r="CI134" i="29"/>
  <c r="CI158" i="29" s="1"/>
  <c r="BO134" i="29"/>
  <c r="BO158" i="29" s="1"/>
  <c r="BO160" i="29" s="1"/>
  <c r="F6" i="30"/>
  <c r="D9" i="30"/>
  <c r="F9" i="30" s="1"/>
  <c r="D18" i="30"/>
  <c r="F42" i="30"/>
  <c r="D54" i="30"/>
  <c r="D43" i="30"/>
  <c r="R42" i="30"/>
  <c r="O54" i="30"/>
  <c r="BD54" i="30"/>
  <c r="BF42" i="30"/>
  <c r="S209" i="34"/>
  <c r="S212" i="34"/>
  <c r="F520" i="26"/>
  <c r="G547" i="26"/>
  <c r="BW158" i="29"/>
  <c r="BH160" i="29"/>
  <c r="K111" i="29"/>
  <c r="K160" i="29" s="1"/>
  <c r="AI110" i="29"/>
  <c r="AI111" i="29" s="1"/>
  <c r="AI160" i="29" s="1"/>
  <c r="BW110" i="29"/>
  <c r="BW111" i="29" s="1"/>
  <c r="P20" i="30"/>
  <c r="P9" i="30"/>
  <c r="R9" i="30" s="1"/>
  <c r="R8" i="30"/>
  <c r="CL10" i="30"/>
  <c r="CJ13" i="30"/>
  <c r="N11" i="30"/>
  <c r="K13" i="30"/>
  <c r="N13" i="30" s="1"/>
  <c r="K19" i="30"/>
  <c r="E18" i="30"/>
  <c r="E17" i="30"/>
  <c r="F17" i="30" s="1"/>
  <c r="R14" i="30"/>
  <c r="O17" i="30"/>
  <c r="BN14" i="30"/>
  <c r="BN18" i="30" s="1"/>
  <c r="BL18" i="30"/>
  <c r="BV14" i="30"/>
  <c r="BV18" i="30" s="1"/>
  <c r="BU17" i="30"/>
  <c r="CF18" i="30"/>
  <c r="CF80" i="30" s="1"/>
  <c r="CF17" i="30"/>
  <c r="CH14" i="30"/>
  <c r="CH18" i="30" s="1"/>
  <c r="G17" i="30"/>
  <c r="J17" i="30" s="1"/>
  <c r="J15" i="30"/>
  <c r="G19" i="30"/>
  <c r="Q17" i="30"/>
  <c r="R15" i="30"/>
  <c r="BK19" i="30"/>
  <c r="BK81" i="30" s="1"/>
  <c r="BN15" i="30"/>
  <c r="BN19" i="30" s="1"/>
  <c r="BU19" i="30"/>
  <c r="BU81" i="30" s="1"/>
  <c r="BV15" i="30"/>
  <c r="CF19" i="30"/>
  <c r="CF81" i="30" s="1"/>
  <c r="CH15" i="30"/>
  <c r="CH19" i="30" s="1"/>
  <c r="J20" i="30"/>
  <c r="Q82" i="30"/>
  <c r="BU20" i="30"/>
  <c r="BU82" i="30" s="1"/>
  <c r="BV82" i="30" s="1"/>
  <c r="BV16" i="30"/>
  <c r="BV20" i="30" s="1"/>
  <c r="CE36" i="30"/>
  <c r="CE26" i="30"/>
  <c r="CH26" i="30" s="1"/>
  <c r="CH24" i="30"/>
  <c r="CH36" i="30" s="1"/>
  <c r="BS35" i="30"/>
  <c r="BV31" i="30"/>
  <c r="BV35" i="30" s="1"/>
  <c r="BS34" i="30"/>
  <c r="BV34" i="30" s="1"/>
  <c r="E43" i="30"/>
  <c r="F41" i="30"/>
  <c r="E53" i="30"/>
  <c r="O43" i="30"/>
  <c r="R43" i="30" s="1"/>
  <c r="R41" i="30"/>
  <c r="H191" i="26"/>
  <c r="D382" i="26"/>
  <c r="H375" i="26"/>
  <c r="G520" i="26"/>
  <c r="K71" i="48"/>
  <c r="N176" i="34"/>
  <c r="R176" i="34"/>
  <c r="O21" i="30"/>
  <c r="BQ82" i="30"/>
  <c r="BR82" i="30" s="1"/>
  <c r="E238" i="34"/>
  <c r="E240" i="34" s="1"/>
  <c r="AR160" i="29"/>
  <c r="BD160" i="29"/>
  <c r="BD83" i="29"/>
  <c r="BD111" i="29" s="1"/>
  <c r="BB19" i="30"/>
  <c r="BT19" i="30"/>
  <c r="BT81" i="30" s="1"/>
  <c r="BV7" i="30"/>
  <c r="BV19" i="30" s="1"/>
  <c r="BT9" i="30"/>
  <c r="CK20" i="30"/>
  <c r="CK82" i="30" s="1"/>
  <c r="CL8" i="30"/>
  <c r="CL20" i="30" s="1"/>
  <c r="AX81" i="30"/>
  <c r="O81" i="32"/>
  <c r="C102" i="53"/>
  <c r="AA160" i="29"/>
  <c r="AS160" i="29"/>
  <c r="AM111" i="29"/>
  <c r="T111" i="29"/>
  <c r="T160" i="29" s="1"/>
  <c r="AD111" i="29"/>
  <c r="AD160" i="29" s="1"/>
  <c r="AO111" i="29"/>
  <c r="AO160" i="29" s="1"/>
  <c r="AU157" i="29"/>
  <c r="AU158" i="29" s="1"/>
  <c r="BC19" i="30"/>
  <c r="BC81" i="30" s="1"/>
  <c r="BF7" i="30"/>
  <c r="BF19" i="30" s="1"/>
  <c r="BC9" i="30"/>
  <c r="BJ8" i="30"/>
  <c r="BJ20" i="30" s="1"/>
  <c r="BH20" i="30"/>
  <c r="BH82" i="30" s="1"/>
  <c r="BH9" i="30"/>
  <c r="BQ9" i="30"/>
  <c r="BQ21" i="30" s="1"/>
  <c r="BR8" i="30"/>
  <c r="BR20" i="30" s="1"/>
  <c r="CD8" i="30"/>
  <c r="CD20" i="30" s="1"/>
  <c r="CB20" i="30"/>
  <c r="CB82" i="30" s="1"/>
  <c r="CB9" i="30"/>
  <c r="AW81" i="32"/>
  <c r="AW38" i="32"/>
  <c r="G18" i="30"/>
  <c r="J10" i="30"/>
  <c r="G13" i="30"/>
  <c r="J13" i="30" s="1"/>
  <c r="R10" i="30"/>
  <c r="Q13" i="30"/>
  <c r="Q18" i="30"/>
  <c r="BD54" i="32"/>
  <c r="BD43" i="32"/>
  <c r="BD55" i="32" s="1"/>
  <c r="P12" i="34"/>
  <c r="P17" i="34"/>
  <c r="G39" i="49"/>
  <c r="BA51" i="32"/>
  <c r="BA55" i="32" s="1"/>
  <c r="AZ76" i="32"/>
  <c r="AZ81" i="32" s="1"/>
  <c r="AZ74" i="32"/>
  <c r="AZ78" i="32" s="1"/>
  <c r="AV83" i="36"/>
  <c r="AX37" i="36"/>
  <c r="AN19" i="32"/>
  <c r="AN81" i="32" s="1"/>
  <c r="AS53" i="32"/>
  <c r="AS81" i="32" s="1"/>
  <c r="AA54" i="32"/>
  <c r="AI54" i="32"/>
  <c r="AI82" i="32" s="1"/>
  <c r="AF70" i="32"/>
  <c r="D102" i="33"/>
  <c r="D163" i="33" s="1"/>
  <c r="L147" i="33"/>
  <c r="L163" i="33" s="1"/>
  <c r="Q175" i="34"/>
  <c r="Q245" i="34" s="1"/>
  <c r="L81" i="34"/>
  <c r="L82" i="34" s="1"/>
  <c r="P188" i="34"/>
  <c r="E40" i="52"/>
  <c r="Z52" i="32"/>
  <c r="Z80" i="32" s="1"/>
  <c r="U51" i="32"/>
  <c r="U55" i="32" s="1"/>
  <c r="U83" i="32" s="1"/>
  <c r="AT66" i="32"/>
  <c r="AT78" i="32" s="1"/>
  <c r="Z70" i="32"/>
  <c r="N192" i="34"/>
  <c r="N244" i="34" s="1"/>
  <c r="R192" i="34"/>
  <c r="R244" i="34" s="1"/>
  <c r="F54" i="34"/>
  <c r="Q86" i="57"/>
  <c r="K25" i="52"/>
  <c r="Y53" i="32"/>
  <c r="Y81" i="32" s="1"/>
  <c r="G54" i="32"/>
  <c r="G82" i="32" s="1"/>
  <c r="E52" i="32"/>
  <c r="AC51" i="32"/>
  <c r="AC55" i="32" s="1"/>
  <c r="AF66" i="32"/>
  <c r="J77" i="32"/>
  <c r="J82" i="32" s="1"/>
  <c r="AH70" i="32"/>
  <c r="AH78" i="32" s="1"/>
  <c r="AN70" i="32"/>
  <c r="AN78" i="32" s="1"/>
  <c r="AQ74" i="32"/>
  <c r="AQ78" i="32" s="1"/>
  <c r="K55" i="33"/>
  <c r="K163" i="33" s="1"/>
  <c r="S175" i="34"/>
  <c r="S245" i="34" s="1"/>
  <c r="N42" i="34"/>
  <c r="N85" i="34" s="1"/>
  <c r="N90" i="34" s="1"/>
  <c r="Q212" i="34"/>
  <c r="U205" i="34"/>
  <c r="U244" i="34" s="1"/>
  <c r="F242" i="34"/>
  <c r="E205" i="34"/>
  <c r="E244" i="34" s="1"/>
  <c r="E248" i="34" s="1"/>
  <c r="M205" i="34"/>
  <c r="M244" i="34" s="1"/>
  <c r="P59" i="34"/>
  <c r="P217" i="34"/>
  <c r="K188" i="34"/>
  <c r="K243" i="34" s="1"/>
  <c r="X38" i="36"/>
  <c r="X81" i="36"/>
  <c r="M129" i="40"/>
  <c r="BG53" i="30"/>
  <c r="BK54" i="30"/>
  <c r="AO53" i="32"/>
  <c r="AO81" i="32" s="1"/>
  <c r="M52" i="32"/>
  <c r="AP52" i="32"/>
  <c r="AP80" i="32" s="1"/>
  <c r="AE51" i="32"/>
  <c r="AE55" i="32" s="1"/>
  <c r="AS51" i="32"/>
  <c r="AS55" i="32" s="1"/>
  <c r="H76" i="32"/>
  <c r="AP70" i="32"/>
  <c r="AP78" i="32" s="1"/>
  <c r="E55" i="33"/>
  <c r="E163" i="33" s="1"/>
  <c r="U55" i="33"/>
  <c r="U163" i="33" s="1"/>
  <c r="T171" i="34"/>
  <c r="O175" i="34"/>
  <c r="O245" i="34" s="1"/>
  <c r="P192" i="34"/>
  <c r="P244" i="34" s="1"/>
  <c r="T192" i="34"/>
  <c r="T244" i="34" s="1"/>
  <c r="M37" i="34"/>
  <c r="M79" i="34"/>
  <c r="M82" i="34" s="1"/>
  <c r="R52" i="34"/>
  <c r="R207" i="34"/>
  <c r="Q229" i="34"/>
  <c r="Q230" i="34" s="1"/>
  <c r="CD155" i="35"/>
  <c r="BB34" i="36"/>
  <c r="O13" i="30"/>
  <c r="AX47" i="30"/>
  <c r="AX55" i="30" s="1"/>
  <c r="AW55" i="30"/>
  <c r="AW83" i="30" s="1"/>
  <c r="BD70" i="32"/>
  <c r="BD78" i="32" s="1"/>
  <c r="AA77" i="32"/>
  <c r="AA74" i="32"/>
  <c r="AA78" i="32" s="1"/>
  <c r="N188" i="34"/>
  <c r="N243" i="34" s="1"/>
  <c r="L71" i="34"/>
  <c r="L201" i="34"/>
  <c r="L243" i="34" s="1"/>
  <c r="L248" i="34" s="1"/>
  <c r="D101" i="35"/>
  <c r="AS55" i="36"/>
  <c r="AS81" i="36"/>
  <c r="T82" i="36"/>
  <c r="D54" i="36"/>
  <c r="O54" i="36"/>
  <c r="AR55" i="36"/>
  <c r="L113" i="40"/>
  <c r="N113" i="40" s="1"/>
  <c r="M145" i="40"/>
  <c r="F282" i="40"/>
  <c r="L374" i="40"/>
  <c r="L383" i="40"/>
  <c r="P93" i="42"/>
  <c r="P108" i="42" s="1"/>
  <c r="AC24" i="43"/>
  <c r="BB76" i="30"/>
  <c r="V76" i="32"/>
  <c r="V81" i="32" s="1"/>
  <c r="AF76" i="32"/>
  <c r="BD77" i="32"/>
  <c r="D194" i="34"/>
  <c r="H212" i="34"/>
  <c r="AJ83" i="36"/>
  <c r="AY38" i="36"/>
  <c r="BB38" i="36" s="1"/>
  <c r="CB47" i="36"/>
  <c r="S30" i="38"/>
  <c r="AC30" i="38"/>
  <c r="AC35" i="38" s="1"/>
  <c r="G31" i="38"/>
  <c r="G35" i="38" s="1"/>
  <c r="AM9" i="43"/>
  <c r="AG19" i="43"/>
  <c r="AT27" i="43"/>
  <c r="AT29" i="43" s="1"/>
  <c r="AP22" i="43"/>
  <c r="AQ22" i="43" s="1"/>
  <c r="AQ24" i="43" s="1"/>
  <c r="AP106" i="42"/>
  <c r="AP108" i="42" s="1"/>
  <c r="AJ38" i="36"/>
  <c r="AP14" i="38"/>
  <c r="C97" i="50"/>
  <c r="W51" i="32"/>
  <c r="W55" i="32" s="1"/>
  <c r="W83" i="32" s="1"/>
  <c r="AM51" i="32"/>
  <c r="AM55" i="32" s="1"/>
  <c r="BC51" i="32"/>
  <c r="BC55" i="32" s="1"/>
  <c r="AJ70" i="32"/>
  <c r="AJ78" i="32" s="1"/>
  <c r="S25" i="34"/>
  <c r="S84" i="34" s="1"/>
  <c r="L193" i="34"/>
  <c r="AJ81" i="36"/>
  <c r="V83" i="36"/>
  <c r="T38" i="36"/>
  <c r="AK38" i="36"/>
  <c r="BS51" i="36"/>
  <c r="AD55" i="36"/>
  <c r="Y31" i="38"/>
  <c r="Z31" i="38" s="1"/>
  <c r="AQ17" i="43"/>
  <c r="AQ55" i="42"/>
  <c r="AQ56" i="42" s="1"/>
  <c r="AQ108" i="42" s="1"/>
  <c r="AN63" i="42"/>
  <c r="AN78" i="42" s="1"/>
  <c r="AN108" i="42" s="1"/>
  <c r="CG34" i="36"/>
  <c r="U38" i="36"/>
  <c r="AL38" i="36"/>
  <c r="M32" i="38"/>
  <c r="AJ32" i="43"/>
  <c r="AJ37" i="43" s="1"/>
  <c r="AB38" i="36"/>
  <c r="BB47" i="36"/>
  <c r="Y55" i="36"/>
  <c r="AF55" i="36"/>
  <c r="AU31" i="38"/>
  <c r="AX31" i="38" s="1"/>
  <c r="J31" i="41"/>
  <c r="AA19" i="43"/>
  <c r="AG29" i="43"/>
  <c r="BJ71" i="36"/>
  <c r="H98" i="40"/>
  <c r="P98" i="40"/>
  <c r="O98" i="40"/>
  <c r="F162" i="40"/>
  <c r="F194" i="40"/>
  <c r="L194" i="40" s="1"/>
  <c r="M194" i="40" s="1"/>
  <c r="H196" i="40"/>
  <c r="F226" i="40"/>
  <c r="L226" i="40" s="1"/>
  <c r="M226" i="40" s="1"/>
  <c r="F259" i="40"/>
  <c r="L287" i="40"/>
  <c r="M287" i="40" s="1"/>
  <c r="J293" i="40"/>
  <c r="AB34" i="43"/>
  <c r="F44" i="45"/>
  <c r="K57" i="47"/>
  <c r="H57" i="47"/>
  <c r="C57" i="47"/>
  <c r="C109" i="47" s="1"/>
  <c r="E79" i="47"/>
  <c r="C79" i="47"/>
  <c r="U70" i="56"/>
  <c r="AC69" i="65"/>
  <c r="AB75" i="65"/>
  <c r="AC75" i="65" s="1"/>
  <c r="AO69" i="65"/>
  <c r="AN75" i="65"/>
  <c r="AO75" i="65" s="1"/>
  <c r="N71" i="65"/>
  <c r="L75" i="65"/>
  <c r="N75" i="65" s="1"/>
  <c r="T103" i="65"/>
  <c r="T117" i="65"/>
  <c r="R36" i="41"/>
  <c r="R37" i="41" s="1"/>
  <c r="E86" i="49"/>
  <c r="E122" i="49" s="1"/>
  <c r="S25" i="52"/>
  <c r="S40" i="53"/>
  <c r="S102" i="53" s="1"/>
  <c r="K98" i="54"/>
  <c r="K99" i="54" s="1"/>
  <c r="N144" i="65"/>
  <c r="N119" i="65"/>
  <c r="N145" i="65"/>
  <c r="N124" i="65"/>
  <c r="U31" i="38"/>
  <c r="K90" i="40"/>
  <c r="R90" i="40" s="1"/>
  <c r="E164" i="40"/>
  <c r="L161" i="40"/>
  <c r="N161" i="40" s="1"/>
  <c r="D196" i="40"/>
  <c r="D293" i="40"/>
  <c r="L350" i="40"/>
  <c r="M350" i="40" s="1"/>
  <c r="F404" i="40"/>
  <c r="F411" i="40" s="1"/>
  <c r="T106" i="44"/>
  <c r="D56" i="46"/>
  <c r="E56" i="46" s="1"/>
  <c r="J119" i="49"/>
  <c r="J120" i="49" s="1"/>
  <c r="H37" i="59"/>
  <c r="Q84" i="40"/>
  <c r="Q95" i="40"/>
  <c r="Q96" i="40" s="1"/>
  <c r="M108" i="40"/>
  <c r="K125" i="40"/>
  <c r="L125" i="40" s="1"/>
  <c r="N125" i="40" s="1"/>
  <c r="I131" i="40"/>
  <c r="M140" i="40"/>
  <c r="K147" i="40"/>
  <c r="L147" i="40" s="1"/>
  <c r="N147" i="40" s="1"/>
  <c r="F153" i="40"/>
  <c r="C164" i="40"/>
  <c r="M155" i="40"/>
  <c r="C261" i="40"/>
  <c r="F272" i="40"/>
  <c r="L272" i="40" s="1"/>
  <c r="M272" i="40" s="1"/>
  <c r="E293" i="40"/>
  <c r="K277" i="40"/>
  <c r="L277" i="40" s="1"/>
  <c r="M277" i="40" s="1"/>
  <c r="L281" i="40"/>
  <c r="M281" i="40" s="1"/>
  <c r="K310" i="40"/>
  <c r="F435" i="40"/>
  <c r="H437" i="40"/>
  <c r="Q37" i="41"/>
  <c r="N15" i="44"/>
  <c r="T15" i="44"/>
  <c r="Q15" i="44"/>
  <c r="Q25" i="44" s="1"/>
  <c r="N20" i="44"/>
  <c r="N24" i="44"/>
  <c r="Q83" i="44"/>
  <c r="Q93" i="44" s="1"/>
  <c r="K39" i="53"/>
  <c r="K40" i="53" s="1"/>
  <c r="C38" i="59"/>
  <c r="O31" i="38"/>
  <c r="O35" i="38" s="1"/>
  <c r="AM31" i="38"/>
  <c r="AP31" i="38" s="1"/>
  <c r="N98" i="40"/>
  <c r="Q91" i="40"/>
  <c r="Q92" i="40" s="1"/>
  <c r="E131" i="40"/>
  <c r="K120" i="40"/>
  <c r="M156" i="40"/>
  <c r="G261" i="40"/>
  <c r="L244" i="40"/>
  <c r="M244" i="40" s="1"/>
  <c r="J261" i="40"/>
  <c r="D261" i="40"/>
  <c r="K421" i="40"/>
  <c r="L421" i="40" s="1"/>
  <c r="M421" i="40" s="1"/>
  <c r="G437" i="40"/>
  <c r="I437" i="40"/>
  <c r="C437" i="40"/>
  <c r="R30" i="41"/>
  <c r="G31" i="41"/>
  <c r="U35" i="41"/>
  <c r="X36" i="41"/>
  <c r="L106" i="44"/>
  <c r="Q63" i="52"/>
  <c r="H34" i="53"/>
  <c r="H40" i="53" s="1"/>
  <c r="W67" i="55"/>
  <c r="I70" i="56"/>
  <c r="I79" i="56" s="1"/>
  <c r="T21" i="57"/>
  <c r="Q14" i="60"/>
  <c r="Q40" i="60" s="1"/>
  <c r="BF18" i="64"/>
  <c r="BE19" i="64"/>
  <c r="AH32" i="38"/>
  <c r="P31" i="38"/>
  <c r="C131" i="40"/>
  <c r="D228" i="40"/>
  <c r="K222" i="40"/>
  <c r="L222" i="40" s="1"/>
  <c r="M222" i="40" s="1"/>
  <c r="E228" i="40"/>
  <c r="F305" i="40"/>
  <c r="G388" i="40"/>
  <c r="BJ8" i="64"/>
  <c r="BG9" i="64"/>
  <c r="Z32" i="38"/>
  <c r="X35" i="38"/>
  <c r="Q31" i="38"/>
  <c r="AF31" i="38"/>
  <c r="AH31" i="38" s="1"/>
  <c r="M157" i="40"/>
  <c r="L205" i="40"/>
  <c r="M205" i="40" s="1"/>
  <c r="L270" i="40"/>
  <c r="M270" i="40" s="1"/>
  <c r="F315" i="40"/>
  <c r="L318" i="40"/>
  <c r="M318" i="40" s="1"/>
  <c r="L352" i="40"/>
  <c r="M352" i="40" s="1"/>
  <c r="F357" i="40"/>
  <c r="H359" i="40"/>
  <c r="L370" i="40"/>
  <c r="F376" i="40"/>
  <c r="E388" i="40"/>
  <c r="K381" i="40"/>
  <c r="L381" i="40" s="1"/>
  <c r="X35" i="41"/>
  <c r="H25" i="44"/>
  <c r="R25" i="44"/>
  <c r="N37" i="45"/>
  <c r="Q39" i="53"/>
  <c r="D78" i="53"/>
  <c r="L100" i="53"/>
  <c r="I25" i="44"/>
  <c r="S25" i="44"/>
  <c r="Q36" i="44"/>
  <c r="Q56" i="44" s="1"/>
  <c r="N36" i="44"/>
  <c r="Q48" i="44"/>
  <c r="N48" i="44"/>
  <c r="N56" i="44" s="1"/>
  <c r="T48" i="44"/>
  <c r="F56" i="44"/>
  <c r="Q55" i="44"/>
  <c r="C93" i="44"/>
  <c r="Q106" i="44"/>
  <c r="I106" i="44"/>
  <c r="O106" i="44"/>
  <c r="G21" i="45"/>
  <c r="S21" i="45"/>
  <c r="S82" i="45" s="1"/>
  <c r="L74" i="45"/>
  <c r="E16" i="46"/>
  <c r="Q16" i="46"/>
  <c r="AC16" i="46"/>
  <c r="Q48" i="46"/>
  <c r="E55" i="46"/>
  <c r="Q55" i="46"/>
  <c r="AC83" i="46"/>
  <c r="G93" i="46"/>
  <c r="S93" i="46"/>
  <c r="G104" i="46"/>
  <c r="J94" i="47"/>
  <c r="N39" i="48"/>
  <c r="D106" i="48"/>
  <c r="J85" i="49"/>
  <c r="Q20" i="53"/>
  <c r="N24" i="53"/>
  <c r="Q15" i="55"/>
  <c r="T15" i="55"/>
  <c r="T29" i="55" s="1"/>
  <c r="N15" i="55"/>
  <c r="W21" i="55"/>
  <c r="BV24" i="64"/>
  <c r="Q34" i="67"/>
  <c r="BC9" i="64"/>
  <c r="BF6" i="64"/>
  <c r="BF8" i="64"/>
  <c r="BE9" i="64"/>
  <c r="BN14" i="64"/>
  <c r="AR29" i="64"/>
  <c r="AT26" i="64"/>
  <c r="AT29" i="64" s="1"/>
  <c r="BC29" i="64"/>
  <c r="BF26" i="64"/>
  <c r="BF29" i="64" s="1"/>
  <c r="AS37" i="65"/>
  <c r="AU34" i="65"/>
  <c r="G56" i="44"/>
  <c r="P56" i="44"/>
  <c r="F78" i="44"/>
  <c r="G78" i="44"/>
  <c r="P78" i="44"/>
  <c r="D78" i="44"/>
  <c r="D106" i="44"/>
  <c r="T44" i="45"/>
  <c r="G65" i="45"/>
  <c r="N73" i="45"/>
  <c r="O74" i="45"/>
  <c r="H16" i="46"/>
  <c r="T16" i="46"/>
  <c r="AF16" i="46"/>
  <c r="Q36" i="46"/>
  <c r="H48" i="46"/>
  <c r="T48" i="46"/>
  <c r="K63" i="46"/>
  <c r="AD78" i="46"/>
  <c r="AC87" i="46"/>
  <c r="J26" i="47"/>
  <c r="E88" i="47"/>
  <c r="K93" i="47"/>
  <c r="E98" i="47"/>
  <c r="E107" i="47" s="1"/>
  <c r="E34" i="48"/>
  <c r="H70" i="48"/>
  <c r="H71" i="48" s="1"/>
  <c r="L39" i="49"/>
  <c r="D57" i="51"/>
  <c r="D80" i="51" s="1"/>
  <c r="R25" i="54"/>
  <c r="Z15" i="55"/>
  <c r="W28" i="55"/>
  <c r="H59" i="55"/>
  <c r="Z66" i="55"/>
  <c r="Z67" i="55" s="1"/>
  <c r="Q157" i="68"/>
  <c r="AX174" i="68"/>
  <c r="Q169" i="68" s="1"/>
  <c r="E31" i="67"/>
  <c r="E30" i="67"/>
  <c r="E27" i="67"/>
  <c r="E33" i="67"/>
  <c r="E26" i="67"/>
  <c r="E25" i="67"/>
  <c r="E28" i="67"/>
  <c r="BN19" i="64"/>
  <c r="BN27" i="64"/>
  <c r="AX7" i="64"/>
  <c r="AT16" i="64"/>
  <c r="AS19" i="64"/>
  <c r="AZ24" i="64"/>
  <c r="BB21" i="64"/>
  <c r="BB24" i="64" s="1"/>
  <c r="BR22" i="64"/>
  <c r="BE29" i="64"/>
  <c r="AX54" i="64"/>
  <c r="AX66" i="64" s="1"/>
  <c r="X37" i="65"/>
  <c r="Z37" i="65" s="1"/>
  <c r="Z36" i="65"/>
  <c r="L25" i="44"/>
  <c r="T36" i="44"/>
  <c r="I56" i="44"/>
  <c r="I21" i="45"/>
  <c r="U21" i="45"/>
  <c r="E28" i="45"/>
  <c r="W44" i="45"/>
  <c r="U74" i="45"/>
  <c r="P56" i="46"/>
  <c r="AE78" i="46"/>
  <c r="H98" i="47"/>
  <c r="H107" i="47" s="1"/>
  <c r="E91" i="48"/>
  <c r="E106" i="48" s="1"/>
  <c r="C106" i="48"/>
  <c r="H20" i="50"/>
  <c r="H38" i="50"/>
  <c r="H50" i="50"/>
  <c r="F70" i="50"/>
  <c r="H33" i="51"/>
  <c r="R29" i="55"/>
  <c r="T32" i="60"/>
  <c r="T39" i="60" s="1"/>
  <c r="T34" i="67"/>
  <c r="BR6" i="64"/>
  <c r="BP9" i="64"/>
  <c r="AK31" i="64"/>
  <c r="BO14" i="64"/>
  <c r="BR11" i="64"/>
  <c r="AT22" i="64"/>
  <c r="AR24" i="64"/>
  <c r="AH37" i="65"/>
  <c r="AI37" i="65" s="1"/>
  <c r="AI32" i="65"/>
  <c r="AU33" i="65"/>
  <c r="AT37" i="65"/>
  <c r="E25" i="44"/>
  <c r="M25" i="44"/>
  <c r="M108" i="44" s="1"/>
  <c r="Q17" i="45"/>
  <c r="Q21" i="45" s="1"/>
  <c r="J44" i="45"/>
  <c r="V44" i="45"/>
  <c r="H43" i="45"/>
  <c r="AB56" i="46"/>
  <c r="U78" i="46"/>
  <c r="W78" i="46" s="1"/>
  <c r="AF104" i="46"/>
  <c r="K98" i="47"/>
  <c r="K107" i="47" s="1"/>
  <c r="F40" i="48"/>
  <c r="R40" i="48"/>
  <c r="T40" i="48" s="1"/>
  <c r="T39" i="48"/>
  <c r="Q79" i="48"/>
  <c r="D84" i="48"/>
  <c r="P84" i="48"/>
  <c r="J106" i="48"/>
  <c r="H92" i="50"/>
  <c r="F97" i="50"/>
  <c r="T34" i="54"/>
  <c r="K34" i="67"/>
  <c r="BQ9" i="64"/>
  <c r="BR13" i="64"/>
  <c r="BQ14" i="64"/>
  <c r="AS24" i="64"/>
  <c r="AT23" i="64"/>
  <c r="AD29" i="64"/>
  <c r="BJ26" i="64"/>
  <c r="BJ29" i="64" s="1"/>
  <c r="BH29" i="64"/>
  <c r="BR26" i="64"/>
  <c r="BR29" i="64" s="1"/>
  <c r="BQ29" i="64"/>
  <c r="BV101" i="64"/>
  <c r="AP99" i="64"/>
  <c r="AP101" i="64" s="1"/>
  <c r="E71" i="65"/>
  <c r="E75" i="65" s="1"/>
  <c r="E57" i="65"/>
  <c r="E128" i="65"/>
  <c r="H93" i="44"/>
  <c r="R93" i="44"/>
  <c r="R108" i="44" s="1"/>
  <c r="F106" i="44"/>
  <c r="F108" i="44" s="1"/>
  <c r="K12" i="45"/>
  <c r="O21" i="45"/>
  <c r="K17" i="45"/>
  <c r="M65" i="45"/>
  <c r="E68" i="45"/>
  <c r="E74" i="45" s="1"/>
  <c r="H36" i="46"/>
  <c r="T36" i="46"/>
  <c r="C106" i="46"/>
  <c r="Q87" i="46"/>
  <c r="T79" i="48"/>
  <c r="G84" i="48"/>
  <c r="T84" i="48"/>
  <c r="G120" i="49"/>
  <c r="Z28" i="55"/>
  <c r="G29" i="55"/>
  <c r="C34" i="66"/>
  <c r="C35" i="66"/>
  <c r="C38" i="66"/>
  <c r="C36" i="66"/>
  <c r="C37" i="66"/>
  <c r="C33" i="66"/>
  <c r="BS14" i="64"/>
  <c r="BV12" i="64"/>
  <c r="BF21" i="64"/>
  <c r="BF24" i="64" s="1"/>
  <c r="BE24" i="64"/>
  <c r="BQ24" i="64"/>
  <c r="BR21" i="64"/>
  <c r="BR24" i="64" s="1"/>
  <c r="BG136" i="64"/>
  <c r="N83" i="44"/>
  <c r="E93" i="44"/>
  <c r="L93" i="44"/>
  <c r="T92" i="44"/>
  <c r="T93" i="44" s="1"/>
  <c r="N43" i="45"/>
  <c r="M44" i="45"/>
  <c r="E59" i="45"/>
  <c r="E65" i="45" s="1"/>
  <c r="H59" i="45"/>
  <c r="H65" i="45" s="1"/>
  <c r="F65" i="45"/>
  <c r="R65" i="45"/>
  <c r="Q64" i="45"/>
  <c r="Q65" i="45" s="1"/>
  <c r="W56" i="46"/>
  <c r="Z55" i="46"/>
  <c r="Z63" i="46"/>
  <c r="E72" i="46"/>
  <c r="Q72" i="46"/>
  <c r="AC72" i="46"/>
  <c r="T93" i="46"/>
  <c r="Q104" i="46"/>
  <c r="D104" i="46"/>
  <c r="G94" i="47"/>
  <c r="L108" i="48"/>
  <c r="I40" i="48"/>
  <c r="K40" i="48" s="1"/>
  <c r="Q63" i="48"/>
  <c r="T75" i="48"/>
  <c r="I84" i="48"/>
  <c r="K84" i="48" s="1"/>
  <c r="E83" i="48"/>
  <c r="E84" i="48" s="1"/>
  <c r="H24" i="50"/>
  <c r="C39" i="50"/>
  <c r="C70" i="50"/>
  <c r="U70" i="53"/>
  <c r="W70" i="53" s="1"/>
  <c r="E40" i="54"/>
  <c r="C47" i="55"/>
  <c r="Q66" i="55"/>
  <c r="Q67" i="55" s="1"/>
  <c r="U67" i="55"/>
  <c r="U41" i="56"/>
  <c r="N18" i="60"/>
  <c r="N24" i="60" s="1"/>
  <c r="N40" i="60" s="1"/>
  <c r="AU9" i="64"/>
  <c r="AU31" i="64" s="1"/>
  <c r="AC31" i="64"/>
  <c r="BH14" i="64"/>
  <c r="BJ11" i="64"/>
  <c r="BJ14" i="64" s="1"/>
  <c r="BJ16" i="64"/>
  <c r="BJ19" i="64" s="1"/>
  <c r="BG19" i="64"/>
  <c r="AZ29" i="64"/>
  <c r="BB26" i="64"/>
  <c r="BB29" i="64" s="1"/>
  <c r="BR134" i="64"/>
  <c r="BR136" i="64" s="1"/>
  <c r="W104" i="46"/>
  <c r="H40" i="48"/>
  <c r="N51" i="48"/>
  <c r="E63" i="48"/>
  <c r="R71" i="48"/>
  <c r="C39" i="60"/>
  <c r="C40" i="60" s="1"/>
  <c r="S34" i="67"/>
  <c r="Z9" i="64"/>
  <c r="BN6" i="64"/>
  <c r="BN9" i="64" s="1"/>
  <c r="BK9" i="64"/>
  <c r="BK31" i="64" s="1"/>
  <c r="BR8" i="64"/>
  <c r="BO9" i="64"/>
  <c r="AX11" i="64"/>
  <c r="AX14" i="64" s="1"/>
  <c r="AV14" i="64"/>
  <c r="N129" i="65"/>
  <c r="N142" i="65"/>
  <c r="N147" i="65" s="1"/>
  <c r="R37" i="66"/>
  <c r="K71" i="65"/>
  <c r="K75" i="65" s="1"/>
  <c r="AE31" i="64"/>
  <c r="BF54" i="64"/>
  <c r="BB79" i="64"/>
  <c r="BA101" i="64"/>
  <c r="BV134" i="64"/>
  <c r="BV136" i="64" s="1"/>
  <c r="AI34" i="65"/>
  <c r="AU74" i="65"/>
  <c r="AT75" i="65"/>
  <c r="Q35" i="61"/>
  <c r="R36" i="66"/>
  <c r="AX136" i="65"/>
  <c r="BT14" i="64"/>
  <c r="BT31" i="64" s="1"/>
  <c r="BH19" i="64"/>
  <c r="BJ21" i="64"/>
  <c r="BJ24" i="64" s="1"/>
  <c r="BI29" i="64"/>
  <c r="AP44" i="64"/>
  <c r="BV44" i="64"/>
  <c r="BK66" i="64"/>
  <c r="AP49" i="64"/>
  <c r="AV136" i="64"/>
  <c r="AX119" i="64"/>
  <c r="AX136" i="64" s="1"/>
  <c r="BB134" i="64"/>
  <c r="AL19" i="65"/>
  <c r="U37" i="65"/>
  <c r="W37" i="65" s="1"/>
  <c r="AQ37" i="65"/>
  <c r="AR37" i="65" s="1"/>
  <c r="D75" i="65"/>
  <c r="AP75" i="65"/>
  <c r="AX133" i="65"/>
  <c r="BB11" i="64"/>
  <c r="BB14" i="64" s="1"/>
  <c r="Z129" i="65"/>
  <c r="K67" i="65"/>
  <c r="K139" i="65" s="1"/>
  <c r="AG75" i="65"/>
  <c r="AU75" i="65"/>
  <c r="AL71" i="65"/>
  <c r="AK75" i="65"/>
  <c r="AL75" i="65" s="1"/>
  <c r="AW146" i="65"/>
  <c r="AX146" i="65" s="1"/>
  <c r="AX123" i="65"/>
  <c r="R33" i="61"/>
  <c r="AX6" i="64"/>
  <c r="AX9" i="64" s="1"/>
  <c r="BQ19" i="64"/>
  <c r="BF124" i="64"/>
  <c r="AC116" i="65"/>
  <c r="AI52" i="65"/>
  <c r="AU67" i="65"/>
  <c r="G75" i="65"/>
  <c r="AI69" i="65"/>
  <c r="AH75" i="65"/>
  <c r="AL108" i="65"/>
  <c r="BP59" i="64"/>
  <c r="BP66" i="64" s="1"/>
  <c r="BR58" i="64"/>
  <c r="BR59" i="64" s="1"/>
  <c r="BR66" i="64" s="1"/>
  <c r="AK136" i="64"/>
  <c r="AC123" i="65"/>
  <c r="AC118" i="65"/>
  <c r="AC105" i="65"/>
  <c r="AW142" i="65"/>
  <c r="H35" i="61"/>
  <c r="AH99" i="64"/>
  <c r="AF71" i="65"/>
  <c r="AD75" i="65"/>
  <c r="AF75" i="65" s="1"/>
  <c r="AR108" i="65"/>
  <c r="AX85" i="65"/>
  <c r="AL90" i="65"/>
  <c r="AN147" i="65"/>
  <c r="AO147" i="65" s="1"/>
  <c r="AD124" i="65"/>
  <c r="AF124" i="65" s="1"/>
  <c r="AN124" i="65"/>
  <c r="AO124" i="65" s="1"/>
  <c r="AO121" i="65"/>
  <c r="T145" i="65"/>
  <c r="AR129" i="65"/>
  <c r="AB139" i="65"/>
  <c r="AC139" i="65" s="1"/>
  <c r="H16" i="66"/>
  <c r="D22" i="70"/>
  <c r="R35" i="70"/>
  <c r="R84" i="70" s="1"/>
  <c r="E35" i="70"/>
  <c r="O37" i="78"/>
  <c r="O38" i="78"/>
  <c r="O35" i="78"/>
  <c r="O39" i="78"/>
  <c r="O36" i="78"/>
  <c r="AC146" i="65"/>
  <c r="AA129" i="65"/>
  <c r="AC129" i="65" s="1"/>
  <c r="AL129" i="65"/>
  <c r="AL139" i="65"/>
  <c r="AT139" i="65"/>
  <c r="AU139" i="65" s="1"/>
  <c r="AT144" i="65"/>
  <c r="AU144" i="65" s="1"/>
  <c r="G27" i="66"/>
  <c r="T35" i="70"/>
  <c r="V46" i="70"/>
  <c r="V53" i="70" s="1"/>
  <c r="D53" i="70"/>
  <c r="D84" i="70" s="1"/>
  <c r="AE108" i="65"/>
  <c r="M124" i="65"/>
  <c r="L129" i="65"/>
  <c r="AP139" i="65"/>
  <c r="AR139" i="65" s="1"/>
  <c r="AI105" i="65"/>
  <c r="AI108" i="65" s="1"/>
  <c r="I147" i="65"/>
  <c r="Y143" i="65"/>
  <c r="Z143" i="65" s="1"/>
  <c r="K128" i="65"/>
  <c r="K143" i="65" s="1"/>
  <c r="K147" i="65" s="1"/>
  <c r="AQ75" i="65"/>
  <c r="T105" i="65"/>
  <c r="AJ124" i="65"/>
  <c r="AL124" i="65" s="1"/>
  <c r="Y139" i="65"/>
  <c r="AI90" i="65"/>
  <c r="H95" i="65"/>
  <c r="N95" i="65"/>
  <c r="AX100" i="65"/>
  <c r="C147" i="65"/>
  <c r="R142" i="65"/>
  <c r="AT142" i="65"/>
  <c r="T144" i="65"/>
  <c r="AL118" i="65"/>
  <c r="R143" i="65"/>
  <c r="T143" i="65" s="1"/>
  <c r="AU132" i="65"/>
  <c r="AH139" i="65"/>
  <c r="AI139" i="65" s="1"/>
  <c r="AI137" i="65"/>
  <c r="G16" i="66"/>
  <c r="T53" i="70"/>
  <c r="Q52" i="70"/>
  <c r="Q53" i="70" s="1"/>
  <c r="K95" i="65"/>
  <c r="AW124" i="65"/>
  <c r="AX124" i="65" s="1"/>
  <c r="N37" i="66"/>
  <c r="N39" i="66" s="1"/>
  <c r="U119" i="65"/>
  <c r="W119" i="65" s="1"/>
  <c r="O142" i="65"/>
  <c r="O147" i="65" s="1"/>
  <c r="Y142" i="65"/>
  <c r="AV134" i="65"/>
  <c r="AX134" i="65" s="1"/>
  <c r="C36" i="71"/>
  <c r="BT33" i="72"/>
  <c r="BT38" i="72" s="1"/>
  <c r="BT15" i="72"/>
  <c r="DC15" i="72"/>
  <c r="J38" i="72"/>
  <c r="T38" i="72"/>
  <c r="AV38" i="72"/>
  <c r="BD38" i="72"/>
  <c r="BM38" i="72"/>
  <c r="CV38" i="72"/>
  <c r="BJ29" i="73"/>
  <c r="BI37" i="73"/>
  <c r="BJ31" i="73"/>
  <c r="BJ37" i="73" s="1"/>
  <c r="I41" i="78"/>
  <c r="E32" i="79"/>
  <c r="K32" i="79"/>
  <c r="I13" i="71"/>
  <c r="AZ33" i="72"/>
  <c r="AZ38" i="72" s="1"/>
  <c r="AZ15" i="72"/>
  <c r="G32" i="72"/>
  <c r="K38" i="72"/>
  <c r="AD38" i="72"/>
  <c r="BF38" i="72"/>
  <c r="BN38" i="72"/>
  <c r="BT37" i="73"/>
  <c r="P36" i="78"/>
  <c r="P37" i="78"/>
  <c r="P38" i="78"/>
  <c r="P40" i="78"/>
  <c r="P35" i="78"/>
  <c r="P39" i="78"/>
  <c r="F40" i="78"/>
  <c r="F38" i="78"/>
  <c r="F35" i="78"/>
  <c r="F37" i="78"/>
  <c r="K35" i="78"/>
  <c r="K39" i="78"/>
  <c r="K36" i="78"/>
  <c r="K40" i="78"/>
  <c r="K37" i="78"/>
  <c r="K38" i="78"/>
  <c r="F145" i="65"/>
  <c r="F147" i="65" s="1"/>
  <c r="J145" i="65"/>
  <c r="J147" i="65" s="1"/>
  <c r="P145" i="65"/>
  <c r="P147" i="65" s="1"/>
  <c r="AA145" i="65"/>
  <c r="S36" i="71"/>
  <c r="CN32" i="72"/>
  <c r="CN38" i="72" s="1"/>
  <c r="BT20" i="72"/>
  <c r="AN38" i="72"/>
  <c r="BP38" i="72"/>
  <c r="BX38" i="72"/>
  <c r="AX19" i="73"/>
  <c r="AX32" i="73"/>
  <c r="BU37" i="73"/>
  <c r="BV33" i="73"/>
  <c r="BV37" i="73" s="1"/>
  <c r="Q35" i="78"/>
  <c r="Q36" i="78"/>
  <c r="Q40" i="78"/>
  <c r="Q37" i="78"/>
  <c r="Q38" i="78"/>
  <c r="Q39" i="78"/>
  <c r="S35" i="78"/>
  <c r="S39" i="78"/>
  <c r="S36" i="78"/>
  <c r="S37" i="78"/>
  <c r="S38" i="78"/>
  <c r="CI15" i="72"/>
  <c r="G34" i="72"/>
  <c r="D38" i="72"/>
  <c r="BF37" i="73"/>
  <c r="E41" i="78"/>
  <c r="AT129" i="65"/>
  <c r="AU129" i="65" s="1"/>
  <c r="E16" i="66"/>
  <c r="AP10" i="72"/>
  <c r="CJ38" i="72"/>
  <c r="CR38" i="72"/>
  <c r="AX34" i="73"/>
  <c r="AX29" i="73"/>
  <c r="BD37" i="73"/>
  <c r="BN32" i="73"/>
  <c r="BL37" i="73"/>
  <c r="BN33" i="73"/>
  <c r="C66" i="70"/>
  <c r="C84" i="70" s="1"/>
  <c r="E82" i="70"/>
  <c r="E84" i="70" s="1"/>
  <c r="I18" i="71"/>
  <c r="G36" i="71"/>
  <c r="O36" i="71"/>
  <c r="AF33" i="72"/>
  <c r="AF38" i="72" s="1"/>
  <c r="BE30" i="72"/>
  <c r="CI30" i="72"/>
  <c r="H38" i="72"/>
  <c r="AI38" i="72"/>
  <c r="BR38" i="72"/>
  <c r="CT38" i="72"/>
  <c r="DB38" i="72"/>
  <c r="AP32" i="73"/>
  <c r="AV37" i="73"/>
  <c r="BE37" i="73"/>
  <c r="BP37" i="73"/>
  <c r="BF32" i="73"/>
  <c r="CS33" i="72"/>
  <c r="CS38" i="72" s="1"/>
  <c r="CS10" i="72"/>
  <c r="R38" i="72"/>
  <c r="AB38" i="72"/>
  <c r="AJ38" i="72"/>
  <c r="F36" i="78"/>
  <c r="H25" i="79"/>
  <c r="BF22" i="4"/>
  <c r="BD32" i="4"/>
  <c r="BF32" i="4" s="1"/>
  <c r="BG22" i="7"/>
  <c r="BE32" i="7"/>
  <c r="BG32" i="7" s="1"/>
  <c r="CP23" i="19"/>
  <c r="CP33" i="19" s="1"/>
  <c r="CP83" i="18"/>
  <c r="Y23" i="24"/>
  <c r="Y31" i="24"/>
  <c r="Y36" i="24" s="1"/>
  <c r="V195" i="34"/>
  <c r="V211" i="34"/>
  <c r="V228" i="34"/>
  <c r="V230" i="34" s="1"/>
  <c r="V218" i="34"/>
  <c r="T32" i="79"/>
  <c r="BA146" i="65"/>
  <c r="CD33" i="72"/>
  <c r="CD38" i="72" s="1"/>
  <c r="H29" i="79"/>
  <c r="BF21" i="4"/>
  <c r="BD24" i="4"/>
  <c r="BD31" i="4"/>
  <c r="AX37" i="5"/>
  <c r="CO24" i="19"/>
  <c r="T23" i="22"/>
  <c r="T31" i="22"/>
  <c r="V167" i="34"/>
  <c r="V193" i="34"/>
  <c r="V188" i="34"/>
  <c r="AL14" i="73"/>
  <c r="AP35" i="73"/>
  <c r="BB32" i="73"/>
  <c r="BB37" i="73" s="1"/>
  <c r="V178" i="34"/>
  <c r="T27" i="68"/>
  <c r="T165" i="68"/>
  <c r="T104" i="68"/>
  <c r="M63" i="77"/>
  <c r="BG21" i="7"/>
  <c r="BE24" i="7"/>
  <c r="BE31" i="7"/>
  <c r="CM24" i="19"/>
  <c r="CM31" i="19"/>
  <c r="CM37" i="19" s="1"/>
  <c r="CP19" i="19"/>
  <c r="CP32" i="19"/>
  <c r="AC105" i="23"/>
  <c r="V192" i="34"/>
  <c r="T98" i="68"/>
  <c r="T21" i="68"/>
  <c r="CV28" i="68"/>
  <c r="O40" i="78"/>
  <c r="H27" i="79"/>
  <c r="H31" i="79"/>
  <c r="CP60" i="30"/>
  <c r="CP61" i="30" s="1"/>
  <c r="CM61" i="30"/>
  <c r="BG24" i="11"/>
  <c r="CN31" i="19"/>
  <c r="CN37" i="19" s="1"/>
  <c r="CN24" i="19"/>
  <c r="V171" i="34"/>
  <c r="AY147" i="65"/>
  <c r="BA145" i="65"/>
  <c r="T88" i="68"/>
  <c r="T154" i="68"/>
  <c r="T11" i="68"/>
  <c r="T22" i="68"/>
  <c r="CV6" i="68"/>
  <c r="E160" i="80"/>
  <c r="F160" i="80"/>
  <c r="BF23" i="4"/>
  <c r="BD33" i="4"/>
  <c r="BF33" i="4" s="1"/>
  <c r="BF24" i="7"/>
  <c r="BG23" i="7"/>
  <c r="BF33" i="7"/>
  <c r="V184" i="34"/>
  <c r="V194" i="34"/>
  <c r="V201" i="34"/>
  <c r="G325" i="80"/>
  <c r="BD29" i="4"/>
  <c r="BA14" i="38"/>
  <c r="BZ94" i="64"/>
  <c r="Y21" i="45"/>
  <c r="V84" i="48"/>
  <c r="U106" i="48"/>
  <c r="G299" i="80"/>
  <c r="F313" i="80"/>
  <c r="K16" i="81"/>
  <c r="K22" i="81" s="1"/>
  <c r="D65" i="26"/>
  <c r="H65" i="26" s="1"/>
  <c r="K62" i="40"/>
  <c r="R62" i="40" s="1"/>
  <c r="Q45" i="40"/>
  <c r="G260" i="80"/>
  <c r="AZ29" i="38"/>
  <c r="U34" i="66"/>
  <c r="U30" i="67"/>
  <c r="U34" i="67" s="1"/>
  <c r="W24" i="44"/>
  <c r="V40" i="48"/>
  <c r="U84" i="48"/>
  <c r="P114" i="49"/>
  <c r="K48" i="51"/>
  <c r="K57" i="51" s="1"/>
  <c r="I78" i="51"/>
  <c r="G58" i="26"/>
  <c r="I58" i="26" s="1"/>
  <c r="F63" i="40"/>
  <c r="P48" i="40"/>
  <c r="K50" i="40"/>
  <c r="R50" i="40" s="1"/>
  <c r="Y74" i="45"/>
  <c r="AI92" i="46"/>
  <c r="AI93" i="46" s="1"/>
  <c r="AI96" i="46"/>
  <c r="AI104" i="46" s="1"/>
  <c r="N48" i="49"/>
  <c r="I76" i="50"/>
  <c r="BD35" i="4"/>
  <c r="BF35" i="4" s="1"/>
  <c r="U38" i="66"/>
  <c r="G43" i="26"/>
  <c r="I43" i="26" s="1"/>
  <c r="Y65" i="45"/>
  <c r="Z74" i="45"/>
  <c r="J76" i="50"/>
  <c r="I57" i="51"/>
  <c r="L65" i="40"/>
  <c r="P77" i="49"/>
  <c r="P85" i="49"/>
  <c r="N120" i="49"/>
  <c r="U37" i="66"/>
  <c r="W20" i="44"/>
  <c r="W106" i="44"/>
  <c r="N16" i="47"/>
  <c r="N26" i="47" s="1"/>
  <c r="N21" i="47"/>
  <c r="N73" i="47"/>
  <c r="C12" i="83"/>
  <c r="D25" i="83"/>
  <c r="G334" i="80"/>
  <c r="G53" i="26"/>
  <c r="I53" i="26" s="1"/>
  <c r="J65" i="40"/>
  <c r="O65" i="40"/>
  <c r="AG93" i="46"/>
  <c r="L26" i="47"/>
  <c r="AC15" i="55"/>
  <c r="G71" i="62"/>
  <c r="I73" i="62" s="1"/>
  <c r="I84" i="62" s="1"/>
  <c r="D38" i="62"/>
  <c r="I54" i="62"/>
  <c r="I62" i="62" s="1"/>
  <c r="E28" i="62"/>
  <c r="I70" i="62"/>
  <c r="E38" i="62"/>
  <c r="H38" i="62"/>
  <c r="D71" i="62"/>
  <c r="D101" i="62"/>
  <c r="G101" i="62"/>
  <c r="E101" i="62"/>
  <c r="H71" i="62"/>
  <c r="E71" i="62"/>
  <c r="G28" i="62"/>
  <c r="I30" i="62" s="1"/>
  <c r="I31" i="62" s="1"/>
  <c r="D28" i="62"/>
  <c r="X30" i="41"/>
  <c r="U30" i="41"/>
  <c r="I96" i="62"/>
  <c r="I15" i="62"/>
  <c r="I28" i="62" s="1"/>
  <c r="I37" i="62"/>
  <c r="I100" i="62"/>
  <c r="F100" i="62"/>
  <c r="F37" i="62"/>
  <c r="F96" i="62"/>
  <c r="F15" i="62"/>
  <c r="F62" i="62"/>
  <c r="F71" i="62" s="1"/>
  <c r="G38" i="62"/>
  <c r="I40" i="62" s="1"/>
  <c r="I52" i="62" s="1"/>
  <c r="F31" i="62"/>
  <c r="F24" i="62"/>
  <c r="L21" i="61"/>
  <c r="T35" i="61"/>
  <c r="I25" i="61"/>
  <c r="U33" i="61"/>
  <c r="P35" i="61"/>
  <c r="G35" i="61"/>
  <c r="D43" i="83"/>
  <c r="E43" i="83"/>
  <c r="C43" i="83"/>
  <c r="Y29" i="55"/>
  <c r="G67" i="55"/>
  <c r="G69" i="55" s="1"/>
  <c r="P29" i="55"/>
  <c r="P69" i="55" s="1"/>
  <c r="N67" i="55"/>
  <c r="AC28" i="55"/>
  <c r="Q28" i="55"/>
  <c r="H39" i="55"/>
  <c r="H47" i="55" s="1"/>
  <c r="T59" i="55"/>
  <c r="H29" i="55"/>
  <c r="E35" i="55"/>
  <c r="C67" i="55"/>
  <c r="C69" i="55" s="1"/>
  <c r="O67" i="55"/>
  <c r="E67" i="55"/>
  <c r="V29" i="55"/>
  <c r="V69" i="55" s="1"/>
  <c r="E28" i="55"/>
  <c r="U47" i="55"/>
  <c r="U69" i="55" s="1"/>
  <c r="N29" i="55"/>
  <c r="E21" i="55"/>
  <c r="Y67" i="55"/>
  <c r="T66" i="55"/>
  <c r="H67" i="55"/>
  <c r="R67" i="55"/>
  <c r="S67" i="55"/>
  <c r="AC67" i="55"/>
  <c r="L69" i="55"/>
  <c r="M69" i="55"/>
  <c r="K69" i="55"/>
  <c r="O47" i="55"/>
  <c r="Q39" i="55"/>
  <c r="Q47" i="55" s="1"/>
  <c r="E39" i="55"/>
  <c r="E47" i="55" s="1"/>
  <c r="D47" i="55"/>
  <c r="D69" i="55" s="1"/>
  <c r="W44" i="55"/>
  <c r="W47" i="55" s="1"/>
  <c r="Y47" i="55"/>
  <c r="S47" i="55"/>
  <c r="T47" i="55"/>
  <c r="Z47" i="55"/>
  <c r="AB47" i="55"/>
  <c r="I69" i="55"/>
  <c r="AA29" i="55"/>
  <c r="AA69" i="55" s="1"/>
  <c r="H73" i="50"/>
  <c r="H76" i="50" s="1"/>
  <c r="I25" i="50"/>
  <c r="I39" i="50"/>
  <c r="H57" i="50"/>
  <c r="D39" i="50"/>
  <c r="E70" i="50"/>
  <c r="K69" i="50"/>
  <c r="G39" i="50"/>
  <c r="K57" i="50"/>
  <c r="K76" i="50"/>
  <c r="H96" i="50"/>
  <c r="D97" i="50"/>
  <c r="I97" i="50"/>
  <c r="I70" i="50"/>
  <c r="D70" i="50"/>
  <c r="J70" i="50"/>
  <c r="H69" i="50"/>
  <c r="H33" i="50"/>
  <c r="K15" i="50"/>
  <c r="K25" i="50" s="1"/>
  <c r="E39" i="50"/>
  <c r="J39" i="50"/>
  <c r="G25" i="50"/>
  <c r="J25" i="50"/>
  <c r="K39" i="50"/>
  <c r="N86" i="49"/>
  <c r="J42" i="49"/>
  <c r="J48" i="49" s="1"/>
  <c r="G48" i="49"/>
  <c r="P11" i="49"/>
  <c r="P26" i="49"/>
  <c r="P39" i="49" s="1"/>
  <c r="O86" i="49"/>
  <c r="L48" i="49"/>
  <c r="L122" i="49" s="1"/>
  <c r="F48" i="49"/>
  <c r="M48" i="49"/>
  <c r="M122" i="49" s="1"/>
  <c r="O39" i="49"/>
  <c r="J86" i="49"/>
  <c r="P120" i="49"/>
  <c r="P64" i="49"/>
  <c r="P86" i="49" s="1"/>
  <c r="F122" i="49"/>
  <c r="P48" i="49"/>
  <c r="V106" i="48"/>
  <c r="W106" i="48" s="1"/>
  <c r="W70" i="48"/>
  <c r="J108" i="48"/>
  <c r="K106" i="48"/>
  <c r="T71" i="48"/>
  <c r="G108" i="48"/>
  <c r="H106" i="48"/>
  <c r="F71" i="48"/>
  <c r="T70" i="48"/>
  <c r="Q29" i="48"/>
  <c r="T34" i="48"/>
  <c r="W105" i="48"/>
  <c r="Q83" i="48"/>
  <c r="U40" i="48"/>
  <c r="W40" i="48" s="1"/>
  <c r="W51" i="48"/>
  <c r="U71" i="48"/>
  <c r="Q84" i="48"/>
  <c r="T63" i="48"/>
  <c r="W34" i="48"/>
  <c r="W83" i="48"/>
  <c r="N40" i="48"/>
  <c r="M71" i="48"/>
  <c r="N71" i="48" s="1"/>
  <c r="N106" i="48"/>
  <c r="E40" i="48"/>
  <c r="E51" i="48"/>
  <c r="E70" i="48"/>
  <c r="C71" i="48"/>
  <c r="C108" i="48" s="1"/>
  <c r="O71" i="48"/>
  <c r="O108" i="48" s="1"/>
  <c r="N79" i="48"/>
  <c r="W84" i="48"/>
  <c r="W75" i="48"/>
  <c r="Q70" i="48"/>
  <c r="V71" i="48"/>
  <c r="P71" i="48"/>
  <c r="P40" i="48"/>
  <c r="Q40" i="48" s="1"/>
  <c r="E26" i="47"/>
  <c r="H26" i="47"/>
  <c r="K79" i="47"/>
  <c r="H64" i="47"/>
  <c r="D79" i="47"/>
  <c r="D109" i="47" s="1"/>
  <c r="H84" i="47"/>
  <c r="H94" i="47" s="1"/>
  <c r="E84" i="47"/>
  <c r="N56" i="47"/>
  <c r="N93" i="47"/>
  <c r="L57" i="47"/>
  <c r="L94" i="47"/>
  <c r="G26" i="47"/>
  <c r="K25" i="47"/>
  <c r="K26" i="47" s="1"/>
  <c r="H73" i="47"/>
  <c r="I26" i="47"/>
  <c r="I109" i="47" s="1"/>
  <c r="F57" i="47"/>
  <c r="N64" i="47"/>
  <c r="N78" i="47"/>
  <c r="N79" i="47" s="1"/>
  <c r="E93" i="47"/>
  <c r="N49" i="47"/>
  <c r="M94" i="47"/>
  <c r="M109" i="47" s="1"/>
  <c r="I57" i="47"/>
  <c r="K94" i="47"/>
  <c r="K109" i="47" s="1"/>
  <c r="H78" i="47"/>
  <c r="N94" i="47"/>
  <c r="F94" i="47"/>
  <c r="J109" i="47"/>
  <c r="G109" i="47"/>
  <c r="E104" i="46"/>
  <c r="H104" i="46"/>
  <c r="K16" i="46"/>
  <c r="G26" i="46"/>
  <c r="H26" i="46" s="1"/>
  <c r="AC25" i="46"/>
  <c r="AA56" i="46"/>
  <c r="E63" i="46"/>
  <c r="K72" i="46"/>
  <c r="Q77" i="46"/>
  <c r="Z92" i="46"/>
  <c r="Z93" i="46" s="1"/>
  <c r="Z78" i="46"/>
  <c r="H25" i="46"/>
  <c r="O78" i="46"/>
  <c r="AC92" i="46"/>
  <c r="AG56" i="46"/>
  <c r="N16" i="46"/>
  <c r="W21" i="46"/>
  <c r="AF25" i="46"/>
  <c r="H55" i="46"/>
  <c r="T55" i="46"/>
  <c r="AF55" i="46"/>
  <c r="H77" i="46"/>
  <c r="T77" i="46"/>
  <c r="AF87" i="46"/>
  <c r="L93" i="46"/>
  <c r="X93" i="46"/>
  <c r="AF92" i="46"/>
  <c r="M26" i="46"/>
  <c r="N87" i="46"/>
  <c r="N93" i="46" s="1"/>
  <c r="E92" i="46"/>
  <c r="E93" i="46" s="1"/>
  <c r="U26" i="46"/>
  <c r="W26" i="46" s="1"/>
  <c r="H92" i="46"/>
  <c r="H93" i="46" s="1"/>
  <c r="O93" i="46"/>
  <c r="AA93" i="46"/>
  <c r="N48" i="46"/>
  <c r="S78" i="46"/>
  <c r="T78" i="46" s="1"/>
  <c r="T72" i="46"/>
  <c r="AF72" i="46"/>
  <c r="AF77" i="46"/>
  <c r="K93" i="46"/>
  <c r="AI21" i="46"/>
  <c r="AI77" i="46"/>
  <c r="D78" i="46"/>
  <c r="D106" i="46" s="1"/>
  <c r="Q83" i="46"/>
  <c r="Q93" i="46" s="1"/>
  <c r="AD93" i="46"/>
  <c r="AD106" i="46" s="1"/>
  <c r="Q78" i="46"/>
  <c r="AF78" i="46"/>
  <c r="AB106" i="46"/>
  <c r="J106" i="46"/>
  <c r="V106" i="46"/>
  <c r="G78" i="46"/>
  <c r="H78" i="46" s="1"/>
  <c r="AH78" i="46"/>
  <c r="AG78" i="46"/>
  <c r="I106" i="46"/>
  <c r="K56" i="46"/>
  <c r="Q56" i="46"/>
  <c r="P106" i="46"/>
  <c r="AC56" i="46"/>
  <c r="F106" i="46"/>
  <c r="G56" i="46"/>
  <c r="M56" i="46"/>
  <c r="S56" i="46"/>
  <c r="AC55" i="46"/>
  <c r="AH56" i="46"/>
  <c r="AI56" i="46" s="1"/>
  <c r="AE106" i="46"/>
  <c r="U106" i="46"/>
  <c r="N26" i="46"/>
  <c r="H21" i="46"/>
  <c r="N21" i="46"/>
  <c r="AG26" i="46"/>
  <c r="Z65" i="45"/>
  <c r="W65" i="45"/>
  <c r="W21" i="45"/>
  <c r="Q74" i="45"/>
  <c r="W74" i="45"/>
  <c r="Z44" i="45"/>
  <c r="T21" i="45"/>
  <c r="T82" i="45" s="1"/>
  <c r="E37" i="45"/>
  <c r="H68" i="45"/>
  <c r="N59" i="45"/>
  <c r="N65" i="45" s="1"/>
  <c r="N68" i="45"/>
  <c r="N74" i="45" s="1"/>
  <c r="D82" i="45"/>
  <c r="J74" i="45"/>
  <c r="J82" i="45" s="1"/>
  <c r="E12" i="45"/>
  <c r="E21" i="45" s="1"/>
  <c r="F74" i="45"/>
  <c r="H73" i="45"/>
  <c r="Z21" i="45"/>
  <c r="H12" i="45"/>
  <c r="H21" i="45" s="1"/>
  <c r="H28" i="45"/>
  <c r="K74" i="45"/>
  <c r="K59" i="45"/>
  <c r="O65" i="45"/>
  <c r="O82" i="45" s="1"/>
  <c r="K64" i="45"/>
  <c r="C74" i="45"/>
  <c r="M74" i="45"/>
  <c r="C65" i="45"/>
  <c r="P82" i="45"/>
  <c r="U82" i="45"/>
  <c r="R44" i="45"/>
  <c r="G44" i="45"/>
  <c r="K28" i="45"/>
  <c r="K44" i="45" s="1"/>
  <c r="N28" i="45"/>
  <c r="N44" i="45" s="1"/>
  <c r="L82" i="45"/>
  <c r="N12" i="45"/>
  <c r="N21" i="45" s="1"/>
  <c r="E108" i="44"/>
  <c r="I108" i="44"/>
  <c r="N25" i="44"/>
  <c r="J78" i="44"/>
  <c r="N87" i="44"/>
  <c r="N92" i="44"/>
  <c r="W72" i="44"/>
  <c r="W77" i="44"/>
  <c r="V78" i="44"/>
  <c r="O78" i="44"/>
  <c r="Q77" i="44"/>
  <c r="C78" i="44"/>
  <c r="O93" i="44"/>
  <c r="O108" i="44" s="1"/>
  <c r="T63" i="44"/>
  <c r="Q63" i="44"/>
  <c r="Q72" i="44"/>
  <c r="N72" i="44"/>
  <c r="N78" i="44" s="1"/>
  <c r="T72" i="44"/>
  <c r="H78" i="44"/>
  <c r="D93" i="44"/>
  <c r="W48" i="44"/>
  <c r="U93" i="44"/>
  <c r="K93" i="44"/>
  <c r="K108" i="44" s="1"/>
  <c r="J93" i="44"/>
  <c r="U25" i="44"/>
  <c r="W36" i="44"/>
  <c r="W93" i="44"/>
  <c r="S108" i="44"/>
  <c r="J108" i="44"/>
  <c r="G108" i="44"/>
  <c r="P108" i="44"/>
  <c r="T24" i="44"/>
  <c r="T25" i="44" s="1"/>
  <c r="W15" i="44"/>
  <c r="W25" i="44" s="1"/>
  <c r="V25" i="44"/>
  <c r="AX32" i="20"/>
  <c r="AX37" i="20" s="1"/>
  <c r="AX19" i="20"/>
  <c r="K97" i="50"/>
  <c r="K33" i="51"/>
  <c r="K78" i="51"/>
  <c r="G285" i="80"/>
  <c r="G340" i="80"/>
  <c r="G137" i="80"/>
  <c r="G160" i="80" s="1"/>
  <c r="G164" i="80"/>
  <c r="G169" i="80"/>
  <c r="C280" i="77"/>
  <c r="G290" i="77"/>
  <c r="C371" i="77"/>
  <c r="N547" i="77"/>
  <c r="N548" i="77" s="1"/>
  <c r="G405" i="77"/>
  <c r="H435" i="77"/>
  <c r="D324" i="77"/>
  <c r="D405" i="77"/>
  <c r="G435" i="77"/>
  <c r="O547" i="77"/>
  <c r="O548" i="77" s="1"/>
  <c r="G371" i="77"/>
  <c r="C433" i="77"/>
  <c r="D433" i="77"/>
  <c r="O494" i="77"/>
  <c r="D280" i="77"/>
  <c r="H290" i="77"/>
  <c r="G333" i="77"/>
  <c r="C324" i="77"/>
  <c r="D371" i="77"/>
  <c r="H371" i="77"/>
  <c r="N494" i="77"/>
  <c r="H333" i="77"/>
  <c r="I21" i="61"/>
  <c r="X12" i="61"/>
  <c r="R12" i="61"/>
  <c r="R35" i="61" s="1"/>
  <c r="O33" i="61"/>
  <c r="O35" i="61" s="1"/>
  <c r="W35" i="61"/>
  <c r="V35" i="61"/>
  <c r="X21" i="61"/>
  <c r="D35" i="61"/>
  <c r="E33" i="61"/>
  <c r="E35" i="61" s="1"/>
  <c r="U12" i="61"/>
  <c r="U35" i="61" s="1"/>
  <c r="U34" i="41"/>
  <c r="U37" i="41" s="1"/>
  <c r="M153" i="40"/>
  <c r="L153" i="40"/>
  <c r="N153" i="40" s="1"/>
  <c r="F293" i="40"/>
  <c r="M120" i="40"/>
  <c r="L120" i="40"/>
  <c r="N120" i="40" s="1"/>
  <c r="L282" i="40"/>
  <c r="M282" i="40" s="1"/>
  <c r="K293" i="40"/>
  <c r="K326" i="40"/>
  <c r="L274" i="40"/>
  <c r="M274" i="40" s="1"/>
  <c r="L149" i="40"/>
  <c r="N149" i="40" s="1"/>
  <c r="L255" i="40"/>
  <c r="M255" i="40" s="1"/>
  <c r="K353" i="40"/>
  <c r="L353" i="40" s="1"/>
  <c r="M353" i="40" s="1"/>
  <c r="L379" i="40"/>
  <c r="M149" i="40"/>
  <c r="L319" i="40"/>
  <c r="M319" i="40" s="1"/>
  <c r="F207" i="40"/>
  <c r="L207" i="40" s="1"/>
  <c r="M207" i="40" s="1"/>
  <c r="M112" i="40"/>
  <c r="F175" i="40"/>
  <c r="K185" i="40"/>
  <c r="L280" i="40"/>
  <c r="M280" i="40" s="1"/>
  <c r="Q46" i="40"/>
  <c r="Q48" i="40" s="1"/>
  <c r="L310" i="40"/>
  <c r="M310" i="40" s="1"/>
  <c r="K158" i="40"/>
  <c r="L158" i="40" s="1"/>
  <c r="N158" i="40" s="1"/>
  <c r="Q81" i="40"/>
  <c r="L418" i="40"/>
  <c r="M418" i="40" s="1"/>
  <c r="L146" i="40"/>
  <c r="N146" i="40" s="1"/>
  <c r="M117" i="40"/>
  <c r="K75" i="40"/>
  <c r="R75" i="40" s="1"/>
  <c r="Q86" i="40"/>
  <c r="K190" i="40"/>
  <c r="L190" i="40" s="1"/>
  <c r="M190" i="40" s="1"/>
  <c r="K250" i="40"/>
  <c r="L250" i="40" s="1"/>
  <c r="M250" i="40" s="1"/>
  <c r="L386" i="40"/>
  <c r="L419" i="40"/>
  <c r="M419" i="40" s="1"/>
  <c r="K56" i="40"/>
  <c r="R56" i="40" s="1"/>
  <c r="J87" i="40"/>
  <c r="K87" i="40" s="1"/>
  <c r="R87" i="40" s="1"/>
  <c r="L269" i="40"/>
  <c r="M269" i="40" s="1"/>
  <c r="K162" i="40"/>
  <c r="M162" i="40" s="1"/>
  <c r="K217" i="40"/>
  <c r="L220" i="40"/>
  <c r="M220" i="40" s="1"/>
  <c r="L106" i="40"/>
  <c r="N106" i="40" s="1"/>
  <c r="M113" i="40"/>
  <c r="L118" i="40"/>
  <c r="N118" i="40" s="1"/>
  <c r="L193" i="40"/>
  <c r="M193" i="40" s="1"/>
  <c r="L343" i="40"/>
  <c r="M343" i="40" s="1"/>
  <c r="K63" i="40"/>
  <c r="R63" i="40" s="1"/>
  <c r="M161" i="40"/>
  <c r="K426" i="40"/>
  <c r="L426" i="40" s="1"/>
  <c r="M426" i="40" s="1"/>
  <c r="Q76" i="40"/>
  <c r="L129" i="40"/>
  <c r="N129" i="40" s="1"/>
  <c r="Q85" i="40"/>
  <c r="D411" i="40"/>
  <c r="L286" i="40"/>
  <c r="M286" i="40" s="1"/>
  <c r="H164" i="40"/>
  <c r="F185" i="40"/>
  <c r="F196" i="40" s="1"/>
  <c r="I228" i="40"/>
  <c r="L420" i="40"/>
  <c r="M420" i="40" s="1"/>
  <c r="F54" i="40"/>
  <c r="K54" i="40" s="1"/>
  <c r="R54" i="40" s="1"/>
  <c r="D65" i="40"/>
  <c r="L320" i="40"/>
  <c r="M320" i="40" s="1"/>
  <c r="K114" i="40"/>
  <c r="L373" i="40"/>
  <c r="L140" i="40"/>
  <c r="N140" i="40" s="1"/>
  <c r="L188" i="40"/>
  <c r="M188" i="40" s="1"/>
  <c r="L210" i="40"/>
  <c r="M210" i="40" s="1"/>
  <c r="L225" i="40"/>
  <c r="M225" i="40" s="1"/>
  <c r="F437" i="40"/>
  <c r="F43" i="40"/>
  <c r="K43" i="40" s="1"/>
  <c r="R43" i="40" s="1"/>
  <c r="E65" i="40"/>
  <c r="I65" i="40"/>
  <c r="K371" i="40"/>
  <c r="L303" i="40"/>
  <c r="M303" i="40" s="1"/>
  <c r="F142" i="40"/>
  <c r="I196" i="40"/>
  <c r="L211" i="40"/>
  <c r="M211" i="40" s="1"/>
  <c r="K348" i="40"/>
  <c r="L348" i="40" s="1"/>
  <c r="M348" i="40" s="1"/>
  <c r="I388" i="40"/>
  <c r="K52" i="40"/>
  <c r="R52" i="40" s="1"/>
  <c r="N65" i="40"/>
  <c r="Q59" i="40"/>
  <c r="K435" i="40"/>
  <c r="L435" i="40" s="1"/>
  <c r="M435" i="40" s="1"/>
  <c r="F76" i="40"/>
  <c r="L117" i="40"/>
  <c r="N117" i="40" s="1"/>
  <c r="K180" i="40"/>
  <c r="L180" i="40" s="1"/>
  <c r="M180" i="40" s="1"/>
  <c r="K338" i="40"/>
  <c r="L338" i="40" s="1"/>
  <c r="M338" i="40" s="1"/>
  <c r="M146" i="40"/>
  <c r="F245" i="40"/>
  <c r="L245" i="40" s="1"/>
  <c r="M245" i="40" s="1"/>
  <c r="L152" i="40"/>
  <c r="N152" i="40" s="1"/>
  <c r="L315" i="40"/>
  <c r="M315" i="40" s="1"/>
  <c r="F359" i="40"/>
  <c r="L357" i="40"/>
  <c r="M357" i="40" s="1"/>
  <c r="F388" i="40"/>
  <c r="L376" i="40"/>
  <c r="L175" i="40"/>
  <c r="M175" i="40" s="1"/>
  <c r="K96" i="40"/>
  <c r="R96" i="40" s="1"/>
  <c r="L259" i="40"/>
  <c r="M259" i="40" s="1"/>
  <c r="Q43" i="40"/>
  <c r="L305" i="40"/>
  <c r="M305" i="40" s="1"/>
  <c r="F59" i="40"/>
  <c r="K59" i="40" s="1"/>
  <c r="R59" i="40" s="1"/>
  <c r="L184" i="40"/>
  <c r="M184" i="40" s="1"/>
  <c r="K58" i="40"/>
  <c r="R58" i="40" s="1"/>
  <c r="L312" i="40"/>
  <c r="M312" i="40" s="1"/>
  <c r="N9" i="38"/>
  <c r="V14" i="38"/>
  <c r="AT34" i="38"/>
  <c r="AT31" i="38"/>
  <c r="AQ35" i="38"/>
  <c r="AD34" i="38"/>
  <c r="AP29" i="38"/>
  <c r="AT32" i="38"/>
  <c r="AR35" i="38"/>
  <c r="AE35" i="38"/>
  <c r="AH29" i="38"/>
  <c r="AL32" i="38"/>
  <c r="AK35" i="38"/>
  <c r="W35" i="38"/>
  <c r="Z29" i="38"/>
  <c r="AI35" i="38"/>
  <c r="AL34" i="38"/>
  <c r="AX34" i="38"/>
  <c r="AG35" i="38"/>
  <c r="AZ19" i="38"/>
  <c r="BB24" i="38"/>
  <c r="AY30" i="38"/>
  <c r="BA34" i="38"/>
  <c r="BB7" i="38"/>
  <c r="AY9" i="38"/>
  <c r="BB25" i="38"/>
  <c r="BB18" i="38"/>
  <c r="BB8" i="38"/>
  <c r="I535" i="26"/>
  <c r="K535" i="26" s="1"/>
  <c r="J535" i="26"/>
  <c r="I397" i="26"/>
  <c r="K397" i="26" s="1"/>
  <c r="J397" i="26"/>
  <c r="H409" i="26"/>
  <c r="I409" i="26" s="1"/>
  <c r="K409" i="26" s="1"/>
  <c r="D464" i="26"/>
  <c r="G548" i="26"/>
  <c r="E65" i="26"/>
  <c r="E106" i="26"/>
  <c r="E128" i="26" s="1"/>
  <c r="I221" i="26"/>
  <c r="K221" i="26" s="1"/>
  <c r="J472" i="26"/>
  <c r="D350" i="26"/>
  <c r="J402" i="26"/>
  <c r="E159" i="26"/>
  <c r="F159" i="26" s="1"/>
  <c r="H159" i="26" s="1"/>
  <c r="G176" i="26"/>
  <c r="I176" i="26" s="1"/>
  <c r="J237" i="26"/>
  <c r="D255" i="26"/>
  <c r="H269" i="26"/>
  <c r="J269" i="26" s="1"/>
  <c r="H348" i="26"/>
  <c r="I348" i="26" s="1"/>
  <c r="K348" i="26" s="1"/>
  <c r="G382" i="26"/>
  <c r="D436" i="26"/>
  <c r="E520" i="26"/>
  <c r="G521" i="26" s="1"/>
  <c r="H116" i="26"/>
  <c r="E224" i="26"/>
  <c r="F286" i="26"/>
  <c r="H274" i="26"/>
  <c r="J274" i="26" s="1"/>
  <c r="H563" i="26"/>
  <c r="I563" i="26" s="1"/>
  <c r="K563" i="26" s="1"/>
  <c r="G193" i="26"/>
  <c r="I193" i="26" s="1"/>
  <c r="F437" i="26"/>
  <c r="G85" i="26"/>
  <c r="I85" i="26" s="1"/>
  <c r="G181" i="26"/>
  <c r="I181" i="26" s="1"/>
  <c r="E80" i="26"/>
  <c r="E97" i="26" s="1"/>
  <c r="G186" i="26"/>
  <c r="I186" i="26" s="1"/>
  <c r="H224" i="26"/>
  <c r="I224" i="26" s="1"/>
  <c r="K224" i="26" s="1"/>
  <c r="I202" i="26"/>
  <c r="K202" i="26" s="1"/>
  <c r="J202" i="26"/>
  <c r="F594" i="26"/>
  <c r="J591" i="26"/>
  <c r="I591" i="26"/>
  <c r="K591" i="26" s="1"/>
  <c r="I365" i="26"/>
  <c r="H350" i="26"/>
  <c r="I350" i="26" s="1"/>
  <c r="K350" i="26" s="1"/>
  <c r="I274" i="26"/>
  <c r="K274" i="26" s="1"/>
  <c r="H286" i="26"/>
  <c r="J253" i="26"/>
  <c r="H255" i="26"/>
  <c r="I253" i="26"/>
  <c r="K253" i="26" s="1"/>
  <c r="I284" i="26"/>
  <c r="K284" i="26" s="1"/>
  <c r="J284" i="26"/>
  <c r="G465" i="26"/>
  <c r="F465" i="26"/>
  <c r="I238" i="26"/>
  <c r="K238" i="26" s="1"/>
  <c r="J238" i="26"/>
  <c r="I462" i="26"/>
  <c r="K462" i="26" s="1"/>
  <c r="H464" i="26"/>
  <c r="I464" i="26" s="1"/>
  <c r="K464" i="26" s="1"/>
  <c r="J462" i="26"/>
  <c r="J508" i="26"/>
  <c r="H520" i="26"/>
  <c r="I520" i="26" s="1"/>
  <c r="K520" i="26" s="1"/>
  <c r="I508" i="26"/>
  <c r="K508" i="26" s="1"/>
  <c r="J513" i="26"/>
  <c r="I513" i="26"/>
  <c r="K513" i="26" s="1"/>
  <c r="G594" i="26"/>
  <c r="I492" i="26"/>
  <c r="K492" i="26" s="1"/>
  <c r="H436" i="26"/>
  <c r="J555" i="26"/>
  <c r="I529" i="26"/>
  <c r="K529" i="26" s="1"/>
  <c r="I534" i="26"/>
  <c r="K534" i="26" s="1"/>
  <c r="J399" i="26"/>
  <c r="J487" i="26"/>
  <c r="I489" i="26"/>
  <c r="K489" i="26" s="1"/>
  <c r="J533" i="26"/>
  <c r="J538" i="26"/>
  <c r="I567" i="26"/>
  <c r="K567" i="26" s="1"/>
  <c r="H586" i="26"/>
  <c r="I199" i="26"/>
  <c r="K199" i="26" s="1"/>
  <c r="H530" i="26"/>
  <c r="AX24" i="20"/>
  <c r="AV37" i="20"/>
  <c r="AW37" i="20"/>
  <c r="H38" i="59"/>
  <c r="K38" i="59"/>
  <c r="K88" i="57"/>
  <c r="Q58" i="57"/>
  <c r="N88" i="57"/>
  <c r="W21" i="57"/>
  <c r="W88" i="57" s="1"/>
  <c r="O107" i="56"/>
  <c r="L79" i="56"/>
  <c r="L109" i="56" s="1"/>
  <c r="AB67" i="55"/>
  <c r="R65" i="54"/>
  <c r="T65" i="54" s="1"/>
  <c r="S40" i="54"/>
  <c r="S101" i="54" s="1"/>
  <c r="T25" i="54"/>
  <c r="E65" i="54"/>
  <c r="K25" i="54"/>
  <c r="E25" i="54"/>
  <c r="U102" i="53"/>
  <c r="P25" i="53"/>
  <c r="E78" i="53"/>
  <c r="E40" i="53"/>
  <c r="D40" i="53"/>
  <c r="C106" i="52"/>
  <c r="C108" i="52" s="1"/>
  <c r="D106" i="52"/>
  <c r="E106" i="52"/>
  <c r="E84" i="52"/>
  <c r="E70" i="52"/>
  <c r="D71" i="52"/>
  <c r="E51" i="52"/>
  <c r="H78" i="51"/>
  <c r="H57" i="51"/>
  <c r="K23" i="51"/>
  <c r="L35" i="61"/>
  <c r="E29" i="55" l="1"/>
  <c r="O69" i="55"/>
  <c r="Q29" i="55"/>
  <c r="J80" i="51"/>
  <c r="E106" i="46"/>
  <c r="AC78" i="46"/>
  <c r="G82" i="45"/>
  <c r="F82" i="45"/>
  <c r="I82" i="45"/>
  <c r="X37" i="41"/>
  <c r="J36" i="24"/>
  <c r="T36" i="22"/>
  <c r="M36" i="22"/>
  <c r="BR31" i="19"/>
  <c r="BR37" i="19" s="1"/>
  <c r="AN36" i="43"/>
  <c r="AN14" i="43"/>
  <c r="AR37" i="43"/>
  <c r="AN9" i="43"/>
  <c r="AN29" i="43"/>
  <c r="AN37" i="43"/>
  <c r="AO82" i="32"/>
  <c r="AO83" i="32" s="1"/>
  <c r="C80" i="32"/>
  <c r="BG82" i="32"/>
  <c r="BD21" i="32"/>
  <c r="AJ55" i="32"/>
  <c r="AV21" i="32"/>
  <c r="D55" i="32"/>
  <c r="AO78" i="32"/>
  <c r="AB82" i="32"/>
  <c r="AB83" i="32" s="1"/>
  <c r="AD55" i="32"/>
  <c r="M78" i="32"/>
  <c r="O78" i="32"/>
  <c r="AI81" i="32"/>
  <c r="AI83" i="32" s="1"/>
  <c r="AT55" i="32"/>
  <c r="AN80" i="32"/>
  <c r="AN83" i="32" s="1"/>
  <c r="AL55" i="32"/>
  <c r="Y78" i="32"/>
  <c r="Y83" i="32" s="1"/>
  <c r="AB78" i="32"/>
  <c r="AS21" i="32"/>
  <c r="AN55" i="32"/>
  <c r="AZ55" i="32"/>
  <c r="AW80" i="32"/>
  <c r="AU80" i="32"/>
  <c r="AD83" i="32"/>
  <c r="AY78" i="32"/>
  <c r="AH55" i="32"/>
  <c r="BF80" i="32"/>
  <c r="BF83" i="32" s="1"/>
  <c r="N80" i="32"/>
  <c r="AZ82" i="32"/>
  <c r="AZ83" i="32" s="1"/>
  <c r="AH81" i="32"/>
  <c r="AH83" i="32" s="1"/>
  <c r="AX55" i="32"/>
  <c r="G313" i="80"/>
  <c r="G225" i="80"/>
  <c r="T88" i="57"/>
  <c r="O31" i="56"/>
  <c r="O109" i="56"/>
  <c r="E109" i="56"/>
  <c r="I109" i="56"/>
  <c r="F109" i="56"/>
  <c r="W29" i="55"/>
  <c r="AC29" i="55"/>
  <c r="Z29" i="55"/>
  <c r="Z69" i="55" s="1"/>
  <c r="X69" i="55"/>
  <c r="N69" i="55"/>
  <c r="R69" i="55"/>
  <c r="H101" i="54"/>
  <c r="K101" i="54"/>
  <c r="R101" i="54"/>
  <c r="T40" i="54"/>
  <c r="M102" i="53"/>
  <c r="D102" i="53"/>
  <c r="H102" i="53"/>
  <c r="K102" i="53"/>
  <c r="V108" i="52"/>
  <c r="W108" i="52" s="1"/>
  <c r="W40" i="52"/>
  <c r="I80" i="51"/>
  <c r="E99" i="50"/>
  <c r="O122" i="49"/>
  <c r="N122" i="49"/>
  <c r="G122" i="49"/>
  <c r="R108" i="48"/>
  <c r="Q51" i="48"/>
  <c r="D108" i="48"/>
  <c r="I108" i="48"/>
  <c r="K108" i="48" s="1"/>
  <c r="Q71" i="48"/>
  <c r="H108" i="48"/>
  <c r="E94" i="47"/>
  <c r="E109" i="47" s="1"/>
  <c r="H79" i="47"/>
  <c r="H109" i="47" s="1"/>
  <c r="L109" i="47"/>
  <c r="F109" i="47"/>
  <c r="X106" i="46"/>
  <c r="N78" i="46"/>
  <c r="L106" i="46"/>
  <c r="N56" i="46"/>
  <c r="AC93" i="46"/>
  <c r="E78" i="46"/>
  <c r="AF56" i="46"/>
  <c r="H44" i="45"/>
  <c r="V82" i="45"/>
  <c r="Y82" i="45"/>
  <c r="R82" i="45"/>
  <c r="M82" i="45"/>
  <c r="W82" i="45"/>
  <c r="H108" i="44"/>
  <c r="D108" i="44"/>
  <c r="C108" i="44"/>
  <c r="I35" i="61"/>
  <c r="U79" i="56"/>
  <c r="U109" i="56" s="1"/>
  <c r="H25" i="50"/>
  <c r="H97" i="50"/>
  <c r="F99" i="50"/>
  <c r="G99" i="50"/>
  <c r="H39" i="50"/>
  <c r="C99" i="50"/>
  <c r="E44" i="45"/>
  <c r="E82" i="45" s="1"/>
  <c r="BB34" i="38"/>
  <c r="F159" i="35"/>
  <c r="Q159" i="35"/>
  <c r="M81" i="36"/>
  <c r="CH51" i="36"/>
  <c r="L82" i="36"/>
  <c r="BU72" i="36"/>
  <c r="K83" i="36"/>
  <c r="CH60" i="36"/>
  <c r="AO159" i="35"/>
  <c r="N159" i="35"/>
  <c r="BK101" i="35"/>
  <c r="AY53" i="35"/>
  <c r="CQ155" i="35"/>
  <c r="AV159" i="35"/>
  <c r="K144" i="35"/>
  <c r="BN51" i="36"/>
  <c r="BP81" i="36"/>
  <c r="AP159" i="35"/>
  <c r="CE101" i="35"/>
  <c r="BK55" i="36"/>
  <c r="BZ51" i="36"/>
  <c r="CP30" i="36"/>
  <c r="CA53" i="35"/>
  <c r="BK155" i="35"/>
  <c r="BE81" i="36"/>
  <c r="BJ159" i="35"/>
  <c r="AF159" i="35"/>
  <c r="BN60" i="36"/>
  <c r="BQ159" i="35"/>
  <c r="BW155" i="35"/>
  <c r="AE101" i="35"/>
  <c r="BW144" i="35"/>
  <c r="AI101" i="35"/>
  <c r="BM55" i="36"/>
  <c r="X159" i="35"/>
  <c r="BX72" i="36"/>
  <c r="AW159" i="35"/>
  <c r="AA144" i="35"/>
  <c r="BN35" i="36"/>
  <c r="BV71" i="36"/>
  <c r="CL68" i="36"/>
  <c r="J179" i="37"/>
  <c r="N179" i="37"/>
  <c r="U35" i="38"/>
  <c r="S35" i="38"/>
  <c r="AX9" i="38"/>
  <c r="AS35" i="38"/>
  <c r="M35" i="38"/>
  <c r="N27" i="38"/>
  <c r="R31" i="38"/>
  <c r="AD31" i="38"/>
  <c r="AT29" i="38"/>
  <c r="V27" i="38"/>
  <c r="P179" i="37"/>
  <c r="F31" i="38"/>
  <c r="P159" i="35"/>
  <c r="BZ159" i="35"/>
  <c r="BF47" i="36"/>
  <c r="CP37" i="36"/>
  <c r="F43" i="36"/>
  <c r="BP72" i="36"/>
  <c r="K101" i="35"/>
  <c r="BR159" i="35"/>
  <c r="BO53" i="35"/>
  <c r="Y159" i="35"/>
  <c r="CB159" i="35"/>
  <c r="AI144" i="35"/>
  <c r="AB159" i="35"/>
  <c r="AQ144" i="35"/>
  <c r="CD159" i="35"/>
  <c r="BC53" i="35"/>
  <c r="AJ159" i="35"/>
  <c r="BA159" i="35"/>
  <c r="CA155" i="35"/>
  <c r="AS159" i="35"/>
  <c r="BU159" i="35"/>
  <c r="AC159" i="35"/>
  <c r="BR35" i="36"/>
  <c r="O144" i="35"/>
  <c r="I159" i="35"/>
  <c r="BR71" i="36"/>
  <c r="BS53" i="35"/>
  <c r="M159" i="35"/>
  <c r="AM101" i="35"/>
  <c r="G101" i="35"/>
  <c r="BG144" i="35"/>
  <c r="BP159" i="35"/>
  <c r="BC144" i="35"/>
  <c r="BC101" i="35"/>
  <c r="E159" i="35"/>
  <c r="BN69" i="36"/>
  <c r="BD159" i="35"/>
  <c r="BV159" i="35"/>
  <c r="AH159" i="35"/>
  <c r="AQ101" i="35"/>
  <c r="Z159" i="35"/>
  <c r="D159" i="35"/>
  <c r="CF159" i="35"/>
  <c r="BN18" i="36"/>
  <c r="BT159" i="35"/>
  <c r="R159" i="35"/>
  <c r="H159" i="35"/>
  <c r="J159" i="35"/>
  <c r="BI159" i="35"/>
  <c r="BL82" i="36"/>
  <c r="O53" i="35"/>
  <c r="BZ70" i="36"/>
  <c r="BE159" i="35"/>
  <c r="BL159" i="35"/>
  <c r="CC72" i="36"/>
  <c r="BR30" i="36"/>
  <c r="BH159" i="35"/>
  <c r="CD43" i="36"/>
  <c r="BL55" i="36"/>
  <c r="BW53" i="35"/>
  <c r="CQ101" i="35"/>
  <c r="AE144" i="35"/>
  <c r="BU81" i="36"/>
  <c r="BF159" i="35"/>
  <c r="U159" i="35"/>
  <c r="AY144" i="35"/>
  <c r="AD159" i="35"/>
  <c r="AN159" i="35"/>
  <c r="BC83" i="36"/>
  <c r="AZ159" i="35"/>
  <c r="T159" i="35"/>
  <c r="AX159" i="35"/>
  <c r="BZ35" i="36"/>
  <c r="CQ53" i="35"/>
  <c r="BF52" i="36"/>
  <c r="G144" i="35"/>
  <c r="CI155" i="35"/>
  <c r="CD68" i="36"/>
  <c r="CL71" i="36"/>
  <c r="AT159" i="35"/>
  <c r="CM53" i="35"/>
  <c r="CJ72" i="36"/>
  <c r="C55" i="36"/>
  <c r="BN36" i="36"/>
  <c r="CE72" i="36"/>
  <c r="S53" i="35"/>
  <c r="M82" i="36"/>
  <c r="CD71" i="36"/>
  <c r="CP35" i="36"/>
  <c r="CI144" i="35"/>
  <c r="AL159" i="35"/>
  <c r="AR159" i="35"/>
  <c r="CP17" i="36"/>
  <c r="BU55" i="36"/>
  <c r="CL43" i="36"/>
  <c r="F26" i="36"/>
  <c r="BZ60" i="36"/>
  <c r="AY101" i="35"/>
  <c r="CP54" i="36"/>
  <c r="CO38" i="36"/>
  <c r="BR43" i="36"/>
  <c r="AA53" i="35"/>
  <c r="AI53" i="35"/>
  <c r="BF35" i="36"/>
  <c r="AU53" i="35"/>
  <c r="R35" i="36"/>
  <c r="N43" i="36"/>
  <c r="G53" i="35"/>
  <c r="CL159" i="35"/>
  <c r="CL47" i="36"/>
  <c r="BB159" i="35"/>
  <c r="BY159" i="35"/>
  <c r="BN159" i="35"/>
  <c r="V159" i="35"/>
  <c r="L159" i="35"/>
  <c r="BX159" i="35"/>
  <c r="AE53" i="35"/>
  <c r="AM53" i="35"/>
  <c r="AG159" i="35"/>
  <c r="BM159" i="35"/>
  <c r="W53" i="35"/>
  <c r="AQ53" i="35"/>
  <c r="CH159" i="35"/>
  <c r="CI81" i="36"/>
  <c r="CE53" i="35"/>
  <c r="CI53" i="35"/>
  <c r="I55" i="36"/>
  <c r="BK53" i="35"/>
  <c r="BG53" i="35"/>
  <c r="G38" i="36"/>
  <c r="AK159" i="35"/>
  <c r="CL51" i="36"/>
  <c r="CL52" i="36"/>
  <c r="CM101" i="35"/>
  <c r="BW101" i="35"/>
  <c r="N53" i="36"/>
  <c r="J54" i="36"/>
  <c r="BX81" i="36"/>
  <c r="CM155" i="35"/>
  <c r="CK159" i="35"/>
  <c r="CO159" i="35"/>
  <c r="CP13" i="36"/>
  <c r="CF38" i="36"/>
  <c r="BC55" i="36"/>
  <c r="CO83" i="36"/>
  <c r="CF55" i="36"/>
  <c r="CP60" i="36"/>
  <c r="CN159" i="35"/>
  <c r="BO101" i="35"/>
  <c r="BF107" i="18"/>
  <c r="BJ107" i="18"/>
  <c r="AX14" i="19"/>
  <c r="AC37" i="19"/>
  <c r="AN37" i="19"/>
  <c r="AQ37" i="19"/>
  <c r="AB37" i="19"/>
  <c r="AI37" i="19"/>
  <c r="F261" i="40"/>
  <c r="F164" i="40"/>
  <c r="K359" i="40"/>
  <c r="K164" i="40"/>
  <c r="M164" i="40" s="1"/>
  <c r="M125" i="40"/>
  <c r="F228" i="40"/>
  <c r="L293" i="40"/>
  <c r="M293" i="40" s="1"/>
  <c r="M147" i="40"/>
  <c r="K261" i="40"/>
  <c r="F326" i="40"/>
  <c r="K328" i="40" s="1"/>
  <c r="L162" i="40"/>
  <c r="N162" i="40" s="1"/>
  <c r="J563" i="26"/>
  <c r="H570" i="26"/>
  <c r="G97" i="26"/>
  <c r="I97" i="26" s="1"/>
  <c r="AL66" i="64"/>
  <c r="BP31" i="64"/>
  <c r="AT101" i="64"/>
  <c r="BF101" i="64"/>
  <c r="BJ136" i="64"/>
  <c r="T164" i="68"/>
  <c r="T103" i="68"/>
  <c r="AD31" i="64"/>
  <c r="BZ14" i="64"/>
  <c r="BA31" i="64"/>
  <c r="BJ66" i="64"/>
  <c r="BJ9" i="64"/>
  <c r="BZ29" i="64"/>
  <c r="CV14" i="68"/>
  <c r="AW31" i="64"/>
  <c r="AH101" i="64"/>
  <c r="BV29" i="64"/>
  <c r="AT19" i="64"/>
  <c r="AL101" i="64"/>
  <c r="BB9" i="64"/>
  <c r="BF19" i="64"/>
  <c r="BZ24" i="64"/>
  <c r="T150" i="68"/>
  <c r="T84" i="68"/>
  <c r="T7" i="68"/>
  <c r="BV66" i="64"/>
  <c r="BO31" i="64"/>
  <c r="BS31" i="64"/>
  <c r="T85" i="68"/>
  <c r="AL31" i="64"/>
  <c r="Z31" i="64"/>
  <c r="T8" i="68"/>
  <c r="T16" i="68"/>
  <c r="AR31" i="64"/>
  <c r="T159" i="68"/>
  <c r="BB101" i="64"/>
  <c r="AV31" i="64"/>
  <c r="BV14" i="64"/>
  <c r="CU31" i="68"/>
  <c r="BL31" i="64"/>
  <c r="BF66" i="64"/>
  <c r="AZ31" i="64"/>
  <c r="BN29" i="64"/>
  <c r="BW31" i="64"/>
  <c r="BV9" i="64"/>
  <c r="BF136" i="64"/>
  <c r="BF9" i="64"/>
  <c r="BF31" i="64" s="1"/>
  <c r="BC31" i="64"/>
  <c r="AP31" i="64"/>
  <c r="BD31" i="64"/>
  <c r="BI31" i="64"/>
  <c r="BB136" i="64"/>
  <c r="BN31" i="64"/>
  <c r="T100" i="68"/>
  <c r="T12" i="68"/>
  <c r="CV19" i="68"/>
  <c r="T162" i="68" s="1"/>
  <c r="T94" i="68"/>
  <c r="T17" i="68"/>
  <c r="T155" i="68"/>
  <c r="CV29" i="68"/>
  <c r="V213" i="34"/>
  <c r="S86" i="34"/>
  <c r="S90" i="34"/>
  <c r="U81" i="34"/>
  <c r="N238" i="34"/>
  <c r="U179" i="34"/>
  <c r="O244" i="34"/>
  <c r="O248" i="34" s="1"/>
  <c r="U248" i="34"/>
  <c r="U79" i="34"/>
  <c r="U20" i="34"/>
  <c r="U237" i="34"/>
  <c r="U82" i="34"/>
  <c r="O179" i="34"/>
  <c r="T188" i="34"/>
  <c r="T243" i="34" s="1"/>
  <c r="T248" i="34" s="1"/>
  <c r="T193" i="34"/>
  <c r="Q81" i="34"/>
  <c r="Q20" i="34"/>
  <c r="N248" i="34"/>
  <c r="Q54" i="34"/>
  <c r="R193" i="34"/>
  <c r="R196" i="34" s="1"/>
  <c r="R184" i="34"/>
  <c r="T71" i="34"/>
  <c r="T80" i="34"/>
  <c r="V205" i="34"/>
  <c r="T90" i="34"/>
  <c r="P222" i="34"/>
  <c r="P246" i="34" s="1"/>
  <c r="P228" i="34"/>
  <c r="P238" i="34" s="1"/>
  <c r="T210" i="34"/>
  <c r="T213" i="34" s="1"/>
  <c r="T201" i="34"/>
  <c r="V239" i="34"/>
  <c r="P209" i="34"/>
  <c r="O81" i="34"/>
  <c r="N230" i="34"/>
  <c r="S167" i="34"/>
  <c r="S242" i="34" s="1"/>
  <c r="S248" i="34" s="1"/>
  <c r="S177" i="34"/>
  <c r="R242" i="34"/>
  <c r="V175" i="34"/>
  <c r="V245" i="34" s="1"/>
  <c r="Q90" i="34"/>
  <c r="P245" i="34"/>
  <c r="V244" i="34"/>
  <c r="O240" i="34"/>
  <c r="V81" i="34"/>
  <c r="Q82" i="34"/>
  <c r="R85" i="34"/>
  <c r="R90" i="34" s="1"/>
  <c r="U238" i="34"/>
  <c r="N79" i="34"/>
  <c r="N82" i="34" s="1"/>
  <c r="X91" i="70"/>
  <c r="Y89" i="70"/>
  <c r="X92" i="70"/>
  <c r="X89" i="70"/>
  <c r="X90" i="70"/>
  <c r="X93" i="70"/>
  <c r="AA93" i="70" s="1"/>
  <c r="W84" i="70"/>
  <c r="W91" i="70"/>
  <c r="AA91" i="70" s="1"/>
  <c r="W90" i="70"/>
  <c r="Y93" i="70"/>
  <c r="Y84" i="70"/>
  <c r="Y92" i="70"/>
  <c r="W89" i="70"/>
  <c r="AA89" i="70" s="1"/>
  <c r="W92" i="70"/>
  <c r="X94" i="70"/>
  <c r="Y90" i="70"/>
  <c r="Z84" i="70"/>
  <c r="Z91" i="70"/>
  <c r="AP82" i="32"/>
  <c r="AP83" i="32" s="1"/>
  <c r="AL81" i="32"/>
  <c r="AL83" i="32" s="1"/>
  <c r="AH21" i="32"/>
  <c r="O55" i="32"/>
  <c r="AM80" i="32"/>
  <c r="V83" i="32"/>
  <c r="AY82" i="32"/>
  <c r="AY83" i="32" s="1"/>
  <c r="AJ82" i="32"/>
  <c r="AJ83" i="32" s="1"/>
  <c r="AE80" i="32"/>
  <c r="AG82" i="32"/>
  <c r="AG83" i="32" s="1"/>
  <c r="AW82" i="32"/>
  <c r="AW83" i="32" s="1"/>
  <c r="BB81" i="32"/>
  <c r="BB83" i="32" s="1"/>
  <c r="CP36" i="30"/>
  <c r="E78" i="30"/>
  <c r="F20" i="30"/>
  <c r="C82" i="30"/>
  <c r="C83" i="30" s="1"/>
  <c r="CK80" i="30"/>
  <c r="BN52" i="30"/>
  <c r="BL80" i="30"/>
  <c r="BL83" i="30" s="1"/>
  <c r="BJ78" i="30"/>
  <c r="CM80" i="30"/>
  <c r="R75" i="30"/>
  <c r="P78" i="30"/>
  <c r="BJ66" i="30"/>
  <c r="BJ77" i="30"/>
  <c r="BZ78" i="30"/>
  <c r="BR34" i="30"/>
  <c r="I81" i="30"/>
  <c r="I83" i="30" s="1"/>
  <c r="BQ81" i="30"/>
  <c r="BR81" i="30" s="1"/>
  <c r="CA80" i="30"/>
  <c r="CA83" i="30" s="1"/>
  <c r="P55" i="30"/>
  <c r="P81" i="30"/>
  <c r="BZ51" i="30"/>
  <c r="BR66" i="30"/>
  <c r="BR78" i="30" s="1"/>
  <c r="BR75" i="30"/>
  <c r="BM80" i="30"/>
  <c r="BM83" i="30" s="1"/>
  <c r="CP19" i="30"/>
  <c r="CP53" i="30"/>
  <c r="BN20" i="30"/>
  <c r="R78" i="30"/>
  <c r="CB81" i="30"/>
  <c r="CC80" i="30"/>
  <c r="CD80" i="30" s="1"/>
  <c r="H80" i="30"/>
  <c r="BX80" i="30"/>
  <c r="CB55" i="30"/>
  <c r="N55" i="30"/>
  <c r="BI83" i="30"/>
  <c r="BR17" i="30"/>
  <c r="BO21" i="30"/>
  <c r="BL21" i="30"/>
  <c r="BN9" i="30"/>
  <c r="BN21" i="30" s="1"/>
  <c r="CJ82" i="30"/>
  <c r="AS83" i="32"/>
  <c r="O83" i="32"/>
  <c r="BC81" i="32"/>
  <c r="C82" i="32"/>
  <c r="AV81" i="32"/>
  <c r="AV83" i="32" s="1"/>
  <c r="AR83" i="32"/>
  <c r="AU38" i="32"/>
  <c r="AU81" i="32"/>
  <c r="Z78" i="32"/>
  <c r="Z83" i="32" s="1"/>
  <c r="AM81" i="32"/>
  <c r="BE83" i="32"/>
  <c r="BF55" i="32"/>
  <c r="BA82" i="32"/>
  <c r="BA83" i="32" s="1"/>
  <c r="CP38" i="30"/>
  <c r="BF53" i="30"/>
  <c r="AQ160" i="29"/>
  <c r="CE160" i="29"/>
  <c r="CP80" i="30"/>
  <c r="R13" i="30"/>
  <c r="CD13" i="30"/>
  <c r="CN83" i="30"/>
  <c r="CP105" i="18"/>
  <c r="CP34" i="19"/>
  <c r="CP37" i="19" s="1"/>
  <c r="CO37" i="19"/>
  <c r="CP25" i="18"/>
  <c r="CP29" i="19"/>
  <c r="CP71" i="36"/>
  <c r="CP158" i="35"/>
  <c r="CQ158" i="35" s="1"/>
  <c r="CQ157" i="35"/>
  <c r="CC38" i="36"/>
  <c r="BR51" i="36"/>
  <c r="CK81" i="36"/>
  <c r="BF54" i="36"/>
  <c r="M83" i="36"/>
  <c r="CC55" i="36"/>
  <c r="BQ83" i="36"/>
  <c r="BA84" i="36"/>
  <c r="BV54" i="36"/>
  <c r="BU83" i="36"/>
  <c r="CA81" i="36"/>
  <c r="N36" i="36"/>
  <c r="BS55" i="36"/>
  <c r="N52" i="36"/>
  <c r="H83" i="36"/>
  <c r="BJ9" i="36"/>
  <c r="C82" i="36"/>
  <c r="E21" i="36"/>
  <c r="CP47" i="36"/>
  <c r="K55" i="36"/>
  <c r="CO72" i="36"/>
  <c r="BX82" i="36"/>
  <c r="BH21" i="36"/>
  <c r="BN17" i="36"/>
  <c r="CP9" i="36"/>
  <c r="AG84" i="36"/>
  <c r="BW82" i="36"/>
  <c r="Q21" i="36"/>
  <c r="R53" i="36"/>
  <c r="BZ17" i="36"/>
  <c r="R13" i="36"/>
  <c r="CL35" i="36"/>
  <c r="N26" i="36"/>
  <c r="BR68" i="36"/>
  <c r="J43" i="36"/>
  <c r="CH53" i="36"/>
  <c r="BZ30" i="36"/>
  <c r="BW38" i="36"/>
  <c r="L38" i="36"/>
  <c r="CI72" i="36"/>
  <c r="CL26" i="36"/>
  <c r="M55" i="36"/>
  <c r="N35" i="36"/>
  <c r="CN83" i="36"/>
  <c r="BN30" i="36"/>
  <c r="E83" i="36"/>
  <c r="BV68" i="36"/>
  <c r="J53" i="36"/>
  <c r="BF26" i="36"/>
  <c r="CH13" i="36"/>
  <c r="CL13" i="36"/>
  <c r="CN21" i="36"/>
  <c r="BZ37" i="36"/>
  <c r="CP18" i="36"/>
  <c r="CP34" i="36"/>
  <c r="F36" i="36"/>
  <c r="BV13" i="36"/>
  <c r="BH38" i="36"/>
  <c r="BZ47" i="36"/>
  <c r="F30" i="36"/>
  <c r="BZ26" i="36"/>
  <c r="D82" i="36"/>
  <c r="K81" i="36"/>
  <c r="R9" i="36"/>
  <c r="BF51" i="36"/>
  <c r="J34" i="36"/>
  <c r="BN37" i="36"/>
  <c r="K38" i="36"/>
  <c r="BZ9" i="36"/>
  <c r="F19" i="36"/>
  <c r="BF13" i="36"/>
  <c r="BF9" i="36"/>
  <c r="BM38" i="36"/>
  <c r="BC81" i="36"/>
  <c r="BB83" i="36"/>
  <c r="CH47" i="36"/>
  <c r="Q55" i="36"/>
  <c r="CE21" i="36"/>
  <c r="BR54" i="36"/>
  <c r="BX38" i="36"/>
  <c r="BM81" i="36"/>
  <c r="R26" i="36"/>
  <c r="BY38" i="36"/>
  <c r="BE83" i="36"/>
  <c r="CH68" i="36"/>
  <c r="O38" i="36"/>
  <c r="BZ13" i="36"/>
  <c r="BV43" i="36"/>
  <c r="BF37" i="36"/>
  <c r="CK55" i="36"/>
  <c r="CH20" i="36"/>
  <c r="BW55" i="36"/>
  <c r="CG72" i="36"/>
  <c r="D38" i="36"/>
  <c r="CH17" i="36"/>
  <c r="CD60" i="36"/>
  <c r="N34" i="36"/>
  <c r="BV37" i="36"/>
  <c r="BL83" i="36"/>
  <c r="BP55" i="36"/>
  <c r="J47" i="36"/>
  <c r="BR26" i="36"/>
  <c r="X84" i="36"/>
  <c r="BG83" i="36"/>
  <c r="R43" i="36"/>
  <c r="N30" i="36"/>
  <c r="BY72" i="36"/>
  <c r="J13" i="36"/>
  <c r="CH70" i="36"/>
  <c r="CL30" i="36"/>
  <c r="AX38" i="36"/>
  <c r="BQ55" i="36"/>
  <c r="BN47" i="36"/>
  <c r="CC83" i="36"/>
  <c r="AR84" i="36"/>
  <c r="CE83" i="36"/>
  <c r="BZ36" i="36"/>
  <c r="BC38" i="36"/>
  <c r="CB72" i="36"/>
  <c r="BP83" i="36"/>
  <c r="CC81" i="36"/>
  <c r="U84" i="36"/>
  <c r="N17" i="36"/>
  <c r="BR13" i="36"/>
  <c r="BE55" i="36"/>
  <c r="CL17" i="36"/>
  <c r="BK38" i="36"/>
  <c r="CJ38" i="36"/>
  <c r="BN43" i="36"/>
  <c r="AF84" i="36"/>
  <c r="BG38" i="36"/>
  <c r="CJ55" i="36"/>
  <c r="CD54" i="36"/>
  <c r="H55" i="36"/>
  <c r="BE21" i="36"/>
  <c r="F9" i="36"/>
  <c r="AB84" i="36"/>
  <c r="BJ13" i="36"/>
  <c r="BF34" i="36"/>
  <c r="CH36" i="36"/>
  <c r="CM81" i="36"/>
  <c r="BB81" i="36"/>
  <c r="CK82" i="36"/>
  <c r="P83" i="36"/>
  <c r="BB21" i="36"/>
  <c r="BZ43" i="36"/>
  <c r="CL36" i="36"/>
  <c r="CP51" i="36"/>
  <c r="CK21" i="36"/>
  <c r="BT82" i="36"/>
  <c r="BB82" i="36"/>
  <c r="J19" i="36"/>
  <c r="BR9" i="36"/>
  <c r="CD9" i="36"/>
  <c r="J35" i="36"/>
  <c r="CH37" i="36"/>
  <c r="AX82" i="36"/>
  <c r="R47" i="36"/>
  <c r="BS83" i="36"/>
  <c r="CD19" i="36"/>
  <c r="AX81" i="36"/>
  <c r="CM72" i="36"/>
  <c r="CE38" i="36"/>
  <c r="BJ17" i="36"/>
  <c r="N9" i="36"/>
  <c r="BD82" i="36"/>
  <c r="BV51" i="36"/>
  <c r="AA84" i="36"/>
  <c r="CF81" i="36"/>
  <c r="CL9" i="36"/>
  <c r="BU38" i="36"/>
  <c r="BR60" i="36"/>
  <c r="BF36" i="36"/>
  <c r="S84" i="36"/>
  <c r="BI82" i="36"/>
  <c r="H82" i="36"/>
  <c r="O81" i="36"/>
  <c r="BJ53" i="36"/>
  <c r="BD38" i="36"/>
  <c r="BV47" i="36"/>
  <c r="BF30" i="36"/>
  <c r="CP68" i="36"/>
  <c r="BV9" i="36"/>
  <c r="BJ54" i="36"/>
  <c r="I38" i="36"/>
  <c r="CH34" i="36"/>
  <c r="CD51" i="36"/>
  <c r="BO38" i="36"/>
  <c r="I83" i="36"/>
  <c r="J17" i="36"/>
  <c r="P21" i="36"/>
  <c r="CL60" i="36"/>
  <c r="CG83" i="36"/>
  <c r="CI82" i="36"/>
  <c r="BZ34" i="36"/>
  <c r="BJ19" i="36"/>
  <c r="AU84" i="36"/>
  <c r="BN34" i="36"/>
  <c r="J37" i="36"/>
  <c r="BJ51" i="36"/>
  <c r="BY55" i="36"/>
  <c r="CA21" i="36"/>
  <c r="BK81" i="36"/>
  <c r="CG55" i="36"/>
  <c r="CD13" i="36"/>
  <c r="N13" i="36"/>
  <c r="T84" i="36"/>
  <c r="Y84" i="36"/>
  <c r="AV84" i="36"/>
  <c r="BN52" i="36"/>
  <c r="BH83" i="36"/>
  <c r="CE82" i="36"/>
  <c r="F17" i="36"/>
  <c r="CD47" i="36"/>
  <c r="J30" i="36"/>
  <c r="CC21" i="36"/>
  <c r="V84" i="36"/>
  <c r="AQ84" i="36"/>
  <c r="AX21" i="36"/>
  <c r="BZ69" i="36"/>
  <c r="BG82" i="36"/>
  <c r="BV18" i="36"/>
  <c r="BS21" i="36"/>
  <c r="CH54" i="36"/>
  <c r="CO55" i="36"/>
  <c r="CP26" i="36"/>
  <c r="F47" i="36"/>
  <c r="W84" i="36"/>
  <c r="BY83" i="36"/>
  <c r="BF17" i="36"/>
  <c r="R17" i="36"/>
  <c r="BM21" i="36"/>
  <c r="BN9" i="36"/>
  <c r="BI55" i="36"/>
  <c r="R19" i="36"/>
  <c r="H81" i="36"/>
  <c r="H38" i="36"/>
  <c r="CH26" i="36"/>
  <c r="BJ72" i="36"/>
  <c r="M21" i="36"/>
  <c r="BN26" i="36"/>
  <c r="R34" i="36"/>
  <c r="J9" i="36"/>
  <c r="CH43" i="36"/>
  <c r="BL38" i="36"/>
  <c r="BL81" i="36"/>
  <c r="BF43" i="36"/>
  <c r="BB55" i="36"/>
  <c r="L81" i="36"/>
  <c r="BN53" i="36"/>
  <c r="BJ34" i="36"/>
  <c r="BJ47" i="36"/>
  <c r="F20" i="36"/>
  <c r="Q82" i="36"/>
  <c r="BV17" i="36"/>
  <c r="BZ52" i="36"/>
  <c r="BI72" i="36"/>
  <c r="BH82" i="36"/>
  <c r="BG55" i="36"/>
  <c r="CD20" i="36"/>
  <c r="F13" i="36"/>
  <c r="C21" i="36"/>
  <c r="BV34" i="36"/>
  <c r="C81" i="36"/>
  <c r="CA38" i="36"/>
  <c r="CA83" i="36"/>
  <c r="BQ38" i="36"/>
  <c r="BQ82" i="36"/>
  <c r="BJ26" i="36"/>
  <c r="BJ36" i="36"/>
  <c r="BO83" i="36"/>
  <c r="BR20" i="36"/>
  <c r="CD18" i="36"/>
  <c r="CB81" i="36"/>
  <c r="CB21" i="36"/>
  <c r="CL18" i="36"/>
  <c r="CJ21" i="36"/>
  <c r="CJ81" i="36"/>
  <c r="BD81" i="36"/>
  <c r="BD21" i="36"/>
  <c r="BF18" i="36"/>
  <c r="BV20" i="36"/>
  <c r="BT21" i="36"/>
  <c r="BT83" i="36"/>
  <c r="BZ68" i="36"/>
  <c r="F34" i="36"/>
  <c r="CH30" i="36"/>
  <c r="CH35" i="36"/>
  <c r="BJ37" i="36"/>
  <c r="CD17" i="36"/>
  <c r="BZ20" i="36"/>
  <c r="BW83" i="36"/>
  <c r="CL19" i="36"/>
  <c r="CI21" i="36"/>
  <c r="BZ18" i="36"/>
  <c r="BW21" i="36"/>
  <c r="BW81" i="36"/>
  <c r="BF53" i="36"/>
  <c r="BD55" i="36"/>
  <c r="BV53" i="36"/>
  <c r="BH72" i="36"/>
  <c r="AI84" i="36"/>
  <c r="F37" i="36"/>
  <c r="C38" i="36"/>
  <c r="C83" i="36"/>
  <c r="E38" i="36"/>
  <c r="F35" i="36"/>
  <c r="E81" i="36"/>
  <c r="BV30" i="36"/>
  <c r="BV35" i="36"/>
  <c r="Q81" i="36"/>
  <c r="Q38" i="36"/>
  <c r="BQ21" i="36"/>
  <c r="BQ81" i="36"/>
  <c r="O21" i="36"/>
  <c r="R18" i="36"/>
  <c r="BC82" i="36"/>
  <c r="BF19" i="36"/>
  <c r="BC21" i="36"/>
  <c r="L21" i="36"/>
  <c r="N18" i="36"/>
  <c r="BZ54" i="36"/>
  <c r="BX55" i="36"/>
  <c r="BX83" i="36"/>
  <c r="CD53" i="36"/>
  <c r="CA55" i="36"/>
  <c r="BR37" i="36"/>
  <c r="CJ82" i="36"/>
  <c r="CD34" i="36"/>
  <c r="CD35" i="36"/>
  <c r="CD36" i="36"/>
  <c r="CD30" i="36"/>
  <c r="P38" i="36"/>
  <c r="P82" i="36"/>
  <c r="BT38" i="36"/>
  <c r="BT81" i="36"/>
  <c r="J26" i="36"/>
  <c r="D21" i="36"/>
  <c r="F18" i="36"/>
  <c r="BJ20" i="36"/>
  <c r="BI83" i="36"/>
  <c r="BI21" i="36"/>
  <c r="CH19" i="36"/>
  <c r="CF82" i="36"/>
  <c r="CF21" i="36"/>
  <c r="I21" i="36"/>
  <c r="J18" i="36"/>
  <c r="I81" i="36"/>
  <c r="BZ53" i="36"/>
  <c r="BY82" i="36"/>
  <c r="L55" i="36"/>
  <c r="N54" i="36"/>
  <c r="BV52" i="36"/>
  <c r="BT55" i="36"/>
  <c r="BE82" i="36"/>
  <c r="AX55" i="36"/>
  <c r="AZ84" i="36"/>
  <c r="BE38" i="36"/>
  <c r="BV60" i="36"/>
  <c r="CB82" i="36"/>
  <c r="CB38" i="36"/>
  <c r="R37" i="36"/>
  <c r="CC82" i="36"/>
  <c r="G82" i="36"/>
  <c r="J36" i="36"/>
  <c r="BF20" i="36"/>
  <c r="BD83" i="36"/>
  <c r="BR17" i="36"/>
  <c r="BX21" i="36"/>
  <c r="BZ19" i="36"/>
  <c r="BY21" i="36"/>
  <c r="BY81" i="36"/>
  <c r="Q83" i="36"/>
  <c r="R20" i="36"/>
  <c r="CH9" i="36"/>
  <c r="BP38" i="36"/>
  <c r="N47" i="36"/>
  <c r="BT72" i="36"/>
  <c r="BV70" i="36"/>
  <c r="BS72" i="36"/>
  <c r="BR70" i="36"/>
  <c r="BR72" i="36" s="1"/>
  <c r="BQ72" i="36"/>
  <c r="CK83" i="36"/>
  <c r="CK38" i="36"/>
  <c r="BS81" i="36"/>
  <c r="BS38" i="36"/>
  <c r="R30" i="36"/>
  <c r="BJ30" i="36"/>
  <c r="BJ35" i="36"/>
  <c r="CD37" i="36"/>
  <c r="CD26" i="36"/>
  <c r="BV26" i="36"/>
  <c r="BV36" i="36"/>
  <c r="CJ83" i="36"/>
  <c r="CL20" i="36"/>
  <c r="BN20" i="36"/>
  <c r="BL21" i="36"/>
  <c r="K82" i="36"/>
  <c r="K21" i="36"/>
  <c r="N19" i="36"/>
  <c r="BO81" i="36"/>
  <c r="BR18" i="36"/>
  <c r="BO21" i="36"/>
  <c r="BU82" i="36"/>
  <c r="BU21" i="36"/>
  <c r="BV19" i="36"/>
  <c r="CG21" i="36"/>
  <c r="CH18" i="36"/>
  <c r="CG81" i="36"/>
  <c r="BS82" i="36"/>
  <c r="BM83" i="36"/>
  <c r="BN54" i="36"/>
  <c r="D81" i="36"/>
  <c r="F52" i="36"/>
  <c r="BJ43" i="36"/>
  <c r="AS84" i="36"/>
  <c r="AX83" i="36"/>
  <c r="CP43" i="36"/>
  <c r="BZ71" i="36"/>
  <c r="BW72" i="36"/>
  <c r="CL34" i="36"/>
  <c r="CL37" i="36"/>
  <c r="O82" i="36"/>
  <c r="R36" i="36"/>
  <c r="CB83" i="36"/>
  <c r="BP82" i="36"/>
  <c r="BR19" i="36"/>
  <c r="BP21" i="36"/>
  <c r="BN13" i="36"/>
  <c r="BK82" i="36"/>
  <c r="BN19" i="36"/>
  <c r="BK21" i="36"/>
  <c r="H21" i="36"/>
  <c r="BO55" i="36"/>
  <c r="BR53" i="36"/>
  <c r="BO82" i="36"/>
  <c r="CD52" i="36"/>
  <c r="CB55" i="36"/>
  <c r="BR52" i="36"/>
  <c r="BN71" i="36"/>
  <c r="BK72" i="36"/>
  <c r="BK83" i="36"/>
  <c r="CK72" i="36"/>
  <c r="CL70" i="36"/>
  <c r="M38" i="36"/>
  <c r="N37" i="36"/>
  <c r="BR34" i="36"/>
  <c r="BR36" i="36"/>
  <c r="BI81" i="36"/>
  <c r="BI38" i="36"/>
  <c r="L83" i="36"/>
  <c r="N20" i="36"/>
  <c r="BJ18" i="36"/>
  <c r="BG21" i="36"/>
  <c r="BG81" i="36"/>
  <c r="G83" i="36"/>
  <c r="G21" i="36"/>
  <c r="J20" i="36"/>
  <c r="CL53" i="36"/>
  <c r="CI83" i="36"/>
  <c r="CI55" i="36"/>
  <c r="CL54" i="36"/>
  <c r="BR47" i="36"/>
  <c r="AU144" i="35"/>
  <c r="CA144" i="35"/>
  <c r="CQ144" i="35"/>
  <c r="AA101" i="35"/>
  <c r="BB32" i="38"/>
  <c r="AH19" i="38"/>
  <c r="AP19" i="38"/>
  <c r="BB29" i="38"/>
  <c r="F27" i="38"/>
  <c r="AL14" i="38"/>
  <c r="AW35" i="38"/>
  <c r="AH27" i="38"/>
  <c r="N29" i="38"/>
  <c r="AD32" i="38"/>
  <c r="AP27" i="38"/>
  <c r="AX32" i="38"/>
  <c r="P35" i="38"/>
  <c r="AN35" i="38"/>
  <c r="BB31" i="38"/>
  <c r="AM35" i="38"/>
  <c r="V32" i="38"/>
  <c r="V19" i="38"/>
  <c r="BB19" i="38"/>
  <c r="H35" i="38"/>
  <c r="AX19" i="38"/>
  <c r="D35" i="38"/>
  <c r="AH9" i="38"/>
  <c r="AP30" i="38"/>
  <c r="AP35" i="38" s="1"/>
  <c r="AH30" i="38"/>
  <c r="AH35" i="38" s="1"/>
  <c r="AB35" i="38"/>
  <c r="AT30" i="38"/>
  <c r="AT35" i="38" s="1"/>
  <c r="AL27" i="38"/>
  <c r="R27" i="38"/>
  <c r="T35" i="38"/>
  <c r="V29" i="38"/>
  <c r="Z27" i="38"/>
  <c r="AL30" i="38"/>
  <c r="AL35" i="38" s="1"/>
  <c r="AD30" i="38"/>
  <c r="AD35" i="38" s="1"/>
  <c r="F19" i="38"/>
  <c r="Q35" i="38"/>
  <c r="N31" i="38"/>
  <c r="J9" i="38"/>
  <c r="AT14" i="38"/>
  <c r="L35" i="38"/>
  <c r="V9" i="38"/>
  <c r="AX30" i="38"/>
  <c r="Z30" i="38"/>
  <c r="Z35" i="38" s="1"/>
  <c r="AP9" i="38"/>
  <c r="V30" i="38"/>
  <c r="Z9" i="38"/>
  <c r="J32" i="38"/>
  <c r="N30" i="38"/>
  <c r="F32" i="38"/>
  <c r="AD9" i="38"/>
  <c r="F30" i="38"/>
  <c r="R30" i="38"/>
  <c r="N19" i="38"/>
  <c r="AT19" i="38"/>
  <c r="R19" i="38"/>
  <c r="AT9" i="38"/>
  <c r="K35" i="38"/>
  <c r="E35" i="38"/>
  <c r="AF35" i="38"/>
  <c r="J19" i="38"/>
  <c r="J30" i="38"/>
  <c r="R9" i="38"/>
  <c r="R29" i="38"/>
  <c r="AD14" i="38"/>
  <c r="F29" i="38"/>
  <c r="F9" i="38"/>
  <c r="AL9" i="38"/>
  <c r="AU35" i="38"/>
  <c r="AD19" i="38"/>
  <c r="AV35" i="38"/>
  <c r="AX29" i="38"/>
  <c r="AJ35" i="38"/>
  <c r="BB30" i="38"/>
  <c r="AZ35" i="38"/>
  <c r="BF9" i="4"/>
  <c r="BC9" i="4"/>
  <c r="AZ56" i="3"/>
  <c r="H108" i="3"/>
  <c r="X108" i="3"/>
  <c r="AM37" i="4"/>
  <c r="AN32" i="4"/>
  <c r="AN37" i="4" s="1"/>
  <c r="Y56" i="3"/>
  <c r="Y78" i="3"/>
  <c r="BB108" i="3"/>
  <c r="AQ56" i="3"/>
  <c r="BF108" i="3"/>
  <c r="AN9" i="4"/>
  <c r="AO37" i="4"/>
  <c r="AH108" i="3"/>
  <c r="T108" i="3"/>
  <c r="P108" i="3"/>
  <c r="AK25" i="3"/>
  <c r="D248" i="34"/>
  <c r="E34" i="66"/>
  <c r="E38" i="66"/>
  <c r="E33" i="66"/>
  <c r="E37" i="66"/>
  <c r="E35" i="66"/>
  <c r="E36" i="66"/>
  <c r="O90" i="34"/>
  <c r="AX109" i="6"/>
  <c r="AA84" i="70"/>
  <c r="CP107" i="18"/>
  <c r="CL107" i="18"/>
  <c r="K65" i="45"/>
  <c r="AA106" i="46"/>
  <c r="AC106" i="46" s="1"/>
  <c r="BA147" i="65"/>
  <c r="K21" i="45"/>
  <c r="AQ83" i="32"/>
  <c r="CS9" i="68"/>
  <c r="BZ66" i="64"/>
  <c r="V37" i="34"/>
  <c r="CN72" i="36"/>
  <c r="CP70" i="36"/>
  <c r="V85" i="34"/>
  <c r="BG19" i="7"/>
  <c r="BA144" i="65"/>
  <c r="CO78" i="30"/>
  <c r="CO82" i="30"/>
  <c r="CO83" i="30" s="1"/>
  <c r="P36" i="66"/>
  <c r="P33" i="66"/>
  <c r="P34" i="66"/>
  <c r="P35" i="66"/>
  <c r="P38" i="66"/>
  <c r="P37" i="66"/>
  <c r="M40" i="78"/>
  <c r="M35" i="78"/>
  <c r="M36" i="78"/>
  <c r="M37" i="78"/>
  <c r="M38" i="78"/>
  <c r="CM82" i="30"/>
  <c r="CP82" i="30" s="1"/>
  <c r="CP81" i="30"/>
  <c r="T38" i="66"/>
  <c r="T33" i="66"/>
  <c r="T34" i="66"/>
  <c r="T36" i="66"/>
  <c r="T35" i="66"/>
  <c r="T37" i="66"/>
  <c r="AL37" i="73"/>
  <c r="CH52" i="36"/>
  <c r="CE55" i="36"/>
  <c r="CE81" i="36"/>
  <c r="BK144" i="35"/>
  <c r="W101" i="35"/>
  <c r="BB82" i="30"/>
  <c r="BB55" i="30"/>
  <c r="C81" i="32"/>
  <c r="C55" i="32"/>
  <c r="AR78" i="32"/>
  <c r="Q37" i="34"/>
  <c r="CI38" i="36"/>
  <c r="BV54" i="30"/>
  <c r="BV55" i="30" s="1"/>
  <c r="L37" i="19"/>
  <c r="R77" i="30"/>
  <c r="K238" i="34"/>
  <c r="W94" i="6"/>
  <c r="W109" i="6" s="1"/>
  <c r="AX37" i="4"/>
  <c r="AW93" i="3"/>
  <c r="AZ25" i="3"/>
  <c r="F108" i="3"/>
  <c r="AH37" i="11"/>
  <c r="Q88" i="57"/>
  <c r="U108" i="44"/>
  <c r="O106" i="46"/>
  <c r="Q106" i="46" s="1"/>
  <c r="U39" i="66"/>
  <c r="V84" i="70"/>
  <c r="AX31" i="64"/>
  <c r="L108" i="44"/>
  <c r="F248" i="34"/>
  <c r="BS160" i="29"/>
  <c r="E37" i="19"/>
  <c r="BD33" i="7"/>
  <c r="CO21" i="36"/>
  <c r="CP19" i="36"/>
  <c r="CO82" i="36"/>
  <c r="BZ37" i="73"/>
  <c r="V80" i="34"/>
  <c r="AC17" i="81"/>
  <c r="AC22" i="81" s="1"/>
  <c r="K55" i="81"/>
  <c r="F84" i="70"/>
  <c r="CP54" i="30"/>
  <c r="CM55" i="30"/>
  <c r="AT66" i="64"/>
  <c r="G81" i="36"/>
  <c r="J52" i="36"/>
  <c r="G55" i="36"/>
  <c r="BS101" i="35"/>
  <c r="T108" i="42"/>
  <c r="BG160" i="29"/>
  <c r="Q238" i="34"/>
  <c r="Q179" i="34"/>
  <c r="G80" i="32"/>
  <c r="G83" i="32" s="1"/>
  <c r="G78" i="32"/>
  <c r="M179" i="34"/>
  <c r="M239" i="34"/>
  <c r="CL81" i="30"/>
  <c r="N196" i="34"/>
  <c r="N239" i="34"/>
  <c r="AY55" i="32"/>
  <c r="V102" i="53"/>
  <c r="W102" i="53" s="1"/>
  <c r="F81" i="32"/>
  <c r="F83" i="32" s="1"/>
  <c r="I429" i="26"/>
  <c r="K429" i="26" s="1"/>
  <c r="J429" i="26"/>
  <c r="AJ37" i="19"/>
  <c r="AK56" i="3"/>
  <c r="AK108" i="3" s="1"/>
  <c r="CH37" i="19"/>
  <c r="AD37" i="7"/>
  <c r="T78" i="44"/>
  <c r="N57" i="47"/>
  <c r="AM83" i="32"/>
  <c r="AW108" i="3"/>
  <c r="BA142" i="65"/>
  <c r="V87" i="34"/>
  <c r="BG38" i="32"/>
  <c r="BG80" i="32"/>
  <c r="BG83" i="32" s="1"/>
  <c r="T35" i="78"/>
  <c r="T38" i="78"/>
  <c r="T40" i="78"/>
  <c r="T36" i="78"/>
  <c r="T39" i="78"/>
  <c r="G41" i="78"/>
  <c r="AC143" i="65"/>
  <c r="M230" i="34"/>
  <c r="M237" i="34"/>
  <c r="BS144" i="35"/>
  <c r="CD70" i="36"/>
  <c r="CA82" i="36"/>
  <c r="CA72" i="36"/>
  <c r="G196" i="34"/>
  <c r="G237" i="34"/>
  <c r="G240" i="34" s="1"/>
  <c r="K213" i="34"/>
  <c r="T81" i="34"/>
  <c r="T82" i="34" s="1"/>
  <c r="T37" i="34"/>
  <c r="AP38" i="32"/>
  <c r="CI38" i="30"/>
  <c r="CL38" i="30" s="1"/>
  <c r="P108" i="52"/>
  <c r="Q108" i="52" s="1"/>
  <c r="AS107" i="18"/>
  <c r="AT107" i="18" s="1"/>
  <c r="AT40" i="18"/>
  <c r="K109" i="6"/>
  <c r="AP37" i="11"/>
  <c r="AR31" i="11"/>
  <c r="AT37" i="7"/>
  <c r="AZ78" i="3"/>
  <c r="AR108" i="3"/>
  <c r="AH33" i="19"/>
  <c r="K263" i="40"/>
  <c r="G192" i="80"/>
  <c r="M108" i="48"/>
  <c r="N108" i="48" s="1"/>
  <c r="BV81" i="30"/>
  <c r="BK160" i="29"/>
  <c r="AZ37" i="4"/>
  <c r="AU37" i="7"/>
  <c r="CP53" i="36"/>
  <c r="CM55" i="36"/>
  <c r="CM82" i="36"/>
  <c r="CM38" i="36"/>
  <c r="CP9" i="19"/>
  <c r="V38" i="72"/>
  <c r="N39" i="78"/>
  <c r="H30" i="66"/>
  <c r="H36" i="66" s="1"/>
  <c r="H34" i="66"/>
  <c r="CP51" i="30"/>
  <c r="N65" i="54"/>
  <c r="M101" i="54"/>
  <c r="N101" i="54" s="1"/>
  <c r="E24" i="60"/>
  <c r="AM144" i="35"/>
  <c r="BO144" i="35"/>
  <c r="I102" i="53"/>
  <c r="AT108" i="42"/>
  <c r="J80" i="32"/>
  <c r="J83" i="32" s="1"/>
  <c r="J55" i="32"/>
  <c r="CH9" i="30"/>
  <c r="CE21" i="30"/>
  <c r="I238" i="34"/>
  <c r="I240" i="34" s="1"/>
  <c r="I179" i="34"/>
  <c r="D239" i="34"/>
  <c r="D213" i="34"/>
  <c r="AA55" i="32"/>
  <c r="BC82" i="32"/>
  <c r="BC83" i="32" s="1"/>
  <c r="BZ81" i="30"/>
  <c r="BX83" i="30"/>
  <c r="BZ29" i="19"/>
  <c r="BZ32" i="19"/>
  <c r="BZ37" i="19" s="1"/>
  <c r="S108" i="10"/>
  <c r="AH37" i="7"/>
  <c r="AI33" i="7"/>
  <c r="AF37" i="8"/>
  <c r="AE29" i="4"/>
  <c r="AE25" i="3"/>
  <c r="AE108" i="3" s="1"/>
  <c r="BD33" i="11"/>
  <c r="BD37" i="11" s="1"/>
  <c r="AW31" i="4"/>
  <c r="AU37" i="4"/>
  <c r="AT24" i="64"/>
  <c r="K248" i="34"/>
  <c r="AU160" i="29"/>
  <c r="BA109" i="6"/>
  <c r="AC109" i="6"/>
  <c r="BA119" i="65"/>
  <c r="BA129" i="65"/>
  <c r="AH37" i="73"/>
  <c r="CO21" i="30"/>
  <c r="CP13" i="30"/>
  <c r="CP17" i="30"/>
  <c r="S36" i="66"/>
  <c r="S35" i="66"/>
  <c r="S34" i="66"/>
  <c r="S38" i="66"/>
  <c r="S37" i="66"/>
  <c r="S33" i="66"/>
  <c r="W142" i="65"/>
  <c r="U147" i="65"/>
  <c r="W147" i="65" s="1"/>
  <c r="AR144" i="65"/>
  <c r="AQ147" i="65"/>
  <c r="AR147" i="65" s="1"/>
  <c r="AV147" i="65"/>
  <c r="AX143" i="65"/>
  <c r="E40" i="60"/>
  <c r="AX101" i="64"/>
  <c r="BM72" i="36"/>
  <c r="BN70" i="36"/>
  <c r="BJ52" i="36"/>
  <c r="BH81" i="36"/>
  <c r="BH55" i="36"/>
  <c r="J245" i="34"/>
  <c r="J248" i="34" s="1"/>
  <c r="BY55" i="30"/>
  <c r="BY80" i="30"/>
  <c r="CC78" i="30"/>
  <c r="BE81" i="30"/>
  <c r="BE83" i="30" s="1"/>
  <c r="AI32" i="7"/>
  <c r="AI37" i="7" s="1"/>
  <c r="AG37" i="7"/>
  <c r="C108" i="12"/>
  <c r="V108" i="3"/>
  <c r="AB56" i="3"/>
  <c r="CL14" i="19"/>
  <c r="AF33" i="7"/>
  <c r="AF37" i="7" s="1"/>
  <c r="AR75" i="65"/>
  <c r="T40" i="60"/>
  <c r="AE37" i="4"/>
  <c r="CP52" i="36"/>
  <c r="CN81" i="36"/>
  <c r="CN55" i="36"/>
  <c r="CN82" i="36"/>
  <c r="CN38" i="36"/>
  <c r="CP20" i="36"/>
  <c r="CM83" i="36"/>
  <c r="U37" i="17"/>
  <c r="CO81" i="36"/>
  <c r="CM21" i="36"/>
  <c r="CP66" i="30"/>
  <c r="CP78" i="30" s="1"/>
  <c r="CP77" i="30"/>
  <c r="P32" i="79"/>
  <c r="AF142" i="65"/>
  <c r="AD147" i="65"/>
  <c r="AF147" i="65" s="1"/>
  <c r="AI142" i="65"/>
  <c r="AG147" i="65"/>
  <c r="AI147" i="65" s="1"/>
  <c r="T100" i="53"/>
  <c r="R102" i="53"/>
  <c r="T102" i="53" s="1"/>
  <c r="S109" i="56"/>
  <c r="CH71" i="36"/>
  <c r="CF83" i="36"/>
  <c r="AI144" i="65"/>
  <c r="O101" i="35"/>
  <c r="K106" i="52"/>
  <c r="K108" i="52" s="1"/>
  <c r="R52" i="36"/>
  <c r="P55" i="36"/>
  <c r="P81" i="36"/>
  <c r="CJ80" i="30"/>
  <c r="CJ83" i="30" s="1"/>
  <c r="CL52" i="30"/>
  <c r="CL55" i="30" s="1"/>
  <c r="CJ55" i="30"/>
  <c r="J213" i="34"/>
  <c r="J238" i="34"/>
  <c r="J240" i="34" s="1"/>
  <c r="Q55" i="32"/>
  <c r="Q82" i="32"/>
  <c r="Q83" i="32" s="1"/>
  <c r="K237" i="34"/>
  <c r="K240" i="34" s="1"/>
  <c r="K179" i="34"/>
  <c r="L78" i="32"/>
  <c r="L81" i="32"/>
  <c r="L83" i="32" s="1"/>
  <c r="CD81" i="30"/>
  <c r="BZ52" i="30"/>
  <c r="BZ55" i="30" s="1"/>
  <c r="BH81" i="30"/>
  <c r="BM82" i="36"/>
  <c r="CD78" i="30"/>
  <c r="CF72" i="36"/>
  <c r="AX19" i="7"/>
  <c r="BN36" i="19"/>
  <c r="BN14" i="19"/>
  <c r="AI108" i="12"/>
  <c r="AA108" i="10"/>
  <c r="M109" i="6"/>
  <c r="AF25" i="10"/>
  <c r="AF108" i="10" s="1"/>
  <c r="AR32" i="11"/>
  <c r="AF24" i="4"/>
  <c r="AF32" i="4"/>
  <c r="AF37" i="4" s="1"/>
  <c r="F28" i="62"/>
  <c r="BG24" i="7"/>
  <c r="AX107" i="18"/>
  <c r="AN108" i="3"/>
  <c r="AF109" i="6"/>
  <c r="AH37" i="19"/>
  <c r="V79" i="34"/>
  <c r="V82" i="34" s="1"/>
  <c r="V54" i="34"/>
  <c r="CP9" i="30"/>
  <c r="CM21" i="30"/>
  <c r="D30" i="66"/>
  <c r="D36" i="66" s="1"/>
  <c r="N40" i="78"/>
  <c r="N36" i="78"/>
  <c r="AK147" i="65"/>
  <c r="AL147" i="65" s="1"/>
  <c r="AL143" i="65"/>
  <c r="Q65" i="54"/>
  <c r="O101" i="54"/>
  <c r="Q101" i="54" s="1"/>
  <c r="S101" i="35"/>
  <c r="AY160" i="29"/>
  <c r="I55" i="32"/>
  <c r="I81" i="32"/>
  <c r="I83" i="32" s="1"/>
  <c r="D78" i="32"/>
  <c r="D81" i="32"/>
  <c r="D83" i="32" s="1"/>
  <c r="AE82" i="32"/>
  <c r="AE83" i="32" s="1"/>
  <c r="AK82" i="32"/>
  <c r="AK83" i="32" s="1"/>
  <c r="U213" i="34"/>
  <c r="N81" i="32"/>
  <c r="N83" i="32" s="1"/>
  <c r="P80" i="32"/>
  <c r="P83" i="32" s="1"/>
  <c r="M107" i="16"/>
  <c r="AY109" i="6"/>
  <c r="AR24" i="4"/>
  <c r="AR33" i="4"/>
  <c r="AT33" i="4" s="1"/>
  <c r="AT37" i="4" s="1"/>
  <c r="AT23" i="4"/>
  <c r="AT24" i="4" s="1"/>
  <c r="AB78" i="3"/>
  <c r="AB108" i="3" s="1"/>
  <c r="AW32" i="4"/>
  <c r="BN40" i="18"/>
  <c r="I269" i="26"/>
  <c r="K269" i="26" s="1"/>
  <c r="J409" i="26"/>
  <c r="BB9" i="38"/>
  <c r="AY35" i="38"/>
  <c r="H103" i="62"/>
  <c r="AX37" i="73"/>
  <c r="BW160" i="29"/>
  <c r="AR37" i="13"/>
  <c r="CP36" i="36"/>
  <c r="BZ136" i="64"/>
  <c r="D39" i="78"/>
  <c r="D37" i="78"/>
  <c r="D40" i="78"/>
  <c r="D35" i="78"/>
  <c r="D38" i="78"/>
  <c r="CP55" i="30"/>
  <c r="N37" i="78"/>
  <c r="F30" i="66"/>
  <c r="F35" i="66" s="1"/>
  <c r="R107" i="56"/>
  <c r="R109" i="56" s="1"/>
  <c r="F53" i="36"/>
  <c r="E55" i="36"/>
  <c r="E82" i="36"/>
  <c r="CA101" i="35"/>
  <c r="BG101" i="35"/>
  <c r="O54" i="34"/>
  <c r="O80" i="34"/>
  <c r="F196" i="34"/>
  <c r="F239" i="34"/>
  <c r="F240" i="34" s="1"/>
  <c r="S20" i="34"/>
  <c r="S81" i="34"/>
  <c r="S82" i="34" s="1"/>
  <c r="Q205" i="34"/>
  <c r="Q244" i="34" s="1"/>
  <c r="Q248" i="34" s="1"/>
  <c r="BS78" i="30"/>
  <c r="U229" i="34"/>
  <c r="AL37" i="20"/>
  <c r="CG82" i="30"/>
  <c r="W108" i="12"/>
  <c r="BK107" i="18"/>
  <c r="BD34" i="7"/>
  <c r="N54" i="34"/>
  <c r="AL108" i="12"/>
  <c r="AU37" i="5"/>
  <c r="AC37" i="4"/>
  <c r="S37" i="17"/>
  <c r="AA109" i="6"/>
  <c r="AQ25" i="3"/>
  <c r="AQ108" i="3" s="1"/>
  <c r="BC108" i="3"/>
  <c r="AG108" i="3"/>
  <c r="W78" i="44"/>
  <c r="M106" i="46"/>
  <c r="F38" i="62"/>
  <c r="V196" i="34"/>
  <c r="V237" i="34"/>
  <c r="BD37" i="4"/>
  <c r="BF31" i="4"/>
  <c r="BF37" i="4" s="1"/>
  <c r="R39" i="66"/>
  <c r="D196" i="34"/>
  <c r="D238" i="34"/>
  <c r="D240" i="34" s="1"/>
  <c r="M55" i="32"/>
  <c r="M80" i="32"/>
  <c r="M83" i="32" s="1"/>
  <c r="P85" i="34"/>
  <c r="P90" i="34" s="1"/>
  <c r="G21" i="30"/>
  <c r="J18" i="30"/>
  <c r="G80" i="30"/>
  <c r="CB83" i="30"/>
  <c r="CD82" i="30"/>
  <c r="CK83" i="30"/>
  <c r="CL82" i="30"/>
  <c r="CJ21" i="30"/>
  <c r="CL13" i="30"/>
  <c r="D21" i="30"/>
  <c r="D80" i="30"/>
  <c r="F18" i="30"/>
  <c r="CI160" i="29"/>
  <c r="BT80" i="30"/>
  <c r="BT83" i="30" s="1"/>
  <c r="BT78" i="30"/>
  <c r="AX105" i="18"/>
  <c r="Z82" i="45"/>
  <c r="J122" i="49"/>
  <c r="H69" i="55"/>
  <c r="G65" i="26"/>
  <c r="I65" i="26" s="1"/>
  <c r="V243" i="34"/>
  <c r="V242" i="34"/>
  <c r="CP24" i="19"/>
  <c r="AP37" i="73"/>
  <c r="BN37" i="73"/>
  <c r="Q41" i="78"/>
  <c r="T84" i="70"/>
  <c r="AW147" i="65"/>
  <c r="AX147" i="65" s="1"/>
  <c r="AX142" i="65"/>
  <c r="AI75" i="65"/>
  <c r="C39" i="66"/>
  <c r="E39" i="66"/>
  <c r="BR9" i="64"/>
  <c r="BG31" i="64"/>
  <c r="AJ84" i="36"/>
  <c r="R209" i="34"/>
  <c r="R245" i="34" s="1"/>
  <c r="R211" i="34"/>
  <c r="R213" i="34" s="1"/>
  <c r="Q239" i="34"/>
  <c r="Q240" i="34" s="1"/>
  <c r="AF78" i="32"/>
  <c r="BC83" i="30"/>
  <c r="BT21" i="30"/>
  <c r="BV9" i="30"/>
  <c r="R17" i="30"/>
  <c r="CC159" i="35"/>
  <c r="CE144" i="35"/>
  <c r="D81" i="30"/>
  <c r="F76" i="30"/>
  <c r="D78" i="30"/>
  <c r="F78" i="30" s="1"/>
  <c r="CL18" i="30"/>
  <c r="G55" i="32"/>
  <c r="BA33" i="11"/>
  <c r="BA37" i="11" s="1"/>
  <c r="AY37" i="11"/>
  <c r="AR31" i="7"/>
  <c r="AQ37" i="7"/>
  <c r="Q213" i="34"/>
  <c r="BF37" i="19"/>
  <c r="BC37" i="4"/>
  <c r="AH106" i="46"/>
  <c r="AF93" i="46"/>
  <c r="K70" i="50"/>
  <c r="K99" i="50" s="1"/>
  <c r="T67" i="55"/>
  <c r="CT24" i="68"/>
  <c r="BZ101" i="64"/>
  <c r="T149" i="68"/>
  <c r="T6" i="68"/>
  <c r="T83" i="68"/>
  <c r="T105" i="68"/>
  <c r="T28" i="68"/>
  <c r="T166" i="68"/>
  <c r="T156" i="68"/>
  <c r="T13" i="68"/>
  <c r="T90" i="68"/>
  <c r="V179" i="34"/>
  <c r="V238" i="34"/>
  <c r="BF24" i="4"/>
  <c r="AU142" i="65"/>
  <c r="AT147" i="65"/>
  <c r="AU147" i="65" s="1"/>
  <c r="G30" i="66"/>
  <c r="G36" i="66"/>
  <c r="AP66" i="64"/>
  <c r="BQ31" i="64"/>
  <c r="BB31" i="64"/>
  <c r="AS31" i="64"/>
  <c r="BJ31" i="64"/>
  <c r="AQ19" i="43"/>
  <c r="AQ32" i="43"/>
  <c r="AQ37" i="43" s="1"/>
  <c r="L196" i="34"/>
  <c r="L237" i="34"/>
  <c r="L240" i="34" s="1"/>
  <c r="R54" i="34"/>
  <c r="R80" i="34"/>
  <c r="R82" i="34" s="1"/>
  <c r="BK55" i="30"/>
  <c r="BK82" i="30"/>
  <c r="BN82" i="30" s="1"/>
  <c r="BN54" i="30"/>
  <c r="BN55" i="30" s="1"/>
  <c r="P229" i="34"/>
  <c r="P218" i="34"/>
  <c r="P243" i="34" s="1"/>
  <c r="P248" i="34" s="1"/>
  <c r="BD82" i="32"/>
  <c r="BD83" i="32" s="1"/>
  <c r="Y35" i="38"/>
  <c r="E81" i="30"/>
  <c r="E55" i="30"/>
  <c r="F53" i="30"/>
  <c r="CE38" i="30"/>
  <c r="CH38" i="30" s="1"/>
  <c r="CE81" i="30"/>
  <c r="BU83" i="30"/>
  <c r="BD82" i="30"/>
  <c r="BF54" i="30"/>
  <c r="BF55" i="30" s="1"/>
  <c r="BD55" i="30"/>
  <c r="AX83" i="30"/>
  <c r="BN75" i="30"/>
  <c r="BN66" i="30"/>
  <c r="BN78" i="30" s="1"/>
  <c r="CI21" i="30"/>
  <c r="CL9" i="30"/>
  <c r="AE160" i="29"/>
  <c r="AT32" i="19"/>
  <c r="AT37" i="19" s="1"/>
  <c r="AK37" i="4"/>
  <c r="BA37" i="4"/>
  <c r="J224" i="26"/>
  <c r="W56" i="44"/>
  <c r="BG33" i="7"/>
  <c r="BF37" i="7"/>
  <c r="S41" i="78"/>
  <c r="P41" i="78"/>
  <c r="Z142" i="65"/>
  <c r="Y147" i="65"/>
  <c r="Z147" i="65" s="1"/>
  <c r="T142" i="65"/>
  <c r="R147" i="65"/>
  <c r="T147" i="65" s="1"/>
  <c r="O41" i="78"/>
  <c r="E143" i="65"/>
  <c r="E147" i="65" s="1"/>
  <c r="E129" i="65"/>
  <c r="E34" i="67"/>
  <c r="T25" i="52"/>
  <c r="S108" i="52"/>
  <c r="T108" i="52" s="1"/>
  <c r="BJ53" i="30"/>
  <c r="BJ55" i="30" s="1"/>
  <c r="BG81" i="30"/>
  <c r="BG55" i="30"/>
  <c r="Q21" i="30"/>
  <c r="Q80" i="30"/>
  <c r="CH17" i="30"/>
  <c r="CH21" i="30" s="1"/>
  <c r="CF21" i="30"/>
  <c r="O82" i="30"/>
  <c r="O55" i="30"/>
  <c r="R54" i="30"/>
  <c r="CI101" i="35"/>
  <c r="CG159" i="35"/>
  <c r="Q55" i="30"/>
  <c r="R53" i="30"/>
  <c r="BP83" i="30"/>
  <c r="BR80" i="30"/>
  <c r="BR83" i="30" s="1"/>
  <c r="CI83" i="30"/>
  <c r="CL80" i="30"/>
  <c r="CL83" i="30" s="1"/>
  <c r="CE155" i="35"/>
  <c r="BA34" i="7"/>
  <c r="BA37" i="7" s="1"/>
  <c r="AY37" i="7"/>
  <c r="AH31" i="4"/>
  <c r="AG37" i="4"/>
  <c r="AW37" i="7"/>
  <c r="BQ83" i="30"/>
  <c r="AC145" i="65"/>
  <c r="AA147" i="65"/>
  <c r="AC147" i="65" s="1"/>
  <c r="K129" i="65"/>
  <c r="E85" i="34"/>
  <c r="E90" i="34" s="1"/>
  <c r="L85" i="34"/>
  <c r="L90" i="34" s="1"/>
  <c r="H78" i="32"/>
  <c r="H81" i="32"/>
  <c r="H83" i="32" s="1"/>
  <c r="AA82" i="32"/>
  <c r="AA83" i="32" s="1"/>
  <c r="BH21" i="30"/>
  <c r="BJ9" i="30"/>
  <c r="BJ21" i="30" s="1"/>
  <c r="BB81" i="30"/>
  <c r="BB83" i="30" s="1"/>
  <c r="R18" i="30"/>
  <c r="BK83" i="30"/>
  <c r="BN81" i="30"/>
  <c r="CF83" i="30"/>
  <c r="CH80" i="30"/>
  <c r="E21" i="30"/>
  <c r="E80" i="30"/>
  <c r="R20" i="30"/>
  <c r="P82" i="30"/>
  <c r="P83" i="30" s="1"/>
  <c r="P21" i="30"/>
  <c r="CG82" i="36"/>
  <c r="CG38" i="36"/>
  <c r="Q81" i="30"/>
  <c r="R81" i="30" s="1"/>
  <c r="R19" i="30"/>
  <c r="AL31" i="11"/>
  <c r="AL37" i="11" s="1"/>
  <c r="AK37" i="11"/>
  <c r="AT33" i="43"/>
  <c r="AT37" i="43" s="1"/>
  <c r="AZ37" i="11"/>
  <c r="BB37" i="4"/>
  <c r="Q87" i="40"/>
  <c r="Q78" i="44"/>
  <c r="Q108" i="44" s="1"/>
  <c r="Q82" i="45"/>
  <c r="K106" i="46"/>
  <c r="E71" i="48"/>
  <c r="E108" i="48" s="1"/>
  <c r="F108" i="48"/>
  <c r="K41" i="78"/>
  <c r="G38" i="72"/>
  <c r="BR14" i="64"/>
  <c r="BE31" i="64"/>
  <c r="AP32" i="43"/>
  <c r="AP37" i="43" s="1"/>
  <c r="AP24" i="43"/>
  <c r="R54" i="36"/>
  <c r="O55" i="36"/>
  <c r="O83" i="36"/>
  <c r="E80" i="32"/>
  <c r="E83" i="32" s="1"/>
  <c r="E55" i="32"/>
  <c r="BJ82" i="30"/>
  <c r="BH83" i="30"/>
  <c r="BV17" i="30"/>
  <c r="BU21" i="30"/>
  <c r="K21" i="30"/>
  <c r="N19" i="30"/>
  <c r="K81" i="30"/>
  <c r="F43" i="30"/>
  <c r="CJ159" i="35"/>
  <c r="CM144" i="35"/>
  <c r="BP21" i="30"/>
  <c r="BR9" i="30"/>
  <c r="BR21" i="30" s="1"/>
  <c r="T40" i="53"/>
  <c r="V34" i="19"/>
  <c r="V37" i="19" s="1"/>
  <c r="V9" i="19"/>
  <c r="BN7" i="19"/>
  <c r="BN20" i="18"/>
  <c r="BN25" i="18" s="1"/>
  <c r="BN107" i="18" s="1"/>
  <c r="AT108" i="3"/>
  <c r="CD40" i="18"/>
  <c r="CD107" i="18" s="1"/>
  <c r="H74" i="45"/>
  <c r="H82" i="45" s="1"/>
  <c r="BE37" i="7"/>
  <c r="BG31" i="7"/>
  <c r="BG37" i="7" s="1"/>
  <c r="T157" i="68"/>
  <c r="T91" i="68"/>
  <c r="T14" i="68"/>
  <c r="T95" i="68"/>
  <c r="T18" i="68"/>
  <c r="T161" i="68"/>
  <c r="H32" i="79"/>
  <c r="BH31" i="64"/>
  <c r="D55" i="36"/>
  <c r="F54" i="36"/>
  <c r="D83" i="36"/>
  <c r="V31" i="38"/>
  <c r="R237" i="34"/>
  <c r="R179" i="34"/>
  <c r="D82" i="30"/>
  <c r="F82" i="30" s="1"/>
  <c r="D55" i="30"/>
  <c r="F54" i="30"/>
  <c r="M248" i="34"/>
  <c r="M196" i="34"/>
  <c r="M238" i="34"/>
  <c r="M240" i="34" s="1"/>
  <c r="G55" i="30"/>
  <c r="J55" i="30" s="1"/>
  <c r="J53" i="30"/>
  <c r="N18" i="30"/>
  <c r="M80" i="30"/>
  <c r="M21" i="30"/>
  <c r="H21" i="30"/>
  <c r="H81" i="30"/>
  <c r="H83" i="30" s="1"/>
  <c r="BV33" i="19"/>
  <c r="BV37" i="19" s="1"/>
  <c r="BV29" i="19"/>
  <c r="BL32" i="19"/>
  <c r="BL37" i="19" s="1"/>
  <c r="BL9" i="19"/>
  <c r="AR35" i="7"/>
  <c r="AP37" i="7"/>
  <c r="L185" i="40"/>
  <c r="M185" i="40" s="1"/>
  <c r="M158" i="40"/>
  <c r="F41" i="78"/>
  <c r="AU37" i="65"/>
  <c r="T56" i="44"/>
  <c r="T108" i="44" s="1"/>
  <c r="L102" i="53"/>
  <c r="N102" i="53" s="1"/>
  <c r="N100" i="53"/>
  <c r="H213" i="34"/>
  <c r="H239" i="34"/>
  <c r="H240" i="34" s="1"/>
  <c r="P20" i="34"/>
  <c r="P79" i="34"/>
  <c r="P82" i="34" s="1"/>
  <c r="CB21" i="30"/>
  <c r="CD9" i="30"/>
  <c r="CD21" i="30" s="1"/>
  <c r="BF9" i="30"/>
  <c r="BF21" i="30" s="1"/>
  <c r="BC21" i="30"/>
  <c r="N237" i="34"/>
  <c r="N240" i="34" s="1"/>
  <c r="N179" i="34"/>
  <c r="BS38" i="30"/>
  <c r="BV38" i="30" s="1"/>
  <c r="BS80" i="30"/>
  <c r="J19" i="30"/>
  <c r="G81" i="30"/>
  <c r="S213" i="34"/>
  <c r="S239" i="34"/>
  <c r="J78" i="32"/>
  <c r="AF81" i="32"/>
  <c r="AF83" i="32" s="1"/>
  <c r="BV75" i="30"/>
  <c r="BV66" i="30"/>
  <c r="BV78" i="30" s="1"/>
  <c r="AM160" i="29"/>
  <c r="AP33" i="19"/>
  <c r="AP37" i="19" s="1"/>
  <c r="AP29" i="19"/>
  <c r="CD36" i="19"/>
  <c r="CD37" i="19" s="1"/>
  <c r="CD14" i="19"/>
  <c r="BB37" i="7"/>
  <c r="BD31" i="7"/>
  <c r="BD37" i="7" s="1"/>
  <c r="BN33" i="19"/>
  <c r="E103" i="62"/>
  <c r="D103" i="62"/>
  <c r="I71" i="62"/>
  <c r="I38" i="62"/>
  <c r="I101" i="62"/>
  <c r="G103" i="62"/>
  <c r="F101" i="62"/>
  <c r="X35" i="61"/>
  <c r="Y69" i="55"/>
  <c r="Q69" i="55"/>
  <c r="W69" i="55"/>
  <c r="T69" i="55"/>
  <c r="AB69" i="55"/>
  <c r="E69" i="55"/>
  <c r="S69" i="55"/>
  <c r="AC69" i="55"/>
  <c r="I99" i="50"/>
  <c r="H70" i="50"/>
  <c r="D99" i="50"/>
  <c r="J99" i="50"/>
  <c r="P122" i="49"/>
  <c r="V108" i="48"/>
  <c r="U108" i="48"/>
  <c r="T51" i="48"/>
  <c r="P108" i="48"/>
  <c r="Q108" i="48" s="1"/>
  <c r="T108" i="48"/>
  <c r="W71" i="48"/>
  <c r="N109" i="47"/>
  <c r="Z106" i="46"/>
  <c r="S106" i="46"/>
  <c r="T106" i="46" s="1"/>
  <c r="G106" i="46"/>
  <c r="H106" i="46" s="1"/>
  <c r="AF106" i="46"/>
  <c r="AI78" i="46"/>
  <c r="W106" i="46"/>
  <c r="H56" i="46"/>
  <c r="T56" i="46"/>
  <c r="AI26" i="46"/>
  <c r="AG106" i="46"/>
  <c r="AI106" i="46" s="1"/>
  <c r="N82" i="45"/>
  <c r="C82" i="45"/>
  <c r="V108" i="44"/>
  <c r="N93" i="44"/>
  <c r="N108" i="44" s="1"/>
  <c r="K80" i="51"/>
  <c r="L261" i="40"/>
  <c r="M261" i="40" s="1"/>
  <c r="M114" i="40"/>
  <c r="L114" i="40"/>
  <c r="N114" i="40" s="1"/>
  <c r="M142" i="40"/>
  <c r="L142" i="40"/>
  <c r="N142" i="40" s="1"/>
  <c r="K196" i="40"/>
  <c r="L196" i="40" s="1"/>
  <c r="M196" i="40" s="1"/>
  <c r="K228" i="40"/>
  <c r="L228" i="40" s="1"/>
  <c r="M228" i="40" s="1"/>
  <c r="L217" i="40"/>
  <c r="M217" i="40" s="1"/>
  <c r="L371" i="40"/>
  <c r="K388" i="40"/>
  <c r="K131" i="40"/>
  <c r="L359" i="40"/>
  <c r="M359" i="40" s="1"/>
  <c r="K295" i="40"/>
  <c r="J98" i="40"/>
  <c r="L164" i="40"/>
  <c r="N164" i="40" s="1"/>
  <c r="K76" i="40"/>
  <c r="R76" i="40" s="1"/>
  <c r="F98" i="40"/>
  <c r="K437" i="40"/>
  <c r="L437" i="40" s="1"/>
  <c r="M437" i="40" s="1"/>
  <c r="L388" i="40"/>
  <c r="L390" i="40"/>
  <c r="L326" i="40"/>
  <c r="M326" i="40" s="1"/>
  <c r="K198" i="40"/>
  <c r="F65" i="40"/>
  <c r="K361" i="40"/>
  <c r="BB27" i="38"/>
  <c r="BA35" i="38"/>
  <c r="G159" i="26"/>
  <c r="F521" i="26"/>
  <c r="J464" i="26"/>
  <c r="J520" i="26"/>
  <c r="I586" i="26"/>
  <c r="K586" i="26" s="1"/>
  <c r="J586" i="26"/>
  <c r="H593" i="26"/>
  <c r="J436" i="26"/>
  <c r="I436" i="26"/>
  <c r="K436" i="26" s="1"/>
  <c r="J570" i="26"/>
  <c r="I570" i="26"/>
  <c r="K570" i="26" s="1"/>
  <c r="J286" i="26"/>
  <c r="I286" i="26"/>
  <c r="K286" i="26" s="1"/>
  <c r="I530" i="26"/>
  <c r="K530" i="26" s="1"/>
  <c r="H547" i="26"/>
  <c r="J530" i="26"/>
  <c r="J255" i="26"/>
  <c r="I255" i="26"/>
  <c r="K255" i="26" s="1"/>
  <c r="T101" i="54"/>
  <c r="E101" i="54"/>
  <c r="Q25" i="53"/>
  <c r="P102" i="53"/>
  <c r="Q102" i="53" s="1"/>
  <c r="E102" i="53"/>
  <c r="E71" i="52"/>
  <c r="E108" i="52" s="1"/>
  <c r="D108" i="52"/>
  <c r="H80" i="51"/>
  <c r="N106" i="46" l="1"/>
  <c r="AU83" i="32"/>
  <c r="W108" i="44"/>
  <c r="H99" i="50"/>
  <c r="K82" i="45"/>
  <c r="K159" i="35"/>
  <c r="AY159" i="35"/>
  <c r="CM159" i="35"/>
  <c r="BV72" i="36"/>
  <c r="BK159" i="35"/>
  <c r="AQ159" i="35"/>
  <c r="CE159" i="35"/>
  <c r="O159" i="35"/>
  <c r="BC159" i="35"/>
  <c r="AI159" i="35"/>
  <c r="CD72" i="36"/>
  <c r="G159" i="35"/>
  <c r="BW159" i="35"/>
  <c r="AE159" i="35"/>
  <c r="M84" i="36"/>
  <c r="CL72" i="36"/>
  <c r="BN38" i="36"/>
  <c r="BC84" i="36"/>
  <c r="CP38" i="36"/>
  <c r="AM159" i="35"/>
  <c r="S159" i="35"/>
  <c r="AA159" i="35"/>
  <c r="W159" i="35"/>
  <c r="BG159" i="35"/>
  <c r="AU159" i="35"/>
  <c r="CI159" i="35"/>
  <c r="BU84" i="36"/>
  <c r="BO159" i="35"/>
  <c r="BX84" i="36"/>
  <c r="CA159" i="35"/>
  <c r="CP159" i="35"/>
  <c r="CQ159" i="35" s="1"/>
  <c r="BS159" i="35"/>
  <c r="N83" i="36"/>
  <c r="BF55" i="36"/>
  <c r="BF83" i="36"/>
  <c r="N55" i="36"/>
  <c r="CP72" i="36"/>
  <c r="AT31" i="64"/>
  <c r="BZ31" i="64"/>
  <c r="BV31" i="64"/>
  <c r="T96" i="68"/>
  <c r="T19" i="68"/>
  <c r="T167" i="68"/>
  <c r="T106" i="68"/>
  <c r="T29" i="68"/>
  <c r="R248" i="34"/>
  <c r="O82" i="34"/>
  <c r="V248" i="34"/>
  <c r="T237" i="34"/>
  <c r="T240" i="34" s="1"/>
  <c r="T196" i="34"/>
  <c r="R238" i="34"/>
  <c r="R240" i="34" s="1"/>
  <c r="S179" i="34"/>
  <c r="S238" i="34"/>
  <c r="S240" i="34" s="1"/>
  <c r="AA92" i="70"/>
  <c r="W94" i="70"/>
  <c r="Y94" i="70"/>
  <c r="Z94" i="70"/>
  <c r="AA90" i="70"/>
  <c r="BF81" i="30"/>
  <c r="BN80" i="30"/>
  <c r="R21" i="30"/>
  <c r="CC83" i="30"/>
  <c r="CD83" i="30"/>
  <c r="C83" i="32"/>
  <c r="CL21" i="30"/>
  <c r="CP21" i="30"/>
  <c r="CP83" i="30"/>
  <c r="F55" i="30"/>
  <c r="BN83" i="30"/>
  <c r="N81" i="36"/>
  <c r="BZ82" i="36"/>
  <c r="N38" i="36"/>
  <c r="BB84" i="36"/>
  <c r="BZ38" i="36"/>
  <c r="BG84" i="36"/>
  <c r="BR83" i="36"/>
  <c r="CH72" i="36"/>
  <c r="BZ72" i="36"/>
  <c r="BE84" i="36"/>
  <c r="AX84" i="36"/>
  <c r="BF81" i="36"/>
  <c r="J82" i="36"/>
  <c r="BF38" i="36"/>
  <c r="BP84" i="36"/>
  <c r="BV21" i="36"/>
  <c r="CI84" i="36"/>
  <c r="BJ21" i="36"/>
  <c r="BJ55" i="36"/>
  <c r="CC84" i="36"/>
  <c r="BV83" i="36"/>
  <c r="BL84" i="36"/>
  <c r="BN83" i="36"/>
  <c r="CL38" i="36"/>
  <c r="N21" i="36"/>
  <c r="CK84" i="36"/>
  <c r="J38" i="36"/>
  <c r="J55" i="36"/>
  <c r="H84" i="36"/>
  <c r="CH55" i="36"/>
  <c r="CL82" i="36"/>
  <c r="CH38" i="36"/>
  <c r="E84" i="36"/>
  <c r="F81" i="36"/>
  <c r="BJ83" i="36"/>
  <c r="BN81" i="36"/>
  <c r="P84" i="36"/>
  <c r="BN55" i="36"/>
  <c r="I84" i="36"/>
  <c r="R21" i="36"/>
  <c r="J83" i="36"/>
  <c r="BR21" i="36"/>
  <c r="F21" i="36"/>
  <c r="BR38" i="36"/>
  <c r="CD21" i="36"/>
  <c r="BJ82" i="36"/>
  <c r="BV82" i="36"/>
  <c r="BY84" i="36"/>
  <c r="BK84" i="36"/>
  <c r="BZ21" i="36"/>
  <c r="CF84" i="36"/>
  <c r="CP83" i="36"/>
  <c r="BN21" i="36"/>
  <c r="R82" i="36"/>
  <c r="R38" i="36"/>
  <c r="L84" i="36"/>
  <c r="J21" i="36"/>
  <c r="BJ38" i="36"/>
  <c r="C84" i="36"/>
  <c r="R55" i="36"/>
  <c r="CL83" i="36"/>
  <c r="BZ83" i="36"/>
  <c r="BD84" i="36"/>
  <c r="CL55" i="36"/>
  <c r="CD55" i="36"/>
  <c r="BV55" i="36"/>
  <c r="CJ84" i="36"/>
  <c r="CL81" i="36"/>
  <c r="BO84" i="36"/>
  <c r="BR82" i="36"/>
  <c r="N82" i="36"/>
  <c r="K84" i="36"/>
  <c r="CD38" i="36"/>
  <c r="BR81" i="36"/>
  <c r="BQ84" i="36"/>
  <c r="BR55" i="36"/>
  <c r="BI84" i="36"/>
  <c r="BT84" i="36"/>
  <c r="F38" i="36"/>
  <c r="BN72" i="36"/>
  <c r="CL21" i="36"/>
  <c r="BZ55" i="36"/>
  <c r="CH21" i="36"/>
  <c r="Q84" i="36"/>
  <c r="BW84" i="36"/>
  <c r="BZ81" i="36"/>
  <c r="CB84" i="36"/>
  <c r="CD81" i="36"/>
  <c r="CD83" i="36"/>
  <c r="BV38" i="36"/>
  <c r="BF21" i="36"/>
  <c r="BS84" i="36"/>
  <c r="BV81" i="36"/>
  <c r="BF82" i="36"/>
  <c r="F55" i="36"/>
  <c r="CP55" i="36"/>
  <c r="CP81" i="36"/>
  <c r="CO84" i="36"/>
  <c r="BB35" i="38"/>
  <c r="V35" i="38"/>
  <c r="N35" i="38"/>
  <c r="AX35" i="38"/>
  <c r="J35" i="38"/>
  <c r="F35" i="38"/>
  <c r="R35" i="38"/>
  <c r="Y108" i="3"/>
  <c r="CH82" i="30"/>
  <c r="CG83" i="30"/>
  <c r="AH32" i="4"/>
  <c r="AH37" i="4" s="1"/>
  <c r="CM84" i="36"/>
  <c r="M41" i="78"/>
  <c r="CS31" i="68"/>
  <c r="CV9" i="68"/>
  <c r="D41" i="78"/>
  <c r="CH83" i="36"/>
  <c r="CD82" i="36"/>
  <c r="CA84" i="36"/>
  <c r="CM83" i="30"/>
  <c r="U239" i="34"/>
  <c r="U240" i="34" s="1"/>
  <c r="U230" i="34"/>
  <c r="F36" i="66"/>
  <c r="F38" i="66"/>
  <c r="F37" i="66"/>
  <c r="F34" i="66"/>
  <c r="F33" i="66"/>
  <c r="F39" i="66" s="1"/>
  <c r="AR37" i="4"/>
  <c r="CP21" i="36"/>
  <c r="AZ108" i="3"/>
  <c r="BY83" i="30"/>
  <c r="BZ80" i="30"/>
  <c r="BZ83" i="30" s="1"/>
  <c r="AW37" i="4"/>
  <c r="AR37" i="11"/>
  <c r="V90" i="34"/>
  <c r="R55" i="30"/>
  <c r="BR31" i="64"/>
  <c r="R81" i="36"/>
  <c r="CP82" i="36"/>
  <c r="T41" i="78"/>
  <c r="N41" i="78"/>
  <c r="BN82" i="36"/>
  <c r="BM84" i="36"/>
  <c r="CN84" i="36"/>
  <c r="S39" i="66"/>
  <c r="P39" i="66"/>
  <c r="D34" i="66"/>
  <c r="D37" i="66"/>
  <c r="D35" i="66"/>
  <c r="D38" i="66"/>
  <c r="D33" i="66"/>
  <c r="F82" i="36"/>
  <c r="BH84" i="36"/>
  <c r="BJ81" i="36"/>
  <c r="H38" i="66"/>
  <c r="H37" i="66"/>
  <c r="H33" i="66"/>
  <c r="H39" i="66" s="1"/>
  <c r="H35" i="66"/>
  <c r="G84" i="36"/>
  <c r="J81" i="36"/>
  <c r="CE84" i="36"/>
  <c r="CH81" i="36"/>
  <c r="T39" i="66"/>
  <c r="CH81" i="30"/>
  <c r="CE83" i="30"/>
  <c r="P230" i="34"/>
  <c r="P239" i="34"/>
  <c r="P240" i="34" s="1"/>
  <c r="G37" i="66"/>
  <c r="G34" i="66"/>
  <c r="G35" i="66"/>
  <c r="G33" i="66"/>
  <c r="G38" i="66"/>
  <c r="CV24" i="68"/>
  <c r="CT31" i="68"/>
  <c r="F21" i="30"/>
  <c r="J81" i="30"/>
  <c r="K98" i="40"/>
  <c r="R98" i="40" s="1"/>
  <c r="BS83" i="30"/>
  <c r="BV80" i="30"/>
  <c r="BV83" i="30" s="1"/>
  <c r="BN9" i="19"/>
  <c r="BN32" i="19"/>
  <c r="BN37" i="19" s="1"/>
  <c r="Q83" i="30"/>
  <c r="R80" i="30"/>
  <c r="AR37" i="7"/>
  <c r="F81" i="30"/>
  <c r="J21" i="30"/>
  <c r="K230" i="40"/>
  <c r="N81" i="30"/>
  <c r="K83" i="30"/>
  <c r="E83" i="30"/>
  <c r="V240" i="34"/>
  <c r="Q98" i="40"/>
  <c r="F83" i="36"/>
  <c r="D84" i="36"/>
  <c r="N21" i="30"/>
  <c r="BJ81" i="30"/>
  <c r="BJ83" i="30" s="1"/>
  <c r="BG83" i="30"/>
  <c r="R83" i="36"/>
  <c r="O84" i="36"/>
  <c r="BV21" i="30"/>
  <c r="CG84" i="36"/>
  <c r="CH82" i="36"/>
  <c r="O83" i="30"/>
  <c r="R82" i="30"/>
  <c r="BD83" i="30"/>
  <c r="BF82" i="30"/>
  <c r="BF83" i="30" s="1"/>
  <c r="M83" i="30"/>
  <c r="N80" i="30"/>
  <c r="D83" i="30"/>
  <c r="F80" i="30"/>
  <c r="G83" i="30"/>
  <c r="J83" i="30" s="1"/>
  <c r="J80" i="30"/>
  <c r="I103" i="62"/>
  <c r="F103" i="62"/>
  <c r="W108" i="48"/>
  <c r="L131" i="40"/>
  <c r="N131" i="40" s="1"/>
  <c r="M131" i="40"/>
  <c r="K439" i="40"/>
  <c r="Q65" i="40"/>
  <c r="K65" i="40"/>
  <c r="R65" i="40" s="1"/>
  <c r="I593" i="26"/>
  <c r="K593" i="26" s="1"/>
  <c r="J593" i="26"/>
  <c r="I547" i="26"/>
  <c r="K547" i="26" s="1"/>
  <c r="J547" i="26"/>
  <c r="N84" i="36" l="1"/>
  <c r="CV31" i="68"/>
  <c r="T108" i="68" s="1"/>
  <c r="AA94" i="70"/>
  <c r="F83" i="30"/>
  <c r="R83" i="30"/>
  <c r="CH83" i="30"/>
  <c r="BZ84" i="36"/>
  <c r="BF84" i="36"/>
  <c r="R84" i="36"/>
  <c r="BN84" i="36"/>
  <c r="BR84" i="36"/>
  <c r="BJ84" i="36"/>
  <c r="J84" i="36"/>
  <c r="BV84" i="36"/>
  <c r="CL84" i="36"/>
  <c r="CD84" i="36"/>
  <c r="CP84" i="36"/>
  <c r="T31" i="28" s="1"/>
  <c r="F84" i="36"/>
  <c r="CH84" i="36"/>
  <c r="T86" i="68"/>
  <c r="T9" i="68"/>
  <c r="T152" i="68"/>
  <c r="D39" i="66"/>
  <c r="N83" i="30"/>
  <c r="G39" i="66"/>
  <c r="T169" i="68"/>
  <c r="T101" i="68"/>
  <c r="T24" i="68"/>
  <c r="T31" i="68" l="1"/>
</calcChain>
</file>

<file path=xl/sharedStrings.xml><?xml version="1.0" encoding="utf-8"?>
<sst xmlns="http://schemas.openxmlformats.org/spreadsheetml/2006/main" count="12873" uniqueCount="1705">
  <si>
    <t>LICENCIATURA</t>
  </si>
  <si>
    <t>POSGRADO</t>
  </si>
  <si>
    <t>BECAS</t>
  </si>
  <si>
    <t>PERSONAL ACADÉMICO</t>
  </si>
  <si>
    <t>Aspirantes</t>
  </si>
  <si>
    <t>Plan</t>
  </si>
  <si>
    <t>Inscritos</t>
  </si>
  <si>
    <t>UAM</t>
  </si>
  <si>
    <t>Definitivo</t>
  </si>
  <si>
    <t>Total (TC, MT, TP)</t>
  </si>
  <si>
    <t>División</t>
  </si>
  <si>
    <t>Género</t>
  </si>
  <si>
    <t>Matrícula</t>
  </si>
  <si>
    <t>Edad</t>
  </si>
  <si>
    <t>Admitidos</t>
  </si>
  <si>
    <t>Antigüedad</t>
  </si>
  <si>
    <t>Activos</t>
  </si>
  <si>
    <t>Alumnos por PTC</t>
  </si>
  <si>
    <t>Becas y Estímulos</t>
  </si>
  <si>
    <t>Egreso</t>
  </si>
  <si>
    <t>Grado Académico</t>
  </si>
  <si>
    <t>Departamento</t>
  </si>
  <si>
    <t>Perfil PRODEP</t>
  </si>
  <si>
    <t>Egreso acumulado</t>
  </si>
  <si>
    <t>S N I</t>
  </si>
  <si>
    <t>Cuerpos Académicos</t>
  </si>
  <si>
    <t>Planes de estudio</t>
  </si>
  <si>
    <t>Unidad</t>
  </si>
  <si>
    <t>Act. de Investigación</t>
  </si>
  <si>
    <t>Bajas Definitivas</t>
  </si>
  <si>
    <t>Resumen</t>
  </si>
  <si>
    <t>Producción Total</t>
  </si>
  <si>
    <t>Bajas Reglamentarias</t>
  </si>
  <si>
    <t>APOYO INSTITUCIONAL</t>
  </si>
  <si>
    <t>Actividades Deportivas</t>
  </si>
  <si>
    <t>Administrativos</t>
  </si>
  <si>
    <t>Recursos Externos</t>
  </si>
  <si>
    <t>Titulados</t>
  </si>
  <si>
    <t>Convenios</t>
  </si>
  <si>
    <t>Patentes</t>
  </si>
  <si>
    <t>Activos de lic. y pos.</t>
  </si>
  <si>
    <t>Gráfica</t>
  </si>
  <si>
    <t>Egresados de lic. y pos.</t>
  </si>
  <si>
    <r>
      <t>ASPIRANTES</t>
    </r>
    <r>
      <rPr>
        <sz val="11"/>
        <rFont val="Arial"/>
        <family val="2"/>
      </rPr>
      <t xml:space="preserve"> (presentados a examen)</t>
    </r>
    <r>
      <rPr>
        <b/>
        <sz val="11"/>
        <rFont val="Arial"/>
        <family val="2"/>
      </rPr>
      <t xml:space="preserve"> A LICENCIATURA</t>
    </r>
  </si>
  <si>
    <r>
      <rPr>
        <sz val="9"/>
        <rFont val="Calibri"/>
        <family val="2"/>
        <scheme val="minor"/>
      </rPr>
      <t xml:space="preserve">Para ver información sobre género y escuela de procedencia: </t>
    </r>
    <r>
      <rPr>
        <u/>
        <sz val="9"/>
        <rFont val="Calibri"/>
        <family val="2"/>
        <scheme val="minor"/>
      </rPr>
      <t xml:space="preserve"> </t>
    </r>
    <r>
      <rPr>
        <u/>
        <sz val="9"/>
        <color indexed="12"/>
        <rFont val="Calibri"/>
        <family val="2"/>
        <scheme val="minor"/>
      </rPr>
      <t xml:space="preserve">http://www.transparencia.uam.mx/inforganos/anuarios/
</t>
    </r>
  </si>
  <si>
    <t>PLAN DE ESTUDIOS</t>
  </si>
  <si>
    <t>P</t>
  </si>
  <si>
    <t>O</t>
  </si>
  <si>
    <t>Total</t>
  </si>
  <si>
    <t>Ingeniería Ambiental</t>
  </si>
  <si>
    <t>Ingeniería Civil</t>
  </si>
  <si>
    <t>Ingeniería Eléctrica</t>
  </si>
  <si>
    <t>Ingeniería Física</t>
  </si>
  <si>
    <t>Ingeniería Industrial</t>
  </si>
  <si>
    <t>Ingeniería Mecánica</t>
  </si>
  <si>
    <t>Ingeniería Metalúrgica</t>
  </si>
  <si>
    <t>Ingeniería Química</t>
  </si>
  <si>
    <t>Ingeniería Electrónica</t>
  </si>
  <si>
    <t>Ingeniería en Computación</t>
  </si>
  <si>
    <t>CBI</t>
  </si>
  <si>
    <t>Administración</t>
  </si>
  <si>
    <t>Derecho</t>
  </si>
  <si>
    <t>Economía</t>
  </si>
  <si>
    <t>Sociología</t>
  </si>
  <si>
    <t>CSH</t>
  </si>
  <si>
    <t>Arquitectura</t>
  </si>
  <si>
    <t>Diseño de la Comunicación Gráfica</t>
  </si>
  <si>
    <t>Diseño Industrial</t>
  </si>
  <si>
    <t>CAD</t>
  </si>
  <si>
    <t>Total Unidad Azcapotzalco</t>
  </si>
  <si>
    <t>Ingeniería Biomédica</t>
  </si>
  <si>
    <t>Ingeniería Hidrológica</t>
  </si>
  <si>
    <t>Ingeniería en Energía</t>
  </si>
  <si>
    <t>Física</t>
  </si>
  <si>
    <t>Matemáticas</t>
  </si>
  <si>
    <t>Química</t>
  </si>
  <si>
    <t>Computación</t>
  </si>
  <si>
    <t>Ciencias Atmosféricas</t>
  </si>
  <si>
    <t>Antropología Social</t>
  </si>
  <si>
    <t>Letras Hispánicas</t>
  </si>
  <si>
    <t>Filosofía</t>
  </si>
  <si>
    <t>Historia</t>
  </si>
  <si>
    <t>Lingüística</t>
  </si>
  <si>
    <t>Ciencia Política</t>
  </si>
  <si>
    <t>Psicología Social</t>
  </si>
  <si>
    <t>Geografía Humana</t>
  </si>
  <si>
    <t>Biología</t>
  </si>
  <si>
    <t>Biología Experimental</t>
  </si>
  <si>
    <t>Hidrobiología</t>
  </si>
  <si>
    <t>Producción Animal</t>
  </si>
  <si>
    <t>Ingeniería Bioquímica Industrial</t>
  </si>
  <si>
    <t>Ingeniería de los Alimentos</t>
  </si>
  <si>
    <t>CBS</t>
  </si>
  <si>
    <t>Total Unidad Iztapalapa</t>
  </si>
  <si>
    <t>Comunicación Social</t>
  </si>
  <si>
    <t>Psicología</t>
  </si>
  <si>
    <t>Política y Gestión Social</t>
  </si>
  <si>
    <t>Enfermería</t>
  </si>
  <si>
    <t>Estomatología</t>
  </si>
  <si>
    <t>Química Farmacéutica Biológica</t>
  </si>
  <si>
    <t>Medicina Veterinaria y Zootecnia</t>
  </si>
  <si>
    <t>Agronomía</t>
  </si>
  <si>
    <t>Medicina</t>
  </si>
  <si>
    <t>Nutrición Humana</t>
  </si>
  <si>
    <t>Planeación Territorial</t>
  </si>
  <si>
    <t>Total Unidad Xochimilco</t>
  </si>
  <si>
    <t>Estudios Socioterritoriales</t>
  </si>
  <si>
    <t>Humanidades</t>
  </si>
  <si>
    <t>Diseño</t>
  </si>
  <si>
    <t>Tecnologías y Sistemas de Información</t>
  </si>
  <si>
    <t>Ciencias de la Comunicación</t>
  </si>
  <si>
    <t>CCD</t>
  </si>
  <si>
    <t>Matemáticas Aplicadas</t>
  </si>
  <si>
    <t>Ingeniería Biológica</t>
  </si>
  <si>
    <t>Biología Molecular</t>
  </si>
  <si>
    <t>CNI</t>
  </si>
  <si>
    <t>Total Unidad Cuajimalpa</t>
  </si>
  <si>
    <t>Ingeniería en Recursos Hídricos</t>
  </si>
  <si>
    <t>Ingeniería en Computación y Telecomunicaciones</t>
  </si>
  <si>
    <t xml:space="preserve">Ingeniería en Sistemas Mecatrónicos Industriales </t>
  </si>
  <si>
    <t>Políticas Públicas</t>
  </si>
  <si>
    <t>Arte y Comunicación Digitales</t>
  </si>
  <si>
    <t xml:space="preserve"> </t>
  </si>
  <si>
    <t>Educación y Tecnologías Digitales</t>
  </si>
  <si>
    <t>Biología Ambiental</t>
  </si>
  <si>
    <t>Psicología Biomédica</t>
  </si>
  <si>
    <t>Ingeniería en Ciencia y Tecnología de Alimentos</t>
  </si>
  <si>
    <t>Total Unidad Lerma</t>
  </si>
  <si>
    <t>TOTAL UAM</t>
  </si>
  <si>
    <t>La categoría aspirantes considera a los que presentan el examen de admisión.</t>
  </si>
  <si>
    <t>FUENTE: Base de datos de Aspirantes - Dirección de Sistemas Escolares</t>
  </si>
  <si>
    <t>ASPIRANTES A
LICENCIATURA POR DIVISIÓN</t>
  </si>
  <si>
    <t>DIVISIÓN / UNIDAD</t>
  </si>
  <si>
    <t>Azcpotzalco</t>
  </si>
  <si>
    <t>Cuajimalpa</t>
  </si>
  <si>
    <t>Iztapalapa</t>
  </si>
  <si>
    <t>Lerma</t>
  </si>
  <si>
    <t>Xochimilco</t>
  </si>
  <si>
    <t>Azcapotzalco</t>
  </si>
  <si>
    <t xml:space="preserve">ASPIRANTES
POR GÉNERO </t>
  </si>
  <si>
    <t>Femenino</t>
  </si>
  <si>
    <t>Masculino</t>
  </si>
  <si>
    <t>ADMITIDOS A LICENCIATURA</t>
  </si>
  <si>
    <r>
      <rPr>
        <sz val="9"/>
        <rFont val="Calibri"/>
        <family val="2"/>
        <scheme val="minor"/>
      </rPr>
      <t xml:space="preserve">Para ver información sobre género, índice de aceptación y no admitidos: </t>
    </r>
    <r>
      <rPr>
        <u/>
        <sz val="9"/>
        <rFont val="Calibri"/>
        <family val="2"/>
        <scheme val="minor"/>
      </rPr>
      <t xml:space="preserve"> </t>
    </r>
    <r>
      <rPr>
        <u/>
        <sz val="9"/>
        <color indexed="12"/>
        <rFont val="Calibri"/>
        <family val="2"/>
        <scheme val="minor"/>
      </rPr>
      <t>http://www.transparencia.uam.mx/inforganos/anuarios/</t>
    </r>
  </si>
  <si>
    <t>A partir del 2004 se incluyen los datos de admitidos por lista complementaria</t>
  </si>
  <si>
    <t>ADMITIDOS A
LICENCIATURA POR DIVISIÓN</t>
  </si>
  <si>
    <t>ADMITIDOS
 POR GÉNERO</t>
  </si>
  <si>
    <t>Licenciatura</t>
  </si>
  <si>
    <t>Posgrado</t>
  </si>
  <si>
    <t xml:space="preserve">INSCRITOS DE PRIMER INGRESO A LICENCIATURA POR TRIMESTRE </t>
  </si>
  <si>
    <r>
      <rPr>
        <sz val="9"/>
        <rFont val="Calibri"/>
        <family val="2"/>
        <scheme val="minor"/>
      </rPr>
      <t xml:space="preserve">Para ver información sobre género y lista complementaria: </t>
    </r>
    <r>
      <rPr>
        <u/>
        <sz val="9"/>
        <rFont val="Calibri"/>
        <family val="2"/>
        <scheme val="minor"/>
      </rPr>
      <t xml:space="preserve"> </t>
    </r>
    <r>
      <rPr>
        <u/>
        <sz val="9"/>
        <color indexed="12"/>
        <rFont val="Calibri"/>
        <family val="2"/>
        <scheme val="minor"/>
      </rPr>
      <t xml:space="preserve">http://www.transparencia.uam.mx/inforganos/anuarios/
</t>
    </r>
  </si>
  <si>
    <t>FUENTE: AGA de Licenciatura - Dirección de Sistemas Escolares</t>
  </si>
  <si>
    <t>INSCRITOS DE
PRIMER INGRESO A LICENCIATURA POR DIVISIÓN</t>
  </si>
  <si>
    <r>
      <t xml:space="preserve">MATRÍCULA </t>
    </r>
    <r>
      <rPr>
        <sz val="10"/>
        <rFont val="Arial"/>
        <family val="2"/>
      </rPr>
      <t>(Inscritos de primer ingreso y Reinscritos</t>
    </r>
    <r>
      <rPr>
        <b/>
        <sz val="11"/>
        <rFont val="Arial"/>
        <family val="2"/>
      </rPr>
      <t xml:space="preserve">) DE LICENCIATURA POR TRIMESTRE </t>
    </r>
  </si>
  <si>
    <r>
      <rPr>
        <sz val="9"/>
        <rFont val="Calibri"/>
        <family val="2"/>
        <scheme val="minor"/>
      </rPr>
      <t xml:space="preserve">Para ver información sobre género: </t>
    </r>
    <r>
      <rPr>
        <u/>
        <sz val="9"/>
        <rFont val="Calibri"/>
        <family val="2"/>
        <scheme val="minor"/>
      </rPr>
      <t xml:space="preserve"> </t>
    </r>
    <r>
      <rPr>
        <u/>
        <sz val="9"/>
        <color indexed="12"/>
        <rFont val="Calibri"/>
        <family val="2"/>
        <scheme val="minor"/>
      </rPr>
      <t xml:space="preserve">http://www.transparencia.uam.mx/inforganos/anuarios/
</t>
    </r>
  </si>
  <si>
    <t>I</t>
  </si>
  <si>
    <t>Ingeniería En Computación</t>
  </si>
  <si>
    <r>
      <t xml:space="preserve">MATRÍCULA 
</t>
    </r>
    <r>
      <rPr>
        <sz val="10"/>
        <rFont val="Arial"/>
        <family val="2"/>
      </rPr>
      <t>( (Inscritos de primer ingreso y Reinscritos)</t>
    </r>
    <r>
      <rPr>
        <b/>
        <sz val="11"/>
        <rFont val="Arial"/>
        <family val="2"/>
      </rPr>
      <t xml:space="preserve"> DE LIC. POR DIVISIÓN</t>
    </r>
  </si>
  <si>
    <t xml:space="preserve">BAJAS DEFINITIVAS DE ALUMNOS DE LICENCIATURA </t>
  </si>
  <si>
    <t>Baja definitiva: Es la pérdida de la calidad de alumno por renuncia expresa del interesado —es decir, del propio alumno—, e imputable al mismo (artículo 18, fracción II, del RESUAM).</t>
  </si>
  <si>
    <t xml:space="preserve">DIVISIÓN / UNIDAD </t>
  </si>
  <si>
    <t xml:space="preserve">BAJAS REGLAMENTARIAS DE ALUMNOS DE LICENCIATURA </t>
  </si>
  <si>
    <t xml:space="preserve">Baja reglamentaria:
Es la perdida de la calidad de alumno como consecuencia de una sanción aplicada al estudiante, por haber incurrido en cualquiera de las causas establecidas en el artículo 18, fracciones III, IV y VII, incisos a) y b), del RESUAM.
</t>
  </si>
  <si>
    <t xml:space="preserve">ALUMNOS QUE REGISTRARON ACTIVIDAD ACADÉMICA A NIVEL LICENCIATURA </t>
  </si>
  <si>
    <t>Estudios Humanísticos</t>
  </si>
  <si>
    <t>Nutrición</t>
  </si>
  <si>
    <t>Los alumnos que registraron actividad académica son aquellos que se inscribieron al menos una vez en el año de referencia.</t>
  </si>
  <si>
    <t>ALUMNOS QUE
REGISTRARON ACTIVIDAD ACADÉMICA A NIVEL LIC.</t>
  </si>
  <si>
    <t>La categoria alumnos que registraron actividad académica durante el año esta compuesta por lo alumnos que se inscribieron al menos una vez en el año de referencia</t>
  </si>
  <si>
    <t xml:space="preserve">ESTUDIANTES QUE TERMINARON ESTUDIOS DE LICENCIATURA POR TRIMESTRE </t>
  </si>
  <si>
    <t>Inv</t>
  </si>
  <si>
    <t>Prim</t>
  </si>
  <si>
    <t>Oto</t>
  </si>
  <si>
    <t>Tecnologías y Sistemas de la Información</t>
  </si>
  <si>
    <t>Ingeniería En Energía</t>
  </si>
  <si>
    <t>CSBI</t>
  </si>
  <si>
    <t>La categoría estudiantes que terminaron estudios de licenciatura, incluye a las personas que concluyeron en el año de referencia el plan de estudios correspondiente.</t>
  </si>
  <si>
    <t>ESTUDIANTES QUE
TERMINARON ESTUDIOS DE LICENCIATURA</t>
  </si>
  <si>
    <t>ESTUDIANTES QUE
TERMINARON ESTUDIOS DE LICENCIATURA POR GÉNERO</t>
  </si>
  <si>
    <t>ESTUDIANTES QUE TERMINARON ESTUDIOS DE LICENCIATURA ACUMULADO</t>
  </si>
  <si>
    <t>Ing. Bioquímica Industrial</t>
  </si>
  <si>
    <t>Personas que han concluido hasta el año de referencia el plan de estudios correspondiente.</t>
  </si>
  <si>
    <t>Personas que han concluido hasta el año  correspondiente el plan de estudios</t>
  </si>
  <si>
    <t>TITULADOS DE LICENCIATURA</t>
  </si>
  <si>
    <t>Diseño De La Comunicación Gráfica</t>
  </si>
  <si>
    <t>EVALUACIÓN DE LOS PLANES DE ESTUDIO DE LICENCIATURA</t>
  </si>
  <si>
    <t>DIVISIÓN</t>
  </si>
  <si>
    <t>ORGANISMO ACREDITADOR</t>
  </si>
  <si>
    <t>VIGENCIA</t>
  </si>
  <si>
    <t>OBSERVACIONES</t>
  </si>
  <si>
    <t>Ciencias Básicas e Ingeniería (CBI)</t>
  </si>
  <si>
    <t xml:space="preserve">Ingeniería Ambiental </t>
  </si>
  <si>
    <t>CACEI</t>
  </si>
  <si>
    <t xml:space="preserve">Ingeniería Civil </t>
  </si>
  <si>
    <t xml:space="preserve">Ingeniería Eléctrica </t>
  </si>
  <si>
    <t xml:space="preserve">Ingeniería Física </t>
  </si>
  <si>
    <t xml:space="preserve">Ingeniería Industrial </t>
  </si>
  <si>
    <t xml:space="preserve">Ingeniería Mecánica </t>
  </si>
  <si>
    <t xml:space="preserve">Ingeniería Metalúrgica </t>
  </si>
  <si>
    <t xml:space="preserve">Ingeniería Química </t>
  </si>
  <si>
    <t xml:space="preserve">Ingeniería Electrónica </t>
  </si>
  <si>
    <t>Ciencias Sociales y Humanidades (CSH)</t>
  </si>
  <si>
    <t>CACECA</t>
  </si>
  <si>
    <t>CONACE</t>
  </si>
  <si>
    <t>ACCECISO</t>
  </si>
  <si>
    <t>Ciencias y Artes para el Diseño (CAD)</t>
  </si>
  <si>
    <t>ANPADEH</t>
  </si>
  <si>
    <t xml:space="preserve">CACEI: Consejo de Acreditación de la Enseñanza de la Ingeniería, A.C. </t>
  </si>
  <si>
    <r>
      <rPr>
        <b/>
        <sz val="8"/>
        <rFont val="Calibri"/>
        <family val="2"/>
        <scheme val="minor"/>
      </rPr>
      <t>FUENTE:</t>
    </r>
    <r>
      <rPr>
        <sz val="8"/>
        <rFont val="Calibri"/>
        <family val="2"/>
        <scheme val="minor"/>
      </rPr>
      <t xml:space="preserve"> Consejo para la Acreditación de la Educación Superior (COPAES)</t>
    </r>
  </si>
  <si>
    <t>CACECA: Consejo de Acreditación de Ciencias Administrativas, Contables y Afines
, A.C.</t>
  </si>
  <si>
    <t xml:space="preserve">ACCECISO: Asociación para la Acreditación y Certificación en Ciencias Sociales, A.C. </t>
  </si>
  <si>
    <t>ANPADEH: Acreditadora Nacional de Programas de Arquitectura y Disciplinas del Espacio Habitable, A. C.</t>
  </si>
  <si>
    <t>COMAPROD: Consejo Mexicano para la Acreditación de Programas de Diseño, A. C.</t>
  </si>
  <si>
    <t>CONACE: Consejo Nacional de Acreditación de Ciencias Económicas, A.C.</t>
  </si>
  <si>
    <t xml:space="preserve">Administración </t>
  </si>
  <si>
    <t xml:space="preserve">Estudios Socioterritoriales </t>
  </si>
  <si>
    <t>Ciencias de la Comunicación y Diseño (CCD)</t>
  </si>
  <si>
    <t xml:space="preserve">Tecnologías y Sistemas de Información </t>
  </si>
  <si>
    <t>Ciencias Naturales e Ingeniería (CNI)</t>
  </si>
  <si>
    <t xml:space="preserve">Ingeniería en Computación </t>
  </si>
  <si>
    <t>CONAIC</t>
  </si>
  <si>
    <t>CAPEM</t>
  </si>
  <si>
    <t xml:space="preserve">Ingeniería Biológica </t>
  </si>
  <si>
    <t>6 diciembre,2022</t>
  </si>
  <si>
    <t>CACEB</t>
  </si>
  <si>
    <t>10 febrero,2022</t>
  </si>
  <si>
    <t xml:space="preserve">CONAIC: Consejo Nacional de Acreditación en Informática y Computación, A.C. </t>
  </si>
  <si>
    <t>CAPEM: Consejo de Acreditación de Programas Educativos en Matemáticas A.C.</t>
  </si>
  <si>
    <t>CACEB: Comité de Acreditación y Certificación de la Licenciatura en Biología, A.C.</t>
  </si>
  <si>
    <t xml:space="preserve">Ingeniería Biomédica </t>
  </si>
  <si>
    <t xml:space="preserve">Ingeniería Hidrológica </t>
  </si>
  <si>
    <t xml:space="preserve">Matemáticas  </t>
  </si>
  <si>
    <t>CONAECQ</t>
  </si>
  <si>
    <t>Ciencias Sociales y Humanidades CSH)</t>
  </si>
  <si>
    <t xml:space="preserve">Lingüística </t>
  </si>
  <si>
    <t xml:space="preserve">Geografía Humana </t>
  </si>
  <si>
    <t>Ciencias Biológicas y de la Salud
(CBS)</t>
  </si>
  <si>
    <t xml:space="preserve">Biología Experimental </t>
  </si>
  <si>
    <t>CONAECQ: Consejo Nacional para la Evaluación de programas de Ciencias Químicas, A.C</t>
  </si>
  <si>
    <t>ORGANISMO ACREDITADOR O EVALUADOR</t>
  </si>
  <si>
    <r>
      <t>OBSERVACIONES</t>
    </r>
    <r>
      <rPr>
        <sz val="11"/>
        <rFont val="Calibri"/>
        <family val="2"/>
        <scheme val="minor"/>
      </rPr>
      <t xml:space="preserve"> (Fecha de creación)</t>
    </r>
  </si>
  <si>
    <t xml:space="preserve">Ingeniería en Recursos Hidrícos </t>
  </si>
  <si>
    <t>CIEES</t>
  </si>
  <si>
    <t>Nivel 1</t>
  </si>
  <si>
    <t>Ingeniería en Sistemas Mecatrónicos Industriales</t>
  </si>
  <si>
    <t xml:space="preserve">Políticas Públicas </t>
  </si>
  <si>
    <t>Ciencias Biológicas y de la Salud (CBS)</t>
  </si>
  <si>
    <t>Ciencia y Tecnología de Alimentos</t>
  </si>
  <si>
    <t>CIEES: Comités Interinstitucionales para la Evaluación de la Educación Superior</t>
  </si>
  <si>
    <r>
      <rPr>
        <b/>
        <sz val="8"/>
        <rFont val="Calibri"/>
        <family val="2"/>
      </rPr>
      <t>FUENTE:</t>
    </r>
    <r>
      <rPr>
        <sz val="8"/>
        <rFont val="Calibri"/>
        <family val="2"/>
      </rPr>
      <t xml:space="preserve"> Colegio Académico</t>
    </r>
  </si>
  <si>
    <t xml:space="preserve">Psicología </t>
  </si>
  <si>
    <t>CNEIP</t>
  </si>
  <si>
    <t>Química Farmaceútica Biológica</t>
  </si>
  <si>
    <t>COMAEF</t>
  </si>
  <si>
    <t>COMEAA</t>
  </si>
  <si>
    <t>COMAEM</t>
  </si>
  <si>
    <t>CONCAPREN</t>
  </si>
  <si>
    <t>Ciencias y Artes para el Diseño
(CAD)</t>
  </si>
  <si>
    <t xml:space="preserve">Planeación Territorial </t>
  </si>
  <si>
    <t>CNEIP: Consejo Nacional para la Enseñanza e Investigación en Psicología, A.C.</t>
  </si>
  <si>
    <t xml:space="preserve">COMACE: Consejo Mexicano para la  Acreditación y Certificación de la Enfermería, A.C. </t>
  </si>
  <si>
    <t xml:space="preserve">COMAEF: Consejo Mexicano para la Acreditación de la Educación Farmacéutica </t>
  </si>
  <si>
    <t>COMEAA: Comité Mexicano de Acreditación de la Educación Agronómica, A. C.</t>
  </si>
  <si>
    <t xml:space="preserve">COMAEM: Consejo Mexicano para la Acreditación de la Educación Médica, A.C. </t>
  </si>
  <si>
    <t>CONCAPREN: Consejo Nacional para la Calidad de Programas Educativos en Nutriología, A.C.</t>
  </si>
  <si>
    <t xml:space="preserve">ANPADEH: Acreditadora Nacional de Programas de Arquitectura y Disciplinas del Espacio Habitable, A. C. </t>
  </si>
  <si>
    <t>Evaluables</t>
  </si>
  <si>
    <t>División / Unidad</t>
  </si>
  <si>
    <t>Planes trim. 20-O</t>
  </si>
  <si>
    <t>Acreditados / Evaluados</t>
  </si>
  <si>
    <t>No acreditados</t>
  </si>
  <si>
    <t>No evaluables</t>
  </si>
  <si>
    <t>%</t>
  </si>
  <si>
    <t>Planes 2019</t>
  </si>
  <si>
    <t>Planes 2018</t>
  </si>
  <si>
    <t>Acreditados</t>
  </si>
  <si>
    <r>
      <t xml:space="preserve">Planes
</t>
    </r>
    <r>
      <rPr>
        <b/>
        <sz val="11"/>
        <color rgb="FFFF0000"/>
        <rFont val="Calibri"/>
        <family val="2"/>
        <scheme val="minor"/>
      </rPr>
      <t>2017</t>
    </r>
  </si>
  <si>
    <t>Planes EVALUABLES</t>
  </si>
  <si>
    <r>
      <t>Acreditados</t>
    </r>
    <r>
      <rPr>
        <b/>
        <sz val="11"/>
        <color rgb="FFFF0000"/>
        <rFont val="Calibri"/>
        <family val="2"/>
        <scheme val="minor"/>
      </rPr>
      <t xml:space="preserve"> 2017</t>
    </r>
  </si>
  <si>
    <t>TOTAL</t>
  </si>
  <si>
    <t>Planes</t>
  </si>
  <si>
    <t>Planes de buena calidad 2016</t>
  </si>
  <si>
    <t xml:space="preserve">CIEES nivel 1  </t>
  </si>
  <si>
    <t>Planes de buena calidad 2015</t>
  </si>
  <si>
    <r>
      <t>Planes</t>
    </r>
    <r>
      <rPr>
        <sz val="11"/>
        <color indexed="8"/>
        <rFont val="Calibri"/>
        <family val="2"/>
        <scheme val="minor"/>
      </rPr>
      <t xml:space="preserve"> Trim.14-O</t>
    </r>
  </si>
  <si>
    <t>Planes de buena calidad 2014</t>
  </si>
  <si>
    <t>AZCAPOTZALCO</t>
  </si>
  <si>
    <t>CUAJIMALPA</t>
  </si>
  <si>
    <t>IZTAPALAPA</t>
  </si>
  <si>
    <t>LERMA</t>
  </si>
  <si>
    <t>XOCHIMILCO</t>
  </si>
  <si>
    <r>
      <t>Planes</t>
    </r>
    <r>
      <rPr>
        <sz val="11"/>
        <color indexed="8"/>
        <rFont val="Calibri"/>
        <family val="2"/>
        <scheme val="minor"/>
      </rPr>
      <t xml:space="preserve"> Trim.13-O</t>
    </r>
  </si>
  <si>
    <t>Planes de buena calidad 2013</t>
  </si>
  <si>
    <r>
      <t>Planes</t>
    </r>
    <r>
      <rPr>
        <sz val="11"/>
        <color indexed="8"/>
        <rFont val="Calibri"/>
        <family val="2"/>
        <scheme val="minor"/>
      </rPr>
      <t xml:space="preserve"> Trim.12-O</t>
    </r>
  </si>
  <si>
    <t>Planes de buena calidad 2012</t>
  </si>
  <si>
    <t>Planes de buena calidad 2011</t>
  </si>
  <si>
    <t>Planes de buena calidad 2010</t>
  </si>
  <si>
    <t xml:space="preserve">Evaluados por CIEES en nivel 1  </t>
  </si>
  <si>
    <r>
      <t>Planes</t>
    </r>
    <r>
      <rPr>
        <sz val="11"/>
        <color indexed="8"/>
        <rFont val="Calibri"/>
        <family val="2"/>
        <scheme val="minor"/>
      </rPr>
      <t xml:space="preserve"> Trim.09-O</t>
    </r>
  </si>
  <si>
    <t>Planes de buena calidad 2009</t>
  </si>
  <si>
    <r>
      <t>Planes</t>
    </r>
    <r>
      <rPr>
        <sz val="11"/>
        <color indexed="8"/>
        <rFont val="Calibri"/>
        <family val="2"/>
        <scheme val="minor"/>
      </rPr>
      <t xml:space="preserve"> Trim.08-O</t>
    </r>
  </si>
  <si>
    <t>Planes de buena calidad 2008</t>
  </si>
  <si>
    <t>Planes de buena calidad 2007</t>
  </si>
  <si>
    <t>Planes de buena calidad 2006</t>
  </si>
  <si>
    <t>Planes de buena calidad 2005</t>
  </si>
  <si>
    <t>Planes de buena calidad 2004</t>
  </si>
  <si>
    <t>Planes de buena calidad 2003</t>
  </si>
  <si>
    <t>NIVEL / DIVISIÓN / UNIDAD</t>
  </si>
  <si>
    <t>Especialización</t>
  </si>
  <si>
    <r>
      <t>Especialización en Ciencias e Ingeniería</t>
    </r>
    <r>
      <rPr>
        <i/>
        <sz val="10"/>
        <color rgb="FF000000"/>
        <rFont val="Calibri"/>
        <family val="2"/>
        <scheme val="minor"/>
      </rPr>
      <t xml:space="preserve"> (Ambientales, de Materiales)</t>
    </r>
  </si>
  <si>
    <t>Maestría</t>
  </si>
  <si>
    <r>
      <t xml:space="preserve">Posgrado en Ciencias e Ingeniería </t>
    </r>
    <r>
      <rPr>
        <i/>
        <sz val="9"/>
        <color rgb="FF000000"/>
        <rFont val="Calibri"/>
        <family val="2"/>
        <scheme val="minor"/>
      </rPr>
      <t>(Ambientales, de Materiales)</t>
    </r>
  </si>
  <si>
    <t>Maestría en Ingeniería Estructural</t>
  </si>
  <si>
    <t>Maestría en Ciencias de la Computación</t>
  </si>
  <si>
    <t>Maestría en Ingeniería de Procesos</t>
  </si>
  <si>
    <t>Maestría en Optimización</t>
  </si>
  <si>
    <t>Maestría en Ciencias en Ingeniería Electromagnética</t>
  </si>
  <si>
    <t>Doctorado</t>
  </si>
  <si>
    <r>
      <t>Posgrado en Ciencias e Ingeniería</t>
    </r>
    <r>
      <rPr>
        <i/>
        <sz val="9"/>
        <color rgb="FF000000"/>
        <rFont val="Calibri"/>
        <family val="2"/>
        <scheme val="minor"/>
      </rPr>
      <t xml:space="preserve"> (Ambientales, de Materiales)</t>
    </r>
  </si>
  <si>
    <t>Doctorado en Ingeniería Estructural</t>
  </si>
  <si>
    <t>Doctorado en Ingeniería de Procesos</t>
  </si>
  <si>
    <t>Doctorado en Optimización</t>
  </si>
  <si>
    <t>Especialización en Literatura Mexicana del Siglo XX</t>
  </si>
  <si>
    <t>Especialización en Economía y Gestión del Agua</t>
  </si>
  <si>
    <t>Especialización en Sociología de la Educación Superior</t>
  </si>
  <si>
    <r>
      <t>Posgrado en Historiografía</t>
    </r>
    <r>
      <rPr>
        <i/>
        <sz val="9"/>
        <color rgb="FF000000"/>
        <rFont val="Calibri"/>
        <family val="2"/>
        <scheme val="minor"/>
      </rPr>
      <t xml:space="preserve"> </t>
    </r>
  </si>
  <si>
    <t>Posgrado en Historiografía</t>
  </si>
  <si>
    <t>Maestría en Historiografía de México</t>
  </si>
  <si>
    <t>Maestría en Ciencias Económicas</t>
  </si>
  <si>
    <t>Maestría en Sociología</t>
  </si>
  <si>
    <t>Maestría en Planeación y Políticas Metropolitanas</t>
  </si>
  <si>
    <t>Maestría en Literatura Mexicana Contemporánea</t>
  </si>
  <si>
    <t>Maestría en Economía</t>
  </si>
  <si>
    <t>Maestría en Derecho</t>
  </si>
  <si>
    <t>Posgrado Integral en Ciencias Administrativas</t>
  </si>
  <si>
    <t>Doctorado en Ciencias Económicas</t>
  </si>
  <si>
    <t>Doctorado en Sociología</t>
  </si>
  <si>
    <t>Especialización en Diseño</t>
  </si>
  <si>
    <t>Especialización en Diseño Ambiental</t>
  </si>
  <si>
    <t>Posgrado en Diseño, Planificación y Conservación de Paisajes y Jardines</t>
  </si>
  <si>
    <t>Maestría en Diseño</t>
  </si>
  <si>
    <t>Posgrado en Diseño Bioclimático</t>
  </si>
  <si>
    <t>Posgrado en Diseño y Desarrollo de Productos</t>
  </si>
  <si>
    <t>Posgrado en Diseño y Estudios Urbanos</t>
  </si>
  <si>
    <t>Posgrado en Diseño y Visualización de la Información</t>
  </si>
  <si>
    <t>Posgrado en Diseño para la Rehabilitación, Recuperación y Conservación del Patrimonio Construido</t>
  </si>
  <si>
    <t>Doctorado en Diseño</t>
  </si>
  <si>
    <t>Total Azcapotzalco</t>
  </si>
  <si>
    <t>Maestría en Ciencias Sociales y Humanidades</t>
  </si>
  <si>
    <t>Doctorado en Ciencias Sociales y Humanidades</t>
  </si>
  <si>
    <t>Maestría en Diseño, Información y Comunicación</t>
  </si>
  <si>
    <t>Especialización en Ciencias Naturales e Ingeniería</t>
  </si>
  <si>
    <t>Maestría en Ciencias Naturales e Ingeniería</t>
  </si>
  <si>
    <t>Doctorado en Ciencias Naturales e Ingeniería</t>
  </si>
  <si>
    <t>Doctorado en Ciencias Biológicas y de la Salud</t>
  </si>
  <si>
    <t>Total Cuajimalpa</t>
  </si>
  <si>
    <t>Especialización en Física Médica Clínica</t>
  </si>
  <si>
    <t xml:space="preserve">Posgrado en Física </t>
  </si>
  <si>
    <r>
      <t>Posgrado en Matemáticas</t>
    </r>
    <r>
      <rPr>
        <i/>
        <sz val="9"/>
        <rFont val="Calibri"/>
        <family val="2"/>
        <scheme val="minor"/>
      </rPr>
      <t xml:space="preserve"> </t>
    </r>
  </si>
  <si>
    <t>Posgrado en Química</t>
  </si>
  <si>
    <t>Posgrado en Ingeniería Química</t>
  </si>
  <si>
    <t>Posgrado en Ingeniería Biomédica</t>
  </si>
  <si>
    <t>Maestría en Ciencias y Tecnologías de la Información</t>
  </si>
  <si>
    <t>Posgrado en Energía y Medio Ambiente</t>
  </si>
  <si>
    <t>Posgrado en Física</t>
  </si>
  <si>
    <t xml:space="preserve">Posgrado en Matemáticas </t>
  </si>
  <si>
    <t xml:space="preserve">Posgrado en Química </t>
  </si>
  <si>
    <t>Doctorado en Ciencias y Tecnologías de la Información</t>
  </si>
  <si>
    <t xml:space="preserve">Posgrado en Energía y Medio Ambiente </t>
  </si>
  <si>
    <t>Doctorado en Ciencias</t>
  </si>
  <si>
    <t>Especialización en Ciencias Antropológicas</t>
  </si>
  <si>
    <t>Maestría en Ciencias Antropológicas</t>
  </si>
  <si>
    <t>Maestría en Estudios Organizacionales</t>
  </si>
  <si>
    <t>Maestría en Humanidades</t>
  </si>
  <si>
    <t>Maestría en Estudios Sociales</t>
  </si>
  <si>
    <t>Maestría en Psicología Social</t>
  </si>
  <si>
    <t>Doctorado en Ciencias Antropológicas</t>
  </si>
  <si>
    <t>Doctorado en Estudios Organizacionales</t>
  </si>
  <si>
    <t>Doctorado en Humanidades</t>
  </si>
  <si>
    <t>Doctorado en Estudios Sociales</t>
  </si>
  <si>
    <t>Doctorado en Psicología Social</t>
  </si>
  <si>
    <t>Especialización en Biotecnología</t>
  </si>
  <si>
    <t>Especialización en Acupuntura y Fitoterapia</t>
  </si>
  <si>
    <t xml:space="preserve">Posgrado en Biotecnología </t>
  </si>
  <si>
    <t>Posgrado en Biología Experimental</t>
  </si>
  <si>
    <t>Maestría en Biología de la Reproducción Animal</t>
  </si>
  <si>
    <t>Maestría en Biología</t>
  </si>
  <si>
    <t>Posgrado en Biotecnología</t>
  </si>
  <si>
    <t>Total Iztapalapa</t>
  </si>
  <si>
    <t>Total Lerma</t>
  </si>
  <si>
    <t>Especialización en Estudios de la Mujer</t>
  </si>
  <si>
    <t>Especialización en Desarrollo Rural</t>
  </si>
  <si>
    <t>Maestría en Estudios de la Mujer</t>
  </si>
  <si>
    <t>Maestría en Desarrollo Rural</t>
  </si>
  <si>
    <t>Maestría en Desarrollo y Planeación de la Educación</t>
  </si>
  <si>
    <t>Maestría en Economía, Gestión y Políticas de Innovación</t>
  </si>
  <si>
    <t>Maestría en Psicología Social de Grupos e Instituciones</t>
  </si>
  <si>
    <t>Maestría en Políticas Públicas</t>
  </si>
  <si>
    <t>Maestría en Comunicación y Política</t>
  </si>
  <si>
    <t>Maestría en Relaciones Internacionales</t>
  </si>
  <si>
    <t>Maestría en Sociedades Sustentables</t>
  </si>
  <si>
    <t>Doctorado en Desarrollo Rural</t>
  </si>
  <si>
    <t>Doctorado en Ciencias Sociales</t>
  </si>
  <si>
    <t>Doctorado en Estudios Feministas</t>
  </si>
  <si>
    <t>Especialización en Patología y Medicina Bucal</t>
  </si>
  <si>
    <t>Especialización en Diagnóstico Integral y Patología Bucal</t>
  </si>
  <si>
    <t>Especialización en Medicina Social</t>
  </si>
  <si>
    <t>Maestría en Patología y Medicina Bucal</t>
  </si>
  <si>
    <t>Maestría en Medicina Social</t>
  </si>
  <si>
    <t>Maestría en Rehabilitación Neurológica</t>
  </si>
  <si>
    <t>Maestría en Ciencias en Salud de los Trabajadores</t>
  </si>
  <si>
    <r>
      <t xml:space="preserve">Maestría en Población y Salud </t>
    </r>
    <r>
      <rPr>
        <i/>
        <sz val="10"/>
        <color rgb="FF000000"/>
        <rFont val="Calibri"/>
        <family val="2"/>
        <scheme val="minor"/>
      </rPr>
      <t>(Área de Planificación Familiar)</t>
    </r>
  </si>
  <si>
    <t>Maestría en Ciencias Farmacéuticas</t>
  </si>
  <si>
    <t>Maestría en Ciencias Agropecuarias</t>
  </si>
  <si>
    <t>Maestría en Ciencias Odontológicas</t>
  </si>
  <si>
    <t>Maestría en Ecología Aplicada</t>
  </si>
  <si>
    <t>Doctorado en Ciencias en Salud Colectiva</t>
  </si>
  <si>
    <t>Doctorado en Ciencias Agropecuarias</t>
  </si>
  <si>
    <t>Maestría en Ciencias y Artes para el Diseño</t>
  </si>
  <si>
    <t>Maestría en Reutilización del Patrimonio Edificado</t>
  </si>
  <si>
    <t>Maestría en Diseño y Producción Editorial</t>
  </si>
  <si>
    <t>Doctorado en Ciencias y Artes para el Diseño</t>
  </si>
  <si>
    <t>Total Xochimilco</t>
  </si>
  <si>
    <t>FUENTE: AGA de posgrado - Dirección de Sistemas Escolares</t>
  </si>
  <si>
    <t>INSCRITOS DE
PRIMER INGRESO A POSGRADO</t>
  </si>
  <si>
    <t>Total CBI</t>
  </si>
  <si>
    <t>Total CSH</t>
  </si>
  <si>
    <t>Total CAD</t>
  </si>
  <si>
    <t>Total CCD</t>
  </si>
  <si>
    <t>Total CNI</t>
  </si>
  <si>
    <t>Total CBS</t>
  </si>
  <si>
    <t>Total UAM</t>
  </si>
  <si>
    <t>NIVEL/DIVISIÓN/UNIDAD</t>
  </si>
  <si>
    <t>PLAN DE ESTUDIO</t>
  </si>
  <si>
    <r>
      <t>Posgrado  en Ciencias e Ingeniería</t>
    </r>
    <r>
      <rPr>
        <i/>
        <sz val="10"/>
        <color rgb="FF000000"/>
        <rFont val="Calibri"/>
        <family val="2"/>
        <scheme val="minor"/>
      </rPr>
      <t xml:space="preserve"> (Ambientales, de Materiales)*</t>
    </r>
  </si>
  <si>
    <t>Posgrado en Ingeniería de Procesos</t>
  </si>
  <si>
    <t>Posgrado en Optimización</t>
  </si>
  <si>
    <t>Maestría en Ciencias en Ing. Electromagnética</t>
  </si>
  <si>
    <r>
      <t>Posgrado en Ciencias e Ingeniería</t>
    </r>
    <r>
      <rPr>
        <i/>
        <sz val="10"/>
        <color rgb="FF000000"/>
        <rFont val="Calibri"/>
        <family val="2"/>
        <scheme val="minor"/>
      </rPr>
      <t xml:space="preserve"> (Ambientales, de Materiales)*</t>
    </r>
  </si>
  <si>
    <t>Posgrado en Ciencias Naturales e Ingeniería (Especialización)</t>
  </si>
  <si>
    <t>Posgrado en Ciencias Naturales e Ingeniería (Maestría)</t>
  </si>
  <si>
    <t>Posgrado en Ciencias Naturales e Ingeniería (Doctorado)</t>
  </si>
  <si>
    <t>Especialización  en Física Médica Clínica</t>
  </si>
  <si>
    <t>Posgrado en Matemáticas</t>
  </si>
  <si>
    <t>Maestría en Energía y Medio Ambiente</t>
  </si>
  <si>
    <t>Doctorado en Energía y Medio Ambiente</t>
  </si>
  <si>
    <t>Maestría en Filosofía de la Ciencia</t>
  </si>
  <si>
    <t>Maestría en Sociología del Trabajo</t>
  </si>
  <si>
    <t>Maestría y Doctorado en Psicología Social</t>
  </si>
  <si>
    <t>|</t>
  </si>
  <si>
    <t>Maestría en Población y Salud</t>
  </si>
  <si>
    <t>Maestría y Doctorado en Ciencias Farmacéuticas</t>
  </si>
  <si>
    <r>
      <rPr>
        <b/>
        <sz val="10"/>
        <rFont val="Calibri"/>
        <family val="2"/>
        <scheme val="minor"/>
      </rPr>
      <t>*</t>
    </r>
    <r>
      <rPr>
        <sz val="9"/>
        <rFont val="Calibri"/>
        <family val="2"/>
        <scheme val="minor"/>
      </rPr>
      <t xml:space="preserve"> Este nombre corresponde al código 180 del AGA y hasta 2017-P su nombre era: Especialidad-maestría y doctorado en ciencias e ingeniería con código 105
Este nombre corresponde al código 180 del AGA y anteriormente el nombre era: Especialidad-maestría y doctorado en ciencias e ingeniería con código 105
</t>
    </r>
  </si>
  <si>
    <t>ALUMNOS DE POSGRADO QUE REGISTRARON ACTIVIDAD ACADEMICA</t>
  </si>
  <si>
    <r>
      <t>Maestría  en Ciencias e Ingeniería</t>
    </r>
    <r>
      <rPr>
        <i/>
        <sz val="10"/>
        <color rgb="FF000000"/>
        <rFont val="Calibri"/>
        <family val="2"/>
        <scheme val="minor"/>
      </rPr>
      <t xml:space="preserve"> </t>
    </r>
    <r>
      <rPr>
        <i/>
        <sz val="9"/>
        <color rgb="FF000000"/>
        <rFont val="Calibri"/>
        <family val="2"/>
        <scheme val="minor"/>
      </rPr>
      <t>(ambientales, de materiales)</t>
    </r>
  </si>
  <si>
    <r>
      <t>Posgrado en Ciencias e Ingeniería</t>
    </r>
    <r>
      <rPr>
        <i/>
        <sz val="9"/>
        <rFont val="Calibri"/>
        <family val="2"/>
        <scheme val="minor"/>
      </rPr>
      <t xml:space="preserve"> (Ambientales, Materiales)</t>
    </r>
  </si>
  <si>
    <r>
      <t>Doctorado en Ciencias e Ingeniería</t>
    </r>
    <r>
      <rPr>
        <sz val="9"/>
        <rFont val="Calibri"/>
        <family val="2"/>
        <scheme val="minor"/>
      </rPr>
      <t xml:space="preserve"> </t>
    </r>
    <r>
      <rPr>
        <i/>
        <sz val="9"/>
        <color rgb="FF000000"/>
        <rFont val="Calibri"/>
        <family val="2"/>
        <scheme val="minor"/>
      </rPr>
      <t>(ambientales, de materiales)</t>
    </r>
  </si>
  <si>
    <t>Especialización en Literatura Mexicana del siglo XX</t>
  </si>
  <si>
    <t>Posgrado en historiografía</t>
  </si>
  <si>
    <t>Especialización en diseño</t>
  </si>
  <si>
    <t>Maestría en diseño</t>
  </si>
  <si>
    <t>Doctorado en diseño</t>
  </si>
  <si>
    <t>Maestría en sociología del trabajo</t>
  </si>
  <si>
    <t>Esp.</t>
  </si>
  <si>
    <t>Especialización y Maestría en Estudios de la Mujer</t>
  </si>
  <si>
    <t>Posgrado en Ciencias Naturales e Ingeniería (especialidad)</t>
  </si>
  <si>
    <t>Posgrado en Ciencias Naturales e Ingeniería (maestría)</t>
  </si>
  <si>
    <t>Posgrado en Ciencias Naturales e Ingeniería (doctorado)</t>
  </si>
  <si>
    <t>EQUIVALENCIA A LICENCIATURA (Esp. = 1, Mría. = 2, Doc. = 3)</t>
  </si>
  <si>
    <t>GRADO</t>
  </si>
  <si>
    <t>TOTAL CBI</t>
  </si>
  <si>
    <t>TOTAL CSH</t>
  </si>
  <si>
    <t>TOTAL CAD</t>
  </si>
  <si>
    <t>TOTAL CBS</t>
  </si>
  <si>
    <t>TOTAL CCD</t>
  </si>
  <si>
    <t>TOTAL CNI</t>
  </si>
  <si>
    <t>TOTAL CBS-Lerma</t>
  </si>
  <si>
    <t>ESTUDIANTES QUE TERMINARON ESTUDIOS DE POSGRADO</t>
  </si>
  <si>
    <r>
      <rPr>
        <sz val="9"/>
        <rFont val="Calibri"/>
        <family val="2"/>
        <scheme val="minor"/>
      </rPr>
      <t xml:space="preserve">Para ver más información sobre cohorte generacional y plazo máximo reglamentado: </t>
    </r>
    <r>
      <rPr>
        <u/>
        <sz val="9"/>
        <color indexed="12"/>
        <rFont val="Calibri"/>
        <family val="2"/>
        <scheme val="minor"/>
      </rPr>
      <t>https://zacatlan.rec.uam.mx:8443/dti/ind/iiwbc000</t>
    </r>
  </si>
  <si>
    <r>
      <t xml:space="preserve">Especialización  en Ciencias e Ingeniería </t>
    </r>
    <r>
      <rPr>
        <i/>
        <sz val="10"/>
        <color indexed="8"/>
        <rFont val="Calibri"/>
        <family val="2"/>
        <scheme val="minor"/>
      </rPr>
      <t>(Ambientales, de Materiales)</t>
    </r>
  </si>
  <si>
    <r>
      <t>Maestría  en Ciencias e Ingeniería</t>
    </r>
    <r>
      <rPr>
        <i/>
        <sz val="10"/>
        <color indexed="8"/>
        <rFont val="Calibri"/>
        <family val="2"/>
        <scheme val="minor"/>
      </rPr>
      <t xml:space="preserve"> (Ambientales, de Materiales)</t>
    </r>
  </si>
  <si>
    <t>Posgrado en Ciencias e Ingeniería (ambientales, de Materiales)</t>
  </si>
  <si>
    <r>
      <t xml:space="preserve">Doctorado en Ciencias e Ingeniería </t>
    </r>
    <r>
      <rPr>
        <i/>
        <sz val="10"/>
        <color indexed="8"/>
        <rFont val="Calibri"/>
        <family val="2"/>
        <scheme val="minor"/>
      </rPr>
      <t>(Ambientales, de Materiales)</t>
    </r>
  </si>
  <si>
    <t>Maestría Integral en Ciencias Administrativas</t>
  </si>
  <si>
    <t>Posgrado en Ciencias y Tecnologías de la Información</t>
  </si>
  <si>
    <t>Maestría en Historia</t>
  </si>
  <si>
    <t>Maestría en Investigación en Salud Pública</t>
  </si>
  <si>
    <t>Maestría en Derecho Económico</t>
  </si>
  <si>
    <t>Maestría en Administración del Trabajo</t>
  </si>
  <si>
    <r>
      <t xml:space="preserve">Maestría en Población y Salud </t>
    </r>
    <r>
      <rPr>
        <sz val="8"/>
        <color indexed="8"/>
        <rFont val="Calibri"/>
        <family val="2"/>
        <scheme val="minor"/>
      </rPr>
      <t>(Área de Planificación Familiar)</t>
    </r>
  </si>
  <si>
    <t>Posgrado en Ciencias Sociales y Humanidades</t>
  </si>
  <si>
    <t>Posgrado en Ciencias Naturales e Ingeniería</t>
  </si>
  <si>
    <t>La categoría estudiantes que terminaron estudios de posgrado incluye a las personas que en el año de referencia acreditaron el plan de estudios y/o se graduaron.</t>
  </si>
  <si>
    <t>ESTUDIANTES QUE
TERMINARON ESTUDIOS DE POSGRADO</t>
  </si>
  <si>
    <r>
      <t>ALUMNOS QUE TERMINARON ESTUDIOS DE POSGRADO</t>
    </r>
    <r>
      <rPr>
        <b/>
        <i/>
        <sz val="11"/>
        <rFont val="Arial"/>
        <family val="2"/>
      </rPr>
      <t xml:space="preserve"> ACUMULADO</t>
    </r>
  </si>
  <si>
    <r>
      <t xml:space="preserve">Especialización en Ciencias e Ingeniería </t>
    </r>
    <r>
      <rPr>
        <i/>
        <sz val="10"/>
        <color theme="0" tint="-0.499984740745262"/>
        <rFont val="Calibri"/>
        <family val="2"/>
        <scheme val="minor"/>
      </rPr>
      <t>(Ambientales, de Materiales)</t>
    </r>
  </si>
  <si>
    <r>
      <t xml:space="preserve">Maestría  en Ciencias e Ingeniería </t>
    </r>
    <r>
      <rPr>
        <i/>
        <sz val="10"/>
        <color theme="0" tint="-0.499984740745262"/>
        <rFont val="Calibri"/>
        <family val="2"/>
        <scheme val="minor"/>
      </rPr>
      <t>(Ambientales, de Materiales)</t>
    </r>
  </si>
  <si>
    <r>
      <t xml:space="preserve">Doctorado en Ciencias e Ingeniería </t>
    </r>
    <r>
      <rPr>
        <i/>
        <sz val="10"/>
        <color theme="0" tint="-0.499984740745262"/>
        <rFont val="Calibri"/>
        <family val="2"/>
        <scheme val="minor"/>
      </rPr>
      <t>(Ambientales, de Materiales)</t>
    </r>
  </si>
  <si>
    <t>Doctorado en Historiografía</t>
  </si>
  <si>
    <t>Maestría en Desarrollo de Productos</t>
  </si>
  <si>
    <t>Maestría en Física</t>
  </si>
  <si>
    <t>Maestría en Química</t>
  </si>
  <si>
    <t>Maestría en Matemáticas</t>
  </si>
  <si>
    <t>Maestría en Ingeniería Química</t>
  </si>
  <si>
    <t>Maestría en Ingeniería Biomédica</t>
  </si>
  <si>
    <t>Maestría-Doctorado en Ciencias Económicas</t>
  </si>
  <si>
    <t>Maestría y Doctorado en Ciencias Económicas</t>
  </si>
  <si>
    <t>Maestría en Biología Experimental</t>
  </si>
  <si>
    <t>Doctorado en Ciencias Biológicas</t>
  </si>
  <si>
    <t>Especialización-Maestría en Estudios de la Mujer</t>
  </si>
  <si>
    <t>Maestría en Economía y Gestión del Cambio Tecnológico</t>
  </si>
  <si>
    <t>Especialización y Maestría En Patología y Medicina Bucal</t>
  </si>
  <si>
    <t>Maestría en Ciencias en Salud de losTrabajadores</t>
  </si>
  <si>
    <r>
      <t>Maestría en Población y Salud</t>
    </r>
    <r>
      <rPr>
        <i/>
        <sz val="10"/>
        <color theme="1"/>
        <rFont val="Calibri"/>
        <family val="2"/>
        <scheme val="minor"/>
      </rPr>
      <t xml:space="preserve"> (Área de Planificación Familiar)</t>
    </r>
  </si>
  <si>
    <t>Mtría en Ecología Aplicada</t>
  </si>
  <si>
    <t xml:space="preserve">Posgrado en Ciencias Sociales y Humanidades </t>
  </si>
  <si>
    <r>
      <t xml:space="preserve">ALUMNOS QUE
TERMINARON ESTUDIOS DE POSGRADO </t>
    </r>
    <r>
      <rPr>
        <b/>
        <i/>
        <sz val="11"/>
        <rFont val="Arial"/>
        <family val="2"/>
      </rPr>
      <t>ACUMULADO</t>
    </r>
    <r>
      <rPr>
        <b/>
        <sz val="11"/>
        <rFont val="Arial"/>
        <family val="2"/>
      </rPr>
      <t xml:space="preserve"> </t>
    </r>
  </si>
  <si>
    <t>Mtría.</t>
  </si>
  <si>
    <t>Doct.</t>
  </si>
  <si>
    <t>PLANES DE POSGRADO</t>
  </si>
  <si>
    <t>NIVEL</t>
  </si>
  <si>
    <t>PLANES DE ESTUDIOS</t>
  </si>
  <si>
    <t>NIVEL PNPC</t>
  </si>
  <si>
    <t>Consolidado</t>
  </si>
  <si>
    <t>En desarrollo</t>
  </si>
  <si>
    <t>Reciente creación</t>
  </si>
  <si>
    <t>Maestría en Historiografía</t>
  </si>
  <si>
    <t>Maestría  en Sociología</t>
  </si>
  <si>
    <r>
      <t xml:space="preserve">Compartido: </t>
    </r>
    <r>
      <rPr>
        <sz val="11"/>
        <color rgb="FFCD032E"/>
        <rFont val="Calibri"/>
        <family val="2"/>
        <scheme val="minor"/>
      </rPr>
      <t>Azcapotzalco</t>
    </r>
    <r>
      <rPr>
        <sz val="11"/>
        <rFont val="Calibri"/>
        <family val="2"/>
        <scheme val="minor"/>
      </rPr>
      <t xml:space="preserve">, </t>
    </r>
    <r>
      <rPr>
        <sz val="11"/>
        <color rgb="FF57A519"/>
        <rFont val="Calibri"/>
        <family val="2"/>
        <scheme val="minor"/>
      </rPr>
      <t>Iztapalapa</t>
    </r>
    <r>
      <rPr>
        <sz val="11"/>
        <rFont val="Calibri"/>
        <family val="2"/>
        <scheme val="minor"/>
      </rPr>
      <t xml:space="preserve"> y </t>
    </r>
    <r>
      <rPr>
        <sz val="11"/>
        <color rgb="FF0072CE"/>
        <rFont val="Calibri"/>
        <family val="2"/>
        <scheme val="minor"/>
      </rPr>
      <t>Xochimilco</t>
    </r>
  </si>
  <si>
    <r>
      <t>Compartido:</t>
    </r>
    <r>
      <rPr>
        <sz val="11"/>
        <color rgb="FF57A519"/>
        <rFont val="Calibri"/>
        <family val="2"/>
        <scheme val="minor"/>
      </rPr>
      <t xml:space="preserve"> Iztapalapa</t>
    </r>
    <r>
      <rPr>
        <sz val="11"/>
        <rFont val="Calibri"/>
        <family val="2"/>
        <scheme val="minor"/>
      </rPr>
      <t xml:space="preserve">, </t>
    </r>
    <r>
      <rPr>
        <sz val="11"/>
        <color rgb="FF0072CE"/>
        <rFont val="Calibri"/>
        <family val="2"/>
        <scheme val="minor"/>
      </rPr>
      <t>Xochimilco</t>
    </r>
    <r>
      <rPr>
        <sz val="11"/>
        <rFont val="Calibri"/>
        <family val="2"/>
        <scheme val="minor"/>
      </rPr>
      <t xml:space="preserve">, </t>
    </r>
    <r>
      <rPr>
        <sz val="11"/>
        <color rgb="FFF08200"/>
        <rFont val="Calibri"/>
        <family val="2"/>
        <scheme val="minor"/>
      </rPr>
      <t>Cuajimalpa</t>
    </r>
    <r>
      <rPr>
        <sz val="11"/>
        <rFont val="Calibri"/>
        <family val="2"/>
        <scheme val="minor"/>
      </rPr>
      <t xml:space="preserve"> y</t>
    </r>
    <r>
      <rPr>
        <sz val="11"/>
        <color rgb="FFF08200"/>
        <rFont val="Calibri"/>
        <family val="2"/>
        <scheme val="minor"/>
      </rPr>
      <t xml:space="preserve"> </t>
    </r>
    <r>
      <rPr>
        <sz val="11"/>
        <color rgb="FFAD25A8"/>
        <rFont val="Calibri"/>
        <family val="2"/>
        <scheme val="minor"/>
      </rPr>
      <t>Lerma</t>
    </r>
  </si>
  <si>
    <t>Compartido con CBS</t>
  </si>
  <si>
    <t>Maestría en Ciencias (Matemáticas Aplicadas e Industriales)</t>
  </si>
  <si>
    <t>Maestría en Ciencias (Física)</t>
  </si>
  <si>
    <t>Maestría en Ciencias (Matemáticas)</t>
  </si>
  <si>
    <t>Maestría en Ciencias (Ingeniería Química)</t>
  </si>
  <si>
    <t>Maestría en Ciencias (Ingeniería Biomédica)</t>
  </si>
  <si>
    <t>Maestría en Ciencias (Química)</t>
  </si>
  <si>
    <t>Doctorado en Ciencias (Física)</t>
  </si>
  <si>
    <t>Doctorado en Ciencias (Matemáticas)</t>
  </si>
  <si>
    <t>Doctorado en Ciencias (Ingeniería Química)</t>
  </si>
  <si>
    <t>Doctorado en Ciencias (Ingeniería Biomédica)</t>
  </si>
  <si>
    <t>Doctorado en Ciencias (Química)</t>
  </si>
  <si>
    <t>Competencia internacional</t>
  </si>
  <si>
    <t>Compartido con CBI</t>
  </si>
  <si>
    <t>Maestría en Biotecnología</t>
  </si>
  <si>
    <t>Doctorado en Biotecnología</t>
  </si>
  <si>
    <t>Doctorado en Biología Experimental</t>
  </si>
  <si>
    <r>
      <t>Compartido:</t>
    </r>
    <r>
      <rPr>
        <sz val="11"/>
        <color rgb="FF57A519"/>
        <rFont val="Calibri"/>
        <family val="2"/>
        <scheme val="minor"/>
      </rPr>
      <t xml:space="preserve"> Iztapalapa</t>
    </r>
    <r>
      <rPr>
        <sz val="11"/>
        <rFont val="Calibri"/>
        <family val="2"/>
        <scheme val="minor"/>
      </rPr>
      <t xml:space="preserve">, </t>
    </r>
    <r>
      <rPr>
        <sz val="11"/>
        <color rgb="FF0072CE"/>
        <rFont val="Calibri"/>
        <family val="2"/>
        <scheme val="minor"/>
      </rPr>
      <t>Xochimilco</t>
    </r>
    <r>
      <rPr>
        <sz val="11"/>
        <rFont val="Calibri"/>
        <family val="2"/>
        <scheme val="minor"/>
      </rPr>
      <t xml:space="preserve">, </t>
    </r>
    <r>
      <rPr>
        <sz val="11"/>
        <color rgb="FFF08200"/>
        <rFont val="Calibri"/>
        <family val="2"/>
        <scheme val="minor"/>
      </rPr>
      <t xml:space="preserve">Cuajimalpa </t>
    </r>
    <r>
      <rPr>
        <sz val="11"/>
        <rFont val="Calibri"/>
        <family val="2"/>
        <scheme val="minor"/>
      </rPr>
      <t>y</t>
    </r>
    <r>
      <rPr>
        <sz val="11"/>
        <color rgb="FFF08200"/>
        <rFont val="Calibri"/>
        <family val="2"/>
        <scheme val="minor"/>
      </rPr>
      <t xml:space="preserve"> </t>
    </r>
    <r>
      <rPr>
        <sz val="11"/>
        <color rgb="FFAD25A8"/>
        <rFont val="Calibri"/>
        <family val="2"/>
        <scheme val="minor"/>
      </rPr>
      <t>Lerma</t>
    </r>
  </si>
  <si>
    <t>CBI y CBS</t>
  </si>
  <si>
    <t xml:space="preserve">Maestría en Comunicación y Política </t>
  </si>
  <si>
    <t>Competencia Internacional</t>
  </si>
  <si>
    <t>Especialización en Población y Salud</t>
  </si>
  <si>
    <t>Maestría en Ciencias en Salud de los trabajadores</t>
  </si>
  <si>
    <t>CBS y CNI</t>
  </si>
  <si>
    <t>PLANES DE ESTUDIOS DE POSGRADO</t>
  </si>
  <si>
    <t>Planes de estudios de posgrado</t>
  </si>
  <si>
    <t>Incorporados en el PNPC por grado académico</t>
  </si>
  <si>
    <t>Incorporados en el PNPC por nivel Conacyt</t>
  </si>
  <si>
    <t>No incorporados</t>
  </si>
  <si>
    <t>doc.</t>
  </si>
  <si>
    <r>
      <t xml:space="preserve">Total
</t>
    </r>
    <r>
      <rPr>
        <b/>
        <sz val="11"/>
        <color rgb="FFFF0000"/>
        <rFont val="Calibri"/>
        <family val="2"/>
        <scheme val="minor"/>
      </rPr>
      <t>2020</t>
    </r>
  </si>
  <si>
    <t>CBS Y CNI</t>
  </si>
  <si>
    <t>Interunidades</t>
  </si>
  <si>
    <t>UAM 2019</t>
  </si>
  <si>
    <r>
      <rPr>
        <b/>
        <sz val="11"/>
        <color indexed="8"/>
        <rFont val="Calibri"/>
        <family val="2"/>
        <scheme val="minor"/>
      </rPr>
      <t>FUENTE:</t>
    </r>
    <r>
      <rPr>
        <sz val="11"/>
        <color indexed="8"/>
        <rFont val="Calibri"/>
        <family val="2"/>
        <scheme val="minor"/>
      </rPr>
      <t xml:space="preserve"> Programa Nacional de Posgrados de Calidad (PNPC)</t>
    </r>
  </si>
  <si>
    <t>incorporados en el PNPC por nivel</t>
  </si>
  <si>
    <t>En el PNPC</t>
  </si>
  <si>
    <t>Planes de estudios por nivel</t>
  </si>
  <si>
    <t>Nivel en el PNPC 2018</t>
  </si>
  <si>
    <t>Especialidad</t>
  </si>
  <si>
    <t>Planes de estudio por nivel 2017</t>
  </si>
  <si>
    <t>Nivel de los planes de estudio en el PNPC 2017</t>
  </si>
  <si>
    <t>CBI*</t>
  </si>
  <si>
    <t>INTERUNIDADES</t>
  </si>
  <si>
    <t>Incorporados al PNPC</t>
  </si>
  <si>
    <t>En proceso</t>
  </si>
  <si>
    <t>Planes de estudio por nivel 2016</t>
  </si>
  <si>
    <t>Nivel de los planes de estudio en el PNPC 2016</t>
  </si>
  <si>
    <t>Planes de estudio por nivel 2015</t>
  </si>
  <si>
    <t>Nivel de los planes de estudio en el PNPC 2015</t>
  </si>
  <si>
    <t>Planes de estudio por nivel 2014</t>
  </si>
  <si>
    <t>Planes de estudio en el PNPC 2014</t>
  </si>
  <si>
    <t>Planes de estudio por nivel 2013</t>
  </si>
  <si>
    <t>Planes de estudio en el PNPC 2013</t>
  </si>
  <si>
    <t>Planes de estudio por nivel 2012</t>
  </si>
  <si>
    <t>Planes de estudio en el PNPC 2012</t>
  </si>
  <si>
    <t>Fuente: Oficina de Posgrado, Conacyt</t>
  </si>
  <si>
    <t>Planes de estudio por nivel 2011</t>
  </si>
  <si>
    <t>Planes de estudio acreditados o evaluados 2011</t>
  </si>
  <si>
    <t>Planes de estudio por nivel 2010</t>
  </si>
  <si>
    <t>Planes de estudio acreditados o evaluados 2010</t>
  </si>
  <si>
    <t>Planes de estudio por nivel 2009</t>
  </si>
  <si>
    <t>Planes de estudio en el PNPC 2009</t>
  </si>
  <si>
    <t>Fuente: Programa Nacional de Posgrados de Calidad (PNPC)</t>
  </si>
  <si>
    <t>BECAS UAM</t>
  </si>
  <si>
    <t>No.</t>
  </si>
  <si>
    <t>Nombre de la beca</t>
  </si>
  <si>
    <t>Nivel</t>
  </si>
  <si>
    <t>Pagadas en 2014</t>
  </si>
  <si>
    <t>Pagadas en 2015</t>
  </si>
  <si>
    <t>Pagadas en 2016</t>
  </si>
  <si>
    <t>Pagadas en 2017</t>
  </si>
  <si>
    <t>Pagadas en 2018</t>
  </si>
  <si>
    <t>Pagadas en 2019</t>
  </si>
  <si>
    <t>Pagadas en 2020</t>
  </si>
  <si>
    <t>Personal Académico</t>
  </si>
  <si>
    <t>Becas de Excelencia</t>
  </si>
  <si>
    <t>Beca para estudiantes de licenciatura en Instituciones de Educación Superior en el extranjero en acciones de movilidad en la UAM</t>
  </si>
  <si>
    <t>Beca para participar en Eventos de Difusión y de Investigación en Ciencia y Tecnología</t>
  </si>
  <si>
    <t>Beca de Estancias Posdoctorales</t>
  </si>
  <si>
    <t>Becas de superación del personal académico</t>
  </si>
  <si>
    <t>Apoyo extraordinario para posgrado</t>
  </si>
  <si>
    <t>Cambia de nombre a Becas de Manutención</t>
  </si>
  <si>
    <t>Unidad / División / Planes de estudios</t>
  </si>
  <si>
    <t>Pagadas 2018</t>
  </si>
  <si>
    <t>Pagadas 2019</t>
  </si>
  <si>
    <t>Pagadas 2020</t>
  </si>
  <si>
    <t>Asignadas</t>
  </si>
  <si>
    <t>Pagadas</t>
  </si>
  <si>
    <t>Diseño  de la Comunicación Gráfica</t>
  </si>
  <si>
    <t xml:space="preserve">Diseño </t>
  </si>
  <si>
    <t>Ingeniería en Biología Molecular</t>
  </si>
  <si>
    <t>FUENTE: Oficina de Becas / CGII</t>
  </si>
  <si>
    <t>FUENTE: Oficina de becas. Coordinación General de Información Institucional.</t>
  </si>
  <si>
    <t>Unidad / División/ Planes de estudios</t>
  </si>
  <si>
    <t>INGENIERIA ELECTRICA</t>
  </si>
  <si>
    <t>DERECHO</t>
  </si>
  <si>
    <t>SOCIOLOGIA</t>
  </si>
  <si>
    <t>HUMANIDADES</t>
  </si>
  <si>
    <t>Ing. Ambiental</t>
  </si>
  <si>
    <t>Ing. Civil</t>
  </si>
  <si>
    <t>Ing. Eléctrica</t>
  </si>
  <si>
    <t>Ing. Electrónica</t>
  </si>
  <si>
    <t>Ing. En Computación</t>
  </si>
  <si>
    <t>Ing. Física</t>
  </si>
  <si>
    <t>Ing. Industrial</t>
  </si>
  <si>
    <t>Ing. Mecánica</t>
  </si>
  <si>
    <t>Ing. Metalúrgica</t>
  </si>
  <si>
    <t>Ing. Química</t>
  </si>
  <si>
    <t>Ing. Biomédica</t>
  </si>
  <si>
    <t>Ing. En Energía</t>
  </si>
  <si>
    <t>Ing. Hidrológica</t>
  </si>
  <si>
    <t>Ing. de los Alimentos</t>
  </si>
  <si>
    <t>Ing. Recursos Hídricos</t>
  </si>
  <si>
    <t>No se otorgaron becas en el año 2016</t>
  </si>
  <si>
    <t>Maestria en Ciencias Economicas</t>
  </si>
  <si>
    <t>Maestria en Derecho</t>
  </si>
  <si>
    <t>Maestria en Economia</t>
  </si>
  <si>
    <t>Maestría en Historiografia</t>
  </si>
  <si>
    <t>Maestria en Literatura Mexicana Contemporanea</t>
  </si>
  <si>
    <t>Maestria en Planeacion y Politicas Metropolitanas</t>
  </si>
  <si>
    <t>Doctorado en Historiografia</t>
  </si>
  <si>
    <t>Maestría en Diseño, Creación y Planificación de Paisajes y Jardines</t>
  </si>
  <si>
    <t>Maestría en Diseño Biocliomático</t>
  </si>
  <si>
    <t>Maestría en Diseño para la Rehabilitación, Recuperación y Conservación del Patrimonio Construido</t>
  </si>
  <si>
    <t>Doctorado en Diseño en Estudios Urbanos</t>
  </si>
  <si>
    <t>Maestría en Diseño y Visualización de la Información</t>
  </si>
  <si>
    <t>Doctorado en Diseño y Visualización de la Información</t>
  </si>
  <si>
    <t>Doctorado en Diseño para la Rehabilitación, Recuperación y Conservación del Patrimonio Construido</t>
  </si>
  <si>
    <t>Doctorado en Diseño y Desarrollo de Productos</t>
  </si>
  <si>
    <t>Maestría en Matemáticas Aplicadas e Industriales</t>
  </si>
  <si>
    <t>Maestría en y Tecnologías de la Información</t>
  </si>
  <si>
    <t>Doctorado en Ingeniería Biomédica</t>
  </si>
  <si>
    <t>Doctorado en Matemáticas</t>
  </si>
  <si>
    <t>Doctorado en Ingeniería Química</t>
  </si>
  <si>
    <t>Doctorado en Química</t>
  </si>
  <si>
    <t>Doctorado en  Energía y Medio Ambiente</t>
  </si>
  <si>
    <t>Docotorado en Desarrollo Rural</t>
  </si>
  <si>
    <t>Maestría en ciencias en Salud de los trabajadores</t>
  </si>
  <si>
    <t>Doctorado en Salud Colectiva</t>
  </si>
  <si>
    <t>Maestría en Diseño  y Producción Editorial</t>
  </si>
  <si>
    <t>Masulino</t>
  </si>
  <si>
    <t>Ing. Biológica</t>
  </si>
  <si>
    <t>Total Unidad Xochimiico</t>
  </si>
  <si>
    <t>2020*</t>
  </si>
  <si>
    <t>Ingeniería en computación</t>
  </si>
  <si>
    <t xml:space="preserve">Humanidades </t>
  </si>
  <si>
    <t>* Sin actividad por Pandemia</t>
  </si>
  <si>
    <t>Posgrado en Diseño Bioclimático (Maestría)</t>
  </si>
  <si>
    <t>Posgrado en Diseño Bioclimático (Doctorado)</t>
  </si>
  <si>
    <t>Posgrado en Diseño, Planificación y Conservación de Jardines (Maestría)</t>
  </si>
  <si>
    <t>Posgrado en Diseño, Planificación y Conservación de Jardines (Doctorado)</t>
  </si>
  <si>
    <t>Posgrado en Diseño y Visualización de la Información (Maestría)</t>
  </si>
  <si>
    <t>Posgrado en Diseño y Visualización de la Información (Doctorado)</t>
  </si>
  <si>
    <t>Posgrado en Diseño para la Rehabilitación, Recuperación y Conservación del Patrimonio Construido (Maestría)</t>
  </si>
  <si>
    <t>Posgrado en Diseño para la Rehabilitación, Recuperación y Conservación del Patrimonio Construido (Doctorado)</t>
  </si>
  <si>
    <t>Posgrado en Diseño y Desarrollo de Productos (Maestría)</t>
  </si>
  <si>
    <t>Posgrado en Diseño y Desarrollo de Productos (Doctorado)</t>
  </si>
  <si>
    <t>Maestría en Ciencias en Ingeniería Electromagnetica</t>
  </si>
  <si>
    <t>Maestría en Ciencias e Ingeniería</t>
  </si>
  <si>
    <t xml:space="preserve">Maestría en Literatura Mexicana Contemporánea </t>
  </si>
  <si>
    <t>Doctorado Integral en Ciencias Administrativas</t>
  </si>
  <si>
    <t>Doctorado en Física</t>
  </si>
  <si>
    <t>Maestría en Biología De La Reproducción</t>
  </si>
  <si>
    <t>Doctorado en Diseño (Línea Arquitectura Bioclimática</t>
  </si>
  <si>
    <t>Maestría en Ciencias e Ingeniería (Ambientales y Materiales)</t>
  </si>
  <si>
    <t xml:space="preserve">Maestría en Ciencias Sociales y Humanidades </t>
  </si>
  <si>
    <t xml:space="preserve">Doctorado en Ciencias  y Tecnologías de la Información </t>
  </si>
  <si>
    <t>Maestría en Rehabilitación Neurologica</t>
  </si>
  <si>
    <t>Maestría en Ciencias e Ingeniería (Ambientales, de Materiales)</t>
  </si>
  <si>
    <t>Doctorado en Ciencias e Ingeniería (Ambientales, de Materiales)</t>
  </si>
  <si>
    <t>Maestría en Diseño, Planificación y Conservación de Paisajes y Jardines</t>
  </si>
  <si>
    <t>Maestría en Diseño y Estudios Urbanos</t>
  </si>
  <si>
    <t>Maestria en Ingeniería Biomédica</t>
  </si>
  <si>
    <t>Maestría en Integral en Ciencias Administrativas</t>
  </si>
  <si>
    <t>Maestría en Economía y Gestión de la Innovación</t>
  </si>
  <si>
    <t>Maestía en Desarrollo y Planificación de la Educación</t>
  </si>
  <si>
    <t>Maestría en Políticas Publicas</t>
  </si>
  <si>
    <t xml:space="preserve">Maestría en Ciencias en Salud de los trabajadores </t>
  </si>
  <si>
    <t>Maestría en Ciencias Farmaceúticas</t>
  </si>
  <si>
    <t>Maestría en Ciencias e Ingeniería (Ambientales)</t>
  </si>
  <si>
    <t>Doctorado en Ciencias e Ingeniería (de Materiales)</t>
  </si>
  <si>
    <t>Maestría en Ciencias e Ingeniería (de Materiales)</t>
  </si>
  <si>
    <t>Posgrado en Historiografía (Maestría)</t>
  </si>
  <si>
    <t>Maestría en Literatura Mexicana Contemporanea</t>
  </si>
  <si>
    <t>Maestría en Diseño: Estudios Urbanos</t>
  </si>
  <si>
    <t>Doctorado en Diseño: Estudios Urbanos</t>
  </si>
  <si>
    <t>Maestria en Ciencias Sociales y Humanidades</t>
  </si>
  <si>
    <t>Maestría en Diseño Información y Comunicación</t>
  </si>
  <si>
    <t>Total Unidad cuajimalpa</t>
  </si>
  <si>
    <t>Maestría en Biología de la reproducción animal</t>
  </si>
  <si>
    <t>Doctorado en Ciencias biológicas y de la Salud</t>
  </si>
  <si>
    <t>Maestría en Economía, Gestión y Política de Innovación</t>
  </si>
  <si>
    <t>Maestría en Patología y  Medicina Bucal</t>
  </si>
  <si>
    <t xml:space="preserve"> Maestría en Sociología</t>
  </si>
  <si>
    <t>*Sin actividad por Pandemia</t>
  </si>
  <si>
    <t>Ciencias e Ingeniería-Línea Ambiental</t>
  </si>
  <si>
    <t>Ciencias Sociales y Humanidades</t>
  </si>
  <si>
    <t>posgrado en Ciencias Naturales e Ingeniería</t>
  </si>
  <si>
    <t>Posgrado en Humanidades</t>
  </si>
  <si>
    <t>Bología Experimental</t>
  </si>
  <si>
    <t>Total Unidad lerma</t>
  </si>
  <si>
    <t>Economía y Gestión de la Innovación</t>
  </si>
  <si>
    <t>Psicología Social de Grupos e Instituciones</t>
  </si>
  <si>
    <t xml:space="preserve">Posgrado en Desarrollo Rural </t>
  </si>
  <si>
    <t>Estudios de la Mujer</t>
  </si>
  <si>
    <t>Ciencias Farmacéuticas</t>
  </si>
  <si>
    <t>Ciencias Biológicas y de la Salud</t>
  </si>
  <si>
    <t>Ciencias y Artes para el Diseño</t>
  </si>
  <si>
    <t>FUENTE: Oficina de Posgrado / CGII</t>
  </si>
  <si>
    <t>División/Unidad</t>
  </si>
  <si>
    <t>Departamento / Plan de estudio</t>
  </si>
  <si>
    <t>Energía</t>
  </si>
  <si>
    <t>Optimización</t>
  </si>
  <si>
    <t>Diseño y Estudios Urbanos</t>
  </si>
  <si>
    <t>Investigación y conocimiento</t>
  </si>
  <si>
    <t>Tecnologías de la información</t>
  </si>
  <si>
    <t>Teoría y análisis</t>
  </si>
  <si>
    <t>Ciencias de la comunicación</t>
  </si>
  <si>
    <t>Procesos y tecnología</t>
  </si>
  <si>
    <t>Mtría. en Diseño, Información y Comunicación</t>
  </si>
  <si>
    <t>Antropología</t>
  </si>
  <si>
    <t>Ciencias biológicas y de la Salud</t>
  </si>
  <si>
    <t>Síntesis creativa</t>
  </si>
  <si>
    <t>MA</t>
  </si>
  <si>
    <t>DO</t>
  </si>
  <si>
    <t>ESP</t>
  </si>
  <si>
    <t>Planes de estudios
 División / unidad</t>
  </si>
  <si>
    <r>
      <t xml:space="preserve">PERSONAL ACADÉMICO
DEFINITIVO </t>
    </r>
    <r>
      <rPr>
        <b/>
        <i/>
        <sz val="11"/>
        <color theme="8" tint="-0.249977111117893"/>
        <rFont val="Arial"/>
        <family val="2"/>
      </rPr>
      <t xml:space="preserve"> </t>
    </r>
    <r>
      <rPr>
        <b/>
        <sz val="11"/>
        <rFont val="Arial"/>
        <family val="2"/>
      </rPr>
      <t>POR CATEGORÍA (TOTAL)</t>
    </r>
  </si>
  <si>
    <t>ASISTENTE</t>
  </si>
  <si>
    <t>ASOCIADO</t>
  </si>
  <si>
    <t>TITULAR</t>
  </si>
  <si>
    <t>FUENTE: Base de Nómina correspondiente a la quincena  20 de cada año.  (2018 qna. 18, 2019 qna. 17)</t>
  </si>
  <si>
    <t>Quincena 17 del 2019</t>
  </si>
  <si>
    <t>Quincena 20 del 2020</t>
  </si>
  <si>
    <t>ELABORACIÓN: Dirección de Planeación.</t>
  </si>
  <si>
    <r>
      <t xml:space="preserve">PERSONAL ACADÉMICO
DEFINITIVO DE </t>
    </r>
    <r>
      <rPr>
        <b/>
        <i/>
        <sz val="12"/>
        <color rgb="FFCC9900"/>
        <rFont val="Calibri"/>
        <family val="2"/>
        <scheme val="minor"/>
      </rPr>
      <t>TIEMPO COMPLETO</t>
    </r>
    <r>
      <rPr>
        <b/>
        <sz val="12"/>
        <color indexed="8"/>
        <rFont val="Calibri"/>
        <family val="2"/>
        <scheme val="minor"/>
      </rPr>
      <t xml:space="preserve"> POR CATEGORÍA</t>
    </r>
  </si>
  <si>
    <t>Tiempo Completo</t>
  </si>
  <si>
    <t>FUENTE: Base de Nómina correspondiente a la quincena  20 de cada año.</t>
  </si>
  <si>
    <r>
      <t>PERSONAL ACADÉMICO
DEFINITIVO DE</t>
    </r>
    <r>
      <rPr>
        <b/>
        <sz val="12"/>
        <color rgb="FFCC9900"/>
        <rFont val="Calibri"/>
        <family val="2"/>
        <scheme val="minor"/>
      </rPr>
      <t xml:space="preserve"> </t>
    </r>
    <r>
      <rPr>
        <b/>
        <i/>
        <sz val="12"/>
        <color rgb="FFCC9900"/>
        <rFont val="Calibri"/>
        <family val="2"/>
        <scheme val="minor"/>
      </rPr>
      <t>MEDIO TIEMPO</t>
    </r>
    <r>
      <rPr>
        <b/>
        <sz val="12"/>
        <color indexed="8"/>
        <rFont val="Calibri"/>
        <family val="2"/>
        <scheme val="minor"/>
      </rPr>
      <t xml:space="preserve"> POR CATEGORÍA</t>
    </r>
  </si>
  <si>
    <t>Medio Tiempo</t>
  </si>
  <si>
    <r>
      <t>PERSONAL ACADÉMICO
DEFINITIVO DE</t>
    </r>
    <r>
      <rPr>
        <b/>
        <sz val="12"/>
        <color rgb="FFCC9900"/>
        <rFont val="Calibri"/>
        <family val="2"/>
        <scheme val="minor"/>
      </rPr>
      <t xml:space="preserve"> </t>
    </r>
    <r>
      <rPr>
        <b/>
        <i/>
        <sz val="12"/>
        <color rgb="FFCC9900"/>
        <rFont val="Calibri"/>
        <family val="2"/>
        <scheme val="minor"/>
      </rPr>
      <t>TIEMPO PARCIAL</t>
    </r>
    <r>
      <rPr>
        <b/>
        <sz val="12"/>
        <color indexed="8"/>
        <rFont val="Calibri"/>
        <family val="2"/>
        <scheme val="minor"/>
      </rPr>
      <t xml:space="preserve"> POR CATEGORÍA</t>
    </r>
  </si>
  <si>
    <t>Tiempo Parcial</t>
  </si>
  <si>
    <t>Titular</t>
  </si>
  <si>
    <t>Asociado</t>
  </si>
  <si>
    <t>Asistente</t>
  </si>
  <si>
    <r>
      <t xml:space="preserve">PERSONAL ACADÉMICO
DEFINITIVO DE </t>
    </r>
    <r>
      <rPr>
        <b/>
        <sz val="11"/>
        <color rgb="FFCC9900"/>
        <rFont val="Arial"/>
        <family val="2"/>
      </rPr>
      <t>TIEMPO COMPLETO</t>
    </r>
    <r>
      <rPr>
        <b/>
        <sz val="11"/>
        <color theme="1"/>
        <rFont val="Arial"/>
        <family val="2"/>
      </rPr>
      <t xml:space="preserve"> POR GÉNERO</t>
    </r>
  </si>
  <si>
    <r>
      <t xml:space="preserve">PERSONAL ACADÉMICO
DEFINITIVO DE </t>
    </r>
    <r>
      <rPr>
        <b/>
        <sz val="11"/>
        <color rgb="FFCC9900"/>
        <rFont val="Arial"/>
        <family val="2"/>
      </rPr>
      <t>MEDIO TIEMPO</t>
    </r>
    <r>
      <rPr>
        <b/>
        <sz val="11"/>
        <color theme="1"/>
        <rFont val="Arial"/>
        <family val="2"/>
      </rPr>
      <t xml:space="preserve"> POR GÉNERO</t>
    </r>
  </si>
  <si>
    <r>
      <rPr>
        <b/>
        <sz val="11"/>
        <rFont val="Arial"/>
        <family val="2"/>
      </rPr>
      <t>PERSONAL ACADÉMICO
DEFINITIVO DE</t>
    </r>
    <r>
      <rPr>
        <b/>
        <sz val="11"/>
        <color rgb="FFCC9900"/>
        <rFont val="Arial"/>
        <family val="2"/>
      </rPr>
      <t xml:space="preserve"> TIEMPO PARCIAL POR GÉNERO</t>
    </r>
  </si>
  <si>
    <t>PERSONAL ACADÉMICO
DEFINITIVO TOTAL UAM POR GÉNERO</t>
  </si>
  <si>
    <t>PERSONAL ACADÉMICO DEFINITIVO POR RANGOS DE EDAD</t>
  </si>
  <si>
    <t>RANGOS DE EDAD</t>
  </si>
  <si>
    <t>HASTA 30 AÑOS</t>
  </si>
  <si>
    <t>31 - 35 AÑOS</t>
  </si>
  <si>
    <t>36 - 40 AÑOS</t>
  </si>
  <si>
    <t>41 - 45 AÑOS</t>
  </si>
  <si>
    <t>46 - 50 AÑOS</t>
  </si>
  <si>
    <t>51 - 55 AÑOS</t>
  </si>
  <si>
    <t>56 - 60 AÑOS</t>
  </si>
  <si>
    <t>61 - 65 AÑOS</t>
  </si>
  <si>
    <t>66 - 70 AÑOS</t>
  </si>
  <si>
    <t>MÁS DE 70 AÑOS</t>
  </si>
  <si>
    <t>EDAD PROMEDIO</t>
  </si>
  <si>
    <r>
      <t xml:space="preserve">FUENTE: Base de Datos de Nómina, Quincena 20 de cada año. </t>
    </r>
    <r>
      <rPr>
        <i/>
        <sz val="9"/>
        <color theme="1"/>
        <rFont val="Calibri"/>
        <family val="2"/>
        <scheme val="minor"/>
      </rPr>
      <t>(2018 qna. 18, 2019 qna. 17)</t>
    </r>
  </si>
  <si>
    <t>31 - 40 AÑOS</t>
  </si>
  <si>
    <t>41 - 50 AÑOS</t>
  </si>
  <si>
    <t>51 - 60 AÑOS</t>
  </si>
  <si>
    <t>61 -70 AÑOS</t>
  </si>
  <si>
    <t>PERSONAL ACADÉMICO DEFINITIVO POR AÑOS DE ANTIGÜEDAD</t>
  </si>
  <si>
    <t>RANGOS DE ANTIGÜEDAD</t>
  </si>
  <si>
    <t>HASTA 5 AÑOS</t>
  </si>
  <si>
    <t>6 - 10 AÑOS</t>
  </si>
  <si>
    <t>11 - 15 AÑOS</t>
  </si>
  <si>
    <t>16 - 20 AÑOS</t>
  </si>
  <si>
    <t>21 - 25 AÑOS</t>
  </si>
  <si>
    <t>26 - 30 AÑOS</t>
  </si>
  <si>
    <t>MÁS DE 40 AÑOS</t>
  </si>
  <si>
    <t>ANTIGÜEDAD PROMEDIO</t>
  </si>
  <si>
    <r>
      <t>ALUMNOS ATENDIDOS DE</t>
    </r>
    <r>
      <rPr>
        <b/>
        <sz val="12"/>
        <color rgb="FFCC9900"/>
        <rFont val="Arial"/>
        <family val="2"/>
      </rPr>
      <t xml:space="preserve"> LICENCIATURA Y POSGRADO</t>
    </r>
    <r>
      <rPr>
        <b/>
        <sz val="12"/>
        <rFont val="Arial"/>
        <family val="2"/>
      </rPr>
      <t xml:space="preserve"> POR PERSONAL ACADÉMICO DEFINITIVO </t>
    </r>
    <r>
      <rPr>
        <sz val="10"/>
        <rFont val="Arial"/>
        <family val="2"/>
      </rPr>
      <t>(Activos / PAD)</t>
    </r>
  </si>
  <si>
    <t>Personal academico definitivo estandarizado</t>
  </si>
  <si>
    <t>TC</t>
  </si>
  <si>
    <t>MT</t>
  </si>
  <si>
    <t>TP</t>
  </si>
  <si>
    <t>Alumnos</t>
  </si>
  <si>
    <t>Equivalencia:</t>
  </si>
  <si>
    <t>1 Especialización = 1 Licenciatura</t>
  </si>
  <si>
    <t>1 Maestría = 2 Licenciatura</t>
  </si>
  <si>
    <t>1 Doctorado = 3 Licenciatura</t>
  </si>
  <si>
    <t>2 Medio Tiempo = 1 Tiempo Completo</t>
  </si>
  <si>
    <t>3 Tiempo Parcial = 1 Tiempo Completo</t>
  </si>
  <si>
    <r>
      <t>ALUMNOS ATENDIDOS DE</t>
    </r>
    <r>
      <rPr>
        <b/>
        <sz val="12"/>
        <color rgb="FFCC9900"/>
        <rFont val="Arial"/>
        <family val="2"/>
      </rPr>
      <t xml:space="preserve"> LICENCIATURA</t>
    </r>
    <r>
      <rPr>
        <b/>
        <sz val="12"/>
        <rFont val="Arial"/>
        <family val="2"/>
      </rPr>
      <t xml:space="preserve"> POR PERSONAL ACADÉMICO DEFINITIVO </t>
    </r>
    <r>
      <rPr>
        <sz val="10"/>
        <rFont val="Arial"/>
        <family val="2"/>
      </rPr>
      <t>(Activos / PAD)</t>
    </r>
  </si>
  <si>
    <r>
      <t xml:space="preserve">ALUMNOS ATENDIDOS DE </t>
    </r>
    <r>
      <rPr>
        <b/>
        <sz val="12"/>
        <color rgb="FFCC9900"/>
        <rFont val="Arial"/>
        <family val="2"/>
      </rPr>
      <t>POSGRADO</t>
    </r>
    <r>
      <rPr>
        <b/>
        <sz val="12"/>
        <rFont val="Arial"/>
        <family val="2"/>
      </rPr>
      <t xml:space="preserve"> POR PROFESOR DE TIEMPO COMPLETO</t>
    </r>
  </si>
  <si>
    <t>Alumnos atendidos de posgrado estandarizados</t>
  </si>
  <si>
    <t>UNIDAD / DIVISIÓN</t>
  </si>
  <si>
    <t>AZC</t>
  </si>
  <si>
    <t>CUA</t>
  </si>
  <si>
    <t>IZT</t>
  </si>
  <si>
    <t>ojo con Lerma en la división de Q164 hacia a bajo</t>
  </si>
  <si>
    <t>LER</t>
  </si>
  <si>
    <t>XOC</t>
  </si>
  <si>
    <t>HISTÓRICO DE BECAS Y ESTÍMULOS AL PERSONAL ACADÉMICO</t>
  </si>
  <si>
    <t>BECA O ESTÍMULO</t>
  </si>
  <si>
    <t xml:space="preserve">FUENTE: Base de Nomina del año correspondiente
</t>
  </si>
  <si>
    <t xml:space="preserve">PERSONAL ACADÉMICO DEFINITIVO POR GRADO ACADÉMICO </t>
  </si>
  <si>
    <t>DEPARTAMENTO</t>
  </si>
  <si>
    <t>CIENCIAS BASICAS</t>
  </si>
  <si>
    <t>ELECTRONICA</t>
  </si>
  <si>
    <t>ENERGIA</t>
  </si>
  <si>
    <t>MATERIALES</t>
  </si>
  <si>
    <t>SISTEMAS</t>
  </si>
  <si>
    <t>ADMINISTRACION</t>
  </si>
  <si>
    <t>ECONOMIA</t>
  </si>
  <si>
    <t>MEDIO AMBIENTE</t>
  </si>
  <si>
    <t>EVALUACION DEL DISEÑO EN EL TIEMPO</t>
  </si>
  <si>
    <t>INVESTIGACIÓN Y CONOCIMIENTO DEL DISEÑO</t>
  </si>
  <si>
    <t>PROCESOS Y TECNICAS DE REALIZACION</t>
  </si>
  <si>
    <t>TOTAL AZCAPOTZALCO</t>
  </si>
  <si>
    <t>CIENCIAS SOCIALES</t>
  </si>
  <si>
    <t>ESTUDIOS INSTITUCIONALES</t>
  </si>
  <si>
    <t>CIENCIAS DE LA COMUNICACION</t>
  </si>
  <si>
    <t>TECNOLOGIAS DE LA INFORMACION</t>
  </si>
  <si>
    <t>TEORIA Y PROCESOS DEL DISEÑO</t>
  </si>
  <si>
    <t>CIENCIAS NATURALES</t>
  </si>
  <si>
    <t>MATEMATICAS APLICADAS Y SISTEMAS</t>
  </si>
  <si>
    <t>PROCESOS Y TECNOLOGIA</t>
  </si>
  <si>
    <t>TOTAL CUAJIMALPA</t>
  </si>
  <si>
    <t>FISICA</t>
  </si>
  <si>
    <t>INGENIERIA DE PROCESOS E HIDRAULICA</t>
  </si>
  <si>
    <t>MATEMATICAS</t>
  </si>
  <si>
    <t>QUIMICA</t>
  </si>
  <si>
    <t>ANTROPOLOGIA</t>
  </si>
  <si>
    <t>FILOSOFIA</t>
  </si>
  <si>
    <t>BIOLOGIA</t>
  </si>
  <si>
    <t>BIOLOGIA DE LA REPRODUCCION</t>
  </si>
  <si>
    <t>BIOTECNOLOGIA</t>
  </si>
  <si>
    <t>CIENCIAS DE LA SALUD</t>
  </si>
  <si>
    <t>HIDROBIOLOGIA</t>
  </si>
  <si>
    <t>TOTAL IZTAPALAPA</t>
  </si>
  <si>
    <t>PROCESOS PRODUCTIVOS</t>
  </si>
  <si>
    <t>RECURSOS DE LA TIERRA</t>
  </si>
  <si>
    <t>SISTEMAS DE INFORMACION Y COMUNICACIONES</t>
  </si>
  <si>
    <t>ARTES Y HUMANIDADES</t>
  </si>
  <si>
    <t>ESTUDIOS CULTURALES</t>
  </si>
  <si>
    <t>PROCESOS SOCIALES</t>
  </si>
  <si>
    <t>CIENCIAS AMBIENTALES</t>
  </si>
  <si>
    <t>CIENCIAS DE LA ALIMENTACION</t>
  </si>
  <si>
    <t>TOTAL LERMA</t>
  </si>
  <si>
    <t>EDUCACION Y COMUNICACION</t>
  </si>
  <si>
    <t>POLITICA Y CULTURA</t>
  </si>
  <si>
    <t>PRODUCCION ECONOMICA</t>
  </si>
  <si>
    <t>RELACIONES SOCIALES</t>
  </si>
  <si>
    <t>ATENCION A LA SALUD</t>
  </si>
  <si>
    <t>EL HOMBRE Y SU AMBIENTE</t>
  </si>
  <si>
    <t>PRODUCCION AGRICOLA Y ANIMAL</t>
  </si>
  <si>
    <t>SISTEMAS BIOLOGICOS</t>
  </si>
  <si>
    <t>METODOS Y SISTEMAS</t>
  </si>
  <si>
    <t>SINTESIS CREATIVA</t>
  </si>
  <si>
    <t>TECNOLOGIA Y PRODUCCION</t>
  </si>
  <si>
    <t>TEORIA Y ANALISIS</t>
  </si>
  <si>
    <t>TOTAL XOCHIMILCO</t>
  </si>
  <si>
    <t>FUENTE: Base de Nómina. Incluye Mandos Medios Académicos y Funcionarios Académicos.</t>
  </si>
  <si>
    <t>Quincena 20 del 2017</t>
  </si>
  <si>
    <t>Quincena 18 del 2018</t>
  </si>
  <si>
    <t>Elaboración: Dirección de Planeación.</t>
  </si>
  <si>
    <t>Fuente: Catálogo de Profesores de Tiempo Completo del PROMEP.</t>
  </si>
  <si>
    <t>** Base de datos de promep, AZC envío adicionales a estos</t>
  </si>
  <si>
    <t>PROFESORES
EN EL S N I</t>
  </si>
  <si>
    <t>C</t>
  </si>
  <si>
    <t>FUENTE: Base de datos CONACYT</t>
  </si>
  <si>
    <t>La base del SNI (enero  2015) reporta 1,093, al cruzarla con la nómina resulto que 8 profesores habian fallecido por eso queda 1,084</t>
  </si>
  <si>
    <t>Base de datos del S N I publicada en enero de 2017</t>
  </si>
  <si>
    <t>Base de datos del S N I publicada en enero de 2018</t>
  </si>
  <si>
    <t>Base de datos del S N I publicada en enero de 2019</t>
  </si>
  <si>
    <t>base de datos dada por el área de posgrado</t>
  </si>
  <si>
    <t>Base de datos del S N I publicada en marzo de 2020</t>
  </si>
  <si>
    <t>Nivel 2</t>
  </si>
  <si>
    <t>Nivel 3</t>
  </si>
  <si>
    <t>Candidato</t>
  </si>
  <si>
    <t>2003*</t>
  </si>
  <si>
    <t>CAC</t>
  </si>
  <si>
    <t>CAEC</t>
  </si>
  <si>
    <t>CAEF</t>
  </si>
  <si>
    <t>* No se cuenta con la distribución por División en éste año.</t>
  </si>
  <si>
    <t>El CA cuenta con productos académicos reconocidos por su buena calidad y que se derivan de LGAC/LIIADT/LILCD consolidadas.</t>
  </si>
  <si>
    <t xml:space="preserve">Los integrantes del CA cuentan con amplia experiencia en docencia y en formación de recursos humanos. </t>
  </si>
  <si>
    <t xml:space="preserve">La mayoría de los integrantes cuenta con el Reconocimiento al Perfil Deseable, tienen un alto compromiso con la institución, colaboran entre sí y su producción es evidencia de ello. </t>
  </si>
  <si>
    <t>El CA cuenta con productos académicos reconocidos por su buena calidad y que se derivan del desarrollo de las LGAC/LIIADT/LILCD que cultivan.</t>
  </si>
  <si>
    <t xml:space="preserve">Los integrantes participan conjuntamente en LGAC/LIIADT/LILCD bien definidas. </t>
  </si>
  <si>
    <t xml:space="preserve">Por lo menos la tercera parte de quienes lo integran cuenta con amplia experiencia en docencia y en formación de recursos humanos. </t>
  </si>
  <si>
    <t xml:space="preserve">La mayoría de los integrantes cuentan con reconocimiento al perfil deseable. </t>
  </si>
  <si>
    <t xml:space="preserve">El CA cuenta con evidencias objetivas respecto a su vida colegiada y a las acciones académicas que llevan a cabo en colaboración entre sus integrantes. </t>
  </si>
  <si>
    <t>El CA colabora con otros CA.</t>
  </si>
  <si>
    <t>Los integrantes tienen definidas las LGAC, LIIADT o LILCD que cultivan.</t>
  </si>
  <si>
    <t xml:space="preserve">El CA tiene proyectos de investigación conjuntos para desarrollar las LGAC/LIIADT/LILCD. </t>
  </si>
  <si>
    <t xml:space="preserve">PEl CA tiene identificados a sus integrantes. </t>
  </si>
  <si>
    <t xml:space="preserve">El CA ha identificado algunos CA afines, y de alto nivel, de otras instituciones del país o del extranjero con quienes desean establecer contactos. </t>
  </si>
  <si>
    <t>Cuerpos Académicos Consolidados</t>
  </si>
  <si>
    <t>Cuerpos Académicos en Consolidación</t>
  </si>
  <si>
    <t>Cuerpos Academicos en Formación</t>
  </si>
  <si>
    <t>ACTIVIDADES ACADÉMICAS RELACIONADAS CON LA INVESTIGACIÓN POR UNIDAD Y AÑO DE EVALUACIÓN</t>
  </si>
  <si>
    <t>Año de evaluación</t>
  </si>
  <si>
    <t>Reporte de investigación o técnico</t>
  </si>
  <si>
    <t>Memoria de Congreso in Extenso</t>
  </si>
  <si>
    <t>Artículo especializado de investigación</t>
  </si>
  <si>
    <t>Edición de libro colectivo</t>
  </si>
  <si>
    <t>Libro científico</t>
  </si>
  <si>
    <t>Patentes registro y aceptación de forma para solicitar examen de novedad</t>
  </si>
  <si>
    <t>Expedición de título de patente</t>
  </si>
  <si>
    <t>Trabajos presentados en eventos especializados</t>
  </si>
  <si>
    <t>Conferencias magistrales presentadas en eventos especializados</t>
  </si>
  <si>
    <t>Desarrollo de prototipos o modelos innovadores</t>
  </si>
  <si>
    <t>Desarrollo de paquetes computacionales</t>
  </si>
  <si>
    <t>Coordinación de Libro Científico Colectivo</t>
  </si>
  <si>
    <t>Asesoría de proyectos de investigación</t>
  </si>
  <si>
    <t>TOTAL DE ACTIVIDADES EVALUADAS</t>
  </si>
  <si>
    <t>Fuente: Departamento de Ingreso y Promoción de Personal Académico</t>
  </si>
  <si>
    <t>Actividades</t>
  </si>
  <si>
    <t>Docencia</t>
  </si>
  <si>
    <t>Investigación</t>
  </si>
  <si>
    <t>Preservación y difusión de la cultura</t>
  </si>
  <si>
    <t>Dirección Académica</t>
  </si>
  <si>
    <t>Participación Universitaria</t>
  </si>
  <si>
    <t>Creacion artística</t>
  </si>
  <si>
    <t>Preservación y Difusión de la Cultura</t>
  </si>
  <si>
    <t>Creacion Artística</t>
  </si>
  <si>
    <t>TOTAL
2020</t>
  </si>
  <si>
    <t>FUENTE: Bases del TIPPA de cada año. Departamento de Ingreso y Promoción del Personal Académico.</t>
  </si>
  <si>
    <t>ACTIVIDADES  EVALUADAS POR LAS COMISIONES DICTAMINADORAS POR UNIDAD</t>
  </si>
  <si>
    <t>||</t>
  </si>
  <si>
    <t>Vinculación Universitaria</t>
  </si>
  <si>
    <t>Nuevo</t>
  </si>
  <si>
    <t>ACTIVIDADES DEPORTIVAS</t>
  </si>
  <si>
    <r>
      <t xml:space="preserve">Nivel 1:  Al interior de las Unidades Académicas </t>
    </r>
    <r>
      <rPr>
        <b/>
        <sz val="14"/>
        <color rgb="FFFF0000"/>
        <rFont val="Calibri"/>
        <family val="2"/>
        <scheme val="minor"/>
      </rPr>
      <t>2020</t>
    </r>
  </si>
  <si>
    <r>
      <t xml:space="preserve">Nivel 2: Entre las Unidades académicas </t>
    </r>
    <r>
      <rPr>
        <b/>
        <sz val="14"/>
        <color rgb="FFFF0000"/>
        <rFont val="Calibri"/>
        <family val="2"/>
        <scheme val="minor"/>
      </rPr>
      <t>2020</t>
    </r>
  </si>
  <si>
    <t>a) Torneos Internos *</t>
  </si>
  <si>
    <t>b) Servicios proporcionados a la Comunidad Universitaria *</t>
  </si>
  <si>
    <t>No. de beneficiarios</t>
  </si>
  <si>
    <t>DISCIPLINA</t>
  </si>
  <si>
    <t>NO. DE TORNEOS</t>
  </si>
  <si>
    <t>NO. PARTICIPANTES</t>
  </si>
  <si>
    <t>ACTIVIDAD</t>
  </si>
  <si>
    <t>NO. DE SERVICIOS</t>
  </si>
  <si>
    <t>NO. DE BENEFICIARIOS</t>
  </si>
  <si>
    <t>PERIODICIDAD</t>
  </si>
  <si>
    <t>Participantes</t>
  </si>
  <si>
    <t>Espectadores</t>
  </si>
  <si>
    <t>Ajedrez</t>
  </si>
  <si>
    <t>1</t>
  </si>
  <si>
    <t>Tableros de Ajedrez</t>
  </si>
  <si>
    <t>Serial Atlético "Corriendo por la UAM"</t>
  </si>
  <si>
    <t xml:space="preserve"> Septiembre a Diciembre</t>
  </si>
  <si>
    <t>Atletismo</t>
  </si>
  <si>
    <t>3</t>
  </si>
  <si>
    <t>Actividades Diversas</t>
  </si>
  <si>
    <t>"Caminando por la UAM"</t>
  </si>
  <si>
    <t>Basquetbol</t>
  </si>
  <si>
    <t>Artes Marciales Mixtas</t>
  </si>
  <si>
    <t>Olimpiada UAM</t>
  </si>
  <si>
    <t>Septiembre a Diciembre</t>
  </si>
  <si>
    <t xml:space="preserve">Basquetbol Tercias                              </t>
  </si>
  <si>
    <t>Baloncesto</t>
  </si>
  <si>
    <t>Carrera en Bicicleta</t>
  </si>
  <si>
    <t>Crossfit</t>
  </si>
  <si>
    <t>Fútbol Rápido</t>
  </si>
  <si>
    <t>Dominó</t>
  </si>
  <si>
    <t>Fútbol Rápido Mixto</t>
  </si>
  <si>
    <t>Entrenamiento Funcional</t>
  </si>
  <si>
    <t>Fútbol 5</t>
  </si>
  <si>
    <t>Fútbol 7</t>
  </si>
  <si>
    <t>Fútbol Soccer</t>
  </si>
  <si>
    <t>Gimnasio de Crossfit y Spinning</t>
  </si>
  <si>
    <t xml:space="preserve">Handball </t>
  </si>
  <si>
    <t>Gimnasio de Pesas y Cardio</t>
  </si>
  <si>
    <t>Halterofilia</t>
  </si>
  <si>
    <t>Gimnasio Urbano</t>
  </si>
  <si>
    <t>Pesas</t>
  </si>
  <si>
    <t>Juegos de Mesa</t>
  </si>
  <si>
    <t xml:space="preserve"> Remo Bajo Techo</t>
  </si>
  <si>
    <t>Karate Do</t>
  </si>
  <si>
    <t>Tae Kwon Do (exhibición)</t>
  </si>
  <si>
    <t>Natación</t>
  </si>
  <si>
    <t>Squash</t>
  </si>
  <si>
    <t>Pista de Atletismo y Circuito de Corredores</t>
  </si>
  <si>
    <t>10, 553</t>
  </si>
  <si>
    <t>Tenis</t>
  </si>
  <si>
    <t>Préstamo de material deportivo</t>
  </si>
  <si>
    <t>Tenis de Mesa</t>
  </si>
  <si>
    <t>Spinning</t>
  </si>
  <si>
    <t>Tochito Bandera Femenil y Mixto</t>
  </si>
  <si>
    <t xml:space="preserve">   Torneos Representativos de Unidad</t>
  </si>
  <si>
    <t>Tae Kwon Do</t>
  </si>
  <si>
    <t>Voleibol Tercias</t>
  </si>
  <si>
    <t>Voleibol de Playa</t>
  </si>
  <si>
    <t xml:space="preserve">Tochito bandera </t>
  </si>
  <si>
    <t xml:space="preserve">    Voleibol</t>
  </si>
  <si>
    <t>Voleibol</t>
  </si>
  <si>
    <t>Voleibol Playa</t>
  </si>
  <si>
    <t>* Estos servicios se cuentan por usuario atendido, que en algunos casos se repite.</t>
  </si>
  <si>
    <t>Yoga</t>
  </si>
  <si>
    <r>
      <t xml:space="preserve">Nivel 1:  Al interior de las Unidades Académicas </t>
    </r>
    <r>
      <rPr>
        <b/>
        <sz val="11"/>
        <color rgb="FFFF0000"/>
        <rFont val="Calibri"/>
        <family val="2"/>
        <scheme val="minor"/>
      </rPr>
      <t>2019</t>
    </r>
  </si>
  <si>
    <r>
      <t>Nivel 1:  Al interior de las Unidades Académicas</t>
    </r>
    <r>
      <rPr>
        <b/>
        <sz val="11"/>
        <color rgb="FFFF0000"/>
        <rFont val="Calibri"/>
        <family val="2"/>
        <scheme val="minor"/>
      </rPr>
      <t xml:space="preserve"> 2019</t>
    </r>
  </si>
  <si>
    <r>
      <t>Nivel 2: Entre las Unidades académicas</t>
    </r>
    <r>
      <rPr>
        <b/>
        <sz val="11"/>
        <color rgb="FFFF0000"/>
        <rFont val="Calibri"/>
        <family val="2"/>
        <scheme val="minor"/>
      </rPr>
      <t xml:space="preserve"> 2019</t>
    </r>
  </si>
  <si>
    <t>PARTICIPANTES</t>
  </si>
  <si>
    <t>ESPECTADORES</t>
  </si>
  <si>
    <t>7</t>
  </si>
  <si>
    <t>FESTIUAM 45 AÑOS</t>
  </si>
  <si>
    <t>Octubre a Diciembre</t>
  </si>
  <si>
    <t>Ludoteca</t>
  </si>
  <si>
    <r>
      <t xml:space="preserve">Nivel 1:  Al interior de las Unidades Académicas </t>
    </r>
    <r>
      <rPr>
        <b/>
        <sz val="11"/>
        <color rgb="FFFF0000"/>
        <rFont val="Calibri"/>
        <family val="2"/>
        <scheme val="minor"/>
      </rPr>
      <t>2018</t>
    </r>
  </si>
  <si>
    <r>
      <t>Nivel 1:  Al interior de las Unidades Académicas</t>
    </r>
    <r>
      <rPr>
        <b/>
        <sz val="11"/>
        <color rgb="FFFF0000"/>
        <rFont val="Calibri"/>
        <family val="2"/>
        <scheme val="minor"/>
      </rPr>
      <t xml:space="preserve"> 2018</t>
    </r>
  </si>
  <si>
    <r>
      <t>Nivel 2: Entre las Unidades académicas</t>
    </r>
    <r>
      <rPr>
        <b/>
        <sz val="11"/>
        <color rgb="FFFF0000"/>
        <rFont val="Calibri"/>
        <family val="2"/>
        <scheme val="minor"/>
      </rPr>
      <t xml:space="preserve"> 2018</t>
    </r>
  </si>
  <si>
    <t>11</t>
  </si>
  <si>
    <t>Kendo</t>
  </si>
  <si>
    <t>Lacrosse</t>
  </si>
  <si>
    <r>
      <t xml:space="preserve">Nivel 1:  Al interior de las Unidades Académicas </t>
    </r>
    <r>
      <rPr>
        <b/>
        <sz val="10"/>
        <color rgb="FFFF0000"/>
        <rFont val="Calibri"/>
        <family val="2"/>
        <scheme val="minor"/>
      </rPr>
      <t>2017</t>
    </r>
  </si>
  <si>
    <r>
      <t>Nivel 1:  Al interior de las Unidades Académicas</t>
    </r>
    <r>
      <rPr>
        <b/>
        <sz val="10"/>
        <color rgb="FFFF0000"/>
        <rFont val="Calibri"/>
        <family val="2"/>
        <scheme val="minor"/>
      </rPr>
      <t xml:space="preserve"> 2017</t>
    </r>
  </si>
  <si>
    <r>
      <t>Nivel 2: Entre las Unidades académicas</t>
    </r>
    <r>
      <rPr>
        <b/>
        <sz val="10"/>
        <color rgb="FFFF0000"/>
        <rFont val="Calibri"/>
        <family val="2"/>
        <scheme val="minor"/>
      </rPr>
      <t xml:space="preserve"> 2017</t>
    </r>
  </si>
  <si>
    <t>Caminando por la UAM</t>
  </si>
  <si>
    <t>Convivencia Deportiva</t>
  </si>
  <si>
    <t>Balonmano</t>
  </si>
  <si>
    <t xml:space="preserve">Carreras o Caminatas </t>
  </si>
  <si>
    <t>Desfile cívico</t>
  </si>
  <si>
    <t>Rally de Bienvenida</t>
  </si>
  <si>
    <t>Remo y Remo Bajo Techo</t>
  </si>
  <si>
    <t>Senderismo</t>
  </si>
  <si>
    <t>Préstamo de instalaciones deportivas</t>
  </si>
  <si>
    <t>Ultimate</t>
  </si>
  <si>
    <r>
      <t xml:space="preserve">Nivel 1:  Al interior de las Unidades Académicas </t>
    </r>
    <r>
      <rPr>
        <b/>
        <sz val="10"/>
        <color rgb="FFFF0000"/>
        <rFont val="Calibri"/>
        <family val="2"/>
        <scheme val="minor"/>
      </rPr>
      <t>2016</t>
    </r>
  </si>
  <si>
    <r>
      <t>Nivel 1:  Al interior de las Unidades Académicas</t>
    </r>
    <r>
      <rPr>
        <b/>
        <sz val="10"/>
        <color rgb="FFFF0000"/>
        <rFont val="Calibri"/>
        <family val="2"/>
        <scheme val="minor"/>
      </rPr>
      <t xml:space="preserve"> 2016</t>
    </r>
  </si>
  <si>
    <r>
      <t>Nivel 2: Entre las Unidades académicas</t>
    </r>
    <r>
      <rPr>
        <b/>
        <sz val="10"/>
        <color rgb="FFFF0000"/>
        <rFont val="Calibri"/>
        <family val="2"/>
        <scheme val="minor"/>
      </rPr>
      <t xml:space="preserve"> 2016</t>
    </r>
  </si>
  <si>
    <t>Acondicionamiento Físico</t>
  </si>
  <si>
    <t>Sep, Oct, Nov, Dic</t>
  </si>
  <si>
    <t xml:space="preserve"> Ajedrez Tableros</t>
  </si>
  <si>
    <t>Areas verdes</t>
  </si>
  <si>
    <t>Basquetbol Tercias</t>
  </si>
  <si>
    <t>Baloncesto y canchas de basquetbol</t>
  </si>
  <si>
    <t>Crossfit y gimnasio de Crossfit</t>
  </si>
  <si>
    <t>Danza acrobática</t>
  </si>
  <si>
    <t>Desfiles Cívicos</t>
  </si>
  <si>
    <t>Entrenamientos deportivos</t>
  </si>
  <si>
    <t>Evaluaciones Físicas</t>
  </si>
  <si>
    <t>Festivales, rallys de bienvenida y concursos</t>
  </si>
  <si>
    <t>Torneo de fuerza</t>
  </si>
  <si>
    <t>Rally de bienvenida</t>
  </si>
  <si>
    <t>Tae kwon Do</t>
  </si>
  <si>
    <t>Gimnasio urbano</t>
  </si>
  <si>
    <t>Karate do</t>
  </si>
  <si>
    <t>Participación en eventos de la Universidad</t>
  </si>
  <si>
    <t>Voleibol de Sala</t>
  </si>
  <si>
    <t>Préstamo de balones</t>
  </si>
  <si>
    <t>Préstamo de instalaciones</t>
  </si>
  <si>
    <t>PIVU CYAD</t>
  </si>
  <si>
    <t>Tae Bo</t>
  </si>
  <si>
    <t>Tenis (canchas)</t>
  </si>
  <si>
    <t>Tenis de Mesa y raquetas</t>
  </si>
  <si>
    <t>Torneos internos y externos</t>
  </si>
  <si>
    <t>Zumba</t>
  </si>
  <si>
    <r>
      <t xml:space="preserve">Nivel 1:  Al interior de las Unidades Académicas </t>
    </r>
    <r>
      <rPr>
        <b/>
        <sz val="10"/>
        <color rgb="FFFF0000"/>
        <rFont val="Calibri"/>
        <family val="2"/>
        <scheme val="minor"/>
      </rPr>
      <t>2015</t>
    </r>
  </si>
  <si>
    <r>
      <t>Nivel 1:  Al interior de las Unidades Académicas</t>
    </r>
    <r>
      <rPr>
        <b/>
        <sz val="10"/>
        <color rgb="FFFF0000"/>
        <rFont val="Calibri"/>
        <family val="2"/>
        <scheme val="minor"/>
      </rPr>
      <t xml:space="preserve"> 2015</t>
    </r>
  </si>
  <si>
    <r>
      <t>Nivel 2: Entre las Unidades académicas</t>
    </r>
    <r>
      <rPr>
        <b/>
        <sz val="10"/>
        <color rgb="FFFF0000"/>
        <rFont val="Calibri"/>
        <family val="2"/>
        <scheme val="minor"/>
      </rPr>
      <t xml:space="preserve"> 2015</t>
    </r>
  </si>
  <si>
    <t>Cua. 23 Sept.</t>
  </si>
  <si>
    <t>Ler. 1 Oct.</t>
  </si>
  <si>
    <t>Azc. 16 Oct.</t>
  </si>
  <si>
    <t>Basquetbol Tercias y Two Ball</t>
  </si>
  <si>
    <t>Colchonetas</t>
  </si>
  <si>
    <t>Corriendo por la UAM</t>
  </si>
  <si>
    <t>Xoc. 30 Oct.</t>
  </si>
  <si>
    <t>Izt. 13 Nov.</t>
  </si>
  <si>
    <t>Ajedrez,Baloncesto, Fútbol Asociación, Fútbol Bardas, Halterofilia, karate Do, Tae kwon do, Tenis, Tenis de mesa, Voleibol de playa y Voleibol de sala</t>
  </si>
  <si>
    <t>Octubre</t>
  </si>
  <si>
    <t>Paseo Ciclista</t>
  </si>
  <si>
    <t>Fútbol Americano</t>
  </si>
  <si>
    <t>Interdivisional</t>
  </si>
  <si>
    <t>Marathón de Sustentabilidad</t>
  </si>
  <si>
    <t>Gimnasio de Duela</t>
  </si>
  <si>
    <t>Rally Recreativo de CNI</t>
  </si>
  <si>
    <t>Vencidas</t>
  </si>
  <si>
    <t>Servicio Médico</t>
  </si>
  <si>
    <t xml:space="preserve">    Voleibol de Playa</t>
  </si>
  <si>
    <t>Nivel 1:  Al interior de las Unidades Académicas</t>
  </si>
  <si>
    <r>
      <t xml:space="preserve">Nivel 1:  Al interior de las Unidades Académicas </t>
    </r>
    <r>
      <rPr>
        <b/>
        <sz val="10"/>
        <color rgb="FFFF0000"/>
        <rFont val="Calibri"/>
        <family val="2"/>
        <scheme val="minor"/>
      </rPr>
      <t>2014</t>
    </r>
  </si>
  <si>
    <r>
      <t>a) Torneos Internos *</t>
    </r>
    <r>
      <rPr>
        <b/>
        <sz val="10"/>
        <color rgb="FFFF0000"/>
        <rFont val="Calibri"/>
        <family val="2"/>
        <scheme val="minor"/>
      </rPr>
      <t xml:space="preserve"> 2014</t>
    </r>
  </si>
  <si>
    <r>
      <t xml:space="preserve">Nivel 2: Entre las Unidades académicas </t>
    </r>
    <r>
      <rPr>
        <b/>
        <sz val="10"/>
        <color rgb="FFFF0000"/>
        <rFont val="Calibri"/>
        <family val="2"/>
        <scheme val="minor"/>
      </rPr>
      <t>2014</t>
    </r>
  </si>
  <si>
    <t>No. de benefiviarios</t>
  </si>
  <si>
    <t>FestiUAM</t>
  </si>
  <si>
    <t>Septiembre - Diciembre</t>
  </si>
  <si>
    <t>Damas Españolas</t>
  </si>
  <si>
    <t>Capoeira</t>
  </si>
  <si>
    <t>Simultáneas de Ajedrez, Dominó, Fútbol Coladeritas, Voleibol de Pasto, Juegos de Destreza, Tenis de Mesa y Karaoke</t>
  </si>
  <si>
    <t>Danza Acrobática</t>
  </si>
  <si>
    <t>Olimpiada UAM 2011</t>
  </si>
  <si>
    <t>Septiembre y Octubre</t>
  </si>
  <si>
    <t>Competencia de Fuerza, Voleibol de Playa, Tenis, Ajedrez, Fútbol de Bardas, Baloncesto, Fútbol Asociación y Tenis de Mesa</t>
  </si>
  <si>
    <t>Intradivisional CyAD</t>
  </si>
  <si>
    <t>Ler. 12 Sept.</t>
  </si>
  <si>
    <t>Cua. 18 Sept</t>
  </si>
  <si>
    <t>Azc. 10 Oct.</t>
  </si>
  <si>
    <t>Hapkido</t>
  </si>
  <si>
    <t>Xoc. 24 Oct.</t>
  </si>
  <si>
    <t>Izt. 14 Nov.</t>
  </si>
  <si>
    <t>Karaoke</t>
  </si>
  <si>
    <t>Fútbol Asociación, Baloncesto, Voleibol, Fútbol Bardas, Karate do, Tae kwon do</t>
  </si>
  <si>
    <r>
      <t xml:space="preserve">Nivel 1:  Al interior de las Unidades Académicas </t>
    </r>
    <r>
      <rPr>
        <sz val="10"/>
        <color rgb="FFFF0000"/>
        <rFont val="Calibri"/>
        <family val="2"/>
        <scheme val="minor"/>
      </rPr>
      <t>2013</t>
    </r>
  </si>
  <si>
    <r>
      <t xml:space="preserve">a) Torneos Internos * </t>
    </r>
    <r>
      <rPr>
        <b/>
        <sz val="10"/>
        <color rgb="FFFF0000"/>
        <rFont val="Calibri"/>
        <family val="2"/>
        <scheme val="minor"/>
      </rPr>
      <t>2013</t>
    </r>
  </si>
  <si>
    <r>
      <t xml:space="preserve">Nivel 2: Entre las Unidades académicas </t>
    </r>
    <r>
      <rPr>
        <sz val="10"/>
        <color rgb="FFFF0000"/>
        <rFont val="Calibri"/>
        <family val="2"/>
        <scheme val="minor"/>
      </rPr>
      <t>2013</t>
    </r>
  </si>
  <si>
    <t>SERVICIOS</t>
  </si>
  <si>
    <t>BENEFICIARIOS</t>
  </si>
  <si>
    <t>Convivencia Deportiva 2013</t>
  </si>
  <si>
    <t>Junio, Septiembre y Octubre 2013</t>
  </si>
  <si>
    <t xml:space="preserve">      Acondicionamiento Físico</t>
  </si>
  <si>
    <t xml:space="preserve">Paticipan los equipos representativos de las 5 Unidades Académicas de la UAM en los siguientes deportes: </t>
  </si>
  <si>
    <t>Actividades Diversas **</t>
  </si>
  <si>
    <t>Basquetbol Tercias           Relámpago y Two Ball</t>
  </si>
  <si>
    <t xml:space="preserve">     Baile</t>
  </si>
  <si>
    <t>Box</t>
  </si>
  <si>
    <t xml:space="preserve">1.- Ajedrez </t>
  </si>
  <si>
    <t>Sede de los eventos: Las instalaciones de las Unidades Académicas</t>
  </si>
  <si>
    <t>Canotaje</t>
  </si>
  <si>
    <t xml:space="preserve">      Capoeira</t>
  </si>
  <si>
    <t>2.- Atletismo</t>
  </si>
  <si>
    <t>Danza</t>
  </si>
  <si>
    <t>3.- Baloncesto</t>
  </si>
  <si>
    <t>4.- Fútbol Asociación</t>
  </si>
  <si>
    <t>Dominó (juegos de destreza)</t>
  </si>
  <si>
    <t>5.- Fútbol Rápid</t>
  </si>
  <si>
    <t>Grupo de Animación</t>
  </si>
  <si>
    <t>6.- Karate Do</t>
  </si>
  <si>
    <t>Full Contact</t>
  </si>
  <si>
    <t>7.- Lev. Olímpico de Pesas</t>
  </si>
  <si>
    <t>8.- Tae Kwon Do</t>
  </si>
  <si>
    <t xml:space="preserve">9.- Tenis </t>
  </si>
  <si>
    <t>10.- Tenis de Mesa</t>
  </si>
  <si>
    <t>Gap</t>
  </si>
  <si>
    <t>11.- Voleibol de Playa</t>
  </si>
  <si>
    <t>Gimnasio de Duela ***</t>
  </si>
  <si>
    <t>12.- Voleibol de Sala</t>
  </si>
  <si>
    <t>Serial Atlético "Corriendo por la UAM" 2013</t>
  </si>
  <si>
    <t>Lerma 4 de Septiembre</t>
  </si>
  <si>
    <t>Cuajimalpa 13 de Septiembre</t>
  </si>
  <si>
    <t>Serial Atlético "Caminando por la UAM" 2013</t>
  </si>
  <si>
    <t>Azcapotzalco 27 de Septiembre</t>
  </si>
  <si>
    <t>Tae kwon do</t>
  </si>
  <si>
    <t>Xochimilco 11 de Octubre</t>
  </si>
  <si>
    <t>Iztapalapa 25 de Octubre</t>
  </si>
  <si>
    <t>Parkour</t>
  </si>
  <si>
    <t>Pláticas de Juego Limpio</t>
  </si>
  <si>
    <t xml:space="preserve">* Estos servicios se cuentan por usuario atendido, que en algunos casos se repite.                                     </t>
  </si>
  <si>
    <t xml:space="preserve"> ** Se reporta en bloque ya que son varias actividades con poca participación</t>
  </si>
  <si>
    <t>*** Son los dias de clases que corresponden a tres trimestres del año</t>
  </si>
  <si>
    <r>
      <t xml:space="preserve">Nivel 1:  Al interior de las Unidades Académicas </t>
    </r>
    <r>
      <rPr>
        <b/>
        <sz val="10"/>
        <color rgb="FFFF0000"/>
        <rFont val="Calibri"/>
        <family val="2"/>
        <scheme val="minor"/>
      </rPr>
      <t>2012</t>
    </r>
  </si>
  <si>
    <r>
      <t xml:space="preserve">a) Torneos Internos * </t>
    </r>
    <r>
      <rPr>
        <b/>
        <sz val="10"/>
        <color rgb="FFFF0000"/>
        <rFont val="Calibri"/>
        <family val="2"/>
        <scheme val="minor"/>
      </rPr>
      <t>2012</t>
    </r>
  </si>
  <si>
    <r>
      <t xml:space="preserve">Nivel 2: Entre las Unidades académicas </t>
    </r>
    <r>
      <rPr>
        <b/>
        <sz val="10"/>
        <color rgb="FFFF0000"/>
        <rFont val="Calibri"/>
        <family val="2"/>
        <scheme val="minor"/>
      </rPr>
      <t>2012</t>
    </r>
  </si>
  <si>
    <t>Convivencia Deportiva 2012</t>
  </si>
  <si>
    <t>Julio 2012</t>
  </si>
  <si>
    <t>Artes Marciales</t>
  </si>
  <si>
    <t>Basquetbol Tercias                              Relámpago y Two Ball</t>
  </si>
  <si>
    <t>Campamento Deportivo</t>
  </si>
  <si>
    <t>Prog. Diversificación Acts. Deportivas</t>
  </si>
  <si>
    <t>1.- Ajedrez   2.- Atletismo    3.- Baloncesto 4.- Fútbol Asociación 5.- Fútbol Rápido 6.- Karate Do 7.- Lev. Olímpico de Pesas 8.- Tae Kwon Do 9.- Tenis 10.- Tenis de Mesa 11.- Voleibol de Playa 12.- Voleibol de Sala</t>
  </si>
  <si>
    <t>Fisicoconstructivismo</t>
  </si>
  <si>
    <t>Gimnasia</t>
  </si>
  <si>
    <t>Olimpiada UAM 2012</t>
  </si>
  <si>
    <t>Septiembre - Octubre 2012</t>
  </si>
  <si>
    <t>Fútbolito</t>
  </si>
  <si>
    <t>Participan equipos de alumnos de las 5 Unidades Académicas en los siguientes deportes: 1.- Ajedrez  2.- Baloncesto 3.- Fisicoconstructivismo 4.- Fútbol Asociación 5.- Fútbol Rápido 6.- Levantamiento de Potencia 7.- Tenis de Mesa 8.- Voliebol de Playa</t>
  </si>
  <si>
    <t>Interdivisional CBI, CSH y CyAD</t>
  </si>
  <si>
    <t>Serial Atlético "Corriendo por la UAM" 2012</t>
  </si>
  <si>
    <t>Cuajimalpa 11 de Octubre</t>
  </si>
  <si>
    <t>Azcapotzalco 26 de Octubre</t>
  </si>
  <si>
    <t>Serial Atlético "Caminando por la UAM" 2012</t>
  </si>
  <si>
    <t>Xochimilco 9 de Noviembre</t>
  </si>
  <si>
    <t>Lerma 16 de Noviembre</t>
  </si>
  <si>
    <t>Iztapalapa 23 de Noviembre</t>
  </si>
  <si>
    <t>* Estos servicios se cuentan por usuario atendido, que en algunos casos se repite.    ** Se reporta en bloque ya que son varias actividades con poca participación</t>
  </si>
  <si>
    <r>
      <t xml:space="preserve">Nivel 1:  Al interior de las Unidades Académicas </t>
    </r>
    <r>
      <rPr>
        <b/>
        <sz val="10"/>
        <color rgb="FFFF0000"/>
        <rFont val="Calibri"/>
        <family val="2"/>
        <scheme val="minor"/>
      </rPr>
      <t>2011</t>
    </r>
  </si>
  <si>
    <r>
      <t xml:space="preserve">a) Torneos Internos * </t>
    </r>
    <r>
      <rPr>
        <b/>
        <sz val="10"/>
        <color rgb="FFFF0000"/>
        <rFont val="Calibri"/>
        <family val="2"/>
        <scheme val="minor"/>
      </rPr>
      <t>2011</t>
    </r>
  </si>
  <si>
    <r>
      <t xml:space="preserve">Nivel 2: Entre las Unidades académicas </t>
    </r>
    <r>
      <rPr>
        <b/>
        <sz val="10"/>
        <color rgb="FFFF0000"/>
        <rFont val="Calibri"/>
        <family val="2"/>
        <scheme val="minor"/>
      </rPr>
      <t>2011</t>
    </r>
  </si>
  <si>
    <t>Olimpiada UAM 2010</t>
  </si>
  <si>
    <t>Anual</t>
  </si>
  <si>
    <t>4 carreras por año</t>
  </si>
  <si>
    <t xml:space="preserve">      Actividades Diversas</t>
  </si>
  <si>
    <t>4 eventos por año</t>
  </si>
  <si>
    <t>Caminata por la Salud</t>
  </si>
  <si>
    <t>Danza Árabe y Polinesia</t>
  </si>
  <si>
    <t>Clase abierta de Zumba</t>
  </si>
  <si>
    <t>Jazz</t>
  </si>
  <si>
    <t>Fútbol Rápido Tercias</t>
  </si>
  <si>
    <t>Tahitiano y Hawwaiano</t>
  </si>
  <si>
    <r>
      <t xml:space="preserve">Nivel 1:  Al interior de las Unidades Académicas </t>
    </r>
    <r>
      <rPr>
        <b/>
        <sz val="10"/>
        <color rgb="FFFF0000"/>
        <rFont val="Calibri"/>
        <family val="2"/>
        <scheme val="minor"/>
      </rPr>
      <t>2010</t>
    </r>
  </si>
  <si>
    <r>
      <t>a) Torneos Internos *</t>
    </r>
    <r>
      <rPr>
        <b/>
        <sz val="10"/>
        <color rgb="FFFF0000"/>
        <rFont val="Calibri"/>
        <family val="2"/>
        <scheme val="minor"/>
      </rPr>
      <t xml:space="preserve"> 2010</t>
    </r>
  </si>
  <si>
    <r>
      <t>Nivel 2: Entre las Unidades académicas</t>
    </r>
    <r>
      <rPr>
        <b/>
        <sz val="10"/>
        <color rgb="FFFF0000"/>
        <rFont val="Calibri"/>
        <family val="2"/>
        <scheme val="minor"/>
      </rPr>
      <t xml:space="preserve"> 2010</t>
    </r>
  </si>
  <si>
    <t>No. DE TORNEOS</t>
  </si>
  <si>
    <t>No. PARTICIPANTES</t>
  </si>
  <si>
    <t>No. DE SERVICIOS</t>
  </si>
  <si>
    <t>No. DE BENEFICIARIOS</t>
  </si>
  <si>
    <t>Caminata por el Día Mundial del Medio Ambiente</t>
  </si>
  <si>
    <t>Competencia de Pesas</t>
  </si>
  <si>
    <t>Fitness</t>
  </si>
  <si>
    <t>Concurso de Karaoke</t>
  </si>
  <si>
    <t>Damas españolas</t>
  </si>
  <si>
    <t>Fútbol Sala</t>
  </si>
  <si>
    <t>Remo bajo Techo</t>
  </si>
  <si>
    <t>Tochito Flag (Mixto)</t>
  </si>
  <si>
    <t>Tochito Bandera</t>
  </si>
  <si>
    <r>
      <t>Nivel 2: Entre las Unidades académicas</t>
    </r>
    <r>
      <rPr>
        <b/>
        <sz val="10"/>
        <color rgb="FFFF0000"/>
        <rFont val="Calibri"/>
        <family val="2"/>
        <scheme val="minor"/>
      </rPr>
      <t xml:space="preserve"> 2009</t>
    </r>
  </si>
  <si>
    <t>Olimpiada UAM 2009</t>
  </si>
  <si>
    <t>FESTI UAM</t>
  </si>
  <si>
    <t>UNIDAD</t>
  </si>
  <si>
    <r>
      <t xml:space="preserve">DISCIPLINA </t>
    </r>
    <r>
      <rPr>
        <b/>
        <sz val="10"/>
        <color rgb="FFFF0000"/>
        <rFont val="Calibri"/>
        <family val="2"/>
        <scheme val="minor"/>
      </rPr>
      <t>2009</t>
    </r>
  </si>
  <si>
    <t>NÚMERO DE PARTICIPANTES</t>
  </si>
  <si>
    <t>Fútbol rápido</t>
  </si>
  <si>
    <t>Fútbol soccer</t>
  </si>
  <si>
    <t>Fútbol soccer 7</t>
  </si>
  <si>
    <t>Tochito bandera</t>
  </si>
  <si>
    <t xml:space="preserve">Basquetbol </t>
  </si>
  <si>
    <t>Torneos divisionales</t>
  </si>
  <si>
    <t>Futbol rápido</t>
  </si>
  <si>
    <t>Acondicionamiento físico</t>
  </si>
  <si>
    <t>Tenis de mesa</t>
  </si>
  <si>
    <t>Torneo de fisicoconstructivismo</t>
  </si>
  <si>
    <t xml:space="preserve">Torneos divisionales </t>
  </si>
  <si>
    <t xml:space="preserve">Tenis </t>
  </si>
  <si>
    <t xml:space="preserve"> Tenis de mesa</t>
  </si>
  <si>
    <t>Levantamiento de pesas</t>
  </si>
  <si>
    <t>Remo bajo techo</t>
  </si>
  <si>
    <r>
      <t>Nivel 2: Entre las Unidades académicas</t>
    </r>
    <r>
      <rPr>
        <b/>
        <sz val="10"/>
        <color rgb="FFFF0000"/>
        <rFont val="Calibri"/>
        <family val="2"/>
        <scheme val="minor"/>
      </rPr>
      <t xml:space="preserve"> 2008</t>
    </r>
  </si>
  <si>
    <t>Olimpiada UAM 2008</t>
  </si>
  <si>
    <r>
      <t xml:space="preserve">DISCIPLINA </t>
    </r>
    <r>
      <rPr>
        <b/>
        <sz val="10"/>
        <color rgb="FFFF0000"/>
        <rFont val="Calibri"/>
        <family val="2"/>
        <scheme val="minor"/>
      </rPr>
      <t>2008</t>
    </r>
  </si>
  <si>
    <t>Tochito varonil</t>
  </si>
  <si>
    <t>XOCHIMILCO*</t>
  </si>
  <si>
    <t xml:space="preserve">Atletismo </t>
  </si>
  <si>
    <t>Karate, Tae Kwon Do</t>
  </si>
  <si>
    <t>Remo</t>
  </si>
  <si>
    <t>PERSONAL ADMINISTRATIVO DEFINITIVO POR RANGOS DE EDAD</t>
  </si>
  <si>
    <r>
      <t>FUENTE: Base de Datos de Nómina, Quincena 20 de cada año.</t>
    </r>
    <r>
      <rPr>
        <i/>
        <sz val="9"/>
        <color theme="1"/>
        <rFont val="Calibri"/>
        <family val="2"/>
        <scheme val="minor"/>
      </rPr>
      <t xml:space="preserve"> (2018 qna. 18, 2019 qna. 17)</t>
    </r>
  </si>
  <si>
    <t>41 -50 AÑOS</t>
  </si>
  <si>
    <t>61 - 70 AÑOS</t>
  </si>
  <si>
    <t>PERSONAL ADMINISTRATIVO DEFINITIVO POR AÑOS DE ANTIGÜEDAD</t>
  </si>
  <si>
    <t>MÁS DE 30 AÑOS</t>
  </si>
  <si>
    <t>ANTIGUEDAD PROMEDIO</t>
  </si>
  <si>
    <t xml:space="preserve">RESUMEN DE INGRESOS POR APOYOS EXTERNOS </t>
  </si>
  <si>
    <t>Unidad / División</t>
  </si>
  <si>
    <t>CONACYT</t>
  </si>
  <si>
    <t>SEP</t>
  </si>
  <si>
    <r>
      <t xml:space="preserve">Total
</t>
    </r>
    <r>
      <rPr>
        <sz val="9"/>
        <rFont val="Calibri"/>
        <family val="2"/>
        <scheme val="minor"/>
      </rPr>
      <t>Miles de pesos</t>
    </r>
  </si>
  <si>
    <t>Azacapotzalco</t>
  </si>
  <si>
    <t>Rectoría</t>
  </si>
  <si>
    <t>Rectoría General</t>
  </si>
  <si>
    <r>
      <rPr>
        <b/>
        <i/>
        <sz val="9"/>
        <rFont val="Calibri"/>
        <family val="2"/>
        <scheme val="minor"/>
      </rPr>
      <t>Fuente:</t>
    </r>
    <r>
      <rPr>
        <sz val="9"/>
        <rFont val="Calibri"/>
        <family val="2"/>
        <scheme val="minor"/>
      </rPr>
      <t xml:space="preserve"> proyectos registrados en el COFON en 2020</t>
    </r>
  </si>
  <si>
    <r>
      <t xml:space="preserve">Total 2019
</t>
    </r>
    <r>
      <rPr>
        <sz val="11"/>
        <rFont val="Calibri"/>
        <family val="2"/>
        <scheme val="minor"/>
      </rPr>
      <t>miles de pesos</t>
    </r>
  </si>
  <si>
    <t>Secretaría</t>
  </si>
  <si>
    <r>
      <rPr>
        <b/>
        <i/>
        <sz val="9"/>
        <rFont val="Calibri"/>
        <family val="2"/>
        <scheme val="minor"/>
      </rPr>
      <t>Fuente:</t>
    </r>
    <r>
      <rPr>
        <sz val="9"/>
        <rFont val="Calibri"/>
        <family val="2"/>
        <scheme val="minor"/>
      </rPr>
      <t xml:space="preserve"> proyectos registrados en el COFON en 2019</t>
    </r>
  </si>
  <si>
    <t>Total 2018</t>
  </si>
  <si>
    <r>
      <rPr>
        <b/>
        <i/>
        <sz val="9"/>
        <rFont val="Calibri"/>
        <family val="2"/>
        <scheme val="minor"/>
      </rPr>
      <t>Fuente:</t>
    </r>
    <r>
      <rPr>
        <sz val="9"/>
        <rFont val="Calibri"/>
        <family val="2"/>
        <scheme val="minor"/>
      </rPr>
      <t xml:space="preserve"> proyectos registrados en el COFON en 2018</t>
    </r>
  </si>
  <si>
    <t>Total 2017</t>
  </si>
  <si>
    <r>
      <rPr>
        <b/>
        <i/>
        <sz val="10"/>
        <rFont val="Arial"/>
        <family val="2"/>
      </rPr>
      <t>Fuente:</t>
    </r>
    <r>
      <rPr>
        <sz val="10"/>
        <rFont val="Arial"/>
        <family val="2"/>
      </rPr>
      <t xml:space="preserve"> proyectos registrados en el COFON en 2017</t>
    </r>
  </si>
  <si>
    <t>CONACyT</t>
  </si>
  <si>
    <t>Total 2016</t>
  </si>
  <si>
    <t>Fuente: proyectos registrados en el COFON en 2016</t>
  </si>
  <si>
    <t>Total 2015</t>
  </si>
  <si>
    <t>Fuente: proyectos registrados en el COFON en 2015</t>
  </si>
  <si>
    <t>Total 2014</t>
  </si>
  <si>
    <t>Fuente: proyectos registrados en el COFON en 2014</t>
  </si>
  <si>
    <t>Total 2013</t>
  </si>
  <si>
    <t>SEP *</t>
  </si>
  <si>
    <t>OTROS CONVENIOS</t>
  </si>
  <si>
    <t>TOTAL 2012</t>
  </si>
  <si>
    <t>RECTORÍA</t>
  </si>
  <si>
    <t>RECTORÍA GENERAL</t>
  </si>
  <si>
    <t>CONVENIOS</t>
  </si>
  <si>
    <t>Total 2011</t>
  </si>
  <si>
    <t>RECTORIA</t>
  </si>
  <si>
    <t>RECTORIA GENERAL</t>
  </si>
  <si>
    <t>CONVENIOS SEP</t>
  </si>
  <si>
    <t>TOTAL 2010</t>
  </si>
  <si>
    <t xml:space="preserve">RECTORIA </t>
  </si>
  <si>
    <t>PIFI</t>
  </si>
  <si>
    <t>PROMEP*</t>
  </si>
  <si>
    <t xml:space="preserve">CONTRATOS Y CONVENIOS </t>
  </si>
  <si>
    <t>TOTAL 2009</t>
  </si>
  <si>
    <t>TOTAL 2008</t>
  </si>
  <si>
    <t>TOTAL 2007</t>
  </si>
  <si>
    <t>TOTAL 2006</t>
  </si>
  <si>
    <t>TOTAL 2005</t>
  </si>
  <si>
    <t>TOTAL 2004</t>
  </si>
  <si>
    <t>TOTAL 2003</t>
  </si>
  <si>
    <t>CONVENIOS Y CONTRATOS</t>
  </si>
  <si>
    <r>
      <t>UNIDAD</t>
    </r>
    <r>
      <rPr>
        <sz val="11"/>
        <color indexed="8"/>
        <rFont val="Calibri"/>
        <family val="2"/>
        <scheme val="minor"/>
      </rPr>
      <t xml:space="preserve"> </t>
    </r>
  </si>
  <si>
    <r>
      <t>Nacionales</t>
    </r>
    <r>
      <rPr>
        <sz val="11"/>
        <color indexed="8"/>
        <rFont val="Arial"/>
        <family val="2"/>
      </rPr>
      <t xml:space="preserve"> </t>
    </r>
  </si>
  <si>
    <r>
      <t>Extranjeros</t>
    </r>
    <r>
      <rPr>
        <sz val="11"/>
        <color indexed="8"/>
        <rFont val="Arial"/>
        <family val="2"/>
      </rPr>
      <t xml:space="preserve"> </t>
    </r>
  </si>
  <si>
    <r>
      <t xml:space="preserve">Contratos y convenios </t>
    </r>
    <r>
      <rPr>
        <b/>
        <sz val="11"/>
        <color rgb="FFFF0000"/>
        <rFont val="Calibri"/>
        <family val="2"/>
        <scheme val="minor"/>
      </rPr>
      <t>2020</t>
    </r>
  </si>
  <si>
    <t>Patrocinado</t>
  </si>
  <si>
    <t>No patrocinado</t>
  </si>
  <si>
    <t>Convenio por Unidad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</si>
  <si>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</si>
  <si>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</si>
  <si>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</si>
  <si>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</si>
  <si>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</si>
  <si>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</si>
  <si>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</si>
  <si>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</si>
  <si>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</si>
  <si>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</si>
  <si>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</si>
  <si>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</si>
  <si>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</si>
  <si>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</si>
  <si>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</si>
  <si>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</si>
  <si>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</si>
  <si>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</si>
  <si>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 xml:space="preserve">Azcapotzalco </t>
  </si>
  <si>
    <t xml:space="preserve">Cuajimalpa </t>
  </si>
  <si>
    <r>
      <t>Total UAM</t>
    </r>
    <r>
      <rPr>
        <sz val="11"/>
        <color indexed="8"/>
        <rFont val="Calibri"/>
        <family val="2"/>
        <scheme val="minor"/>
      </rPr>
      <t xml:space="preserve"> </t>
    </r>
  </si>
  <si>
    <t>FUENTE: Coordinación General de Fortalecimiento Académico y Vinculación</t>
  </si>
  <si>
    <r>
      <t xml:space="preserve">Contratos y convenios </t>
    </r>
    <r>
      <rPr>
        <b/>
        <sz val="11"/>
        <color rgb="FFFF0000"/>
        <rFont val="Calibri"/>
        <family val="2"/>
        <scheme val="minor"/>
      </rPr>
      <t>2019</t>
    </r>
  </si>
  <si>
    <r>
      <t xml:space="preserve">Contratos y convenios </t>
    </r>
    <r>
      <rPr>
        <b/>
        <sz val="11"/>
        <color rgb="FFFF0000"/>
        <rFont val="Calibri"/>
        <family val="2"/>
        <scheme val="minor"/>
      </rPr>
      <t>2018</t>
    </r>
  </si>
  <si>
    <r>
      <t xml:space="preserve">Contratos y convenios </t>
    </r>
    <r>
      <rPr>
        <b/>
        <sz val="11"/>
        <color rgb="FFFF0000"/>
        <rFont val="Calibri"/>
        <family val="2"/>
        <scheme val="minor"/>
      </rPr>
      <t>2017</t>
    </r>
  </si>
  <si>
    <t>*Patrocinado</t>
  </si>
  <si>
    <t>**No patrocinado</t>
  </si>
  <si>
    <t>-</t>
  </si>
  <si>
    <r>
      <rPr>
        <b/>
        <i/>
        <sz val="9"/>
        <color theme="1"/>
        <rFont val="Calibri"/>
        <family val="2"/>
        <scheme val="minor"/>
      </rPr>
      <t>FUENTE:</t>
    </r>
    <r>
      <rPr>
        <i/>
        <sz val="9"/>
        <color theme="1"/>
        <rFont val="Calibri"/>
        <family val="2"/>
        <scheme val="minor"/>
      </rPr>
      <t xml:space="preserve"> Coordinación General de Vinculación y Desarrollo Institucional.</t>
    </r>
  </si>
  <si>
    <t>Convenio por origen</t>
  </si>
  <si>
    <r>
      <t>UNIDAD</t>
    </r>
    <r>
      <rPr>
        <sz val="10"/>
        <color indexed="8"/>
        <rFont val="Arial"/>
        <family val="2"/>
      </rPr>
      <t xml:space="preserve"> </t>
    </r>
  </si>
  <si>
    <r>
      <t xml:space="preserve">Contratos y convenios </t>
    </r>
    <r>
      <rPr>
        <b/>
        <sz val="11"/>
        <color rgb="FFFF0000"/>
        <rFont val="Calibri"/>
        <family val="2"/>
        <scheme val="minor"/>
      </rPr>
      <t>2016</t>
    </r>
  </si>
  <si>
    <t>Nacional</t>
  </si>
  <si>
    <t>Extranjero</t>
  </si>
  <si>
    <r>
      <t>Total UAM</t>
    </r>
    <r>
      <rPr>
        <sz val="10"/>
        <color indexed="8"/>
        <rFont val="Arial"/>
        <family val="2"/>
      </rPr>
      <t xml:space="preserve"> </t>
    </r>
  </si>
  <si>
    <t>Fuente: Base de Convenios y Otros Fondos (COFON) a dic 15 de 2016, reporte de las unidades universitarias y CGVyDI</t>
  </si>
  <si>
    <t>Notas: *Convenios patrocinados (número de convenios por unidad y vigencia inicial igual a 2016);  **Convenios no patrocinados. Se toman proyectos en lugar de convenios de Base de COFON a dic 15 de 2016.</t>
  </si>
  <si>
    <t xml:space="preserve">Nacionales </t>
  </si>
  <si>
    <t xml:space="preserve">Extranjeros </t>
  </si>
  <si>
    <r>
      <t xml:space="preserve">Contratos y convenios </t>
    </r>
    <r>
      <rPr>
        <b/>
        <sz val="11"/>
        <color rgb="FFFF0000"/>
        <rFont val="Calibri"/>
        <family val="2"/>
        <scheme val="minor"/>
      </rPr>
      <t>2015</t>
    </r>
  </si>
  <si>
    <t>Convenio por tipo</t>
  </si>
  <si>
    <r>
      <t>Nacionales</t>
    </r>
    <r>
      <rPr>
        <sz val="11"/>
        <color indexed="8"/>
        <rFont val="Calibri"/>
        <family val="2"/>
        <scheme val="minor"/>
      </rPr>
      <t xml:space="preserve"> </t>
    </r>
  </si>
  <si>
    <r>
      <t>Extranjeros</t>
    </r>
    <r>
      <rPr>
        <sz val="11"/>
        <color indexed="8"/>
        <rFont val="Calibri"/>
        <family val="2"/>
        <scheme val="minor"/>
      </rPr>
      <t xml:space="preserve"> </t>
    </r>
  </si>
  <si>
    <t>PATENTES UAM</t>
  </si>
  <si>
    <t>Gestiones</t>
  </si>
  <si>
    <t>Solicitudes de patente realizadas a nivel nacional</t>
  </si>
  <si>
    <t>Solicitudes de patente realizadas a nivel internacional</t>
  </si>
  <si>
    <t>Contestaciones oficiales de fondo realizadas</t>
  </si>
  <si>
    <t>Búsquedas tecnológicas</t>
  </si>
  <si>
    <t>Patentes obtenidas a nivel nacional</t>
  </si>
  <si>
    <t>Patentes obtenidas a nivel internacional</t>
  </si>
  <si>
    <t>Número de pagos efectuados</t>
  </si>
  <si>
    <t>TOTAL 2019</t>
  </si>
  <si>
    <t>TOTAL 2018</t>
  </si>
  <si>
    <t>Base de datos del S N I publicada en marzo de 2021</t>
  </si>
  <si>
    <t xml:space="preserve"> CBI</t>
  </si>
  <si>
    <r>
      <t xml:space="preserve">CAC: </t>
    </r>
    <r>
      <rPr>
        <sz val="10"/>
        <rFont val="Calibri"/>
        <family val="2"/>
        <scheme val="minor"/>
      </rPr>
      <t>Cuerpo Académico Consolidado</t>
    </r>
  </si>
  <si>
    <r>
      <t>CAEC:</t>
    </r>
    <r>
      <rPr>
        <sz val="10"/>
        <rFont val="Calibri"/>
        <family val="2"/>
        <scheme val="minor"/>
      </rPr>
      <t xml:space="preserve"> Cuerpo Académico en consolidación</t>
    </r>
  </si>
  <si>
    <r>
      <t>CAEF:</t>
    </r>
    <r>
      <rPr>
        <sz val="10"/>
        <rFont val="Calibri"/>
        <family val="2"/>
        <scheme val="minor"/>
      </rPr>
      <t xml:space="preserve"> Cuerpo Académico en Formación</t>
    </r>
  </si>
  <si>
    <t>Corte: Nov. 2021</t>
  </si>
  <si>
    <r>
      <t xml:space="preserve">Los Cuerpos Académicos (CA) son grupos de profesores de tiempo completo que en las </t>
    </r>
    <r>
      <rPr>
        <b/>
        <sz val="11"/>
        <color theme="1"/>
        <rFont val="Calibri"/>
        <family val="2"/>
        <scheme val="minor"/>
      </rPr>
      <t>universidades públicas</t>
    </r>
    <r>
      <rPr>
        <sz val="11"/>
        <color theme="1"/>
        <rFont val="Calibri"/>
        <family val="2"/>
        <scheme val="minor"/>
      </rPr>
      <t xml:space="preserve">, estatales y afines comparten una o varias Líneas de Generación y Aplicación Innovadora del Conocimiento </t>
    </r>
    <r>
      <rPr>
        <sz val="11"/>
        <color rgb="FFCD032E"/>
        <rFont val="Calibri"/>
        <family val="2"/>
        <scheme val="minor"/>
      </rPr>
      <t>(LGAC)</t>
    </r>
    <r>
      <rPr>
        <sz val="11"/>
        <color theme="1"/>
        <rFont val="Calibri"/>
        <family val="2"/>
        <scheme val="minor"/>
      </rPr>
      <t xml:space="preserve"> (investigación o estudio) en temas disciplinares o multidisciplinares así como un conjunto de objetivos y metas académicas comunes. Adicionalmente sus integrantes atienden Programas Educativos (PE) en varios niveles para el cumplimiento cabal de las funciones institucionales.</t>
    </r>
  </si>
  <si>
    <r>
      <t xml:space="preserve">Cuerpo Académico </t>
    </r>
    <r>
      <rPr>
        <sz val="11"/>
        <color rgb="FFCD032E"/>
        <rFont val="Calibri"/>
        <family val="2"/>
        <scheme val="minor"/>
      </rPr>
      <t>Consolidado</t>
    </r>
    <r>
      <rPr>
        <sz val="11"/>
        <rFont val="Calibri"/>
        <family val="2"/>
        <scheme val="minor"/>
      </rPr>
      <t xml:space="preserve"> (CAC). </t>
    </r>
  </si>
  <si>
    <r>
      <t xml:space="preserve">Cuerpo Académico </t>
    </r>
    <r>
      <rPr>
        <sz val="11"/>
        <color rgb="FFCD032E"/>
        <rFont val="Calibri"/>
        <family val="2"/>
        <scheme val="minor"/>
      </rPr>
      <t>En Consolidación</t>
    </r>
    <r>
      <rPr>
        <sz val="11"/>
        <rFont val="Calibri"/>
        <family val="2"/>
        <scheme val="minor"/>
      </rPr>
      <t xml:space="preserve"> (CAEC). </t>
    </r>
  </si>
  <si>
    <r>
      <t xml:space="preserve">Cuerpo Académico </t>
    </r>
    <r>
      <rPr>
        <sz val="11"/>
        <color rgb="FFCD032E"/>
        <rFont val="Calibri"/>
        <family val="2"/>
        <scheme val="minor"/>
      </rPr>
      <t>En Formación</t>
    </r>
    <r>
      <rPr>
        <sz val="11"/>
        <rFont val="Calibri"/>
        <family val="2"/>
        <scheme val="minor"/>
      </rPr>
      <t xml:space="preserve"> (CAEF). </t>
    </r>
  </si>
  <si>
    <r>
      <t>Línea(s) innovadora(s) de investigación aplicada y desarrollo tecnológico (</t>
    </r>
    <r>
      <rPr>
        <sz val="11"/>
        <color rgb="FFCD032E"/>
        <rFont val="Calibri"/>
        <family val="2"/>
        <scheme val="minor"/>
      </rPr>
      <t>LIIADT</t>
    </r>
    <r>
      <rPr>
        <sz val="11"/>
        <rFont val="Calibri"/>
        <family val="2"/>
        <scheme val="minor"/>
      </rPr>
      <t>).</t>
    </r>
    <r>
      <rPr>
        <b/>
        <sz val="11"/>
        <rFont val="Calibri"/>
        <family val="2"/>
        <scheme val="minor"/>
      </rPr>
      <t xml:space="preserve"> </t>
    </r>
  </si>
  <si>
    <r>
      <t>Línea(s) de Investigación en Lengua, Cultura y Desarrollo (</t>
    </r>
    <r>
      <rPr>
        <sz val="11"/>
        <color rgb="FFCD032E"/>
        <rFont val="Calibri"/>
        <family val="2"/>
        <scheme val="minor"/>
      </rPr>
      <t>LILCD</t>
    </r>
    <r>
      <rPr>
        <sz val="11"/>
        <rFont val="Calibri"/>
        <family val="2"/>
        <scheme val="minor"/>
      </rPr>
      <t xml:space="preserve">). </t>
    </r>
  </si>
  <si>
    <r>
      <rPr>
        <b/>
        <sz val="12"/>
        <rFont val="Arial"/>
        <family val="2"/>
      </rPr>
      <t>CUERPOS
ACADÉMICOS</t>
    </r>
    <r>
      <rPr>
        <b/>
        <sz val="11"/>
        <rFont val="Calibri"/>
        <family val="2"/>
        <scheme val="minor"/>
      </rPr>
      <t xml:space="preserve">
</t>
    </r>
    <r>
      <rPr>
        <sz val="11"/>
        <rFont val="Calibri"/>
        <family val="2"/>
        <scheme val="minor"/>
      </rPr>
      <t>(grado que PRODEP reconoce)</t>
    </r>
  </si>
  <si>
    <t>Doctorado en Intervención en las Organizaciones</t>
  </si>
  <si>
    <t xml:space="preserve"> Maestría y Doctorado en Ciencias Farmacéuticas</t>
  </si>
  <si>
    <r>
      <t>Posgrado en Ciencias e Ingeniería</t>
    </r>
    <r>
      <rPr>
        <i/>
        <sz val="10"/>
        <rFont val="Calibri"/>
        <family val="2"/>
        <scheme val="minor"/>
      </rPr>
      <t xml:space="preserve"> (ambientales, de Materiales)</t>
    </r>
  </si>
  <si>
    <r>
      <t>Posgrado en Ciencias e Ingeniería</t>
    </r>
    <r>
      <rPr>
        <i/>
        <sz val="11"/>
        <color indexed="8"/>
        <rFont val="Calibri"/>
        <family val="2"/>
        <scheme val="minor"/>
      </rPr>
      <t xml:space="preserve"> (ambientales, de Materiales)</t>
    </r>
  </si>
  <si>
    <t>Quincena 20 del 2021</t>
  </si>
  <si>
    <t>Ver fórmula</t>
  </si>
  <si>
    <t>Especialización-maestría y Doctorado en Desarrollo Rural</t>
  </si>
  <si>
    <r>
      <t xml:space="preserve">Contratos y convenios </t>
    </r>
    <r>
      <rPr>
        <b/>
        <sz val="11"/>
        <color rgb="FFFF0000"/>
        <rFont val="Calibri"/>
        <family val="2"/>
        <scheme val="minor"/>
      </rPr>
      <t>2021</t>
    </r>
  </si>
  <si>
    <t>2021</t>
  </si>
  <si>
    <t>26 febrero, 20025</t>
  </si>
  <si>
    <t>AcreditAcción</t>
  </si>
  <si>
    <t>2019 - 2026</t>
  </si>
  <si>
    <t>Acreditación Internacional</t>
  </si>
  <si>
    <t>2020 - 2025</t>
  </si>
  <si>
    <r>
      <rPr>
        <u/>
        <sz val="8"/>
        <rFont val="Calibri"/>
        <family val="2"/>
        <scheme val="minor"/>
      </rPr>
      <t>AcreditAcción</t>
    </r>
    <r>
      <rPr>
        <sz val="8"/>
        <rFont val="Calibri"/>
        <family val="2"/>
        <scheme val="minor"/>
      </rPr>
      <t>: es una agencia de acreditación internacional, privada, independiente y autónoma, cuyo propósito central es contribuir al aseguramiento de la calidad en instituciones de educación superior a través, principalmente, de la acreditación y/o certificación institucional y de programas y carreras para los niveles técnico, profesional, licenciatura y postgrado.</t>
    </r>
  </si>
  <si>
    <t>Prórroga</t>
  </si>
  <si>
    <t>Nueva</t>
  </si>
  <si>
    <r>
      <t xml:space="preserve">Planes de estudios de posgrado </t>
    </r>
    <r>
      <rPr>
        <b/>
        <sz val="12"/>
        <color rgb="FFFF0000"/>
        <rFont val="Calibri"/>
        <family val="2"/>
        <scheme val="minor"/>
      </rPr>
      <t>2021</t>
    </r>
  </si>
  <si>
    <r>
      <t xml:space="preserve">Planes de estudios por nivel </t>
    </r>
    <r>
      <rPr>
        <b/>
        <sz val="11"/>
        <color rgb="FFFF0000"/>
        <rFont val="Calibri"/>
        <family val="2"/>
        <scheme val="minor"/>
      </rPr>
      <t>2019</t>
    </r>
  </si>
  <si>
    <t>Doctorado en Ciencias Farmacéuticas</t>
  </si>
  <si>
    <t>Evaluación / acreditación de PLANES de LICENCIATURA</t>
  </si>
  <si>
    <t>TOTAL
2021</t>
  </si>
  <si>
    <t>Doctorado en Intervención de las Organizaciones</t>
  </si>
  <si>
    <t>Maestría en Biología de La Reproducción</t>
  </si>
  <si>
    <t>Doctorado en Ciencias Farmaceúticas</t>
  </si>
  <si>
    <t>Total Rectoría General</t>
  </si>
  <si>
    <r>
      <rPr>
        <b/>
        <i/>
        <sz val="9"/>
        <rFont val="Calibri"/>
        <family val="2"/>
        <scheme val="minor"/>
      </rPr>
      <t>Fuente:</t>
    </r>
    <r>
      <rPr>
        <sz val="9"/>
        <rFont val="Calibri"/>
        <family val="2"/>
        <scheme val="minor"/>
      </rPr>
      <t xml:space="preserve"> proyectos registrados en el COFON en 2021</t>
    </r>
  </si>
  <si>
    <t>Total U. Azcapotzalco</t>
  </si>
  <si>
    <t>Total U. Cuajimalpa</t>
  </si>
  <si>
    <t>Total U. Iztapalapa</t>
  </si>
  <si>
    <t>Total U. Lerma</t>
  </si>
  <si>
    <t>Total U. Xochimilco</t>
  </si>
  <si>
    <t>Nivel 1:  Al interior de las Unidades Académicas 2021</t>
  </si>
  <si>
    <t>Nivel 2: Entre las Unidades académicas 2021</t>
  </si>
  <si>
    <t xml:space="preserve">a) Torneos Internos </t>
  </si>
  <si>
    <t>Torneo Virtual de Ajedrez</t>
  </si>
  <si>
    <t>Ajedrez (virtual)</t>
  </si>
  <si>
    <t>4</t>
  </si>
  <si>
    <t>Torneo de Simultáneas</t>
  </si>
  <si>
    <t>Dual meet Futbol 7 (presencial)</t>
  </si>
  <si>
    <t>Nivel 1: Al interior y entre las Unidades Académicas 2021</t>
  </si>
  <si>
    <t>b) Servicios proporcionados a la Comunidad Universitaria por medio de las plataformas digitales</t>
  </si>
  <si>
    <t>Taller de Ajedrez</t>
  </si>
  <si>
    <t>Zoom</t>
  </si>
  <si>
    <t>Taller de Tenis de mesa</t>
  </si>
  <si>
    <t>Taller de Tochito</t>
  </si>
  <si>
    <t>Taller de Yoga (virtual)</t>
  </si>
  <si>
    <t>Taller de Yoga (presencial)</t>
  </si>
  <si>
    <t>Taller de Entrenamiento Funcional</t>
  </si>
  <si>
    <t>Videos de Acondicionamiento Físico Gral.</t>
  </si>
  <si>
    <t>You Tube</t>
  </si>
  <si>
    <t xml:space="preserve">Videos de salud mental </t>
  </si>
  <si>
    <t xml:space="preserve"> You Tube -Facebook</t>
  </si>
  <si>
    <t xml:space="preserve">Miniconferencias </t>
  </si>
  <si>
    <t>Facebook-You Tube</t>
  </si>
  <si>
    <t>Videos de contenido Temático</t>
  </si>
  <si>
    <t>Facebook-Instagram</t>
  </si>
  <si>
    <t>Super Clase de Zumba</t>
  </si>
  <si>
    <t>Clase de Kick Boxing</t>
  </si>
  <si>
    <t>Zoom - Facebook</t>
  </si>
  <si>
    <t>Clase de Pilates</t>
  </si>
  <si>
    <t>Eventos de Bienvenida (Presencial)</t>
  </si>
  <si>
    <t>Presencial</t>
  </si>
  <si>
    <t>Entrevistas</t>
  </si>
  <si>
    <t>Facebook</t>
  </si>
  <si>
    <t>Conversatorios</t>
  </si>
  <si>
    <t>Infografías</t>
  </si>
  <si>
    <t>Collage de Fotografía Histórica</t>
  </si>
  <si>
    <t>Minivideos Tik Tok</t>
  </si>
  <si>
    <t>Tik Tok</t>
  </si>
  <si>
    <t>Historias Instagram</t>
  </si>
  <si>
    <t>Instagram</t>
  </si>
  <si>
    <t>Textos y Banners</t>
  </si>
  <si>
    <t>Núm. de beneficiarios</t>
  </si>
  <si>
    <t>Núm. de participantes</t>
  </si>
  <si>
    <t>Núm. de torneos</t>
  </si>
  <si>
    <t>Actividad</t>
  </si>
  <si>
    <t>Periodicidad</t>
  </si>
  <si>
    <t>Núm. de servicios</t>
  </si>
  <si>
    <t>Plataforma digital</t>
  </si>
  <si>
    <t>Disciplina</t>
  </si>
  <si>
    <t>Núm. de personas alcanzadas</t>
  </si>
  <si>
    <t>Ing. en Energía</t>
  </si>
  <si>
    <t>Posgrado en Ciencias e Ingeniería (Ambientales) Maestría</t>
  </si>
  <si>
    <t>Posgrado en Ciencias e Ingeniería (de Materiales) Maestría</t>
  </si>
  <si>
    <t>Posgrado en Ciencias e Ingeniería (Ambientales) Doctorado</t>
  </si>
  <si>
    <r>
      <rPr>
        <b/>
        <vertAlign val="superscript"/>
        <sz val="10"/>
        <color rgb="FF222222"/>
        <rFont val="Calibri"/>
        <family val="2"/>
        <scheme val="minor"/>
      </rPr>
      <t>1</t>
    </r>
    <r>
      <rPr>
        <sz val="9"/>
        <color rgb="FF222222"/>
        <rFont val="Calibri"/>
        <family val="2"/>
        <scheme val="minor"/>
      </rPr>
      <t xml:space="preserve"> Desde 2014 ya no existen las becas del </t>
    </r>
    <r>
      <rPr>
        <sz val="9"/>
        <color rgb="FFFF0000"/>
        <rFont val="Calibri"/>
        <family val="2"/>
        <scheme val="minor"/>
      </rPr>
      <t>PRONABES</t>
    </r>
    <r>
      <rPr>
        <sz val="9"/>
        <color rgb="FF222222"/>
        <rFont val="Calibri"/>
        <family val="2"/>
        <scheme val="minor"/>
      </rPr>
      <t xml:space="preserve"> se modificaron a </t>
    </r>
    <r>
      <rPr>
        <sz val="9"/>
        <color rgb="FFFF0000"/>
        <rFont val="Calibri"/>
        <family val="2"/>
        <scheme val="minor"/>
      </rPr>
      <t>Manutención</t>
    </r>
    <r>
      <rPr>
        <sz val="9"/>
        <color rgb="FF222222"/>
        <rFont val="Calibri"/>
        <family val="2"/>
        <scheme val="minor"/>
      </rPr>
      <t xml:space="preserve"> y</t>
    </r>
    <r>
      <rPr>
        <i/>
        <u/>
        <sz val="9"/>
        <color rgb="FF222222"/>
        <rFont val="Calibri"/>
        <family val="2"/>
        <scheme val="minor"/>
      </rPr>
      <t xml:space="preserve"> a partir de este año (2021) la UAM ya no participa en esa  modalidad</t>
    </r>
    <r>
      <rPr>
        <sz val="9"/>
        <color rgb="FF222222"/>
        <rFont val="Calibri"/>
        <family val="2"/>
        <scheme val="minor"/>
      </rPr>
      <t xml:space="preserve"> con la Coordinación Nacional de Becas del Bienestar Benito Juárez (CNBBBJ). </t>
    </r>
    <r>
      <rPr>
        <b/>
        <i/>
        <sz val="9"/>
        <color rgb="FF222222"/>
        <rFont val="Calibri"/>
        <family val="2"/>
        <scheme val="minor"/>
      </rPr>
      <t>En la UAM se sustituyó por la</t>
    </r>
    <r>
      <rPr>
        <b/>
        <i/>
        <sz val="9"/>
        <color rgb="FFFF0000"/>
        <rFont val="Calibri"/>
        <family val="2"/>
        <scheme val="minor"/>
      </rPr>
      <t xml:space="preserve"> Beca para Continuación de Estudios</t>
    </r>
    <r>
      <rPr>
        <sz val="9"/>
        <color rgb="FF222222"/>
        <rFont val="Calibri"/>
        <family val="2"/>
        <scheme val="minor"/>
      </rPr>
      <t>.</t>
    </r>
  </si>
  <si>
    <r>
      <t>Beca para realizar estudios de Licenciatura  Manutención</t>
    </r>
    <r>
      <rPr>
        <b/>
        <vertAlign val="superscript"/>
        <sz val="11"/>
        <rFont val="Calibri"/>
        <family val="2"/>
        <scheme val="minor"/>
      </rPr>
      <t>1</t>
    </r>
  </si>
  <si>
    <r>
      <t>Pagadas en 2021</t>
    </r>
    <r>
      <rPr>
        <b/>
        <vertAlign val="superscript"/>
        <sz val="11"/>
        <rFont val="Calibri"/>
        <family val="2"/>
        <scheme val="minor"/>
      </rPr>
      <t>2</t>
    </r>
  </si>
  <si>
    <t>Unidad / División / Planes</t>
  </si>
  <si>
    <t xml:space="preserve">Beca para curso de Idioma presencial o en línea con Instituciones del extranjero para alumnos/as de licenciatura y posgrado </t>
  </si>
  <si>
    <t>Beca para movilidad virtual</t>
  </si>
  <si>
    <t>Becas de Manutención</t>
  </si>
  <si>
    <t>Becas de
Manutención</t>
  </si>
  <si>
    <r>
      <t xml:space="preserve">12. Beca de movilidad para alumnos/as de posgrado de instituciones de educación superior del </t>
    </r>
    <r>
      <rPr>
        <b/>
        <sz val="14"/>
        <color rgb="FFFF0000"/>
        <rFont val="Calibri"/>
        <family val="2"/>
        <scheme val="minor"/>
      </rPr>
      <t>extranjero</t>
    </r>
    <r>
      <rPr>
        <b/>
        <sz val="14"/>
        <color theme="1"/>
        <rFont val="Calibri"/>
        <family val="2"/>
        <scheme val="minor"/>
      </rPr>
      <t xml:space="preserve"> en acciones de movilidad en la UAM</t>
    </r>
  </si>
  <si>
    <r>
      <t xml:space="preserve">15. Beca para movilidad virtual para alumnos de licenciatura </t>
    </r>
    <r>
      <rPr>
        <i/>
        <sz val="11"/>
        <color theme="1"/>
        <rFont val="Calibri"/>
        <family val="2"/>
        <scheme val="minor"/>
      </rPr>
      <t>(Nueva 2021)</t>
    </r>
  </si>
  <si>
    <t>2. Beca para integrantes de grupos en contexto y situación de vulnerabilidad</t>
  </si>
  <si>
    <t>4. Para la Continuación de estudios</t>
  </si>
  <si>
    <t>9. Estudios de Posgrado en la UAM</t>
  </si>
  <si>
    <t>15. Beca para movilidad virtual</t>
  </si>
  <si>
    <t>17. Becas de superación de personal Académico</t>
  </si>
  <si>
    <t>1. Beca de Excelencia</t>
  </si>
  <si>
    <t>3. Beca para Servicio Social</t>
  </si>
  <si>
    <t>8. Beca de movilidad para alumnos/as de licenciatura de instituciones de educación superior del extranjero en acciones de movilidad en la UAM</t>
  </si>
  <si>
    <t>9. Beca para realizar estudios de maestría y doctorado en la UAM</t>
  </si>
  <si>
    <t>10. Beca para participar en eventos de difusión y de investigación en Ciencia y Tecnología</t>
  </si>
  <si>
    <t>2. Beca para grupos en vulnerabilidad</t>
  </si>
  <si>
    <r>
      <rPr>
        <b/>
        <vertAlign val="superscript"/>
        <sz val="9"/>
        <color theme="1"/>
        <rFont val="Calibri"/>
        <family val="2"/>
        <scheme val="minor"/>
      </rPr>
      <t xml:space="preserve">2 </t>
    </r>
    <r>
      <rPr>
        <b/>
        <sz val="9"/>
        <color theme="1"/>
        <rFont val="Calibri"/>
        <family val="2"/>
        <scheme val="minor"/>
      </rPr>
      <t>Nota:</t>
    </r>
    <r>
      <rPr>
        <sz val="9"/>
        <color theme="1"/>
        <rFont val="Calibri"/>
        <family val="2"/>
        <scheme val="minor"/>
      </rPr>
      <t xml:space="preserve"> La Junta de Coordinación de Movilidad emitió dos comunicados para informar que en el análisis de los posibles escenarios nacionales e internacionales y ante la falta de certeza respecto al reinicio de actividades presenciales en las Instituciones de Educación Superior (IES) y en la UAM, </t>
    </r>
    <r>
      <rPr>
        <sz val="9"/>
        <color rgb="FFFF0000"/>
        <rFont val="Calibri"/>
        <family val="2"/>
        <scheme val="minor"/>
      </rPr>
      <t>determinó mantener la suspensión de las estancias de movilidad presenciales entrantes y salientes a nivel licenciatura y posgrado durante el 2021,</t>
    </r>
    <r>
      <rPr>
        <sz val="9"/>
        <color theme="1"/>
        <rFont val="Calibri"/>
        <family val="2"/>
        <scheme val="minor"/>
      </rPr>
      <t xml:space="preserve"> los comunicados se pueden consultar en: https://vinculacion.uam.mx/contenido/cnt/documentos_pdf/Comunicado-JCM-2021-1-26771-.pdf. https://vinculacion.uam.mx/contenido/cnt/documentos_pdf/comunicado-JCM-2021_2.pdf.</t>
    </r>
  </si>
  <si>
    <t>Posgrado de Ciencias Naturales e Ingeniería</t>
  </si>
  <si>
    <t>14. Beca de movilidad nacional para alumnos de posgrado</t>
  </si>
  <si>
    <r>
      <t xml:space="preserve">7. Beca de movilidad </t>
    </r>
    <r>
      <rPr>
        <b/>
        <sz val="14"/>
        <color rgb="FFFF0000"/>
        <rFont val="Calibri"/>
        <family val="2"/>
        <scheme val="minor"/>
      </rPr>
      <t>nacional</t>
    </r>
    <r>
      <rPr>
        <b/>
        <sz val="14"/>
        <color theme="1"/>
        <rFont val="Calibri"/>
        <family val="2"/>
        <scheme val="minor"/>
      </rPr>
      <t xml:space="preserve"> para alumnos de licenciatura</t>
    </r>
  </si>
  <si>
    <r>
      <t xml:space="preserve">6. Beca de movilidad </t>
    </r>
    <r>
      <rPr>
        <b/>
        <sz val="14"/>
        <color rgb="FFFF0000"/>
        <rFont val="Calibri"/>
        <family val="2"/>
        <scheme val="minor"/>
      </rPr>
      <t>internacional</t>
    </r>
    <r>
      <rPr>
        <b/>
        <sz val="14"/>
        <color theme="1"/>
        <rFont val="Calibri"/>
        <family val="2"/>
        <scheme val="minor"/>
      </rPr>
      <t xml:space="preserve"> para alumnos de licenciatura</t>
    </r>
  </si>
  <si>
    <t xml:space="preserve">11. Beca de movilidad internacional para alumnos de posgrado </t>
  </si>
  <si>
    <t xml:space="preserve">Beca para curso de Idioma presencial o en línea en la Ciudad de MéxIco o en el Estado de MéxIco para alumnos de licenciatura y posgrado </t>
  </si>
  <si>
    <t>Beca de Movilidad Internacional de alumnos de Licenciatura</t>
  </si>
  <si>
    <t>Beca de Movilidad Nacional de alumnos de Licenciatura</t>
  </si>
  <si>
    <t xml:space="preserve">Beca de movilidad internacional para alumnos de posgrado </t>
  </si>
  <si>
    <t>Beca de movilidad para alumnos de posgrado de instituciones de educación superior del extranjero en acciones de movilidad en la UAM</t>
  </si>
  <si>
    <t>Becas de movilidad para alumnos de posgrado en instituciones de educación superior de México en acciones de movilidad en la UAM</t>
  </si>
  <si>
    <t>Beca de movilidad nacional para alumnos de posgrado</t>
  </si>
  <si>
    <t>4. Beca para la Continuación de Estudios</t>
  </si>
  <si>
    <t>Beca para la continuación de estudios</t>
  </si>
  <si>
    <t>17. Becas de superación del personal académico</t>
  </si>
  <si>
    <t xml:space="preserve">Becas para especializaciones </t>
  </si>
  <si>
    <r>
      <rPr>
        <sz val="11"/>
        <rFont val="Calibri"/>
        <family val="2"/>
        <scheme val="minor"/>
      </rPr>
      <t>5.1</t>
    </r>
    <r>
      <rPr>
        <sz val="10"/>
        <rFont val="Calibri"/>
        <family val="2"/>
        <scheme val="minor"/>
      </rPr>
      <t xml:space="preserve"> Beca para curso de Idioma Ciudad de México o en el Estado de MéxIco_Lic.</t>
    </r>
  </si>
  <si>
    <r>
      <rPr>
        <sz val="11"/>
        <rFont val="Calibri"/>
        <family val="2"/>
        <scheme val="minor"/>
      </rPr>
      <t>5.2</t>
    </r>
    <r>
      <rPr>
        <sz val="10"/>
        <rFont val="Calibri"/>
        <family val="2"/>
        <scheme val="minor"/>
      </rPr>
      <t xml:space="preserve"> Beca para curso de Idioma Ciudad de México o en el Estado de MéxIco_Pos.</t>
    </r>
  </si>
  <si>
    <r>
      <rPr>
        <sz val="11"/>
        <rFont val="Calibri"/>
        <family val="2"/>
        <scheme val="minor"/>
      </rPr>
      <t>5.3</t>
    </r>
    <r>
      <rPr>
        <sz val="10"/>
        <rFont val="Calibri"/>
        <family val="2"/>
        <scheme val="minor"/>
      </rPr>
      <t xml:space="preserve"> Beca para curso de Idioma con Instituciones del extranjero _Lic</t>
    </r>
  </si>
  <si>
    <r>
      <rPr>
        <sz val="11"/>
        <rFont val="Calibri"/>
        <family val="2"/>
        <scheme val="minor"/>
      </rPr>
      <t>5.4</t>
    </r>
    <r>
      <rPr>
        <sz val="10"/>
        <rFont val="Calibri"/>
        <family val="2"/>
        <scheme val="minor"/>
      </rPr>
      <t xml:space="preserve"> Beca para curso de Idioma con Instituciones del extranjero _Pos</t>
    </r>
  </si>
  <si>
    <r>
      <rPr>
        <sz val="11"/>
        <rFont val="Calibri"/>
        <family val="2"/>
        <scheme val="minor"/>
      </rPr>
      <t>6.</t>
    </r>
    <r>
      <rPr>
        <sz val="10"/>
        <rFont val="Calibri"/>
        <family val="2"/>
        <scheme val="minor"/>
      </rPr>
      <t xml:space="preserve"> Beca de movilidad internacional para alumnos de licenciatura</t>
    </r>
  </si>
  <si>
    <r>
      <rPr>
        <sz val="11"/>
        <rFont val="Calibri"/>
        <family val="2"/>
        <scheme val="minor"/>
      </rPr>
      <t>7.</t>
    </r>
    <r>
      <rPr>
        <sz val="10"/>
        <rFont val="Calibri"/>
        <family val="2"/>
        <scheme val="minor"/>
      </rPr>
      <t xml:space="preserve"> Beca de movilidad nacional para alumnos de licenciatura</t>
    </r>
  </si>
  <si>
    <r>
      <rPr>
        <sz val="11"/>
        <rFont val="Calibri"/>
        <family val="2"/>
        <scheme val="minor"/>
      </rPr>
      <t>8.</t>
    </r>
    <r>
      <rPr>
        <sz val="10"/>
        <rFont val="Calibri"/>
        <family val="2"/>
        <scheme val="minor"/>
      </rPr>
      <t xml:space="preserve"> Beca de movilidad de licenciatura del extranjero en acciones de movilidad en la UAM</t>
    </r>
  </si>
  <si>
    <r>
      <rPr>
        <sz val="11"/>
        <rFont val="Calibri"/>
        <family val="2"/>
        <scheme val="minor"/>
      </rPr>
      <t>10.</t>
    </r>
    <r>
      <rPr>
        <sz val="10"/>
        <rFont val="Calibri"/>
        <family val="2"/>
        <scheme val="minor"/>
      </rPr>
      <t xml:space="preserve"> Beca para participar en eventos de difusión y de investigación en Ciencia y Tecnología</t>
    </r>
  </si>
  <si>
    <r>
      <rPr>
        <sz val="11"/>
        <rFont val="Calibri"/>
        <family val="2"/>
        <scheme val="minor"/>
      </rPr>
      <t>11.</t>
    </r>
    <r>
      <rPr>
        <sz val="10"/>
        <rFont val="Calibri"/>
        <family val="2"/>
        <scheme val="minor"/>
      </rPr>
      <t xml:space="preserve"> Beca de movilidad internacional para alumnos  de posgrado </t>
    </r>
  </si>
  <si>
    <r>
      <rPr>
        <sz val="11"/>
        <rFont val="Calibri"/>
        <family val="2"/>
        <scheme val="minor"/>
      </rPr>
      <t>12.</t>
    </r>
    <r>
      <rPr>
        <sz val="10"/>
        <rFont val="Calibri"/>
        <family val="2"/>
        <scheme val="minor"/>
      </rPr>
      <t xml:space="preserve"> Beca de movilidad de posgrado del extranjero en acciones de movilidad en la UAM</t>
    </r>
  </si>
  <si>
    <r>
      <rPr>
        <sz val="11"/>
        <rFont val="Calibri"/>
        <family val="2"/>
        <scheme val="minor"/>
      </rPr>
      <t xml:space="preserve">13. </t>
    </r>
    <r>
      <rPr>
        <sz val="10"/>
        <rFont val="Calibri"/>
        <family val="2"/>
        <scheme val="minor"/>
      </rPr>
      <t>Becas de movilidad de posgrado de México en acciones de movilidad en la UAM</t>
    </r>
  </si>
  <si>
    <t>Especialización en Física Medica Clínica</t>
  </si>
  <si>
    <t>Resumen Becas UAM</t>
  </si>
  <si>
    <t xml:space="preserve">TITULADOS DE LICENCIATURA </t>
  </si>
  <si>
    <t>Inv.</t>
  </si>
  <si>
    <t>Prim.</t>
  </si>
  <si>
    <t>Oto.</t>
  </si>
  <si>
    <t>Nuevo Ingreso</t>
  </si>
  <si>
    <t>INSCRITOS DE PRIMER INGRESO A POSGRADO</t>
  </si>
  <si>
    <r>
      <t xml:space="preserve">MATRÍCULA </t>
    </r>
    <r>
      <rPr>
        <sz val="11"/>
        <rFont val="Arial"/>
        <family val="2"/>
      </rPr>
      <t>(Inscritos de primer ingreso y reinscritos)</t>
    </r>
    <r>
      <rPr>
        <b/>
        <sz val="11"/>
        <rFont val="Arial"/>
        <family val="2"/>
      </rPr>
      <t xml:space="preserve"> DE POSGRADO POR TRIMESTRE</t>
    </r>
  </si>
  <si>
    <r>
      <t xml:space="preserve">MATRÍCULA
</t>
    </r>
    <r>
      <rPr>
        <sz val="10"/>
        <rFont val="Arial"/>
        <family val="2"/>
      </rPr>
      <t>(Inscritos de primer ingreso y reinscritos)</t>
    </r>
    <r>
      <rPr>
        <b/>
        <sz val="11"/>
        <rFont val="Arial"/>
        <family val="2"/>
      </rPr>
      <t xml:space="preserve"> DE POSGRADO POR TRIMESTRE</t>
    </r>
  </si>
  <si>
    <t>Maestría en Enfermería de Práctica Avanzada</t>
  </si>
  <si>
    <t>Especialización en Etnografía Política y Espacio Público</t>
  </si>
  <si>
    <t>Quincena 20 del 2022</t>
  </si>
  <si>
    <t>PERSONAL ACADÉMICO CON PERFIL DESEABLE VIGENTE PRODEP</t>
  </si>
  <si>
    <t>PRODEP (Programa para el Desarrollo Profesional Docente, para el Tipo Superior): Reconocimiento a profesores con perfil deseable. El perfil deseable, de acuerdo con el Prodep, se refiere a: ser profesor de tiempo completo, haber obtenido el grado preferente (doctor) o mínimo (maestro o en su caso una especialidad médica) y demostrar fehacientemente la participación en actividades de docencia, generación o aplicación innovadora del conocimiento, tutoría y gestión académica individual o grupal.</t>
  </si>
  <si>
    <t>TOTAL
2022</t>
  </si>
  <si>
    <r>
      <t xml:space="preserve">BECAS </t>
    </r>
    <r>
      <rPr>
        <sz val="9"/>
        <color rgb="FF57A519"/>
        <rFont val="Calibri"/>
        <family val="2"/>
        <scheme val="minor"/>
      </rPr>
      <t xml:space="preserve"> continuación</t>
    </r>
  </si>
  <si>
    <t>Cua</t>
  </si>
  <si>
    <t>Azc</t>
  </si>
  <si>
    <t>Izt</t>
  </si>
  <si>
    <t>Ler</t>
  </si>
  <si>
    <t>Xoc</t>
  </si>
  <si>
    <t>Se dejó de participar en esta modalidad</t>
  </si>
  <si>
    <r>
      <t xml:space="preserve">Desde 2014 ya no existen las becas del </t>
    </r>
    <r>
      <rPr>
        <sz val="11"/>
        <color rgb="FFFF0000"/>
        <rFont val="Calibri"/>
        <family val="2"/>
        <scheme val="minor"/>
      </rPr>
      <t>PRONABES</t>
    </r>
    <r>
      <rPr>
        <sz val="11"/>
        <color rgb="FF222222"/>
        <rFont val="Calibri"/>
        <family val="2"/>
        <scheme val="minor"/>
      </rPr>
      <t xml:space="preserve"> se modificaron a </t>
    </r>
    <r>
      <rPr>
        <sz val="11"/>
        <color rgb="FFFF0000"/>
        <rFont val="Calibri"/>
        <family val="2"/>
        <scheme val="minor"/>
      </rPr>
      <t>Manutención</t>
    </r>
    <r>
      <rPr>
        <sz val="11"/>
        <color rgb="FF222222"/>
        <rFont val="Calibri"/>
        <family val="2"/>
        <scheme val="minor"/>
      </rPr>
      <t xml:space="preserve"> y</t>
    </r>
    <r>
      <rPr>
        <b/>
        <i/>
        <u/>
        <sz val="11"/>
        <color rgb="FF222222"/>
        <rFont val="Calibri"/>
        <family val="2"/>
        <scheme val="minor"/>
      </rPr>
      <t xml:space="preserve"> a partir de este año (2021) la UAM ya no participa en esa  modalidad</t>
    </r>
    <r>
      <rPr>
        <sz val="11"/>
        <color rgb="FF222222"/>
        <rFont val="Calibri"/>
        <family val="2"/>
        <scheme val="minor"/>
      </rPr>
      <t xml:space="preserve"> con la Coordinación Nacional de Becas del Bienestar Benito Juárez (CNBBBJ). </t>
    </r>
    <r>
      <rPr>
        <sz val="11"/>
        <rFont val="Calibri"/>
        <family val="2"/>
        <scheme val="minor"/>
      </rPr>
      <t>En la UAM se sustituyó por la</t>
    </r>
    <r>
      <rPr>
        <sz val="11"/>
        <color rgb="FFFF0000"/>
        <rFont val="Calibri"/>
        <family val="2"/>
        <scheme val="minor"/>
      </rPr>
      <t xml:space="preserve"> Beca para Continuación de Estudios</t>
    </r>
    <r>
      <rPr>
        <sz val="11"/>
        <color rgb="FF222222"/>
        <rFont val="Calibri"/>
        <family val="2"/>
        <scheme val="minor"/>
      </rPr>
      <t>.</t>
    </r>
  </si>
  <si>
    <r>
      <rPr>
        <b/>
        <vertAlign val="superscript"/>
        <sz val="9"/>
        <rFont val="Calibri"/>
        <family val="2"/>
        <scheme val="minor"/>
      </rPr>
      <t xml:space="preserve">3 </t>
    </r>
    <r>
      <rPr>
        <b/>
        <sz val="9"/>
        <rFont val="Calibri"/>
        <family val="2"/>
        <scheme val="minor"/>
      </rPr>
      <t>Nota:</t>
    </r>
    <r>
      <rPr>
        <sz val="9"/>
        <rFont val="Calibri"/>
        <family val="2"/>
        <scheme val="minor"/>
      </rPr>
      <t xml:space="preserve"> La Junta de Coordinación de Movilidad de la UAM, comunica que, con base en el análisis de los posibles escenarios nacionales e internacionales, </t>
    </r>
    <r>
      <rPr>
        <sz val="9"/>
        <color rgb="FFFF0000"/>
        <rFont val="Calibri"/>
        <family val="2"/>
        <scheme val="minor"/>
      </rPr>
      <t>ha decidido reactivar la movilidad en modalidad presencial, virtual y mixta, tanto entrante como saliente a nivel licenciatura y posgrado durante el segundo semestre del año 2022</t>
    </r>
    <r>
      <rPr>
        <sz val="9"/>
        <rFont val="Calibri"/>
        <family val="2"/>
        <scheme val="minor"/>
      </rPr>
      <t>.
El comunicado se pueden consultar en: https://www.comunicacionsocial.uam.mx/principal/avisos/img/comunicado-movilidad-8-mar-22.pdf</t>
    </r>
  </si>
  <si>
    <t>Maestría en enfermería Avanzada</t>
  </si>
  <si>
    <t>seguir liga</t>
  </si>
  <si>
    <t>Base de datos del S N I publicada en junio de 2022</t>
  </si>
  <si>
    <t>Planes 2021-O</t>
  </si>
  <si>
    <t>Planes trim. 22-O</t>
  </si>
  <si>
    <t>UNIDAD AZCAPOTZALCO 2022</t>
  </si>
  <si>
    <t>UNIDAD CUAJIMALPA 2022</t>
  </si>
  <si>
    <t>salió</t>
  </si>
  <si>
    <t>UNIDAD IZTAPALAPA 2022</t>
  </si>
  <si>
    <t>UNIDAD LERMA 2022</t>
  </si>
  <si>
    <t>CIFRHS</t>
  </si>
  <si>
    <t>CIFRHS: Comisión Interinstitucional para la Formación de Recursos Humanos para la Salud.</t>
  </si>
  <si>
    <t>UNIDAD XOCHIMILCO 2022</t>
  </si>
  <si>
    <t>Salió</t>
  </si>
  <si>
    <t>CONAEDO</t>
  </si>
  <si>
    <t>CONAEDO: Consejo Nacional de Educación Odontológica A. C.</t>
  </si>
  <si>
    <t>Doc.</t>
  </si>
  <si>
    <r>
      <t xml:space="preserve">Planes de estudios de posgrado </t>
    </r>
    <r>
      <rPr>
        <b/>
        <sz val="11"/>
        <color rgb="FFFF0000"/>
        <rFont val="Calibri"/>
        <family val="2"/>
        <scheme val="minor"/>
      </rPr>
      <t>2022</t>
    </r>
  </si>
  <si>
    <t>SNP</t>
  </si>
  <si>
    <r>
      <t xml:space="preserve">Posgrado en Ciencias e Ingeniería       </t>
    </r>
    <r>
      <rPr>
        <i/>
        <sz val="10"/>
        <rFont val="Calibri"/>
        <family val="2"/>
        <scheme val="minor"/>
      </rPr>
      <t>(Materiales)</t>
    </r>
  </si>
  <si>
    <r>
      <t xml:space="preserve">                                                                                          </t>
    </r>
    <r>
      <rPr>
        <i/>
        <sz val="10"/>
        <rFont val="Calibri"/>
        <family val="2"/>
        <scheme val="minor"/>
      </rPr>
      <t>(Ambientales)</t>
    </r>
  </si>
  <si>
    <t>Entra en operación_SNP</t>
  </si>
  <si>
    <t>Sistema Nacional de Posgrado (SNP)</t>
  </si>
  <si>
    <r>
      <t>Compartido con CBS_</t>
    </r>
    <r>
      <rPr>
        <i/>
        <sz val="9"/>
        <color rgb="FF57A519"/>
        <rFont val="Calibri"/>
        <family val="2"/>
        <scheme val="minor"/>
      </rPr>
      <t>SNP</t>
    </r>
  </si>
  <si>
    <r>
      <t>Compartido con CBI_</t>
    </r>
    <r>
      <rPr>
        <i/>
        <sz val="9"/>
        <color rgb="FF57A519"/>
        <rFont val="Calibri"/>
        <family val="2"/>
        <scheme val="minor"/>
      </rPr>
      <t>SNP</t>
    </r>
  </si>
  <si>
    <t>Maestría en Ciencias Sociales</t>
  </si>
  <si>
    <r>
      <t xml:space="preserve">Nueva
</t>
    </r>
    <r>
      <rPr>
        <sz val="8"/>
        <rFont val="Calibri"/>
        <family val="2"/>
        <scheme val="minor"/>
      </rPr>
      <t>Trimestre 2023-I</t>
    </r>
  </si>
  <si>
    <t>Especialización-Maestría y Doctorado en Desarrollo Rural</t>
  </si>
  <si>
    <t>INTERUNIDADES 2022</t>
  </si>
  <si>
    <t xml:space="preserve">Reciente creación </t>
  </si>
  <si>
    <t>Corte: dic. 2022</t>
  </si>
  <si>
    <t>Incorporados en el PNPC / SNP  por grado académico</t>
  </si>
  <si>
    <t>Incorporados en el PNPC / SNP por nivel Conacyt</t>
  </si>
  <si>
    <r>
      <rPr>
        <b/>
        <sz val="9"/>
        <rFont val="Calibri"/>
        <family val="2"/>
        <scheme val="minor"/>
      </rPr>
      <t>FUENTE:</t>
    </r>
    <r>
      <rPr>
        <sz val="9"/>
        <rFont val="Calibri"/>
        <family val="2"/>
        <scheme val="minor"/>
      </rPr>
      <t xml:space="preserve"> Padrón del Programa Nacional de Posgrados de Calidad (PNPC)</t>
    </r>
  </si>
  <si>
    <r>
      <rPr>
        <b/>
        <sz val="9"/>
        <rFont val="Calibri"/>
        <family val="2"/>
        <scheme val="minor"/>
      </rPr>
      <t>FUENTE:</t>
    </r>
    <r>
      <rPr>
        <sz val="9"/>
        <rFont val="Calibri"/>
        <family val="2"/>
        <scheme val="minor"/>
      </rPr>
      <t xml:space="preserve"> Programa Nacional de Posgrados de Calidad (PNPC)</t>
    </r>
  </si>
  <si>
    <r>
      <t>Planes</t>
    </r>
    <r>
      <rPr>
        <sz val="11"/>
        <color indexed="8"/>
        <rFont val="Calibri"/>
        <family val="2"/>
        <scheme val="minor"/>
      </rPr>
      <t xml:space="preserve"> Trim.15-O</t>
    </r>
  </si>
  <si>
    <r>
      <t xml:space="preserve">5.1 Beca para curso de Idioma presencial o en línea en la Ciudad de México o en el Estado de MéxIco para alumnos de </t>
    </r>
    <r>
      <rPr>
        <b/>
        <sz val="14"/>
        <color rgb="FFFF0000"/>
        <rFont val="Calibri"/>
        <family val="2"/>
        <scheme val="minor"/>
      </rPr>
      <t>licenciatura</t>
    </r>
    <r>
      <rPr>
        <b/>
        <sz val="14"/>
        <color theme="1"/>
        <rFont val="Calibri"/>
        <family val="2"/>
        <scheme val="minor"/>
      </rPr>
      <t xml:space="preserve"> </t>
    </r>
  </si>
  <si>
    <r>
      <t xml:space="preserve">5.2 Beca para curso de Idioma presencial o en línea en la Ciudad de México o en el Estado de México para alumnos de  </t>
    </r>
    <r>
      <rPr>
        <b/>
        <sz val="14"/>
        <color rgb="FFFF0000"/>
        <rFont val="Calibri"/>
        <family val="2"/>
        <scheme val="minor"/>
      </rPr>
      <t xml:space="preserve">posgrado </t>
    </r>
  </si>
  <si>
    <r>
      <t xml:space="preserve">5.3 Beca para curso de Idioma presencial o en línea con </t>
    </r>
    <r>
      <rPr>
        <b/>
        <sz val="14"/>
        <color rgb="FFFF0000"/>
        <rFont val="Calibri"/>
        <family val="2"/>
        <scheme val="minor"/>
      </rPr>
      <t>Instituciones del extranjero</t>
    </r>
    <r>
      <rPr>
        <b/>
        <sz val="14"/>
        <rFont val="Calibri"/>
        <family val="2"/>
        <scheme val="minor"/>
      </rPr>
      <t xml:space="preserve"> para alumnos de </t>
    </r>
    <r>
      <rPr>
        <b/>
        <sz val="14"/>
        <color rgb="FFFF0000"/>
        <rFont val="Calibri"/>
        <family val="2"/>
        <scheme val="minor"/>
      </rPr>
      <t>licenciatura</t>
    </r>
  </si>
  <si>
    <t>Diseño de la Comunicación Grafica</t>
  </si>
  <si>
    <t xml:space="preserve"> Biología Molecular</t>
  </si>
  <si>
    <r>
      <t xml:space="preserve">5.4 Beca para curso de Idioma presencial o en línea con </t>
    </r>
    <r>
      <rPr>
        <b/>
        <sz val="14"/>
        <color rgb="FFFF0000"/>
        <rFont val="Calibri"/>
        <family val="2"/>
        <scheme val="minor"/>
      </rPr>
      <t>Instituciones del extranjero</t>
    </r>
    <r>
      <rPr>
        <b/>
        <sz val="14"/>
        <rFont val="Calibri"/>
        <family val="2"/>
        <scheme val="minor"/>
      </rPr>
      <t xml:space="preserve"> para alumnos de </t>
    </r>
    <r>
      <rPr>
        <b/>
        <sz val="14"/>
        <color rgb="FFFF0000"/>
        <rFont val="Calibri"/>
        <family val="2"/>
        <scheme val="minor"/>
      </rPr>
      <t>posgrado</t>
    </r>
    <r>
      <rPr>
        <b/>
        <sz val="14"/>
        <rFont val="Calibri"/>
        <family val="2"/>
        <scheme val="minor"/>
      </rPr>
      <t xml:space="preserve"> </t>
    </r>
  </si>
  <si>
    <t>Maestria en Biologia de la Reproduccion Animal</t>
  </si>
  <si>
    <t>Internacional</t>
  </si>
  <si>
    <t>2021*</t>
  </si>
  <si>
    <t>No reportó ninguna la Subdirección de Becas*</t>
  </si>
  <si>
    <t>Doctorado en Integral en Ciencias Adminsitraivas</t>
  </si>
  <si>
    <t>Doctorado en Integral en Ciencias Administrativas</t>
  </si>
  <si>
    <t>2022 (*)</t>
  </si>
  <si>
    <t>(*) Incluye becas pagadas con diferentes fuentes de financiamiento</t>
  </si>
  <si>
    <t>Ciencias sociales y Humanidades</t>
  </si>
  <si>
    <t>ES</t>
  </si>
  <si>
    <r>
      <t xml:space="preserve">13. Becas de movilidad para alumnos/as de posgrado en instituciones de educación superior de </t>
    </r>
    <r>
      <rPr>
        <b/>
        <sz val="14"/>
        <color rgb="FFFF0000"/>
        <rFont val="Calibri"/>
        <family val="2"/>
        <scheme val="minor"/>
      </rPr>
      <t>México</t>
    </r>
    <r>
      <rPr>
        <b/>
        <sz val="14"/>
        <rFont val="Calibri"/>
        <family val="2"/>
        <scheme val="minor"/>
      </rPr>
      <t xml:space="preserve"> en acciones de movilidad en la UAM</t>
    </r>
  </si>
  <si>
    <t>16. Beca de Estancias Posdoctorales</t>
  </si>
  <si>
    <t>18. Beca de superación Académica para Estancias de Investigación</t>
  </si>
  <si>
    <r>
      <t xml:space="preserve">Manutención
</t>
    </r>
    <r>
      <rPr>
        <sz val="9"/>
        <rFont val="Calibri"/>
        <family val="2"/>
        <scheme val="minor"/>
      </rPr>
      <t>(antes Pronabes)</t>
    </r>
  </si>
  <si>
    <t>Beca de Apoyo a la Permanencia (BAP)</t>
  </si>
  <si>
    <t>Beca al Reconocimiento de la Carrera Docente (BRCD)</t>
  </si>
  <si>
    <t>Estímulo a la Docencia e Investigación (EDI)</t>
  </si>
  <si>
    <t>Estímulo a los Grados Académicos (EGA)</t>
  </si>
  <si>
    <t>Estímulo a la trayectoria Académica sobresaliente (ETAS)</t>
  </si>
  <si>
    <t>2022</t>
  </si>
  <si>
    <t>Secretaría General</t>
  </si>
  <si>
    <r>
      <rPr>
        <b/>
        <i/>
        <sz val="10"/>
        <rFont val="Arial"/>
        <family val="2"/>
      </rPr>
      <t>Fuente:</t>
    </r>
    <r>
      <rPr>
        <sz val="10"/>
        <rFont val="Arial"/>
        <family val="2"/>
      </rPr>
      <t xml:space="preserve"> proyectos registrados en el COFON en 2022</t>
    </r>
  </si>
  <si>
    <r>
      <t xml:space="preserve">Desde 2014 ya no existen las becas del </t>
    </r>
    <r>
      <rPr>
        <sz val="10"/>
        <color rgb="FFFF0000"/>
        <rFont val="Calibri"/>
        <family val="2"/>
        <scheme val="minor"/>
      </rPr>
      <t>PRONABES</t>
    </r>
    <r>
      <rPr>
        <sz val="10"/>
        <color rgb="FF222222"/>
        <rFont val="Calibri"/>
        <family val="2"/>
        <scheme val="minor"/>
      </rPr>
      <t xml:space="preserve"> se modificaron a </t>
    </r>
    <r>
      <rPr>
        <sz val="10"/>
        <color rgb="FFFF0000"/>
        <rFont val="Calibri"/>
        <family val="2"/>
        <scheme val="minor"/>
      </rPr>
      <t>Manutención</t>
    </r>
    <r>
      <rPr>
        <sz val="10"/>
        <color rgb="FF222222"/>
        <rFont val="Calibri"/>
        <family val="2"/>
        <scheme val="minor"/>
      </rPr>
      <t xml:space="preserve"> y </t>
    </r>
    <r>
      <rPr>
        <i/>
        <u/>
        <sz val="10"/>
        <color rgb="FF222222"/>
        <rFont val="Calibri"/>
        <family val="2"/>
        <scheme val="minor"/>
      </rPr>
      <t>a partir de este año (2021) la UAM ya no participa en esa  modalidad</t>
    </r>
    <r>
      <rPr>
        <sz val="10"/>
        <color rgb="FF222222"/>
        <rFont val="Calibri"/>
        <family val="2"/>
        <scheme val="minor"/>
      </rPr>
      <t xml:space="preserve"> con la Coordinación Nacional de Becas del Bienestar Benito Juárez (CNBBBJ). </t>
    </r>
    <r>
      <rPr>
        <sz val="10"/>
        <rFont val="Calibri"/>
        <family val="2"/>
        <scheme val="minor"/>
      </rPr>
      <t>En la UAM se sustituyó por la</t>
    </r>
    <r>
      <rPr>
        <sz val="10"/>
        <color rgb="FFFF0000"/>
        <rFont val="Calibri"/>
        <family val="2"/>
        <scheme val="minor"/>
      </rPr>
      <t xml:space="preserve"> Beca para Continuación de Estudios</t>
    </r>
    <r>
      <rPr>
        <sz val="10"/>
        <color rgb="FF222222"/>
        <rFont val="Calibri"/>
        <family val="2"/>
        <scheme val="minor"/>
      </rPr>
      <t>.</t>
    </r>
  </si>
  <si>
    <t>Nivel 1:  Al interior de las Unidades Académicas 2022</t>
  </si>
  <si>
    <t>Nivel 1: Al interior y entre las Unidades Académicas 2022</t>
  </si>
  <si>
    <t>Nivel 2: Entre las Unidades académicas 2022</t>
  </si>
  <si>
    <t>Básquetbol</t>
  </si>
  <si>
    <t>Básquetbol Tercias                              Relámpago y Two Ball</t>
  </si>
  <si>
    <t>Remo Bajo Techo</t>
  </si>
  <si>
    <t>Presentaciones Baile Depotivo</t>
  </si>
  <si>
    <t>Préstamo de balones (baloncesto. Voleibol, futbol americano, soccer) y material deportivo</t>
  </si>
  <si>
    <t>Prestamo de Juegos de Mesa</t>
  </si>
  <si>
    <t>Futbol Bandera</t>
  </si>
  <si>
    <t>Baile Deportivo</t>
  </si>
  <si>
    <t xml:space="preserve">Gimnasio de crossfit </t>
  </si>
  <si>
    <t>b) Servicios proporcionados a la Comunidad Universitaria</t>
  </si>
  <si>
    <t>Rally Deportivo 2022</t>
  </si>
  <si>
    <t>Serial Atlético "Muévete con la UAM"</t>
  </si>
  <si>
    <t xml:space="preserve"> Evaluaciones fisicas</t>
  </si>
  <si>
    <t>semestral</t>
  </si>
  <si>
    <t>Selectivo Panteras negras 2022</t>
  </si>
  <si>
    <t>anual</t>
  </si>
  <si>
    <r>
      <t>Anexo Estadístico del Informe del Rector General</t>
    </r>
    <r>
      <rPr>
        <b/>
        <i/>
        <sz val="24"/>
        <color rgb="FF007297"/>
        <rFont val="Cambria"/>
        <family val="1"/>
      </rPr>
      <t xml:space="preserve"> 2022   </t>
    </r>
  </si>
  <si>
    <t>Beca para integrantes de grupos en contexto y situación de vulnerabilidad</t>
  </si>
  <si>
    <t>Contratos y convenios 2022</t>
  </si>
  <si>
    <t>FUENTE: Coordinación General para el Fortalecimiento Académico y Vinculación y Unidades universitarias</t>
  </si>
  <si>
    <t>FUENTE: Coordinación General para el Fortalecimiento Académico y Vinculación</t>
  </si>
  <si>
    <t>Monto ejercido (MN)</t>
  </si>
  <si>
    <t>Exámenes de fondo realizados</t>
  </si>
  <si>
    <r>
      <t xml:space="preserve">Checar este concepto por </t>
    </r>
    <r>
      <rPr>
        <i/>
        <sz val="10"/>
        <color rgb="FFFF0000"/>
        <rFont val="Calibri"/>
        <family val="2"/>
        <scheme val="minor"/>
      </rPr>
      <t>contestaciones oficiales…</t>
    </r>
  </si>
  <si>
    <t>Beca de servicio social *</t>
  </si>
  <si>
    <t>Beca para realizar estudios de maestría y doctorado en la UAM *</t>
  </si>
  <si>
    <t>Becas para Titulación de Posgrado *</t>
  </si>
  <si>
    <t>Beca de Servicio Social Monitores en la salud, retorno UAM ante la Contingencia covid-19 *</t>
  </si>
  <si>
    <t>* Incluye becas pagadas con diferentes fuentes de financiamiento (año 2022).</t>
  </si>
  <si>
    <t>Políticas Publicas</t>
  </si>
  <si>
    <t>Ingeniería En Recursos Hídricos</t>
  </si>
  <si>
    <t xml:space="preserve">Ciencia Política </t>
  </si>
  <si>
    <t xml:space="preserve">Medicina </t>
  </si>
  <si>
    <t>Especialización Literatura Mexicana  Siglo XX</t>
  </si>
  <si>
    <t>Maestría en Ciencias Administrativas</t>
  </si>
  <si>
    <t>Posgrado en Historiografía, Doctorado</t>
  </si>
  <si>
    <t>Doctorado en Ciencias Administrativas</t>
  </si>
  <si>
    <t>Maestría en Diseño Planificación y Conservación de Paisajes y Jardines</t>
  </si>
  <si>
    <t>Maestría en Diseño y Desarrollo de Productos</t>
  </si>
  <si>
    <t>Maestría en Ciencias En Salud en el Trabajo</t>
  </si>
  <si>
    <t>18. Apoyo extraordinario para posgrado</t>
  </si>
  <si>
    <t xml:space="preserve">19. Becas para especializaciones </t>
  </si>
  <si>
    <t>20. Becas para Titulación de Posgrado</t>
  </si>
  <si>
    <t>21. Beca de Servicio Social Monitores en la salud, retorno UAM ante la Contingencia covid-19</t>
  </si>
  <si>
    <r>
      <rPr>
        <sz val="11"/>
        <rFont val="Calibri"/>
        <family val="2"/>
        <scheme val="minor"/>
      </rPr>
      <t>21.</t>
    </r>
    <r>
      <rPr>
        <sz val="10"/>
        <rFont val="Calibri"/>
        <family val="2"/>
        <scheme val="minor"/>
      </rPr>
      <t xml:space="preserve"> Beca de Servicio Social Monitores en la Salud, retorno UAM ante la
Contingencia covid-19</t>
    </r>
  </si>
  <si>
    <t>Maestría en Ciencias e Ingeniería Ambientales</t>
  </si>
  <si>
    <t>Maestría en Ciencias e Ingeniería de Materiales</t>
  </si>
  <si>
    <t>Maestría en Ciencias e Ingeniería Electromagnética</t>
  </si>
  <si>
    <t>Doctorado en Ciencias e Ingeniería Ambientales</t>
  </si>
  <si>
    <t>Especialización en Literatura Mexicana Del Siglo XX</t>
  </si>
  <si>
    <t>Doctorado En Ciencias Económicas</t>
  </si>
  <si>
    <t>Doctorado en Diseño y Estudios Urbanos</t>
  </si>
  <si>
    <t>Especialización en Diseño, Planificación y Conservación de Paisajes y Jardines</t>
  </si>
  <si>
    <t>Maestría en Diseño de Información y Comunicación</t>
  </si>
  <si>
    <t>Doctorado en  Ciencias Naturales e Ingeniería</t>
  </si>
  <si>
    <t>Maestría en Ciencias Física</t>
  </si>
  <si>
    <t>Maestría en Ciencias  Ingeniería Biomédica</t>
  </si>
  <si>
    <t>Maestría en Ciencias Matemáticas</t>
  </si>
  <si>
    <t>Maestría en  Ciencias Química</t>
  </si>
  <si>
    <t>Maestría en Ciencias Ingeniería Química</t>
  </si>
  <si>
    <t>Doctorado en Ciencias en Ingeniería Química</t>
  </si>
  <si>
    <t>Doctorado en Ciencias  Ingeniería Biomédica</t>
  </si>
  <si>
    <t>Doctorado en  Ciencias Matemáticas</t>
  </si>
  <si>
    <t>Doctorado en  Ciencias Económicas</t>
  </si>
  <si>
    <t>Doctorado en  Humanidades</t>
  </si>
  <si>
    <t xml:space="preserve">Doctorado en Ciencias Sociales </t>
  </si>
  <si>
    <t>Doctorado en  Desarrollo Rural</t>
  </si>
  <si>
    <t>Doctorado en  Ciencias en Salud Colectiva</t>
  </si>
  <si>
    <t>Maestría en Diseño Bioclimático</t>
  </si>
  <si>
    <t>Maestría en  Ciencias Naturales e Ingeniería</t>
  </si>
  <si>
    <t>Maestría en Ciencias Ingeniería Biomédica</t>
  </si>
  <si>
    <t>Maestría en  Ciencias Matemáticas</t>
  </si>
  <si>
    <t>Doctorado en Ciencias Física</t>
  </si>
  <si>
    <t>Doctorado en Ciencias Química</t>
  </si>
  <si>
    <t>Doctorado en Ciencias Matemáticas</t>
  </si>
  <si>
    <t xml:space="preserve">Doctorado en Estudios Sociales </t>
  </si>
  <si>
    <t xml:space="preserve"> Maestría en Desarrollo y Planeación de la Educación</t>
  </si>
  <si>
    <t xml:space="preserve"> Maestría en Economía, Gestión y Políticas de Innovación</t>
  </si>
  <si>
    <t xml:space="preserve"> Maestría en Políticas Publicas</t>
  </si>
  <si>
    <t xml:space="preserve"> Maestría en Psicología Social de Grupos e Instituciones</t>
  </si>
  <si>
    <t xml:space="preserve"> Maestría en Relaciones Internacionales</t>
  </si>
  <si>
    <t>Maestría en Ciencias En Salud de los Trabajadores</t>
  </si>
  <si>
    <t xml:space="preserve">Maestría en Rehabilitación Neurológica </t>
  </si>
  <si>
    <t>Pagadas en 2022</t>
  </si>
  <si>
    <t>Maestría en Ciencias e Ingeniería (Ambientales, Materiales)</t>
  </si>
  <si>
    <t>Doctorado en Ciencias e Ingeniería  (Ambientales, Materiales)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</si>
</sst>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.0%"/>
    <numFmt numFmtId="165" formatCode="[$-1540A]dd\ mmmm\,\ yyyy;@"/>
    <numFmt numFmtId="166" formatCode="_(* #,##0.00_);_(* \(#,##0.00\);_(* &quot;-&quot;??_);_(@_)"/>
    <numFmt numFmtId="167" formatCode="0_);\(0\)"/>
    <numFmt numFmtId="168" formatCode="_(* #,##0_);_(* \(#,##0\);_(* &quot;-&quot;??_);_(@_)"/>
    <numFmt numFmtId="169" formatCode="_(* #,##0.0_);_(* \(#,##0.0\);_(* &quot;-&quot;??_);_(@_)"/>
    <numFmt numFmtId="170" formatCode="_-* #,##0.0_-;\-* #,##0.0_-;_-* &quot;-&quot;??_-;_-@_-"/>
    <numFmt numFmtId="171" formatCode="0.0"/>
    <numFmt numFmtId="172" formatCode="_(* #,##0_);_(* \(#,##0\);_(* &quot;-&quot;_);_(@_)"/>
    <numFmt numFmtId="173" formatCode="\ \ \ \ \ @"/>
    <numFmt numFmtId="174" formatCode="#,##0.00_ ;[Red]\-#,##0.00\ "/>
    <numFmt numFmtId="175" formatCode="\ 0;\-0;;@"/>
    <numFmt numFmtId="176" formatCode="_-* #,##0_-;\-* #,##0_-;_-* &quot;-&quot;??_-;_-@_-"/>
  </numFmts>
  <fonts count="296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i/>
      <sz val="36"/>
      <name val="Arial"/>
      <family val="2"/>
    </font>
    <font>
      <sz val="36"/>
      <name val="Arial"/>
      <family val="2"/>
    </font>
    <font>
      <sz val="10"/>
      <color rgb="FFCC9900"/>
      <name val="Arial"/>
      <family val="2"/>
    </font>
    <font>
      <sz val="11"/>
      <name val="Arial"/>
      <family val="2"/>
    </font>
    <font>
      <b/>
      <sz val="14"/>
      <name val="Arial Narrow"/>
      <family val="2"/>
    </font>
    <font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name val="Calibri"/>
      <family val="2"/>
      <scheme val="minor"/>
    </font>
    <font>
      <sz val="14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sz val="12"/>
      <name val="Calibri"/>
      <family val="2"/>
      <scheme val="minor"/>
    </font>
    <font>
      <u/>
      <sz val="10"/>
      <color indexed="12"/>
      <name val="Arial"/>
      <family val="2"/>
    </font>
    <font>
      <u/>
      <sz val="11"/>
      <color indexed="12"/>
      <name val="Calibri"/>
      <family val="2"/>
      <scheme val="minor"/>
    </font>
    <font>
      <sz val="10"/>
      <name val="Calibri"/>
      <family val="2"/>
      <scheme val="minor"/>
    </font>
    <font>
      <sz val="11"/>
      <color rgb="FF57A519"/>
      <name val="Calibri"/>
      <family val="2"/>
      <scheme val="minor"/>
    </font>
    <font>
      <sz val="8"/>
      <name val="Calibri"/>
      <family val="2"/>
      <scheme val="minor"/>
    </font>
    <font>
      <b/>
      <sz val="11"/>
      <name val="Arial"/>
      <family val="2"/>
    </font>
    <font>
      <b/>
      <sz val="14"/>
      <name val="Arial"/>
      <family val="2"/>
    </font>
    <font>
      <u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u/>
      <sz val="9"/>
      <name val="Calibri"/>
      <family val="2"/>
      <scheme val="minor"/>
    </font>
    <font>
      <sz val="10"/>
      <color indexed="8"/>
      <name val="Arial"/>
      <family val="2"/>
    </font>
    <font>
      <b/>
      <sz val="11"/>
      <name val="Calibri"/>
      <family val="2"/>
      <scheme val="minor"/>
    </font>
    <font>
      <b/>
      <sz val="12"/>
      <name val="Arial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color rgb="FFCD032E"/>
      <name val="Calibri"/>
      <family val="2"/>
      <scheme val="minor"/>
    </font>
    <font>
      <b/>
      <sz val="11"/>
      <color rgb="FF57A519"/>
      <name val="Calibri"/>
      <family val="2"/>
      <scheme val="minor"/>
    </font>
    <font>
      <b/>
      <sz val="11"/>
      <color rgb="FF0072CE"/>
      <name val="Calibri"/>
      <family val="2"/>
      <scheme val="minor"/>
    </font>
    <font>
      <b/>
      <sz val="11"/>
      <color rgb="FFF08200"/>
      <name val="Calibri"/>
      <family val="2"/>
      <scheme val="minor"/>
    </font>
    <font>
      <b/>
      <sz val="11"/>
      <color rgb="FFAD25A8"/>
      <name val="Calibri"/>
      <family val="2"/>
      <scheme val="minor"/>
    </font>
    <font>
      <sz val="9"/>
      <name val="Calibri"/>
      <family val="2"/>
    </font>
    <font>
      <sz val="10"/>
      <name val="Calibri"/>
      <family val="2"/>
    </font>
    <font>
      <sz val="18"/>
      <color rgb="FF222222"/>
      <name val="Arial"/>
      <family val="2"/>
    </font>
    <font>
      <b/>
      <sz val="11"/>
      <color theme="5"/>
      <name val="Calibri"/>
      <family val="2"/>
      <scheme val="minor"/>
    </font>
    <font>
      <b/>
      <sz val="11"/>
      <color theme="4"/>
      <name val="Calibri"/>
      <family val="2"/>
      <scheme val="minor"/>
    </font>
    <font>
      <sz val="10"/>
      <color theme="0" tint="-0.14999847407452621"/>
      <name val="Arial"/>
      <family val="2"/>
    </font>
    <font>
      <sz val="10"/>
      <color theme="0" tint="-0.249977111117893"/>
      <name val="Arial"/>
      <family val="2"/>
    </font>
    <font>
      <i/>
      <sz val="8"/>
      <color rgb="FF000000"/>
      <name val="Calibri"/>
      <family val="2"/>
    </font>
    <font>
      <b/>
      <sz val="11"/>
      <color theme="1"/>
      <name val="Arial"/>
      <family val="2"/>
    </font>
    <font>
      <b/>
      <sz val="11"/>
      <color theme="6" tint="-0.249977111117893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2"/>
      <name val="Century Gothic"/>
      <family val="2"/>
    </font>
    <font>
      <sz val="11"/>
      <color indexed="8"/>
      <name val="Calibri"/>
      <family val="2"/>
    </font>
    <font>
      <sz val="11"/>
      <name val="Calibri"/>
      <family val="2"/>
    </font>
    <font>
      <sz val="8"/>
      <name val="Century Gothic"/>
      <family val="2"/>
    </font>
    <font>
      <b/>
      <sz val="12"/>
      <color theme="1"/>
      <name val="Arial"/>
      <family val="2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2"/>
      <name val="Arial"/>
      <family val="2"/>
    </font>
    <font>
      <sz val="8"/>
      <name val="Arial"/>
      <family val="2"/>
    </font>
    <font>
      <sz val="10"/>
      <name val="Century Gothic"/>
      <family val="2"/>
    </font>
    <font>
      <sz val="10"/>
      <color theme="0" tint="-0.34998626667073579"/>
      <name val="Arial"/>
      <family val="2"/>
    </font>
    <font>
      <b/>
      <sz val="10"/>
      <name val="Arial"/>
      <family val="2"/>
    </font>
    <font>
      <sz val="10"/>
      <color theme="1"/>
      <name val="Calibri"/>
      <family val="2"/>
      <scheme val="minor"/>
    </font>
    <font>
      <b/>
      <sz val="8"/>
      <name val="Century Gothic"/>
      <family val="2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F08200"/>
      <name val="Calibri"/>
      <family val="2"/>
      <scheme val="minor"/>
    </font>
    <font>
      <b/>
      <i/>
      <sz val="8"/>
      <name val="Calibri"/>
      <family val="2"/>
      <scheme val="minor"/>
    </font>
    <font>
      <i/>
      <sz val="9"/>
      <color rgb="FFFF0000"/>
      <name val="Calibri"/>
      <family val="2"/>
      <scheme val="minor"/>
    </font>
    <font>
      <i/>
      <sz val="9"/>
      <name val="Arial"/>
      <family val="2"/>
    </font>
    <font>
      <b/>
      <i/>
      <sz val="9"/>
      <color theme="1"/>
      <name val="Calibri"/>
      <family val="2"/>
      <scheme val="minor"/>
    </font>
    <font>
      <sz val="8"/>
      <color theme="0" tint="-0.34998626667073579"/>
      <name val="Calibri"/>
      <family val="2"/>
      <scheme val="minor"/>
    </font>
    <font>
      <b/>
      <sz val="13"/>
      <name val="Century Gothic"/>
      <family val="2"/>
    </font>
    <font>
      <sz val="9"/>
      <name val="Arial"/>
      <family val="2"/>
    </font>
    <font>
      <sz val="11"/>
      <color rgb="FFCD032E"/>
      <name val="Calibri"/>
      <family val="2"/>
      <scheme val="minor"/>
    </font>
    <font>
      <sz val="11"/>
      <color rgb="FF0072CE"/>
      <name val="Calibri"/>
      <family val="2"/>
      <scheme val="minor"/>
    </font>
    <font>
      <b/>
      <sz val="8"/>
      <name val="Calibri"/>
      <family val="2"/>
      <scheme val="minor"/>
    </font>
    <font>
      <b/>
      <i/>
      <sz val="12"/>
      <color rgb="FFCD032E"/>
      <name val="Calibri"/>
      <family val="2"/>
      <scheme val="minor"/>
    </font>
    <font>
      <i/>
      <sz val="9"/>
      <name val="Calibri"/>
      <family val="2"/>
      <scheme val="minor"/>
    </font>
    <font>
      <i/>
      <sz val="9"/>
      <color rgb="FFCD032E"/>
      <name val="Calibri"/>
      <family val="2"/>
      <scheme val="minor"/>
    </font>
    <font>
      <b/>
      <sz val="8"/>
      <name val="Arial"/>
      <family val="2"/>
    </font>
    <font>
      <sz val="8"/>
      <name val="Calibri"/>
      <family val="2"/>
    </font>
    <font>
      <b/>
      <i/>
      <sz val="12"/>
      <color rgb="FFF08200"/>
      <name val="Calibri"/>
      <family val="2"/>
      <scheme val="minor"/>
    </font>
    <font>
      <i/>
      <sz val="9"/>
      <color indexed="8"/>
      <name val="Calibri"/>
      <family val="2"/>
      <scheme val="minor"/>
    </font>
    <font>
      <i/>
      <sz val="9"/>
      <color rgb="FFF08200"/>
      <name val="Calibri"/>
      <family val="2"/>
      <scheme val="minor"/>
    </font>
    <font>
      <i/>
      <sz val="9"/>
      <color theme="9" tint="-0.249977111117893"/>
      <name val="Calibri"/>
      <family val="2"/>
      <scheme val="minor"/>
    </font>
    <font>
      <b/>
      <i/>
      <sz val="12"/>
      <color rgb="FF57A519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11"/>
      <color rgb="FF000000"/>
      <name val="Calibri"/>
      <family val="2"/>
    </font>
    <font>
      <b/>
      <i/>
      <sz val="10"/>
      <name val="Calibri"/>
      <family val="2"/>
      <scheme val="minor"/>
    </font>
    <font>
      <sz val="10"/>
      <color rgb="FFAD25A8"/>
      <name val="Arial"/>
      <family val="2"/>
    </font>
    <font>
      <b/>
      <i/>
      <sz val="12"/>
      <color rgb="FFAD25A8"/>
      <name val="Calibri"/>
      <family val="2"/>
      <scheme val="minor"/>
    </font>
    <font>
      <b/>
      <sz val="9"/>
      <name val="Calibri"/>
      <family val="2"/>
      <scheme val="minor"/>
    </font>
    <font>
      <b/>
      <sz val="8"/>
      <name val="Calibri"/>
      <family val="2"/>
    </font>
    <font>
      <b/>
      <i/>
      <sz val="12"/>
      <color rgb="FF0072CE"/>
      <name val="Calibri"/>
      <family val="2"/>
      <scheme val="minor"/>
    </font>
    <font>
      <i/>
      <sz val="11"/>
      <name val="Calibri"/>
      <family val="2"/>
      <scheme val="minor"/>
    </font>
    <font>
      <sz val="12"/>
      <color rgb="FF000000"/>
      <name val="Calibri"/>
      <family val="2"/>
    </font>
    <font>
      <i/>
      <sz val="10"/>
      <name val="Calibri"/>
      <family val="2"/>
      <scheme val="minor"/>
    </font>
    <font>
      <b/>
      <sz val="10"/>
      <color rgb="FFFF0000"/>
      <name val="Arial"/>
      <family val="2"/>
    </font>
    <font>
      <sz val="11"/>
      <color rgb="FF00B05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0"/>
      <color indexed="8"/>
      <name val="Arial"/>
      <family val="2"/>
    </font>
    <font>
      <b/>
      <sz val="10"/>
      <color rgb="FFCD032E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b/>
      <sz val="10"/>
      <color rgb="FFF08200"/>
      <name val="Arial"/>
      <family val="2"/>
    </font>
    <font>
      <b/>
      <sz val="10"/>
      <color rgb="FF57A519"/>
      <name val="Arial"/>
      <family val="2"/>
    </font>
    <font>
      <b/>
      <sz val="10"/>
      <color theme="1"/>
      <name val="Arial"/>
      <family val="2"/>
    </font>
    <font>
      <b/>
      <sz val="10"/>
      <color rgb="FFAD25A8"/>
      <name val="Arial"/>
      <family val="2"/>
    </font>
    <font>
      <b/>
      <sz val="10"/>
      <color rgb="FF0072CE"/>
      <name val="Arial"/>
      <family val="2"/>
    </font>
    <font>
      <b/>
      <i/>
      <sz val="14"/>
      <name val="Arial"/>
      <family val="2"/>
    </font>
    <font>
      <i/>
      <sz val="8"/>
      <name val="Calibri"/>
      <family val="2"/>
      <scheme val="minor"/>
    </font>
    <font>
      <sz val="10"/>
      <color theme="0" tint="-0.249977111117893"/>
      <name val="Calibri"/>
      <family val="2"/>
      <scheme val="minor"/>
    </font>
    <font>
      <i/>
      <sz val="8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theme="1"/>
      <name val="Arial"/>
      <family val="2"/>
    </font>
    <font>
      <b/>
      <sz val="16"/>
      <name val="Arial"/>
      <family val="2"/>
    </font>
    <font>
      <i/>
      <sz val="11"/>
      <color rgb="FF000000"/>
      <name val="Calibri"/>
      <family val="2"/>
      <scheme val="minor"/>
    </font>
    <font>
      <i/>
      <sz val="10"/>
      <color rgb="FF000000"/>
      <name val="Calibri"/>
      <family val="2"/>
      <scheme val="minor"/>
    </font>
    <font>
      <i/>
      <sz val="9"/>
      <color rgb="FF000000"/>
      <name val="Calibri"/>
      <family val="2"/>
      <scheme val="minor"/>
    </font>
    <font>
      <sz val="11"/>
      <color rgb="FFAD25A8"/>
      <name val="Calibri"/>
      <family val="2"/>
      <scheme val="minor"/>
    </font>
    <font>
      <b/>
      <sz val="10"/>
      <name val="Calibri"/>
      <family val="2"/>
      <scheme val="minor"/>
    </font>
    <font>
      <sz val="8"/>
      <color theme="0" tint="-0.499984740745262"/>
      <name val="Calibri"/>
      <family val="2"/>
      <scheme val="minor"/>
    </font>
    <font>
      <b/>
      <sz val="13"/>
      <name val="Arial"/>
      <family val="2"/>
    </font>
    <font>
      <sz val="10"/>
      <color theme="0" tint="-0.499984740745262"/>
      <name val="Arial"/>
      <family val="2"/>
    </font>
    <font>
      <b/>
      <i/>
      <sz val="10"/>
      <name val="Arial"/>
      <family val="2"/>
    </font>
    <font>
      <b/>
      <sz val="9"/>
      <color rgb="FFCD032E"/>
      <name val="Calibri"/>
      <family val="2"/>
      <scheme val="minor"/>
    </font>
    <font>
      <b/>
      <sz val="9"/>
      <color rgb="FF57A519"/>
      <name val="Calibri"/>
      <family val="2"/>
      <scheme val="minor"/>
    </font>
    <font>
      <b/>
      <sz val="9"/>
      <color rgb="FF0072CE"/>
      <name val="Calibri"/>
      <family val="2"/>
      <scheme val="minor"/>
    </font>
    <font>
      <b/>
      <sz val="9"/>
      <color rgb="FFF08200"/>
      <name val="Calibri"/>
      <family val="2"/>
      <scheme val="minor"/>
    </font>
    <font>
      <b/>
      <sz val="9"/>
      <color rgb="FFAD25A8"/>
      <name val="Calibri"/>
      <family val="2"/>
      <scheme val="minor"/>
    </font>
    <font>
      <i/>
      <sz val="10"/>
      <color indexed="8"/>
      <name val="Calibri"/>
      <family val="2"/>
      <scheme val="minor"/>
    </font>
    <font>
      <sz val="8"/>
      <color indexed="8"/>
      <name val="Calibri"/>
      <family val="2"/>
      <scheme val="minor"/>
    </font>
    <font>
      <b/>
      <i/>
      <sz val="11"/>
      <name val="Arial"/>
      <family val="2"/>
    </font>
    <font>
      <i/>
      <sz val="11"/>
      <color theme="0" tint="-0.499984740745262"/>
      <name val="Calibri"/>
      <family val="2"/>
      <scheme val="minor"/>
    </font>
    <font>
      <i/>
      <sz val="10"/>
      <color theme="0" tint="-0.499984740745262"/>
      <name val="Calibri"/>
      <family val="2"/>
      <scheme val="minor"/>
    </font>
    <font>
      <i/>
      <sz val="11"/>
      <color theme="1" tint="0.249977111117893"/>
      <name val="Calibri"/>
      <family val="2"/>
      <scheme val="minor"/>
    </font>
    <font>
      <sz val="10"/>
      <color rgb="FF0072CE"/>
      <name val="Arial"/>
      <family val="2"/>
    </font>
    <font>
      <i/>
      <sz val="10"/>
      <color theme="1"/>
      <name val="Calibri"/>
      <family val="2"/>
      <scheme val="minor"/>
    </font>
    <font>
      <b/>
      <i/>
      <sz val="9"/>
      <name val="Calibri"/>
      <family val="2"/>
      <scheme val="minor"/>
    </font>
    <font>
      <sz val="11"/>
      <color theme="0" tint="-0.14999847407452621"/>
      <name val="Arial"/>
      <family val="2"/>
    </font>
    <font>
      <b/>
      <sz val="14"/>
      <color theme="1"/>
      <name val="Calibri"/>
      <family val="2"/>
      <scheme val="minor"/>
    </font>
    <font>
      <b/>
      <sz val="12"/>
      <color rgb="FFCD032E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0"/>
      <color rgb="FF57A519"/>
      <name val="Arial"/>
      <family val="2"/>
    </font>
    <font>
      <sz val="11"/>
      <color theme="6" tint="-0.249977111117893"/>
      <name val="Calibri"/>
      <family val="2"/>
      <scheme val="minor"/>
    </font>
    <font>
      <i/>
      <sz val="9"/>
      <color rgb="FF0072CE"/>
      <name val="Calibri"/>
      <family val="2"/>
      <scheme val="minor"/>
    </font>
    <font>
      <i/>
      <sz val="10"/>
      <color rgb="FF0072CE"/>
      <name val="Calibri"/>
      <family val="2"/>
      <scheme val="minor"/>
    </font>
    <font>
      <b/>
      <sz val="12"/>
      <name val="Calibri"/>
      <family val="2"/>
      <scheme val="minor"/>
    </font>
    <font>
      <b/>
      <i/>
      <sz val="12"/>
      <color theme="1" tint="0.34998626667073579"/>
      <name val="Calibri"/>
      <family val="2"/>
      <scheme val="minor"/>
    </font>
    <font>
      <b/>
      <sz val="14"/>
      <name val="Calibri"/>
      <family val="2"/>
      <scheme val="minor"/>
    </font>
    <font>
      <i/>
      <sz val="11"/>
      <color indexed="8"/>
      <name val="Calibri"/>
      <family val="2"/>
      <scheme val="minor"/>
    </font>
    <font>
      <b/>
      <i/>
      <sz val="11"/>
      <color theme="9" tint="-0.249977111117893"/>
      <name val="Calibri"/>
      <family val="2"/>
      <scheme val="minor"/>
    </font>
    <font>
      <b/>
      <i/>
      <sz val="11"/>
      <color indexed="8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b/>
      <i/>
      <sz val="10"/>
      <color indexed="8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sz val="11"/>
      <color indexed="8"/>
      <name val="Calibri"/>
      <family val="2"/>
    </font>
    <font>
      <b/>
      <i/>
      <sz val="10"/>
      <color theme="9" tint="-0.249977111117893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4"/>
      <name val="Arial"/>
      <family val="2"/>
    </font>
    <font>
      <sz val="7"/>
      <name val="Times New Roman"/>
      <family val="1"/>
    </font>
    <font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indexed="8"/>
      <name val="Arial"/>
      <family val="2"/>
    </font>
    <font>
      <b/>
      <sz val="11"/>
      <name val="Calibri"/>
      <family val="2"/>
    </font>
    <font>
      <sz val="8"/>
      <color rgb="FF222222"/>
      <name val="Arial"/>
      <family val="2"/>
    </font>
    <font>
      <b/>
      <sz val="11"/>
      <color indexed="8"/>
      <name val="Arial"/>
      <family val="2"/>
    </font>
    <font>
      <b/>
      <i/>
      <sz val="11"/>
      <color theme="8" tint="-0.249977111117893"/>
      <name val="Arial"/>
      <family val="2"/>
    </font>
    <font>
      <b/>
      <sz val="14"/>
      <color indexed="8"/>
      <name val="Arial"/>
      <family val="2"/>
    </font>
    <font>
      <b/>
      <sz val="14"/>
      <color indexed="8"/>
      <name val="Calibri"/>
      <family val="2"/>
    </font>
    <font>
      <b/>
      <sz val="14"/>
      <color rgb="FFFF0000"/>
      <name val="Calibri"/>
      <family val="2"/>
    </font>
    <font>
      <sz val="10"/>
      <name val="Arial"/>
      <family val="2"/>
    </font>
    <font>
      <sz val="8"/>
      <color indexed="8"/>
      <name val="Calibri"/>
      <family val="2"/>
    </font>
    <font>
      <b/>
      <sz val="12"/>
      <color indexed="8"/>
      <name val="Calibri"/>
      <family val="2"/>
      <scheme val="minor"/>
    </font>
    <font>
      <b/>
      <i/>
      <sz val="12"/>
      <color rgb="FFCC9900"/>
      <name val="Calibri"/>
      <family val="2"/>
      <scheme val="minor"/>
    </font>
    <font>
      <b/>
      <sz val="14"/>
      <color indexed="8"/>
      <name val="Calibri"/>
      <family val="2"/>
      <scheme val="minor"/>
    </font>
    <font>
      <b/>
      <sz val="12"/>
      <color rgb="FFCC9900"/>
      <name val="Calibri"/>
      <family val="2"/>
      <scheme val="minor"/>
    </font>
    <font>
      <sz val="9"/>
      <color rgb="FF000000"/>
      <name val="Arial"/>
      <family val="2"/>
    </font>
    <font>
      <sz val="9"/>
      <color rgb="FF000000"/>
      <name val="Calibri"/>
      <family val="2"/>
    </font>
    <font>
      <sz val="11"/>
      <color theme="0" tint="-0.34998626667073579"/>
      <name val="Calibri"/>
      <family val="2"/>
    </font>
    <font>
      <sz val="9"/>
      <color theme="0" tint="-0.34998626667073579"/>
      <name val="Calibri"/>
      <family val="2"/>
    </font>
    <font>
      <b/>
      <sz val="11"/>
      <color rgb="FFCC9900"/>
      <name val="Arial"/>
      <family val="2"/>
    </font>
    <font>
      <b/>
      <sz val="14"/>
      <color rgb="FFC00000"/>
      <name val="Calibri"/>
      <family val="2"/>
      <scheme val="minor"/>
    </font>
    <font>
      <b/>
      <sz val="11"/>
      <color rgb="FF0072D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12"/>
      <color rgb="FFCC9900"/>
      <name val="Arial"/>
      <family val="2"/>
    </font>
    <font>
      <sz val="9"/>
      <color rgb="FFCD032E"/>
      <name val="Calibri"/>
      <family val="2"/>
      <scheme val="minor"/>
    </font>
    <font>
      <sz val="9"/>
      <color theme="9" tint="-0.249977111117893"/>
      <name val="Calibri"/>
      <family val="2"/>
      <scheme val="minor"/>
    </font>
    <font>
      <b/>
      <sz val="9"/>
      <color theme="9" tint="-0.249977111117893"/>
      <name val="Calibri"/>
      <family val="2"/>
      <scheme val="minor"/>
    </font>
    <font>
      <sz val="9"/>
      <color rgb="FF57A519"/>
      <name val="Calibri"/>
      <family val="2"/>
      <scheme val="minor"/>
    </font>
    <font>
      <sz val="9"/>
      <color rgb="FFAD25A8"/>
      <name val="Calibri"/>
      <family val="2"/>
      <scheme val="minor"/>
    </font>
    <font>
      <sz val="9"/>
      <color rgb="FF0072CE"/>
      <name val="Calibri"/>
      <family val="2"/>
      <scheme val="minor"/>
    </font>
    <font>
      <b/>
      <sz val="11"/>
      <color rgb="FFFF0000"/>
      <name val="Arial"/>
      <family val="2"/>
    </font>
    <font>
      <b/>
      <sz val="12"/>
      <color rgb="FF000000"/>
      <name val="Arial"/>
      <family val="2"/>
    </font>
    <font>
      <sz val="10"/>
      <color rgb="FF000000"/>
      <name val="Calibri"/>
      <family val="2"/>
    </font>
    <font>
      <sz val="9"/>
      <color rgb="FF000000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sz val="12"/>
      <color theme="0" tint="-0.34998626667073579"/>
      <name val="Calibri"/>
      <family val="2"/>
      <scheme val="minor"/>
    </font>
    <font>
      <u/>
      <sz val="8"/>
      <color theme="10"/>
      <name val="Arial"/>
      <family val="2"/>
    </font>
    <font>
      <b/>
      <sz val="11"/>
      <name val="Lucida Sans Unicode"/>
      <family val="2"/>
    </font>
    <font>
      <i/>
      <sz val="8"/>
      <name val="Arial"/>
      <family val="2"/>
    </font>
    <font>
      <sz val="8"/>
      <color theme="1"/>
      <name val="Arial"/>
      <family val="2"/>
    </font>
    <font>
      <sz val="11"/>
      <color theme="0" tint="-0.14999847407452621"/>
      <name val="Calibri"/>
      <family val="2"/>
      <scheme val="minor"/>
    </font>
    <font>
      <b/>
      <sz val="9"/>
      <name val="Arial"/>
      <family val="2"/>
    </font>
    <font>
      <b/>
      <sz val="14"/>
      <color rgb="FF000000"/>
      <name val="Arial"/>
      <family val="2"/>
    </font>
    <font>
      <sz val="10"/>
      <color rgb="FFCD032E"/>
      <name val="Arial"/>
      <family val="2"/>
    </font>
    <font>
      <sz val="10"/>
      <color rgb="FFF08200"/>
      <name val="Arial"/>
      <family val="2"/>
    </font>
    <font>
      <sz val="8"/>
      <color rgb="FF000000"/>
      <name val="Calibri"/>
      <family val="2"/>
    </font>
    <font>
      <i/>
      <sz val="9"/>
      <color theme="8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9"/>
      <color theme="1"/>
      <name val="Arial"/>
      <family val="2"/>
    </font>
    <font>
      <sz val="10"/>
      <color rgb="FFFF0000"/>
      <name val="Calibri"/>
      <family val="2"/>
      <scheme val="minor"/>
    </font>
    <font>
      <b/>
      <sz val="10"/>
      <color theme="5"/>
      <name val="Calibri"/>
      <family val="2"/>
      <scheme val="minor"/>
    </font>
    <font>
      <b/>
      <sz val="10"/>
      <color theme="9" tint="-0.249977111117893"/>
      <name val="Calibri"/>
      <family val="2"/>
      <scheme val="minor"/>
    </font>
    <font>
      <b/>
      <sz val="10"/>
      <color theme="6" tint="-0.249977111117893"/>
      <name val="Calibri"/>
      <family val="2"/>
      <scheme val="minor"/>
    </font>
    <font>
      <b/>
      <sz val="10"/>
      <color theme="4"/>
      <name val="Calibri"/>
      <family val="2"/>
      <scheme val="minor"/>
    </font>
    <font>
      <b/>
      <sz val="11"/>
      <color theme="1" tint="0.249977111117893"/>
      <name val="Calibri"/>
      <family val="2"/>
      <scheme val="minor"/>
    </font>
    <font>
      <b/>
      <sz val="11"/>
      <color theme="1" tint="0.499984740745262"/>
      <name val="Calibri"/>
      <family val="2"/>
      <scheme val="minor"/>
    </font>
    <font>
      <b/>
      <sz val="12"/>
      <color indexed="8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9"/>
      <color rgb="FFFF0000"/>
      <name val="Calibri"/>
      <family val="2"/>
      <scheme val="minor"/>
    </font>
    <font>
      <u/>
      <sz val="11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0"/>
      <color theme="0" tint="-0.14999847407452621"/>
      <name val="Calibri"/>
      <family val="2"/>
      <scheme val="minor"/>
    </font>
    <font>
      <sz val="11"/>
      <color rgb="FF222222"/>
      <name val="Calibri"/>
      <family val="2"/>
      <scheme val="minor"/>
    </font>
    <font>
      <sz val="10"/>
      <color rgb="FF222222"/>
      <name val="Calibri"/>
      <family val="2"/>
      <scheme val="minor"/>
    </font>
    <font>
      <u/>
      <sz val="8"/>
      <name val="Calibri"/>
      <family val="2"/>
      <scheme val="minor"/>
    </font>
    <font>
      <b/>
      <sz val="10"/>
      <color indexed="8"/>
      <name val="Calibri"/>
      <family val="2"/>
      <scheme val="minor"/>
    </font>
    <font>
      <i/>
      <sz val="9"/>
      <color rgb="FF57A519"/>
      <name val="Calibri"/>
      <family val="2"/>
      <scheme val="minor"/>
    </font>
    <font>
      <i/>
      <sz val="9"/>
      <color rgb="FFAD25A8"/>
      <name val="Calibri"/>
      <family val="2"/>
      <scheme val="minor"/>
    </font>
    <font>
      <i/>
      <sz val="9"/>
      <color rgb="FF000000"/>
      <name val="Calibri"/>
      <family val="2"/>
    </font>
    <font>
      <b/>
      <sz val="10"/>
      <color theme="1" tint="0.249977111117893"/>
      <name val="Calibri"/>
      <family val="2"/>
      <scheme val="minor"/>
    </font>
    <font>
      <sz val="9"/>
      <color rgb="FF222222"/>
      <name val="Calibri"/>
      <family val="2"/>
      <scheme val="minor"/>
    </font>
    <font>
      <i/>
      <u/>
      <sz val="9"/>
      <color rgb="FF222222"/>
      <name val="Calibri"/>
      <family val="2"/>
      <scheme val="minor"/>
    </font>
    <font>
      <b/>
      <i/>
      <sz val="9"/>
      <color rgb="FF222222"/>
      <name val="Calibri"/>
      <family val="2"/>
      <scheme val="minor"/>
    </font>
    <font>
      <b/>
      <i/>
      <sz val="9"/>
      <color rgb="FFFF0000"/>
      <name val="Calibri"/>
      <family val="2"/>
      <scheme val="minor"/>
    </font>
    <font>
      <b/>
      <vertAlign val="superscript"/>
      <sz val="10"/>
      <color rgb="FF222222"/>
      <name val="Calibri"/>
      <family val="2"/>
      <scheme val="minor"/>
    </font>
    <font>
      <b/>
      <vertAlign val="superscript"/>
      <sz val="11"/>
      <name val="Calibri"/>
      <family val="2"/>
      <scheme val="minor"/>
    </font>
    <font>
      <b/>
      <vertAlign val="superscript"/>
      <sz val="9"/>
      <color theme="1"/>
      <name val="Calibri"/>
      <family val="2"/>
      <scheme val="minor"/>
    </font>
    <font>
      <sz val="10"/>
      <color rgb="FFCD032E"/>
      <name val="Calibri"/>
      <family val="2"/>
      <scheme val="minor"/>
    </font>
    <font>
      <sz val="10"/>
      <color rgb="FFF08200"/>
      <name val="Calibri"/>
      <family val="2"/>
      <scheme val="minor"/>
    </font>
    <font>
      <sz val="10"/>
      <color rgb="FFAD25A8"/>
      <name val="Calibri"/>
      <family val="2"/>
      <scheme val="minor"/>
    </font>
    <font>
      <sz val="10"/>
      <color rgb="FF0072CE"/>
      <name val="Calibri"/>
      <family val="2"/>
      <scheme val="minor"/>
    </font>
    <font>
      <b/>
      <i/>
      <u/>
      <sz val="11"/>
      <color rgb="FF222222"/>
      <name val="Calibri"/>
      <family val="2"/>
      <scheme val="minor"/>
    </font>
    <font>
      <b/>
      <i/>
      <sz val="16"/>
      <name val="Cambria"/>
      <family val="1"/>
    </font>
    <font>
      <b/>
      <vertAlign val="superscript"/>
      <sz val="9"/>
      <name val="Calibri"/>
      <family val="2"/>
      <scheme val="minor"/>
    </font>
    <font>
      <b/>
      <sz val="9"/>
      <name val="Arial Narrow"/>
      <family val="2"/>
    </font>
    <font>
      <b/>
      <sz val="9"/>
      <color rgb="FFFF0000"/>
      <name val="Calibri"/>
      <family val="2"/>
      <scheme val="minor"/>
    </font>
    <font>
      <b/>
      <sz val="9"/>
      <name val="Century Gothic"/>
      <family val="2"/>
    </font>
    <font>
      <sz val="11"/>
      <color rgb="FF57A519"/>
      <name val="Calibri"/>
      <family val="2"/>
    </font>
    <font>
      <sz val="11"/>
      <color rgb="FFFF0000"/>
      <name val="Calibri"/>
      <family val="2"/>
    </font>
    <font>
      <sz val="10"/>
      <color rgb="FF57A519"/>
      <name val="Calibri"/>
      <family val="2"/>
      <scheme val="minor"/>
    </font>
    <font>
      <sz val="10"/>
      <color indexed="8"/>
      <name val="Calibri"/>
      <family val="2"/>
      <scheme val="minor"/>
    </font>
    <font>
      <i/>
      <sz val="10"/>
      <color rgb="FFCD032E"/>
      <name val="Calibri"/>
      <family val="2"/>
      <scheme val="minor"/>
    </font>
    <font>
      <i/>
      <sz val="10"/>
      <color rgb="FF57A519"/>
      <name val="Calibri"/>
      <family val="2"/>
      <scheme val="minor"/>
    </font>
    <font>
      <i/>
      <sz val="11"/>
      <color theme="1" tint="0.499984740745262"/>
      <name val="Calibri"/>
      <family val="2"/>
      <scheme val="minor"/>
    </font>
    <font>
      <i/>
      <u/>
      <sz val="11"/>
      <name val="Calibri"/>
      <family val="2"/>
      <scheme val="minor"/>
    </font>
    <font>
      <u val="double"/>
      <sz val="11"/>
      <color rgb="FF000000"/>
      <name val="Calibri"/>
      <family val="2"/>
      <scheme val="minor"/>
    </font>
    <font>
      <i/>
      <u/>
      <sz val="11"/>
      <color rgb="FF000000"/>
      <name val="Calibri"/>
      <family val="2"/>
      <scheme val="minor"/>
    </font>
    <font>
      <i/>
      <u/>
      <sz val="10"/>
      <name val="Arial"/>
      <family val="2"/>
    </font>
    <font>
      <i/>
      <u/>
      <sz val="10"/>
      <color rgb="FF222222"/>
      <name val="Calibri"/>
      <family val="2"/>
      <scheme val="minor"/>
    </font>
    <font>
      <b/>
      <i/>
      <sz val="20"/>
      <color rgb="FF007297"/>
      <name val="Cambria"/>
      <family val="1"/>
    </font>
    <font>
      <b/>
      <i/>
      <sz val="24"/>
      <color rgb="FF007297"/>
      <name val="Cambria"/>
      <family val="1"/>
    </font>
    <font>
      <i/>
      <sz val="10"/>
      <color rgb="FFFF0000"/>
      <name val="Calibri"/>
      <family val="2"/>
      <scheme val="minor"/>
    </font>
    <font>
      <sz val="10"/>
      <color rgb="FFFF0000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D032E"/>
        <bgColor indexed="64"/>
      </patternFill>
    </fill>
    <fill>
      <patternFill patternType="solid">
        <fgColor rgb="FFF08200"/>
        <bgColor indexed="64"/>
      </patternFill>
    </fill>
    <fill>
      <patternFill patternType="solid">
        <fgColor rgb="FF57A519"/>
        <bgColor indexed="64"/>
      </patternFill>
    </fill>
    <fill>
      <patternFill patternType="solid">
        <fgColor rgb="FFAD25A8"/>
        <bgColor indexed="64"/>
      </patternFill>
    </fill>
    <fill>
      <patternFill patternType="solid">
        <fgColor rgb="FF0072CE"/>
        <bgColor indexed="64"/>
      </patternFill>
    </fill>
    <fill>
      <patternFill patternType="solid">
        <fgColor theme="0" tint="-0.14999847407452621"/>
        <bgColor indexed="0"/>
      </patternFill>
    </fill>
    <fill>
      <patternFill patternType="solid">
        <fgColor rgb="FFD9D9D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D8D8D8"/>
        <bgColor rgb="FFD8D8D8"/>
      </patternFill>
    </fill>
    <fill>
      <patternFill patternType="solid">
        <fgColor rgb="FFFFC000"/>
        <bgColor rgb="FFFFC000"/>
      </patternFill>
    </fill>
    <fill>
      <patternFill patternType="solid">
        <fgColor theme="0"/>
        <bgColor theme="0"/>
      </patternFill>
    </fill>
    <fill>
      <patternFill patternType="solid">
        <fgColor rgb="FFDDD9C3"/>
        <bgColor rgb="FFDDD9C3"/>
      </patternFill>
    </fill>
    <fill>
      <patternFill patternType="solid">
        <fgColor theme="0" tint="-0.14999847407452621"/>
        <bgColor rgb="FFFFC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</fills>
  <borders count="338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14996795556505021"/>
      </bottom>
      <diagonal/>
    </border>
    <border>
      <left/>
      <right/>
      <top style="thin">
        <color indexed="64"/>
      </top>
      <bottom style="thin">
        <color theme="0" tint="-0.14996795556505021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/>
      <diagonal/>
    </border>
    <border>
      <left style="thin">
        <color indexed="64"/>
      </left>
      <right/>
      <top style="thin">
        <color theme="0" tint="-0.14996795556505021"/>
      </top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indexed="64"/>
      </right>
      <top style="thin">
        <color theme="0" tint="-0.14996795556505021"/>
      </top>
      <bottom/>
      <diagonal/>
    </border>
    <border>
      <left style="thin">
        <color indexed="64"/>
      </left>
      <right style="thin">
        <color indexed="64"/>
      </right>
      <top/>
      <bottom style="thin">
        <color theme="0" tint="-0.24994659260841701"/>
      </bottom>
      <diagonal/>
    </border>
    <border>
      <left style="thin">
        <color indexed="64"/>
      </left>
      <right/>
      <top/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thin">
        <color indexed="64"/>
      </right>
      <top/>
      <bottom style="thin">
        <color theme="0" tint="-0.24994659260841701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theme="0" tint="-0.24994659260841701"/>
      </bottom>
      <diagonal/>
    </border>
    <border>
      <left/>
      <right/>
      <top style="thin">
        <color theme="0" tint="-0.1499679555650502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theme="0" tint="-0.14996795556505021"/>
      </top>
      <bottom style="thin">
        <color indexed="64"/>
      </bottom>
      <diagonal/>
    </border>
    <border>
      <left/>
      <right/>
      <top style="thin">
        <color theme="0" tint="-0.14996795556505021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14996795556505021"/>
      </bottom>
      <diagonal/>
    </border>
    <border>
      <left style="thin">
        <color indexed="64"/>
      </left>
      <right/>
      <top/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thin">
        <color indexed="64"/>
      </right>
      <top/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24994659260841701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/>
      <diagonal/>
    </border>
    <border>
      <left style="thin">
        <color indexed="64"/>
      </left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 style="thin">
        <color indexed="64"/>
      </right>
      <top style="thin">
        <color theme="0" tint="-0.24994659260841701"/>
      </top>
      <bottom/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/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theme="0" tint="-0.24994659260841701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rgb="FF000000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rgb="FF000000"/>
      </left>
      <right style="thin">
        <color rgb="FF000000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rgb="FF000000"/>
      </right>
      <top style="thin">
        <color theme="0" tint="-0.24994659260841701"/>
      </top>
      <bottom/>
      <diagonal/>
    </border>
    <border>
      <left style="thin">
        <color rgb="FF000000"/>
      </left>
      <right style="thin">
        <color rgb="FF000000"/>
      </right>
      <top style="thin">
        <color theme="0" tint="-0.24994659260841701"/>
      </top>
      <bottom style="thin">
        <color indexed="64"/>
      </bottom>
      <diagonal/>
    </border>
    <border>
      <left/>
      <right style="thin">
        <color theme="0" tint="-0.24994659260841701"/>
      </right>
      <top/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auto="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indexed="64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auto="1"/>
      </bottom>
      <diagonal/>
    </border>
    <border>
      <left style="thin">
        <color theme="0" tint="-0.24994659260841701"/>
      </left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auto="1"/>
      </bottom>
      <diagonal/>
    </border>
    <border>
      <left/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theme="0"/>
      </right>
      <top/>
      <bottom style="thin">
        <color indexed="64"/>
      </bottom>
      <diagonal/>
    </border>
    <border>
      <left style="thin">
        <color theme="0"/>
      </left>
      <right/>
      <top/>
      <bottom style="thin">
        <color indexed="64"/>
      </bottom>
      <diagonal/>
    </border>
    <border>
      <left style="thin">
        <color theme="0" tint="-0.24994659260841701"/>
      </left>
      <right/>
      <top style="thin">
        <color indexed="64"/>
      </top>
      <bottom style="medium">
        <color indexed="64"/>
      </bottom>
      <diagonal/>
    </border>
    <border>
      <left/>
      <right style="thin">
        <color theme="0" tint="-0.24994659260841701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theme="0" tint="-0.24994659260841701"/>
      </left>
      <right/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rgb="FFCD032E"/>
      </bottom>
      <diagonal/>
    </border>
    <border>
      <left style="thin">
        <color theme="0" tint="-0.24994659260841701"/>
      </left>
      <right style="thin">
        <color theme="0" tint="-0.24994659260841701"/>
      </right>
      <top style="medium">
        <color rgb="FFCD032E"/>
      </top>
      <bottom/>
      <diagonal/>
    </border>
    <border>
      <left/>
      <right/>
      <top/>
      <bottom style="medium">
        <color rgb="FFF08200"/>
      </bottom>
      <diagonal/>
    </border>
    <border>
      <left style="thin">
        <color theme="0" tint="-0.24994659260841701"/>
      </left>
      <right style="thin">
        <color theme="0" tint="-0.24994659260841701"/>
      </right>
      <top style="medium">
        <color rgb="FFF08200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57A519"/>
      </bottom>
      <diagonal/>
    </border>
    <border>
      <left/>
      <right/>
      <top/>
      <bottom style="medium">
        <color rgb="FFAD25A8"/>
      </bottom>
      <diagonal/>
    </border>
    <border>
      <left/>
      <right/>
      <top/>
      <bottom style="medium">
        <color rgb="FF0072CE"/>
      </bottom>
      <diagonal/>
    </border>
    <border>
      <left/>
      <right/>
      <top/>
      <bottom style="medium">
        <color theme="1" tint="0.34998626667073579"/>
      </bottom>
      <diagonal/>
    </border>
    <border>
      <left style="thin">
        <color theme="0" tint="-0.24994659260841701"/>
      </left>
      <right style="thin">
        <color auto="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auto="1"/>
      </right>
      <top style="thin">
        <color theme="0" tint="-0.24994659260841701"/>
      </top>
      <bottom style="thin">
        <color auto="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24994659260841701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indexed="64"/>
      </bottom>
      <diagonal/>
    </border>
    <border>
      <left style="thin">
        <color indexed="64"/>
      </left>
      <right/>
      <top style="thin">
        <color theme="0" tint="-0.34998626667073579"/>
      </top>
      <bottom style="thin">
        <color indexed="64"/>
      </bottom>
      <diagonal/>
    </border>
    <border>
      <left/>
      <right/>
      <top style="thin">
        <color theme="0" tint="-0.34998626667073579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34998626667073579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theme="0" tint="-0.24994659260841701"/>
      </right>
      <top/>
      <bottom style="medium">
        <color indexed="64"/>
      </bottom>
      <diagonal/>
    </border>
    <border>
      <left style="thin">
        <color theme="0" tint="-0.24994659260841701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auto="1"/>
      </left>
      <right style="thin">
        <color theme="0" tint="-0.24994659260841701"/>
      </right>
      <top style="thin">
        <color auto="1"/>
      </top>
      <bottom style="thin">
        <color indexed="64"/>
      </bottom>
      <diagonal/>
    </border>
    <border>
      <left style="thin">
        <color theme="0" tint="-0.2499465926084170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indexed="64"/>
      </left>
      <right style="thin">
        <color theme="0" tint="-0.24994659260841701"/>
      </right>
      <top/>
      <bottom style="thin">
        <color indexed="64"/>
      </bottom>
      <diagonal/>
    </border>
    <border>
      <left style="thin">
        <color theme="0" tint="-0.24994659260841701"/>
      </left>
      <right style="thin">
        <color auto="1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/>
      <right style="thin">
        <color theme="0" tint="-0.34998626667073579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34998626667073579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24994659260841701"/>
      </top>
      <bottom/>
      <diagonal/>
    </border>
    <border>
      <left/>
      <right style="thin">
        <color theme="0" tint="-0.34998626667073579"/>
      </right>
      <top style="thin">
        <color theme="0" tint="-0.24994659260841701"/>
      </top>
      <bottom/>
      <diagonal/>
    </border>
    <border>
      <left style="thin">
        <color theme="0" tint="-0.34998626667073579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/>
      <right style="thin">
        <color theme="0" tint="-0.34998626667073579"/>
      </right>
      <top/>
      <bottom style="thin">
        <color theme="0" tint="-0.24994659260841701"/>
      </bottom>
      <diagonal/>
    </border>
    <border>
      <left style="thin">
        <color theme="0" tint="-0.34998626667073579"/>
      </left>
      <right style="thin">
        <color indexed="64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auto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auto="1"/>
      </right>
      <top style="thin">
        <color theme="0" tint="-0.2499465926084170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22"/>
      </bottom>
      <diagonal/>
    </border>
    <border>
      <left style="thin">
        <color theme="0" tint="-0.24994659260841701"/>
      </left>
      <right style="thin">
        <color indexed="64"/>
      </right>
      <top style="thin">
        <color auto="1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/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theme="0" tint="-0.14996795556505021"/>
      </bottom>
      <diagonal/>
    </border>
    <border>
      <left/>
      <right style="thin">
        <color indexed="22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22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indexed="22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22"/>
      </left>
      <right/>
      <top style="thin">
        <color theme="0" tint="-0.14996795556505021"/>
      </top>
      <bottom style="thin">
        <color indexed="64"/>
      </bottom>
      <diagonal/>
    </border>
    <border>
      <left style="thin">
        <color indexed="22"/>
      </left>
      <right/>
      <top/>
      <bottom style="thin">
        <color theme="0" tint="-0.14996795556505021"/>
      </bottom>
      <diagonal/>
    </border>
    <border>
      <left/>
      <right style="thin">
        <color indexed="22"/>
      </right>
      <top/>
      <bottom style="thin">
        <color theme="0" tint="-0.14996795556505021"/>
      </bottom>
      <diagonal/>
    </border>
    <border>
      <left style="thin">
        <color indexed="22"/>
      </left>
      <right/>
      <top style="thin">
        <color theme="0" tint="-0.14996795556505021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24994659260841701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indexed="64"/>
      </top>
      <bottom style="thin">
        <color indexed="64"/>
      </bottom>
      <diagonal/>
    </border>
    <border>
      <left style="thin">
        <color theme="0" tint="-0.1499679555650502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14996795556505021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/>
      <right style="thin">
        <color theme="0" tint="-0.14996795556505021"/>
      </right>
      <top/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indexed="64"/>
      </right>
      <top/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 style="thin">
        <color indexed="64"/>
      </right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auto="1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theme="0" tint="-0.24994659260841701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thin">
        <color theme="0" tint="-0.2499465926084170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theme="0" tint="-0.2499465926084170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theme="0" tint="-0.24994659260841701"/>
      </right>
      <top style="thin">
        <color indexed="64"/>
      </top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/>
      <right style="thin">
        <color theme="0" tint="-0.24994659260841701"/>
      </right>
      <top style="thin">
        <color theme="0" tint="-0.34998626667073579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34998626667073579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34998626667073579"/>
      </bottom>
      <diagonal/>
    </border>
    <border>
      <left style="thin">
        <color indexed="64"/>
      </left>
      <right/>
      <top/>
      <bottom style="thin">
        <color theme="0" tint="-0.34998626667073579"/>
      </bottom>
      <diagonal/>
    </border>
    <border>
      <left/>
      <right style="thin">
        <color theme="0" tint="-0.24994659260841701"/>
      </right>
      <top/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indexed="64"/>
      </right>
      <top/>
      <bottom style="thin">
        <color theme="0" tint="-0.34998626667073579"/>
      </bottom>
      <diagonal/>
    </border>
    <border>
      <left/>
      <right style="thin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/>
      <top style="medium">
        <color indexed="64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medium">
        <color indexed="64"/>
      </top>
      <bottom style="thin">
        <color theme="0" tint="-0.2499465926084170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24994659260841701"/>
      </left>
      <right/>
      <top style="medium">
        <color indexed="64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14996795556505021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indexed="64"/>
      </left>
      <right style="thin">
        <color indexed="64"/>
      </right>
      <top style="thin">
        <color theme="0" tint="-0.14993743705557422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theme="0" tint="-0.499984740745262"/>
      </right>
      <top/>
      <bottom style="medium">
        <color indexed="64"/>
      </bottom>
      <diagonal/>
    </border>
    <border>
      <left/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/>
      <top/>
      <bottom style="medium">
        <color indexed="64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indexed="64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medium">
        <color indexed="64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medium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indexed="64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indexed="64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/>
      <diagonal/>
    </border>
    <border>
      <left style="thin">
        <color theme="0" tint="-0.24994659260841701"/>
      </left>
      <right/>
      <top style="thin">
        <color indexed="64"/>
      </top>
      <bottom/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rgb="FF000000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rgb="FF000000"/>
      </bottom>
      <diagonal/>
    </border>
    <border>
      <left/>
      <right style="thin">
        <color theme="0" tint="-0.24994659260841701"/>
      </right>
      <top style="medium">
        <color rgb="FFCD032E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medium">
        <color rgb="FFAD25A8"/>
      </top>
      <bottom style="thin">
        <color indexed="64"/>
      </bottom>
      <diagonal/>
    </border>
    <border>
      <left style="thin">
        <color theme="0" tint="-0.24994659260841701"/>
      </left>
      <right/>
      <top style="medium">
        <color rgb="FFAD25A8"/>
      </top>
      <bottom style="thin">
        <color indexed="64"/>
      </bottom>
      <diagonal/>
    </border>
    <border>
      <left style="thin">
        <color theme="0" tint="-0.34998626667073579"/>
      </left>
      <right style="thin">
        <color indexed="64"/>
      </right>
      <top/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14996795556505021"/>
      </top>
      <bottom style="thin">
        <color indexed="22"/>
      </bottom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 style="thin">
        <color theme="0" tint="-0.14996795556505021"/>
      </left>
      <right style="thin">
        <color indexed="64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indexed="64"/>
      </right>
      <top style="thin">
        <color theme="0" tint="-0.14996795556505021"/>
      </top>
      <bottom style="thin">
        <color indexed="22"/>
      </bottom>
      <diagonal/>
    </border>
    <border>
      <left style="thin">
        <color theme="0" tint="-0.14996795556505021"/>
      </left>
      <right style="thin">
        <color indexed="64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indexed="64"/>
      </left>
      <right style="thin">
        <color indexed="22"/>
      </right>
      <top/>
      <bottom style="thin">
        <color indexed="22"/>
      </bottom>
      <diagonal/>
    </border>
    <border>
      <left style="thin">
        <color indexed="64"/>
      </left>
      <right/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theme="0" tint="-0.2499465926084170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57A519"/>
      </left>
      <right/>
      <top style="thin">
        <color rgb="FF57A519"/>
      </top>
      <bottom style="thin">
        <color rgb="FF57A519"/>
      </bottom>
      <diagonal/>
    </border>
    <border>
      <left/>
      <right style="thin">
        <color rgb="FF57A519"/>
      </right>
      <top style="thin">
        <color rgb="FF57A519"/>
      </top>
      <bottom style="thin">
        <color rgb="FF57A519"/>
      </bottom>
      <diagonal/>
    </border>
    <border>
      <left/>
      <right style="thin">
        <color auto="1"/>
      </right>
      <top style="medium">
        <color indexed="64"/>
      </top>
      <bottom style="thin">
        <color theme="0" tint="-0.2499465926084170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indexed="64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/>
      <diagonal/>
    </border>
    <border>
      <left/>
      <right style="thin">
        <color theme="0" tint="-0.24994659260841701"/>
      </right>
      <top style="medium">
        <color rgb="FF57A519"/>
      </top>
      <bottom/>
      <diagonal/>
    </border>
    <border>
      <left/>
      <right style="thin">
        <color theme="0" tint="-0.24994659260841701"/>
      </right>
      <top style="medium">
        <color rgb="FF0072CE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22"/>
      </right>
      <top style="thin">
        <color indexed="22"/>
      </top>
      <bottom style="thin">
        <color theme="0" tint="-0.24994659260841701"/>
      </bottom>
      <diagonal/>
    </border>
    <border>
      <left style="thin">
        <color indexed="22"/>
      </left>
      <right/>
      <top style="thin">
        <color theme="0" tint="-0.14996795556505021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theme="0" tint="-0.14996795556505021"/>
      </left>
      <right/>
      <top style="thin">
        <color indexed="64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indexed="64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/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indexed="22"/>
      </bottom>
      <diagonal/>
    </border>
    <border>
      <left style="thin">
        <color theme="0" tint="-0.24994659260841701"/>
      </left>
      <right/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0" tint="-0.24994659260841701"/>
      </top>
      <bottom style="thin">
        <color rgb="FF000000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medium">
        <color indexed="64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medium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medium">
        <color indexed="64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medium">
        <color indexed="64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rgb="FF000000"/>
      </bottom>
      <diagonal/>
    </border>
    <border>
      <left/>
      <right/>
      <top/>
      <bottom style="medium">
        <color rgb="FF007297"/>
      </bottom>
      <diagonal/>
    </border>
    <border>
      <left style="thin">
        <color indexed="64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rgb="FFBFBFBF"/>
      </bottom>
      <diagonal/>
    </border>
  </borders>
  <cellStyleXfs count="68">
    <xf numFmtId="0" fontId="0" fillId="0" borderId="0"/>
    <xf numFmtId="0" fontId="39" fillId="0" borderId="0" applyNumberFormat="0" applyFill="0" applyBorder="0" applyAlignment="0" applyProtection="0">
      <alignment vertical="top"/>
      <protection locked="0"/>
    </xf>
    <xf numFmtId="0" fontId="26" fillId="0" borderId="0"/>
    <xf numFmtId="0" fontId="26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23" fillId="0" borderId="0"/>
    <xf numFmtId="0" fontId="49" fillId="0" borderId="0"/>
    <xf numFmtId="0" fontId="23" fillId="0" borderId="0"/>
    <xf numFmtId="9" fontId="26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49" fillId="0" borderId="0"/>
    <xf numFmtId="0" fontId="26" fillId="0" borderId="0"/>
    <xf numFmtId="0" fontId="49" fillId="0" borderId="0"/>
    <xf numFmtId="0" fontId="49" fillId="0" borderId="0"/>
    <xf numFmtId="0" fontId="49" fillId="0" borderId="0"/>
    <xf numFmtId="0" fontId="26" fillId="0" borderId="0"/>
    <xf numFmtId="0" fontId="49" fillId="0" borderId="0"/>
    <xf numFmtId="0" fontId="49" fillId="0" borderId="0"/>
    <xf numFmtId="0" fontId="49" fillId="0" borderId="0"/>
    <xf numFmtId="0" fontId="23" fillId="0" borderId="0"/>
    <xf numFmtId="0" fontId="23" fillId="0" borderId="0"/>
    <xf numFmtId="0" fontId="23" fillId="0" borderId="0"/>
    <xf numFmtId="9" fontId="7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49" fillId="0" borderId="0"/>
    <xf numFmtId="0" fontId="26" fillId="0" borderId="0"/>
    <xf numFmtId="0" fontId="49" fillId="0" borderId="0"/>
    <xf numFmtId="0" fontId="49" fillId="0" borderId="0"/>
    <xf numFmtId="0" fontId="22" fillId="0" borderId="0"/>
    <xf numFmtId="0" fontId="26" fillId="0" borderId="0"/>
    <xf numFmtId="0" fontId="22" fillId="0" borderId="0"/>
    <xf numFmtId="0" fontId="22" fillId="0" borderId="0"/>
    <xf numFmtId="0" fontId="186" fillId="0" borderId="0"/>
    <xf numFmtId="0" fontId="22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43" fontId="26" fillId="0" borderId="0" applyFont="0" applyFill="0" applyBorder="0" applyAlignment="0" applyProtection="0"/>
    <xf numFmtId="0" fontId="71" fillId="0" borderId="0"/>
    <xf numFmtId="166" fontId="71" fillId="0" borderId="0" applyFont="0" applyFill="0" applyBorder="0" applyAlignment="0" applyProtection="0"/>
    <xf numFmtId="0" fontId="19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1" fillId="0" borderId="0"/>
    <xf numFmtId="0" fontId="21" fillId="0" borderId="0"/>
    <xf numFmtId="0" fontId="49" fillId="0" borderId="0"/>
    <xf numFmtId="0" fontId="20" fillId="0" borderId="0"/>
    <xf numFmtId="0" fontId="26" fillId="0" borderId="0"/>
    <xf numFmtId="0" fontId="20" fillId="0" borderId="0"/>
    <xf numFmtId="166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44" fontId="26" fillId="0" borderId="0" applyFont="0" applyFill="0" applyBorder="0" applyAlignment="0" applyProtection="0"/>
    <xf numFmtId="0" fontId="20" fillId="0" borderId="0"/>
    <xf numFmtId="0" fontId="20" fillId="0" borderId="0"/>
    <xf numFmtId="9" fontId="26" fillId="0" borderId="0" applyFont="0" applyFill="0" applyBorder="0" applyAlignment="0" applyProtection="0"/>
    <xf numFmtId="0" fontId="26" fillId="0" borderId="0"/>
  </cellStyleXfs>
  <cellXfs count="6419">
    <xf numFmtId="0" fontId="0" fillId="0" borderId="0" xfId="0"/>
    <xf numFmtId="0" fontId="28" fillId="0" borderId="0" xfId="0" applyFont="1" applyAlignment="1">
      <alignment wrapText="1"/>
    </xf>
    <xf numFmtId="0" fontId="29" fillId="0" borderId="0" xfId="0" applyFont="1" applyAlignment="1">
      <alignment horizontal="center"/>
    </xf>
    <xf numFmtId="0" fontId="30" fillId="0" borderId="0" xfId="0" applyFont="1" applyAlignment="1">
      <alignment vertical="center"/>
    </xf>
    <xf numFmtId="0" fontId="32" fillId="0" borderId="0" xfId="2" applyFont="1"/>
    <xf numFmtId="0" fontId="32" fillId="0" borderId="0" xfId="2" applyFont="1" applyAlignment="1">
      <alignment horizontal="center" vertical="center"/>
    </xf>
    <xf numFmtId="0" fontId="33" fillId="0" borderId="0" xfId="2" applyFont="1" applyAlignment="1">
      <alignment vertical="center"/>
    </xf>
    <xf numFmtId="0" fontId="34" fillId="0" borderId="0" xfId="2" applyFont="1" applyAlignment="1">
      <alignment vertical="center"/>
    </xf>
    <xf numFmtId="0" fontId="35" fillId="0" borderId="0" xfId="2" applyFont="1" applyAlignment="1">
      <alignment horizontal="center" vertical="center"/>
    </xf>
    <xf numFmtId="0" fontId="36" fillId="0" borderId="0" xfId="2" applyFont="1" applyAlignment="1">
      <alignment vertical="center"/>
    </xf>
    <xf numFmtId="0" fontId="32" fillId="0" borderId="0" xfId="2" applyFont="1" applyAlignment="1">
      <alignment horizontal="right" vertical="center"/>
    </xf>
    <xf numFmtId="0" fontId="40" fillId="0" borderId="0" xfId="1" applyFont="1" applyAlignment="1" applyProtection="1">
      <alignment horizontal="left" vertical="center" indent="1"/>
    </xf>
    <xf numFmtId="0" fontId="32" fillId="0" borderId="0" xfId="2" applyFont="1" applyAlignment="1">
      <alignment vertical="center"/>
    </xf>
    <xf numFmtId="0" fontId="32" fillId="0" borderId="2" xfId="2" applyFont="1" applyBorder="1" applyAlignment="1">
      <alignment horizontal="right" vertical="center"/>
    </xf>
    <xf numFmtId="0" fontId="40" fillId="0" borderId="2" xfId="1" applyFont="1" applyBorder="1" applyAlignment="1" applyProtection="1">
      <alignment horizontal="left" vertical="center" indent="1"/>
    </xf>
    <xf numFmtId="0" fontId="32" fillId="0" borderId="4" xfId="2" applyFont="1" applyBorder="1" applyAlignment="1">
      <alignment horizontal="right" vertical="center"/>
    </xf>
    <xf numFmtId="0" fontId="40" fillId="0" borderId="4" xfId="1" applyFont="1" applyBorder="1" applyAlignment="1" applyProtection="1">
      <alignment horizontal="left" vertical="center" indent="1"/>
    </xf>
    <xf numFmtId="0" fontId="32" fillId="0" borderId="3" xfId="2" applyFont="1" applyBorder="1" applyAlignment="1">
      <alignment horizontal="right" vertical="center"/>
    </xf>
    <xf numFmtId="0" fontId="40" fillId="0" borderId="3" xfId="1" applyFont="1" applyBorder="1" applyAlignment="1" applyProtection="1">
      <alignment horizontal="left" vertical="center" indent="1"/>
    </xf>
    <xf numFmtId="0" fontId="32" fillId="0" borderId="0" xfId="2" applyFont="1" applyAlignment="1">
      <alignment horizontal="left" vertical="center"/>
    </xf>
    <xf numFmtId="0" fontId="40" fillId="0" borderId="0" xfId="1" applyFont="1" applyAlignment="1" applyProtection="1">
      <alignment horizontal="center" vertical="center"/>
    </xf>
    <xf numFmtId="0" fontId="32" fillId="0" borderId="0" xfId="2" applyFont="1" applyAlignment="1">
      <alignment horizontal="left" vertical="center" indent="1"/>
    </xf>
    <xf numFmtId="0" fontId="40" fillId="0" borderId="0" xfId="1" applyFont="1" applyBorder="1" applyAlignment="1" applyProtection="1">
      <alignment horizontal="left" vertical="center" indent="1"/>
    </xf>
    <xf numFmtId="0" fontId="32" fillId="0" borderId="0" xfId="2" applyFont="1" applyBorder="1" applyAlignment="1">
      <alignment horizontal="right" vertical="center"/>
    </xf>
    <xf numFmtId="0" fontId="32" fillId="0" borderId="0" xfId="2" applyFont="1" applyAlignment="1">
      <alignment horizontal="right" vertical="center" wrapText="1"/>
    </xf>
    <xf numFmtId="0" fontId="26" fillId="0" borderId="0" xfId="3" applyAlignment="1">
      <alignment vertical="center"/>
    </xf>
    <xf numFmtId="0" fontId="44" fillId="0" borderId="0" xfId="3" applyFont="1" applyAlignment="1">
      <alignment vertical="center" wrapText="1"/>
    </xf>
    <xf numFmtId="0" fontId="46" fillId="0" borderId="2" xfId="1" applyFont="1" applyBorder="1" applyAlignment="1" applyProtection="1">
      <alignment horizontal="left" vertical="top" wrapText="1"/>
    </xf>
    <xf numFmtId="0" fontId="50" fillId="3" borderId="9" xfId="3" applyFont="1" applyFill="1" applyBorder="1" applyAlignment="1">
      <alignment horizontal="center" vertical="center" wrapText="1"/>
    </xf>
    <xf numFmtId="0" fontId="50" fillId="3" borderId="10" xfId="3" applyFont="1" applyFill="1" applyBorder="1" applyAlignment="1">
      <alignment horizontal="center" vertical="center" wrapText="1"/>
    </xf>
    <xf numFmtId="0" fontId="50" fillId="0" borderId="11" xfId="3" applyFont="1" applyBorder="1" applyAlignment="1">
      <alignment horizontal="center" vertical="center" wrapText="1"/>
    </xf>
    <xf numFmtId="0" fontId="51" fillId="0" borderId="0" xfId="3" applyFont="1" applyAlignment="1">
      <alignment vertical="center" wrapText="1"/>
    </xf>
    <xf numFmtId="0" fontId="32" fillId="0" borderId="12" xfId="5" applyFont="1" applyBorder="1" applyAlignment="1">
      <alignment horizontal="left" vertical="center"/>
    </xf>
    <xf numFmtId="3" fontId="52" fillId="0" borderId="13" xfId="6" applyNumberFormat="1" applyFont="1" applyBorder="1" applyAlignment="1">
      <alignment horizontal="right" vertical="center"/>
    </xf>
    <xf numFmtId="3" fontId="52" fillId="0" borderId="14" xfId="6" applyNumberFormat="1" applyFont="1" applyBorder="1" applyAlignment="1">
      <alignment horizontal="right" vertical="center"/>
    </xf>
    <xf numFmtId="3" fontId="50" fillId="0" borderId="15" xfId="3" applyNumberFormat="1" applyFont="1" applyBorder="1" applyAlignment="1">
      <alignment horizontal="right" vertical="center"/>
    </xf>
    <xf numFmtId="3" fontId="32" fillId="0" borderId="13" xfId="0" applyNumberFormat="1" applyFont="1" applyBorder="1" applyAlignment="1">
      <alignment horizontal="right"/>
    </xf>
    <xf numFmtId="3" fontId="32" fillId="0" borderId="14" xfId="0" applyNumberFormat="1" applyFont="1" applyBorder="1" applyAlignment="1">
      <alignment horizontal="right"/>
    </xf>
    <xf numFmtId="0" fontId="30" fillId="0" borderId="0" xfId="3" applyFont="1" applyAlignment="1">
      <alignment vertical="center"/>
    </xf>
    <xf numFmtId="0" fontId="32" fillId="0" borderId="16" xfId="5" applyFont="1" applyBorder="1" applyAlignment="1">
      <alignment horizontal="left" vertical="center"/>
    </xf>
    <xf numFmtId="3" fontId="52" fillId="0" borderId="17" xfId="6" applyNumberFormat="1" applyFont="1" applyBorder="1" applyAlignment="1">
      <alignment horizontal="right" vertical="center"/>
    </xf>
    <xf numFmtId="3" fontId="52" fillId="0" borderId="18" xfId="6" applyNumberFormat="1" applyFont="1" applyBorder="1" applyAlignment="1">
      <alignment horizontal="right" vertical="center"/>
    </xf>
    <xf numFmtId="3" fontId="50" fillId="0" borderId="19" xfId="3" applyNumberFormat="1" applyFont="1" applyBorder="1" applyAlignment="1">
      <alignment horizontal="right" vertical="center"/>
    </xf>
    <xf numFmtId="3" fontId="32" fillId="0" borderId="17" xfId="0" applyNumberFormat="1" applyFont="1" applyBorder="1" applyAlignment="1">
      <alignment horizontal="right"/>
    </xf>
    <xf numFmtId="3" fontId="32" fillId="0" borderId="18" xfId="0" applyNumberFormat="1" applyFont="1" applyBorder="1" applyAlignment="1">
      <alignment horizontal="right"/>
    </xf>
    <xf numFmtId="0" fontId="32" fillId="0" borderId="20" xfId="5" applyFont="1" applyBorder="1" applyAlignment="1">
      <alignment horizontal="left" vertical="center"/>
    </xf>
    <xf numFmtId="3" fontId="52" fillId="0" borderId="21" xfId="6" applyNumberFormat="1" applyFont="1" applyBorder="1" applyAlignment="1">
      <alignment horizontal="right" vertical="center"/>
    </xf>
    <xf numFmtId="3" fontId="52" fillId="0" borderId="22" xfId="7" applyNumberFormat="1" applyFont="1" applyBorder="1" applyAlignment="1">
      <alignment horizontal="right" wrapText="1"/>
    </xf>
    <xf numFmtId="3" fontId="50" fillId="0" borderId="23" xfId="3" applyNumberFormat="1" applyFont="1" applyBorder="1" applyAlignment="1">
      <alignment horizontal="right" vertical="center"/>
    </xf>
    <xf numFmtId="3" fontId="52" fillId="0" borderId="21" xfId="7" applyNumberFormat="1" applyFont="1" applyBorder="1" applyAlignment="1">
      <alignment horizontal="right" wrapText="1"/>
    </xf>
    <xf numFmtId="3" fontId="52" fillId="0" borderId="22" xfId="6" applyNumberFormat="1" applyFont="1" applyBorder="1" applyAlignment="1">
      <alignment horizontal="right" vertical="center"/>
    </xf>
    <xf numFmtId="3" fontId="32" fillId="0" borderId="21" xfId="0" applyNumberFormat="1" applyFont="1" applyBorder="1" applyAlignment="1">
      <alignment horizontal="right"/>
    </xf>
    <xf numFmtId="0" fontId="50" fillId="3" borderId="24" xfId="5" applyFont="1" applyFill="1" applyBorder="1" applyAlignment="1">
      <alignment horizontal="center" vertical="center"/>
    </xf>
    <xf numFmtId="3" fontId="53" fillId="3" borderId="25" xfId="6" applyNumberFormat="1" applyFont="1" applyFill="1" applyBorder="1" applyAlignment="1">
      <alignment horizontal="right" vertical="center"/>
    </xf>
    <xf numFmtId="3" fontId="53" fillId="3" borderId="26" xfId="7" applyNumberFormat="1" applyFont="1" applyFill="1" applyBorder="1" applyAlignment="1">
      <alignment horizontal="right" wrapText="1"/>
    </xf>
    <xf numFmtId="3" fontId="50" fillId="3" borderId="27" xfId="3" applyNumberFormat="1" applyFont="1" applyFill="1" applyBorder="1" applyAlignment="1">
      <alignment horizontal="right" vertical="center"/>
    </xf>
    <xf numFmtId="3" fontId="32" fillId="3" borderId="28" xfId="0" applyNumberFormat="1" applyFont="1" applyFill="1" applyBorder="1" applyAlignment="1">
      <alignment horizontal="right"/>
    </xf>
    <xf numFmtId="3" fontId="32" fillId="3" borderId="29" xfId="0" applyNumberFormat="1" applyFont="1" applyFill="1" applyBorder="1" applyAlignment="1">
      <alignment horizontal="right"/>
    </xf>
    <xf numFmtId="0" fontId="32" fillId="0" borderId="30" xfId="5" applyFont="1" applyBorder="1" applyAlignment="1">
      <alignment horizontal="left" vertical="center"/>
    </xf>
    <xf numFmtId="3" fontId="52" fillId="0" borderId="31" xfId="6" applyNumberFormat="1" applyFont="1" applyBorder="1" applyAlignment="1">
      <alignment horizontal="right" vertical="center"/>
    </xf>
    <xf numFmtId="3" fontId="52" fillId="0" borderId="32" xfId="6" applyNumberFormat="1" applyFont="1" applyBorder="1" applyAlignment="1">
      <alignment horizontal="right" vertical="center"/>
    </xf>
    <xf numFmtId="3" fontId="50" fillId="0" borderId="33" xfId="3" applyNumberFormat="1" applyFont="1" applyBorder="1" applyAlignment="1">
      <alignment horizontal="right" vertical="center"/>
    </xf>
    <xf numFmtId="3" fontId="32" fillId="0" borderId="31" xfId="0" applyNumberFormat="1" applyFont="1" applyBorder="1" applyAlignment="1">
      <alignment horizontal="right"/>
    </xf>
    <xf numFmtId="3" fontId="32" fillId="0" borderId="32" xfId="0" applyNumberFormat="1" applyFont="1" applyBorder="1" applyAlignment="1">
      <alignment horizontal="right"/>
    </xf>
    <xf numFmtId="0" fontId="50" fillId="3" borderId="34" xfId="5" applyFont="1" applyFill="1" applyBorder="1" applyAlignment="1">
      <alignment horizontal="center" vertical="center"/>
    </xf>
    <xf numFmtId="3" fontId="53" fillId="3" borderId="35" xfId="6" applyNumberFormat="1" applyFont="1" applyFill="1" applyBorder="1" applyAlignment="1">
      <alignment horizontal="right" vertical="center"/>
    </xf>
    <xf numFmtId="3" fontId="53" fillId="3" borderId="0" xfId="7" applyNumberFormat="1" applyFont="1" applyFill="1" applyAlignment="1">
      <alignment horizontal="right" wrapText="1"/>
    </xf>
    <xf numFmtId="3" fontId="50" fillId="3" borderId="36" xfId="3" applyNumberFormat="1" applyFont="1" applyFill="1" applyBorder="1" applyAlignment="1">
      <alignment horizontal="right" vertical="center"/>
    </xf>
    <xf numFmtId="3" fontId="32" fillId="3" borderId="37" xfId="0" applyNumberFormat="1" applyFont="1" applyFill="1" applyBorder="1" applyAlignment="1">
      <alignment horizontal="right"/>
    </xf>
    <xf numFmtId="3" fontId="32" fillId="3" borderId="38" xfId="0" applyNumberFormat="1" applyFont="1" applyFill="1" applyBorder="1" applyAlignment="1">
      <alignment horizontal="right"/>
    </xf>
    <xf numFmtId="0" fontId="54" fillId="2" borderId="39" xfId="5" applyFont="1" applyFill="1" applyBorder="1" applyAlignment="1">
      <alignment horizontal="center" vertical="center"/>
    </xf>
    <xf numFmtId="3" fontId="54" fillId="2" borderId="9" xfId="7" applyNumberFormat="1" applyFont="1" applyFill="1" applyBorder="1" applyAlignment="1">
      <alignment horizontal="right" wrapText="1"/>
    </xf>
    <xf numFmtId="3" fontId="54" fillId="2" borderId="4" xfId="7" applyNumberFormat="1" applyFont="1" applyFill="1" applyBorder="1" applyAlignment="1">
      <alignment horizontal="right" wrapText="1"/>
    </xf>
    <xf numFmtId="3" fontId="54" fillId="2" borderId="10" xfId="7" applyNumberFormat="1" applyFont="1" applyFill="1" applyBorder="1" applyAlignment="1">
      <alignment horizontal="right" wrapText="1"/>
    </xf>
    <xf numFmtId="0" fontId="32" fillId="0" borderId="40" xfId="5" applyFont="1" applyBorder="1" applyAlignment="1">
      <alignment horizontal="left" vertical="center"/>
    </xf>
    <xf numFmtId="3" fontId="52" fillId="0" borderId="41" xfId="6" applyNumberFormat="1" applyFont="1" applyBorder="1" applyAlignment="1">
      <alignment horizontal="right" vertical="center"/>
    </xf>
    <xf numFmtId="3" fontId="52" fillId="0" borderId="42" xfId="6" applyNumberFormat="1" applyFont="1" applyBorder="1" applyAlignment="1">
      <alignment horizontal="right" vertical="center"/>
    </xf>
    <xf numFmtId="3" fontId="50" fillId="0" borderId="43" xfId="3" applyNumberFormat="1" applyFont="1" applyBorder="1" applyAlignment="1">
      <alignment horizontal="right" vertical="center"/>
    </xf>
    <xf numFmtId="3" fontId="32" fillId="0" borderId="41" xfId="0" applyNumberFormat="1" applyFont="1" applyBorder="1" applyAlignment="1">
      <alignment horizontal="right"/>
    </xf>
    <xf numFmtId="3" fontId="32" fillId="0" borderId="42" xfId="0" applyNumberFormat="1" applyFont="1" applyBorder="1" applyAlignment="1">
      <alignment horizontal="right"/>
    </xf>
    <xf numFmtId="3" fontId="52" fillId="0" borderId="18" xfId="7" applyNumberFormat="1" applyFont="1" applyBorder="1" applyAlignment="1">
      <alignment horizontal="right" wrapText="1"/>
    </xf>
    <xf numFmtId="3" fontId="52" fillId="0" borderId="17" xfId="7" applyNumberFormat="1" applyFont="1" applyBorder="1" applyAlignment="1">
      <alignment horizontal="right" wrapText="1"/>
    </xf>
    <xf numFmtId="3" fontId="32" fillId="0" borderId="17" xfId="3" applyNumberFormat="1" applyFont="1" applyBorder="1" applyAlignment="1">
      <alignment horizontal="right" vertical="center"/>
    </xf>
    <xf numFmtId="3" fontId="32" fillId="0" borderId="18" xfId="3" applyNumberFormat="1" applyFont="1" applyBorder="1" applyAlignment="1">
      <alignment horizontal="right" vertical="center"/>
    </xf>
    <xf numFmtId="0" fontId="55" fillId="2" borderId="39" xfId="5" applyFont="1" applyFill="1" applyBorder="1" applyAlignment="1">
      <alignment horizontal="center" vertical="center"/>
    </xf>
    <xf numFmtId="3" fontId="55" fillId="2" borderId="9" xfId="7" applyNumberFormat="1" applyFont="1" applyFill="1" applyBorder="1" applyAlignment="1">
      <alignment horizontal="right" wrapText="1"/>
    </xf>
    <xf numFmtId="3" fontId="55" fillId="2" borderId="4" xfId="7" applyNumberFormat="1" applyFont="1" applyFill="1" applyBorder="1" applyAlignment="1">
      <alignment horizontal="right" wrapText="1"/>
    </xf>
    <xf numFmtId="3" fontId="55" fillId="2" borderId="10" xfId="7" applyNumberFormat="1" applyFont="1" applyFill="1" applyBorder="1" applyAlignment="1">
      <alignment horizontal="right" wrapText="1"/>
    </xf>
    <xf numFmtId="0" fontId="56" fillId="2" borderId="39" xfId="5" applyFont="1" applyFill="1" applyBorder="1" applyAlignment="1">
      <alignment horizontal="center" vertical="center"/>
    </xf>
    <xf numFmtId="3" fontId="56" fillId="2" borderId="9" xfId="7" applyNumberFormat="1" applyFont="1" applyFill="1" applyBorder="1" applyAlignment="1">
      <alignment horizontal="right" wrapText="1"/>
    </xf>
    <xf numFmtId="3" fontId="56" fillId="2" borderId="4" xfId="7" applyNumberFormat="1" applyFont="1" applyFill="1" applyBorder="1" applyAlignment="1">
      <alignment horizontal="right" wrapText="1"/>
    </xf>
    <xf numFmtId="3" fontId="56" fillId="2" borderId="10" xfId="7" applyNumberFormat="1" applyFont="1" applyFill="1" applyBorder="1" applyAlignment="1">
      <alignment horizontal="right" wrapText="1"/>
    </xf>
    <xf numFmtId="3" fontId="32" fillId="0" borderId="41" xfId="3" applyNumberFormat="1" applyFont="1" applyBorder="1" applyAlignment="1">
      <alignment horizontal="right" vertical="center"/>
    </xf>
    <xf numFmtId="3" fontId="32" fillId="0" borderId="42" xfId="3" applyNumberFormat="1" applyFont="1" applyBorder="1" applyAlignment="1">
      <alignment horizontal="right" vertical="center"/>
    </xf>
    <xf numFmtId="3" fontId="52" fillId="3" borderId="35" xfId="6" applyNumberFormat="1" applyFont="1" applyFill="1" applyBorder="1" applyAlignment="1">
      <alignment horizontal="right" vertical="center"/>
    </xf>
    <xf numFmtId="3" fontId="52" fillId="3" borderId="0" xfId="7" applyNumberFormat="1" applyFont="1" applyFill="1" applyAlignment="1">
      <alignment horizontal="right" wrapText="1"/>
    </xf>
    <xf numFmtId="0" fontId="57" fillId="2" borderId="39" xfId="5" applyFont="1" applyFill="1" applyBorder="1" applyAlignment="1">
      <alignment horizontal="center" vertical="center"/>
    </xf>
    <xf numFmtId="3" fontId="57" fillId="2" borderId="9" xfId="7" applyNumberFormat="1" applyFont="1" applyFill="1" applyBorder="1" applyAlignment="1">
      <alignment horizontal="right" wrapText="1"/>
    </xf>
    <xf numFmtId="3" fontId="57" fillId="2" borderId="4" xfId="7" applyNumberFormat="1" applyFont="1" applyFill="1" applyBorder="1" applyAlignment="1">
      <alignment horizontal="right" wrapText="1"/>
    </xf>
    <xf numFmtId="3" fontId="57" fillId="2" borderId="10" xfId="7" applyNumberFormat="1" applyFont="1" applyFill="1" applyBorder="1" applyAlignment="1">
      <alignment horizontal="right" wrapText="1"/>
    </xf>
    <xf numFmtId="0" fontId="32" fillId="0" borderId="44" xfId="5" applyFont="1" applyBorder="1" applyAlignment="1">
      <alignment horizontal="left" vertical="center"/>
    </xf>
    <xf numFmtId="3" fontId="52" fillId="0" borderId="45" xfId="6" applyNumberFormat="1" applyFont="1" applyBorder="1" applyAlignment="1">
      <alignment horizontal="right" vertical="center"/>
    </xf>
    <xf numFmtId="3" fontId="52" fillId="0" borderId="46" xfId="7" applyNumberFormat="1" applyFont="1" applyBorder="1" applyAlignment="1">
      <alignment horizontal="right" wrapText="1"/>
    </xf>
    <xf numFmtId="3" fontId="50" fillId="0" borderId="47" xfId="3" applyNumberFormat="1" applyFont="1" applyBorder="1" applyAlignment="1">
      <alignment horizontal="right" vertical="center"/>
    </xf>
    <xf numFmtId="3" fontId="52" fillId="0" borderId="45" xfId="7" applyNumberFormat="1" applyFont="1" applyBorder="1" applyAlignment="1">
      <alignment horizontal="right" wrapText="1"/>
    </xf>
    <xf numFmtId="3" fontId="52" fillId="0" borderId="46" xfId="6" applyNumberFormat="1" applyFont="1" applyBorder="1" applyAlignment="1">
      <alignment horizontal="right" vertical="center"/>
    </xf>
    <xf numFmtId="3" fontId="32" fillId="0" borderId="45" xfId="0" applyNumberFormat="1" applyFont="1" applyBorder="1" applyAlignment="1">
      <alignment horizontal="right"/>
    </xf>
    <xf numFmtId="0" fontId="32" fillId="0" borderId="48" xfId="5" applyFont="1" applyBorder="1" applyAlignment="1">
      <alignment horizontal="left" vertical="center"/>
    </xf>
    <xf numFmtId="3" fontId="52" fillId="0" borderId="49" xfId="6" applyNumberFormat="1" applyFont="1" applyBorder="1" applyAlignment="1">
      <alignment horizontal="right" vertical="center"/>
    </xf>
    <xf numFmtId="3" fontId="52" fillId="0" borderId="50" xfId="7" applyNumberFormat="1" applyFont="1" applyBorder="1" applyAlignment="1">
      <alignment horizontal="right" wrapText="1"/>
    </xf>
    <xf numFmtId="3" fontId="50" fillId="0" borderId="51" xfId="3" applyNumberFormat="1" applyFont="1" applyBorder="1" applyAlignment="1">
      <alignment horizontal="right" vertical="center"/>
    </xf>
    <xf numFmtId="3" fontId="52" fillId="0" borderId="49" xfId="7" applyNumberFormat="1" applyFont="1" applyBorder="1" applyAlignment="1">
      <alignment horizontal="right" wrapText="1"/>
    </xf>
    <xf numFmtId="3" fontId="52" fillId="0" borderId="50" xfId="6" applyNumberFormat="1" applyFont="1" applyBorder="1" applyAlignment="1">
      <alignment horizontal="right" vertical="center"/>
    </xf>
    <xf numFmtId="3" fontId="32" fillId="0" borderId="49" xfId="0" applyNumberFormat="1" applyFont="1" applyBorder="1" applyAlignment="1">
      <alignment horizontal="right"/>
    </xf>
    <xf numFmtId="0" fontId="32" fillId="0" borderId="52" xfId="5" applyFont="1" applyBorder="1" applyAlignment="1">
      <alignment horizontal="left" vertical="center"/>
    </xf>
    <xf numFmtId="3" fontId="52" fillId="0" borderId="53" xfId="6" applyNumberFormat="1" applyFont="1" applyBorder="1" applyAlignment="1">
      <alignment horizontal="right" vertical="center"/>
    </xf>
    <xf numFmtId="3" fontId="52" fillId="0" borderId="54" xfId="7" applyNumberFormat="1" applyFont="1" applyBorder="1" applyAlignment="1">
      <alignment horizontal="right" wrapText="1"/>
    </xf>
    <xf numFmtId="3" fontId="50" fillId="0" borderId="55" xfId="3" applyNumberFormat="1" applyFont="1" applyBorder="1" applyAlignment="1">
      <alignment horizontal="right" vertical="center"/>
    </xf>
    <xf numFmtId="3" fontId="52" fillId="0" borderId="53" xfId="7" applyNumberFormat="1" applyFont="1" applyBorder="1" applyAlignment="1">
      <alignment horizontal="right" wrapText="1"/>
    </xf>
    <xf numFmtId="3" fontId="52" fillId="0" borderId="54" xfId="6" applyNumberFormat="1" applyFont="1" applyBorder="1" applyAlignment="1">
      <alignment horizontal="right" vertical="center"/>
    </xf>
    <xf numFmtId="3" fontId="32" fillId="0" borderId="53" xfId="0" applyNumberFormat="1" applyFont="1" applyBorder="1" applyAlignment="1">
      <alignment horizontal="right"/>
    </xf>
    <xf numFmtId="3" fontId="32" fillId="0" borderId="31" xfId="3" applyNumberFormat="1" applyFont="1" applyBorder="1" applyAlignment="1">
      <alignment horizontal="right" vertical="center"/>
    </xf>
    <xf numFmtId="3" fontId="32" fillId="0" borderId="32" xfId="3" applyNumberFormat="1" applyFont="1" applyBorder="1" applyAlignment="1">
      <alignment horizontal="right" vertical="center"/>
    </xf>
    <xf numFmtId="3" fontId="52" fillId="0" borderId="35" xfId="6" applyNumberFormat="1" applyFont="1" applyBorder="1" applyAlignment="1">
      <alignment horizontal="right" vertical="center"/>
    </xf>
    <xf numFmtId="3" fontId="52" fillId="0" borderId="0" xfId="7" applyNumberFormat="1" applyFont="1" applyAlignment="1">
      <alignment horizontal="right" wrapText="1"/>
    </xf>
    <xf numFmtId="3" fontId="50" fillId="0" borderId="36" xfId="3" applyNumberFormat="1" applyFont="1" applyBorder="1" applyAlignment="1">
      <alignment horizontal="right" vertical="center"/>
    </xf>
    <xf numFmtId="3" fontId="52" fillId="0" borderId="35" xfId="7" applyNumberFormat="1" applyFont="1" applyBorder="1" applyAlignment="1">
      <alignment horizontal="right" wrapText="1"/>
    </xf>
    <xf numFmtId="3" fontId="52" fillId="0" borderId="0" xfId="6" applyNumberFormat="1" applyFont="1" applyAlignment="1">
      <alignment horizontal="right" vertical="center"/>
    </xf>
    <xf numFmtId="3" fontId="32" fillId="0" borderId="35" xfId="0" applyNumberFormat="1" applyFont="1" applyBorder="1" applyAlignment="1">
      <alignment horizontal="right"/>
    </xf>
    <xf numFmtId="3" fontId="32" fillId="0" borderId="49" xfId="3" applyNumberFormat="1" applyFont="1" applyBorder="1" applyAlignment="1">
      <alignment horizontal="right" vertical="center"/>
    </xf>
    <xf numFmtId="3" fontId="32" fillId="0" borderId="50" xfId="3" applyNumberFormat="1" applyFont="1" applyBorder="1" applyAlignment="1">
      <alignment horizontal="right" vertical="center"/>
    </xf>
    <xf numFmtId="0" fontId="58" fillId="2" borderId="39" xfId="5" applyFont="1" applyFill="1" applyBorder="1" applyAlignment="1">
      <alignment horizontal="center" vertical="center"/>
    </xf>
    <xf numFmtId="3" fontId="58" fillId="2" borderId="9" xfId="7" applyNumberFormat="1" applyFont="1" applyFill="1" applyBorder="1" applyAlignment="1">
      <alignment horizontal="right" wrapText="1"/>
    </xf>
    <xf numFmtId="3" fontId="58" fillId="2" borderId="4" xfId="7" applyNumberFormat="1" applyFont="1" applyFill="1" applyBorder="1" applyAlignment="1">
      <alignment horizontal="right" wrapText="1"/>
    </xf>
    <xf numFmtId="3" fontId="58" fillId="2" borderId="10" xfId="7" applyNumberFormat="1" applyFont="1" applyFill="1" applyBorder="1" applyAlignment="1">
      <alignment horizontal="right" wrapText="1"/>
    </xf>
    <xf numFmtId="3" fontId="30" fillId="0" borderId="0" xfId="3" applyNumberFormat="1" applyFont="1" applyAlignment="1">
      <alignment horizontal="right" vertical="center"/>
    </xf>
    <xf numFmtId="0" fontId="50" fillId="3" borderId="9" xfId="3" applyFont="1" applyFill="1" applyBorder="1" applyAlignment="1">
      <alignment horizontal="center" vertical="center"/>
    </xf>
    <xf numFmtId="3" fontId="53" fillId="3" borderId="9" xfId="7" applyNumberFormat="1" applyFont="1" applyFill="1" applyBorder="1" applyAlignment="1">
      <alignment horizontal="right" vertical="center" wrapText="1"/>
    </xf>
    <xf numFmtId="3" fontId="53" fillId="3" borderId="4" xfId="7" applyNumberFormat="1" applyFont="1" applyFill="1" applyBorder="1" applyAlignment="1">
      <alignment horizontal="right" vertical="center" wrapText="1"/>
    </xf>
    <xf numFmtId="3" fontId="53" fillId="3" borderId="10" xfId="7" applyNumberFormat="1" applyFont="1" applyFill="1" applyBorder="1" applyAlignment="1">
      <alignment horizontal="right" vertical="center" wrapText="1"/>
    </xf>
    <xf numFmtId="0" fontId="44" fillId="0" borderId="0" xfId="3" applyFont="1" applyAlignment="1">
      <alignment horizontal="center" vertical="center"/>
    </xf>
    <xf numFmtId="0" fontId="59" fillId="0" borderId="0" xfId="3" applyFont="1" applyAlignment="1">
      <alignment vertical="center"/>
    </xf>
    <xf numFmtId="0" fontId="41" fillId="0" borderId="3" xfId="3" applyFont="1" applyBorder="1" applyAlignment="1">
      <alignment vertical="center"/>
    </xf>
    <xf numFmtId="0" fontId="30" fillId="0" borderId="0" xfId="3" applyFont="1" applyAlignment="1">
      <alignment horizontal="left" vertical="center"/>
    </xf>
    <xf numFmtId="3" fontId="30" fillId="0" borderId="0" xfId="3" applyNumberFormat="1" applyFont="1" applyAlignment="1">
      <alignment vertical="center"/>
    </xf>
    <xf numFmtId="0" fontId="60" fillId="0" borderId="0" xfId="3" applyFont="1" applyAlignment="1">
      <alignment vertical="center"/>
    </xf>
    <xf numFmtId="3" fontId="26" fillId="0" borderId="0" xfId="3" applyNumberFormat="1" applyAlignment="1">
      <alignment vertical="center"/>
    </xf>
    <xf numFmtId="0" fontId="51" fillId="0" borderId="0" xfId="3" applyFont="1" applyAlignment="1">
      <alignment vertical="center"/>
    </xf>
    <xf numFmtId="0" fontId="61" fillId="0" borderId="0" xfId="0" applyFont="1"/>
    <xf numFmtId="0" fontId="30" fillId="0" borderId="0" xfId="8" applyFont="1" applyAlignment="1">
      <alignment vertical="center"/>
    </xf>
    <xf numFmtId="0" fontId="32" fillId="0" borderId="44" xfId="0" applyFont="1" applyBorder="1" applyAlignment="1">
      <alignment horizontal="center" vertical="center"/>
    </xf>
    <xf numFmtId="3" fontId="32" fillId="0" borderId="45" xfId="3" applyNumberFormat="1" applyFont="1" applyBorder="1" applyAlignment="1">
      <alignment horizontal="right" vertical="center"/>
    </xf>
    <xf numFmtId="3" fontId="32" fillId="0" borderId="46" xfId="3" applyNumberFormat="1" applyFont="1" applyBorder="1" applyAlignment="1">
      <alignment horizontal="right" vertical="center"/>
    </xf>
    <xf numFmtId="3" fontId="50" fillId="0" borderId="46" xfId="3" applyNumberFormat="1" applyFont="1" applyBorder="1" applyAlignment="1">
      <alignment horizontal="right" vertical="center"/>
    </xf>
    <xf numFmtId="0" fontId="32" fillId="0" borderId="48" xfId="0" applyFont="1" applyBorder="1" applyAlignment="1">
      <alignment horizontal="center" vertical="center"/>
    </xf>
    <xf numFmtId="3" fontId="50" fillId="0" borderId="50" xfId="3" applyNumberFormat="1" applyFont="1" applyBorder="1" applyAlignment="1">
      <alignment horizontal="right" vertical="center"/>
    </xf>
    <xf numFmtId="3" fontId="44" fillId="0" borderId="51" xfId="3" applyNumberFormat="1" applyFont="1" applyBorder="1" applyAlignment="1">
      <alignment horizontal="right" vertical="center"/>
    </xf>
    <xf numFmtId="0" fontId="54" fillId="3" borderId="56" xfId="0" applyFont="1" applyFill="1" applyBorder="1" applyAlignment="1">
      <alignment horizontal="center" vertical="center"/>
    </xf>
    <xf numFmtId="3" fontId="54" fillId="3" borderId="57" xfId="3" applyNumberFormat="1" applyFont="1" applyFill="1" applyBorder="1" applyAlignment="1">
      <alignment horizontal="right" vertical="center"/>
    </xf>
    <xf numFmtId="3" fontId="54" fillId="3" borderId="58" xfId="3" applyNumberFormat="1" applyFont="1" applyFill="1" applyBorder="1" applyAlignment="1">
      <alignment horizontal="right" vertical="center"/>
    </xf>
    <xf numFmtId="3" fontId="54" fillId="3" borderId="59" xfId="3" applyNumberFormat="1" applyFont="1" applyFill="1" applyBorder="1" applyAlignment="1">
      <alignment horizontal="right" vertical="center"/>
    </xf>
    <xf numFmtId="0" fontId="44" fillId="0" borderId="0" xfId="3" applyFont="1" applyAlignment="1">
      <alignment vertical="center"/>
    </xf>
    <xf numFmtId="0" fontId="44" fillId="0" borderId="0" xfId="0" applyFont="1" applyAlignment="1">
      <alignment vertical="center"/>
    </xf>
    <xf numFmtId="0" fontId="62" fillId="0" borderId="0" xfId="3" applyFont="1" applyAlignment="1">
      <alignment horizontal="right" vertical="center"/>
    </xf>
    <xf numFmtId="0" fontId="62" fillId="0" borderId="35" xfId="3" applyFont="1" applyBorder="1" applyAlignment="1">
      <alignment horizontal="right" vertical="center"/>
    </xf>
    <xf numFmtId="0" fontId="62" fillId="0" borderId="0" xfId="3" applyFont="1" applyBorder="1" applyAlignment="1">
      <alignment horizontal="right" vertical="center"/>
    </xf>
    <xf numFmtId="0" fontId="57" fillId="3" borderId="56" xfId="0" applyFont="1" applyFill="1" applyBorder="1" applyAlignment="1">
      <alignment horizontal="center" vertical="center"/>
    </xf>
    <xf numFmtId="3" fontId="57" fillId="3" borderId="57" xfId="3" applyNumberFormat="1" applyFont="1" applyFill="1" applyBorder="1" applyAlignment="1">
      <alignment horizontal="right" vertical="center"/>
    </xf>
    <xf numFmtId="3" fontId="57" fillId="3" borderId="58" xfId="3" applyNumberFormat="1" applyFont="1" applyFill="1" applyBorder="1" applyAlignment="1">
      <alignment horizontal="right" vertical="center"/>
    </xf>
    <xf numFmtId="3" fontId="57" fillId="3" borderId="59" xfId="3" applyNumberFormat="1" applyFont="1" applyFill="1" applyBorder="1" applyAlignment="1">
      <alignment horizontal="right" vertical="center"/>
    </xf>
    <xf numFmtId="0" fontId="50" fillId="0" borderId="0" xfId="0" applyFont="1" applyAlignment="1">
      <alignment vertical="center"/>
    </xf>
    <xf numFmtId="0" fontId="44" fillId="0" borderId="0" xfId="3" applyFont="1" applyAlignment="1">
      <alignment horizontal="right" vertical="center"/>
    </xf>
    <xf numFmtId="0" fontId="44" fillId="0" borderId="35" xfId="3" applyFont="1" applyBorder="1" applyAlignment="1">
      <alignment horizontal="right" vertical="center"/>
    </xf>
    <xf numFmtId="0" fontId="44" fillId="0" borderId="0" xfId="3" applyFont="1" applyBorder="1" applyAlignment="1">
      <alignment horizontal="right" vertical="center"/>
    </xf>
    <xf numFmtId="0" fontId="55" fillId="3" borderId="56" xfId="0" applyFont="1" applyFill="1" applyBorder="1" applyAlignment="1">
      <alignment horizontal="center" vertical="center"/>
    </xf>
    <xf numFmtId="3" fontId="55" fillId="3" borderId="57" xfId="3" applyNumberFormat="1" applyFont="1" applyFill="1" applyBorder="1" applyAlignment="1">
      <alignment horizontal="right" vertical="center"/>
    </xf>
    <xf numFmtId="3" fontId="55" fillId="3" borderId="58" xfId="3" applyNumberFormat="1" applyFont="1" applyFill="1" applyBorder="1" applyAlignment="1">
      <alignment horizontal="right" vertical="center"/>
    </xf>
    <xf numFmtId="3" fontId="55" fillId="3" borderId="59" xfId="3" applyNumberFormat="1" applyFont="1" applyFill="1" applyBorder="1" applyAlignment="1">
      <alignment horizontal="right" vertical="center"/>
    </xf>
    <xf numFmtId="0" fontId="58" fillId="3" borderId="56" xfId="0" applyFont="1" applyFill="1" applyBorder="1" applyAlignment="1">
      <alignment horizontal="center" vertical="center"/>
    </xf>
    <xf numFmtId="3" fontId="58" fillId="3" borderId="60" xfId="3" applyNumberFormat="1" applyFont="1" applyFill="1" applyBorder="1" applyAlignment="1">
      <alignment horizontal="right" vertical="center"/>
    </xf>
    <xf numFmtId="3" fontId="58" fillId="3" borderId="2" xfId="3" applyNumberFormat="1" applyFont="1" applyFill="1" applyBorder="1" applyAlignment="1">
      <alignment horizontal="right" vertical="center"/>
    </xf>
    <xf numFmtId="3" fontId="58" fillId="3" borderId="11" xfId="3" applyNumberFormat="1" applyFont="1" applyFill="1" applyBorder="1" applyAlignment="1">
      <alignment horizontal="right" vertical="center"/>
    </xf>
    <xf numFmtId="3" fontId="58" fillId="3" borderId="57" xfId="3" applyNumberFormat="1" applyFont="1" applyFill="1" applyBorder="1" applyAlignment="1">
      <alignment horizontal="right" vertical="center"/>
    </xf>
    <xf numFmtId="3" fontId="58" fillId="3" borderId="58" xfId="3" applyNumberFormat="1" applyFont="1" applyFill="1" applyBorder="1" applyAlignment="1">
      <alignment horizontal="right" vertical="center"/>
    </xf>
    <xf numFmtId="3" fontId="58" fillId="3" borderId="59" xfId="3" applyNumberFormat="1" applyFont="1" applyFill="1" applyBorder="1" applyAlignment="1">
      <alignment horizontal="right" vertical="center"/>
    </xf>
    <xf numFmtId="0" fontId="63" fillId="0" borderId="0" xfId="3" applyFont="1" applyAlignment="1">
      <alignment horizontal="right" vertical="center"/>
    </xf>
    <xf numFmtId="0" fontId="63" fillId="0" borderId="35" xfId="3" applyFont="1" applyBorder="1" applyAlignment="1">
      <alignment horizontal="right" vertical="center"/>
    </xf>
    <xf numFmtId="0" fontId="63" fillId="0" borderId="0" xfId="3" applyFont="1" applyBorder="1" applyAlignment="1">
      <alignment horizontal="right" vertical="center"/>
    </xf>
    <xf numFmtId="0" fontId="56" fillId="3" borderId="56" xfId="0" applyFont="1" applyFill="1" applyBorder="1" applyAlignment="1">
      <alignment horizontal="center" vertical="center"/>
    </xf>
    <xf numFmtId="3" fontId="56" fillId="3" borderId="57" xfId="3" applyNumberFormat="1" applyFont="1" applyFill="1" applyBorder="1" applyAlignment="1">
      <alignment horizontal="right" vertical="center"/>
    </xf>
    <xf numFmtId="3" fontId="56" fillId="3" borderId="58" xfId="3" applyNumberFormat="1" applyFont="1" applyFill="1" applyBorder="1" applyAlignment="1">
      <alignment horizontal="right" vertical="center"/>
    </xf>
    <xf numFmtId="3" fontId="56" fillId="3" borderId="59" xfId="3" applyNumberFormat="1" applyFont="1" applyFill="1" applyBorder="1" applyAlignment="1">
      <alignment horizontal="right" vertical="center"/>
    </xf>
    <xf numFmtId="0" fontId="30" fillId="0" borderId="0" xfId="3" applyFont="1" applyAlignment="1">
      <alignment horizontal="right" vertical="center"/>
    </xf>
    <xf numFmtId="0" fontId="30" fillId="0" borderId="35" xfId="3" applyFont="1" applyBorder="1" applyAlignment="1">
      <alignment horizontal="right" vertical="center"/>
    </xf>
    <xf numFmtId="0" fontId="30" fillId="0" borderId="0" xfId="3" applyFont="1" applyBorder="1" applyAlignment="1">
      <alignment horizontal="right" vertical="center"/>
    </xf>
    <xf numFmtId="0" fontId="32" fillId="0" borderId="52" xfId="0" applyFont="1" applyBorder="1" applyAlignment="1">
      <alignment horizontal="center" vertical="center"/>
    </xf>
    <xf numFmtId="3" fontId="32" fillId="0" borderId="53" xfId="3" applyNumberFormat="1" applyFont="1" applyBorder="1" applyAlignment="1">
      <alignment horizontal="right" vertical="center"/>
    </xf>
    <xf numFmtId="3" fontId="32" fillId="0" borderId="54" xfId="3" applyNumberFormat="1" applyFont="1" applyBorder="1" applyAlignment="1">
      <alignment horizontal="right" vertical="center"/>
    </xf>
    <xf numFmtId="3" fontId="50" fillId="0" borderId="54" xfId="3" applyNumberFormat="1" applyFont="1" applyBorder="1" applyAlignment="1">
      <alignment horizontal="right" vertical="center"/>
    </xf>
    <xf numFmtId="3" fontId="44" fillId="0" borderId="55" xfId="3" applyNumberFormat="1" applyFont="1" applyBorder="1" applyAlignment="1">
      <alignment horizontal="right" vertical="center"/>
    </xf>
    <xf numFmtId="0" fontId="50" fillId="3" borderId="8" xfId="0" applyFont="1" applyFill="1" applyBorder="1" applyAlignment="1">
      <alignment horizontal="center" vertical="center"/>
    </xf>
    <xf numFmtId="3" fontId="50" fillId="3" borderId="60" xfId="3" applyNumberFormat="1" applyFont="1" applyFill="1" applyBorder="1" applyAlignment="1">
      <alignment horizontal="right" vertical="center"/>
    </xf>
    <xf numFmtId="3" fontId="50" fillId="3" borderId="2" xfId="3" applyNumberFormat="1" applyFont="1" applyFill="1" applyBorder="1" applyAlignment="1">
      <alignment horizontal="right" vertical="center"/>
    </xf>
    <xf numFmtId="3" fontId="50" fillId="3" borderId="11" xfId="3" applyNumberFormat="1" applyFont="1" applyFill="1" applyBorder="1" applyAlignment="1">
      <alignment horizontal="right" vertical="center"/>
    </xf>
    <xf numFmtId="0" fontId="43" fillId="0" borderId="0" xfId="3" applyFont="1" applyAlignment="1">
      <alignment vertical="center"/>
    </xf>
    <xf numFmtId="0" fontId="64" fillId="0" borderId="0" xfId="3" applyFont="1" applyAlignment="1">
      <alignment vertical="center"/>
    </xf>
    <xf numFmtId="0" fontId="65" fillId="0" borderId="0" xfId="3" applyFont="1" applyAlignment="1">
      <alignment vertical="center"/>
    </xf>
    <xf numFmtId="0" fontId="66" fillId="0" borderId="0" xfId="0" applyFont="1" applyAlignment="1">
      <alignment horizontal="left" vertical="center" readingOrder="1"/>
    </xf>
    <xf numFmtId="0" fontId="67" fillId="0" borderId="0" xfId="8" applyFont="1" applyAlignment="1">
      <alignment horizontal="left" vertical="center" wrapText="1"/>
    </xf>
    <xf numFmtId="0" fontId="23" fillId="0" borderId="0" xfId="8"/>
    <xf numFmtId="0" fontId="23" fillId="0" borderId="0" xfId="8" applyAlignment="1">
      <alignment horizontal="center" vertical="center"/>
    </xf>
    <xf numFmtId="1" fontId="47" fillId="3" borderId="10" xfId="4" applyNumberFormat="1" applyFont="1" applyFill="1" applyBorder="1" applyAlignment="1">
      <alignment horizontal="center" vertical="center" wrapText="1"/>
    </xf>
    <xf numFmtId="1" fontId="50" fillId="0" borderId="8" xfId="4" applyNumberFormat="1" applyFont="1" applyBorder="1" applyAlignment="1">
      <alignment horizontal="center" vertical="center" wrapText="1"/>
    </xf>
    <xf numFmtId="3" fontId="32" fillId="0" borderId="46" xfId="8" applyNumberFormat="1" applyFont="1" applyBorder="1" applyAlignment="1">
      <alignment horizontal="right" vertical="center"/>
    </xf>
    <xf numFmtId="3" fontId="32" fillId="0" borderId="45" xfId="8" applyNumberFormat="1" applyFont="1" applyBorder="1" applyAlignment="1">
      <alignment horizontal="right" vertical="center"/>
    </xf>
    <xf numFmtId="3" fontId="32" fillId="0" borderId="47" xfId="8" applyNumberFormat="1" applyFont="1" applyBorder="1" applyAlignment="1">
      <alignment horizontal="right" vertical="center"/>
    </xf>
    <xf numFmtId="3" fontId="23" fillId="0" borderId="45" xfId="8" applyNumberFormat="1" applyBorder="1" applyAlignment="1">
      <alignment horizontal="right"/>
    </xf>
    <xf numFmtId="3" fontId="23" fillId="0" borderId="46" xfId="8" applyNumberFormat="1" applyBorder="1" applyAlignment="1">
      <alignment horizontal="right"/>
    </xf>
    <xf numFmtId="3" fontId="32" fillId="0" borderId="50" xfId="8" applyNumberFormat="1" applyFont="1" applyBorder="1" applyAlignment="1">
      <alignment horizontal="right" vertical="center"/>
    </xf>
    <xf numFmtId="3" fontId="32" fillId="0" borderId="49" xfId="8" applyNumberFormat="1" applyFont="1" applyBorder="1" applyAlignment="1">
      <alignment horizontal="right" vertical="center"/>
    </xf>
    <xf numFmtId="3" fontId="32" fillId="0" borderId="51" xfId="8" applyNumberFormat="1" applyFont="1" applyBorder="1" applyAlignment="1">
      <alignment horizontal="right" vertical="center"/>
    </xf>
    <xf numFmtId="3" fontId="23" fillId="0" borderId="25" xfId="8" applyNumberFormat="1" applyBorder="1" applyAlignment="1">
      <alignment horizontal="right"/>
    </xf>
    <xf numFmtId="3" fontId="23" fillId="0" borderId="26" xfId="8" applyNumberFormat="1" applyBorder="1" applyAlignment="1">
      <alignment horizontal="right"/>
    </xf>
    <xf numFmtId="3" fontId="54" fillId="3" borderId="58" xfId="8" applyNumberFormat="1" applyFont="1" applyFill="1" applyBorder="1" applyAlignment="1">
      <alignment horizontal="right" vertical="center"/>
    </xf>
    <xf numFmtId="3" fontId="54" fillId="3" borderId="57" xfId="8" applyNumberFormat="1" applyFont="1" applyFill="1" applyBorder="1" applyAlignment="1">
      <alignment horizontal="right" vertical="center"/>
    </xf>
    <xf numFmtId="3" fontId="54" fillId="3" borderId="59" xfId="8" applyNumberFormat="1" applyFont="1" applyFill="1" applyBorder="1" applyAlignment="1">
      <alignment horizontal="right" vertical="center"/>
    </xf>
    <xf numFmtId="3" fontId="54" fillId="3" borderId="57" xfId="8" applyNumberFormat="1" applyFont="1" applyFill="1" applyBorder="1" applyAlignment="1">
      <alignment horizontal="right"/>
    </xf>
    <xf numFmtId="3" fontId="54" fillId="3" borderId="58" xfId="8" applyNumberFormat="1" applyFont="1" applyFill="1" applyBorder="1" applyAlignment="1">
      <alignment horizontal="right"/>
    </xf>
    <xf numFmtId="0" fontId="62" fillId="0" borderId="0" xfId="8" applyFont="1" applyAlignment="1">
      <alignment horizontal="right" vertical="center"/>
    </xf>
    <xf numFmtId="3" fontId="32" fillId="0" borderId="26" xfId="8" applyNumberFormat="1" applyFont="1" applyBorder="1" applyAlignment="1">
      <alignment horizontal="right" vertical="center"/>
    </xf>
    <xf numFmtId="3" fontId="32" fillId="0" borderId="25" xfId="8" applyNumberFormat="1" applyFont="1" applyBorder="1" applyAlignment="1">
      <alignment horizontal="right" vertical="center"/>
    </xf>
    <xf numFmtId="3" fontId="32" fillId="0" borderId="27" xfId="8" applyNumberFormat="1" applyFont="1" applyBorder="1" applyAlignment="1">
      <alignment horizontal="right" vertical="center"/>
    </xf>
    <xf numFmtId="3" fontId="23" fillId="0" borderId="49" xfId="8" applyNumberFormat="1" applyBorder="1" applyAlignment="1">
      <alignment horizontal="right"/>
    </xf>
    <xf numFmtId="3" fontId="23" fillId="0" borderId="50" xfId="8" applyNumberFormat="1" applyBorder="1" applyAlignment="1">
      <alignment horizontal="right"/>
    </xf>
    <xf numFmtId="3" fontId="57" fillId="3" borderId="58" xfId="8" applyNumberFormat="1" applyFont="1" applyFill="1" applyBorder="1" applyAlignment="1">
      <alignment horizontal="right" vertical="center"/>
    </xf>
    <xf numFmtId="3" fontId="57" fillId="3" borderId="57" xfId="8" applyNumberFormat="1" applyFont="1" applyFill="1" applyBorder="1" applyAlignment="1">
      <alignment horizontal="right" vertical="center"/>
    </xf>
    <xf numFmtId="3" fontId="57" fillId="3" borderId="59" xfId="8" applyNumberFormat="1" applyFont="1" applyFill="1" applyBorder="1" applyAlignment="1">
      <alignment horizontal="right" vertical="center"/>
    </xf>
    <xf numFmtId="3" fontId="57" fillId="3" borderId="57" xfId="8" applyNumberFormat="1" applyFont="1" applyFill="1" applyBorder="1" applyAlignment="1">
      <alignment horizontal="right"/>
    </xf>
    <xf numFmtId="3" fontId="57" fillId="3" borderId="58" xfId="8" applyNumberFormat="1" applyFont="1" applyFill="1" applyBorder="1" applyAlignment="1">
      <alignment horizontal="right"/>
    </xf>
    <xf numFmtId="0" fontId="23" fillId="0" borderId="0" xfId="8" applyAlignment="1">
      <alignment horizontal="right"/>
    </xf>
    <xf numFmtId="3" fontId="55" fillId="3" borderId="58" xfId="8" applyNumberFormat="1" applyFont="1" applyFill="1" applyBorder="1" applyAlignment="1">
      <alignment horizontal="right" vertical="center"/>
    </xf>
    <xf numFmtId="3" fontId="55" fillId="3" borderId="57" xfId="8" applyNumberFormat="1" applyFont="1" applyFill="1" applyBorder="1" applyAlignment="1">
      <alignment horizontal="right" vertical="center"/>
    </xf>
    <xf numFmtId="3" fontId="55" fillId="3" borderId="59" xfId="8" applyNumberFormat="1" applyFont="1" applyFill="1" applyBorder="1" applyAlignment="1">
      <alignment horizontal="right" vertical="center"/>
    </xf>
    <xf numFmtId="3" fontId="55" fillId="3" borderId="57" xfId="8" applyNumberFormat="1" applyFont="1" applyFill="1" applyBorder="1" applyAlignment="1">
      <alignment horizontal="right"/>
    </xf>
    <xf numFmtId="3" fontId="55" fillId="3" borderId="58" xfId="8" applyNumberFormat="1" applyFont="1" applyFill="1" applyBorder="1" applyAlignment="1">
      <alignment horizontal="right"/>
    </xf>
    <xf numFmtId="0" fontId="68" fillId="0" borderId="0" xfId="8" applyFont="1" applyAlignment="1">
      <alignment horizontal="right" vertical="center"/>
    </xf>
    <xf numFmtId="3" fontId="32" fillId="0" borderId="57" xfId="8" applyNumberFormat="1" applyFont="1" applyBorder="1" applyAlignment="1">
      <alignment horizontal="right" vertical="center"/>
    </xf>
    <xf numFmtId="3" fontId="32" fillId="0" borderId="58" xfId="8" applyNumberFormat="1" applyFont="1" applyBorder="1" applyAlignment="1">
      <alignment horizontal="right" vertical="center"/>
    </xf>
    <xf numFmtId="3" fontId="32" fillId="0" borderId="59" xfId="8" applyNumberFormat="1" applyFont="1" applyBorder="1" applyAlignment="1">
      <alignment horizontal="right" vertical="center"/>
    </xf>
    <xf numFmtId="3" fontId="58" fillId="3" borderId="60" xfId="8" applyNumberFormat="1" applyFont="1" applyFill="1" applyBorder="1" applyAlignment="1">
      <alignment horizontal="right" vertical="center"/>
    </xf>
    <xf numFmtId="3" fontId="58" fillId="3" borderId="2" xfId="8" applyNumberFormat="1" applyFont="1" applyFill="1" applyBorder="1" applyAlignment="1">
      <alignment horizontal="right" vertical="center"/>
    </xf>
    <xf numFmtId="3" fontId="58" fillId="3" borderId="58" xfId="8" applyNumberFormat="1" applyFont="1" applyFill="1" applyBorder="1" applyAlignment="1">
      <alignment horizontal="right" vertical="center"/>
    </xf>
    <xf numFmtId="3" fontId="58" fillId="3" borderId="57" xfId="8" applyNumberFormat="1" applyFont="1" applyFill="1" applyBorder="1" applyAlignment="1">
      <alignment horizontal="right" vertical="center"/>
    </xf>
    <xf numFmtId="3" fontId="58" fillId="3" borderId="59" xfId="8" applyNumberFormat="1" applyFont="1" applyFill="1" applyBorder="1" applyAlignment="1">
      <alignment horizontal="right" vertical="center"/>
    </xf>
    <xf numFmtId="3" fontId="58" fillId="3" borderId="58" xfId="8" applyNumberFormat="1" applyFont="1" applyFill="1" applyBorder="1" applyAlignment="1">
      <alignment horizontal="right"/>
    </xf>
    <xf numFmtId="3" fontId="58" fillId="3" borderId="57" xfId="8" applyNumberFormat="1" applyFont="1" applyFill="1" applyBorder="1" applyAlignment="1">
      <alignment horizontal="right"/>
    </xf>
    <xf numFmtId="3" fontId="56" fillId="3" borderId="58" xfId="8" applyNumberFormat="1" applyFont="1" applyFill="1" applyBorder="1" applyAlignment="1">
      <alignment horizontal="right" vertical="center"/>
    </xf>
    <xf numFmtId="3" fontId="56" fillId="3" borderId="57" xfId="8" applyNumberFormat="1" applyFont="1" applyFill="1" applyBorder="1" applyAlignment="1">
      <alignment horizontal="right" vertical="center"/>
    </xf>
    <xf numFmtId="3" fontId="56" fillId="3" borderId="59" xfId="8" applyNumberFormat="1" applyFont="1" applyFill="1" applyBorder="1" applyAlignment="1">
      <alignment horizontal="right" vertical="center"/>
    </xf>
    <xf numFmtId="3" fontId="56" fillId="3" borderId="57" xfId="8" applyNumberFormat="1" applyFont="1" applyFill="1" applyBorder="1" applyAlignment="1">
      <alignment horizontal="right"/>
    </xf>
    <xf numFmtId="3" fontId="56" fillId="3" borderId="58" xfId="8" applyNumberFormat="1" applyFont="1" applyFill="1" applyBorder="1" applyAlignment="1">
      <alignment horizontal="right"/>
    </xf>
    <xf numFmtId="3" fontId="23" fillId="0" borderId="47" xfId="8" applyNumberFormat="1" applyBorder="1" applyAlignment="1">
      <alignment horizontal="right"/>
    </xf>
    <xf numFmtId="3" fontId="23" fillId="0" borderId="51" xfId="8" applyNumberFormat="1" applyBorder="1" applyAlignment="1">
      <alignment horizontal="right"/>
    </xf>
    <xf numFmtId="0" fontId="32" fillId="0" borderId="56" xfId="0" applyFont="1" applyBorder="1" applyAlignment="1">
      <alignment horizontal="center" vertical="center"/>
    </xf>
    <xf numFmtId="3" fontId="23" fillId="0" borderId="53" xfId="8" applyNumberFormat="1" applyBorder="1" applyAlignment="1">
      <alignment horizontal="right"/>
    </xf>
    <xf numFmtId="3" fontId="23" fillId="0" borderId="54" xfId="8" applyNumberFormat="1" applyBorder="1" applyAlignment="1">
      <alignment horizontal="right"/>
    </xf>
    <xf numFmtId="3" fontId="23" fillId="0" borderId="55" xfId="8" applyNumberFormat="1" applyBorder="1" applyAlignment="1">
      <alignment horizontal="right"/>
    </xf>
    <xf numFmtId="0" fontId="50" fillId="3" borderId="56" xfId="0" applyFont="1" applyFill="1" applyBorder="1" applyAlignment="1">
      <alignment horizontal="center" vertical="center"/>
    </xf>
    <xf numFmtId="3" fontId="25" fillId="3" borderId="57" xfId="8" applyNumberFormat="1" applyFont="1" applyFill="1" applyBorder="1" applyAlignment="1">
      <alignment horizontal="right"/>
    </xf>
    <xf numFmtId="3" fontId="25" fillId="3" borderId="58" xfId="8" applyNumberFormat="1" applyFont="1" applyFill="1" applyBorder="1" applyAlignment="1">
      <alignment horizontal="right"/>
    </xf>
    <xf numFmtId="3" fontId="50" fillId="3" borderId="59" xfId="8" applyNumberFormat="1" applyFont="1" applyFill="1" applyBorder="1" applyAlignment="1">
      <alignment horizontal="right" vertical="center"/>
    </xf>
    <xf numFmtId="0" fontId="69" fillId="0" borderId="0" xfId="8" applyFont="1"/>
    <xf numFmtId="0" fontId="51" fillId="0" borderId="0" xfId="3" applyFont="1"/>
    <xf numFmtId="0" fontId="44" fillId="0" borderId="0" xfId="3" applyFont="1" applyAlignment="1">
      <alignment horizontal="left" vertical="center"/>
    </xf>
    <xf numFmtId="0" fontId="70" fillId="0" borderId="0" xfId="3" applyFont="1"/>
    <xf numFmtId="0" fontId="46" fillId="0" borderId="2" xfId="1" applyFont="1" applyBorder="1" applyAlignment="1" applyProtection="1">
      <alignment vertical="center" wrapText="1"/>
    </xf>
    <xf numFmtId="0" fontId="26" fillId="0" borderId="0" xfId="3"/>
    <xf numFmtId="0" fontId="51" fillId="0" borderId="0" xfId="3" applyFont="1" applyAlignment="1">
      <alignment wrapText="1"/>
    </xf>
    <xf numFmtId="0" fontId="52" fillId="0" borderId="13" xfId="7" applyFont="1" applyBorder="1" applyAlignment="1">
      <alignment horizontal="right" wrapText="1"/>
    </xf>
    <xf numFmtId="0" fontId="52" fillId="0" borderId="14" xfId="7" applyFont="1" applyBorder="1" applyAlignment="1">
      <alignment horizontal="right" wrapText="1"/>
    </xf>
    <xf numFmtId="0" fontId="52" fillId="0" borderId="17" xfId="7" applyFont="1" applyBorder="1" applyAlignment="1">
      <alignment horizontal="right" wrapText="1"/>
    </xf>
    <xf numFmtId="0" fontId="52" fillId="0" borderId="18" xfId="7" applyFont="1" applyBorder="1" applyAlignment="1">
      <alignment horizontal="right" wrapText="1"/>
    </xf>
    <xf numFmtId="0" fontId="52" fillId="0" borderId="22" xfId="7" applyFont="1" applyBorder="1" applyAlignment="1">
      <alignment horizontal="right" wrapText="1"/>
    </xf>
    <xf numFmtId="0" fontId="52" fillId="0" borderId="21" xfId="7" applyFont="1" applyBorder="1" applyAlignment="1">
      <alignment horizontal="right" wrapText="1"/>
    </xf>
    <xf numFmtId="0" fontId="53" fillId="3" borderId="26" xfId="7" applyFont="1" applyFill="1" applyBorder="1" applyAlignment="1">
      <alignment horizontal="right" wrapText="1"/>
    </xf>
    <xf numFmtId="0" fontId="52" fillId="0" borderId="31" xfId="7" applyFont="1" applyBorder="1" applyAlignment="1">
      <alignment horizontal="right" wrapText="1"/>
    </xf>
    <xf numFmtId="0" fontId="52" fillId="0" borderId="32" xfId="7" applyFont="1" applyBorder="1" applyAlignment="1">
      <alignment horizontal="right" wrapText="1"/>
    </xf>
    <xf numFmtId="0" fontId="50" fillId="3" borderId="8" xfId="5" applyFont="1" applyFill="1" applyBorder="1" applyAlignment="1">
      <alignment horizontal="center" vertical="center"/>
    </xf>
    <xf numFmtId="3" fontId="53" fillId="3" borderId="60" xfId="6" applyNumberFormat="1" applyFont="1" applyFill="1" applyBorder="1" applyAlignment="1">
      <alignment horizontal="right" vertical="center"/>
    </xf>
    <xf numFmtId="0" fontId="53" fillId="3" borderId="2" xfId="7" applyFont="1" applyFill="1" applyBorder="1" applyAlignment="1">
      <alignment horizontal="right" wrapText="1"/>
    </xf>
    <xf numFmtId="3" fontId="53" fillId="3" borderId="2" xfId="7" applyNumberFormat="1" applyFont="1" applyFill="1" applyBorder="1" applyAlignment="1">
      <alignment horizontal="right" wrapText="1"/>
    </xf>
    <xf numFmtId="3" fontId="32" fillId="3" borderId="17" xfId="0" applyNumberFormat="1" applyFont="1" applyFill="1" applyBorder="1" applyAlignment="1">
      <alignment horizontal="right"/>
    </xf>
    <xf numFmtId="3" fontId="32" fillId="3" borderId="18" xfId="0" applyNumberFormat="1" applyFont="1" applyFill="1" applyBorder="1" applyAlignment="1">
      <alignment horizontal="right"/>
    </xf>
    <xf numFmtId="0" fontId="32" fillId="0" borderId="17" xfId="3" applyFont="1" applyBorder="1" applyAlignment="1">
      <alignment horizontal="right" vertical="center"/>
    </xf>
    <xf numFmtId="3" fontId="52" fillId="3" borderId="60" xfId="6" applyNumberFormat="1" applyFont="1" applyFill="1" applyBorder="1" applyAlignment="1">
      <alignment horizontal="right" vertical="center"/>
    </xf>
    <xf numFmtId="3" fontId="52" fillId="3" borderId="2" xfId="6" applyNumberFormat="1" applyFont="1" applyFill="1" applyBorder="1" applyAlignment="1">
      <alignment horizontal="right" vertical="center"/>
    </xf>
    <xf numFmtId="0" fontId="32" fillId="0" borderId="18" xfId="3" applyFont="1" applyBorder="1" applyAlignment="1">
      <alignment horizontal="right" vertical="center"/>
    </xf>
    <xf numFmtId="0" fontId="52" fillId="0" borderId="18" xfId="9" applyFont="1" applyBorder="1" applyAlignment="1">
      <alignment horizontal="right" wrapText="1"/>
    </xf>
    <xf numFmtId="3" fontId="71" fillId="0" borderId="14" xfId="4" applyNumberFormat="1" applyFont="1" applyBorder="1" applyAlignment="1">
      <alignment horizontal="right" vertical="center" wrapText="1"/>
    </xf>
    <xf numFmtId="0" fontId="32" fillId="0" borderId="18" xfId="3" applyFont="1" applyBorder="1" applyAlignment="1">
      <alignment horizontal="right"/>
    </xf>
    <xf numFmtId="3" fontId="71" fillId="0" borderId="18" xfId="4" applyNumberFormat="1" applyFont="1" applyBorder="1" applyAlignment="1">
      <alignment horizontal="right" vertical="center" wrapText="1"/>
    </xf>
    <xf numFmtId="0" fontId="72" fillId="0" borderId="45" xfId="4" applyFont="1" applyBorder="1" applyAlignment="1">
      <alignment vertical="center" wrapText="1"/>
    </xf>
    <xf numFmtId="3" fontId="52" fillId="0" borderId="26" xfId="6" applyNumberFormat="1" applyFont="1" applyBorder="1" applyAlignment="1">
      <alignment horizontal="right" vertical="center"/>
    </xf>
    <xf numFmtId="3" fontId="50" fillId="0" borderId="26" xfId="3" applyNumberFormat="1" applyFont="1" applyBorder="1" applyAlignment="1">
      <alignment horizontal="right" vertical="center"/>
    </xf>
    <xf numFmtId="3" fontId="52" fillId="0" borderId="25" xfId="6" applyNumberFormat="1" applyFont="1" applyBorder="1" applyAlignment="1">
      <alignment horizontal="right" vertical="center"/>
    </xf>
    <xf numFmtId="3" fontId="50" fillId="0" borderId="27" xfId="3" applyNumberFormat="1" applyFont="1" applyBorder="1" applyAlignment="1">
      <alignment horizontal="right" vertical="center"/>
    </xf>
    <xf numFmtId="0" fontId="32" fillId="0" borderId="35" xfId="5" applyFont="1" applyBorder="1" applyAlignment="1">
      <alignment horizontal="left" vertical="center"/>
    </xf>
    <xf numFmtId="0" fontId="50" fillId="3" borderId="25" xfId="5" applyFont="1" applyFill="1" applyBorder="1" applyAlignment="1">
      <alignment horizontal="center" vertical="center"/>
    </xf>
    <xf numFmtId="3" fontId="53" fillId="3" borderId="50" xfId="6" applyNumberFormat="1" applyFont="1" applyFill="1" applyBorder="1" applyAlignment="1">
      <alignment horizontal="right" vertical="center"/>
    </xf>
    <xf numFmtId="0" fontId="53" fillId="3" borderId="50" xfId="7" applyFont="1" applyFill="1" applyBorder="1" applyAlignment="1">
      <alignment horizontal="right" wrapText="1"/>
    </xf>
    <xf numFmtId="3" fontId="50" fillId="3" borderId="50" xfId="3" applyNumberFormat="1" applyFont="1" applyFill="1" applyBorder="1" applyAlignment="1">
      <alignment horizontal="right" vertical="center"/>
    </xf>
    <xf numFmtId="3" fontId="53" fillId="3" borderId="49" xfId="6" applyNumberFormat="1" applyFont="1" applyFill="1" applyBorder="1" applyAlignment="1">
      <alignment horizontal="right" vertical="center"/>
    </xf>
    <xf numFmtId="3" fontId="50" fillId="3" borderId="51" xfId="3" applyNumberFormat="1" applyFont="1" applyFill="1" applyBorder="1" applyAlignment="1">
      <alignment horizontal="right" vertical="center"/>
    </xf>
    <xf numFmtId="3" fontId="50" fillId="0" borderId="32" xfId="3" applyNumberFormat="1" applyFont="1" applyBorder="1" applyAlignment="1">
      <alignment horizontal="right" vertical="center"/>
    </xf>
    <xf numFmtId="3" fontId="50" fillId="0" borderId="22" xfId="3" applyNumberFormat="1" applyFont="1" applyBorder="1" applyAlignment="1">
      <alignment horizontal="right" vertical="center"/>
    </xf>
    <xf numFmtId="3" fontId="50" fillId="0" borderId="0" xfId="3" applyNumberFormat="1" applyFont="1" applyAlignment="1">
      <alignment horizontal="right" vertical="center"/>
    </xf>
    <xf numFmtId="3" fontId="50" fillId="3" borderId="26" xfId="3" applyNumberFormat="1" applyFont="1" applyFill="1" applyBorder="1" applyAlignment="1">
      <alignment horizontal="right" vertical="center"/>
    </xf>
    <xf numFmtId="3" fontId="53" fillId="3" borderId="26" xfId="6" applyNumberFormat="1" applyFont="1" applyFill="1" applyBorder="1" applyAlignment="1">
      <alignment horizontal="right" vertical="center"/>
    </xf>
    <xf numFmtId="0" fontId="32" fillId="0" borderId="34" xfId="5" applyFont="1" applyBorder="1" applyAlignment="1">
      <alignment horizontal="left" vertical="center"/>
    </xf>
    <xf numFmtId="3" fontId="50" fillId="3" borderId="9" xfId="7" applyNumberFormat="1" applyFont="1" applyFill="1" applyBorder="1" applyAlignment="1">
      <alignment horizontal="right" wrapText="1"/>
    </xf>
    <xf numFmtId="3" fontId="50" fillId="3" borderId="4" xfId="7" applyNumberFormat="1" applyFont="1" applyFill="1" applyBorder="1" applyAlignment="1">
      <alignment horizontal="right" wrapText="1"/>
    </xf>
    <xf numFmtId="3" fontId="50" fillId="3" borderId="10" xfId="7" applyNumberFormat="1" applyFont="1" applyFill="1" applyBorder="1" applyAlignment="1">
      <alignment horizontal="right" wrapText="1"/>
    </xf>
    <xf numFmtId="0" fontId="44" fillId="0" borderId="0" xfId="3" applyFont="1"/>
    <xf numFmtId="0" fontId="41" fillId="0" borderId="0" xfId="3" applyFont="1"/>
    <xf numFmtId="0" fontId="32" fillId="0" borderId="0" xfId="3" applyFont="1"/>
    <xf numFmtId="0" fontId="30" fillId="0" borderId="0" xfId="3" applyFont="1"/>
    <xf numFmtId="3" fontId="30" fillId="0" borderId="0" xfId="3" applyNumberFormat="1" applyFont="1"/>
    <xf numFmtId="0" fontId="44" fillId="0" borderId="0" xfId="3" applyFont="1" applyBorder="1" applyAlignment="1">
      <alignment vertical="center" wrapText="1"/>
    </xf>
    <xf numFmtId="0" fontId="32" fillId="0" borderId="0" xfId="3" applyFont="1" applyAlignment="1">
      <alignment vertical="center"/>
    </xf>
    <xf numFmtId="3" fontId="32" fillId="0" borderId="13" xfId="3" applyNumberFormat="1" applyFont="1" applyBorder="1" applyAlignment="1">
      <alignment horizontal="right" vertical="center"/>
    </xf>
    <xf numFmtId="3" fontId="32" fillId="0" borderId="14" xfId="3" applyNumberFormat="1" applyFont="1" applyBorder="1" applyAlignment="1">
      <alignment horizontal="right" vertical="center"/>
    </xf>
    <xf numFmtId="3" fontId="32" fillId="0" borderId="15" xfId="3" applyNumberFormat="1" applyFont="1" applyBorder="1" applyAlignment="1">
      <alignment horizontal="right" vertical="center"/>
    </xf>
    <xf numFmtId="3" fontId="32" fillId="0" borderId="19" xfId="3" applyNumberFormat="1" applyFont="1" applyBorder="1" applyAlignment="1">
      <alignment horizontal="right" vertical="center"/>
    </xf>
    <xf numFmtId="3" fontId="32" fillId="0" borderId="21" xfId="3" applyNumberFormat="1" applyFont="1" applyBorder="1" applyAlignment="1">
      <alignment horizontal="right" vertical="center"/>
    </xf>
    <xf numFmtId="3" fontId="32" fillId="0" borderId="22" xfId="3" applyNumberFormat="1" applyFont="1" applyBorder="1" applyAlignment="1">
      <alignment horizontal="right" vertical="center"/>
    </xf>
    <xf numFmtId="3" fontId="32" fillId="0" borderId="23" xfId="3" applyNumberFormat="1" applyFont="1" applyBorder="1" applyAlignment="1">
      <alignment horizontal="right" vertical="center"/>
    </xf>
    <xf numFmtId="3" fontId="54" fillId="3" borderId="60" xfId="3" applyNumberFormat="1" applyFont="1" applyFill="1" applyBorder="1" applyAlignment="1">
      <alignment horizontal="right" vertical="center"/>
    </xf>
    <xf numFmtId="3" fontId="54" fillId="3" borderId="2" xfId="3" applyNumberFormat="1" applyFont="1" applyFill="1" applyBorder="1" applyAlignment="1">
      <alignment horizontal="right" vertical="center"/>
    </xf>
    <xf numFmtId="3" fontId="54" fillId="3" borderId="11" xfId="3" applyNumberFormat="1" applyFont="1" applyFill="1" applyBorder="1" applyAlignment="1">
      <alignment horizontal="right" vertical="center"/>
    </xf>
    <xf numFmtId="3" fontId="57" fillId="3" borderId="60" xfId="3" applyNumberFormat="1" applyFont="1" applyFill="1" applyBorder="1" applyAlignment="1">
      <alignment horizontal="right" vertical="center"/>
    </xf>
    <xf numFmtId="3" fontId="57" fillId="3" borderId="2" xfId="3" applyNumberFormat="1" applyFont="1" applyFill="1" applyBorder="1" applyAlignment="1">
      <alignment horizontal="right" vertical="center"/>
    </xf>
    <xf numFmtId="3" fontId="57" fillId="3" borderId="11" xfId="3" applyNumberFormat="1" applyFont="1" applyFill="1" applyBorder="1" applyAlignment="1">
      <alignment horizontal="right" vertical="center"/>
    </xf>
    <xf numFmtId="0" fontId="32" fillId="0" borderId="0" xfId="3" applyFont="1" applyAlignment="1">
      <alignment horizontal="right" vertical="center"/>
    </xf>
    <xf numFmtId="3" fontId="55" fillId="3" borderId="60" xfId="3" applyNumberFormat="1" applyFont="1" applyFill="1" applyBorder="1" applyAlignment="1">
      <alignment horizontal="right" vertical="center"/>
    </xf>
    <xf numFmtId="3" fontId="55" fillId="3" borderId="2" xfId="3" applyNumberFormat="1" applyFont="1" applyFill="1" applyBorder="1" applyAlignment="1">
      <alignment horizontal="right" vertical="center"/>
    </xf>
    <xf numFmtId="3" fontId="55" fillId="3" borderId="11" xfId="3" applyNumberFormat="1" applyFont="1" applyFill="1" applyBorder="1" applyAlignment="1">
      <alignment horizontal="right" vertical="center"/>
    </xf>
    <xf numFmtId="3" fontId="50" fillId="0" borderId="14" xfId="3" applyNumberFormat="1" applyFont="1" applyBorder="1" applyAlignment="1">
      <alignment horizontal="right" vertical="center"/>
    </xf>
    <xf numFmtId="3" fontId="50" fillId="0" borderId="18" xfId="3" applyNumberFormat="1" applyFont="1" applyBorder="1" applyAlignment="1">
      <alignment horizontal="right" vertical="center"/>
    </xf>
    <xf numFmtId="3" fontId="58" fillId="0" borderId="60" xfId="3" applyNumberFormat="1" applyFont="1" applyBorder="1" applyAlignment="1">
      <alignment horizontal="right" vertical="center"/>
    </xf>
    <xf numFmtId="3" fontId="58" fillId="0" borderId="2" xfId="3" applyNumberFormat="1" applyFont="1" applyBorder="1" applyAlignment="1">
      <alignment horizontal="right" vertical="center"/>
    </xf>
    <xf numFmtId="3" fontId="58" fillId="0" borderId="11" xfId="3" applyNumberFormat="1" applyFont="1" applyBorder="1" applyAlignment="1">
      <alignment horizontal="right" vertical="center"/>
    </xf>
    <xf numFmtId="3" fontId="56" fillId="3" borderId="60" xfId="3" applyNumberFormat="1" applyFont="1" applyFill="1" applyBorder="1" applyAlignment="1">
      <alignment horizontal="right" vertical="center"/>
    </xf>
    <xf numFmtId="3" fontId="56" fillId="3" borderId="2" xfId="3" applyNumberFormat="1" applyFont="1" applyFill="1" applyBorder="1" applyAlignment="1">
      <alignment horizontal="right" vertical="center"/>
    </xf>
    <xf numFmtId="3" fontId="56" fillId="3" borderId="11" xfId="3" applyNumberFormat="1" applyFont="1" applyFill="1" applyBorder="1" applyAlignment="1">
      <alignment horizontal="right" vertical="center"/>
    </xf>
    <xf numFmtId="0" fontId="41" fillId="0" borderId="0" xfId="3" applyFont="1" applyAlignment="1">
      <alignment vertical="center"/>
    </xf>
    <xf numFmtId="0" fontId="44" fillId="0" borderId="0" xfId="0" applyFont="1" applyAlignment="1">
      <alignment horizontal="left" vertical="center" wrapText="1"/>
    </xf>
    <xf numFmtId="0" fontId="44" fillId="0" borderId="0" xfId="0" applyFont="1" applyAlignment="1">
      <alignment horizontal="left" vertical="center"/>
    </xf>
    <xf numFmtId="3" fontId="54" fillId="3" borderId="59" xfId="8" applyNumberFormat="1" applyFont="1" applyFill="1" applyBorder="1" applyAlignment="1">
      <alignment horizontal="right"/>
    </xf>
    <xf numFmtId="3" fontId="57" fillId="3" borderId="59" xfId="8" applyNumberFormat="1" applyFont="1" applyFill="1" applyBorder="1" applyAlignment="1">
      <alignment horizontal="right"/>
    </xf>
    <xf numFmtId="3" fontId="55" fillId="3" borderId="59" xfId="8" applyNumberFormat="1" applyFont="1" applyFill="1" applyBorder="1" applyAlignment="1">
      <alignment horizontal="right"/>
    </xf>
    <xf numFmtId="0" fontId="23" fillId="0" borderId="45" xfId="8" applyBorder="1" applyAlignment="1">
      <alignment horizontal="right"/>
    </xf>
    <xf numFmtId="0" fontId="23" fillId="0" borderId="46" xfId="8" applyBorder="1" applyAlignment="1">
      <alignment horizontal="right"/>
    </xf>
    <xf numFmtId="0" fontId="23" fillId="0" borderId="25" xfId="8" applyBorder="1" applyAlignment="1">
      <alignment horizontal="right"/>
    </xf>
    <xf numFmtId="0" fontId="23" fillId="0" borderId="26" xfId="8" applyBorder="1" applyAlignment="1">
      <alignment horizontal="right"/>
    </xf>
    <xf numFmtId="0" fontId="32" fillId="0" borderId="49" xfId="8" applyFont="1" applyBorder="1" applyAlignment="1">
      <alignment horizontal="right" vertical="center"/>
    </xf>
    <xf numFmtId="0" fontId="32" fillId="0" borderId="50" xfId="8" applyFont="1" applyBorder="1" applyAlignment="1">
      <alignment horizontal="right" vertical="center"/>
    </xf>
    <xf numFmtId="3" fontId="58" fillId="3" borderId="59" xfId="8" applyNumberFormat="1" applyFont="1" applyFill="1" applyBorder="1" applyAlignment="1">
      <alignment horizontal="right"/>
    </xf>
    <xf numFmtId="3" fontId="56" fillId="3" borderId="59" xfId="8" applyNumberFormat="1" applyFont="1" applyFill="1" applyBorder="1" applyAlignment="1">
      <alignment horizontal="right"/>
    </xf>
    <xf numFmtId="3" fontId="25" fillId="3" borderId="9" xfId="8" applyNumberFormat="1" applyFont="1" applyFill="1" applyBorder="1" applyAlignment="1">
      <alignment horizontal="right"/>
    </xf>
    <xf numFmtId="3" fontId="25" fillId="3" borderId="4" xfId="8" applyNumberFormat="1" applyFont="1" applyFill="1" applyBorder="1" applyAlignment="1">
      <alignment horizontal="right"/>
    </xf>
    <xf numFmtId="3" fontId="50" fillId="3" borderId="10" xfId="8" applyNumberFormat="1" applyFont="1" applyFill="1" applyBorder="1" applyAlignment="1">
      <alignment horizontal="right" vertical="center"/>
    </xf>
    <xf numFmtId="0" fontId="65" fillId="0" borderId="0" xfId="0" applyFont="1"/>
    <xf numFmtId="0" fontId="80" fillId="0" borderId="0" xfId="3" applyFont="1" applyAlignment="1">
      <alignment vertical="center"/>
    </xf>
    <xf numFmtId="0" fontId="51" fillId="0" borderId="0" xfId="3" applyFont="1" applyAlignment="1">
      <alignment horizontal="center" vertical="center"/>
    </xf>
    <xf numFmtId="0" fontId="46" fillId="0" borderId="2" xfId="1" applyFont="1" applyBorder="1" applyAlignment="1" applyProtection="1">
      <alignment vertical="top" wrapText="1"/>
    </xf>
    <xf numFmtId="0" fontId="53" fillId="3" borderId="0" xfId="7" applyFont="1" applyFill="1" applyAlignment="1">
      <alignment horizontal="right" wrapText="1"/>
    </xf>
    <xf numFmtId="0" fontId="52" fillId="0" borderId="41" xfId="7" applyFont="1" applyBorder="1" applyAlignment="1">
      <alignment horizontal="right" wrapText="1"/>
    </xf>
    <xf numFmtId="0" fontId="52" fillId="0" borderId="42" xfId="7" applyFont="1" applyBorder="1" applyAlignment="1">
      <alignment horizontal="right" wrapText="1"/>
    </xf>
    <xf numFmtId="3" fontId="52" fillId="0" borderId="42" xfId="14" applyNumberFormat="1" applyFont="1" applyBorder="1" applyAlignment="1">
      <alignment horizontal="right" wrapText="1"/>
    </xf>
    <xf numFmtId="0" fontId="32" fillId="0" borderId="21" xfId="3" applyFont="1" applyBorder="1" applyAlignment="1">
      <alignment horizontal="right" vertical="center"/>
    </xf>
    <xf numFmtId="0" fontId="32" fillId="0" borderId="14" xfId="3" applyFont="1" applyBorder="1" applyAlignment="1">
      <alignment horizontal="right" vertical="center"/>
    </xf>
    <xf numFmtId="0" fontId="32" fillId="0" borderId="13" xfId="3" applyFont="1" applyBorder="1" applyAlignment="1">
      <alignment horizontal="right" vertical="center"/>
    </xf>
    <xf numFmtId="0" fontId="52" fillId="0" borderId="14" xfId="9" applyFont="1" applyBorder="1" applyAlignment="1">
      <alignment horizontal="right" wrapText="1"/>
    </xf>
    <xf numFmtId="0" fontId="32" fillId="0" borderId="42" xfId="3" applyFont="1" applyBorder="1" applyAlignment="1">
      <alignment horizontal="right" vertical="center"/>
    </xf>
    <xf numFmtId="0" fontId="32" fillId="0" borderId="41" xfId="3" applyFont="1" applyBorder="1" applyAlignment="1">
      <alignment horizontal="right" vertical="center"/>
    </xf>
    <xf numFmtId="3" fontId="32" fillId="0" borderId="35" xfId="3" applyNumberFormat="1" applyFont="1" applyBorder="1" applyAlignment="1">
      <alignment horizontal="right" vertical="center"/>
    </xf>
    <xf numFmtId="0" fontId="32" fillId="0" borderId="35" xfId="3" applyFont="1" applyBorder="1" applyAlignment="1">
      <alignment horizontal="right" vertical="center"/>
    </xf>
    <xf numFmtId="3" fontId="32" fillId="0" borderId="0" xfId="3" applyNumberFormat="1" applyFont="1" applyAlignment="1">
      <alignment horizontal="right" vertical="center"/>
    </xf>
    <xf numFmtId="3" fontId="53" fillId="3" borderId="11" xfId="7" applyNumberFormat="1" applyFont="1" applyFill="1" applyBorder="1" applyAlignment="1">
      <alignment horizontal="right" wrapText="1"/>
    </xf>
    <xf numFmtId="3" fontId="50" fillId="0" borderId="0" xfId="3" applyNumberFormat="1" applyFont="1" applyAlignment="1">
      <alignment horizontal="right" vertical="center" indent="1"/>
    </xf>
    <xf numFmtId="3" fontId="53" fillId="3" borderId="9" xfId="7" applyNumberFormat="1" applyFont="1" applyFill="1" applyBorder="1" applyAlignment="1">
      <alignment horizontal="right" wrapText="1"/>
    </xf>
    <xf numFmtId="3" fontId="53" fillId="3" borderId="4" xfId="7" applyNumberFormat="1" applyFont="1" applyFill="1" applyBorder="1" applyAlignment="1">
      <alignment horizontal="right" wrapText="1"/>
    </xf>
    <xf numFmtId="3" fontId="53" fillId="3" borderId="10" xfId="7" applyNumberFormat="1" applyFont="1" applyFill="1" applyBorder="1" applyAlignment="1">
      <alignment horizontal="right" wrapText="1"/>
    </xf>
    <xf numFmtId="0" fontId="81" fillId="0" borderId="0" xfId="3" applyFont="1" applyAlignment="1">
      <alignment vertical="center"/>
    </xf>
    <xf numFmtId="0" fontId="44" fillId="0" borderId="0" xfId="3" applyFont="1" applyAlignment="1">
      <alignment horizontal="left" vertical="center" wrapText="1"/>
    </xf>
    <xf numFmtId="3" fontId="32" fillId="0" borderId="47" xfId="3" applyNumberFormat="1" applyFont="1" applyBorder="1" applyAlignment="1">
      <alignment horizontal="right" vertical="center"/>
    </xf>
    <xf numFmtId="3" fontId="32" fillId="0" borderId="51" xfId="3" applyNumberFormat="1" applyFont="1" applyBorder="1" applyAlignment="1">
      <alignment horizontal="right" vertical="center"/>
    </xf>
    <xf numFmtId="3" fontId="32" fillId="0" borderId="55" xfId="3" applyNumberFormat="1" applyFont="1" applyBorder="1" applyAlignment="1">
      <alignment horizontal="right" vertical="center"/>
    </xf>
    <xf numFmtId="3" fontId="50" fillId="3" borderId="9" xfId="3" applyNumberFormat="1" applyFont="1" applyFill="1" applyBorder="1" applyAlignment="1">
      <alignment horizontal="right" vertical="center"/>
    </xf>
    <xf numFmtId="3" fontId="50" fillId="3" borderId="4" xfId="3" applyNumberFormat="1" applyFont="1" applyFill="1" applyBorder="1" applyAlignment="1">
      <alignment horizontal="right" vertical="center"/>
    </xf>
    <xf numFmtId="3" fontId="50" fillId="3" borderId="10" xfId="3" applyNumberFormat="1" applyFont="1" applyFill="1" applyBorder="1" applyAlignment="1">
      <alignment horizontal="right" vertical="center"/>
    </xf>
    <xf numFmtId="0" fontId="82" fillId="0" borderId="3" xfId="3" applyFont="1" applyBorder="1" applyAlignment="1">
      <alignment horizontal="left" vertical="center"/>
    </xf>
    <xf numFmtId="0" fontId="82" fillId="0" borderId="0" xfId="3" applyFont="1" applyAlignment="1">
      <alignment horizontal="left" vertical="center"/>
    </xf>
    <xf numFmtId="3" fontId="80" fillId="0" borderId="0" xfId="3" applyNumberFormat="1" applyFont="1" applyAlignment="1">
      <alignment vertical="center"/>
    </xf>
    <xf numFmtId="0" fontId="73" fillId="0" borderId="0" xfId="3" applyFont="1" applyAlignment="1">
      <alignment vertical="center"/>
    </xf>
    <xf numFmtId="0" fontId="83" fillId="0" borderId="0" xfId="3" applyFont="1" applyAlignment="1">
      <alignment vertical="center"/>
    </xf>
    <xf numFmtId="0" fontId="80" fillId="0" borderId="0" xfId="15" applyFont="1"/>
    <xf numFmtId="0" fontId="44" fillId="0" borderId="0" xfId="15" applyFont="1" applyAlignment="1">
      <alignment vertical="center" wrapText="1"/>
    </xf>
    <xf numFmtId="0" fontId="51" fillId="0" borderId="0" xfId="15" applyFont="1"/>
    <xf numFmtId="0" fontId="50" fillId="3" borderId="60" xfId="3" applyFont="1" applyFill="1" applyBorder="1" applyAlignment="1">
      <alignment horizontal="center" vertical="center"/>
    </xf>
    <xf numFmtId="0" fontId="50" fillId="3" borderId="2" xfId="3" applyFont="1" applyFill="1" applyBorder="1" applyAlignment="1">
      <alignment horizontal="center" vertical="center"/>
    </xf>
    <xf numFmtId="0" fontId="50" fillId="3" borderId="4" xfId="3" applyFont="1" applyFill="1" applyBorder="1" applyAlignment="1">
      <alignment horizontal="center" vertical="center"/>
    </xf>
    <xf numFmtId="0" fontId="50" fillId="3" borderId="10" xfId="3" applyFont="1" applyFill="1" applyBorder="1" applyAlignment="1">
      <alignment horizontal="center" vertical="center"/>
    </xf>
    <xf numFmtId="0" fontId="51" fillId="0" borderId="0" xfId="15" applyFont="1" applyAlignment="1">
      <alignment wrapText="1"/>
    </xf>
    <xf numFmtId="3" fontId="52" fillId="0" borderId="13" xfId="16" applyNumberFormat="1" applyFont="1" applyBorder="1" applyAlignment="1">
      <alignment horizontal="right" wrapText="1"/>
    </xf>
    <xf numFmtId="3" fontId="52" fillId="0" borderId="14" xfId="16" applyNumberFormat="1" applyFont="1" applyBorder="1" applyAlignment="1">
      <alignment horizontal="right" wrapText="1"/>
    </xf>
    <xf numFmtId="3" fontId="52" fillId="0" borderId="15" xfId="16" applyNumberFormat="1" applyFont="1" applyBorder="1" applyAlignment="1">
      <alignment horizontal="right" wrapText="1"/>
    </xf>
    <xf numFmtId="3" fontId="52" fillId="0" borderId="15" xfId="17" applyNumberFormat="1" applyFont="1" applyBorder="1" applyAlignment="1">
      <alignment horizontal="right" wrapText="1"/>
    </xf>
    <xf numFmtId="3" fontId="52" fillId="0" borderId="13" xfId="17" applyNumberFormat="1" applyFont="1" applyBorder="1" applyAlignment="1">
      <alignment horizontal="right" wrapText="1"/>
    </xf>
    <xf numFmtId="3" fontId="52" fillId="0" borderId="14" xfId="17" applyNumberFormat="1" applyFont="1" applyBorder="1" applyAlignment="1">
      <alignment horizontal="right" wrapText="1"/>
    </xf>
    <xf numFmtId="3" fontId="52" fillId="0" borderId="14" xfId="18" applyNumberFormat="1" applyFont="1" applyBorder="1" applyAlignment="1">
      <alignment horizontal="right" wrapText="1"/>
    </xf>
    <xf numFmtId="3" fontId="32" fillId="0" borderId="13" xfId="15" applyNumberFormat="1" applyFont="1" applyBorder="1" applyAlignment="1">
      <alignment horizontal="right" vertical="center"/>
    </xf>
    <xf numFmtId="3" fontId="32" fillId="0" borderId="14" xfId="15" applyNumberFormat="1" applyFont="1" applyBorder="1" applyAlignment="1">
      <alignment horizontal="right" vertical="center"/>
    </xf>
    <xf numFmtId="3" fontId="32" fillId="0" borderId="15" xfId="15" applyNumberFormat="1" applyFont="1" applyBorder="1" applyAlignment="1">
      <alignment horizontal="right" vertical="center"/>
    </xf>
    <xf numFmtId="0" fontId="30" fillId="0" borderId="0" xfId="15" applyFont="1" applyAlignment="1">
      <alignment vertical="center"/>
    </xf>
    <xf numFmtId="3" fontId="52" fillId="0" borderId="17" xfId="16" applyNumberFormat="1" applyFont="1" applyBorder="1" applyAlignment="1">
      <alignment horizontal="right" wrapText="1"/>
    </xf>
    <xf numFmtId="3" fontId="52" fillId="0" borderId="18" xfId="16" applyNumberFormat="1" applyFont="1" applyBorder="1" applyAlignment="1">
      <alignment horizontal="right" wrapText="1"/>
    </xf>
    <xf numFmtId="3" fontId="52" fillId="0" borderId="19" xfId="16" applyNumberFormat="1" applyFont="1" applyBorder="1" applyAlignment="1">
      <alignment horizontal="right" wrapText="1"/>
    </xf>
    <xf numFmtId="3" fontId="52" fillId="0" borderId="19" xfId="17" applyNumberFormat="1" applyFont="1" applyBorder="1" applyAlignment="1">
      <alignment horizontal="right" wrapText="1"/>
    </xf>
    <xf numFmtId="3" fontId="52" fillId="0" borderId="17" xfId="17" applyNumberFormat="1" applyFont="1" applyBorder="1" applyAlignment="1">
      <alignment horizontal="right" wrapText="1"/>
    </xf>
    <xf numFmtId="3" fontId="52" fillId="0" borderId="18" xfId="17" applyNumberFormat="1" applyFont="1" applyBorder="1" applyAlignment="1">
      <alignment horizontal="right" wrapText="1"/>
    </xf>
    <xf numFmtId="3" fontId="52" fillId="0" borderId="18" xfId="18" applyNumberFormat="1" applyFont="1" applyBorder="1" applyAlignment="1">
      <alignment horizontal="right" wrapText="1"/>
    </xf>
    <xf numFmtId="3" fontId="32" fillId="0" borderId="17" xfId="15" applyNumberFormat="1" applyFont="1" applyBorder="1" applyAlignment="1">
      <alignment horizontal="right" vertical="center"/>
    </xf>
    <xf numFmtId="3" fontId="32" fillId="0" borderId="18" xfId="15" applyNumberFormat="1" applyFont="1" applyBorder="1" applyAlignment="1">
      <alignment horizontal="right" vertical="center"/>
    </xf>
    <xf numFmtId="3" fontId="32" fillId="0" borderId="19" xfId="15" applyNumberFormat="1" applyFont="1" applyBorder="1" applyAlignment="1">
      <alignment horizontal="right" vertical="center"/>
    </xf>
    <xf numFmtId="3" fontId="32" fillId="0" borderId="17" xfId="15" applyNumberFormat="1" applyFont="1" applyBorder="1" applyAlignment="1">
      <alignment horizontal="right"/>
    </xf>
    <xf numFmtId="0" fontId="50" fillId="3" borderId="61" xfId="5" applyFont="1" applyFill="1" applyBorder="1" applyAlignment="1">
      <alignment horizontal="center" vertical="center"/>
    </xf>
    <xf numFmtId="3" fontId="53" fillId="3" borderId="37" xfId="6" applyNumberFormat="1" applyFont="1" applyFill="1" applyBorder="1" applyAlignment="1">
      <alignment horizontal="right" vertical="center"/>
    </xf>
    <xf numFmtId="3" fontId="53" fillId="3" borderId="38" xfId="6" applyNumberFormat="1" applyFont="1" applyFill="1" applyBorder="1" applyAlignment="1">
      <alignment horizontal="right" vertical="center"/>
    </xf>
    <xf numFmtId="3" fontId="53" fillId="3" borderId="62" xfId="6" applyNumberFormat="1" applyFont="1" applyFill="1" applyBorder="1" applyAlignment="1">
      <alignment horizontal="right" vertical="center"/>
    </xf>
    <xf numFmtId="3" fontId="52" fillId="0" borderId="41" xfId="16" applyNumberFormat="1" applyFont="1" applyBorder="1" applyAlignment="1">
      <alignment horizontal="right" wrapText="1"/>
    </xf>
    <xf numFmtId="3" fontId="52" fillId="0" borderId="42" xfId="16" applyNumberFormat="1" applyFont="1" applyBorder="1" applyAlignment="1">
      <alignment horizontal="right" wrapText="1"/>
    </xf>
    <xf numFmtId="3" fontId="52" fillId="0" borderId="43" xfId="16" applyNumberFormat="1" applyFont="1" applyBorder="1" applyAlignment="1">
      <alignment horizontal="right" wrapText="1"/>
    </xf>
    <xf numFmtId="3" fontId="52" fillId="0" borderId="43" xfId="17" applyNumberFormat="1" applyFont="1" applyBorder="1" applyAlignment="1">
      <alignment horizontal="right" wrapText="1"/>
    </xf>
    <xf numFmtId="3" fontId="52" fillId="0" borderId="41" xfId="17" applyNumberFormat="1" applyFont="1" applyBorder="1" applyAlignment="1">
      <alignment horizontal="right" wrapText="1"/>
    </xf>
    <xf numFmtId="3" fontId="52" fillId="0" borderId="42" xfId="17" applyNumberFormat="1" applyFont="1" applyBorder="1" applyAlignment="1">
      <alignment horizontal="right" wrapText="1"/>
    </xf>
    <xf numFmtId="3" fontId="52" fillId="0" borderId="42" xfId="18" applyNumberFormat="1" applyFont="1" applyBorder="1" applyAlignment="1">
      <alignment horizontal="right" wrapText="1"/>
    </xf>
    <xf numFmtId="3" fontId="32" fillId="0" borderId="41" xfId="15" applyNumberFormat="1" applyFont="1" applyBorder="1" applyAlignment="1">
      <alignment horizontal="right" vertical="center"/>
    </xf>
    <xf numFmtId="3" fontId="32" fillId="0" borderId="42" xfId="15" applyNumberFormat="1" applyFont="1" applyBorder="1" applyAlignment="1">
      <alignment horizontal="right" vertical="center"/>
    </xf>
    <xf numFmtId="3" fontId="32" fillId="0" borderId="43" xfId="15" applyNumberFormat="1" applyFont="1" applyBorder="1" applyAlignment="1">
      <alignment horizontal="right" vertical="center"/>
    </xf>
    <xf numFmtId="0" fontId="54" fillId="0" borderId="39" xfId="5" applyFont="1" applyBorder="1" applyAlignment="1">
      <alignment horizontal="center" vertical="center"/>
    </xf>
    <xf numFmtId="3" fontId="54" fillId="0" borderId="9" xfId="7" applyNumberFormat="1" applyFont="1" applyBorder="1" applyAlignment="1">
      <alignment horizontal="right" wrapText="1"/>
    </xf>
    <xf numFmtId="3" fontId="54" fillId="0" borderId="4" xfId="7" applyNumberFormat="1" applyFont="1" applyBorder="1" applyAlignment="1">
      <alignment horizontal="right" wrapText="1"/>
    </xf>
    <xf numFmtId="3" fontId="54" fillId="0" borderId="10" xfId="7" applyNumberFormat="1" applyFont="1" applyBorder="1" applyAlignment="1">
      <alignment horizontal="right" wrapText="1"/>
    </xf>
    <xf numFmtId="3" fontId="52" fillId="0" borderId="18" xfId="4" applyNumberFormat="1" applyFont="1" applyBorder="1" applyAlignment="1">
      <alignment horizontal="right" wrapText="1"/>
    </xf>
    <xf numFmtId="3" fontId="32" fillId="0" borderId="19" xfId="15" applyNumberFormat="1" applyFont="1" applyBorder="1" applyAlignment="1">
      <alignment horizontal="right"/>
    </xf>
    <xf numFmtId="3" fontId="32" fillId="0" borderId="18" xfId="15" applyNumberFormat="1" applyFont="1" applyBorder="1" applyAlignment="1">
      <alignment horizontal="right"/>
    </xf>
    <xf numFmtId="3" fontId="52" fillId="0" borderId="17" xfId="4" applyNumberFormat="1" applyFont="1" applyBorder="1" applyAlignment="1">
      <alignment horizontal="right" wrapText="1"/>
    </xf>
    <xf numFmtId="3" fontId="52" fillId="0" borderId="19" xfId="4" applyNumberFormat="1" applyFont="1" applyBorder="1" applyAlignment="1">
      <alignment horizontal="right" wrapText="1"/>
    </xf>
    <xf numFmtId="0" fontId="57" fillId="0" borderId="39" xfId="5" applyFont="1" applyBorder="1" applyAlignment="1">
      <alignment horizontal="center" vertical="center"/>
    </xf>
    <xf numFmtId="3" fontId="57" fillId="0" borderId="9" xfId="7" applyNumberFormat="1" applyFont="1" applyBorder="1" applyAlignment="1">
      <alignment horizontal="right" wrapText="1"/>
    </xf>
    <xf numFmtId="3" fontId="57" fillId="0" borderId="4" xfId="7" applyNumberFormat="1" applyFont="1" applyBorder="1" applyAlignment="1">
      <alignment horizontal="right" wrapText="1"/>
    </xf>
    <xf numFmtId="3" fontId="57" fillId="0" borderId="10" xfId="7" applyNumberFormat="1" applyFont="1" applyBorder="1" applyAlignment="1">
      <alignment horizontal="right" wrapText="1"/>
    </xf>
    <xf numFmtId="3" fontId="32" fillId="0" borderId="21" xfId="15" applyNumberFormat="1" applyFont="1" applyBorder="1" applyAlignment="1">
      <alignment horizontal="right"/>
    </xf>
    <xf numFmtId="0" fontId="55" fillId="0" borderId="39" xfId="5" applyFont="1" applyBorder="1" applyAlignment="1">
      <alignment horizontal="center" vertical="center"/>
    </xf>
    <xf numFmtId="3" fontId="55" fillId="0" borderId="9" xfId="7" applyNumberFormat="1" applyFont="1" applyBorder="1" applyAlignment="1">
      <alignment horizontal="right" wrapText="1"/>
    </xf>
    <xf numFmtId="3" fontId="55" fillId="0" borderId="4" xfId="7" applyNumberFormat="1" applyFont="1" applyBorder="1" applyAlignment="1">
      <alignment horizontal="right" wrapText="1"/>
    </xf>
    <xf numFmtId="3" fontId="55" fillId="0" borderId="10" xfId="7" applyNumberFormat="1" applyFont="1" applyBorder="1" applyAlignment="1">
      <alignment horizontal="right" wrapText="1"/>
    </xf>
    <xf numFmtId="3" fontId="52" fillId="0" borderId="13" xfId="4" applyNumberFormat="1" applyFont="1" applyBorder="1" applyAlignment="1">
      <alignment horizontal="right" wrapText="1"/>
    </xf>
    <xf numFmtId="3" fontId="52" fillId="0" borderId="14" xfId="4" applyNumberFormat="1" applyFont="1" applyBorder="1" applyAlignment="1">
      <alignment horizontal="right" wrapText="1"/>
    </xf>
    <xf numFmtId="3" fontId="32" fillId="0" borderId="14" xfId="15" applyNumberFormat="1" applyFont="1" applyBorder="1" applyAlignment="1">
      <alignment horizontal="right"/>
    </xf>
    <xf numFmtId="3" fontId="52" fillId="0" borderId="21" xfId="4" applyNumberFormat="1" applyFont="1" applyBorder="1" applyAlignment="1">
      <alignment horizontal="right" wrapText="1"/>
    </xf>
    <xf numFmtId="3" fontId="52" fillId="0" borderId="22" xfId="4" applyNumberFormat="1" applyFont="1" applyBorder="1" applyAlignment="1">
      <alignment horizontal="right" wrapText="1"/>
    </xf>
    <xf numFmtId="3" fontId="32" fillId="0" borderId="22" xfId="15" applyNumberFormat="1" applyFont="1" applyBorder="1" applyAlignment="1">
      <alignment horizontal="right"/>
    </xf>
    <xf numFmtId="3" fontId="52" fillId="0" borderId="22" xfId="17" applyNumberFormat="1" applyFont="1" applyBorder="1" applyAlignment="1">
      <alignment horizontal="right" wrapText="1"/>
    </xf>
    <xf numFmtId="3" fontId="52" fillId="0" borderId="22" xfId="16" applyNumberFormat="1" applyFont="1" applyBorder="1" applyAlignment="1">
      <alignment horizontal="right" wrapText="1"/>
    </xf>
    <xf numFmtId="3" fontId="52" fillId="0" borderId="22" xfId="18" applyNumberFormat="1" applyFont="1" applyBorder="1" applyAlignment="1">
      <alignment horizontal="right" wrapText="1"/>
    </xf>
    <xf numFmtId="3" fontId="32" fillId="0" borderId="22" xfId="15" applyNumberFormat="1" applyFont="1" applyBorder="1" applyAlignment="1">
      <alignment horizontal="right" vertical="center"/>
    </xf>
    <xf numFmtId="3" fontId="32" fillId="0" borderId="23" xfId="15" applyNumberFormat="1" applyFont="1" applyBorder="1" applyAlignment="1">
      <alignment horizontal="right" vertical="center"/>
    </xf>
    <xf numFmtId="3" fontId="32" fillId="0" borderId="21" xfId="15" applyNumberFormat="1" applyFont="1" applyBorder="1" applyAlignment="1">
      <alignment horizontal="right" vertical="center"/>
    </xf>
    <xf numFmtId="0" fontId="58" fillId="0" borderId="39" xfId="5" applyFont="1" applyBorder="1" applyAlignment="1">
      <alignment horizontal="center" vertical="center"/>
    </xf>
    <xf numFmtId="3" fontId="58" fillId="0" borderId="9" xfId="7" applyNumberFormat="1" applyFont="1" applyBorder="1" applyAlignment="1">
      <alignment horizontal="right" wrapText="1"/>
    </xf>
    <xf numFmtId="3" fontId="58" fillId="0" borderId="4" xfId="7" applyNumberFormat="1" applyFont="1" applyBorder="1" applyAlignment="1">
      <alignment horizontal="right" wrapText="1"/>
    </xf>
    <xf numFmtId="3" fontId="58" fillId="0" borderId="10" xfId="7" applyNumberFormat="1" applyFont="1" applyBorder="1" applyAlignment="1">
      <alignment horizontal="right" wrapText="1"/>
    </xf>
    <xf numFmtId="0" fontId="56" fillId="0" borderId="39" xfId="5" applyFont="1" applyBorder="1" applyAlignment="1">
      <alignment horizontal="center" vertical="center"/>
    </xf>
    <xf numFmtId="3" fontId="56" fillId="0" borderId="9" xfId="7" applyNumberFormat="1" applyFont="1" applyBorder="1" applyAlignment="1">
      <alignment horizontal="right" wrapText="1"/>
    </xf>
    <xf numFmtId="3" fontId="56" fillId="0" borderId="4" xfId="7" applyNumberFormat="1" applyFont="1" applyBorder="1" applyAlignment="1">
      <alignment horizontal="right" wrapText="1"/>
    </xf>
    <xf numFmtId="3" fontId="56" fillId="0" borderId="10" xfId="7" applyNumberFormat="1" applyFont="1" applyBorder="1" applyAlignment="1">
      <alignment horizontal="right" wrapText="1"/>
    </xf>
    <xf numFmtId="0" fontId="30" fillId="0" borderId="0" xfId="15" applyFont="1" applyAlignment="1">
      <alignment horizontal="right" vertical="center"/>
    </xf>
    <xf numFmtId="0" fontId="44" fillId="0" borderId="0" xfId="15" applyFont="1"/>
    <xf numFmtId="0" fontId="50" fillId="3" borderId="9" xfId="15" applyFont="1" applyFill="1" applyBorder="1" applyAlignment="1">
      <alignment horizontal="center" vertical="center" wrapText="1"/>
    </xf>
    <xf numFmtId="3" fontId="53" fillId="3" borderId="9" xfId="16" applyNumberFormat="1" applyFont="1" applyFill="1" applyBorder="1" applyAlignment="1">
      <alignment horizontal="right" wrapText="1"/>
    </xf>
    <xf numFmtId="3" fontId="53" fillId="3" borderId="4" xfId="16" applyNumberFormat="1" applyFont="1" applyFill="1" applyBorder="1" applyAlignment="1">
      <alignment horizontal="right" wrapText="1"/>
    </xf>
    <xf numFmtId="3" fontId="53" fillId="3" borderId="10" xfId="16" applyNumberFormat="1" applyFont="1" applyFill="1" applyBorder="1" applyAlignment="1">
      <alignment horizontal="right" wrapText="1"/>
    </xf>
    <xf numFmtId="0" fontId="30" fillId="0" borderId="0" xfId="15" applyFont="1"/>
    <xf numFmtId="0" fontId="73" fillId="0" borderId="0" xfId="15" applyFont="1" applyAlignment="1">
      <alignment vertical="center"/>
    </xf>
    <xf numFmtId="3" fontId="26" fillId="0" borderId="0" xfId="15" applyNumberFormat="1"/>
    <xf numFmtId="0" fontId="26" fillId="0" borderId="0" xfId="15"/>
    <xf numFmtId="0" fontId="84" fillId="0" borderId="0" xfId="15" applyFont="1"/>
    <xf numFmtId="3" fontId="85" fillId="0" borderId="0" xfId="15" applyNumberFormat="1" applyFont="1"/>
    <xf numFmtId="0" fontId="32" fillId="0" borderId="0" xfId="15" applyFont="1"/>
    <xf numFmtId="3" fontId="32" fillId="0" borderId="45" xfId="15" applyNumberFormat="1" applyFont="1" applyBorder="1" applyAlignment="1">
      <alignment horizontal="right"/>
    </xf>
    <xf numFmtId="3" fontId="32" fillId="0" borderId="46" xfId="15" applyNumberFormat="1" applyFont="1" applyBorder="1" applyAlignment="1">
      <alignment horizontal="right"/>
    </xf>
    <xf numFmtId="3" fontId="32" fillId="0" borderId="47" xfId="15" applyNumberFormat="1" applyFont="1" applyBorder="1" applyAlignment="1">
      <alignment horizontal="right"/>
    </xf>
    <xf numFmtId="3" fontId="32" fillId="0" borderId="49" xfId="15" applyNumberFormat="1" applyFont="1" applyBorder="1" applyAlignment="1">
      <alignment horizontal="right"/>
    </xf>
    <xf numFmtId="3" fontId="32" fillId="0" borderId="50" xfId="15" applyNumberFormat="1" applyFont="1" applyBorder="1" applyAlignment="1">
      <alignment horizontal="right"/>
    </xf>
    <xf numFmtId="3" fontId="32" fillId="0" borderId="51" xfId="15" applyNumberFormat="1" applyFont="1" applyBorder="1" applyAlignment="1">
      <alignment horizontal="right"/>
    </xf>
    <xf numFmtId="3" fontId="54" fillId="3" borderId="57" xfId="15" applyNumberFormat="1" applyFont="1" applyFill="1" applyBorder="1" applyAlignment="1">
      <alignment horizontal="right"/>
    </xf>
    <xf numFmtId="3" fontId="54" fillId="3" borderId="58" xfId="15" applyNumberFormat="1" applyFont="1" applyFill="1" applyBorder="1" applyAlignment="1">
      <alignment horizontal="right"/>
    </xf>
    <xf numFmtId="3" fontId="54" fillId="3" borderId="59" xfId="15" applyNumberFormat="1" applyFont="1" applyFill="1" applyBorder="1" applyAlignment="1">
      <alignment horizontal="right"/>
    </xf>
    <xf numFmtId="0" fontId="62" fillId="0" borderId="0" xfId="15" applyFont="1" applyAlignment="1">
      <alignment horizontal="right" vertical="center"/>
    </xf>
    <xf numFmtId="3" fontId="57" fillId="3" borderId="57" xfId="15" applyNumberFormat="1" applyFont="1" applyFill="1" applyBorder="1" applyAlignment="1">
      <alignment horizontal="right"/>
    </xf>
    <xf numFmtId="3" fontId="57" fillId="3" borderId="58" xfId="15" applyNumberFormat="1" applyFont="1" applyFill="1" applyBorder="1" applyAlignment="1">
      <alignment horizontal="right"/>
    </xf>
    <xf numFmtId="3" fontId="57" fillId="3" borderId="59" xfId="15" applyNumberFormat="1" applyFont="1" applyFill="1" applyBorder="1" applyAlignment="1">
      <alignment horizontal="right"/>
    </xf>
    <xf numFmtId="0" fontId="32" fillId="0" borderId="0" xfId="15" applyFont="1" applyAlignment="1">
      <alignment horizontal="right" vertical="center"/>
    </xf>
    <xf numFmtId="3" fontId="55" fillId="3" borderId="57" xfId="15" applyNumberFormat="1" applyFont="1" applyFill="1" applyBorder="1" applyAlignment="1">
      <alignment horizontal="right"/>
    </xf>
    <xf numFmtId="3" fontId="55" fillId="3" borderId="58" xfId="15" applyNumberFormat="1" applyFont="1" applyFill="1" applyBorder="1" applyAlignment="1">
      <alignment horizontal="right"/>
    </xf>
    <xf numFmtId="3" fontId="55" fillId="3" borderId="59" xfId="15" applyNumberFormat="1" applyFont="1" applyFill="1" applyBorder="1" applyAlignment="1">
      <alignment horizontal="right"/>
    </xf>
    <xf numFmtId="3" fontId="32" fillId="0" borderId="6" xfId="15" applyNumberFormat="1" applyFont="1" applyBorder="1" applyAlignment="1">
      <alignment horizontal="right"/>
    </xf>
    <xf numFmtId="3" fontId="32" fillId="0" borderId="3" xfId="15" applyNumberFormat="1" applyFont="1" applyBorder="1" applyAlignment="1">
      <alignment horizontal="right"/>
    </xf>
    <xf numFmtId="3" fontId="32" fillId="0" borderId="7" xfId="15" applyNumberFormat="1" applyFont="1" applyBorder="1" applyAlignment="1">
      <alignment horizontal="right"/>
    </xf>
    <xf numFmtId="3" fontId="32" fillId="0" borderId="35" xfId="15" applyNumberFormat="1" applyFont="1" applyBorder="1" applyAlignment="1">
      <alignment horizontal="right"/>
    </xf>
    <xf numFmtId="3" fontId="32" fillId="0" borderId="0" xfId="15" applyNumberFormat="1" applyFont="1" applyAlignment="1">
      <alignment horizontal="right"/>
    </xf>
    <xf numFmtId="3" fontId="32" fillId="0" borderId="36" xfId="15" applyNumberFormat="1" applyFont="1" applyBorder="1" applyAlignment="1">
      <alignment horizontal="right"/>
    </xf>
    <xf numFmtId="3" fontId="58" fillId="0" borderId="60" xfId="15" applyNumberFormat="1" applyFont="1" applyBorder="1" applyAlignment="1">
      <alignment horizontal="right"/>
    </xf>
    <xf numFmtId="3" fontId="58" fillId="0" borderId="2" xfId="15" applyNumberFormat="1" applyFont="1" applyBorder="1" applyAlignment="1">
      <alignment horizontal="right"/>
    </xf>
    <xf numFmtId="3" fontId="58" fillId="0" borderId="11" xfId="15" applyNumberFormat="1" applyFont="1" applyBorder="1" applyAlignment="1">
      <alignment horizontal="right"/>
    </xf>
    <xf numFmtId="3" fontId="58" fillId="3" borderId="57" xfId="15" applyNumberFormat="1" applyFont="1" applyFill="1" applyBorder="1" applyAlignment="1">
      <alignment horizontal="right"/>
    </xf>
    <xf numFmtId="3" fontId="58" fillId="3" borderId="58" xfId="15" applyNumberFormat="1" applyFont="1" applyFill="1" applyBorder="1" applyAlignment="1">
      <alignment horizontal="right"/>
    </xf>
    <xf numFmtId="3" fontId="58" fillId="3" borderId="59" xfId="15" applyNumberFormat="1" applyFont="1" applyFill="1" applyBorder="1" applyAlignment="1">
      <alignment horizontal="right"/>
    </xf>
    <xf numFmtId="0" fontId="63" fillId="0" borderId="0" xfId="15" applyFont="1" applyAlignment="1">
      <alignment horizontal="right" vertical="center"/>
    </xf>
    <xf numFmtId="3" fontId="56" fillId="3" borderId="57" xfId="15" applyNumberFormat="1" applyFont="1" applyFill="1" applyBorder="1" applyAlignment="1">
      <alignment horizontal="right"/>
    </xf>
    <xf numFmtId="3" fontId="56" fillId="3" borderId="58" xfId="15" applyNumberFormat="1" applyFont="1" applyFill="1" applyBorder="1" applyAlignment="1">
      <alignment horizontal="right"/>
    </xf>
    <xf numFmtId="3" fontId="56" fillId="3" borderId="59" xfId="15" applyNumberFormat="1" applyFont="1" applyFill="1" applyBorder="1" applyAlignment="1">
      <alignment horizontal="right"/>
    </xf>
    <xf numFmtId="3" fontId="32" fillId="0" borderId="53" xfId="15" applyNumberFormat="1" applyFont="1" applyBorder="1" applyAlignment="1">
      <alignment horizontal="right"/>
    </xf>
    <xf numFmtId="3" fontId="32" fillId="0" borderId="54" xfId="15" applyNumberFormat="1" applyFont="1" applyBorder="1" applyAlignment="1">
      <alignment horizontal="right"/>
    </xf>
    <xf numFmtId="3" fontId="32" fillId="0" borderId="55" xfId="15" applyNumberFormat="1" applyFont="1" applyBorder="1" applyAlignment="1">
      <alignment horizontal="right"/>
    </xf>
    <xf numFmtId="3" fontId="32" fillId="0" borderId="57" xfId="15" applyNumberFormat="1" applyFont="1" applyBorder="1" applyAlignment="1">
      <alignment horizontal="right"/>
    </xf>
    <xf numFmtId="3" fontId="32" fillId="0" borderId="58" xfId="15" applyNumberFormat="1" applyFont="1" applyBorder="1" applyAlignment="1">
      <alignment horizontal="right"/>
    </xf>
    <xf numFmtId="3" fontId="32" fillId="0" borderId="59" xfId="15" applyNumberFormat="1" applyFont="1" applyBorder="1" applyAlignment="1">
      <alignment horizontal="right"/>
    </xf>
    <xf numFmtId="3" fontId="50" fillId="3" borderId="9" xfId="15" applyNumberFormat="1" applyFont="1" applyFill="1" applyBorder="1" applyAlignment="1">
      <alignment horizontal="right" vertical="center"/>
    </xf>
    <xf numFmtId="3" fontId="50" fillId="3" borderId="4" xfId="15" applyNumberFormat="1" applyFont="1" applyFill="1" applyBorder="1" applyAlignment="1">
      <alignment horizontal="right" vertical="center"/>
    </xf>
    <xf numFmtId="3" fontId="50" fillId="3" borderId="10" xfId="15" applyNumberFormat="1" applyFont="1" applyFill="1" applyBorder="1" applyAlignment="1">
      <alignment horizontal="right" vertical="center"/>
    </xf>
    <xf numFmtId="0" fontId="44" fillId="0" borderId="0" xfId="15" applyFont="1" applyAlignment="1">
      <alignment horizontal="right" vertical="center" indent="1"/>
    </xf>
    <xf numFmtId="3" fontId="80" fillId="0" borderId="0" xfId="15" applyNumberFormat="1" applyFont="1"/>
    <xf numFmtId="0" fontId="86" fillId="0" borderId="0" xfId="15" applyFont="1" applyAlignment="1">
      <alignment horizontal="left"/>
    </xf>
    <xf numFmtId="0" fontId="65" fillId="0" borderId="0" xfId="15" applyFont="1"/>
    <xf numFmtId="3" fontId="65" fillId="0" borderId="0" xfId="15" applyNumberFormat="1" applyFont="1"/>
    <xf numFmtId="0" fontId="51" fillId="0" borderId="0" xfId="0" applyFont="1"/>
    <xf numFmtId="0" fontId="81" fillId="0" borderId="0" xfId="0" applyFont="1" applyAlignment="1">
      <alignment vertical="center"/>
    </xf>
    <xf numFmtId="0" fontId="30" fillId="0" borderId="0" xfId="0" applyFont="1" applyAlignment="1">
      <alignment horizontal="justify" vertical="center"/>
    </xf>
    <xf numFmtId="0" fontId="70" fillId="0" borderId="0" xfId="0" applyFont="1" applyAlignment="1">
      <alignment horizontal="center"/>
    </xf>
    <xf numFmtId="1" fontId="50" fillId="3" borderId="39" xfId="4" applyNumberFormat="1" applyFont="1" applyFill="1" applyBorder="1" applyAlignment="1">
      <alignment horizontal="center" vertical="center" wrapText="1"/>
    </xf>
    <xf numFmtId="1" fontId="50" fillId="3" borderId="9" xfId="4" applyNumberFormat="1" applyFont="1" applyFill="1" applyBorder="1" applyAlignment="1">
      <alignment horizontal="center" vertical="center" wrapText="1"/>
    </xf>
    <xf numFmtId="0" fontId="50" fillId="3" borderId="9" xfId="0" applyFont="1" applyFill="1" applyBorder="1" applyAlignment="1">
      <alignment horizontal="center" vertical="center" wrapText="1"/>
    </xf>
    <xf numFmtId="0" fontId="50" fillId="3" borderId="39" xfId="0" applyFont="1" applyFill="1" applyBorder="1" applyAlignment="1">
      <alignment horizontal="center" vertical="center" wrapText="1"/>
    </xf>
    <xf numFmtId="0" fontId="50" fillId="3" borderId="10" xfId="0" applyFont="1" applyFill="1" applyBorder="1" applyAlignment="1">
      <alignment horizontal="center" vertical="center" wrapText="1"/>
    </xf>
    <xf numFmtId="0" fontId="41" fillId="0" borderId="0" xfId="0" applyFont="1" applyAlignment="1">
      <alignment vertical="center"/>
    </xf>
    <xf numFmtId="0" fontId="32" fillId="0" borderId="0" xfId="0" applyFont="1"/>
    <xf numFmtId="0" fontId="32" fillId="0" borderId="63" xfId="19" applyFont="1" applyBorder="1" applyAlignment="1">
      <alignment horizontal="center" vertical="center"/>
    </xf>
    <xf numFmtId="0" fontId="87" fillId="0" borderId="64" xfId="0" applyFont="1" applyBorder="1" applyAlignment="1">
      <alignment horizontal="right" vertical="center" wrapText="1" readingOrder="1"/>
    </xf>
    <xf numFmtId="3" fontId="87" fillId="0" borderId="64" xfId="0" applyNumberFormat="1" applyFont="1" applyBorder="1" applyAlignment="1">
      <alignment horizontal="right" vertical="center" wrapText="1" readingOrder="1"/>
    </xf>
    <xf numFmtId="0" fontId="32" fillId="0" borderId="65" xfId="19" applyFont="1" applyBorder="1" applyAlignment="1">
      <alignment horizontal="center" vertical="center"/>
    </xf>
    <xf numFmtId="0" fontId="87" fillId="0" borderId="66" xfId="0" applyFont="1" applyBorder="1" applyAlignment="1">
      <alignment horizontal="right" vertical="center" wrapText="1" readingOrder="1"/>
    </xf>
    <xf numFmtId="3" fontId="87" fillId="0" borderId="66" xfId="0" applyNumberFormat="1" applyFont="1" applyBorder="1" applyAlignment="1">
      <alignment horizontal="right" vertical="center" wrapText="1" readingOrder="1"/>
    </xf>
    <xf numFmtId="0" fontId="32" fillId="0" borderId="67" xfId="19" applyFont="1" applyBorder="1" applyAlignment="1">
      <alignment horizontal="center" vertical="center"/>
    </xf>
    <xf numFmtId="0" fontId="54" fillId="3" borderId="8" xfId="19" applyFont="1" applyFill="1" applyBorder="1" applyAlignment="1">
      <alignment horizontal="center" vertical="center"/>
    </xf>
    <xf numFmtId="0" fontId="88" fillId="3" borderId="68" xfId="0" applyFont="1" applyFill="1" applyBorder="1" applyAlignment="1">
      <alignment horizontal="right" vertical="center" wrapText="1" readingOrder="1"/>
    </xf>
    <xf numFmtId="3" fontId="88" fillId="3" borderId="68" xfId="0" applyNumberFormat="1" applyFont="1" applyFill="1" applyBorder="1" applyAlignment="1">
      <alignment horizontal="right" vertical="center" wrapText="1" readingOrder="1"/>
    </xf>
    <xf numFmtId="0" fontId="0" fillId="0" borderId="0" xfId="0" applyAlignment="1">
      <alignment vertical="center"/>
    </xf>
    <xf numFmtId="0" fontId="23" fillId="0" borderId="0" xfId="0" applyFont="1" applyAlignment="1">
      <alignment horizontal="right" readingOrder="1"/>
    </xf>
    <xf numFmtId="3" fontId="23" fillId="0" borderId="0" xfId="0" applyNumberFormat="1" applyFont="1" applyAlignment="1">
      <alignment horizontal="right" readingOrder="1"/>
    </xf>
    <xf numFmtId="0" fontId="57" fillId="3" borderId="8" xfId="19" applyFont="1" applyFill="1" applyBorder="1" applyAlignment="1">
      <alignment horizontal="center" vertical="center"/>
    </xf>
    <xf numFmtId="0" fontId="55" fillId="3" borderId="8" xfId="19" applyFont="1" applyFill="1" applyBorder="1" applyAlignment="1">
      <alignment horizontal="center" vertical="center"/>
    </xf>
    <xf numFmtId="0" fontId="58" fillId="3" borderId="8" xfId="19" applyFont="1" applyFill="1" applyBorder="1" applyAlignment="1">
      <alignment horizontal="center" vertical="center"/>
    </xf>
    <xf numFmtId="0" fontId="56" fillId="3" borderId="8" xfId="19" applyFont="1" applyFill="1" applyBorder="1" applyAlignment="1">
      <alignment horizontal="center" vertical="center"/>
    </xf>
    <xf numFmtId="0" fontId="87" fillId="0" borderId="0" xfId="0" applyFont="1" applyAlignment="1">
      <alignment horizontal="right" vertical="center" wrapText="1" readingOrder="1"/>
    </xf>
    <xf numFmtId="3" fontId="87" fillId="0" borderId="0" xfId="0" applyNumberFormat="1" applyFont="1" applyAlignment="1">
      <alignment horizontal="right" vertical="center" wrapText="1" readingOrder="1"/>
    </xf>
    <xf numFmtId="3" fontId="87" fillId="0" borderId="68" xfId="0" applyNumberFormat="1" applyFont="1" applyBorder="1" applyAlignment="1">
      <alignment horizontal="right" vertical="center" wrapText="1" readingOrder="1"/>
    </xf>
    <xf numFmtId="0" fontId="50" fillId="3" borderId="39" xfId="19" applyFont="1" applyFill="1" applyBorder="1" applyAlignment="1">
      <alignment horizontal="center" vertical="center"/>
    </xf>
    <xf numFmtId="0" fontId="81" fillId="0" borderId="0" xfId="0" applyFont="1"/>
    <xf numFmtId="1" fontId="50" fillId="3" borderId="4" xfId="4" applyNumberFormat="1" applyFont="1" applyFill="1" applyBorder="1" applyAlignment="1">
      <alignment horizontal="center" vertical="center" wrapText="1"/>
    </xf>
    <xf numFmtId="3" fontId="23" fillId="0" borderId="0" xfId="0" applyNumberFormat="1" applyFont="1" applyAlignment="1">
      <alignment horizontal="right"/>
    </xf>
    <xf numFmtId="0" fontId="23" fillId="0" borderId="0" xfId="0" applyFont="1" applyAlignment="1">
      <alignment horizontal="right"/>
    </xf>
    <xf numFmtId="3" fontId="87" fillId="0" borderId="0" xfId="0" applyNumberFormat="1" applyFont="1" applyAlignment="1">
      <alignment horizontal="right" vertical="center" wrapText="1"/>
    </xf>
    <xf numFmtId="0" fontId="80" fillId="0" borderId="0" xfId="0" applyFont="1"/>
    <xf numFmtId="0" fontId="51" fillId="0" borderId="0" xfId="3" applyFont="1" applyAlignment="1">
      <alignment vertical="top" wrapText="1"/>
    </xf>
    <xf numFmtId="0" fontId="50" fillId="3" borderId="39" xfId="3" applyFont="1" applyFill="1" applyBorder="1" applyAlignment="1">
      <alignment horizontal="center" vertical="center" wrapText="1"/>
    </xf>
    <xf numFmtId="3" fontId="52" fillId="0" borderId="45" xfId="6" applyNumberFormat="1" applyFont="1" applyBorder="1" applyAlignment="1">
      <alignment vertical="center"/>
    </xf>
    <xf numFmtId="3" fontId="52" fillId="0" borderId="44" xfId="6" applyNumberFormat="1" applyFont="1" applyBorder="1" applyAlignment="1">
      <alignment vertical="center"/>
    </xf>
    <xf numFmtId="3" fontId="52" fillId="0" borderId="49" xfId="6" applyNumberFormat="1" applyFont="1" applyBorder="1" applyAlignment="1">
      <alignment vertical="center"/>
    </xf>
    <xf numFmtId="3" fontId="52" fillId="0" borderId="48" xfId="6" applyNumberFormat="1" applyFont="1" applyBorder="1" applyAlignment="1">
      <alignment vertical="center"/>
    </xf>
    <xf numFmtId="3" fontId="52" fillId="0" borderId="53" xfId="6" applyNumberFormat="1" applyFont="1" applyBorder="1" applyAlignment="1">
      <alignment vertical="center"/>
    </xf>
    <xf numFmtId="3" fontId="52" fillId="0" borderId="52" xfId="6" applyNumberFormat="1" applyFont="1" applyBorder="1" applyAlignment="1">
      <alignment vertical="center"/>
    </xf>
    <xf numFmtId="0" fontId="50" fillId="2" borderId="8" xfId="5" applyFont="1" applyFill="1" applyBorder="1" applyAlignment="1">
      <alignment horizontal="center" vertical="center"/>
    </xf>
    <xf numFmtId="3" fontId="52" fillId="2" borderId="60" xfId="6" applyNumberFormat="1" applyFont="1" applyFill="1" applyBorder="1" applyAlignment="1">
      <alignment vertical="center"/>
    </xf>
    <xf numFmtId="3" fontId="52" fillId="2" borderId="8" xfId="6" applyNumberFormat="1" applyFont="1" applyFill="1" applyBorder="1" applyAlignment="1">
      <alignment vertical="center"/>
    </xf>
    <xf numFmtId="3" fontId="54" fillId="0" borderId="9" xfId="6" applyNumberFormat="1" applyFont="1" applyBorder="1" applyAlignment="1">
      <alignment vertical="center"/>
    </xf>
    <xf numFmtId="3" fontId="54" fillId="0" borderId="39" xfId="6" applyNumberFormat="1" applyFont="1" applyBorder="1" applyAlignment="1">
      <alignment vertical="center"/>
    </xf>
    <xf numFmtId="0" fontId="32" fillId="0" borderId="24" xfId="5" applyFont="1" applyBorder="1" applyAlignment="1">
      <alignment horizontal="left" vertical="center"/>
    </xf>
    <xf numFmtId="3" fontId="52" fillId="0" borderId="25" xfId="6" applyNumberFormat="1" applyFont="1" applyBorder="1" applyAlignment="1">
      <alignment vertical="center"/>
    </xf>
    <xf numFmtId="3" fontId="52" fillId="0" borderId="24" xfId="6" applyNumberFormat="1" applyFont="1" applyBorder="1" applyAlignment="1">
      <alignment vertical="center"/>
    </xf>
    <xf numFmtId="3" fontId="89" fillId="0" borderId="9" xfId="6" applyNumberFormat="1" applyFont="1" applyBorder="1" applyAlignment="1">
      <alignment vertical="center"/>
    </xf>
    <xf numFmtId="3" fontId="57" fillId="0" borderId="9" xfId="6" applyNumberFormat="1" applyFont="1" applyBorder="1" applyAlignment="1">
      <alignment vertical="center"/>
    </xf>
    <xf numFmtId="3" fontId="57" fillId="0" borderId="39" xfId="6" applyNumberFormat="1" applyFont="1" applyBorder="1" applyAlignment="1">
      <alignment vertical="center"/>
    </xf>
    <xf numFmtId="3" fontId="55" fillId="0" borderId="9" xfId="6" applyNumberFormat="1" applyFont="1" applyBorder="1" applyAlignment="1">
      <alignment vertical="center"/>
    </xf>
    <xf numFmtId="3" fontId="55" fillId="0" borderId="39" xfId="6" applyNumberFormat="1" applyFont="1" applyBorder="1" applyAlignment="1">
      <alignment vertical="center"/>
    </xf>
    <xf numFmtId="3" fontId="58" fillId="0" borderId="9" xfId="6" applyNumberFormat="1" applyFont="1" applyBorder="1" applyAlignment="1">
      <alignment vertical="center"/>
    </xf>
    <xf numFmtId="3" fontId="58" fillId="0" borderId="39" xfId="6" applyNumberFormat="1" applyFont="1" applyBorder="1" applyAlignment="1">
      <alignment vertical="center"/>
    </xf>
    <xf numFmtId="3" fontId="52" fillId="2" borderId="35" xfId="6" applyNumberFormat="1" applyFont="1" applyFill="1" applyBorder="1" applyAlignment="1">
      <alignment vertical="center"/>
    </xf>
    <xf numFmtId="3" fontId="52" fillId="2" borderId="34" xfId="6" applyNumberFormat="1" applyFont="1" applyFill="1" applyBorder="1" applyAlignment="1">
      <alignment vertical="center"/>
    </xf>
    <xf numFmtId="3" fontId="56" fillId="0" borderId="9" xfId="6" applyNumberFormat="1" applyFont="1" applyBorder="1" applyAlignment="1">
      <alignment vertical="center"/>
    </xf>
    <xf numFmtId="3" fontId="56" fillId="0" borderId="39" xfId="6" applyNumberFormat="1" applyFont="1" applyBorder="1" applyAlignment="1">
      <alignment vertical="center"/>
    </xf>
    <xf numFmtId="3" fontId="53" fillId="3" borderId="39" xfId="6" applyNumberFormat="1" applyFont="1" applyFill="1" applyBorder="1" applyAlignment="1">
      <alignment vertical="center"/>
    </xf>
    <xf numFmtId="0" fontId="81" fillId="0" borderId="0" xfId="3" applyFont="1" applyAlignment="1">
      <alignment horizontal="left" vertical="center"/>
    </xf>
    <xf numFmtId="0" fontId="70" fillId="0" borderId="0" xfId="3" applyFont="1" applyAlignment="1">
      <alignment horizontal="center"/>
    </xf>
    <xf numFmtId="3" fontId="32" fillId="0" borderId="44" xfId="3" applyNumberFormat="1" applyFont="1" applyBorder="1" applyAlignment="1">
      <alignment horizontal="right" vertical="center"/>
    </xf>
    <xf numFmtId="3" fontId="32" fillId="0" borderId="48" xfId="3" applyNumberFormat="1" applyFont="1" applyBorder="1" applyAlignment="1">
      <alignment horizontal="right" vertical="center"/>
    </xf>
    <xf numFmtId="3" fontId="54" fillId="3" borderId="56" xfId="3" applyNumberFormat="1" applyFont="1" applyFill="1" applyBorder="1" applyAlignment="1">
      <alignment horizontal="right" vertical="center"/>
    </xf>
    <xf numFmtId="0" fontId="44" fillId="0" borderId="0" xfId="3" applyFont="1" applyAlignment="1">
      <alignment horizontal="right"/>
    </xf>
    <xf numFmtId="3" fontId="57" fillId="3" borderId="56" xfId="3" applyNumberFormat="1" applyFont="1" applyFill="1" applyBorder="1" applyAlignment="1">
      <alignment horizontal="right" vertical="center"/>
    </xf>
    <xf numFmtId="3" fontId="55" fillId="3" borderId="56" xfId="3" applyNumberFormat="1" applyFont="1" applyFill="1" applyBorder="1" applyAlignment="1">
      <alignment horizontal="right" vertical="center"/>
    </xf>
    <xf numFmtId="0" fontId="30" fillId="0" borderId="0" xfId="3" applyFont="1" applyAlignment="1">
      <alignment horizontal="right"/>
    </xf>
    <xf numFmtId="0" fontId="32" fillId="0" borderId="45" xfId="19" applyFont="1" applyBorder="1" applyAlignment="1">
      <alignment horizontal="center" vertical="center"/>
    </xf>
    <xf numFmtId="0" fontId="32" fillId="0" borderId="49" xfId="19" applyFont="1" applyBorder="1" applyAlignment="1">
      <alignment horizontal="center" vertical="center"/>
    </xf>
    <xf numFmtId="0" fontId="32" fillId="0" borderId="53" xfId="19" applyFont="1" applyBorder="1" applyAlignment="1">
      <alignment horizontal="center" vertical="center"/>
    </xf>
    <xf numFmtId="0" fontId="58" fillId="3" borderId="60" xfId="19" applyFont="1" applyFill="1" applyBorder="1" applyAlignment="1">
      <alignment horizontal="center" vertical="center"/>
    </xf>
    <xf numFmtId="3" fontId="56" fillId="3" borderId="56" xfId="3" applyNumberFormat="1" applyFont="1" applyFill="1" applyBorder="1" applyAlignment="1">
      <alignment horizontal="right" vertical="center"/>
    </xf>
    <xf numFmtId="3" fontId="32" fillId="0" borderId="57" xfId="3" applyNumberFormat="1" applyFont="1" applyBorder="1" applyAlignment="1">
      <alignment horizontal="right" vertical="center"/>
    </xf>
    <xf numFmtId="3" fontId="32" fillId="0" borderId="56" xfId="3" applyNumberFormat="1" applyFont="1" applyBorder="1" applyAlignment="1">
      <alignment horizontal="right" vertical="center"/>
    </xf>
    <xf numFmtId="3" fontId="50" fillId="3" borderId="57" xfId="3" applyNumberFormat="1" applyFont="1" applyFill="1" applyBorder="1" applyAlignment="1">
      <alignment horizontal="right" vertical="center"/>
    </xf>
    <xf numFmtId="3" fontId="50" fillId="3" borderId="56" xfId="3" applyNumberFormat="1" applyFont="1" applyFill="1" applyBorder="1" applyAlignment="1">
      <alignment horizontal="right" vertical="center"/>
    </xf>
    <xf numFmtId="0" fontId="47" fillId="0" borderId="3" xfId="3" applyFont="1" applyBorder="1"/>
    <xf numFmtId="0" fontId="43" fillId="0" borderId="3" xfId="3" applyFont="1" applyBorder="1" applyAlignment="1">
      <alignment horizontal="right" indent="1"/>
    </xf>
    <xf numFmtId="0" fontId="81" fillId="0" borderId="0" xfId="3" applyFont="1" applyAlignment="1">
      <alignment horizontal="right" indent="1"/>
    </xf>
    <xf numFmtId="0" fontId="47" fillId="0" borderId="0" xfId="3" applyFont="1" applyAlignment="1">
      <alignment vertical="center"/>
    </xf>
    <xf numFmtId="3" fontId="90" fillId="0" borderId="0" xfId="3" applyNumberFormat="1" applyFont="1" applyAlignment="1">
      <alignment horizontal="right" vertical="center" indent="1"/>
    </xf>
    <xf numFmtId="9" fontId="26" fillId="0" borderId="0" xfId="11"/>
    <xf numFmtId="0" fontId="47" fillId="0" borderId="0" xfId="3" applyFont="1"/>
    <xf numFmtId="3" fontId="26" fillId="0" borderId="0" xfId="3" applyNumberFormat="1"/>
    <xf numFmtId="0" fontId="80" fillId="0" borderId="0" xfId="2" applyFont="1" applyAlignment="1">
      <alignment vertical="center"/>
    </xf>
    <xf numFmtId="0" fontId="44" fillId="0" borderId="0" xfId="2" applyFont="1" applyAlignment="1">
      <alignment vertical="center" wrapText="1"/>
    </xf>
    <xf numFmtId="0" fontId="51" fillId="0" borderId="0" xfId="2" applyFont="1" applyAlignment="1">
      <alignment vertical="center"/>
    </xf>
    <xf numFmtId="0" fontId="84" fillId="3" borderId="9" xfId="3" applyFont="1" applyFill="1" applyBorder="1" applyAlignment="1">
      <alignment horizontal="center" vertical="center"/>
    </xf>
    <xf numFmtId="0" fontId="84" fillId="3" borderId="4" xfId="3" applyFont="1" applyFill="1" applyBorder="1" applyAlignment="1">
      <alignment horizontal="center" vertical="center"/>
    </xf>
    <xf numFmtId="0" fontId="84" fillId="3" borderId="10" xfId="3" applyFont="1" applyFill="1" applyBorder="1" applyAlignment="1">
      <alignment horizontal="center" vertical="center"/>
    </xf>
    <xf numFmtId="0" fontId="84" fillId="0" borderId="11" xfId="3" applyFont="1" applyBorder="1" applyAlignment="1">
      <alignment horizontal="center" vertical="center"/>
    </xf>
    <xf numFmtId="0" fontId="51" fillId="0" borderId="0" xfId="2" applyFont="1" applyAlignment="1">
      <alignment vertical="center" wrapText="1"/>
    </xf>
    <xf numFmtId="0" fontId="32" fillId="0" borderId="12" xfId="21" applyFont="1" applyBorder="1" applyAlignment="1">
      <alignment horizontal="left" vertical="center"/>
    </xf>
    <xf numFmtId="3" fontId="50" fillId="0" borderId="14" xfId="2" applyNumberFormat="1" applyFont="1" applyBorder="1" applyAlignment="1">
      <alignment horizontal="right" vertical="center"/>
    </xf>
    <xf numFmtId="3" fontId="50" fillId="0" borderId="15" xfId="2" applyNumberFormat="1" applyFont="1" applyBorder="1" applyAlignment="1">
      <alignment horizontal="right" vertical="center"/>
    </xf>
    <xf numFmtId="3" fontId="32" fillId="0" borderId="13" xfId="2" applyNumberFormat="1" applyFont="1" applyBorder="1" applyAlignment="1">
      <alignment horizontal="right" vertical="center"/>
    </xf>
    <xf numFmtId="0" fontId="52" fillId="0" borderId="14" xfId="22" applyFont="1" applyBorder="1" applyAlignment="1">
      <alignment horizontal="right" vertical="center" wrapText="1"/>
    </xf>
    <xf numFmtId="3" fontId="32" fillId="0" borderId="13" xfId="2" applyNumberFormat="1" applyFont="1" applyBorder="1" applyAlignment="1">
      <alignment horizontal="right"/>
    </xf>
    <xf numFmtId="3" fontId="32" fillId="0" borderId="14" xfId="2" applyNumberFormat="1" applyFont="1" applyBorder="1" applyAlignment="1">
      <alignment horizontal="right"/>
    </xf>
    <xf numFmtId="3" fontId="50" fillId="0" borderId="15" xfId="2" applyNumberFormat="1" applyFont="1" applyBorder="1" applyAlignment="1">
      <alignment horizontal="right"/>
    </xf>
    <xf numFmtId="0" fontId="30" fillId="0" borderId="0" xfId="2" applyFont="1" applyAlignment="1">
      <alignment vertical="center"/>
    </xf>
    <xf numFmtId="0" fontId="32" fillId="0" borderId="16" xfId="21" applyFont="1" applyBorder="1" applyAlignment="1">
      <alignment horizontal="left" vertical="center"/>
    </xf>
    <xf numFmtId="3" fontId="50" fillId="0" borderId="18" xfId="2" applyNumberFormat="1" applyFont="1" applyBorder="1" applyAlignment="1">
      <alignment horizontal="right" vertical="center"/>
    </xf>
    <xf numFmtId="3" fontId="50" fillId="0" borderId="19" xfId="2" applyNumberFormat="1" applyFont="1" applyBorder="1" applyAlignment="1">
      <alignment horizontal="right" vertical="center"/>
    </xf>
    <xf numFmtId="3" fontId="32" fillId="0" borderId="17" xfId="2" applyNumberFormat="1" applyFont="1" applyBorder="1" applyAlignment="1">
      <alignment horizontal="right" vertical="center"/>
    </xf>
    <xf numFmtId="0" fontId="52" fillId="0" borderId="18" xfId="22" applyFont="1" applyBorder="1" applyAlignment="1">
      <alignment horizontal="right" vertical="center" wrapText="1"/>
    </xf>
    <xf numFmtId="3" fontId="32" fillId="0" borderId="17" xfId="2" applyNumberFormat="1" applyFont="1" applyBorder="1" applyAlignment="1">
      <alignment horizontal="right"/>
    </xf>
    <xf numFmtId="3" fontId="32" fillId="0" borderId="18" xfId="2" applyNumberFormat="1" applyFont="1" applyBorder="1" applyAlignment="1">
      <alignment horizontal="right"/>
    </xf>
    <xf numFmtId="3" fontId="50" fillId="0" borderId="19" xfId="2" applyNumberFormat="1" applyFont="1" applyBorder="1" applyAlignment="1">
      <alignment horizontal="right"/>
    </xf>
    <xf numFmtId="0" fontId="32" fillId="0" borderId="20" xfId="21" applyFont="1" applyBorder="1" applyAlignment="1">
      <alignment horizontal="left" vertical="center"/>
    </xf>
    <xf numFmtId="3" fontId="50" fillId="0" borderId="22" xfId="2" applyNumberFormat="1" applyFont="1" applyBorder="1" applyAlignment="1">
      <alignment horizontal="right" vertical="center"/>
    </xf>
    <xf numFmtId="3" fontId="50" fillId="0" borderId="23" xfId="2" applyNumberFormat="1" applyFont="1" applyBorder="1" applyAlignment="1">
      <alignment horizontal="right" vertical="center"/>
    </xf>
    <xf numFmtId="3" fontId="32" fillId="0" borderId="21" xfId="2" applyNumberFormat="1" applyFont="1" applyBorder="1" applyAlignment="1">
      <alignment horizontal="right" vertical="center"/>
    </xf>
    <xf numFmtId="0" fontId="52" fillId="0" borderId="22" xfId="22" applyFont="1" applyBorder="1" applyAlignment="1">
      <alignment horizontal="right" vertical="center" wrapText="1"/>
    </xf>
    <xf numFmtId="3" fontId="32" fillId="0" borderId="21" xfId="2" applyNumberFormat="1" applyFont="1" applyBorder="1" applyAlignment="1">
      <alignment horizontal="right"/>
    </xf>
    <xf numFmtId="3" fontId="32" fillId="0" borderId="22" xfId="2" applyNumberFormat="1" applyFont="1" applyBorder="1" applyAlignment="1">
      <alignment horizontal="right"/>
    </xf>
    <xf numFmtId="3" fontId="50" fillId="0" borderId="23" xfId="2" applyNumberFormat="1" applyFont="1" applyBorder="1" applyAlignment="1">
      <alignment horizontal="right"/>
    </xf>
    <xf numFmtId="0" fontId="50" fillId="3" borderId="61" xfId="21" applyFont="1" applyFill="1" applyBorder="1" applyAlignment="1">
      <alignment horizontal="center" vertical="center"/>
    </xf>
    <xf numFmtId="3" fontId="50" fillId="3" borderId="37" xfId="2" applyNumberFormat="1" applyFont="1" applyFill="1" applyBorder="1" applyAlignment="1">
      <alignment horizontal="right"/>
    </xf>
    <xf numFmtId="3" fontId="50" fillId="3" borderId="38" xfId="2" applyNumberFormat="1" applyFont="1" applyFill="1" applyBorder="1" applyAlignment="1">
      <alignment horizontal="right"/>
    </xf>
    <xf numFmtId="3" fontId="50" fillId="3" borderId="62" xfId="2" applyNumberFormat="1" applyFont="1" applyFill="1" applyBorder="1" applyAlignment="1">
      <alignment horizontal="right"/>
    </xf>
    <xf numFmtId="0" fontId="54" fillId="0" borderId="39" xfId="21" applyFont="1" applyBorder="1" applyAlignment="1">
      <alignment horizontal="center" vertical="center"/>
    </xf>
    <xf numFmtId="3" fontId="54" fillId="0" borderId="9" xfId="2" applyNumberFormat="1" applyFont="1" applyBorder="1" applyAlignment="1">
      <alignment horizontal="right"/>
    </xf>
    <xf numFmtId="3" fontId="54" fillId="0" borderId="4" xfId="2" applyNumberFormat="1" applyFont="1" applyBorder="1" applyAlignment="1">
      <alignment horizontal="right"/>
    </xf>
    <xf numFmtId="3" fontId="54" fillId="0" borderId="10" xfId="2" applyNumberFormat="1" applyFont="1" applyBorder="1" applyAlignment="1">
      <alignment horizontal="right"/>
    </xf>
    <xf numFmtId="3" fontId="54" fillId="2" borderId="9" xfId="2" applyNumberFormat="1" applyFont="1" applyFill="1" applyBorder="1" applyAlignment="1">
      <alignment horizontal="right"/>
    </xf>
    <xf numFmtId="3" fontId="54" fillId="2" borderId="4" xfId="2" applyNumberFormat="1" applyFont="1" applyFill="1" applyBorder="1" applyAlignment="1">
      <alignment horizontal="right"/>
    </xf>
    <xf numFmtId="3" fontId="54" fillId="2" borderId="10" xfId="2" applyNumberFormat="1" applyFont="1" applyFill="1" applyBorder="1" applyAlignment="1">
      <alignment horizontal="right"/>
    </xf>
    <xf numFmtId="3" fontId="32" fillId="0" borderId="12" xfId="2" applyNumberFormat="1" applyFont="1" applyBorder="1"/>
    <xf numFmtId="0" fontId="32" fillId="0" borderId="14" xfId="2" applyFont="1" applyBorder="1" applyAlignment="1">
      <alignment horizontal="right" vertical="center"/>
    </xf>
    <xf numFmtId="0" fontId="32" fillId="0" borderId="15" xfId="2" applyFont="1" applyBorder="1" applyAlignment="1">
      <alignment horizontal="right" vertical="center"/>
    </xf>
    <xf numFmtId="0" fontId="32" fillId="0" borderId="13" xfId="2" applyFont="1" applyBorder="1" applyAlignment="1">
      <alignment horizontal="right" vertical="center"/>
    </xf>
    <xf numFmtId="3" fontId="32" fillId="0" borderId="15" xfId="2" applyNumberFormat="1" applyFont="1" applyBorder="1" applyAlignment="1">
      <alignment horizontal="right"/>
    </xf>
    <xf numFmtId="3" fontId="32" fillId="0" borderId="40" xfId="2" applyNumberFormat="1" applyFont="1" applyBorder="1"/>
    <xf numFmtId="0" fontId="32" fillId="0" borderId="42" xfId="2" applyFont="1" applyBorder="1" applyAlignment="1">
      <alignment horizontal="right" vertical="center"/>
    </xf>
    <xf numFmtId="0" fontId="32" fillId="0" borderId="43" xfId="2" applyFont="1" applyBorder="1" applyAlignment="1">
      <alignment horizontal="right" vertical="center"/>
    </xf>
    <xf numFmtId="0" fontId="32" fillId="0" borderId="41" xfId="2" applyFont="1" applyBorder="1" applyAlignment="1">
      <alignment horizontal="right" vertical="center"/>
    </xf>
    <xf numFmtId="3" fontId="32" fillId="0" borderId="41" xfId="2" applyNumberFormat="1" applyFont="1" applyBorder="1" applyAlignment="1">
      <alignment horizontal="right"/>
    </xf>
    <xf numFmtId="3" fontId="32" fillId="0" borderId="42" xfId="2" applyNumberFormat="1" applyFont="1" applyBorder="1" applyAlignment="1">
      <alignment horizontal="right"/>
    </xf>
    <xf numFmtId="3" fontId="32" fillId="0" borderId="43" xfId="2" applyNumberFormat="1" applyFont="1" applyBorder="1" applyAlignment="1">
      <alignment horizontal="right"/>
    </xf>
    <xf numFmtId="3" fontId="50" fillId="0" borderId="43" xfId="2" applyNumberFormat="1" applyFont="1" applyBorder="1" applyAlignment="1">
      <alignment horizontal="right"/>
    </xf>
    <xf numFmtId="3" fontId="32" fillId="0" borderId="16" xfId="2" applyNumberFormat="1" applyFont="1" applyBorder="1"/>
    <xf numFmtId="0" fontId="32" fillId="0" borderId="18" xfId="2" applyFont="1" applyBorder="1" applyAlignment="1">
      <alignment horizontal="right" vertical="center"/>
    </xf>
    <xf numFmtId="0" fontId="32" fillId="0" borderId="19" xfId="2" applyFont="1" applyBorder="1" applyAlignment="1">
      <alignment horizontal="right" vertical="center"/>
    </xf>
    <xf numFmtId="0" fontId="32" fillId="0" borderId="17" xfId="2" applyFont="1" applyBorder="1" applyAlignment="1">
      <alignment horizontal="right" vertical="center"/>
    </xf>
    <xf numFmtId="3" fontId="32" fillId="0" borderId="19" xfId="2" applyNumberFormat="1" applyFont="1" applyBorder="1" applyAlignment="1">
      <alignment horizontal="right"/>
    </xf>
    <xf numFmtId="3" fontId="57" fillId="0" borderId="39" xfId="2" applyNumberFormat="1" applyFont="1" applyBorder="1" applyAlignment="1">
      <alignment horizontal="center" vertical="center"/>
    </xf>
    <xf numFmtId="3" fontId="57" fillId="0" borderId="9" xfId="2" applyNumberFormat="1" applyFont="1" applyBorder="1" applyAlignment="1">
      <alignment horizontal="right"/>
    </xf>
    <xf numFmtId="3" fontId="57" fillId="0" borderId="4" xfId="2" applyNumberFormat="1" applyFont="1" applyBorder="1" applyAlignment="1">
      <alignment horizontal="right"/>
    </xf>
    <xf numFmtId="3" fontId="57" fillId="0" borderId="10" xfId="2" applyNumberFormat="1" applyFont="1" applyBorder="1" applyAlignment="1">
      <alignment horizontal="right"/>
    </xf>
    <xf numFmtId="3" fontId="57" fillId="2" borderId="9" xfId="2" applyNumberFormat="1" applyFont="1" applyFill="1" applyBorder="1" applyAlignment="1">
      <alignment horizontal="right"/>
    </xf>
    <xf numFmtId="3" fontId="57" fillId="2" borderId="4" xfId="2" applyNumberFormat="1" applyFont="1" applyFill="1" applyBorder="1" applyAlignment="1">
      <alignment horizontal="right"/>
    </xf>
    <xf numFmtId="3" fontId="57" fillId="2" borderId="10" xfId="2" applyNumberFormat="1" applyFont="1" applyFill="1" applyBorder="1" applyAlignment="1">
      <alignment horizontal="right"/>
    </xf>
    <xf numFmtId="0" fontId="32" fillId="0" borderId="13" xfId="2" applyFont="1" applyBorder="1" applyAlignment="1">
      <alignment horizontal="right"/>
    </xf>
    <xf numFmtId="0" fontId="32" fillId="0" borderId="14" xfId="2" applyFont="1" applyBorder="1" applyAlignment="1">
      <alignment horizontal="right"/>
    </xf>
    <xf numFmtId="0" fontId="50" fillId="0" borderId="15" xfId="2" applyFont="1" applyBorder="1" applyAlignment="1">
      <alignment horizontal="right"/>
    </xf>
    <xf numFmtId="0" fontId="32" fillId="0" borderId="17" xfId="2" applyFont="1" applyBorder="1" applyAlignment="1">
      <alignment horizontal="right"/>
    </xf>
    <xf numFmtId="0" fontId="32" fillId="0" borderId="18" xfId="2" applyFont="1" applyBorder="1" applyAlignment="1">
      <alignment horizontal="right"/>
    </xf>
    <xf numFmtId="0" fontId="50" fillId="0" borderId="19" xfId="2" applyFont="1" applyBorder="1" applyAlignment="1">
      <alignment horizontal="right"/>
    </xf>
    <xf numFmtId="3" fontId="32" fillId="0" borderId="18" xfId="2" applyNumberFormat="1" applyFont="1" applyBorder="1" applyAlignment="1">
      <alignment horizontal="right" vertical="center"/>
    </xf>
    <xf numFmtId="3" fontId="55" fillId="0" borderId="39" xfId="2" applyNumberFormat="1" applyFont="1" applyBorder="1" applyAlignment="1">
      <alignment horizontal="center" vertical="center"/>
    </xf>
    <xf numFmtId="3" fontId="55" fillId="0" borderId="9" xfId="2" applyNumberFormat="1" applyFont="1" applyBorder="1" applyAlignment="1">
      <alignment horizontal="right"/>
    </xf>
    <xf numFmtId="3" fontId="55" fillId="0" borderId="4" xfId="2" applyNumberFormat="1" applyFont="1" applyBorder="1" applyAlignment="1">
      <alignment horizontal="right"/>
    </xf>
    <xf numFmtId="3" fontId="55" fillId="0" borderId="10" xfId="2" applyNumberFormat="1" applyFont="1" applyBorder="1" applyAlignment="1">
      <alignment horizontal="right"/>
    </xf>
    <xf numFmtId="3" fontId="55" fillId="2" borderId="9" xfId="2" applyNumberFormat="1" applyFont="1" applyFill="1" applyBorder="1" applyAlignment="1">
      <alignment horizontal="right"/>
    </xf>
    <xf numFmtId="3" fontId="55" fillId="2" borderId="4" xfId="2" applyNumberFormat="1" applyFont="1" applyFill="1" applyBorder="1" applyAlignment="1">
      <alignment horizontal="right"/>
    </xf>
    <xf numFmtId="3" fontId="55" fillId="2" borderId="10" xfId="2" applyNumberFormat="1" applyFont="1" applyFill="1" applyBorder="1" applyAlignment="1">
      <alignment horizontal="right"/>
    </xf>
    <xf numFmtId="3" fontId="55" fillId="0" borderId="6" xfId="2" applyNumberFormat="1" applyFont="1" applyBorder="1" applyAlignment="1">
      <alignment horizontal="right"/>
    </xf>
    <xf numFmtId="3" fontId="55" fillId="0" borderId="3" xfId="2" applyNumberFormat="1" applyFont="1" applyBorder="1" applyAlignment="1">
      <alignment horizontal="right"/>
    </xf>
    <xf numFmtId="3" fontId="55" fillId="0" borderId="7" xfId="2" applyNumberFormat="1" applyFont="1" applyBorder="1" applyAlignment="1">
      <alignment horizontal="right"/>
    </xf>
    <xf numFmtId="3" fontId="55" fillId="2" borderId="6" xfId="2" applyNumberFormat="1" applyFont="1" applyFill="1" applyBorder="1" applyAlignment="1">
      <alignment horizontal="right"/>
    </xf>
    <xf numFmtId="3" fontId="55" fillId="2" borderId="3" xfId="2" applyNumberFormat="1" applyFont="1" applyFill="1" applyBorder="1" applyAlignment="1">
      <alignment horizontal="right"/>
    </xf>
    <xf numFmtId="3" fontId="55" fillId="2" borderId="7" xfId="2" applyNumberFormat="1" applyFont="1" applyFill="1" applyBorder="1" applyAlignment="1">
      <alignment horizontal="right"/>
    </xf>
    <xf numFmtId="3" fontId="58" fillId="0" borderId="9" xfId="2" applyNumberFormat="1" applyFont="1" applyBorder="1" applyAlignment="1">
      <alignment horizontal="right"/>
    </xf>
    <xf numFmtId="3" fontId="58" fillId="0" borderId="4" xfId="2" applyNumberFormat="1" applyFont="1" applyBorder="1" applyAlignment="1">
      <alignment horizontal="right"/>
    </xf>
    <xf numFmtId="3" fontId="58" fillId="0" borderId="10" xfId="2" applyNumberFormat="1" applyFont="1" applyBorder="1" applyAlignment="1">
      <alignment horizontal="right"/>
    </xf>
    <xf numFmtId="3" fontId="56" fillId="0" borderId="39" xfId="2" applyNumberFormat="1" applyFont="1" applyBorder="1" applyAlignment="1">
      <alignment horizontal="center" vertical="center"/>
    </xf>
    <xf numFmtId="3" fontId="56" fillId="0" borderId="9" xfId="2" applyNumberFormat="1" applyFont="1" applyBorder="1" applyAlignment="1">
      <alignment horizontal="right"/>
    </xf>
    <xf numFmtId="3" fontId="56" fillId="0" borderId="4" xfId="2" applyNumberFormat="1" applyFont="1" applyBorder="1" applyAlignment="1">
      <alignment horizontal="right"/>
    </xf>
    <xf numFmtId="3" fontId="56" fillId="0" borderId="10" xfId="2" applyNumberFormat="1" applyFont="1" applyBorder="1" applyAlignment="1">
      <alignment horizontal="right"/>
    </xf>
    <xf numFmtId="3" fontId="56" fillId="2" borderId="9" xfId="2" applyNumberFormat="1" applyFont="1" applyFill="1" applyBorder="1" applyAlignment="1">
      <alignment horizontal="right"/>
    </xf>
    <xf numFmtId="3" fontId="56" fillId="2" borderId="4" xfId="2" applyNumberFormat="1" applyFont="1" applyFill="1" applyBorder="1" applyAlignment="1">
      <alignment horizontal="right"/>
    </xf>
    <xf numFmtId="3" fontId="56" fillId="2" borderId="10" xfId="2" applyNumberFormat="1" applyFont="1" applyFill="1" applyBorder="1" applyAlignment="1">
      <alignment horizontal="right"/>
    </xf>
    <xf numFmtId="0" fontId="30" fillId="0" borderId="0" xfId="2" applyFont="1" applyAlignment="1">
      <alignment horizontal="right" vertical="center"/>
    </xf>
    <xf numFmtId="0" fontId="50" fillId="3" borderId="9" xfId="2" applyFont="1" applyFill="1" applyBorder="1" applyAlignment="1">
      <alignment horizontal="center" vertical="center"/>
    </xf>
    <xf numFmtId="3" fontId="50" fillId="3" borderId="9" xfId="2" applyNumberFormat="1" applyFont="1" applyFill="1" applyBorder="1" applyAlignment="1">
      <alignment horizontal="right"/>
    </xf>
    <xf numFmtId="3" fontId="50" fillId="3" borderId="4" xfId="2" applyNumberFormat="1" applyFont="1" applyFill="1" applyBorder="1" applyAlignment="1">
      <alignment horizontal="right"/>
    </xf>
    <xf numFmtId="3" fontId="50" fillId="3" borderId="10" xfId="2" applyNumberFormat="1" applyFont="1" applyFill="1" applyBorder="1" applyAlignment="1">
      <alignment horizontal="right"/>
    </xf>
    <xf numFmtId="0" fontId="73" fillId="0" borderId="0" xfId="2" applyFont="1" applyAlignment="1">
      <alignment vertical="center"/>
    </xf>
    <xf numFmtId="0" fontId="44" fillId="0" borderId="0" xfId="2" applyFont="1" applyAlignment="1">
      <alignment vertical="center"/>
    </xf>
    <xf numFmtId="0" fontId="26" fillId="0" borderId="0" xfId="2" applyAlignment="1">
      <alignment vertical="center"/>
    </xf>
    <xf numFmtId="0" fontId="91" fillId="0" borderId="0" xfId="0" applyFont="1" applyAlignment="1">
      <alignment horizontal="right"/>
    </xf>
    <xf numFmtId="0" fontId="26" fillId="0" borderId="0" xfId="0" applyFont="1" applyAlignment="1">
      <alignment vertical="center"/>
    </xf>
    <xf numFmtId="0" fontId="84" fillId="0" borderId="0" xfId="2" applyFont="1" applyAlignment="1">
      <alignment vertical="center"/>
    </xf>
    <xf numFmtId="0" fontId="44" fillId="0" borderId="0" xfId="0" applyFont="1" applyAlignment="1">
      <alignment vertical="center" wrapText="1"/>
    </xf>
    <xf numFmtId="0" fontId="51" fillId="0" borderId="0" xfId="0" applyFont="1" applyAlignment="1">
      <alignment vertical="center"/>
    </xf>
    <xf numFmtId="0" fontId="92" fillId="0" borderId="0" xfId="0" applyFont="1" applyAlignment="1">
      <alignment vertical="center"/>
    </xf>
    <xf numFmtId="0" fontId="51" fillId="0" borderId="0" xfId="0" applyFont="1" applyAlignment="1">
      <alignment vertical="center" wrapText="1"/>
    </xf>
    <xf numFmtId="0" fontId="32" fillId="0" borderId="0" xfId="0" applyFont="1" applyAlignment="1">
      <alignment vertical="center"/>
    </xf>
    <xf numFmtId="3" fontId="32" fillId="0" borderId="45" xfId="0" applyNumberFormat="1" applyFont="1" applyBorder="1" applyAlignment="1">
      <alignment horizontal="right" vertical="center"/>
    </xf>
    <xf numFmtId="3" fontId="32" fillId="0" borderId="46" xfId="0" applyNumberFormat="1" applyFont="1" applyBorder="1" applyAlignment="1">
      <alignment horizontal="right" vertical="center"/>
    </xf>
    <xf numFmtId="3" fontId="32" fillId="0" borderId="47" xfId="0" applyNumberFormat="1" applyFont="1" applyBorder="1" applyAlignment="1">
      <alignment horizontal="right" vertical="center"/>
    </xf>
    <xf numFmtId="3" fontId="32" fillId="0" borderId="49" xfId="0" applyNumberFormat="1" applyFont="1" applyBorder="1" applyAlignment="1">
      <alignment horizontal="right" vertical="center"/>
    </xf>
    <xf numFmtId="3" fontId="32" fillId="0" borderId="50" xfId="0" applyNumberFormat="1" applyFont="1" applyBorder="1" applyAlignment="1">
      <alignment horizontal="right" vertical="center"/>
    </xf>
    <xf numFmtId="3" fontId="32" fillId="0" borderId="51" xfId="0" applyNumberFormat="1" applyFont="1" applyBorder="1" applyAlignment="1">
      <alignment horizontal="right" vertical="center"/>
    </xf>
    <xf numFmtId="3" fontId="54" fillId="3" borderId="57" xfId="0" applyNumberFormat="1" applyFont="1" applyFill="1" applyBorder="1" applyAlignment="1">
      <alignment horizontal="right" vertical="center"/>
    </xf>
    <xf numFmtId="3" fontId="54" fillId="3" borderId="58" xfId="0" applyNumberFormat="1" applyFont="1" applyFill="1" applyBorder="1" applyAlignment="1">
      <alignment horizontal="right" vertical="center"/>
    </xf>
    <xf numFmtId="3" fontId="54" fillId="3" borderId="59" xfId="0" applyNumberFormat="1" applyFont="1" applyFill="1" applyBorder="1" applyAlignment="1">
      <alignment horizontal="right" vertical="center"/>
    </xf>
    <xf numFmtId="0" fontId="44" fillId="0" borderId="0" xfId="0" applyFont="1" applyAlignment="1">
      <alignment horizontal="right" vertical="center"/>
    </xf>
    <xf numFmtId="3" fontId="50" fillId="0" borderId="6" xfId="0" applyNumberFormat="1" applyFont="1" applyBorder="1" applyAlignment="1">
      <alignment horizontal="right" vertical="center"/>
    </xf>
    <xf numFmtId="3" fontId="50" fillId="0" borderId="3" xfId="0" applyNumberFormat="1" applyFont="1" applyBorder="1" applyAlignment="1">
      <alignment horizontal="right" vertical="center"/>
    </xf>
    <xf numFmtId="3" fontId="50" fillId="0" borderId="7" xfId="0" applyNumberFormat="1" applyFont="1" applyBorder="1" applyAlignment="1">
      <alignment horizontal="right" vertical="center"/>
    </xf>
    <xf numFmtId="3" fontId="50" fillId="0" borderId="35" xfId="0" applyNumberFormat="1" applyFont="1" applyBorder="1" applyAlignment="1">
      <alignment horizontal="right" vertical="center"/>
    </xf>
    <xf numFmtId="3" fontId="50" fillId="0" borderId="0" xfId="0" applyNumberFormat="1" applyFont="1" applyAlignment="1">
      <alignment horizontal="right" vertical="center"/>
    </xf>
    <xf numFmtId="3" fontId="50" fillId="0" borderId="36" xfId="0" applyNumberFormat="1" applyFont="1" applyBorder="1" applyAlignment="1">
      <alignment horizontal="right" vertical="center"/>
    </xf>
    <xf numFmtId="3" fontId="57" fillId="0" borderId="60" xfId="0" applyNumberFormat="1" applyFont="1" applyBorder="1" applyAlignment="1">
      <alignment horizontal="right" vertical="center"/>
    </xf>
    <xf numFmtId="3" fontId="57" fillId="0" borderId="2" xfId="0" applyNumberFormat="1" applyFont="1" applyBorder="1" applyAlignment="1">
      <alignment horizontal="right" vertical="center"/>
    </xf>
    <xf numFmtId="3" fontId="57" fillId="0" borderId="11" xfId="0" applyNumberFormat="1" applyFont="1" applyBorder="1" applyAlignment="1">
      <alignment horizontal="right" vertical="center"/>
    </xf>
    <xf numFmtId="3" fontId="57" fillId="3" borderId="57" xfId="0" applyNumberFormat="1" applyFont="1" applyFill="1" applyBorder="1" applyAlignment="1">
      <alignment horizontal="right" vertical="center"/>
    </xf>
    <xf numFmtId="3" fontId="57" fillId="3" borderId="58" xfId="0" applyNumberFormat="1" applyFont="1" applyFill="1" applyBorder="1" applyAlignment="1">
      <alignment horizontal="right" vertical="center"/>
    </xf>
    <xf numFmtId="3" fontId="57" fillId="3" borderId="59" xfId="0" applyNumberFormat="1" applyFont="1" applyFill="1" applyBorder="1" applyAlignment="1">
      <alignment horizontal="right" vertical="center"/>
    </xf>
    <xf numFmtId="0" fontId="50" fillId="0" borderId="0" xfId="0" applyFont="1" applyAlignment="1">
      <alignment horizontal="right" vertical="center"/>
    </xf>
    <xf numFmtId="3" fontId="55" fillId="3" borderId="57" xfId="0" applyNumberFormat="1" applyFont="1" applyFill="1" applyBorder="1" applyAlignment="1">
      <alignment horizontal="right" vertical="center"/>
    </xf>
    <xf numFmtId="3" fontId="55" fillId="3" borderId="58" xfId="0" applyNumberFormat="1" applyFont="1" applyFill="1" applyBorder="1" applyAlignment="1">
      <alignment horizontal="right" vertical="center"/>
    </xf>
    <xf numFmtId="3" fontId="55" fillId="3" borderId="59" xfId="0" applyNumberFormat="1" applyFont="1" applyFill="1" applyBorder="1" applyAlignment="1">
      <alignment horizontal="right" vertical="center"/>
    </xf>
    <xf numFmtId="3" fontId="58" fillId="3" borderId="57" xfId="0" applyNumberFormat="1" applyFont="1" applyFill="1" applyBorder="1" applyAlignment="1">
      <alignment horizontal="right" vertical="center"/>
    </xf>
    <xf numFmtId="3" fontId="58" fillId="3" borderId="58" xfId="0" applyNumberFormat="1" applyFont="1" applyFill="1" applyBorder="1" applyAlignment="1">
      <alignment horizontal="right" vertical="center"/>
    </xf>
    <xf numFmtId="3" fontId="58" fillId="3" borderId="59" xfId="0" applyNumberFormat="1" applyFont="1" applyFill="1" applyBorder="1" applyAlignment="1">
      <alignment horizontal="right" vertical="center"/>
    </xf>
    <xf numFmtId="3" fontId="56" fillId="3" borderId="57" xfId="0" applyNumberFormat="1" applyFont="1" applyFill="1" applyBorder="1" applyAlignment="1">
      <alignment horizontal="right" vertical="center"/>
    </xf>
    <xf numFmtId="3" fontId="56" fillId="3" borderId="58" xfId="0" applyNumberFormat="1" applyFont="1" applyFill="1" applyBorder="1" applyAlignment="1">
      <alignment horizontal="right" vertical="center"/>
    </xf>
    <xf numFmtId="3" fontId="56" fillId="3" borderId="59" xfId="0" applyNumberFormat="1" applyFont="1" applyFill="1" applyBorder="1" applyAlignment="1">
      <alignment horizontal="right" vertical="center"/>
    </xf>
    <xf numFmtId="0" fontId="30" fillId="0" borderId="0" xfId="0" applyFont="1" applyAlignment="1">
      <alignment horizontal="right" vertical="center"/>
    </xf>
    <xf numFmtId="3" fontId="32" fillId="0" borderId="57" xfId="0" applyNumberFormat="1" applyFont="1" applyBorder="1" applyAlignment="1">
      <alignment horizontal="right" vertical="center"/>
    </xf>
    <xf numFmtId="3" fontId="32" fillId="0" borderId="58" xfId="0" applyNumberFormat="1" applyFont="1" applyBorder="1" applyAlignment="1">
      <alignment horizontal="right" vertical="center"/>
    </xf>
    <xf numFmtId="3" fontId="32" fillId="0" borderId="59" xfId="0" applyNumberFormat="1" applyFont="1" applyBorder="1" applyAlignment="1">
      <alignment horizontal="right" vertical="center"/>
    </xf>
    <xf numFmtId="3" fontId="50" fillId="3" borderId="57" xfId="0" applyNumberFormat="1" applyFont="1" applyFill="1" applyBorder="1" applyAlignment="1">
      <alignment horizontal="right" vertical="center"/>
    </xf>
    <xf numFmtId="3" fontId="50" fillId="3" borderId="58" xfId="0" applyNumberFormat="1" applyFont="1" applyFill="1" applyBorder="1" applyAlignment="1">
      <alignment horizontal="right" vertical="center"/>
    </xf>
    <xf numFmtId="3" fontId="50" fillId="3" borderId="59" xfId="0" applyNumberFormat="1" applyFont="1" applyFill="1" applyBorder="1" applyAlignment="1">
      <alignment horizontal="right" vertical="center"/>
    </xf>
    <xf numFmtId="0" fontId="80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3" fontId="0" fillId="0" borderId="0" xfId="0" applyNumberFormat="1" applyAlignment="1">
      <alignment vertical="center"/>
    </xf>
    <xf numFmtId="0" fontId="65" fillId="0" borderId="0" xfId="0" applyFont="1" applyAlignment="1">
      <alignment vertical="center"/>
    </xf>
    <xf numFmtId="0" fontId="23" fillId="0" borderId="0" xfId="8" applyFont="1"/>
    <xf numFmtId="3" fontId="32" fillId="0" borderId="46" xfId="8" applyNumberFormat="1" applyFont="1" applyBorder="1" applyAlignment="1">
      <alignment horizontal="right"/>
    </xf>
    <xf numFmtId="3" fontId="32" fillId="0" borderId="47" xfId="8" applyNumberFormat="1" applyFont="1" applyBorder="1" applyAlignment="1">
      <alignment horizontal="right"/>
    </xf>
    <xf numFmtId="3" fontId="32" fillId="0" borderId="45" xfId="8" applyNumberFormat="1" applyFont="1" applyBorder="1" applyAlignment="1">
      <alignment horizontal="right"/>
    </xf>
    <xf numFmtId="3" fontId="32" fillId="0" borderId="50" xfId="8" applyNumberFormat="1" applyFont="1" applyBorder="1" applyAlignment="1">
      <alignment horizontal="right"/>
    </xf>
    <xf numFmtId="3" fontId="32" fillId="0" borderId="51" xfId="8" applyNumberFormat="1" applyFont="1" applyBorder="1" applyAlignment="1">
      <alignment horizontal="right"/>
    </xf>
    <xf numFmtId="0" fontId="32" fillId="0" borderId="45" xfId="8" applyFont="1" applyBorder="1" applyAlignment="1">
      <alignment horizontal="right"/>
    </xf>
    <xf numFmtId="0" fontId="32" fillId="0" borderId="46" xfId="8" applyFont="1" applyBorder="1" applyAlignment="1">
      <alignment horizontal="right"/>
    </xf>
    <xf numFmtId="0" fontId="32" fillId="0" borderId="50" xfId="8" applyFont="1" applyBorder="1" applyAlignment="1">
      <alignment horizontal="right"/>
    </xf>
    <xf numFmtId="3" fontId="32" fillId="0" borderId="49" xfId="8" applyNumberFormat="1" applyFont="1" applyBorder="1" applyAlignment="1">
      <alignment horizontal="right"/>
    </xf>
    <xf numFmtId="0" fontId="23" fillId="0" borderId="0" xfId="8" applyAlignment="1">
      <alignment horizontal="right" vertical="center"/>
    </xf>
    <xf numFmtId="0" fontId="30" fillId="0" borderId="0" xfId="8" applyFont="1" applyAlignment="1">
      <alignment horizontal="right" vertical="center"/>
    </xf>
    <xf numFmtId="3" fontId="50" fillId="3" borderId="57" xfId="8" applyNumberFormat="1" applyFont="1" applyFill="1" applyBorder="1" applyAlignment="1">
      <alignment horizontal="right" vertical="center"/>
    </xf>
    <xf numFmtId="3" fontId="50" fillId="3" borderId="58" xfId="8" applyNumberFormat="1" applyFont="1" applyFill="1" applyBorder="1" applyAlignment="1">
      <alignment horizontal="right" vertical="center"/>
    </xf>
    <xf numFmtId="0" fontId="93" fillId="0" borderId="0" xfId="8" applyFont="1"/>
    <xf numFmtId="0" fontId="94" fillId="0" borderId="0" xfId="8" applyFont="1"/>
    <xf numFmtId="0" fontId="51" fillId="0" borderId="0" xfId="19" applyFont="1"/>
    <xf numFmtId="0" fontId="44" fillId="0" borderId="0" xfId="19" applyFont="1" applyAlignment="1">
      <alignment vertical="center" wrapText="1"/>
    </xf>
    <xf numFmtId="0" fontId="95" fillId="0" borderId="0" xfId="19" applyFont="1" applyAlignment="1">
      <alignment horizontal="center"/>
    </xf>
    <xf numFmtId="0" fontId="26" fillId="0" borderId="0" xfId="19"/>
    <xf numFmtId="0" fontId="84" fillId="0" borderId="0" xfId="3" applyFont="1" applyAlignment="1">
      <alignment horizontal="center" vertical="center"/>
    </xf>
    <xf numFmtId="0" fontId="50" fillId="3" borderId="39" xfId="19" applyFont="1" applyFill="1" applyBorder="1" applyAlignment="1">
      <alignment horizontal="center" vertical="center" wrapText="1"/>
    </xf>
    <xf numFmtId="0" fontId="51" fillId="0" borderId="0" xfId="19" applyFont="1" applyAlignment="1">
      <alignment wrapText="1"/>
    </xf>
    <xf numFmtId="3" fontId="52" fillId="0" borderId="12" xfId="6" applyNumberFormat="1" applyFont="1" applyBorder="1" applyAlignment="1">
      <alignment horizontal="right" vertical="center"/>
    </xf>
    <xf numFmtId="3" fontId="32" fillId="0" borderId="12" xfId="19" applyNumberFormat="1" applyFont="1" applyBorder="1" applyAlignment="1">
      <alignment horizontal="right" vertical="center"/>
    </xf>
    <xf numFmtId="3" fontId="32" fillId="0" borderId="13" xfId="19" applyNumberFormat="1" applyFont="1" applyBorder="1" applyAlignment="1">
      <alignment horizontal="right" vertical="center"/>
    </xf>
    <xf numFmtId="3" fontId="32" fillId="0" borderId="14" xfId="19" applyNumberFormat="1" applyFont="1" applyBorder="1" applyAlignment="1">
      <alignment horizontal="right" vertical="center"/>
    </xf>
    <xf numFmtId="3" fontId="32" fillId="0" borderId="15" xfId="19" applyNumberFormat="1" applyFont="1" applyBorder="1" applyAlignment="1">
      <alignment horizontal="right" vertical="center"/>
    </xf>
    <xf numFmtId="0" fontId="30" fillId="0" borderId="0" xfId="19" applyFont="1" applyAlignment="1">
      <alignment vertical="center"/>
    </xf>
    <xf numFmtId="3" fontId="52" fillId="0" borderId="16" xfId="6" applyNumberFormat="1" applyFont="1" applyBorder="1" applyAlignment="1">
      <alignment horizontal="right" vertical="center"/>
    </xf>
    <xf numFmtId="3" fontId="32" fillId="0" borderId="16" xfId="19" applyNumberFormat="1" applyFont="1" applyBorder="1" applyAlignment="1">
      <alignment horizontal="right" vertical="center"/>
    </xf>
    <xf numFmtId="3" fontId="32" fillId="0" borderId="17" xfId="19" applyNumberFormat="1" applyFont="1" applyBorder="1" applyAlignment="1">
      <alignment horizontal="right" vertical="center"/>
    </xf>
    <xf numFmtId="3" fontId="32" fillId="0" borderId="18" xfId="19" applyNumberFormat="1" applyFont="1" applyBorder="1" applyAlignment="1">
      <alignment horizontal="right" vertical="center"/>
    </xf>
    <xf numFmtId="3" fontId="32" fillId="0" borderId="19" xfId="19" applyNumberFormat="1" applyFont="1" applyBorder="1" applyAlignment="1">
      <alignment horizontal="right" vertical="center"/>
    </xf>
    <xf numFmtId="0" fontId="50" fillId="3" borderId="16" xfId="5" applyFont="1" applyFill="1" applyBorder="1" applyAlignment="1">
      <alignment horizontal="center" vertical="center"/>
    </xf>
    <xf numFmtId="3" fontId="50" fillId="3" borderId="17" xfId="19" applyNumberFormat="1" applyFont="1" applyFill="1" applyBorder="1" applyAlignment="1">
      <alignment horizontal="right" vertical="center"/>
    </xf>
    <xf numFmtId="3" fontId="50" fillId="3" borderId="16" xfId="19" applyNumberFormat="1" applyFont="1" applyFill="1" applyBorder="1" applyAlignment="1">
      <alignment horizontal="right" vertical="center"/>
    </xf>
    <xf numFmtId="3" fontId="50" fillId="3" borderId="18" xfId="19" applyNumberFormat="1" applyFont="1" applyFill="1" applyBorder="1" applyAlignment="1">
      <alignment horizontal="right" vertical="center"/>
    </xf>
    <xf numFmtId="3" fontId="50" fillId="3" borderId="19" xfId="19" applyNumberFormat="1" applyFont="1" applyFill="1" applyBorder="1" applyAlignment="1">
      <alignment horizontal="right" vertical="center"/>
    </xf>
    <xf numFmtId="3" fontId="50" fillId="3" borderId="37" xfId="19" applyNumberFormat="1" applyFont="1" applyFill="1" applyBorder="1" applyAlignment="1">
      <alignment horizontal="right" vertical="center"/>
    </xf>
    <xf numFmtId="3" fontId="50" fillId="3" borderId="61" xfId="19" applyNumberFormat="1" applyFont="1" applyFill="1" applyBorder="1" applyAlignment="1">
      <alignment horizontal="right" vertical="center"/>
    </xf>
    <xf numFmtId="3" fontId="50" fillId="3" borderId="38" xfId="19" applyNumberFormat="1" applyFont="1" applyFill="1" applyBorder="1" applyAlignment="1">
      <alignment horizontal="right" vertical="center"/>
    </xf>
    <xf numFmtId="3" fontId="50" fillId="3" borderId="62" xfId="19" applyNumberFormat="1" applyFont="1" applyFill="1" applyBorder="1" applyAlignment="1">
      <alignment horizontal="right" vertical="center"/>
    </xf>
    <xf numFmtId="0" fontId="54" fillId="0" borderId="8" xfId="5" applyFont="1" applyBorder="1" applyAlignment="1">
      <alignment horizontal="center" vertical="center"/>
    </xf>
    <xf numFmtId="3" fontId="54" fillId="0" borderId="60" xfId="19" applyNumberFormat="1" applyFont="1" applyBorder="1" applyAlignment="1">
      <alignment horizontal="right" vertical="center"/>
    </xf>
    <xf numFmtId="3" fontId="54" fillId="0" borderId="8" xfId="19" applyNumberFormat="1" applyFont="1" applyBorder="1" applyAlignment="1">
      <alignment horizontal="right" vertical="center"/>
    </xf>
    <xf numFmtId="3" fontId="54" fillId="0" borderId="2" xfId="19" applyNumberFormat="1" applyFont="1" applyBorder="1" applyAlignment="1">
      <alignment horizontal="right" vertical="center"/>
    </xf>
    <xf numFmtId="3" fontId="54" fillId="0" borderId="11" xfId="19" applyNumberFormat="1" applyFont="1" applyBorder="1" applyAlignment="1">
      <alignment horizontal="right" vertical="center"/>
    </xf>
    <xf numFmtId="3" fontId="32" fillId="0" borderId="40" xfId="0" applyNumberFormat="1" applyFont="1" applyBorder="1"/>
    <xf numFmtId="3" fontId="32" fillId="0" borderId="40" xfId="19" applyNumberFormat="1" applyFont="1" applyBorder="1" applyAlignment="1">
      <alignment horizontal="right" vertical="center"/>
    </xf>
    <xf numFmtId="3" fontId="32" fillId="0" borderId="41" xfId="19" applyNumberFormat="1" applyFont="1" applyBorder="1" applyAlignment="1">
      <alignment horizontal="right" vertical="center"/>
    </xf>
    <xf numFmtId="3" fontId="32" fillId="0" borderId="42" xfId="19" applyNumberFormat="1" applyFont="1" applyBorder="1" applyAlignment="1">
      <alignment horizontal="right" vertical="center"/>
    </xf>
    <xf numFmtId="3" fontId="32" fillId="0" borderId="43" xfId="19" applyNumberFormat="1" applyFont="1" applyBorder="1" applyAlignment="1">
      <alignment horizontal="right" vertical="center"/>
    </xf>
    <xf numFmtId="0" fontId="32" fillId="0" borderId="43" xfId="19" applyFont="1" applyBorder="1" applyAlignment="1">
      <alignment horizontal="right" vertical="center"/>
    </xf>
    <xf numFmtId="3" fontId="32" fillId="0" borderId="16" xfId="0" applyNumberFormat="1" applyFont="1" applyBorder="1"/>
    <xf numFmtId="0" fontId="32" fillId="0" borderId="16" xfId="19" applyFont="1" applyBorder="1" applyAlignment="1">
      <alignment horizontal="right" vertical="center"/>
    </xf>
    <xf numFmtId="0" fontId="32" fillId="0" borderId="19" xfId="19" applyFont="1" applyBorder="1" applyAlignment="1">
      <alignment horizontal="right" vertical="center"/>
    </xf>
    <xf numFmtId="0" fontId="50" fillId="3" borderId="16" xfId="19" applyFont="1" applyFill="1" applyBorder="1" applyAlignment="1">
      <alignment horizontal="right" vertical="center"/>
    </xf>
    <xf numFmtId="0" fontId="50" fillId="3" borderId="19" xfId="19" applyFont="1" applyFill="1" applyBorder="1" applyAlignment="1">
      <alignment horizontal="right" vertical="center"/>
    </xf>
    <xf numFmtId="0" fontId="57" fillId="0" borderId="8" xfId="5" applyFont="1" applyBorder="1" applyAlignment="1">
      <alignment horizontal="center" vertical="center"/>
    </xf>
    <xf numFmtId="3" fontId="57" fillId="0" borderId="60" xfId="19" applyNumberFormat="1" applyFont="1" applyBorder="1" applyAlignment="1">
      <alignment horizontal="right" vertical="center"/>
    </xf>
    <xf numFmtId="3" fontId="57" fillId="0" borderId="8" xfId="19" applyNumberFormat="1" applyFont="1" applyBorder="1" applyAlignment="1">
      <alignment horizontal="right" vertical="center"/>
    </xf>
    <xf numFmtId="3" fontId="57" fillId="0" borderId="2" xfId="19" applyNumberFormat="1" applyFont="1" applyBorder="1" applyAlignment="1">
      <alignment horizontal="right" vertical="center"/>
    </xf>
    <xf numFmtId="3" fontId="57" fillId="0" borderId="11" xfId="19" applyNumberFormat="1" applyFont="1" applyBorder="1" applyAlignment="1">
      <alignment horizontal="right" vertical="center"/>
    </xf>
    <xf numFmtId="3" fontId="52" fillId="0" borderId="40" xfId="6" applyNumberFormat="1" applyFont="1" applyBorder="1" applyAlignment="1">
      <alignment horizontal="right" vertical="center"/>
    </xf>
    <xf numFmtId="0" fontId="91" fillId="0" borderId="16" xfId="5" applyFont="1" applyBorder="1" applyAlignment="1">
      <alignment horizontal="left" vertical="center"/>
    </xf>
    <xf numFmtId="0" fontId="55" fillId="0" borderId="8" xfId="5" applyFont="1" applyBorder="1" applyAlignment="1">
      <alignment horizontal="center" vertical="center"/>
    </xf>
    <xf numFmtId="3" fontId="55" fillId="0" borderId="60" xfId="19" applyNumberFormat="1" applyFont="1" applyBorder="1" applyAlignment="1">
      <alignment horizontal="right" vertical="center"/>
    </xf>
    <xf numFmtId="3" fontId="55" fillId="0" borderId="8" xfId="19" applyNumberFormat="1" applyFont="1" applyBorder="1" applyAlignment="1">
      <alignment horizontal="right" vertical="center"/>
    </xf>
    <xf numFmtId="3" fontId="55" fillId="0" borderId="2" xfId="19" applyNumberFormat="1" applyFont="1" applyBorder="1" applyAlignment="1">
      <alignment horizontal="right" vertical="center"/>
    </xf>
    <xf numFmtId="3" fontId="55" fillId="0" borderId="11" xfId="19" applyNumberFormat="1" applyFont="1" applyBorder="1" applyAlignment="1">
      <alignment horizontal="right" vertical="center"/>
    </xf>
    <xf numFmtId="0" fontId="32" fillId="0" borderId="21" xfId="21" applyFont="1" applyBorder="1" applyAlignment="1">
      <alignment horizontal="right" vertical="center"/>
    </xf>
    <xf numFmtId="0" fontId="50" fillId="3" borderId="61" xfId="21" applyFont="1" applyFill="1" applyBorder="1" applyAlignment="1">
      <alignment horizontal="right" vertical="center"/>
    </xf>
    <xf numFmtId="0" fontId="32" fillId="0" borderId="17" xfId="21" applyFont="1" applyBorder="1" applyAlignment="1">
      <alignment horizontal="right" vertical="center"/>
    </xf>
    <xf numFmtId="0" fontId="32" fillId="0" borderId="16" xfId="21" applyFont="1" applyBorder="1" applyAlignment="1">
      <alignment horizontal="right" vertical="center"/>
    </xf>
    <xf numFmtId="0" fontId="32" fillId="0" borderId="20" xfId="21" applyFont="1" applyBorder="1" applyAlignment="1">
      <alignment horizontal="right" vertical="center"/>
    </xf>
    <xf numFmtId="0" fontId="58" fillId="0" borderId="10" xfId="5" applyFont="1" applyBorder="1" applyAlignment="1">
      <alignment horizontal="right" vertical="center"/>
    </xf>
    <xf numFmtId="0" fontId="58" fillId="0" borderId="61" xfId="21" applyFont="1" applyBorder="1" applyAlignment="1">
      <alignment horizontal="right" vertical="center"/>
    </xf>
    <xf numFmtId="3" fontId="56" fillId="0" borderId="9" xfId="19" applyNumberFormat="1" applyFont="1" applyBorder="1" applyAlignment="1">
      <alignment horizontal="right" vertical="center"/>
    </xf>
    <xf numFmtId="3" fontId="56" fillId="0" borderId="39" xfId="19" applyNumberFormat="1" applyFont="1" applyBorder="1" applyAlignment="1">
      <alignment horizontal="right" vertical="center"/>
    </xf>
    <xf numFmtId="3" fontId="56" fillId="0" borderId="4" xfId="19" applyNumberFormat="1" applyFont="1" applyBorder="1" applyAlignment="1">
      <alignment horizontal="right" vertical="center"/>
    </xf>
    <xf numFmtId="3" fontId="56" fillId="0" borderId="10" xfId="19" applyNumberFormat="1" applyFont="1" applyBorder="1" applyAlignment="1">
      <alignment horizontal="right" vertical="center"/>
    </xf>
    <xf numFmtId="0" fontId="32" fillId="0" borderId="0" xfId="5" applyFont="1" applyAlignment="1">
      <alignment horizontal="left" vertical="center"/>
    </xf>
    <xf numFmtId="3" fontId="32" fillId="0" borderId="0" xfId="19" applyNumberFormat="1" applyFont="1" applyAlignment="1">
      <alignment horizontal="right" vertical="center"/>
    </xf>
    <xf numFmtId="0" fontId="32" fillId="0" borderId="0" xfId="19" applyFont="1" applyAlignment="1">
      <alignment horizontal="right" vertical="center"/>
    </xf>
    <xf numFmtId="0" fontId="50" fillId="3" borderId="9" xfId="19" applyFont="1" applyFill="1" applyBorder="1" applyAlignment="1">
      <alignment horizontal="center" vertical="center"/>
    </xf>
    <xf numFmtId="3" fontId="53" fillId="3" borderId="39" xfId="6" applyNumberFormat="1" applyFont="1" applyFill="1" applyBorder="1" applyAlignment="1">
      <alignment horizontal="right" vertical="center"/>
    </xf>
    <xf numFmtId="3" fontId="53" fillId="3" borderId="9" xfId="6" applyNumberFormat="1" applyFont="1" applyFill="1" applyBorder="1" applyAlignment="1">
      <alignment horizontal="right" vertical="center"/>
    </xf>
    <xf numFmtId="3" fontId="53" fillId="3" borderId="4" xfId="6" applyNumberFormat="1" applyFont="1" applyFill="1" applyBorder="1" applyAlignment="1">
      <alignment horizontal="right" vertical="center"/>
    </xf>
    <xf numFmtId="3" fontId="53" fillId="3" borderId="10" xfId="6" applyNumberFormat="1" applyFont="1" applyFill="1" applyBorder="1" applyAlignment="1">
      <alignment horizontal="right" vertical="center"/>
    </xf>
    <xf numFmtId="0" fontId="44" fillId="0" borderId="0" xfId="19" applyFont="1"/>
    <xf numFmtId="0" fontId="30" fillId="0" borderId="0" xfId="19" applyFont="1"/>
    <xf numFmtId="0" fontId="32" fillId="0" borderId="0" xfId="19" applyFont="1"/>
    <xf numFmtId="3" fontId="32" fillId="0" borderId="0" xfId="19" applyNumberFormat="1" applyFont="1"/>
    <xf numFmtId="0" fontId="93" fillId="0" borderId="0" xfId="8" applyFont="1" applyAlignment="1">
      <alignment horizontal="right"/>
    </xf>
    <xf numFmtId="0" fontId="32" fillId="0" borderId="0" xfId="19" applyFont="1" applyAlignment="1">
      <alignment vertical="center"/>
    </xf>
    <xf numFmtId="3" fontId="26" fillId="0" borderId="0" xfId="19" applyNumberFormat="1"/>
    <xf numFmtId="0" fontId="51" fillId="0" borderId="0" xfId="19" applyFont="1" applyAlignment="1">
      <alignment vertical="center" wrapText="1"/>
    </xf>
    <xf numFmtId="0" fontId="70" fillId="0" borderId="2" xfId="19" applyFont="1" applyBorder="1" applyAlignment="1">
      <alignment vertical="center"/>
    </xf>
    <xf numFmtId="0" fontId="32" fillId="0" borderId="5" xfId="19" applyFont="1" applyBorder="1" applyAlignment="1">
      <alignment horizontal="center" vertical="center"/>
    </xf>
    <xf numFmtId="3" fontId="32" fillId="0" borderId="5" xfId="19" applyNumberFormat="1" applyFont="1" applyBorder="1" applyAlignment="1">
      <alignment horizontal="right" vertical="center"/>
    </xf>
    <xf numFmtId="3" fontId="32" fillId="0" borderId="6" xfId="19" applyNumberFormat="1" applyFont="1" applyBorder="1" applyAlignment="1">
      <alignment horizontal="right" vertical="center"/>
    </xf>
    <xf numFmtId="3" fontId="32" fillId="0" borderId="3" xfId="19" applyNumberFormat="1" applyFont="1" applyBorder="1" applyAlignment="1">
      <alignment horizontal="right" vertical="center"/>
    </xf>
    <xf numFmtId="3" fontId="32" fillId="0" borderId="7" xfId="19" applyNumberFormat="1" applyFont="1" applyBorder="1" applyAlignment="1">
      <alignment horizontal="right" vertical="center"/>
    </xf>
    <xf numFmtId="0" fontId="32" fillId="0" borderId="34" xfId="19" applyFont="1" applyBorder="1" applyAlignment="1">
      <alignment horizontal="center" vertical="center"/>
    </xf>
    <xf numFmtId="3" fontId="32" fillId="0" borderId="34" xfId="19" applyNumberFormat="1" applyFont="1" applyBorder="1" applyAlignment="1">
      <alignment horizontal="right" vertical="center"/>
    </xf>
    <xf numFmtId="3" fontId="32" fillId="0" borderId="35" xfId="19" applyNumberFormat="1" applyFont="1" applyBorder="1" applyAlignment="1">
      <alignment horizontal="right" vertical="center"/>
    </xf>
    <xf numFmtId="3" fontId="32" fillId="0" borderId="36" xfId="19" applyNumberFormat="1" applyFont="1" applyBorder="1" applyAlignment="1">
      <alignment horizontal="right" vertical="center"/>
    </xf>
    <xf numFmtId="3" fontId="54" fillId="3" borderId="8" xfId="19" applyNumberFormat="1" applyFont="1" applyFill="1" applyBorder="1" applyAlignment="1">
      <alignment horizontal="right" vertical="center"/>
    </xf>
    <xf numFmtId="3" fontId="54" fillId="3" borderId="60" xfId="19" applyNumberFormat="1" applyFont="1" applyFill="1" applyBorder="1" applyAlignment="1">
      <alignment horizontal="right" vertical="center"/>
    </xf>
    <xf numFmtId="3" fontId="54" fillId="3" borderId="2" xfId="19" applyNumberFormat="1" applyFont="1" applyFill="1" applyBorder="1" applyAlignment="1">
      <alignment horizontal="right" vertical="center"/>
    </xf>
    <xf numFmtId="3" fontId="54" fillId="3" borderId="11" xfId="19" applyNumberFormat="1" applyFont="1" applyFill="1" applyBorder="1" applyAlignment="1">
      <alignment horizontal="right" vertical="center"/>
    </xf>
    <xf numFmtId="0" fontId="0" fillId="0" borderId="0" xfId="0" applyAlignment="1">
      <alignment horizontal="right" vertical="center"/>
    </xf>
    <xf numFmtId="3" fontId="57" fillId="3" borderId="8" xfId="19" applyNumberFormat="1" applyFont="1" applyFill="1" applyBorder="1" applyAlignment="1">
      <alignment horizontal="right" vertical="center"/>
    </xf>
    <xf numFmtId="3" fontId="57" fillId="3" borderId="60" xfId="19" applyNumberFormat="1" applyFont="1" applyFill="1" applyBorder="1" applyAlignment="1">
      <alignment horizontal="right" vertical="center"/>
    </xf>
    <xf numFmtId="3" fontId="57" fillId="3" borderId="2" xfId="19" applyNumberFormat="1" applyFont="1" applyFill="1" applyBorder="1" applyAlignment="1">
      <alignment horizontal="right" vertical="center"/>
    </xf>
    <xf numFmtId="3" fontId="57" fillId="3" borderId="11" xfId="19" applyNumberFormat="1" applyFont="1" applyFill="1" applyBorder="1" applyAlignment="1">
      <alignment horizontal="right" vertical="center"/>
    </xf>
    <xf numFmtId="0" fontId="41" fillId="0" borderId="0" xfId="0" applyFont="1" applyAlignment="1">
      <alignment horizontal="right" vertical="center"/>
    </xf>
    <xf numFmtId="3" fontId="55" fillId="3" borderId="8" xfId="19" applyNumberFormat="1" applyFont="1" applyFill="1" applyBorder="1" applyAlignment="1">
      <alignment horizontal="right" vertical="center"/>
    </xf>
    <xf numFmtId="3" fontId="55" fillId="3" borderId="60" xfId="19" applyNumberFormat="1" applyFont="1" applyFill="1" applyBorder="1" applyAlignment="1">
      <alignment horizontal="right" vertical="center"/>
    </xf>
    <xf numFmtId="3" fontId="55" fillId="3" borderId="2" xfId="19" applyNumberFormat="1" applyFont="1" applyFill="1" applyBorder="1" applyAlignment="1">
      <alignment horizontal="right" vertical="center"/>
    </xf>
    <xf numFmtId="3" fontId="55" fillId="3" borderId="11" xfId="19" applyNumberFormat="1" applyFont="1" applyFill="1" applyBorder="1" applyAlignment="1">
      <alignment horizontal="right" vertical="center"/>
    </xf>
    <xf numFmtId="3" fontId="58" fillId="3" borderId="8" xfId="19" applyNumberFormat="1" applyFont="1" applyFill="1" applyBorder="1" applyAlignment="1">
      <alignment horizontal="right" vertical="center"/>
    </xf>
    <xf numFmtId="3" fontId="58" fillId="3" borderId="60" xfId="19" applyNumberFormat="1" applyFont="1" applyFill="1" applyBorder="1" applyAlignment="1">
      <alignment horizontal="right" vertical="center"/>
    </xf>
    <xf numFmtId="3" fontId="58" fillId="3" borderId="2" xfId="19" applyNumberFormat="1" applyFont="1" applyFill="1" applyBorder="1" applyAlignment="1">
      <alignment horizontal="right" vertical="center"/>
    </xf>
    <xf numFmtId="3" fontId="58" fillId="3" borderId="11" xfId="19" applyNumberFormat="1" applyFont="1" applyFill="1" applyBorder="1" applyAlignment="1">
      <alignment horizontal="right" vertical="center"/>
    </xf>
    <xf numFmtId="3" fontId="56" fillId="3" borderId="8" xfId="19" applyNumberFormat="1" applyFont="1" applyFill="1" applyBorder="1" applyAlignment="1">
      <alignment horizontal="right" vertical="center"/>
    </xf>
    <xf numFmtId="3" fontId="56" fillId="3" borderId="60" xfId="19" applyNumberFormat="1" applyFont="1" applyFill="1" applyBorder="1" applyAlignment="1">
      <alignment horizontal="right" vertical="center"/>
    </xf>
    <xf numFmtId="3" fontId="56" fillId="3" borderId="2" xfId="19" applyNumberFormat="1" applyFont="1" applyFill="1" applyBorder="1" applyAlignment="1">
      <alignment horizontal="right" vertical="center"/>
    </xf>
    <xf numFmtId="3" fontId="56" fillId="3" borderId="11" xfId="19" applyNumberFormat="1" applyFont="1" applyFill="1" applyBorder="1" applyAlignment="1">
      <alignment horizontal="right" vertical="center"/>
    </xf>
    <xf numFmtId="3" fontId="32" fillId="0" borderId="5" xfId="0" applyNumberFormat="1" applyFont="1" applyBorder="1" applyAlignment="1">
      <alignment horizontal="right" vertical="center"/>
    </xf>
    <xf numFmtId="3" fontId="32" fillId="0" borderId="6" xfId="0" applyNumberFormat="1" applyFont="1" applyBorder="1" applyAlignment="1">
      <alignment horizontal="right" vertical="center"/>
    </xf>
    <xf numFmtId="3" fontId="32" fillId="0" borderId="3" xfId="0" applyNumberFormat="1" applyFont="1" applyBorder="1" applyAlignment="1">
      <alignment horizontal="right" vertical="center"/>
    </xf>
    <xf numFmtId="3" fontId="32" fillId="0" borderId="7" xfId="0" applyNumberFormat="1" applyFont="1" applyBorder="1" applyAlignment="1">
      <alignment horizontal="right" vertical="center"/>
    </xf>
    <xf numFmtId="3" fontId="32" fillId="0" borderId="34" xfId="0" applyNumberFormat="1" applyFont="1" applyBorder="1" applyAlignment="1">
      <alignment horizontal="right" vertical="center"/>
    </xf>
    <xf numFmtId="3" fontId="32" fillId="0" borderId="35" xfId="0" applyNumberFormat="1" applyFont="1" applyBorder="1" applyAlignment="1">
      <alignment horizontal="right" vertical="center"/>
    </xf>
    <xf numFmtId="3" fontId="32" fillId="0" borderId="0" xfId="0" applyNumberFormat="1" applyFont="1" applyAlignment="1">
      <alignment horizontal="right" vertical="center"/>
    </xf>
    <xf numFmtId="3" fontId="32" fillId="0" borderId="36" xfId="0" applyNumberFormat="1" applyFont="1" applyBorder="1" applyAlignment="1">
      <alignment horizontal="right" vertical="center"/>
    </xf>
    <xf numFmtId="0" fontId="41" fillId="0" borderId="8" xfId="0" applyFont="1" applyBorder="1" applyAlignment="1">
      <alignment horizontal="right" vertical="center"/>
    </xf>
    <xf numFmtId="0" fontId="41" fillId="0" borderId="60" xfId="0" applyFont="1" applyBorder="1" applyAlignment="1">
      <alignment horizontal="right" vertical="center"/>
    </xf>
    <xf numFmtId="0" fontId="41" fillId="0" borderId="2" xfId="0" applyFont="1" applyBorder="1" applyAlignment="1">
      <alignment horizontal="right" vertical="center"/>
    </xf>
    <xf numFmtId="0" fontId="41" fillId="0" borderId="11" xfId="0" applyFont="1" applyBorder="1" applyAlignment="1">
      <alignment horizontal="right" vertical="center"/>
    </xf>
    <xf numFmtId="3" fontId="50" fillId="3" borderId="8" xfId="19" applyNumberFormat="1" applyFont="1" applyFill="1" applyBorder="1" applyAlignment="1">
      <alignment horizontal="right" vertical="center"/>
    </xf>
    <xf numFmtId="3" fontId="50" fillId="3" borderId="60" xfId="19" applyNumberFormat="1" applyFont="1" applyFill="1" applyBorder="1" applyAlignment="1">
      <alignment horizontal="right" vertical="center"/>
    </xf>
    <xf numFmtId="3" fontId="50" fillId="3" borderId="2" xfId="19" applyNumberFormat="1" applyFont="1" applyFill="1" applyBorder="1" applyAlignment="1">
      <alignment horizontal="right" vertical="center"/>
    </xf>
    <xf numFmtId="3" fontId="50" fillId="3" borderId="11" xfId="19" applyNumberFormat="1" applyFont="1" applyFill="1" applyBorder="1" applyAlignment="1">
      <alignment horizontal="right" vertical="center"/>
    </xf>
    <xf numFmtId="0" fontId="96" fillId="0" borderId="0" xfId="19" applyFont="1" applyAlignment="1">
      <alignment horizontal="left" vertical="center"/>
    </xf>
    <xf numFmtId="0" fontId="44" fillId="0" borderId="0" xfId="2" applyFont="1"/>
    <xf numFmtId="0" fontId="26" fillId="0" borderId="0" xfId="2"/>
    <xf numFmtId="0" fontId="50" fillId="3" borderId="39" xfId="2" applyFont="1" applyFill="1" applyBorder="1" applyAlignment="1">
      <alignment horizontal="center" vertical="center"/>
    </xf>
    <xf numFmtId="0" fontId="32" fillId="0" borderId="35" xfId="2" applyFont="1" applyBorder="1"/>
    <xf numFmtId="0" fontId="32" fillId="0" borderId="45" xfId="2" applyFont="1" applyBorder="1" applyAlignment="1">
      <alignment horizontal="left" vertical="center" indent="1"/>
    </xf>
    <xf numFmtId="0" fontId="32" fillId="0" borderId="44" xfId="2" applyFont="1" applyBorder="1" applyAlignment="1">
      <alignment horizontal="left" vertical="center" indent="1"/>
    </xf>
    <xf numFmtId="3" fontId="32" fillId="0" borderId="44" xfId="2" applyNumberFormat="1" applyFont="1" applyBorder="1" applyAlignment="1">
      <alignment horizontal="right" vertical="center" indent="1"/>
    </xf>
    <xf numFmtId="3" fontId="32" fillId="0" borderId="47" xfId="2" applyNumberFormat="1" applyFont="1" applyBorder="1" applyAlignment="1">
      <alignment horizontal="right" vertical="center" indent="1"/>
    </xf>
    <xf numFmtId="0" fontId="32" fillId="0" borderId="49" xfId="2" applyFont="1" applyBorder="1" applyAlignment="1">
      <alignment horizontal="left" vertical="center" indent="1"/>
    </xf>
    <xf numFmtId="0" fontId="32" fillId="0" borderId="48" xfId="2" applyFont="1" applyBorder="1" applyAlignment="1">
      <alignment horizontal="left" vertical="center" indent="1"/>
    </xf>
    <xf numFmtId="3" fontId="32" fillId="0" borderId="48" xfId="2" applyNumberFormat="1" applyFont="1" applyBorder="1" applyAlignment="1">
      <alignment horizontal="right" vertical="center" indent="1"/>
    </xf>
    <xf numFmtId="3" fontId="32" fillId="0" borderId="51" xfId="2" applyNumberFormat="1" applyFont="1" applyBorder="1" applyAlignment="1">
      <alignment horizontal="right" vertical="center" indent="1"/>
    </xf>
    <xf numFmtId="0" fontId="50" fillId="3" borderId="49" xfId="2" applyFont="1" applyFill="1" applyBorder="1" applyAlignment="1">
      <alignment horizontal="center" vertical="center"/>
    </xf>
    <xf numFmtId="0" fontId="32" fillId="3" borderId="48" xfId="2" applyFont="1" applyFill="1" applyBorder="1" applyAlignment="1">
      <alignment horizontal="left" vertical="center" indent="1"/>
    </xf>
    <xf numFmtId="3" fontId="50" fillId="3" borderId="48" xfId="2" applyNumberFormat="1" applyFont="1" applyFill="1" applyBorder="1" applyAlignment="1">
      <alignment horizontal="right" vertical="center" indent="1"/>
    </xf>
    <xf numFmtId="0" fontId="54" fillId="0" borderId="56" xfId="2" applyFont="1" applyBorder="1" applyAlignment="1">
      <alignment horizontal="center" vertical="center"/>
    </xf>
    <xf numFmtId="0" fontId="97" fillId="0" borderId="56" xfId="2" applyFont="1" applyBorder="1" applyAlignment="1">
      <alignment horizontal="left" vertical="center" indent="1"/>
    </xf>
    <xf numFmtId="3" fontId="54" fillId="0" borderId="56" xfId="2" applyNumberFormat="1" applyFont="1" applyBorder="1" applyAlignment="1">
      <alignment horizontal="right" vertical="center" indent="1"/>
    </xf>
    <xf numFmtId="0" fontId="32" fillId="0" borderId="25" xfId="2" applyFont="1" applyBorder="1" applyAlignment="1">
      <alignment horizontal="left" vertical="center" indent="1"/>
    </xf>
    <xf numFmtId="0" fontId="32" fillId="0" borderId="24" xfId="2" applyFont="1" applyBorder="1" applyAlignment="1">
      <alignment horizontal="left" vertical="center" indent="1"/>
    </xf>
    <xf numFmtId="3" fontId="32" fillId="0" borderId="24" xfId="2" applyNumberFormat="1" applyFont="1" applyBorder="1" applyAlignment="1">
      <alignment horizontal="right" vertical="center" indent="1"/>
    </xf>
    <xf numFmtId="3" fontId="32" fillId="0" borderId="27" xfId="2" applyNumberFormat="1" applyFont="1" applyBorder="1" applyAlignment="1">
      <alignment horizontal="right" vertical="center" indent="1"/>
    </xf>
    <xf numFmtId="0" fontId="91" fillId="0" borderId="49" xfId="2" applyFont="1" applyBorder="1" applyAlignment="1">
      <alignment horizontal="left" vertical="center" indent="1"/>
    </xf>
    <xf numFmtId="0" fontId="55" fillId="0" borderId="56" xfId="2" applyFont="1" applyBorder="1" applyAlignment="1">
      <alignment horizontal="center" vertical="center"/>
    </xf>
    <xf numFmtId="0" fontId="42" fillId="0" borderId="56" xfId="2" applyFont="1" applyBorder="1" applyAlignment="1">
      <alignment horizontal="left" vertical="center" indent="1"/>
    </xf>
    <xf numFmtId="3" fontId="55" fillId="0" borderId="56" xfId="2" applyNumberFormat="1" applyFont="1" applyBorder="1" applyAlignment="1">
      <alignment horizontal="right" vertical="center" indent="1"/>
    </xf>
    <xf numFmtId="0" fontId="56" fillId="0" borderId="56" xfId="2" applyFont="1" applyBorder="1" applyAlignment="1">
      <alignment horizontal="center" vertical="center"/>
    </xf>
    <xf numFmtId="0" fontId="98" fillId="0" borderId="56" xfId="2" applyFont="1" applyBorder="1" applyAlignment="1">
      <alignment horizontal="left" vertical="center" indent="1"/>
    </xf>
    <xf numFmtId="3" fontId="56" fillId="0" borderId="56" xfId="2" applyNumberFormat="1" applyFont="1" applyBorder="1" applyAlignment="1">
      <alignment horizontal="right" vertical="center" indent="1"/>
    </xf>
    <xf numFmtId="3" fontId="32" fillId="0" borderId="50" xfId="2" applyNumberFormat="1" applyFont="1" applyBorder="1" applyAlignment="1">
      <alignment horizontal="right" vertical="center" indent="1"/>
    </xf>
    <xf numFmtId="0" fontId="57" fillId="0" borderId="56" xfId="2" applyFont="1" applyBorder="1" applyAlignment="1">
      <alignment horizontal="center" vertical="center"/>
    </xf>
    <xf numFmtId="0" fontId="89" fillId="0" borderId="58" xfId="2" applyFont="1" applyBorder="1" applyAlignment="1">
      <alignment horizontal="left" vertical="center" indent="1"/>
    </xf>
    <xf numFmtId="3" fontId="57" fillId="0" borderId="56" xfId="2" applyNumberFormat="1" applyFont="1" applyBorder="1" applyAlignment="1">
      <alignment horizontal="right" vertical="center" indent="1"/>
    </xf>
    <xf numFmtId="0" fontId="32" fillId="0" borderId="25" xfId="21" applyFont="1" applyBorder="1" applyAlignment="1">
      <alignment horizontal="left" vertical="center"/>
    </xf>
    <xf numFmtId="0" fontId="89" fillId="2" borderId="26" xfId="2" applyFont="1" applyFill="1" applyBorder="1" applyAlignment="1">
      <alignment horizontal="left" vertical="center" indent="1"/>
    </xf>
    <xf numFmtId="0" fontId="50" fillId="3" borderId="48" xfId="21" applyFont="1" applyFill="1" applyBorder="1" applyAlignment="1">
      <alignment horizontal="center" vertical="center"/>
    </xf>
    <xf numFmtId="0" fontId="89" fillId="2" borderId="50" xfId="2" applyFont="1" applyFill="1" applyBorder="1" applyAlignment="1">
      <alignment horizontal="left" vertical="center" indent="1"/>
    </xf>
    <xf numFmtId="0" fontId="32" fillId="0" borderId="49" xfId="21" applyFont="1" applyBorder="1" applyAlignment="1">
      <alignment horizontal="left" vertical="center"/>
    </xf>
    <xf numFmtId="0" fontId="32" fillId="0" borderId="48" xfId="21" applyFont="1" applyBorder="1" applyAlignment="1">
      <alignment horizontal="left" vertical="center"/>
    </xf>
    <xf numFmtId="0" fontId="58" fillId="0" borderId="56" xfId="5" applyFont="1" applyBorder="1" applyAlignment="1">
      <alignment horizontal="center" vertical="center"/>
    </xf>
    <xf numFmtId="0" fontId="89" fillId="0" borderId="54" xfId="2" applyFont="1" applyBorder="1" applyAlignment="1">
      <alignment horizontal="left" vertical="center" indent="1"/>
    </xf>
    <xf numFmtId="0" fontId="58" fillId="0" borderId="59" xfId="5" applyFont="1" applyBorder="1" applyAlignment="1">
      <alignment horizontal="center" vertical="center"/>
    </xf>
    <xf numFmtId="3" fontId="58" fillId="0" borderId="56" xfId="2" applyNumberFormat="1" applyFont="1" applyBorder="1" applyAlignment="1">
      <alignment horizontal="right" vertical="center" indent="1"/>
    </xf>
    <xf numFmtId="3" fontId="32" fillId="0" borderId="0" xfId="2" applyNumberFormat="1" applyFont="1" applyAlignment="1">
      <alignment horizontal="right" vertical="center" indent="1"/>
    </xf>
    <xf numFmtId="0" fontId="25" fillId="3" borderId="9" xfId="2" applyFont="1" applyFill="1" applyBorder="1" applyAlignment="1">
      <alignment horizontal="center" vertical="center"/>
    </xf>
    <xf numFmtId="0" fontId="25" fillId="3" borderId="10" xfId="2" applyFont="1" applyFill="1" applyBorder="1" applyAlignment="1">
      <alignment horizontal="center" vertical="center"/>
    </xf>
    <xf numFmtId="3" fontId="25" fillId="3" borderId="39" xfId="2" applyNumberFormat="1" applyFont="1" applyFill="1" applyBorder="1" applyAlignment="1">
      <alignment horizontal="right" vertical="center" indent="1"/>
    </xf>
    <xf numFmtId="0" fontId="84" fillId="0" borderId="0" xfId="2" applyFont="1" applyAlignment="1">
      <alignment vertical="center" wrapText="1"/>
    </xf>
    <xf numFmtId="0" fontId="43" fillId="0" borderId="0" xfId="2" applyFont="1" applyAlignment="1">
      <alignment vertical="top" wrapText="1"/>
    </xf>
    <xf numFmtId="0" fontId="99" fillId="0" borderId="0" xfId="2" applyFont="1" applyAlignment="1">
      <alignment vertical="top" wrapText="1"/>
    </xf>
    <xf numFmtId="0" fontId="44" fillId="0" borderId="0" xfId="0" applyFont="1" applyAlignment="1">
      <alignment wrapText="1"/>
    </xf>
    <xf numFmtId="1" fontId="50" fillId="3" borderId="10" xfId="4" applyNumberFormat="1" applyFont="1" applyFill="1" applyBorder="1" applyAlignment="1">
      <alignment horizontal="center" vertical="center" wrapText="1"/>
    </xf>
    <xf numFmtId="0" fontId="41" fillId="0" borderId="0" xfId="0" applyFont="1"/>
    <xf numFmtId="3" fontId="32" fillId="0" borderId="44" xfId="0" applyNumberFormat="1" applyFont="1" applyBorder="1" applyAlignment="1">
      <alignment horizontal="right" vertical="center" indent="1"/>
    </xf>
    <xf numFmtId="3" fontId="32" fillId="0" borderId="48" xfId="0" applyNumberFormat="1" applyFont="1" applyBorder="1" applyAlignment="1">
      <alignment horizontal="right" vertical="center" indent="1"/>
    </xf>
    <xf numFmtId="3" fontId="54" fillId="3" borderId="56" xfId="0" applyNumberFormat="1" applyFont="1" applyFill="1" applyBorder="1" applyAlignment="1">
      <alignment horizontal="right" vertical="center" indent="1"/>
    </xf>
    <xf numFmtId="0" fontId="41" fillId="0" borderId="0" xfId="0" applyFont="1" applyAlignment="1">
      <alignment horizontal="right" indent="1"/>
    </xf>
    <xf numFmtId="0" fontId="32" fillId="0" borderId="44" xfId="0" applyFont="1" applyBorder="1" applyAlignment="1">
      <alignment horizontal="right" vertical="center" indent="1"/>
    </xf>
    <xf numFmtId="0" fontId="32" fillId="0" borderId="46" xfId="0" applyFont="1" applyBorder="1" applyAlignment="1">
      <alignment horizontal="right" vertical="center" indent="1"/>
    </xf>
    <xf numFmtId="0" fontId="32" fillId="0" borderId="48" xfId="0" applyFont="1" applyBorder="1" applyAlignment="1">
      <alignment horizontal="right" vertical="center" indent="1"/>
    </xf>
    <xf numFmtId="0" fontId="32" fillId="0" borderId="50" xfId="0" applyFont="1" applyBorder="1" applyAlignment="1">
      <alignment horizontal="right" vertical="center" indent="1"/>
    </xf>
    <xf numFmtId="0" fontId="57" fillId="3" borderId="60" xfId="19" applyFont="1" applyFill="1" applyBorder="1" applyAlignment="1">
      <alignment horizontal="center" vertical="center"/>
    </xf>
    <xf numFmtId="0" fontId="57" fillId="3" borderId="56" xfId="0" applyFont="1" applyFill="1" applyBorder="1" applyAlignment="1">
      <alignment horizontal="right" vertical="center" indent="1"/>
    </xf>
    <xf numFmtId="0" fontId="57" fillId="3" borderId="58" xfId="0" applyFont="1" applyFill="1" applyBorder="1" applyAlignment="1">
      <alignment horizontal="right" vertical="center" indent="1"/>
    </xf>
    <xf numFmtId="3" fontId="57" fillId="3" borderId="56" xfId="0" applyNumberFormat="1" applyFont="1" applyFill="1" applyBorder="1" applyAlignment="1">
      <alignment horizontal="right" vertical="center" indent="1"/>
    </xf>
    <xf numFmtId="0" fontId="50" fillId="0" borderId="0" xfId="0" applyFont="1" applyAlignment="1">
      <alignment horizontal="right" vertical="center" indent="1"/>
    </xf>
    <xf numFmtId="3" fontId="50" fillId="0" borderId="0" xfId="0" applyNumberFormat="1" applyFont="1" applyAlignment="1">
      <alignment horizontal="right" vertical="center" indent="1"/>
    </xf>
    <xf numFmtId="3" fontId="55" fillId="3" borderId="56" xfId="0" applyNumberFormat="1" applyFont="1" applyFill="1" applyBorder="1" applyAlignment="1">
      <alignment horizontal="right" vertical="center" indent="1"/>
    </xf>
    <xf numFmtId="3" fontId="58" fillId="3" borderId="56" xfId="0" applyNumberFormat="1" applyFont="1" applyFill="1" applyBorder="1" applyAlignment="1">
      <alignment horizontal="right" vertical="center" indent="1"/>
    </xf>
    <xf numFmtId="3" fontId="56" fillId="3" borderId="56" xfId="0" applyNumberFormat="1" applyFont="1" applyFill="1" applyBorder="1" applyAlignment="1">
      <alignment horizontal="right" vertical="center" indent="1"/>
    </xf>
    <xf numFmtId="0" fontId="32" fillId="0" borderId="0" xfId="0" applyFont="1" applyAlignment="1">
      <alignment horizontal="right" vertical="center" indent="1"/>
    </xf>
    <xf numFmtId="3" fontId="32" fillId="0" borderId="0" xfId="0" applyNumberFormat="1" applyFont="1" applyAlignment="1">
      <alignment horizontal="right" vertical="center" indent="1"/>
    </xf>
    <xf numFmtId="3" fontId="32" fillId="0" borderId="45" xfId="0" applyNumberFormat="1" applyFont="1" applyBorder="1" applyAlignment="1">
      <alignment horizontal="right" vertical="center" indent="1"/>
    </xf>
    <xf numFmtId="3" fontId="32" fillId="0" borderId="49" xfId="0" applyNumberFormat="1" applyFont="1" applyBorder="1" applyAlignment="1">
      <alignment horizontal="right" vertical="center" indent="1"/>
    </xf>
    <xf numFmtId="3" fontId="32" fillId="0" borderId="57" xfId="0" applyNumberFormat="1" applyFont="1" applyBorder="1" applyAlignment="1">
      <alignment horizontal="right" vertical="center" indent="1"/>
    </xf>
    <xf numFmtId="3" fontId="32" fillId="0" borderId="56" xfId="0" applyNumberFormat="1" applyFont="1" applyBorder="1" applyAlignment="1">
      <alignment horizontal="right" vertical="center" indent="1"/>
    </xf>
    <xf numFmtId="3" fontId="50" fillId="3" borderId="39" xfId="0" applyNumberFormat="1" applyFont="1" applyFill="1" applyBorder="1" applyAlignment="1">
      <alignment horizontal="right" vertical="center" indent="1"/>
    </xf>
    <xf numFmtId="0" fontId="43" fillId="0" borderId="0" xfId="2" applyFont="1" applyAlignment="1">
      <alignment vertical="center" wrapText="1"/>
    </xf>
    <xf numFmtId="0" fontId="26" fillId="0" borderId="2" xfId="0" applyFont="1" applyBorder="1" applyAlignment="1">
      <alignment vertical="center"/>
    </xf>
    <xf numFmtId="0" fontId="100" fillId="0" borderId="2" xfId="0" applyFont="1" applyFill="1" applyBorder="1" applyAlignment="1">
      <alignment horizontal="right" vertical="center"/>
    </xf>
    <xf numFmtId="0" fontId="50" fillId="0" borderId="1" xfId="0" applyFont="1" applyFill="1" applyBorder="1" applyAlignment="1">
      <alignment horizontal="center" vertical="center" wrapText="1"/>
    </xf>
    <xf numFmtId="0" fontId="32" fillId="0" borderId="70" xfId="0" applyFont="1" applyFill="1" applyBorder="1" applyAlignment="1">
      <alignment horizontal="left" vertical="center" indent="1"/>
    </xf>
    <xf numFmtId="0" fontId="52" fillId="0" borderId="70" xfId="0" applyFont="1" applyFill="1" applyBorder="1" applyAlignment="1">
      <alignment horizontal="center" vertical="center"/>
    </xf>
    <xf numFmtId="165" fontId="52" fillId="0" borderId="70" xfId="0" applyNumberFormat="1" applyFont="1" applyFill="1" applyBorder="1" applyAlignment="1">
      <alignment horizontal="center" vertical="center"/>
    </xf>
    <xf numFmtId="165" fontId="101" fillId="0" borderId="71" xfId="0" applyNumberFormat="1" applyFont="1" applyFill="1" applyBorder="1" applyAlignment="1">
      <alignment horizontal="center" vertical="center"/>
    </xf>
    <xf numFmtId="0" fontId="32" fillId="0" borderId="73" xfId="0" applyFont="1" applyFill="1" applyBorder="1" applyAlignment="1">
      <alignment horizontal="left" vertical="center" indent="1"/>
    </xf>
    <xf numFmtId="0" fontId="52" fillId="0" borderId="73" xfId="0" applyFont="1" applyFill="1" applyBorder="1" applyAlignment="1">
      <alignment horizontal="center" vertical="center"/>
    </xf>
    <xf numFmtId="165" fontId="101" fillId="0" borderId="74" xfId="0" applyNumberFormat="1" applyFont="1" applyFill="1" applyBorder="1" applyAlignment="1">
      <alignment horizontal="center" vertical="center"/>
    </xf>
    <xf numFmtId="0" fontId="32" fillId="4" borderId="75" xfId="0" applyFont="1" applyFill="1" applyBorder="1" applyAlignment="1">
      <alignment horizontal="left" vertical="center" indent="1"/>
    </xf>
    <xf numFmtId="0" fontId="32" fillId="4" borderId="75" xfId="0" applyFont="1" applyFill="1" applyBorder="1" applyAlignment="1">
      <alignment horizontal="center" vertical="center"/>
    </xf>
    <xf numFmtId="165" fontId="101" fillId="4" borderId="77" xfId="0" applyNumberFormat="1" applyFont="1" applyFill="1" applyBorder="1" applyAlignment="1">
      <alignment horizontal="center" vertical="center"/>
    </xf>
    <xf numFmtId="0" fontId="32" fillId="0" borderId="73" xfId="0" applyFont="1" applyFill="1" applyBorder="1" applyAlignment="1">
      <alignment horizontal="center" vertical="center"/>
    </xf>
    <xf numFmtId="165" fontId="32" fillId="0" borderId="73" xfId="0" applyNumberFormat="1" applyFont="1" applyFill="1" applyBorder="1" applyAlignment="1">
      <alignment horizontal="center" vertical="center"/>
    </xf>
    <xf numFmtId="165" fontId="102" fillId="0" borderId="74" xfId="0" applyNumberFormat="1" applyFont="1" applyFill="1" applyBorder="1" applyAlignment="1">
      <alignment horizontal="center" vertical="center"/>
    </xf>
    <xf numFmtId="0" fontId="32" fillId="0" borderId="75" xfId="0" applyFont="1" applyFill="1" applyBorder="1" applyAlignment="1">
      <alignment horizontal="left" vertical="center" indent="1"/>
    </xf>
    <xf numFmtId="0" fontId="32" fillId="0" borderId="75" xfId="0" applyFont="1" applyFill="1" applyBorder="1" applyAlignment="1">
      <alignment horizontal="center" vertical="center"/>
    </xf>
    <xf numFmtId="165" fontId="52" fillId="0" borderId="75" xfId="0" applyNumberFormat="1" applyFont="1" applyFill="1" applyBorder="1" applyAlignment="1">
      <alignment horizontal="center" vertical="center"/>
    </xf>
    <xf numFmtId="165" fontId="32" fillId="0" borderId="79" xfId="0" applyNumberFormat="1" applyFont="1" applyFill="1" applyBorder="1" applyAlignment="1">
      <alignment horizontal="center" vertical="center"/>
    </xf>
    <xf numFmtId="165" fontId="32" fillId="0" borderId="75" xfId="0" applyNumberFormat="1" applyFont="1" applyFill="1" applyBorder="1" applyAlignment="1">
      <alignment horizontal="center" vertical="center"/>
    </xf>
    <xf numFmtId="165" fontId="101" fillId="0" borderId="77" xfId="0" applyNumberFormat="1" applyFont="1" applyFill="1" applyBorder="1" applyAlignment="1">
      <alignment horizontal="center" vertical="center"/>
    </xf>
    <xf numFmtId="0" fontId="43" fillId="0" borderId="0" xfId="0" applyFont="1" applyAlignment="1">
      <alignment vertical="center"/>
    </xf>
    <xf numFmtId="0" fontId="43" fillId="0" borderId="0" xfId="0" applyFont="1" applyBorder="1" applyAlignment="1">
      <alignment vertical="center"/>
    </xf>
    <xf numFmtId="0" fontId="103" fillId="0" borderId="0" xfId="0" applyFont="1" applyAlignment="1">
      <alignment horizontal="center" vertical="center"/>
    </xf>
    <xf numFmtId="0" fontId="104" fillId="0" borderId="0" xfId="0" applyFont="1" applyBorder="1" applyAlignment="1">
      <alignment vertical="center" wrapText="1"/>
    </xf>
    <xf numFmtId="0" fontId="43" fillId="0" borderId="0" xfId="0" applyFont="1" applyBorder="1" applyAlignment="1">
      <alignment vertical="center" wrapText="1"/>
    </xf>
    <xf numFmtId="0" fontId="43" fillId="0" borderId="0" xfId="0" applyFont="1" applyAlignment="1">
      <alignment horizontal="left" vertical="center"/>
    </xf>
    <xf numFmtId="0" fontId="26" fillId="0" borderId="0" xfId="0" applyFont="1" applyFill="1" applyBorder="1" applyAlignment="1">
      <alignment vertical="center"/>
    </xf>
    <xf numFmtId="0" fontId="105" fillId="0" borderId="0" xfId="0" applyFont="1" applyFill="1" applyBorder="1" applyAlignment="1">
      <alignment vertical="center"/>
    </xf>
    <xf numFmtId="0" fontId="105" fillId="0" borderId="2" xfId="0" applyFont="1" applyFill="1" applyBorder="1" applyAlignment="1">
      <alignment vertical="center"/>
    </xf>
    <xf numFmtId="0" fontId="105" fillId="0" borderId="2" xfId="0" applyFont="1" applyFill="1" applyBorder="1" applyAlignment="1">
      <alignment horizontal="right" vertical="center"/>
    </xf>
    <xf numFmtId="0" fontId="32" fillId="0" borderId="70" xfId="0" applyFont="1" applyBorder="1" applyAlignment="1">
      <alignment horizontal="left" vertical="center" indent="1"/>
    </xf>
    <xf numFmtId="0" fontId="32" fillId="0" borderId="70" xfId="0" applyFont="1" applyBorder="1" applyAlignment="1">
      <alignment horizontal="center"/>
    </xf>
    <xf numFmtId="165" fontId="32" fillId="0" borderId="70" xfId="0" applyNumberFormat="1" applyFont="1" applyBorder="1" applyAlignment="1">
      <alignment horizontal="center"/>
    </xf>
    <xf numFmtId="165" fontId="106" fillId="0" borderId="71" xfId="0" applyNumberFormat="1" applyFont="1" applyBorder="1" applyAlignment="1">
      <alignment horizontal="center" vertical="center"/>
    </xf>
    <xf numFmtId="0" fontId="32" fillId="0" borderId="73" xfId="0" applyFont="1" applyBorder="1" applyAlignment="1">
      <alignment horizontal="left" vertical="center" indent="1"/>
    </xf>
    <xf numFmtId="0" fontId="32" fillId="0" borderId="73" xfId="0" applyFont="1" applyBorder="1" applyAlignment="1">
      <alignment horizontal="center"/>
    </xf>
    <xf numFmtId="165" fontId="32" fillId="0" borderId="73" xfId="0" applyNumberFormat="1" applyFont="1" applyBorder="1" applyAlignment="1">
      <alignment horizontal="center"/>
    </xf>
    <xf numFmtId="165" fontId="106" fillId="0" borderId="74" xfId="0" applyNumberFormat="1" applyFont="1" applyBorder="1" applyAlignment="1">
      <alignment horizontal="center" vertical="center"/>
    </xf>
    <xf numFmtId="0" fontId="32" fillId="0" borderId="75" xfId="0" applyFont="1" applyBorder="1" applyAlignment="1">
      <alignment horizontal="left" vertical="center" indent="1"/>
    </xf>
    <xf numFmtId="0" fontId="32" fillId="0" borderId="75" xfId="0" applyFont="1" applyBorder="1" applyAlignment="1">
      <alignment horizontal="center"/>
    </xf>
    <xf numFmtId="165" fontId="32" fillId="0" borderId="75" xfId="0" applyNumberFormat="1" applyFont="1" applyBorder="1" applyAlignment="1">
      <alignment horizontal="center"/>
    </xf>
    <xf numFmtId="165" fontId="101" fillId="0" borderId="77" xfId="0" applyNumberFormat="1" applyFont="1" applyBorder="1" applyAlignment="1">
      <alignment horizontal="center" vertical="center"/>
    </xf>
    <xf numFmtId="0" fontId="32" fillId="0" borderId="73" xfId="0" applyFont="1" applyFill="1" applyBorder="1" applyAlignment="1">
      <alignment horizontal="center"/>
    </xf>
    <xf numFmtId="165" fontId="32" fillId="0" borderId="73" xfId="0" applyNumberFormat="1" applyFont="1" applyFill="1" applyBorder="1" applyAlignment="1">
      <alignment horizontal="center"/>
    </xf>
    <xf numFmtId="165" fontId="78" fillId="0" borderId="74" xfId="0" applyNumberFormat="1" applyFont="1" applyFill="1" applyBorder="1" applyAlignment="1">
      <alignment horizontal="center" vertical="center"/>
    </xf>
    <xf numFmtId="165" fontId="32" fillId="0" borderId="75" xfId="0" applyNumberFormat="1" applyFont="1" applyFill="1" applyBorder="1" applyAlignment="1">
      <alignment horizontal="center"/>
    </xf>
    <xf numFmtId="165" fontId="108" fillId="0" borderId="74" xfId="0" applyNumberFormat="1" applyFont="1" applyBorder="1" applyAlignment="1">
      <alignment horizontal="center" vertical="center"/>
    </xf>
    <xf numFmtId="165" fontId="78" fillId="0" borderId="77" xfId="0" applyNumberFormat="1" applyFont="1" applyBorder="1" applyAlignment="1">
      <alignment horizontal="center" vertical="center"/>
    </xf>
    <xf numFmtId="0" fontId="103" fillId="0" borderId="0" xfId="0" applyFont="1" applyAlignment="1">
      <alignment horizontal="left" vertical="center"/>
    </xf>
    <xf numFmtId="0" fontId="109" fillId="0" borderId="0" xfId="0" applyFont="1" applyFill="1" applyBorder="1" applyAlignment="1">
      <alignment vertical="center"/>
    </xf>
    <xf numFmtId="0" fontId="109" fillId="0" borderId="2" xfId="0" applyFont="1" applyFill="1" applyBorder="1" applyAlignment="1">
      <alignment vertical="center"/>
    </xf>
    <xf numFmtId="0" fontId="109" fillId="0" borderId="2" xfId="0" applyFont="1" applyFill="1" applyBorder="1" applyAlignment="1">
      <alignment horizontal="right" vertical="center"/>
    </xf>
    <xf numFmtId="165" fontId="32" fillId="0" borderId="74" xfId="0" applyNumberFormat="1" applyFont="1" applyFill="1" applyBorder="1" applyAlignment="1">
      <alignment horizontal="center" vertical="center"/>
    </xf>
    <xf numFmtId="165" fontId="41" fillId="0" borderId="74" xfId="0" applyNumberFormat="1" applyFont="1" applyFill="1" applyBorder="1" applyAlignment="1">
      <alignment horizontal="center" vertical="center"/>
    </xf>
    <xf numFmtId="0" fontId="110" fillId="0" borderId="73" xfId="0" applyFont="1" applyFill="1" applyBorder="1" applyAlignment="1">
      <alignment horizontal="center" vertical="center"/>
    </xf>
    <xf numFmtId="165" fontId="47" fillId="0" borderId="74" xfId="0" applyNumberFormat="1" applyFont="1" applyFill="1" applyBorder="1" applyAlignment="1">
      <alignment horizontal="center" vertical="center"/>
    </xf>
    <xf numFmtId="0" fontId="111" fillId="0" borderId="0" xfId="23" applyFont="1" applyBorder="1" applyAlignment="1">
      <alignment horizontal="center" vertical="center"/>
    </xf>
    <xf numFmtId="0" fontId="110" fillId="0" borderId="75" xfId="0" applyFont="1" applyFill="1" applyBorder="1" applyAlignment="1">
      <alignment horizontal="center" vertical="center"/>
    </xf>
    <xf numFmtId="165" fontId="112" fillId="0" borderId="77" xfId="0" applyNumberFormat="1" applyFont="1" applyFill="1" applyBorder="1" applyAlignment="1">
      <alignment horizontal="center" vertical="center"/>
    </xf>
    <xf numFmtId="0" fontId="110" fillId="0" borderId="70" xfId="0" applyFont="1" applyFill="1" applyBorder="1" applyAlignment="1">
      <alignment horizontal="center" vertical="center"/>
    </xf>
    <xf numFmtId="165" fontId="41" fillId="0" borderId="71" xfId="0" applyNumberFormat="1" applyFont="1" applyFill="1" applyBorder="1" applyAlignment="1">
      <alignment horizontal="center" vertical="center"/>
    </xf>
    <xf numFmtId="165" fontId="32" fillId="0" borderId="77" xfId="0" applyNumberFormat="1" applyFont="1" applyFill="1" applyBorder="1" applyAlignment="1">
      <alignment horizontal="center" vertical="center"/>
    </xf>
    <xf numFmtId="0" fontId="43" fillId="0" borderId="0" xfId="0" applyFont="1" applyAlignment="1">
      <alignment vertical="center" wrapText="1"/>
    </xf>
    <xf numFmtId="0" fontId="26" fillId="0" borderId="0" xfId="0" applyFont="1" applyBorder="1" applyAlignment="1">
      <alignment vertical="center"/>
    </xf>
    <xf numFmtId="0" fontId="113" fillId="0" borderId="2" xfId="0" applyFont="1" applyFill="1" applyBorder="1" applyAlignment="1">
      <alignment vertical="center"/>
    </xf>
    <xf numFmtId="0" fontId="114" fillId="0" borderId="2" xfId="0" applyFont="1" applyFill="1" applyBorder="1" applyAlignment="1">
      <alignment horizontal="right" vertical="center"/>
    </xf>
    <xf numFmtId="0" fontId="115" fillId="0" borderId="1" xfId="0" applyFont="1" applyFill="1" applyBorder="1" applyAlignment="1">
      <alignment horizontal="center" vertical="center" wrapText="1"/>
    </xf>
    <xf numFmtId="0" fontId="32" fillId="0" borderId="70" xfId="0" applyFont="1" applyFill="1" applyBorder="1" applyAlignment="1">
      <alignment horizontal="center" vertical="center"/>
    </xf>
    <xf numFmtId="165" fontId="32" fillId="0" borderId="71" xfId="0" applyNumberFormat="1" applyFont="1" applyFill="1" applyBorder="1" applyAlignment="1">
      <alignment horizontal="center" vertical="center"/>
    </xf>
    <xf numFmtId="0" fontId="32" fillId="0" borderId="73" xfId="0" applyFont="1" applyFill="1" applyBorder="1" applyAlignment="1">
      <alignment horizontal="left" vertical="center" wrapText="1" indent="1"/>
    </xf>
    <xf numFmtId="0" fontId="32" fillId="0" borderId="73" xfId="0" applyFont="1" applyFill="1" applyBorder="1" applyAlignment="1">
      <alignment horizontal="left" vertical="center"/>
    </xf>
    <xf numFmtId="165" fontId="32" fillId="0" borderId="73" xfId="0" applyNumberFormat="1" applyFont="1" applyFill="1" applyBorder="1" applyAlignment="1">
      <alignment horizontal="left" vertical="center"/>
    </xf>
    <xf numFmtId="0" fontId="32" fillId="0" borderId="75" xfId="0" applyFont="1" applyFill="1" applyBorder="1" applyAlignment="1">
      <alignment horizontal="left" vertical="center" wrapText="1" indent="1"/>
    </xf>
    <xf numFmtId="0" fontId="32" fillId="0" borderId="75" xfId="0" applyFont="1" applyFill="1" applyBorder="1" applyAlignment="1">
      <alignment horizontal="left" vertical="center"/>
    </xf>
    <xf numFmtId="165" fontId="32" fillId="0" borderId="75" xfId="0" applyNumberFormat="1" applyFont="1" applyFill="1" applyBorder="1" applyAlignment="1">
      <alignment horizontal="left" vertical="center"/>
    </xf>
    <xf numFmtId="0" fontId="32" fillId="0" borderId="85" xfId="0" applyFont="1" applyFill="1" applyBorder="1" applyAlignment="1">
      <alignment horizontal="left" vertical="center" indent="1"/>
    </xf>
    <xf numFmtId="0" fontId="43" fillId="0" borderId="0" xfId="0" applyFont="1"/>
    <xf numFmtId="0" fontId="43" fillId="0" borderId="0" xfId="0" applyFont="1" applyBorder="1" applyAlignment="1">
      <alignment horizontal="right" vertical="center"/>
    </xf>
    <xf numFmtId="0" fontId="117" fillId="0" borderId="0" xfId="0" applyFont="1" applyFill="1" applyBorder="1" applyAlignment="1">
      <alignment vertical="center"/>
    </xf>
    <xf numFmtId="0" fontId="117" fillId="0" borderId="2" xfId="0" applyFont="1" applyFill="1" applyBorder="1" applyAlignment="1">
      <alignment vertical="center"/>
    </xf>
    <xf numFmtId="0" fontId="117" fillId="0" borderId="2" xfId="0" applyFont="1" applyFill="1" applyBorder="1" applyAlignment="1">
      <alignment horizontal="right" vertical="center"/>
    </xf>
    <xf numFmtId="165" fontId="118" fillId="0" borderId="74" xfId="0" applyNumberFormat="1" applyFont="1" applyFill="1" applyBorder="1" applyAlignment="1">
      <alignment horizontal="center" vertical="center"/>
    </xf>
    <xf numFmtId="0" fontId="119" fillId="0" borderId="0" xfId="23" applyFont="1" applyBorder="1" applyAlignment="1">
      <alignment horizontal="center" vertical="center"/>
    </xf>
    <xf numFmtId="0" fontId="43" fillId="0" borderId="0" xfId="0" applyFont="1" applyBorder="1" applyAlignment="1">
      <alignment vertical="top" wrapText="1"/>
    </xf>
    <xf numFmtId="0" fontId="52" fillId="0" borderId="1" xfId="25" applyFont="1" applyFill="1" applyBorder="1" applyAlignment="1">
      <alignment horizontal="center" vertical="center" wrapText="1"/>
    </xf>
    <xf numFmtId="0" fontId="52" fillId="0" borderId="87" xfId="25" applyFont="1" applyFill="1" applyBorder="1" applyAlignment="1">
      <alignment horizontal="center" vertical="center" wrapText="1"/>
    </xf>
    <xf numFmtId="0" fontId="52" fillId="0" borderId="0" xfId="24" applyFont="1"/>
    <xf numFmtId="0" fontId="52" fillId="0" borderId="80" xfId="24" applyFont="1" applyBorder="1" applyAlignment="1">
      <alignment horizontal="center"/>
    </xf>
    <xf numFmtId="0" fontId="52" fillId="0" borderId="71" xfId="24" applyFont="1" applyBorder="1" applyAlignment="1">
      <alignment horizontal="center"/>
    </xf>
    <xf numFmtId="0" fontId="52" fillId="0" borderId="26" xfId="24" applyFont="1" applyBorder="1" applyAlignment="1">
      <alignment horizontal="center"/>
    </xf>
    <xf numFmtId="0" fontId="52" fillId="0" borderId="27" xfId="24" applyFont="1" applyBorder="1" applyAlignment="1">
      <alignment horizontal="center"/>
    </xf>
    <xf numFmtId="164" fontId="52" fillId="0" borderId="27" xfId="26" applyNumberFormat="1" applyFont="1" applyBorder="1" applyAlignment="1">
      <alignment horizontal="center"/>
    </xf>
    <xf numFmtId="164" fontId="52" fillId="0" borderId="26" xfId="26" applyNumberFormat="1" applyFont="1" applyBorder="1" applyAlignment="1">
      <alignment horizontal="right" indent="1"/>
    </xf>
    <xf numFmtId="0" fontId="52" fillId="0" borderId="81" xfId="24" applyFont="1" applyBorder="1" applyAlignment="1">
      <alignment horizontal="center"/>
    </xf>
    <xf numFmtId="0" fontId="52" fillId="0" borderId="74" xfId="24" applyFont="1" applyBorder="1" applyAlignment="1">
      <alignment horizontal="center"/>
    </xf>
    <xf numFmtId="0" fontId="52" fillId="0" borderId="50" xfId="24" applyFont="1" applyBorder="1" applyAlignment="1">
      <alignment horizontal="center"/>
    </xf>
    <xf numFmtId="0" fontId="52" fillId="0" borderId="51" xfId="24" applyFont="1" applyBorder="1" applyAlignment="1">
      <alignment horizontal="center"/>
    </xf>
    <xf numFmtId="164" fontId="52" fillId="0" borderId="51" xfId="26" applyNumberFormat="1" applyFont="1" applyBorder="1" applyAlignment="1">
      <alignment horizontal="center"/>
    </xf>
    <xf numFmtId="164" fontId="52" fillId="0" borderId="50" xfId="26" applyNumberFormat="1" applyFont="1" applyBorder="1" applyAlignment="1">
      <alignment horizontal="right" indent="1"/>
    </xf>
    <xf numFmtId="0" fontId="54" fillId="0" borderId="82" xfId="24" applyFont="1" applyFill="1" applyBorder="1" applyAlignment="1">
      <alignment horizontal="center"/>
    </xf>
    <xf numFmtId="0" fontId="54" fillId="0" borderId="77" xfId="24" applyFont="1" applyFill="1" applyBorder="1" applyAlignment="1">
      <alignment horizontal="center"/>
    </xf>
    <xf numFmtId="0" fontId="54" fillId="0" borderId="58" xfId="24" applyFont="1" applyFill="1" applyBorder="1" applyAlignment="1">
      <alignment horizontal="center"/>
    </xf>
    <xf numFmtId="0" fontId="54" fillId="0" borderId="59" xfId="24" applyFont="1" applyFill="1" applyBorder="1" applyAlignment="1">
      <alignment horizontal="center"/>
    </xf>
    <xf numFmtId="164" fontId="54" fillId="0" borderId="59" xfId="26" applyNumberFormat="1" applyFont="1" applyFill="1" applyBorder="1" applyAlignment="1">
      <alignment horizontal="center"/>
    </xf>
    <xf numFmtId="164" fontId="54" fillId="0" borderId="58" xfId="26" applyNumberFormat="1" applyFont="1" applyFill="1" applyBorder="1" applyAlignment="1">
      <alignment horizontal="right" indent="1"/>
    </xf>
    <xf numFmtId="0" fontId="57" fillId="0" borderId="82" xfId="24" applyFont="1" applyFill="1" applyBorder="1" applyAlignment="1">
      <alignment horizontal="center"/>
    </xf>
    <xf numFmtId="0" fontId="57" fillId="0" borderId="77" xfId="24" applyFont="1" applyFill="1" applyBorder="1" applyAlignment="1">
      <alignment horizontal="center"/>
    </xf>
    <xf numFmtId="0" fontId="57" fillId="0" borderId="58" xfId="24" applyFont="1" applyFill="1" applyBorder="1" applyAlignment="1">
      <alignment horizontal="center"/>
    </xf>
    <xf numFmtId="0" fontId="57" fillId="0" borderId="59" xfId="24" applyFont="1" applyFill="1" applyBorder="1" applyAlignment="1">
      <alignment horizontal="center"/>
    </xf>
    <xf numFmtId="164" fontId="57" fillId="0" borderId="59" xfId="26" applyNumberFormat="1" applyFont="1" applyFill="1" applyBorder="1" applyAlignment="1">
      <alignment horizontal="center"/>
    </xf>
    <xf numFmtId="164" fontId="57" fillId="0" borderId="58" xfId="26" applyNumberFormat="1" applyFont="1" applyFill="1" applyBorder="1" applyAlignment="1">
      <alignment horizontal="right" indent="1"/>
    </xf>
    <xf numFmtId="0" fontId="52" fillId="0" borderId="0" xfId="24" applyFont="1" applyAlignment="1">
      <alignment horizontal="center"/>
    </xf>
    <xf numFmtId="0" fontId="52" fillId="0" borderId="0" xfId="24" applyFont="1" applyBorder="1" applyAlignment="1">
      <alignment horizontal="center"/>
    </xf>
    <xf numFmtId="0" fontId="55" fillId="0" borderId="82" xfId="24" applyFont="1" applyFill="1" applyBorder="1" applyAlignment="1">
      <alignment horizontal="center"/>
    </xf>
    <xf numFmtId="0" fontId="55" fillId="0" borderId="77" xfId="24" applyFont="1" applyFill="1" applyBorder="1" applyAlignment="1">
      <alignment horizontal="center"/>
    </xf>
    <xf numFmtId="0" fontId="55" fillId="0" borderId="58" xfId="24" applyFont="1" applyFill="1" applyBorder="1" applyAlignment="1">
      <alignment horizontal="center"/>
    </xf>
    <xf numFmtId="0" fontId="55" fillId="0" borderId="59" xfId="24" applyFont="1" applyFill="1" applyBorder="1" applyAlignment="1">
      <alignment horizontal="center"/>
    </xf>
    <xf numFmtId="164" fontId="55" fillId="0" borderId="59" xfId="26" applyNumberFormat="1" applyFont="1" applyFill="1" applyBorder="1" applyAlignment="1">
      <alignment horizontal="center"/>
    </xf>
    <xf numFmtId="164" fontId="55" fillId="0" borderId="58" xfId="26" applyNumberFormat="1" applyFont="1" applyFill="1" applyBorder="1" applyAlignment="1">
      <alignment horizontal="right" indent="1"/>
    </xf>
    <xf numFmtId="3" fontId="52" fillId="0" borderId="0" xfId="24" applyNumberFormat="1" applyFont="1" applyAlignment="1">
      <alignment horizontal="center"/>
    </xf>
    <xf numFmtId="0" fontId="58" fillId="0" borderId="82" xfId="24" applyFont="1" applyFill="1" applyBorder="1" applyAlignment="1">
      <alignment horizontal="center"/>
    </xf>
    <xf numFmtId="0" fontId="58" fillId="0" borderId="77" xfId="24" applyFont="1" applyFill="1" applyBorder="1" applyAlignment="1">
      <alignment horizontal="center"/>
    </xf>
    <xf numFmtId="0" fontId="58" fillId="0" borderId="58" xfId="24" applyFont="1" applyFill="1" applyBorder="1" applyAlignment="1">
      <alignment horizontal="center"/>
    </xf>
    <xf numFmtId="0" fontId="58" fillId="0" borderId="59" xfId="24" applyFont="1" applyFill="1" applyBorder="1" applyAlignment="1">
      <alignment horizontal="center"/>
    </xf>
    <xf numFmtId="164" fontId="58" fillId="0" borderId="59" xfId="26" applyNumberFormat="1" applyFont="1" applyFill="1" applyBorder="1" applyAlignment="1">
      <alignment horizontal="center"/>
    </xf>
    <xf numFmtId="164" fontId="58" fillId="0" borderId="58" xfId="26" applyNumberFormat="1" applyFont="1" applyFill="1" applyBorder="1" applyAlignment="1">
      <alignment horizontal="right" indent="1"/>
    </xf>
    <xf numFmtId="0" fontId="56" fillId="0" borderId="82" xfId="24" applyFont="1" applyFill="1" applyBorder="1" applyAlignment="1">
      <alignment horizontal="center"/>
    </xf>
    <xf numFmtId="0" fontId="56" fillId="0" borderId="77" xfId="24" applyFont="1" applyFill="1" applyBorder="1" applyAlignment="1">
      <alignment horizontal="center"/>
    </xf>
    <xf numFmtId="0" fontId="56" fillId="0" borderId="58" xfId="24" applyFont="1" applyFill="1" applyBorder="1" applyAlignment="1">
      <alignment horizontal="center"/>
    </xf>
    <xf numFmtId="0" fontId="56" fillId="0" borderId="59" xfId="24" applyFont="1" applyFill="1" applyBorder="1" applyAlignment="1">
      <alignment horizontal="center"/>
    </xf>
    <xf numFmtId="164" fontId="56" fillId="0" borderId="59" xfId="26" applyNumberFormat="1" applyFont="1" applyFill="1" applyBorder="1" applyAlignment="1">
      <alignment horizontal="center"/>
    </xf>
    <xf numFmtId="164" fontId="56" fillId="0" borderId="58" xfId="26" applyNumberFormat="1" applyFont="1" applyFill="1" applyBorder="1" applyAlignment="1">
      <alignment horizontal="right" indent="1"/>
    </xf>
    <xf numFmtId="3" fontId="53" fillId="3" borderId="88" xfId="24" applyNumberFormat="1" applyFont="1" applyFill="1" applyBorder="1" applyAlignment="1">
      <alignment horizontal="center" vertical="center"/>
    </xf>
    <xf numFmtId="0" fontId="53" fillId="3" borderId="89" xfId="24" applyFont="1" applyFill="1" applyBorder="1" applyAlignment="1">
      <alignment horizontal="center"/>
    </xf>
    <xf numFmtId="0" fontId="53" fillId="3" borderId="2" xfId="24" applyFont="1" applyFill="1" applyBorder="1" applyAlignment="1">
      <alignment horizontal="center"/>
    </xf>
    <xf numFmtId="0" fontId="53" fillId="3" borderId="11" xfId="24" applyFont="1" applyFill="1" applyBorder="1" applyAlignment="1">
      <alignment horizontal="center"/>
    </xf>
    <xf numFmtId="164" fontId="53" fillId="3" borderId="11" xfId="26" applyNumberFormat="1" applyFont="1" applyFill="1" applyBorder="1" applyAlignment="1">
      <alignment horizontal="center"/>
    </xf>
    <xf numFmtId="164" fontId="53" fillId="3" borderId="2" xfId="26" applyNumberFormat="1" applyFont="1" applyFill="1" applyBorder="1" applyAlignment="1">
      <alignment horizontal="right" indent="1"/>
    </xf>
    <xf numFmtId="0" fontId="52" fillId="0" borderId="90" xfId="25" applyFont="1" applyFill="1" applyBorder="1" applyAlignment="1">
      <alignment horizontal="center" vertical="center" wrapText="1"/>
    </xf>
    <xf numFmtId="0" fontId="52" fillId="0" borderId="91" xfId="25" applyFont="1" applyFill="1" applyBorder="1" applyAlignment="1">
      <alignment horizontal="center" vertical="center" wrapText="1"/>
    </xf>
    <xf numFmtId="164" fontId="52" fillId="0" borderId="80" xfId="26" applyNumberFormat="1" applyFont="1" applyBorder="1" applyAlignment="1">
      <alignment horizontal="center"/>
    </xf>
    <xf numFmtId="164" fontId="52" fillId="0" borderId="26" xfId="26" applyNumberFormat="1" applyFont="1" applyBorder="1" applyAlignment="1">
      <alignment horizontal="center"/>
    </xf>
    <xf numFmtId="164" fontId="52" fillId="0" borderId="81" xfId="26" applyNumberFormat="1" applyFont="1" applyBorder="1" applyAlignment="1">
      <alignment horizontal="center"/>
    </xf>
    <xf numFmtId="164" fontId="52" fillId="0" borderId="50" xfId="26" applyNumberFormat="1" applyFont="1" applyBorder="1" applyAlignment="1">
      <alignment horizontal="center"/>
    </xf>
    <xf numFmtId="164" fontId="54" fillId="0" borderId="82" xfId="26" applyNumberFormat="1" applyFont="1" applyFill="1" applyBorder="1" applyAlignment="1">
      <alignment horizontal="center"/>
    </xf>
    <xf numFmtId="164" fontId="54" fillId="0" borderId="58" xfId="26" applyNumberFormat="1" applyFont="1" applyFill="1" applyBorder="1" applyAlignment="1">
      <alignment horizontal="center"/>
    </xf>
    <xf numFmtId="164" fontId="57" fillId="0" borderId="82" xfId="26" applyNumberFormat="1" applyFont="1" applyFill="1" applyBorder="1" applyAlignment="1">
      <alignment horizontal="center"/>
    </xf>
    <xf numFmtId="164" fontId="57" fillId="0" borderId="58" xfId="26" applyNumberFormat="1" applyFont="1" applyFill="1" applyBorder="1" applyAlignment="1">
      <alignment horizontal="center"/>
    </xf>
    <xf numFmtId="164" fontId="55" fillId="0" borderId="82" xfId="26" applyNumberFormat="1" applyFont="1" applyFill="1" applyBorder="1" applyAlignment="1">
      <alignment horizontal="center"/>
    </xf>
    <xf numFmtId="164" fontId="55" fillId="0" borderId="58" xfId="26" applyNumberFormat="1" applyFont="1" applyFill="1" applyBorder="1" applyAlignment="1">
      <alignment horizontal="center"/>
    </xf>
    <xf numFmtId="164" fontId="58" fillId="0" borderId="82" xfId="26" applyNumberFormat="1" applyFont="1" applyFill="1" applyBorder="1" applyAlignment="1">
      <alignment horizontal="center"/>
    </xf>
    <xf numFmtId="164" fontId="58" fillId="0" borderId="58" xfId="26" applyNumberFormat="1" applyFont="1" applyFill="1" applyBorder="1" applyAlignment="1">
      <alignment horizontal="center"/>
    </xf>
    <xf numFmtId="164" fontId="56" fillId="0" borderId="82" xfId="26" applyNumberFormat="1" applyFont="1" applyFill="1" applyBorder="1" applyAlignment="1">
      <alignment horizontal="center"/>
    </xf>
    <xf numFmtId="164" fontId="56" fillId="0" borderId="58" xfId="26" applyNumberFormat="1" applyFont="1" applyFill="1" applyBorder="1" applyAlignment="1">
      <alignment horizontal="center"/>
    </xf>
    <xf numFmtId="164" fontId="53" fillId="3" borderId="88" xfId="26" applyNumberFormat="1" applyFont="1" applyFill="1" applyBorder="1" applyAlignment="1">
      <alignment horizontal="center"/>
    </xf>
    <xf numFmtId="164" fontId="53" fillId="3" borderId="2" xfId="26" applyNumberFormat="1" applyFont="1" applyFill="1" applyBorder="1" applyAlignment="1">
      <alignment horizontal="center"/>
    </xf>
    <xf numFmtId="0" fontId="52" fillId="0" borderId="92" xfId="25" applyFont="1" applyBorder="1" applyAlignment="1">
      <alignment horizontal="center" vertical="center" wrapText="1"/>
    </xf>
    <xf numFmtId="0" fontId="52" fillId="0" borderId="1" xfId="25" applyFont="1" applyBorder="1" applyAlignment="1">
      <alignment horizontal="center" vertical="center" wrapText="1"/>
    </xf>
    <xf numFmtId="0" fontId="54" fillId="0" borderId="82" xfId="24" applyFont="1" applyBorder="1" applyAlignment="1">
      <alignment horizontal="center"/>
    </xf>
    <xf numFmtId="0" fontId="54" fillId="0" borderId="77" xfId="24" applyFont="1" applyBorder="1" applyAlignment="1">
      <alignment horizontal="center"/>
    </xf>
    <xf numFmtId="0" fontId="54" fillId="0" borderId="58" xfId="24" applyFont="1" applyBorder="1" applyAlignment="1">
      <alignment horizontal="center"/>
    </xf>
    <xf numFmtId="164" fontId="54" fillId="0" borderId="82" xfId="26" applyNumberFormat="1" applyFont="1" applyBorder="1" applyAlignment="1">
      <alignment horizontal="center"/>
    </xf>
    <xf numFmtId="164" fontId="54" fillId="0" borderId="58" xfId="26" applyNumberFormat="1" applyFont="1" applyBorder="1" applyAlignment="1">
      <alignment horizontal="center"/>
    </xf>
    <xf numFmtId="0" fontId="57" fillId="0" borderId="82" xfId="24" applyFont="1" applyBorder="1" applyAlignment="1">
      <alignment horizontal="center"/>
    </xf>
    <xf numFmtId="0" fontId="57" fillId="0" borderId="77" xfId="24" applyFont="1" applyBorder="1" applyAlignment="1">
      <alignment horizontal="center"/>
    </xf>
    <xf numFmtId="0" fontId="57" fillId="0" borderId="58" xfId="24" applyFont="1" applyBorder="1" applyAlignment="1">
      <alignment horizontal="center"/>
    </xf>
    <xf numFmtId="164" fontId="57" fillId="0" borderId="82" xfId="26" applyNumberFormat="1" applyFont="1" applyBorder="1" applyAlignment="1">
      <alignment horizontal="center"/>
    </xf>
    <xf numFmtId="164" fontId="57" fillId="0" borderId="58" xfId="26" applyNumberFormat="1" applyFont="1" applyBorder="1" applyAlignment="1">
      <alignment horizontal="center"/>
    </xf>
    <xf numFmtId="0" fontId="55" fillId="0" borderId="82" xfId="24" applyFont="1" applyBorder="1" applyAlignment="1">
      <alignment horizontal="center"/>
    </xf>
    <xf numFmtId="0" fontId="55" fillId="0" borderId="77" xfId="24" applyFont="1" applyBorder="1" applyAlignment="1">
      <alignment horizontal="center"/>
    </xf>
    <xf numFmtId="0" fontId="55" fillId="0" borderId="58" xfId="24" applyFont="1" applyBorder="1" applyAlignment="1">
      <alignment horizontal="center"/>
    </xf>
    <xf numFmtId="164" fontId="55" fillId="0" borderId="82" xfId="26" applyNumberFormat="1" applyFont="1" applyBorder="1" applyAlignment="1">
      <alignment horizontal="center"/>
    </xf>
    <xf numFmtId="164" fontId="55" fillId="0" borderId="58" xfId="26" applyNumberFormat="1" applyFont="1" applyBorder="1" applyAlignment="1">
      <alignment horizontal="center"/>
    </xf>
    <xf numFmtId="0" fontId="58" fillId="0" borderId="82" xfId="24" applyFont="1" applyBorder="1" applyAlignment="1">
      <alignment horizontal="center"/>
    </xf>
    <xf numFmtId="0" fontId="58" fillId="0" borderId="77" xfId="24" applyFont="1" applyBorder="1" applyAlignment="1">
      <alignment horizontal="center"/>
    </xf>
    <xf numFmtId="0" fontId="58" fillId="0" borderId="58" xfId="24" applyFont="1" applyBorder="1" applyAlignment="1">
      <alignment horizontal="center"/>
    </xf>
    <xf numFmtId="164" fontId="58" fillId="0" borderId="82" xfId="26" applyNumberFormat="1" applyFont="1" applyBorder="1" applyAlignment="1">
      <alignment horizontal="center"/>
    </xf>
    <xf numFmtId="164" fontId="58" fillId="0" borderId="58" xfId="26" applyNumberFormat="1" applyFont="1" applyBorder="1" applyAlignment="1">
      <alignment horizontal="center"/>
    </xf>
    <xf numFmtId="0" fontId="56" fillId="0" borderId="82" xfId="24" applyFont="1" applyBorder="1" applyAlignment="1">
      <alignment horizontal="center"/>
    </xf>
    <xf numFmtId="0" fontId="56" fillId="0" borderId="77" xfId="24" applyFont="1" applyBorder="1" applyAlignment="1">
      <alignment horizontal="center"/>
    </xf>
    <xf numFmtId="0" fontId="56" fillId="0" borderId="58" xfId="24" applyFont="1" applyBorder="1" applyAlignment="1">
      <alignment horizontal="center"/>
    </xf>
    <xf numFmtId="164" fontId="56" fillId="0" borderId="82" xfId="26" applyNumberFormat="1" applyFont="1" applyBorder="1" applyAlignment="1">
      <alignment horizontal="center"/>
    </xf>
    <xf numFmtId="164" fontId="56" fillId="0" borderId="58" xfId="26" applyNumberFormat="1" applyFont="1" applyBorder="1" applyAlignment="1">
      <alignment horizontal="center"/>
    </xf>
    <xf numFmtId="0" fontId="53" fillId="3" borderId="93" xfId="24" applyFont="1" applyFill="1" applyBorder="1" applyAlignment="1">
      <alignment horizontal="center"/>
    </xf>
    <xf numFmtId="164" fontId="53" fillId="3" borderId="69" xfId="26" applyNumberFormat="1" applyFont="1" applyFill="1" applyBorder="1" applyAlignment="1">
      <alignment horizontal="center"/>
    </xf>
    <xf numFmtId="0" fontId="122" fillId="0" borderId="0" xfId="24" applyFont="1" applyAlignment="1">
      <alignment horizontal="center"/>
    </xf>
    <xf numFmtId="0" fontId="53" fillId="0" borderId="0" xfId="24" applyFont="1" applyAlignment="1">
      <alignment horizontal="center"/>
    </xf>
    <xf numFmtId="0" fontId="50" fillId="0" borderId="2" xfId="24" applyFont="1" applyBorder="1" applyAlignment="1">
      <alignment horizontal="right"/>
    </xf>
    <xf numFmtId="0" fontId="53" fillId="0" borderId="2" xfId="24" applyFont="1" applyBorder="1" applyAlignment="1">
      <alignment horizontal="center"/>
    </xf>
    <xf numFmtId="0" fontId="53" fillId="0" borderId="60" xfId="24" applyFont="1" applyBorder="1" applyAlignment="1">
      <alignment horizontal="center" vertical="center" wrapText="1"/>
    </xf>
    <xf numFmtId="0" fontId="53" fillId="0" borderId="11" xfId="24" applyFont="1" applyBorder="1" applyAlignment="1">
      <alignment horizontal="center" vertical="center" wrapText="1"/>
    </xf>
    <xf numFmtId="0" fontId="52" fillId="0" borderId="45" xfId="24" applyFont="1" applyBorder="1" applyAlignment="1">
      <alignment horizontal="center"/>
    </xf>
    <xf numFmtId="0" fontId="52" fillId="0" borderId="44" xfId="24" applyFont="1" applyBorder="1" applyAlignment="1">
      <alignment horizontal="center"/>
    </xf>
    <xf numFmtId="0" fontId="52" fillId="0" borderId="46" xfId="24" applyFont="1" applyBorder="1" applyAlignment="1">
      <alignment horizontal="center"/>
    </xf>
    <xf numFmtId="164" fontId="52" fillId="0" borderId="47" xfId="26" applyNumberFormat="1" applyFont="1" applyBorder="1" applyAlignment="1">
      <alignment horizontal="center"/>
    </xf>
    <xf numFmtId="0" fontId="52" fillId="0" borderId="49" xfId="24" applyFont="1" applyBorder="1" applyAlignment="1">
      <alignment horizontal="center"/>
    </xf>
    <xf numFmtId="0" fontId="52" fillId="0" borderId="48" xfId="24" applyFont="1" applyBorder="1" applyAlignment="1">
      <alignment horizontal="center"/>
    </xf>
    <xf numFmtId="0" fontId="52" fillId="0" borderId="57" xfId="24" applyFont="1" applyBorder="1" applyAlignment="1">
      <alignment horizontal="center"/>
    </xf>
    <xf numFmtId="0" fontId="52" fillId="0" borderId="56" xfId="24" applyFont="1" applyBorder="1" applyAlignment="1">
      <alignment horizontal="center"/>
    </xf>
    <xf numFmtId="0" fontId="52" fillId="0" borderId="58" xfId="24" applyFont="1" applyBorder="1" applyAlignment="1">
      <alignment horizontal="center"/>
    </xf>
    <xf numFmtId="164" fontId="52" fillId="0" borderId="59" xfId="26" applyNumberFormat="1" applyFont="1" applyBorder="1" applyAlignment="1">
      <alignment horizontal="center"/>
    </xf>
    <xf numFmtId="0" fontId="53" fillId="3" borderId="9" xfId="24" applyFont="1" applyFill="1" applyBorder="1" applyAlignment="1">
      <alignment horizontal="center"/>
    </xf>
    <xf numFmtId="0" fontId="53" fillId="3" borderId="39" xfId="24" applyFont="1" applyFill="1" applyBorder="1" applyAlignment="1">
      <alignment horizontal="center"/>
    </xf>
    <xf numFmtId="0" fontId="53" fillId="3" borderId="4" xfId="24" applyFont="1" applyFill="1" applyBorder="1" applyAlignment="1">
      <alignment horizontal="center"/>
    </xf>
    <xf numFmtId="164" fontId="53" fillId="3" borderId="10" xfId="26" applyNumberFormat="1" applyFont="1" applyFill="1" applyBorder="1" applyAlignment="1">
      <alignment horizontal="center"/>
    </xf>
    <xf numFmtId="0" fontId="53" fillId="0" borderId="0" xfId="24" applyFont="1" applyAlignment="1">
      <alignment horizontal="center" vertical="center"/>
    </xf>
    <xf numFmtId="3" fontId="53" fillId="0" borderId="0" xfId="24" applyNumberFormat="1" applyFont="1" applyAlignment="1">
      <alignment horizontal="center" vertical="center"/>
    </xf>
    <xf numFmtId="0" fontId="25" fillId="0" borderId="0" xfId="24" applyFont="1" applyAlignment="1">
      <alignment vertical="center"/>
    </xf>
    <xf numFmtId="0" fontId="53" fillId="6" borderId="39" xfId="24" applyFont="1" applyFill="1" applyBorder="1" applyAlignment="1">
      <alignment horizontal="center"/>
    </xf>
    <xf numFmtId="164" fontId="53" fillId="6" borderId="10" xfId="26" applyNumberFormat="1" applyFont="1" applyFill="1" applyBorder="1" applyAlignment="1">
      <alignment horizontal="center"/>
    </xf>
    <xf numFmtId="0" fontId="110" fillId="0" borderId="45" xfId="24" applyFont="1" applyBorder="1" applyAlignment="1">
      <alignment horizontal="center"/>
    </xf>
    <xf numFmtId="0" fontId="110" fillId="0" borderId="49" xfId="24" applyFont="1" applyBorder="1" applyAlignment="1">
      <alignment horizontal="center"/>
    </xf>
    <xf numFmtId="0" fontId="110" fillId="0" borderId="57" xfId="24" applyFont="1" applyBorder="1" applyAlignment="1">
      <alignment horizontal="center"/>
    </xf>
    <xf numFmtId="0" fontId="53" fillId="0" borderId="39" xfId="24" applyFont="1" applyBorder="1" applyAlignment="1">
      <alignment horizontal="center" vertical="center" wrapText="1"/>
    </xf>
    <xf numFmtId="3" fontId="53" fillId="0" borderId="0" xfId="24" applyNumberFormat="1" applyFont="1" applyAlignment="1">
      <alignment horizontal="center"/>
    </xf>
    <xf numFmtId="0" fontId="25" fillId="0" borderId="0" xfId="24" applyFont="1"/>
    <xf numFmtId="0" fontId="23" fillId="0" borderId="0" xfId="24"/>
    <xf numFmtId="0" fontId="49" fillId="0" borderId="0" xfId="0" applyFont="1"/>
    <xf numFmtId="0" fontId="134" fillId="0" borderId="0" xfId="0" applyFont="1"/>
    <xf numFmtId="0" fontId="90" fillId="0" borderId="0" xfId="0" applyFont="1" applyAlignment="1">
      <alignment horizontal="right"/>
    </xf>
    <xf numFmtId="3" fontId="135" fillId="0" borderId="0" xfId="0" applyNumberFormat="1" applyFont="1" applyAlignment="1">
      <alignment horizontal="center" vertical="center"/>
    </xf>
    <xf numFmtId="0" fontId="0" fillId="0" borderId="0" xfId="0" applyAlignment="1">
      <alignment horizontal="left"/>
    </xf>
    <xf numFmtId="0" fontId="136" fillId="0" borderId="0" xfId="0" applyFont="1"/>
    <xf numFmtId="0" fontId="112" fillId="0" borderId="0" xfId="0" applyFont="1" applyAlignment="1">
      <alignment horizontal="right" vertical="center"/>
    </xf>
    <xf numFmtId="0" fontId="135" fillId="0" borderId="0" xfId="0" applyFont="1" applyAlignment="1">
      <alignment horizontal="center" vertical="center"/>
    </xf>
    <xf numFmtId="3" fontId="137" fillId="0" borderId="0" xfId="0" applyNumberFormat="1" applyFont="1" applyAlignment="1">
      <alignment horizontal="center" vertical="center"/>
    </xf>
    <xf numFmtId="0" fontId="26" fillId="0" borderId="0" xfId="0" applyFont="1"/>
    <xf numFmtId="0" fontId="140" fillId="0" borderId="0" xfId="3" applyFont="1" applyAlignment="1">
      <alignment vertical="center"/>
    </xf>
    <xf numFmtId="0" fontId="140" fillId="0" borderId="2" xfId="3" applyFont="1" applyBorder="1" applyAlignment="1">
      <alignment horizontal="center" vertical="center"/>
    </xf>
    <xf numFmtId="0" fontId="140" fillId="0" borderId="0" xfId="3" applyFont="1" applyAlignment="1">
      <alignment horizontal="center" vertical="center"/>
    </xf>
    <xf numFmtId="0" fontId="50" fillId="0" borderId="11" xfId="3" applyFont="1" applyBorder="1" applyAlignment="1">
      <alignment horizontal="center" vertical="center"/>
    </xf>
    <xf numFmtId="0" fontId="97" fillId="0" borderId="39" xfId="3" applyFont="1" applyBorder="1" applyAlignment="1">
      <alignment horizontal="center" vertical="center"/>
    </xf>
    <xf numFmtId="0" fontId="141" fillId="0" borderId="44" xfId="3" applyFont="1" applyBorder="1" applyAlignment="1">
      <alignment wrapText="1"/>
    </xf>
    <xf numFmtId="1" fontId="32" fillId="0" borderId="45" xfId="3" applyNumberFormat="1" applyFont="1" applyBorder="1" applyAlignment="1">
      <alignment horizontal="right" vertical="center"/>
    </xf>
    <xf numFmtId="1" fontId="32" fillId="0" borderId="46" xfId="3" applyNumberFormat="1" applyFont="1" applyBorder="1" applyAlignment="1">
      <alignment horizontal="right" vertical="center"/>
    </xf>
    <xf numFmtId="1" fontId="50" fillId="0" borderId="47" xfId="3" applyNumberFormat="1" applyFont="1" applyBorder="1" applyAlignment="1">
      <alignment horizontal="right" vertical="center"/>
    </xf>
    <xf numFmtId="0" fontId="87" fillId="0" borderId="48" xfId="3" applyFont="1" applyBorder="1" applyAlignment="1">
      <alignment wrapText="1"/>
    </xf>
    <xf numFmtId="1" fontId="32" fillId="0" borderId="49" xfId="3" applyNumberFormat="1" applyFont="1" applyBorder="1" applyAlignment="1">
      <alignment horizontal="right" vertical="center"/>
    </xf>
    <xf numFmtId="1" fontId="32" fillId="0" borderId="50" xfId="3" applyNumberFormat="1" applyFont="1" applyBorder="1" applyAlignment="1">
      <alignment horizontal="right" vertical="center"/>
    </xf>
    <xf numFmtId="1" fontId="50" fillId="0" borderId="51" xfId="3" applyNumberFormat="1" applyFont="1" applyBorder="1" applyAlignment="1">
      <alignment horizontal="right" vertical="center"/>
    </xf>
    <xf numFmtId="0" fontId="32" fillId="0" borderId="48" xfId="3" applyFont="1" applyBorder="1" applyAlignment="1">
      <alignment wrapText="1"/>
    </xf>
    <xf numFmtId="0" fontId="32" fillId="0" borderId="50" xfId="3" applyFont="1" applyBorder="1" applyAlignment="1">
      <alignment horizontal="right" vertical="center"/>
    </xf>
    <xf numFmtId="1" fontId="32" fillId="0" borderId="53" xfId="3" applyNumberFormat="1" applyFont="1" applyBorder="1" applyAlignment="1">
      <alignment horizontal="right" vertical="center"/>
    </xf>
    <xf numFmtId="1" fontId="32" fillId="0" borderId="54" xfId="3" applyNumberFormat="1" applyFont="1" applyBorder="1" applyAlignment="1">
      <alignment horizontal="right" vertical="center"/>
    </xf>
    <xf numFmtId="1" fontId="50" fillId="0" borderId="55" xfId="3" applyNumberFormat="1" applyFont="1" applyBorder="1" applyAlignment="1">
      <alignment horizontal="right" vertical="center"/>
    </xf>
    <xf numFmtId="0" fontId="97" fillId="3" borderId="9" xfId="3" applyFont="1" applyFill="1" applyBorder="1" applyAlignment="1">
      <alignment horizontal="center" vertical="center"/>
    </xf>
    <xf numFmtId="0" fontId="50" fillId="3" borderId="59" xfId="3" applyFont="1" applyFill="1" applyBorder="1" applyAlignment="1">
      <alignment horizontal="center" wrapText="1"/>
    </xf>
    <xf numFmtId="1" fontId="32" fillId="3" borderId="57" xfId="3" applyNumberFormat="1" applyFont="1" applyFill="1" applyBorder="1" applyAlignment="1">
      <alignment horizontal="right" vertical="center"/>
    </xf>
    <xf numFmtId="1" fontId="32" fillId="3" borderId="58" xfId="3" applyNumberFormat="1" applyFont="1" applyFill="1" applyBorder="1" applyAlignment="1">
      <alignment horizontal="right" vertical="center"/>
    </xf>
    <xf numFmtId="1" fontId="32" fillId="3" borderId="59" xfId="3" applyNumberFormat="1" applyFont="1" applyFill="1" applyBorder="1" applyAlignment="1">
      <alignment horizontal="right" vertical="center"/>
    </xf>
    <xf numFmtId="0" fontId="87" fillId="0" borderId="24" xfId="3" applyFont="1" applyBorder="1" applyAlignment="1">
      <alignment wrapText="1"/>
    </xf>
    <xf numFmtId="1" fontId="32" fillId="0" borderId="25" xfId="3" applyNumberFormat="1" applyFont="1" applyBorder="1" applyAlignment="1">
      <alignment horizontal="right" vertical="center"/>
    </xf>
    <xf numFmtId="1" fontId="32" fillId="0" borderId="26" xfId="3" applyNumberFormat="1" applyFont="1" applyBorder="1" applyAlignment="1" applyProtection="1">
      <alignment horizontal="right" vertical="center"/>
      <protection locked="0"/>
    </xf>
    <xf numFmtId="1" fontId="50" fillId="0" borderId="27" xfId="3" applyNumberFormat="1" applyFont="1" applyBorder="1" applyAlignment="1">
      <alignment horizontal="right" vertical="center"/>
    </xf>
    <xf numFmtId="1" fontId="32" fillId="0" borderId="26" xfId="3" applyNumberFormat="1" applyFont="1" applyBorder="1" applyAlignment="1">
      <alignment horizontal="right" vertical="center"/>
    </xf>
    <xf numFmtId="1" fontId="32" fillId="0" borderId="50" xfId="3" applyNumberFormat="1" applyFont="1" applyBorder="1" applyAlignment="1" applyProtection="1">
      <alignment horizontal="right" vertical="center"/>
      <protection locked="0"/>
    </xf>
    <xf numFmtId="1" fontId="32" fillId="0" borderId="49" xfId="3" applyNumberFormat="1" applyFont="1" applyBorder="1" applyAlignment="1" applyProtection="1">
      <alignment horizontal="right" vertical="center"/>
      <protection locked="0"/>
    </xf>
    <xf numFmtId="0" fontId="87" fillId="0" borderId="52" xfId="3" applyFont="1" applyBorder="1" applyAlignment="1">
      <alignment wrapText="1"/>
    </xf>
    <xf numFmtId="1" fontId="32" fillId="0" borderId="53" xfId="3" applyNumberFormat="1" applyFont="1" applyBorder="1" applyAlignment="1" applyProtection="1">
      <alignment horizontal="right" vertical="center"/>
      <protection locked="0"/>
    </xf>
    <xf numFmtId="1" fontId="32" fillId="0" borderId="54" xfId="3" applyNumberFormat="1" applyFont="1" applyBorder="1" applyAlignment="1" applyProtection="1">
      <alignment horizontal="right" vertical="center"/>
      <protection locked="0"/>
    </xf>
    <xf numFmtId="0" fontId="141" fillId="0" borderId="48" xfId="3" applyFont="1" applyBorder="1" applyAlignment="1">
      <alignment wrapText="1"/>
    </xf>
    <xf numFmtId="0" fontId="32" fillId="0" borderId="51" xfId="3" applyFont="1" applyBorder="1" applyAlignment="1">
      <alignment wrapText="1"/>
    </xf>
    <xf numFmtId="1" fontId="32" fillId="0" borderId="25" xfId="3" applyNumberFormat="1" applyFont="1" applyBorder="1" applyAlignment="1" applyProtection="1">
      <alignment horizontal="right" vertical="center"/>
      <protection locked="0"/>
    </xf>
    <xf numFmtId="0" fontId="118" fillId="0" borderId="48" xfId="3" applyFont="1" applyBorder="1" applyAlignment="1">
      <alignment wrapText="1"/>
    </xf>
    <xf numFmtId="0" fontId="32" fillId="3" borderId="9" xfId="3" applyFont="1" applyFill="1" applyBorder="1" applyAlignment="1">
      <alignment horizontal="center" vertical="center"/>
    </xf>
    <xf numFmtId="0" fontId="97" fillId="0" borderId="9" xfId="3" applyFont="1" applyBorder="1" applyAlignment="1">
      <alignment horizontal="center" vertical="center"/>
    </xf>
    <xf numFmtId="0" fontId="54" fillId="0" borderId="10" xfId="3" applyFont="1" applyBorder="1" applyAlignment="1">
      <alignment horizontal="center" vertical="center" wrapText="1"/>
    </xf>
    <xf numFmtId="1" fontId="54" fillId="0" borderId="9" xfId="3" applyNumberFormat="1" applyFont="1" applyBorder="1" applyAlignment="1">
      <alignment horizontal="right" vertical="center"/>
    </xf>
    <xf numFmtId="1" fontId="54" fillId="0" borderId="4" xfId="3" applyNumberFormat="1" applyFont="1" applyBorder="1" applyAlignment="1">
      <alignment horizontal="right" vertical="center"/>
    </xf>
    <xf numFmtId="1" fontId="54" fillId="0" borderId="10" xfId="3" applyNumberFormat="1" applyFont="1" applyBorder="1" applyAlignment="1">
      <alignment horizontal="right" vertical="center"/>
    </xf>
    <xf numFmtId="0" fontId="89" fillId="0" borderId="39" xfId="3" applyFont="1" applyBorder="1" applyAlignment="1">
      <alignment horizontal="center" vertical="center"/>
    </xf>
    <xf numFmtId="1" fontId="32" fillId="0" borderId="45" xfId="3" applyNumberFormat="1" applyFont="1" applyBorder="1" applyAlignment="1" applyProtection="1">
      <alignment horizontal="right" vertical="center"/>
      <protection locked="0"/>
    </xf>
    <xf numFmtId="1" fontId="32" fillId="0" borderId="46" xfId="3" applyNumberFormat="1" applyFont="1" applyBorder="1" applyAlignment="1" applyProtection="1">
      <alignment horizontal="right" vertical="center"/>
      <protection locked="0"/>
    </xf>
    <xf numFmtId="1" fontId="50" fillId="0" borderId="46" xfId="3" applyNumberFormat="1" applyFont="1" applyBorder="1" applyAlignment="1">
      <alignment horizontal="right" vertical="center"/>
    </xf>
    <xf numFmtId="0" fontId="89" fillId="3" borderId="9" xfId="3" applyFont="1" applyFill="1" applyBorder="1" applyAlignment="1">
      <alignment horizontal="center" vertical="center"/>
    </xf>
    <xf numFmtId="0" fontId="89" fillId="0" borderId="9" xfId="3" applyFont="1" applyBorder="1" applyAlignment="1">
      <alignment horizontal="center" vertical="center"/>
    </xf>
    <xf numFmtId="0" fontId="57" fillId="0" borderId="10" xfId="3" applyFont="1" applyBorder="1" applyAlignment="1">
      <alignment horizontal="center" vertical="center" wrapText="1"/>
    </xf>
    <xf numFmtId="1" fontId="57" fillId="0" borderId="9" xfId="3" applyNumberFormat="1" applyFont="1" applyBorder="1" applyAlignment="1">
      <alignment horizontal="right" vertical="center"/>
    </xf>
    <xf numFmtId="1" fontId="57" fillId="0" borderId="4" xfId="3" applyNumberFormat="1" applyFont="1" applyBorder="1" applyAlignment="1">
      <alignment horizontal="right" vertical="center"/>
    </xf>
    <xf numFmtId="1" fontId="57" fillId="0" borderId="10" xfId="3" applyNumberFormat="1" applyFont="1" applyBorder="1" applyAlignment="1">
      <alignment horizontal="right" vertical="center"/>
    </xf>
    <xf numFmtId="0" fontId="42" fillId="0" borderId="39" xfId="3" applyFont="1" applyBorder="1" applyAlignment="1">
      <alignment horizontal="center" vertical="center"/>
    </xf>
    <xf numFmtId="0" fontId="32" fillId="0" borderId="24" xfId="3" applyFont="1" applyBorder="1" applyAlignment="1">
      <alignment wrapText="1"/>
    </xf>
    <xf numFmtId="0" fontId="98" fillId="3" borderId="9" xfId="3" applyFont="1" applyFill="1" applyBorder="1" applyAlignment="1">
      <alignment horizontal="center" vertical="center"/>
    </xf>
    <xf numFmtId="0" fontId="52" fillId="0" borderId="48" xfId="3" applyFont="1" applyBorder="1" applyAlignment="1">
      <alignment vertical="center" wrapText="1"/>
    </xf>
    <xf numFmtId="0" fontId="32" fillId="0" borderId="52" xfId="3" applyFont="1" applyBorder="1" applyAlignment="1">
      <alignment wrapText="1"/>
    </xf>
    <xf numFmtId="1" fontId="50" fillId="3" borderId="59" xfId="3" applyNumberFormat="1" applyFont="1" applyFill="1" applyBorder="1" applyAlignment="1">
      <alignment horizontal="right" vertical="center"/>
    </xf>
    <xf numFmtId="0" fontId="42" fillId="0" borderId="9" xfId="3" applyFont="1" applyBorder="1" applyAlignment="1">
      <alignment horizontal="center" vertical="center"/>
    </xf>
    <xf numFmtId="0" fontId="55" fillId="0" borderId="10" xfId="3" applyFont="1" applyBorder="1" applyAlignment="1">
      <alignment horizontal="center" vertical="center" wrapText="1"/>
    </xf>
    <xf numFmtId="1" fontId="55" fillId="0" borderId="9" xfId="3" applyNumberFormat="1" applyFont="1" applyBorder="1" applyAlignment="1">
      <alignment horizontal="right" vertical="center"/>
    </xf>
    <xf numFmtId="1" fontId="55" fillId="0" borderId="4" xfId="3" applyNumberFormat="1" applyFont="1" applyBorder="1" applyAlignment="1">
      <alignment horizontal="right" vertical="center"/>
    </xf>
    <xf numFmtId="1" fontId="55" fillId="0" borderId="10" xfId="3" applyNumberFormat="1" applyFont="1" applyBorder="1" applyAlignment="1">
      <alignment horizontal="right" vertical="center"/>
    </xf>
    <xf numFmtId="0" fontId="144" fillId="0" borderId="39" xfId="3" applyFont="1" applyBorder="1" applyAlignment="1">
      <alignment horizontal="center" vertical="center"/>
    </xf>
    <xf numFmtId="0" fontId="98" fillId="0" borderId="9" xfId="3" applyFont="1" applyBorder="1" applyAlignment="1">
      <alignment horizontal="center" vertical="center"/>
    </xf>
    <xf numFmtId="0" fontId="58" fillId="0" borderId="10" xfId="3" applyFont="1" applyBorder="1" applyAlignment="1">
      <alignment horizontal="center" vertical="center" wrapText="1"/>
    </xf>
    <xf numFmtId="1" fontId="56" fillId="0" borderId="9" xfId="3" applyNumberFormat="1" applyFont="1" applyBorder="1" applyAlignment="1">
      <alignment horizontal="right" vertical="center"/>
    </xf>
    <xf numFmtId="1" fontId="56" fillId="0" borderId="4" xfId="3" applyNumberFormat="1" applyFont="1" applyBorder="1" applyAlignment="1">
      <alignment horizontal="right" vertical="center"/>
    </xf>
    <xf numFmtId="1" fontId="56" fillId="0" borderId="10" xfId="3" applyNumberFormat="1" applyFont="1" applyBorder="1" applyAlignment="1">
      <alignment horizontal="right" vertical="center"/>
    </xf>
    <xf numFmtId="1" fontId="58" fillId="0" borderId="4" xfId="3" applyNumberFormat="1" applyFont="1" applyBorder="1" applyAlignment="1">
      <alignment horizontal="right" vertical="center"/>
    </xf>
    <xf numFmtId="1" fontId="58" fillId="0" borderId="10" xfId="3" applyNumberFormat="1" applyFont="1" applyBorder="1" applyAlignment="1">
      <alignment horizontal="right" vertical="center"/>
    </xf>
    <xf numFmtId="0" fontId="98" fillId="3" borderId="60" xfId="3" applyFont="1" applyFill="1" applyBorder="1" applyAlignment="1">
      <alignment horizontal="center" vertical="center"/>
    </xf>
    <xf numFmtId="0" fontId="98" fillId="0" borderId="39" xfId="3" applyFont="1" applyBorder="1" applyAlignment="1">
      <alignment horizontal="center" vertical="center"/>
    </xf>
    <xf numFmtId="0" fontId="56" fillId="0" borderId="10" xfId="3" applyFont="1" applyBorder="1" applyAlignment="1">
      <alignment horizontal="center" vertical="center" wrapText="1"/>
    </xf>
    <xf numFmtId="0" fontId="32" fillId="0" borderId="0" xfId="3" applyFont="1" applyAlignment="1">
      <alignment horizontal="center" vertical="center"/>
    </xf>
    <xf numFmtId="0" fontId="98" fillId="0" borderId="0" xfId="3" applyFont="1" applyAlignment="1">
      <alignment horizontal="center" vertical="center"/>
    </xf>
    <xf numFmtId="0" fontId="98" fillId="0" borderId="0" xfId="3" applyFont="1" applyAlignment="1">
      <alignment horizontal="right" vertical="center"/>
    </xf>
    <xf numFmtId="0" fontId="84" fillId="0" borderId="0" xfId="3" applyFont="1" applyAlignment="1">
      <alignment vertical="center"/>
    </xf>
    <xf numFmtId="0" fontId="81" fillId="0" borderId="3" xfId="3" applyFont="1" applyBorder="1" applyAlignment="1">
      <alignment vertical="center"/>
    </xf>
    <xf numFmtId="0" fontId="26" fillId="0" borderId="0" xfId="3" applyAlignment="1">
      <alignment horizontal="center" vertical="center"/>
    </xf>
    <xf numFmtId="0" fontId="80" fillId="0" borderId="0" xfId="3" applyFont="1" applyAlignment="1">
      <alignment horizontal="center" vertical="center"/>
    </xf>
    <xf numFmtId="0" fontId="32" fillId="0" borderId="44" xfId="3" applyFont="1" applyBorder="1" applyAlignment="1">
      <alignment horizontal="center" vertical="center"/>
    </xf>
    <xf numFmtId="1" fontId="32" fillId="0" borderId="47" xfId="3" applyNumberFormat="1" applyFont="1" applyBorder="1" applyAlignment="1">
      <alignment horizontal="right" vertical="center"/>
    </xf>
    <xf numFmtId="0" fontId="32" fillId="0" borderId="48" xfId="3" applyFont="1" applyBorder="1" applyAlignment="1">
      <alignment horizontal="center" vertical="center"/>
    </xf>
    <xf numFmtId="1" fontId="50" fillId="0" borderId="50" xfId="3" applyNumberFormat="1" applyFont="1" applyBorder="1" applyAlignment="1">
      <alignment horizontal="right" vertical="center"/>
    </xf>
    <xf numFmtId="1" fontId="32" fillId="0" borderId="51" xfId="3" applyNumberFormat="1" applyFont="1" applyBorder="1" applyAlignment="1">
      <alignment horizontal="right" vertical="center"/>
    </xf>
    <xf numFmtId="0" fontId="32" fillId="0" borderId="52" xfId="3" applyFont="1" applyBorder="1" applyAlignment="1">
      <alignment horizontal="center" vertical="center"/>
    </xf>
    <xf numFmtId="1" fontId="50" fillId="0" borderId="54" xfId="3" applyNumberFormat="1" applyFont="1" applyBorder="1" applyAlignment="1">
      <alignment horizontal="right" vertical="center"/>
    </xf>
    <xf numFmtId="1" fontId="32" fillId="0" borderId="55" xfId="3" applyNumberFormat="1" applyFont="1" applyBorder="1" applyAlignment="1">
      <alignment horizontal="right" vertical="center"/>
    </xf>
    <xf numFmtId="0" fontId="50" fillId="3" borderId="8" xfId="3" applyFont="1" applyFill="1" applyBorder="1" applyAlignment="1">
      <alignment horizontal="center" vertical="center"/>
    </xf>
    <xf numFmtId="1" fontId="50" fillId="3" borderId="60" xfId="3" applyNumberFormat="1" applyFont="1" applyFill="1" applyBorder="1" applyAlignment="1">
      <alignment horizontal="right" vertical="center"/>
    </xf>
    <xf numFmtId="1" fontId="50" fillId="3" borderId="2" xfId="3" applyNumberFormat="1" applyFont="1" applyFill="1" applyBorder="1" applyAlignment="1">
      <alignment horizontal="right" vertical="center"/>
    </xf>
    <xf numFmtId="1" fontId="50" fillId="3" borderId="11" xfId="3" applyNumberFormat="1" applyFont="1" applyFill="1" applyBorder="1" applyAlignment="1">
      <alignment horizontal="right" vertical="center"/>
    </xf>
    <xf numFmtId="0" fontId="138" fillId="7" borderId="39" xfId="3" applyFont="1" applyFill="1" applyBorder="1" applyAlignment="1">
      <alignment horizontal="center" vertical="center"/>
    </xf>
    <xf numFmtId="1" fontId="54" fillId="2" borderId="9" xfId="3" applyNumberFormat="1" applyFont="1" applyFill="1" applyBorder="1" applyAlignment="1">
      <alignment horizontal="right" vertical="center"/>
    </xf>
    <xf numFmtId="1" fontId="54" fillId="2" borderId="4" xfId="3" applyNumberFormat="1" applyFont="1" applyFill="1" applyBorder="1" applyAlignment="1">
      <alignment horizontal="right" vertical="center"/>
    </xf>
    <xf numFmtId="1" fontId="54" fillId="2" borderId="10" xfId="3" applyNumberFormat="1" applyFont="1" applyFill="1" applyBorder="1" applyAlignment="1">
      <alignment horizontal="right" vertical="center"/>
    </xf>
    <xf numFmtId="3" fontId="54" fillId="2" borderId="9" xfId="3" applyNumberFormat="1" applyFont="1" applyFill="1" applyBorder="1" applyAlignment="1">
      <alignment horizontal="right" vertical="center"/>
    </xf>
    <xf numFmtId="3" fontId="54" fillId="2" borderId="4" xfId="3" applyNumberFormat="1" applyFont="1" applyFill="1" applyBorder="1" applyAlignment="1">
      <alignment horizontal="right" vertical="center"/>
    </xf>
    <xf numFmtId="3" fontId="54" fillId="2" borderId="10" xfId="3" applyNumberFormat="1" applyFont="1" applyFill="1" applyBorder="1" applyAlignment="1">
      <alignment horizontal="right" vertical="center"/>
    </xf>
    <xf numFmtId="0" fontId="50" fillId="0" borderId="0" xfId="3" applyFont="1" applyAlignment="1">
      <alignment vertical="center"/>
    </xf>
    <xf numFmtId="0" fontId="50" fillId="0" borderId="0" xfId="3" applyFont="1" applyAlignment="1">
      <alignment horizontal="right" vertical="center"/>
    </xf>
    <xf numFmtId="0" fontId="138" fillId="8" borderId="39" xfId="3" applyFont="1" applyFill="1" applyBorder="1" applyAlignment="1">
      <alignment horizontal="center" vertical="center"/>
    </xf>
    <xf numFmtId="3" fontId="57" fillId="2" borderId="4" xfId="3" applyNumberFormat="1" applyFont="1" applyFill="1" applyBorder="1" applyAlignment="1">
      <alignment horizontal="right" vertical="center"/>
    </xf>
    <xf numFmtId="3" fontId="57" fillId="2" borderId="9" xfId="3" applyNumberFormat="1" applyFont="1" applyFill="1" applyBorder="1" applyAlignment="1">
      <alignment horizontal="right" vertical="center"/>
    </xf>
    <xf numFmtId="3" fontId="57" fillId="2" borderId="10" xfId="3" applyNumberFormat="1" applyFont="1" applyFill="1" applyBorder="1" applyAlignment="1">
      <alignment horizontal="right" vertical="center"/>
    </xf>
    <xf numFmtId="0" fontId="138" fillId="9" borderId="39" xfId="3" applyFont="1" applyFill="1" applyBorder="1" applyAlignment="1">
      <alignment horizontal="center" vertical="center"/>
    </xf>
    <xf numFmtId="1" fontId="55" fillId="2" borderId="9" xfId="3" applyNumberFormat="1" applyFont="1" applyFill="1" applyBorder="1" applyAlignment="1">
      <alignment horizontal="right" vertical="center"/>
    </xf>
    <xf numFmtId="1" fontId="55" fillId="2" borderId="4" xfId="3" applyNumberFormat="1" applyFont="1" applyFill="1" applyBorder="1" applyAlignment="1">
      <alignment horizontal="right" vertical="center"/>
    </xf>
    <xf numFmtId="1" fontId="55" fillId="2" borderId="10" xfId="3" applyNumberFormat="1" applyFont="1" applyFill="1" applyBorder="1" applyAlignment="1">
      <alignment horizontal="right" vertical="center"/>
    </xf>
    <xf numFmtId="3" fontId="55" fillId="2" borderId="9" xfId="3" applyNumberFormat="1" applyFont="1" applyFill="1" applyBorder="1" applyAlignment="1">
      <alignment horizontal="right" vertical="center"/>
    </xf>
    <xf numFmtId="3" fontId="55" fillId="2" borderId="4" xfId="3" applyNumberFormat="1" applyFont="1" applyFill="1" applyBorder="1" applyAlignment="1">
      <alignment horizontal="right" vertical="center"/>
    </xf>
    <xf numFmtId="3" fontId="55" fillId="2" borderId="10" xfId="3" applyNumberFormat="1" applyFont="1" applyFill="1" applyBorder="1" applyAlignment="1">
      <alignment horizontal="right" vertical="center"/>
    </xf>
    <xf numFmtId="0" fontId="138" fillId="0" borderId="0" xfId="3" applyFont="1" applyAlignment="1">
      <alignment horizontal="center" vertical="center"/>
    </xf>
    <xf numFmtId="1" fontId="55" fillId="2" borderId="0" xfId="3" applyNumberFormat="1" applyFont="1" applyFill="1" applyAlignment="1">
      <alignment horizontal="right" vertical="center"/>
    </xf>
    <xf numFmtId="3" fontId="55" fillId="2" borderId="0" xfId="3" applyNumberFormat="1" applyFont="1" applyFill="1" applyAlignment="1">
      <alignment horizontal="right" vertical="center"/>
    </xf>
    <xf numFmtId="0" fontId="138" fillId="10" borderId="39" xfId="3" applyFont="1" applyFill="1" applyBorder="1" applyAlignment="1">
      <alignment horizontal="center" vertical="center"/>
    </xf>
    <xf numFmtId="1" fontId="58" fillId="2" borderId="9" xfId="3" applyNumberFormat="1" applyFont="1" applyFill="1" applyBorder="1" applyAlignment="1">
      <alignment horizontal="right" vertical="center"/>
    </xf>
    <xf numFmtId="1" fontId="58" fillId="2" borderId="4" xfId="3" applyNumberFormat="1" applyFont="1" applyFill="1" applyBorder="1" applyAlignment="1">
      <alignment horizontal="right" vertical="center"/>
    </xf>
    <xf numFmtId="1" fontId="58" fillId="2" borderId="10" xfId="3" applyNumberFormat="1" applyFont="1" applyFill="1" applyBorder="1" applyAlignment="1">
      <alignment horizontal="right" vertical="center"/>
    </xf>
    <xf numFmtId="3" fontId="58" fillId="2" borderId="9" xfId="3" applyNumberFormat="1" applyFont="1" applyFill="1" applyBorder="1" applyAlignment="1">
      <alignment horizontal="right" vertical="center"/>
    </xf>
    <xf numFmtId="3" fontId="58" fillId="2" borderId="4" xfId="3" applyNumberFormat="1" applyFont="1" applyFill="1" applyBorder="1" applyAlignment="1">
      <alignment horizontal="right" vertical="center"/>
    </xf>
    <xf numFmtId="3" fontId="58" fillId="2" borderId="10" xfId="3" applyNumberFormat="1" applyFont="1" applyFill="1" applyBorder="1" applyAlignment="1">
      <alignment horizontal="right" vertical="center"/>
    </xf>
    <xf numFmtId="0" fontId="138" fillId="11" borderId="39" xfId="3" applyFont="1" applyFill="1" applyBorder="1" applyAlignment="1">
      <alignment horizontal="center" vertical="center"/>
    </xf>
    <xf numFmtId="1" fontId="56" fillId="2" borderId="9" xfId="3" applyNumberFormat="1" applyFont="1" applyFill="1" applyBorder="1" applyAlignment="1">
      <alignment horizontal="right" vertical="center"/>
    </xf>
    <xf numFmtId="1" fontId="56" fillId="2" borderId="4" xfId="3" applyNumberFormat="1" applyFont="1" applyFill="1" applyBorder="1" applyAlignment="1">
      <alignment horizontal="right" vertical="center"/>
    </xf>
    <xf numFmtId="1" fontId="56" fillId="2" borderId="10" xfId="3" applyNumberFormat="1" applyFont="1" applyFill="1" applyBorder="1" applyAlignment="1">
      <alignment horizontal="right" vertical="center"/>
    </xf>
    <xf numFmtId="3" fontId="56" fillId="2" borderId="9" xfId="3" applyNumberFormat="1" applyFont="1" applyFill="1" applyBorder="1" applyAlignment="1">
      <alignment horizontal="right" vertical="center"/>
    </xf>
    <xf numFmtId="3" fontId="56" fillId="2" borderId="4" xfId="3" applyNumberFormat="1" applyFont="1" applyFill="1" applyBorder="1" applyAlignment="1">
      <alignment horizontal="right" vertical="center"/>
    </xf>
    <xf numFmtId="3" fontId="56" fillId="2" borderId="10" xfId="3" applyNumberFormat="1" applyFont="1" applyFill="1" applyBorder="1" applyAlignment="1">
      <alignment horizontal="right" vertical="center"/>
    </xf>
    <xf numFmtId="0" fontId="50" fillId="3" borderId="39" xfId="3" applyFont="1" applyFill="1" applyBorder="1" applyAlignment="1">
      <alignment horizontal="center" vertical="center"/>
    </xf>
    <xf numFmtId="1" fontId="26" fillId="0" borderId="0" xfId="3" applyNumberFormat="1" applyAlignment="1">
      <alignment vertical="center"/>
    </xf>
    <xf numFmtId="1" fontId="84" fillId="0" borderId="0" xfId="3" applyNumberFormat="1" applyFont="1" applyAlignment="1">
      <alignment vertical="center"/>
    </xf>
    <xf numFmtId="0" fontId="65" fillId="0" borderId="0" xfId="3" applyFont="1" applyAlignment="1">
      <alignment horizontal="center" vertical="center"/>
    </xf>
    <xf numFmtId="164" fontId="26" fillId="0" borderId="0" xfId="27" applyNumberFormat="1" applyAlignment="1">
      <alignment vertical="center"/>
    </xf>
    <xf numFmtId="0" fontId="32" fillId="0" borderId="48" xfId="29" applyFont="1" applyBorder="1"/>
    <xf numFmtId="0" fontId="32" fillId="0" borderId="53" xfId="29" applyFont="1" applyBorder="1"/>
    <xf numFmtId="0" fontId="87" fillId="0" borderId="48" xfId="29" applyFont="1" applyBorder="1"/>
    <xf numFmtId="0" fontId="50" fillId="3" borderId="2" xfId="29" applyFont="1" applyFill="1" applyBorder="1" applyAlignment="1">
      <alignment horizontal="center" vertical="center"/>
    </xf>
    <xf numFmtId="3" fontId="32" fillId="3" borderId="60" xfId="3" applyNumberFormat="1" applyFont="1" applyFill="1" applyBorder="1" applyAlignment="1">
      <alignment horizontal="right" vertical="center"/>
    </xf>
    <xf numFmtId="3" fontId="32" fillId="3" borderId="2" xfId="3" applyNumberFormat="1" applyFont="1" applyFill="1" applyBorder="1" applyAlignment="1">
      <alignment horizontal="right" vertical="center"/>
    </xf>
    <xf numFmtId="3" fontId="32" fillId="3" borderId="11" xfId="3" applyNumberFormat="1" applyFont="1" applyFill="1" applyBorder="1" applyAlignment="1">
      <alignment horizontal="right" vertical="center"/>
    </xf>
    <xf numFmtId="3" fontId="32" fillId="3" borderId="59" xfId="3" applyNumberFormat="1" applyFont="1" applyFill="1" applyBorder="1" applyAlignment="1">
      <alignment horizontal="right" vertical="center"/>
    </xf>
    <xf numFmtId="0" fontId="32" fillId="0" borderId="44" xfId="29" applyFont="1" applyBorder="1"/>
    <xf numFmtId="0" fontId="71" fillId="0" borderId="94" xfId="30" applyFont="1" applyBorder="1" applyAlignment="1">
      <alignment horizontal="left" vertical="center" wrapText="1"/>
    </xf>
    <xf numFmtId="3" fontId="32" fillId="0" borderId="25" xfId="3" applyNumberFormat="1" applyFont="1" applyBorder="1" applyAlignment="1">
      <alignment horizontal="right" vertical="center"/>
    </xf>
    <xf numFmtId="3" fontId="32" fillId="0" borderId="26" xfId="3" applyNumberFormat="1" applyFont="1" applyBorder="1" applyAlignment="1">
      <alignment horizontal="right" vertical="center"/>
    </xf>
    <xf numFmtId="3" fontId="32" fillId="0" borderId="27" xfId="3" applyNumberFormat="1" applyFont="1" applyBorder="1" applyAlignment="1">
      <alignment horizontal="right" vertical="center"/>
    </xf>
    <xf numFmtId="0" fontId="32" fillId="0" borderId="50" xfId="29" applyFont="1" applyBorder="1"/>
    <xf numFmtId="0" fontId="32" fillId="0" borderId="49" xfId="29" applyFont="1" applyBorder="1"/>
    <xf numFmtId="0" fontId="32" fillId="0" borderId="35" xfId="29" applyFont="1" applyBorder="1"/>
    <xf numFmtId="3" fontId="32" fillId="0" borderId="36" xfId="3" applyNumberFormat="1" applyFont="1" applyBorder="1" applyAlignment="1">
      <alignment horizontal="right" vertical="center"/>
    </xf>
    <xf numFmtId="0" fontId="32" fillId="0" borderId="51" xfId="3" applyFont="1" applyBorder="1" applyAlignment="1">
      <alignment vertical="center" wrapText="1"/>
    </xf>
    <xf numFmtId="0" fontId="32" fillId="0" borderId="24" xfId="29" applyFont="1" applyBorder="1"/>
    <xf numFmtId="0" fontId="32" fillId="0" borderId="51" xfId="3" applyFont="1" applyBorder="1" applyAlignment="1">
      <alignment vertical="center"/>
    </xf>
    <xf numFmtId="3" fontId="32" fillId="3" borderId="9" xfId="3" applyNumberFormat="1" applyFont="1" applyFill="1" applyBorder="1" applyAlignment="1">
      <alignment horizontal="right" vertical="center"/>
    </xf>
    <xf numFmtId="3" fontId="32" fillId="3" borderId="4" xfId="3" applyNumberFormat="1" applyFont="1" applyFill="1" applyBorder="1" applyAlignment="1">
      <alignment horizontal="right" vertical="center"/>
    </xf>
    <xf numFmtId="3" fontId="32" fillId="3" borderId="10" xfId="3" applyNumberFormat="1" applyFont="1" applyFill="1" applyBorder="1" applyAlignment="1">
      <alignment horizontal="right" vertical="center"/>
    </xf>
    <xf numFmtId="3" fontId="32" fillId="3" borderId="58" xfId="3" applyNumberFormat="1" applyFont="1" applyFill="1" applyBorder="1" applyAlignment="1">
      <alignment horizontal="right" vertical="center"/>
    </xf>
    <xf numFmtId="3" fontId="32" fillId="3" borderId="57" xfId="3" applyNumberFormat="1" applyFont="1" applyFill="1" applyBorder="1" applyAlignment="1">
      <alignment horizontal="right" vertical="center"/>
    </xf>
    <xf numFmtId="0" fontId="54" fillId="0" borderId="10" xfId="29" applyFont="1" applyBorder="1" applyAlignment="1">
      <alignment horizontal="center" vertical="center"/>
    </xf>
    <xf numFmtId="3" fontId="54" fillId="0" borderId="9" xfId="3" applyNumberFormat="1" applyFont="1" applyBorder="1" applyAlignment="1">
      <alignment horizontal="right" vertical="center"/>
    </xf>
    <xf numFmtId="3" fontId="54" fillId="0" borderId="4" xfId="3" applyNumberFormat="1" applyFont="1" applyBorder="1" applyAlignment="1">
      <alignment horizontal="right" vertical="center"/>
    </xf>
    <xf numFmtId="3" fontId="54" fillId="0" borderId="10" xfId="3" applyNumberFormat="1" applyFont="1" applyBorder="1" applyAlignment="1">
      <alignment horizontal="right" vertical="center"/>
    </xf>
    <xf numFmtId="0" fontId="32" fillId="0" borderId="45" xfId="29" applyFont="1" applyBorder="1"/>
    <xf numFmtId="0" fontId="57" fillId="0" borderId="10" xfId="29" applyFont="1" applyBorder="1" applyAlignment="1">
      <alignment horizontal="center" vertical="center"/>
    </xf>
    <xf numFmtId="3" fontId="89" fillId="0" borderId="9" xfId="3" applyNumberFormat="1" applyFont="1" applyBorder="1" applyAlignment="1">
      <alignment horizontal="right" vertical="center"/>
    </xf>
    <xf numFmtId="3" fontId="89" fillId="0" borderId="4" xfId="3" applyNumberFormat="1" applyFont="1" applyBorder="1" applyAlignment="1">
      <alignment horizontal="right" vertical="center"/>
    </xf>
    <xf numFmtId="3" fontId="89" fillId="0" borderId="10" xfId="3" applyNumberFormat="1" applyFont="1" applyBorder="1" applyAlignment="1">
      <alignment horizontal="right" vertical="center"/>
    </xf>
    <xf numFmtId="3" fontId="57" fillId="0" borderId="4" xfId="3" applyNumberFormat="1" applyFont="1" applyBorder="1" applyAlignment="1">
      <alignment horizontal="right" vertical="center"/>
    </xf>
    <xf numFmtId="3" fontId="57" fillId="0" borderId="10" xfId="3" applyNumberFormat="1" applyFont="1" applyBorder="1" applyAlignment="1">
      <alignment horizontal="right" vertical="center"/>
    </xf>
    <xf numFmtId="0" fontId="42" fillId="3" borderId="9" xfId="3" applyFont="1" applyFill="1" applyBorder="1" applyAlignment="1">
      <alignment horizontal="center" vertical="center"/>
    </xf>
    <xf numFmtId="0" fontId="32" fillId="0" borderId="51" xfId="29" applyFont="1" applyBorder="1"/>
    <xf numFmtId="0" fontId="87" fillId="0" borderId="25" xfId="29" applyFont="1" applyBorder="1"/>
    <xf numFmtId="0" fontId="87" fillId="0" borderId="49" xfId="29" applyFont="1" applyBorder="1"/>
    <xf numFmtId="0" fontId="55" fillId="0" borderId="10" xfId="29" applyFont="1" applyBorder="1" applyAlignment="1">
      <alignment horizontal="center" vertical="center"/>
    </xf>
    <xf numFmtId="3" fontId="55" fillId="0" borderId="9" xfId="3" applyNumberFormat="1" applyFont="1" applyBorder="1" applyAlignment="1">
      <alignment horizontal="right" vertical="center"/>
    </xf>
    <xf numFmtId="3" fontId="55" fillId="0" borderId="4" xfId="3" applyNumberFormat="1" applyFont="1" applyBorder="1" applyAlignment="1">
      <alignment horizontal="right" vertical="center"/>
    </xf>
    <xf numFmtId="3" fontId="55" fillId="0" borderId="10" xfId="3" applyNumberFormat="1" applyFont="1" applyBorder="1" applyAlignment="1">
      <alignment horizontal="right" vertical="center"/>
    </xf>
    <xf numFmtId="0" fontId="87" fillId="0" borderId="50" xfId="29" applyFont="1" applyBorder="1"/>
    <xf numFmtId="0" fontId="144" fillId="0" borderId="9" xfId="3" applyFont="1" applyBorder="1" applyAlignment="1">
      <alignment horizontal="center" vertical="center"/>
    </xf>
    <xf numFmtId="0" fontId="58" fillId="0" borderId="10" xfId="29" applyFont="1" applyBorder="1" applyAlignment="1">
      <alignment horizontal="center" vertical="center"/>
    </xf>
    <xf numFmtId="3" fontId="58" fillId="0" borderId="9" xfId="3" applyNumberFormat="1" applyFont="1" applyBorder="1" applyAlignment="1">
      <alignment horizontal="right" vertical="center"/>
    </xf>
    <xf numFmtId="3" fontId="58" fillId="0" borderId="4" xfId="3" applyNumberFormat="1" applyFont="1" applyBorder="1" applyAlignment="1">
      <alignment horizontal="right" vertical="center"/>
    </xf>
    <xf numFmtId="3" fontId="58" fillId="0" borderId="10" xfId="3" applyNumberFormat="1" applyFont="1" applyBorder="1" applyAlignment="1">
      <alignment horizontal="right" vertical="center"/>
    </xf>
    <xf numFmtId="0" fontId="32" fillId="0" borderId="51" xfId="3" applyFont="1" applyBorder="1" applyAlignment="1">
      <alignment horizontal="right" vertical="center"/>
    </xf>
    <xf numFmtId="0" fontId="32" fillId="0" borderId="27" xfId="3" applyFont="1" applyBorder="1" applyAlignment="1">
      <alignment vertical="center"/>
    </xf>
    <xf numFmtId="0" fontId="56" fillId="0" borderId="10" xfId="29" applyFont="1" applyBorder="1" applyAlignment="1">
      <alignment horizontal="center" vertical="center"/>
    </xf>
    <xf numFmtId="3" fontId="56" fillId="0" borderId="9" xfId="3" applyNumberFormat="1" applyFont="1" applyBorder="1" applyAlignment="1">
      <alignment horizontal="right" vertical="center"/>
    </xf>
    <xf numFmtId="3" fontId="56" fillId="0" borderId="4" xfId="3" applyNumberFormat="1" applyFont="1" applyBorder="1" applyAlignment="1">
      <alignment horizontal="right" vertical="center"/>
    </xf>
    <xf numFmtId="3" fontId="56" fillId="0" borderId="10" xfId="3" applyNumberFormat="1" applyFont="1" applyBorder="1" applyAlignment="1">
      <alignment horizontal="right" vertical="center"/>
    </xf>
    <xf numFmtId="0" fontId="32" fillId="0" borderId="2" xfId="3" applyFont="1" applyBorder="1" applyAlignment="1">
      <alignment horizontal="center" vertical="center"/>
    </xf>
    <xf numFmtId="0" fontId="32" fillId="0" borderId="11" xfId="29" applyFont="1" applyBorder="1"/>
    <xf numFmtId="3" fontId="32" fillId="0" borderId="60" xfId="3" applyNumberFormat="1" applyFont="1" applyBorder="1" applyAlignment="1">
      <alignment horizontal="right" vertical="center"/>
    </xf>
    <xf numFmtId="3" fontId="32" fillId="0" borderId="2" xfId="3" applyNumberFormat="1" applyFont="1" applyBorder="1" applyAlignment="1">
      <alignment horizontal="right" vertical="center"/>
    </xf>
    <xf numFmtId="3" fontId="32" fillId="0" borderId="11" xfId="3" applyNumberFormat="1" applyFont="1" applyBorder="1" applyAlignment="1">
      <alignment horizontal="right" vertical="center"/>
    </xf>
    <xf numFmtId="0" fontId="43" fillId="0" borderId="0" xfId="3" applyFont="1"/>
    <xf numFmtId="0" fontId="26" fillId="0" borderId="0" xfId="3" applyAlignment="1">
      <alignment vertical="center" wrapText="1"/>
    </xf>
    <xf numFmtId="0" fontId="26" fillId="0" borderId="0" xfId="3" applyAlignment="1">
      <alignment horizontal="right" vertical="center"/>
    </xf>
    <xf numFmtId="0" fontId="73" fillId="0" borderId="0" xfId="3" applyFont="1" applyBorder="1" applyAlignment="1">
      <alignment vertical="center"/>
    </xf>
    <xf numFmtId="0" fontId="146" fillId="0" borderId="0" xfId="3" applyFont="1" applyAlignment="1">
      <alignment vertical="center"/>
    </xf>
    <xf numFmtId="0" fontId="147" fillId="0" borderId="0" xfId="3" applyFont="1" applyAlignment="1">
      <alignment vertical="center"/>
    </xf>
    <xf numFmtId="1" fontId="32" fillId="3" borderId="39" xfId="4" applyNumberFormat="1" applyFont="1" applyFill="1" applyBorder="1" applyAlignment="1">
      <alignment horizontal="center" vertical="center" wrapText="1"/>
    </xf>
    <xf numFmtId="0" fontId="87" fillId="0" borderId="48" xfId="0" applyFont="1" applyBorder="1" applyAlignment="1">
      <alignment wrapText="1"/>
    </xf>
    <xf numFmtId="3" fontId="52" fillId="0" borderId="51" xfId="3" applyNumberFormat="1" applyFont="1" applyBorder="1" applyAlignment="1">
      <alignment horizontal="right" vertical="center"/>
    </xf>
    <xf numFmtId="3" fontId="52" fillId="0" borderId="48" xfId="3" applyNumberFormat="1" applyFont="1" applyBorder="1" applyAlignment="1">
      <alignment horizontal="right" vertical="center"/>
    </xf>
    <xf numFmtId="0" fontId="32" fillId="0" borderId="48" xfId="0" applyFont="1" applyBorder="1" applyAlignment="1">
      <alignment wrapText="1"/>
    </xf>
    <xf numFmtId="0" fontId="32" fillId="0" borderId="52" xfId="0" applyFont="1" applyBorder="1" applyAlignment="1">
      <alignment wrapText="1"/>
    </xf>
    <xf numFmtId="3" fontId="52" fillId="0" borderId="55" xfId="3" applyNumberFormat="1" applyFont="1" applyBorder="1" applyAlignment="1">
      <alignment horizontal="right" vertical="center"/>
    </xf>
    <xf numFmtId="3" fontId="52" fillId="0" borderId="52" xfId="3" applyNumberFormat="1" applyFont="1" applyBorder="1" applyAlignment="1">
      <alignment horizontal="right" vertical="center"/>
    </xf>
    <xf numFmtId="0" fontId="32" fillId="0" borderId="55" xfId="0" applyFont="1" applyBorder="1" applyAlignment="1">
      <alignment wrapText="1"/>
    </xf>
    <xf numFmtId="3" fontId="52" fillId="0" borderId="27" xfId="3" applyNumberFormat="1" applyFont="1" applyBorder="1" applyAlignment="1">
      <alignment horizontal="right" vertical="center"/>
    </xf>
    <xf numFmtId="0" fontId="50" fillId="3" borderId="11" xfId="0" applyFont="1" applyFill="1" applyBorder="1" applyAlignment="1">
      <alignment horizontal="center" vertical="center" wrapText="1"/>
    </xf>
    <xf numFmtId="3" fontId="52" fillId="3" borderId="27" xfId="3" applyNumberFormat="1" applyFont="1" applyFill="1" applyBorder="1" applyAlignment="1">
      <alignment horizontal="right" vertical="center"/>
    </xf>
    <xf numFmtId="0" fontId="87" fillId="0" borderId="24" xfId="0" applyFont="1" applyBorder="1" applyAlignment="1">
      <alignment wrapText="1"/>
    </xf>
    <xf numFmtId="3" fontId="52" fillId="0" borderId="47" xfId="3" applyNumberFormat="1" applyFont="1" applyBorder="1" applyAlignment="1">
      <alignment horizontal="right" vertical="center"/>
    </xf>
    <xf numFmtId="3" fontId="52" fillId="0" borderId="44" xfId="3" applyNumberFormat="1" applyFont="1" applyBorder="1" applyAlignment="1">
      <alignment horizontal="right" vertical="center"/>
    </xf>
    <xf numFmtId="3" fontId="52" fillId="0" borderId="24" xfId="3" applyNumberFormat="1" applyFont="1" applyBorder="1" applyAlignment="1">
      <alignment horizontal="right" vertical="center"/>
    </xf>
    <xf numFmtId="0" fontId="87" fillId="0" borderId="52" xfId="0" applyFont="1" applyBorder="1" applyAlignment="1">
      <alignment wrapText="1"/>
    </xf>
    <xf numFmtId="0" fontId="22" fillId="0" borderId="50" xfId="0" applyFont="1" applyBorder="1"/>
    <xf numFmtId="0" fontId="87" fillId="0" borderId="51" xfId="0" applyFont="1" applyBorder="1" applyAlignment="1">
      <alignment wrapText="1"/>
    </xf>
    <xf numFmtId="0" fontId="32" fillId="0" borderId="51" xfId="0" applyFont="1" applyBorder="1" applyAlignment="1">
      <alignment wrapText="1"/>
    </xf>
    <xf numFmtId="0" fontId="97" fillId="0" borderId="34" xfId="3" applyFont="1" applyBorder="1" applyAlignment="1">
      <alignment horizontal="center" vertical="center"/>
    </xf>
    <xf numFmtId="0" fontId="22" fillId="0" borderId="50" xfId="0" applyFont="1" applyBorder="1" applyAlignment="1">
      <alignment vertical="center"/>
    </xf>
    <xf numFmtId="3" fontId="52" fillId="0" borderId="36" xfId="3" applyNumberFormat="1" applyFont="1" applyBorder="1" applyAlignment="1">
      <alignment horizontal="right" vertical="center"/>
    </xf>
    <xf numFmtId="3" fontId="52" fillId="0" borderId="34" xfId="3" applyNumberFormat="1" applyFont="1" applyBorder="1" applyAlignment="1">
      <alignment horizontal="right" vertical="center"/>
    </xf>
    <xf numFmtId="0" fontId="88" fillId="3" borderId="36" xfId="0" applyFont="1" applyFill="1" applyBorder="1" applyAlignment="1">
      <alignment horizontal="center" vertical="center" wrapText="1"/>
    </xf>
    <xf numFmtId="3" fontId="52" fillId="3" borderId="8" xfId="3" applyNumberFormat="1" applyFont="1" applyFill="1" applyBorder="1" applyAlignment="1">
      <alignment horizontal="right" vertical="center"/>
    </xf>
    <xf numFmtId="0" fontId="87" fillId="0" borderId="44" xfId="0" applyFont="1" applyBorder="1" applyAlignment="1">
      <alignment wrapText="1"/>
    </xf>
    <xf numFmtId="0" fontId="88" fillId="3" borderId="11" xfId="0" applyFont="1" applyFill="1" applyBorder="1" applyAlignment="1">
      <alignment horizontal="center" vertical="center" wrapText="1"/>
    </xf>
    <xf numFmtId="0" fontId="54" fillId="0" borderId="10" xfId="0" applyFont="1" applyBorder="1" applyAlignment="1">
      <alignment horizontal="center" vertical="center" wrapText="1"/>
    </xf>
    <xf numFmtId="3" fontId="54" fillId="0" borderId="39" xfId="3" applyNumberFormat="1" applyFont="1" applyBorder="1" applyAlignment="1">
      <alignment horizontal="right" vertical="center"/>
    </xf>
    <xf numFmtId="0" fontId="42" fillId="0" borderId="5" xfId="3" applyFont="1" applyBorder="1" applyAlignment="1">
      <alignment horizontal="center" vertical="center"/>
    </xf>
    <xf numFmtId="0" fontId="42" fillId="0" borderId="6" xfId="3" applyFont="1" applyBorder="1" applyAlignment="1">
      <alignment horizontal="center" vertical="center"/>
    </xf>
    <xf numFmtId="0" fontId="32" fillId="0" borderId="44" xfId="0" applyFont="1" applyBorder="1" applyAlignment="1">
      <alignment wrapText="1"/>
    </xf>
    <xf numFmtId="0" fontId="42" fillId="0" borderId="34" xfId="3" applyFont="1" applyBorder="1" applyAlignment="1">
      <alignment horizontal="center" vertical="center"/>
    </xf>
    <xf numFmtId="0" fontId="55" fillId="0" borderId="10" xfId="0" applyFont="1" applyBorder="1" applyAlignment="1">
      <alignment horizontal="center" vertical="center" wrapText="1"/>
    </xf>
    <xf numFmtId="0" fontId="32" fillId="0" borderId="24" xfId="0" applyFont="1" applyBorder="1" applyAlignment="1">
      <alignment wrapText="1"/>
    </xf>
    <xf numFmtId="3" fontId="32" fillId="0" borderId="52" xfId="3" applyNumberFormat="1" applyFont="1" applyBorder="1" applyAlignment="1">
      <alignment horizontal="right" vertical="center"/>
    </xf>
    <xf numFmtId="0" fontId="56" fillId="0" borderId="10" xfId="0" applyFont="1" applyBorder="1" applyAlignment="1">
      <alignment horizontal="center" vertical="center" wrapText="1"/>
    </xf>
    <xf numFmtId="0" fontId="87" fillId="0" borderId="5" xfId="0" applyFont="1" applyBorder="1" applyAlignment="1">
      <alignment wrapText="1"/>
    </xf>
    <xf numFmtId="3" fontId="52" fillId="0" borderId="7" xfId="3" applyNumberFormat="1" applyFont="1" applyBorder="1" applyAlignment="1">
      <alignment horizontal="right" vertical="center"/>
    </xf>
    <xf numFmtId="3" fontId="52" fillId="0" borderId="5" xfId="3" applyNumberFormat="1" applyFont="1" applyBorder="1" applyAlignment="1">
      <alignment horizontal="right" vertical="center"/>
    </xf>
    <xf numFmtId="0" fontId="89" fillId="3" borderId="9" xfId="3" applyFont="1" applyFill="1" applyBorder="1" applyAlignment="1">
      <alignment vertical="center"/>
    </xf>
    <xf numFmtId="0" fontId="89" fillId="0" borderId="5" xfId="3" applyFont="1" applyBorder="1" applyAlignment="1">
      <alignment horizontal="center" vertical="center"/>
    </xf>
    <xf numFmtId="0" fontId="32" fillId="3" borderId="9" xfId="3" applyFont="1" applyFill="1" applyBorder="1" applyAlignment="1">
      <alignment vertical="center"/>
    </xf>
    <xf numFmtId="0" fontId="89" fillId="0" borderId="9" xfId="3" applyFont="1" applyBorder="1" applyAlignment="1">
      <alignment vertical="center"/>
    </xf>
    <xf numFmtId="0" fontId="57" fillId="0" borderId="10" xfId="3" applyFont="1" applyBorder="1" applyAlignment="1">
      <alignment horizontal="center" vertical="center"/>
    </xf>
    <xf numFmtId="0" fontId="58" fillId="0" borderId="10" xfId="3" applyFont="1" applyBorder="1" applyAlignment="1">
      <alignment horizontal="center" vertical="center"/>
    </xf>
    <xf numFmtId="3" fontId="53" fillId="3" borderId="39" xfId="3" applyNumberFormat="1" applyFont="1" applyFill="1" applyBorder="1" applyAlignment="1">
      <alignment horizontal="right" vertical="center"/>
    </xf>
    <xf numFmtId="3" fontId="32" fillId="0" borderId="12" xfId="3" applyNumberFormat="1" applyFont="1" applyBorder="1" applyAlignment="1">
      <alignment horizontal="right" vertical="center"/>
    </xf>
    <xf numFmtId="3" fontId="50" fillId="0" borderId="12" xfId="3" applyNumberFormat="1" applyFont="1" applyBorder="1" applyAlignment="1">
      <alignment horizontal="right" vertical="center"/>
    </xf>
    <xf numFmtId="3" fontId="32" fillId="0" borderId="16" xfId="3" applyNumberFormat="1" applyFont="1" applyBorder="1" applyAlignment="1">
      <alignment horizontal="right" vertical="center"/>
    </xf>
    <xf numFmtId="3" fontId="50" fillId="3" borderId="61" xfId="3" applyNumberFormat="1" applyFont="1" applyFill="1" applyBorder="1" applyAlignment="1">
      <alignment horizontal="right" vertical="center"/>
    </xf>
    <xf numFmtId="3" fontId="50" fillId="3" borderId="8" xfId="3" applyNumberFormat="1" applyFont="1" applyFill="1" applyBorder="1" applyAlignment="1">
      <alignment horizontal="right" vertical="center"/>
    </xf>
    <xf numFmtId="3" fontId="54" fillId="2" borderId="39" xfId="3" applyNumberFormat="1" applyFont="1" applyFill="1" applyBorder="1" applyAlignment="1">
      <alignment horizontal="right" vertical="center"/>
    </xf>
    <xf numFmtId="3" fontId="55" fillId="2" borderId="39" xfId="3" applyNumberFormat="1" applyFont="1" applyFill="1" applyBorder="1" applyAlignment="1">
      <alignment horizontal="right" vertical="center"/>
    </xf>
    <xf numFmtId="3" fontId="56" fillId="2" borderId="39" xfId="3" applyNumberFormat="1" applyFont="1" applyFill="1" applyBorder="1" applyAlignment="1">
      <alignment horizontal="right" vertical="center"/>
    </xf>
    <xf numFmtId="3" fontId="57" fillId="2" borderId="39" xfId="3" applyNumberFormat="1" applyFont="1" applyFill="1" applyBorder="1" applyAlignment="1">
      <alignment horizontal="right" vertical="center"/>
    </xf>
    <xf numFmtId="3" fontId="58" fillId="2" borderId="39" xfId="3" applyNumberFormat="1" applyFont="1" applyFill="1" applyBorder="1" applyAlignment="1">
      <alignment horizontal="right" vertical="center"/>
    </xf>
    <xf numFmtId="3" fontId="50" fillId="3" borderId="39" xfId="3" applyNumberFormat="1" applyFont="1" applyFill="1" applyBorder="1" applyAlignment="1">
      <alignment horizontal="right" vertical="center"/>
    </xf>
    <xf numFmtId="0" fontId="32" fillId="0" borderId="56" xfId="3" applyFont="1" applyBorder="1" applyAlignment="1">
      <alignment horizontal="center" vertical="center"/>
    </xf>
    <xf numFmtId="9" fontId="26" fillId="0" borderId="0" xfId="27" applyAlignment="1">
      <alignment vertical="center"/>
    </xf>
    <xf numFmtId="0" fontId="148" fillId="0" borderId="0" xfId="3" applyFont="1" applyAlignment="1">
      <alignment horizontal="center" vertical="center"/>
    </xf>
    <xf numFmtId="0" fontId="149" fillId="0" borderId="0" xfId="3" applyFont="1" applyAlignment="1">
      <alignment vertical="center"/>
    </xf>
    <xf numFmtId="1" fontId="115" fillId="3" borderId="39" xfId="4" applyNumberFormat="1" applyFont="1" applyFill="1" applyBorder="1" applyAlignment="1">
      <alignment horizontal="center" vertical="center" wrapText="1"/>
    </xf>
    <xf numFmtId="1" fontId="47" fillId="3" borderId="39" xfId="4" applyNumberFormat="1" applyFont="1" applyFill="1" applyBorder="1" applyAlignment="1">
      <alignment horizontal="center" vertical="center" wrapText="1"/>
    </xf>
    <xf numFmtId="0" fontId="96" fillId="0" borderId="0" xfId="3" applyFont="1" applyAlignment="1">
      <alignment vertical="center"/>
    </xf>
    <xf numFmtId="0" fontId="47" fillId="0" borderId="44" xfId="3" applyFont="1" applyBorder="1" applyAlignment="1">
      <alignment horizontal="center" vertical="center"/>
    </xf>
    <xf numFmtId="3" fontId="47" fillId="0" borderId="5" xfId="3" applyNumberFormat="1" applyFont="1" applyBorder="1" applyAlignment="1">
      <alignment horizontal="right" vertical="center" indent="1"/>
    </xf>
    <xf numFmtId="0" fontId="47" fillId="0" borderId="48" xfId="3" applyFont="1" applyBorder="1" applyAlignment="1">
      <alignment horizontal="center" vertical="center"/>
    </xf>
    <xf numFmtId="3" fontId="47" fillId="0" borderId="34" xfId="3" applyNumberFormat="1" applyFont="1" applyBorder="1" applyAlignment="1">
      <alignment horizontal="right" vertical="center" indent="1"/>
    </xf>
    <xf numFmtId="0" fontId="47" fillId="0" borderId="52" xfId="3" applyFont="1" applyBorder="1" applyAlignment="1">
      <alignment horizontal="center" vertical="center"/>
    </xf>
    <xf numFmtId="0" fontId="115" fillId="3" borderId="8" xfId="3" applyFont="1" applyFill="1" applyBorder="1" applyAlignment="1">
      <alignment horizontal="center" vertical="center"/>
    </xf>
    <xf numFmtId="3" fontId="115" fillId="3" borderId="8" xfId="3" applyNumberFormat="1" applyFont="1" applyFill="1" applyBorder="1" applyAlignment="1">
      <alignment horizontal="right" vertical="center" indent="1"/>
    </xf>
    <xf numFmtId="0" fontId="150" fillId="2" borderId="39" xfId="3" applyFont="1" applyFill="1" applyBorder="1" applyAlignment="1">
      <alignment horizontal="center" vertical="center"/>
    </xf>
    <xf numFmtId="3" fontId="150" fillId="2" borderId="39" xfId="3" applyNumberFormat="1" applyFont="1" applyFill="1" applyBorder="1" applyAlignment="1">
      <alignment horizontal="right" vertical="center" indent="1"/>
    </xf>
    <xf numFmtId="0" fontId="151" fillId="2" borderId="39" xfId="3" applyFont="1" applyFill="1" applyBorder="1" applyAlignment="1">
      <alignment horizontal="center" vertical="center"/>
    </xf>
    <xf numFmtId="3" fontId="151" fillId="2" borderId="39" xfId="3" applyNumberFormat="1" applyFont="1" applyFill="1" applyBorder="1" applyAlignment="1">
      <alignment horizontal="right" vertical="center" indent="1"/>
    </xf>
    <xf numFmtId="0" fontId="152" fillId="2" borderId="39" xfId="3" applyFont="1" applyFill="1" applyBorder="1" applyAlignment="1">
      <alignment horizontal="center" vertical="center"/>
    </xf>
    <xf numFmtId="3" fontId="152" fillId="2" borderId="39" xfId="3" applyNumberFormat="1" applyFont="1" applyFill="1" applyBorder="1" applyAlignment="1">
      <alignment horizontal="right" vertical="center" indent="1"/>
    </xf>
    <xf numFmtId="0" fontId="153" fillId="2" borderId="9" xfId="3" applyFont="1" applyFill="1" applyBorder="1" applyAlignment="1">
      <alignment horizontal="center" vertical="center"/>
    </xf>
    <xf numFmtId="3" fontId="153" fillId="2" borderId="39" xfId="3" applyNumberFormat="1" applyFont="1" applyFill="1" applyBorder="1" applyAlignment="1">
      <alignment horizontal="right" vertical="center" indent="1"/>
    </xf>
    <xf numFmtId="0" fontId="154" fillId="3" borderId="8" xfId="3" applyFont="1" applyFill="1" applyBorder="1" applyAlignment="1">
      <alignment horizontal="center" vertical="center"/>
    </xf>
    <xf numFmtId="3" fontId="47" fillId="0" borderId="8" xfId="3" applyNumberFormat="1" applyFont="1" applyBorder="1" applyAlignment="1">
      <alignment horizontal="right" vertical="center" indent="1"/>
    </xf>
    <xf numFmtId="0" fontId="115" fillId="3" borderId="39" xfId="3" applyFont="1" applyFill="1" applyBorder="1" applyAlignment="1">
      <alignment horizontal="center" vertical="center"/>
    </xf>
    <xf numFmtId="3" fontId="115" fillId="3" borderId="39" xfId="3" applyNumberFormat="1" applyFont="1" applyFill="1" applyBorder="1" applyAlignment="1">
      <alignment horizontal="right" vertical="center" indent="1"/>
    </xf>
    <xf numFmtId="3" fontId="47" fillId="0" borderId="44" xfId="3" applyNumberFormat="1" applyFont="1" applyBorder="1" applyAlignment="1">
      <alignment horizontal="right" vertical="center" indent="1"/>
    </xf>
    <xf numFmtId="3" fontId="47" fillId="0" borderId="48" xfId="3" applyNumberFormat="1" applyFont="1" applyBorder="1" applyAlignment="1">
      <alignment horizontal="right" vertical="center" indent="1"/>
    </xf>
    <xf numFmtId="0" fontId="47" fillId="0" borderId="56" xfId="3" applyFont="1" applyBorder="1" applyAlignment="1">
      <alignment horizontal="center" vertical="center"/>
    </xf>
    <xf numFmtId="3" fontId="47" fillId="0" borderId="56" xfId="3" applyNumberFormat="1" applyFont="1" applyBorder="1" applyAlignment="1">
      <alignment horizontal="right" vertical="center" indent="1"/>
    </xf>
    <xf numFmtId="0" fontId="97" fillId="0" borderId="6" xfId="2" applyFont="1" applyBorder="1" applyAlignment="1">
      <alignment horizontal="center" vertical="center"/>
    </xf>
    <xf numFmtId="0" fontId="52" fillId="0" borderId="45" xfId="2" applyFont="1" applyBorder="1" applyAlignment="1">
      <alignment vertical="center"/>
    </xf>
    <xf numFmtId="0" fontId="50" fillId="0" borderId="45" xfId="2" applyFont="1" applyBorder="1" applyAlignment="1">
      <alignment horizontal="right" vertical="center" wrapText="1"/>
    </xf>
    <xf numFmtId="0" fontId="32" fillId="0" borderId="46" xfId="2" applyFont="1" applyBorder="1" applyAlignment="1">
      <alignment horizontal="right" vertical="center" wrapText="1"/>
    </xf>
    <xf numFmtId="0" fontId="50" fillId="0" borderId="46" xfId="2" applyFont="1" applyBorder="1" applyAlignment="1">
      <alignment horizontal="right" vertical="center" wrapText="1"/>
    </xf>
    <xf numFmtId="0" fontId="50" fillId="0" borderId="46" xfId="2" applyFont="1" applyBorder="1" applyAlignment="1">
      <alignment horizontal="right" vertical="center"/>
    </xf>
    <xf numFmtId="0" fontId="32" fillId="0" borderId="45" xfId="2" applyFont="1" applyBorder="1" applyAlignment="1">
      <alignment horizontal="right" vertical="center" wrapText="1"/>
    </xf>
    <xf numFmtId="0" fontId="50" fillId="0" borderId="47" xfId="2" applyFont="1" applyBorder="1" applyAlignment="1">
      <alignment horizontal="right" vertical="center" wrapText="1"/>
    </xf>
    <xf numFmtId="0" fontId="50" fillId="0" borderId="47" xfId="2" applyFont="1" applyBorder="1" applyAlignment="1">
      <alignment horizontal="right" vertical="center"/>
    </xf>
    <xf numFmtId="0" fontId="50" fillId="0" borderId="51" xfId="2" applyFont="1" applyBorder="1" applyAlignment="1">
      <alignment horizontal="right" vertical="center"/>
    </xf>
    <xf numFmtId="0" fontId="52" fillId="2" borderId="49" xfId="2" applyFont="1" applyFill="1" applyBorder="1" applyAlignment="1">
      <alignment vertical="center"/>
    </xf>
    <xf numFmtId="0" fontId="32" fillId="2" borderId="49" xfId="2" applyFont="1" applyFill="1" applyBorder="1" applyAlignment="1">
      <alignment horizontal="right" vertical="center"/>
    </xf>
    <xf numFmtId="0" fontId="32" fillId="2" borderId="50" xfId="2" applyFont="1" applyFill="1" applyBorder="1" applyAlignment="1">
      <alignment horizontal="right" vertical="center"/>
    </xf>
    <xf numFmtId="0" fontId="50" fillId="2" borderId="50" xfId="2" applyFont="1" applyFill="1" applyBorder="1" applyAlignment="1">
      <alignment horizontal="right" vertical="center"/>
    </xf>
    <xf numFmtId="0" fontId="50" fillId="2" borderId="51" xfId="2" applyFont="1" applyFill="1" applyBorder="1" applyAlignment="1">
      <alignment horizontal="right" vertical="center"/>
    </xf>
    <xf numFmtId="0" fontId="32" fillId="2" borderId="49" xfId="2" applyFont="1" applyFill="1" applyBorder="1" applyAlignment="1">
      <alignment vertical="center"/>
    </xf>
    <xf numFmtId="0" fontId="32" fillId="2" borderId="53" xfId="2" applyFont="1" applyFill="1" applyBorder="1" applyAlignment="1">
      <alignment vertical="center"/>
    </xf>
    <xf numFmtId="0" fontId="32" fillId="2" borderId="53" xfId="2" applyFont="1" applyFill="1" applyBorder="1" applyAlignment="1">
      <alignment horizontal="right" vertical="center"/>
    </xf>
    <xf numFmtId="0" fontId="32" fillId="2" borderId="54" xfId="2" applyFont="1" applyFill="1" applyBorder="1" applyAlignment="1">
      <alignment horizontal="right" vertical="center"/>
    </xf>
    <xf numFmtId="0" fontId="50" fillId="2" borderId="54" xfId="2" applyFont="1" applyFill="1" applyBorder="1" applyAlignment="1">
      <alignment horizontal="right" vertical="center"/>
    </xf>
    <xf numFmtId="0" fontId="50" fillId="2" borderId="55" xfId="2" applyFont="1" applyFill="1" applyBorder="1" applyAlignment="1">
      <alignment horizontal="right" vertical="center"/>
    </xf>
    <xf numFmtId="0" fontId="52" fillId="2" borderId="53" xfId="2" applyFont="1" applyFill="1" applyBorder="1" applyAlignment="1">
      <alignment vertical="center"/>
    </xf>
    <xf numFmtId="0" fontId="52" fillId="0" borderId="49" xfId="2" applyFont="1" applyBorder="1" applyAlignment="1">
      <alignment vertical="center"/>
    </xf>
    <xf numFmtId="0" fontId="32" fillId="0" borderId="49" xfId="2" applyFont="1" applyBorder="1" applyAlignment="1">
      <alignment horizontal="right" vertical="center"/>
    </xf>
    <xf numFmtId="0" fontId="32" fillId="0" borderId="50" xfId="2" applyFont="1" applyBorder="1" applyAlignment="1">
      <alignment horizontal="right" vertical="center"/>
    </xf>
    <xf numFmtId="0" fontId="50" fillId="0" borderId="50" xfId="2" applyFont="1" applyBorder="1" applyAlignment="1">
      <alignment horizontal="right" vertical="center"/>
    </xf>
    <xf numFmtId="0" fontId="50" fillId="0" borderId="51" xfId="2" applyFont="1" applyFill="1" applyBorder="1" applyAlignment="1">
      <alignment horizontal="right" vertical="center"/>
    </xf>
    <xf numFmtId="0" fontId="32" fillId="0" borderId="49" xfId="2" applyFont="1" applyBorder="1" applyAlignment="1">
      <alignment vertical="center"/>
    </xf>
    <xf numFmtId="0" fontId="52" fillId="0" borderId="53" xfId="2" applyFont="1" applyBorder="1" applyAlignment="1">
      <alignment vertical="center"/>
    </xf>
    <xf numFmtId="0" fontId="32" fillId="0" borderId="53" xfId="2" applyFont="1" applyBorder="1" applyAlignment="1">
      <alignment horizontal="right" vertical="center"/>
    </xf>
    <xf numFmtId="0" fontId="32" fillId="0" borderId="54" xfId="2" applyFont="1" applyBorder="1" applyAlignment="1">
      <alignment horizontal="right" vertical="center"/>
    </xf>
    <xf numFmtId="0" fontId="50" fillId="0" borderId="54" xfId="2" applyFont="1" applyBorder="1" applyAlignment="1">
      <alignment horizontal="right" vertical="center"/>
    </xf>
    <xf numFmtId="0" fontId="50" fillId="0" borderId="55" xfId="2" applyFont="1" applyBorder="1" applyAlignment="1">
      <alignment horizontal="right" vertical="center"/>
    </xf>
    <xf numFmtId="0" fontId="98" fillId="3" borderId="60" xfId="2" applyFont="1" applyFill="1" applyBorder="1" applyAlignment="1">
      <alignment horizontal="center" vertical="center"/>
    </xf>
    <xf numFmtId="0" fontId="53" fillId="3" borderId="11" xfId="2" applyFont="1" applyFill="1" applyBorder="1" applyAlignment="1">
      <alignment horizontal="center" vertical="center"/>
    </xf>
    <xf numFmtId="0" fontId="32" fillId="3" borderId="60" xfId="2" applyFont="1" applyFill="1" applyBorder="1" applyAlignment="1">
      <alignment horizontal="right" vertical="center"/>
    </xf>
    <xf numFmtId="0" fontId="32" fillId="3" borderId="2" xfId="2" applyFont="1" applyFill="1" applyBorder="1" applyAlignment="1">
      <alignment horizontal="right" vertical="center"/>
    </xf>
    <xf numFmtId="0" fontId="32" fillId="3" borderId="11" xfId="2" applyFont="1" applyFill="1" applyBorder="1" applyAlignment="1">
      <alignment horizontal="right" vertical="center"/>
    </xf>
    <xf numFmtId="0" fontId="50" fillId="3" borderId="11" xfId="2" applyFont="1" applyFill="1" applyBorder="1" applyAlignment="1">
      <alignment horizontal="right" vertical="center"/>
    </xf>
    <xf numFmtId="0" fontId="52" fillId="0" borderId="45" xfId="2" applyFont="1" applyBorder="1" applyAlignment="1">
      <alignment vertical="center" wrapText="1"/>
    </xf>
    <xf numFmtId="0" fontId="32" fillId="0" borderId="45" xfId="2" applyFont="1" applyBorder="1" applyAlignment="1">
      <alignment horizontal="right" vertical="center"/>
    </xf>
    <xf numFmtId="0" fontId="32" fillId="0" borderId="46" xfId="2" applyFont="1" applyBorder="1" applyAlignment="1">
      <alignment horizontal="right" vertical="center"/>
    </xf>
    <xf numFmtId="0" fontId="52" fillId="0" borderId="25" xfId="2" applyFont="1" applyBorder="1" applyAlignment="1">
      <alignment vertical="center" wrapText="1"/>
    </xf>
    <xf numFmtId="0" fontId="32" fillId="0" borderId="25" xfId="2" applyFont="1" applyBorder="1" applyAlignment="1">
      <alignment horizontal="right" vertical="center"/>
    </xf>
    <xf numFmtId="0" fontId="32" fillId="0" borderId="26" xfId="2" applyFont="1" applyBorder="1" applyAlignment="1">
      <alignment horizontal="right" vertical="center"/>
    </xf>
    <xf numFmtId="0" fontId="50" fillId="0" borderId="26" xfId="2" applyFont="1" applyBorder="1" applyAlignment="1">
      <alignment horizontal="right" vertical="center"/>
    </xf>
    <xf numFmtId="0" fontId="50" fillId="0" borderId="27" xfId="2" applyFont="1" applyBorder="1" applyAlignment="1">
      <alignment horizontal="right" vertical="center"/>
    </xf>
    <xf numFmtId="0" fontId="52" fillId="0" borderId="49" xfId="2" applyFont="1" applyBorder="1" applyAlignment="1">
      <alignment vertical="center" wrapText="1"/>
    </xf>
    <xf numFmtId="0" fontId="52" fillId="2" borderId="49" xfId="2" applyFont="1" applyFill="1" applyBorder="1" applyAlignment="1">
      <alignment vertical="center" wrapText="1"/>
    </xf>
    <xf numFmtId="0" fontId="32" fillId="2" borderId="49" xfId="2" applyFont="1" applyFill="1" applyBorder="1" applyAlignment="1">
      <alignment vertical="center" wrapText="1"/>
    </xf>
    <xf numFmtId="0" fontId="32" fillId="0" borderId="49" xfId="2" applyFont="1" applyBorder="1" applyAlignment="1">
      <alignment vertical="center" wrapText="1"/>
    </xf>
    <xf numFmtId="0" fontId="52" fillId="0" borderId="53" xfId="2" applyFont="1" applyBorder="1" applyAlignment="1">
      <alignment vertical="center" wrapText="1"/>
    </xf>
    <xf numFmtId="0" fontId="52" fillId="2" borderId="53" xfId="2" applyFont="1" applyFill="1" applyBorder="1" applyAlignment="1">
      <alignment vertical="center" wrapText="1"/>
    </xf>
    <xf numFmtId="0" fontId="52" fillId="0" borderId="35" xfId="2" applyFont="1" applyBorder="1" applyAlignment="1">
      <alignment vertical="center" wrapText="1"/>
    </xf>
    <xf numFmtId="0" fontId="32" fillId="0" borderId="35" xfId="2" applyFont="1" applyBorder="1" applyAlignment="1">
      <alignment horizontal="right" vertical="center"/>
    </xf>
    <xf numFmtId="0" fontId="50" fillId="0" borderId="0" xfId="2" applyFont="1" applyAlignment="1">
      <alignment horizontal="right" vertical="center"/>
    </xf>
    <xf numFmtId="0" fontId="50" fillId="0" borderId="36" xfId="2" applyFont="1" applyBorder="1" applyAlignment="1">
      <alignment horizontal="right" vertical="center"/>
    </xf>
    <xf numFmtId="0" fontId="97" fillId="0" borderId="9" xfId="2" applyFont="1" applyBorder="1" applyAlignment="1">
      <alignment horizontal="center" vertical="center"/>
    </xf>
    <xf numFmtId="0" fontId="54" fillId="0" borderId="10" xfId="2" applyFont="1" applyBorder="1" applyAlignment="1">
      <alignment horizontal="center" vertical="center" wrapText="1"/>
    </xf>
    <xf numFmtId="0" fontId="54" fillId="0" borderId="9" xfId="2" applyFont="1" applyBorder="1" applyAlignment="1">
      <alignment horizontal="right" vertical="center"/>
    </xf>
    <xf numFmtId="0" fontId="54" fillId="0" borderId="4" xfId="2" applyFont="1" applyBorder="1" applyAlignment="1">
      <alignment horizontal="right" vertical="center"/>
    </xf>
    <xf numFmtId="0" fontId="54" fillId="0" borderId="10" xfId="2" applyFont="1" applyBorder="1" applyAlignment="1">
      <alignment horizontal="right" vertical="center"/>
    </xf>
    <xf numFmtId="0" fontId="42" fillId="0" borderId="39" xfId="2" applyFont="1" applyBorder="1" applyAlignment="1">
      <alignment horizontal="center" vertical="center"/>
    </xf>
    <xf numFmtId="0" fontId="50" fillId="2" borderId="26" xfId="2" applyFont="1" applyFill="1" applyBorder="1" applyAlignment="1">
      <alignment horizontal="right" vertical="center"/>
    </xf>
    <xf numFmtId="0" fontId="32" fillId="0" borderId="53" xfId="2" applyFont="1" applyBorder="1" applyAlignment="1">
      <alignment vertical="center" wrapText="1"/>
    </xf>
    <xf numFmtId="0" fontId="42" fillId="0" borderId="35" xfId="2" applyFont="1" applyBorder="1" applyAlignment="1">
      <alignment horizontal="center" vertical="center"/>
    </xf>
    <xf numFmtId="0" fontId="50" fillId="2" borderId="0" xfId="2" applyFont="1" applyFill="1" applyBorder="1" applyAlignment="1">
      <alignment horizontal="right" vertical="center"/>
    </xf>
    <xf numFmtId="0" fontId="52" fillId="0" borderId="46" xfId="2" applyFont="1" applyBorder="1" applyAlignment="1">
      <alignment vertical="center" wrapText="1"/>
    </xf>
    <xf numFmtId="0" fontId="52" fillId="0" borderId="50" xfId="2" applyFont="1" applyBorder="1" applyAlignment="1">
      <alignment vertical="center" wrapText="1"/>
    </xf>
    <xf numFmtId="0" fontId="32" fillId="2" borderId="50" xfId="2" applyFont="1" applyFill="1" applyBorder="1" applyAlignment="1">
      <alignment vertical="center" wrapText="1"/>
    </xf>
    <xf numFmtId="0" fontId="52" fillId="2" borderId="50" xfId="2" applyFont="1" applyFill="1" applyBorder="1" applyAlignment="1">
      <alignment vertical="center" wrapText="1"/>
    </xf>
    <xf numFmtId="0" fontId="141" fillId="2" borderId="0" xfId="2" applyFont="1" applyFill="1" applyAlignment="1">
      <alignment vertical="center"/>
    </xf>
    <xf numFmtId="0" fontId="32" fillId="0" borderId="50" xfId="2" applyFont="1" applyBorder="1" applyAlignment="1">
      <alignment vertical="center" wrapText="1"/>
    </xf>
    <xf numFmtId="0" fontId="52" fillId="0" borderId="54" xfId="2" applyFont="1" applyBorder="1" applyAlignment="1">
      <alignment vertical="center"/>
    </xf>
    <xf numFmtId="0" fontId="42" fillId="0" borderId="9" xfId="2" applyFont="1" applyBorder="1" applyAlignment="1">
      <alignment horizontal="center" vertical="center"/>
    </xf>
    <xf numFmtId="0" fontId="55" fillId="0" borderId="10" xfId="2" applyFont="1" applyBorder="1" applyAlignment="1">
      <alignment horizontal="center" vertical="center" wrapText="1"/>
    </xf>
    <xf numFmtId="0" fontId="55" fillId="0" borderId="9" xfId="2" applyFont="1" applyBorder="1" applyAlignment="1">
      <alignment horizontal="right" vertical="center"/>
    </xf>
    <xf numFmtId="0" fontId="55" fillId="0" borderId="4" xfId="2" applyFont="1" applyBorder="1" applyAlignment="1">
      <alignment horizontal="right" vertical="center"/>
    </xf>
    <xf numFmtId="0" fontId="55" fillId="0" borderId="10" xfId="2" applyFont="1" applyBorder="1" applyAlignment="1">
      <alignment horizontal="right" vertical="center"/>
    </xf>
    <xf numFmtId="0" fontId="32" fillId="0" borderId="25" xfId="2" applyFont="1" applyBorder="1" applyAlignment="1">
      <alignment vertical="center" wrapText="1"/>
    </xf>
    <xf numFmtId="0" fontId="32" fillId="2" borderId="26" xfId="2" applyFont="1" applyFill="1" applyBorder="1" applyAlignment="1">
      <alignment vertical="center" wrapText="1"/>
    </xf>
    <xf numFmtId="0" fontId="32" fillId="2" borderId="25" xfId="2" applyFont="1" applyFill="1" applyBorder="1" applyAlignment="1">
      <alignment horizontal="right" vertical="center"/>
    </xf>
    <xf numFmtId="0" fontId="32" fillId="2" borderId="26" xfId="2" applyFont="1" applyFill="1" applyBorder="1" applyAlignment="1">
      <alignment horizontal="right" vertical="center"/>
    </xf>
    <xf numFmtId="0" fontId="50" fillId="2" borderId="27" xfId="2" applyFont="1" applyFill="1" applyBorder="1" applyAlignment="1">
      <alignment horizontal="right" vertical="center"/>
    </xf>
    <xf numFmtId="0" fontId="32" fillId="2" borderId="54" xfId="2" applyFont="1" applyFill="1" applyBorder="1" applyAlignment="1">
      <alignment vertical="center" wrapText="1"/>
    </xf>
    <xf numFmtId="0" fontId="98" fillId="0" borderId="39" xfId="2" applyFont="1" applyBorder="1" applyAlignment="1">
      <alignment horizontal="center" vertical="center"/>
    </xf>
    <xf numFmtId="0" fontId="98" fillId="0" borderId="9" xfId="2" applyFont="1" applyBorder="1" applyAlignment="1">
      <alignment horizontal="center" vertical="center"/>
    </xf>
    <xf numFmtId="0" fontId="56" fillId="0" borderId="10" xfId="2" applyFont="1" applyBorder="1" applyAlignment="1">
      <alignment horizontal="center" vertical="center" wrapText="1"/>
    </xf>
    <xf numFmtId="0" fontId="56" fillId="0" borderId="9" xfId="2" applyFont="1" applyBorder="1" applyAlignment="1">
      <alignment horizontal="right" vertical="center"/>
    </xf>
    <xf numFmtId="0" fontId="56" fillId="0" borderId="4" xfId="2" applyFont="1" applyBorder="1" applyAlignment="1">
      <alignment horizontal="right" vertical="center"/>
    </xf>
    <xf numFmtId="0" fontId="56" fillId="0" borderId="10" xfId="2" applyFont="1" applyBorder="1" applyAlignment="1">
      <alignment horizontal="right" vertical="center"/>
    </xf>
    <xf numFmtId="0" fontId="89" fillId="0" borderId="39" xfId="2" applyFont="1" applyBorder="1" applyAlignment="1">
      <alignment horizontal="center" vertical="center"/>
    </xf>
    <xf numFmtId="0" fontId="32" fillId="0" borderId="26" xfId="2" applyFont="1" applyBorder="1" applyAlignment="1">
      <alignment vertical="center" wrapText="1"/>
    </xf>
    <xf numFmtId="0" fontId="50" fillId="0" borderId="35" xfId="2" applyFont="1" applyBorder="1" applyAlignment="1">
      <alignment horizontal="right" vertical="center"/>
    </xf>
    <xf numFmtId="0" fontId="50" fillId="0" borderId="3" xfId="2" applyFont="1" applyBorder="1" applyAlignment="1">
      <alignment horizontal="right" vertical="center"/>
    </xf>
    <xf numFmtId="0" fontId="50" fillId="0" borderId="6" xfId="2" applyFont="1" applyBorder="1" applyAlignment="1">
      <alignment horizontal="right" vertical="center"/>
    </xf>
    <xf numFmtId="0" fontId="50" fillId="0" borderId="7" xfId="2" applyFont="1" applyBorder="1" applyAlignment="1">
      <alignment horizontal="right" vertical="center"/>
    </xf>
    <xf numFmtId="0" fontId="32" fillId="0" borderId="6" xfId="2" applyFont="1" applyBorder="1" applyAlignment="1">
      <alignment horizontal="right" vertical="center"/>
    </xf>
    <xf numFmtId="0" fontId="32" fillId="0" borderId="7" xfId="2" applyFont="1" applyBorder="1" applyAlignment="1">
      <alignment horizontal="right" vertical="center"/>
    </xf>
    <xf numFmtId="0" fontId="32" fillId="0" borderId="49" xfId="2" applyFont="1" applyBorder="1" applyAlignment="1">
      <alignment horizontal="right" vertical="center" wrapText="1"/>
    </xf>
    <xf numFmtId="0" fontId="32" fillId="0" borderId="50" xfId="2" applyFont="1" applyBorder="1" applyAlignment="1">
      <alignment horizontal="right" vertical="center" wrapText="1"/>
    </xf>
    <xf numFmtId="0" fontId="32" fillId="0" borderId="51" xfId="2" applyFont="1" applyBorder="1" applyAlignment="1">
      <alignment horizontal="right" vertical="center" wrapText="1"/>
    </xf>
    <xf numFmtId="0" fontId="32" fillId="0" borderId="47" xfId="2" applyFont="1" applyBorder="1" applyAlignment="1">
      <alignment horizontal="right" vertical="center" wrapText="1"/>
    </xf>
    <xf numFmtId="0" fontId="32" fillId="0" borderId="0" xfId="2" applyFont="1" applyAlignment="1">
      <alignment vertical="center" wrapText="1"/>
    </xf>
    <xf numFmtId="0" fontId="32" fillId="0" borderId="35" xfId="2" applyFont="1" applyBorder="1" applyAlignment="1">
      <alignment horizontal="right" vertical="center" wrapText="1"/>
    </xf>
    <xf numFmtId="0" fontId="32" fillId="0" borderId="36" xfId="2" applyFont="1" applyBorder="1" applyAlignment="1">
      <alignment horizontal="right" vertical="center" wrapText="1"/>
    </xf>
    <xf numFmtId="0" fontId="57" fillId="0" borderId="4" xfId="2" applyFont="1" applyBorder="1" applyAlignment="1">
      <alignment horizontal="center" vertical="center"/>
    </xf>
    <xf numFmtId="0" fontId="89" fillId="0" borderId="4" xfId="2" applyFont="1" applyBorder="1" applyAlignment="1">
      <alignment horizontal="right" vertical="center"/>
    </xf>
    <xf numFmtId="0" fontId="57" fillId="0" borderId="4" xfId="2" applyFont="1" applyBorder="1" applyAlignment="1">
      <alignment horizontal="right" vertical="center"/>
    </xf>
    <xf numFmtId="0" fontId="57" fillId="0" borderId="10" xfId="2" applyFont="1" applyBorder="1" applyAlignment="1">
      <alignment horizontal="right" vertical="center"/>
    </xf>
    <xf numFmtId="0" fontId="50" fillId="3" borderId="9" xfId="2" applyFont="1" applyFill="1" applyBorder="1" applyAlignment="1">
      <alignment horizontal="right" vertical="center"/>
    </xf>
    <xf numFmtId="0" fontId="50" fillId="3" borderId="4" xfId="2" applyFont="1" applyFill="1" applyBorder="1" applyAlignment="1">
      <alignment horizontal="right" vertical="center"/>
    </xf>
    <xf numFmtId="0" fontId="50" fillId="3" borderId="10" xfId="2" applyFont="1" applyFill="1" applyBorder="1" applyAlignment="1">
      <alignment horizontal="right" vertical="center"/>
    </xf>
    <xf numFmtId="0" fontId="81" fillId="0" borderId="3" xfId="2" applyFont="1" applyBorder="1" applyAlignment="1">
      <alignment vertical="center"/>
    </xf>
    <xf numFmtId="0" fontId="81" fillId="0" borderId="0" xfId="2" applyFont="1" applyAlignment="1">
      <alignment vertical="center"/>
    </xf>
    <xf numFmtId="0" fontId="26" fillId="0" borderId="0" xfId="2" applyAlignment="1">
      <alignment horizontal="center" vertical="center"/>
    </xf>
    <xf numFmtId="0" fontId="45" fillId="0" borderId="0" xfId="3" applyFont="1" applyAlignment="1">
      <alignment vertical="center"/>
    </xf>
    <xf numFmtId="0" fontId="45" fillId="0" borderId="0" xfId="3" applyFont="1" applyAlignment="1">
      <alignment horizontal="center" vertical="center"/>
    </xf>
    <xf numFmtId="1" fontId="50" fillId="3" borderId="57" xfId="3" applyNumberFormat="1" applyFont="1" applyFill="1" applyBorder="1" applyAlignment="1">
      <alignment horizontal="right" vertical="center"/>
    </xf>
    <xf numFmtId="1" fontId="50" fillId="3" borderId="58" xfId="3" applyNumberFormat="1" applyFont="1" applyFill="1" applyBorder="1" applyAlignment="1">
      <alignment horizontal="right" vertical="center"/>
    </xf>
    <xf numFmtId="3" fontId="50" fillId="3" borderId="58" xfId="3" applyNumberFormat="1" applyFont="1" applyFill="1" applyBorder="1" applyAlignment="1">
      <alignment horizontal="right" vertical="center"/>
    </xf>
    <xf numFmtId="3" fontId="50" fillId="3" borderId="59" xfId="3" applyNumberFormat="1" applyFont="1" applyFill="1" applyBorder="1" applyAlignment="1">
      <alignment horizontal="right" vertical="center"/>
    </xf>
    <xf numFmtId="1" fontId="50" fillId="0" borderId="26" xfId="3" applyNumberFormat="1" applyFont="1" applyBorder="1" applyAlignment="1">
      <alignment horizontal="right" vertical="center"/>
    </xf>
    <xf numFmtId="0" fontId="32" fillId="0" borderId="25" xfId="3" applyFont="1" applyBorder="1" applyAlignment="1">
      <alignment horizontal="right" vertical="center"/>
    </xf>
    <xf numFmtId="0" fontId="32" fillId="0" borderId="26" xfId="3" applyFont="1" applyBorder="1" applyAlignment="1">
      <alignment horizontal="right" vertical="center"/>
    </xf>
    <xf numFmtId="0" fontId="32" fillId="0" borderId="27" xfId="3" applyFont="1" applyBorder="1" applyAlignment="1">
      <alignment horizontal="right" vertical="center"/>
    </xf>
    <xf numFmtId="0" fontId="84" fillId="0" borderId="0" xfId="3" applyFont="1" applyAlignment="1">
      <alignment horizontal="right" vertical="center"/>
    </xf>
    <xf numFmtId="1" fontId="57" fillId="2" borderId="9" xfId="3" applyNumberFormat="1" applyFont="1" applyFill="1" applyBorder="1" applyAlignment="1">
      <alignment horizontal="right" vertical="center"/>
    </xf>
    <xf numFmtId="1" fontId="57" fillId="2" borderId="4" xfId="3" applyNumberFormat="1" applyFont="1" applyFill="1" applyBorder="1" applyAlignment="1">
      <alignment horizontal="right" vertical="center"/>
    </xf>
    <xf numFmtId="1" fontId="57" fillId="2" borderId="10" xfId="3" applyNumberFormat="1" applyFont="1" applyFill="1" applyBorder="1" applyAlignment="1">
      <alignment horizontal="right" vertical="center"/>
    </xf>
    <xf numFmtId="1" fontId="32" fillId="0" borderId="57" xfId="3" applyNumberFormat="1" applyFont="1" applyBorder="1" applyAlignment="1">
      <alignment horizontal="right" vertical="center"/>
    </xf>
    <xf numFmtId="1" fontId="32" fillId="0" borderId="58" xfId="3" applyNumberFormat="1" applyFont="1" applyBorder="1" applyAlignment="1">
      <alignment horizontal="right" vertical="center"/>
    </xf>
    <xf numFmtId="1" fontId="50" fillId="0" borderId="59" xfId="3" applyNumberFormat="1" applyFont="1" applyBorder="1" applyAlignment="1">
      <alignment horizontal="right" vertical="center"/>
    </xf>
    <xf numFmtId="1" fontId="50" fillId="0" borderId="58" xfId="3" applyNumberFormat="1" applyFont="1" applyBorder="1" applyAlignment="1">
      <alignment horizontal="right" vertical="center"/>
    </xf>
    <xf numFmtId="3" fontId="32" fillId="0" borderId="58" xfId="3" applyNumberFormat="1" applyFont="1" applyBorder="1" applyAlignment="1">
      <alignment horizontal="right" vertical="center"/>
    </xf>
    <xf numFmtId="3" fontId="50" fillId="0" borderId="58" xfId="3" applyNumberFormat="1" applyFont="1" applyBorder="1" applyAlignment="1">
      <alignment horizontal="right" vertical="center"/>
    </xf>
    <xf numFmtId="3" fontId="50" fillId="0" borderId="59" xfId="3" applyNumberFormat="1" applyFont="1" applyBorder="1" applyAlignment="1">
      <alignment horizontal="right" vertical="center"/>
    </xf>
    <xf numFmtId="1" fontId="50" fillId="3" borderId="9" xfId="3" applyNumberFormat="1" applyFont="1" applyFill="1" applyBorder="1" applyAlignment="1">
      <alignment horizontal="right" vertical="center"/>
    </xf>
    <xf numFmtId="1" fontId="50" fillId="3" borderId="4" xfId="3" applyNumberFormat="1" applyFont="1" applyFill="1" applyBorder="1" applyAlignment="1">
      <alignment horizontal="right" vertical="center"/>
    </xf>
    <xf numFmtId="1" fontId="50" fillId="3" borderId="10" xfId="3" applyNumberFormat="1" applyFont="1" applyFill="1" applyBorder="1" applyAlignment="1">
      <alignment horizontal="right" vertical="center"/>
    </xf>
    <xf numFmtId="0" fontId="83" fillId="0" borderId="0" xfId="3" applyFont="1" applyAlignment="1">
      <alignment horizontal="center" vertical="center"/>
    </xf>
    <xf numFmtId="0" fontId="147" fillId="0" borderId="2" xfId="3" applyFont="1" applyBorder="1" applyAlignment="1">
      <alignment vertical="center"/>
    </xf>
    <xf numFmtId="0" fontId="50" fillId="3" borderId="5" xfId="0" applyFont="1" applyFill="1" applyBorder="1" applyAlignment="1">
      <alignment horizontal="center" vertical="center" wrapText="1"/>
    </xf>
    <xf numFmtId="0" fontId="50" fillId="3" borderId="4" xfId="0" applyFont="1" applyFill="1" applyBorder="1" applyAlignment="1">
      <alignment horizontal="center" vertical="center" wrapText="1"/>
    </xf>
    <xf numFmtId="1" fontId="50" fillId="3" borderId="39" xfId="0" applyNumberFormat="1" applyFont="1" applyFill="1" applyBorder="1" applyAlignment="1">
      <alignment horizontal="center" vertical="center" wrapText="1"/>
    </xf>
    <xf numFmtId="0" fontId="97" fillId="0" borderId="5" xfId="0" applyFont="1" applyBorder="1" applyAlignment="1">
      <alignment horizontal="center" vertical="center" wrapText="1"/>
    </xf>
    <xf numFmtId="0" fontId="158" fillId="0" borderId="44" xfId="0" applyFont="1" applyBorder="1" applyAlignment="1">
      <alignment vertical="center" wrapText="1"/>
    </xf>
    <xf numFmtId="3" fontId="160" fillId="0" borderId="44" xfId="0" applyNumberFormat="1" applyFont="1" applyBorder="1" applyAlignment="1">
      <alignment horizontal="right" vertical="center" wrapText="1"/>
    </xf>
    <xf numFmtId="0" fontId="22" fillId="2" borderId="48" xfId="0" applyFont="1" applyFill="1" applyBorder="1" applyAlignment="1">
      <alignment vertical="center" wrapText="1"/>
    </xf>
    <xf numFmtId="3" fontId="22" fillId="2" borderId="48" xfId="0" applyNumberFormat="1" applyFont="1" applyFill="1" applyBorder="1" applyAlignment="1">
      <alignment horizontal="right" vertical="center" wrapText="1"/>
    </xf>
    <xf numFmtId="0" fontId="158" fillId="2" borderId="48" xfId="0" applyFont="1" applyFill="1" applyBorder="1" applyAlignment="1">
      <alignment vertical="center" wrapText="1"/>
    </xf>
    <xf numFmtId="1" fontId="52" fillId="2" borderId="40" xfId="31" applyNumberFormat="1" applyFont="1" applyFill="1" applyBorder="1" applyAlignment="1">
      <alignment horizontal="left" vertical="center" wrapText="1"/>
    </xf>
    <xf numFmtId="0" fontId="158" fillId="0" borderId="48" xfId="0" applyFont="1" applyBorder="1" applyAlignment="1">
      <alignment vertical="center" wrapText="1"/>
    </xf>
    <xf numFmtId="3" fontId="22" fillId="0" borderId="48" xfId="0" applyNumberFormat="1" applyFont="1" applyBorder="1" applyAlignment="1">
      <alignment horizontal="right" vertical="center" wrapText="1"/>
    </xf>
    <xf numFmtId="0" fontId="22" fillId="0" borderId="48" xfId="0" applyFont="1" applyBorder="1" applyAlignment="1">
      <alignment vertical="center" wrapText="1"/>
    </xf>
    <xf numFmtId="1" fontId="52" fillId="0" borderId="40" xfId="31" applyNumberFormat="1" applyFont="1" applyBorder="1" applyAlignment="1">
      <alignment horizontal="left" vertical="center" wrapText="1"/>
    </xf>
    <xf numFmtId="3" fontId="22" fillId="0" borderId="52" xfId="0" applyNumberFormat="1" applyFont="1" applyBorder="1" applyAlignment="1">
      <alignment horizontal="right" vertical="center" wrapText="1"/>
    </xf>
    <xf numFmtId="0" fontId="32" fillId="3" borderId="60" xfId="0" applyFont="1" applyFill="1" applyBorder="1" applyAlignment="1">
      <alignment vertical="center"/>
    </xf>
    <xf numFmtId="0" fontId="25" fillId="3" borderId="59" xfId="0" applyFont="1" applyFill="1" applyBorder="1" applyAlignment="1">
      <alignment horizontal="center" vertical="center" wrapText="1"/>
    </xf>
    <xf numFmtId="3" fontId="22" fillId="3" borderId="56" xfId="0" applyNumberFormat="1" applyFont="1" applyFill="1" applyBorder="1" applyAlignment="1">
      <alignment horizontal="right" vertical="center" wrapText="1"/>
    </xf>
    <xf numFmtId="0" fontId="22" fillId="0" borderId="24" xfId="0" applyFont="1" applyBorder="1" applyAlignment="1">
      <alignment vertical="center" wrapText="1"/>
    </xf>
    <xf numFmtId="3" fontId="22" fillId="0" borderId="24" xfId="0" applyNumberFormat="1" applyFont="1" applyBorder="1" applyAlignment="1">
      <alignment horizontal="right" vertical="center" wrapText="1"/>
    </xf>
    <xf numFmtId="3" fontId="160" fillId="0" borderId="48" xfId="0" applyNumberFormat="1" applyFont="1" applyBorder="1" applyAlignment="1">
      <alignment horizontal="right" vertical="center" wrapText="1"/>
    </xf>
    <xf numFmtId="3" fontId="160" fillId="2" borderId="48" xfId="0" applyNumberFormat="1" applyFont="1" applyFill="1" applyBorder="1" applyAlignment="1">
      <alignment horizontal="right" vertical="center" wrapText="1"/>
    </xf>
    <xf numFmtId="0" fontId="22" fillId="0" borderId="52" xfId="0" applyFont="1" applyBorder="1" applyAlignment="1">
      <alignment vertical="center" wrapText="1"/>
    </xf>
    <xf numFmtId="3" fontId="22" fillId="3" borderId="52" xfId="0" applyNumberFormat="1" applyFont="1" applyFill="1" applyBorder="1" applyAlignment="1">
      <alignment horizontal="right" vertical="center" wrapText="1"/>
    </xf>
    <xf numFmtId="0" fontId="97" fillId="0" borderId="9" xfId="0" applyFont="1" applyBorder="1" applyAlignment="1">
      <alignment horizontal="center" vertical="center" wrapText="1"/>
    </xf>
    <xf numFmtId="3" fontId="54" fillId="0" borderId="39" xfId="0" applyNumberFormat="1" applyFont="1" applyBorder="1" applyAlignment="1">
      <alignment horizontal="right" vertical="center" wrapText="1"/>
    </xf>
    <xf numFmtId="0" fontId="42" fillId="0" borderId="39" xfId="0" applyFont="1" applyBorder="1" applyAlignment="1">
      <alignment horizontal="center" vertical="center" wrapText="1"/>
    </xf>
    <xf numFmtId="3" fontId="54" fillId="0" borderId="34" xfId="0" applyNumberFormat="1" applyFont="1" applyBorder="1" applyAlignment="1">
      <alignment horizontal="right" vertical="center" wrapText="1"/>
    </xf>
    <xf numFmtId="3" fontId="22" fillId="0" borderId="48" xfId="0" applyNumberFormat="1" applyFont="1" applyFill="1" applyBorder="1" applyAlignment="1">
      <alignment horizontal="right" vertical="center" wrapText="1"/>
    </xf>
    <xf numFmtId="0" fontId="158" fillId="2" borderId="24" xfId="0" applyFont="1" applyFill="1" applyBorder="1" applyAlignment="1">
      <alignment vertical="center" wrapText="1"/>
    </xf>
    <xf numFmtId="3" fontId="160" fillId="2" borderId="24" xfId="0" applyNumberFormat="1" applyFont="1" applyFill="1" applyBorder="1" applyAlignment="1">
      <alignment horizontal="right" vertical="center" wrapText="1"/>
    </xf>
    <xf numFmtId="0" fontId="22" fillId="0" borderId="55" xfId="0" applyFont="1" applyBorder="1" applyAlignment="1">
      <alignment vertical="center" wrapText="1"/>
    </xf>
    <xf numFmtId="0" fontId="42" fillId="0" borderId="5" xfId="0" applyFont="1" applyBorder="1" applyAlignment="1">
      <alignment horizontal="center" vertical="center" wrapText="1"/>
    </xf>
    <xf numFmtId="0" fontId="160" fillId="2" borderId="48" xfId="0" applyFont="1" applyFill="1" applyBorder="1" applyAlignment="1">
      <alignment vertical="center" wrapText="1"/>
    </xf>
    <xf numFmtId="3" fontId="75" fillId="0" borderId="48" xfId="0" applyNumberFormat="1" applyFont="1" applyBorder="1" applyAlignment="1">
      <alignment horizontal="right" vertical="center" wrapText="1"/>
    </xf>
    <xf numFmtId="3" fontId="0" fillId="0" borderId="0" xfId="0" applyNumberFormat="1"/>
    <xf numFmtId="0" fontId="42" fillId="0" borderId="9" xfId="0" applyFont="1" applyBorder="1" applyAlignment="1">
      <alignment horizontal="center" vertical="center" wrapText="1"/>
    </xf>
    <xf numFmtId="3" fontId="55" fillId="0" borderId="39" xfId="0" applyNumberFormat="1" applyFont="1" applyBorder="1" applyAlignment="1">
      <alignment horizontal="right" vertical="center" wrapText="1"/>
    </xf>
    <xf numFmtId="3" fontId="32" fillId="2" borderId="48" xfId="0" applyNumberFormat="1" applyFont="1" applyFill="1" applyBorder="1" applyAlignment="1">
      <alignment horizontal="right" vertical="center" wrapText="1"/>
    </xf>
    <xf numFmtId="3" fontId="32" fillId="0" borderId="48" xfId="0" applyNumberFormat="1" applyFont="1" applyFill="1" applyBorder="1" applyAlignment="1">
      <alignment horizontal="right" vertical="center" wrapText="1"/>
    </xf>
    <xf numFmtId="0" fontId="22" fillId="2" borderId="24" xfId="0" applyFont="1" applyFill="1" applyBorder="1" applyAlignment="1">
      <alignment vertical="center" wrapText="1"/>
    </xf>
    <xf numFmtId="3" fontId="22" fillId="2" borderId="24" xfId="0" applyNumberFormat="1" applyFont="1" applyFill="1" applyBorder="1" applyAlignment="1">
      <alignment horizontal="right" vertical="center" wrapText="1"/>
    </xf>
    <xf numFmtId="0" fontId="98" fillId="0" borderId="39" xfId="0" applyFont="1" applyBorder="1" applyAlignment="1">
      <alignment horizontal="center" vertical="center" wrapText="1"/>
    </xf>
    <xf numFmtId="0" fontId="98" fillId="0" borderId="9" xfId="0" applyFont="1" applyBorder="1" applyAlignment="1">
      <alignment horizontal="center" vertical="center" wrapText="1"/>
    </xf>
    <xf numFmtId="3" fontId="56" fillId="0" borderId="39" xfId="0" applyNumberFormat="1" applyFont="1" applyBorder="1" applyAlignment="1">
      <alignment horizontal="right" vertical="center" wrapText="1"/>
    </xf>
    <xf numFmtId="0" fontId="89" fillId="0" borderId="5" xfId="0" applyFont="1" applyBorder="1" applyAlignment="1">
      <alignment horizontal="center" vertical="center"/>
    </xf>
    <xf numFmtId="0" fontId="89" fillId="0" borderId="39" xfId="0" applyFont="1" applyBorder="1" applyAlignment="1">
      <alignment horizontal="center" vertical="center" wrapText="1"/>
    </xf>
    <xf numFmtId="3" fontId="22" fillId="3" borderId="58" xfId="0" applyNumberFormat="1" applyFont="1" applyFill="1" applyBorder="1" applyAlignment="1">
      <alignment horizontal="right" vertical="center" wrapText="1"/>
    </xf>
    <xf numFmtId="0" fontId="89" fillId="0" borderId="39" xfId="0" applyFont="1" applyBorder="1" applyAlignment="1">
      <alignment horizontal="center" vertical="center"/>
    </xf>
    <xf numFmtId="0" fontId="22" fillId="0" borderId="0" xfId="0" applyFont="1" applyAlignment="1">
      <alignment horizontal="left" vertical="center" wrapText="1"/>
    </xf>
    <xf numFmtId="0" fontId="0" fillId="0" borderId="5" xfId="0" applyBorder="1" applyAlignment="1">
      <alignment horizontal="right"/>
    </xf>
    <xf numFmtId="0" fontId="0" fillId="0" borderId="0" xfId="0" applyAlignment="1">
      <alignment horizontal="right"/>
    </xf>
    <xf numFmtId="3" fontId="22" fillId="3" borderId="8" xfId="0" applyNumberFormat="1" applyFont="1" applyFill="1" applyBorder="1" applyAlignment="1">
      <alignment horizontal="right" vertical="center" wrapText="1"/>
    </xf>
    <xf numFmtId="3" fontId="22" fillId="3" borderId="2" xfId="0" applyNumberFormat="1" applyFont="1" applyFill="1" applyBorder="1" applyAlignment="1">
      <alignment horizontal="right" vertical="center" wrapText="1"/>
    </xf>
    <xf numFmtId="0" fontId="89" fillId="2" borderId="5" xfId="0" applyFont="1" applyFill="1" applyBorder="1" applyAlignment="1">
      <alignment horizontal="center" vertical="center"/>
    </xf>
    <xf numFmtId="0" fontId="89" fillId="0" borderId="9" xfId="0" applyFont="1" applyBorder="1" applyAlignment="1">
      <alignment horizontal="center" vertical="center" wrapText="1"/>
    </xf>
    <xf numFmtId="0" fontId="57" fillId="0" borderId="10" xfId="0" applyFont="1" applyBorder="1" applyAlignment="1">
      <alignment horizontal="center" vertical="center" wrapText="1"/>
    </xf>
    <xf numFmtId="3" fontId="57" fillId="0" borderId="39" xfId="0" applyNumberFormat="1" applyFont="1" applyBorder="1" applyAlignment="1">
      <alignment horizontal="right" vertical="center" wrapText="1"/>
    </xf>
    <xf numFmtId="3" fontId="57" fillId="0" borderId="4" xfId="0" applyNumberFormat="1" applyFont="1" applyBorder="1" applyAlignment="1">
      <alignment horizontal="right" vertical="center" wrapText="1"/>
    </xf>
    <xf numFmtId="3" fontId="50" fillId="3" borderId="39" xfId="0" applyNumberFormat="1" applyFont="1" applyFill="1" applyBorder="1" applyAlignment="1">
      <alignment horizontal="right" vertical="center" wrapText="1"/>
    </xf>
    <xf numFmtId="0" fontId="163" fillId="0" borderId="0" xfId="0" applyFont="1" applyAlignment="1">
      <alignment horizontal="right"/>
    </xf>
    <xf numFmtId="0" fontId="88" fillId="3" borderId="9" xfId="0" applyFont="1" applyFill="1" applyBorder="1" applyAlignment="1">
      <alignment horizontal="center" vertical="center" wrapText="1" readingOrder="1"/>
    </xf>
    <xf numFmtId="0" fontId="88" fillId="3" borderId="4" xfId="0" applyFont="1" applyFill="1" applyBorder="1" applyAlignment="1">
      <alignment horizontal="center" vertical="center" wrapText="1" readingOrder="1"/>
    </xf>
    <xf numFmtId="0" fontId="88" fillId="0" borderId="8" xfId="0" applyFont="1" applyBorder="1" applyAlignment="1">
      <alignment horizontal="center" vertical="center" wrapText="1" readingOrder="1"/>
    </xf>
    <xf numFmtId="0" fontId="87" fillId="0" borderId="0" xfId="0" applyFont="1" applyAlignment="1">
      <alignment horizontal="left" vertical="center" wrapText="1" readingOrder="1"/>
    </xf>
    <xf numFmtId="0" fontId="87" fillId="0" borderId="44" xfId="0" applyFont="1" applyBorder="1" applyAlignment="1">
      <alignment horizontal="center" vertical="center" wrapText="1" readingOrder="1"/>
    </xf>
    <xf numFmtId="3" fontId="50" fillId="0" borderId="47" xfId="0" applyNumberFormat="1" applyFont="1" applyBorder="1" applyAlignment="1">
      <alignment horizontal="right" vertical="center"/>
    </xf>
    <xf numFmtId="0" fontId="87" fillId="0" borderId="48" xfId="0" applyFont="1" applyBorder="1" applyAlignment="1">
      <alignment horizontal="center" vertical="center" wrapText="1" readingOrder="1"/>
    </xf>
    <xf numFmtId="3" fontId="50" fillId="0" borderId="51" xfId="0" applyNumberFormat="1" applyFont="1" applyBorder="1" applyAlignment="1">
      <alignment horizontal="right" vertical="center"/>
    </xf>
    <xf numFmtId="0" fontId="54" fillId="2" borderId="56" xfId="0" applyFont="1" applyFill="1" applyBorder="1" applyAlignment="1">
      <alignment horizontal="center" vertical="center" wrapText="1" readingOrder="1"/>
    </xf>
    <xf numFmtId="3" fontId="54" fillId="2" borderId="57" xfId="0" applyNumberFormat="1" applyFont="1" applyFill="1" applyBorder="1" applyAlignment="1">
      <alignment horizontal="right" vertical="center" wrapText="1"/>
    </xf>
    <xf numFmtId="3" fontId="54" fillId="2" borderId="58" xfId="0" applyNumberFormat="1" applyFont="1" applyFill="1" applyBorder="1" applyAlignment="1">
      <alignment horizontal="right" vertical="center" wrapText="1"/>
    </xf>
    <xf numFmtId="3" fontId="54" fillId="2" borderId="59" xfId="0" applyNumberFormat="1" applyFont="1" applyFill="1" applyBorder="1" applyAlignment="1">
      <alignment horizontal="right" vertical="center" wrapText="1"/>
    </xf>
    <xf numFmtId="0" fontId="54" fillId="0" borderId="0" xfId="0" applyFont="1" applyAlignment="1">
      <alignment horizontal="center" vertical="center" wrapText="1" readingOrder="1"/>
    </xf>
    <xf numFmtId="0" fontId="54" fillId="0" borderId="0" xfId="0" applyFont="1" applyAlignment="1">
      <alignment horizontal="right" vertical="center" wrapText="1" readingOrder="1"/>
    </xf>
    <xf numFmtId="0" fontId="57" fillId="2" borderId="56" xfId="0" applyFont="1" applyFill="1" applyBorder="1" applyAlignment="1">
      <alignment horizontal="center" vertical="center" wrapText="1" readingOrder="1"/>
    </xf>
    <xf numFmtId="3" fontId="57" fillId="2" borderId="57" xfId="0" applyNumberFormat="1" applyFont="1" applyFill="1" applyBorder="1" applyAlignment="1">
      <alignment horizontal="right" vertical="center" wrapText="1"/>
    </xf>
    <xf numFmtId="3" fontId="57" fillId="2" borderId="58" xfId="0" applyNumberFormat="1" applyFont="1" applyFill="1" applyBorder="1" applyAlignment="1">
      <alignment horizontal="right" vertical="center" wrapText="1"/>
    </xf>
    <xf numFmtId="3" fontId="57" fillId="2" borderId="59" xfId="0" applyNumberFormat="1" applyFont="1" applyFill="1" applyBorder="1" applyAlignment="1">
      <alignment horizontal="right" vertical="center" wrapText="1"/>
    </xf>
    <xf numFmtId="3" fontId="32" fillId="0" borderId="0" xfId="0" applyNumberFormat="1" applyFont="1" applyAlignment="1">
      <alignment horizontal="right"/>
    </xf>
    <xf numFmtId="3" fontId="50" fillId="0" borderId="0" xfId="0" applyNumberFormat="1" applyFont="1" applyAlignment="1">
      <alignment horizontal="right"/>
    </xf>
    <xf numFmtId="0" fontId="55" fillId="2" borderId="56" xfId="0" applyFont="1" applyFill="1" applyBorder="1" applyAlignment="1">
      <alignment horizontal="center" vertical="center" wrapText="1" readingOrder="1"/>
    </xf>
    <xf numFmtId="3" fontId="55" fillId="2" borderId="57" xfId="0" applyNumberFormat="1" applyFont="1" applyFill="1" applyBorder="1" applyAlignment="1">
      <alignment horizontal="right" vertical="center" wrapText="1"/>
    </xf>
    <xf numFmtId="3" fontId="55" fillId="2" borderId="58" xfId="0" applyNumberFormat="1" applyFont="1" applyFill="1" applyBorder="1" applyAlignment="1">
      <alignment horizontal="right" vertical="center" wrapText="1"/>
    </xf>
    <xf numFmtId="3" fontId="55" fillId="2" borderId="59" xfId="0" applyNumberFormat="1" applyFont="1" applyFill="1" applyBorder="1" applyAlignment="1">
      <alignment horizontal="right" vertical="center" wrapText="1"/>
    </xf>
    <xf numFmtId="0" fontId="56" fillId="3" borderId="56" xfId="0" applyFont="1" applyFill="1" applyBorder="1" applyAlignment="1">
      <alignment horizontal="center" vertical="center" wrapText="1" readingOrder="1"/>
    </xf>
    <xf numFmtId="3" fontId="56" fillId="3" borderId="57" xfId="0" applyNumberFormat="1" applyFont="1" applyFill="1" applyBorder="1" applyAlignment="1">
      <alignment horizontal="right" vertical="center" wrapText="1"/>
    </xf>
    <xf numFmtId="3" fontId="56" fillId="3" borderId="58" xfId="0" applyNumberFormat="1" applyFont="1" applyFill="1" applyBorder="1" applyAlignment="1">
      <alignment horizontal="right" vertical="center" wrapText="1"/>
    </xf>
    <xf numFmtId="3" fontId="56" fillId="3" borderId="59" xfId="0" applyNumberFormat="1" applyFont="1" applyFill="1" applyBorder="1" applyAlignment="1">
      <alignment horizontal="right" vertical="center" wrapText="1"/>
    </xf>
    <xf numFmtId="0" fontId="87" fillId="0" borderId="52" xfId="0" applyFont="1" applyBorder="1" applyAlignment="1">
      <alignment horizontal="center" vertical="center" wrapText="1" readingOrder="1"/>
    </xf>
    <xf numFmtId="3" fontId="32" fillId="0" borderId="53" xfId="0" applyNumberFormat="1" applyFont="1" applyBorder="1" applyAlignment="1">
      <alignment horizontal="right" vertical="center"/>
    </xf>
    <xf numFmtId="3" fontId="32" fillId="0" borderId="54" xfId="0" applyNumberFormat="1" applyFont="1" applyBorder="1" applyAlignment="1">
      <alignment horizontal="right" vertical="center"/>
    </xf>
    <xf numFmtId="3" fontId="50" fillId="0" borderId="55" xfId="0" applyNumberFormat="1" applyFont="1" applyBorder="1" applyAlignment="1">
      <alignment horizontal="right" vertical="center"/>
    </xf>
    <xf numFmtId="0" fontId="88" fillId="3" borderId="56" xfId="0" applyFont="1" applyFill="1" applyBorder="1" applyAlignment="1">
      <alignment horizontal="center" vertical="center" wrapText="1" readingOrder="1"/>
    </xf>
    <xf numFmtId="3" fontId="88" fillId="3" borderId="57" xfId="0" applyNumberFormat="1" applyFont="1" applyFill="1" applyBorder="1" applyAlignment="1">
      <alignment horizontal="right" vertical="center" wrapText="1"/>
    </xf>
    <xf numFmtId="3" fontId="88" fillId="3" borderId="58" xfId="0" applyNumberFormat="1" applyFont="1" applyFill="1" applyBorder="1" applyAlignment="1">
      <alignment horizontal="right" vertical="center" wrapText="1"/>
    </xf>
    <xf numFmtId="3" fontId="88" fillId="3" borderId="59" xfId="0" applyNumberFormat="1" applyFont="1" applyFill="1" applyBorder="1" applyAlignment="1">
      <alignment horizontal="right" vertical="center" wrapText="1"/>
    </xf>
    <xf numFmtId="0" fontId="164" fillId="0" borderId="0" xfId="3" applyFont="1" applyAlignment="1">
      <alignment vertical="center"/>
    </xf>
    <xf numFmtId="0" fontId="22" fillId="0" borderId="0" xfId="32"/>
    <xf numFmtId="0" fontId="26" fillId="0" borderId="0" xfId="33" applyFont="1" applyAlignment="1">
      <alignment vertical="center"/>
    </xf>
    <xf numFmtId="0" fontId="166" fillId="0" borderId="0" xfId="33" applyFont="1" applyFill="1" applyBorder="1" applyAlignment="1">
      <alignment vertical="center"/>
    </xf>
    <xf numFmtId="0" fontId="166" fillId="0" borderId="2" xfId="33" applyFont="1" applyFill="1" applyBorder="1" applyAlignment="1">
      <alignment vertical="center"/>
    </xf>
    <xf numFmtId="0" fontId="100" fillId="0" borderId="2" xfId="33" applyFont="1" applyFill="1" applyBorder="1" applyAlignment="1">
      <alignment horizontal="right" vertical="center"/>
    </xf>
    <xf numFmtId="0" fontId="50" fillId="0" borderId="95" xfId="33" applyFont="1" applyFill="1" applyBorder="1" applyAlignment="1">
      <alignment horizontal="center" vertical="center"/>
    </xf>
    <xf numFmtId="0" fontId="50" fillId="0" borderId="95" xfId="33" applyFont="1" applyFill="1" applyBorder="1" applyAlignment="1">
      <alignment horizontal="center" vertical="center" wrapText="1"/>
    </xf>
    <xf numFmtId="0" fontId="32" fillId="0" borderId="70" xfId="33" applyFont="1" applyFill="1" applyBorder="1" applyAlignment="1">
      <alignment horizontal="left" vertical="center" indent="1"/>
    </xf>
    <xf numFmtId="0" fontId="32" fillId="0" borderId="71" xfId="33" applyFont="1" applyFill="1" applyBorder="1" applyAlignment="1">
      <alignment horizontal="center" vertical="center"/>
    </xf>
    <xf numFmtId="0" fontId="32" fillId="0" borderId="73" xfId="33" applyFont="1" applyFill="1" applyBorder="1" applyAlignment="1">
      <alignment horizontal="left" vertical="center" indent="1"/>
    </xf>
    <xf numFmtId="0" fontId="32" fillId="0" borderId="73" xfId="33" applyFont="1" applyFill="1" applyBorder="1" applyAlignment="1">
      <alignment horizontal="center" vertical="center"/>
    </xf>
    <xf numFmtId="0" fontId="32" fillId="0" borderId="74" xfId="33" applyFont="1" applyFill="1" applyBorder="1" applyAlignment="1">
      <alignment horizontal="center" vertical="center"/>
    </xf>
    <xf numFmtId="0" fontId="32" fillId="0" borderId="74" xfId="33" applyFont="1" applyFill="1" applyBorder="1" applyAlignment="1">
      <alignment horizontal="center" vertical="center" wrapText="1"/>
    </xf>
    <xf numFmtId="0" fontId="101" fillId="0" borderId="74" xfId="33" applyFont="1" applyFill="1" applyBorder="1" applyAlignment="1">
      <alignment horizontal="center" vertical="center" wrapText="1"/>
    </xf>
    <xf numFmtId="0" fontId="32" fillId="2" borderId="73" xfId="33" applyFont="1" applyFill="1" applyBorder="1" applyAlignment="1">
      <alignment horizontal="left" vertical="center" indent="1"/>
    </xf>
    <xf numFmtId="0" fontId="32" fillId="2" borderId="73" xfId="33" applyFont="1" applyFill="1" applyBorder="1" applyAlignment="1">
      <alignment horizontal="center" vertical="center"/>
    </xf>
    <xf numFmtId="0" fontId="32" fillId="2" borderId="74" xfId="33" applyFont="1" applyFill="1" applyBorder="1" applyAlignment="1">
      <alignment horizontal="center" vertical="center"/>
    </xf>
    <xf numFmtId="0" fontId="101" fillId="2" borderId="74" xfId="33" applyFont="1" applyFill="1" applyBorder="1" applyAlignment="1">
      <alignment horizontal="center" vertical="center" wrapText="1"/>
    </xf>
    <xf numFmtId="0" fontId="32" fillId="2" borderId="74" xfId="33" applyFont="1" applyFill="1" applyBorder="1" applyAlignment="1">
      <alignment horizontal="center" vertical="center" wrapText="1"/>
    </xf>
    <xf numFmtId="0" fontId="32" fillId="2" borderId="75" xfId="33" applyFont="1" applyFill="1" applyBorder="1" applyAlignment="1">
      <alignment horizontal="left" vertical="center" indent="1"/>
    </xf>
    <xf numFmtId="0" fontId="32" fillId="2" borderId="75" xfId="33" applyFont="1" applyFill="1" applyBorder="1" applyAlignment="1">
      <alignment horizontal="center" vertical="center"/>
    </xf>
    <xf numFmtId="0" fontId="91" fillId="0" borderId="74" xfId="33" applyFont="1" applyFill="1" applyBorder="1" applyAlignment="1">
      <alignment horizontal="center" vertical="center"/>
    </xf>
    <xf numFmtId="0" fontId="101" fillId="2" borderId="74" xfId="33" applyFont="1" applyFill="1" applyBorder="1" applyAlignment="1">
      <alignment horizontal="center" vertical="center"/>
    </xf>
    <xf numFmtId="0" fontId="32" fillId="0" borderId="70" xfId="33" applyFont="1" applyFill="1" applyBorder="1" applyAlignment="1">
      <alignment horizontal="center" vertical="center"/>
    </xf>
    <xf numFmtId="0" fontId="32" fillId="0" borderId="71" xfId="33" applyFont="1" applyFill="1" applyBorder="1" applyAlignment="1">
      <alignment horizontal="center" vertical="center" wrapText="1"/>
    </xf>
    <xf numFmtId="0" fontId="32" fillId="0" borderId="75" xfId="33" applyFont="1" applyFill="1" applyBorder="1" applyAlignment="1">
      <alignment horizontal="left" vertical="center" indent="1"/>
    </xf>
    <xf numFmtId="0" fontId="32" fillId="0" borderId="75" xfId="33" applyFont="1" applyFill="1" applyBorder="1" applyAlignment="1">
      <alignment horizontal="center" vertical="center"/>
    </xf>
    <xf numFmtId="0" fontId="32" fillId="0" borderId="77" xfId="33" applyFont="1" applyFill="1" applyBorder="1" applyAlignment="1">
      <alignment horizontal="center" vertical="center" wrapText="1"/>
    </xf>
    <xf numFmtId="0" fontId="32" fillId="0" borderId="70" xfId="3" applyFont="1" applyFill="1" applyBorder="1" applyAlignment="1">
      <alignment horizontal="left" wrapText="1" indent="1"/>
    </xf>
    <xf numFmtId="0" fontId="32" fillId="2" borderId="73" xfId="3" applyFont="1" applyFill="1" applyBorder="1" applyAlignment="1">
      <alignment horizontal="left" wrapText="1" indent="1"/>
    </xf>
    <xf numFmtId="0" fontId="32" fillId="0" borderId="73" xfId="3" applyFont="1" applyFill="1" applyBorder="1" applyAlignment="1">
      <alignment horizontal="left" wrapText="1" indent="1"/>
    </xf>
    <xf numFmtId="0" fontId="47" fillId="0" borderId="0" xfId="33" applyFont="1" applyAlignment="1">
      <alignment vertical="center"/>
    </xf>
    <xf numFmtId="0" fontId="47" fillId="0" borderId="0" xfId="33" applyFont="1" applyBorder="1" applyAlignment="1">
      <alignment vertical="center"/>
    </xf>
    <xf numFmtId="0" fontId="26" fillId="0" borderId="0" xfId="33" applyFont="1" applyFill="1" applyBorder="1" applyAlignment="1">
      <alignment vertical="center"/>
    </xf>
    <xf numFmtId="0" fontId="167" fillId="0" borderId="0" xfId="33" applyFont="1" applyFill="1" applyBorder="1" applyAlignment="1">
      <alignment vertical="center"/>
    </xf>
    <xf numFmtId="0" fontId="167" fillId="0" borderId="2" xfId="33" applyFont="1" applyFill="1" applyBorder="1" applyAlignment="1">
      <alignment vertical="center"/>
    </xf>
    <xf numFmtId="0" fontId="105" fillId="0" borderId="2" xfId="33" applyFont="1" applyFill="1" applyBorder="1" applyAlignment="1">
      <alignment horizontal="right" vertical="center"/>
    </xf>
    <xf numFmtId="15" fontId="50" fillId="0" borderId="97" xfId="33" applyNumberFormat="1" applyFont="1" applyFill="1" applyBorder="1" applyAlignment="1">
      <alignment horizontal="center" vertical="center"/>
    </xf>
    <xf numFmtId="0" fontId="50" fillId="0" borderId="97" xfId="33" applyFont="1" applyFill="1" applyBorder="1" applyAlignment="1">
      <alignment horizontal="center" vertical="center"/>
    </xf>
    <xf numFmtId="0" fontId="50" fillId="0" borderId="97" xfId="33" applyFont="1" applyFill="1" applyBorder="1" applyAlignment="1">
      <alignment horizontal="center" vertical="center" wrapText="1"/>
    </xf>
    <xf numFmtId="0" fontId="32" fillId="0" borderId="98" xfId="33" applyFont="1" applyFill="1" applyBorder="1" applyAlignment="1">
      <alignment horizontal="center" vertical="center" wrapText="1"/>
    </xf>
    <xf numFmtId="0" fontId="47" fillId="0" borderId="71" xfId="33" applyFont="1" applyFill="1" applyBorder="1" applyAlignment="1">
      <alignment horizontal="center" vertical="center"/>
    </xf>
    <xf numFmtId="0" fontId="101" fillId="2" borderId="77" xfId="33" applyFont="1" applyFill="1" applyBorder="1" applyAlignment="1">
      <alignment horizontal="center" vertical="center"/>
    </xf>
    <xf numFmtId="0" fontId="168" fillId="0" borderId="0" xfId="33" applyFont="1" applyFill="1" applyBorder="1" applyAlignment="1">
      <alignment vertical="center"/>
    </xf>
    <xf numFmtId="0" fontId="168" fillId="0" borderId="2" xfId="33" applyFont="1" applyFill="1" applyBorder="1" applyAlignment="1">
      <alignment vertical="center"/>
    </xf>
    <xf numFmtId="0" fontId="109" fillId="0" borderId="2" xfId="33" applyFont="1" applyFill="1" applyBorder="1" applyAlignment="1">
      <alignment horizontal="right" vertical="center"/>
    </xf>
    <xf numFmtId="0" fontId="50" fillId="0" borderId="101" xfId="33" applyFont="1" applyFill="1" applyBorder="1" applyAlignment="1">
      <alignment horizontal="center" vertical="center"/>
    </xf>
    <xf numFmtId="0" fontId="50" fillId="0" borderId="101" xfId="33" applyFont="1" applyFill="1" applyBorder="1" applyAlignment="1">
      <alignment horizontal="center" vertical="center" wrapText="1"/>
    </xf>
    <xf numFmtId="0" fontId="78" fillId="0" borderId="71" xfId="33" applyFont="1" applyFill="1" applyBorder="1" applyAlignment="1">
      <alignment horizontal="center" vertical="center"/>
    </xf>
    <xf numFmtId="0" fontId="52" fillId="2" borderId="73" xfId="33" applyFont="1" applyFill="1" applyBorder="1" applyAlignment="1">
      <alignment horizontal="left" vertical="center" indent="1"/>
    </xf>
    <xf numFmtId="0" fontId="78" fillId="2" borderId="74" xfId="33" applyFont="1" applyFill="1" applyBorder="1" applyAlignment="1">
      <alignment horizontal="center" vertical="center" wrapText="1"/>
    </xf>
    <xf numFmtId="0" fontId="101" fillId="0" borderId="74" xfId="33" applyFont="1" applyFill="1" applyBorder="1" applyAlignment="1">
      <alignment horizontal="center" vertical="center"/>
    </xf>
    <xf numFmtId="0" fontId="118" fillId="0" borderId="74" xfId="33" applyFont="1" applyFill="1" applyBorder="1" applyAlignment="1">
      <alignment horizontal="center" vertical="center"/>
    </xf>
    <xf numFmtId="0" fontId="52" fillId="0" borderId="75" xfId="33" applyFont="1" applyFill="1" applyBorder="1" applyAlignment="1">
      <alignment horizontal="left" vertical="center" indent="1"/>
    </xf>
    <xf numFmtId="0" fontId="169" fillId="2" borderId="74" xfId="33" applyFont="1" applyFill="1" applyBorder="1" applyAlignment="1">
      <alignment horizontal="center" vertical="center"/>
    </xf>
    <xf numFmtId="0" fontId="78" fillId="0" borderId="74" xfId="33" applyFont="1" applyFill="1" applyBorder="1" applyAlignment="1">
      <alignment horizontal="center" vertical="center"/>
    </xf>
    <xf numFmtId="0" fontId="47" fillId="2" borderId="74" xfId="33" applyFont="1" applyFill="1" applyBorder="1" applyAlignment="1">
      <alignment horizontal="center" vertical="center"/>
    </xf>
    <xf numFmtId="0" fontId="78" fillId="2" borderId="74" xfId="33" applyFont="1" applyFill="1" applyBorder="1" applyAlignment="1">
      <alignment horizontal="center" vertical="center"/>
    </xf>
    <xf numFmtId="0" fontId="47" fillId="0" borderId="74" xfId="33" applyFont="1" applyFill="1" applyBorder="1" applyAlignment="1">
      <alignment horizontal="center" vertical="center"/>
    </xf>
    <xf numFmtId="0" fontId="117" fillId="0" borderId="2" xfId="33" applyFont="1" applyFill="1" applyBorder="1" applyAlignment="1">
      <alignment horizontal="right" vertical="center"/>
    </xf>
    <xf numFmtId="0" fontId="56" fillId="0" borderId="103" xfId="33" applyFont="1" applyFill="1" applyBorder="1" applyAlignment="1">
      <alignment horizontal="center" vertical="center"/>
    </xf>
    <xf numFmtId="0" fontId="50" fillId="0" borderId="103" xfId="33" applyFont="1" applyFill="1" applyBorder="1" applyAlignment="1">
      <alignment horizontal="center" vertical="center"/>
    </xf>
    <xf numFmtId="0" fontId="50" fillId="0" borderId="103" xfId="33" applyFont="1" applyFill="1" applyBorder="1" applyAlignment="1">
      <alignment horizontal="center" vertical="center" wrapText="1"/>
    </xf>
    <xf numFmtId="0" fontId="170" fillId="2" borderId="74" xfId="33" applyFont="1" applyFill="1" applyBorder="1" applyAlignment="1">
      <alignment horizontal="center" vertical="center" wrapText="1"/>
    </xf>
    <xf numFmtId="0" fontId="170" fillId="0" borderId="74" xfId="33" applyFont="1" applyFill="1" applyBorder="1" applyAlignment="1">
      <alignment horizontal="center" vertical="center" wrapText="1"/>
    </xf>
    <xf numFmtId="0" fontId="120" fillId="0" borderId="74" xfId="33" applyFont="1" applyFill="1" applyBorder="1" applyAlignment="1">
      <alignment horizontal="center" vertical="center" wrapText="1"/>
    </xf>
    <xf numFmtId="0" fontId="32" fillId="2" borderId="73" xfId="33" applyFont="1" applyFill="1" applyBorder="1" applyAlignment="1">
      <alignment horizontal="left" vertical="center" wrapText="1" indent="1"/>
    </xf>
    <xf numFmtId="15" fontId="101" fillId="0" borderId="74" xfId="33" applyNumberFormat="1" applyFont="1" applyFill="1" applyBorder="1" applyAlignment="1">
      <alignment horizontal="center" vertical="center"/>
    </xf>
    <xf numFmtId="15" fontId="170" fillId="0" borderId="74" xfId="33" applyNumberFormat="1" applyFont="1" applyFill="1" applyBorder="1" applyAlignment="1">
      <alignment horizontal="center" vertical="center"/>
    </xf>
    <xf numFmtId="0" fontId="171" fillId="0" borderId="77" xfId="33" applyFont="1" applyFill="1" applyBorder="1" applyAlignment="1">
      <alignment horizontal="center" vertical="center"/>
    </xf>
    <xf numFmtId="0" fontId="26" fillId="4" borderId="0" xfId="33" applyFont="1" applyFill="1" applyBorder="1" applyAlignment="1">
      <alignment vertical="center"/>
    </xf>
    <xf numFmtId="0" fontId="172" fillId="4" borderId="0" xfId="33" applyFont="1" applyFill="1" applyBorder="1" applyAlignment="1">
      <alignment vertical="center"/>
    </xf>
    <xf numFmtId="0" fontId="172" fillId="4" borderId="2" xfId="33" applyFont="1" applyFill="1" applyBorder="1" applyAlignment="1">
      <alignment vertical="center"/>
    </xf>
    <xf numFmtId="0" fontId="173" fillId="4" borderId="2" xfId="33" applyFont="1" applyFill="1" applyBorder="1" applyAlignment="1">
      <alignment horizontal="right" vertical="center"/>
    </xf>
    <xf numFmtId="15" fontId="50" fillId="4" borderId="104" xfId="33" applyNumberFormat="1" applyFont="1" applyFill="1" applyBorder="1" applyAlignment="1">
      <alignment horizontal="center" vertical="center"/>
    </xf>
    <xf numFmtId="0" fontId="50" fillId="4" borderId="104" xfId="33" applyFont="1" applyFill="1" applyBorder="1" applyAlignment="1">
      <alignment horizontal="center" vertical="center"/>
    </xf>
    <xf numFmtId="0" fontId="50" fillId="4" borderId="104" xfId="33" applyFont="1" applyFill="1" applyBorder="1" applyAlignment="1">
      <alignment horizontal="center" vertical="center" wrapText="1"/>
    </xf>
    <xf numFmtId="0" fontId="32" fillId="2" borderId="77" xfId="33" applyFont="1" applyFill="1" applyBorder="1" applyAlignment="1">
      <alignment horizontal="center" vertical="center" wrapText="1"/>
    </xf>
    <xf numFmtId="0" fontId="174" fillId="0" borderId="0" xfId="32" applyFont="1"/>
    <xf numFmtId="0" fontId="22" fillId="0" borderId="1" xfId="32" applyFont="1" applyBorder="1" applyAlignment="1">
      <alignment horizontal="center" vertical="center"/>
    </xf>
    <xf numFmtId="0" fontId="25" fillId="0" borderId="87" xfId="32" applyFont="1" applyBorder="1" applyAlignment="1">
      <alignment horizontal="center" vertical="center" wrapText="1"/>
    </xf>
    <xf numFmtId="0" fontId="25" fillId="0" borderId="1" xfId="32" applyFont="1" applyBorder="1" applyAlignment="1">
      <alignment horizontal="center" vertical="center" wrapText="1"/>
    </xf>
    <xf numFmtId="0" fontId="75" fillId="0" borderId="87" xfId="32" applyFont="1" applyBorder="1" applyAlignment="1">
      <alignment horizontal="center" vertical="center"/>
    </xf>
    <xf numFmtId="0" fontId="41" fillId="0" borderId="1" xfId="32" applyFont="1" applyFill="1" applyBorder="1" applyAlignment="1">
      <alignment horizontal="center" vertical="center" wrapText="1"/>
    </xf>
    <xf numFmtId="0" fontId="53" fillId="0" borderId="87" xfId="32" applyFont="1" applyFill="1" applyBorder="1" applyAlignment="1">
      <alignment horizontal="center" vertical="center" wrapText="1"/>
    </xf>
    <xf numFmtId="0" fontId="53" fillId="0" borderId="1" xfId="32" applyFont="1" applyFill="1" applyBorder="1" applyAlignment="1">
      <alignment horizontal="center" vertical="center" wrapText="1"/>
    </xf>
    <xf numFmtId="0" fontId="52" fillId="0" borderId="1" xfId="32" applyFont="1" applyFill="1" applyBorder="1" applyAlignment="1">
      <alignment horizontal="center" vertical="center" wrapText="1"/>
    </xf>
    <xf numFmtId="0" fontId="52" fillId="0" borderId="0" xfId="32" applyFont="1"/>
    <xf numFmtId="0" fontId="175" fillId="0" borderId="0" xfId="32" applyFont="1"/>
    <xf numFmtId="0" fontId="22" fillId="0" borderId="0" xfId="32" applyFont="1"/>
    <xf numFmtId="0" fontId="52" fillId="0" borderId="0" xfId="32" applyFont="1" applyBorder="1"/>
    <xf numFmtId="0" fontId="175" fillId="0" borderId="0" xfId="32" applyFont="1" applyAlignment="1">
      <alignment horizontal="center"/>
    </xf>
    <xf numFmtId="0" fontId="52" fillId="0" borderId="80" xfId="32" applyFont="1" applyFill="1" applyBorder="1" applyAlignment="1">
      <alignment horizontal="center"/>
    </xf>
    <xf numFmtId="0" fontId="22" fillId="0" borderId="71" xfId="32" applyFont="1" applyFill="1" applyBorder="1" applyAlignment="1">
      <alignment horizontal="center"/>
    </xf>
    <xf numFmtId="0" fontId="22" fillId="0" borderId="26" xfId="32" applyFont="1" applyFill="1" applyBorder="1" applyAlignment="1">
      <alignment horizontal="center"/>
    </xf>
    <xf numFmtId="0" fontId="53" fillId="0" borderId="71" xfId="32" applyFont="1" applyFill="1" applyBorder="1" applyAlignment="1">
      <alignment horizontal="center" vertical="center"/>
    </xf>
    <xf numFmtId="0" fontId="22" fillId="0" borderId="25" xfId="32" applyFont="1" applyFill="1" applyBorder="1" applyAlignment="1">
      <alignment horizontal="center"/>
    </xf>
    <xf numFmtId="0" fontId="22" fillId="0" borderId="80" xfId="32" applyFont="1" applyFill="1" applyBorder="1" applyAlignment="1">
      <alignment horizontal="center"/>
    </xf>
    <xf numFmtId="0" fontId="53" fillId="0" borderId="26" xfId="32" applyFont="1" applyFill="1" applyBorder="1" applyAlignment="1">
      <alignment horizontal="center" vertical="center"/>
    </xf>
    <xf numFmtId="164" fontId="52" fillId="0" borderId="27" xfId="26" applyNumberFormat="1" applyFont="1" applyFill="1" applyBorder="1" applyAlignment="1">
      <alignment horizontal="right" vertical="center" indent="1"/>
    </xf>
    <xf numFmtId="0" fontId="52" fillId="0" borderId="25" xfId="32" applyFont="1" applyFill="1" applyBorder="1" applyAlignment="1">
      <alignment horizontal="center" vertical="center"/>
    </xf>
    <xf numFmtId="0" fontId="52" fillId="0" borderId="26" xfId="32" applyFont="1" applyFill="1" applyBorder="1" applyAlignment="1">
      <alignment horizontal="center" vertical="center"/>
    </xf>
    <xf numFmtId="0" fontId="32" fillId="0" borderId="26" xfId="32" applyFont="1" applyFill="1" applyBorder="1" applyAlignment="1">
      <alignment horizontal="center" vertical="center"/>
    </xf>
    <xf numFmtId="0" fontId="53" fillId="0" borderId="105" xfId="32" applyFont="1" applyFill="1" applyBorder="1" applyAlignment="1">
      <alignment horizontal="center" vertical="center"/>
    </xf>
    <xf numFmtId="164" fontId="52" fillId="0" borderId="26" xfId="26" applyNumberFormat="1" applyFont="1" applyFill="1" applyBorder="1" applyAlignment="1">
      <alignment horizontal="right" vertical="center" indent="1"/>
    </xf>
    <xf numFmtId="0" fontId="52" fillId="0" borderId="81" xfId="32" applyFont="1" applyFill="1" applyBorder="1" applyAlignment="1">
      <alignment horizontal="center"/>
    </xf>
    <xf numFmtId="0" fontId="22" fillId="0" borderId="74" xfId="32" applyFont="1" applyFill="1" applyBorder="1" applyAlignment="1">
      <alignment horizontal="center"/>
    </xf>
    <xf numFmtId="0" fontId="22" fillId="0" borderId="50" xfId="32" applyFont="1" applyFill="1" applyBorder="1" applyAlignment="1">
      <alignment horizontal="center"/>
    </xf>
    <xf numFmtId="0" fontId="22" fillId="0" borderId="49" xfId="32" applyFont="1" applyFill="1" applyBorder="1" applyAlignment="1">
      <alignment horizontal="center"/>
    </xf>
    <xf numFmtId="0" fontId="22" fillId="0" borderId="81" xfId="32" applyFont="1" applyFill="1" applyBorder="1" applyAlignment="1">
      <alignment horizontal="center"/>
    </xf>
    <xf numFmtId="164" fontId="52" fillId="0" borderId="51" xfId="26" applyNumberFormat="1" applyFont="1" applyFill="1" applyBorder="1" applyAlignment="1">
      <alignment horizontal="right" vertical="center" indent="1"/>
    </xf>
    <xf numFmtId="0" fontId="52" fillId="0" borderId="49" xfId="32" applyFont="1" applyFill="1" applyBorder="1" applyAlignment="1">
      <alignment horizontal="center" vertical="center"/>
    </xf>
    <xf numFmtId="0" fontId="52" fillId="0" borderId="50" xfId="32" applyFont="1" applyFill="1" applyBorder="1" applyAlignment="1">
      <alignment horizontal="center" vertical="center"/>
    </xf>
    <xf numFmtId="0" fontId="32" fillId="0" borderId="50" xfId="32" applyFont="1" applyFill="1" applyBorder="1" applyAlignment="1">
      <alignment horizontal="center" vertical="center"/>
    </xf>
    <xf numFmtId="0" fontId="53" fillId="0" borderId="106" xfId="32" applyFont="1" applyFill="1" applyBorder="1" applyAlignment="1">
      <alignment horizontal="center" vertical="center"/>
    </xf>
    <xf numFmtId="164" fontId="52" fillId="0" borderId="50" xfId="26" applyNumberFormat="1" applyFont="1" applyFill="1" applyBorder="1" applyAlignment="1">
      <alignment horizontal="right" vertical="center" indent="1"/>
    </xf>
    <xf numFmtId="0" fontId="54" fillId="0" borderId="82" xfId="32" applyFont="1" applyFill="1" applyBorder="1" applyAlignment="1">
      <alignment horizontal="center"/>
    </xf>
    <xf numFmtId="0" fontId="53" fillId="0" borderId="77" xfId="32" applyFont="1" applyFill="1" applyBorder="1" applyAlignment="1">
      <alignment horizontal="center"/>
    </xf>
    <xf numFmtId="0" fontId="53" fillId="0" borderId="58" xfId="32" applyFont="1" applyFill="1" applyBorder="1" applyAlignment="1">
      <alignment horizontal="center"/>
    </xf>
    <xf numFmtId="0" fontId="53" fillId="0" borderId="77" xfId="32" applyFont="1" applyFill="1" applyBorder="1" applyAlignment="1">
      <alignment horizontal="center" vertical="center"/>
    </xf>
    <xf numFmtId="0" fontId="53" fillId="0" borderId="57" xfId="32" applyFont="1" applyFill="1" applyBorder="1" applyAlignment="1">
      <alignment horizontal="center"/>
    </xf>
    <xf numFmtId="0" fontId="53" fillId="0" borderId="82" xfId="32" applyFont="1" applyFill="1" applyBorder="1" applyAlignment="1">
      <alignment horizontal="center"/>
    </xf>
    <xf numFmtId="0" fontId="53" fillId="0" borderId="58" xfId="32" applyFont="1" applyFill="1" applyBorder="1" applyAlignment="1">
      <alignment horizontal="center" vertical="center"/>
    </xf>
    <xf numFmtId="164" fontId="53" fillId="0" borderId="59" xfId="26" applyNumberFormat="1" applyFont="1" applyFill="1" applyBorder="1" applyAlignment="1">
      <alignment horizontal="right" vertical="center" indent="1"/>
    </xf>
    <xf numFmtId="0" fontId="53" fillId="0" borderId="57" xfId="32" applyFont="1" applyFill="1" applyBorder="1" applyAlignment="1">
      <alignment horizontal="center" vertical="center"/>
    </xf>
    <xf numFmtId="0" fontId="53" fillId="0" borderId="107" xfId="32" applyFont="1" applyFill="1" applyBorder="1" applyAlignment="1">
      <alignment horizontal="center" vertical="center"/>
    </xf>
    <xf numFmtId="164" fontId="53" fillId="0" borderId="58" xfId="26" applyNumberFormat="1" applyFont="1" applyFill="1" applyBorder="1" applyAlignment="1">
      <alignment horizontal="right" vertical="center" indent="1"/>
    </xf>
    <xf numFmtId="0" fontId="62" fillId="0" borderId="0" xfId="32" applyFont="1" applyBorder="1" applyAlignment="1">
      <alignment horizontal="center" vertical="center"/>
    </xf>
    <xf numFmtId="0" fontId="57" fillId="0" borderId="82" xfId="32" applyFont="1" applyFill="1" applyBorder="1" applyAlignment="1">
      <alignment horizontal="center"/>
    </xf>
    <xf numFmtId="0" fontId="75" fillId="0" borderId="0" xfId="32" applyFont="1" applyAlignment="1">
      <alignment horizontal="right" indent="1"/>
    </xf>
    <xf numFmtId="0" fontId="75" fillId="0" borderId="36" xfId="32" applyFont="1" applyBorder="1" applyAlignment="1">
      <alignment horizontal="right" indent="1"/>
    </xf>
    <xf numFmtId="0" fontId="52" fillId="0" borderId="108" xfId="32" applyFont="1" applyFill="1" applyBorder="1" applyAlignment="1">
      <alignment horizontal="center"/>
    </xf>
    <xf numFmtId="0" fontId="22" fillId="0" borderId="109" xfId="32" applyFont="1" applyFill="1" applyBorder="1" applyAlignment="1">
      <alignment horizontal="center"/>
    </xf>
    <xf numFmtId="0" fontId="22" fillId="0" borderId="54" xfId="32" applyFont="1" applyFill="1" applyBorder="1" applyAlignment="1">
      <alignment horizontal="center"/>
    </xf>
    <xf numFmtId="0" fontId="22" fillId="0" borderId="53" xfId="32" applyFont="1" applyFill="1" applyBorder="1" applyAlignment="1">
      <alignment horizontal="center"/>
    </xf>
    <xf numFmtId="0" fontId="22" fillId="0" borderId="108" xfId="32" applyFont="1" applyFill="1" applyBorder="1" applyAlignment="1">
      <alignment horizontal="center"/>
    </xf>
    <xf numFmtId="0" fontId="52" fillId="0" borderId="53" xfId="32" applyFont="1" applyFill="1" applyBorder="1" applyAlignment="1">
      <alignment horizontal="center" vertical="center"/>
    </xf>
    <xf numFmtId="0" fontId="52" fillId="0" borderId="54" xfId="32" applyFont="1" applyFill="1" applyBorder="1" applyAlignment="1">
      <alignment horizontal="center" vertical="center"/>
    </xf>
    <xf numFmtId="0" fontId="55" fillId="0" borderId="82" xfId="32" applyFont="1" applyFill="1" applyBorder="1" applyAlignment="1">
      <alignment horizontal="center"/>
    </xf>
    <xf numFmtId="164" fontId="175" fillId="0" borderId="0" xfId="26" applyNumberFormat="1" applyFont="1" applyAlignment="1">
      <alignment horizontal="right" vertical="center" indent="1"/>
    </xf>
    <xf numFmtId="0" fontId="56" fillId="0" borderId="82" xfId="32" applyFont="1" applyFill="1" applyBorder="1" applyAlignment="1">
      <alignment horizontal="center"/>
    </xf>
    <xf numFmtId="0" fontId="176" fillId="0" borderId="0" xfId="32" applyFont="1" applyBorder="1" applyAlignment="1">
      <alignment horizontal="right" vertical="center" indent="1"/>
    </xf>
    <xf numFmtId="0" fontId="52" fillId="0" borderId="105" xfId="32" applyFont="1" applyFill="1" applyBorder="1" applyAlignment="1">
      <alignment horizontal="center" vertical="center"/>
    </xf>
    <xf numFmtId="0" fontId="52" fillId="0" borderId="106" xfId="32" applyFont="1" applyFill="1" applyBorder="1" applyAlignment="1">
      <alignment horizontal="center" vertical="center"/>
    </xf>
    <xf numFmtId="0" fontId="25" fillId="0" borderId="77" xfId="32" applyFont="1" applyFill="1" applyBorder="1" applyAlignment="1">
      <alignment horizontal="center"/>
    </xf>
    <xf numFmtId="0" fontId="25" fillId="0" borderId="58" xfId="32" applyFont="1" applyFill="1" applyBorder="1" applyAlignment="1">
      <alignment horizontal="center"/>
    </xf>
    <xf numFmtId="0" fontId="25" fillId="0" borderId="57" xfId="32" applyFont="1" applyFill="1" applyBorder="1" applyAlignment="1">
      <alignment horizontal="center"/>
    </xf>
    <xf numFmtId="0" fontId="25" fillId="0" borderId="82" xfId="32" applyFont="1" applyFill="1" applyBorder="1" applyAlignment="1">
      <alignment horizontal="center"/>
    </xf>
    <xf numFmtId="3" fontId="53" fillId="3" borderId="88" xfId="32" applyNumberFormat="1" applyFont="1" applyFill="1" applyBorder="1" applyAlignment="1">
      <alignment horizontal="center" vertical="center"/>
    </xf>
    <xf numFmtId="0" fontId="53" fillId="3" borderId="89" xfId="32" applyFont="1" applyFill="1" applyBorder="1" applyAlignment="1">
      <alignment horizontal="center"/>
    </xf>
    <xf numFmtId="0" fontId="53" fillId="3" borderId="2" xfId="32" applyFont="1" applyFill="1" applyBorder="1" applyAlignment="1">
      <alignment horizontal="center"/>
    </xf>
    <xf numFmtId="0" fontId="53" fillId="3" borderId="60" xfId="32" applyFont="1" applyFill="1" applyBorder="1" applyAlignment="1">
      <alignment horizontal="center"/>
    </xf>
    <xf numFmtId="164" fontId="50" fillId="3" borderId="11" xfId="26" applyNumberFormat="1" applyFont="1" applyFill="1" applyBorder="1" applyAlignment="1">
      <alignment horizontal="right" vertical="center" indent="1"/>
    </xf>
    <xf numFmtId="0" fontId="53" fillId="3" borderId="60" xfId="32" applyFont="1" applyFill="1" applyBorder="1" applyAlignment="1">
      <alignment horizontal="center" vertical="center"/>
    </xf>
    <xf numFmtId="0" fontId="53" fillId="3" borderId="2" xfId="32" applyFont="1" applyFill="1" applyBorder="1" applyAlignment="1">
      <alignment horizontal="center" vertical="center"/>
    </xf>
    <xf numFmtId="0" fontId="53" fillId="3" borderId="88" xfId="32" applyFont="1" applyFill="1" applyBorder="1" applyAlignment="1">
      <alignment horizontal="center" vertical="center"/>
    </xf>
    <xf numFmtId="0" fontId="53" fillId="3" borderId="110" xfId="32" applyFont="1" applyFill="1" applyBorder="1" applyAlignment="1">
      <alignment horizontal="center" vertical="center"/>
    </xf>
    <xf numFmtId="164" fontId="50" fillId="3" borderId="2" xfId="26" applyNumberFormat="1" applyFont="1" applyFill="1" applyBorder="1" applyAlignment="1">
      <alignment horizontal="right" vertical="center" indent="1"/>
    </xf>
    <xf numFmtId="9" fontId="79" fillId="0" borderId="0" xfId="27" applyFont="1" applyAlignment="1">
      <alignment horizontal="center" vertical="center"/>
    </xf>
    <xf numFmtId="0" fontId="53" fillId="0" borderId="0" xfId="32" applyFont="1" applyFill="1" applyBorder="1" applyAlignment="1">
      <alignment vertical="center"/>
    </xf>
    <xf numFmtId="0" fontId="52" fillId="0" borderId="0" xfId="32" applyFont="1" applyAlignment="1">
      <alignment horizontal="right"/>
    </xf>
    <xf numFmtId="0" fontId="174" fillId="0" borderId="0" xfId="32" applyFont="1" applyAlignment="1">
      <alignment horizontal="center"/>
    </xf>
    <xf numFmtId="0" fontId="47" fillId="0" borderId="1" xfId="32" applyFont="1" applyFill="1" applyBorder="1" applyAlignment="1">
      <alignment horizontal="center" vertical="center" wrapText="1"/>
    </xf>
    <xf numFmtId="0" fontId="32" fillId="0" borderId="1" xfId="32" applyFont="1" applyFill="1" applyBorder="1" applyAlignment="1">
      <alignment horizontal="center" vertical="center" wrapText="1"/>
    </xf>
    <xf numFmtId="164" fontId="175" fillId="0" borderId="26" xfId="26" applyNumberFormat="1" applyFont="1" applyFill="1" applyBorder="1" applyAlignment="1">
      <alignment horizontal="right" vertical="center" indent="1"/>
    </xf>
    <xf numFmtId="0" fontId="53" fillId="0" borderId="74" xfId="32" applyFont="1" applyFill="1" applyBorder="1" applyAlignment="1">
      <alignment horizontal="center" vertical="center"/>
    </xf>
    <xf numFmtId="164" fontId="175" fillId="0" borderId="50" xfId="26" applyNumberFormat="1" applyFont="1" applyFill="1" applyBorder="1" applyAlignment="1">
      <alignment horizontal="right" vertical="center" indent="1"/>
    </xf>
    <xf numFmtId="164" fontId="177" fillId="0" borderId="58" xfId="26" applyNumberFormat="1" applyFont="1" applyFill="1" applyBorder="1" applyAlignment="1">
      <alignment horizontal="right" vertical="center" indent="1"/>
    </xf>
    <xf numFmtId="0" fontId="22" fillId="0" borderId="0" xfId="32" applyFont="1" applyBorder="1"/>
    <xf numFmtId="3" fontId="52" fillId="0" borderId="0" xfId="32" applyNumberFormat="1" applyFont="1" applyAlignment="1">
      <alignment horizontal="center"/>
    </xf>
    <xf numFmtId="0" fontId="22" fillId="0" borderId="0" xfId="32" applyFont="1" applyBorder="1" applyAlignment="1">
      <alignment horizontal="center"/>
    </xf>
    <xf numFmtId="0" fontId="178" fillId="0" borderId="0" xfId="32" applyFont="1" applyBorder="1" applyAlignment="1">
      <alignment horizontal="center" vertical="center"/>
    </xf>
    <xf numFmtId="0" fontId="22" fillId="0" borderId="0" xfId="32" applyFont="1" applyAlignment="1">
      <alignment horizontal="center"/>
    </xf>
    <xf numFmtId="0" fontId="53" fillId="3" borderId="88" xfId="32" applyFont="1" applyFill="1" applyBorder="1" applyAlignment="1">
      <alignment horizontal="center"/>
    </xf>
    <xf numFmtId="0" fontId="53" fillId="3" borderId="89" xfId="32" applyFont="1" applyFill="1" applyBorder="1" applyAlignment="1">
      <alignment horizontal="center" vertical="center"/>
    </xf>
    <xf numFmtId="164" fontId="177" fillId="3" borderId="2" xfId="26" applyNumberFormat="1" applyFont="1" applyFill="1" applyBorder="1" applyAlignment="1">
      <alignment horizontal="right" vertical="center" indent="1"/>
    </xf>
    <xf numFmtId="164" fontId="52" fillId="0" borderId="0" xfId="32" applyNumberFormat="1" applyFont="1" applyAlignment="1">
      <alignment horizontal="center"/>
    </xf>
    <xf numFmtId="17" fontId="25" fillId="0" borderId="0" xfId="32" applyNumberFormat="1" applyFont="1" applyFill="1" applyBorder="1" applyAlignment="1">
      <alignment horizontal="center" vertical="center"/>
    </xf>
    <xf numFmtId="0" fontId="32" fillId="0" borderId="1" xfId="32" applyFont="1" applyFill="1" applyBorder="1" applyAlignment="1">
      <alignment horizontal="center" vertical="center"/>
    </xf>
    <xf numFmtId="0" fontId="25" fillId="0" borderId="111" xfId="32" applyFont="1" applyFill="1" applyBorder="1" applyAlignment="1">
      <alignment horizontal="center" vertical="center"/>
    </xf>
    <xf numFmtId="0" fontId="53" fillId="0" borderId="0" xfId="32" applyFont="1" applyAlignment="1">
      <alignment vertical="center"/>
    </xf>
    <xf numFmtId="0" fontId="53" fillId="0" borderId="1" xfId="32" applyFont="1" applyBorder="1" applyAlignment="1">
      <alignment horizontal="center" vertical="center" wrapText="1"/>
    </xf>
    <xf numFmtId="0" fontId="32" fillId="0" borderId="1" xfId="32" applyFont="1" applyBorder="1" applyAlignment="1">
      <alignment horizontal="center" vertical="center" wrapText="1"/>
    </xf>
    <xf numFmtId="0" fontId="52" fillId="0" borderId="1" xfId="32" applyFont="1" applyBorder="1" applyAlignment="1">
      <alignment horizontal="center" vertical="center" wrapText="1"/>
    </xf>
    <xf numFmtId="0" fontId="52" fillId="0" borderId="80" xfId="32" applyFont="1" applyBorder="1" applyAlignment="1">
      <alignment horizontal="center"/>
    </xf>
    <xf numFmtId="0" fontId="22" fillId="0" borderId="71" xfId="32" applyFont="1" applyBorder="1" applyAlignment="1">
      <alignment horizontal="center"/>
    </xf>
    <xf numFmtId="0" fontId="22" fillId="0" borderId="26" xfId="32" applyFont="1" applyBorder="1" applyAlignment="1">
      <alignment horizontal="center"/>
    </xf>
    <xf numFmtId="0" fontId="53" fillId="0" borderId="71" xfId="32" applyFont="1" applyBorder="1" applyAlignment="1">
      <alignment horizontal="center" vertical="center"/>
    </xf>
    <xf numFmtId="0" fontId="52" fillId="0" borderId="26" xfId="32" applyFont="1" applyBorder="1" applyAlignment="1">
      <alignment horizontal="center" vertical="center"/>
    </xf>
    <xf numFmtId="0" fontId="32" fillId="0" borderId="26" xfId="32" applyFont="1" applyBorder="1" applyAlignment="1">
      <alignment horizontal="center" vertical="center"/>
    </xf>
    <xf numFmtId="164" fontId="52" fillId="0" borderId="26" xfId="26" applyNumberFormat="1" applyFont="1" applyBorder="1" applyAlignment="1">
      <alignment horizontal="right" vertical="center" indent="1"/>
    </xf>
    <xf numFmtId="164" fontId="175" fillId="0" borderId="26" xfId="26" applyNumberFormat="1" applyFont="1" applyBorder="1" applyAlignment="1">
      <alignment horizontal="right" vertical="center" indent="1"/>
    </xf>
    <xf numFmtId="0" fontId="52" fillId="0" borderId="81" xfId="32" applyFont="1" applyBorder="1" applyAlignment="1">
      <alignment horizontal="center"/>
    </xf>
    <xf numFmtId="0" fontId="22" fillId="0" borderId="74" xfId="32" applyFont="1" applyBorder="1" applyAlignment="1">
      <alignment horizontal="center"/>
    </xf>
    <xf numFmtId="0" fontId="22" fillId="0" borderId="50" xfId="32" applyFont="1" applyBorder="1" applyAlignment="1">
      <alignment horizontal="center"/>
    </xf>
    <xf numFmtId="0" fontId="53" fillId="0" borderId="74" xfId="32" applyFont="1" applyBorder="1" applyAlignment="1">
      <alignment horizontal="center" vertical="center"/>
    </xf>
    <xf numFmtId="0" fontId="52" fillId="0" borderId="50" xfId="32" applyFont="1" applyBorder="1" applyAlignment="1">
      <alignment horizontal="center" vertical="center"/>
    </xf>
    <xf numFmtId="0" fontId="32" fillId="0" borderId="50" xfId="32" applyFont="1" applyBorder="1" applyAlignment="1">
      <alignment horizontal="center" vertical="center"/>
    </xf>
    <xf numFmtId="164" fontId="52" fillId="0" borderId="50" xfId="26" applyNumberFormat="1" applyFont="1" applyBorder="1" applyAlignment="1">
      <alignment horizontal="right" vertical="center" indent="1"/>
    </xf>
    <xf numFmtId="164" fontId="175" fillId="0" borderId="50" xfId="26" applyNumberFormat="1" applyFont="1" applyBorder="1" applyAlignment="1">
      <alignment horizontal="right" vertical="center" indent="1"/>
    </xf>
    <xf numFmtId="0" fontId="54" fillId="0" borderId="82" xfId="32" applyFont="1" applyBorder="1" applyAlignment="1">
      <alignment horizontal="center"/>
    </xf>
    <xf numFmtId="0" fontId="53" fillId="0" borderId="77" xfId="32" applyFont="1" applyBorder="1" applyAlignment="1">
      <alignment horizontal="center"/>
    </xf>
    <xf numFmtId="0" fontId="53" fillId="0" borderId="58" xfId="32" applyFont="1" applyBorder="1" applyAlignment="1">
      <alignment horizontal="center"/>
    </xf>
    <xf numFmtId="0" fontId="53" fillId="0" borderId="77" xfId="32" applyFont="1" applyBorder="1" applyAlignment="1">
      <alignment horizontal="center" vertical="center"/>
    </xf>
    <xf numFmtId="0" fontId="53" fillId="0" borderId="58" xfId="32" applyFont="1" applyBorder="1" applyAlignment="1">
      <alignment horizontal="center" vertical="center"/>
    </xf>
    <xf numFmtId="164" fontId="53" fillId="0" borderId="58" xfId="26" applyNumberFormat="1" applyFont="1" applyBorder="1" applyAlignment="1">
      <alignment horizontal="right" vertical="center" indent="1"/>
    </xf>
    <xf numFmtId="164" fontId="177" fillId="0" borderId="58" xfId="26" applyNumberFormat="1" applyFont="1" applyBorder="1" applyAlignment="1">
      <alignment horizontal="right" vertical="center" indent="1"/>
    </xf>
    <xf numFmtId="0" fontId="62" fillId="0" borderId="0" xfId="32" applyFont="1" applyAlignment="1">
      <alignment horizontal="center" vertical="center"/>
    </xf>
    <xf numFmtId="0" fontId="57" fillId="0" borderId="82" xfId="32" applyFont="1" applyBorder="1" applyAlignment="1">
      <alignment horizontal="center"/>
    </xf>
    <xf numFmtId="0" fontId="52" fillId="0" borderId="108" xfId="32" applyFont="1" applyBorder="1" applyAlignment="1">
      <alignment horizontal="center"/>
    </xf>
    <xf numFmtId="0" fontId="22" fillId="0" borderId="109" xfId="32" applyFont="1" applyBorder="1" applyAlignment="1">
      <alignment horizontal="center"/>
    </xf>
    <xf numFmtId="0" fontId="22" fillId="0" borderId="54" xfId="32" applyFont="1" applyBorder="1" applyAlignment="1">
      <alignment horizontal="center"/>
    </xf>
    <xf numFmtId="0" fontId="52" fillId="0" borderId="54" xfId="32" applyFont="1" applyBorder="1" applyAlignment="1">
      <alignment horizontal="center" vertical="center"/>
    </xf>
    <xf numFmtId="0" fontId="55" fillId="0" borderId="82" xfId="32" applyFont="1" applyBorder="1" applyAlignment="1">
      <alignment horizontal="center"/>
    </xf>
    <xf numFmtId="0" fontId="56" fillId="0" borderId="82" xfId="32" applyFont="1" applyBorder="1" applyAlignment="1">
      <alignment horizontal="center"/>
    </xf>
    <xf numFmtId="0" fontId="178" fillId="0" borderId="0" xfId="32" applyFont="1" applyAlignment="1">
      <alignment horizontal="center" vertical="center"/>
    </xf>
    <xf numFmtId="0" fontId="176" fillId="0" borderId="0" xfId="32" applyFont="1" applyAlignment="1">
      <alignment horizontal="right" vertical="center" indent="1"/>
    </xf>
    <xf numFmtId="0" fontId="53" fillId="0" borderId="82" xfId="32" applyFont="1" applyBorder="1" applyAlignment="1">
      <alignment horizontal="center"/>
    </xf>
    <xf numFmtId="0" fontId="25" fillId="0" borderId="77" xfId="32" applyFont="1" applyBorder="1" applyAlignment="1">
      <alignment horizontal="center"/>
    </xf>
    <xf numFmtId="0" fontId="25" fillId="0" borderId="58" xfId="32" applyFont="1" applyBorder="1" applyAlignment="1">
      <alignment horizontal="center"/>
    </xf>
    <xf numFmtId="3" fontId="53" fillId="0" borderId="2" xfId="32" applyNumberFormat="1" applyFont="1" applyBorder="1" applyAlignment="1">
      <alignment horizontal="center" vertical="center"/>
    </xf>
    <xf numFmtId="0" fontId="53" fillId="0" borderId="2" xfId="32" applyFont="1" applyBorder="1" applyAlignment="1">
      <alignment horizontal="center"/>
    </xf>
    <xf numFmtId="0" fontId="53" fillId="0" borderId="93" xfId="32" applyFont="1" applyBorder="1" applyAlignment="1">
      <alignment horizontal="center"/>
    </xf>
    <xf numFmtId="0" fontId="53" fillId="0" borderId="2" xfId="32" applyFont="1" applyBorder="1" applyAlignment="1">
      <alignment horizontal="center" vertical="center"/>
    </xf>
    <xf numFmtId="0" fontId="53" fillId="0" borderId="93" xfId="32" applyFont="1" applyBorder="1" applyAlignment="1">
      <alignment horizontal="center" vertical="center"/>
    </xf>
    <xf numFmtId="164" fontId="50" fillId="0" borderId="2" xfId="26" applyNumberFormat="1" applyFont="1" applyBorder="1" applyAlignment="1">
      <alignment horizontal="right" vertical="center" indent="1"/>
    </xf>
    <xf numFmtId="164" fontId="177" fillId="0" borderId="2" xfId="26" applyNumberFormat="1" applyFont="1" applyBorder="1" applyAlignment="1">
      <alignment horizontal="right" vertical="center" indent="1"/>
    </xf>
    <xf numFmtId="17" fontId="25" fillId="0" borderId="0" xfId="32" applyNumberFormat="1" applyFont="1" applyAlignment="1">
      <alignment horizontal="center" vertical="center"/>
    </xf>
    <xf numFmtId="0" fontId="32" fillId="0" borderId="1" xfId="32" applyFont="1" applyBorder="1" applyAlignment="1">
      <alignment horizontal="center" vertical="center"/>
    </xf>
    <xf numFmtId="0" fontId="25" fillId="0" borderId="111" xfId="32" applyFont="1" applyBorder="1" applyAlignment="1">
      <alignment horizontal="center" vertical="center"/>
    </xf>
    <xf numFmtId="0" fontId="53" fillId="0" borderId="7" xfId="32" applyFont="1" applyBorder="1" applyAlignment="1">
      <alignment vertical="center"/>
    </xf>
    <xf numFmtId="0" fontId="53" fillId="3" borderId="39" xfId="32" applyFont="1" applyFill="1" applyBorder="1" applyAlignment="1">
      <alignment horizontal="center" vertical="center" wrapText="1"/>
    </xf>
    <xf numFmtId="0" fontId="53" fillId="0" borderId="8" xfId="32" applyFont="1" applyBorder="1" applyAlignment="1">
      <alignment horizontal="center" vertical="center" wrapText="1"/>
    </xf>
    <xf numFmtId="0" fontId="53" fillId="0" borderId="60" xfId="32" applyFont="1" applyBorder="1" applyAlignment="1">
      <alignment horizontal="center" vertical="center" wrapText="1"/>
    </xf>
    <xf numFmtId="0" fontId="53" fillId="0" borderId="11" xfId="32" applyFont="1" applyBorder="1" applyAlignment="1">
      <alignment horizontal="center" vertical="center" wrapText="1"/>
    </xf>
    <xf numFmtId="0" fontId="155" fillId="3" borderId="39" xfId="32" applyFont="1" applyFill="1" applyBorder="1" applyAlignment="1">
      <alignment horizontal="center" vertical="center" wrapText="1"/>
    </xf>
    <xf numFmtId="0" fontId="155" fillId="0" borderId="0" xfId="32" applyFont="1" applyAlignment="1">
      <alignment horizontal="center"/>
    </xf>
    <xf numFmtId="0" fontId="52" fillId="0" borderId="44" xfId="32" applyFont="1" applyBorder="1" applyAlignment="1">
      <alignment horizontal="center"/>
    </xf>
    <xf numFmtId="0" fontId="22" fillId="0" borderId="45" xfId="32" applyFont="1" applyBorder="1" applyAlignment="1">
      <alignment horizontal="center"/>
    </xf>
    <xf numFmtId="0" fontId="22" fillId="0" borderId="44" xfId="32" applyFont="1" applyBorder="1" applyAlignment="1">
      <alignment horizontal="center"/>
    </xf>
    <xf numFmtId="0" fontId="53" fillId="0" borderId="44" xfId="32" applyFont="1" applyBorder="1" applyAlignment="1">
      <alignment horizontal="center" vertical="center"/>
    </xf>
    <xf numFmtId="0" fontId="52" fillId="0" borderId="44" xfId="32" applyFont="1" applyBorder="1" applyAlignment="1">
      <alignment horizontal="center" vertical="center"/>
    </xf>
    <xf numFmtId="0" fontId="52" fillId="0" borderId="45" xfId="32" applyFont="1" applyBorder="1" applyAlignment="1">
      <alignment horizontal="center" vertical="center"/>
    </xf>
    <xf numFmtId="0" fontId="32" fillId="0" borderId="46" xfId="32" applyFont="1" applyBorder="1" applyAlignment="1">
      <alignment horizontal="center" vertical="center"/>
    </xf>
    <xf numFmtId="0" fontId="53" fillId="0" borderId="45" xfId="32" applyFont="1" applyBorder="1" applyAlignment="1">
      <alignment horizontal="center" vertical="center"/>
    </xf>
    <xf numFmtId="164" fontId="52" fillId="0" borderId="47" xfId="26" applyNumberFormat="1" applyFont="1" applyBorder="1" applyAlignment="1">
      <alignment horizontal="right" vertical="center" indent="1"/>
    </xf>
    <xf numFmtId="164" fontId="155" fillId="0" borderId="44" xfId="26" applyNumberFormat="1" applyFont="1" applyBorder="1" applyAlignment="1">
      <alignment horizontal="right" vertical="center" indent="1"/>
    </xf>
    <xf numFmtId="0" fontId="52" fillId="0" borderId="48" xfId="32" applyFont="1" applyBorder="1" applyAlignment="1">
      <alignment horizontal="center"/>
    </xf>
    <xf numFmtId="0" fontId="22" fillId="0" borderId="49" xfId="32" applyFont="1" applyBorder="1" applyAlignment="1">
      <alignment horizontal="center"/>
    </xf>
    <xf numFmtId="0" fontId="22" fillId="0" borderId="48" xfId="32" applyFont="1" applyBorder="1" applyAlignment="1">
      <alignment horizontal="center"/>
    </xf>
    <xf numFmtId="0" fontId="53" fillId="0" borderId="48" xfId="32" applyFont="1" applyBorder="1" applyAlignment="1">
      <alignment horizontal="center" vertical="center"/>
    </xf>
    <xf numFmtId="0" fontId="52" fillId="0" borderId="48" xfId="32" applyFont="1" applyBorder="1" applyAlignment="1">
      <alignment horizontal="center" vertical="center"/>
    </xf>
    <xf numFmtId="0" fontId="52" fillId="0" borderId="49" xfId="32" applyFont="1" applyBorder="1" applyAlignment="1">
      <alignment horizontal="center" vertical="center"/>
    </xf>
    <xf numFmtId="0" fontId="32" fillId="0" borderId="48" xfId="32" applyFont="1" applyBorder="1" applyAlignment="1">
      <alignment horizontal="center" vertical="center"/>
    </xf>
    <xf numFmtId="0" fontId="53" fillId="0" borderId="49" xfId="32" applyFont="1" applyBorder="1" applyAlignment="1">
      <alignment horizontal="center" vertical="center"/>
    </xf>
    <xf numFmtId="164" fontId="52" fillId="0" borderId="51" xfId="26" applyNumberFormat="1" applyFont="1" applyBorder="1" applyAlignment="1">
      <alignment horizontal="right" vertical="center" indent="1"/>
    </xf>
    <xf numFmtId="164" fontId="155" fillId="0" borderId="48" xfId="26" applyNumberFormat="1" applyFont="1" applyBorder="1" applyAlignment="1">
      <alignment horizontal="right" vertical="center" indent="1"/>
    </xf>
    <xf numFmtId="0" fontId="52" fillId="0" borderId="56" xfId="32" applyFont="1" applyBorder="1" applyAlignment="1">
      <alignment horizontal="center"/>
    </xf>
    <xf numFmtId="0" fontId="22" fillId="0" borderId="57" xfId="32" applyFont="1" applyBorder="1" applyAlignment="1">
      <alignment horizontal="center"/>
    </xf>
    <xf numFmtId="0" fontId="22" fillId="0" borderId="56" xfId="32" applyFont="1" applyBorder="1" applyAlignment="1">
      <alignment horizontal="center"/>
    </xf>
    <xf numFmtId="0" fontId="53" fillId="0" borderId="56" xfId="32" applyFont="1" applyBorder="1" applyAlignment="1">
      <alignment horizontal="center" vertical="center"/>
    </xf>
    <xf numFmtId="0" fontId="52" fillId="0" borderId="56" xfId="32" applyFont="1" applyBorder="1" applyAlignment="1">
      <alignment horizontal="center" vertical="center"/>
    </xf>
    <xf numFmtId="0" fontId="52" fillId="0" borderId="57" xfId="32" applyFont="1" applyBorder="1" applyAlignment="1">
      <alignment horizontal="center" vertical="center"/>
    </xf>
    <xf numFmtId="0" fontId="52" fillId="0" borderId="58" xfId="32" applyFont="1" applyBorder="1" applyAlignment="1">
      <alignment horizontal="center" vertical="center"/>
    </xf>
    <xf numFmtId="0" fontId="53" fillId="0" borderId="57" xfId="32" applyFont="1" applyBorder="1" applyAlignment="1">
      <alignment horizontal="center" vertical="center"/>
    </xf>
    <xf numFmtId="164" fontId="52" fillId="0" borderId="59" xfId="26" applyNumberFormat="1" applyFont="1" applyBorder="1" applyAlignment="1">
      <alignment horizontal="right" vertical="center" indent="1"/>
    </xf>
    <xf numFmtId="164" fontId="155" fillId="0" borderId="56" xfId="26" applyNumberFormat="1" applyFont="1" applyBorder="1" applyAlignment="1">
      <alignment horizontal="right" vertical="center" indent="1"/>
    </xf>
    <xf numFmtId="0" fontId="53" fillId="3" borderId="39" xfId="32" applyFont="1" applyFill="1" applyBorder="1" applyAlignment="1">
      <alignment horizontal="center"/>
    </xf>
    <xf numFmtId="0" fontId="53" fillId="3" borderId="39" xfId="32" applyFont="1" applyFill="1" applyBorder="1" applyAlignment="1">
      <alignment horizontal="center" vertical="center"/>
    </xf>
    <xf numFmtId="0" fontId="53" fillId="3" borderId="9" xfId="32" applyFont="1" applyFill="1" applyBorder="1" applyAlignment="1">
      <alignment horizontal="center" vertical="center"/>
    </xf>
    <xf numFmtId="164" fontId="53" fillId="3" borderId="10" xfId="26" applyNumberFormat="1" applyFont="1" applyFill="1" applyBorder="1" applyAlignment="1">
      <alignment horizontal="right" vertical="center" indent="1"/>
    </xf>
    <xf numFmtId="164" fontId="179" fillId="3" borderId="39" xfId="26" applyNumberFormat="1" applyFont="1" applyFill="1" applyBorder="1" applyAlignment="1">
      <alignment horizontal="right" vertical="center" indent="1"/>
    </xf>
    <xf numFmtId="0" fontId="52" fillId="0" borderId="46" xfId="32" applyFont="1" applyBorder="1" applyAlignment="1">
      <alignment horizontal="center" vertical="center"/>
    </xf>
    <xf numFmtId="0" fontId="53" fillId="0" borderId="0" xfId="32" applyFont="1"/>
    <xf numFmtId="0" fontId="25" fillId="0" borderId="0" xfId="32" applyFont="1"/>
    <xf numFmtId="0" fontId="32" fillId="0" borderId="45" xfId="32" applyFont="1" applyBorder="1" applyAlignment="1">
      <alignment horizontal="center" vertical="center"/>
    </xf>
    <xf numFmtId="0" fontId="32" fillId="0" borderId="44" xfId="32" applyFont="1" applyBorder="1" applyAlignment="1">
      <alignment horizontal="center" vertical="center"/>
    </xf>
    <xf numFmtId="3" fontId="53" fillId="0" borderId="0" xfId="32" applyNumberFormat="1" applyFont="1" applyAlignment="1">
      <alignment horizontal="center"/>
    </xf>
    <xf numFmtId="0" fontId="53" fillId="0" borderId="0" xfId="32" applyFont="1" applyAlignment="1">
      <alignment horizontal="center" vertical="center"/>
    </xf>
    <xf numFmtId="0" fontId="52" fillId="0" borderId="0" xfId="32" applyFont="1" applyAlignment="1">
      <alignment horizontal="center" vertical="center"/>
    </xf>
    <xf numFmtId="164" fontId="52" fillId="0" borderId="0" xfId="26" applyNumberFormat="1" applyFont="1" applyAlignment="1">
      <alignment horizontal="center" vertical="center"/>
    </xf>
    <xf numFmtId="164" fontId="53" fillId="0" borderId="0" xfId="26" applyNumberFormat="1" applyFont="1" applyAlignment="1">
      <alignment horizontal="center" vertical="center"/>
    </xf>
    <xf numFmtId="164" fontId="52" fillId="0" borderId="0" xfId="26" applyNumberFormat="1" applyFont="1" applyAlignment="1">
      <alignment horizontal="right" vertical="center" indent="1"/>
    </xf>
    <xf numFmtId="164" fontId="155" fillId="0" borderId="0" xfId="26" applyNumberFormat="1" applyFont="1" applyAlignment="1">
      <alignment horizontal="right" vertical="center" indent="1"/>
    </xf>
    <xf numFmtId="164" fontId="53" fillId="6" borderId="10" xfId="26" applyNumberFormat="1" applyFont="1" applyFill="1" applyBorder="1" applyAlignment="1">
      <alignment horizontal="right" vertical="center" indent="1"/>
    </xf>
    <xf numFmtId="0" fontId="22" fillId="0" borderId="10" xfId="32" applyBorder="1" applyAlignment="1">
      <alignment horizontal="center" vertical="center"/>
    </xf>
    <xf numFmtId="0" fontId="22" fillId="0" borderId="39" xfId="32" applyBorder="1" applyAlignment="1">
      <alignment horizontal="center" vertical="center"/>
    </xf>
    <xf numFmtId="0" fontId="25" fillId="3" borderId="39" xfId="32" applyFont="1" applyFill="1" applyBorder="1" applyAlignment="1">
      <alignment horizontal="center" vertical="center"/>
    </xf>
    <xf numFmtId="0" fontId="50" fillId="3" borderId="1" xfId="32" applyFont="1" applyFill="1" applyBorder="1" applyAlignment="1">
      <alignment horizontal="center"/>
    </xf>
    <xf numFmtId="0" fontId="53" fillId="0" borderId="0" xfId="32" applyFont="1" applyAlignment="1">
      <alignment horizontal="center"/>
    </xf>
    <xf numFmtId="0" fontId="53" fillId="0" borderId="39" xfId="32" applyFont="1" applyBorder="1" applyAlignment="1">
      <alignment horizontal="center" vertical="center" wrapText="1"/>
    </xf>
    <xf numFmtId="164" fontId="53" fillId="3" borderId="39" xfId="26" applyNumberFormat="1" applyFont="1" applyFill="1" applyBorder="1" applyAlignment="1">
      <alignment horizontal="right" vertical="center" indent="1"/>
    </xf>
    <xf numFmtId="164" fontId="53" fillId="6" borderId="39" xfId="26" applyNumberFormat="1" applyFont="1" applyFill="1" applyBorder="1" applyAlignment="1">
      <alignment horizontal="right" vertical="center" indent="1"/>
    </xf>
    <xf numFmtId="0" fontId="53" fillId="3" borderId="8" xfId="32" applyFont="1" applyFill="1" applyBorder="1" applyAlignment="1">
      <alignment horizontal="center" vertical="center" wrapText="1"/>
    </xf>
    <xf numFmtId="0" fontId="22" fillId="0" borderId="45" xfId="32" applyBorder="1" applyAlignment="1">
      <alignment horizontal="center"/>
    </xf>
    <xf numFmtId="0" fontId="22" fillId="0" borderId="44" xfId="32" applyBorder="1" applyAlignment="1">
      <alignment horizontal="center"/>
    </xf>
    <xf numFmtId="0" fontId="97" fillId="0" borderId="46" xfId="32" applyFont="1" applyBorder="1" applyAlignment="1">
      <alignment horizontal="center" vertical="center"/>
    </xf>
    <xf numFmtId="0" fontId="22" fillId="0" borderId="49" xfId="32" applyBorder="1" applyAlignment="1">
      <alignment horizontal="center"/>
    </xf>
    <xf numFmtId="0" fontId="22" fillId="0" borderId="48" xfId="32" applyBorder="1" applyAlignment="1">
      <alignment horizontal="center"/>
    </xf>
    <xf numFmtId="0" fontId="97" fillId="0" borderId="48" xfId="32" applyFont="1" applyBorder="1" applyAlignment="1">
      <alignment horizontal="center" vertical="center"/>
    </xf>
    <xf numFmtId="0" fontId="22" fillId="0" borderId="57" xfId="32" applyBorder="1" applyAlignment="1">
      <alignment horizontal="center"/>
    </xf>
    <xf numFmtId="0" fontId="22" fillId="0" borderId="56" xfId="32" applyBorder="1" applyAlignment="1">
      <alignment horizontal="center"/>
    </xf>
    <xf numFmtId="0" fontId="53" fillId="3" borderId="10" xfId="32" applyFont="1" applyFill="1" applyBorder="1" applyAlignment="1">
      <alignment horizontal="center" vertical="center"/>
    </xf>
    <xf numFmtId="0" fontId="22" fillId="0" borderId="0" xfId="32" applyAlignment="1">
      <alignment horizontal="center"/>
    </xf>
    <xf numFmtId="0" fontId="22" fillId="0" borderId="57" xfId="32" applyBorder="1" applyAlignment="1">
      <alignment horizontal="center" vertical="center"/>
    </xf>
    <xf numFmtId="0" fontId="22" fillId="0" borderId="56" xfId="32" applyBorder="1" applyAlignment="1">
      <alignment horizontal="center" vertical="center"/>
    </xf>
    <xf numFmtId="164" fontId="52" fillId="0" borderId="59" xfId="26" applyNumberFormat="1" applyFont="1" applyBorder="1" applyAlignment="1">
      <alignment horizontal="right" vertical="center"/>
    </xf>
    <xf numFmtId="164" fontId="155" fillId="0" borderId="56" xfId="26" applyNumberFormat="1" applyFont="1" applyBorder="1" applyAlignment="1">
      <alignment horizontal="right" vertical="center"/>
    </xf>
    <xf numFmtId="164" fontId="53" fillId="3" borderId="39" xfId="26" applyNumberFormat="1" applyFont="1" applyFill="1" applyBorder="1" applyAlignment="1">
      <alignment horizontal="right" vertical="center"/>
    </xf>
    <xf numFmtId="164" fontId="179" fillId="3" borderId="39" xfId="26" applyNumberFormat="1" applyFont="1" applyFill="1" applyBorder="1" applyAlignment="1">
      <alignment horizontal="right" vertical="center"/>
    </xf>
    <xf numFmtId="0" fontId="22" fillId="0" borderId="45" xfId="32" applyBorder="1" applyAlignment="1">
      <alignment horizontal="center" vertical="center"/>
    </xf>
    <xf numFmtId="0" fontId="22" fillId="0" borderId="44" xfId="32" applyBorder="1" applyAlignment="1">
      <alignment horizontal="center" vertical="center"/>
    </xf>
    <xf numFmtId="164" fontId="52" fillId="0" borderId="47" xfId="26" applyNumberFormat="1" applyFont="1" applyBorder="1" applyAlignment="1">
      <alignment horizontal="right" vertical="center"/>
    </xf>
    <xf numFmtId="164" fontId="155" fillId="0" borderId="44" xfId="26" applyNumberFormat="1" applyFont="1" applyBorder="1" applyAlignment="1">
      <alignment horizontal="right" vertical="center"/>
    </xf>
    <xf numFmtId="0" fontId="22" fillId="0" borderId="49" xfId="32" applyBorder="1" applyAlignment="1">
      <alignment horizontal="center" vertical="center"/>
    </xf>
    <xf numFmtId="0" fontId="22" fillId="0" borderId="48" xfId="32" applyBorder="1" applyAlignment="1">
      <alignment horizontal="center" vertical="center"/>
    </xf>
    <xf numFmtId="164" fontId="52" fillId="0" borderId="51" xfId="26" applyNumberFormat="1" applyFont="1" applyBorder="1" applyAlignment="1">
      <alignment horizontal="right" vertical="center"/>
    </xf>
    <xf numFmtId="0" fontId="49" fillId="0" borderId="0" xfId="32" applyFont="1" applyAlignment="1">
      <alignment horizontal="center"/>
    </xf>
    <xf numFmtId="0" fontId="22" fillId="0" borderId="0" xfId="32" applyAlignment="1">
      <alignment vertical="center"/>
    </xf>
    <xf numFmtId="0" fontId="25" fillId="0" borderId="0" xfId="32" applyFont="1" applyAlignment="1">
      <alignment vertical="center"/>
    </xf>
    <xf numFmtId="164" fontId="155" fillId="0" borderId="39" xfId="26" applyNumberFormat="1" applyFont="1" applyBorder="1" applyAlignment="1">
      <alignment horizontal="right" vertical="center" indent="1"/>
    </xf>
    <xf numFmtId="164" fontId="155" fillId="0" borderId="8" xfId="26" applyNumberFormat="1" applyFont="1" applyBorder="1" applyAlignment="1">
      <alignment horizontal="right" vertical="center" indent="1"/>
    </xf>
    <xf numFmtId="0" fontId="127" fillId="3" borderId="8" xfId="32" applyFont="1" applyFill="1" applyBorder="1" applyAlignment="1">
      <alignment horizontal="center" vertical="center" wrapText="1"/>
    </xf>
    <xf numFmtId="0" fontId="125" fillId="0" borderId="8" xfId="32" applyFont="1" applyBorder="1" applyAlignment="1">
      <alignment horizontal="center" vertical="center" wrapText="1"/>
    </xf>
    <xf numFmtId="0" fontId="127" fillId="3" borderId="39" xfId="32" applyFont="1" applyFill="1" applyBorder="1" applyAlignment="1">
      <alignment horizontal="center" vertical="center" wrapText="1"/>
    </xf>
    <xf numFmtId="0" fontId="125" fillId="0" borderId="39" xfId="32" applyFont="1" applyBorder="1" applyAlignment="1">
      <alignment horizontal="center" vertical="center" wrapText="1"/>
    </xf>
    <xf numFmtId="0" fontId="125" fillId="3" borderId="39" xfId="32" applyFont="1" applyFill="1" applyBorder="1" applyAlignment="1">
      <alignment horizontal="center" vertical="center" wrapText="1"/>
    </xf>
    <xf numFmtId="0" fontId="49" fillId="0" borderId="0" xfId="32" applyFont="1"/>
    <xf numFmtId="0" fontId="49" fillId="0" borderId="44" xfId="32" applyFont="1" applyBorder="1" applyAlignment="1">
      <alignment horizontal="center"/>
    </xf>
    <xf numFmtId="0" fontId="139" fillId="0" borderId="45" xfId="32" applyFont="1" applyBorder="1" applyAlignment="1">
      <alignment horizontal="center"/>
    </xf>
    <xf numFmtId="0" fontId="139" fillId="0" borderId="44" xfId="32" applyFont="1" applyBorder="1" applyAlignment="1">
      <alignment horizontal="center"/>
    </xf>
    <xf numFmtId="0" fontId="125" fillId="0" borderId="44" xfId="32" applyFont="1" applyBorder="1" applyAlignment="1">
      <alignment horizontal="center" vertical="center"/>
    </xf>
    <xf numFmtId="0" fontId="49" fillId="0" borderId="44" xfId="32" applyFont="1" applyBorder="1" applyAlignment="1">
      <alignment horizontal="center" vertical="center"/>
    </xf>
    <xf numFmtId="0" fontId="49" fillId="0" borderId="45" xfId="32" applyFont="1" applyBorder="1" applyAlignment="1">
      <alignment horizontal="center" vertical="center"/>
    </xf>
    <xf numFmtId="0" fontId="49" fillId="0" borderId="46" xfId="32" applyFont="1" applyBorder="1" applyAlignment="1">
      <alignment horizontal="center" vertical="center"/>
    </xf>
    <xf numFmtId="164" fontId="49" fillId="0" borderId="47" xfId="26" applyNumberFormat="1" applyFont="1" applyBorder="1" applyAlignment="1">
      <alignment horizontal="right" vertical="center" indent="1"/>
    </xf>
    <xf numFmtId="0" fontId="49" fillId="0" borderId="48" xfId="32" applyFont="1" applyBorder="1" applyAlignment="1">
      <alignment horizontal="center"/>
    </xf>
    <xf numFmtId="0" fontId="139" fillId="0" borderId="49" xfId="32" applyFont="1" applyBorder="1" applyAlignment="1">
      <alignment horizontal="center"/>
    </xf>
    <xf numFmtId="0" fontId="139" fillId="0" borderId="48" xfId="32" applyFont="1" applyBorder="1" applyAlignment="1">
      <alignment horizontal="center"/>
    </xf>
    <xf numFmtId="0" fontId="125" fillId="0" borderId="48" xfId="32" applyFont="1" applyBorder="1" applyAlignment="1">
      <alignment horizontal="center" vertical="center"/>
    </xf>
    <xf numFmtId="0" fontId="49" fillId="0" borderId="48" xfId="32" applyFont="1" applyBorder="1" applyAlignment="1">
      <alignment horizontal="center" vertical="center"/>
    </xf>
    <xf numFmtId="0" fontId="49" fillId="0" borderId="49" xfId="32" applyFont="1" applyBorder="1" applyAlignment="1">
      <alignment horizontal="center" vertical="center"/>
    </xf>
    <xf numFmtId="0" fontId="49" fillId="0" borderId="50" xfId="32" applyFont="1" applyBorder="1" applyAlignment="1">
      <alignment horizontal="center" vertical="center"/>
    </xf>
    <xf numFmtId="164" fontId="49" fillId="0" borderId="51" xfId="26" applyNumberFormat="1" applyFont="1" applyBorder="1" applyAlignment="1">
      <alignment horizontal="right" vertical="center" indent="1"/>
    </xf>
    <xf numFmtId="0" fontId="49" fillId="0" borderId="56" xfId="32" applyFont="1" applyBorder="1" applyAlignment="1">
      <alignment horizontal="center"/>
    </xf>
    <xf numFmtId="0" fontId="139" fillId="0" borderId="57" xfId="32" applyFont="1" applyBorder="1" applyAlignment="1">
      <alignment horizontal="center"/>
    </xf>
    <xf numFmtId="0" fontId="139" fillId="0" borderId="56" xfId="32" applyFont="1" applyBorder="1" applyAlignment="1">
      <alignment horizontal="center"/>
    </xf>
    <xf numFmtId="0" fontId="125" fillId="0" borderId="56" xfId="32" applyFont="1" applyBorder="1" applyAlignment="1">
      <alignment horizontal="center" vertical="center"/>
    </xf>
    <xf numFmtId="0" fontId="49" fillId="0" borderId="56" xfId="32" applyFont="1" applyBorder="1" applyAlignment="1">
      <alignment horizontal="center" vertical="center"/>
    </xf>
    <xf numFmtId="0" fontId="49" fillId="0" borderId="57" xfId="32" applyFont="1" applyBorder="1" applyAlignment="1">
      <alignment horizontal="center" vertical="center"/>
    </xf>
    <xf numFmtId="0" fontId="49" fillId="0" borderId="58" xfId="32" applyFont="1" applyBorder="1" applyAlignment="1">
      <alignment horizontal="center" vertical="center"/>
    </xf>
    <xf numFmtId="164" fontId="49" fillId="0" borderId="59" xfId="26" applyNumberFormat="1" applyFont="1" applyBorder="1" applyAlignment="1">
      <alignment horizontal="right" vertical="center" indent="1"/>
    </xf>
    <xf numFmtId="0" fontId="125" fillId="3" borderId="39" xfId="32" applyFont="1" applyFill="1" applyBorder="1" applyAlignment="1">
      <alignment horizontal="center"/>
    </xf>
    <xf numFmtId="0" fontId="125" fillId="3" borderId="39" xfId="32" applyFont="1" applyFill="1" applyBorder="1" applyAlignment="1">
      <alignment horizontal="center" vertical="center"/>
    </xf>
    <xf numFmtId="0" fontId="125" fillId="3" borderId="9" xfId="32" applyFont="1" applyFill="1" applyBorder="1" applyAlignment="1">
      <alignment horizontal="center" vertical="center"/>
    </xf>
    <xf numFmtId="0" fontId="125" fillId="3" borderId="10" xfId="32" applyFont="1" applyFill="1" applyBorder="1" applyAlignment="1">
      <alignment horizontal="center" vertical="center"/>
    </xf>
    <xf numFmtId="164" fontId="125" fillId="3" borderId="39" xfId="26" applyNumberFormat="1" applyFont="1" applyFill="1" applyBorder="1" applyAlignment="1">
      <alignment horizontal="right" vertical="center" indent="1"/>
    </xf>
    <xf numFmtId="0" fontId="125" fillId="0" borderId="0" xfId="32" applyFont="1"/>
    <xf numFmtId="3" fontId="125" fillId="0" borderId="0" xfId="32" applyNumberFormat="1" applyFont="1" applyAlignment="1">
      <alignment horizontal="center"/>
    </xf>
    <xf numFmtId="3" fontId="49" fillId="0" borderId="0" xfId="32" applyNumberFormat="1" applyFont="1" applyAlignment="1">
      <alignment horizontal="center"/>
    </xf>
    <xf numFmtId="0" fontId="139" fillId="0" borderId="0" xfId="32" applyFont="1" applyAlignment="1">
      <alignment horizontal="center"/>
    </xf>
    <xf numFmtId="0" fontId="125" fillId="0" borderId="0" xfId="32" applyFont="1" applyAlignment="1">
      <alignment horizontal="center" vertical="center"/>
    </xf>
    <xf numFmtId="0" fontId="49" fillId="0" borderId="0" xfId="32" applyFont="1" applyAlignment="1">
      <alignment horizontal="center" vertical="center"/>
    </xf>
    <xf numFmtId="164" fontId="49" fillId="0" borderId="0" xfId="26" applyNumberFormat="1" applyFont="1" applyAlignment="1">
      <alignment horizontal="center" vertical="center"/>
    </xf>
    <xf numFmtId="164" fontId="125" fillId="0" borderId="0" xfId="26" applyNumberFormat="1" applyFont="1" applyAlignment="1">
      <alignment horizontal="center" vertical="center"/>
    </xf>
    <xf numFmtId="164" fontId="49" fillId="0" borderId="0" xfId="26" applyNumberFormat="1" applyFont="1" applyAlignment="1">
      <alignment horizontal="right" vertical="center" indent="1"/>
    </xf>
    <xf numFmtId="0" fontId="139" fillId="0" borderId="45" xfId="32" applyFont="1" applyBorder="1" applyAlignment="1">
      <alignment horizontal="center" vertical="center"/>
    </xf>
    <xf numFmtId="0" fontId="139" fillId="0" borderId="44" xfId="32" applyFont="1" applyBorder="1" applyAlignment="1">
      <alignment horizontal="center" vertical="center"/>
    </xf>
    <xf numFmtId="0" fontId="139" fillId="0" borderId="49" xfId="32" applyFont="1" applyBorder="1" applyAlignment="1">
      <alignment horizontal="center" vertical="center"/>
    </xf>
    <xf numFmtId="0" fontId="139" fillId="0" borderId="48" xfId="32" applyFont="1" applyBorder="1" applyAlignment="1">
      <alignment horizontal="center" vertical="center"/>
    </xf>
    <xf numFmtId="0" fontId="139" fillId="0" borderId="57" xfId="32" applyFont="1" applyBorder="1" applyAlignment="1">
      <alignment horizontal="center" vertical="center"/>
    </xf>
    <xf numFmtId="0" fontId="139" fillId="0" borderId="56" xfId="32" applyFont="1" applyBorder="1" applyAlignment="1">
      <alignment horizontal="center" vertical="center"/>
    </xf>
    <xf numFmtId="0" fontId="128" fillId="0" borderId="0" xfId="32" applyFont="1"/>
    <xf numFmtId="0" fontId="25" fillId="0" borderId="0" xfId="32" applyFont="1" applyAlignment="1">
      <alignment horizontal="right"/>
    </xf>
    <xf numFmtId="0" fontId="127" fillId="3" borderId="39" xfId="0" applyFont="1" applyFill="1" applyBorder="1" applyAlignment="1">
      <alignment horizontal="center" vertical="center" wrapText="1"/>
    </xf>
    <xf numFmtId="0" fontId="125" fillId="3" borderId="39" xfId="0" applyFont="1" applyFill="1" applyBorder="1" applyAlignment="1">
      <alignment horizontal="center" vertical="center" wrapText="1"/>
    </xf>
    <xf numFmtId="0" fontId="49" fillId="0" borderId="112" xfId="0" applyFont="1" applyBorder="1" applyAlignment="1">
      <alignment horizontal="center" vertical="center"/>
    </xf>
    <xf numFmtId="0" fontId="0" fillId="0" borderId="113" xfId="0" applyBorder="1" applyAlignment="1">
      <alignment horizontal="center" vertical="center"/>
    </xf>
    <xf numFmtId="0" fontId="0" fillId="0" borderId="112" xfId="0" applyBorder="1" applyAlignment="1">
      <alignment horizontal="center" vertical="center"/>
    </xf>
    <xf numFmtId="0" fontId="0" fillId="0" borderId="114" xfId="0" applyBorder="1" applyAlignment="1">
      <alignment horizontal="center" vertical="center"/>
    </xf>
    <xf numFmtId="0" fontId="181" fillId="0" borderId="112" xfId="0" applyFont="1" applyBorder="1" applyAlignment="1">
      <alignment horizontal="center" vertical="center"/>
    </xf>
    <xf numFmtId="0" fontId="49" fillId="0" borderId="113" xfId="0" applyFont="1" applyBorder="1" applyAlignment="1">
      <alignment horizontal="center" vertical="center"/>
    </xf>
    <xf numFmtId="0" fontId="49" fillId="0" borderId="114" xfId="0" applyFont="1" applyBorder="1" applyAlignment="1">
      <alignment horizontal="center" vertical="center"/>
    </xf>
    <xf numFmtId="164" fontId="49" fillId="0" borderId="115" xfId="27" applyNumberFormat="1" applyFont="1" applyBorder="1" applyAlignment="1">
      <alignment horizontal="right" vertical="center" indent="1"/>
    </xf>
    <xf numFmtId="0" fontId="49" fillId="0" borderId="116" xfId="0" applyFont="1" applyBorder="1" applyAlignment="1">
      <alignment horizontal="center" vertical="center"/>
    </xf>
    <xf numFmtId="0" fontId="0" fillId="0" borderId="117" xfId="0" applyBorder="1" applyAlignment="1">
      <alignment horizontal="center" vertical="center"/>
    </xf>
    <xf numFmtId="0" fontId="0" fillId="0" borderId="116" xfId="0" applyBorder="1" applyAlignment="1">
      <alignment horizontal="center" vertical="center"/>
    </xf>
    <xf numFmtId="0" fontId="0" fillId="0" borderId="118" xfId="0" applyBorder="1" applyAlignment="1">
      <alignment horizontal="center" vertical="center"/>
    </xf>
    <xf numFmtId="0" fontId="181" fillId="0" borderId="116" xfId="0" applyFont="1" applyBorder="1" applyAlignment="1">
      <alignment horizontal="center" vertical="center"/>
    </xf>
    <xf numFmtId="0" fontId="49" fillId="0" borderId="117" xfId="0" applyFont="1" applyBorder="1" applyAlignment="1">
      <alignment horizontal="center" vertical="center"/>
    </xf>
    <xf numFmtId="0" fontId="49" fillId="0" borderId="118" xfId="0" applyFont="1" applyBorder="1" applyAlignment="1">
      <alignment horizontal="center" vertical="center"/>
    </xf>
    <xf numFmtId="164" fontId="49" fillId="0" borderId="119" xfId="27" applyNumberFormat="1" applyFont="1" applyBorder="1" applyAlignment="1">
      <alignment horizontal="right" vertical="center" indent="1"/>
    </xf>
    <xf numFmtId="0" fontId="49" fillId="0" borderId="120" xfId="0" applyFont="1" applyBorder="1" applyAlignment="1">
      <alignment horizontal="center" vertical="center"/>
    </xf>
    <xf numFmtId="0" fontId="0" fillId="0" borderId="121" xfId="0" applyBorder="1" applyAlignment="1">
      <alignment horizontal="center" vertical="center"/>
    </xf>
    <xf numFmtId="0" fontId="0" fillId="0" borderId="120" xfId="0" applyBorder="1" applyAlignment="1">
      <alignment horizontal="center" vertical="center"/>
    </xf>
    <xf numFmtId="0" fontId="0" fillId="0" borderId="122" xfId="0" applyBorder="1" applyAlignment="1">
      <alignment horizontal="center" vertical="center"/>
    </xf>
    <xf numFmtId="0" fontId="181" fillId="0" borderId="120" xfId="0" applyFont="1" applyBorder="1" applyAlignment="1">
      <alignment horizontal="center" vertical="center"/>
    </xf>
    <xf numFmtId="0" fontId="49" fillId="0" borderId="121" xfId="0" applyFont="1" applyBorder="1" applyAlignment="1">
      <alignment horizontal="center" vertical="center"/>
    </xf>
    <xf numFmtId="0" fontId="49" fillId="0" borderId="122" xfId="0" applyFont="1" applyBorder="1" applyAlignment="1">
      <alignment horizontal="center" vertical="center"/>
    </xf>
    <xf numFmtId="164" fontId="49" fillId="0" borderId="123" xfId="27" applyNumberFormat="1" applyFont="1" applyBorder="1" applyAlignment="1">
      <alignment horizontal="right" vertical="center" indent="1"/>
    </xf>
    <xf numFmtId="0" fontId="125" fillId="3" borderId="39" xfId="0" applyFont="1" applyFill="1" applyBorder="1" applyAlignment="1">
      <alignment horizontal="center" vertical="center"/>
    </xf>
    <xf numFmtId="0" fontId="181" fillId="3" borderId="39" xfId="0" applyFont="1" applyFill="1" applyBorder="1" applyAlignment="1">
      <alignment horizontal="center" vertical="center"/>
    </xf>
    <xf numFmtId="0" fontId="125" fillId="3" borderId="9" xfId="0" applyFont="1" applyFill="1" applyBorder="1" applyAlignment="1">
      <alignment horizontal="center" vertical="center"/>
    </xf>
    <xf numFmtId="0" fontId="125" fillId="3" borderId="10" xfId="0" applyFont="1" applyFill="1" applyBorder="1" applyAlignment="1">
      <alignment horizontal="center" vertical="center"/>
    </xf>
    <xf numFmtId="164" fontId="125" fillId="3" borderId="39" xfId="27" applyNumberFormat="1" applyFont="1" applyFill="1" applyBorder="1" applyAlignment="1">
      <alignment horizontal="right" vertical="center" indent="1"/>
    </xf>
    <xf numFmtId="0" fontId="49" fillId="0" borderId="0" xfId="0" applyFont="1" applyAlignment="1">
      <alignment horizontal="center"/>
    </xf>
    <xf numFmtId="0" fontId="49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81" fillId="0" borderId="0" xfId="0" applyFont="1" applyAlignment="1">
      <alignment horizontal="center" vertical="center"/>
    </xf>
    <xf numFmtId="0" fontId="0" fillId="0" borderId="0" xfId="0" applyAlignment="1">
      <alignment horizontal="right" indent="1"/>
    </xf>
    <xf numFmtId="0" fontId="49" fillId="0" borderId="5" xfId="0" applyFont="1" applyBorder="1" applyAlignment="1">
      <alignment horizontal="center" vertical="center"/>
    </xf>
    <xf numFmtId="0" fontId="49" fillId="0" borderId="34" xfId="0" applyFont="1" applyBorder="1" applyAlignment="1">
      <alignment horizontal="center" vertical="center"/>
    </xf>
    <xf numFmtId="0" fontId="49" fillId="0" borderId="8" xfId="0" applyFont="1" applyBorder="1" applyAlignment="1">
      <alignment horizontal="center" vertical="center"/>
    </xf>
    <xf numFmtId="3" fontId="49" fillId="0" borderId="0" xfId="0" applyNumberFormat="1" applyFont="1" applyAlignment="1">
      <alignment horizontal="center"/>
    </xf>
    <xf numFmtId="3" fontId="49" fillId="0" borderId="0" xfId="0" applyNumberFormat="1" applyFont="1" applyAlignment="1">
      <alignment horizontal="center" vertical="center"/>
    </xf>
    <xf numFmtId="164" fontId="49" fillId="0" borderId="0" xfId="27" applyNumberFormat="1" applyFont="1" applyAlignment="1">
      <alignment horizontal="center" vertical="center"/>
    </xf>
    <xf numFmtId="164" fontId="49" fillId="0" borderId="0" xfId="27" applyNumberFormat="1" applyFont="1" applyAlignment="1">
      <alignment horizontal="right" vertical="center" indent="1"/>
    </xf>
    <xf numFmtId="0" fontId="0" fillId="0" borderId="0" xfId="0" applyAlignment="1">
      <alignment horizontal="center"/>
    </xf>
    <xf numFmtId="0" fontId="181" fillId="0" borderId="0" xfId="0" applyFont="1" applyAlignment="1">
      <alignment horizontal="center"/>
    </xf>
    <xf numFmtId="164" fontId="125" fillId="3" borderId="39" xfId="27" applyNumberFormat="1" applyFont="1" applyFill="1" applyBorder="1" applyAlignment="1">
      <alignment horizontal="right" vertical="center"/>
    </xf>
    <xf numFmtId="0" fontId="52" fillId="0" borderId="0" xfId="32" applyFont="1" applyAlignment="1">
      <alignment horizontal="center"/>
    </xf>
    <xf numFmtId="0" fontId="162" fillId="0" borderId="0" xfId="32" applyFont="1" applyAlignment="1">
      <alignment horizontal="right" indent="1"/>
    </xf>
    <xf numFmtId="0" fontId="182" fillId="0" borderId="0" xfId="32" applyFont="1" applyAlignment="1">
      <alignment horizontal="right" vertical="center" indent="1"/>
    </xf>
    <xf numFmtId="0" fontId="22" fillId="0" borderId="0" xfId="34"/>
    <xf numFmtId="0" fontId="165" fillId="0" borderId="0" xfId="0" applyFont="1" applyAlignment="1">
      <alignment horizontal="center" vertical="center"/>
    </xf>
    <xf numFmtId="0" fontId="50" fillId="0" borderId="126" xfId="0" applyFont="1" applyBorder="1" applyAlignment="1">
      <alignment horizontal="center" vertical="center" wrapText="1"/>
    </xf>
    <xf numFmtId="0" fontId="32" fillId="0" borderId="127" xfId="0" applyFont="1" applyBorder="1" applyAlignment="1">
      <alignment horizontal="center" vertical="center"/>
    </xf>
    <xf numFmtId="3" fontId="32" fillId="0" borderId="80" xfId="0" applyNumberFormat="1" applyFont="1" applyBorder="1" applyAlignment="1">
      <alignment horizontal="center" vertical="center"/>
    </xf>
    <xf numFmtId="3" fontId="32" fillId="0" borderId="70" xfId="0" applyNumberFormat="1" applyFont="1" applyBorder="1" applyAlignment="1">
      <alignment horizontal="center" vertical="center"/>
    </xf>
    <xf numFmtId="3" fontId="32" fillId="0" borderId="71" xfId="0" applyNumberFormat="1" applyFont="1" applyBorder="1" applyAlignment="1">
      <alignment horizontal="center" vertical="center"/>
    </xf>
    <xf numFmtId="3" fontId="32" fillId="0" borderId="127" xfId="0" applyNumberFormat="1" applyFont="1" applyBorder="1" applyAlignment="1">
      <alignment horizontal="center" vertical="center"/>
    </xf>
    <xf numFmtId="3" fontId="32" fillId="0" borderId="105" xfId="0" applyNumberFormat="1" applyFont="1" applyBorder="1" applyAlignment="1">
      <alignment horizontal="center" vertical="center"/>
    </xf>
    <xf numFmtId="0" fontId="32" fillId="0" borderId="128" xfId="0" applyFont="1" applyBorder="1" applyAlignment="1">
      <alignment horizontal="center" vertical="center"/>
    </xf>
    <xf numFmtId="0" fontId="32" fillId="0" borderId="73" xfId="0" applyFont="1" applyBorder="1" applyAlignment="1">
      <alignment vertical="center" wrapText="1"/>
    </xf>
    <xf numFmtId="0" fontId="32" fillId="0" borderId="106" xfId="0" applyFont="1" applyBorder="1" applyAlignment="1">
      <alignment horizontal="center" vertical="center" wrapText="1"/>
    </xf>
    <xf numFmtId="3" fontId="32" fillId="0" borderId="81" xfId="0" applyNumberFormat="1" applyFont="1" applyBorder="1" applyAlignment="1">
      <alignment horizontal="center" vertical="center"/>
    </xf>
    <xf numFmtId="3" fontId="32" fillId="0" borderId="73" xfId="0" applyNumberFormat="1" applyFont="1" applyBorder="1" applyAlignment="1">
      <alignment horizontal="center" vertical="center"/>
    </xf>
    <xf numFmtId="3" fontId="32" fillId="0" borderId="74" xfId="0" applyNumberFormat="1" applyFont="1" applyBorder="1" applyAlignment="1">
      <alignment horizontal="center" vertical="center"/>
    </xf>
    <xf numFmtId="3" fontId="32" fillId="0" borderId="128" xfId="0" applyNumberFormat="1" applyFont="1" applyBorder="1" applyAlignment="1">
      <alignment horizontal="center" vertical="center"/>
    </xf>
    <xf numFmtId="3" fontId="32" fillId="0" borderId="106" xfId="0" applyNumberFormat="1" applyFont="1" applyBorder="1" applyAlignment="1">
      <alignment horizontal="center" vertical="center"/>
    </xf>
    <xf numFmtId="3" fontId="22" fillId="0" borderId="81" xfId="0" applyNumberFormat="1" applyFont="1" applyBorder="1" applyAlignment="1">
      <alignment horizontal="center" vertical="center"/>
    </xf>
    <xf numFmtId="3" fontId="22" fillId="0" borderId="73" xfId="0" applyNumberFormat="1" applyFont="1" applyBorder="1" applyAlignment="1">
      <alignment horizontal="center" vertical="center"/>
    </xf>
    <xf numFmtId="0" fontId="32" fillId="0" borderId="129" xfId="0" applyFont="1" applyFill="1" applyBorder="1" applyAlignment="1">
      <alignment horizontal="center" vertical="center"/>
    </xf>
    <xf numFmtId="0" fontId="32" fillId="0" borderId="75" xfId="0" applyFont="1" applyFill="1" applyBorder="1" applyAlignment="1">
      <alignment vertical="center" wrapText="1"/>
    </xf>
    <xf numFmtId="0" fontId="32" fillId="0" borderId="107" xfId="0" applyFont="1" applyFill="1" applyBorder="1" applyAlignment="1">
      <alignment horizontal="center" vertical="center" wrapText="1"/>
    </xf>
    <xf numFmtId="3" fontId="32" fillId="0" borderId="75" xfId="0" applyNumberFormat="1" applyFont="1" applyFill="1" applyBorder="1" applyAlignment="1">
      <alignment horizontal="center" vertical="center"/>
    </xf>
    <xf numFmtId="3" fontId="32" fillId="0" borderId="77" xfId="0" applyNumberFormat="1" applyFont="1" applyFill="1" applyBorder="1" applyAlignment="1">
      <alignment horizontal="center" vertical="center"/>
    </xf>
    <xf numFmtId="3" fontId="32" fillId="0" borderId="129" xfId="0" applyNumberFormat="1" applyFont="1" applyFill="1" applyBorder="1" applyAlignment="1">
      <alignment horizontal="center" vertical="center"/>
    </xf>
    <xf numFmtId="3" fontId="32" fillId="0" borderId="107" xfId="0" applyNumberFormat="1" applyFont="1" applyFill="1" applyBorder="1" applyAlignment="1">
      <alignment horizontal="center" vertical="center"/>
    </xf>
    <xf numFmtId="3" fontId="22" fillId="0" borderId="82" xfId="0" applyNumberFormat="1" applyFont="1" applyFill="1" applyBorder="1" applyAlignment="1">
      <alignment horizontal="center" vertical="center"/>
    </xf>
    <xf numFmtId="3" fontId="22" fillId="0" borderId="75" xfId="0" applyNumberFormat="1" applyFont="1" applyFill="1" applyBorder="1" applyAlignment="1">
      <alignment horizontal="center" vertical="center"/>
    </xf>
    <xf numFmtId="0" fontId="25" fillId="0" borderId="0" xfId="34" applyFont="1" applyAlignment="1">
      <alignment horizontal="center" vertical="center" wrapText="1"/>
    </xf>
    <xf numFmtId="0" fontId="22" fillId="0" borderId="0" xfId="34" applyAlignment="1">
      <alignment wrapText="1"/>
    </xf>
    <xf numFmtId="0" fontId="22" fillId="0" borderId="0" xfId="34" applyAlignment="1">
      <alignment vertical="center"/>
    </xf>
    <xf numFmtId="3" fontId="183" fillId="0" borderId="0" xfId="34" applyNumberFormat="1" applyFont="1" applyAlignment="1">
      <alignment vertical="center"/>
    </xf>
    <xf numFmtId="3" fontId="183" fillId="0" borderId="0" xfId="34" applyNumberFormat="1" applyFont="1"/>
    <xf numFmtId="0" fontId="32" fillId="0" borderId="1" xfId="0" applyFont="1" applyBorder="1" applyAlignment="1">
      <alignment horizontal="center" vertical="center" wrapText="1"/>
    </xf>
    <xf numFmtId="0" fontId="50" fillId="0" borderId="1" xfId="0" applyFont="1" applyBorder="1" applyAlignment="1">
      <alignment horizontal="center" vertical="center" wrapText="1"/>
    </xf>
    <xf numFmtId="0" fontId="32" fillId="0" borderId="124" xfId="0" applyFont="1" applyBorder="1" applyAlignment="1">
      <alignment horizontal="center" vertical="center" wrapText="1"/>
    </xf>
    <xf numFmtId="0" fontId="22" fillId="0" borderId="0" xfId="34" applyFont="1" applyAlignment="1">
      <alignment horizontal="right" vertical="center"/>
    </xf>
    <xf numFmtId="0" fontId="22" fillId="0" borderId="0" xfId="34" applyFont="1" applyAlignment="1">
      <alignment horizontal="left" vertical="center"/>
    </xf>
    <xf numFmtId="0" fontId="25" fillId="0" borderId="0" xfId="34" applyFont="1" applyAlignment="1">
      <alignment horizontal="right"/>
    </xf>
    <xf numFmtId="0" fontId="25" fillId="0" borderId="0" xfId="34" applyFont="1" applyAlignment="1">
      <alignment horizontal="left"/>
    </xf>
    <xf numFmtId="0" fontId="26" fillId="0" borderId="0" xfId="2" applyAlignment="1">
      <alignment horizontal="center" vertical="center" wrapText="1"/>
    </xf>
    <xf numFmtId="0" fontId="26" fillId="0" borderId="0" xfId="2" applyAlignment="1">
      <alignment horizontal="left" vertical="center" wrapText="1"/>
    </xf>
    <xf numFmtId="0" fontId="26" fillId="0" borderId="0" xfId="2" applyAlignment="1">
      <alignment wrapText="1"/>
    </xf>
    <xf numFmtId="0" fontId="26" fillId="0" borderId="0" xfId="2" applyAlignment="1"/>
    <xf numFmtId="0" fontId="50" fillId="0" borderId="130" xfId="2" applyFont="1" applyBorder="1" applyAlignment="1">
      <alignment horizontal="center" vertical="center" wrapText="1"/>
    </xf>
    <xf numFmtId="3" fontId="41" fillId="3" borderId="9" xfId="4" applyNumberFormat="1" applyFont="1" applyFill="1" applyBorder="1" applyAlignment="1">
      <alignment horizontal="center" vertical="center" wrapText="1"/>
    </xf>
    <xf numFmtId="3" fontId="41" fillId="3" borderId="39" xfId="4" applyNumberFormat="1" applyFont="1" applyFill="1" applyBorder="1" applyAlignment="1">
      <alignment horizontal="center" vertical="center" wrapText="1"/>
    </xf>
    <xf numFmtId="3" fontId="41" fillId="3" borderId="130" xfId="4" applyNumberFormat="1" applyFont="1" applyFill="1" applyBorder="1" applyAlignment="1">
      <alignment horizontal="center" vertical="center" wrapText="1"/>
    </xf>
    <xf numFmtId="3" fontId="41" fillId="0" borderId="4" xfId="4" applyNumberFormat="1" applyFont="1" applyBorder="1" applyAlignment="1">
      <alignment horizontal="center" vertical="center" wrapText="1"/>
    </xf>
    <xf numFmtId="3" fontId="41" fillId="0" borderId="9" xfId="4" applyNumberFormat="1" applyFont="1" applyBorder="1" applyAlignment="1">
      <alignment horizontal="center" vertical="center" wrapText="1"/>
    </xf>
    <xf numFmtId="3" fontId="41" fillId="3" borderId="131" xfId="4" applyNumberFormat="1" applyFont="1" applyFill="1" applyBorder="1" applyAlignment="1">
      <alignment horizontal="center" vertical="center" wrapText="1"/>
    </xf>
    <xf numFmtId="0" fontId="32" fillId="0" borderId="44" xfId="2" applyFont="1" applyBorder="1" applyAlignment="1">
      <alignment horizontal="left" vertical="center" wrapText="1"/>
    </xf>
    <xf numFmtId="3" fontId="32" fillId="0" borderId="45" xfId="2" applyNumberFormat="1" applyFont="1" applyBorder="1" applyAlignment="1">
      <alignment horizontal="right" vertical="center" wrapText="1"/>
    </xf>
    <xf numFmtId="3" fontId="32" fillId="0" borderId="47" xfId="2" applyNumberFormat="1" applyFont="1" applyBorder="1" applyAlignment="1">
      <alignment horizontal="right" vertical="center" wrapText="1"/>
    </xf>
    <xf numFmtId="3" fontId="32" fillId="0" borderId="132" xfId="2" applyNumberFormat="1" applyFont="1" applyBorder="1" applyAlignment="1">
      <alignment horizontal="right" vertical="center" wrapText="1"/>
    </xf>
    <xf numFmtId="3" fontId="32" fillId="0" borderId="46" xfId="2" applyNumberFormat="1" applyFont="1" applyBorder="1" applyAlignment="1">
      <alignment horizontal="right" vertical="center" wrapText="1"/>
    </xf>
    <xf numFmtId="0" fontId="32" fillId="0" borderId="48" xfId="2" applyFont="1" applyBorder="1" applyAlignment="1">
      <alignment horizontal="left" vertical="center" wrapText="1"/>
    </xf>
    <xf numFmtId="3" fontId="32" fillId="0" borderId="49" xfId="2" applyNumberFormat="1" applyFont="1" applyBorder="1" applyAlignment="1">
      <alignment horizontal="right" vertical="center" wrapText="1"/>
    </xf>
    <xf numFmtId="3" fontId="32" fillId="0" borderId="51" xfId="2" applyNumberFormat="1" applyFont="1" applyBorder="1" applyAlignment="1">
      <alignment horizontal="right" vertical="center" wrapText="1"/>
    </xf>
    <xf numFmtId="3" fontId="32" fillId="0" borderId="128" xfId="2" applyNumberFormat="1" applyFont="1" applyBorder="1" applyAlignment="1">
      <alignment horizontal="right" vertical="center" wrapText="1"/>
    </xf>
    <xf numFmtId="3" fontId="32" fillId="0" borderId="50" xfId="2" applyNumberFormat="1" applyFont="1" applyBorder="1" applyAlignment="1">
      <alignment horizontal="right" vertical="center" wrapText="1"/>
    </xf>
    <xf numFmtId="0" fontId="50" fillId="3" borderId="48" xfId="2" applyFont="1" applyFill="1" applyBorder="1" applyAlignment="1">
      <alignment horizontal="center" vertical="center" wrapText="1"/>
    </xf>
    <xf numFmtId="3" fontId="32" fillId="3" borderId="49" xfId="2" applyNumberFormat="1" applyFont="1" applyFill="1" applyBorder="1" applyAlignment="1">
      <alignment horizontal="right" vertical="center" wrapText="1"/>
    </xf>
    <xf numFmtId="3" fontId="32" fillId="3" borderId="51" xfId="2" applyNumberFormat="1" applyFont="1" applyFill="1" applyBorder="1" applyAlignment="1">
      <alignment horizontal="right" vertical="center" wrapText="1"/>
    </xf>
    <xf numFmtId="3" fontId="32" fillId="3" borderId="128" xfId="2" applyNumberFormat="1" applyFont="1" applyFill="1" applyBorder="1" applyAlignment="1">
      <alignment horizontal="right" vertical="center" wrapText="1"/>
    </xf>
    <xf numFmtId="3" fontId="32" fillId="3" borderId="74" xfId="2" applyNumberFormat="1" applyFont="1" applyFill="1" applyBorder="1" applyAlignment="1">
      <alignment horizontal="right" vertical="center" wrapText="1"/>
    </xf>
    <xf numFmtId="3" fontId="32" fillId="3" borderId="50" xfId="2" applyNumberFormat="1" applyFont="1" applyFill="1" applyBorder="1" applyAlignment="1">
      <alignment horizontal="right" vertical="center" wrapText="1"/>
    </xf>
    <xf numFmtId="0" fontId="50" fillId="3" borderId="52" xfId="2" applyFont="1" applyFill="1" applyBorder="1" applyAlignment="1">
      <alignment horizontal="center" vertical="center" wrapText="1"/>
    </xf>
    <xf numFmtId="3" fontId="32" fillId="3" borderId="53" xfId="2" applyNumberFormat="1" applyFont="1" applyFill="1" applyBorder="1" applyAlignment="1">
      <alignment horizontal="right" vertical="center" wrapText="1"/>
    </xf>
    <xf numFmtId="3" fontId="32" fillId="3" borderId="55" xfId="2" applyNumberFormat="1" applyFont="1" applyFill="1" applyBorder="1" applyAlignment="1">
      <alignment horizontal="right" vertical="center" wrapText="1"/>
    </xf>
    <xf numFmtId="3" fontId="32" fillId="3" borderId="133" xfId="2" applyNumberFormat="1" applyFont="1" applyFill="1" applyBorder="1" applyAlignment="1">
      <alignment horizontal="right" vertical="center" wrapText="1"/>
    </xf>
    <xf numFmtId="3" fontId="32" fillId="3" borderId="109" xfId="2" applyNumberFormat="1" applyFont="1" applyFill="1" applyBorder="1" applyAlignment="1">
      <alignment horizontal="right" vertical="center" wrapText="1"/>
    </xf>
    <xf numFmtId="3" fontId="32" fillId="3" borderId="54" xfId="2" applyNumberFormat="1" applyFont="1" applyFill="1" applyBorder="1" applyAlignment="1">
      <alignment horizontal="right" vertical="center" wrapText="1"/>
    </xf>
    <xf numFmtId="0" fontId="54" fillId="0" borderId="8" xfId="2" applyFont="1" applyBorder="1" applyAlignment="1">
      <alignment horizontal="center" vertical="center" wrapText="1"/>
    </xf>
    <xf numFmtId="3" fontId="54" fillId="0" borderId="60" xfId="2" applyNumberFormat="1" applyFont="1" applyBorder="1" applyAlignment="1">
      <alignment horizontal="right" vertical="center" wrapText="1"/>
    </xf>
    <xf numFmtId="3" fontId="54" fillId="0" borderId="11" xfId="2" applyNumberFormat="1" applyFont="1" applyBorder="1" applyAlignment="1">
      <alignment horizontal="right" vertical="center" wrapText="1"/>
    </xf>
    <xf numFmtId="3" fontId="54" fillId="0" borderId="134" xfId="2" applyNumberFormat="1" applyFont="1" applyBorder="1" applyAlignment="1">
      <alignment horizontal="right" vertical="center" wrapText="1"/>
    </xf>
    <xf numFmtId="3" fontId="54" fillId="0" borderId="2" xfId="2" applyNumberFormat="1" applyFont="1" applyBorder="1" applyAlignment="1">
      <alignment horizontal="right" vertical="center" wrapText="1"/>
    </xf>
    <xf numFmtId="0" fontId="32" fillId="0" borderId="24" xfId="2" applyFont="1" applyBorder="1" applyAlignment="1">
      <alignment horizontal="left" vertical="center" wrapText="1"/>
    </xf>
    <xf numFmtId="3" fontId="32" fillId="0" borderId="25" xfId="2" applyNumberFormat="1" applyFont="1" applyBorder="1" applyAlignment="1">
      <alignment horizontal="right" vertical="center" wrapText="1"/>
    </xf>
    <xf numFmtId="3" fontId="32" fillId="0" borderId="27" xfId="2" applyNumberFormat="1" applyFont="1" applyBorder="1" applyAlignment="1">
      <alignment horizontal="right" vertical="center" wrapText="1"/>
    </xf>
    <xf numFmtId="3" fontId="32" fillId="0" borderId="127" xfId="2" applyNumberFormat="1" applyFont="1" applyBorder="1" applyAlignment="1">
      <alignment horizontal="right" vertical="center" wrapText="1"/>
    </xf>
    <xf numFmtId="3" fontId="32" fillId="0" borderId="26" xfId="2" applyNumberFormat="1" applyFont="1" applyBorder="1" applyAlignment="1">
      <alignment horizontal="right" vertical="center" wrapText="1"/>
    </xf>
    <xf numFmtId="0" fontId="55" fillId="0" borderId="8" xfId="2" applyFont="1" applyBorder="1" applyAlignment="1">
      <alignment horizontal="center" vertical="center" wrapText="1"/>
    </xf>
    <xf numFmtId="3" fontId="55" fillId="0" borderId="60" xfId="2" applyNumberFormat="1" applyFont="1" applyBorder="1" applyAlignment="1">
      <alignment horizontal="right" vertical="center" wrapText="1"/>
    </xf>
    <xf numFmtId="3" fontId="55" fillId="0" borderId="11" xfId="2" applyNumberFormat="1" applyFont="1" applyBorder="1" applyAlignment="1">
      <alignment horizontal="right" vertical="center" wrapText="1"/>
    </xf>
    <xf numFmtId="3" fontId="55" fillId="0" borderId="134" xfId="2" applyNumberFormat="1" applyFont="1" applyBorder="1" applyAlignment="1">
      <alignment horizontal="right" vertical="center" wrapText="1"/>
    </xf>
    <xf numFmtId="3" fontId="55" fillId="0" borderId="2" xfId="2" applyNumberFormat="1" applyFont="1" applyBorder="1" applyAlignment="1">
      <alignment horizontal="right" vertical="center" wrapText="1"/>
    </xf>
    <xf numFmtId="0" fontId="56" fillId="0" borderId="8" xfId="2" applyFont="1" applyBorder="1" applyAlignment="1">
      <alignment horizontal="center" vertical="center" wrapText="1"/>
    </xf>
    <xf numFmtId="3" fontId="56" fillId="0" borderId="60" xfId="2" applyNumberFormat="1" applyFont="1" applyBorder="1" applyAlignment="1">
      <alignment horizontal="right" vertical="center" wrapText="1"/>
    </xf>
    <xf numFmtId="3" fontId="56" fillId="0" borderId="11" xfId="2" applyNumberFormat="1" applyFont="1" applyBorder="1" applyAlignment="1">
      <alignment horizontal="right" vertical="center" wrapText="1"/>
    </xf>
    <xf numFmtId="3" fontId="56" fillId="0" borderId="134" xfId="2" applyNumberFormat="1" applyFont="1" applyBorder="1" applyAlignment="1">
      <alignment horizontal="right" vertical="center" wrapText="1"/>
    </xf>
    <xf numFmtId="3" fontId="56" fillId="0" borderId="2" xfId="2" applyNumberFormat="1" applyFont="1" applyBorder="1" applyAlignment="1">
      <alignment horizontal="right" vertical="center" wrapText="1"/>
    </xf>
    <xf numFmtId="0" fontId="57" fillId="0" borderId="8" xfId="2" applyFont="1" applyBorder="1" applyAlignment="1">
      <alignment horizontal="center" vertical="center" wrapText="1"/>
    </xf>
    <xf numFmtId="3" fontId="89" fillId="0" borderId="60" xfId="2" applyNumberFormat="1" applyFont="1" applyBorder="1" applyAlignment="1">
      <alignment horizontal="right" vertical="center" wrapText="1"/>
    </xf>
    <xf numFmtId="3" fontId="89" fillId="0" borderId="11" xfId="2" applyNumberFormat="1" applyFont="1" applyBorder="1" applyAlignment="1">
      <alignment horizontal="right" vertical="center" wrapText="1"/>
    </xf>
    <xf numFmtId="3" fontId="57" fillId="0" borderId="60" xfId="2" applyNumberFormat="1" applyFont="1" applyBorder="1" applyAlignment="1">
      <alignment horizontal="right" vertical="center" wrapText="1"/>
    </xf>
    <xf numFmtId="3" fontId="57" fillId="0" borderId="11" xfId="2" applyNumberFormat="1" applyFont="1" applyBorder="1" applyAlignment="1">
      <alignment horizontal="right" vertical="center" wrapText="1"/>
    </xf>
    <xf numFmtId="3" fontId="57" fillId="0" borderId="134" xfId="2" applyNumberFormat="1" applyFont="1" applyBorder="1" applyAlignment="1">
      <alignment horizontal="right" vertical="center" wrapText="1"/>
    </xf>
    <xf numFmtId="3" fontId="57" fillId="0" borderId="2" xfId="2" applyNumberFormat="1" applyFont="1" applyBorder="1" applyAlignment="1">
      <alignment horizontal="right" vertical="center" wrapText="1"/>
    </xf>
    <xf numFmtId="0" fontId="32" fillId="0" borderId="24" xfId="2" applyFont="1" applyBorder="1" applyAlignment="1">
      <alignment horizontal="left" vertical="center"/>
    </xf>
    <xf numFmtId="3" fontId="32" fillId="0" borderId="25" xfId="2" applyNumberFormat="1" applyFont="1" applyBorder="1" applyAlignment="1">
      <alignment horizontal="right" vertical="center"/>
    </xf>
    <xf numFmtId="3" fontId="32" fillId="0" borderId="27" xfId="2" applyNumberFormat="1" applyFont="1" applyBorder="1" applyAlignment="1">
      <alignment horizontal="right" vertical="center"/>
    </xf>
    <xf numFmtId="3" fontId="32" fillId="0" borderId="127" xfId="2" applyNumberFormat="1" applyFont="1" applyBorder="1" applyAlignment="1">
      <alignment horizontal="right" vertical="center"/>
    </xf>
    <xf numFmtId="3" fontId="32" fillId="0" borderId="26" xfId="2" applyNumberFormat="1" applyFont="1" applyBorder="1" applyAlignment="1">
      <alignment horizontal="right" vertical="center"/>
    </xf>
    <xf numFmtId="0" fontId="32" fillId="0" borderId="48" xfId="2" applyFont="1" applyBorder="1" applyAlignment="1">
      <alignment horizontal="left" vertical="center"/>
    </xf>
    <xf numFmtId="3" fontId="32" fillId="0" borderId="49" xfId="2" applyNumberFormat="1" applyFont="1" applyBorder="1" applyAlignment="1">
      <alignment horizontal="right" vertical="center"/>
    </xf>
    <xf numFmtId="3" fontId="32" fillId="0" borderId="51" xfId="2" applyNumberFormat="1" applyFont="1" applyBorder="1" applyAlignment="1">
      <alignment horizontal="right" vertical="center"/>
    </xf>
    <xf numFmtId="3" fontId="32" fillId="0" borderId="128" xfId="2" applyNumberFormat="1" applyFont="1" applyBorder="1" applyAlignment="1">
      <alignment horizontal="right" vertical="center"/>
    </xf>
    <xf numFmtId="3" fontId="32" fillId="0" borderId="50" xfId="2" applyNumberFormat="1" applyFont="1" applyBorder="1" applyAlignment="1">
      <alignment horizontal="right" vertical="center"/>
    </xf>
    <xf numFmtId="0" fontId="32" fillId="0" borderId="52" xfId="2" applyFont="1" applyBorder="1" applyAlignment="1">
      <alignment horizontal="left" vertical="center"/>
    </xf>
    <xf numFmtId="3" fontId="32" fillId="0" borderId="53" xfId="2" applyNumberFormat="1" applyFont="1" applyBorder="1" applyAlignment="1">
      <alignment horizontal="right" vertical="center"/>
    </xf>
    <xf numFmtId="3" fontId="32" fillId="0" borderId="55" xfId="2" applyNumberFormat="1" applyFont="1" applyBorder="1" applyAlignment="1">
      <alignment horizontal="right" vertical="center"/>
    </xf>
    <xf numFmtId="3" fontId="32" fillId="0" borderId="133" xfId="2" applyNumberFormat="1" applyFont="1" applyBorder="1" applyAlignment="1">
      <alignment horizontal="right" vertical="center"/>
    </xf>
    <xf numFmtId="3" fontId="32" fillId="0" borderId="54" xfId="2" applyNumberFormat="1" applyFont="1" applyBorder="1" applyAlignment="1">
      <alignment horizontal="right" vertical="center"/>
    </xf>
    <xf numFmtId="0" fontId="58" fillId="0" borderId="8" xfId="2" applyFont="1" applyBorder="1" applyAlignment="1">
      <alignment horizontal="center" vertical="center"/>
    </xf>
    <xf numFmtId="3" fontId="144" fillId="0" borderId="60" xfId="2" applyNumberFormat="1" applyFont="1" applyBorder="1" applyAlignment="1">
      <alignment horizontal="right" vertical="center"/>
    </xf>
    <xf numFmtId="3" fontId="144" fillId="0" borderId="11" xfId="2" applyNumberFormat="1" applyFont="1" applyBorder="1" applyAlignment="1">
      <alignment horizontal="right" vertical="center"/>
    </xf>
    <xf numFmtId="3" fontId="58" fillId="0" borderId="60" xfId="2" applyNumberFormat="1" applyFont="1" applyBorder="1" applyAlignment="1">
      <alignment horizontal="right" vertical="center" wrapText="1"/>
    </xf>
    <xf numFmtId="3" fontId="58" fillId="0" borderId="11" xfId="2" applyNumberFormat="1" applyFont="1" applyBorder="1" applyAlignment="1">
      <alignment horizontal="right" vertical="center" wrapText="1"/>
    </xf>
    <xf numFmtId="3" fontId="58" fillId="0" borderId="134" xfId="2" applyNumberFormat="1" applyFont="1" applyBorder="1" applyAlignment="1">
      <alignment horizontal="right" vertical="center" wrapText="1"/>
    </xf>
    <xf numFmtId="3" fontId="58" fillId="0" borderId="2" xfId="2" applyNumberFormat="1" applyFont="1" applyBorder="1" applyAlignment="1">
      <alignment horizontal="right" vertical="center" wrapText="1"/>
    </xf>
    <xf numFmtId="0" fontId="30" fillId="0" borderId="0" xfId="2" applyFont="1"/>
    <xf numFmtId="0" fontId="30" fillId="0" borderId="0" xfId="2" applyFont="1" applyAlignment="1">
      <alignment horizontal="right"/>
    </xf>
    <xf numFmtId="0" fontId="26" fillId="0" borderId="0" xfId="2" applyAlignment="1">
      <alignment horizontal="right"/>
    </xf>
    <xf numFmtId="3" fontId="50" fillId="3" borderId="9" xfId="2" applyNumberFormat="1" applyFont="1" applyFill="1" applyBorder="1" applyAlignment="1">
      <alignment horizontal="center" vertical="center" wrapText="1"/>
    </xf>
    <xf numFmtId="3" fontId="50" fillId="3" borderId="9" xfId="2" applyNumberFormat="1" applyFont="1" applyFill="1" applyBorder="1" applyAlignment="1">
      <alignment horizontal="right" vertical="center" wrapText="1"/>
    </xf>
    <xf numFmtId="3" fontId="50" fillId="3" borderId="10" xfId="2" applyNumberFormat="1" applyFont="1" applyFill="1" applyBorder="1" applyAlignment="1">
      <alignment horizontal="right" vertical="center" wrapText="1"/>
    </xf>
    <xf numFmtId="3" fontId="50" fillId="3" borderId="130" xfId="2" applyNumberFormat="1" applyFont="1" applyFill="1" applyBorder="1" applyAlignment="1">
      <alignment horizontal="right" vertical="center" wrapText="1"/>
    </xf>
    <xf numFmtId="3" fontId="50" fillId="3" borderId="100" xfId="2" applyNumberFormat="1" applyFont="1" applyFill="1" applyBorder="1" applyAlignment="1">
      <alignment horizontal="right" vertical="center" wrapText="1"/>
    </xf>
    <xf numFmtId="3" fontId="50" fillId="3" borderId="4" xfId="2" applyNumberFormat="1" applyFont="1" applyFill="1" applyBorder="1" applyAlignment="1">
      <alignment horizontal="right" vertical="center" wrapText="1"/>
    </xf>
    <xf numFmtId="0" fontId="84" fillId="0" borderId="0" xfId="2" applyFont="1" applyAlignment="1">
      <alignment wrapText="1"/>
    </xf>
    <xf numFmtId="0" fontId="84" fillId="0" borderId="0" xfId="2" applyFont="1" applyAlignment="1">
      <alignment horizontal="center" vertical="center" wrapText="1"/>
    </xf>
    <xf numFmtId="0" fontId="26" fillId="0" borderId="0" xfId="2" applyAlignment="1">
      <alignment horizontal="right" wrapText="1"/>
    </xf>
    <xf numFmtId="0" fontId="47" fillId="0" borderId="0" xfId="2" applyFont="1"/>
    <xf numFmtId="0" fontId="184" fillId="0" borderId="0" xfId="2" applyFont="1"/>
    <xf numFmtId="0" fontId="184" fillId="0" borderId="0" xfId="3" applyFont="1" applyAlignment="1">
      <alignment vertical="center"/>
    </xf>
    <xf numFmtId="0" fontId="45" fillId="0" borderId="0" xfId="2" applyFont="1" applyAlignment="1">
      <alignment vertical="center" wrapText="1"/>
    </xf>
    <xf numFmtId="0" fontId="30" fillId="0" borderId="0" xfId="0" applyFont="1"/>
    <xf numFmtId="0" fontId="51" fillId="0" borderId="2" xfId="3" applyFont="1" applyBorder="1" applyAlignment="1">
      <alignment vertical="center"/>
    </xf>
    <xf numFmtId="3" fontId="41" fillId="0" borderId="99" xfId="4" applyNumberFormat="1" applyFont="1" applyBorder="1" applyAlignment="1">
      <alignment horizontal="center" vertical="center" wrapText="1"/>
    </xf>
    <xf numFmtId="3" fontId="32" fillId="0" borderId="78" xfId="3" applyNumberFormat="1" applyFont="1" applyBorder="1" applyAlignment="1">
      <alignment horizontal="right" vertical="center"/>
    </xf>
    <xf numFmtId="3" fontId="32" fillId="0" borderId="74" xfId="3" applyNumberFormat="1" applyFont="1" applyBorder="1" applyAlignment="1">
      <alignment horizontal="right" vertical="center"/>
    </xf>
    <xf numFmtId="0" fontId="54" fillId="3" borderId="56" xfId="3" applyFont="1" applyFill="1" applyBorder="1" applyAlignment="1">
      <alignment horizontal="center" vertical="center"/>
    </xf>
    <xf numFmtId="3" fontId="54" fillId="3" borderId="77" xfId="3" applyNumberFormat="1" applyFont="1" applyFill="1" applyBorder="1" applyAlignment="1">
      <alignment horizontal="right" vertical="center"/>
    </xf>
    <xf numFmtId="0" fontId="57" fillId="3" borderId="56" xfId="3" applyFont="1" applyFill="1" applyBorder="1" applyAlignment="1">
      <alignment horizontal="center" vertical="center"/>
    </xf>
    <xf numFmtId="3" fontId="57" fillId="3" borderId="77" xfId="3" applyNumberFormat="1" applyFont="1" applyFill="1" applyBorder="1" applyAlignment="1">
      <alignment horizontal="right" vertical="center"/>
    </xf>
    <xf numFmtId="0" fontId="26" fillId="0" borderId="2" xfId="3" applyBorder="1" applyAlignment="1">
      <alignment vertical="center"/>
    </xf>
    <xf numFmtId="0" fontId="26" fillId="0" borderId="2" xfId="3" applyBorder="1" applyAlignment="1">
      <alignment horizontal="right" vertical="center"/>
    </xf>
    <xf numFmtId="0" fontId="55" fillId="3" borderId="56" xfId="3" applyFont="1" applyFill="1" applyBorder="1" applyAlignment="1">
      <alignment horizontal="center" vertical="center"/>
    </xf>
    <xf numFmtId="3" fontId="55" fillId="3" borderId="77" xfId="3" applyNumberFormat="1" applyFont="1" applyFill="1" applyBorder="1" applyAlignment="1">
      <alignment horizontal="right" vertical="center"/>
    </xf>
    <xf numFmtId="0" fontId="58" fillId="3" borderId="56" xfId="3" applyFont="1" applyFill="1" applyBorder="1" applyAlignment="1">
      <alignment horizontal="center" vertical="center"/>
    </xf>
    <xf numFmtId="3" fontId="58" fillId="3" borderId="77" xfId="3" applyNumberFormat="1" applyFont="1" applyFill="1" applyBorder="1" applyAlignment="1">
      <alignment horizontal="right" vertical="center"/>
    </xf>
    <xf numFmtId="0" fontId="56" fillId="3" borderId="56" xfId="3" applyFont="1" applyFill="1" applyBorder="1" applyAlignment="1">
      <alignment horizontal="center" vertical="center"/>
    </xf>
    <xf numFmtId="3" fontId="56" fillId="3" borderId="77" xfId="3" applyNumberFormat="1" applyFont="1" applyFill="1" applyBorder="1" applyAlignment="1">
      <alignment horizontal="right" vertical="center"/>
    </xf>
    <xf numFmtId="3" fontId="32" fillId="0" borderId="59" xfId="3" applyNumberFormat="1" applyFont="1" applyBorder="1" applyAlignment="1">
      <alignment horizontal="right" vertical="center"/>
    </xf>
    <xf numFmtId="0" fontId="50" fillId="3" borderId="56" xfId="3" applyFont="1" applyFill="1" applyBorder="1" applyAlignment="1">
      <alignment horizontal="center" vertical="center"/>
    </xf>
    <xf numFmtId="3" fontId="50" fillId="3" borderId="77" xfId="3" applyNumberFormat="1" applyFont="1" applyFill="1" applyBorder="1" applyAlignment="1">
      <alignment horizontal="right" vertical="center"/>
    </xf>
    <xf numFmtId="0" fontId="165" fillId="0" borderId="0" xfId="35" applyFont="1" applyAlignment="1">
      <alignment vertical="center"/>
    </xf>
    <xf numFmtId="0" fontId="185" fillId="0" borderId="0" xfId="3" applyFont="1"/>
    <xf numFmtId="1" fontId="185" fillId="0" borderId="0" xfId="3" applyNumberFormat="1" applyFont="1"/>
    <xf numFmtId="3" fontId="41" fillId="0" borderId="8" xfId="4" applyNumberFormat="1" applyFont="1" applyFill="1" applyBorder="1" applyAlignment="1">
      <alignment horizontal="center" vertical="center" wrapText="1"/>
    </xf>
    <xf numFmtId="0" fontId="32" fillId="0" borderId="44" xfId="3" applyFont="1" applyBorder="1" applyAlignment="1">
      <alignment vertical="center"/>
    </xf>
    <xf numFmtId="0" fontId="32" fillId="0" borderId="48" xfId="3" applyFont="1" applyBorder="1" applyAlignment="1">
      <alignment vertical="center"/>
    </xf>
    <xf numFmtId="0" fontId="32" fillId="3" borderId="48" xfId="3" applyFont="1" applyFill="1" applyBorder="1" applyAlignment="1">
      <alignment horizontal="center" vertical="center"/>
    </xf>
    <xf numFmtId="3" fontId="32" fillId="3" borderId="49" xfId="3" applyNumberFormat="1" applyFont="1" applyFill="1" applyBorder="1" applyAlignment="1">
      <alignment horizontal="right" vertical="center"/>
    </xf>
    <xf numFmtId="3" fontId="32" fillId="3" borderId="51" xfId="3" applyNumberFormat="1" applyFont="1" applyFill="1" applyBorder="1" applyAlignment="1">
      <alignment horizontal="right" vertical="center"/>
    </xf>
    <xf numFmtId="0" fontId="32" fillId="3" borderId="52" xfId="3" applyFont="1" applyFill="1" applyBorder="1" applyAlignment="1">
      <alignment horizontal="center" vertical="center"/>
    </xf>
    <xf numFmtId="3" fontId="32" fillId="3" borderId="53" xfId="3" applyNumberFormat="1" applyFont="1" applyFill="1" applyBorder="1" applyAlignment="1">
      <alignment horizontal="right" vertical="center"/>
    </xf>
    <xf numFmtId="3" fontId="32" fillId="3" borderId="55" xfId="3" applyNumberFormat="1" applyFont="1" applyFill="1" applyBorder="1" applyAlignment="1">
      <alignment horizontal="right" vertical="center"/>
    </xf>
    <xf numFmtId="0" fontId="54" fillId="0" borderId="39" xfId="3" applyFont="1" applyBorder="1" applyAlignment="1">
      <alignment horizontal="center" vertical="center"/>
    </xf>
    <xf numFmtId="3" fontId="54" fillId="0" borderId="130" xfId="2" applyNumberFormat="1" applyFont="1" applyBorder="1" applyAlignment="1">
      <alignment horizontal="right" vertical="center" wrapText="1"/>
    </xf>
    <xf numFmtId="3" fontId="54" fillId="0" borderId="4" xfId="2" applyNumberFormat="1" applyFont="1" applyBorder="1" applyAlignment="1">
      <alignment horizontal="right" vertical="center" wrapText="1"/>
    </xf>
    <xf numFmtId="3" fontId="54" fillId="0" borderId="10" xfId="2" applyNumberFormat="1" applyFont="1" applyBorder="1" applyAlignment="1">
      <alignment horizontal="right" vertical="center" wrapText="1"/>
    </xf>
    <xf numFmtId="0" fontId="32" fillId="0" borderId="24" xfId="3" applyFont="1" applyBorder="1" applyAlignment="1">
      <alignment vertical="center"/>
    </xf>
    <xf numFmtId="0" fontId="55" fillId="0" borderId="39" xfId="3" applyFont="1" applyBorder="1" applyAlignment="1">
      <alignment horizontal="center" vertical="center"/>
    </xf>
    <xf numFmtId="3" fontId="55" fillId="0" borderId="130" xfId="2" applyNumberFormat="1" applyFont="1" applyBorder="1" applyAlignment="1">
      <alignment horizontal="right" vertical="center" wrapText="1"/>
    </xf>
    <xf numFmtId="3" fontId="55" fillId="0" borderId="4" xfId="2" applyNumberFormat="1" applyFont="1" applyBorder="1" applyAlignment="1">
      <alignment horizontal="right" vertical="center" wrapText="1"/>
    </xf>
    <xf numFmtId="3" fontId="55" fillId="0" borderId="10" xfId="2" applyNumberFormat="1" applyFont="1" applyBorder="1" applyAlignment="1">
      <alignment horizontal="right" vertical="center" wrapText="1"/>
    </xf>
    <xf numFmtId="0" fontId="56" fillId="0" borderId="39" xfId="3" applyFont="1" applyBorder="1" applyAlignment="1">
      <alignment horizontal="center" vertical="center"/>
    </xf>
    <xf numFmtId="3" fontId="56" fillId="0" borderId="130" xfId="2" applyNumberFormat="1" applyFont="1" applyBorder="1" applyAlignment="1">
      <alignment horizontal="right" vertical="center" wrapText="1"/>
    </xf>
    <xf numFmtId="3" fontId="56" fillId="0" borderId="4" xfId="2" applyNumberFormat="1" applyFont="1" applyBorder="1" applyAlignment="1">
      <alignment horizontal="right" vertical="center" wrapText="1"/>
    </xf>
    <xf numFmtId="3" fontId="56" fillId="0" borderId="10" xfId="2" applyNumberFormat="1" applyFont="1" applyBorder="1" applyAlignment="1">
      <alignment horizontal="right" vertical="center" wrapText="1"/>
    </xf>
    <xf numFmtId="10" fontId="32" fillId="0" borderId="48" xfId="3" applyNumberFormat="1" applyFont="1" applyBorder="1" applyAlignment="1">
      <alignment vertical="center"/>
    </xf>
    <xf numFmtId="10" fontId="32" fillId="0" borderId="24" xfId="3" applyNumberFormat="1" applyFont="1" applyBorder="1" applyAlignment="1">
      <alignment vertical="center"/>
    </xf>
    <xf numFmtId="0" fontId="57" fillId="0" borderId="39" xfId="3" applyFont="1" applyBorder="1" applyAlignment="1">
      <alignment horizontal="center" vertical="center"/>
    </xf>
    <xf numFmtId="3" fontId="57" fillId="0" borderId="9" xfId="3" applyNumberFormat="1" applyFont="1" applyBorder="1" applyAlignment="1">
      <alignment horizontal="right" vertical="center"/>
    </xf>
    <xf numFmtId="3" fontId="57" fillId="0" borderId="130" xfId="2" applyNumberFormat="1" applyFont="1" applyBorder="1" applyAlignment="1">
      <alignment horizontal="right" vertical="center" wrapText="1"/>
    </xf>
    <xf numFmtId="3" fontId="57" fillId="0" borderId="4" xfId="2" applyNumberFormat="1" applyFont="1" applyBorder="1" applyAlignment="1">
      <alignment horizontal="right" vertical="center" wrapText="1"/>
    </xf>
    <xf numFmtId="3" fontId="57" fillId="0" borderId="10" xfId="2" applyNumberFormat="1" applyFont="1" applyBorder="1" applyAlignment="1">
      <alignment horizontal="right" vertical="center" wrapText="1"/>
    </xf>
    <xf numFmtId="0" fontId="50" fillId="3" borderId="56" xfId="2" applyFont="1" applyFill="1" applyBorder="1" applyAlignment="1">
      <alignment horizontal="center" vertical="center" wrapText="1"/>
    </xf>
    <xf numFmtId="0" fontId="58" fillId="0" borderId="9" xfId="3" applyFont="1" applyBorder="1" applyAlignment="1">
      <alignment horizontal="center" vertical="center"/>
    </xf>
    <xf numFmtId="3" fontId="58" fillId="0" borderId="130" xfId="2" applyNumberFormat="1" applyFont="1" applyBorder="1" applyAlignment="1">
      <alignment horizontal="right" vertical="center" wrapText="1"/>
    </xf>
    <xf numFmtId="3" fontId="58" fillId="0" borderId="4" xfId="2" applyNumberFormat="1" applyFont="1" applyBorder="1" applyAlignment="1">
      <alignment horizontal="right" vertical="center" wrapText="1"/>
    </xf>
    <xf numFmtId="3" fontId="58" fillId="0" borderId="10" xfId="2" applyNumberFormat="1" applyFont="1" applyBorder="1" applyAlignment="1">
      <alignment horizontal="right" vertical="center" wrapText="1"/>
    </xf>
    <xf numFmtId="0" fontId="185" fillId="0" borderId="0" xfId="3" applyFont="1" applyAlignment="1">
      <alignment horizontal="right"/>
    </xf>
    <xf numFmtId="1" fontId="41" fillId="3" borderId="39" xfId="3" applyNumberFormat="1" applyFont="1" applyFill="1" applyBorder="1" applyAlignment="1">
      <alignment horizontal="center" vertical="center" wrapText="1"/>
    </xf>
    <xf numFmtId="1" fontId="50" fillId="0" borderId="8" xfId="3" applyNumberFormat="1" applyFont="1" applyBorder="1" applyAlignment="1">
      <alignment horizontal="center" vertical="center" wrapText="1"/>
    </xf>
    <xf numFmtId="1" fontId="41" fillId="3" borderId="10" xfId="3" applyNumberFormat="1" applyFont="1" applyFill="1" applyBorder="1" applyAlignment="1">
      <alignment horizontal="center" vertical="center" wrapText="1"/>
    </xf>
    <xf numFmtId="0" fontId="32" fillId="0" borderId="45" xfId="3" applyFont="1" applyBorder="1" applyAlignment="1">
      <alignment vertical="center"/>
    </xf>
    <xf numFmtId="1" fontId="32" fillId="0" borderId="25" xfId="3" applyNumberFormat="1" applyFont="1" applyBorder="1" applyAlignment="1">
      <alignment horizontal="center" vertical="center"/>
    </xf>
    <xf numFmtId="1" fontId="32" fillId="0" borderId="27" xfId="3" applyNumberFormat="1" applyFont="1" applyBorder="1" applyAlignment="1">
      <alignment horizontal="center" vertical="center"/>
    </xf>
    <xf numFmtId="1" fontId="32" fillId="0" borderId="24" xfId="3" applyNumberFormat="1" applyFont="1" applyBorder="1" applyAlignment="1">
      <alignment horizontal="center" vertical="center"/>
    </xf>
    <xf numFmtId="1" fontId="32" fillId="0" borderId="48" xfId="3" applyNumberFormat="1" applyFont="1" applyBorder="1" applyAlignment="1">
      <alignment horizontal="center" vertical="center"/>
    </xf>
    <xf numFmtId="0" fontId="32" fillId="0" borderId="49" xfId="3" applyFont="1" applyBorder="1" applyAlignment="1">
      <alignment vertical="center"/>
    </xf>
    <xf numFmtId="1" fontId="32" fillId="0" borderId="49" xfId="3" applyNumberFormat="1" applyFont="1" applyBorder="1" applyAlignment="1">
      <alignment horizontal="center" vertical="center"/>
    </xf>
    <xf numFmtId="1" fontId="32" fillId="0" borderId="51" xfId="3" applyNumberFormat="1" applyFont="1" applyBorder="1" applyAlignment="1">
      <alignment horizontal="center" vertical="center"/>
    </xf>
    <xf numFmtId="0" fontId="32" fillId="3" borderId="49" xfId="3" applyFont="1" applyFill="1" applyBorder="1" applyAlignment="1">
      <alignment horizontal="center" vertical="center"/>
    </xf>
    <xf numFmtId="1" fontId="32" fillId="3" borderId="49" xfId="3" applyNumberFormat="1" applyFont="1" applyFill="1" applyBorder="1" applyAlignment="1">
      <alignment horizontal="center" vertical="center"/>
    </xf>
    <xf numFmtId="1" fontId="32" fillId="3" borderId="51" xfId="3" applyNumberFormat="1" applyFont="1" applyFill="1" applyBorder="1" applyAlignment="1">
      <alignment horizontal="center" vertical="center"/>
    </xf>
    <xf numFmtId="1" fontId="32" fillId="3" borderId="48" xfId="3" applyNumberFormat="1" applyFont="1" applyFill="1" applyBorder="1" applyAlignment="1">
      <alignment horizontal="center" vertical="center"/>
    </xf>
    <xf numFmtId="0" fontId="32" fillId="3" borderId="53" xfId="3" applyFont="1" applyFill="1" applyBorder="1" applyAlignment="1">
      <alignment horizontal="center" vertical="center"/>
    </xf>
    <xf numFmtId="1" fontId="32" fillId="3" borderId="53" xfId="3" applyNumberFormat="1" applyFont="1" applyFill="1" applyBorder="1" applyAlignment="1">
      <alignment horizontal="center" vertical="center"/>
    </xf>
    <xf numFmtId="1" fontId="32" fillId="3" borderId="55" xfId="3" applyNumberFormat="1" applyFont="1" applyFill="1" applyBorder="1" applyAlignment="1">
      <alignment horizontal="center" vertical="center"/>
    </xf>
    <xf numFmtId="1" fontId="32" fillId="3" borderId="52" xfId="3" applyNumberFormat="1" applyFont="1" applyFill="1" applyBorder="1" applyAlignment="1">
      <alignment horizontal="center" vertical="center"/>
    </xf>
    <xf numFmtId="0" fontId="32" fillId="3" borderId="35" xfId="3" applyFont="1" applyFill="1" applyBorder="1" applyAlignment="1">
      <alignment horizontal="center" vertical="center"/>
    </xf>
    <xf numFmtId="1" fontId="32" fillId="3" borderId="35" xfId="3" applyNumberFormat="1" applyFont="1" applyFill="1" applyBorder="1" applyAlignment="1">
      <alignment horizontal="center" vertical="center"/>
    </xf>
    <xf numFmtId="1" fontId="32" fillId="3" borderId="36" xfId="3" applyNumberFormat="1" applyFont="1" applyFill="1" applyBorder="1" applyAlignment="1">
      <alignment horizontal="center" vertical="center"/>
    </xf>
    <xf numFmtId="1" fontId="32" fillId="3" borderId="34" xfId="3" applyNumberFormat="1" applyFont="1" applyFill="1" applyBorder="1" applyAlignment="1">
      <alignment horizontal="center" vertical="center"/>
    </xf>
    <xf numFmtId="0" fontId="54" fillId="0" borderId="9" xfId="3" applyFont="1" applyBorder="1" applyAlignment="1">
      <alignment horizontal="center" vertical="center"/>
    </xf>
    <xf numFmtId="1" fontId="54" fillId="0" borderId="9" xfId="3" applyNumberFormat="1" applyFont="1" applyBorder="1" applyAlignment="1">
      <alignment horizontal="center" vertical="center"/>
    </xf>
    <xf numFmtId="1" fontId="54" fillId="0" borderId="10" xfId="3" applyNumberFormat="1" applyFont="1" applyBorder="1" applyAlignment="1">
      <alignment horizontal="center" vertical="center"/>
    </xf>
    <xf numFmtId="1" fontId="54" fillId="0" borderId="39" xfId="3" applyNumberFormat="1" applyFont="1" applyBorder="1" applyAlignment="1">
      <alignment horizontal="center" vertical="center"/>
    </xf>
    <xf numFmtId="0" fontId="32" fillId="0" borderId="25" xfId="3" applyFont="1" applyBorder="1" applyAlignment="1">
      <alignment vertical="center"/>
    </xf>
    <xf numFmtId="0" fontId="55" fillId="0" borderId="9" xfId="3" applyFont="1" applyBorder="1" applyAlignment="1">
      <alignment horizontal="center" vertical="center"/>
    </xf>
    <xf numFmtId="1" fontId="55" fillId="0" borderId="9" xfId="3" applyNumberFormat="1" applyFont="1" applyBorder="1" applyAlignment="1">
      <alignment horizontal="center" vertical="center"/>
    </xf>
    <xf numFmtId="1" fontId="55" fillId="0" borderId="10" xfId="3" applyNumberFormat="1" applyFont="1" applyBorder="1" applyAlignment="1">
      <alignment horizontal="center" vertical="center"/>
    </xf>
    <xf numFmtId="1" fontId="55" fillId="0" borderId="39" xfId="3" applyNumberFormat="1" applyFont="1" applyBorder="1" applyAlignment="1">
      <alignment horizontal="center" vertical="center"/>
    </xf>
    <xf numFmtId="1" fontId="32" fillId="0" borderId="53" xfId="3" applyNumberFormat="1" applyFont="1" applyBorder="1" applyAlignment="1">
      <alignment horizontal="center" vertical="center"/>
    </xf>
    <xf numFmtId="1" fontId="32" fillId="0" borderId="55" xfId="3" applyNumberFormat="1" applyFont="1" applyBorder="1" applyAlignment="1">
      <alignment horizontal="center" vertical="center"/>
    </xf>
    <xf numFmtId="0" fontId="56" fillId="0" borderId="9" xfId="3" applyFont="1" applyBorder="1" applyAlignment="1">
      <alignment horizontal="center" vertical="center"/>
    </xf>
    <xf numFmtId="1" fontId="56" fillId="0" borderId="9" xfId="3" applyNumberFormat="1" applyFont="1" applyBorder="1" applyAlignment="1">
      <alignment horizontal="center" vertical="center"/>
    </xf>
    <xf numFmtId="1" fontId="56" fillId="0" borderId="10" xfId="3" applyNumberFormat="1" applyFont="1" applyBorder="1" applyAlignment="1">
      <alignment horizontal="center" vertical="center"/>
    </xf>
    <xf numFmtId="1" fontId="56" fillId="0" borderId="39" xfId="3" applyNumberFormat="1" applyFont="1" applyBorder="1" applyAlignment="1">
      <alignment horizontal="center" vertical="center"/>
    </xf>
    <xf numFmtId="10" fontId="32" fillId="0" borderId="49" xfId="3" applyNumberFormat="1" applyFont="1" applyBorder="1" applyAlignment="1">
      <alignment vertical="center"/>
    </xf>
    <xf numFmtId="10" fontId="32" fillId="0" borderId="25" xfId="3" applyNumberFormat="1" applyFont="1" applyBorder="1" applyAlignment="1">
      <alignment vertical="center"/>
    </xf>
    <xf numFmtId="0" fontId="57" fillId="0" borderId="9" xfId="3" applyFont="1" applyBorder="1" applyAlignment="1">
      <alignment horizontal="center" vertical="center"/>
    </xf>
    <xf numFmtId="1" fontId="57" fillId="0" borderId="9" xfId="3" applyNumberFormat="1" applyFont="1" applyBorder="1" applyAlignment="1">
      <alignment horizontal="center" vertical="center"/>
    </xf>
    <xf numFmtId="1" fontId="57" fillId="0" borderId="10" xfId="3" applyNumberFormat="1" applyFont="1" applyBorder="1" applyAlignment="1">
      <alignment horizontal="center" vertical="center"/>
    </xf>
    <xf numFmtId="1" fontId="57" fillId="0" borderId="39" xfId="3" applyNumberFormat="1" applyFont="1" applyBorder="1" applyAlignment="1">
      <alignment horizontal="center" vertical="center"/>
    </xf>
    <xf numFmtId="1" fontId="58" fillId="0" borderId="136" xfId="3" applyNumberFormat="1" applyFont="1" applyBorder="1" applyAlignment="1">
      <alignment horizontal="center" vertical="center"/>
    </xf>
    <xf numFmtId="1" fontId="58" fillId="0" borderId="10" xfId="3" applyNumberFormat="1" applyFont="1" applyBorder="1" applyAlignment="1">
      <alignment horizontal="center" vertical="center"/>
    </xf>
    <xf numFmtId="1" fontId="58" fillId="0" borderId="9" xfId="3" applyNumberFormat="1" applyFont="1" applyBorder="1" applyAlignment="1">
      <alignment horizontal="center" vertical="center"/>
    </xf>
    <xf numFmtId="1" fontId="50" fillId="3" borderId="9" xfId="3" applyNumberFormat="1" applyFont="1" applyFill="1" applyBorder="1" applyAlignment="1">
      <alignment horizontal="center" vertical="center"/>
    </xf>
    <xf numFmtId="1" fontId="50" fillId="3" borderId="10" xfId="3" applyNumberFormat="1" applyFont="1" applyFill="1" applyBorder="1" applyAlignment="1">
      <alignment horizontal="center" vertical="center"/>
    </xf>
    <xf numFmtId="1" fontId="50" fillId="3" borderId="39" xfId="3" applyNumberFormat="1" applyFont="1" applyFill="1" applyBorder="1" applyAlignment="1">
      <alignment horizontal="center" vertical="center"/>
    </xf>
    <xf numFmtId="0" fontId="174" fillId="0" borderId="0" xfId="0" applyFont="1" applyAlignment="1">
      <alignment horizontal="left" vertical="center"/>
    </xf>
    <xf numFmtId="1" fontId="41" fillId="3" borderId="39" xfId="0" applyNumberFormat="1" applyFont="1" applyFill="1" applyBorder="1" applyAlignment="1">
      <alignment horizontal="center" vertical="center" wrapText="1"/>
    </xf>
    <xf numFmtId="1" fontId="50" fillId="0" borderId="11" xfId="0" applyNumberFormat="1" applyFont="1" applyBorder="1" applyAlignment="1">
      <alignment horizontal="center" vertical="center" wrapText="1"/>
    </xf>
    <xf numFmtId="3" fontId="32" fillId="0" borderId="45" xfId="3" applyNumberFormat="1" applyFont="1" applyBorder="1" applyAlignment="1">
      <alignment horizontal="center" vertical="center"/>
    </xf>
    <xf numFmtId="3" fontId="32" fillId="0" borderId="47" xfId="3" applyNumberFormat="1" applyFont="1" applyBorder="1" applyAlignment="1">
      <alignment horizontal="center" vertical="center"/>
    </xf>
    <xf numFmtId="3" fontId="32" fillId="0" borderId="44" xfId="3" applyNumberFormat="1" applyFont="1" applyBorder="1" applyAlignment="1">
      <alignment horizontal="center" vertical="center"/>
    </xf>
    <xf numFmtId="3" fontId="32" fillId="0" borderId="46" xfId="3" applyNumberFormat="1" applyFont="1" applyBorder="1" applyAlignment="1">
      <alignment horizontal="center" vertical="center"/>
    </xf>
    <xf numFmtId="3" fontId="32" fillId="0" borderId="137" xfId="3" applyNumberFormat="1" applyFont="1" applyBorder="1" applyAlignment="1">
      <alignment horizontal="center" vertical="center"/>
    </xf>
    <xf numFmtId="3" fontId="32" fillId="0" borderId="138" xfId="3" applyNumberFormat="1" applyFont="1" applyBorder="1" applyAlignment="1">
      <alignment horizontal="center" vertical="center"/>
    </xf>
    <xf numFmtId="3" fontId="32" fillId="0" borderId="49" xfId="3" applyNumberFormat="1" applyFont="1" applyBorder="1" applyAlignment="1">
      <alignment horizontal="center" vertical="center"/>
    </xf>
    <xf numFmtId="3" fontId="32" fillId="0" borderId="51" xfId="3" applyNumberFormat="1" applyFont="1" applyBorder="1" applyAlignment="1">
      <alignment horizontal="center" vertical="center"/>
    </xf>
    <xf numFmtId="3" fontId="32" fillId="0" borderId="48" xfId="3" applyNumberFormat="1" applyFont="1" applyBorder="1" applyAlignment="1">
      <alignment horizontal="center" vertical="center"/>
    </xf>
    <xf numFmtId="3" fontId="32" fillId="0" borderId="50" xfId="3" applyNumberFormat="1" applyFont="1" applyBorder="1" applyAlignment="1">
      <alignment horizontal="center" vertical="center"/>
    </xf>
    <xf numFmtId="3" fontId="32" fillId="0" borderId="139" xfId="3" applyNumberFormat="1" applyFont="1" applyBorder="1" applyAlignment="1">
      <alignment horizontal="center" vertical="center"/>
    </xf>
    <xf numFmtId="3" fontId="32" fillId="0" borderId="140" xfId="3" applyNumberFormat="1" applyFont="1" applyBorder="1" applyAlignment="1">
      <alignment horizontal="center" vertical="center"/>
    </xf>
    <xf numFmtId="3" fontId="32" fillId="3" borderId="49" xfId="3" applyNumberFormat="1" applyFont="1" applyFill="1" applyBorder="1" applyAlignment="1">
      <alignment horizontal="center" vertical="center"/>
    </xf>
    <xf numFmtId="3" fontId="32" fillId="3" borderId="51" xfId="3" applyNumberFormat="1" applyFont="1" applyFill="1" applyBorder="1" applyAlignment="1">
      <alignment horizontal="center" vertical="center"/>
    </xf>
    <xf numFmtId="3" fontId="32" fillId="3" borderId="48" xfId="3" applyNumberFormat="1" applyFont="1" applyFill="1" applyBorder="1" applyAlignment="1">
      <alignment horizontal="center" vertical="center"/>
    </xf>
    <xf numFmtId="3" fontId="32" fillId="3" borderId="50" xfId="3" applyNumberFormat="1" applyFont="1" applyFill="1" applyBorder="1" applyAlignment="1">
      <alignment horizontal="center" vertical="center"/>
    </xf>
    <xf numFmtId="3" fontId="32" fillId="3" borderId="139" xfId="3" applyNumberFormat="1" applyFont="1" applyFill="1" applyBorder="1" applyAlignment="1">
      <alignment horizontal="center" vertical="center"/>
    </xf>
    <xf numFmtId="3" fontId="32" fillId="3" borderId="140" xfId="3" applyNumberFormat="1" applyFont="1" applyFill="1" applyBorder="1" applyAlignment="1">
      <alignment horizontal="center" vertical="center"/>
    </xf>
    <xf numFmtId="3" fontId="32" fillId="3" borderId="53" xfId="3" applyNumberFormat="1" applyFont="1" applyFill="1" applyBorder="1" applyAlignment="1">
      <alignment horizontal="center" vertical="center"/>
    </xf>
    <xf numFmtId="3" fontId="32" fillId="3" borderId="55" xfId="3" applyNumberFormat="1" applyFont="1" applyFill="1" applyBorder="1" applyAlignment="1">
      <alignment horizontal="center" vertical="center"/>
    </xf>
    <xf numFmtId="3" fontId="32" fillId="3" borderId="52" xfId="3" applyNumberFormat="1" applyFont="1" applyFill="1" applyBorder="1" applyAlignment="1">
      <alignment horizontal="center" vertical="center"/>
    </xf>
    <xf numFmtId="3" fontId="32" fillId="3" borderId="54" xfId="3" applyNumberFormat="1" applyFont="1" applyFill="1" applyBorder="1" applyAlignment="1">
      <alignment horizontal="center" vertical="center"/>
    </xf>
    <xf numFmtId="3" fontId="32" fillId="3" borderId="141" xfId="3" applyNumberFormat="1" applyFont="1" applyFill="1" applyBorder="1" applyAlignment="1">
      <alignment horizontal="center" vertical="center"/>
    </xf>
    <xf numFmtId="3" fontId="32" fillId="3" borderId="142" xfId="3" applyNumberFormat="1" applyFont="1" applyFill="1" applyBorder="1" applyAlignment="1">
      <alignment horizontal="center" vertical="center"/>
    </xf>
    <xf numFmtId="3" fontId="54" fillId="0" borderId="9" xfId="3" applyNumberFormat="1" applyFont="1" applyBorder="1" applyAlignment="1">
      <alignment horizontal="center" vertical="center"/>
    </xf>
    <xf numFmtId="3" fontId="54" fillId="0" borderId="10" xfId="3" applyNumberFormat="1" applyFont="1" applyBorder="1" applyAlignment="1">
      <alignment horizontal="center" vertical="center"/>
    </xf>
    <xf numFmtId="3" fontId="54" fillId="0" borderId="39" xfId="3" applyNumberFormat="1" applyFont="1" applyBorder="1" applyAlignment="1">
      <alignment horizontal="center" vertical="center"/>
    </xf>
    <xf numFmtId="3" fontId="54" fillId="0" borderId="4" xfId="3" applyNumberFormat="1" applyFont="1" applyBorder="1" applyAlignment="1">
      <alignment horizontal="center" vertical="center"/>
    </xf>
    <xf numFmtId="3" fontId="54" fillId="0" borderId="143" xfId="3" applyNumberFormat="1" applyFont="1" applyBorder="1" applyAlignment="1">
      <alignment horizontal="center" vertical="center"/>
    </xf>
    <xf numFmtId="3" fontId="54" fillId="0" borderId="144" xfId="3" applyNumberFormat="1" applyFont="1" applyBorder="1" applyAlignment="1">
      <alignment horizontal="center" vertical="center"/>
    </xf>
    <xf numFmtId="3" fontId="32" fillId="0" borderId="25" xfId="3" applyNumberFormat="1" applyFont="1" applyBorder="1" applyAlignment="1">
      <alignment horizontal="center" vertical="center"/>
    </xf>
    <xf numFmtId="3" fontId="32" fillId="0" borderId="27" xfId="3" applyNumberFormat="1" applyFont="1" applyBorder="1" applyAlignment="1">
      <alignment horizontal="center" vertical="center"/>
    </xf>
    <xf numFmtId="3" fontId="32" fillId="0" borderId="26" xfId="3" applyNumberFormat="1" applyFont="1" applyBorder="1" applyAlignment="1">
      <alignment horizontal="center" vertical="center"/>
    </xf>
    <xf numFmtId="3" fontId="32" fillId="0" borderId="145" xfId="3" applyNumberFormat="1" applyFont="1" applyBorder="1" applyAlignment="1">
      <alignment horizontal="center" vertical="center"/>
    </xf>
    <xf numFmtId="3" fontId="55" fillId="0" borderId="9" xfId="3" applyNumberFormat="1" applyFont="1" applyBorder="1" applyAlignment="1">
      <alignment horizontal="center" vertical="center"/>
    </xf>
    <xf numFmtId="3" fontId="55" fillId="0" borderId="10" xfId="3" applyNumberFormat="1" applyFont="1" applyBorder="1" applyAlignment="1">
      <alignment horizontal="center" vertical="center"/>
    </xf>
    <xf numFmtId="3" fontId="55" fillId="0" borderId="39" xfId="3" applyNumberFormat="1" applyFont="1" applyBorder="1" applyAlignment="1">
      <alignment horizontal="center" vertical="center"/>
    </xf>
    <xf numFmtId="3" fontId="55" fillId="0" borderId="4" xfId="3" applyNumberFormat="1" applyFont="1" applyBorder="1" applyAlignment="1">
      <alignment horizontal="center" vertical="center"/>
    </xf>
    <xf numFmtId="3" fontId="55" fillId="0" borderId="143" xfId="3" applyNumberFormat="1" applyFont="1" applyBorder="1" applyAlignment="1">
      <alignment horizontal="center" vertical="center"/>
    </xf>
    <xf numFmtId="3" fontId="55" fillId="0" borderId="144" xfId="3" applyNumberFormat="1" applyFont="1" applyBorder="1" applyAlignment="1">
      <alignment horizontal="center" vertical="center"/>
    </xf>
    <xf numFmtId="3" fontId="32" fillId="0" borderId="24" xfId="3" applyNumberFormat="1" applyFont="1" applyBorder="1" applyAlignment="1">
      <alignment horizontal="center" vertical="center"/>
    </xf>
    <xf numFmtId="3" fontId="32" fillId="0" borderId="146" xfId="3" applyNumberFormat="1" applyFont="1" applyBorder="1" applyAlignment="1">
      <alignment horizontal="center" vertical="center"/>
    </xf>
    <xf numFmtId="3" fontId="56" fillId="0" borderId="9" xfId="3" applyNumberFormat="1" applyFont="1" applyBorder="1" applyAlignment="1">
      <alignment horizontal="center" vertical="center"/>
    </xf>
    <xf numFmtId="3" fontId="56" fillId="0" borderId="10" xfId="3" applyNumberFormat="1" applyFont="1" applyBorder="1" applyAlignment="1">
      <alignment horizontal="center" vertical="center"/>
    </xf>
    <xf numFmtId="3" fontId="56" fillId="0" borderId="39" xfId="3" applyNumberFormat="1" applyFont="1" applyBorder="1" applyAlignment="1">
      <alignment horizontal="center" vertical="center"/>
    </xf>
    <xf numFmtId="3" fontId="56" fillId="0" borderId="4" xfId="3" applyNumberFormat="1" applyFont="1" applyBorder="1" applyAlignment="1">
      <alignment horizontal="center" vertical="center"/>
    </xf>
    <xf numFmtId="3" fontId="56" fillId="0" borderId="143" xfId="3" applyNumberFormat="1" applyFont="1" applyBorder="1" applyAlignment="1">
      <alignment horizontal="center" vertical="center"/>
    </xf>
    <xf numFmtId="3" fontId="56" fillId="0" borderId="144" xfId="3" applyNumberFormat="1" applyFont="1" applyBorder="1" applyAlignment="1">
      <alignment horizontal="center" vertical="center"/>
    </xf>
    <xf numFmtId="3" fontId="57" fillId="0" borderId="9" xfId="3" applyNumberFormat="1" applyFont="1" applyBorder="1" applyAlignment="1">
      <alignment horizontal="center" vertical="center"/>
    </xf>
    <xf numFmtId="3" fontId="57" fillId="0" borderId="10" xfId="3" applyNumberFormat="1" applyFont="1" applyBorder="1" applyAlignment="1">
      <alignment horizontal="center" vertical="center"/>
    </xf>
    <xf numFmtId="3" fontId="57" fillId="0" borderId="39" xfId="3" applyNumberFormat="1" applyFont="1" applyBorder="1" applyAlignment="1">
      <alignment horizontal="center" vertical="center"/>
    </xf>
    <xf numFmtId="3" fontId="57" fillId="0" borderId="4" xfId="3" applyNumberFormat="1" applyFont="1" applyBorder="1" applyAlignment="1">
      <alignment horizontal="center" vertical="center"/>
    </xf>
    <xf numFmtId="3" fontId="57" fillId="0" borderId="143" xfId="3" applyNumberFormat="1" applyFont="1" applyBorder="1" applyAlignment="1">
      <alignment horizontal="center" vertical="center"/>
    </xf>
    <xf numFmtId="3" fontId="57" fillId="0" borderId="144" xfId="3" applyNumberFormat="1" applyFont="1" applyBorder="1" applyAlignment="1">
      <alignment horizontal="center" vertical="center"/>
    </xf>
    <xf numFmtId="3" fontId="58" fillId="0" borderId="9" xfId="3" applyNumberFormat="1" applyFont="1" applyBorder="1" applyAlignment="1">
      <alignment horizontal="center" vertical="center"/>
    </xf>
    <xf numFmtId="3" fontId="58" fillId="0" borderId="10" xfId="3" applyNumberFormat="1" applyFont="1" applyBorder="1" applyAlignment="1">
      <alignment horizontal="center" vertical="center"/>
    </xf>
    <xf numFmtId="3" fontId="58" fillId="0" borderId="39" xfId="3" applyNumberFormat="1" applyFont="1" applyBorder="1" applyAlignment="1">
      <alignment horizontal="center" vertical="center"/>
    </xf>
    <xf numFmtId="3" fontId="58" fillId="0" borderId="4" xfId="3" applyNumberFormat="1" applyFont="1" applyBorder="1" applyAlignment="1">
      <alignment horizontal="center" vertical="center"/>
    </xf>
    <xf numFmtId="3" fontId="58" fillId="0" borderId="143" xfId="3" applyNumberFormat="1" applyFont="1" applyBorder="1" applyAlignment="1">
      <alignment horizontal="center" vertical="center"/>
    </xf>
    <xf numFmtId="3" fontId="58" fillId="0" borderId="144" xfId="3" applyNumberFormat="1" applyFont="1" applyBorder="1" applyAlignment="1">
      <alignment horizontal="center" vertical="center"/>
    </xf>
    <xf numFmtId="3" fontId="50" fillId="3" borderId="9" xfId="3" applyNumberFormat="1" applyFont="1" applyFill="1" applyBorder="1" applyAlignment="1">
      <alignment horizontal="center" vertical="center"/>
    </xf>
    <xf numFmtId="3" fontId="50" fillId="3" borderId="10" xfId="3" applyNumberFormat="1" applyFont="1" applyFill="1" applyBorder="1" applyAlignment="1">
      <alignment horizontal="center" vertical="center"/>
    </xf>
    <xf numFmtId="3" fontId="50" fillId="3" borderId="39" xfId="3" applyNumberFormat="1" applyFont="1" applyFill="1" applyBorder="1" applyAlignment="1">
      <alignment horizontal="center" vertical="center"/>
    </xf>
    <xf numFmtId="3" fontId="50" fillId="3" borderId="4" xfId="3" applyNumberFormat="1" applyFont="1" applyFill="1" applyBorder="1" applyAlignment="1">
      <alignment horizontal="center" vertical="center"/>
    </xf>
    <xf numFmtId="3" fontId="50" fillId="3" borderId="143" xfId="3" applyNumberFormat="1" applyFont="1" applyFill="1" applyBorder="1" applyAlignment="1">
      <alignment horizontal="center" vertical="center"/>
    </xf>
    <xf numFmtId="3" fontId="50" fillId="3" borderId="144" xfId="3" applyNumberFormat="1" applyFont="1" applyFill="1" applyBorder="1" applyAlignment="1">
      <alignment horizontal="center" vertical="center"/>
    </xf>
    <xf numFmtId="3" fontId="32" fillId="0" borderId="45" xfId="2" applyNumberFormat="1" applyFont="1" applyBorder="1" applyAlignment="1">
      <alignment horizontal="right" vertical="center" wrapText="1" indent="1"/>
    </xf>
    <xf numFmtId="3" fontId="32" fillId="0" borderId="46" xfId="2" applyNumberFormat="1" applyFont="1" applyBorder="1" applyAlignment="1">
      <alignment horizontal="right" vertical="center" wrapText="1" indent="1"/>
    </xf>
    <xf numFmtId="3" fontId="32" fillId="0" borderId="47" xfId="2" applyNumberFormat="1" applyFont="1" applyBorder="1" applyAlignment="1">
      <alignment horizontal="right" vertical="center" wrapText="1" indent="1"/>
    </xf>
    <xf numFmtId="3" fontId="32" fillId="0" borderId="49" xfId="2" applyNumberFormat="1" applyFont="1" applyBorder="1" applyAlignment="1">
      <alignment horizontal="right" vertical="center" wrapText="1" indent="1"/>
    </xf>
    <xf numFmtId="3" fontId="32" fillId="0" borderId="50" xfId="2" applyNumberFormat="1" applyFont="1" applyBorder="1" applyAlignment="1">
      <alignment horizontal="right" vertical="center" wrapText="1" indent="1"/>
    </xf>
    <xf numFmtId="3" fontId="32" fillId="0" borderId="51" xfId="2" applyNumberFormat="1" applyFont="1" applyBorder="1" applyAlignment="1">
      <alignment horizontal="right" vertical="center" wrapText="1" indent="1"/>
    </xf>
    <xf numFmtId="3" fontId="32" fillId="3" borderId="49" xfId="2" applyNumberFormat="1" applyFont="1" applyFill="1" applyBorder="1" applyAlignment="1">
      <alignment horizontal="right" vertical="center" wrapText="1" indent="1"/>
    </xf>
    <xf numFmtId="3" fontId="32" fillId="3" borderId="50" xfId="2" applyNumberFormat="1" applyFont="1" applyFill="1" applyBorder="1" applyAlignment="1">
      <alignment horizontal="right" vertical="center" wrapText="1" indent="1"/>
    </xf>
    <xf numFmtId="3" fontId="32" fillId="3" borderId="51" xfId="2" applyNumberFormat="1" applyFont="1" applyFill="1" applyBorder="1" applyAlignment="1">
      <alignment horizontal="right" vertical="center" wrapText="1" indent="1"/>
    </xf>
    <xf numFmtId="3" fontId="54" fillId="0" borderId="9" xfId="2" applyNumberFormat="1" applyFont="1" applyBorder="1" applyAlignment="1">
      <alignment horizontal="right" vertical="center" wrapText="1" indent="1"/>
    </xf>
    <xf numFmtId="3" fontId="54" fillId="0" borderId="4" xfId="2" applyNumberFormat="1" applyFont="1" applyBorder="1" applyAlignment="1">
      <alignment horizontal="right" vertical="center" wrapText="1" indent="1"/>
    </xf>
    <xf numFmtId="3" fontId="54" fillId="0" borderId="10" xfId="2" applyNumberFormat="1" applyFont="1" applyBorder="1" applyAlignment="1">
      <alignment horizontal="right" vertical="center" wrapText="1" indent="1"/>
    </xf>
    <xf numFmtId="3" fontId="55" fillId="0" borderId="9" xfId="2" applyNumberFormat="1" applyFont="1" applyBorder="1" applyAlignment="1">
      <alignment horizontal="right" vertical="center" wrapText="1" indent="1"/>
    </xf>
    <xf numFmtId="3" fontId="55" fillId="0" borderId="4" xfId="2" applyNumberFormat="1" applyFont="1" applyBorder="1" applyAlignment="1">
      <alignment horizontal="right" vertical="center" wrapText="1" indent="1"/>
    </xf>
    <xf numFmtId="3" fontId="55" fillId="0" borderId="10" xfId="2" applyNumberFormat="1" applyFont="1" applyBorder="1" applyAlignment="1">
      <alignment horizontal="right" vertical="center" wrapText="1" indent="1"/>
    </xf>
    <xf numFmtId="3" fontId="32" fillId="0" borderId="25" xfId="2" applyNumberFormat="1" applyFont="1" applyBorder="1" applyAlignment="1">
      <alignment horizontal="right" vertical="center" wrapText="1" indent="1"/>
    </xf>
    <xf numFmtId="3" fontId="32" fillId="0" borderId="26" xfId="2" applyNumberFormat="1" applyFont="1" applyBorder="1" applyAlignment="1">
      <alignment horizontal="right" vertical="center" wrapText="1" indent="1"/>
    </xf>
    <xf numFmtId="3" fontId="32" fillId="0" borderId="27" xfId="2" applyNumberFormat="1" applyFont="1" applyBorder="1" applyAlignment="1">
      <alignment horizontal="right" vertical="center" wrapText="1" indent="1"/>
    </xf>
    <xf numFmtId="3" fontId="56" fillId="0" borderId="9" xfId="2" applyNumberFormat="1" applyFont="1" applyBorder="1" applyAlignment="1">
      <alignment horizontal="right" vertical="center" wrapText="1" indent="1"/>
    </xf>
    <xf numFmtId="3" fontId="56" fillId="0" borderId="4" xfId="2" applyNumberFormat="1" applyFont="1" applyBorder="1" applyAlignment="1">
      <alignment horizontal="right" vertical="center" wrapText="1" indent="1"/>
    </xf>
    <xf numFmtId="3" fontId="56" fillId="0" borderId="10" xfId="2" applyNumberFormat="1" applyFont="1" applyBorder="1" applyAlignment="1">
      <alignment horizontal="right" vertical="center" wrapText="1" indent="1"/>
    </xf>
    <xf numFmtId="3" fontId="57" fillId="0" borderId="9" xfId="2" applyNumberFormat="1" applyFont="1" applyBorder="1" applyAlignment="1">
      <alignment horizontal="right" vertical="center" wrapText="1" indent="1"/>
    </xf>
    <xf numFmtId="3" fontId="57" fillId="0" borderId="4" xfId="2" applyNumberFormat="1" applyFont="1" applyBorder="1" applyAlignment="1">
      <alignment horizontal="right" vertical="center" wrapText="1" indent="1"/>
    </xf>
    <xf numFmtId="3" fontId="57" fillId="0" borderId="10" xfId="2" applyNumberFormat="1" applyFont="1" applyBorder="1" applyAlignment="1">
      <alignment horizontal="right" vertical="center" wrapText="1" indent="1"/>
    </xf>
    <xf numFmtId="0" fontId="32" fillId="0" borderId="25" xfId="2" applyFont="1" applyBorder="1" applyAlignment="1">
      <alignment horizontal="left" vertical="center"/>
    </xf>
    <xf numFmtId="3" fontId="32" fillId="0" borderId="25" xfId="2" applyNumberFormat="1" applyFont="1" applyBorder="1" applyAlignment="1">
      <alignment horizontal="right" vertical="center" indent="1"/>
    </xf>
    <xf numFmtId="3" fontId="32" fillId="0" borderId="26" xfId="2" applyNumberFormat="1" applyFont="1" applyBorder="1" applyAlignment="1">
      <alignment horizontal="right" vertical="center" indent="1"/>
    </xf>
    <xf numFmtId="0" fontId="32" fillId="3" borderId="49" xfId="2" applyFont="1" applyFill="1" applyBorder="1" applyAlignment="1">
      <alignment horizontal="center" vertical="center" wrapText="1"/>
    </xf>
    <xf numFmtId="0" fontId="32" fillId="0" borderId="49" xfId="2" applyFont="1" applyBorder="1" applyAlignment="1">
      <alignment horizontal="left" vertical="center"/>
    </xf>
    <xf numFmtId="3" fontId="32" fillId="0" borderId="49" xfId="2" applyNumberFormat="1" applyFont="1" applyBorder="1" applyAlignment="1">
      <alignment horizontal="right" vertical="center" indent="1"/>
    </xf>
    <xf numFmtId="0" fontId="32" fillId="0" borderId="53" xfId="2" applyFont="1" applyBorder="1" applyAlignment="1">
      <alignment horizontal="left" vertical="center"/>
    </xf>
    <xf numFmtId="3" fontId="32" fillId="0" borderId="53" xfId="2" applyNumberFormat="1" applyFont="1" applyBorder="1" applyAlignment="1">
      <alignment horizontal="right" vertical="center" indent="1"/>
    </xf>
    <xf numFmtId="3" fontId="32" fillId="0" borderId="54" xfId="2" applyNumberFormat="1" applyFont="1" applyBorder="1" applyAlignment="1">
      <alignment horizontal="right" vertical="center" indent="1"/>
    </xf>
    <xf numFmtId="3" fontId="32" fillId="0" borderId="55" xfId="2" applyNumberFormat="1" applyFont="1" applyBorder="1" applyAlignment="1">
      <alignment horizontal="right" vertical="center" indent="1"/>
    </xf>
    <xf numFmtId="0" fontId="32" fillId="3" borderId="57" xfId="2" applyFont="1" applyFill="1" applyBorder="1" applyAlignment="1">
      <alignment horizontal="center" vertical="center" wrapText="1"/>
    </xf>
    <xf numFmtId="3" fontId="58" fillId="0" borderId="9" xfId="2" applyNumberFormat="1" applyFont="1" applyBorder="1" applyAlignment="1">
      <alignment horizontal="right" vertical="center" wrapText="1" indent="1"/>
    </xf>
    <xf numFmtId="3" fontId="58" fillId="0" borderId="4" xfId="2" applyNumberFormat="1" applyFont="1" applyBorder="1" applyAlignment="1">
      <alignment horizontal="right" vertical="center" wrapText="1" indent="1"/>
    </xf>
    <xf numFmtId="3" fontId="58" fillId="0" borderId="10" xfId="2" applyNumberFormat="1" applyFont="1" applyBorder="1" applyAlignment="1">
      <alignment horizontal="right" vertical="center" wrapText="1" indent="1"/>
    </xf>
    <xf numFmtId="3" fontId="50" fillId="3" borderId="100" xfId="2" applyNumberFormat="1" applyFont="1" applyFill="1" applyBorder="1" applyAlignment="1">
      <alignment horizontal="right" vertical="center" wrapText="1" indent="1"/>
    </xf>
    <xf numFmtId="3" fontId="50" fillId="3" borderId="4" xfId="2" applyNumberFormat="1" applyFont="1" applyFill="1" applyBorder="1" applyAlignment="1">
      <alignment horizontal="right" vertical="center" wrapText="1" indent="1"/>
    </xf>
    <xf numFmtId="3" fontId="50" fillId="3" borderId="10" xfId="2" applyNumberFormat="1" applyFont="1" applyFill="1" applyBorder="1" applyAlignment="1">
      <alignment horizontal="right" vertical="center" wrapText="1" indent="1"/>
    </xf>
    <xf numFmtId="0" fontId="22" fillId="0" borderId="0" xfId="36" applyFont="1" applyAlignment="1">
      <alignment horizontal="center" vertical="center"/>
    </xf>
    <xf numFmtId="0" fontId="25" fillId="0" borderId="0" xfId="36" applyFont="1" applyAlignment="1">
      <alignment horizontal="center" vertical="center"/>
    </xf>
    <xf numFmtId="0" fontId="85" fillId="3" borderId="39" xfId="36" applyFont="1" applyFill="1" applyBorder="1" applyAlignment="1">
      <alignment horizontal="center" vertical="center"/>
    </xf>
    <xf numFmtId="0" fontId="25" fillId="0" borderId="8" xfId="36" applyFont="1" applyBorder="1" applyAlignment="1">
      <alignment horizontal="center" vertical="center"/>
    </xf>
    <xf numFmtId="0" fontId="22" fillId="0" borderId="25" xfId="36" applyFont="1" applyBorder="1" applyAlignment="1">
      <alignment horizontal="left" vertical="center"/>
    </xf>
    <xf numFmtId="0" fontId="22" fillId="0" borderId="25" xfId="36" applyFont="1" applyBorder="1" applyAlignment="1">
      <alignment horizontal="center" vertical="center"/>
    </xf>
    <xf numFmtId="0" fontId="22" fillId="0" borderId="26" xfId="36" applyFont="1" applyBorder="1" applyAlignment="1">
      <alignment horizontal="center" vertical="center"/>
    </xf>
    <xf numFmtId="0" fontId="25" fillId="0" borderId="147" xfId="36" applyFont="1" applyBorder="1" applyAlignment="1">
      <alignment horizontal="center" vertical="center"/>
    </xf>
    <xf numFmtId="0" fontId="22" fillId="0" borderId="83" xfId="36" applyFont="1" applyBorder="1" applyAlignment="1">
      <alignment horizontal="center" vertical="center"/>
    </xf>
    <xf numFmtId="0" fontId="22" fillId="0" borderId="49" xfId="36" applyFont="1" applyBorder="1" applyAlignment="1">
      <alignment horizontal="left" vertical="center"/>
    </xf>
    <xf numFmtId="0" fontId="22" fillId="0" borderId="49" xfId="36" applyFont="1" applyBorder="1" applyAlignment="1">
      <alignment horizontal="center" vertical="center"/>
    </xf>
    <xf numFmtId="0" fontId="22" fillId="0" borderId="50" xfId="36" applyFont="1" applyBorder="1" applyAlignment="1">
      <alignment horizontal="center" vertical="center"/>
    </xf>
    <xf numFmtId="0" fontId="25" fillId="0" borderId="106" xfId="36" applyFont="1" applyBorder="1" applyAlignment="1">
      <alignment horizontal="center" vertical="center"/>
    </xf>
    <xf numFmtId="0" fontId="22" fillId="0" borderId="81" xfId="36" applyFont="1" applyBorder="1" applyAlignment="1">
      <alignment horizontal="center" vertical="center"/>
    </xf>
    <xf numFmtId="0" fontId="22" fillId="3" borderId="49" xfId="36" applyFont="1" applyFill="1" applyBorder="1" applyAlignment="1">
      <alignment horizontal="center" vertical="center"/>
    </xf>
    <xf numFmtId="0" fontId="25" fillId="3" borderId="49" xfId="36" applyFont="1" applyFill="1" applyBorder="1" applyAlignment="1">
      <alignment horizontal="center" vertical="center"/>
    </xf>
    <xf numFmtId="0" fontId="25" fillId="3" borderId="50" xfId="36" applyFont="1" applyFill="1" applyBorder="1" applyAlignment="1">
      <alignment horizontal="center" vertical="center"/>
    </xf>
    <xf numFmtId="0" fontId="25" fillId="3" borderId="106" xfId="36" applyFont="1" applyFill="1" applyBorder="1" applyAlignment="1">
      <alignment horizontal="center" vertical="center"/>
    </xf>
    <xf numFmtId="0" fontId="25" fillId="3" borderId="81" xfId="36" applyFont="1" applyFill="1" applyBorder="1" applyAlignment="1">
      <alignment horizontal="center" vertical="center"/>
    </xf>
    <xf numFmtId="0" fontId="25" fillId="3" borderId="57" xfId="36" applyFont="1" applyFill="1" applyBorder="1" applyAlignment="1">
      <alignment horizontal="center" vertical="center"/>
    </xf>
    <xf numFmtId="0" fontId="25" fillId="3" borderId="58" xfId="36" applyFont="1" applyFill="1" applyBorder="1" applyAlignment="1">
      <alignment horizontal="center" vertical="center"/>
    </xf>
    <xf numFmtId="0" fontId="25" fillId="3" borderId="107" xfId="36" applyFont="1" applyFill="1" applyBorder="1" applyAlignment="1">
      <alignment horizontal="center" vertical="center"/>
    </xf>
    <xf numFmtId="0" fontId="25" fillId="3" borderId="82" xfId="36" applyFont="1" applyFill="1" applyBorder="1" applyAlignment="1">
      <alignment horizontal="center" vertical="center"/>
    </xf>
    <xf numFmtId="0" fontId="54" fillId="0" borderId="9" xfId="36" applyFont="1" applyBorder="1" applyAlignment="1">
      <alignment horizontal="center" vertical="center"/>
    </xf>
    <xf numFmtId="0" fontId="54" fillId="0" borderId="4" xfId="36" applyFont="1" applyBorder="1" applyAlignment="1">
      <alignment horizontal="center" vertical="center"/>
    </xf>
    <xf numFmtId="0" fontId="54" fillId="0" borderId="131" xfId="36" applyFont="1" applyBorder="1" applyAlignment="1">
      <alignment horizontal="center" vertical="center"/>
    </xf>
    <xf numFmtId="0" fontId="54" fillId="0" borderId="72" xfId="36" applyFont="1" applyBorder="1" applyAlignment="1">
      <alignment horizontal="center" vertical="center"/>
    </xf>
    <xf numFmtId="0" fontId="22" fillId="0" borderId="45" xfId="36" applyFont="1" applyBorder="1" applyAlignment="1">
      <alignment horizontal="left" vertical="center"/>
    </xf>
    <xf numFmtId="0" fontId="22" fillId="0" borderId="45" xfId="36" applyFont="1" applyBorder="1" applyAlignment="1">
      <alignment horizontal="center" vertical="center"/>
    </xf>
    <xf numFmtId="0" fontId="22" fillId="0" borderId="46" xfId="36" applyFont="1" applyBorder="1" applyAlignment="1">
      <alignment horizontal="center" vertical="center"/>
    </xf>
    <xf numFmtId="0" fontId="57" fillId="0" borderId="9" xfId="36" applyFont="1" applyBorder="1" applyAlignment="1">
      <alignment horizontal="center" vertical="center"/>
    </xf>
    <xf numFmtId="0" fontId="57" fillId="0" borderId="4" xfId="36" applyFont="1" applyBorder="1" applyAlignment="1">
      <alignment horizontal="center" vertical="center"/>
    </xf>
    <xf numFmtId="0" fontId="57" fillId="0" borderId="131" xfId="36" applyFont="1" applyBorder="1" applyAlignment="1">
      <alignment horizontal="center" vertical="center"/>
    </xf>
    <xf numFmtId="0" fontId="57" fillId="0" borderId="72" xfId="36" applyFont="1" applyBorder="1" applyAlignment="1">
      <alignment horizontal="center" vertical="center"/>
    </xf>
    <xf numFmtId="0" fontId="22" fillId="3" borderId="57" xfId="36" applyFont="1" applyFill="1" applyBorder="1" applyAlignment="1">
      <alignment horizontal="center" vertical="center"/>
    </xf>
    <xf numFmtId="0" fontId="55" fillId="0" borderId="9" xfId="36" applyFont="1" applyBorder="1" applyAlignment="1">
      <alignment horizontal="center" vertical="center"/>
    </xf>
    <xf numFmtId="0" fontId="55" fillId="0" borderId="4" xfId="36" applyFont="1" applyBorder="1" applyAlignment="1">
      <alignment horizontal="center" vertical="center"/>
    </xf>
    <xf numFmtId="0" fontId="55" fillId="0" borderId="131" xfId="36" applyFont="1" applyBorder="1" applyAlignment="1">
      <alignment horizontal="center" vertical="center"/>
    </xf>
    <xf numFmtId="0" fontId="55" fillId="0" borderId="72" xfId="36" applyFont="1" applyBorder="1" applyAlignment="1">
      <alignment horizontal="center" vertical="center"/>
    </xf>
    <xf numFmtId="0" fontId="25" fillId="0" borderId="105" xfId="36" applyFont="1" applyBorder="1" applyAlignment="1">
      <alignment horizontal="center" vertical="center"/>
    </xf>
    <xf numFmtId="0" fontId="22" fillId="0" borderId="80" xfId="36" applyFont="1" applyBorder="1" applyAlignment="1">
      <alignment horizontal="center" vertical="center"/>
    </xf>
    <xf numFmtId="0" fontId="22" fillId="0" borderId="53" xfId="36" applyFont="1" applyBorder="1" applyAlignment="1">
      <alignment horizontal="center" vertical="center"/>
    </xf>
    <xf numFmtId="0" fontId="22" fillId="0" borderId="54" xfId="36" applyFont="1" applyBorder="1" applyAlignment="1">
      <alignment horizontal="center" vertical="center"/>
    </xf>
    <xf numFmtId="0" fontId="25" fillId="0" borderId="148" xfId="36" applyFont="1" applyBorder="1" applyAlignment="1">
      <alignment horizontal="center" vertical="center"/>
    </xf>
    <xf numFmtId="0" fontId="58" fillId="0" borderId="9" xfId="36" applyFont="1" applyBorder="1" applyAlignment="1">
      <alignment horizontal="center" vertical="center"/>
    </xf>
    <xf numFmtId="0" fontId="58" fillId="0" borderId="4" xfId="36" applyFont="1" applyBorder="1" applyAlignment="1">
      <alignment horizontal="center" vertical="center"/>
    </xf>
    <xf numFmtId="0" fontId="58" fillId="0" borderId="131" xfId="36" applyFont="1" applyBorder="1" applyAlignment="1">
      <alignment horizontal="center" vertical="center"/>
    </xf>
    <xf numFmtId="0" fontId="58" fillId="0" borderId="72" xfId="36" applyFont="1" applyBorder="1" applyAlignment="1">
      <alignment horizontal="center" vertical="center"/>
    </xf>
    <xf numFmtId="0" fontId="25" fillId="3" borderId="53" xfId="36" applyFont="1" applyFill="1" applyBorder="1" applyAlignment="1">
      <alignment horizontal="center" vertical="center"/>
    </xf>
    <xf numFmtId="0" fontId="25" fillId="3" borderId="54" xfId="36" applyFont="1" applyFill="1" applyBorder="1" applyAlignment="1">
      <alignment horizontal="center" vertical="center"/>
    </xf>
    <xf numFmtId="0" fontId="25" fillId="3" borderId="148" xfId="36" applyFont="1" applyFill="1" applyBorder="1" applyAlignment="1">
      <alignment horizontal="center" vertical="center"/>
    </xf>
    <xf numFmtId="0" fontId="25" fillId="3" borderId="108" xfId="36" applyFont="1" applyFill="1" applyBorder="1" applyAlignment="1">
      <alignment horizontal="center" vertical="center"/>
    </xf>
    <xf numFmtId="0" fontId="56" fillId="0" borderId="9" xfId="36" applyFont="1" applyBorder="1" applyAlignment="1">
      <alignment horizontal="center" vertical="center"/>
    </xf>
    <xf numFmtId="0" fontId="56" fillId="0" borderId="4" xfId="36" applyFont="1" applyBorder="1" applyAlignment="1">
      <alignment horizontal="center" vertical="center"/>
    </xf>
    <xf numFmtId="0" fontId="56" fillId="0" borderId="131" xfId="36" applyFont="1" applyBorder="1" applyAlignment="1">
      <alignment horizontal="center" vertical="center"/>
    </xf>
    <xf numFmtId="0" fontId="56" fillId="0" borderId="72" xfId="36" applyFont="1" applyBorder="1" applyAlignment="1">
      <alignment horizontal="center" vertical="center"/>
    </xf>
    <xf numFmtId="0" fontId="25" fillId="3" borderId="9" xfId="36" applyFont="1" applyFill="1" applyBorder="1" applyAlignment="1">
      <alignment horizontal="center" vertical="center"/>
    </xf>
    <xf numFmtId="0" fontId="25" fillId="3" borderId="4" xfId="36" applyFont="1" applyFill="1" applyBorder="1" applyAlignment="1">
      <alignment horizontal="center" vertical="center"/>
    </xf>
    <xf numFmtId="0" fontId="25" fillId="3" borderId="131" xfId="36" applyFont="1" applyFill="1" applyBorder="1" applyAlignment="1">
      <alignment horizontal="center" vertical="center"/>
    </xf>
    <xf numFmtId="0" fontId="25" fillId="3" borderId="72" xfId="36" applyFont="1" applyFill="1" applyBorder="1" applyAlignment="1">
      <alignment horizontal="center" vertical="center"/>
    </xf>
    <xf numFmtId="0" fontId="187" fillId="0" borderId="0" xfId="36" applyFont="1" applyAlignment="1">
      <alignment vertical="center"/>
    </xf>
    <xf numFmtId="0" fontId="174" fillId="0" borderId="0" xfId="0" applyFont="1"/>
    <xf numFmtId="0" fontId="85" fillId="0" borderId="39" xfId="36" applyFont="1" applyBorder="1" applyAlignment="1">
      <alignment horizontal="center" vertical="center"/>
    </xf>
    <xf numFmtId="0" fontId="25" fillId="3" borderId="8" xfId="36" applyFont="1" applyFill="1" applyBorder="1" applyAlignment="1">
      <alignment horizontal="center" vertical="center"/>
    </xf>
    <xf numFmtId="0" fontId="32" fillId="0" borderId="44" xfId="0" applyFont="1" applyBorder="1" applyAlignment="1">
      <alignment vertical="center"/>
    </xf>
    <xf numFmtId="0" fontId="32" fillId="0" borderId="45" xfId="0" applyFont="1" applyBorder="1" applyAlignment="1">
      <alignment horizontal="center" vertical="center"/>
    </xf>
    <xf numFmtId="0" fontId="32" fillId="0" borderId="26" xfId="0" applyFont="1" applyBorder="1" applyAlignment="1">
      <alignment horizontal="center" vertical="center"/>
    </xf>
    <xf numFmtId="0" fontId="32" fillId="0" borderId="27" xfId="0" applyFont="1" applyBorder="1" applyAlignment="1">
      <alignment horizontal="center" vertical="center"/>
    </xf>
    <xf numFmtId="0" fontId="32" fillId="0" borderId="48" xfId="0" applyFont="1" applyBorder="1" applyAlignment="1">
      <alignment vertical="center"/>
    </xf>
    <xf numFmtId="0" fontId="32" fillId="0" borderId="49" xfId="0" applyFont="1" applyBorder="1" applyAlignment="1">
      <alignment horizontal="center" vertical="center"/>
    </xf>
    <xf numFmtId="0" fontId="32" fillId="0" borderId="50" xfId="0" applyFont="1" applyBorder="1" applyAlignment="1">
      <alignment horizontal="center" vertical="center"/>
    </xf>
    <xf numFmtId="0" fontId="32" fillId="0" borderId="51" xfId="0" applyFont="1" applyBorder="1" applyAlignment="1">
      <alignment horizontal="center" vertical="center"/>
    </xf>
    <xf numFmtId="0" fontId="32" fillId="3" borderId="49" xfId="0" applyFont="1" applyFill="1" applyBorder="1" applyAlignment="1">
      <alignment horizontal="center" vertical="center"/>
    </xf>
    <xf numFmtId="0" fontId="32" fillId="3" borderId="51" xfId="0" applyFont="1" applyFill="1" applyBorder="1" applyAlignment="1">
      <alignment horizontal="center" vertical="center"/>
    </xf>
    <xf numFmtId="0" fontId="32" fillId="3" borderId="50" xfId="0" applyFont="1" applyFill="1" applyBorder="1" applyAlignment="1">
      <alignment horizontal="center" vertical="center"/>
    </xf>
    <xf numFmtId="0" fontId="32" fillId="0" borderId="51" xfId="0" applyFont="1" applyFill="1" applyBorder="1" applyAlignment="1">
      <alignment horizontal="left" vertical="center"/>
    </xf>
    <xf numFmtId="0" fontId="32" fillId="0" borderId="49" xfId="0" applyFont="1" applyFill="1" applyBorder="1" applyAlignment="1">
      <alignment horizontal="center" vertical="center"/>
    </xf>
    <xf numFmtId="0" fontId="32" fillId="0" borderId="50" xfId="0" applyFont="1" applyFill="1" applyBorder="1" applyAlignment="1">
      <alignment horizontal="center" vertical="center"/>
    </xf>
    <xf numFmtId="0" fontId="32" fillId="0" borderId="51" xfId="0" applyFont="1" applyFill="1" applyBorder="1" applyAlignment="1">
      <alignment horizontal="center" vertical="center"/>
    </xf>
    <xf numFmtId="0" fontId="32" fillId="0" borderId="51" xfId="0" applyFont="1" applyBorder="1" applyAlignment="1">
      <alignment vertical="center"/>
    </xf>
    <xf numFmtId="0" fontId="32" fillId="0" borderId="48" xfId="0" applyFont="1" applyBorder="1" applyAlignment="1">
      <alignment vertical="center" wrapText="1"/>
    </xf>
    <xf numFmtId="0" fontId="97" fillId="0" borderId="57" xfId="0" applyFont="1" applyBorder="1" applyAlignment="1">
      <alignment horizontal="center" vertical="center"/>
    </xf>
    <xf numFmtId="0" fontId="54" fillId="0" borderId="59" xfId="0" applyFont="1" applyBorder="1" applyAlignment="1">
      <alignment horizontal="center" vertical="center"/>
    </xf>
    <xf numFmtId="0" fontId="54" fillId="0" borderId="57" xfId="0" applyFont="1" applyBorder="1" applyAlignment="1">
      <alignment horizontal="center" vertical="center"/>
    </xf>
    <xf numFmtId="0" fontId="54" fillId="0" borderId="58" xfId="0" applyFont="1" applyBorder="1" applyAlignment="1">
      <alignment horizontal="center" vertical="center"/>
    </xf>
    <xf numFmtId="0" fontId="32" fillId="0" borderId="25" xfId="0" applyFont="1" applyBorder="1" applyAlignment="1">
      <alignment horizontal="center" vertical="center"/>
    </xf>
    <xf numFmtId="0" fontId="32" fillId="0" borderId="24" xfId="0" applyFont="1" applyBorder="1" applyAlignment="1">
      <alignment vertical="center"/>
    </xf>
    <xf numFmtId="0" fontId="89" fillId="0" borderId="57" xfId="0" applyFont="1" applyBorder="1" applyAlignment="1">
      <alignment horizontal="center" vertical="center"/>
    </xf>
    <xf numFmtId="0" fontId="57" fillId="0" borderId="59" xfId="0" applyFont="1" applyBorder="1" applyAlignment="1">
      <alignment horizontal="center" vertical="center"/>
    </xf>
    <xf numFmtId="0" fontId="57" fillId="0" borderId="57" xfId="0" applyFont="1" applyBorder="1" applyAlignment="1">
      <alignment horizontal="center" vertical="center"/>
    </xf>
    <xf numFmtId="0" fontId="57" fillId="0" borderId="58" xfId="0" applyFont="1" applyBorder="1" applyAlignment="1">
      <alignment horizontal="center" vertical="center"/>
    </xf>
    <xf numFmtId="0" fontId="42" fillId="0" borderId="57" xfId="0" applyFont="1" applyBorder="1" applyAlignment="1">
      <alignment horizontal="center" vertical="center"/>
    </xf>
    <xf numFmtId="0" fontId="55" fillId="0" borderId="59" xfId="0" applyFont="1" applyBorder="1" applyAlignment="1">
      <alignment horizontal="center" vertical="center"/>
    </xf>
    <xf numFmtId="0" fontId="55" fillId="0" borderId="57" xfId="0" applyFont="1" applyBorder="1" applyAlignment="1">
      <alignment horizontal="center" vertical="center"/>
    </xf>
    <xf numFmtId="0" fontId="55" fillId="0" borderId="58" xfId="0" applyFont="1" applyBorder="1" applyAlignment="1">
      <alignment horizontal="center" vertical="center"/>
    </xf>
    <xf numFmtId="0" fontId="32" fillId="0" borderId="27" xfId="0" applyFont="1" applyBorder="1" applyAlignment="1">
      <alignment vertical="center"/>
    </xf>
    <xf numFmtId="0" fontId="98" fillId="0" borderId="57" xfId="0" applyFont="1" applyBorder="1" applyAlignment="1">
      <alignment horizontal="center" vertical="center"/>
    </xf>
    <xf numFmtId="0" fontId="56" fillId="0" borderId="59" xfId="0" applyFont="1" applyBorder="1" applyAlignment="1">
      <alignment horizontal="center" vertical="center"/>
    </xf>
    <xf numFmtId="0" fontId="56" fillId="0" borderId="57" xfId="0" applyFont="1" applyBorder="1" applyAlignment="1">
      <alignment horizontal="center" vertical="center"/>
    </xf>
    <xf numFmtId="0" fontId="56" fillId="0" borderId="58" xfId="0" applyFont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0" fillId="3" borderId="9" xfId="0" applyFill="1" applyBorder="1"/>
    <xf numFmtId="0" fontId="50" fillId="3" borderId="4" xfId="0" applyFont="1" applyFill="1" applyBorder="1" applyAlignment="1">
      <alignment horizontal="center" vertical="center"/>
    </xf>
    <xf numFmtId="0" fontId="50" fillId="3" borderId="9" xfId="0" applyFont="1" applyFill="1" applyBorder="1" applyAlignment="1">
      <alignment horizontal="center" vertical="center"/>
    </xf>
    <xf numFmtId="0" fontId="50" fillId="3" borderId="10" xfId="0" applyFont="1" applyFill="1" applyBorder="1" applyAlignment="1">
      <alignment horizontal="center" vertical="center"/>
    </xf>
    <xf numFmtId="0" fontId="22" fillId="3" borderId="48" xfId="36" applyFont="1" applyFill="1" applyBorder="1" applyAlignment="1">
      <alignment horizontal="center" vertical="center"/>
    </xf>
    <xf numFmtId="0" fontId="54" fillId="0" borderId="8" xfId="36" applyFont="1" applyBorder="1" applyAlignment="1">
      <alignment horizontal="center" vertical="center"/>
    </xf>
    <xf numFmtId="0" fontId="54" fillId="0" borderId="38" xfId="36" applyFont="1" applyBorder="1" applyAlignment="1">
      <alignment horizontal="center" vertical="center"/>
    </xf>
    <xf numFmtId="0" fontId="54" fillId="0" borderId="153" xfId="36" applyFont="1" applyBorder="1" applyAlignment="1">
      <alignment horizontal="center" vertical="center"/>
    </xf>
    <xf numFmtId="0" fontId="57" fillId="0" borderId="8" xfId="36" applyFont="1" applyBorder="1" applyAlignment="1">
      <alignment horizontal="center" vertical="center"/>
    </xf>
    <xf numFmtId="0" fontId="57" fillId="0" borderId="38" xfId="36" applyFont="1" applyBorder="1" applyAlignment="1">
      <alignment horizontal="center" vertical="center"/>
    </xf>
    <xf numFmtId="0" fontId="57" fillId="0" borderId="153" xfId="36" applyFont="1" applyBorder="1" applyAlignment="1">
      <alignment horizontal="center" vertical="center"/>
    </xf>
    <xf numFmtId="0" fontId="52" fillId="0" borderId="18" xfId="38" applyFont="1" applyBorder="1" applyAlignment="1">
      <alignment horizontal="center" vertical="center"/>
    </xf>
    <xf numFmtId="0" fontId="52" fillId="0" borderId="18" xfId="38" applyFont="1" applyFill="1" applyBorder="1" applyAlignment="1">
      <alignment horizontal="center" vertical="center" wrapText="1"/>
    </xf>
    <xf numFmtId="0" fontId="55" fillId="0" borderId="8" xfId="36" applyFont="1" applyBorder="1" applyAlignment="1">
      <alignment horizontal="center" vertical="center"/>
    </xf>
    <xf numFmtId="0" fontId="55" fillId="0" borderId="38" xfId="36" applyFont="1" applyBorder="1" applyAlignment="1">
      <alignment horizontal="center" vertical="center"/>
    </xf>
    <xf numFmtId="0" fontId="55" fillId="0" borderId="153" xfId="36" applyFont="1" applyBorder="1" applyAlignment="1">
      <alignment horizontal="center" vertical="center"/>
    </xf>
    <xf numFmtId="0" fontId="58" fillId="0" borderId="8" xfId="36" applyFont="1" applyBorder="1" applyAlignment="1">
      <alignment horizontal="center" vertical="center"/>
    </xf>
    <xf numFmtId="0" fontId="58" fillId="0" borderId="38" xfId="36" applyFont="1" applyBorder="1" applyAlignment="1">
      <alignment horizontal="center" vertical="center"/>
    </xf>
    <xf numFmtId="0" fontId="58" fillId="0" borderId="153" xfId="36" applyFont="1" applyBorder="1" applyAlignment="1">
      <alignment horizontal="center" vertical="center"/>
    </xf>
    <xf numFmtId="0" fontId="52" fillId="0" borderId="152" xfId="38" applyFont="1" applyFill="1" applyBorder="1" applyAlignment="1">
      <alignment horizontal="center" vertical="center" wrapText="1"/>
    </xf>
    <xf numFmtId="0" fontId="53" fillId="3" borderId="18" xfId="38" applyFont="1" applyFill="1" applyBorder="1" applyAlignment="1">
      <alignment horizontal="center" vertical="center" wrapText="1"/>
    </xf>
    <xf numFmtId="0" fontId="53" fillId="3" borderId="152" xfId="38" applyFont="1" applyFill="1" applyBorder="1" applyAlignment="1">
      <alignment horizontal="center" vertical="center" wrapText="1"/>
    </xf>
    <xf numFmtId="0" fontId="56" fillId="0" borderId="8" xfId="36" applyFont="1" applyBorder="1" applyAlignment="1">
      <alignment horizontal="center" vertical="center"/>
    </xf>
    <xf numFmtId="0" fontId="56" fillId="0" borderId="38" xfId="36" applyFont="1" applyBorder="1" applyAlignment="1">
      <alignment horizontal="center" vertical="center"/>
    </xf>
    <xf numFmtId="0" fontId="56" fillId="0" borderId="153" xfId="36" applyFont="1" applyBorder="1" applyAlignment="1">
      <alignment horizontal="center" vertical="center"/>
    </xf>
    <xf numFmtId="0" fontId="52" fillId="0" borderId="0" xfId="38" applyFont="1" applyFill="1" applyBorder="1" applyAlignment="1">
      <alignment horizontal="center" vertical="center" wrapText="1"/>
    </xf>
    <xf numFmtId="0" fontId="25" fillId="3" borderId="155" xfId="36" applyFont="1" applyFill="1" applyBorder="1" applyAlignment="1">
      <alignment horizontal="center" vertical="center"/>
    </xf>
    <xf numFmtId="0" fontId="25" fillId="3" borderId="156" xfId="36" applyFont="1" applyFill="1" applyBorder="1" applyAlignment="1">
      <alignment horizontal="center" vertical="center"/>
    </xf>
    <xf numFmtId="0" fontId="25" fillId="3" borderId="157" xfId="36" applyFont="1" applyFill="1" applyBorder="1" applyAlignment="1">
      <alignment horizontal="center" vertical="center"/>
    </xf>
    <xf numFmtId="0" fontId="85" fillId="3" borderId="155" xfId="36" applyFont="1" applyFill="1" applyBorder="1" applyAlignment="1">
      <alignment horizontal="center" vertical="center"/>
    </xf>
    <xf numFmtId="0" fontId="52" fillId="0" borderId="18" xfId="40" applyFont="1" applyBorder="1" applyAlignment="1">
      <alignment horizontal="center" vertical="center"/>
    </xf>
    <xf numFmtId="0" fontId="54" fillId="0" borderId="166" xfId="36" applyFont="1" applyBorder="1" applyAlignment="1">
      <alignment horizontal="center" vertical="center"/>
    </xf>
    <xf numFmtId="0" fontId="57" fillId="0" borderId="166" xfId="36" applyFont="1" applyBorder="1" applyAlignment="1">
      <alignment horizontal="center" vertical="center"/>
    </xf>
    <xf numFmtId="0" fontId="52" fillId="0" borderId="165" xfId="40" applyFont="1" applyFill="1" applyBorder="1" applyAlignment="1">
      <alignment horizontal="center" vertical="center" wrapText="1"/>
    </xf>
    <xf numFmtId="0" fontId="55" fillId="0" borderId="166" xfId="36" applyFont="1" applyBorder="1" applyAlignment="1">
      <alignment horizontal="center" vertical="center"/>
    </xf>
    <xf numFmtId="0" fontId="22" fillId="0" borderId="0" xfId="36" applyFont="1"/>
    <xf numFmtId="0" fontId="76" fillId="0" borderId="0" xfId="36" applyFont="1" applyAlignment="1">
      <alignment vertical="center"/>
    </xf>
    <xf numFmtId="0" fontId="79" fillId="3" borderId="155" xfId="36" applyFont="1" applyFill="1" applyBorder="1" applyAlignment="1">
      <alignment horizontal="center" vertical="center"/>
    </xf>
    <xf numFmtId="0" fontId="22" fillId="0" borderId="8" xfId="36" applyFont="1" applyBorder="1" applyAlignment="1">
      <alignment horizontal="center" vertical="center"/>
    </xf>
    <xf numFmtId="0" fontId="25" fillId="0" borderId="24" xfId="36" applyFont="1" applyBorder="1" applyAlignment="1">
      <alignment horizontal="center" vertical="center"/>
    </xf>
    <xf numFmtId="0" fontId="25" fillId="0" borderId="48" xfId="36" applyFont="1" applyBorder="1" applyAlignment="1">
      <alignment horizontal="center" vertical="center"/>
    </xf>
    <xf numFmtId="0" fontId="25" fillId="3" borderId="51" xfId="36" applyFont="1" applyFill="1" applyBorder="1" applyAlignment="1">
      <alignment horizontal="center" vertical="center"/>
    </xf>
    <xf numFmtId="0" fontId="25" fillId="3" borderId="48" xfId="36" applyFont="1" applyFill="1" applyBorder="1" applyAlignment="1">
      <alignment horizontal="center" vertical="center"/>
    </xf>
    <xf numFmtId="0" fontId="22" fillId="0" borderId="51" xfId="36" applyFont="1" applyBorder="1" applyAlignment="1">
      <alignment horizontal="center" vertical="center"/>
    </xf>
    <xf numFmtId="0" fontId="25" fillId="3" borderId="59" xfId="36" applyFont="1" applyFill="1" applyBorder="1" applyAlignment="1">
      <alignment horizontal="center" vertical="center"/>
    </xf>
    <xf numFmtId="0" fontId="25" fillId="3" borderId="56" xfId="36" applyFont="1" applyFill="1" applyBorder="1" applyAlignment="1">
      <alignment horizontal="center" vertical="center"/>
    </xf>
    <xf numFmtId="0" fontId="54" fillId="0" borderId="170" xfId="36" applyFont="1" applyBorder="1" applyAlignment="1">
      <alignment horizontal="center" vertical="center"/>
    </xf>
    <xf numFmtId="0" fontId="54" fillId="0" borderId="157" xfId="36" applyFont="1" applyBorder="1" applyAlignment="1">
      <alignment horizontal="center" vertical="center"/>
    </xf>
    <xf numFmtId="0" fontId="54" fillId="0" borderId="155" xfId="36" applyFont="1" applyBorder="1" applyAlignment="1">
      <alignment horizontal="center" vertical="center"/>
    </xf>
    <xf numFmtId="0" fontId="22" fillId="0" borderId="171" xfId="36" applyFont="1" applyBorder="1" applyAlignment="1">
      <alignment horizontal="left" vertical="center"/>
    </xf>
    <xf numFmtId="0" fontId="22" fillId="0" borderId="171" xfId="36" applyFont="1" applyBorder="1" applyAlignment="1">
      <alignment horizontal="center" vertical="center"/>
    </xf>
    <xf numFmtId="0" fontId="22" fillId="0" borderId="172" xfId="36" applyFont="1" applyBorder="1" applyAlignment="1">
      <alignment horizontal="center" vertical="center"/>
    </xf>
    <xf numFmtId="0" fontId="25" fillId="0" borderId="173" xfId="36" applyFont="1" applyBorder="1" applyAlignment="1">
      <alignment horizontal="center" vertical="center"/>
    </xf>
    <xf numFmtId="0" fontId="57" fillId="0" borderId="170" xfId="36" applyFont="1" applyBorder="1" applyAlignment="1">
      <alignment horizontal="center" vertical="center"/>
    </xf>
    <xf numFmtId="0" fontId="57" fillId="0" borderId="157" xfId="36" applyFont="1" applyBorder="1" applyAlignment="1">
      <alignment horizontal="center" vertical="center"/>
    </xf>
    <xf numFmtId="0" fontId="57" fillId="0" borderId="155" xfId="36" applyFont="1" applyBorder="1" applyAlignment="1">
      <alignment horizontal="center" vertical="center"/>
    </xf>
    <xf numFmtId="0" fontId="55" fillId="0" borderId="170" xfId="36" applyFont="1" applyBorder="1" applyAlignment="1">
      <alignment horizontal="center" vertical="center"/>
    </xf>
    <xf numFmtId="0" fontId="55" fillId="0" borderId="157" xfId="36" applyFont="1" applyBorder="1" applyAlignment="1">
      <alignment horizontal="center" vertical="center"/>
    </xf>
    <xf numFmtId="0" fontId="55" fillId="0" borderId="155" xfId="36" applyFont="1" applyBorder="1" applyAlignment="1">
      <alignment horizontal="center" vertical="center"/>
    </xf>
    <xf numFmtId="0" fontId="58" fillId="0" borderId="170" xfId="36" applyFont="1" applyBorder="1" applyAlignment="1">
      <alignment horizontal="center" vertical="center"/>
    </xf>
    <xf numFmtId="0" fontId="58" fillId="0" borderId="157" xfId="36" applyFont="1" applyBorder="1" applyAlignment="1">
      <alignment horizontal="center" vertical="center"/>
    </xf>
    <xf numFmtId="0" fontId="58" fillId="0" borderId="155" xfId="36" applyFont="1" applyBorder="1" applyAlignment="1">
      <alignment horizontal="center" vertical="center"/>
    </xf>
    <xf numFmtId="0" fontId="22" fillId="0" borderId="27" xfId="36" applyFont="1" applyBorder="1" applyAlignment="1">
      <alignment horizontal="center" vertical="center"/>
    </xf>
    <xf numFmtId="0" fontId="25" fillId="3" borderId="55" xfId="36" applyFont="1" applyFill="1" applyBorder="1" applyAlignment="1">
      <alignment horizontal="center" vertical="center"/>
    </xf>
    <xf numFmtId="0" fontId="25" fillId="3" borderId="52" xfId="36" applyFont="1" applyFill="1" applyBorder="1" applyAlignment="1">
      <alignment horizontal="center" vertical="center"/>
    </xf>
    <xf numFmtId="0" fontId="56" fillId="0" borderId="170" xfId="36" applyFont="1" applyBorder="1" applyAlignment="1">
      <alignment horizontal="center" vertical="center"/>
    </xf>
    <xf numFmtId="0" fontId="56" fillId="0" borderId="157" xfId="36" applyFont="1" applyBorder="1" applyAlignment="1">
      <alignment horizontal="center" vertical="center"/>
    </xf>
    <xf numFmtId="0" fontId="56" fillId="0" borderId="155" xfId="36" applyFont="1" applyBorder="1" applyAlignment="1">
      <alignment horizontal="center" vertical="center"/>
    </xf>
    <xf numFmtId="0" fontId="25" fillId="3" borderId="170" xfId="36" applyFont="1" applyFill="1" applyBorder="1" applyAlignment="1">
      <alignment horizontal="center" vertical="center"/>
    </xf>
    <xf numFmtId="0" fontId="22" fillId="0" borderId="0" xfId="36" applyFont="1" applyAlignment="1">
      <alignment horizontal="left" vertical="center"/>
    </xf>
    <xf numFmtId="0" fontId="22" fillId="0" borderId="174" xfId="36" applyFont="1" applyBorder="1" applyAlignment="1">
      <alignment horizontal="center" vertical="center"/>
    </xf>
    <xf numFmtId="0" fontId="25" fillId="0" borderId="175" xfId="36" applyFont="1" applyBorder="1" applyAlignment="1">
      <alignment horizontal="center" vertical="center"/>
    </xf>
    <xf numFmtId="0" fontId="22" fillId="0" borderId="176" xfId="36" applyFont="1" applyBorder="1" applyAlignment="1">
      <alignment horizontal="center" vertical="center"/>
    </xf>
    <xf numFmtId="0" fontId="25" fillId="0" borderId="177" xfId="36" applyFont="1" applyBorder="1" applyAlignment="1">
      <alignment horizontal="center" vertical="center"/>
    </xf>
    <xf numFmtId="0" fontId="25" fillId="3" borderId="176" xfId="36" applyFont="1" applyFill="1" applyBorder="1" applyAlignment="1">
      <alignment horizontal="center" vertical="center"/>
    </xf>
    <xf numFmtId="0" fontId="25" fillId="3" borderId="177" xfId="36" applyFont="1" applyFill="1" applyBorder="1" applyAlignment="1">
      <alignment horizontal="center" vertical="center"/>
    </xf>
    <xf numFmtId="0" fontId="54" fillId="0" borderId="178" xfId="36" applyFont="1" applyBorder="1" applyAlignment="1">
      <alignment horizontal="center" vertical="center"/>
    </xf>
    <xf numFmtId="0" fontId="54" fillId="0" borderId="179" xfId="36" applyFont="1" applyBorder="1" applyAlignment="1">
      <alignment horizontal="center" vertical="center"/>
    </xf>
    <xf numFmtId="0" fontId="25" fillId="3" borderId="180" xfId="36" applyFont="1" applyFill="1" applyBorder="1" applyAlignment="1">
      <alignment horizontal="center" vertical="center"/>
    </xf>
    <xf numFmtId="0" fontId="25" fillId="3" borderId="181" xfId="36" applyFont="1" applyFill="1" applyBorder="1" applyAlignment="1">
      <alignment horizontal="center" vertical="center"/>
    </xf>
    <xf numFmtId="0" fontId="57" fillId="0" borderId="178" xfId="36" applyFont="1" applyBorder="1" applyAlignment="1">
      <alignment horizontal="center" vertical="center"/>
    </xf>
    <xf numFmtId="0" fontId="57" fillId="0" borderId="179" xfId="36" applyFont="1" applyBorder="1" applyAlignment="1">
      <alignment horizontal="center" vertical="center"/>
    </xf>
    <xf numFmtId="0" fontId="55" fillId="0" borderId="178" xfId="36" applyFont="1" applyBorder="1" applyAlignment="1">
      <alignment horizontal="center" vertical="center"/>
    </xf>
    <xf numFmtId="0" fontId="55" fillId="0" borderId="179" xfId="36" applyFont="1" applyBorder="1" applyAlignment="1">
      <alignment horizontal="center" vertical="center"/>
    </xf>
    <xf numFmtId="0" fontId="58" fillId="0" borderId="178" xfId="36" applyFont="1" applyBorder="1" applyAlignment="1">
      <alignment horizontal="center" vertical="center"/>
    </xf>
    <xf numFmtId="0" fontId="58" fillId="0" borderId="179" xfId="36" applyFont="1" applyBorder="1" applyAlignment="1">
      <alignment horizontal="center" vertical="center"/>
    </xf>
    <xf numFmtId="0" fontId="22" fillId="0" borderId="182" xfId="36" applyFont="1" applyBorder="1" applyAlignment="1">
      <alignment horizontal="center" vertical="center"/>
    </xf>
    <xf numFmtId="0" fontId="25" fillId="0" borderId="183" xfId="36" applyFont="1" applyBorder="1" applyAlignment="1">
      <alignment horizontal="center" vertical="center"/>
    </xf>
    <xf numFmtId="0" fontId="25" fillId="3" borderId="184" xfId="36" applyFont="1" applyFill="1" applyBorder="1" applyAlignment="1">
      <alignment horizontal="center" vertical="center"/>
    </xf>
    <xf numFmtId="0" fontId="25" fillId="3" borderId="185" xfId="36" applyFont="1" applyFill="1" applyBorder="1" applyAlignment="1">
      <alignment horizontal="center" vertical="center"/>
    </xf>
    <xf numFmtId="0" fontId="56" fillId="0" borderId="178" xfId="36" applyFont="1" applyBorder="1" applyAlignment="1">
      <alignment horizontal="center" vertical="center"/>
    </xf>
    <xf numFmtId="0" fontId="56" fillId="0" borderId="179" xfId="36" applyFont="1" applyBorder="1" applyAlignment="1">
      <alignment horizontal="center" vertical="center"/>
    </xf>
    <xf numFmtId="0" fontId="25" fillId="3" borderId="178" xfId="36" applyFont="1" applyFill="1" applyBorder="1" applyAlignment="1">
      <alignment horizontal="center" vertical="center"/>
    </xf>
    <xf numFmtId="0" fontId="25" fillId="3" borderId="179" xfId="36" applyFont="1" applyFill="1" applyBorder="1" applyAlignment="1">
      <alignment horizontal="center" vertical="center"/>
    </xf>
    <xf numFmtId="0" fontId="165" fillId="0" borderId="0" xfId="36" applyFont="1" applyAlignment="1">
      <alignment vertical="center" wrapText="1"/>
    </xf>
    <xf numFmtId="0" fontId="25" fillId="0" borderId="0" xfId="36" applyFont="1" applyAlignment="1">
      <alignment vertical="center" wrapText="1"/>
    </xf>
    <xf numFmtId="0" fontId="25" fillId="0" borderId="11" xfId="36" applyFont="1" applyBorder="1" applyAlignment="1">
      <alignment horizontal="center" vertical="center"/>
    </xf>
    <xf numFmtId="0" fontId="54" fillId="0" borderId="186" xfId="36" applyFont="1" applyBorder="1" applyAlignment="1">
      <alignment horizontal="center" vertical="center"/>
    </xf>
    <xf numFmtId="0" fontId="54" fillId="0" borderId="187" xfId="36" applyFont="1" applyBorder="1" applyAlignment="1">
      <alignment horizontal="center" vertical="center"/>
    </xf>
    <xf numFmtId="0" fontId="22" fillId="0" borderId="188" xfId="36" applyFont="1" applyBorder="1" applyAlignment="1">
      <alignment horizontal="center" vertical="center"/>
    </xf>
    <xf numFmtId="0" fontId="25" fillId="0" borderId="189" xfId="36" applyFont="1" applyBorder="1" applyAlignment="1">
      <alignment horizontal="center" vertical="center"/>
    </xf>
    <xf numFmtId="0" fontId="22" fillId="0" borderId="108" xfId="36" applyFont="1" applyBorder="1" applyAlignment="1">
      <alignment horizontal="center" vertical="center"/>
    </xf>
    <xf numFmtId="0" fontId="57" fillId="0" borderId="186" xfId="36" applyFont="1" applyBorder="1" applyAlignment="1">
      <alignment horizontal="center" vertical="center"/>
    </xf>
    <xf numFmtId="0" fontId="57" fillId="0" borderId="187" xfId="36" applyFont="1" applyBorder="1" applyAlignment="1">
      <alignment horizontal="center" vertical="center"/>
    </xf>
    <xf numFmtId="0" fontId="22" fillId="0" borderId="173" xfId="36" applyFont="1" applyBorder="1" applyAlignment="1">
      <alignment horizontal="left" vertical="center"/>
    </xf>
    <xf numFmtId="0" fontId="22" fillId="0" borderId="48" xfId="36" applyFont="1" applyBorder="1" applyAlignment="1">
      <alignment horizontal="left" vertical="center"/>
    </xf>
    <xf numFmtId="0" fontId="22" fillId="3" borderId="56" xfId="36" applyFont="1" applyFill="1" applyBorder="1" applyAlignment="1">
      <alignment horizontal="center" vertical="center"/>
    </xf>
    <xf numFmtId="0" fontId="22" fillId="0" borderId="24" xfId="36" applyFont="1" applyBorder="1" applyAlignment="1">
      <alignment horizontal="left" vertical="center"/>
    </xf>
    <xf numFmtId="0" fontId="55" fillId="0" borderId="186" xfId="36" applyFont="1" applyBorder="1" applyAlignment="1">
      <alignment horizontal="center" vertical="center"/>
    </xf>
    <xf numFmtId="0" fontId="55" fillId="0" borderId="187" xfId="36" applyFont="1" applyBorder="1" applyAlignment="1">
      <alignment horizontal="center" vertical="center"/>
    </xf>
    <xf numFmtId="0" fontId="56" fillId="0" borderId="186" xfId="36" applyFont="1" applyBorder="1" applyAlignment="1">
      <alignment horizontal="center" vertical="center"/>
    </xf>
    <xf numFmtId="0" fontId="56" fillId="0" borderId="187" xfId="36" applyFont="1" applyBorder="1" applyAlignment="1">
      <alignment horizontal="center" vertical="center"/>
    </xf>
    <xf numFmtId="0" fontId="91" fillId="0" borderId="0" xfId="36" applyFont="1" applyAlignment="1">
      <alignment horizontal="right" vertical="center"/>
    </xf>
    <xf numFmtId="0" fontId="51" fillId="0" borderId="0" xfId="0" applyFont="1" applyAlignment="1">
      <alignment wrapText="1"/>
    </xf>
    <xf numFmtId="0" fontId="45" fillId="0" borderId="0" xfId="0" applyFont="1"/>
    <xf numFmtId="1" fontId="41" fillId="3" borderId="155" xfId="3" applyNumberFormat="1" applyFont="1" applyFill="1" applyBorder="1" applyAlignment="1">
      <alignment horizontal="center" vertical="center" wrapText="1"/>
    </xf>
    <xf numFmtId="0" fontId="50" fillId="0" borderId="8" xfId="0" applyFont="1" applyBorder="1" applyAlignment="1">
      <alignment horizontal="center" vertical="center" wrapText="1"/>
    </xf>
    <xf numFmtId="0" fontId="87" fillId="0" borderId="48" xfId="3" applyFont="1" applyBorder="1" applyAlignment="1">
      <alignment vertical="center"/>
    </xf>
    <xf numFmtId="0" fontId="32" fillId="0" borderId="49" xfId="3" applyFont="1" applyBorder="1" applyAlignment="1">
      <alignment horizontal="center" vertical="center"/>
    </xf>
    <xf numFmtId="0" fontId="32" fillId="0" borderId="188" xfId="3" applyFont="1" applyBorder="1" applyAlignment="1">
      <alignment horizontal="center" vertical="center"/>
    </xf>
    <xf numFmtId="0" fontId="32" fillId="0" borderId="189" xfId="3" applyFont="1" applyBorder="1" applyAlignment="1">
      <alignment horizontal="center" vertical="center"/>
    </xf>
    <xf numFmtId="0" fontId="32" fillId="0" borderId="81" xfId="3" applyFont="1" applyBorder="1" applyAlignment="1">
      <alignment horizontal="center" vertical="center"/>
    </xf>
    <xf numFmtId="0" fontId="32" fillId="0" borderId="106" xfId="3" applyFont="1" applyBorder="1" applyAlignment="1">
      <alignment horizontal="center" vertical="center"/>
    </xf>
    <xf numFmtId="0" fontId="87" fillId="0" borderId="48" xfId="0" applyFont="1" applyBorder="1" applyAlignment="1">
      <alignment horizontal="left" vertical="center" wrapText="1"/>
    </xf>
    <xf numFmtId="0" fontId="87" fillId="0" borderId="48" xfId="0" applyFont="1" applyBorder="1" applyAlignment="1">
      <alignment vertical="center" wrapText="1"/>
    </xf>
    <xf numFmtId="0" fontId="141" fillId="3" borderId="48" xfId="3" applyFont="1" applyFill="1" applyBorder="1" applyAlignment="1">
      <alignment horizontal="center" vertical="center"/>
    </xf>
    <xf numFmtId="0" fontId="32" fillId="3" borderId="81" xfId="3" applyFont="1" applyFill="1" applyBorder="1" applyAlignment="1">
      <alignment horizontal="center" vertical="center"/>
    </xf>
    <xf numFmtId="0" fontId="32" fillId="3" borderId="106" xfId="3" applyFont="1" applyFill="1" applyBorder="1" applyAlignment="1">
      <alignment horizontal="center" vertical="center"/>
    </xf>
    <xf numFmtId="0" fontId="71" fillId="0" borderId="190" xfId="41" applyFont="1" applyFill="1" applyBorder="1" applyAlignment="1">
      <alignment horizontal="left" vertical="center"/>
    </xf>
    <xf numFmtId="0" fontId="87" fillId="0" borderId="52" xfId="3" applyFont="1" applyBorder="1" applyAlignment="1">
      <alignment vertical="center"/>
    </xf>
    <xf numFmtId="0" fontId="32" fillId="0" borderId="53" xfId="3" applyFont="1" applyBorder="1" applyAlignment="1">
      <alignment horizontal="center" vertical="center"/>
    </xf>
    <xf numFmtId="0" fontId="32" fillId="0" borderId="108" xfId="3" applyFont="1" applyBorder="1" applyAlignment="1">
      <alignment horizontal="center" vertical="center"/>
    </xf>
    <xf numFmtId="0" fontId="32" fillId="0" borderId="148" xfId="3" applyFont="1" applyBorder="1" applyAlignment="1">
      <alignment horizontal="center" vertical="center"/>
    </xf>
    <xf numFmtId="0" fontId="141" fillId="3" borderId="52" xfId="3" applyFont="1" applyFill="1" applyBorder="1" applyAlignment="1">
      <alignment horizontal="center" vertical="center"/>
    </xf>
    <xf numFmtId="0" fontId="32" fillId="3" borderId="108" xfId="3" applyFont="1" applyFill="1" applyBorder="1" applyAlignment="1">
      <alignment horizontal="center" vertical="center"/>
    </xf>
    <xf numFmtId="0" fontId="32" fillId="3" borderId="148" xfId="3" applyFont="1" applyFill="1" applyBorder="1" applyAlignment="1">
      <alignment horizontal="center" vertical="center"/>
    </xf>
    <xf numFmtId="0" fontId="54" fillId="0" borderId="8" xfId="3" applyFont="1" applyBorder="1" applyAlignment="1">
      <alignment horizontal="center" vertical="center" wrapText="1"/>
    </xf>
    <xf numFmtId="0" fontId="54" fillId="0" borderId="60" xfId="3" applyFont="1" applyBorder="1" applyAlignment="1">
      <alignment horizontal="center" vertical="center"/>
    </xf>
    <xf numFmtId="0" fontId="54" fillId="0" borderId="69" xfId="3" applyFont="1" applyBorder="1" applyAlignment="1">
      <alignment horizontal="center" vertical="center"/>
    </xf>
    <xf numFmtId="0" fontId="54" fillId="0" borderId="191" xfId="3" applyFont="1" applyBorder="1" applyAlignment="1">
      <alignment horizontal="center" vertical="center"/>
    </xf>
    <xf numFmtId="0" fontId="87" fillId="0" borderId="24" xfId="3" applyFont="1" applyBorder="1" applyAlignment="1">
      <alignment vertical="center"/>
    </xf>
    <xf numFmtId="0" fontId="32" fillId="0" borderId="25" xfId="3" applyFont="1" applyBorder="1" applyAlignment="1">
      <alignment horizontal="center" vertical="center"/>
    </xf>
    <xf numFmtId="0" fontId="32" fillId="0" borderId="80" xfId="3" applyFont="1" applyBorder="1" applyAlignment="1">
      <alignment horizontal="center" vertical="center"/>
    </xf>
    <xf numFmtId="0" fontId="32" fillId="0" borderId="105" xfId="3" applyFont="1" applyBorder="1" applyAlignment="1">
      <alignment horizontal="center" vertical="center"/>
    </xf>
    <xf numFmtId="0" fontId="57" fillId="0" borderId="8" xfId="3" applyFont="1" applyBorder="1" applyAlignment="1">
      <alignment horizontal="center" vertical="center" wrapText="1"/>
    </xf>
    <xf numFmtId="0" fontId="57" fillId="0" borderId="60" xfId="3" applyFont="1" applyBorder="1" applyAlignment="1">
      <alignment horizontal="center" vertical="center"/>
    </xf>
    <xf numFmtId="0" fontId="57" fillId="0" borderId="69" xfId="3" applyFont="1" applyBorder="1" applyAlignment="1">
      <alignment horizontal="center" vertical="center"/>
    </xf>
    <xf numFmtId="0" fontId="57" fillId="0" borderId="191" xfId="3" applyFont="1" applyBorder="1" applyAlignment="1">
      <alignment horizontal="center" vertical="center"/>
    </xf>
    <xf numFmtId="0" fontId="55" fillId="0" borderId="8" xfId="3" applyFont="1" applyBorder="1" applyAlignment="1">
      <alignment horizontal="center" vertical="center" wrapText="1"/>
    </xf>
    <xf numFmtId="0" fontId="55" fillId="0" borderId="60" xfId="3" applyFont="1" applyBorder="1" applyAlignment="1">
      <alignment horizontal="center" vertical="center"/>
    </xf>
    <xf numFmtId="0" fontId="55" fillId="0" borderId="69" xfId="3" applyFont="1" applyBorder="1" applyAlignment="1">
      <alignment horizontal="center" vertical="center"/>
    </xf>
    <xf numFmtId="0" fontId="55" fillId="0" borderId="191" xfId="3" applyFont="1" applyBorder="1" applyAlignment="1">
      <alignment horizontal="center" vertical="center"/>
    </xf>
    <xf numFmtId="0" fontId="58" fillId="0" borderId="8" xfId="3" applyFont="1" applyBorder="1" applyAlignment="1">
      <alignment horizontal="center" vertical="center" wrapText="1"/>
    </xf>
    <xf numFmtId="0" fontId="58" fillId="0" borderId="60" xfId="3" applyFont="1" applyBorder="1" applyAlignment="1">
      <alignment horizontal="center" vertical="center"/>
    </xf>
    <xf numFmtId="0" fontId="58" fillId="0" borderId="69" xfId="3" applyFont="1" applyBorder="1" applyAlignment="1">
      <alignment horizontal="center" vertical="center"/>
    </xf>
    <xf numFmtId="0" fontId="58" fillId="0" borderId="191" xfId="3" applyFont="1" applyBorder="1" applyAlignment="1">
      <alignment horizontal="center" vertical="center"/>
    </xf>
    <xf numFmtId="0" fontId="56" fillId="0" borderId="8" xfId="3" applyFont="1" applyBorder="1" applyAlignment="1">
      <alignment horizontal="center" vertical="center" wrapText="1"/>
    </xf>
    <xf numFmtId="0" fontId="56" fillId="0" borderId="60" xfId="3" applyFont="1" applyBorder="1" applyAlignment="1">
      <alignment horizontal="center" vertical="center"/>
    </xf>
    <xf numFmtId="0" fontId="56" fillId="0" borderId="69" xfId="3" applyFont="1" applyBorder="1" applyAlignment="1">
      <alignment horizontal="center" vertical="center"/>
    </xf>
    <xf numFmtId="0" fontId="56" fillId="0" borderId="191" xfId="3" applyFont="1" applyBorder="1" applyAlignment="1">
      <alignment horizontal="center" vertical="center"/>
    </xf>
    <xf numFmtId="0" fontId="26" fillId="0" borderId="0" xfId="3" applyAlignment="1">
      <alignment horizontal="center"/>
    </xf>
    <xf numFmtId="0" fontId="88" fillId="3" borderId="170" xfId="3" applyFont="1" applyFill="1" applyBorder="1" applyAlignment="1">
      <alignment horizontal="center" vertical="center"/>
    </xf>
    <xf numFmtId="0" fontId="88" fillId="3" borderId="156" xfId="3" applyFont="1" applyFill="1" applyBorder="1" applyAlignment="1">
      <alignment horizontal="center" vertical="center"/>
    </xf>
    <xf numFmtId="0" fontId="88" fillId="3" borderId="155" xfId="3" applyFont="1" applyFill="1" applyBorder="1" applyAlignment="1">
      <alignment horizontal="center" vertical="center"/>
    </xf>
    <xf numFmtId="0" fontId="187" fillId="3" borderId="155" xfId="0" applyFont="1" applyFill="1" applyBorder="1" applyAlignment="1">
      <alignment horizontal="center" vertical="center" wrapText="1"/>
    </xf>
    <xf numFmtId="0" fontId="32" fillId="0" borderId="192" xfId="0" applyFont="1" applyBorder="1" applyAlignment="1">
      <alignment vertical="center"/>
    </xf>
    <xf numFmtId="0" fontId="32" fillId="0" borderId="192" xfId="0" applyFont="1" applyBorder="1" applyAlignment="1">
      <alignment horizontal="center" vertical="center" wrapText="1"/>
    </xf>
    <xf numFmtId="0" fontId="87" fillId="0" borderId="193" xfId="0" applyFont="1" applyBorder="1" applyAlignment="1">
      <alignment vertical="center"/>
    </xf>
    <xf numFmtId="0" fontId="32" fillId="0" borderId="16" xfId="0" applyFont="1" applyBorder="1" applyAlignment="1">
      <alignment horizontal="center" vertical="center" wrapText="1"/>
    </xf>
    <xf numFmtId="0" fontId="32" fillId="2" borderId="48" xfId="0" applyFont="1" applyFill="1" applyBorder="1" applyAlignment="1">
      <alignment horizontal="center" vertical="center" wrapText="1"/>
    </xf>
    <xf numFmtId="0" fontId="32" fillId="2" borderId="16" xfId="0" applyFont="1" applyFill="1" applyBorder="1" applyAlignment="1">
      <alignment horizontal="center" vertical="center" wrapText="1"/>
    </xf>
    <xf numFmtId="0" fontId="32" fillId="4" borderId="40" xfId="0" applyFont="1" applyFill="1" applyBorder="1"/>
    <xf numFmtId="0" fontId="32" fillId="4" borderId="16" xfId="0" applyFont="1" applyFill="1" applyBorder="1"/>
    <xf numFmtId="0" fontId="32" fillId="0" borderId="16" xfId="0" applyFont="1" applyBorder="1" applyAlignment="1">
      <alignment vertical="center"/>
    </xf>
    <xf numFmtId="0" fontId="32" fillId="0" borderId="20" xfId="0" applyFont="1" applyBorder="1" applyAlignment="1">
      <alignment vertical="center"/>
    </xf>
    <xf numFmtId="0" fontId="32" fillId="2" borderId="56" xfId="0" applyFont="1" applyFill="1" applyBorder="1" applyAlignment="1">
      <alignment horizontal="center" vertical="center" wrapText="1"/>
    </xf>
    <xf numFmtId="0" fontId="32" fillId="2" borderId="20" xfId="0" applyFont="1" applyFill="1" applyBorder="1" applyAlignment="1">
      <alignment horizontal="center" vertical="center" wrapText="1"/>
    </xf>
    <xf numFmtId="0" fontId="54" fillId="0" borderId="155" xfId="0" applyFont="1" applyBorder="1" applyAlignment="1">
      <alignment horizontal="center" vertical="center" wrapText="1"/>
    </xf>
    <xf numFmtId="0" fontId="54" fillId="0" borderId="155" xfId="0" applyFont="1" applyBorder="1" applyAlignment="1">
      <alignment horizontal="center" vertical="center"/>
    </xf>
    <xf numFmtId="0" fontId="32" fillId="0" borderId="192" xfId="0" applyFont="1" applyBorder="1" applyAlignment="1">
      <alignment horizontal="left" vertical="center" wrapText="1"/>
    </xf>
    <xf numFmtId="0" fontId="54" fillId="0" borderId="40" xfId="0" applyFont="1" applyBorder="1" applyAlignment="1">
      <alignment horizontal="center" vertical="center"/>
    </xf>
    <xf numFmtId="0" fontId="32" fillId="0" borderId="40" xfId="0" applyFont="1" applyBorder="1" applyAlignment="1">
      <alignment horizontal="center" vertical="center"/>
    </xf>
    <xf numFmtId="0" fontId="32" fillId="0" borderId="16" xfId="0" applyFont="1" applyBorder="1" applyAlignment="1">
      <alignment horizontal="left" vertical="center" wrapText="1"/>
    </xf>
    <xf numFmtId="0" fontId="54" fillId="0" borderId="16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57" fillId="0" borderId="155" xfId="0" applyFont="1" applyBorder="1" applyAlignment="1">
      <alignment horizontal="center" vertical="center" wrapText="1"/>
    </xf>
    <xf numFmtId="0" fontId="57" fillId="0" borderId="155" xfId="0" applyFont="1" applyBorder="1" applyAlignment="1">
      <alignment horizontal="center" vertical="center"/>
    </xf>
    <xf numFmtId="0" fontId="22" fillId="0" borderId="192" xfId="0" applyFont="1" applyBorder="1" applyAlignment="1">
      <alignment vertical="center"/>
    </xf>
    <xf numFmtId="0" fontId="57" fillId="0" borderId="40" xfId="0" applyFont="1" applyBorder="1" applyAlignment="1">
      <alignment horizontal="center" vertical="center"/>
    </xf>
    <xf numFmtId="0" fontId="87" fillId="0" borderId="16" xfId="0" applyFont="1" applyBorder="1" applyAlignment="1">
      <alignment vertical="center"/>
    </xf>
    <xf numFmtId="0" fontId="57" fillId="0" borderId="16" xfId="0" applyFont="1" applyBorder="1" applyAlignment="1">
      <alignment horizontal="center" vertical="center"/>
    </xf>
    <xf numFmtId="0" fontId="87" fillId="0" borderId="16" xfId="0" applyFont="1" applyBorder="1" applyAlignment="1">
      <alignment horizontal="center" vertical="center"/>
    </xf>
    <xf numFmtId="0" fontId="55" fillId="0" borderId="155" xfId="0" applyFont="1" applyBorder="1" applyAlignment="1">
      <alignment horizontal="center" vertical="center" wrapText="1"/>
    </xf>
    <xf numFmtId="0" fontId="55" fillId="0" borderId="155" xfId="0" applyFont="1" applyBorder="1" applyAlignment="1">
      <alignment horizontal="center" vertical="center"/>
    </xf>
    <xf numFmtId="0" fontId="32" fillId="0" borderId="30" xfId="0" applyFont="1" applyBorder="1" applyAlignment="1">
      <alignment vertical="center"/>
    </xf>
    <xf numFmtId="0" fontId="32" fillId="0" borderId="193" xfId="0" applyFont="1" applyBorder="1" applyAlignment="1">
      <alignment vertical="center"/>
    </xf>
    <xf numFmtId="0" fontId="32" fillId="4" borderId="20" xfId="0" applyFont="1" applyFill="1" applyBorder="1"/>
    <xf numFmtId="0" fontId="32" fillId="4" borderId="16" xfId="0" applyFont="1" applyFill="1" applyBorder="1" applyAlignment="1">
      <alignment horizontal="center"/>
    </xf>
    <xf numFmtId="0" fontId="56" fillId="0" borderId="155" xfId="0" applyFont="1" applyBorder="1" applyAlignment="1">
      <alignment horizontal="center" vertical="center" wrapText="1"/>
    </xf>
    <xf numFmtId="0" fontId="50" fillId="3" borderId="155" xfId="0" applyFont="1" applyFill="1" applyBorder="1" applyAlignment="1">
      <alignment horizontal="center" vertical="center"/>
    </xf>
    <xf numFmtId="0" fontId="22" fillId="0" borderId="0" xfId="35" applyFont="1" applyProtection="1">
      <protection locked="0"/>
    </xf>
    <xf numFmtId="0" fontId="22" fillId="0" borderId="0" xfId="35" applyProtection="1">
      <protection locked="0"/>
    </xf>
    <xf numFmtId="0" fontId="22" fillId="0" borderId="0" xfId="35"/>
    <xf numFmtId="0" fontId="165" fillId="0" borderId="2" xfId="35" applyFont="1" applyBorder="1" applyAlignment="1">
      <alignment vertical="center"/>
    </xf>
    <xf numFmtId="0" fontId="79" fillId="3" borderId="197" xfId="35" applyFont="1" applyFill="1" applyBorder="1" applyAlignment="1">
      <alignment horizontal="center" vertical="center"/>
    </xf>
    <xf numFmtId="0" fontId="25" fillId="0" borderId="8" xfId="35" applyFont="1" applyBorder="1" applyAlignment="1">
      <alignment horizontal="center" vertical="center" wrapText="1"/>
    </xf>
    <xf numFmtId="0" fontId="87" fillId="0" borderId="173" xfId="35" applyFont="1" applyBorder="1" applyAlignment="1">
      <alignment vertical="center"/>
    </xf>
    <xf numFmtId="0" fontId="87" fillId="0" borderId="25" xfId="35" applyFont="1" applyBorder="1" applyAlignment="1">
      <alignment horizontal="center" vertical="center"/>
    </xf>
    <xf numFmtId="0" fontId="87" fillId="0" borderId="188" xfId="35" applyFont="1" applyBorder="1" applyAlignment="1">
      <alignment horizontal="center" vertical="center"/>
    </xf>
    <xf numFmtId="0" fontId="87" fillId="0" borderId="189" xfId="35" applyFont="1" applyBorder="1" applyAlignment="1">
      <alignment horizontal="center" vertical="center"/>
    </xf>
    <xf numFmtId="0" fontId="32" fillId="0" borderId="25" xfId="35" applyFont="1" applyBorder="1" applyAlignment="1">
      <alignment horizontal="center" vertical="center"/>
    </xf>
    <xf numFmtId="0" fontId="87" fillId="0" borderId="48" xfId="35" applyFont="1" applyBorder="1" applyAlignment="1">
      <alignment vertical="center"/>
    </xf>
    <xf numFmtId="0" fontId="87" fillId="0" borderId="80" xfId="35" applyFont="1" applyBorder="1" applyAlignment="1">
      <alignment horizontal="center" vertical="center"/>
    </xf>
    <xf numFmtId="0" fontId="87" fillId="0" borderId="106" xfId="35" applyFont="1" applyBorder="1" applyAlignment="1">
      <alignment horizontal="center" vertical="center"/>
    </xf>
    <xf numFmtId="0" fontId="87" fillId="0" borderId="49" xfId="35" applyFont="1" applyBorder="1" applyAlignment="1">
      <alignment horizontal="center" vertical="center"/>
    </xf>
    <xf numFmtId="0" fontId="87" fillId="0" borderId="81" xfId="35" applyFont="1" applyBorder="1" applyAlignment="1">
      <alignment horizontal="center" vertical="center"/>
    </xf>
    <xf numFmtId="0" fontId="32" fillId="0" borderId="49" xfId="35" applyFont="1" applyBorder="1" applyAlignment="1">
      <alignment horizontal="center" vertical="center"/>
    </xf>
    <xf numFmtId="0" fontId="87" fillId="3" borderId="48" xfId="35" applyFont="1" applyFill="1" applyBorder="1" applyAlignment="1">
      <alignment horizontal="center" vertical="center"/>
    </xf>
    <xf numFmtId="0" fontId="32" fillId="3" borderId="53" xfId="35" applyFont="1" applyFill="1" applyBorder="1" applyAlignment="1">
      <alignment horizontal="center" vertical="center"/>
    </xf>
    <xf numFmtId="0" fontId="32" fillId="3" borderId="108" xfId="35" applyFont="1" applyFill="1" applyBorder="1" applyAlignment="1">
      <alignment horizontal="center" vertical="center"/>
    </xf>
    <xf numFmtId="0" fontId="32" fillId="3" borderId="148" xfId="35" applyFont="1" applyFill="1" applyBorder="1" applyAlignment="1">
      <alignment horizontal="center" vertical="center"/>
    </xf>
    <xf numFmtId="0" fontId="71" fillId="0" borderId="198" xfId="41" applyFont="1" applyBorder="1" applyAlignment="1">
      <alignment wrapText="1"/>
    </xf>
    <xf numFmtId="0" fontId="87" fillId="0" borderId="53" xfId="35" applyFont="1" applyBorder="1" applyAlignment="1">
      <alignment horizontal="center" vertical="center"/>
    </xf>
    <xf numFmtId="0" fontId="87" fillId="0" borderId="108" xfId="35" applyFont="1" applyBorder="1" applyAlignment="1">
      <alignment horizontal="center" vertical="center"/>
    </xf>
    <xf numFmtId="0" fontId="87" fillId="0" borderId="148" xfId="35" applyFont="1" applyBorder="1" applyAlignment="1">
      <alignment horizontal="center" vertical="center"/>
    </xf>
    <xf numFmtId="0" fontId="32" fillId="0" borderId="53" xfId="35" applyFont="1" applyBorder="1" applyAlignment="1">
      <alignment horizontal="center" vertical="center"/>
    </xf>
    <xf numFmtId="0" fontId="54" fillId="0" borderId="155" xfId="35" applyFont="1" applyBorder="1" applyAlignment="1">
      <alignment horizontal="center" vertical="center" wrapText="1"/>
    </xf>
    <xf numFmtId="0" fontId="54" fillId="0" borderId="170" xfId="35" applyFont="1" applyBorder="1" applyAlignment="1">
      <alignment horizontal="center" vertical="center"/>
    </xf>
    <xf numFmtId="0" fontId="54" fillId="0" borderId="186" xfId="35" applyFont="1" applyBorder="1" applyAlignment="1">
      <alignment horizontal="center" vertical="center"/>
    </xf>
    <xf numFmtId="0" fontId="54" fillId="0" borderId="187" xfId="35" applyFont="1" applyBorder="1" applyAlignment="1">
      <alignment horizontal="center" vertical="center"/>
    </xf>
    <xf numFmtId="0" fontId="87" fillId="0" borderId="171" xfId="35" applyFont="1" applyBorder="1" applyAlignment="1">
      <alignment horizontal="center" vertical="center"/>
    </xf>
    <xf numFmtId="0" fontId="87" fillId="3" borderId="49" xfId="35" applyFont="1" applyFill="1" applyBorder="1" applyAlignment="1">
      <alignment horizontal="center" vertical="center"/>
    </xf>
    <xf numFmtId="0" fontId="87" fillId="3" borderId="81" xfId="35" applyFont="1" applyFill="1" applyBorder="1" applyAlignment="1">
      <alignment horizontal="center" vertical="center"/>
    </xf>
    <xf numFmtId="0" fontId="87" fillId="3" borderId="106" xfId="35" applyFont="1" applyFill="1" applyBorder="1" applyAlignment="1">
      <alignment horizontal="center" vertical="center"/>
    </xf>
    <xf numFmtId="0" fontId="57" fillId="0" borderId="155" xfId="35" applyFont="1" applyBorder="1" applyAlignment="1">
      <alignment horizontal="center" vertical="center" wrapText="1"/>
    </xf>
    <xf numFmtId="0" fontId="57" fillId="0" borderId="170" xfId="35" applyFont="1" applyBorder="1" applyAlignment="1">
      <alignment horizontal="center" vertical="center"/>
    </xf>
    <xf numFmtId="0" fontId="57" fillId="0" borderId="186" xfId="35" applyFont="1" applyBorder="1" applyAlignment="1">
      <alignment horizontal="center" vertical="center"/>
    </xf>
    <xf numFmtId="0" fontId="57" fillId="0" borderId="187" xfId="35" applyFont="1" applyBorder="1" applyAlignment="1">
      <alignment horizontal="center" vertical="center"/>
    </xf>
    <xf numFmtId="0" fontId="87" fillId="0" borderId="24" xfId="35" applyFont="1" applyBorder="1" applyAlignment="1">
      <alignment vertical="center"/>
    </xf>
    <xf numFmtId="0" fontId="87" fillId="0" borderId="105" xfId="35" applyFont="1" applyBorder="1" applyAlignment="1">
      <alignment horizontal="center" vertical="center"/>
    </xf>
    <xf numFmtId="0" fontId="22" fillId="0" borderId="48" xfId="35" applyFont="1" applyBorder="1" applyAlignment="1">
      <alignment vertical="center"/>
    </xf>
    <xf numFmtId="0" fontId="55" fillId="0" borderId="155" xfId="35" applyFont="1" applyBorder="1" applyAlignment="1">
      <alignment horizontal="center" vertical="center" wrapText="1"/>
    </xf>
    <xf numFmtId="0" fontId="55" fillId="0" borderId="170" xfId="35" applyFont="1" applyBorder="1" applyAlignment="1">
      <alignment horizontal="center" vertical="center"/>
    </xf>
    <xf numFmtId="0" fontId="55" fillId="0" borderId="186" xfId="35" applyFont="1" applyBorder="1" applyAlignment="1">
      <alignment horizontal="center" vertical="center"/>
    </xf>
    <xf numFmtId="0" fontId="55" fillId="0" borderId="187" xfId="35" applyFont="1" applyBorder="1" applyAlignment="1">
      <alignment horizontal="center" vertical="center"/>
    </xf>
    <xf numFmtId="0" fontId="87" fillId="0" borderId="52" xfId="35" applyFont="1" applyBorder="1" applyAlignment="1">
      <alignment vertical="center"/>
    </xf>
    <xf numFmtId="0" fontId="87" fillId="3" borderId="53" xfId="35" applyFont="1" applyFill="1" applyBorder="1" applyAlignment="1">
      <alignment horizontal="center" vertical="center"/>
    </xf>
    <xf numFmtId="0" fontId="87" fillId="3" borderId="108" xfId="35" applyFont="1" applyFill="1" applyBorder="1" applyAlignment="1">
      <alignment horizontal="center" vertical="center"/>
    </xf>
    <xf numFmtId="0" fontId="87" fillId="3" borderId="148" xfId="35" applyFont="1" applyFill="1" applyBorder="1" applyAlignment="1">
      <alignment horizontal="center" vertical="center"/>
    </xf>
    <xf numFmtId="0" fontId="87" fillId="3" borderId="56" xfId="35" applyFont="1" applyFill="1" applyBorder="1" applyAlignment="1">
      <alignment horizontal="center" vertical="center"/>
    </xf>
    <xf numFmtId="0" fontId="56" fillId="0" borderId="155" xfId="35" applyFont="1" applyBorder="1" applyAlignment="1">
      <alignment horizontal="center" vertical="center" wrapText="1"/>
    </xf>
    <xf numFmtId="0" fontId="56" fillId="0" borderId="170" xfId="35" applyFont="1" applyBorder="1" applyAlignment="1">
      <alignment horizontal="center" vertical="center" wrapText="1"/>
    </xf>
    <xf numFmtId="0" fontId="56" fillId="0" borderId="186" xfId="35" applyFont="1" applyBorder="1" applyAlignment="1">
      <alignment horizontal="center" vertical="center" wrapText="1"/>
    </xf>
    <xf numFmtId="0" fontId="56" fillId="0" borderId="187" xfId="35" applyFont="1" applyBorder="1" applyAlignment="1">
      <alignment horizontal="center" vertical="center" wrapText="1"/>
    </xf>
    <xf numFmtId="0" fontId="25" fillId="3" borderId="170" xfId="35" applyFont="1" applyFill="1" applyBorder="1" applyAlignment="1">
      <alignment horizontal="center" vertical="center"/>
    </xf>
    <xf numFmtId="0" fontId="25" fillId="3" borderId="186" xfId="35" applyFont="1" applyFill="1" applyBorder="1" applyAlignment="1">
      <alignment horizontal="center" vertical="center"/>
    </xf>
    <xf numFmtId="0" fontId="25" fillId="3" borderId="187" xfId="35" applyFont="1" applyFill="1" applyBorder="1" applyAlignment="1">
      <alignment horizontal="center" vertical="center"/>
    </xf>
    <xf numFmtId="0" fontId="79" fillId="3" borderId="155" xfId="35" applyFont="1" applyFill="1" applyBorder="1" applyAlignment="1">
      <alignment horizontal="center" vertical="center"/>
    </xf>
    <xf numFmtId="0" fontId="25" fillId="0" borderId="8" xfId="36" applyFont="1" applyBorder="1" applyAlignment="1">
      <alignment horizontal="center"/>
    </xf>
    <xf numFmtId="0" fontId="22" fillId="0" borderId="171" xfId="36" applyFont="1" applyBorder="1"/>
    <xf numFmtId="0" fontId="22" fillId="0" borderId="189" xfId="36" applyFont="1" applyBorder="1" applyAlignment="1">
      <alignment horizontal="center" vertical="center"/>
    </xf>
    <xf numFmtId="0" fontId="22" fillId="0" borderId="49" xfId="36" applyFont="1" applyBorder="1"/>
    <xf numFmtId="0" fontId="22" fillId="0" borderId="105" xfId="36" applyFont="1" applyBorder="1" applyAlignment="1">
      <alignment horizontal="center" vertical="center"/>
    </xf>
    <xf numFmtId="0" fontId="22" fillId="0" borderId="106" xfId="36" applyFont="1" applyBorder="1" applyAlignment="1">
      <alignment horizontal="center" vertical="center"/>
    </xf>
    <xf numFmtId="0" fontId="22" fillId="3" borderId="81" xfId="36" applyFont="1" applyFill="1" applyBorder="1" applyAlignment="1">
      <alignment horizontal="center" vertical="center"/>
    </xf>
    <xf numFmtId="0" fontId="22" fillId="3" borderId="106" xfId="36" applyFont="1" applyFill="1" applyBorder="1" applyAlignment="1">
      <alignment horizontal="center" vertical="center"/>
    </xf>
    <xf numFmtId="0" fontId="22" fillId="0" borderId="48" xfId="36" applyFont="1" applyBorder="1"/>
    <xf numFmtId="0" fontId="22" fillId="0" borderId="148" xfId="36" applyFont="1" applyBorder="1" applyAlignment="1">
      <alignment horizontal="center" vertical="center"/>
    </xf>
    <xf numFmtId="0" fontId="22" fillId="3" borderId="53" xfId="36" applyFont="1" applyFill="1" applyBorder="1" applyAlignment="1">
      <alignment horizontal="center" vertical="center"/>
    </xf>
    <xf numFmtId="0" fontId="22" fillId="3" borderId="108" xfId="36" applyFont="1" applyFill="1" applyBorder="1" applyAlignment="1">
      <alignment horizontal="center" vertical="center"/>
    </xf>
    <xf numFmtId="0" fontId="22" fillId="3" borderId="148" xfId="36" applyFont="1" applyFill="1" applyBorder="1" applyAlignment="1">
      <alignment horizontal="center" vertical="center"/>
    </xf>
    <xf numFmtId="0" fontId="54" fillId="0" borderId="60" xfId="36" applyFont="1" applyBorder="1" applyAlignment="1">
      <alignment horizontal="center" vertical="center"/>
    </xf>
    <xf numFmtId="0" fontId="54" fillId="0" borderId="69" xfId="36" applyFont="1" applyBorder="1" applyAlignment="1">
      <alignment horizontal="center" vertical="center"/>
    </xf>
    <xf numFmtId="0" fontId="54" fillId="0" borderId="191" xfId="36" applyFont="1" applyBorder="1" applyAlignment="1">
      <alignment horizontal="center" vertical="center"/>
    </xf>
    <xf numFmtId="0" fontId="22" fillId="0" borderId="25" xfId="36" applyFont="1" applyBorder="1"/>
    <xf numFmtId="0" fontId="57" fillId="0" borderId="60" xfId="36" applyFont="1" applyBorder="1" applyAlignment="1">
      <alignment horizontal="center" vertical="center"/>
    </xf>
    <xf numFmtId="0" fontId="57" fillId="0" borderId="69" xfId="36" applyFont="1" applyBorder="1" applyAlignment="1">
      <alignment horizontal="center" vertical="center"/>
    </xf>
    <xf numFmtId="0" fontId="57" fillId="0" borderId="191" xfId="36" applyFont="1" applyBorder="1" applyAlignment="1">
      <alignment horizontal="center" vertical="center"/>
    </xf>
    <xf numFmtId="0" fontId="55" fillId="0" borderId="60" xfId="36" applyFont="1" applyBorder="1" applyAlignment="1">
      <alignment horizontal="center" vertical="center"/>
    </xf>
    <xf numFmtId="0" fontId="55" fillId="0" borderId="69" xfId="36" applyFont="1" applyBorder="1" applyAlignment="1">
      <alignment horizontal="center" vertical="center"/>
    </xf>
    <xf numFmtId="0" fontId="55" fillId="0" borderId="191" xfId="36" applyFont="1" applyBorder="1" applyAlignment="1">
      <alignment horizontal="center" vertical="center"/>
    </xf>
    <xf numFmtId="0" fontId="56" fillId="0" borderId="60" xfId="36" applyFont="1" applyBorder="1" applyAlignment="1">
      <alignment horizontal="center" vertical="center"/>
    </xf>
    <xf numFmtId="0" fontId="56" fillId="0" borderId="69" xfId="36" applyFont="1" applyBorder="1" applyAlignment="1">
      <alignment horizontal="center" vertical="center"/>
    </xf>
    <xf numFmtId="0" fontId="56" fillId="0" borderId="191" xfId="36" applyFont="1" applyBorder="1" applyAlignment="1">
      <alignment horizontal="center" vertical="center"/>
    </xf>
    <xf numFmtId="0" fontId="50" fillId="3" borderId="170" xfId="36" applyFont="1" applyFill="1" applyBorder="1" applyAlignment="1">
      <alignment horizontal="center" vertical="center"/>
    </xf>
    <xf numFmtId="0" fontId="50" fillId="3" borderId="186" xfId="36" applyFont="1" applyFill="1" applyBorder="1" applyAlignment="1">
      <alignment horizontal="center" vertical="center"/>
    </xf>
    <xf numFmtId="0" fontId="50" fillId="3" borderId="187" xfId="36" applyFont="1" applyFill="1" applyBorder="1" applyAlignment="1">
      <alignment horizontal="center" vertical="center"/>
    </xf>
    <xf numFmtId="0" fontId="165" fillId="0" borderId="0" xfId="36" applyFont="1" applyAlignment="1">
      <alignment wrapText="1"/>
    </xf>
    <xf numFmtId="0" fontId="72" fillId="0" borderId="159" xfId="0" applyFont="1" applyBorder="1" applyAlignment="1">
      <alignment vertical="center"/>
    </xf>
    <xf numFmtId="0" fontId="22" fillId="0" borderId="159" xfId="36" applyFont="1" applyBorder="1" applyAlignment="1">
      <alignment horizontal="center" vertical="center"/>
    </xf>
    <xf numFmtId="0" fontId="72" fillId="3" borderId="35" xfId="0" applyFont="1" applyFill="1" applyBorder="1" applyAlignment="1">
      <alignment horizontal="center" vertical="center"/>
    </xf>
    <xf numFmtId="0" fontId="22" fillId="3" borderId="35" xfId="36" applyFont="1" applyFill="1" applyBorder="1" applyAlignment="1">
      <alignment horizontal="center" vertical="center"/>
    </xf>
    <xf numFmtId="0" fontId="22" fillId="3" borderId="84" xfId="36" applyFont="1" applyFill="1" applyBorder="1" applyAlignment="1">
      <alignment horizontal="center" vertical="center"/>
    </xf>
    <xf numFmtId="0" fontId="22" fillId="3" borderId="199" xfId="36" applyFont="1" applyFill="1" applyBorder="1" applyAlignment="1">
      <alignment horizontal="center" vertical="center"/>
    </xf>
    <xf numFmtId="0" fontId="97" fillId="0" borderId="60" xfId="36" applyFont="1" applyBorder="1" applyAlignment="1">
      <alignment horizontal="center" vertical="center"/>
    </xf>
    <xf numFmtId="0" fontId="97" fillId="0" borderId="69" xfId="36" applyFont="1" applyBorder="1" applyAlignment="1">
      <alignment horizontal="center" vertical="center"/>
    </xf>
    <xf numFmtId="0" fontId="97" fillId="0" borderId="191" xfId="36" applyFont="1" applyBorder="1" applyAlignment="1">
      <alignment horizontal="center" vertical="center"/>
    </xf>
    <xf numFmtId="0" fontId="97" fillId="0" borderId="60" xfId="36" applyFont="1" applyBorder="1"/>
    <xf numFmtId="0" fontId="72" fillId="3" borderId="49" xfId="0" applyFont="1" applyFill="1" applyBorder="1" applyAlignment="1">
      <alignment horizontal="center" vertical="center"/>
    </xf>
    <xf numFmtId="0" fontId="55" fillId="0" borderId="57" xfId="36" applyFont="1" applyBorder="1" applyAlignment="1">
      <alignment horizontal="center" vertical="center"/>
    </xf>
    <xf numFmtId="0" fontId="42" fillId="0" borderId="57" xfId="36" applyFont="1" applyBorder="1" applyAlignment="1">
      <alignment horizontal="center" vertical="center"/>
    </xf>
    <xf numFmtId="0" fontId="42" fillId="0" borderId="82" xfId="36" applyFont="1" applyBorder="1" applyAlignment="1">
      <alignment horizontal="center" vertical="center"/>
    </xf>
    <xf numFmtId="0" fontId="42" fillId="0" borderId="107" xfId="36" applyFont="1" applyBorder="1" applyAlignment="1">
      <alignment horizontal="center" vertical="center"/>
    </xf>
    <xf numFmtId="0" fontId="42" fillId="0" borderId="57" xfId="36" applyFont="1" applyBorder="1" applyAlignment="1">
      <alignment horizontal="center"/>
    </xf>
    <xf numFmtId="0" fontId="55" fillId="0" borderId="82" xfId="36" applyFont="1" applyBorder="1" applyAlignment="1">
      <alignment horizontal="center" vertical="center"/>
    </xf>
    <xf numFmtId="0" fontId="55" fillId="0" borderId="107" xfId="36" applyFont="1" applyBorder="1" applyAlignment="1">
      <alignment horizontal="center" vertical="center"/>
    </xf>
    <xf numFmtId="0" fontId="56" fillId="0" borderId="57" xfId="36" applyFont="1" applyBorder="1" applyAlignment="1">
      <alignment horizontal="center" vertical="center"/>
    </xf>
    <xf numFmtId="0" fontId="98" fillId="0" borderId="57" xfId="36" applyFont="1" applyBorder="1" applyAlignment="1">
      <alignment horizontal="center" vertical="center"/>
    </xf>
    <xf numFmtId="0" fontId="98" fillId="0" borderId="82" xfId="36" applyFont="1" applyBorder="1" applyAlignment="1">
      <alignment horizontal="center" vertical="center"/>
    </xf>
    <xf numFmtId="0" fontId="98" fillId="0" borderId="107" xfId="36" applyFont="1" applyBorder="1" applyAlignment="1">
      <alignment horizontal="center" vertical="center"/>
    </xf>
    <xf numFmtId="0" fontId="98" fillId="0" borderId="57" xfId="36" applyFont="1" applyBorder="1" applyAlignment="1">
      <alignment horizontal="center"/>
    </xf>
    <xf numFmtId="0" fontId="189" fillId="3" borderId="170" xfId="0" applyFont="1" applyFill="1" applyBorder="1" applyAlignment="1">
      <alignment horizontal="center" vertical="center"/>
    </xf>
    <xf numFmtId="0" fontId="91" fillId="0" borderId="0" xfId="36" applyFont="1" applyAlignment="1">
      <alignment horizontal="right"/>
    </xf>
    <xf numFmtId="0" fontId="85" fillId="3" borderId="8" xfId="36" applyFont="1" applyFill="1" applyBorder="1" applyAlignment="1">
      <alignment horizontal="center"/>
    </xf>
    <xf numFmtId="0" fontId="87" fillId="0" borderId="200" xfId="0" applyFont="1" applyBorder="1" applyAlignment="1">
      <alignment vertical="center"/>
    </xf>
    <xf numFmtId="0" fontId="87" fillId="0" borderId="201" xfId="0" applyFont="1" applyBorder="1" applyAlignment="1">
      <alignment horizontal="center" vertical="center"/>
    </xf>
    <xf numFmtId="0" fontId="32" fillId="0" borderId="202" xfId="0" applyFont="1" applyBorder="1" applyAlignment="1">
      <alignment horizontal="center"/>
    </xf>
    <xf numFmtId="0" fontId="87" fillId="0" borderId="203" xfId="0" applyFont="1" applyBorder="1" applyAlignment="1">
      <alignment horizontal="center" vertical="center"/>
    </xf>
    <xf numFmtId="0" fontId="87" fillId="3" borderId="34" xfId="0" applyFont="1" applyFill="1" applyBorder="1" applyAlignment="1">
      <alignment horizontal="center" vertical="center"/>
    </xf>
    <xf numFmtId="0" fontId="87" fillId="3" borderId="35" xfId="0" applyFont="1" applyFill="1" applyBorder="1" applyAlignment="1">
      <alignment horizontal="center" vertical="center"/>
    </xf>
    <xf numFmtId="0" fontId="32" fillId="3" borderId="84" xfId="0" applyFont="1" applyFill="1" applyBorder="1" applyAlignment="1">
      <alignment horizontal="center"/>
    </xf>
    <xf numFmtId="0" fontId="87" fillId="3" borderId="199" xfId="0" applyFont="1" applyFill="1" applyBorder="1" applyAlignment="1">
      <alignment horizontal="center" vertical="center"/>
    </xf>
    <xf numFmtId="0" fontId="54" fillId="0" borderId="120" xfId="0" applyFont="1" applyBorder="1" applyAlignment="1">
      <alignment horizontal="center" vertical="center"/>
    </xf>
    <xf numFmtId="0" fontId="54" fillId="0" borderId="121" xfId="0" applyFont="1" applyBorder="1" applyAlignment="1">
      <alignment horizontal="center" vertical="center"/>
    </xf>
    <xf numFmtId="0" fontId="54" fillId="0" borderId="204" xfId="0" applyFont="1" applyBorder="1" applyAlignment="1">
      <alignment horizontal="center" vertical="center"/>
    </xf>
    <xf numFmtId="0" fontId="54" fillId="0" borderId="205" xfId="0" applyFont="1" applyBorder="1" applyAlignment="1">
      <alignment horizontal="center" vertical="center"/>
    </xf>
    <xf numFmtId="0" fontId="32" fillId="0" borderId="206" xfId="0" applyFont="1" applyBorder="1"/>
    <xf numFmtId="0" fontId="32" fillId="0" borderId="207" xfId="0" applyFont="1" applyBorder="1" applyAlignment="1">
      <alignment horizontal="center"/>
    </xf>
    <xf numFmtId="0" fontId="32" fillId="0" borderId="208" xfId="0" applyFont="1" applyBorder="1" applyAlignment="1">
      <alignment horizontal="center"/>
    </xf>
    <xf numFmtId="0" fontId="32" fillId="0" borderId="209" xfId="0" applyFont="1" applyBorder="1" applyAlignment="1">
      <alignment horizontal="center"/>
    </xf>
    <xf numFmtId="0" fontId="32" fillId="0" borderId="116" xfId="0" applyFont="1" applyBorder="1"/>
    <xf numFmtId="0" fontId="32" fillId="0" borderId="117" xfId="0" applyFont="1" applyBorder="1" applyAlignment="1">
      <alignment horizontal="center"/>
    </xf>
    <xf numFmtId="0" fontId="32" fillId="0" borderId="210" xfId="0" applyFont="1" applyBorder="1" applyAlignment="1">
      <alignment horizontal="center"/>
    </xf>
    <xf numFmtId="0" fontId="32" fillId="0" borderId="211" xfId="0" applyFont="1" applyBorder="1" applyAlignment="1">
      <alignment horizontal="center"/>
    </xf>
    <xf numFmtId="0" fontId="57" fillId="0" borderId="120" xfId="0" applyFont="1" applyBorder="1" applyAlignment="1">
      <alignment horizontal="center" vertical="center"/>
    </xf>
    <xf numFmtId="0" fontId="57" fillId="0" borderId="121" xfId="0" applyFont="1" applyBorder="1" applyAlignment="1">
      <alignment horizontal="center" vertical="center"/>
    </xf>
    <xf numFmtId="0" fontId="57" fillId="0" borderId="204" xfId="0" applyFont="1" applyBorder="1" applyAlignment="1">
      <alignment horizontal="center" vertical="center"/>
    </xf>
    <xf numFmtId="0" fontId="57" fillId="0" borderId="205" xfId="0" applyFont="1" applyBorder="1" applyAlignment="1">
      <alignment horizontal="center" vertical="center"/>
    </xf>
    <xf numFmtId="0" fontId="87" fillId="0" borderId="206" xfId="0" applyFont="1" applyBorder="1" applyAlignment="1">
      <alignment vertical="center"/>
    </xf>
    <xf numFmtId="0" fontId="87" fillId="0" borderId="208" xfId="0" applyFont="1" applyBorder="1" applyAlignment="1">
      <alignment horizontal="center" vertical="center"/>
    </xf>
    <xf numFmtId="0" fontId="87" fillId="0" borderId="209" xfId="0" applyFont="1" applyBorder="1" applyAlignment="1">
      <alignment horizontal="center" vertical="center"/>
    </xf>
    <xf numFmtId="0" fontId="55" fillId="0" borderId="120" xfId="0" applyFont="1" applyBorder="1" applyAlignment="1">
      <alignment horizontal="center" vertical="center"/>
    </xf>
    <xf numFmtId="0" fontId="55" fillId="0" borderId="121" xfId="0" applyFont="1" applyBorder="1" applyAlignment="1">
      <alignment horizontal="center" vertical="center"/>
    </xf>
    <xf numFmtId="0" fontId="55" fillId="0" borderId="204" xfId="0" applyFont="1" applyBorder="1" applyAlignment="1">
      <alignment horizontal="center" vertical="center"/>
    </xf>
    <xf numFmtId="0" fontId="55" fillId="0" borderId="205" xfId="0" applyFont="1" applyBorder="1" applyAlignment="1">
      <alignment horizontal="center" vertical="center"/>
    </xf>
    <xf numFmtId="0" fontId="32" fillId="0" borderId="35" xfId="0" applyFont="1" applyBorder="1" applyAlignment="1">
      <alignment horizontal="center"/>
    </xf>
    <xf numFmtId="0" fontId="32" fillId="0" borderId="199" xfId="0" applyFont="1" applyBorder="1" applyAlignment="1">
      <alignment horizontal="center"/>
    </xf>
    <xf numFmtId="0" fontId="32" fillId="0" borderId="34" xfId="0" applyFont="1" applyBorder="1"/>
    <xf numFmtId="0" fontId="32" fillId="0" borderId="84" xfId="0" applyFont="1" applyBorder="1" applyAlignment="1">
      <alignment horizontal="center"/>
    </xf>
    <xf numFmtId="0" fontId="56" fillId="0" borderId="120" xfId="0" applyFont="1" applyBorder="1" applyAlignment="1">
      <alignment horizontal="center" vertical="center"/>
    </xf>
    <xf numFmtId="0" fontId="56" fillId="0" borderId="121" xfId="0" applyFont="1" applyBorder="1" applyAlignment="1">
      <alignment horizontal="center" vertical="center"/>
    </xf>
    <xf numFmtId="0" fontId="56" fillId="0" borderId="204" xfId="0" applyFont="1" applyBorder="1" applyAlignment="1">
      <alignment horizontal="center" vertical="center"/>
    </xf>
    <xf numFmtId="0" fontId="56" fillId="0" borderId="205" xfId="0" applyFont="1" applyBorder="1" applyAlignment="1">
      <alignment horizontal="center" vertical="center"/>
    </xf>
    <xf numFmtId="0" fontId="50" fillId="3" borderId="60" xfId="0" applyFont="1" applyFill="1" applyBorder="1" applyAlignment="1">
      <alignment horizontal="center" vertical="center"/>
    </xf>
    <xf numFmtId="0" fontId="50" fillId="3" borderId="69" xfId="0" applyFont="1" applyFill="1" applyBorder="1" applyAlignment="1">
      <alignment horizontal="center" vertical="center"/>
    </xf>
    <xf numFmtId="0" fontId="50" fillId="3" borderId="191" xfId="0" applyFont="1" applyFill="1" applyBorder="1" applyAlignment="1">
      <alignment horizontal="center" vertical="center"/>
    </xf>
    <xf numFmtId="0" fontId="50" fillId="0" borderId="34" xfId="0" applyFont="1" applyBorder="1" applyAlignment="1">
      <alignment horizontal="center" vertical="center"/>
    </xf>
    <xf numFmtId="0" fontId="41" fillId="3" borderId="158" xfId="0" applyFont="1" applyFill="1" applyBorder="1" applyAlignment="1">
      <alignment horizontal="center" vertical="center"/>
    </xf>
    <xf numFmtId="0" fontId="32" fillId="0" borderId="171" xfId="0" applyFont="1" applyBorder="1" applyAlignment="1">
      <alignment horizontal="center" vertical="center"/>
    </xf>
    <xf numFmtId="0" fontId="32" fillId="0" borderId="212" xfId="0" applyFont="1" applyBorder="1" applyAlignment="1">
      <alignment horizontal="center" vertical="center"/>
    </xf>
    <xf numFmtId="0" fontId="32" fillId="0" borderId="172" xfId="0" applyFont="1" applyBorder="1" applyAlignment="1">
      <alignment horizontal="center" vertical="center"/>
    </xf>
    <xf numFmtId="0" fontId="32" fillId="0" borderId="25" xfId="0" applyFont="1" applyBorder="1" applyAlignment="1">
      <alignment horizontal="left" vertical="center"/>
    </xf>
    <xf numFmtId="0" fontId="50" fillId="0" borderId="25" xfId="0" applyFont="1" applyBorder="1" applyAlignment="1">
      <alignment horizontal="center" vertical="center"/>
    </xf>
    <xf numFmtId="0" fontId="50" fillId="0" borderId="26" xfId="0" applyFont="1" applyBorder="1" applyAlignment="1">
      <alignment horizontal="center" vertical="center"/>
    </xf>
    <xf numFmtId="0" fontId="50" fillId="0" borderId="27" xfId="0" applyFont="1" applyBorder="1" applyAlignment="1">
      <alignment horizontal="center" vertical="center"/>
    </xf>
    <xf numFmtId="0" fontId="58" fillId="0" borderId="57" xfId="0" applyFont="1" applyBorder="1" applyAlignment="1">
      <alignment horizontal="center" vertical="center"/>
    </xf>
    <xf numFmtId="0" fontId="58" fillId="0" borderId="58" xfId="0" applyFont="1" applyBorder="1" applyAlignment="1">
      <alignment horizontal="center" vertical="center"/>
    </xf>
    <xf numFmtId="0" fontId="58" fillId="0" borderId="59" xfId="0" applyFont="1" applyBorder="1" applyAlignment="1">
      <alignment horizontal="center" vertical="center"/>
    </xf>
    <xf numFmtId="0" fontId="50" fillId="3" borderId="2" xfId="0" applyFont="1" applyFill="1" applyBorder="1" applyAlignment="1">
      <alignment horizontal="center" vertical="center"/>
    </xf>
    <xf numFmtId="0" fontId="50" fillId="3" borderId="11" xfId="0" applyFont="1" applyFill="1" applyBorder="1" applyAlignment="1">
      <alignment horizontal="center" vertical="center"/>
    </xf>
    <xf numFmtId="0" fontId="50" fillId="3" borderId="170" xfId="0" applyFont="1" applyFill="1" applyBorder="1" applyAlignment="1">
      <alignment horizontal="center" vertical="center"/>
    </xf>
    <xf numFmtId="0" fontId="50" fillId="3" borderId="156" xfId="0" applyFont="1" applyFill="1" applyBorder="1" applyAlignment="1">
      <alignment horizontal="center" vertical="center"/>
    </xf>
    <xf numFmtId="0" fontId="50" fillId="3" borderId="157" xfId="0" applyFont="1" applyFill="1" applyBorder="1" applyAlignment="1">
      <alignment horizontal="center" vertical="center"/>
    </xf>
    <xf numFmtId="0" fontId="47" fillId="0" borderId="0" xfId="0" applyFont="1"/>
    <xf numFmtId="0" fontId="47" fillId="3" borderId="155" xfId="0" applyFont="1" applyFill="1" applyBorder="1" applyAlignment="1">
      <alignment horizontal="center" vertical="center"/>
    </xf>
    <xf numFmtId="0" fontId="50" fillId="0" borderId="8" xfId="0" applyFont="1" applyBorder="1" applyAlignment="1">
      <alignment horizontal="center" vertical="center"/>
    </xf>
    <xf numFmtId="0" fontId="32" fillId="0" borderId="173" xfId="0" applyFont="1" applyBorder="1" applyAlignment="1">
      <alignment horizontal="center" vertical="center"/>
    </xf>
    <xf numFmtId="0" fontId="32" fillId="4" borderId="171" xfId="0" applyFont="1" applyFill="1" applyBorder="1" applyAlignment="1">
      <alignment horizontal="center" vertical="center"/>
    </xf>
    <xf numFmtId="0" fontId="32" fillId="0" borderId="24" xfId="0" applyFont="1" applyBorder="1" applyAlignment="1">
      <alignment horizontal="center" vertical="center"/>
    </xf>
    <xf numFmtId="0" fontId="32" fillId="4" borderId="49" xfId="0" applyFont="1" applyFill="1" applyBorder="1" applyAlignment="1">
      <alignment horizontal="center" vertical="center"/>
    </xf>
    <xf numFmtId="0" fontId="54" fillId="3" borderId="56" xfId="0" applyFont="1" applyFill="1" applyBorder="1" applyAlignment="1">
      <alignment horizontal="center"/>
    </xf>
    <xf numFmtId="0" fontId="54" fillId="3" borderId="57" xfId="0" applyFont="1" applyFill="1" applyBorder="1" applyAlignment="1">
      <alignment horizontal="center" vertical="center"/>
    </xf>
    <xf numFmtId="0" fontId="54" fillId="3" borderId="59" xfId="0" applyFont="1" applyFill="1" applyBorder="1" applyAlignment="1">
      <alignment horizontal="center" vertical="center"/>
    </xf>
    <xf numFmtId="0" fontId="32" fillId="4" borderId="34" xfId="0" applyFont="1" applyFill="1" applyBorder="1" applyAlignment="1">
      <alignment horizontal="center"/>
    </xf>
    <xf numFmtId="0" fontId="32" fillId="0" borderId="35" xfId="0" applyFont="1" applyBorder="1" applyAlignment="1">
      <alignment horizontal="center" vertical="center"/>
    </xf>
    <xf numFmtId="0" fontId="32" fillId="0" borderId="36" xfId="0" applyFont="1" applyBorder="1" applyAlignment="1">
      <alignment horizontal="center" vertical="center"/>
    </xf>
    <xf numFmtId="0" fontId="32" fillId="0" borderId="34" xfId="0" applyFont="1" applyBorder="1" applyAlignment="1">
      <alignment horizontal="center" vertical="center"/>
    </xf>
    <xf numFmtId="0" fontId="32" fillId="4" borderId="52" xfId="0" applyFont="1" applyFill="1" applyBorder="1" applyAlignment="1">
      <alignment horizontal="center"/>
    </xf>
    <xf numFmtId="0" fontId="32" fillId="0" borderId="53" xfId="0" applyFont="1" applyBorder="1" applyAlignment="1">
      <alignment horizontal="center" vertical="center"/>
    </xf>
    <xf numFmtId="0" fontId="32" fillId="0" borderId="55" xfId="0" applyFont="1" applyBorder="1" applyAlignment="1">
      <alignment horizontal="center" vertical="center"/>
    </xf>
    <xf numFmtId="0" fontId="32" fillId="4" borderId="53" xfId="0" applyFont="1" applyFill="1" applyBorder="1" applyAlignment="1">
      <alignment horizontal="center" vertical="center"/>
    </xf>
    <xf numFmtId="0" fontId="57" fillId="3" borderId="56" xfId="0" applyFont="1" applyFill="1" applyBorder="1" applyAlignment="1">
      <alignment horizontal="center"/>
    </xf>
    <xf numFmtId="0" fontId="57" fillId="3" borderId="57" xfId="0" applyFont="1" applyFill="1" applyBorder="1" applyAlignment="1">
      <alignment horizontal="center" vertical="center"/>
    </xf>
    <xf numFmtId="0" fontId="57" fillId="3" borderId="59" xfId="0" applyFont="1" applyFill="1" applyBorder="1" applyAlignment="1">
      <alignment horizontal="center" vertical="center"/>
    </xf>
    <xf numFmtId="0" fontId="55" fillId="3" borderId="56" xfId="0" applyFont="1" applyFill="1" applyBorder="1" applyAlignment="1">
      <alignment horizontal="center"/>
    </xf>
    <xf numFmtId="0" fontId="55" fillId="3" borderId="57" xfId="0" applyFont="1" applyFill="1" applyBorder="1" applyAlignment="1">
      <alignment horizontal="center" vertical="center"/>
    </xf>
    <xf numFmtId="0" fontId="55" fillId="3" borderId="59" xfId="0" applyFont="1" applyFill="1" applyBorder="1" applyAlignment="1">
      <alignment horizontal="center" vertical="center"/>
    </xf>
    <xf numFmtId="0" fontId="32" fillId="4" borderId="25" xfId="0" applyFont="1" applyFill="1" applyBorder="1" applyAlignment="1">
      <alignment horizontal="center" vertical="center"/>
    </xf>
    <xf numFmtId="0" fontId="56" fillId="3" borderId="56" xfId="0" applyFont="1" applyFill="1" applyBorder="1" applyAlignment="1">
      <alignment horizontal="center"/>
    </xf>
    <xf numFmtId="0" fontId="56" fillId="3" borderId="57" xfId="0" applyFont="1" applyFill="1" applyBorder="1" applyAlignment="1">
      <alignment horizontal="center" vertical="center"/>
    </xf>
    <xf numFmtId="0" fontId="56" fillId="3" borderId="59" xfId="0" applyFont="1" applyFill="1" applyBorder="1" applyAlignment="1">
      <alignment horizontal="center" vertical="center"/>
    </xf>
    <xf numFmtId="0" fontId="56" fillId="3" borderId="57" xfId="0" applyFont="1" applyFill="1" applyBorder="1" applyAlignment="1">
      <alignment horizontal="center"/>
    </xf>
    <xf numFmtId="0" fontId="50" fillId="0" borderId="155" xfId="0" applyFont="1" applyBorder="1" applyAlignment="1">
      <alignment horizontal="center" vertical="center"/>
    </xf>
    <xf numFmtId="0" fontId="149" fillId="0" borderId="0" xfId="0" applyFont="1" applyAlignment="1">
      <alignment horizontal="center" vertical="center"/>
    </xf>
    <xf numFmtId="0" fontId="149" fillId="0" borderId="0" xfId="0" applyFont="1"/>
    <xf numFmtId="0" fontId="121" fillId="0" borderId="0" xfId="0" applyFont="1"/>
    <xf numFmtId="0" fontId="190" fillId="0" borderId="0" xfId="0" applyFont="1" applyAlignment="1">
      <alignment vertical="top" wrapText="1"/>
    </xf>
    <xf numFmtId="0" fontId="32" fillId="0" borderId="26" xfId="0" applyFont="1" applyFill="1" applyBorder="1" applyAlignment="1">
      <alignment horizontal="center" vertical="center"/>
    </xf>
    <xf numFmtId="0" fontId="32" fillId="0" borderId="26" xfId="0" applyFont="1" applyFill="1" applyBorder="1" applyAlignment="1">
      <alignment horizontal="left" vertical="center" wrapText="1"/>
    </xf>
    <xf numFmtId="0" fontId="32" fillId="0" borderId="50" xfId="0" applyFont="1" applyFill="1" applyBorder="1" applyAlignment="1">
      <alignment horizontal="left" vertical="center" wrapText="1"/>
    </xf>
    <xf numFmtId="0" fontId="32" fillId="0" borderId="81" xfId="0" applyFont="1" applyBorder="1" applyAlignment="1">
      <alignment horizontal="center" vertical="center"/>
    </xf>
    <xf numFmtId="0" fontId="32" fillId="0" borderId="50" xfId="0" applyFont="1" applyFill="1" applyBorder="1" applyAlignment="1">
      <alignment horizontal="left" vertical="center"/>
    </xf>
    <xf numFmtId="0" fontId="32" fillId="0" borderId="81" xfId="0" applyFont="1" applyFill="1" applyBorder="1" applyAlignment="1">
      <alignment horizontal="center" vertical="center"/>
    </xf>
    <xf numFmtId="0" fontId="25" fillId="0" borderId="50" xfId="0" applyFont="1" applyFill="1" applyBorder="1" applyAlignment="1">
      <alignment horizontal="center" vertical="center"/>
    </xf>
    <xf numFmtId="0" fontId="25" fillId="0" borderId="49" xfId="0" applyFont="1" applyBorder="1" applyAlignment="1">
      <alignment horizontal="center" vertical="center"/>
    </xf>
    <xf numFmtId="0" fontId="25" fillId="0" borderId="81" xfId="0" applyFont="1" applyBorder="1" applyAlignment="1">
      <alignment horizontal="center" vertical="center"/>
    </xf>
    <xf numFmtId="0" fontId="25" fillId="0" borderId="50" xfId="0" applyFont="1" applyBorder="1" applyAlignment="1">
      <alignment horizontal="center" vertical="center"/>
    </xf>
    <xf numFmtId="0" fontId="54" fillId="0" borderId="58" xfId="0" applyFont="1" applyFill="1" applyBorder="1" applyAlignment="1">
      <alignment horizontal="center" vertical="center"/>
    </xf>
    <xf numFmtId="0" fontId="54" fillId="0" borderId="82" xfId="0" applyFont="1" applyBorder="1" applyAlignment="1">
      <alignment horizontal="center" vertical="center"/>
    </xf>
    <xf numFmtId="0" fontId="32" fillId="0" borderId="80" xfId="0" applyFont="1" applyBorder="1" applyAlignment="1">
      <alignment horizontal="center" vertical="center"/>
    </xf>
    <xf numFmtId="0" fontId="57" fillId="0" borderId="58" xfId="0" applyFont="1" applyFill="1" applyBorder="1" applyAlignment="1">
      <alignment horizontal="center" vertical="center"/>
    </xf>
    <xf numFmtId="0" fontId="57" fillId="0" borderId="82" xfId="0" applyFont="1" applyBorder="1" applyAlignment="1">
      <alignment horizontal="center" vertical="center"/>
    </xf>
    <xf numFmtId="0" fontId="55" fillId="0" borderId="58" xfId="0" applyFont="1" applyFill="1" applyBorder="1" applyAlignment="1">
      <alignment horizontal="center" vertical="center"/>
    </xf>
    <xf numFmtId="0" fontId="55" fillId="0" borderId="82" xfId="0" applyFont="1" applyBorder="1" applyAlignment="1">
      <alignment horizontal="center" vertical="center"/>
    </xf>
    <xf numFmtId="0" fontId="50" fillId="0" borderId="49" xfId="0" applyFont="1" applyBorder="1" applyAlignment="1">
      <alignment horizontal="center" vertical="center"/>
    </xf>
    <xf numFmtId="0" fontId="50" fillId="0" borderId="81" xfId="0" applyFont="1" applyBorder="1" applyAlignment="1">
      <alignment horizontal="center" vertical="center"/>
    </xf>
    <xf numFmtId="0" fontId="50" fillId="0" borderId="50" xfId="0" applyFont="1" applyBorder="1" applyAlignment="1">
      <alignment horizontal="center" vertical="center"/>
    </xf>
    <xf numFmtId="0" fontId="56" fillId="0" borderId="58" xfId="0" applyFont="1" applyFill="1" applyBorder="1" applyAlignment="1">
      <alignment horizontal="center" vertical="center"/>
    </xf>
    <xf numFmtId="0" fontId="56" fillId="0" borderId="82" xfId="0" applyFont="1" applyBorder="1" applyAlignment="1">
      <alignment horizontal="center" vertical="center"/>
    </xf>
    <xf numFmtId="1" fontId="41" fillId="3" borderId="155" xfId="0" applyNumberFormat="1" applyFont="1" applyFill="1" applyBorder="1" applyAlignment="1">
      <alignment horizontal="center" vertical="center" wrapText="1"/>
    </xf>
    <xf numFmtId="0" fontId="71" fillId="0" borderId="0" xfId="43" applyAlignment="1">
      <alignment vertical="center"/>
    </xf>
    <xf numFmtId="0" fontId="191" fillId="0" borderId="0" xfId="43" applyFont="1" applyAlignment="1">
      <alignment horizontal="left" vertical="center" wrapText="1"/>
    </xf>
    <xf numFmtId="0" fontId="193" fillId="0" borderId="0" xfId="43" applyFont="1" applyAlignment="1">
      <alignment vertical="center"/>
    </xf>
    <xf numFmtId="0" fontId="194" fillId="0" borderId="0" xfId="43" applyFont="1" applyAlignment="1">
      <alignment horizontal="right" vertical="center"/>
    </xf>
    <xf numFmtId="0" fontId="195" fillId="0" borderId="0" xfId="43" applyFont="1" applyAlignment="1">
      <alignment horizontal="right"/>
    </xf>
    <xf numFmtId="0" fontId="71" fillId="0" borderId="0" xfId="43" applyAlignment="1">
      <alignment horizontal="left" vertical="center"/>
    </xf>
    <xf numFmtId="167" fontId="156" fillId="3" borderId="216" xfId="44" applyNumberFormat="1" applyFont="1" applyFill="1" applyBorder="1" applyAlignment="1">
      <alignment horizontal="center" vertical="center"/>
    </xf>
    <xf numFmtId="167" fontId="156" fillId="3" borderId="217" xfId="44" applyNumberFormat="1" applyFont="1" applyFill="1" applyBorder="1" applyAlignment="1">
      <alignment horizontal="center" vertical="center"/>
    </xf>
    <xf numFmtId="167" fontId="156" fillId="3" borderId="218" xfId="44" applyNumberFormat="1" applyFont="1" applyFill="1" applyBorder="1" applyAlignment="1">
      <alignment horizontal="center" vertical="center"/>
    </xf>
    <xf numFmtId="167" fontId="53" fillId="0" borderId="11" xfId="44" applyNumberFormat="1" applyFont="1" applyBorder="1" applyAlignment="1">
      <alignment horizontal="center" vertical="center"/>
    </xf>
    <xf numFmtId="0" fontId="52" fillId="0" borderId="0" xfId="43" applyFont="1" applyAlignment="1">
      <alignment vertical="center"/>
    </xf>
    <xf numFmtId="0" fontId="52" fillId="0" borderId="215" xfId="43" applyFont="1" applyBorder="1" applyAlignment="1">
      <alignment horizontal="center" vertical="center"/>
    </xf>
    <xf numFmtId="168" fontId="52" fillId="0" borderId="194" xfId="44" applyNumberFormat="1" applyFont="1" applyBorder="1" applyAlignment="1">
      <alignment horizontal="right" vertical="center"/>
    </xf>
    <xf numFmtId="168" fontId="52" fillId="0" borderId="195" xfId="44" applyNumberFormat="1" applyFont="1" applyBorder="1" applyAlignment="1">
      <alignment horizontal="right" vertical="center"/>
    </xf>
    <xf numFmtId="168" fontId="53" fillId="0" borderId="196" xfId="44" applyNumberFormat="1" applyFont="1" applyBorder="1" applyAlignment="1">
      <alignment horizontal="right" vertical="center"/>
    </xf>
    <xf numFmtId="168" fontId="53" fillId="0" borderId="195" xfId="44" applyNumberFormat="1" applyFont="1" applyBorder="1" applyAlignment="1">
      <alignment horizontal="right" vertical="center"/>
    </xf>
    <xf numFmtId="0" fontId="52" fillId="0" borderId="34" xfId="43" applyFont="1" applyBorder="1" applyAlignment="1">
      <alignment horizontal="center" vertical="center"/>
    </xf>
    <xf numFmtId="168" fontId="52" fillId="0" borderId="35" xfId="44" applyNumberFormat="1" applyFont="1" applyBorder="1" applyAlignment="1">
      <alignment horizontal="right" vertical="center"/>
    </xf>
    <xf numFmtId="168" fontId="52" fillId="0" borderId="0" xfId="44" applyNumberFormat="1" applyFont="1" applyAlignment="1">
      <alignment horizontal="right" vertical="center"/>
    </xf>
    <xf numFmtId="168" fontId="53" fillId="0" borderId="36" xfId="44" applyNumberFormat="1" applyFont="1" applyBorder="1" applyAlignment="1">
      <alignment horizontal="right" vertical="center"/>
    </xf>
    <xf numFmtId="168" fontId="53" fillId="0" borderId="0" xfId="44" applyNumberFormat="1" applyFont="1" applyAlignment="1">
      <alignment horizontal="right" vertical="center"/>
    </xf>
    <xf numFmtId="0" fontId="52" fillId="0" borderId="8" xfId="43" applyFont="1" applyBorder="1" applyAlignment="1">
      <alignment horizontal="center" vertical="center"/>
    </xf>
    <xf numFmtId="168" fontId="52" fillId="0" borderId="2" xfId="44" applyNumberFormat="1" applyFont="1" applyBorder="1" applyAlignment="1">
      <alignment horizontal="right" vertical="center"/>
    </xf>
    <xf numFmtId="168" fontId="53" fillId="0" borderId="11" xfId="44" applyNumberFormat="1" applyFont="1" applyBorder="1" applyAlignment="1">
      <alignment horizontal="right" vertical="center"/>
    </xf>
    <xf numFmtId="0" fontId="54" fillId="3" borderId="197" xfId="43" applyFont="1" applyFill="1" applyBorder="1" applyAlignment="1">
      <alignment horizontal="centerContinuous" vertical="center"/>
    </xf>
    <xf numFmtId="168" fontId="54" fillId="3" borderId="216" xfId="44" applyNumberFormat="1" applyFont="1" applyFill="1" applyBorder="1" applyAlignment="1">
      <alignment horizontal="right" vertical="center"/>
    </xf>
    <xf numFmtId="168" fontId="54" fillId="3" borderId="217" xfId="44" applyNumberFormat="1" applyFont="1" applyFill="1" applyBorder="1" applyAlignment="1">
      <alignment horizontal="right" vertical="center"/>
    </xf>
    <xf numFmtId="168" fontId="54" fillId="3" borderId="218" xfId="44" applyNumberFormat="1" applyFont="1" applyFill="1" applyBorder="1" applyAlignment="1">
      <alignment horizontal="right" vertical="center"/>
    </xf>
    <xf numFmtId="0" fontId="52" fillId="0" borderId="0" xfId="43" applyFont="1" applyAlignment="1">
      <alignment horizontal="right" vertical="center"/>
    </xf>
    <xf numFmtId="3" fontId="52" fillId="0" borderId="194" xfId="44" applyNumberFormat="1" applyFont="1" applyBorder="1" applyAlignment="1">
      <alignment horizontal="right" vertical="center"/>
    </xf>
    <xf numFmtId="3" fontId="52" fillId="0" borderId="195" xfId="44" applyNumberFormat="1" applyFont="1" applyBorder="1" applyAlignment="1">
      <alignment horizontal="right" vertical="center"/>
    </xf>
    <xf numFmtId="3" fontId="53" fillId="0" borderId="196" xfId="44" applyNumberFormat="1" applyFont="1" applyBorder="1" applyAlignment="1">
      <alignment horizontal="right" vertical="center"/>
    </xf>
    <xf numFmtId="3" fontId="52" fillId="0" borderId="35" xfId="44" applyNumberFormat="1" applyFont="1" applyBorder="1" applyAlignment="1">
      <alignment horizontal="right" vertical="center"/>
    </xf>
    <xf numFmtId="3" fontId="52" fillId="0" borderId="0" xfId="44" applyNumberFormat="1" applyFont="1" applyAlignment="1">
      <alignment horizontal="right" vertical="center"/>
    </xf>
    <xf numFmtId="3" fontId="53" fillId="0" borderId="36" xfId="44" applyNumberFormat="1" applyFont="1" applyBorder="1" applyAlignment="1">
      <alignment horizontal="right" vertical="center"/>
    </xf>
    <xf numFmtId="0" fontId="57" fillId="3" borderId="197" xfId="43" applyFont="1" applyFill="1" applyBorder="1" applyAlignment="1">
      <alignment horizontal="centerContinuous" vertical="center"/>
    </xf>
    <xf numFmtId="3" fontId="57" fillId="3" borderId="216" xfId="44" applyNumberFormat="1" applyFont="1" applyFill="1" applyBorder="1" applyAlignment="1">
      <alignment horizontal="right" vertical="center"/>
    </xf>
    <xf numFmtId="3" fontId="57" fillId="3" borderId="217" xfId="44" applyNumberFormat="1" applyFont="1" applyFill="1" applyBorder="1" applyAlignment="1">
      <alignment horizontal="right" vertical="center"/>
    </xf>
    <xf numFmtId="3" fontId="57" fillId="3" borderId="218" xfId="44" applyNumberFormat="1" applyFont="1" applyFill="1" applyBorder="1" applyAlignment="1">
      <alignment horizontal="right" vertical="center"/>
    </xf>
    <xf numFmtId="168" fontId="57" fillId="3" borderId="217" xfId="44" applyNumberFormat="1" applyFont="1" applyFill="1" applyBorder="1" applyAlignment="1">
      <alignment horizontal="right" vertical="center"/>
    </xf>
    <xf numFmtId="168" fontId="57" fillId="3" borderId="218" xfId="44" applyNumberFormat="1" applyFont="1" applyFill="1" applyBorder="1" applyAlignment="1">
      <alignment horizontal="right" vertical="center"/>
    </xf>
    <xf numFmtId="168" fontId="57" fillId="3" borderId="216" xfId="44" applyNumberFormat="1" applyFont="1" applyFill="1" applyBorder="1" applyAlignment="1">
      <alignment horizontal="right" vertical="center"/>
    </xf>
    <xf numFmtId="0" fontId="55" fillId="3" borderId="197" xfId="43" applyFont="1" applyFill="1" applyBorder="1" applyAlignment="1">
      <alignment horizontal="centerContinuous" vertical="center"/>
    </xf>
    <xf numFmtId="168" fontId="55" fillId="3" borderId="216" xfId="44" applyNumberFormat="1" applyFont="1" applyFill="1" applyBorder="1" applyAlignment="1">
      <alignment horizontal="right" vertical="center"/>
    </xf>
    <xf numFmtId="168" fontId="55" fillId="3" borderId="217" xfId="44" applyNumberFormat="1" applyFont="1" applyFill="1" applyBorder="1" applyAlignment="1">
      <alignment horizontal="right" vertical="center"/>
    </xf>
    <xf numFmtId="168" fontId="55" fillId="3" borderId="218" xfId="44" applyNumberFormat="1" applyFont="1" applyFill="1" applyBorder="1" applyAlignment="1">
      <alignment horizontal="right" vertical="center"/>
    </xf>
    <xf numFmtId="3" fontId="52" fillId="0" borderId="60" xfId="44" applyNumberFormat="1" applyFont="1" applyBorder="1" applyAlignment="1">
      <alignment horizontal="right" vertical="center"/>
    </xf>
    <xf numFmtId="3" fontId="52" fillId="0" borderId="2" xfId="44" applyNumberFormat="1" applyFont="1" applyBorder="1" applyAlignment="1">
      <alignment horizontal="right" vertical="center"/>
    </xf>
    <xf numFmtId="3" fontId="53" fillId="0" borderId="11" xfId="44" applyNumberFormat="1" applyFont="1" applyBorder="1" applyAlignment="1">
      <alignment horizontal="right" vertical="center"/>
    </xf>
    <xf numFmtId="168" fontId="52" fillId="0" borderId="60" xfId="44" applyNumberFormat="1" applyFont="1" applyBorder="1" applyAlignment="1">
      <alignment horizontal="right" vertical="center"/>
    </xf>
    <xf numFmtId="0" fontId="58" fillId="3" borderId="197" xfId="43" applyFont="1" applyFill="1" applyBorder="1" applyAlignment="1">
      <alignment horizontal="centerContinuous" vertical="center"/>
    </xf>
    <xf numFmtId="3" fontId="58" fillId="3" borderId="216" xfId="44" applyNumberFormat="1" applyFont="1" applyFill="1" applyBorder="1" applyAlignment="1">
      <alignment horizontal="right" vertical="center"/>
    </xf>
    <xf numFmtId="3" fontId="58" fillId="3" borderId="217" xfId="44" applyNumberFormat="1" applyFont="1" applyFill="1" applyBorder="1" applyAlignment="1">
      <alignment horizontal="right" vertical="center"/>
    </xf>
    <xf numFmtId="3" fontId="58" fillId="3" borderId="218" xfId="44" applyNumberFormat="1" applyFont="1" applyFill="1" applyBorder="1" applyAlignment="1">
      <alignment horizontal="right" vertical="center"/>
    </xf>
    <xf numFmtId="168" fontId="58" fillId="3" borderId="217" xfId="44" applyNumberFormat="1" applyFont="1" applyFill="1" applyBorder="1" applyAlignment="1">
      <alignment horizontal="right" vertical="center"/>
    </xf>
    <xf numFmtId="168" fontId="58" fillId="3" borderId="218" xfId="44" applyNumberFormat="1" applyFont="1" applyFill="1" applyBorder="1" applyAlignment="1">
      <alignment horizontal="right" vertical="center"/>
    </xf>
    <xf numFmtId="168" fontId="58" fillId="3" borderId="216" xfId="44" applyNumberFormat="1" applyFont="1" applyFill="1" applyBorder="1" applyAlignment="1">
      <alignment horizontal="right" vertical="center"/>
    </xf>
    <xf numFmtId="0" fontId="56" fillId="3" borderId="197" xfId="43" applyFont="1" applyFill="1" applyBorder="1" applyAlignment="1">
      <alignment horizontal="centerContinuous" vertical="center"/>
    </xf>
    <xf numFmtId="168" fontId="56" fillId="3" borderId="216" xfId="44" applyNumberFormat="1" applyFont="1" applyFill="1" applyBorder="1" applyAlignment="1">
      <alignment horizontal="right" vertical="center"/>
    </xf>
    <xf numFmtId="168" fontId="56" fillId="3" borderId="217" xfId="44" applyNumberFormat="1" applyFont="1" applyFill="1" applyBorder="1" applyAlignment="1">
      <alignment horizontal="right" vertical="center"/>
    </xf>
    <xf numFmtId="168" fontId="56" fillId="3" borderId="218" xfId="44" applyNumberFormat="1" applyFont="1" applyFill="1" applyBorder="1" applyAlignment="1">
      <alignment horizontal="right" vertical="center"/>
    </xf>
    <xf numFmtId="0" fontId="53" fillId="3" borderId="216" xfId="43" applyFont="1" applyFill="1" applyBorder="1" applyAlignment="1">
      <alignment horizontal="center" vertical="center"/>
    </xf>
    <xf numFmtId="168" fontId="53" fillId="3" borderId="216" xfId="44" applyNumberFormat="1" applyFont="1" applyFill="1" applyBorder="1" applyAlignment="1">
      <alignment horizontal="right" vertical="center"/>
    </xf>
    <xf numFmtId="168" fontId="53" fillId="3" borderId="217" xfId="44" applyNumberFormat="1" applyFont="1" applyFill="1" applyBorder="1" applyAlignment="1">
      <alignment horizontal="right" vertical="center"/>
    </xf>
    <xf numFmtId="168" fontId="53" fillId="3" borderId="218" xfId="44" applyNumberFormat="1" applyFont="1" applyFill="1" applyBorder="1" applyAlignment="1">
      <alignment horizontal="right" vertical="center"/>
    </xf>
    <xf numFmtId="0" fontId="87" fillId="0" borderId="0" xfId="45" applyFont="1" applyAlignment="1">
      <alignment horizontal="left" readingOrder="1"/>
    </xf>
    <xf numFmtId="0" fontId="197" fillId="0" borderId="0" xfId="43" applyFont="1" applyAlignment="1">
      <alignment vertical="center"/>
    </xf>
    <xf numFmtId="0" fontId="32" fillId="0" borderId="0" xfId="43" applyFont="1" applyAlignment="1">
      <alignment vertical="center"/>
    </xf>
    <xf numFmtId="0" fontId="198" fillId="0" borderId="0" xfId="43" applyFont="1" applyAlignment="1">
      <alignment vertical="center" wrapText="1"/>
    </xf>
    <xf numFmtId="0" fontId="200" fillId="0" borderId="0" xfId="43" applyFont="1" applyAlignment="1">
      <alignment vertical="center"/>
    </xf>
    <xf numFmtId="0" fontId="200" fillId="0" borderId="0" xfId="43" applyFont="1" applyAlignment="1">
      <alignment horizontal="right" vertical="center"/>
    </xf>
    <xf numFmtId="0" fontId="33" fillId="0" borderId="0" xfId="43" applyFont="1" applyAlignment="1">
      <alignment horizontal="right"/>
    </xf>
    <xf numFmtId="168" fontId="52" fillId="0" borderId="194" xfId="44" applyNumberFormat="1" applyFont="1" applyBorder="1" applyAlignment="1">
      <alignment vertical="center"/>
    </xf>
    <xf numFmtId="168" fontId="52" fillId="0" borderId="195" xfId="44" applyNumberFormat="1" applyFont="1" applyBorder="1" applyAlignment="1">
      <alignment vertical="center"/>
    </xf>
    <xf numFmtId="168" fontId="53" fillId="0" borderId="196" xfId="44" applyNumberFormat="1" applyFont="1" applyBorder="1" applyAlignment="1">
      <alignment vertical="center"/>
    </xf>
    <xf numFmtId="168" fontId="53" fillId="0" borderId="195" xfId="44" applyNumberFormat="1" applyFont="1" applyBorder="1" applyAlignment="1">
      <alignment vertical="center"/>
    </xf>
    <xf numFmtId="168" fontId="52" fillId="0" borderId="35" xfId="44" applyNumberFormat="1" applyFont="1" applyBorder="1" applyAlignment="1">
      <alignment vertical="center"/>
    </xf>
    <xf numFmtId="168" fontId="52" fillId="0" borderId="0" xfId="44" applyNumberFormat="1" applyFont="1" applyAlignment="1">
      <alignment vertical="center"/>
    </xf>
    <xf numFmtId="168" fontId="53" fillId="0" borderId="36" xfId="44" applyNumberFormat="1" applyFont="1" applyBorder="1" applyAlignment="1">
      <alignment vertical="center"/>
    </xf>
    <xf numFmtId="168" fontId="53" fillId="0" borderId="0" xfId="44" applyNumberFormat="1" applyFont="1" applyAlignment="1">
      <alignment vertical="center"/>
    </xf>
    <xf numFmtId="168" fontId="52" fillId="0" borderId="60" xfId="44" applyNumberFormat="1" applyFont="1" applyBorder="1" applyAlignment="1">
      <alignment vertical="center"/>
    </xf>
    <xf numFmtId="168" fontId="52" fillId="0" borderId="2" xfId="44" applyNumberFormat="1" applyFont="1" applyBorder="1" applyAlignment="1">
      <alignment vertical="center"/>
    </xf>
    <xf numFmtId="168" fontId="53" fillId="0" borderId="11" xfId="44" applyNumberFormat="1" applyFont="1" applyBorder="1" applyAlignment="1">
      <alignment vertical="center"/>
    </xf>
    <xf numFmtId="168" fontId="53" fillId="0" borderId="2" xfId="44" applyNumberFormat="1" applyFont="1" applyBorder="1" applyAlignment="1">
      <alignment vertical="center"/>
    </xf>
    <xf numFmtId="168" fontId="54" fillId="3" borderId="216" xfId="44" applyNumberFormat="1" applyFont="1" applyFill="1" applyBorder="1" applyAlignment="1">
      <alignment vertical="center"/>
    </xf>
    <xf numFmtId="168" fontId="54" fillId="3" borderId="217" xfId="44" applyNumberFormat="1" applyFont="1" applyFill="1" applyBorder="1" applyAlignment="1">
      <alignment vertical="center"/>
    </xf>
    <xf numFmtId="168" fontId="54" fillId="3" borderId="218" xfId="44" applyNumberFormat="1" applyFont="1" applyFill="1" applyBorder="1" applyAlignment="1">
      <alignment vertical="center"/>
    </xf>
    <xf numFmtId="3" fontId="52" fillId="0" borderId="194" xfId="44" applyNumberFormat="1" applyFont="1" applyBorder="1" applyAlignment="1">
      <alignment vertical="center"/>
    </xf>
    <xf numFmtId="3" fontId="52" fillId="0" borderId="195" xfId="44" applyNumberFormat="1" applyFont="1" applyBorder="1" applyAlignment="1">
      <alignment vertical="center"/>
    </xf>
    <xf numFmtId="3" fontId="53" fillId="0" borderId="196" xfId="44" applyNumberFormat="1" applyFont="1" applyBorder="1" applyAlignment="1">
      <alignment vertical="center"/>
    </xf>
    <xf numFmtId="3" fontId="52" fillId="0" borderId="35" xfId="44" applyNumberFormat="1" applyFont="1" applyBorder="1" applyAlignment="1">
      <alignment vertical="center"/>
    </xf>
    <xf numFmtId="3" fontId="52" fillId="0" borderId="0" xfId="44" applyNumberFormat="1" applyFont="1" applyAlignment="1">
      <alignment vertical="center"/>
    </xf>
    <xf numFmtId="3" fontId="53" fillId="0" borderId="36" xfId="44" applyNumberFormat="1" applyFont="1" applyBorder="1" applyAlignment="1">
      <alignment vertical="center"/>
    </xf>
    <xf numFmtId="3" fontId="52" fillId="0" borderId="60" xfId="44" applyNumberFormat="1" applyFont="1" applyBorder="1" applyAlignment="1">
      <alignment vertical="center"/>
    </xf>
    <xf numFmtId="3" fontId="52" fillId="0" borderId="2" xfId="44" applyNumberFormat="1" applyFont="1" applyBorder="1" applyAlignment="1">
      <alignment vertical="center"/>
    </xf>
    <xf numFmtId="3" fontId="53" fillId="0" borderId="11" xfId="44" applyNumberFormat="1" applyFont="1" applyBorder="1" applyAlignment="1">
      <alignment vertical="center"/>
    </xf>
    <xf numFmtId="3" fontId="57" fillId="3" borderId="216" xfId="44" applyNumberFormat="1" applyFont="1" applyFill="1" applyBorder="1" applyAlignment="1">
      <alignment vertical="center"/>
    </xf>
    <xf numFmtId="3" fontId="57" fillId="3" borderId="217" xfId="44" applyNumberFormat="1" applyFont="1" applyFill="1" applyBorder="1" applyAlignment="1">
      <alignment vertical="center"/>
    </xf>
    <xf numFmtId="3" fontId="57" fillId="3" borderId="218" xfId="44" applyNumberFormat="1" applyFont="1" applyFill="1" applyBorder="1" applyAlignment="1">
      <alignment vertical="center"/>
    </xf>
    <xf numFmtId="168" fontId="57" fillId="3" borderId="217" xfId="44" applyNumberFormat="1" applyFont="1" applyFill="1" applyBorder="1" applyAlignment="1">
      <alignment vertical="center"/>
    </xf>
    <xf numFmtId="168" fontId="57" fillId="3" borderId="218" xfId="44" applyNumberFormat="1" applyFont="1" applyFill="1" applyBorder="1" applyAlignment="1">
      <alignment vertical="center"/>
    </xf>
    <xf numFmtId="168" fontId="57" fillId="3" borderId="216" xfId="44" applyNumberFormat="1" applyFont="1" applyFill="1" applyBorder="1" applyAlignment="1">
      <alignment vertical="center"/>
    </xf>
    <xf numFmtId="168" fontId="55" fillId="3" borderId="216" xfId="44" applyNumberFormat="1" applyFont="1" applyFill="1" applyBorder="1" applyAlignment="1">
      <alignment vertical="center"/>
    </xf>
    <xf numFmtId="168" fontId="55" fillId="3" borderId="217" xfId="44" applyNumberFormat="1" applyFont="1" applyFill="1" applyBorder="1" applyAlignment="1">
      <alignment vertical="center"/>
    </xf>
    <xf numFmtId="168" fontId="55" fillId="3" borderId="218" xfId="44" applyNumberFormat="1" applyFont="1" applyFill="1" applyBorder="1" applyAlignment="1">
      <alignment vertical="center"/>
    </xf>
    <xf numFmtId="3" fontId="55" fillId="3" borderId="217" xfId="44" applyNumberFormat="1" applyFont="1" applyFill="1" applyBorder="1" applyAlignment="1">
      <alignment vertical="center"/>
    </xf>
    <xf numFmtId="37" fontId="52" fillId="0" borderId="195" xfId="42" applyNumberFormat="1" applyFont="1" applyBorder="1" applyAlignment="1">
      <alignment vertical="center"/>
    </xf>
    <xf numFmtId="37" fontId="53" fillId="0" borderId="196" xfId="42" applyNumberFormat="1" applyFont="1" applyBorder="1" applyAlignment="1">
      <alignment vertical="center"/>
    </xf>
    <xf numFmtId="37" fontId="52" fillId="0" borderId="0" xfId="42" applyNumberFormat="1" applyFont="1" applyAlignment="1">
      <alignment vertical="center"/>
    </xf>
    <xf numFmtId="37" fontId="53" fillId="0" borderId="36" xfId="42" applyNumberFormat="1" applyFont="1" applyBorder="1" applyAlignment="1">
      <alignment vertical="center"/>
    </xf>
    <xf numFmtId="37" fontId="52" fillId="0" borderId="2" xfId="42" applyNumberFormat="1" applyFont="1" applyBorder="1" applyAlignment="1">
      <alignment vertical="center"/>
    </xf>
    <xf numFmtId="37" fontId="53" fillId="0" borderId="11" xfId="42" applyNumberFormat="1" applyFont="1" applyBorder="1" applyAlignment="1">
      <alignment vertical="center"/>
    </xf>
    <xf numFmtId="37" fontId="58" fillId="3" borderId="217" xfId="42" applyNumberFormat="1" applyFont="1" applyFill="1" applyBorder="1" applyAlignment="1">
      <alignment vertical="center"/>
    </xf>
    <xf numFmtId="37" fontId="58" fillId="3" borderId="218" xfId="42" applyNumberFormat="1" applyFont="1" applyFill="1" applyBorder="1" applyAlignment="1">
      <alignment vertical="center"/>
    </xf>
    <xf numFmtId="168" fontId="58" fillId="3" borderId="217" xfId="44" applyNumberFormat="1" applyFont="1" applyFill="1" applyBorder="1" applyAlignment="1">
      <alignment vertical="center"/>
    </xf>
    <xf numFmtId="168" fontId="58" fillId="3" borderId="218" xfId="44" applyNumberFormat="1" applyFont="1" applyFill="1" applyBorder="1" applyAlignment="1">
      <alignment vertical="center"/>
    </xf>
    <xf numFmtId="168" fontId="58" fillId="3" borderId="216" xfId="44" applyNumberFormat="1" applyFont="1" applyFill="1" applyBorder="1" applyAlignment="1">
      <alignment vertical="center"/>
    </xf>
    <xf numFmtId="0" fontId="63" fillId="0" borderId="0" xfId="43" applyFont="1" applyAlignment="1">
      <alignment vertical="center"/>
    </xf>
    <xf numFmtId="168" fontId="56" fillId="3" borderId="216" xfId="44" applyNumberFormat="1" applyFont="1" applyFill="1" applyBorder="1" applyAlignment="1">
      <alignment vertical="center"/>
    </xf>
    <xf numFmtId="168" fontId="56" fillId="3" borderId="217" xfId="44" applyNumberFormat="1" applyFont="1" applyFill="1" applyBorder="1" applyAlignment="1">
      <alignment vertical="center"/>
    </xf>
    <xf numFmtId="168" fontId="56" fillId="3" borderId="218" xfId="44" applyNumberFormat="1" applyFont="1" applyFill="1" applyBorder="1" applyAlignment="1">
      <alignment vertical="center"/>
    </xf>
    <xf numFmtId="168" fontId="53" fillId="3" borderId="216" xfId="44" applyNumberFormat="1" applyFont="1" applyFill="1" applyBorder="1" applyAlignment="1">
      <alignment vertical="center"/>
    </xf>
    <xf numFmtId="168" fontId="53" fillId="3" borderId="217" xfId="44" applyNumberFormat="1" applyFont="1" applyFill="1" applyBorder="1" applyAlignment="1">
      <alignment vertical="center"/>
    </xf>
    <xf numFmtId="168" fontId="53" fillId="3" borderId="218" xfId="44" applyNumberFormat="1" applyFont="1" applyFill="1" applyBorder="1" applyAlignment="1">
      <alignment vertical="center"/>
    </xf>
    <xf numFmtId="0" fontId="53" fillId="0" borderId="0" xfId="43" applyFont="1" applyAlignment="1">
      <alignment vertical="center"/>
    </xf>
    <xf numFmtId="3" fontId="53" fillId="0" borderId="195" xfId="44" applyNumberFormat="1" applyFont="1" applyBorder="1" applyAlignment="1">
      <alignment vertical="center"/>
    </xf>
    <xf numFmtId="3" fontId="53" fillId="0" borderId="0" xfId="44" applyNumberFormat="1" applyFont="1" applyAlignment="1">
      <alignment vertical="center"/>
    </xf>
    <xf numFmtId="1" fontId="52" fillId="0" borderId="195" xfId="44" applyNumberFormat="1" applyFont="1" applyBorder="1" applyAlignment="1">
      <alignment vertical="center"/>
    </xf>
    <xf numFmtId="1" fontId="52" fillId="0" borderId="0" xfId="44" applyNumberFormat="1" applyFont="1" applyAlignment="1">
      <alignment vertical="center"/>
    </xf>
    <xf numFmtId="3" fontId="58" fillId="3" borderId="216" xfId="44" applyNumberFormat="1" applyFont="1" applyFill="1" applyBorder="1" applyAlignment="1">
      <alignment vertical="center"/>
    </xf>
    <xf numFmtId="3" fontId="58" fillId="3" borderId="217" xfId="44" applyNumberFormat="1" applyFont="1" applyFill="1" applyBorder="1" applyAlignment="1">
      <alignment vertical="center"/>
    </xf>
    <xf numFmtId="3" fontId="58" fillId="3" borderId="218" xfId="44" applyNumberFormat="1" applyFont="1" applyFill="1" applyBorder="1" applyAlignment="1">
      <alignment vertical="center"/>
    </xf>
    <xf numFmtId="1" fontId="58" fillId="3" borderId="216" xfId="44" applyNumberFormat="1" applyFont="1" applyFill="1" applyBorder="1" applyAlignment="1">
      <alignment vertical="center"/>
    </xf>
    <xf numFmtId="1" fontId="52" fillId="0" borderId="0" xfId="43" applyNumberFormat="1" applyFont="1" applyAlignment="1">
      <alignment vertical="center"/>
    </xf>
    <xf numFmtId="3" fontId="56" fillId="3" borderId="216" xfId="44" applyNumberFormat="1" applyFont="1" applyFill="1" applyBorder="1" applyAlignment="1">
      <alignment vertical="center"/>
    </xf>
    <xf numFmtId="0" fontId="200" fillId="0" borderId="0" xfId="43" applyFont="1" applyAlignment="1">
      <alignment horizontal="center"/>
    </xf>
    <xf numFmtId="0" fontId="202" fillId="0" borderId="0" xfId="45" applyFont="1" applyAlignment="1">
      <alignment horizontal="left" readingOrder="1"/>
    </xf>
    <xf numFmtId="0" fontId="203" fillId="0" borderId="0" xfId="45" applyFont="1" applyAlignment="1">
      <alignment horizontal="left" readingOrder="1"/>
    </xf>
    <xf numFmtId="0" fontId="204" fillId="0" borderId="0" xfId="43" applyFont="1" applyAlignment="1">
      <alignment vertical="center"/>
    </xf>
    <xf numFmtId="0" fontId="205" fillId="0" borderId="0" xfId="43" applyFont="1" applyAlignment="1">
      <alignment vertical="center"/>
    </xf>
    <xf numFmtId="0" fontId="67" fillId="0" borderId="0" xfId="46" applyFont="1" applyAlignment="1">
      <alignment vertical="center" wrapText="1"/>
    </xf>
    <xf numFmtId="0" fontId="21" fillId="0" borderId="0" xfId="46"/>
    <xf numFmtId="0" fontId="207" fillId="0" borderId="0" xfId="46" applyFont="1" applyAlignment="1">
      <alignment horizontal="right"/>
    </xf>
    <xf numFmtId="0" fontId="47" fillId="3" borderId="197" xfId="47" applyFont="1" applyFill="1" applyBorder="1" applyAlignment="1">
      <alignment horizontal="center" vertical="center" wrapText="1"/>
    </xf>
    <xf numFmtId="0" fontId="50" fillId="0" borderId="8" xfId="47" applyFont="1" applyBorder="1" applyAlignment="1">
      <alignment horizontal="center" vertical="center" wrapText="1"/>
    </xf>
    <xf numFmtId="0" fontId="32" fillId="0" borderId="0" xfId="47" applyFont="1" applyAlignment="1">
      <alignment vertical="center"/>
    </xf>
    <xf numFmtId="0" fontId="32" fillId="0" borderId="171" xfId="47" applyFont="1" applyBorder="1" applyAlignment="1">
      <alignment horizontal="center" vertical="center"/>
    </xf>
    <xf numFmtId="0" fontId="32" fillId="0" borderId="171" xfId="47" applyFont="1" applyBorder="1" applyAlignment="1">
      <alignment horizontal="right" vertical="center"/>
    </xf>
    <xf numFmtId="0" fontId="32" fillId="0" borderId="212" xfId="47" applyFont="1" applyBorder="1" applyAlignment="1">
      <alignment horizontal="right" vertical="center"/>
    </xf>
    <xf numFmtId="0" fontId="32" fillId="0" borderId="172" xfId="47" applyFont="1" applyBorder="1" applyAlignment="1">
      <alignment horizontal="right" vertical="center"/>
    </xf>
    <xf numFmtId="3" fontId="32" fillId="0" borderId="171" xfId="47" applyNumberFormat="1" applyFont="1" applyBorder="1" applyAlignment="1">
      <alignment horizontal="right" vertical="center"/>
    </xf>
    <xf numFmtId="3" fontId="32" fillId="0" borderId="212" xfId="47" applyNumberFormat="1" applyFont="1" applyBorder="1" applyAlignment="1">
      <alignment horizontal="right" vertical="center"/>
    </xf>
    <xf numFmtId="3" fontId="32" fillId="0" borderId="172" xfId="47" applyNumberFormat="1" applyFont="1" applyBorder="1" applyAlignment="1">
      <alignment horizontal="right" vertical="center"/>
    </xf>
    <xf numFmtId="3" fontId="32" fillId="0" borderId="212" xfId="46" applyNumberFormat="1" applyFont="1" applyBorder="1" applyAlignment="1">
      <alignment horizontal="right" vertical="center"/>
    </xf>
    <xf numFmtId="3" fontId="32" fillId="0" borderId="172" xfId="46" applyNumberFormat="1" applyFont="1" applyBorder="1" applyAlignment="1">
      <alignment horizontal="right" vertical="center"/>
    </xf>
    <xf numFmtId="0" fontId="32" fillId="0" borderId="49" xfId="47" applyFont="1" applyBorder="1" applyAlignment="1">
      <alignment horizontal="center" vertical="center"/>
    </xf>
    <xf numFmtId="0" fontId="32" fillId="0" borderId="49" xfId="47" applyFont="1" applyBorder="1" applyAlignment="1">
      <alignment horizontal="right" vertical="center"/>
    </xf>
    <xf numFmtId="0" fontId="32" fillId="0" borderId="50" xfId="47" applyFont="1" applyBorder="1" applyAlignment="1">
      <alignment horizontal="right" vertical="center"/>
    </xf>
    <xf numFmtId="0" fontId="32" fillId="0" borderId="51" xfId="47" applyFont="1" applyBorder="1" applyAlignment="1">
      <alignment horizontal="right" vertical="center"/>
    </xf>
    <xf numFmtId="3" fontId="32" fillId="0" borderId="49" xfId="47" applyNumberFormat="1" applyFont="1" applyBorder="1" applyAlignment="1">
      <alignment horizontal="right" vertical="center"/>
    </xf>
    <xf numFmtId="3" fontId="32" fillId="0" borderId="50" xfId="47" applyNumberFormat="1" applyFont="1" applyBorder="1" applyAlignment="1">
      <alignment horizontal="right" vertical="center"/>
    </xf>
    <xf numFmtId="3" fontId="32" fillId="0" borderId="51" xfId="47" applyNumberFormat="1" applyFont="1" applyBorder="1" applyAlignment="1">
      <alignment horizontal="right" vertical="center"/>
    </xf>
    <xf numFmtId="3" fontId="32" fillId="0" borderId="50" xfId="46" applyNumberFormat="1" applyFont="1" applyBorder="1" applyAlignment="1">
      <alignment horizontal="right" vertical="center"/>
    </xf>
    <xf numFmtId="3" fontId="32" fillId="0" borderId="51" xfId="46" applyNumberFormat="1" applyFont="1" applyBorder="1" applyAlignment="1">
      <alignment horizontal="right" vertical="center"/>
    </xf>
    <xf numFmtId="0" fontId="54" fillId="3" borderId="57" xfId="47" applyFont="1" applyFill="1" applyBorder="1" applyAlignment="1">
      <alignment horizontal="center" vertical="center"/>
    </xf>
    <xf numFmtId="0" fontId="54" fillId="3" borderId="57" xfId="47" applyFont="1" applyFill="1" applyBorder="1" applyAlignment="1">
      <alignment horizontal="right" vertical="center"/>
    </xf>
    <xf numFmtId="0" fontId="54" fillId="3" borderId="58" xfId="47" applyFont="1" applyFill="1" applyBorder="1" applyAlignment="1">
      <alignment horizontal="right" vertical="center"/>
    </xf>
    <xf numFmtId="0" fontId="54" fillId="3" borderId="59" xfId="47" applyFont="1" applyFill="1" applyBorder="1" applyAlignment="1">
      <alignment horizontal="right" vertical="center"/>
    </xf>
    <xf numFmtId="3" fontId="54" fillId="3" borderId="57" xfId="47" applyNumberFormat="1" applyFont="1" applyFill="1" applyBorder="1" applyAlignment="1">
      <alignment horizontal="right" vertical="center"/>
    </xf>
    <xf numFmtId="3" fontId="54" fillId="3" borderId="58" xfId="47" applyNumberFormat="1" applyFont="1" applyFill="1" applyBorder="1" applyAlignment="1">
      <alignment horizontal="right" vertical="center"/>
    </xf>
    <xf numFmtId="3" fontId="54" fillId="3" borderId="59" xfId="47" applyNumberFormat="1" applyFont="1" applyFill="1" applyBorder="1" applyAlignment="1">
      <alignment horizontal="right" vertical="center"/>
    </xf>
    <xf numFmtId="3" fontId="54" fillId="3" borderId="58" xfId="46" applyNumberFormat="1" applyFont="1" applyFill="1" applyBorder="1" applyAlignment="1">
      <alignment horizontal="right" vertical="center"/>
    </xf>
    <xf numFmtId="3" fontId="54" fillId="3" borderId="59" xfId="46" applyNumberFormat="1" applyFont="1" applyFill="1" applyBorder="1" applyAlignment="1">
      <alignment horizontal="right" vertical="center"/>
    </xf>
    <xf numFmtId="0" fontId="21" fillId="0" borderId="0" xfId="46" applyAlignment="1">
      <alignment horizontal="right"/>
    </xf>
    <xf numFmtId="0" fontId="57" fillId="3" borderId="57" xfId="47" applyFont="1" applyFill="1" applyBorder="1" applyAlignment="1">
      <alignment horizontal="center" vertical="center"/>
    </xf>
    <xf numFmtId="0" fontId="57" fillId="3" borderId="57" xfId="47" applyFont="1" applyFill="1" applyBorder="1" applyAlignment="1">
      <alignment horizontal="right" vertical="center"/>
    </xf>
    <xf numFmtId="0" fontId="57" fillId="3" borderId="58" xfId="47" applyFont="1" applyFill="1" applyBorder="1" applyAlignment="1">
      <alignment horizontal="right" vertical="center"/>
    </xf>
    <xf numFmtId="0" fontId="57" fillId="3" borderId="59" xfId="47" applyFont="1" applyFill="1" applyBorder="1" applyAlignment="1">
      <alignment horizontal="right" vertical="center"/>
    </xf>
    <xf numFmtId="3" fontId="57" fillId="3" borderId="57" xfId="47" applyNumberFormat="1" applyFont="1" applyFill="1" applyBorder="1" applyAlignment="1">
      <alignment horizontal="right" vertical="center"/>
    </xf>
    <xf numFmtId="3" fontId="57" fillId="3" borderId="58" xfId="47" applyNumberFormat="1" applyFont="1" applyFill="1" applyBorder="1" applyAlignment="1">
      <alignment horizontal="right" vertical="center"/>
    </xf>
    <xf numFmtId="3" fontId="57" fillId="3" borderId="59" xfId="47" applyNumberFormat="1" applyFont="1" applyFill="1" applyBorder="1" applyAlignment="1">
      <alignment horizontal="right" vertical="center"/>
    </xf>
    <xf numFmtId="3" fontId="57" fillId="3" borderId="58" xfId="46" applyNumberFormat="1" applyFont="1" applyFill="1" applyBorder="1" applyAlignment="1">
      <alignment horizontal="right" vertical="center"/>
    </xf>
    <xf numFmtId="3" fontId="57" fillId="3" borderId="59" xfId="46" applyNumberFormat="1" applyFont="1" applyFill="1" applyBorder="1" applyAlignment="1">
      <alignment horizontal="right" vertical="center"/>
    </xf>
    <xf numFmtId="0" fontId="55" fillId="3" borderId="57" xfId="47" applyFont="1" applyFill="1" applyBorder="1" applyAlignment="1">
      <alignment horizontal="center" vertical="center"/>
    </xf>
    <xf numFmtId="0" fontId="55" fillId="3" borderId="57" xfId="47" applyFont="1" applyFill="1" applyBorder="1" applyAlignment="1">
      <alignment horizontal="right" vertical="center"/>
    </xf>
    <xf numFmtId="0" fontId="55" fillId="3" borderId="58" xfId="47" applyFont="1" applyFill="1" applyBorder="1" applyAlignment="1">
      <alignment horizontal="right" vertical="center"/>
    </xf>
    <xf numFmtId="0" fontId="55" fillId="3" borderId="59" xfId="47" applyFont="1" applyFill="1" applyBorder="1" applyAlignment="1">
      <alignment horizontal="right" vertical="center"/>
    </xf>
    <xf numFmtId="3" fontId="55" fillId="3" borderId="57" xfId="47" applyNumberFormat="1" applyFont="1" applyFill="1" applyBorder="1" applyAlignment="1">
      <alignment horizontal="right" vertical="center"/>
    </xf>
    <xf numFmtId="3" fontId="55" fillId="3" borderId="58" xfId="47" applyNumberFormat="1" applyFont="1" applyFill="1" applyBorder="1" applyAlignment="1">
      <alignment horizontal="right" vertical="center"/>
    </xf>
    <xf numFmtId="3" fontId="55" fillId="3" borderId="59" xfId="47" applyNumberFormat="1" applyFont="1" applyFill="1" applyBorder="1" applyAlignment="1">
      <alignment horizontal="right" vertical="center"/>
    </xf>
    <xf numFmtId="3" fontId="55" fillId="3" borderId="58" xfId="46" applyNumberFormat="1" applyFont="1" applyFill="1" applyBorder="1" applyAlignment="1">
      <alignment horizontal="right" vertical="center"/>
    </xf>
    <xf numFmtId="3" fontId="55" fillId="3" borderId="59" xfId="46" applyNumberFormat="1" applyFont="1" applyFill="1" applyBorder="1" applyAlignment="1">
      <alignment horizontal="right" vertical="center"/>
    </xf>
    <xf numFmtId="0" fontId="58" fillId="3" borderId="57" xfId="47" applyFont="1" applyFill="1" applyBorder="1" applyAlignment="1">
      <alignment horizontal="center" vertical="center"/>
    </xf>
    <xf numFmtId="0" fontId="58" fillId="3" borderId="57" xfId="47" applyFont="1" applyFill="1" applyBorder="1" applyAlignment="1">
      <alignment horizontal="right" vertical="center"/>
    </xf>
    <xf numFmtId="0" fontId="58" fillId="3" borderId="58" xfId="47" applyFont="1" applyFill="1" applyBorder="1" applyAlignment="1">
      <alignment horizontal="right" vertical="center"/>
    </xf>
    <xf numFmtId="0" fontId="58" fillId="3" borderId="59" xfId="47" applyFont="1" applyFill="1" applyBorder="1" applyAlignment="1">
      <alignment horizontal="right" vertical="center"/>
    </xf>
    <xf numFmtId="3" fontId="58" fillId="3" borderId="57" xfId="47" applyNumberFormat="1" applyFont="1" applyFill="1" applyBorder="1" applyAlignment="1">
      <alignment horizontal="right" vertical="center"/>
    </xf>
    <xf numFmtId="3" fontId="58" fillId="3" borderId="58" xfId="47" applyNumberFormat="1" applyFont="1" applyFill="1" applyBorder="1" applyAlignment="1">
      <alignment horizontal="right" vertical="center"/>
    </xf>
    <xf numFmtId="3" fontId="58" fillId="3" borderId="59" xfId="47" applyNumberFormat="1" applyFont="1" applyFill="1" applyBorder="1" applyAlignment="1">
      <alignment horizontal="right" vertical="center"/>
    </xf>
    <xf numFmtId="3" fontId="58" fillId="3" borderId="58" xfId="46" applyNumberFormat="1" applyFont="1" applyFill="1" applyBorder="1" applyAlignment="1">
      <alignment horizontal="right" vertical="center"/>
    </xf>
    <xf numFmtId="3" fontId="58" fillId="3" borderId="59" xfId="46" applyNumberFormat="1" applyFont="1" applyFill="1" applyBorder="1" applyAlignment="1">
      <alignment horizontal="right" vertical="center"/>
    </xf>
    <xf numFmtId="0" fontId="63" fillId="0" borderId="0" xfId="48" applyFont="1" applyAlignment="1">
      <alignment horizontal="center" vertical="center"/>
    </xf>
    <xf numFmtId="0" fontId="63" fillId="0" borderId="0" xfId="48" applyFont="1" applyAlignment="1">
      <alignment horizontal="right" vertical="center"/>
    </xf>
    <xf numFmtId="0" fontId="56" fillId="3" borderId="57" xfId="47" applyFont="1" applyFill="1" applyBorder="1" applyAlignment="1">
      <alignment horizontal="center" vertical="center"/>
    </xf>
    <xf numFmtId="0" fontId="56" fillId="3" borderId="57" xfId="47" applyFont="1" applyFill="1" applyBorder="1" applyAlignment="1">
      <alignment horizontal="right" vertical="center"/>
    </xf>
    <xf numFmtId="0" fontId="56" fillId="3" borderId="58" xfId="47" applyFont="1" applyFill="1" applyBorder="1" applyAlignment="1">
      <alignment horizontal="right" vertical="center"/>
    </xf>
    <xf numFmtId="0" fontId="56" fillId="3" borderId="59" xfId="47" applyFont="1" applyFill="1" applyBorder="1" applyAlignment="1">
      <alignment horizontal="right" vertical="center"/>
    </xf>
    <xf numFmtId="3" fontId="56" fillId="3" borderId="57" xfId="47" applyNumberFormat="1" applyFont="1" applyFill="1" applyBorder="1" applyAlignment="1">
      <alignment horizontal="right" vertical="center"/>
    </xf>
    <xf numFmtId="3" fontId="56" fillId="3" borderId="58" xfId="47" applyNumberFormat="1" applyFont="1" applyFill="1" applyBorder="1" applyAlignment="1">
      <alignment horizontal="right" vertical="center"/>
    </xf>
    <xf numFmtId="3" fontId="56" fillId="3" borderId="59" xfId="47" applyNumberFormat="1" applyFont="1" applyFill="1" applyBorder="1" applyAlignment="1">
      <alignment horizontal="right" vertical="center"/>
    </xf>
    <xf numFmtId="3" fontId="56" fillId="3" borderId="58" xfId="46" applyNumberFormat="1" applyFont="1" applyFill="1" applyBorder="1" applyAlignment="1">
      <alignment horizontal="right" vertical="center"/>
    </xf>
    <xf numFmtId="3" fontId="56" fillId="3" borderId="59" xfId="46" applyNumberFormat="1" applyFont="1" applyFill="1" applyBorder="1" applyAlignment="1">
      <alignment horizontal="right" vertical="center"/>
    </xf>
    <xf numFmtId="0" fontId="32" fillId="0" borderId="0" xfId="47" applyFont="1"/>
    <xf numFmtId="0" fontId="32" fillId="0" borderId="0" xfId="47" applyFont="1" applyAlignment="1">
      <alignment horizontal="right"/>
    </xf>
    <xf numFmtId="0" fontId="32" fillId="0" borderId="173" xfId="47" applyFont="1" applyBorder="1" applyAlignment="1">
      <alignment horizontal="center" vertical="center"/>
    </xf>
    <xf numFmtId="0" fontId="32" fillId="0" borderId="48" xfId="47" applyFont="1" applyBorder="1" applyAlignment="1">
      <alignment horizontal="center" vertical="center"/>
    </xf>
    <xf numFmtId="0" fontId="32" fillId="0" borderId="56" xfId="47" applyFont="1" applyBorder="1" applyAlignment="1">
      <alignment horizontal="center" vertical="center"/>
    </xf>
    <xf numFmtId="3" fontId="32" fillId="0" borderId="53" xfId="47" applyNumberFormat="1" applyFont="1" applyBorder="1" applyAlignment="1">
      <alignment horizontal="right" vertical="center"/>
    </xf>
    <xf numFmtId="3" fontId="32" fillId="0" borderId="54" xfId="47" applyNumberFormat="1" applyFont="1" applyBorder="1" applyAlignment="1">
      <alignment horizontal="right" vertical="center"/>
    </xf>
    <xf numFmtId="3" fontId="32" fillId="0" borderId="55" xfId="47" applyNumberFormat="1" applyFont="1" applyBorder="1" applyAlignment="1">
      <alignment horizontal="right" vertical="center"/>
    </xf>
    <xf numFmtId="3" fontId="32" fillId="0" borderId="54" xfId="46" applyNumberFormat="1" applyFont="1" applyBorder="1" applyAlignment="1">
      <alignment horizontal="right" vertical="center"/>
    </xf>
    <xf numFmtId="3" fontId="32" fillId="0" borderId="55" xfId="46" applyNumberFormat="1" applyFont="1" applyBorder="1" applyAlignment="1">
      <alignment horizontal="right" vertical="center"/>
    </xf>
    <xf numFmtId="0" fontId="50" fillId="3" borderId="197" xfId="47" applyFont="1" applyFill="1" applyBorder="1" applyAlignment="1">
      <alignment horizontal="center" vertical="center"/>
    </xf>
    <xf numFmtId="0" fontId="50" fillId="3" borderId="216" xfId="47" applyFont="1" applyFill="1" applyBorder="1" applyAlignment="1">
      <alignment horizontal="right" vertical="center"/>
    </xf>
    <xf numFmtId="0" fontId="50" fillId="3" borderId="217" xfId="47" applyFont="1" applyFill="1" applyBorder="1" applyAlignment="1">
      <alignment horizontal="right" vertical="center"/>
    </xf>
    <xf numFmtId="0" fontId="50" fillId="3" borderId="218" xfId="47" applyFont="1" applyFill="1" applyBorder="1" applyAlignment="1">
      <alignment horizontal="right" vertical="center"/>
    </xf>
    <xf numFmtId="3" fontId="50" fillId="3" borderId="217" xfId="47" applyNumberFormat="1" applyFont="1" applyFill="1" applyBorder="1" applyAlignment="1">
      <alignment horizontal="right" vertical="center"/>
    </xf>
    <xf numFmtId="3" fontId="50" fillId="3" borderId="216" xfId="47" applyNumberFormat="1" applyFont="1" applyFill="1" applyBorder="1" applyAlignment="1">
      <alignment horizontal="right" vertical="center"/>
    </xf>
    <xf numFmtId="3" fontId="50" fillId="3" borderId="218" xfId="47" applyNumberFormat="1" applyFont="1" applyFill="1" applyBorder="1" applyAlignment="1">
      <alignment horizontal="right" vertical="center"/>
    </xf>
    <xf numFmtId="3" fontId="50" fillId="3" borderId="217" xfId="46" applyNumberFormat="1" applyFont="1" applyFill="1" applyBorder="1" applyAlignment="1">
      <alignment horizontal="right" vertical="center"/>
    </xf>
    <xf numFmtId="3" fontId="50" fillId="3" borderId="218" xfId="46" applyNumberFormat="1" applyFont="1" applyFill="1" applyBorder="1" applyAlignment="1">
      <alignment horizontal="right" vertical="center"/>
    </xf>
    <xf numFmtId="0" fontId="165" fillId="0" borderId="0" xfId="46" applyFont="1" applyAlignment="1">
      <alignment horizontal="right" vertical="center"/>
    </xf>
    <xf numFmtId="0" fontId="207" fillId="0" borderId="0" xfId="46" applyFont="1" applyAlignment="1">
      <alignment horizontal="center"/>
    </xf>
    <xf numFmtId="0" fontId="32" fillId="0" borderId="171" xfId="46" applyFont="1" applyBorder="1" applyAlignment="1">
      <alignment horizontal="right" vertical="center"/>
    </xf>
    <xf numFmtId="0" fontId="32" fillId="0" borderId="212" xfId="46" applyFont="1" applyBorder="1" applyAlignment="1">
      <alignment horizontal="right" vertical="center"/>
    </xf>
    <xf numFmtId="0" fontId="32" fillId="0" borderId="172" xfId="46" applyFont="1" applyBorder="1" applyAlignment="1">
      <alignment horizontal="right" vertical="center"/>
    </xf>
    <xf numFmtId="3" fontId="32" fillId="0" borderId="171" xfId="46" applyNumberFormat="1" applyFont="1" applyBorder="1" applyAlignment="1">
      <alignment horizontal="right" vertical="center"/>
    </xf>
    <xf numFmtId="0" fontId="32" fillId="0" borderId="49" xfId="46" applyFont="1" applyBorder="1" applyAlignment="1">
      <alignment horizontal="right" vertical="center"/>
    </xf>
    <xf numFmtId="0" fontId="32" fillId="0" borderId="50" xfId="46" applyFont="1" applyBorder="1" applyAlignment="1">
      <alignment horizontal="right" vertical="center"/>
    </xf>
    <xf numFmtId="0" fontId="32" fillId="0" borderId="51" xfId="46" applyFont="1" applyBorder="1" applyAlignment="1">
      <alignment horizontal="right" vertical="center"/>
    </xf>
    <xf numFmtId="3" fontId="32" fillId="0" borderId="49" xfId="46" applyNumberFormat="1" applyFont="1" applyBorder="1" applyAlignment="1">
      <alignment horizontal="right" vertical="center"/>
    </xf>
    <xf numFmtId="0" fontId="54" fillId="3" borderId="57" xfId="46" applyFont="1" applyFill="1" applyBorder="1" applyAlignment="1">
      <alignment horizontal="right" vertical="center"/>
    </xf>
    <xf numFmtId="0" fontId="54" fillId="3" borderId="58" xfId="46" applyFont="1" applyFill="1" applyBorder="1" applyAlignment="1">
      <alignment horizontal="right" vertical="center"/>
    </xf>
    <xf numFmtId="0" fontId="54" fillId="3" borderId="59" xfId="46" applyFont="1" applyFill="1" applyBorder="1" applyAlignment="1">
      <alignment horizontal="right" vertical="center"/>
    </xf>
    <xf numFmtId="3" fontId="54" fillId="3" borderId="57" xfId="46" applyNumberFormat="1" applyFont="1" applyFill="1" applyBorder="1" applyAlignment="1">
      <alignment horizontal="right" vertical="center"/>
    </xf>
    <xf numFmtId="0" fontId="57" fillId="3" borderId="57" xfId="46" applyFont="1" applyFill="1" applyBorder="1" applyAlignment="1">
      <alignment horizontal="right" vertical="center"/>
    </xf>
    <xf numFmtId="0" fontId="57" fillId="3" borderId="58" xfId="46" applyFont="1" applyFill="1" applyBorder="1" applyAlignment="1">
      <alignment horizontal="right" vertical="center"/>
    </xf>
    <xf numFmtId="0" fontId="57" fillId="3" borderId="59" xfId="46" applyFont="1" applyFill="1" applyBorder="1" applyAlignment="1">
      <alignment horizontal="right" vertical="center"/>
    </xf>
    <xf numFmtId="3" fontId="57" fillId="3" borderId="57" xfId="46" applyNumberFormat="1" applyFont="1" applyFill="1" applyBorder="1" applyAlignment="1">
      <alignment horizontal="right" vertical="center"/>
    </xf>
    <xf numFmtId="0" fontId="55" fillId="3" borderId="57" xfId="46" applyFont="1" applyFill="1" applyBorder="1" applyAlignment="1">
      <alignment horizontal="right" vertical="center"/>
    </xf>
    <xf numFmtId="0" fontId="55" fillId="3" borderId="58" xfId="46" applyFont="1" applyFill="1" applyBorder="1" applyAlignment="1">
      <alignment horizontal="right" vertical="center"/>
    </xf>
    <xf numFmtId="0" fontId="55" fillId="3" borderId="59" xfId="46" applyFont="1" applyFill="1" applyBorder="1" applyAlignment="1">
      <alignment horizontal="right" vertical="center"/>
    </xf>
    <xf numFmtId="3" fontId="55" fillId="3" borderId="57" xfId="46" applyNumberFormat="1" applyFont="1" applyFill="1" applyBorder="1" applyAlignment="1">
      <alignment horizontal="right" vertical="center"/>
    </xf>
    <xf numFmtId="0" fontId="55" fillId="0" borderId="194" xfId="46" applyFont="1" applyBorder="1" applyAlignment="1">
      <alignment horizontal="right" vertical="center"/>
    </xf>
    <xf numFmtId="0" fontId="55" fillId="0" borderId="195" xfId="46" applyFont="1" applyBorder="1" applyAlignment="1">
      <alignment horizontal="right" vertical="center"/>
    </xf>
    <xf numFmtId="3" fontId="55" fillId="0" borderId="195" xfId="46" applyNumberFormat="1" applyFont="1" applyBorder="1" applyAlignment="1">
      <alignment horizontal="right" vertical="center"/>
    </xf>
    <xf numFmtId="0" fontId="55" fillId="0" borderId="35" xfId="46" applyFont="1" applyBorder="1" applyAlignment="1">
      <alignment horizontal="right" vertical="center"/>
    </xf>
    <xf numFmtId="0" fontId="55" fillId="0" borderId="0" xfId="46" applyFont="1" applyAlignment="1">
      <alignment horizontal="right" vertical="center"/>
    </xf>
    <xf numFmtId="3" fontId="55" fillId="0" borderId="0" xfId="46" applyNumberFormat="1" applyFont="1" applyAlignment="1">
      <alignment horizontal="right" vertical="center"/>
    </xf>
    <xf numFmtId="0" fontId="55" fillId="0" borderId="60" xfId="46" applyFont="1" applyBorder="1" applyAlignment="1">
      <alignment horizontal="right" vertical="center"/>
    </xf>
    <xf numFmtId="0" fontId="55" fillId="0" borderId="2" xfId="46" applyFont="1" applyBorder="1" applyAlignment="1">
      <alignment horizontal="right" vertical="center"/>
    </xf>
    <xf numFmtId="3" fontId="55" fillId="0" borderId="2" xfId="46" applyNumberFormat="1" applyFont="1" applyBorder="1" applyAlignment="1">
      <alignment horizontal="right" vertical="center"/>
    </xf>
    <xf numFmtId="3" fontId="58" fillId="3" borderId="57" xfId="46" applyNumberFormat="1" applyFont="1" applyFill="1" applyBorder="1" applyAlignment="1">
      <alignment horizontal="right" vertical="center"/>
    </xf>
    <xf numFmtId="0" fontId="208" fillId="3" borderId="57" xfId="46" applyFont="1" applyFill="1" applyBorder="1" applyAlignment="1">
      <alignment horizontal="right" vertical="center"/>
    </xf>
    <xf numFmtId="0" fontId="208" fillId="3" borderId="58" xfId="46" applyFont="1" applyFill="1" applyBorder="1" applyAlignment="1">
      <alignment horizontal="right" vertical="center"/>
    </xf>
    <xf numFmtId="0" fontId="208" fillId="3" borderId="59" xfId="46" applyFont="1" applyFill="1" applyBorder="1" applyAlignment="1">
      <alignment horizontal="right" vertical="center"/>
    </xf>
    <xf numFmtId="3" fontId="208" fillId="3" borderId="57" xfId="46" applyNumberFormat="1" applyFont="1" applyFill="1" applyBorder="1" applyAlignment="1">
      <alignment horizontal="right" vertical="center"/>
    </xf>
    <xf numFmtId="3" fontId="208" fillId="3" borderId="58" xfId="46" applyNumberFormat="1" applyFont="1" applyFill="1" applyBorder="1" applyAlignment="1">
      <alignment horizontal="right" vertical="center"/>
    </xf>
    <xf numFmtId="3" fontId="208" fillId="3" borderId="59" xfId="46" applyNumberFormat="1" applyFont="1" applyFill="1" applyBorder="1" applyAlignment="1">
      <alignment horizontal="right" vertical="center"/>
    </xf>
    <xf numFmtId="3" fontId="32" fillId="0" borderId="53" xfId="46" applyNumberFormat="1" applyFont="1" applyBorder="1" applyAlignment="1">
      <alignment horizontal="right" vertical="center"/>
    </xf>
    <xf numFmtId="0" fontId="50" fillId="3" borderId="216" xfId="46" applyFont="1" applyFill="1" applyBorder="1" applyAlignment="1">
      <alignment horizontal="right" vertical="center"/>
    </xf>
    <xf numFmtId="0" fontId="50" fillId="3" borderId="217" xfId="46" applyFont="1" applyFill="1" applyBorder="1" applyAlignment="1">
      <alignment horizontal="right" vertical="center"/>
    </xf>
    <xf numFmtId="0" fontId="50" fillId="3" borderId="218" xfId="46" applyFont="1" applyFill="1" applyBorder="1" applyAlignment="1">
      <alignment horizontal="right" vertical="center"/>
    </xf>
    <xf numFmtId="3" fontId="50" fillId="3" borderId="216" xfId="46" applyNumberFormat="1" applyFont="1" applyFill="1" applyBorder="1" applyAlignment="1">
      <alignment horizontal="right" vertical="center"/>
    </xf>
    <xf numFmtId="0" fontId="206" fillId="0" borderId="0" xfId="46" applyFont="1" applyAlignment="1">
      <alignment vertical="center" wrapText="1"/>
    </xf>
    <xf numFmtId="0" fontId="206" fillId="0" borderId="0" xfId="46" applyFont="1" applyAlignment="1">
      <alignment vertical="center"/>
    </xf>
    <xf numFmtId="0" fontId="56" fillId="3" borderId="57" xfId="46" applyFont="1" applyFill="1" applyBorder="1" applyAlignment="1">
      <alignment horizontal="right" vertical="center"/>
    </xf>
    <xf numFmtId="0" fontId="56" fillId="3" borderId="58" xfId="46" applyFont="1" applyFill="1" applyBorder="1" applyAlignment="1">
      <alignment horizontal="right" vertical="center"/>
    </xf>
    <xf numFmtId="0" fontId="56" fillId="3" borderId="59" xfId="46" applyFont="1" applyFill="1" applyBorder="1" applyAlignment="1">
      <alignment horizontal="right" vertical="center"/>
    </xf>
    <xf numFmtId="3" fontId="56" fillId="3" borderId="57" xfId="46" applyNumberFormat="1" applyFont="1" applyFill="1" applyBorder="1" applyAlignment="1">
      <alignment horizontal="right" vertical="center"/>
    </xf>
    <xf numFmtId="3" fontId="32" fillId="0" borderId="35" xfId="46" applyNumberFormat="1" applyFont="1" applyBorder="1" applyAlignment="1">
      <alignment horizontal="right" vertical="center"/>
    </xf>
    <xf numFmtId="3" fontId="32" fillId="0" borderId="0" xfId="46" applyNumberFormat="1" applyFont="1" applyAlignment="1">
      <alignment horizontal="right" vertical="center"/>
    </xf>
    <xf numFmtId="0" fontId="25" fillId="0" borderId="0" xfId="48" applyFont="1" applyAlignment="1">
      <alignment vertical="center"/>
    </xf>
    <xf numFmtId="0" fontId="44" fillId="0" borderId="0" xfId="46" applyFont="1" applyAlignment="1">
      <alignment vertical="center" wrapText="1"/>
    </xf>
    <xf numFmtId="0" fontId="69" fillId="0" borderId="0" xfId="46" applyFont="1"/>
    <xf numFmtId="0" fontId="21" fillId="0" borderId="0" xfId="49" applyAlignment="1">
      <alignment horizontal="centerContinuous" vertical="center"/>
    </xf>
    <xf numFmtId="0" fontId="21" fillId="0" borderId="0" xfId="49"/>
    <xf numFmtId="0" fontId="209" fillId="0" borderId="0" xfId="49" applyFont="1" applyAlignment="1">
      <alignment vertical="center"/>
    </xf>
    <xf numFmtId="0" fontId="76" fillId="0" borderId="1" xfId="49" applyFont="1" applyBorder="1" applyAlignment="1">
      <alignment horizontal="center" vertical="center" wrapText="1"/>
    </xf>
    <xf numFmtId="0" fontId="76" fillId="0" borderId="1" xfId="49" applyFont="1" applyBorder="1" applyAlignment="1">
      <alignment horizontal="center" vertical="center"/>
    </xf>
    <xf numFmtId="0" fontId="186" fillId="0" borderId="26" xfId="49" applyFont="1" applyBorder="1" applyAlignment="1">
      <alignment horizontal="center" vertical="center"/>
    </xf>
    <xf numFmtId="3" fontId="21" fillId="0" borderId="26" xfId="49" applyNumberFormat="1" applyBorder="1" applyAlignment="1">
      <alignment horizontal="right" vertical="center" indent="1"/>
    </xf>
    <xf numFmtId="0" fontId="186" fillId="0" borderId="50" xfId="49" applyFont="1" applyBorder="1" applyAlignment="1">
      <alignment horizontal="center" vertical="center"/>
    </xf>
    <xf numFmtId="3" fontId="21" fillId="0" borderId="50" xfId="49" applyNumberFormat="1" applyBorder="1" applyAlignment="1">
      <alignment horizontal="right" vertical="center" indent="1"/>
    </xf>
    <xf numFmtId="3" fontId="21" fillId="0" borderId="0" xfId="49" applyNumberFormat="1" applyBorder="1" applyAlignment="1">
      <alignment horizontal="right" indent="1"/>
    </xf>
    <xf numFmtId="0" fontId="21" fillId="0" borderId="0" xfId="49" applyBorder="1"/>
    <xf numFmtId="0" fontId="76" fillId="3" borderId="2" xfId="49" applyFont="1" applyFill="1" applyBorder="1" applyAlignment="1">
      <alignment horizontal="center" vertical="center"/>
    </xf>
    <xf numFmtId="3" fontId="76" fillId="3" borderId="2" xfId="50" applyNumberFormat="1" applyFont="1" applyFill="1" applyBorder="1" applyAlignment="1">
      <alignment horizontal="right" vertical="center" indent="1"/>
    </xf>
    <xf numFmtId="0" fontId="210" fillId="0" borderId="2" xfId="49" applyFont="1" applyBorder="1" applyAlignment="1">
      <alignment horizontal="center" vertical="center"/>
    </xf>
    <xf numFmtId="0" fontId="24" fillId="0" borderId="0" xfId="49" applyFont="1" applyAlignment="1">
      <alignment horizontal="centerContinuous" vertical="center"/>
    </xf>
    <xf numFmtId="169" fontId="211" fillId="0" borderId="2" xfId="50" applyNumberFormat="1" applyFont="1" applyBorder="1" applyAlignment="1">
      <alignment horizontal="center" vertical="center"/>
    </xf>
    <xf numFmtId="170" fontId="211" fillId="0" borderId="2" xfId="42" applyNumberFormat="1" applyFont="1" applyBorder="1" applyAlignment="1">
      <alignment horizontal="center" vertical="center"/>
    </xf>
    <xf numFmtId="0" fontId="75" fillId="0" borderId="0" xfId="49" applyFont="1"/>
    <xf numFmtId="0" fontId="212" fillId="3" borderId="215" xfId="49" applyFont="1" applyFill="1" applyBorder="1" applyAlignment="1">
      <alignment horizontal="center" vertical="center" wrapText="1"/>
    </xf>
    <xf numFmtId="0" fontId="187" fillId="0" borderId="0" xfId="49" applyFont="1" applyAlignment="1">
      <alignment horizontal="centerContinuous" vertical="center"/>
    </xf>
    <xf numFmtId="0" fontId="212" fillId="3" borderId="215" xfId="49" applyFont="1" applyFill="1" applyBorder="1" applyAlignment="1">
      <alignment horizontal="center" vertical="center"/>
    </xf>
    <xf numFmtId="0" fontId="187" fillId="4" borderId="215" xfId="49" applyFont="1" applyFill="1" applyBorder="1" applyAlignment="1">
      <alignment horizontal="center" vertical="center"/>
    </xf>
    <xf numFmtId="0" fontId="187" fillId="0" borderId="0" xfId="49" applyFont="1"/>
    <xf numFmtId="3" fontId="187" fillId="4" borderId="215" xfId="49" applyNumberFormat="1" applyFont="1" applyFill="1" applyBorder="1" applyAlignment="1">
      <alignment horizontal="right" vertical="center" indent="1"/>
    </xf>
    <xf numFmtId="0" fontId="187" fillId="4" borderId="34" xfId="49" applyFont="1" applyFill="1" applyBorder="1" applyAlignment="1">
      <alignment horizontal="center" vertical="center"/>
    </xf>
    <xf numFmtId="3" fontId="187" fillId="4" borderId="34" xfId="49" applyNumberFormat="1" applyFont="1" applyFill="1" applyBorder="1" applyAlignment="1">
      <alignment horizontal="right" vertical="center" indent="1"/>
    </xf>
    <xf numFmtId="0" fontId="187" fillId="4" borderId="8" xfId="49" applyFont="1" applyFill="1" applyBorder="1" applyAlignment="1">
      <alignment horizontal="center" vertical="center"/>
    </xf>
    <xf numFmtId="3" fontId="187" fillId="4" borderId="8" xfId="49" applyNumberFormat="1" applyFont="1" applyFill="1" applyBorder="1" applyAlignment="1">
      <alignment horizontal="right" vertical="center" indent="1"/>
    </xf>
    <xf numFmtId="0" fontId="212" fillId="3" borderId="8" xfId="49" applyFont="1" applyFill="1" applyBorder="1" applyAlignment="1">
      <alignment horizontal="center" vertical="center"/>
    </xf>
    <xf numFmtId="3" fontId="187" fillId="3" borderId="197" xfId="49" applyNumberFormat="1" applyFont="1" applyFill="1" applyBorder="1" applyAlignment="1">
      <alignment horizontal="right" vertical="center" indent="1"/>
    </xf>
    <xf numFmtId="0" fontId="212" fillId="3" borderId="197" xfId="49" applyFont="1" applyFill="1" applyBorder="1" applyAlignment="1">
      <alignment horizontal="center" vertical="center"/>
    </xf>
    <xf numFmtId="164" fontId="43" fillId="4" borderId="215" xfId="51" applyNumberFormat="1" applyFont="1" applyFill="1" applyBorder="1" applyAlignment="1">
      <alignment horizontal="center" vertical="center"/>
    </xf>
    <xf numFmtId="164" fontId="43" fillId="4" borderId="34" xfId="51" applyNumberFormat="1" applyFont="1" applyFill="1" applyBorder="1" applyAlignment="1">
      <alignment horizontal="center" vertical="center"/>
    </xf>
    <xf numFmtId="164" fontId="43" fillId="4" borderId="8" xfId="51" applyNumberFormat="1" applyFont="1" applyFill="1" applyBorder="1" applyAlignment="1">
      <alignment horizontal="center" vertical="center"/>
    </xf>
    <xf numFmtId="9" fontId="43" fillId="3" borderId="197" xfId="51" applyFont="1" applyFill="1" applyBorder="1" applyAlignment="1">
      <alignment horizontal="center" vertical="center"/>
    </xf>
    <xf numFmtId="0" fontId="76" fillId="0" borderId="2" xfId="49" applyFont="1" applyBorder="1" applyAlignment="1">
      <alignment horizontal="center" vertical="center"/>
    </xf>
    <xf numFmtId="169" fontId="186" fillId="0" borderId="2" xfId="50" applyNumberFormat="1" applyFont="1" applyBorder="1" applyAlignment="1">
      <alignment horizontal="center" vertical="center"/>
    </xf>
    <xf numFmtId="0" fontId="183" fillId="0" borderId="0" xfId="49" applyFont="1"/>
    <xf numFmtId="3" fontId="213" fillId="4" borderId="0" xfId="49" applyNumberFormat="1" applyFont="1" applyFill="1" applyAlignment="1">
      <alignment horizontal="right" vertical="center" indent="1"/>
    </xf>
    <xf numFmtId="0" fontId="213" fillId="0" borderId="0" xfId="49" applyFont="1"/>
    <xf numFmtId="0" fontId="212" fillId="3" borderId="197" xfId="49" applyFont="1" applyFill="1" applyBorder="1" applyAlignment="1">
      <alignment horizontal="center" vertical="center" wrapText="1"/>
    </xf>
    <xf numFmtId="164" fontId="43" fillId="3" borderId="197" xfId="51" applyNumberFormat="1" applyFont="1" applyFill="1" applyBorder="1" applyAlignment="1">
      <alignment horizontal="center" vertical="center"/>
    </xf>
    <xf numFmtId="0" fontId="76" fillId="0" borderId="0" xfId="49" applyFont="1" applyAlignment="1">
      <alignment horizontal="center" vertical="center"/>
    </xf>
    <xf numFmtId="0" fontId="21" fillId="0" borderId="0" xfId="49" applyAlignment="1">
      <alignment horizontal="center"/>
    </xf>
    <xf numFmtId="0" fontId="51" fillId="0" borderId="0" xfId="45" applyFont="1"/>
    <xf numFmtId="0" fontId="196" fillId="0" borderId="0" xfId="45"/>
    <xf numFmtId="0" fontId="84" fillId="0" borderId="0" xfId="45" applyFont="1" applyAlignment="1">
      <alignment vertical="center"/>
    </xf>
    <xf numFmtId="0" fontId="50" fillId="3" borderId="216" xfId="3" applyFont="1" applyFill="1" applyBorder="1" applyAlignment="1">
      <alignment horizontal="center" vertical="center" wrapText="1"/>
    </xf>
    <xf numFmtId="0" fontId="50" fillId="3" borderId="197" xfId="3" applyFont="1" applyFill="1" applyBorder="1" applyAlignment="1">
      <alignment horizontal="center" vertical="center" wrapText="1"/>
    </xf>
    <xf numFmtId="0" fontId="50" fillId="3" borderId="218" xfId="3" applyFont="1" applyFill="1" applyBorder="1" applyAlignment="1">
      <alignment horizontal="center" vertical="center" wrapText="1"/>
    </xf>
    <xf numFmtId="0" fontId="47" fillId="0" borderId="0" xfId="45" applyFont="1" applyAlignment="1">
      <alignment horizontal="center" vertical="center"/>
    </xf>
    <xf numFmtId="0" fontId="115" fillId="3" borderId="0" xfId="45" applyFont="1" applyFill="1" applyAlignment="1">
      <alignment horizontal="center" vertical="center"/>
    </xf>
    <xf numFmtId="0" fontId="47" fillId="0" borderId="194" xfId="45" applyFont="1" applyBorder="1" applyAlignment="1">
      <alignment horizontal="center" vertical="center"/>
    </xf>
    <xf numFmtId="0" fontId="47" fillId="0" borderId="195" xfId="45" applyFont="1" applyBorder="1" applyAlignment="1">
      <alignment horizontal="center" vertical="center"/>
    </xf>
    <xf numFmtId="0" fontId="115" fillId="3" borderId="196" xfId="45" applyFont="1" applyFill="1" applyBorder="1" applyAlignment="1">
      <alignment horizontal="center" vertical="center"/>
    </xf>
    <xf numFmtId="0" fontId="32" fillId="0" borderId="0" xfId="45" applyFont="1"/>
    <xf numFmtId="0" fontId="196" fillId="3" borderId="0" xfId="45" applyFill="1"/>
    <xf numFmtId="0" fontId="196" fillId="0" borderId="35" xfId="45" applyBorder="1"/>
    <xf numFmtId="0" fontId="196" fillId="3" borderId="36" xfId="45" applyFill="1" applyBorder="1"/>
    <xf numFmtId="0" fontId="47" fillId="0" borderId="35" xfId="45" applyFont="1" applyBorder="1"/>
    <xf numFmtId="0" fontId="47" fillId="0" borderId="0" xfId="45" applyFont="1"/>
    <xf numFmtId="0" fontId="115" fillId="3" borderId="0" xfId="45" applyFont="1" applyFill="1"/>
    <xf numFmtId="171" fontId="32" fillId="0" borderId="215" xfId="45" applyNumberFormat="1" applyFont="1" applyBorder="1" applyAlignment="1">
      <alignment horizontal="right" vertical="center" indent="1"/>
    </xf>
    <xf numFmtId="0" fontId="215" fillId="0" borderId="0" xfId="45" applyFont="1"/>
    <xf numFmtId="171" fontId="215" fillId="0" borderId="0" xfId="45" applyNumberFormat="1" applyFont="1"/>
    <xf numFmtId="171" fontId="150" fillId="3" borderId="0" xfId="45" applyNumberFormat="1" applyFont="1" applyFill="1"/>
    <xf numFmtId="0" fontId="215" fillId="0" borderId="35" xfId="45" applyFont="1" applyBorder="1"/>
    <xf numFmtId="171" fontId="150" fillId="3" borderId="36" xfId="45" applyNumberFormat="1" applyFont="1" applyFill="1" applyBorder="1"/>
    <xf numFmtId="171" fontId="32" fillId="0" borderId="34" xfId="45" applyNumberFormat="1" applyFont="1" applyBorder="1" applyAlignment="1">
      <alignment horizontal="right" vertical="center" indent="1"/>
    </xf>
    <xf numFmtId="0" fontId="54" fillId="3" borderId="8" xfId="43" applyFont="1" applyFill="1" applyBorder="1" applyAlignment="1">
      <alignment horizontal="centerContinuous" vertical="center"/>
    </xf>
    <xf numFmtId="171" fontId="54" fillId="3" borderId="8" xfId="45" applyNumberFormat="1" applyFont="1" applyFill="1" applyBorder="1" applyAlignment="1">
      <alignment horizontal="right" vertical="center" indent="1"/>
    </xf>
    <xf numFmtId="171" fontId="196" fillId="0" borderId="0" xfId="45" applyNumberFormat="1"/>
    <xf numFmtId="171" fontId="47" fillId="0" borderId="0" xfId="45" applyNumberFormat="1" applyFont="1"/>
    <xf numFmtId="171" fontId="115" fillId="3" borderId="0" xfId="45" applyNumberFormat="1" applyFont="1" applyFill="1"/>
    <xf numFmtId="171" fontId="115" fillId="3" borderId="36" xfId="45" applyNumberFormat="1" applyFont="1" applyFill="1" applyBorder="1"/>
    <xf numFmtId="0" fontId="216" fillId="0" borderId="0" xfId="45" applyFont="1"/>
    <xf numFmtId="171" fontId="216" fillId="0" borderId="0" xfId="45" applyNumberFormat="1" applyFont="1"/>
    <xf numFmtId="171" fontId="217" fillId="3" borderId="0" xfId="45" applyNumberFormat="1" applyFont="1" applyFill="1"/>
    <xf numFmtId="0" fontId="216" fillId="0" borderId="35" xfId="45" applyFont="1" applyBorder="1"/>
    <xf numFmtId="171" fontId="217" fillId="3" borderId="36" xfId="45" applyNumberFormat="1" applyFont="1" applyFill="1" applyBorder="1"/>
    <xf numFmtId="0" fontId="57" fillId="3" borderId="8" xfId="43" applyFont="1" applyFill="1" applyBorder="1" applyAlignment="1">
      <alignment horizontal="centerContinuous" vertical="center"/>
    </xf>
    <xf numFmtId="171" fontId="57" fillId="3" borderId="8" xfId="45" applyNumberFormat="1" applyFont="1" applyFill="1" applyBorder="1" applyAlignment="1">
      <alignment horizontal="right" vertical="center" indent="1"/>
    </xf>
    <xf numFmtId="0" fontId="218" fillId="0" borderId="0" xfId="45" applyFont="1"/>
    <xf numFmtId="171" fontId="218" fillId="0" borderId="0" xfId="45" applyNumberFormat="1" applyFont="1"/>
    <xf numFmtId="171" fontId="151" fillId="3" borderId="0" xfId="45" applyNumberFormat="1" applyFont="1" applyFill="1"/>
    <xf numFmtId="0" fontId="218" fillId="0" borderId="35" xfId="45" applyFont="1" applyBorder="1"/>
    <xf numFmtId="171" fontId="151" fillId="3" borderId="36" xfId="45" applyNumberFormat="1" applyFont="1" applyFill="1" applyBorder="1"/>
    <xf numFmtId="0" fontId="55" fillId="3" borderId="8" xfId="43" applyFont="1" applyFill="1" applyBorder="1" applyAlignment="1">
      <alignment horizontal="centerContinuous" vertical="center"/>
    </xf>
    <xf numFmtId="171" fontId="55" fillId="3" borderId="8" xfId="45" applyNumberFormat="1" applyFont="1" applyFill="1" applyBorder="1" applyAlignment="1">
      <alignment horizontal="right" vertical="center" indent="1"/>
    </xf>
    <xf numFmtId="0" fontId="219" fillId="0" borderId="0" xfId="45" applyFont="1"/>
    <xf numFmtId="171" fontId="219" fillId="0" borderId="0" xfId="45" applyNumberFormat="1" applyFont="1"/>
    <xf numFmtId="171" fontId="154" fillId="3" borderId="0" xfId="45" applyNumberFormat="1" applyFont="1" applyFill="1"/>
    <xf numFmtId="0" fontId="219" fillId="0" borderId="35" xfId="45" applyFont="1" applyBorder="1"/>
    <xf numFmtId="171" fontId="154" fillId="3" borderId="36" xfId="45" applyNumberFormat="1" applyFont="1" applyFill="1" applyBorder="1"/>
    <xf numFmtId="0" fontId="58" fillId="3" borderId="8" xfId="43" applyFont="1" applyFill="1" applyBorder="1" applyAlignment="1">
      <alignment horizontal="centerContinuous" vertical="center"/>
    </xf>
    <xf numFmtId="171" fontId="58" fillId="3" borderId="8" xfId="45" applyNumberFormat="1" applyFont="1" applyFill="1" applyBorder="1" applyAlignment="1">
      <alignment horizontal="right" vertical="center" indent="1"/>
    </xf>
    <xf numFmtId="0" fontId="220" fillId="0" borderId="0" xfId="45" applyFont="1"/>
    <xf numFmtId="171" fontId="220" fillId="0" borderId="0" xfId="45" applyNumberFormat="1" applyFont="1"/>
    <xf numFmtId="171" fontId="152" fillId="3" borderId="0" xfId="45" applyNumberFormat="1" applyFont="1" applyFill="1"/>
    <xf numFmtId="0" fontId="220" fillId="0" borderId="35" xfId="45" applyFont="1" applyBorder="1"/>
    <xf numFmtId="171" fontId="152" fillId="3" borderId="36" xfId="45" applyNumberFormat="1" applyFont="1" applyFill="1" applyBorder="1"/>
    <xf numFmtId="0" fontId="56" fillId="3" borderId="8" xfId="43" applyFont="1" applyFill="1" applyBorder="1" applyAlignment="1">
      <alignment horizontal="centerContinuous" vertical="center"/>
    </xf>
    <xf numFmtId="171" fontId="56" fillId="3" borderId="8" xfId="45" applyNumberFormat="1" applyFont="1" applyFill="1" applyBorder="1" applyAlignment="1">
      <alignment horizontal="right" vertical="center" indent="1"/>
    </xf>
    <xf numFmtId="171" fontId="50" fillId="3" borderId="197" xfId="45" applyNumberFormat="1" applyFont="1" applyFill="1" applyBorder="1" applyAlignment="1">
      <alignment horizontal="right" vertical="center" indent="1"/>
    </xf>
    <xf numFmtId="171" fontId="25" fillId="3" borderId="197" xfId="45" applyNumberFormat="1" applyFont="1" applyFill="1" applyBorder="1" applyAlignment="1">
      <alignment horizontal="right" vertical="center" indent="1"/>
    </xf>
    <xf numFmtId="171" fontId="115" fillId="0" borderId="0" xfId="45" applyNumberFormat="1" applyFont="1"/>
    <xf numFmtId="0" fontId="149" fillId="0" borderId="0" xfId="45" applyFont="1"/>
    <xf numFmtId="0" fontId="221" fillId="0" borderId="0" xfId="45" applyFont="1"/>
    <xf numFmtId="0" fontId="84" fillId="0" borderId="0" xfId="45" applyFont="1"/>
    <xf numFmtId="3" fontId="47" fillId="0" borderId="0" xfId="45" applyNumberFormat="1" applyFont="1"/>
    <xf numFmtId="0" fontId="150" fillId="0" borderId="0" xfId="45" applyFont="1"/>
    <xf numFmtId="1" fontId="32" fillId="0" borderId="34" xfId="45" applyNumberFormat="1" applyFont="1" applyBorder="1" applyAlignment="1">
      <alignment horizontal="right" vertical="center" indent="1"/>
    </xf>
    <xf numFmtId="0" fontId="153" fillId="0" borderId="0" xfId="45" applyFont="1"/>
    <xf numFmtId="3" fontId="153" fillId="0" borderId="0" xfId="45" applyNumberFormat="1" applyFont="1"/>
    <xf numFmtId="0" fontId="151" fillId="0" borderId="0" xfId="45" applyFont="1"/>
    <xf numFmtId="0" fontId="115" fillId="0" borderId="0" xfId="45" applyFont="1"/>
    <xf numFmtId="0" fontId="154" fillId="0" borderId="0" xfId="45" applyFont="1"/>
    <xf numFmtId="171" fontId="50" fillId="3" borderId="216" xfId="45" applyNumberFormat="1" applyFont="1" applyFill="1" applyBorder="1" applyAlignment="1">
      <alignment horizontal="right" vertical="center" indent="1"/>
    </xf>
    <xf numFmtId="0" fontId="152" fillId="0" borderId="0" xfId="45" applyFont="1"/>
    <xf numFmtId="3" fontId="152" fillId="0" borderId="0" xfId="45" applyNumberFormat="1" applyFont="1"/>
    <xf numFmtId="3" fontId="115" fillId="0" borderId="0" xfId="45" applyNumberFormat="1" applyFont="1"/>
    <xf numFmtId="0" fontId="222" fillId="0" borderId="0" xfId="2" applyFont="1" applyAlignment="1">
      <alignment vertical="center" wrapText="1" readingOrder="1"/>
    </xf>
    <xf numFmtId="0" fontId="222" fillId="0" borderId="0" xfId="2" applyFont="1" applyAlignment="1">
      <alignment readingOrder="1"/>
    </xf>
    <xf numFmtId="0" fontId="76" fillId="0" borderId="1" xfId="2" applyFont="1" applyFill="1" applyBorder="1" applyAlignment="1">
      <alignment horizontal="center" vertical="center" wrapText="1"/>
    </xf>
    <xf numFmtId="0" fontId="87" fillId="0" borderId="25" xfId="2" applyFont="1" applyBorder="1" applyAlignment="1">
      <alignment horizontal="left" vertical="center" readingOrder="1"/>
    </xf>
    <xf numFmtId="172" fontId="32" fillId="0" borderId="70" xfId="2" applyNumberFormat="1" applyFont="1" applyBorder="1" applyAlignment="1">
      <alignment vertical="center"/>
    </xf>
    <xf numFmtId="172" fontId="32" fillId="0" borderId="219" xfId="2" applyNumberFormat="1" applyFont="1" applyBorder="1" applyAlignment="1">
      <alignment vertical="center"/>
    </xf>
    <xf numFmtId="0" fontId="87" fillId="0" borderId="49" xfId="2" applyFont="1" applyBorder="1" applyAlignment="1">
      <alignment horizontal="left" vertical="center" readingOrder="1"/>
    </xf>
    <xf numFmtId="172" fontId="32" fillId="0" borderId="73" xfId="2" applyNumberFormat="1" applyFont="1" applyBorder="1" applyAlignment="1">
      <alignment vertical="center"/>
    </xf>
    <xf numFmtId="172" fontId="32" fillId="0" borderId="74" xfId="2" applyNumberFormat="1" applyFont="1" applyBorder="1" applyAlignment="1">
      <alignment vertical="center"/>
    </xf>
    <xf numFmtId="172" fontId="32" fillId="0" borderId="75" xfId="2" applyNumberFormat="1" applyFont="1" applyBorder="1" applyAlignment="1">
      <alignment vertical="center"/>
    </xf>
    <xf numFmtId="172" fontId="32" fillId="0" borderId="77" xfId="2" applyNumberFormat="1" applyFont="1" applyBorder="1" applyAlignment="1">
      <alignment vertical="center"/>
    </xf>
    <xf numFmtId="0" fontId="203" fillId="0" borderId="195" xfId="2" applyFont="1" applyBorder="1" applyAlignment="1">
      <alignment vertical="center" wrapText="1" readingOrder="1"/>
    </xf>
    <xf numFmtId="0" fontId="44" fillId="0" borderId="0" xfId="45" applyFont="1" applyAlignment="1">
      <alignment vertical="center"/>
    </xf>
    <xf numFmtId="0" fontId="196" fillId="0" borderId="0" xfId="45" applyAlignment="1">
      <alignment wrapText="1"/>
    </xf>
    <xf numFmtId="0" fontId="111" fillId="13" borderId="197" xfId="45" applyFont="1" applyFill="1" applyBorder="1" applyAlignment="1">
      <alignment horizontal="center" vertical="center"/>
    </xf>
    <xf numFmtId="0" fontId="223" fillId="13" borderId="197" xfId="45" applyFont="1" applyFill="1" applyBorder="1" applyAlignment="1">
      <alignment horizontal="center" vertical="center"/>
    </xf>
    <xf numFmtId="0" fontId="53" fillId="0" borderId="11" xfId="20" applyFont="1" applyBorder="1" applyAlignment="1">
      <alignment horizontal="center" vertical="center"/>
    </xf>
    <xf numFmtId="0" fontId="52" fillId="0" borderId="173" xfId="20" applyFont="1" applyBorder="1" applyAlignment="1">
      <alignment horizontal="left" vertical="center" wrapText="1"/>
    </xf>
    <xf numFmtId="0" fontId="52" fillId="0" borderId="48" xfId="20" applyFont="1" applyBorder="1" applyAlignment="1">
      <alignment horizontal="left" vertical="center" wrapText="1"/>
    </xf>
    <xf numFmtId="0" fontId="53" fillId="3" borderId="48" xfId="20" applyFont="1" applyFill="1" applyBorder="1" applyAlignment="1">
      <alignment horizontal="center" vertical="center" wrapText="1"/>
    </xf>
    <xf numFmtId="0" fontId="53" fillId="3" borderId="52" xfId="20" applyFont="1" applyFill="1" applyBorder="1" applyAlignment="1">
      <alignment horizontal="center" vertical="center" wrapText="1"/>
    </xf>
    <xf numFmtId="0" fontId="54" fillId="0" borderId="60" xfId="20" applyFont="1" applyBorder="1" applyAlignment="1">
      <alignment horizontal="center" vertical="center" wrapText="1"/>
    </xf>
    <xf numFmtId="0" fontId="57" fillId="0" borderId="60" xfId="20" applyFont="1" applyBorder="1" applyAlignment="1">
      <alignment horizontal="center" vertical="center" wrapText="1"/>
    </xf>
    <xf numFmtId="0" fontId="55" fillId="0" borderId="60" xfId="20" applyFont="1" applyBorder="1" applyAlignment="1">
      <alignment horizontal="center" vertical="center" wrapText="1"/>
    </xf>
    <xf numFmtId="0" fontId="52" fillId="0" borderId="173" xfId="17" applyFont="1" applyBorder="1" applyAlignment="1">
      <alignment horizontal="left" vertical="center" wrapText="1"/>
    </xf>
    <xf numFmtId="0" fontId="52" fillId="0" borderId="48" xfId="17" applyFont="1" applyBorder="1" applyAlignment="1">
      <alignment horizontal="left" vertical="center" wrapText="1"/>
    </xf>
    <xf numFmtId="0" fontId="58" fillId="0" borderId="60" xfId="20" applyFont="1" applyBorder="1" applyAlignment="1">
      <alignment horizontal="center" vertical="center" wrapText="1"/>
    </xf>
    <xf numFmtId="0" fontId="52" fillId="0" borderId="173" xfId="20" applyFont="1" applyBorder="1" applyAlignment="1">
      <alignment wrapText="1"/>
    </xf>
    <xf numFmtId="0" fontId="52" fillId="0" borderId="48" xfId="20" applyFont="1" applyBorder="1" applyAlignment="1">
      <alignment wrapText="1"/>
    </xf>
    <xf numFmtId="0" fontId="56" fillId="0" borderId="60" xfId="20" applyFont="1" applyBorder="1" applyAlignment="1">
      <alignment horizontal="center" vertical="center" wrapText="1"/>
    </xf>
    <xf numFmtId="0" fontId="53" fillId="3" borderId="197" xfId="20" applyFont="1" applyFill="1" applyBorder="1" applyAlignment="1">
      <alignment horizontal="center" vertical="center" wrapText="1"/>
    </xf>
    <xf numFmtId="0" fontId="224" fillId="0" borderId="0" xfId="45" applyFont="1" applyAlignment="1">
      <alignment horizontal="left" wrapText="1" readingOrder="1"/>
    </xf>
    <xf numFmtId="0" fontId="79" fillId="0" borderId="0" xfId="45" applyFont="1"/>
    <xf numFmtId="0" fontId="80" fillId="0" borderId="0" xfId="45" applyFont="1"/>
    <xf numFmtId="0" fontId="81" fillId="0" borderId="2" xfId="45" applyFont="1" applyBorder="1" applyAlignment="1">
      <alignment vertical="center" wrapText="1"/>
    </xf>
    <xf numFmtId="0" fontId="50" fillId="3" borderId="215" xfId="45" applyFont="1" applyFill="1" applyBorder="1" applyAlignment="1">
      <alignment horizontal="center" vertical="center" wrapText="1"/>
    </xf>
    <xf numFmtId="0" fontId="50" fillId="3" borderId="196" xfId="45" applyFont="1" applyFill="1" applyBorder="1" applyAlignment="1">
      <alignment horizontal="center" vertical="center"/>
    </xf>
    <xf numFmtId="0" fontId="50" fillId="3" borderId="215" xfId="45" applyFont="1" applyFill="1" applyBorder="1" applyAlignment="1">
      <alignment horizontal="center" vertical="center"/>
    </xf>
    <xf numFmtId="0" fontId="50" fillId="3" borderId="197" xfId="45" applyFont="1" applyFill="1" applyBorder="1" applyAlignment="1">
      <alignment horizontal="center" vertical="center"/>
    </xf>
    <xf numFmtId="0" fontId="225" fillId="3" borderId="215" xfId="45" applyFont="1" applyFill="1" applyBorder="1" applyAlignment="1">
      <alignment horizontal="center" vertical="center"/>
    </xf>
    <xf numFmtId="0" fontId="38" fillId="0" borderId="217" xfId="45" applyFont="1" applyBorder="1"/>
    <xf numFmtId="0" fontId="50" fillId="0" borderId="217" xfId="45" applyFont="1" applyBorder="1" applyAlignment="1">
      <alignment horizontal="center" vertical="top" wrapText="1"/>
    </xf>
    <xf numFmtId="0" fontId="226" fillId="0" borderId="217" xfId="45" applyFont="1" applyBorder="1"/>
    <xf numFmtId="0" fontId="32" fillId="0" borderId="192" xfId="45" applyFont="1" applyBorder="1" applyAlignment="1">
      <alignment horizontal="center"/>
    </xf>
    <xf numFmtId="3" fontId="32" fillId="0" borderId="192" xfId="45" applyNumberFormat="1" applyFont="1" applyBorder="1" applyAlignment="1">
      <alignment horizontal="right" indent="1"/>
    </xf>
    <xf numFmtId="3" fontId="110" fillId="0" borderId="192" xfId="45" applyNumberFormat="1" applyFont="1" applyBorder="1" applyAlignment="1">
      <alignment horizontal="right" indent="1"/>
    </xf>
    <xf numFmtId="0" fontId="32" fillId="0" borderId="16" xfId="45" applyFont="1" applyBorder="1" applyAlignment="1">
      <alignment horizontal="center"/>
    </xf>
    <xf numFmtId="3" fontId="32" fillId="0" borderId="16" xfId="45" applyNumberFormat="1" applyFont="1" applyBorder="1" applyAlignment="1">
      <alignment horizontal="right" indent="1"/>
    </xf>
    <xf numFmtId="3" fontId="110" fillId="0" borderId="16" xfId="45" applyNumberFormat="1" applyFont="1" applyBorder="1" applyAlignment="1">
      <alignment horizontal="right" indent="1"/>
    </xf>
    <xf numFmtId="0" fontId="32" fillId="0" borderId="20" xfId="45" applyFont="1" applyBorder="1" applyAlignment="1">
      <alignment horizontal="center"/>
    </xf>
    <xf numFmtId="3" fontId="32" fillId="0" borderId="20" xfId="45" applyNumberFormat="1" applyFont="1" applyBorder="1" applyAlignment="1">
      <alignment horizontal="right" indent="1"/>
    </xf>
    <xf numFmtId="3" fontId="110" fillId="0" borderId="20" xfId="45" applyNumberFormat="1" applyFont="1" applyBorder="1" applyAlignment="1">
      <alignment horizontal="right" indent="1"/>
    </xf>
    <xf numFmtId="0" fontId="54" fillId="3" borderId="8" xfId="45" applyFont="1" applyFill="1" applyBorder="1" applyAlignment="1">
      <alignment horizontal="center"/>
    </xf>
    <xf numFmtId="3" fontId="54" fillId="3" borderId="8" xfId="45" applyNumberFormat="1" applyFont="1" applyFill="1" applyBorder="1" applyAlignment="1">
      <alignment horizontal="right" indent="1"/>
    </xf>
    <xf numFmtId="0" fontId="196" fillId="0" borderId="0" xfId="45" applyAlignment="1">
      <alignment horizontal="right" indent="1"/>
    </xf>
    <xf numFmtId="0" fontId="57" fillId="3" borderId="8" xfId="45" applyFont="1" applyFill="1" applyBorder="1" applyAlignment="1">
      <alignment horizontal="center"/>
    </xf>
    <xf numFmtId="3" fontId="57" fillId="3" borderId="8" xfId="45" applyNumberFormat="1" applyFont="1" applyFill="1" applyBorder="1" applyAlignment="1">
      <alignment horizontal="right" indent="1"/>
    </xf>
    <xf numFmtId="0" fontId="32" fillId="0" borderId="0" xfId="45" applyFont="1" applyAlignment="1">
      <alignment horizontal="center"/>
    </xf>
    <xf numFmtId="0" fontId="32" fillId="0" borderId="0" xfId="45" applyFont="1" applyAlignment="1">
      <alignment horizontal="right" indent="1"/>
    </xf>
    <xf numFmtId="0" fontId="110" fillId="0" borderId="0" xfId="45" applyFont="1" applyAlignment="1">
      <alignment horizontal="right" indent="1"/>
    </xf>
    <xf numFmtId="0" fontId="55" fillId="3" borderId="8" xfId="45" applyFont="1" applyFill="1" applyBorder="1" applyAlignment="1">
      <alignment horizontal="center"/>
    </xf>
    <xf numFmtId="3" fontId="55" fillId="3" borderId="8" xfId="45" applyNumberFormat="1" applyFont="1" applyFill="1" applyBorder="1" applyAlignment="1">
      <alignment horizontal="right" indent="1"/>
    </xf>
    <xf numFmtId="0" fontId="58" fillId="3" borderId="8" xfId="45" applyFont="1" applyFill="1" applyBorder="1" applyAlignment="1">
      <alignment horizontal="center"/>
    </xf>
    <xf numFmtId="3" fontId="58" fillId="3" borderId="60" xfId="45" applyNumberFormat="1" applyFont="1" applyFill="1" applyBorder="1" applyAlignment="1">
      <alignment horizontal="right" indent="1"/>
    </xf>
    <xf numFmtId="3" fontId="58" fillId="3" borderId="2" xfId="45" applyNumberFormat="1" applyFont="1" applyFill="1" applyBorder="1" applyAlignment="1">
      <alignment horizontal="right" indent="1"/>
    </xf>
    <xf numFmtId="3" fontId="58" fillId="3" borderId="8" xfId="45" applyNumberFormat="1" applyFont="1" applyFill="1" applyBorder="1" applyAlignment="1">
      <alignment horizontal="right" indent="1"/>
    </xf>
    <xf numFmtId="0" fontId="56" fillId="3" borderId="8" xfId="45" applyFont="1" applyFill="1" applyBorder="1" applyAlignment="1">
      <alignment horizontal="center"/>
    </xf>
    <xf numFmtId="3" fontId="56" fillId="3" borderId="8" xfId="45" applyNumberFormat="1" applyFont="1" applyFill="1" applyBorder="1" applyAlignment="1">
      <alignment horizontal="right" indent="1"/>
    </xf>
    <xf numFmtId="0" fontId="50" fillId="3" borderId="8" xfId="45" applyFont="1" applyFill="1" applyBorder="1" applyAlignment="1">
      <alignment horizontal="center"/>
    </xf>
    <xf numFmtId="3" fontId="50" fillId="3" borderId="8" xfId="45" applyNumberFormat="1" applyFont="1" applyFill="1" applyBorder="1" applyAlignment="1">
      <alignment horizontal="right" indent="1"/>
    </xf>
    <xf numFmtId="0" fontId="81" fillId="0" borderId="0" xfId="45" applyFont="1"/>
    <xf numFmtId="0" fontId="227" fillId="0" borderId="195" xfId="1" applyFont="1" applyBorder="1" applyAlignment="1" applyProtection="1"/>
    <xf numFmtId="0" fontId="81" fillId="0" borderId="195" xfId="45" applyFont="1" applyBorder="1" applyAlignment="1">
      <alignment wrapText="1"/>
    </xf>
    <xf numFmtId="0" fontId="81" fillId="0" borderId="0" xfId="45" applyFont="1" applyAlignment="1">
      <alignment horizontal="left" wrapText="1"/>
    </xf>
    <xf numFmtId="0" fontId="26" fillId="0" borderId="0" xfId="45" applyFont="1"/>
    <xf numFmtId="0" fontId="81" fillId="0" borderId="0" xfId="45" applyFont="1" applyAlignment="1">
      <alignment vertical="top" wrapText="1"/>
    </xf>
    <xf numFmtId="3" fontId="196" fillId="0" borderId="0" xfId="45" applyNumberFormat="1"/>
    <xf numFmtId="0" fontId="43" fillId="0" borderId="0" xfId="53" applyFont="1" applyAlignment="1">
      <alignment vertical="center"/>
    </xf>
    <xf numFmtId="0" fontId="196" fillId="0" borderId="0" xfId="45" applyAlignment="1">
      <alignment horizontal="center" vertical="center"/>
    </xf>
    <xf numFmtId="0" fontId="51" fillId="0" borderId="0" xfId="45" applyFont="1" applyAlignment="1">
      <alignment vertical="center"/>
    </xf>
    <xf numFmtId="0" fontId="196" fillId="0" borderId="0" xfId="45" applyAlignment="1">
      <alignment vertical="center"/>
    </xf>
    <xf numFmtId="0" fontId="228" fillId="0" borderId="0" xfId="45" applyFont="1" applyAlignment="1">
      <alignment horizontal="center" vertical="center"/>
    </xf>
    <xf numFmtId="0" fontId="30" fillId="0" borderId="0" xfId="45" applyFont="1" applyAlignment="1">
      <alignment horizontal="center" vertical="center"/>
    </xf>
    <xf numFmtId="0" fontId="96" fillId="0" borderId="0" xfId="45" applyFont="1" applyAlignment="1">
      <alignment horizontal="center" vertical="center"/>
    </xf>
    <xf numFmtId="0" fontId="96" fillId="0" borderId="0" xfId="45" applyFont="1" applyAlignment="1">
      <alignment vertical="center"/>
    </xf>
    <xf numFmtId="0" fontId="26" fillId="0" borderId="0" xfId="45" applyFont="1" applyAlignment="1">
      <alignment vertical="center"/>
    </xf>
    <xf numFmtId="0" fontId="50" fillId="3" borderId="216" xfId="45" applyFont="1" applyFill="1" applyBorder="1" applyAlignment="1">
      <alignment horizontal="center" vertical="center" wrapText="1"/>
    </xf>
    <xf numFmtId="0" fontId="50" fillId="3" borderId="217" xfId="45" applyFont="1" applyFill="1" applyBorder="1" applyAlignment="1">
      <alignment horizontal="center" vertical="center" wrapText="1"/>
    </xf>
    <xf numFmtId="0" fontId="50" fillId="3" borderId="218" xfId="45" applyFont="1" applyFill="1" applyBorder="1" applyAlignment="1">
      <alignment horizontal="center" vertical="center" wrapText="1"/>
    </xf>
    <xf numFmtId="0" fontId="32" fillId="0" borderId="0" xfId="45" applyFont="1" applyAlignment="1">
      <alignment horizontal="center" vertical="center"/>
    </xf>
    <xf numFmtId="0" fontId="32" fillId="0" borderId="0" xfId="45" applyFont="1" applyAlignment="1">
      <alignment vertical="center"/>
    </xf>
    <xf numFmtId="0" fontId="32" fillId="0" borderId="192" xfId="45" applyFont="1" applyBorder="1" applyAlignment="1">
      <alignment horizontal="center" vertical="center"/>
    </xf>
    <xf numFmtId="3" fontId="32" fillId="0" borderId="221" xfId="45" applyNumberFormat="1" applyFont="1" applyBorder="1" applyAlignment="1">
      <alignment horizontal="right" vertical="center"/>
    </xf>
    <xf numFmtId="3" fontId="32" fillId="0" borderId="162" xfId="45" applyNumberFormat="1" applyFont="1" applyBorder="1" applyAlignment="1">
      <alignment horizontal="right" vertical="center"/>
    </xf>
    <xf numFmtId="3" fontId="50" fillId="0" borderId="222" xfId="45" applyNumberFormat="1" applyFont="1" applyBorder="1" applyAlignment="1">
      <alignment horizontal="right" vertical="center"/>
    </xf>
    <xf numFmtId="0" fontId="32" fillId="0" borderId="16" xfId="45" applyFont="1" applyBorder="1" applyAlignment="1">
      <alignment horizontal="center" vertical="center"/>
    </xf>
    <xf numFmtId="3" fontId="32" fillId="0" borderId="17" xfId="45" applyNumberFormat="1" applyFont="1" applyBorder="1" applyAlignment="1">
      <alignment horizontal="right" vertical="center"/>
    </xf>
    <xf numFmtId="3" fontId="32" fillId="0" borderId="18" xfId="45" applyNumberFormat="1" applyFont="1" applyBorder="1" applyAlignment="1">
      <alignment horizontal="right" vertical="center"/>
    </xf>
    <xf numFmtId="3" fontId="50" fillId="0" borderId="19" xfId="45" applyNumberFormat="1" applyFont="1" applyBorder="1" applyAlignment="1">
      <alignment horizontal="right" vertical="center"/>
    </xf>
    <xf numFmtId="0" fontId="32" fillId="0" borderId="20" xfId="45" applyFont="1" applyBorder="1" applyAlignment="1">
      <alignment horizontal="center" vertical="center"/>
    </xf>
    <xf numFmtId="3" fontId="32" fillId="0" borderId="21" xfId="45" applyNumberFormat="1" applyFont="1" applyBorder="1" applyAlignment="1">
      <alignment horizontal="right" vertical="center"/>
    </xf>
    <xf numFmtId="3" fontId="32" fillId="0" borderId="22" xfId="45" applyNumberFormat="1" applyFont="1" applyBorder="1" applyAlignment="1">
      <alignment horizontal="right" vertical="center"/>
    </xf>
    <xf numFmtId="3" fontId="50" fillId="0" borderId="23" xfId="45" applyNumberFormat="1" applyFont="1" applyBorder="1" applyAlignment="1">
      <alignment horizontal="right" vertical="center"/>
    </xf>
    <xf numFmtId="0" fontId="54" fillId="3" borderId="8" xfId="45" applyFont="1" applyFill="1" applyBorder="1" applyAlignment="1">
      <alignment horizontal="center" vertical="center"/>
    </xf>
    <xf numFmtId="3" fontId="54" fillId="3" borderId="60" xfId="45" applyNumberFormat="1" applyFont="1" applyFill="1" applyBorder="1" applyAlignment="1">
      <alignment horizontal="right" vertical="center"/>
    </xf>
    <xf numFmtId="3" fontId="54" fillId="3" borderId="2" xfId="45" applyNumberFormat="1" applyFont="1" applyFill="1" applyBorder="1" applyAlignment="1">
      <alignment horizontal="right" vertical="center"/>
    </xf>
    <xf numFmtId="3" fontId="54" fillId="3" borderId="11" xfId="45" applyNumberFormat="1" applyFont="1" applyFill="1" applyBorder="1" applyAlignment="1">
      <alignment horizontal="right" vertical="center"/>
    </xf>
    <xf numFmtId="0" fontId="196" fillId="0" borderId="0" xfId="45" applyAlignment="1">
      <alignment horizontal="right" vertical="center"/>
    </xf>
    <xf numFmtId="0" fontId="57" fillId="3" borderId="8" xfId="45" applyFont="1" applyFill="1" applyBorder="1" applyAlignment="1">
      <alignment horizontal="center" vertical="center"/>
    </xf>
    <xf numFmtId="3" fontId="57" fillId="3" borderId="60" xfId="45" applyNumberFormat="1" applyFont="1" applyFill="1" applyBorder="1" applyAlignment="1">
      <alignment horizontal="right" vertical="center"/>
    </xf>
    <xf numFmtId="3" fontId="57" fillId="3" borderId="2" xfId="45" applyNumberFormat="1" applyFont="1" applyFill="1" applyBorder="1" applyAlignment="1">
      <alignment horizontal="right" vertical="center"/>
    </xf>
    <xf numFmtId="3" fontId="57" fillId="3" borderId="11" xfId="45" applyNumberFormat="1" applyFont="1" applyFill="1" applyBorder="1" applyAlignment="1">
      <alignment horizontal="right" vertical="center"/>
    </xf>
    <xf numFmtId="0" fontId="32" fillId="0" borderId="0" xfId="45" applyFont="1" applyAlignment="1">
      <alignment horizontal="right" vertical="center"/>
    </xf>
    <xf numFmtId="0" fontId="55" fillId="3" borderId="8" xfId="45" applyFont="1" applyFill="1" applyBorder="1" applyAlignment="1">
      <alignment horizontal="center" vertical="center"/>
    </xf>
    <xf numFmtId="3" fontId="55" fillId="3" borderId="60" xfId="45" applyNumberFormat="1" applyFont="1" applyFill="1" applyBorder="1" applyAlignment="1">
      <alignment horizontal="right" vertical="center"/>
    </xf>
    <xf numFmtId="3" fontId="55" fillId="3" borderId="2" xfId="45" applyNumberFormat="1" applyFont="1" applyFill="1" applyBorder="1" applyAlignment="1">
      <alignment horizontal="right" vertical="center"/>
    </xf>
    <xf numFmtId="3" fontId="55" fillId="3" borderId="11" xfId="45" applyNumberFormat="1" applyFont="1" applyFill="1" applyBorder="1" applyAlignment="1">
      <alignment horizontal="right" vertical="center"/>
    </xf>
    <xf numFmtId="0" fontId="58" fillId="3" borderId="8" xfId="45" applyFont="1" applyFill="1" applyBorder="1" applyAlignment="1">
      <alignment horizontal="center" vertical="center"/>
    </xf>
    <xf numFmtId="3" fontId="58" fillId="3" borderId="60" xfId="45" applyNumberFormat="1" applyFont="1" applyFill="1" applyBorder="1" applyAlignment="1">
      <alignment horizontal="right" vertical="center"/>
    </xf>
    <xf numFmtId="3" fontId="58" fillId="3" borderId="2" xfId="45" applyNumberFormat="1" applyFont="1" applyFill="1" applyBorder="1" applyAlignment="1">
      <alignment horizontal="right" vertical="center"/>
    </xf>
    <xf numFmtId="3" fontId="58" fillId="3" borderId="11" xfId="45" applyNumberFormat="1" applyFont="1" applyFill="1" applyBorder="1" applyAlignment="1">
      <alignment horizontal="right" vertical="center"/>
    </xf>
    <xf numFmtId="0" fontId="56" fillId="3" borderId="8" xfId="45" applyFont="1" applyFill="1" applyBorder="1" applyAlignment="1">
      <alignment horizontal="center" vertical="center"/>
    </xf>
    <xf numFmtId="3" fontId="56" fillId="3" borderId="60" xfId="45" applyNumberFormat="1" applyFont="1" applyFill="1" applyBorder="1" applyAlignment="1">
      <alignment horizontal="right" vertical="center"/>
    </xf>
    <xf numFmtId="3" fontId="56" fillId="3" borderId="2" xfId="45" applyNumberFormat="1" applyFont="1" applyFill="1" applyBorder="1" applyAlignment="1">
      <alignment horizontal="right" vertical="center"/>
    </xf>
    <xf numFmtId="3" fontId="56" fillId="3" borderId="11" xfId="45" applyNumberFormat="1" applyFont="1" applyFill="1" applyBorder="1" applyAlignment="1">
      <alignment horizontal="right" vertical="center"/>
    </xf>
    <xf numFmtId="3" fontId="32" fillId="0" borderId="171" xfId="45" applyNumberFormat="1" applyFont="1" applyBorder="1" applyAlignment="1">
      <alignment horizontal="right" vertical="center"/>
    </xf>
    <xf numFmtId="3" fontId="32" fillId="0" borderId="212" xfId="45" applyNumberFormat="1" applyFont="1" applyBorder="1" applyAlignment="1">
      <alignment horizontal="right" vertical="center"/>
    </xf>
    <xf numFmtId="3" fontId="32" fillId="0" borderId="172" xfId="45" applyNumberFormat="1" applyFont="1" applyBorder="1" applyAlignment="1">
      <alignment horizontal="right" vertical="center"/>
    </xf>
    <xf numFmtId="3" fontId="32" fillId="0" borderId="49" xfId="45" applyNumberFormat="1" applyFont="1" applyBorder="1" applyAlignment="1">
      <alignment horizontal="right" vertical="center"/>
    </xf>
    <xf numFmtId="3" fontId="32" fillId="0" borderId="50" xfId="45" applyNumberFormat="1" applyFont="1" applyBorder="1" applyAlignment="1">
      <alignment horizontal="right" vertical="center"/>
    </xf>
    <xf numFmtId="3" fontId="32" fillId="0" borderId="51" xfId="45" applyNumberFormat="1" applyFont="1" applyBorder="1" applyAlignment="1">
      <alignment horizontal="right" vertical="center"/>
    </xf>
    <xf numFmtId="0" fontId="32" fillId="0" borderId="223" xfId="45" applyFont="1" applyBorder="1" applyAlignment="1">
      <alignment horizontal="center" vertical="center"/>
    </xf>
    <xf numFmtId="0" fontId="32" fillId="0" borderId="224" xfId="45" applyFont="1" applyBorder="1" applyAlignment="1">
      <alignment horizontal="center" vertical="center"/>
    </xf>
    <xf numFmtId="3" fontId="32" fillId="0" borderId="53" xfId="45" applyNumberFormat="1" applyFont="1" applyBorder="1" applyAlignment="1">
      <alignment horizontal="right" vertical="center"/>
    </xf>
    <xf numFmtId="3" fontId="32" fillId="0" borderId="54" xfId="45" applyNumberFormat="1" applyFont="1" applyBorder="1" applyAlignment="1">
      <alignment horizontal="right" vertical="center"/>
    </xf>
    <xf numFmtId="3" fontId="32" fillId="0" borderId="33" xfId="45" applyNumberFormat="1" applyFont="1" applyBorder="1" applyAlignment="1">
      <alignment horizontal="right" vertical="center"/>
    </xf>
    <xf numFmtId="0" fontId="50" fillId="3" borderId="8" xfId="45" applyFont="1" applyFill="1" applyBorder="1" applyAlignment="1">
      <alignment horizontal="center" vertical="center"/>
    </xf>
    <xf numFmtId="3" fontId="50" fillId="3" borderId="60" xfId="45" applyNumberFormat="1" applyFont="1" applyFill="1" applyBorder="1" applyAlignment="1">
      <alignment horizontal="right" vertical="center"/>
    </xf>
    <xf numFmtId="3" fontId="50" fillId="3" borderId="2" xfId="45" applyNumberFormat="1" applyFont="1" applyFill="1" applyBorder="1" applyAlignment="1">
      <alignment horizontal="right" vertical="center"/>
    </xf>
    <xf numFmtId="3" fontId="50" fillId="3" borderId="11" xfId="45" applyNumberFormat="1" applyFont="1" applyFill="1" applyBorder="1" applyAlignment="1">
      <alignment horizontal="right" vertical="center"/>
    </xf>
    <xf numFmtId="0" fontId="229" fillId="0" borderId="0" xfId="45" applyFont="1" applyAlignment="1">
      <alignment horizontal="left" vertical="center"/>
    </xf>
    <xf numFmtId="0" fontId="43" fillId="0" borderId="0" xfId="45" applyFont="1" applyAlignment="1">
      <alignment vertical="center" wrapText="1"/>
    </xf>
    <xf numFmtId="0" fontId="196" fillId="0" borderId="0" xfId="45" applyAlignment="1">
      <alignment horizontal="left" vertical="center"/>
    </xf>
    <xf numFmtId="0" fontId="26" fillId="0" borderId="0" xfId="45" applyFont="1" applyAlignment="1">
      <alignment horizontal="left" vertical="center"/>
    </xf>
    <xf numFmtId="0" fontId="43" fillId="0" borderId="0" xfId="45" applyFont="1" applyAlignment="1">
      <alignment horizontal="left" vertical="center"/>
    </xf>
    <xf numFmtId="9" fontId="0" fillId="0" borderId="0" xfId="27" applyFont="1" applyAlignment="1">
      <alignment vertical="center"/>
    </xf>
    <xf numFmtId="0" fontId="69" fillId="0" borderId="0" xfId="54" applyFont="1" applyAlignment="1">
      <alignment vertical="center"/>
    </xf>
    <xf numFmtId="0" fontId="64" fillId="0" borderId="0" xfId="45" applyFont="1" applyAlignment="1">
      <alignment vertical="center"/>
    </xf>
    <xf numFmtId="0" fontId="32" fillId="3" borderId="216" xfId="54" applyFont="1" applyFill="1" applyBorder="1" applyAlignment="1">
      <alignment horizontal="center" vertical="center" wrapText="1"/>
    </xf>
    <xf numFmtId="0" fontId="32" fillId="3" borderId="217" xfId="54" applyFont="1" applyFill="1" applyBorder="1" applyAlignment="1">
      <alignment horizontal="center" vertical="center" wrapText="1"/>
    </xf>
    <xf numFmtId="0" fontId="32" fillId="3" borderId="218" xfId="54" applyFont="1" applyFill="1" applyBorder="1" applyAlignment="1">
      <alignment horizontal="center" vertical="center" wrapText="1"/>
    </xf>
    <xf numFmtId="0" fontId="50" fillId="0" borderId="8" xfId="54" applyFont="1" applyBorder="1" applyAlignment="1">
      <alignment horizontal="center" vertical="center" wrapText="1"/>
    </xf>
    <xf numFmtId="0" fontId="32" fillId="0" borderId="171" xfId="54" applyFont="1" applyBorder="1" applyAlignment="1">
      <alignment horizontal="right" vertical="center"/>
    </xf>
    <xf numFmtId="43" fontId="32" fillId="0" borderId="212" xfId="42" applyFont="1" applyBorder="1" applyAlignment="1">
      <alignment horizontal="right" vertical="center"/>
    </xf>
    <xf numFmtId="0" fontId="32" fillId="0" borderId="212" xfId="54" applyFont="1" applyBorder="1" applyAlignment="1">
      <alignment horizontal="right" vertical="center"/>
    </xf>
    <xf numFmtId="0" fontId="50" fillId="0" borderId="172" xfId="54" applyFont="1" applyBorder="1" applyAlignment="1">
      <alignment horizontal="right" vertical="center"/>
    </xf>
    <xf numFmtId="0" fontId="32" fillId="0" borderId="49" xfId="54" applyFont="1" applyBorder="1" applyAlignment="1">
      <alignment horizontal="right" vertical="center"/>
    </xf>
    <xf numFmtId="0" fontId="32" fillId="0" borderId="50" xfId="54" applyFont="1" applyBorder="1" applyAlignment="1">
      <alignment horizontal="right" vertical="center"/>
    </xf>
    <xf numFmtId="0" fontId="50" fillId="0" borderId="51" xfId="54" applyFont="1" applyBorder="1" applyAlignment="1">
      <alignment horizontal="right" vertical="center"/>
    </xf>
    <xf numFmtId="0" fontId="32" fillId="0" borderId="61" xfId="45" applyFont="1" applyBorder="1" applyAlignment="1">
      <alignment horizontal="center" vertical="center"/>
    </xf>
    <xf numFmtId="0" fontId="32" fillId="0" borderId="57" xfId="54" applyFont="1" applyBorder="1" applyAlignment="1">
      <alignment horizontal="right" vertical="center"/>
    </xf>
    <xf numFmtId="0" fontId="32" fillId="0" borderId="58" xfId="54" applyFont="1" applyBorder="1" applyAlignment="1">
      <alignment horizontal="right" vertical="center"/>
    </xf>
    <xf numFmtId="0" fontId="50" fillId="0" borderId="59" xfId="54" applyFont="1" applyBorder="1" applyAlignment="1">
      <alignment horizontal="right" vertical="center"/>
    </xf>
    <xf numFmtId="0" fontId="54" fillId="3" borderId="197" xfId="45" applyFont="1" applyFill="1" applyBorder="1" applyAlignment="1">
      <alignment horizontal="center" vertical="center"/>
    </xf>
    <xf numFmtId="0" fontId="54" fillId="3" borderId="216" xfId="54" applyFont="1" applyFill="1" applyBorder="1" applyAlignment="1">
      <alignment horizontal="right" vertical="center"/>
    </xf>
    <xf numFmtId="0" fontId="54" fillId="3" borderId="217" xfId="54" applyFont="1" applyFill="1" applyBorder="1" applyAlignment="1">
      <alignment horizontal="right" vertical="center"/>
    </xf>
    <xf numFmtId="0" fontId="54" fillId="3" borderId="218" xfId="54" applyFont="1" applyFill="1" applyBorder="1" applyAlignment="1">
      <alignment horizontal="right" vertical="center"/>
    </xf>
    <xf numFmtId="0" fontId="57" fillId="3" borderId="197" xfId="45" applyFont="1" applyFill="1" applyBorder="1" applyAlignment="1">
      <alignment horizontal="center" vertical="center"/>
    </xf>
    <xf numFmtId="0" fontId="57" fillId="3" borderId="216" xfId="54" applyFont="1" applyFill="1" applyBorder="1" applyAlignment="1">
      <alignment horizontal="right" vertical="center"/>
    </xf>
    <xf numFmtId="0" fontId="57" fillId="3" borderId="217" xfId="54" applyFont="1" applyFill="1" applyBorder="1" applyAlignment="1">
      <alignment horizontal="right" vertical="center"/>
    </xf>
    <xf numFmtId="0" fontId="57" fillId="3" borderId="218" xfId="54" applyFont="1" applyFill="1" applyBorder="1" applyAlignment="1">
      <alignment horizontal="right" vertical="center"/>
    </xf>
    <xf numFmtId="0" fontId="55" fillId="3" borderId="197" xfId="45" applyFont="1" applyFill="1" applyBorder="1" applyAlignment="1">
      <alignment horizontal="center" vertical="center"/>
    </xf>
    <xf numFmtId="0" fontId="55" fillId="3" borderId="216" xfId="54" applyFont="1" applyFill="1" applyBorder="1" applyAlignment="1">
      <alignment horizontal="right" vertical="center"/>
    </xf>
    <xf numFmtId="0" fontId="55" fillId="3" borderId="217" xfId="54" applyFont="1" applyFill="1" applyBorder="1" applyAlignment="1">
      <alignment horizontal="right" vertical="center"/>
    </xf>
    <xf numFmtId="0" fontId="55" fillId="3" borderId="218" xfId="54" applyFont="1" applyFill="1" applyBorder="1" applyAlignment="1">
      <alignment horizontal="right" vertical="center"/>
    </xf>
    <xf numFmtId="0" fontId="58" fillId="3" borderId="197" xfId="45" applyFont="1" applyFill="1" applyBorder="1" applyAlignment="1">
      <alignment horizontal="center" vertical="center"/>
    </xf>
    <xf numFmtId="0" fontId="58" fillId="3" borderId="216" xfId="54" applyFont="1" applyFill="1" applyBorder="1" applyAlignment="1">
      <alignment horizontal="right" vertical="center"/>
    </xf>
    <xf numFmtId="0" fontId="58" fillId="3" borderId="217" xfId="54" applyFont="1" applyFill="1" applyBorder="1" applyAlignment="1">
      <alignment horizontal="right" vertical="center"/>
    </xf>
    <xf numFmtId="0" fontId="58" fillId="3" borderId="218" xfId="54" applyFont="1" applyFill="1" applyBorder="1" applyAlignment="1">
      <alignment horizontal="right" vertical="center"/>
    </xf>
    <xf numFmtId="0" fontId="144" fillId="0" borderId="0" xfId="54" applyFont="1" applyAlignment="1">
      <alignment vertical="center"/>
    </xf>
    <xf numFmtId="0" fontId="56" fillId="3" borderId="197" xfId="45" applyFont="1" applyFill="1" applyBorder="1" applyAlignment="1">
      <alignment horizontal="center" vertical="center"/>
    </xf>
    <xf numFmtId="0" fontId="56" fillId="3" borderId="216" xfId="54" applyFont="1" applyFill="1" applyBorder="1" applyAlignment="1">
      <alignment horizontal="right" vertical="center"/>
    </xf>
    <xf numFmtId="0" fontId="56" fillId="3" borderId="217" xfId="54" applyFont="1" applyFill="1" applyBorder="1" applyAlignment="1">
      <alignment horizontal="right" vertical="center"/>
    </xf>
    <xf numFmtId="0" fontId="56" fillId="3" borderId="218" xfId="54" applyFont="1" applyFill="1" applyBorder="1" applyAlignment="1">
      <alignment horizontal="right" vertical="center"/>
    </xf>
    <xf numFmtId="0" fontId="50" fillId="0" borderId="57" xfId="54" applyFont="1" applyBorder="1" applyAlignment="1">
      <alignment horizontal="right" vertical="center"/>
    </xf>
    <xf numFmtId="0" fontId="50" fillId="0" borderId="58" xfId="54" applyFont="1" applyBorder="1" applyAlignment="1">
      <alignment horizontal="right" vertical="center"/>
    </xf>
    <xf numFmtId="0" fontId="50" fillId="3" borderId="216" xfId="54" applyFont="1" applyFill="1" applyBorder="1" applyAlignment="1">
      <alignment horizontal="right" vertical="center"/>
    </xf>
    <xf numFmtId="0" fontId="50" fillId="3" borderId="217" xfId="54" applyFont="1" applyFill="1" applyBorder="1" applyAlignment="1">
      <alignment horizontal="right" vertical="center"/>
    </xf>
    <xf numFmtId="0" fontId="50" fillId="3" borderId="218" xfId="54" applyFont="1" applyFill="1" applyBorder="1" applyAlignment="1">
      <alignment horizontal="right" vertical="center"/>
    </xf>
    <xf numFmtId="0" fontId="32" fillId="0" borderId="0" xfId="54" applyFont="1" applyAlignment="1">
      <alignment horizontal="left" vertical="center"/>
    </xf>
    <xf numFmtId="0" fontId="50" fillId="0" borderId="0" xfId="54" applyFont="1" applyAlignment="1">
      <alignment horizontal="right" vertical="center"/>
    </xf>
    <xf numFmtId="0" fontId="32" fillId="0" borderId="0" xfId="54" applyFont="1" applyAlignment="1">
      <alignment vertical="center"/>
    </xf>
    <xf numFmtId="0" fontId="231" fillId="0" borderId="0" xfId="54" applyFont="1" applyAlignment="1">
      <alignment vertical="center"/>
    </xf>
    <xf numFmtId="0" fontId="174" fillId="0" borderId="0" xfId="45" applyFont="1" applyAlignment="1">
      <alignment vertical="center"/>
    </xf>
    <xf numFmtId="0" fontId="172" fillId="0" borderId="0" xfId="45" applyFont="1"/>
    <xf numFmtId="0" fontId="232" fillId="0" borderId="0" xfId="45" applyFont="1" applyAlignment="1">
      <alignment horizontal="center"/>
    </xf>
    <xf numFmtId="0" fontId="50" fillId="0" borderId="0" xfId="45" applyFont="1" applyBorder="1" applyAlignment="1">
      <alignment horizontal="center" vertical="center"/>
    </xf>
    <xf numFmtId="1" fontId="50" fillId="0" borderId="87" xfId="4" applyNumberFormat="1" applyFont="1" applyFill="1" applyBorder="1" applyAlignment="1">
      <alignment horizontal="center" vertical="center" wrapText="1"/>
    </xf>
    <xf numFmtId="1" fontId="50" fillId="0" borderId="225" xfId="4" applyNumberFormat="1" applyFont="1" applyFill="1" applyBorder="1" applyAlignment="1">
      <alignment horizontal="center" vertical="center" wrapText="1"/>
    </xf>
    <xf numFmtId="1" fontId="32" fillId="0" borderId="226" xfId="4" applyNumberFormat="1" applyFont="1" applyFill="1" applyBorder="1" applyAlignment="1">
      <alignment horizontal="center" vertical="center" wrapText="1"/>
    </xf>
    <xf numFmtId="1" fontId="32" fillId="0" borderId="227" xfId="4" applyNumberFormat="1" applyFont="1" applyFill="1" applyBorder="1" applyAlignment="1">
      <alignment horizontal="center" vertical="center" wrapText="1"/>
    </xf>
    <xf numFmtId="1" fontId="32" fillId="0" borderId="228" xfId="4" applyNumberFormat="1" applyFont="1" applyFill="1" applyBorder="1" applyAlignment="1">
      <alignment horizontal="center" vertical="center" wrapText="1"/>
    </xf>
    <xf numFmtId="1" fontId="41" fillId="0" borderId="228" xfId="4" applyNumberFormat="1" applyFont="1" applyFill="1" applyBorder="1" applyAlignment="1">
      <alignment horizontal="center" vertical="center" wrapText="1"/>
    </xf>
    <xf numFmtId="0" fontId="71" fillId="0" borderId="228" xfId="55" applyFont="1" applyFill="1" applyBorder="1" applyAlignment="1">
      <alignment horizontal="center" vertical="center" wrapText="1"/>
    </xf>
    <xf numFmtId="1" fontId="50" fillId="0" borderId="229" xfId="4" applyNumberFormat="1" applyFont="1" applyFill="1" applyBorder="1" applyAlignment="1">
      <alignment horizontal="center" vertical="center" wrapText="1"/>
    </xf>
    <xf numFmtId="0" fontId="232" fillId="0" borderId="0" xfId="45" applyFont="1" applyAlignment="1">
      <alignment horizontal="center" vertical="center"/>
    </xf>
    <xf numFmtId="0" fontId="50" fillId="0" borderId="0" xfId="45" applyFont="1" applyAlignment="1">
      <alignment horizontal="center"/>
    </xf>
    <xf numFmtId="0" fontId="96" fillId="0" borderId="0" xfId="45" applyFont="1" applyAlignment="1">
      <alignment horizontal="center"/>
    </xf>
    <xf numFmtId="0" fontId="50" fillId="0" borderId="209" xfId="45" applyFont="1" applyBorder="1" applyAlignment="1">
      <alignment horizontal="center"/>
    </xf>
    <xf numFmtId="3" fontId="32" fillId="0" borderId="230" xfId="45" applyNumberFormat="1" applyFont="1" applyBorder="1" applyAlignment="1">
      <alignment horizontal="right" vertical="center" indent="1"/>
    </xf>
    <xf numFmtId="3" fontId="32" fillId="0" borderId="231" xfId="45" applyNumberFormat="1" applyFont="1" applyBorder="1" applyAlignment="1">
      <alignment horizontal="right" vertical="center" indent="1"/>
    </xf>
    <xf numFmtId="3" fontId="32" fillId="0" borderId="231" xfId="45" applyNumberFormat="1" applyFont="1" applyBorder="1" applyAlignment="1">
      <alignment horizontal="right" vertical="center"/>
    </xf>
    <xf numFmtId="3" fontId="50" fillId="0" borderId="232" xfId="45" applyNumberFormat="1" applyFont="1" applyBorder="1" applyAlignment="1">
      <alignment horizontal="right" vertical="center"/>
    </xf>
    <xf numFmtId="0" fontId="50" fillId="0" borderId="211" xfId="45" applyFont="1" applyBorder="1" applyAlignment="1">
      <alignment horizontal="center"/>
    </xf>
    <xf numFmtId="3" fontId="32" fillId="0" borderId="233" xfId="45" applyNumberFormat="1" applyFont="1" applyBorder="1" applyAlignment="1">
      <alignment horizontal="right" vertical="center" indent="1"/>
    </xf>
    <xf numFmtId="3" fontId="32" fillId="0" borderId="234" xfId="45" applyNumberFormat="1" applyFont="1" applyBorder="1" applyAlignment="1">
      <alignment horizontal="right" vertical="center" indent="1"/>
    </xf>
    <xf numFmtId="3" fontId="32" fillId="0" borderId="234" xfId="45" applyNumberFormat="1" applyFont="1" applyBorder="1" applyAlignment="1">
      <alignment horizontal="right" vertical="center"/>
    </xf>
    <xf numFmtId="3" fontId="50" fillId="0" borderId="235" xfId="45" applyNumberFormat="1" applyFont="1" applyBorder="1" applyAlignment="1">
      <alignment horizontal="right" vertical="center"/>
    </xf>
    <xf numFmtId="0" fontId="50" fillId="0" borderId="205" xfId="45" applyFont="1" applyBorder="1" applyAlignment="1">
      <alignment horizontal="center"/>
    </xf>
    <xf numFmtId="3" fontId="32" fillId="0" borderId="236" xfId="45" applyNumberFormat="1" applyFont="1" applyBorder="1" applyAlignment="1">
      <alignment horizontal="right" vertical="center" indent="1"/>
    </xf>
    <xf numFmtId="3" fontId="32" fillId="0" borderId="237" xfId="45" applyNumberFormat="1" applyFont="1" applyBorder="1" applyAlignment="1">
      <alignment horizontal="right" vertical="center" indent="1"/>
    </xf>
    <xf numFmtId="0" fontId="196" fillId="0" borderId="237" xfId="45" applyBorder="1"/>
    <xf numFmtId="3" fontId="32" fillId="0" borderId="237" xfId="45" applyNumberFormat="1" applyFont="1" applyBorder="1" applyAlignment="1">
      <alignment horizontal="right" vertical="center"/>
    </xf>
    <xf numFmtId="3" fontId="50" fillId="0" borderId="238" xfId="45" applyNumberFormat="1" applyFont="1" applyBorder="1" applyAlignment="1">
      <alignment horizontal="right" vertical="center"/>
    </xf>
    <xf numFmtId="3" fontId="32" fillId="0" borderId="0" xfId="45" applyNumberFormat="1" applyFont="1" applyAlignment="1">
      <alignment horizontal="right" vertical="center" indent="1"/>
    </xf>
    <xf numFmtId="3" fontId="32" fillId="0" borderId="0" xfId="45" applyNumberFormat="1" applyFont="1" applyAlignment="1">
      <alignment horizontal="right" vertical="center"/>
    </xf>
    <xf numFmtId="3" fontId="50" fillId="0" borderId="0" xfId="45" applyNumberFormat="1" applyFont="1" applyAlignment="1">
      <alignment horizontal="right" vertical="center"/>
    </xf>
    <xf numFmtId="3" fontId="32" fillId="0" borderId="239" xfId="45" applyNumberFormat="1" applyFont="1" applyBorder="1" applyAlignment="1">
      <alignment horizontal="right" vertical="center" indent="1"/>
    </xf>
    <xf numFmtId="3" fontId="32" fillId="0" borderId="240" xfId="45" applyNumberFormat="1" applyFont="1" applyBorder="1" applyAlignment="1">
      <alignment horizontal="right" vertical="center" indent="1"/>
    </xf>
    <xf numFmtId="3" fontId="32" fillId="0" borderId="241" xfId="45" applyNumberFormat="1" applyFont="1" applyBorder="1" applyAlignment="1">
      <alignment horizontal="right" vertical="center" indent="1"/>
    </xf>
    <xf numFmtId="0" fontId="43" fillId="0" borderId="0" xfId="45" applyFont="1"/>
    <xf numFmtId="0" fontId="233" fillId="0" borderId="0" xfId="45" applyFont="1" applyAlignment="1">
      <alignment readingOrder="1"/>
    </xf>
    <xf numFmtId="0" fontId="81" fillId="3" borderId="215" xfId="45" applyFont="1" applyFill="1" applyBorder="1" applyAlignment="1">
      <alignment horizontal="center" vertical="center" wrapText="1"/>
    </xf>
    <xf numFmtId="0" fontId="103" fillId="0" borderId="8" xfId="45" applyFont="1" applyBorder="1" applyAlignment="1">
      <alignment horizontal="center" vertical="center" wrapText="1"/>
    </xf>
    <xf numFmtId="0" fontId="50" fillId="0" borderId="0" xfId="45" applyFont="1" applyAlignment="1">
      <alignment horizontal="center" vertical="center"/>
    </xf>
    <xf numFmtId="0" fontId="47" fillId="0" borderId="1" xfId="45" applyFont="1" applyBorder="1" applyAlignment="1">
      <alignment horizontal="center" vertical="center" wrapText="1"/>
    </xf>
    <xf numFmtId="0" fontId="50" fillId="0" borderId="1" xfId="45" applyFont="1" applyBorder="1" applyAlignment="1">
      <alignment horizontal="center" vertical="center" wrapText="1"/>
    </xf>
    <xf numFmtId="0" fontId="234" fillId="0" borderId="171" xfId="45" applyFont="1" applyBorder="1" applyAlignment="1">
      <alignment horizontal="center" vertical="center"/>
    </xf>
    <xf numFmtId="3" fontId="26" fillId="0" borderId="171" xfId="45" applyNumberFormat="1" applyFont="1" applyBorder="1" applyAlignment="1">
      <alignment horizontal="right" vertical="center"/>
    </xf>
    <xf numFmtId="3" fontId="26" fillId="0" borderId="212" xfId="45" applyNumberFormat="1" applyFont="1" applyBorder="1" applyAlignment="1">
      <alignment horizontal="right" vertical="center"/>
    </xf>
    <xf numFmtId="3" fontId="126" fillId="0" borderId="173" xfId="45" applyNumberFormat="1" applyFont="1" applyBorder="1" applyAlignment="1">
      <alignment horizontal="right" vertical="center"/>
    </xf>
    <xf numFmtId="3" fontId="32" fillId="0" borderId="214" xfId="45" applyNumberFormat="1" applyFont="1" applyBorder="1" applyAlignment="1">
      <alignment horizontal="right" vertical="center" indent="1"/>
    </xf>
    <xf numFmtId="3" fontId="32" fillId="0" borderId="242" xfId="45" applyNumberFormat="1" applyFont="1" applyBorder="1" applyAlignment="1">
      <alignment horizontal="right" vertical="center" indent="1"/>
    </xf>
    <xf numFmtId="3" fontId="54" fillId="0" borderId="219" xfId="45" applyNumberFormat="1" applyFont="1" applyBorder="1" applyAlignment="1">
      <alignment horizontal="right" vertical="center" indent="1"/>
    </xf>
    <xf numFmtId="0" fontId="235" fillId="0" borderId="49" xfId="45" applyFont="1" applyBorder="1" applyAlignment="1">
      <alignment horizontal="center" vertical="center"/>
    </xf>
    <xf numFmtId="3" fontId="26" fillId="0" borderId="25" xfId="45" applyNumberFormat="1" applyFont="1" applyBorder="1" applyAlignment="1">
      <alignment horizontal="right" vertical="center"/>
    </xf>
    <xf numFmtId="3" fontId="26" fillId="0" borderId="26" xfId="45" applyNumberFormat="1" applyFont="1" applyBorder="1" applyAlignment="1">
      <alignment horizontal="right" vertical="center"/>
    </xf>
    <xf numFmtId="3" fontId="126" fillId="0" borderId="24" xfId="45" applyNumberFormat="1" applyFont="1" applyBorder="1" applyAlignment="1">
      <alignment horizontal="right" vertical="center"/>
    </xf>
    <xf numFmtId="3" fontId="32" fillId="0" borderId="81" xfId="45" applyNumberFormat="1" applyFont="1" applyBorder="1" applyAlignment="1">
      <alignment horizontal="right" vertical="center" indent="1"/>
    </xf>
    <xf numFmtId="3" fontId="32" fillId="0" borderId="73" xfId="45" applyNumberFormat="1" applyFont="1" applyBorder="1" applyAlignment="1">
      <alignment horizontal="right" vertical="center" indent="1"/>
    </xf>
    <xf numFmtId="3" fontId="57" fillId="0" borderId="74" xfId="45" applyNumberFormat="1" applyFont="1" applyBorder="1" applyAlignment="1">
      <alignment horizontal="right" vertical="center" indent="1"/>
    </xf>
    <xf numFmtId="0" fontId="168" fillId="0" borderId="49" xfId="45" applyFont="1" applyBorder="1" applyAlignment="1">
      <alignment horizontal="center" vertical="center"/>
    </xf>
    <xf numFmtId="3" fontId="26" fillId="0" borderId="49" xfId="45" applyNumberFormat="1" applyFont="1" applyBorder="1" applyAlignment="1">
      <alignment horizontal="right" vertical="center"/>
    </xf>
    <xf numFmtId="3" fontId="26" fillId="0" borderId="50" xfId="45" applyNumberFormat="1" applyFont="1" applyBorder="1" applyAlignment="1">
      <alignment horizontal="right" vertical="center"/>
    </xf>
    <xf numFmtId="3" fontId="130" fillId="0" borderId="48" xfId="45" applyNumberFormat="1" applyFont="1" applyBorder="1" applyAlignment="1">
      <alignment horizontal="right" vertical="center"/>
    </xf>
    <xf numFmtId="3" fontId="55" fillId="0" borderId="74" xfId="45" applyNumberFormat="1" applyFont="1" applyBorder="1" applyAlignment="1">
      <alignment horizontal="right" vertical="center" indent="1"/>
    </xf>
    <xf numFmtId="0" fontId="161" fillId="0" borderId="53" xfId="45" applyFont="1" applyBorder="1" applyAlignment="1">
      <alignment horizontal="center" vertical="center"/>
    </xf>
    <xf numFmtId="3" fontId="26" fillId="0" borderId="53" xfId="45" applyNumberFormat="1" applyFont="1" applyBorder="1" applyAlignment="1">
      <alignment horizontal="right" vertical="center"/>
    </xf>
    <xf numFmtId="3" fontId="26" fillId="0" borderId="54" xfId="45" applyNumberFormat="1" applyFont="1" applyBorder="1" applyAlignment="1">
      <alignment horizontal="right" vertical="center"/>
    </xf>
    <xf numFmtId="3" fontId="133" fillId="0" borderId="52" xfId="45" applyNumberFormat="1" applyFont="1" applyBorder="1" applyAlignment="1">
      <alignment horizontal="right" vertical="center"/>
    </xf>
    <xf numFmtId="3" fontId="58" fillId="0" borderId="74" xfId="45" applyNumberFormat="1" applyFont="1" applyBorder="1" applyAlignment="1">
      <alignment horizontal="right" vertical="center" indent="1"/>
    </xf>
    <xf numFmtId="0" fontId="84" fillId="3" borderId="216" xfId="45" applyFont="1" applyFill="1" applyBorder="1" applyAlignment="1">
      <alignment horizontal="center" vertical="center"/>
    </xf>
    <xf numFmtId="3" fontId="84" fillId="3" borderId="216" xfId="45" applyNumberFormat="1" applyFont="1" applyFill="1" applyBorder="1" applyAlignment="1">
      <alignment horizontal="right" vertical="center"/>
    </xf>
    <xf numFmtId="3" fontId="84" fillId="3" borderId="217" xfId="45" applyNumberFormat="1" applyFont="1" applyFill="1" applyBorder="1" applyAlignment="1">
      <alignment horizontal="right" vertical="center"/>
    </xf>
    <xf numFmtId="3" fontId="32" fillId="0" borderId="108" xfId="45" applyNumberFormat="1" applyFont="1" applyBorder="1" applyAlignment="1">
      <alignment horizontal="right" vertical="center" indent="1"/>
    </xf>
    <xf numFmtId="3" fontId="32" fillId="0" borderId="79" xfId="45" applyNumberFormat="1" applyFont="1" applyBorder="1" applyAlignment="1">
      <alignment horizontal="right" vertical="center" indent="1"/>
    </xf>
    <xf numFmtId="3" fontId="56" fillId="0" borderId="109" xfId="45" applyNumberFormat="1" applyFont="1" applyBorder="1" applyAlignment="1">
      <alignment horizontal="right" vertical="center" indent="1"/>
    </xf>
    <xf numFmtId="0" fontId="236" fillId="0" borderId="0" xfId="45" applyFont="1" applyAlignment="1">
      <alignment horizontal="left" vertical="center"/>
    </xf>
    <xf numFmtId="0" fontId="50" fillId="3" borderId="2" xfId="45" applyFont="1" applyFill="1" applyBorder="1" applyAlignment="1">
      <alignment horizontal="center" vertical="center"/>
    </xf>
    <xf numFmtId="0" fontId="237" fillId="0" borderId="0" xfId="45" applyFont="1" applyAlignment="1">
      <alignment horizontal="center" vertical="center"/>
    </xf>
    <xf numFmtId="0" fontId="26" fillId="0" borderId="0" xfId="45" applyFont="1" applyAlignment="1">
      <alignment horizontal="center"/>
    </xf>
    <xf numFmtId="0" fontId="81" fillId="3" borderId="196" xfId="45" applyFont="1" applyFill="1" applyBorder="1" applyAlignment="1">
      <alignment horizontal="center" vertical="center" wrapText="1"/>
    </xf>
    <xf numFmtId="0" fontId="81" fillId="3" borderId="194" xfId="45" applyFont="1" applyFill="1" applyBorder="1" applyAlignment="1">
      <alignment horizontal="center" vertical="center" wrapText="1"/>
    </xf>
    <xf numFmtId="3" fontId="129" fillId="0" borderId="48" xfId="45" applyNumberFormat="1" applyFont="1" applyBorder="1" applyAlignment="1">
      <alignment horizontal="right" vertical="center"/>
    </xf>
    <xf numFmtId="3" fontId="84" fillId="0" borderId="0" xfId="45" applyNumberFormat="1" applyFont="1" applyAlignment="1">
      <alignment vertical="center"/>
    </xf>
    <xf numFmtId="0" fontId="161" fillId="0" borderId="57" xfId="45" applyFont="1" applyBorder="1" applyAlignment="1">
      <alignment horizontal="center" vertical="center"/>
    </xf>
    <xf numFmtId="3" fontId="26" fillId="0" borderId="57" xfId="45" applyNumberFormat="1" applyFont="1" applyBorder="1" applyAlignment="1">
      <alignment horizontal="right" vertical="center"/>
    </xf>
    <xf numFmtId="3" fontId="26" fillId="0" borderId="58" xfId="45" applyNumberFormat="1" applyFont="1" applyBorder="1" applyAlignment="1">
      <alignment horizontal="right" vertical="center"/>
    </xf>
    <xf numFmtId="3" fontId="133" fillId="0" borderId="56" xfId="45" applyNumberFormat="1" applyFont="1" applyBorder="1" applyAlignment="1">
      <alignment horizontal="right" vertical="center"/>
    </xf>
    <xf numFmtId="0" fontId="113" fillId="0" borderId="49" xfId="45" applyFont="1" applyBorder="1" applyAlignment="1">
      <alignment horizontal="center" vertical="center"/>
    </xf>
    <xf numFmtId="3" fontId="132" fillId="0" borderId="48" xfId="45" applyNumberFormat="1" applyFont="1" applyBorder="1" applyAlignment="1">
      <alignment horizontal="right" vertical="center"/>
    </xf>
    <xf numFmtId="0" fontId="50" fillId="0" borderId="0" xfId="45" applyFont="1" applyAlignment="1">
      <alignment vertical="center"/>
    </xf>
    <xf numFmtId="3" fontId="50" fillId="3" borderId="2" xfId="45" applyNumberFormat="1" applyFont="1" applyFill="1" applyBorder="1" applyAlignment="1">
      <alignment horizontal="right" vertical="center" indent="1"/>
    </xf>
    <xf numFmtId="0" fontId="43" fillId="0" borderId="0" xfId="3" applyFont="1" applyAlignment="1">
      <alignment horizontal="left" vertical="center"/>
    </xf>
    <xf numFmtId="3" fontId="84" fillId="3" borderId="155" xfId="45" applyNumberFormat="1" applyFont="1" applyFill="1" applyBorder="1" applyAlignment="1">
      <alignment horizontal="right" vertical="center"/>
    </xf>
    <xf numFmtId="0" fontId="236" fillId="0" borderId="0" xfId="45" applyFont="1" applyAlignment="1">
      <alignment horizontal="center"/>
    </xf>
    <xf numFmtId="0" fontId="81" fillId="3" borderId="155" xfId="45" applyFont="1" applyFill="1" applyBorder="1" applyAlignment="1">
      <alignment horizontal="center" vertical="center" wrapText="1"/>
    </xf>
    <xf numFmtId="0" fontId="54" fillId="0" borderId="214" xfId="45" applyFont="1" applyBorder="1" applyAlignment="1">
      <alignment horizontal="center" vertical="center"/>
    </xf>
    <xf numFmtId="0" fontId="57" fillId="0" borderId="81" xfId="45" applyFont="1" applyBorder="1" applyAlignment="1">
      <alignment horizontal="center" vertical="center"/>
    </xf>
    <xf numFmtId="0" fontId="55" fillId="0" borderId="81" xfId="45" applyFont="1" applyBorder="1" applyAlignment="1">
      <alignment horizontal="center" vertical="center"/>
    </xf>
    <xf numFmtId="0" fontId="58" fillId="0" borderId="81" xfId="45" applyFont="1" applyBorder="1" applyAlignment="1">
      <alignment horizontal="center" vertical="center"/>
    </xf>
    <xf numFmtId="0" fontId="56" fillId="0" borderId="108" xfId="45" applyFont="1" applyBorder="1" applyAlignment="1">
      <alignment horizontal="center" vertical="center"/>
    </xf>
    <xf numFmtId="0" fontId="165" fillId="0" borderId="0" xfId="56" applyFont="1" applyAlignment="1">
      <alignment horizontal="left"/>
    </xf>
    <xf numFmtId="0" fontId="67" fillId="0" borderId="0" xfId="56" applyFont="1"/>
    <xf numFmtId="0" fontId="20" fillId="0" borderId="0" xfId="56"/>
    <xf numFmtId="0" fontId="20" fillId="0" borderId="0" xfId="56" applyAlignment="1">
      <alignment horizontal="center"/>
    </xf>
    <xf numFmtId="0" fontId="145" fillId="0" borderId="243" xfId="57" applyFont="1" applyBorder="1" applyAlignment="1">
      <alignment horizontal="center" vertical="center"/>
    </xf>
    <xf numFmtId="0" fontId="145" fillId="0" borderId="243" xfId="57" applyFont="1" applyBorder="1" applyAlignment="1">
      <alignment horizontal="center" vertical="center" wrapText="1"/>
    </xf>
    <xf numFmtId="0" fontId="25" fillId="0" borderId="0" xfId="56" applyFont="1" applyAlignment="1">
      <alignment horizontal="center" vertical="center"/>
    </xf>
    <xf numFmtId="0" fontId="115" fillId="0" borderId="1" xfId="57" applyFont="1" applyBorder="1" applyAlignment="1">
      <alignment horizontal="center" vertical="center"/>
    </xf>
    <xf numFmtId="0" fontId="77" fillId="0" borderId="1" xfId="45" applyFont="1" applyBorder="1" applyAlignment="1">
      <alignment horizontal="center" vertical="center"/>
    </xf>
    <xf numFmtId="0" fontId="41" fillId="0" borderId="80" xfId="57" applyFont="1" applyBorder="1" applyAlignment="1">
      <alignment horizontal="center" vertical="center"/>
    </xf>
    <xf numFmtId="0" fontId="41" fillId="0" borderId="70" xfId="57" applyFont="1" applyBorder="1" applyAlignment="1">
      <alignment horizontal="center" vertical="center"/>
    </xf>
    <xf numFmtId="3" fontId="41" fillId="0" borderId="71" xfId="57" applyNumberFormat="1" applyFont="1" applyBorder="1" applyAlignment="1">
      <alignment horizontal="center" vertical="center"/>
    </xf>
    <xf numFmtId="0" fontId="85" fillId="0" borderId="80" xfId="45" applyFont="1" applyBorder="1" applyAlignment="1">
      <alignment horizontal="center" vertical="center"/>
    </xf>
    <xf numFmtId="3" fontId="85" fillId="0" borderId="70" xfId="45" applyNumberFormat="1" applyFont="1" applyBorder="1" applyAlignment="1">
      <alignment horizontal="center" vertical="center"/>
    </xf>
    <xf numFmtId="3" fontId="85" fillId="0" borderId="71" xfId="45" applyNumberFormat="1" applyFont="1" applyBorder="1" applyAlignment="1">
      <alignment horizontal="center" vertical="center"/>
    </xf>
    <xf numFmtId="173" fontId="41" fillId="0" borderId="214" xfId="45" applyNumberFormat="1" applyFont="1" applyBorder="1" applyAlignment="1">
      <alignment horizontal="center" vertical="center" wrapText="1"/>
    </xf>
    <xf numFmtId="0" fontId="41" fillId="0" borderId="242" xfId="57" applyFont="1" applyBorder="1" applyAlignment="1">
      <alignment horizontal="center" vertical="center"/>
    </xf>
    <xf numFmtId="3" fontId="41" fillId="0" borderId="242" xfId="57" applyNumberFormat="1" applyFont="1" applyBorder="1" applyAlignment="1">
      <alignment horizontal="center" vertical="center"/>
    </xf>
    <xf numFmtId="3" fontId="41" fillId="0" borderId="219" xfId="45" applyNumberFormat="1" applyFont="1" applyBorder="1" applyAlignment="1">
      <alignment horizontal="center" vertical="center"/>
    </xf>
    <xf numFmtId="0" fontId="41" fillId="0" borderId="81" xfId="57" applyFont="1" applyBorder="1" applyAlignment="1">
      <alignment horizontal="center" vertical="center"/>
    </xf>
    <xf numFmtId="0" fontId="41" fillId="0" borderId="73" xfId="57" applyFont="1" applyBorder="1" applyAlignment="1">
      <alignment horizontal="center" vertical="center"/>
    </xf>
    <xf numFmtId="3" fontId="41" fillId="0" borderId="74" xfId="57" applyNumberFormat="1" applyFont="1" applyBorder="1" applyAlignment="1">
      <alignment horizontal="center" vertical="center"/>
    </xf>
    <xf numFmtId="0" fontId="85" fillId="0" borderId="81" xfId="45" applyFont="1" applyBorder="1" applyAlignment="1">
      <alignment horizontal="center" vertical="center"/>
    </xf>
    <xf numFmtId="3" fontId="85" fillId="0" borderId="73" xfId="45" applyNumberFormat="1" applyFont="1" applyBorder="1" applyAlignment="1">
      <alignment horizontal="center" vertical="center"/>
    </xf>
    <xf numFmtId="3" fontId="85" fillId="0" borderId="74" xfId="45" applyNumberFormat="1" applyFont="1" applyBorder="1" applyAlignment="1">
      <alignment horizontal="center" vertical="center"/>
    </xf>
    <xf numFmtId="173" fontId="41" fillId="0" borderId="80" xfId="45" applyNumberFormat="1" applyFont="1" applyBorder="1" applyAlignment="1">
      <alignment horizontal="center" vertical="center" wrapText="1"/>
    </xf>
    <xf numFmtId="3" fontId="41" fillId="0" borderId="70" xfId="57" applyNumberFormat="1" applyFont="1" applyBorder="1" applyAlignment="1">
      <alignment horizontal="center" vertical="center"/>
    </xf>
    <xf numFmtId="3" fontId="41" fillId="0" borderId="71" xfId="45" applyNumberFormat="1" applyFont="1" applyBorder="1" applyAlignment="1">
      <alignment horizontal="center" vertical="center"/>
    </xf>
    <xf numFmtId="3" fontId="41" fillId="0" borderId="74" xfId="45" applyNumberFormat="1" applyFont="1" applyBorder="1" applyAlignment="1">
      <alignment horizontal="center" vertical="center"/>
    </xf>
    <xf numFmtId="0" fontId="85" fillId="0" borderId="81" xfId="56" applyFont="1" applyBorder="1" applyAlignment="1">
      <alignment horizontal="center" vertical="center"/>
    </xf>
    <xf numFmtId="173" fontId="41" fillId="0" borderId="81" xfId="45" applyNumberFormat="1" applyFont="1" applyBorder="1" applyAlignment="1">
      <alignment horizontal="center" vertical="center"/>
    </xf>
    <xf numFmtId="3" fontId="41" fillId="0" borderId="73" xfId="57" applyNumberFormat="1" applyFont="1" applyBorder="1" applyAlignment="1">
      <alignment horizontal="center"/>
    </xf>
    <xf numFmtId="3" fontId="41" fillId="0" borderId="73" xfId="45" applyNumberFormat="1" applyFont="1" applyBorder="1" applyAlignment="1">
      <alignment horizontal="center" vertical="center"/>
    </xf>
    <xf numFmtId="173" fontId="41" fillId="0" borderId="81" xfId="45" applyNumberFormat="1" applyFont="1" applyBorder="1" applyAlignment="1">
      <alignment horizontal="center" vertical="center" wrapText="1"/>
    </xf>
    <xf numFmtId="0" fontId="25" fillId="3" borderId="82" xfId="56" applyFont="1" applyFill="1" applyBorder="1" applyAlignment="1">
      <alignment horizontal="center"/>
    </xf>
    <xf numFmtId="3" fontId="145" fillId="3" borderId="75" xfId="57" applyNumberFormat="1" applyFont="1" applyFill="1" applyBorder="1" applyAlignment="1">
      <alignment horizontal="center" vertical="center"/>
    </xf>
    <xf numFmtId="3" fontId="145" fillId="3" borderId="77" xfId="57" applyNumberFormat="1" applyFont="1" applyFill="1" applyBorder="1" applyAlignment="1">
      <alignment horizontal="center" vertical="center"/>
    </xf>
    <xf numFmtId="0" fontId="41" fillId="0" borderId="81" xfId="45" applyFont="1" applyBorder="1" applyAlignment="1">
      <alignment horizontal="center"/>
    </xf>
    <xf numFmtId="3" fontId="41" fillId="0" borderId="73" xfId="45" applyNumberFormat="1" applyFont="1" applyBorder="1" applyAlignment="1">
      <alignment horizontal="center"/>
    </xf>
    <xf numFmtId="0" fontId="145" fillId="3" borderId="82" xfId="57" applyFont="1" applyFill="1" applyBorder="1" applyAlignment="1">
      <alignment horizontal="center" vertical="center"/>
    </xf>
    <xf numFmtId="0" fontId="230" fillId="0" borderId="0" xfId="45" applyFont="1" applyAlignment="1"/>
    <xf numFmtId="3" fontId="196" fillId="0" borderId="0" xfId="45" applyNumberFormat="1" applyAlignment="1">
      <alignment horizontal="center"/>
    </xf>
    <xf numFmtId="0" fontId="196" fillId="0" borderId="0" xfId="45" applyAlignment="1">
      <alignment horizontal="center"/>
    </xf>
    <xf numFmtId="0" fontId="145" fillId="0" borderId="1" xfId="57" applyFont="1" applyBorder="1" applyAlignment="1">
      <alignment horizontal="center" vertical="center"/>
    </xf>
    <xf numFmtId="0" fontId="99" fillId="0" borderId="1" xfId="57" applyFont="1" applyBorder="1" applyAlignment="1">
      <alignment horizontal="center" vertical="center"/>
    </xf>
    <xf numFmtId="0" fontId="212" fillId="0" borderId="1" xfId="45" applyFont="1" applyBorder="1" applyAlignment="1">
      <alignment horizontal="center" vertical="center"/>
    </xf>
    <xf numFmtId="173" fontId="41" fillId="0" borderId="81" xfId="57" applyNumberFormat="1" applyFont="1" applyBorder="1" applyAlignment="1">
      <alignment horizontal="center" vertical="center"/>
    </xf>
    <xf numFmtId="3" fontId="41" fillId="0" borderId="74" xfId="45" applyNumberFormat="1" applyFont="1" applyBorder="1" applyAlignment="1">
      <alignment horizontal="center"/>
    </xf>
    <xf numFmtId="0" fontId="187" fillId="0" borderId="0" xfId="56" applyFont="1"/>
    <xf numFmtId="0" fontId="85" fillId="0" borderId="0" xfId="45" applyFont="1" applyAlignment="1">
      <alignment wrapText="1"/>
    </xf>
    <xf numFmtId="3" fontId="85" fillId="0" borderId="73" xfId="56" applyNumberFormat="1" applyFont="1" applyBorder="1" applyAlignment="1">
      <alignment horizontal="center" vertical="center"/>
    </xf>
    <xf numFmtId="0" fontId="67" fillId="0" borderId="1" xfId="56" applyFont="1" applyBorder="1" applyAlignment="1">
      <alignment horizontal="center"/>
    </xf>
    <xf numFmtId="3" fontId="41" fillId="0" borderId="219" xfId="45" applyNumberFormat="1" applyFont="1" applyBorder="1" applyAlignment="1">
      <alignment vertical="center"/>
    </xf>
    <xf numFmtId="3" fontId="41" fillId="0" borderId="74" xfId="45" applyNumberFormat="1" applyFont="1" applyBorder="1" applyAlignment="1">
      <alignment vertical="center"/>
    </xf>
    <xf numFmtId="3" fontId="41" fillId="0" borderId="74" xfId="45" applyNumberFormat="1" applyFont="1" applyBorder="1" applyAlignment="1">
      <alignment horizontal="right"/>
    </xf>
    <xf numFmtId="0" fontId="85" fillId="0" borderId="81" xfId="56" applyFont="1" applyBorder="1" applyAlignment="1">
      <alignment horizontal="center" vertical="center" wrapText="1"/>
    </xf>
    <xf numFmtId="0" fontId="41" fillId="0" borderId="0" xfId="45" applyFont="1"/>
    <xf numFmtId="0" fontId="99" fillId="3" borderId="8" xfId="57" applyFont="1" applyFill="1" applyBorder="1" applyAlignment="1">
      <alignment horizontal="center" vertical="center"/>
    </xf>
    <xf numFmtId="0" fontId="212" fillId="3" borderId="155" xfId="45" applyFont="1" applyFill="1" applyBorder="1" applyAlignment="1">
      <alignment horizontal="center"/>
    </xf>
    <xf numFmtId="0" fontId="41" fillId="0" borderId="155" xfId="57" applyFont="1" applyBorder="1" applyAlignment="1">
      <alignment horizontal="center" vertical="center"/>
    </xf>
    <xf numFmtId="3" fontId="41" fillId="0" borderId="155" xfId="57" applyNumberFormat="1" applyFont="1" applyBorder="1" applyAlignment="1">
      <alignment horizontal="center" vertical="center"/>
    </xf>
    <xf numFmtId="0" fontId="85" fillId="0" borderId="155" xfId="45" applyFont="1" applyBorder="1" applyAlignment="1">
      <alignment horizontal="center" vertical="center"/>
    </xf>
    <xf numFmtId="3" fontId="85" fillId="0" borderId="155" xfId="45" applyNumberFormat="1" applyFont="1" applyBorder="1" applyAlignment="1">
      <alignment horizontal="center" vertical="center"/>
    </xf>
    <xf numFmtId="173" fontId="41" fillId="0" borderId="155" xfId="45" applyNumberFormat="1" applyFont="1" applyBorder="1" applyAlignment="1">
      <alignment horizontal="center" vertical="center" wrapText="1"/>
    </xf>
    <xf numFmtId="173" fontId="41" fillId="0" borderId="155" xfId="45" applyNumberFormat="1" applyFont="1" applyBorder="1" applyAlignment="1">
      <alignment horizontal="center" vertical="center"/>
    </xf>
    <xf numFmtId="3" fontId="41" fillId="0" borderId="155" xfId="57" applyNumberFormat="1" applyFont="1" applyBorder="1" applyAlignment="1">
      <alignment horizontal="center"/>
    </xf>
    <xf numFmtId="3" fontId="41" fillId="0" borderId="155" xfId="45" applyNumberFormat="1" applyFont="1" applyBorder="1" applyAlignment="1">
      <alignment horizontal="center" vertical="center"/>
    </xf>
    <xf numFmtId="0" fontId="85" fillId="0" borderId="155" xfId="56" applyFont="1" applyBorder="1" applyAlignment="1">
      <alignment horizontal="center" vertical="center"/>
    </xf>
    <xf numFmtId="173" fontId="41" fillId="0" borderId="155" xfId="57" applyNumberFormat="1" applyFont="1" applyBorder="1" applyAlignment="1">
      <alignment horizontal="center" vertical="center"/>
    </xf>
    <xf numFmtId="3" fontId="41" fillId="0" borderId="155" xfId="45" applyNumberFormat="1" applyFont="1" applyBorder="1" applyAlignment="1">
      <alignment horizontal="center"/>
    </xf>
    <xf numFmtId="0" fontId="41" fillId="0" borderId="155" xfId="45" applyFont="1" applyBorder="1" applyAlignment="1">
      <alignment horizontal="center"/>
    </xf>
    <xf numFmtId="0" fontId="145" fillId="3" borderId="155" xfId="57" applyFont="1" applyFill="1" applyBorder="1" applyAlignment="1">
      <alignment horizontal="center" vertical="center"/>
    </xf>
    <xf numFmtId="3" fontId="145" fillId="3" borderId="155" xfId="57" applyNumberFormat="1" applyFont="1" applyFill="1" applyBorder="1" applyAlignment="1">
      <alignment horizontal="center" vertical="center"/>
    </xf>
    <xf numFmtId="3" fontId="145" fillId="6" borderId="155" xfId="57" applyNumberFormat="1" applyFont="1" applyFill="1" applyBorder="1" applyAlignment="1">
      <alignment horizontal="center" vertical="center"/>
    </xf>
    <xf numFmtId="3" fontId="85" fillId="0" borderId="155" xfId="56" applyNumberFormat="1" applyFont="1" applyBorder="1" applyAlignment="1">
      <alignment horizontal="center" vertical="center"/>
    </xf>
    <xf numFmtId="0" fontId="85" fillId="0" borderId="155" xfId="56" applyFont="1" applyBorder="1" applyAlignment="1">
      <alignment horizontal="center" vertical="center" wrapText="1"/>
    </xf>
    <xf numFmtId="0" fontId="85" fillId="0" borderId="0" xfId="45" applyFont="1" applyAlignment="1">
      <alignment horizontal="left" wrapText="1"/>
    </xf>
    <xf numFmtId="3" fontId="41" fillId="0" borderId="215" xfId="45" applyNumberFormat="1" applyFont="1" applyBorder="1" applyAlignment="1">
      <alignment horizontal="center"/>
    </xf>
    <xf numFmtId="0" fontId="145" fillId="3" borderId="8" xfId="57" applyFont="1" applyFill="1" applyBorder="1" applyAlignment="1">
      <alignment horizontal="center" vertical="center"/>
    </xf>
    <xf numFmtId="0" fontId="238" fillId="3" borderId="155" xfId="45" applyFont="1" applyFill="1" applyBorder="1" applyAlignment="1">
      <alignment horizontal="center"/>
    </xf>
    <xf numFmtId="0" fontId="41" fillId="0" borderId="155" xfId="57" applyFont="1" applyBorder="1" applyAlignment="1">
      <alignment horizontal="center"/>
    </xf>
    <xf numFmtId="173" fontId="145" fillId="0" borderId="155" xfId="57" applyNumberFormat="1" applyFont="1" applyBorder="1" applyAlignment="1">
      <alignment horizontal="center" vertical="center"/>
    </xf>
    <xf numFmtId="3" fontId="145" fillId="14" borderId="155" xfId="57" applyNumberFormat="1" applyFont="1" applyFill="1" applyBorder="1" applyAlignment="1">
      <alignment horizontal="center" vertical="center"/>
    </xf>
    <xf numFmtId="0" fontId="85" fillId="0" borderId="0" xfId="56" applyFont="1"/>
    <xf numFmtId="0" fontId="85" fillId="0" borderId="0" xfId="56" applyFont="1" applyAlignment="1">
      <alignment vertical="center"/>
    </xf>
    <xf numFmtId="0" fontId="240" fillId="0" borderId="0" xfId="56" applyFont="1" applyAlignment="1">
      <alignment vertical="center"/>
    </xf>
    <xf numFmtId="0" fontId="238" fillId="0" borderId="0" xfId="45" applyFont="1"/>
    <xf numFmtId="0" fontId="145" fillId="0" borderId="155" xfId="57" applyFont="1" applyBorder="1" applyAlignment="1">
      <alignment horizontal="center" vertical="center"/>
    </xf>
    <xf numFmtId="0" fontId="238" fillId="0" borderId="155" xfId="45" applyFont="1" applyBorder="1" applyAlignment="1">
      <alignment horizontal="center"/>
    </xf>
    <xf numFmtId="0" fontId="41" fillId="0" borderId="0" xfId="45" applyFont="1" applyAlignment="1">
      <alignment horizontal="center"/>
    </xf>
    <xf numFmtId="0" fontId="145" fillId="3" borderId="216" xfId="57" applyFont="1" applyFill="1" applyBorder="1" applyAlignment="1">
      <alignment horizontal="center" vertical="center"/>
    </xf>
    <xf numFmtId="0" fontId="145" fillId="3" borderId="218" xfId="57" applyFont="1" applyFill="1" applyBorder="1" applyAlignment="1">
      <alignment horizontal="center" vertical="center"/>
    </xf>
    <xf numFmtId="0" fontId="41" fillId="0" borderId="0" xfId="45" applyFont="1" applyAlignment="1">
      <alignment wrapText="1"/>
    </xf>
    <xf numFmtId="0" fontId="241" fillId="0" borderId="0" xfId="56" applyFont="1" applyAlignment="1">
      <alignment horizontal="center"/>
    </xf>
    <xf numFmtId="3" fontId="41" fillId="0" borderId="0" xfId="45" applyNumberFormat="1" applyFont="1"/>
    <xf numFmtId="0" fontId="85" fillId="0" borderId="0" xfId="45" applyFont="1"/>
    <xf numFmtId="0" fontId="41" fillId="3" borderId="8" xfId="3" applyFont="1" applyFill="1" applyBorder="1" applyAlignment="1">
      <alignment horizontal="center" vertical="center"/>
    </xf>
    <xf numFmtId="0" fontId="41" fillId="3" borderId="155" xfId="45" applyFont="1" applyFill="1" applyBorder="1" applyAlignment="1">
      <alignment horizontal="center"/>
    </xf>
    <xf numFmtId="173" fontId="41" fillId="0" borderId="155" xfId="3" applyNumberFormat="1" applyFont="1" applyBorder="1" applyAlignment="1">
      <alignment vertical="center"/>
    </xf>
    <xf numFmtId="0" fontId="41" fillId="0" borderId="155" xfId="3" applyFont="1" applyBorder="1" applyAlignment="1">
      <alignment horizontal="center" vertical="center"/>
    </xf>
    <xf numFmtId="3" fontId="41" fillId="0" borderId="155" xfId="3" applyNumberFormat="1" applyFont="1" applyBorder="1" applyAlignment="1">
      <alignment horizontal="center" vertical="center"/>
    </xf>
    <xf numFmtId="173" fontId="41" fillId="0" borderId="155" xfId="3" applyNumberFormat="1" applyFont="1" applyBorder="1" applyAlignment="1">
      <alignment horizontal="left" vertical="center"/>
    </xf>
    <xf numFmtId="173" fontId="145" fillId="0" borderId="194" xfId="45" applyNumberFormat="1" applyFont="1" applyBorder="1" applyAlignment="1">
      <alignment vertical="center"/>
    </xf>
    <xf numFmtId="0" fontId="85" fillId="0" borderId="155" xfId="45" applyFont="1" applyBorder="1"/>
    <xf numFmtId="0" fontId="85" fillId="0" borderId="155" xfId="45" applyFont="1" applyBorder="1" applyAlignment="1">
      <alignment horizontal="center"/>
    </xf>
    <xf numFmtId="173" fontId="41" fillId="0" borderId="155" xfId="45" applyNumberFormat="1" applyFont="1" applyBorder="1" applyAlignment="1">
      <alignment horizontal="left"/>
    </xf>
    <xf numFmtId="0" fontId="85" fillId="0" borderId="155" xfId="45" applyFont="1" applyBorder="1" applyAlignment="1">
      <alignment horizontal="left" indent="2"/>
    </xf>
    <xf numFmtId="3" fontId="85" fillId="0" borderId="155" xfId="45" applyNumberFormat="1" applyFont="1" applyBorder="1" applyAlignment="1">
      <alignment horizontal="center"/>
    </xf>
    <xf numFmtId="0" fontId="85" fillId="0" borderId="155" xfId="45" applyFont="1" applyBorder="1" applyAlignment="1">
      <alignment vertical="center"/>
    </xf>
    <xf numFmtId="173" fontId="41" fillId="0" borderId="155" xfId="45" applyNumberFormat="1" applyFont="1" applyBorder="1" applyAlignment="1">
      <alignment horizontal="left" vertical="center"/>
    </xf>
    <xf numFmtId="173" fontId="41" fillId="0" borderId="35" xfId="45" applyNumberFormat="1" applyFont="1" applyBorder="1" applyAlignment="1">
      <alignment vertical="center" wrapText="1"/>
    </xf>
    <xf numFmtId="173" fontId="41" fillId="0" borderId="155" xfId="45" applyNumberFormat="1" applyFont="1" applyBorder="1"/>
    <xf numFmtId="173" fontId="41" fillId="0" borderId="155" xfId="45" applyNumberFormat="1" applyFont="1" applyBorder="1" applyAlignment="1">
      <alignment vertical="center"/>
    </xf>
    <xf numFmtId="173" fontId="41" fillId="0" borderId="60" xfId="45" applyNumberFormat="1" applyFont="1" applyBorder="1" applyAlignment="1">
      <alignment vertical="center" wrapText="1"/>
    </xf>
    <xf numFmtId="3" fontId="41" fillId="0" borderId="34" xfId="45" applyNumberFormat="1" applyFont="1" applyBorder="1" applyAlignment="1">
      <alignment horizontal="center" vertical="center"/>
    </xf>
    <xf numFmtId="173" fontId="41" fillId="0" borderId="215" xfId="45" applyNumberFormat="1" applyFont="1" applyBorder="1"/>
    <xf numFmtId="3" fontId="41" fillId="0" borderId="8" xfId="45" applyNumberFormat="1" applyFont="1" applyBorder="1" applyAlignment="1">
      <alignment horizontal="center" vertical="center"/>
    </xf>
    <xf numFmtId="0" fontId="145" fillId="3" borderId="155" xfId="3" applyFont="1" applyFill="1" applyBorder="1" applyAlignment="1">
      <alignment horizontal="center" vertical="center"/>
    </xf>
    <xf numFmtId="3" fontId="145" fillId="3" borderId="155" xfId="3" applyNumberFormat="1" applyFont="1" applyFill="1" applyBorder="1" applyAlignment="1">
      <alignment horizontal="center" vertical="center"/>
    </xf>
    <xf numFmtId="173" fontId="41" fillId="0" borderId="155" xfId="45" applyNumberFormat="1" applyFont="1" applyBorder="1" applyAlignment="1">
      <alignment horizontal="center" wrapText="1"/>
    </xf>
    <xf numFmtId="0" fontId="41" fillId="0" borderId="155" xfId="3" applyFont="1" applyBorder="1" applyAlignment="1">
      <alignment horizontal="left" indent="2"/>
    </xf>
    <xf numFmtId="3" fontId="41" fillId="0" borderId="0" xfId="3" applyNumberFormat="1" applyFont="1"/>
    <xf numFmtId="3" fontId="145" fillId="0" borderId="0" xfId="3" applyNumberFormat="1" applyFont="1" applyAlignment="1">
      <alignment horizontal="center" vertical="center"/>
    </xf>
    <xf numFmtId="0" fontId="85" fillId="0" borderId="0" xfId="45" applyFont="1" applyAlignment="1">
      <alignment horizontal="left"/>
    </xf>
    <xf numFmtId="0" fontId="85" fillId="0" borderId="0" xfId="45" applyFont="1" applyAlignment="1">
      <alignment horizontal="center"/>
    </xf>
    <xf numFmtId="0" fontId="145" fillId="3" borderId="8" xfId="3" applyFont="1" applyFill="1" applyBorder="1" applyAlignment="1">
      <alignment horizontal="center" vertical="center"/>
    </xf>
    <xf numFmtId="0" fontId="238" fillId="3" borderId="155" xfId="45" applyFont="1" applyFill="1" applyBorder="1" applyAlignment="1">
      <alignment horizontal="center" vertical="center"/>
    </xf>
    <xf numFmtId="173" fontId="145" fillId="0" borderId="215" xfId="45" applyNumberFormat="1" applyFont="1" applyBorder="1" applyAlignment="1">
      <alignment vertical="center"/>
    </xf>
    <xf numFmtId="0" fontId="41" fillId="0" borderId="155" xfId="45" applyFont="1" applyBorder="1" applyAlignment="1">
      <alignment horizontal="left" indent="2"/>
    </xf>
    <xf numFmtId="173" fontId="145" fillId="0" borderId="215" xfId="3" applyNumberFormat="1" applyFont="1" applyBorder="1" applyAlignment="1">
      <alignment horizontal="center" vertical="center"/>
    </xf>
    <xf numFmtId="3" fontId="41" fillId="0" borderId="215" xfId="45" applyNumberFormat="1" applyFont="1" applyBorder="1" applyAlignment="1">
      <alignment horizontal="center" vertical="center"/>
    </xf>
    <xf numFmtId="173" fontId="41" fillId="0" borderId="195" xfId="45" applyNumberFormat="1" applyFont="1" applyBorder="1" applyAlignment="1">
      <alignment wrapText="1"/>
    </xf>
    <xf numFmtId="0" fontId="145" fillId="0" borderId="8" xfId="3" applyFont="1" applyBorder="1" applyAlignment="1">
      <alignment horizontal="center" vertical="center"/>
    </xf>
    <xf numFmtId="0" fontId="238" fillId="0" borderId="155" xfId="45" applyFont="1" applyBorder="1" applyAlignment="1">
      <alignment horizontal="center" vertical="center"/>
    </xf>
    <xf numFmtId="173" fontId="41" fillId="0" borderId="155" xfId="3" applyNumberFormat="1" applyFont="1" applyBorder="1" applyAlignment="1">
      <alignment horizontal="center" vertical="center"/>
    </xf>
    <xf numFmtId="0" fontId="41" fillId="0" borderId="155" xfId="3" applyFont="1" applyBorder="1" applyAlignment="1">
      <alignment horizontal="center"/>
    </xf>
    <xf numFmtId="3" fontId="41" fillId="0" borderId="155" xfId="3" applyNumberFormat="1" applyFont="1" applyBorder="1" applyAlignment="1">
      <alignment horizontal="center"/>
    </xf>
    <xf numFmtId="173" fontId="41" fillId="0" borderId="155" xfId="45" applyNumberFormat="1" applyFont="1" applyBorder="1" applyAlignment="1">
      <alignment horizontal="left" vertical="center" wrapText="1"/>
    </xf>
    <xf numFmtId="3" fontId="41" fillId="0" borderId="155" xfId="45" applyNumberFormat="1" applyFont="1" applyBorder="1" applyAlignment="1">
      <alignment horizontal="center" vertical="center" wrapText="1"/>
    </xf>
    <xf numFmtId="173" fontId="41" fillId="0" borderId="155" xfId="45" applyNumberFormat="1" applyFont="1" applyBorder="1" applyAlignment="1">
      <alignment vertical="center" wrapText="1"/>
    </xf>
    <xf numFmtId="0" fontId="145" fillId="3" borderId="216" xfId="3" applyFont="1" applyFill="1" applyBorder="1" applyAlignment="1">
      <alignment horizontal="center" vertical="center"/>
    </xf>
    <xf numFmtId="0" fontId="145" fillId="3" borderId="218" xfId="3" applyFont="1" applyFill="1" applyBorder="1" applyAlignment="1">
      <alignment horizontal="center" vertical="center"/>
    </xf>
    <xf numFmtId="0" fontId="41" fillId="0" borderId="155" xfId="3" applyFont="1" applyBorder="1" applyAlignment="1">
      <alignment vertical="center"/>
    </xf>
    <xf numFmtId="0" fontId="85" fillId="0" borderId="0" xfId="45" applyFont="1" applyAlignment="1">
      <alignment vertical="center"/>
    </xf>
    <xf numFmtId="3" fontId="41" fillId="0" borderId="0" xfId="3" applyNumberFormat="1" applyFont="1" applyAlignment="1">
      <alignment vertical="center"/>
    </xf>
    <xf numFmtId="0" fontId="41" fillId="0" borderId="0" xfId="45" applyFont="1" applyAlignment="1">
      <alignment vertical="center"/>
    </xf>
    <xf numFmtId="0" fontId="41" fillId="0" borderId="0" xfId="45" applyFont="1" applyAlignment="1">
      <alignment vertical="center" wrapText="1"/>
    </xf>
    <xf numFmtId="0" fontId="41" fillId="0" borderId="0" xfId="45" applyFont="1" applyAlignment="1">
      <alignment horizontal="center" vertical="center"/>
    </xf>
    <xf numFmtId="0" fontId="85" fillId="0" borderId="155" xfId="45" applyFont="1" applyBorder="1" applyAlignment="1">
      <alignment horizontal="center" vertical="center" wrapText="1"/>
    </xf>
    <xf numFmtId="3" fontId="41" fillId="0" borderId="215" xfId="3" applyNumberFormat="1" applyFont="1" applyBorder="1" applyAlignment="1">
      <alignment horizontal="center" vertical="center"/>
    </xf>
    <xf numFmtId="3" fontId="41" fillId="0" borderId="216" xfId="45" applyNumberFormat="1" applyFont="1" applyBorder="1" applyAlignment="1">
      <alignment horizontal="center" vertical="center" wrapText="1"/>
    </xf>
    <xf numFmtId="0" fontId="85" fillId="0" borderId="215" xfId="45" applyFont="1" applyBorder="1" applyAlignment="1">
      <alignment horizontal="center" vertical="center" wrapText="1"/>
    </xf>
    <xf numFmtId="3" fontId="41" fillId="0" borderId="194" xfId="45" applyNumberFormat="1" applyFont="1" applyBorder="1" applyAlignment="1">
      <alignment horizontal="center" vertical="center"/>
    </xf>
    <xf numFmtId="0" fontId="85" fillId="0" borderId="155" xfId="56" applyFont="1" applyBorder="1" applyAlignment="1">
      <alignment horizontal="center" wrapText="1"/>
    </xf>
    <xf numFmtId="3" fontId="145" fillId="3" borderId="8" xfId="3" applyNumberFormat="1" applyFont="1" applyFill="1" applyBorder="1" applyAlignment="1">
      <alignment horizontal="center" vertical="center"/>
    </xf>
    <xf numFmtId="0" fontId="145" fillId="3" borderId="155" xfId="3" applyFont="1" applyFill="1" applyBorder="1" applyAlignment="1">
      <alignment horizontal="center" vertical="center" wrapText="1"/>
    </xf>
    <xf numFmtId="173" fontId="41" fillId="0" borderId="192" xfId="3" applyNumberFormat="1" applyFont="1" applyBorder="1" applyAlignment="1">
      <alignment horizontal="center" vertical="center"/>
    </xf>
    <xf numFmtId="0" fontId="41" fillId="0" borderId="192" xfId="3" applyFont="1" applyBorder="1" applyAlignment="1">
      <alignment horizontal="center" vertical="center"/>
    </xf>
    <xf numFmtId="3" fontId="41" fillId="0" borderId="192" xfId="3" applyNumberFormat="1" applyFont="1" applyBorder="1" applyAlignment="1">
      <alignment horizontal="center" vertical="center"/>
    </xf>
    <xf numFmtId="173" fontId="41" fillId="0" borderId="16" xfId="3" applyNumberFormat="1" applyFont="1" applyBorder="1" applyAlignment="1">
      <alignment horizontal="center" vertical="center"/>
    </xf>
    <xf numFmtId="0" fontId="41" fillId="0" borderId="16" xfId="3" applyFont="1" applyBorder="1" applyAlignment="1">
      <alignment horizontal="center" vertical="center"/>
    </xf>
    <xf numFmtId="3" fontId="41" fillId="0" borderId="16" xfId="3" applyNumberFormat="1" applyFont="1" applyBorder="1" applyAlignment="1">
      <alignment horizontal="center" vertical="center"/>
    </xf>
    <xf numFmtId="173" fontId="41" fillId="0" borderId="17" xfId="3" applyNumberFormat="1" applyFont="1" applyBorder="1" applyAlignment="1">
      <alignment horizontal="center" vertical="center"/>
    </xf>
    <xf numFmtId="173" fontId="41" fillId="0" borderId="61" xfId="3" applyNumberFormat="1" applyFont="1" applyBorder="1" applyAlignment="1">
      <alignment horizontal="center" vertical="center"/>
    </xf>
    <xf numFmtId="0" fontId="41" fillId="0" borderId="61" xfId="3" applyFont="1" applyBorder="1" applyAlignment="1">
      <alignment horizontal="center" vertical="center"/>
    </xf>
    <xf numFmtId="3" fontId="41" fillId="0" borderId="61" xfId="3" applyNumberFormat="1" applyFont="1" applyBorder="1" applyAlignment="1">
      <alignment horizontal="center" vertical="center"/>
    </xf>
    <xf numFmtId="173" fontId="41" fillId="0" borderId="173" xfId="45" applyNumberFormat="1" applyFont="1" applyBorder="1" applyAlignment="1">
      <alignment horizontal="center" vertical="center"/>
    </xf>
    <xf numFmtId="3" fontId="41" fillId="0" borderId="173" xfId="45" applyNumberFormat="1" applyFont="1" applyBorder="1" applyAlignment="1">
      <alignment horizontal="center" vertical="center"/>
    </xf>
    <xf numFmtId="0" fontId="41" fillId="0" borderId="173" xfId="45" applyFont="1" applyBorder="1" applyAlignment="1">
      <alignment horizontal="center" vertical="center"/>
    </xf>
    <xf numFmtId="173" fontId="41" fillId="0" borderId="48" xfId="45" applyNumberFormat="1" applyFont="1" applyBorder="1" applyAlignment="1">
      <alignment horizontal="center" vertical="center"/>
    </xf>
    <xf numFmtId="3" fontId="41" fillId="0" borderId="48" xfId="45" applyNumberFormat="1" applyFont="1" applyBorder="1" applyAlignment="1">
      <alignment horizontal="center" vertical="center"/>
    </xf>
    <xf numFmtId="0" fontId="41" fillId="0" borderId="48" xfId="45" applyFont="1" applyBorder="1" applyAlignment="1">
      <alignment horizontal="center" vertical="center"/>
    </xf>
    <xf numFmtId="173" fontId="41" fillId="0" borderId="56" xfId="45" applyNumberFormat="1" applyFont="1" applyBorder="1" applyAlignment="1">
      <alignment horizontal="center" vertical="center"/>
    </xf>
    <xf numFmtId="3" fontId="41" fillId="0" borderId="56" xfId="45" applyNumberFormat="1" applyFont="1" applyBorder="1" applyAlignment="1">
      <alignment horizontal="center" vertical="center"/>
    </xf>
    <xf numFmtId="0" fontId="41" fillId="0" borderId="56" xfId="45" applyFont="1" applyBorder="1" applyAlignment="1">
      <alignment horizontal="center" vertical="center"/>
    </xf>
    <xf numFmtId="173" fontId="41" fillId="0" borderId="244" xfId="45" applyNumberFormat="1" applyFont="1" applyBorder="1" applyAlignment="1">
      <alignment horizontal="center" vertical="center"/>
    </xf>
    <xf numFmtId="3" fontId="41" fillId="0" borderId="245" xfId="45" applyNumberFormat="1" applyFont="1" applyBorder="1" applyAlignment="1">
      <alignment horizontal="center" vertical="center"/>
    </xf>
    <xf numFmtId="0" fontId="41" fillId="0" borderId="246" xfId="45" applyFont="1" applyBorder="1" applyAlignment="1">
      <alignment horizontal="center" vertical="center"/>
    </xf>
    <xf numFmtId="173" fontId="41" fillId="0" borderId="247" xfId="45" applyNumberFormat="1" applyFont="1" applyBorder="1" applyAlignment="1">
      <alignment horizontal="center" vertical="center"/>
    </xf>
    <xf numFmtId="3" fontId="41" fillId="0" borderId="248" xfId="45" applyNumberFormat="1" applyFont="1" applyBorder="1" applyAlignment="1">
      <alignment horizontal="center" vertical="center"/>
    </xf>
    <xf numFmtId="0" fontId="41" fillId="0" borderId="249" xfId="45" applyFont="1" applyBorder="1" applyAlignment="1">
      <alignment horizontal="center" vertical="center"/>
    </xf>
    <xf numFmtId="0" fontId="41" fillId="0" borderId="250" xfId="45" applyFont="1" applyBorder="1" applyAlignment="1">
      <alignment horizontal="center"/>
    </xf>
    <xf numFmtId="0" fontId="41" fillId="0" borderId="251" xfId="45" applyFont="1" applyBorder="1" applyAlignment="1">
      <alignment horizontal="center"/>
    </xf>
    <xf numFmtId="0" fontId="41" fillId="0" borderId="252" xfId="45" applyFont="1" applyBorder="1" applyAlignment="1">
      <alignment horizontal="center" vertical="center"/>
    </xf>
    <xf numFmtId="173" fontId="41" fillId="0" borderId="173" xfId="45" applyNumberFormat="1" applyFont="1" applyBorder="1" applyAlignment="1">
      <alignment horizontal="left"/>
    </xf>
    <xf numFmtId="3" fontId="41" fillId="0" borderId="173" xfId="45" applyNumberFormat="1" applyFont="1" applyBorder="1" applyAlignment="1">
      <alignment horizontal="center"/>
    </xf>
    <xf numFmtId="173" fontId="41" fillId="0" borderId="48" xfId="45" applyNumberFormat="1" applyFont="1" applyBorder="1" applyAlignment="1">
      <alignment horizontal="left"/>
    </xf>
    <xf numFmtId="3" fontId="41" fillId="0" borderId="48" xfId="45" applyNumberFormat="1" applyFont="1" applyBorder="1" applyAlignment="1">
      <alignment horizontal="center"/>
    </xf>
    <xf numFmtId="173" fontId="41" fillId="0" borderId="48" xfId="45" applyNumberFormat="1" applyFont="1" applyBorder="1"/>
    <xf numFmtId="173" fontId="41" fillId="0" borderId="56" xfId="45" applyNumberFormat="1" applyFont="1" applyBorder="1"/>
    <xf numFmtId="3" fontId="41" fillId="0" borderId="56" xfId="45" applyNumberFormat="1" applyFont="1" applyBorder="1" applyAlignment="1">
      <alignment horizontal="center"/>
    </xf>
    <xf numFmtId="0" fontId="145" fillId="3" borderId="215" xfId="3" applyFont="1" applyFill="1" applyBorder="1" applyAlignment="1">
      <alignment horizontal="center" vertical="center"/>
    </xf>
    <xf numFmtId="3" fontId="145" fillId="3" borderId="215" xfId="3" applyNumberFormat="1" applyFont="1" applyFill="1" applyBorder="1" applyAlignment="1">
      <alignment horizontal="center" vertical="center"/>
    </xf>
    <xf numFmtId="0" fontId="145" fillId="0" borderId="216" xfId="3" applyFont="1" applyBorder="1" applyAlignment="1">
      <alignment horizontal="center" vertical="center"/>
    </xf>
    <xf numFmtId="0" fontId="145" fillId="0" borderId="218" xfId="3" applyFont="1" applyBorder="1" applyAlignment="1">
      <alignment horizontal="center" vertical="center"/>
    </xf>
    <xf numFmtId="3" fontId="41" fillId="0" borderId="194" xfId="45" applyNumberFormat="1" applyFont="1" applyBorder="1" applyAlignment="1">
      <alignment horizontal="center" vertical="center" wrapText="1"/>
    </xf>
    <xf numFmtId="0" fontId="145" fillId="3" borderId="217" xfId="3" applyFont="1" applyFill="1" applyBorder="1" applyAlignment="1">
      <alignment horizontal="center" vertical="center"/>
    </xf>
    <xf numFmtId="0" fontId="145" fillId="3" borderId="215" xfId="3" applyFont="1" applyFill="1" applyBorder="1" applyAlignment="1">
      <alignment horizontal="center" vertical="center" wrapText="1"/>
    </xf>
    <xf numFmtId="173" fontId="41" fillId="0" borderId="215" xfId="3" applyNumberFormat="1" applyFont="1" applyBorder="1" applyAlignment="1">
      <alignment horizontal="center" vertical="center"/>
    </xf>
    <xf numFmtId="0" fontId="41" fillId="0" borderId="215" xfId="3" applyFont="1" applyBorder="1" applyAlignment="1">
      <alignment horizontal="center" vertical="center"/>
    </xf>
    <xf numFmtId="173" fontId="41" fillId="0" borderId="34" xfId="3" applyNumberFormat="1" applyFont="1" applyBorder="1" applyAlignment="1">
      <alignment horizontal="center" vertical="center"/>
    </xf>
    <xf numFmtId="0" fontId="41" fillId="0" borderId="34" xfId="3" applyFont="1" applyBorder="1" applyAlignment="1">
      <alignment horizontal="center" vertical="center"/>
    </xf>
    <xf numFmtId="3" fontId="41" fillId="0" borderId="34" xfId="3" applyNumberFormat="1" applyFont="1" applyBorder="1" applyAlignment="1">
      <alignment horizontal="center" vertical="center"/>
    </xf>
    <xf numFmtId="173" fontId="41" fillId="0" borderId="215" xfId="45" applyNumberFormat="1" applyFont="1" applyBorder="1" applyAlignment="1">
      <alignment horizontal="center" vertical="center"/>
    </xf>
    <xf numFmtId="0" fontId="41" fillId="0" borderId="215" xfId="45" applyFont="1" applyBorder="1" applyAlignment="1">
      <alignment horizontal="center" vertical="center"/>
    </xf>
    <xf numFmtId="173" fontId="41" fillId="0" borderId="34" xfId="45" applyNumberFormat="1" applyFont="1" applyBorder="1" applyAlignment="1">
      <alignment horizontal="center" vertical="center"/>
    </xf>
    <xf numFmtId="0" fontId="41" fillId="0" borderId="34" xfId="45" applyFont="1" applyBorder="1" applyAlignment="1">
      <alignment horizontal="center" vertical="center"/>
    </xf>
    <xf numFmtId="173" fontId="41" fillId="0" borderId="8" xfId="45" applyNumberFormat="1" applyFont="1" applyBorder="1" applyAlignment="1">
      <alignment horizontal="center" vertical="center"/>
    </xf>
    <xf numFmtId="0" fontId="41" fillId="0" borderId="8" xfId="45" applyFont="1" applyBorder="1" applyAlignment="1">
      <alignment horizontal="center" vertical="center"/>
    </xf>
    <xf numFmtId="173" fontId="41" fillId="0" borderId="35" xfId="3" applyNumberFormat="1" applyFont="1" applyBorder="1" applyAlignment="1">
      <alignment horizontal="center" vertical="center"/>
    </xf>
    <xf numFmtId="173" fontId="41" fillId="0" borderId="35" xfId="45" applyNumberFormat="1" applyFont="1" applyBorder="1" applyAlignment="1">
      <alignment horizontal="center" vertical="center"/>
    </xf>
    <xf numFmtId="0" fontId="41" fillId="0" borderId="8" xfId="3" applyFont="1" applyBorder="1" applyAlignment="1">
      <alignment horizontal="center" vertical="center"/>
    </xf>
    <xf numFmtId="0" fontId="20" fillId="0" borderId="0" xfId="58" applyAlignment="1">
      <alignment horizontal="centerContinuous" vertical="center"/>
    </xf>
    <xf numFmtId="0" fontId="20" fillId="0" borderId="0" xfId="58"/>
    <xf numFmtId="0" fontId="209" fillId="0" borderId="0" xfId="58" applyFont="1" applyAlignment="1">
      <alignment vertical="center"/>
    </xf>
    <xf numFmtId="0" fontId="76" fillId="0" borderId="1" xfId="58" applyFont="1" applyBorder="1" applyAlignment="1">
      <alignment horizontal="center" vertical="center" wrapText="1"/>
    </xf>
    <xf numFmtId="0" fontId="186" fillId="0" borderId="0" xfId="58" applyFont="1"/>
    <xf numFmtId="0" fontId="76" fillId="0" borderId="1" xfId="58" applyFont="1" applyBorder="1" applyAlignment="1">
      <alignment horizontal="center" vertical="center"/>
    </xf>
    <xf numFmtId="0" fontId="186" fillId="0" borderId="26" xfId="58" applyFont="1" applyBorder="1" applyAlignment="1">
      <alignment horizontal="center" vertical="center"/>
    </xf>
    <xf numFmtId="0" fontId="20" fillId="0" borderId="26" xfId="58" applyBorder="1" applyAlignment="1">
      <alignment horizontal="center" vertical="center"/>
    </xf>
    <xf numFmtId="0" fontId="186" fillId="0" borderId="50" xfId="58" applyFont="1" applyBorder="1" applyAlignment="1">
      <alignment horizontal="center" vertical="center"/>
    </xf>
    <xf numFmtId="0" fontId="20" fillId="0" borderId="50" xfId="58" applyBorder="1" applyAlignment="1">
      <alignment horizontal="center" vertical="center"/>
    </xf>
    <xf numFmtId="3" fontId="20" fillId="0" borderId="50" xfId="58" applyNumberFormat="1" applyBorder="1" applyAlignment="1">
      <alignment horizontal="center" vertical="center"/>
    </xf>
    <xf numFmtId="0" fontId="20" fillId="0" borderId="0" xfId="58" applyBorder="1"/>
    <xf numFmtId="0" fontId="76" fillId="3" borderId="58" xfId="58" applyFont="1" applyFill="1" applyBorder="1" applyAlignment="1">
      <alignment horizontal="center" vertical="center"/>
    </xf>
    <xf numFmtId="168" fontId="76" fillId="3" borderId="58" xfId="59" applyNumberFormat="1" applyFont="1" applyFill="1" applyBorder="1" applyAlignment="1">
      <alignment horizontal="center" vertical="center"/>
    </xf>
    <xf numFmtId="0" fontId="76" fillId="0" borderId="2" xfId="58" applyFont="1" applyBorder="1" applyAlignment="1">
      <alignment horizontal="center" vertical="center"/>
    </xf>
    <xf numFmtId="0" fontId="75" fillId="0" borderId="0" xfId="60" applyFont="1"/>
    <xf numFmtId="0" fontId="75" fillId="0" borderId="0" xfId="58" applyFont="1"/>
    <xf numFmtId="0" fontId="212" fillId="3" borderId="155" xfId="58" applyFont="1" applyFill="1" applyBorder="1" applyAlignment="1">
      <alignment horizontal="center" vertical="center" wrapText="1"/>
    </xf>
    <xf numFmtId="0" fontId="187" fillId="0" borderId="0" xfId="58" applyFont="1"/>
    <xf numFmtId="0" fontId="212" fillId="3" borderId="155" xfId="58" applyFont="1" applyFill="1" applyBorder="1" applyAlignment="1">
      <alignment horizontal="center" vertical="center"/>
    </xf>
    <xf numFmtId="0" fontId="187" fillId="4" borderId="215" xfId="58" applyFont="1" applyFill="1" applyBorder="1" applyAlignment="1">
      <alignment horizontal="center" vertical="center"/>
    </xf>
    <xf numFmtId="3" fontId="187" fillId="4" borderId="215" xfId="58" applyNumberFormat="1" applyFont="1" applyFill="1" applyBorder="1" applyAlignment="1">
      <alignment horizontal="right" vertical="center"/>
    </xf>
    <xf numFmtId="3" fontId="187" fillId="4" borderId="194" xfId="58" applyNumberFormat="1" applyFont="1" applyFill="1" applyBorder="1" applyAlignment="1">
      <alignment horizontal="right" vertical="center"/>
    </xf>
    <xf numFmtId="0" fontId="187" fillId="4" borderId="34" xfId="58" applyFont="1" applyFill="1" applyBorder="1" applyAlignment="1">
      <alignment horizontal="center" vertical="center"/>
    </xf>
    <xf numFmtId="3" fontId="187" fillId="4" borderId="34" xfId="58" applyNumberFormat="1" applyFont="1" applyFill="1" applyBorder="1" applyAlignment="1">
      <alignment horizontal="right" vertical="center"/>
    </xf>
    <xf numFmtId="0" fontId="187" fillId="4" borderId="8" xfId="58" applyFont="1" applyFill="1" applyBorder="1" applyAlignment="1">
      <alignment horizontal="center" vertical="center"/>
    </xf>
    <xf numFmtId="3" fontId="187" fillId="4" borderId="8" xfId="58" applyNumberFormat="1" applyFont="1" applyFill="1" applyBorder="1" applyAlignment="1">
      <alignment horizontal="right" vertical="center"/>
    </xf>
    <xf numFmtId="3" fontId="187" fillId="4" borderId="60" xfId="58" applyNumberFormat="1" applyFont="1" applyFill="1" applyBorder="1" applyAlignment="1">
      <alignment horizontal="right" vertical="center"/>
    </xf>
    <xf numFmtId="168" fontId="43" fillId="3" borderId="155" xfId="59" applyNumberFormat="1" applyFont="1" applyFill="1" applyBorder="1" applyAlignment="1">
      <alignment horizontal="right" vertical="center"/>
    </xf>
    <xf numFmtId="164" fontId="43" fillId="4" borderId="215" xfId="61" applyNumberFormat="1" applyFont="1" applyFill="1" applyBorder="1" applyAlignment="1">
      <alignment horizontal="right" vertical="center"/>
    </xf>
    <xf numFmtId="164" fontId="43" fillId="4" borderId="215" xfId="27" applyNumberFormat="1" applyFont="1" applyFill="1" applyBorder="1" applyAlignment="1">
      <alignment horizontal="right" vertical="center"/>
    </xf>
    <xf numFmtId="164" fontId="43" fillId="4" borderId="34" xfId="61" applyNumberFormat="1" applyFont="1" applyFill="1" applyBorder="1" applyAlignment="1">
      <alignment horizontal="right" vertical="center"/>
    </xf>
    <xf numFmtId="164" fontId="43" fillId="4" borderId="34" xfId="27" applyNumberFormat="1" applyFont="1" applyFill="1" applyBorder="1" applyAlignment="1">
      <alignment horizontal="right" vertical="center"/>
    </xf>
    <xf numFmtId="164" fontId="43" fillId="4" borderId="8" xfId="61" applyNumberFormat="1" applyFont="1" applyFill="1" applyBorder="1" applyAlignment="1">
      <alignment horizontal="right" vertical="center"/>
    </xf>
    <xf numFmtId="164" fontId="43" fillId="4" borderId="8" xfId="27" applyNumberFormat="1" applyFont="1" applyFill="1" applyBorder="1" applyAlignment="1">
      <alignment horizontal="right" vertical="center"/>
    </xf>
    <xf numFmtId="164" fontId="43" fillId="3" borderId="155" xfId="61" applyNumberFormat="1" applyFont="1" applyFill="1" applyBorder="1" applyAlignment="1">
      <alignment horizontal="right" vertical="center"/>
    </xf>
    <xf numFmtId="0" fontId="20" fillId="0" borderId="0" xfId="58" applyFont="1" applyAlignment="1">
      <alignment wrapText="1"/>
    </xf>
    <xf numFmtId="0" fontId="76" fillId="0" borderId="0" xfId="58" applyFont="1"/>
    <xf numFmtId="0" fontId="230" fillId="0" borderId="0" xfId="58" applyFont="1"/>
    <xf numFmtId="0" fontId="20" fillId="0" borderId="0" xfId="58" applyAlignment="1">
      <alignment wrapText="1"/>
    </xf>
    <xf numFmtId="0" fontId="240" fillId="0" borderId="0" xfId="58" applyFont="1" applyAlignment="1">
      <alignment wrapText="1"/>
    </xf>
    <xf numFmtId="0" fontId="230" fillId="0" borderId="0" xfId="58" applyFont="1" applyAlignment="1">
      <alignment horizontal="center" vertical="center"/>
    </xf>
    <xf numFmtId="3" fontId="20" fillId="0" borderId="26" xfId="58" applyNumberFormat="1" applyBorder="1" applyAlignment="1">
      <alignment horizontal="center" vertical="center"/>
    </xf>
    <xf numFmtId="0" fontId="212" fillId="3" borderId="215" xfId="58" applyFont="1" applyFill="1" applyBorder="1" applyAlignment="1">
      <alignment horizontal="center" vertical="center" wrapText="1"/>
    </xf>
    <xf numFmtId="164" fontId="43" fillId="4" borderId="215" xfId="61" applyNumberFormat="1" applyFont="1" applyFill="1" applyBorder="1" applyAlignment="1">
      <alignment horizontal="center" vertical="center"/>
    </xf>
    <xf numFmtId="164" fontId="43" fillId="4" borderId="34" xfId="61" applyNumberFormat="1" applyFont="1" applyFill="1" applyBorder="1" applyAlignment="1">
      <alignment horizontal="center" vertical="center"/>
    </xf>
    <xf numFmtId="164" fontId="43" fillId="4" borderId="8" xfId="61" applyNumberFormat="1" applyFont="1" applyFill="1" applyBorder="1" applyAlignment="1">
      <alignment horizontal="center" vertical="center"/>
    </xf>
    <xf numFmtId="0" fontId="212" fillId="3" borderId="8" xfId="58" applyFont="1" applyFill="1" applyBorder="1" applyAlignment="1">
      <alignment horizontal="center" vertical="center"/>
    </xf>
    <xf numFmtId="9" fontId="43" fillId="3" borderId="155" xfId="61" applyFont="1" applyFill="1" applyBorder="1" applyAlignment="1">
      <alignment horizontal="center" vertical="center"/>
    </xf>
    <xf numFmtId="0" fontId="76" fillId="0" borderId="0" xfId="58" applyFont="1" applyAlignment="1">
      <alignment horizontal="center" vertical="center"/>
    </xf>
    <xf numFmtId="0" fontId="174" fillId="0" borderId="0" xfId="3" applyFont="1" applyAlignment="1">
      <alignment vertical="center"/>
    </xf>
    <xf numFmtId="0" fontId="172" fillId="0" borderId="0" xfId="3" applyFont="1" applyAlignment="1">
      <alignment vertical="center"/>
    </xf>
    <xf numFmtId="0" fontId="50" fillId="0" borderId="1" xfId="3" applyFont="1" applyBorder="1" applyAlignment="1">
      <alignment horizontal="center" vertical="center"/>
    </xf>
    <xf numFmtId="0" fontId="50" fillId="0" borderId="1" xfId="3" applyFont="1" applyBorder="1" applyAlignment="1">
      <alignment horizontal="center" vertical="center" wrapText="1"/>
    </xf>
    <xf numFmtId="0" fontId="54" fillId="0" borderId="80" xfId="3" applyFont="1" applyBorder="1" applyAlignment="1">
      <alignment horizontal="center" vertical="center"/>
    </xf>
    <xf numFmtId="4" fontId="54" fillId="0" borderId="70" xfId="62" applyNumberFormat="1" applyFont="1" applyBorder="1" applyAlignment="1">
      <alignment vertical="center"/>
    </xf>
    <xf numFmtId="4" fontId="54" fillId="0" borderId="71" xfId="3" applyNumberFormat="1" applyFont="1" applyBorder="1" applyAlignment="1">
      <alignment vertical="center"/>
    </xf>
    <xf numFmtId="0" fontId="87" fillId="0" borderId="81" xfId="3" applyFont="1" applyBorder="1" applyAlignment="1">
      <alignment horizontal="center" vertical="center"/>
    </xf>
    <xf numFmtId="4" fontId="32" fillId="0" borderId="73" xfId="62" applyNumberFormat="1" applyFont="1" applyBorder="1" applyAlignment="1">
      <alignment vertical="center"/>
    </xf>
    <xf numFmtId="4" fontId="32" fillId="0" borderId="74" xfId="3" applyNumberFormat="1" applyFont="1" applyBorder="1" applyAlignment="1">
      <alignment vertical="center"/>
    </xf>
    <xf numFmtId="0" fontId="87" fillId="0" borderId="108" xfId="3" applyFont="1" applyBorder="1" applyAlignment="1">
      <alignment horizontal="center" vertical="center"/>
    </xf>
    <xf numFmtId="4" fontId="32" fillId="0" borderId="79" xfId="62" applyNumberFormat="1" applyFont="1" applyBorder="1" applyAlignment="1">
      <alignment vertical="center"/>
    </xf>
    <xf numFmtId="4" fontId="32" fillId="0" borderId="109" xfId="3" applyNumberFormat="1" applyFont="1" applyBorder="1" applyAlignment="1">
      <alignment vertical="center"/>
    </xf>
    <xf numFmtId="0" fontId="57" fillId="0" borderId="188" xfId="3" applyFont="1" applyBorder="1" applyAlignment="1">
      <alignment horizontal="center" vertical="center"/>
    </xf>
    <xf numFmtId="4" fontId="57" fillId="0" borderId="253" xfId="62" applyNumberFormat="1" applyFont="1" applyBorder="1" applyAlignment="1">
      <alignment vertical="center"/>
    </xf>
    <xf numFmtId="4" fontId="57" fillId="0" borderId="254" xfId="3" applyNumberFormat="1" applyFont="1" applyBorder="1" applyAlignment="1">
      <alignment vertical="center"/>
    </xf>
    <xf numFmtId="0" fontId="55" fillId="0" borderId="188" xfId="3" applyFont="1" applyBorder="1" applyAlignment="1">
      <alignment horizontal="center" vertical="center"/>
    </xf>
    <xf numFmtId="4" fontId="55" fillId="0" borderId="253" xfId="62" applyNumberFormat="1" applyFont="1" applyBorder="1" applyAlignment="1">
      <alignment vertical="center"/>
    </xf>
    <xf numFmtId="4" fontId="55" fillId="0" borderId="254" xfId="62" applyNumberFormat="1" applyFont="1" applyBorder="1" applyAlignment="1">
      <alignment vertical="center"/>
    </xf>
    <xf numFmtId="0" fontId="58" fillId="0" borderId="188" xfId="3" applyFont="1" applyBorder="1" applyAlignment="1">
      <alignment horizontal="center" vertical="center"/>
    </xf>
    <xf numFmtId="4" fontId="58" fillId="0" borderId="253" xfId="62" applyNumberFormat="1" applyFont="1" applyBorder="1" applyAlignment="1">
      <alignment vertical="center"/>
    </xf>
    <xf numFmtId="4" fontId="58" fillId="0" borderId="254" xfId="62" applyNumberFormat="1" applyFont="1" applyBorder="1" applyAlignment="1">
      <alignment vertical="center"/>
    </xf>
    <xf numFmtId="0" fontId="56" fillId="0" borderId="188" xfId="3" applyFont="1" applyBorder="1" applyAlignment="1">
      <alignment horizontal="center" vertical="center"/>
    </xf>
    <xf numFmtId="4" fontId="56" fillId="0" borderId="253" xfId="62" applyNumberFormat="1" applyFont="1" applyBorder="1" applyAlignment="1">
      <alignment vertical="center"/>
    </xf>
    <xf numFmtId="4" fontId="56" fillId="0" borderId="254" xfId="62" applyNumberFormat="1" applyFont="1" applyBorder="1" applyAlignment="1">
      <alignment vertical="center"/>
    </xf>
    <xf numFmtId="0" fontId="246" fillId="0" borderId="255" xfId="3" applyFont="1" applyBorder="1" applyAlignment="1">
      <alignment horizontal="center" vertical="center"/>
    </xf>
    <xf numFmtId="4" fontId="246" fillId="0" borderId="256" xfId="62" applyNumberFormat="1" applyFont="1" applyBorder="1" applyAlignment="1">
      <alignment vertical="center"/>
    </xf>
    <xf numFmtId="4" fontId="246" fillId="0" borderId="257" xfId="3" applyNumberFormat="1" applyFont="1" applyBorder="1" applyAlignment="1">
      <alignment vertical="center"/>
    </xf>
    <xf numFmtId="0" fontId="25" fillId="3" borderId="2" xfId="3" applyFont="1" applyFill="1" applyBorder="1" applyAlignment="1">
      <alignment horizontal="center" vertical="center"/>
    </xf>
    <xf numFmtId="4" fontId="25" fillId="3" borderId="155" xfId="3" applyNumberFormat="1" applyFont="1" applyFill="1" applyBorder="1" applyAlignment="1">
      <alignment vertical="center"/>
    </xf>
    <xf numFmtId="0" fontId="47" fillId="0" borderId="0" xfId="3" applyFont="1" applyAlignment="1">
      <alignment horizontal="left" vertical="center"/>
    </xf>
    <xf numFmtId="4" fontId="25" fillId="3" borderId="2" xfId="3" applyNumberFormat="1" applyFont="1" applyFill="1" applyBorder="1" applyAlignment="1">
      <alignment vertical="center"/>
    </xf>
    <xf numFmtId="0" fontId="50" fillId="0" borderId="0" xfId="3" applyFont="1" applyAlignment="1">
      <alignment horizontal="center" vertical="center"/>
    </xf>
    <xf numFmtId="0" fontId="246" fillId="0" borderId="0" xfId="3" applyFont="1" applyAlignment="1">
      <alignment horizontal="center" vertical="center"/>
    </xf>
    <xf numFmtId="43" fontId="26" fillId="0" borderId="0" xfId="3" applyNumberFormat="1" applyAlignment="1">
      <alignment vertical="center"/>
    </xf>
    <xf numFmtId="0" fontId="25" fillId="3" borderId="155" xfId="3" applyFont="1" applyFill="1" applyBorder="1" applyAlignment="1">
      <alignment horizontal="center" vertical="center"/>
    </xf>
    <xf numFmtId="0" fontId="25" fillId="3" borderId="215" xfId="3" applyFont="1" applyFill="1" applyBorder="1" applyAlignment="1">
      <alignment horizontal="center" vertical="center"/>
    </xf>
    <xf numFmtId="0" fontId="76" fillId="6" borderId="155" xfId="3" applyFont="1" applyFill="1" applyBorder="1" applyAlignment="1">
      <alignment horizontal="center" vertical="center"/>
    </xf>
    <xf numFmtId="0" fontId="54" fillId="0" borderId="215" xfId="3" applyFont="1" applyBorder="1" applyAlignment="1">
      <alignment horizontal="center" vertical="center"/>
    </xf>
    <xf numFmtId="4" fontId="54" fillId="0" borderId="196" xfId="62" applyNumberFormat="1" applyFont="1" applyBorder="1" applyAlignment="1">
      <alignment vertical="center"/>
    </xf>
    <xf numFmtId="4" fontId="54" fillId="0" borderId="196" xfId="3" applyNumberFormat="1" applyFont="1" applyBorder="1" applyAlignment="1">
      <alignment vertical="center"/>
    </xf>
    <xf numFmtId="0" fontId="87" fillId="0" borderId="34" xfId="3" applyFont="1" applyBorder="1" applyAlignment="1">
      <alignment horizontal="center" vertical="center"/>
    </xf>
    <xf numFmtId="4" fontId="41" fillId="0" borderId="36" xfId="62" applyNumberFormat="1" applyFont="1" applyBorder="1" applyAlignment="1">
      <alignment vertical="center"/>
    </xf>
    <xf numFmtId="4" fontId="41" fillId="0" borderId="0" xfId="62" applyNumberFormat="1" applyFont="1" applyAlignment="1">
      <alignment vertical="center"/>
    </xf>
    <xf numFmtId="4" fontId="41" fillId="0" borderId="34" xfId="62" applyNumberFormat="1" applyFont="1" applyBorder="1" applyAlignment="1">
      <alignment vertical="center"/>
    </xf>
    <xf numFmtId="4" fontId="41" fillId="0" borderId="36" xfId="3" applyNumberFormat="1" applyFont="1" applyBorder="1" applyAlignment="1">
      <alignment vertical="center"/>
    </xf>
    <xf numFmtId="4" fontId="41" fillId="0" borderId="11" xfId="3" applyNumberFormat="1" applyFont="1" applyBorder="1" applyAlignment="1">
      <alignment vertical="center"/>
    </xf>
    <xf numFmtId="0" fontId="57" fillId="0" borderId="215" xfId="3" applyFont="1" applyBorder="1" applyAlignment="1">
      <alignment horizontal="center" vertical="center"/>
    </xf>
    <xf numFmtId="4" fontId="57" fillId="0" borderId="196" xfId="62" applyNumberFormat="1" applyFont="1" applyBorder="1" applyAlignment="1">
      <alignment vertical="center"/>
    </xf>
    <xf numFmtId="4" fontId="57" fillId="0" borderId="196" xfId="3" applyNumberFormat="1" applyFont="1" applyBorder="1" applyAlignment="1">
      <alignment vertical="center"/>
    </xf>
    <xf numFmtId="0" fontId="87" fillId="0" borderId="8" xfId="3" applyFont="1" applyBorder="1" applyAlignment="1">
      <alignment horizontal="center" vertical="center"/>
    </xf>
    <xf numFmtId="0" fontId="55" fillId="0" borderId="34" xfId="3" applyFont="1" applyBorder="1" applyAlignment="1">
      <alignment horizontal="center" vertical="center"/>
    </xf>
    <xf numFmtId="4" fontId="55" fillId="0" borderId="196" xfId="62" applyNumberFormat="1" applyFont="1" applyBorder="1" applyAlignment="1">
      <alignment vertical="center"/>
    </xf>
    <xf numFmtId="0" fontId="58" fillId="0" borderId="215" xfId="3" applyFont="1" applyBorder="1" applyAlignment="1">
      <alignment horizontal="center" vertical="center"/>
    </xf>
    <xf numFmtId="4" fontId="58" fillId="0" borderId="196" xfId="62" applyNumberFormat="1" applyFont="1" applyBorder="1" applyAlignment="1">
      <alignment vertical="center"/>
    </xf>
    <xf numFmtId="0" fontId="56" fillId="0" borderId="34" xfId="3" applyFont="1" applyBorder="1" applyAlignment="1">
      <alignment horizontal="center" vertical="center"/>
    </xf>
    <xf numFmtId="4" fontId="56" fillId="0" borderId="196" xfId="62" applyNumberFormat="1" applyFont="1" applyBorder="1" applyAlignment="1">
      <alignment vertical="center"/>
    </xf>
    <xf numFmtId="0" fontId="246" fillId="0" borderId="216" xfId="3" applyFont="1" applyBorder="1" applyAlignment="1">
      <alignment horizontal="center" vertical="center"/>
    </xf>
    <xf numFmtId="0" fontId="50" fillId="0" borderId="8" xfId="3" applyFont="1" applyBorder="1" applyAlignment="1">
      <alignment horizontal="center" vertical="center"/>
    </xf>
    <xf numFmtId="4" fontId="246" fillId="0" borderId="155" xfId="62" applyNumberFormat="1" applyFont="1" applyBorder="1" applyAlignment="1">
      <alignment vertical="center"/>
    </xf>
    <xf numFmtId="4" fontId="246" fillId="0" borderId="217" xfId="62" applyNumberFormat="1" applyFont="1" applyBorder="1" applyAlignment="1">
      <alignment vertical="center"/>
    </xf>
    <xf numFmtId="4" fontId="246" fillId="0" borderId="218" xfId="3" applyNumberFormat="1" applyFont="1" applyBorder="1" applyAlignment="1">
      <alignment vertical="center"/>
    </xf>
    <xf numFmtId="0" fontId="26" fillId="0" borderId="0" xfId="3" applyAlignment="1">
      <alignment horizontal="left" vertical="center"/>
    </xf>
    <xf numFmtId="4" fontId="55" fillId="0" borderId="196" xfId="3" applyNumberFormat="1" applyFont="1" applyBorder="1" applyAlignment="1">
      <alignment vertical="center"/>
    </xf>
    <xf numFmtId="4" fontId="58" fillId="0" borderId="196" xfId="3" applyNumberFormat="1" applyFont="1" applyBorder="1" applyAlignment="1">
      <alignment vertical="center"/>
    </xf>
    <xf numFmtId="4" fontId="56" fillId="0" borderId="196" xfId="3" applyNumberFormat="1" applyFont="1" applyBorder="1" applyAlignment="1">
      <alignment vertical="center"/>
    </xf>
    <xf numFmtId="0" fontId="25" fillId="3" borderId="155" xfId="45" applyFont="1" applyFill="1" applyBorder="1" applyAlignment="1">
      <alignment horizontal="center" vertical="center"/>
    </xf>
    <xf numFmtId="0" fontId="25" fillId="3" borderId="215" xfId="45" applyFont="1" applyFill="1" applyBorder="1" applyAlignment="1">
      <alignment horizontal="center" vertical="center"/>
    </xf>
    <xf numFmtId="0" fontId="76" fillId="6" borderId="155" xfId="45" applyFont="1" applyFill="1" applyBorder="1" applyAlignment="1">
      <alignment horizontal="center" vertical="center"/>
    </xf>
    <xf numFmtId="0" fontId="54" fillId="0" borderId="215" xfId="45" applyFont="1" applyBorder="1" applyAlignment="1">
      <alignment horizontal="center" vertical="center"/>
    </xf>
    <xf numFmtId="4" fontId="54" fillId="0" borderId="195" xfId="62" applyNumberFormat="1" applyFont="1" applyBorder="1" applyAlignment="1">
      <alignment vertical="center"/>
    </xf>
    <xf numFmtId="4" fontId="54" fillId="0" borderId="215" xfId="62" applyNumberFormat="1" applyFont="1" applyBorder="1" applyAlignment="1">
      <alignment vertical="center"/>
    </xf>
    <xf numFmtId="4" fontId="54" fillId="0" borderId="196" xfId="45" applyNumberFormat="1" applyFont="1" applyBorder="1" applyAlignment="1">
      <alignment vertical="center"/>
    </xf>
    <xf numFmtId="0" fontId="87" fillId="0" borderId="34" xfId="45" applyFont="1" applyBorder="1" applyAlignment="1">
      <alignment horizontal="center" vertical="center"/>
    </xf>
    <xf numFmtId="4" fontId="41" fillId="0" borderId="36" xfId="45" applyNumberFormat="1" applyFont="1" applyBorder="1" applyAlignment="1">
      <alignment vertical="center"/>
    </xf>
    <xf numFmtId="4" fontId="41" fillId="0" borderId="11" xfId="62" applyNumberFormat="1" applyFont="1" applyBorder="1" applyAlignment="1">
      <alignment vertical="center"/>
    </xf>
    <xf numFmtId="4" fontId="41" fillId="0" borderId="2" xfId="62" applyNumberFormat="1" applyFont="1" applyBorder="1" applyAlignment="1">
      <alignment vertical="center"/>
    </xf>
    <xf numFmtId="4" fontId="41" fillId="0" borderId="8" xfId="62" applyNumberFormat="1" applyFont="1" applyBorder="1" applyAlignment="1">
      <alignment vertical="center"/>
    </xf>
    <xf numFmtId="4" fontId="41" fillId="0" borderId="11" xfId="45" applyNumberFormat="1" applyFont="1" applyBorder="1" applyAlignment="1">
      <alignment vertical="center"/>
    </xf>
    <xf numFmtId="0" fontId="57" fillId="0" borderId="215" xfId="45" applyFont="1" applyBorder="1" applyAlignment="1">
      <alignment horizontal="center" vertical="center"/>
    </xf>
    <xf numFmtId="4" fontId="57" fillId="0" borderId="195" xfId="62" applyNumberFormat="1" applyFont="1" applyBorder="1" applyAlignment="1">
      <alignment vertical="center"/>
    </xf>
    <xf numFmtId="4" fontId="57" fillId="0" borderId="215" xfId="62" applyNumberFormat="1" applyFont="1" applyBorder="1" applyAlignment="1">
      <alignment vertical="center"/>
    </xf>
    <xf numFmtId="4" fontId="57" fillId="0" borderId="196" xfId="45" applyNumberFormat="1" applyFont="1" applyBorder="1" applyAlignment="1">
      <alignment vertical="center"/>
    </xf>
    <xf numFmtId="0" fontId="87" fillId="0" borderId="8" xfId="45" applyFont="1" applyBorder="1" applyAlignment="1">
      <alignment horizontal="center" vertical="center"/>
    </xf>
    <xf numFmtId="0" fontId="55" fillId="0" borderId="34" xfId="45" applyFont="1" applyBorder="1" applyAlignment="1">
      <alignment horizontal="center" vertical="center"/>
    </xf>
    <xf numFmtId="4" fontId="55" fillId="0" borderId="195" xfId="62" applyNumberFormat="1" applyFont="1" applyBorder="1" applyAlignment="1">
      <alignment vertical="center"/>
    </xf>
    <xf numFmtId="4" fontId="55" fillId="0" borderId="215" xfId="62" applyNumberFormat="1" applyFont="1" applyBorder="1" applyAlignment="1">
      <alignment vertical="center"/>
    </xf>
    <xf numFmtId="4" fontId="55" fillId="0" borderId="196" xfId="45" applyNumberFormat="1" applyFont="1" applyBorder="1" applyAlignment="1">
      <alignment vertical="center"/>
    </xf>
    <xf numFmtId="0" fontId="58" fillId="0" borderId="215" xfId="45" applyFont="1" applyBorder="1" applyAlignment="1">
      <alignment horizontal="center" vertical="center"/>
    </xf>
    <xf numFmtId="4" fontId="58" fillId="0" borderId="196" xfId="45" applyNumberFormat="1" applyFont="1" applyBorder="1" applyAlignment="1">
      <alignment vertical="center"/>
    </xf>
    <xf numFmtId="0" fontId="56" fillId="0" borderId="34" xfId="45" applyFont="1" applyBorder="1" applyAlignment="1">
      <alignment horizontal="center" vertical="center"/>
    </xf>
    <xf numFmtId="4" fontId="56" fillId="0" borderId="195" xfId="62" applyNumberFormat="1" applyFont="1" applyBorder="1" applyAlignment="1">
      <alignment vertical="center"/>
    </xf>
    <xf numFmtId="4" fontId="56" fillId="0" borderId="215" xfId="62" applyNumberFormat="1" applyFont="1" applyBorder="1" applyAlignment="1">
      <alignment vertical="center"/>
    </xf>
    <xf numFmtId="4" fontId="56" fillId="0" borderId="196" xfId="45" applyNumberFormat="1" applyFont="1" applyBorder="1" applyAlignment="1">
      <alignment vertical="center"/>
    </xf>
    <xf numFmtId="0" fontId="247" fillId="0" borderId="216" xfId="45" applyFont="1" applyBorder="1" applyAlignment="1">
      <alignment horizontal="center" vertical="center"/>
    </xf>
    <xf numFmtId="0" fontId="50" fillId="0" borderId="8" xfId="45" applyFont="1" applyBorder="1" applyAlignment="1">
      <alignment horizontal="center" vertical="center"/>
    </xf>
    <xf numFmtId="4" fontId="247" fillId="0" borderId="155" xfId="62" applyNumberFormat="1" applyFont="1" applyBorder="1" applyAlignment="1">
      <alignment vertical="center"/>
    </xf>
    <xf numFmtId="4" fontId="247" fillId="0" borderId="217" xfId="62" applyNumberFormat="1" applyFont="1" applyBorder="1" applyAlignment="1">
      <alignment vertical="center"/>
    </xf>
    <xf numFmtId="4" fontId="50" fillId="0" borderId="218" xfId="45" applyNumberFormat="1" applyFont="1" applyBorder="1" applyAlignment="1">
      <alignment vertical="center"/>
    </xf>
    <xf numFmtId="4" fontId="25" fillId="3" borderId="155" xfId="45" applyNumberFormat="1" applyFont="1" applyFill="1" applyBorder="1" applyAlignment="1">
      <alignment vertical="center"/>
    </xf>
    <xf numFmtId="0" fontId="172" fillId="0" borderId="0" xfId="3" applyFont="1" applyAlignment="1">
      <alignment horizontal="center" vertical="center"/>
    </xf>
    <xf numFmtId="4" fontId="54" fillId="0" borderId="195" xfId="45" applyNumberFormat="1" applyFont="1" applyBorder="1" applyAlignment="1">
      <alignment vertical="center"/>
    </xf>
    <xf numFmtId="4" fontId="54" fillId="0" borderId="215" xfId="45" applyNumberFormat="1" applyFont="1" applyBorder="1" applyAlignment="1">
      <alignment vertical="center"/>
    </xf>
    <xf numFmtId="4" fontId="41" fillId="0" borderId="0" xfId="45" applyNumberFormat="1" applyFont="1" applyAlignment="1">
      <alignment vertical="center"/>
    </xf>
    <xf numFmtId="4" fontId="41" fillId="0" borderId="34" xfId="45" applyNumberFormat="1" applyFont="1" applyBorder="1" applyAlignment="1">
      <alignment vertical="center"/>
    </xf>
    <xf numFmtId="4" fontId="41" fillId="0" borderId="2" xfId="45" applyNumberFormat="1" applyFont="1" applyBorder="1" applyAlignment="1">
      <alignment vertical="center"/>
    </xf>
    <xf numFmtId="4" fontId="41" fillId="0" borderId="8" xfId="45" applyNumberFormat="1" applyFont="1" applyBorder="1" applyAlignment="1">
      <alignment vertical="center"/>
    </xf>
    <xf numFmtId="4" fontId="57" fillId="0" borderId="195" xfId="45" applyNumberFormat="1" applyFont="1" applyBorder="1" applyAlignment="1">
      <alignment vertical="center"/>
    </xf>
    <xf numFmtId="4" fontId="57" fillId="0" borderId="215" xfId="45" applyNumberFormat="1" applyFont="1" applyBorder="1" applyAlignment="1">
      <alignment vertical="center"/>
    </xf>
    <xf numFmtId="4" fontId="55" fillId="0" borderId="195" xfId="45" applyNumberFormat="1" applyFont="1" applyBorder="1" applyAlignment="1">
      <alignment vertical="center"/>
    </xf>
    <xf numFmtId="4" fontId="55" fillId="0" borderId="215" xfId="45" applyNumberFormat="1" applyFont="1" applyBorder="1" applyAlignment="1">
      <alignment vertical="center"/>
    </xf>
    <xf numFmtId="4" fontId="58" fillId="0" borderId="195" xfId="45" applyNumberFormat="1" applyFont="1" applyBorder="1" applyAlignment="1">
      <alignment vertical="center"/>
    </xf>
    <xf numFmtId="4" fontId="58" fillId="0" borderId="215" xfId="45" applyNumberFormat="1" applyFont="1" applyBorder="1" applyAlignment="1">
      <alignment vertical="center"/>
    </xf>
    <xf numFmtId="4" fontId="56" fillId="0" borderId="195" xfId="45" applyNumberFormat="1" applyFont="1" applyBorder="1" applyAlignment="1">
      <alignment vertical="center"/>
    </xf>
    <xf numFmtId="4" fontId="56" fillId="0" borderId="215" xfId="45" applyNumberFormat="1" applyFont="1" applyBorder="1" applyAlignment="1">
      <alignment vertical="center"/>
    </xf>
    <xf numFmtId="0" fontId="247" fillId="0" borderId="8" xfId="45" applyFont="1" applyBorder="1" applyAlignment="1">
      <alignment horizontal="center" vertical="center"/>
    </xf>
    <xf numFmtId="4" fontId="247" fillId="0" borderId="155" xfId="45" applyNumberFormat="1" applyFont="1" applyBorder="1" applyAlignment="1">
      <alignment vertical="center"/>
    </xf>
    <xf numFmtId="4" fontId="247" fillId="0" borderId="217" xfId="45" applyNumberFormat="1" applyFont="1" applyBorder="1" applyAlignment="1">
      <alignment vertical="center"/>
    </xf>
    <xf numFmtId="4" fontId="247" fillId="0" borderId="218" xfId="45" applyNumberFormat="1" applyFont="1" applyBorder="1" applyAlignment="1">
      <alignment vertical="center"/>
    </xf>
    <xf numFmtId="4" fontId="25" fillId="3" borderId="217" xfId="45" applyNumberFormat="1" applyFont="1" applyFill="1" applyBorder="1" applyAlignment="1">
      <alignment vertical="center"/>
    </xf>
    <xf numFmtId="4" fontId="25" fillId="3" borderId="218" xfId="45" applyNumberFormat="1" applyFont="1" applyFill="1" applyBorder="1" applyAlignment="1">
      <alignment vertical="center"/>
    </xf>
    <xf numFmtId="0" fontId="25" fillId="3" borderId="155" xfId="45" applyFont="1" applyFill="1" applyBorder="1" applyAlignment="1">
      <alignment horizontal="center" vertical="center" wrapText="1"/>
    </xf>
    <xf numFmtId="0" fontId="20" fillId="3" borderId="216" xfId="45" applyFont="1" applyFill="1" applyBorder="1" applyAlignment="1">
      <alignment horizontal="center" vertical="center"/>
    </xf>
    <xf numFmtId="4" fontId="20" fillId="3" borderId="155" xfId="45" applyNumberFormat="1" applyFont="1" applyFill="1" applyBorder="1"/>
    <xf numFmtId="4" fontId="41" fillId="0" borderId="0" xfId="45" applyNumberFormat="1" applyFont="1"/>
    <xf numFmtId="4" fontId="41" fillId="0" borderId="34" xfId="45" applyNumberFormat="1" applyFont="1" applyBorder="1"/>
    <xf numFmtId="4" fontId="41" fillId="0" borderId="36" xfId="45" applyNumberFormat="1" applyFont="1" applyBorder="1"/>
    <xf numFmtId="4" fontId="41" fillId="0" borderId="2" xfId="45" applyNumberFormat="1" applyFont="1" applyBorder="1"/>
    <xf numFmtId="4" fontId="41" fillId="0" borderId="8" xfId="45" applyNumberFormat="1" applyFont="1" applyBorder="1"/>
    <xf numFmtId="4" fontId="41" fillId="0" borderId="11" xfId="45" applyNumberFormat="1" applyFont="1" applyBorder="1"/>
    <xf numFmtId="0" fontId="25" fillId="0" borderId="216" xfId="45" applyFont="1" applyBorder="1"/>
    <xf numFmtId="4" fontId="25" fillId="3" borderId="155" xfId="45" applyNumberFormat="1" applyFont="1" applyFill="1" applyBorder="1"/>
    <xf numFmtId="0" fontId="25" fillId="3" borderId="155" xfId="45" applyFont="1" applyFill="1" applyBorder="1" applyAlignment="1">
      <alignment horizontal="center"/>
    </xf>
    <xf numFmtId="0" fontId="76" fillId="6" borderId="155" xfId="45" applyFont="1" applyFill="1" applyBorder="1" applyAlignment="1">
      <alignment horizontal="center"/>
    </xf>
    <xf numFmtId="0" fontId="25" fillId="3" borderId="194" xfId="45" applyFont="1" applyFill="1" applyBorder="1" applyAlignment="1">
      <alignment horizontal="center" vertical="center"/>
    </xf>
    <xf numFmtId="0" fontId="20" fillId="3" borderId="215" xfId="45" applyFont="1" applyFill="1" applyBorder="1" applyAlignment="1">
      <alignment horizontal="center" vertical="center"/>
    </xf>
    <xf numFmtId="4" fontId="20" fillId="3" borderId="195" xfId="45" applyNumberFormat="1" applyFont="1" applyFill="1" applyBorder="1"/>
    <xf numFmtId="4" fontId="20" fillId="3" borderId="215" xfId="45" applyNumberFormat="1" applyFont="1" applyFill="1" applyBorder="1"/>
    <xf numFmtId="0" fontId="41" fillId="0" borderId="35" xfId="45" applyFont="1" applyBorder="1" applyAlignment="1">
      <alignment horizontal="center" vertical="center"/>
    </xf>
    <xf numFmtId="0" fontId="41" fillId="0" borderId="60" xfId="45" applyFont="1" applyBorder="1" applyAlignment="1">
      <alignment horizontal="center" vertical="center"/>
    </xf>
    <xf numFmtId="0" fontId="25" fillId="3" borderId="35" xfId="45" applyFont="1" applyFill="1" applyBorder="1" applyAlignment="1">
      <alignment horizontal="center" vertical="center"/>
    </xf>
    <xf numFmtId="4" fontId="25" fillId="0" borderId="155" xfId="45" applyNumberFormat="1" applyFont="1" applyBorder="1"/>
    <xf numFmtId="4" fontId="25" fillId="0" borderId="217" xfId="45" applyNumberFormat="1" applyFont="1" applyBorder="1"/>
    <xf numFmtId="0" fontId="85" fillId="0" borderId="215" xfId="45" applyFont="1" applyBorder="1" applyAlignment="1">
      <alignment horizontal="center"/>
    </xf>
    <xf numFmtId="4" fontId="85" fillId="0" borderId="195" xfId="45" applyNumberFormat="1" applyFont="1" applyBorder="1" applyAlignment="1">
      <alignment horizontal="right" indent="1"/>
    </xf>
    <xf numFmtId="4" fontId="85" fillId="0" borderId="215" xfId="45" applyNumberFormat="1" applyFont="1" applyBorder="1" applyAlignment="1">
      <alignment horizontal="right" indent="1"/>
    </xf>
    <xf numFmtId="0" fontId="85" fillId="0" borderId="34" xfId="45" applyFont="1" applyBorder="1" applyAlignment="1">
      <alignment horizontal="center"/>
    </xf>
    <xf numFmtId="4" fontId="85" fillId="0" borderId="0" xfId="45" applyNumberFormat="1" applyFont="1" applyAlignment="1">
      <alignment horizontal="right" indent="1"/>
    </xf>
    <xf numFmtId="4" fontId="85" fillId="0" borderId="34" xfId="45" applyNumberFormat="1" applyFont="1" applyBorder="1" applyAlignment="1">
      <alignment horizontal="right" indent="1"/>
    </xf>
    <xf numFmtId="0" fontId="85" fillId="3" borderId="8" xfId="45" applyFont="1" applyFill="1" applyBorder="1" applyAlignment="1">
      <alignment horizontal="center"/>
    </xf>
    <xf numFmtId="4" fontId="85" fillId="3" borderId="2" xfId="45" applyNumberFormat="1" applyFont="1" applyFill="1" applyBorder="1" applyAlignment="1">
      <alignment horizontal="right" indent="1"/>
    </xf>
    <xf numFmtId="4" fontId="85" fillId="3" borderId="8" xfId="45" applyNumberFormat="1" applyFont="1" applyFill="1" applyBorder="1" applyAlignment="1">
      <alignment horizontal="right" indent="1"/>
    </xf>
    <xf numFmtId="0" fontId="85" fillId="0" borderId="217" xfId="45" applyFont="1" applyBorder="1" applyAlignment="1">
      <alignment horizontal="center"/>
    </xf>
    <xf numFmtId="4" fontId="85" fillId="0" borderId="155" xfId="45" applyNumberFormat="1" applyFont="1" applyBorder="1" applyAlignment="1">
      <alignment horizontal="right" indent="1"/>
    </xf>
    <xf numFmtId="0" fontId="85" fillId="3" borderId="155" xfId="45" applyFont="1" applyFill="1" applyBorder="1" applyAlignment="1">
      <alignment horizontal="center"/>
    </xf>
    <xf numFmtId="4" fontId="85" fillId="3" borderId="155" xfId="45" applyNumberFormat="1" applyFont="1" applyFill="1" applyBorder="1" applyAlignment="1">
      <alignment horizontal="right" indent="1"/>
    </xf>
    <xf numFmtId="4" fontId="238" fillId="3" borderId="155" xfId="45" applyNumberFormat="1" applyFont="1" applyFill="1" applyBorder="1" applyAlignment="1">
      <alignment horizontal="right" vertical="center" indent="1"/>
    </xf>
    <xf numFmtId="49" fontId="145" fillId="15" borderId="215" xfId="3" applyNumberFormat="1" applyFont="1" applyFill="1" applyBorder="1" applyAlignment="1">
      <alignment horizontal="center" vertical="center" wrapText="1"/>
    </xf>
    <xf numFmtId="49" fontId="145" fillId="15" borderId="194" xfId="3" applyNumberFormat="1" applyFont="1" applyFill="1" applyBorder="1" applyAlignment="1">
      <alignment horizontal="center" vertical="center" wrapText="1"/>
    </xf>
    <xf numFmtId="49" fontId="145" fillId="15" borderId="195" xfId="3" applyNumberFormat="1" applyFont="1" applyFill="1" applyBorder="1" applyAlignment="1">
      <alignment horizontal="center" vertical="center" wrapText="1"/>
    </xf>
    <xf numFmtId="49" fontId="145" fillId="15" borderId="196" xfId="3" applyNumberFormat="1" applyFont="1" applyFill="1" applyBorder="1" applyAlignment="1">
      <alignment horizontal="center" vertical="center" wrapText="1"/>
    </xf>
    <xf numFmtId="49" fontId="172" fillId="6" borderId="155" xfId="3" applyNumberFormat="1" applyFont="1" applyFill="1" applyBorder="1" applyAlignment="1">
      <alignment horizontal="center" vertical="center" wrapText="1"/>
    </xf>
    <xf numFmtId="0" fontId="41" fillId="0" borderId="173" xfId="3" applyFont="1" applyBorder="1" applyAlignment="1">
      <alignment horizontal="center" vertical="center"/>
    </xf>
    <xf numFmtId="4" fontId="41" fillId="0" borderId="212" xfId="3" applyNumberFormat="1" applyFont="1" applyBorder="1" applyAlignment="1">
      <alignment horizontal="right" vertical="center"/>
    </xf>
    <xf numFmtId="4" fontId="145" fillId="0" borderId="24" xfId="63" applyNumberFormat="1" applyFont="1" applyBorder="1" applyAlignment="1">
      <alignment horizontal="right" vertical="center"/>
    </xf>
    <xf numFmtId="0" fontId="41" fillId="0" borderId="48" xfId="3" applyFont="1" applyBorder="1" applyAlignment="1">
      <alignment horizontal="center" vertical="center"/>
    </xf>
    <xf numFmtId="4" fontId="41" fillId="0" borderId="50" xfId="3" applyNumberFormat="1" applyFont="1" applyBorder="1" applyAlignment="1">
      <alignment horizontal="right" vertical="center"/>
    </xf>
    <xf numFmtId="4" fontId="145" fillId="0" borderId="48" xfId="63" applyNumberFormat="1" applyFont="1" applyBorder="1" applyAlignment="1">
      <alignment horizontal="right" vertical="center"/>
    </xf>
    <xf numFmtId="0" fontId="41" fillId="0" borderId="50" xfId="45" applyFont="1" applyBorder="1" applyAlignment="1">
      <alignment vertical="center"/>
    </xf>
    <xf numFmtId="0" fontId="145" fillId="16" borderId="216" xfId="3" applyFont="1" applyFill="1" applyBorder="1" applyAlignment="1">
      <alignment horizontal="center" vertical="center"/>
    </xf>
    <xf numFmtId="4" fontId="145" fillId="16" borderId="216" xfId="63" applyNumberFormat="1" applyFont="1" applyFill="1" applyBorder="1" applyAlignment="1">
      <alignment horizontal="right" vertical="center"/>
    </xf>
    <xf numFmtId="4" fontId="145" fillId="16" borderId="217" xfId="63" applyNumberFormat="1" applyFont="1" applyFill="1" applyBorder="1" applyAlignment="1">
      <alignment horizontal="right" vertical="center"/>
    </xf>
    <xf numFmtId="4" fontId="145" fillId="16" borderId="218" xfId="63" applyNumberFormat="1" applyFont="1" applyFill="1" applyBorder="1" applyAlignment="1">
      <alignment horizontal="right" vertical="center"/>
    </xf>
    <xf numFmtId="49" fontId="145" fillId="15" borderId="155" xfId="3" applyNumberFormat="1" applyFont="1" applyFill="1" applyBorder="1" applyAlignment="1">
      <alignment horizontal="center" vertical="center" wrapText="1"/>
    </xf>
    <xf numFmtId="49" fontId="145" fillId="15" borderId="216" xfId="3" applyNumberFormat="1" applyFont="1" applyFill="1" applyBorder="1" applyAlignment="1">
      <alignment horizontal="center" vertical="center" wrapText="1"/>
    </xf>
    <xf numFmtId="49" fontId="145" fillId="15" borderId="217" xfId="3" applyNumberFormat="1" applyFont="1" applyFill="1" applyBorder="1" applyAlignment="1">
      <alignment horizontal="center" vertical="center" wrapText="1"/>
    </xf>
    <xf numFmtId="49" fontId="145" fillId="15" borderId="218" xfId="3" applyNumberFormat="1" applyFont="1" applyFill="1" applyBorder="1" applyAlignment="1">
      <alignment horizontal="center" vertical="center" wrapText="1"/>
    </xf>
    <xf numFmtId="0" fontId="41" fillId="0" borderId="24" xfId="3" applyFont="1" applyBorder="1" applyAlignment="1">
      <alignment horizontal="center" vertical="center"/>
    </xf>
    <xf numFmtId="4" fontId="41" fillId="0" borderId="25" xfId="3" applyNumberFormat="1" applyFont="1" applyBorder="1" applyAlignment="1">
      <alignment horizontal="right" vertical="center"/>
    </xf>
    <xf numFmtId="4" fontId="41" fillId="0" borderId="26" xfId="3" applyNumberFormat="1" applyFont="1" applyBorder="1" applyAlignment="1">
      <alignment horizontal="right" vertical="center"/>
    </xf>
    <xf numFmtId="4" fontId="41" fillId="0" borderId="26" xfId="63" applyNumberFormat="1" applyFont="1" applyBorder="1" applyAlignment="1">
      <alignment horizontal="right" vertical="center"/>
    </xf>
    <xf numFmtId="4" fontId="41" fillId="0" borderId="27" xfId="3" applyNumberFormat="1" applyFont="1" applyBorder="1" applyAlignment="1">
      <alignment horizontal="right" vertical="center"/>
    </xf>
    <xf numFmtId="4" fontId="41" fillId="0" borderId="49" xfId="63" applyNumberFormat="1" applyFont="1" applyBorder="1" applyAlignment="1">
      <alignment horizontal="right" vertical="center"/>
    </xf>
    <xf numFmtId="4" fontId="41" fillId="0" borderId="50" xfId="63" applyNumberFormat="1" applyFont="1" applyBorder="1" applyAlignment="1">
      <alignment horizontal="right" vertical="center"/>
    </xf>
    <xf numFmtId="4" fontId="41" fillId="0" borderId="51" xfId="63" applyNumberFormat="1" applyFont="1" applyBorder="1" applyAlignment="1">
      <alignment horizontal="right" vertical="center"/>
    </xf>
    <xf numFmtId="4" fontId="41" fillId="0" borderId="49" xfId="3" applyNumberFormat="1" applyFont="1" applyBorder="1" applyAlignment="1">
      <alignment horizontal="right" vertical="center"/>
    </xf>
    <xf numFmtId="4" fontId="41" fillId="0" borderId="51" xfId="3" applyNumberFormat="1" applyFont="1" applyBorder="1" applyAlignment="1">
      <alignment horizontal="right" vertical="center"/>
    </xf>
    <xf numFmtId="0" fontId="41" fillId="0" borderId="52" xfId="3" applyFont="1" applyBorder="1" applyAlignment="1">
      <alignment horizontal="center" vertical="center"/>
    </xf>
    <xf numFmtId="4" fontId="41" fillId="0" borderId="53" xfId="63" applyNumberFormat="1" applyFont="1" applyBorder="1" applyAlignment="1">
      <alignment horizontal="right" vertical="center"/>
    </xf>
    <xf numFmtId="4" fontId="41" fillId="0" borderId="54" xfId="63" applyNumberFormat="1" applyFont="1" applyBorder="1" applyAlignment="1">
      <alignment horizontal="right" vertical="center"/>
    </xf>
    <xf numFmtId="4" fontId="41" fillId="0" borderId="55" xfId="63" applyNumberFormat="1" applyFont="1" applyBorder="1" applyAlignment="1">
      <alignment horizontal="right" vertical="center"/>
    </xf>
    <xf numFmtId="4" fontId="145" fillId="0" borderId="52" xfId="63" applyNumberFormat="1" applyFont="1" applyBorder="1" applyAlignment="1">
      <alignment horizontal="right" vertical="center"/>
    </xf>
    <xf numFmtId="4" fontId="145" fillId="0" borderId="0" xfId="63" applyNumberFormat="1" applyFont="1" applyAlignment="1">
      <alignment horizontal="right" vertical="center"/>
    </xf>
    <xf numFmtId="4" fontId="43" fillId="0" borderId="0" xfId="3" applyNumberFormat="1" applyFont="1" applyAlignment="1">
      <alignment horizontal="left" vertical="center"/>
    </xf>
    <xf numFmtId="0" fontId="193" fillId="0" borderId="0" xfId="45" applyFont="1" applyAlignment="1">
      <alignment vertical="center"/>
    </xf>
    <xf numFmtId="0" fontId="248" fillId="0" borderId="0" xfId="45" applyFont="1" applyAlignment="1">
      <alignment vertical="center"/>
    </xf>
    <xf numFmtId="0" fontId="20" fillId="0" borderId="0" xfId="45" applyFont="1" applyAlignment="1">
      <alignment vertical="center" wrapText="1" readingOrder="1"/>
    </xf>
    <xf numFmtId="0" fontId="85" fillId="0" borderId="1" xfId="45" applyFont="1" applyBorder="1" applyAlignment="1">
      <alignment horizontal="center" vertical="center" wrapText="1" readingOrder="1"/>
    </xf>
    <xf numFmtId="0" fontId="187" fillId="0" borderId="1" xfId="45" applyFont="1" applyBorder="1" applyAlignment="1">
      <alignment horizontal="center" vertical="center" wrapText="1" readingOrder="1"/>
    </xf>
    <xf numFmtId="0" fontId="20" fillId="0" borderId="1" xfId="45" applyFont="1" applyBorder="1" applyAlignment="1">
      <alignment horizontal="center" vertical="center" wrapText="1" readingOrder="1"/>
    </xf>
    <xf numFmtId="0" fontId="249" fillId="0" borderId="258" xfId="45" applyFont="1" applyBorder="1" applyAlignment="1">
      <alignment horizontal="center" vertical="center"/>
    </xf>
    <xf numFmtId="0" fontId="249" fillId="0" borderId="258" xfId="3" applyNumberFormat="1" applyFont="1" applyBorder="1" applyAlignment="1">
      <alignment horizontal="center" vertical="center"/>
    </xf>
    <xf numFmtId="0" fontId="131" fillId="0" borderId="258" xfId="45" applyFont="1" applyBorder="1" applyAlignment="1">
      <alignment horizontal="center" vertical="center"/>
    </xf>
    <xf numFmtId="0" fontId="97" fillId="0" borderId="27" xfId="45" applyFont="1" applyBorder="1" applyAlignment="1">
      <alignment horizontal="center" vertical="center"/>
    </xf>
    <xf numFmtId="0" fontId="87" fillId="0" borderId="127" xfId="45" applyFont="1" applyBorder="1" applyAlignment="1">
      <alignment horizontal="center" vertical="center" wrapText="1"/>
    </xf>
    <xf numFmtId="0" fontId="87" fillId="0" borderId="70" xfId="45" applyFont="1" applyBorder="1" applyAlignment="1">
      <alignment horizontal="center" vertical="center" wrapText="1"/>
    </xf>
    <xf numFmtId="0" fontId="87" fillId="0" borderId="71" xfId="45" applyFont="1" applyBorder="1" applyAlignment="1">
      <alignment horizontal="center" vertical="center" wrapText="1"/>
    </xf>
    <xf numFmtId="0" fontId="87" fillId="0" borderId="105" xfId="45" applyFont="1" applyBorder="1" applyAlignment="1">
      <alignment horizontal="center" vertical="center" wrapText="1"/>
    </xf>
    <xf numFmtId="0" fontId="87" fillId="0" borderId="80" xfId="45" applyFont="1" applyBorder="1" applyAlignment="1">
      <alignment horizontal="center" vertical="center" wrapText="1"/>
    </xf>
    <xf numFmtId="0" fontId="88" fillId="0" borderId="71" xfId="45" applyFont="1" applyBorder="1" applyAlignment="1">
      <alignment horizontal="center" vertical="center" wrapText="1"/>
    </xf>
    <xf numFmtId="0" fontId="250" fillId="17" borderId="258" xfId="45" applyFont="1" applyFill="1" applyBorder="1" applyAlignment="1">
      <alignment horizontal="center" vertical="center"/>
    </xf>
    <xf numFmtId="0" fontId="139" fillId="17" borderId="258" xfId="45" applyFont="1" applyFill="1" applyBorder="1" applyAlignment="1">
      <alignment horizontal="center" vertical="center"/>
    </xf>
    <xf numFmtId="0" fontId="89" fillId="0" borderId="51" xfId="45" applyFont="1" applyBorder="1" applyAlignment="1">
      <alignment horizontal="center" vertical="center"/>
    </xf>
    <xf numFmtId="0" fontId="87" fillId="0" borderId="128" xfId="45" applyFont="1" applyBorder="1" applyAlignment="1">
      <alignment horizontal="center" vertical="center" wrapText="1"/>
    </xf>
    <xf numFmtId="0" fontId="87" fillId="0" borderId="73" xfId="45" applyFont="1" applyBorder="1" applyAlignment="1">
      <alignment horizontal="center" vertical="center" wrapText="1"/>
    </xf>
    <xf numFmtId="0" fontId="87" fillId="0" borderId="74" xfId="45" applyFont="1" applyBorder="1" applyAlignment="1">
      <alignment horizontal="center" vertical="center" wrapText="1"/>
    </xf>
    <xf numFmtId="0" fontId="87" fillId="0" borderId="106" xfId="45" applyFont="1" applyBorder="1" applyAlignment="1">
      <alignment horizontal="center" vertical="center" wrapText="1"/>
    </xf>
    <xf numFmtId="0" fontId="87" fillId="0" borderId="81" xfId="45" applyFont="1" applyBorder="1" applyAlignment="1">
      <alignment horizontal="center" vertical="center" wrapText="1"/>
    </xf>
    <xf numFmtId="0" fontId="88" fillId="0" borderId="74" xfId="45" applyFont="1" applyBorder="1" applyAlignment="1">
      <alignment horizontal="center" vertical="center" wrapText="1"/>
    </xf>
    <xf numFmtId="0" fontId="250" fillId="0" borderId="0" xfId="45" applyFont="1" applyBorder="1" applyAlignment="1">
      <alignment horizontal="center" vertical="center"/>
    </xf>
    <xf numFmtId="0" fontId="139" fillId="0" borderId="0" xfId="45" applyFont="1" applyAlignment="1">
      <alignment horizontal="center" vertical="center"/>
    </xf>
    <xf numFmtId="0" fontId="42" fillId="0" borderId="51" xfId="45" applyFont="1" applyBorder="1" applyAlignment="1">
      <alignment horizontal="center" vertical="center"/>
    </xf>
    <xf numFmtId="0" fontId="250" fillId="17" borderId="0" xfId="45" applyFont="1" applyFill="1" applyBorder="1" applyAlignment="1">
      <alignment horizontal="center" vertical="center"/>
    </xf>
    <xf numFmtId="0" fontId="139" fillId="17" borderId="0" xfId="45" applyFont="1" applyFill="1" applyAlignment="1">
      <alignment horizontal="center" vertical="center"/>
    </xf>
    <xf numFmtId="0" fontId="144" fillId="0" borderId="51" xfId="45" applyFont="1" applyBorder="1" applyAlignment="1">
      <alignment horizontal="center" vertical="center"/>
    </xf>
    <xf numFmtId="0" fontId="98" fillId="0" borderId="51" xfId="45" applyFont="1" applyBorder="1" applyAlignment="1">
      <alignment horizontal="center" vertical="center"/>
    </xf>
    <xf numFmtId="0" fontId="32" fillId="0" borderId="51" xfId="45" applyFont="1" applyBorder="1" applyAlignment="1">
      <alignment horizontal="center" vertical="center"/>
    </xf>
    <xf numFmtId="0" fontId="88" fillId="3" borderId="59" xfId="45" applyFont="1" applyFill="1" applyBorder="1" applyAlignment="1">
      <alignment horizontal="center" vertical="center" wrapText="1"/>
    </xf>
    <xf numFmtId="0" fontId="88" fillId="3" borderId="129" xfId="45" applyFont="1" applyFill="1" applyBorder="1" applyAlignment="1">
      <alignment horizontal="center" vertical="center" wrapText="1"/>
    </xf>
    <xf numFmtId="0" fontId="88" fillId="3" borderId="75" xfId="45" applyFont="1" applyFill="1" applyBorder="1" applyAlignment="1">
      <alignment horizontal="center" vertical="center" wrapText="1"/>
    </xf>
    <xf numFmtId="0" fontId="88" fillId="3" borderId="77" xfId="45" applyFont="1" applyFill="1" applyBorder="1" applyAlignment="1">
      <alignment horizontal="center" vertical="center" wrapText="1"/>
    </xf>
    <xf numFmtId="0" fontId="88" fillId="3" borderId="107" xfId="45" applyFont="1" applyFill="1" applyBorder="1" applyAlignment="1">
      <alignment horizontal="center" vertical="center" wrapText="1"/>
    </xf>
    <xf numFmtId="0" fontId="88" fillId="3" borderId="82" xfId="45" applyFont="1" applyFill="1" applyBorder="1" applyAlignment="1">
      <alignment horizontal="center" vertical="center" wrapText="1"/>
    </xf>
    <xf numFmtId="0" fontId="79" fillId="0" borderId="0" xfId="45" applyFont="1" applyAlignment="1">
      <alignment horizontal="right" vertical="center"/>
    </xf>
    <xf numFmtId="0" fontId="79" fillId="0" borderId="0" xfId="45" applyFont="1" applyAlignment="1">
      <alignment horizontal="left" vertical="center"/>
    </xf>
    <xf numFmtId="0" fontId="78" fillId="0" borderId="0" xfId="45" applyFont="1" applyAlignment="1">
      <alignment horizontal="right" vertical="center"/>
    </xf>
    <xf numFmtId="0" fontId="43" fillId="0" borderId="0" xfId="45" applyFont="1" applyAlignment="1">
      <alignment vertical="center"/>
    </xf>
    <xf numFmtId="0" fontId="26" fillId="0" borderId="0" xfId="45" applyFont="1" applyAlignment="1">
      <alignment horizontal="center" vertical="center"/>
    </xf>
    <xf numFmtId="0" fontId="85" fillId="3" borderId="155" xfId="45" applyFont="1" applyFill="1" applyBorder="1" applyAlignment="1">
      <alignment horizontal="center" vertical="center" wrapText="1" readingOrder="1"/>
    </xf>
    <xf numFmtId="0" fontId="187" fillId="3" borderId="155" xfId="45" applyFont="1" applyFill="1" applyBorder="1" applyAlignment="1">
      <alignment horizontal="center" vertical="center" wrapText="1" readingOrder="1"/>
    </xf>
    <xf numFmtId="0" fontId="20" fillId="0" borderId="8" xfId="45" applyFont="1" applyBorder="1" applyAlignment="1">
      <alignment horizontal="center" vertical="center" wrapText="1" readingOrder="1"/>
    </xf>
    <xf numFmtId="0" fontId="97" fillId="0" borderId="173" xfId="45" applyFont="1" applyBorder="1" applyAlignment="1">
      <alignment horizontal="center" vertical="center"/>
    </xf>
    <xf numFmtId="0" fontId="87" fillId="0" borderId="171" xfId="64" applyFont="1" applyBorder="1" applyAlignment="1">
      <alignment horizontal="center" vertical="center" wrapText="1" readingOrder="1"/>
    </xf>
    <xf numFmtId="0" fontId="87" fillId="0" borderId="212" xfId="64" applyFont="1" applyBorder="1" applyAlignment="1">
      <alignment horizontal="center" vertical="center" wrapText="1"/>
    </xf>
    <xf numFmtId="0" fontId="88" fillId="0" borderId="172" xfId="64" applyFont="1" applyBorder="1" applyAlignment="1">
      <alignment horizontal="center" vertical="center" wrapText="1" readingOrder="1"/>
    </xf>
    <xf numFmtId="0" fontId="88" fillId="0" borderId="172" xfId="45" applyFont="1" applyBorder="1" applyAlignment="1">
      <alignment horizontal="center" vertical="center" wrapText="1" readingOrder="1"/>
    </xf>
    <xf numFmtId="0" fontId="89" fillId="0" borderId="48" xfId="45" applyFont="1" applyBorder="1" applyAlignment="1">
      <alignment horizontal="center" vertical="center"/>
    </xf>
    <xf numFmtId="0" fontId="87" fillId="0" borderId="49" xfId="64" applyFont="1" applyBorder="1" applyAlignment="1">
      <alignment horizontal="center" vertical="center" wrapText="1" readingOrder="1"/>
    </xf>
    <xf numFmtId="0" fontId="87" fillId="0" borderId="50" xfId="64" applyFont="1" applyBorder="1" applyAlignment="1">
      <alignment horizontal="center" vertical="center" wrapText="1"/>
    </xf>
    <xf numFmtId="0" fontId="88" fillId="0" borderId="51" xfId="64" applyFont="1" applyBorder="1" applyAlignment="1">
      <alignment horizontal="center" vertical="center" wrapText="1" readingOrder="1"/>
    </xf>
    <xf numFmtId="0" fontId="88" fillId="0" borderId="51" xfId="45" applyFont="1" applyBorder="1" applyAlignment="1">
      <alignment horizontal="center" vertical="center" wrapText="1" readingOrder="1"/>
    </xf>
    <xf numFmtId="0" fontId="42" fillId="0" borderId="48" xfId="45" applyFont="1" applyBorder="1" applyAlignment="1">
      <alignment horizontal="center" vertical="center"/>
    </xf>
    <xf numFmtId="0" fontId="87" fillId="0" borderId="50" xfId="64" applyFont="1" applyBorder="1" applyAlignment="1">
      <alignment horizontal="center" vertical="center" wrapText="1" readingOrder="1"/>
    </xf>
    <xf numFmtId="0" fontId="144" fillId="0" borderId="48" xfId="45" applyFont="1" applyBorder="1" applyAlignment="1">
      <alignment horizontal="center" vertical="center"/>
    </xf>
    <xf numFmtId="0" fontId="98" fillId="0" borderId="48" xfId="45" applyFont="1" applyBorder="1" applyAlignment="1">
      <alignment horizontal="center" vertical="center"/>
    </xf>
    <xf numFmtId="0" fontId="32" fillId="0" borderId="56" xfId="45" applyFont="1" applyBorder="1" applyAlignment="1">
      <alignment horizontal="center" vertical="center"/>
    </xf>
    <xf numFmtId="0" fontId="87" fillId="0" borderId="57" xfId="64" applyFont="1" applyBorder="1" applyAlignment="1">
      <alignment horizontal="center" vertical="center" wrapText="1" readingOrder="1"/>
    </xf>
    <xf numFmtId="0" fontId="87" fillId="0" borderId="58" xfId="64" applyFont="1" applyBorder="1" applyAlignment="1">
      <alignment horizontal="center" vertical="center" wrapText="1" readingOrder="1"/>
    </xf>
    <xf numFmtId="0" fontId="88" fillId="0" borderId="59" xfId="64" applyFont="1" applyBorder="1" applyAlignment="1">
      <alignment horizontal="center" vertical="center" wrapText="1" readingOrder="1"/>
    </xf>
    <xf numFmtId="0" fontId="88" fillId="0" borderId="59" xfId="45" applyFont="1" applyBorder="1" applyAlignment="1">
      <alignment horizontal="center" vertical="center" wrapText="1" readingOrder="1"/>
    </xf>
    <xf numFmtId="0" fontId="25" fillId="3" borderId="155" xfId="45" applyFont="1" applyFill="1" applyBorder="1" applyAlignment="1">
      <alignment horizontal="center" vertical="center" wrapText="1" readingOrder="1"/>
    </xf>
    <xf numFmtId="0" fontId="88" fillId="3" borderId="216" xfId="45" applyFont="1" applyFill="1" applyBorder="1" applyAlignment="1">
      <alignment horizontal="center" vertical="center" wrapText="1" readingOrder="1"/>
    </xf>
    <xf numFmtId="0" fontId="88" fillId="3" borderId="217" xfId="45" applyFont="1" applyFill="1" applyBorder="1" applyAlignment="1">
      <alignment horizontal="center" vertical="center" wrapText="1" readingOrder="1"/>
    </xf>
    <xf numFmtId="0" fontId="88" fillId="3" borderId="218" xfId="45" applyFont="1" applyFill="1" applyBorder="1" applyAlignment="1">
      <alignment horizontal="center" vertical="center" wrapText="1" readingOrder="1"/>
    </xf>
    <xf numFmtId="0" fontId="88" fillId="3" borderId="155" xfId="45" applyFont="1" applyFill="1" applyBorder="1" applyAlignment="1">
      <alignment horizontal="center" vertical="center" wrapText="1"/>
    </xf>
    <xf numFmtId="0" fontId="87" fillId="3" borderId="155" xfId="45" applyFont="1" applyFill="1" applyBorder="1" applyAlignment="1">
      <alignment horizontal="center" vertical="center" wrapText="1"/>
    </xf>
    <xf numFmtId="0" fontId="50" fillId="3" borderId="155" xfId="45" applyFont="1" applyFill="1" applyBorder="1" applyAlignment="1">
      <alignment horizontal="center" vertical="center" wrapText="1"/>
    </xf>
    <xf numFmtId="0" fontId="20" fillId="3" borderId="155" xfId="45" applyFont="1" applyFill="1" applyBorder="1" applyAlignment="1">
      <alignment horizontal="center" vertical="center" wrapText="1"/>
    </xf>
    <xf numFmtId="0" fontId="187" fillId="3" borderId="155" xfId="45" applyFont="1" applyFill="1" applyBorder="1" applyAlignment="1">
      <alignment horizontal="center" vertical="center" wrapText="1"/>
    </xf>
    <xf numFmtId="0" fontId="97" fillId="0" borderId="171" xfId="45" applyFont="1" applyBorder="1" applyAlignment="1">
      <alignment horizontal="center" vertical="center" wrapText="1"/>
    </xf>
    <xf numFmtId="0" fontId="87" fillId="0" borderId="260" xfId="45" applyFont="1" applyBorder="1" applyAlignment="1">
      <alignment horizontal="center" vertical="center" wrapText="1"/>
    </xf>
    <xf numFmtId="0" fontId="87" fillId="0" borderId="253" xfId="45" applyFont="1" applyBorder="1" applyAlignment="1">
      <alignment horizontal="center" vertical="center" wrapText="1"/>
    </xf>
    <xf numFmtId="0" fontId="88" fillId="0" borderId="189" xfId="45" applyFont="1" applyBorder="1" applyAlignment="1">
      <alignment horizontal="center" vertical="center" wrapText="1"/>
    </xf>
    <xf numFmtId="0" fontId="87" fillId="0" borderId="188" xfId="45" applyFont="1" applyBorder="1" applyAlignment="1">
      <alignment horizontal="center" vertical="center" wrapText="1"/>
    </xf>
    <xf numFmtId="0" fontId="89" fillId="0" borderId="49" xfId="45" applyFont="1" applyBorder="1" applyAlignment="1">
      <alignment horizontal="center" vertical="center" wrapText="1"/>
    </xf>
    <xf numFmtId="0" fontId="88" fillId="0" borderId="106" xfId="45" applyFont="1" applyBorder="1" applyAlignment="1">
      <alignment horizontal="center" vertical="center" wrapText="1"/>
    </xf>
    <xf numFmtId="0" fontId="42" fillId="0" borderId="49" xfId="45" applyFont="1" applyBorder="1" applyAlignment="1">
      <alignment horizontal="center" vertical="center" wrapText="1"/>
    </xf>
    <xf numFmtId="0" fontId="98" fillId="0" borderId="49" xfId="45" applyFont="1" applyBorder="1" applyAlignment="1">
      <alignment horizontal="center" vertical="center" wrapText="1"/>
    </xf>
    <xf numFmtId="0" fontId="144" fillId="0" borderId="49" xfId="45" applyFont="1" applyBorder="1" applyAlignment="1">
      <alignment horizontal="center" vertical="center" wrapText="1"/>
    </xf>
    <xf numFmtId="0" fontId="87" fillId="0" borderId="57" xfId="45" applyFont="1" applyBorder="1" applyAlignment="1">
      <alignment horizontal="center" vertical="center" wrapText="1"/>
    </xf>
    <xf numFmtId="0" fontId="87" fillId="0" borderId="129" xfId="45" applyFont="1" applyBorder="1" applyAlignment="1">
      <alignment horizontal="center" vertical="center" wrapText="1"/>
    </xf>
    <xf numFmtId="0" fontId="87" fillId="0" borderId="75" xfId="45" applyFont="1" applyBorder="1" applyAlignment="1">
      <alignment horizontal="center" vertical="center" wrapText="1"/>
    </xf>
    <xf numFmtId="0" fontId="88" fillId="0" borderId="107" xfId="45" applyFont="1" applyBorder="1" applyAlignment="1">
      <alignment horizontal="center" vertical="center" wrapText="1"/>
    </xf>
    <xf numFmtId="0" fontId="87" fillId="0" borderId="82" xfId="45" applyFont="1" applyBorder="1" applyAlignment="1">
      <alignment horizontal="center" vertical="center" wrapText="1"/>
    </xf>
    <xf numFmtId="0" fontId="88" fillId="3" borderId="216" xfId="45" applyFont="1" applyFill="1" applyBorder="1" applyAlignment="1">
      <alignment horizontal="center" vertical="center" wrapText="1"/>
    </xf>
    <xf numFmtId="0" fontId="88" fillId="3" borderId="217" xfId="45" applyFont="1" applyFill="1" applyBorder="1" applyAlignment="1">
      <alignment horizontal="center" vertical="center" wrapText="1"/>
    </xf>
    <xf numFmtId="0" fontId="88" fillId="3" borderId="218" xfId="45" applyFont="1" applyFill="1" applyBorder="1" applyAlignment="1">
      <alignment horizontal="center" vertical="center" wrapText="1"/>
    </xf>
    <xf numFmtId="0" fontId="165" fillId="0" borderId="0" xfId="65" applyFont="1" applyAlignment="1">
      <alignment horizontal="right" vertical="center"/>
    </xf>
    <xf numFmtId="0" fontId="20" fillId="0" borderId="0" xfId="65"/>
    <xf numFmtId="0" fontId="25" fillId="0" borderId="0" xfId="65" applyFont="1" applyBorder="1" applyAlignment="1">
      <alignment vertical="center"/>
    </xf>
    <xf numFmtId="0" fontId="25" fillId="0" borderId="0" xfId="65" applyFont="1" applyBorder="1" applyAlignment="1">
      <alignment horizontal="right" vertical="center"/>
    </xf>
    <xf numFmtId="0" fontId="25" fillId="0" borderId="1" xfId="65" applyFont="1" applyBorder="1" applyAlignment="1">
      <alignment horizontal="center" vertical="center" wrapText="1"/>
    </xf>
    <xf numFmtId="0" fontId="50" fillId="0" borderId="0" xfId="45" applyFont="1" applyBorder="1" applyAlignment="1">
      <alignment vertical="center"/>
    </xf>
    <xf numFmtId="0" fontId="32" fillId="3" borderId="128" xfId="0" applyFont="1" applyFill="1" applyBorder="1" applyAlignment="1">
      <alignment horizontal="center" vertical="center"/>
    </xf>
    <xf numFmtId="0" fontId="32" fillId="3" borderId="73" xfId="0" applyFont="1" applyFill="1" applyBorder="1" applyAlignment="1">
      <alignment vertical="center" wrapText="1"/>
    </xf>
    <xf numFmtId="0" fontId="32" fillId="3" borderId="106" xfId="0" applyFont="1" applyFill="1" applyBorder="1" applyAlignment="1">
      <alignment horizontal="center" vertical="center" wrapText="1"/>
    </xf>
    <xf numFmtId="3" fontId="32" fillId="3" borderId="81" xfId="0" applyNumberFormat="1" applyFont="1" applyFill="1" applyBorder="1" applyAlignment="1">
      <alignment horizontal="center" vertical="center"/>
    </xf>
    <xf numFmtId="3" fontId="32" fillId="3" borderId="73" xfId="0" applyNumberFormat="1" applyFont="1" applyFill="1" applyBorder="1" applyAlignment="1">
      <alignment horizontal="center" vertical="center"/>
    </xf>
    <xf numFmtId="3" fontId="32" fillId="3" borderId="74" xfId="0" applyNumberFormat="1" applyFont="1" applyFill="1" applyBorder="1" applyAlignment="1">
      <alignment horizontal="center" vertical="center"/>
    </xf>
    <xf numFmtId="3" fontId="32" fillId="3" borderId="128" xfId="0" applyNumberFormat="1" applyFont="1" applyFill="1" applyBorder="1" applyAlignment="1">
      <alignment horizontal="center" vertical="center"/>
    </xf>
    <xf numFmtId="3" fontId="32" fillId="3" borderId="106" xfId="0" applyNumberFormat="1" applyFont="1" applyFill="1" applyBorder="1" applyAlignment="1">
      <alignment horizontal="center" vertical="center"/>
    </xf>
    <xf numFmtId="3" fontId="22" fillId="3" borderId="81" xfId="0" applyNumberFormat="1" applyFont="1" applyFill="1" applyBorder="1" applyAlignment="1">
      <alignment horizontal="center" vertical="center"/>
    </xf>
    <xf numFmtId="3" fontId="22" fillId="3" borderId="73" xfId="0" applyNumberFormat="1" applyFont="1" applyFill="1" applyBorder="1" applyAlignment="1">
      <alignment horizontal="center" vertical="center"/>
    </xf>
    <xf numFmtId="0" fontId="32" fillId="0" borderId="124" xfId="0" applyFont="1" applyFill="1" applyBorder="1" applyAlignment="1">
      <alignment horizontal="center" vertical="center" wrapText="1"/>
    </xf>
    <xf numFmtId="0" fontId="32" fillId="0" borderId="1" xfId="0" applyFont="1" applyFill="1" applyBorder="1" applyAlignment="1">
      <alignment horizontal="center" vertical="center" wrapText="1"/>
    </xf>
    <xf numFmtId="0" fontId="47" fillId="0" borderId="87" xfId="0" applyFont="1" applyFill="1" applyBorder="1" applyAlignment="1">
      <alignment horizontal="center" vertical="center" wrapText="1"/>
    </xf>
    <xf numFmtId="0" fontId="32" fillId="0" borderId="125" xfId="0" applyFont="1" applyFill="1" applyBorder="1" applyAlignment="1">
      <alignment horizontal="center" vertical="center" wrapText="1"/>
    </xf>
    <xf numFmtId="0" fontId="50" fillId="0" borderId="126" xfId="0" applyFont="1" applyFill="1" applyBorder="1" applyAlignment="1">
      <alignment horizontal="center" vertical="center" wrapText="1"/>
    </xf>
    <xf numFmtId="3" fontId="25" fillId="0" borderId="11" xfId="34" applyNumberFormat="1" applyFont="1" applyFill="1" applyBorder="1" applyAlignment="1">
      <alignment horizontal="center" vertical="center" wrapText="1"/>
    </xf>
    <xf numFmtId="3" fontId="25" fillId="0" borderId="8" xfId="34" applyNumberFormat="1" applyFont="1" applyFill="1" applyBorder="1" applyAlignment="1">
      <alignment horizontal="center" vertical="center" wrapText="1"/>
    </xf>
    <xf numFmtId="0" fontId="32" fillId="18" borderId="128" xfId="0" applyFont="1" applyFill="1" applyBorder="1" applyAlignment="1">
      <alignment horizontal="center" vertical="center"/>
    </xf>
    <xf numFmtId="0" fontId="32" fillId="18" borderId="73" xfId="0" applyFont="1" applyFill="1" applyBorder="1" applyAlignment="1">
      <alignment vertical="center" wrapText="1"/>
    </xf>
    <xf numFmtId="3" fontId="32" fillId="18" borderId="74" xfId="0" applyNumberFormat="1" applyFont="1" applyFill="1" applyBorder="1" applyAlignment="1">
      <alignment horizontal="center" vertical="center"/>
    </xf>
    <xf numFmtId="3" fontId="32" fillId="18" borderId="73" xfId="0" applyNumberFormat="1" applyFont="1" applyFill="1" applyBorder="1" applyAlignment="1">
      <alignment horizontal="center" vertical="center"/>
    </xf>
    <xf numFmtId="3" fontId="32" fillId="18" borderId="128" xfId="0" applyNumberFormat="1" applyFont="1" applyFill="1" applyBorder="1" applyAlignment="1">
      <alignment horizontal="center" vertical="center"/>
    </xf>
    <xf numFmtId="3" fontId="32" fillId="18" borderId="106" xfId="0" applyNumberFormat="1" applyFont="1" applyFill="1" applyBorder="1" applyAlignment="1">
      <alignment horizontal="center" vertical="center"/>
    </xf>
    <xf numFmtId="3" fontId="32" fillId="18" borderId="81" xfId="0" applyNumberFormat="1" applyFont="1" applyFill="1" applyBorder="1" applyAlignment="1">
      <alignment horizontal="center" vertical="center"/>
    </xf>
    <xf numFmtId="0" fontId="32" fillId="18" borderId="106" xfId="0" applyFont="1" applyFill="1" applyBorder="1" applyAlignment="1">
      <alignment horizontal="center" vertical="center" wrapText="1"/>
    </xf>
    <xf numFmtId="3" fontId="22" fillId="18" borderId="81" xfId="0" applyNumberFormat="1" applyFont="1" applyFill="1" applyBorder="1" applyAlignment="1">
      <alignment horizontal="center" vertical="center"/>
    </xf>
    <xf numFmtId="3" fontId="22" fillId="18" borderId="73" xfId="0" applyNumberFormat="1" applyFont="1" applyFill="1" applyBorder="1" applyAlignment="1">
      <alignment horizontal="center" vertical="center"/>
    </xf>
    <xf numFmtId="0" fontId="32" fillId="0" borderId="0" xfId="2" applyFont="1" applyAlignment="1">
      <alignment horizontal="right" vertical="center" wrapText="1"/>
    </xf>
    <xf numFmtId="0" fontId="50" fillId="3" borderId="9" xfId="3" applyFont="1" applyFill="1" applyBorder="1" applyAlignment="1">
      <alignment horizontal="center" vertical="center"/>
    </xf>
    <xf numFmtId="0" fontId="50" fillId="3" borderId="10" xfId="3" applyFont="1" applyFill="1" applyBorder="1" applyAlignment="1">
      <alignment horizontal="center" vertical="center"/>
    </xf>
    <xf numFmtId="0" fontId="50" fillId="0" borderId="0" xfId="54" applyFont="1" applyAlignment="1">
      <alignment vertical="center" wrapText="1"/>
    </xf>
    <xf numFmtId="0" fontId="19" fillId="0" borderId="0" xfId="54" applyFont="1" applyAlignment="1">
      <alignment vertical="center"/>
    </xf>
    <xf numFmtId="0" fontId="174" fillId="0" borderId="0" xfId="54" applyFont="1" applyAlignment="1">
      <alignment horizontal="center" vertical="center"/>
    </xf>
    <xf numFmtId="0" fontId="19" fillId="0" borderId="0" xfId="54" applyFont="1" applyAlignment="1">
      <alignment horizontal="center" vertical="center"/>
    </xf>
    <xf numFmtId="0" fontId="187" fillId="0" borderId="0" xfId="54" applyFont="1" applyAlignment="1">
      <alignment vertical="center"/>
    </xf>
    <xf numFmtId="0" fontId="174" fillId="0" borderId="0" xfId="54" applyFont="1" applyAlignment="1">
      <alignment vertical="center"/>
    </xf>
    <xf numFmtId="0" fontId="19" fillId="0" borderId="0" xfId="54" applyFont="1" applyAlignment="1">
      <alignment horizontal="right" vertical="center"/>
    </xf>
    <xf numFmtId="0" fontId="145" fillId="0" borderId="0" xfId="54" applyFont="1" applyAlignment="1">
      <alignment horizontal="left" vertical="center"/>
    </xf>
    <xf numFmtId="0" fontId="41" fillId="0" borderId="0" xfId="54" applyFont="1" applyAlignment="1">
      <alignment vertical="center"/>
    </xf>
    <xf numFmtId="0" fontId="47" fillId="0" borderId="0" xfId="1" applyFont="1" applyAlignment="1" applyProtection="1">
      <alignment horizontal="left" vertical="center"/>
    </xf>
    <xf numFmtId="0" fontId="48" fillId="0" borderId="0" xfId="1" applyFont="1" applyAlignment="1" applyProtection="1">
      <alignment horizontal="left" vertical="center"/>
    </xf>
    <xf numFmtId="0" fontId="47" fillId="0" borderId="0" xfId="54" applyFont="1" applyAlignment="1">
      <alignment horizontal="left" vertical="center"/>
    </xf>
    <xf numFmtId="0" fontId="43" fillId="0" borderId="0" xfId="45" applyFont="1" applyAlignment="1">
      <alignment horizontal="left" vertical="center" indent="1"/>
    </xf>
    <xf numFmtId="0" fontId="32" fillId="0" borderId="171" xfId="45" applyFont="1" applyBorder="1" applyAlignment="1">
      <alignment horizontal="right" vertical="center" wrapText="1"/>
    </xf>
    <xf numFmtId="0" fontId="32" fillId="0" borderId="212" xfId="45" applyFont="1" applyBorder="1" applyAlignment="1">
      <alignment horizontal="right" vertical="center" wrapText="1"/>
    </xf>
    <xf numFmtId="0" fontId="32" fillId="0" borderId="50" xfId="45" applyFont="1" applyBorder="1" applyAlignment="1">
      <alignment horizontal="right" vertical="center" wrapText="1"/>
    </xf>
    <xf numFmtId="0" fontId="145" fillId="0" borderId="0" xfId="54" applyFont="1" applyAlignment="1">
      <alignment horizontal="right" vertical="center"/>
    </xf>
    <xf numFmtId="0" fontId="251" fillId="0" borderId="0" xfId="54" applyFont="1" applyAlignment="1">
      <alignment horizontal="right" vertical="center"/>
    </xf>
    <xf numFmtId="0" fontId="32" fillId="0" borderId="0" xfId="45" applyFont="1" applyAlignment="1">
      <alignment horizontal="left" vertical="center"/>
    </xf>
    <xf numFmtId="0" fontId="252" fillId="0" borderId="0" xfId="1" applyFont="1" applyAlignment="1" applyProtection="1">
      <alignment horizontal="left" vertical="center"/>
    </xf>
    <xf numFmtId="0" fontId="18" fillId="0" borderId="0" xfId="54" applyFont="1" applyAlignment="1">
      <alignment vertical="center"/>
    </xf>
    <xf numFmtId="0" fontId="32" fillId="0" borderId="0" xfId="45" applyFont="1" applyAlignment="1">
      <alignment horizontal="left" vertical="center" indent="1"/>
    </xf>
    <xf numFmtId="0" fontId="51" fillId="0" borderId="0" xfId="45" applyFont="1" applyAlignment="1">
      <alignment horizontal="left" vertical="center" wrapText="1"/>
    </xf>
    <xf numFmtId="0" fontId="50" fillId="0" borderId="0" xfId="2" applyFont="1" applyAlignment="1">
      <alignment vertical="center"/>
    </xf>
    <xf numFmtId="3" fontId="50" fillId="3" borderId="218" xfId="2" applyNumberFormat="1" applyFont="1" applyFill="1" applyBorder="1" applyAlignment="1">
      <alignment horizontal="right"/>
    </xf>
    <xf numFmtId="0" fontId="87" fillId="2" borderId="48" xfId="3" applyFont="1" applyFill="1" applyBorder="1" applyAlignment="1">
      <alignment wrapText="1"/>
    </xf>
    <xf numFmtId="1" fontId="32" fillId="2" borderId="49" xfId="3" applyNumberFormat="1" applyFont="1" applyFill="1" applyBorder="1" applyAlignment="1">
      <alignment horizontal="right" vertical="center"/>
    </xf>
    <xf numFmtId="1" fontId="32" fillId="2" borderId="50" xfId="3" applyNumberFormat="1" applyFont="1" applyFill="1" applyBorder="1" applyAlignment="1">
      <alignment horizontal="right" vertical="center"/>
    </xf>
    <xf numFmtId="1" fontId="50" fillId="2" borderId="51" xfId="3" applyNumberFormat="1" applyFont="1" applyFill="1" applyBorder="1" applyAlignment="1">
      <alignment horizontal="right" vertical="center"/>
    </xf>
    <xf numFmtId="0" fontId="32" fillId="2" borderId="48" xfId="3" applyFont="1" applyFill="1" applyBorder="1" applyAlignment="1">
      <alignment wrapText="1"/>
    </xf>
    <xf numFmtId="0" fontId="32" fillId="2" borderId="50" xfId="3" applyFont="1" applyFill="1" applyBorder="1" applyAlignment="1">
      <alignment horizontal="right" vertical="center"/>
    </xf>
    <xf numFmtId="1" fontId="32" fillId="2" borderId="50" xfId="3" applyNumberFormat="1" applyFont="1" applyFill="1" applyBorder="1" applyAlignment="1" applyProtection="1">
      <alignment horizontal="right" vertical="center"/>
      <protection locked="0"/>
    </xf>
    <xf numFmtId="1" fontId="32" fillId="2" borderId="49" xfId="3" applyNumberFormat="1" applyFont="1" applyFill="1" applyBorder="1" applyAlignment="1" applyProtection="1">
      <alignment horizontal="right" vertical="center"/>
      <protection locked="0"/>
    </xf>
    <xf numFmtId="0" fontId="87" fillId="2" borderId="52" xfId="3" applyFont="1" applyFill="1" applyBorder="1" applyAlignment="1">
      <alignment wrapText="1"/>
    </xf>
    <xf numFmtId="1" fontId="32" fillId="2" borderId="53" xfId="3" applyNumberFormat="1" applyFont="1" applyFill="1" applyBorder="1" applyAlignment="1" applyProtection="1">
      <alignment horizontal="right" vertical="center"/>
      <protection locked="0"/>
    </xf>
    <xf numFmtId="1" fontId="32" fillId="2" borderId="54" xfId="3" applyNumberFormat="1" applyFont="1" applyFill="1" applyBorder="1" applyAlignment="1" applyProtection="1">
      <alignment horizontal="right" vertical="center"/>
      <protection locked="0"/>
    </xf>
    <xf numFmtId="1" fontId="50" fillId="2" borderId="55" xfId="3" applyNumberFormat="1" applyFont="1" applyFill="1" applyBorder="1" applyAlignment="1">
      <alignment horizontal="right" vertical="center"/>
    </xf>
    <xf numFmtId="1" fontId="32" fillId="2" borderId="54" xfId="3" applyNumberFormat="1" applyFont="1" applyFill="1" applyBorder="1" applyAlignment="1">
      <alignment horizontal="right" vertical="center"/>
    </xf>
    <xf numFmtId="0" fontId="32" fillId="2" borderId="48" xfId="3" applyFont="1" applyFill="1" applyBorder="1" applyAlignment="1">
      <alignment horizontal="left" vertical="center" wrapText="1"/>
    </xf>
    <xf numFmtId="0" fontId="141" fillId="2" borderId="48" xfId="3" applyFont="1" applyFill="1" applyBorder="1" applyAlignment="1">
      <alignment wrapText="1"/>
    </xf>
    <xf numFmtId="0" fontId="32" fillId="2" borderId="24" xfId="3" applyFont="1" applyFill="1" applyBorder="1" applyAlignment="1">
      <alignment wrapText="1"/>
    </xf>
    <xf numFmtId="1" fontId="32" fillId="2" borderId="25" xfId="3" applyNumberFormat="1" applyFont="1" applyFill="1" applyBorder="1" applyAlignment="1" applyProtection="1">
      <alignment horizontal="right" vertical="center"/>
      <protection locked="0"/>
    </xf>
    <xf numFmtId="1" fontId="32" fillId="2" borderId="26" xfId="3" applyNumberFormat="1" applyFont="1" applyFill="1" applyBorder="1" applyAlignment="1" applyProtection="1">
      <alignment horizontal="right" vertical="center"/>
      <protection locked="0"/>
    </xf>
    <xf numFmtId="1" fontId="50" fillId="2" borderId="27" xfId="3" applyNumberFormat="1" applyFont="1" applyFill="1" applyBorder="1" applyAlignment="1">
      <alignment horizontal="right" vertical="center"/>
    </xf>
    <xf numFmtId="1" fontId="32" fillId="2" borderId="26" xfId="3" applyNumberFormat="1" applyFont="1" applyFill="1" applyBorder="1" applyAlignment="1">
      <alignment horizontal="right" vertical="center"/>
    </xf>
    <xf numFmtId="1" fontId="32" fillId="2" borderId="25" xfId="3" applyNumberFormat="1" applyFont="1" applyFill="1" applyBorder="1" applyAlignment="1">
      <alignment horizontal="right" vertical="center"/>
    </xf>
    <xf numFmtId="0" fontId="71" fillId="2" borderId="94" xfId="28" applyFont="1" applyFill="1" applyBorder="1" applyAlignment="1">
      <alignment wrapText="1"/>
    </xf>
    <xf numFmtId="0" fontId="52" fillId="2" borderId="48" xfId="3" applyFont="1" applyFill="1" applyBorder="1" applyAlignment="1">
      <alignment vertical="center" wrapText="1"/>
    </xf>
    <xf numFmtId="0" fontId="32" fillId="2" borderId="27" xfId="3" applyFont="1" applyFill="1" applyBorder="1" applyAlignment="1">
      <alignment wrapText="1"/>
    </xf>
    <xf numFmtId="1" fontId="32" fillId="2" borderId="45" xfId="3" applyNumberFormat="1" applyFont="1" applyFill="1" applyBorder="1" applyAlignment="1" applyProtection="1">
      <alignment horizontal="right" vertical="center"/>
      <protection locked="0"/>
    </xf>
    <xf numFmtId="1" fontId="32" fillId="2" borderId="46" xfId="3" applyNumberFormat="1" applyFont="1" applyFill="1" applyBorder="1" applyAlignment="1" applyProtection="1">
      <alignment horizontal="right" vertical="center"/>
      <protection locked="0"/>
    </xf>
    <xf numFmtId="1" fontId="50" fillId="2" borderId="47" xfId="3" applyNumberFormat="1" applyFont="1" applyFill="1" applyBorder="1" applyAlignment="1">
      <alignment horizontal="right" vertical="center"/>
    </xf>
    <xf numFmtId="1" fontId="32" fillId="2" borderId="46" xfId="3" applyNumberFormat="1" applyFont="1" applyFill="1" applyBorder="1" applyAlignment="1">
      <alignment horizontal="right" vertical="center"/>
    </xf>
    <xf numFmtId="0" fontId="32" fillId="2" borderId="51" xfId="3" applyFont="1" applyFill="1" applyBorder="1" applyAlignment="1">
      <alignment wrapText="1"/>
    </xf>
    <xf numFmtId="0" fontId="89" fillId="2" borderId="39" xfId="3" applyFont="1" applyFill="1" applyBorder="1" applyAlignment="1">
      <alignment horizontal="center" vertical="center"/>
    </xf>
    <xf numFmtId="0" fontId="87" fillId="2" borderId="24" xfId="3" applyFont="1" applyFill="1" applyBorder="1" applyAlignment="1">
      <alignment wrapText="1"/>
    </xf>
    <xf numFmtId="0" fontId="32" fillId="2" borderId="44" xfId="3" applyFont="1" applyFill="1" applyBorder="1" applyAlignment="1">
      <alignment wrapText="1"/>
    </xf>
    <xf numFmtId="1" fontId="32" fillId="2" borderId="45" xfId="3" applyNumberFormat="1" applyFont="1" applyFill="1" applyBorder="1" applyAlignment="1">
      <alignment horizontal="right" vertical="center"/>
    </xf>
    <xf numFmtId="1" fontId="50" fillId="2" borderId="46" xfId="3" applyNumberFormat="1" applyFont="1" applyFill="1" applyBorder="1" applyAlignment="1">
      <alignment horizontal="right" vertical="center"/>
    </xf>
    <xf numFmtId="0" fontId="87" fillId="2" borderId="44" xfId="29" applyFont="1" applyFill="1" applyBorder="1"/>
    <xf numFmtId="3" fontId="32" fillId="2" borderId="45" xfId="3" applyNumberFormat="1" applyFont="1" applyFill="1" applyBorder="1" applyAlignment="1">
      <alignment horizontal="right" vertical="center"/>
    </xf>
    <xf numFmtId="3" fontId="32" fillId="2" borderId="46" xfId="3" applyNumberFormat="1" applyFont="1" applyFill="1" applyBorder="1" applyAlignment="1">
      <alignment horizontal="right" vertical="center"/>
    </xf>
    <xf numFmtId="3" fontId="32" fillId="2" borderId="47" xfId="3" applyNumberFormat="1" applyFont="1" applyFill="1" applyBorder="1" applyAlignment="1">
      <alignment horizontal="right" vertical="center"/>
    </xf>
    <xf numFmtId="0" fontId="32" fillId="2" borderId="48" xfId="29" applyFont="1" applyFill="1" applyBorder="1"/>
    <xf numFmtId="3" fontId="32" fillId="2" borderId="49" xfId="3" applyNumberFormat="1" applyFont="1" applyFill="1" applyBorder="1" applyAlignment="1">
      <alignment horizontal="right" vertical="center"/>
    </xf>
    <xf numFmtId="3" fontId="32" fillId="2" borderId="50" xfId="3" applyNumberFormat="1" applyFont="1" applyFill="1" applyBorder="1" applyAlignment="1">
      <alignment horizontal="right" vertical="center"/>
    </xf>
    <xf numFmtId="3" fontId="32" fillId="2" borderId="51" xfId="3" applyNumberFormat="1" applyFont="1" applyFill="1" applyBorder="1" applyAlignment="1">
      <alignment horizontal="right" vertical="center"/>
    </xf>
    <xf numFmtId="3" fontId="32" fillId="2" borderId="53" xfId="3" applyNumberFormat="1" applyFont="1" applyFill="1" applyBorder="1" applyAlignment="1">
      <alignment horizontal="right" vertical="center"/>
    </xf>
    <xf numFmtId="3" fontId="32" fillId="2" borderId="54" xfId="3" applyNumberFormat="1" applyFont="1" applyFill="1" applyBorder="1" applyAlignment="1">
      <alignment horizontal="right" vertical="center"/>
    </xf>
    <xf numFmtId="3" fontId="32" fillId="2" borderId="55" xfId="3" applyNumberFormat="1" applyFont="1" applyFill="1" applyBorder="1" applyAlignment="1">
      <alignment horizontal="right" vertical="center"/>
    </xf>
    <xf numFmtId="0" fontId="32" fillId="2" borderId="53" xfId="29" applyFont="1" applyFill="1" applyBorder="1"/>
    <xf numFmtId="0" fontId="32" fillId="2" borderId="49" xfId="29" applyFont="1" applyFill="1" applyBorder="1"/>
    <xf numFmtId="0" fontId="32" fillId="2" borderId="24" xfId="29" applyFont="1" applyFill="1" applyBorder="1"/>
    <xf numFmtId="0" fontId="32" fillId="2" borderId="51" xfId="3" applyFont="1" applyFill="1" applyBorder="1" applyAlignment="1">
      <alignment vertical="center"/>
    </xf>
    <xf numFmtId="0" fontId="32" fillId="2" borderId="51" xfId="3" applyFont="1" applyFill="1" applyBorder="1" applyAlignment="1">
      <alignment vertical="center" wrapText="1"/>
    </xf>
    <xf numFmtId="0" fontId="32" fillId="2" borderId="44" xfId="29" applyFont="1" applyFill="1" applyBorder="1"/>
    <xf numFmtId="3" fontId="144" fillId="3" borderId="11" xfId="3" applyNumberFormat="1" applyFont="1" applyFill="1" applyBorder="1" applyAlignment="1">
      <alignment horizontal="right" vertical="center"/>
    </xf>
    <xf numFmtId="0" fontId="87" fillId="2" borderId="48" xfId="29" applyFont="1" applyFill="1" applyBorder="1"/>
    <xf numFmtId="0" fontId="32" fillId="2" borderId="25" xfId="29" applyFont="1" applyFill="1" applyBorder="1"/>
    <xf numFmtId="3" fontId="32" fillId="2" borderId="25" xfId="3" applyNumberFormat="1" applyFont="1" applyFill="1" applyBorder="1" applyAlignment="1">
      <alignment horizontal="right" vertical="center"/>
    </xf>
    <xf numFmtId="3" fontId="32" fillId="2" borderId="26" xfId="3" applyNumberFormat="1" applyFont="1" applyFill="1" applyBorder="1" applyAlignment="1">
      <alignment horizontal="right" vertical="center"/>
    </xf>
    <xf numFmtId="3" fontId="32" fillId="2" borderId="27" xfId="3" applyNumberFormat="1" applyFont="1" applyFill="1" applyBorder="1" applyAlignment="1">
      <alignment horizontal="right" vertical="center"/>
    </xf>
    <xf numFmtId="0" fontId="87" fillId="2" borderId="49" xfId="29" applyFont="1" applyFill="1" applyBorder="1"/>
    <xf numFmtId="0" fontId="71" fillId="2" borderId="94" xfId="30" applyFont="1" applyFill="1" applyBorder="1" applyAlignment="1">
      <alignment wrapText="1"/>
    </xf>
    <xf numFmtId="0" fontId="32" fillId="2" borderId="47" xfId="29" applyFont="1" applyFill="1" applyBorder="1"/>
    <xf numFmtId="0" fontId="32" fillId="2" borderId="50" xfId="29" applyFont="1" applyFill="1" applyBorder="1"/>
    <xf numFmtId="0" fontId="32" fillId="2" borderId="54" xfId="29" applyFont="1" applyFill="1" applyBorder="1"/>
    <xf numFmtId="0" fontId="89" fillId="20" borderId="39" xfId="2" applyFont="1" applyFill="1" applyBorder="1" applyAlignment="1">
      <alignment horizontal="center" vertical="center"/>
    </xf>
    <xf numFmtId="0" fontId="32" fillId="20" borderId="50" xfId="2" applyFont="1" applyFill="1" applyBorder="1" applyAlignment="1">
      <alignment vertical="center" wrapText="1"/>
    </xf>
    <xf numFmtId="0" fontId="32" fillId="20" borderId="49" xfId="2" applyFont="1" applyFill="1" applyBorder="1" applyAlignment="1">
      <alignment horizontal="right" vertical="center" wrapText="1"/>
    </xf>
    <xf numFmtId="0" fontId="32" fillId="20" borderId="50" xfId="2" applyFont="1" applyFill="1" applyBorder="1" applyAlignment="1">
      <alignment horizontal="right" vertical="center" wrapText="1"/>
    </xf>
    <xf numFmtId="0" fontId="32" fillId="20" borderId="51" xfId="2" applyFont="1" applyFill="1" applyBorder="1" applyAlignment="1">
      <alignment horizontal="right" vertical="center" wrapText="1"/>
    </xf>
    <xf numFmtId="0" fontId="32" fillId="20" borderId="26" xfId="2" applyFont="1" applyFill="1" applyBorder="1" applyAlignment="1">
      <alignment horizontal="right" vertical="center"/>
    </xf>
    <xf numFmtId="0" fontId="50" fillId="20" borderId="55" xfId="2" applyFont="1" applyFill="1" applyBorder="1" applyAlignment="1">
      <alignment horizontal="right" vertical="center"/>
    </xf>
    <xf numFmtId="0" fontId="32" fillId="20" borderId="50" xfId="2" applyFont="1" applyFill="1" applyBorder="1" applyAlignment="1">
      <alignment horizontal="right" vertical="center"/>
    </xf>
    <xf numFmtId="0" fontId="17" fillId="2" borderId="48" xfId="0" applyFont="1" applyFill="1" applyBorder="1" applyAlignment="1">
      <alignment vertical="center" wrapText="1"/>
    </xf>
    <xf numFmtId="3" fontId="253" fillId="0" borderId="48" xfId="0" applyNumberFormat="1" applyFont="1" applyBorder="1" applyAlignment="1">
      <alignment horizontal="right" vertical="center" wrapText="1"/>
    </xf>
    <xf numFmtId="3" fontId="253" fillId="0" borderId="48" xfId="0" applyNumberFormat="1" applyFont="1" applyFill="1" applyBorder="1" applyAlignment="1">
      <alignment horizontal="right" vertical="center" wrapText="1"/>
    </xf>
    <xf numFmtId="0" fontId="254" fillId="0" borderId="0" xfId="0" applyFont="1"/>
    <xf numFmtId="0" fontId="254" fillId="0" borderId="0" xfId="0" applyFont="1" applyAlignment="1">
      <alignment horizontal="right"/>
    </xf>
    <xf numFmtId="0" fontId="136" fillId="0" borderId="0" xfId="0" applyFont="1" applyAlignment="1">
      <alignment horizontal="right"/>
    </xf>
    <xf numFmtId="0" fontId="16" fillId="0" borderId="0" xfId="2" applyFont="1" applyAlignment="1">
      <alignment horizontal="right" vertical="center"/>
    </xf>
    <xf numFmtId="0" fontId="16" fillId="0" borderId="2" xfId="2" applyFont="1" applyBorder="1" applyAlignment="1">
      <alignment horizontal="right" vertical="center"/>
    </xf>
    <xf numFmtId="0" fontId="16" fillId="0" borderId="0" xfId="2" applyFont="1" applyBorder="1" applyAlignment="1">
      <alignment horizontal="right" vertical="center"/>
    </xf>
    <xf numFmtId="0" fontId="123" fillId="0" borderId="0" xfId="2" applyFont="1" applyAlignment="1">
      <alignment vertical="center"/>
    </xf>
    <xf numFmtId="169" fontId="211" fillId="0" borderId="2" xfId="59" applyNumberFormat="1" applyFont="1" applyBorder="1" applyAlignment="1">
      <alignment horizontal="center" vertical="center"/>
    </xf>
    <xf numFmtId="0" fontId="15" fillId="0" borderId="48" xfId="0" applyFont="1" applyBorder="1" applyAlignment="1">
      <alignment vertical="center" wrapText="1"/>
    </xf>
    <xf numFmtId="0" fontId="15" fillId="2" borderId="48" xfId="0" applyFont="1" applyFill="1" applyBorder="1" applyAlignment="1">
      <alignment vertical="center" wrapText="1"/>
    </xf>
    <xf numFmtId="0" fontId="224" fillId="0" borderId="0" xfId="45" applyFont="1" applyAlignment="1">
      <alignment horizontal="right" vertical="center"/>
    </xf>
    <xf numFmtId="0" fontId="196" fillId="0" borderId="0" xfId="45" applyAlignment="1">
      <alignment horizontal="center" vertical="center" wrapText="1"/>
    </xf>
    <xf numFmtId="3" fontId="52" fillId="0" borderId="171" xfId="52" applyNumberFormat="1" applyFont="1" applyBorder="1" applyAlignment="1">
      <alignment horizontal="center" vertical="center" wrapText="1"/>
    </xf>
    <xf numFmtId="3" fontId="52" fillId="0" borderId="212" xfId="52" applyNumberFormat="1" applyFont="1" applyBorder="1" applyAlignment="1">
      <alignment horizontal="center" vertical="center" wrapText="1"/>
    </xf>
    <xf numFmtId="3" fontId="52" fillId="0" borderId="188" xfId="52" applyNumberFormat="1" applyFont="1" applyBorder="1" applyAlignment="1">
      <alignment horizontal="center" vertical="center" wrapText="1"/>
    </xf>
    <xf numFmtId="3" fontId="52" fillId="0" borderId="189" xfId="52" applyNumberFormat="1" applyFont="1" applyBorder="1" applyAlignment="1">
      <alignment horizontal="center" vertical="center" wrapText="1"/>
    </xf>
    <xf numFmtId="3" fontId="52" fillId="0" borderId="49" xfId="52" applyNumberFormat="1" applyFont="1" applyBorder="1" applyAlignment="1">
      <alignment horizontal="center" vertical="center" wrapText="1"/>
    </xf>
    <xf numFmtId="3" fontId="52" fillId="0" borderId="50" xfId="52" applyNumberFormat="1" applyFont="1" applyBorder="1" applyAlignment="1">
      <alignment horizontal="center" vertical="center" wrapText="1"/>
    </xf>
    <xf numFmtId="3" fontId="52" fillId="0" borderId="81" xfId="52" applyNumberFormat="1" applyFont="1" applyBorder="1" applyAlignment="1">
      <alignment horizontal="center" vertical="center" wrapText="1"/>
    </xf>
    <xf numFmtId="3" fontId="52" fillId="0" borderId="106" xfId="52" applyNumberFormat="1" applyFont="1" applyBorder="1" applyAlignment="1">
      <alignment horizontal="center" vertical="center" wrapText="1"/>
    </xf>
    <xf numFmtId="3" fontId="53" fillId="3" borderId="49" xfId="52" applyNumberFormat="1" applyFont="1" applyFill="1" applyBorder="1" applyAlignment="1">
      <alignment horizontal="center" vertical="center" wrapText="1"/>
    </xf>
    <xf numFmtId="3" fontId="53" fillId="3" borderId="50" xfId="52" applyNumberFormat="1" applyFont="1" applyFill="1" applyBorder="1" applyAlignment="1">
      <alignment horizontal="center" vertical="center" wrapText="1"/>
    </xf>
    <xf numFmtId="3" fontId="53" fillId="3" borderId="81" xfId="52" applyNumberFormat="1" applyFont="1" applyFill="1" applyBorder="1" applyAlignment="1">
      <alignment horizontal="center" vertical="center" wrapText="1"/>
    </xf>
    <xf numFmtId="3" fontId="53" fillId="3" borderId="106" xfId="52" applyNumberFormat="1" applyFont="1" applyFill="1" applyBorder="1" applyAlignment="1">
      <alignment horizontal="center" vertical="center" wrapText="1"/>
    </xf>
    <xf numFmtId="3" fontId="53" fillId="3" borderId="53" xfId="52" applyNumberFormat="1" applyFont="1" applyFill="1" applyBorder="1" applyAlignment="1">
      <alignment horizontal="center" vertical="center"/>
    </xf>
    <xf numFmtId="3" fontId="53" fillId="3" borderId="54" xfId="52" applyNumberFormat="1" applyFont="1" applyFill="1" applyBorder="1" applyAlignment="1">
      <alignment horizontal="center" vertical="center"/>
    </xf>
    <xf numFmtId="3" fontId="53" fillId="3" borderId="108" xfId="52" applyNumberFormat="1" applyFont="1" applyFill="1" applyBorder="1" applyAlignment="1">
      <alignment horizontal="center" vertical="center"/>
    </xf>
    <xf numFmtId="3" fontId="53" fillId="3" borderId="148" xfId="52" applyNumberFormat="1" applyFont="1" applyFill="1" applyBorder="1" applyAlignment="1">
      <alignment horizontal="center" vertical="center"/>
    </xf>
    <xf numFmtId="3" fontId="54" fillId="0" borderId="60" xfId="52" applyNumberFormat="1" applyFont="1" applyBorder="1" applyAlignment="1">
      <alignment horizontal="center" vertical="center"/>
    </xf>
    <xf numFmtId="3" fontId="54" fillId="0" borderId="2" xfId="52" applyNumberFormat="1" applyFont="1" applyBorder="1" applyAlignment="1">
      <alignment horizontal="center" vertical="center"/>
    </xf>
    <xf numFmtId="3" fontId="54" fillId="0" borderId="69" xfId="52" applyNumberFormat="1" applyFont="1" applyBorder="1" applyAlignment="1">
      <alignment horizontal="center" vertical="center"/>
    </xf>
    <xf numFmtId="3" fontId="54" fillId="0" borderId="191" xfId="52" applyNumberFormat="1" applyFont="1" applyBorder="1" applyAlignment="1">
      <alignment horizontal="center" vertical="center"/>
    </xf>
    <xf numFmtId="3" fontId="53" fillId="3" borderId="49" xfId="52" applyNumberFormat="1" applyFont="1" applyFill="1" applyBorder="1" applyAlignment="1">
      <alignment horizontal="center" vertical="center"/>
    </xf>
    <xf numFmtId="3" fontId="53" fillId="3" borderId="50" xfId="52" applyNumberFormat="1" applyFont="1" applyFill="1" applyBorder="1" applyAlignment="1">
      <alignment horizontal="center" vertical="center"/>
    </xf>
    <xf numFmtId="3" fontId="53" fillId="3" borderId="81" xfId="52" applyNumberFormat="1" applyFont="1" applyFill="1" applyBorder="1" applyAlignment="1">
      <alignment horizontal="center" vertical="center"/>
    </xf>
    <xf numFmtId="3" fontId="53" fillId="3" borderId="106" xfId="52" applyNumberFormat="1" applyFont="1" applyFill="1" applyBorder="1" applyAlignment="1">
      <alignment horizontal="center" vertical="center"/>
    </xf>
    <xf numFmtId="3" fontId="57" fillId="0" borderId="60" xfId="52" applyNumberFormat="1" applyFont="1" applyBorder="1" applyAlignment="1">
      <alignment horizontal="center" vertical="center"/>
    </xf>
    <xf numFmtId="3" fontId="57" fillId="0" borderId="2" xfId="52" applyNumberFormat="1" applyFont="1" applyBorder="1" applyAlignment="1">
      <alignment horizontal="center" vertical="center"/>
    </xf>
    <xf numFmtId="3" fontId="57" fillId="0" borderId="69" xfId="52" applyNumberFormat="1" applyFont="1" applyBorder="1" applyAlignment="1">
      <alignment horizontal="center" vertical="center"/>
    </xf>
    <xf numFmtId="3" fontId="57" fillId="0" borderId="191" xfId="52" applyNumberFormat="1" applyFont="1" applyBorder="1" applyAlignment="1">
      <alignment horizontal="center" vertical="center"/>
    </xf>
    <xf numFmtId="3" fontId="55" fillId="0" borderId="60" xfId="52" applyNumberFormat="1" applyFont="1" applyBorder="1" applyAlignment="1">
      <alignment horizontal="center" vertical="center" wrapText="1"/>
    </xf>
    <xf numFmtId="3" fontId="55" fillId="0" borderId="2" xfId="52" applyNumberFormat="1" applyFont="1" applyBorder="1" applyAlignment="1">
      <alignment horizontal="center" vertical="center" wrapText="1"/>
    </xf>
    <xf numFmtId="3" fontId="55" fillId="0" borderId="69" xfId="52" applyNumberFormat="1" applyFont="1" applyBorder="1" applyAlignment="1">
      <alignment horizontal="center" vertical="center" wrapText="1"/>
    </xf>
    <xf numFmtId="3" fontId="55" fillId="0" borderId="191" xfId="52" applyNumberFormat="1" applyFont="1" applyBorder="1" applyAlignment="1">
      <alignment horizontal="center" vertical="center" wrapText="1"/>
    </xf>
    <xf numFmtId="3" fontId="58" fillId="0" borderId="60" xfId="52" applyNumberFormat="1" applyFont="1" applyBorder="1" applyAlignment="1">
      <alignment horizontal="center" vertical="center" wrapText="1"/>
    </xf>
    <xf numFmtId="3" fontId="58" fillId="0" borderId="2" xfId="52" applyNumberFormat="1" applyFont="1" applyBorder="1" applyAlignment="1">
      <alignment horizontal="center" vertical="center" wrapText="1"/>
    </xf>
    <xf numFmtId="3" fontId="58" fillId="0" borderId="69" xfId="52" applyNumberFormat="1" applyFont="1" applyBorder="1" applyAlignment="1">
      <alignment horizontal="center" vertical="center" wrapText="1"/>
    </xf>
    <xf numFmtId="3" fontId="58" fillId="0" borderId="191" xfId="52" applyNumberFormat="1" applyFont="1" applyBorder="1" applyAlignment="1">
      <alignment horizontal="center" vertical="center" wrapText="1"/>
    </xf>
    <xf numFmtId="3" fontId="56" fillId="0" borderId="60" xfId="52" applyNumberFormat="1" applyFont="1" applyBorder="1" applyAlignment="1">
      <alignment horizontal="center" vertical="center"/>
    </xf>
    <xf numFmtId="3" fontId="56" fillId="0" borderId="2" xfId="52" applyNumberFormat="1" applyFont="1" applyBorder="1" applyAlignment="1">
      <alignment horizontal="center" vertical="center"/>
    </xf>
    <xf numFmtId="3" fontId="56" fillId="0" borderId="69" xfId="52" applyNumberFormat="1" applyFont="1" applyBorder="1" applyAlignment="1">
      <alignment horizontal="center" vertical="center"/>
    </xf>
    <xf numFmtId="3" fontId="56" fillId="0" borderId="191" xfId="52" applyNumberFormat="1" applyFont="1" applyBorder="1" applyAlignment="1">
      <alignment horizontal="center" vertical="center"/>
    </xf>
    <xf numFmtId="3" fontId="196" fillId="0" borderId="0" xfId="45" applyNumberFormat="1" applyBorder="1" applyAlignment="1">
      <alignment horizontal="center" vertical="center"/>
    </xf>
    <xf numFmtId="3" fontId="196" fillId="0" borderId="0" xfId="45" applyNumberFormat="1" applyAlignment="1">
      <alignment horizontal="center" vertical="center"/>
    </xf>
    <xf numFmtId="3" fontId="25" fillId="3" borderId="216" xfId="52" applyNumberFormat="1" applyFont="1" applyFill="1" applyBorder="1" applyAlignment="1">
      <alignment horizontal="center" vertical="center"/>
    </xf>
    <xf numFmtId="3" fontId="25" fillId="3" borderId="217" xfId="52" applyNumberFormat="1" applyFont="1" applyFill="1" applyBorder="1" applyAlignment="1">
      <alignment horizontal="center" vertical="center"/>
    </xf>
    <xf numFmtId="3" fontId="25" fillId="3" borderId="220" xfId="52" applyNumberFormat="1" applyFont="1" applyFill="1" applyBorder="1" applyAlignment="1">
      <alignment horizontal="center" vertical="center"/>
    </xf>
    <xf numFmtId="3" fontId="25" fillId="3" borderId="187" xfId="52" applyNumberFormat="1" applyFont="1" applyFill="1" applyBorder="1" applyAlignment="1">
      <alignment horizontal="center" vertical="center"/>
    </xf>
    <xf numFmtId="10" fontId="25" fillId="0" borderId="0" xfId="27" applyNumberFormat="1" applyFont="1" applyAlignment="1">
      <alignment horizontal="center" vertical="center"/>
    </xf>
    <xf numFmtId="0" fontId="256" fillId="0" borderId="0" xfId="0" applyFont="1" applyAlignment="1">
      <alignment wrapText="1"/>
    </xf>
    <xf numFmtId="0" fontId="256" fillId="0" borderId="2" xfId="0" applyFont="1" applyBorder="1" applyAlignment="1">
      <alignment wrapText="1"/>
    </xf>
    <xf numFmtId="0" fontId="255" fillId="0" borderId="0" xfId="0" applyFont="1" applyAlignment="1">
      <alignment wrapText="1"/>
    </xf>
    <xf numFmtId="0" fontId="255" fillId="0" borderId="0" xfId="0" applyFont="1" applyAlignment="1">
      <alignment vertical="center" wrapText="1"/>
    </xf>
    <xf numFmtId="0" fontId="131" fillId="17" borderId="259" xfId="3" applyNumberFormat="1" applyFont="1" applyFill="1" applyBorder="1" applyAlignment="1">
      <alignment horizontal="center" vertical="center"/>
    </xf>
    <xf numFmtId="0" fontId="131" fillId="17" borderId="259" xfId="45" applyFont="1" applyFill="1" applyBorder="1" applyAlignment="1">
      <alignment horizontal="center" vertical="center"/>
    </xf>
    <xf numFmtId="0" fontId="14" fillId="0" borderId="0" xfId="24" applyFont="1"/>
    <xf numFmtId="3" fontId="53" fillId="3" borderId="11" xfId="24" applyNumberFormat="1" applyFont="1" applyFill="1" applyBorder="1" applyAlignment="1">
      <alignment horizontal="center" vertical="center"/>
    </xf>
    <xf numFmtId="0" fontId="32" fillId="0" borderId="253" xfId="0" applyFont="1" applyFill="1" applyBorder="1" applyAlignment="1">
      <alignment horizontal="left" vertical="center" indent="1"/>
    </xf>
    <xf numFmtId="0" fontId="32" fillId="0" borderId="253" xfId="0" applyFont="1" applyFill="1" applyBorder="1" applyAlignment="1">
      <alignment horizontal="center" vertical="center"/>
    </xf>
    <xf numFmtId="165" fontId="32" fillId="0" borderId="253" xfId="0" applyNumberFormat="1" applyFont="1" applyFill="1" applyBorder="1" applyAlignment="1">
      <alignment horizontal="center" vertical="center"/>
    </xf>
    <xf numFmtId="165" fontId="101" fillId="0" borderId="254" xfId="0" applyNumberFormat="1" applyFont="1" applyFill="1" applyBorder="1" applyAlignment="1">
      <alignment horizontal="center" vertical="center"/>
    </xf>
    <xf numFmtId="165" fontId="91" fillId="4" borderId="77" xfId="0" applyNumberFormat="1" applyFont="1" applyFill="1" applyBorder="1" applyAlignment="1">
      <alignment horizontal="center" vertical="center"/>
    </xf>
    <xf numFmtId="165" fontId="52" fillId="0" borderId="253" xfId="0" applyNumberFormat="1" applyFont="1" applyFill="1" applyBorder="1" applyAlignment="1">
      <alignment horizontal="center" vertical="center"/>
    </xf>
    <xf numFmtId="0" fontId="32" fillId="0" borderId="253" xfId="0" applyFont="1" applyBorder="1" applyAlignment="1">
      <alignment horizontal="center"/>
    </xf>
    <xf numFmtId="165" fontId="32" fillId="0" borderId="253" xfId="0" applyNumberFormat="1" applyFont="1" applyBorder="1" applyAlignment="1">
      <alignment horizontal="center"/>
    </xf>
    <xf numFmtId="165" fontId="107" fillId="0" borderId="254" xfId="0" applyNumberFormat="1" applyFont="1" applyBorder="1" applyAlignment="1">
      <alignment horizontal="center" vertical="center"/>
    </xf>
    <xf numFmtId="0" fontId="110" fillId="0" borderId="253" xfId="0" applyFont="1" applyFill="1" applyBorder="1" applyAlignment="1">
      <alignment horizontal="center" vertical="center"/>
    </xf>
    <xf numFmtId="165" fontId="32" fillId="0" borderId="254" xfId="0" applyNumberFormat="1" applyFont="1" applyFill="1" applyBorder="1" applyAlignment="1">
      <alignment horizontal="center" vertical="center"/>
    </xf>
    <xf numFmtId="0" fontId="32" fillId="0" borderId="253" xfId="0" applyFont="1" applyFill="1" applyBorder="1" applyAlignment="1">
      <alignment horizontal="left" vertical="center"/>
    </xf>
    <xf numFmtId="165" fontId="32" fillId="0" borderId="253" xfId="0" applyNumberFormat="1" applyFont="1" applyFill="1" applyBorder="1" applyAlignment="1">
      <alignment horizontal="left" vertical="center"/>
    </xf>
    <xf numFmtId="165" fontId="170" fillId="0" borderId="71" xfId="0" applyNumberFormat="1" applyFont="1" applyFill="1" applyBorder="1" applyAlignment="1">
      <alignment horizontal="center" vertical="center"/>
    </xf>
    <xf numFmtId="165" fontId="120" fillId="0" borderId="254" xfId="0" applyNumberFormat="1" applyFont="1" applyFill="1" applyBorder="1" applyAlignment="1">
      <alignment horizontal="center" vertical="center"/>
    </xf>
    <xf numFmtId="0" fontId="14" fillId="0" borderId="1" xfId="24" applyFont="1" applyBorder="1" applyAlignment="1">
      <alignment horizontal="center" vertical="center"/>
    </xf>
    <xf numFmtId="0" fontId="50" fillId="0" borderId="87" xfId="24" applyFont="1" applyBorder="1" applyAlignment="1">
      <alignment horizontal="center" vertical="center" wrapText="1"/>
    </xf>
    <xf numFmtId="0" fontId="75" fillId="0" borderId="87" xfId="24" applyFont="1" applyBorder="1" applyAlignment="1">
      <alignment horizontal="center" vertical="center"/>
    </xf>
    <xf numFmtId="0" fontId="41" fillId="0" borderId="1" xfId="24" applyFont="1" applyFill="1" applyBorder="1" applyAlignment="1">
      <alignment horizontal="center" vertical="center" wrapText="1"/>
    </xf>
    <xf numFmtId="0" fontId="50" fillId="0" borderId="87" xfId="24" applyFont="1" applyFill="1" applyBorder="1" applyAlignment="1">
      <alignment horizontal="center" vertical="center" wrapText="1"/>
    </xf>
    <xf numFmtId="0" fontId="52" fillId="0" borderId="1" xfId="24" applyFont="1" applyFill="1" applyBorder="1" applyAlignment="1">
      <alignment horizontal="center" vertical="center" wrapText="1"/>
    </xf>
    <xf numFmtId="0" fontId="175" fillId="0" borderId="0" xfId="24" applyFont="1"/>
    <xf numFmtId="0" fontId="52" fillId="0" borderId="0" xfId="24" applyFont="1" applyBorder="1"/>
    <xf numFmtId="0" fontId="175" fillId="0" borderId="0" xfId="24" applyFont="1" applyAlignment="1">
      <alignment horizontal="center"/>
    </xf>
    <xf numFmtId="0" fontId="52" fillId="0" borderId="80" xfId="24" applyFont="1" applyFill="1" applyBorder="1" applyAlignment="1">
      <alignment horizontal="center"/>
    </xf>
    <xf numFmtId="0" fontId="14" fillId="0" borderId="71" xfId="24" applyFont="1" applyFill="1" applyBorder="1" applyAlignment="1">
      <alignment horizontal="center"/>
    </xf>
    <xf numFmtId="0" fontId="14" fillId="0" borderId="26" xfId="24" applyFont="1" applyFill="1" applyBorder="1" applyAlignment="1">
      <alignment horizontal="center"/>
    </xf>
    <xf numFmtId="0" fontId="53" fillId="0" borderId="71" xfId="24" applyFont="1" applyFill="1" applyBorder="1" applyAlignment="1">
      <alignment horizontal="center" vertical="center"/>
    </xf>
    <xf numFmtId="0" fontId="14" fillId="0" borderId="25" xfId="24" applyFont="1" applyFill="1" applyBorder="1" applyAlignment="1">
      <alignment horizontal="center"/>
    </xf>
    <xf numFmtId="0" fontId="14" fillId="0" borderId="80" xfId="24" applyFont="1" applyFill="1" applyBorder="1" applyAlignment="1">
      <alignment horizontal="center"/>
    </xf>
    <xf numFmtId="0" fontId="53" fillId="0" borderId="26" xfId="24" applyFont="1" applyFill="1" applyBorder="1" applyAlignment="1">
      <alignment horizontal="center" vertical="center"/>
    </xf>
    <xf numFmtId="0" fontId="52" fillId="0" borderId="25" xfId="24" applyFont="1" applyFill="1" applyBorder="1" applyAlignment="1">
      <alignment horizontal="center" vertical="center"/>
    </xf>
    <xf numFmtId="0" fontId="52" fillId="0" borderId="26" xfId="24" applyFont="1" applyFill="1" applyBorder="1" applyAlignment="1">
      <alignment horizontal="center" vertical="center"/>
    </xf>
    <xf numFmtId="0" fontId="32" fillId="0" borderId="26" xfId="24" applyFont="1" applyFill="1" applyBorder="1" applyAlignment="1">
      <alignment horizontal="center" vertical="center"/>
    </xf>
    <xf numFmtId="0" fontId="53" fillId="0" borderId="105" xfId="24" applyFont="1" applyFill="1" applyBorder="1" applyAlignment="1">
      <alignment horizontal="center" vertical="center"/>
    </xf>
    <xf numFmtId="0" fontId="52" fillId="0" borderId="81" xfId="24" applyFont="1" applyFill="1" applyBorder="1" applyAlignment="1">
      <alignment horizontal="center"/>
    </xf>
    <xf numFmtId="0" fontId="14" fillId="0" borderId="74" xfId="24" applyFont="1" applyFill="1" applyBorder="1" applyAlignment="1">
      <alignment horizontal="center"/>
    </xf>
    <xf numFmtId="0" fontId="14" fillId="0" borderId="50" xfId="24" applyFont="1" applyFill="1" applyBorder="1" applyAlignment="1">
      <alignment horizontal="center"/>
    </xf>
    <xf numFmtId="0" fontId="14" fillId="0" borderId="49" xfId="24" applyFont="1" applyFill="1" applyBorder="1" applyAlignment="1">
      <alignment horizontal="center"/>
    </xf>
    <xf numFmtId="0" fontId="14" fillId="0" borderId="81" xfId="24" applyFont="1" applyFill="1" applyBorder="1" applyAlignment="1">
      <alignment horizontal="center"/>
    </xf>
    <xf numFmtId="0" fontId="52" fillId="0" borderId="49" xfId="24" applyFont="1" applyFill="1" applyBorder="1" applyAlignment="1">
      <alignment horizontal="center" vertical="center"/>
    </xf>
    <xf numFmtId="0" fontId="52" fillId="0" borderId="50" xfId="24" applyFont="1" applyFill="1" applyBorder="1" applyAlignment="1">
      <alignment horizontal="center" vertical="center"/>
    </xf>
    <xf numFmtId="0" fontId="32" fillId="0" borderId="50" xfId="24" applyFont="1" applyFill="1" applyBorder="1" applyAlignment="1">
      <alignment horizontal="center" vertical="center"/>
    </xf>
    <xf numFmtId="0" fontId="53" fillId="0" borderId="106" xfId="24" applyFont="1" applyFill="1" applyBorder="1" applyAlignment="1">
      <alignment horizontal="center" vertical="center"/>
    </xf>
    <xf numFmtId="0" fontId="53" fillId="0" borderId="77" xfId="24" applyFont="1" applyFill="1" applyBorder="1" applyAlignment="1">
      <alignment horizontal="center"/>
    </xf>
    <xf numFmtId="0" fontId="53" fillId="0" borderId="58" xfId="24" applyFont="1" applyFill="1" applyBorder="1" applyAlignment="1">
      <alignment horizontal="center"/>
    </xf>
    <xf numFmtId="0" fontId="53" fillId="0" borderId="77" xfId="24" applyFont="1" applyFill="1" applyBorder="1" applyAlignment="1">
      <alignment horizontal="center" vertical="center"/>
    </xf>
    <xf numFmtId="0" fontId="53" fillId="0" borderId="57" xfId="24" applyFont="1" applyFill="1" applyBorder="1" applyAlignment="1">
      <alignment horizontal="center"/>
    </xf>
    <xf numFmtId="0" fontId="53" fillId="0" borderId="82" xfId="24" applyFont="1" applyFill="1" applyBorder="1" applyAlignment="1">
      <alignment horizontal="center"/>
    </xf>
    <xf numFmtId="0" fontId="53" fillId="0" borderId="58" xfId="24" applyFont="1" applyFill="1" applyBorder="1" applyAlignment="1">
      <alignment horizontal="center" vertical="center"/>
    </xf>
    <xf numFmtId="0" fontId="53" fillId="0" borderId="57" xfId="24" applyFont="1" applyFill="1" applyBorder="1" applyAlignment="1">
      <alignment horizontal="center" vertical="center"/>
    </xf>
    <xf numFmtId="0" fontId="53" fillId="0" borderId="107" xfId="24" applyFont="1" applyFill="1" applyBorder="1" applyAlignment="1">
      <alignment horizontal="center" vertical="center"/>
    </xf>
    <xf numFmtId="0" fontId="62" fillId="0" borderId="0" xfId="24" applyFont="1" applyBorder="1" applyAlignment="1">
      <alignment horizontal="center" vertical="center"/>
    </xf>
    <xf numFmtId="0" fontId="75" fillId="0" borderId="0" xfId="24" applyFont="1" applyAlignment="1">
      <alignment horizontal="right" indent="1"/>
    </xf>
    <xf numFmtId="0" fontId="75" fillId="0" borderId="36" xfId="24" applyFont="1" applyBorder="1" applyAlignment="1">
      <alignment horizontal="right" indent="1"/>
    </xf>
    <xf numFmtId="0" fontId="52" fillId="0" borderId="108" xfId="24" applyFont="1" applyFill="1" applyBorder="1" applyAlignment="1">
      <alignment horizontal="center"/>
    </xf>
    <xf numFmtId="0" fontId="14" fillId="0" borderId="109" xfId="24" applyFont="1" applyFill="1" applyBorder="1" applyAlignment="1">
      <alignment horizontal="center"/>
    </xf>
    <xf numFmtId="0" fontId="14" fillId="0" borderId="54" xfId="24" applyFont="1" applyFill="1" applyBorder="1" applyAlignment="1">
      <alignment horizontal="center"/>
    </xf>
    <xf numFmtId="0" fontId="14" fillId="0" borderId="53" xfId="24" applyFont="1" applyFill="1" applyBorder="1" applyAlignment="1">
      <alignment horizontal="center"/>
    </xf>
    <xf numFmtId="0" fontId="14" fillId="0" borderId="108" xfId="24" applyFont="1" applyFill="1" applyBorder="1" applyAlignment="1">
      <alignment horizontal="center"/>
    </xf>
    <xf numFmtId="0" fontId="52" fillId="0" borderId="53" xfId="24" applyFont="1" applyFill="1" applyBorder="1" applyAlignment="1">
      <alignment horizontal="center" vertical="center"/>
    </xf>
    <xf numFmtId="0" fontId="52" fillId="0" borderId="54" xfId="24" applyFont="1" applyFill="1" applyBorder="1" applyAlignment="1">
      <alignment horizontal="center" vertical="center"/>
    </xf>
    <xf numFmtId="0" fontId="176" fillId="0" borderId="0" xfId="24" applyFont="1" applyBorder="1" applyAlignment="1">
      <alignment horizontal="right" vertical="center" indent="1"/>
    </xf>
    <xf numFmtId="0" fontId="52" fillId="0" borderId="105" xfId="24" applyFont="1" applyFill="1" applyBorder="1" applyAlignment="1">
      <alignment horizontal="center" vertical="center"/>
    </xf>
    <xf numFmtId="0" fontId="52" fillId="0" borderId="106" xfId="24" applyFont="1" applyFill="1" applyBorder="1" applyAlignment="1">
      <alignment horizontal="center" vertical="center"/>
    </xf>
    <xf numFmtId="0" fontId="25" fillId="0" borderId="77" xfId="24" applyFont="1" applyFill="1" applyBorder="1" applyAlignment="1">
      <alignment horizontal="center"/>
    </xf>
    <xf numFmtId="0" fontId="25" fillId="0" borderId="58" xfId="24" applyFont="1" applyFill="1" applyBorder="1" applyAlignment="1">
      <alignment horizontal="center"/>
    </xf>
    <xf numFmtId="0" fontId="25" fillId="0" borderId="57" xfId="24" applyFont="1" applyFill="1" applyBorder="1" applyAlignment="1">
      <alignment horizontal="center"/>
    </xf>
    <xf numFmtId="0" fontId="25" fillId="0" borderId="82" xfId="24" applyFont="1" applyFill="1" applyBorder="1" applyAlignment="1">
      <alignment horizontal="center"/>
    </xf>
    <xf numFmtId="0" fontId="53" fillId="3" borderId="60" xfId="24" applyFont="1" applyFill="1" applyBorder="1" applyAlignment="1">
      <alignment horizontal="center"/>
    </xf>
    <xf numFmtId="0" fontId="53" fillId="3" borderId="60" xfId="24" applyFont="1" applyFill="1" applyBorder="1" applyAlignment="1">
      <alignment horizontal="center" vertical="center"/>
    </xf>
    <xf numFmtId="0" fontId="53" fillId="3" borderId="2" xfId="24" applyFont="1" applyFill="1" applyBorder="1" applyAlignment="1">
      <alignment horizontal="center" vertical="center"/>
    </xf>
    <xf numFmtId="0" fontId="53" fillId="3" borderId="88" xfId="24" applyFont="1" applyFill="1" applyBorder="1" applyAlignment="1">
      <alignment horizontal="center" vertical="center"/>
    </xf>
    <xf numFmtId="0" fontId="53" fillId="3" borderId="110" xfId="24" applyFont="1" applyFill="1" applyBorder="1" applyAlignment="1">
      <alignment horizontal="center" vertical="center"/>
    </xf>
    <xf numFmtId="0" fontId="53" fillId="0" borderId="0" xfId="24" applyFont="1" applyFill="1" applyBorder="1" applyAlignment="1">
      <alignment vertical="center"/>
    </xf>
    <xf numFmtId="0" fontId="52" fillId="0" borderId="0" xfId="24" applyFont="1" applyAlignment="1">
      <alignment horizontal="right"/>
    </xf>
    <xf numFmtId="9" fontId="251" fillId="0" borderId="0" xfId="27" applyFont="1" applyAlignment="1">
      <alignment horizontal="center" vertical="center"/>
    </xf>
    <xf numFmtId="0" fontId="24" fillId="0" borderId="0" xfId="32" applyFont="1"/>
    <xf numFmtId="0" fontId="102" fillId="0" borderId="74" xfId="33" applyFont="1" applyFill="1" applyBorder="1" applyAlignment="1">
      <alignment horizontal="center" vertical="center" wrapText="1"/>
    </xf>
    <xf numFmtId="0" fontId="102" fillId="0" borderId="71" xfId="33" applyFont="1" applyFill="1" applyBorder="1" applyAlignment="1">
      <alignment horizontal="center" vertical="center" wrapText="1"/>
    </xf>
    <xf numFmtId="0" fontId="47" fillId="0" borderId="0" xfId="33" applyFont="1" applyBorder="1" applyAlignment="1">
      <alignment horizontal="right" vertical="center"/>
    </xf>
    <xf numFmtId="0" fontId="32" fillId="0" borderId="264" xfId="33" applyFont="1" applyFill="1" applyBorder="1" applyAlignment="1">
      <alignment horizontal="center" vertical="center" wrapText="1"/>
    </xf>
    <xf numFmtId="0" fontId="32" fillId="0" borderId="264" xfId="33" applyFont="1" applyFill="1" applyBorder="1" applyAlignment="1">
      <alignment horizontal="left" vertical="center" indent="1"/>
    </xf>
    <xf numFmtId="0" fontId="32" fillId="0" borderId="264" xfId="33" applyFont="1" applyFill="1" applyBorder="1" applyAlignment="1">
      <alignment horizontal="center" vertical="center"/>
    </xf>
    <xf numFmtId="0" fontId="101" fillId="0" borderId="265" xfId="33" applyFont="1" applyFill="1" applyBorder="1" applyAlignment="1">
      <alignment horizontal="center" vertical="center"/>
    </xf>
    <xf numFmtId="0" fontId="32" fillId="0" borderId="253" xfId="33" applyFont="1" applyFill="1" applyBorder="1" applyAlignment="1">
      <alignment horizontal="left" vertical="center" indent="1"/>
    </xf>
    <xf numFmtId="0" fontId="32" fillId="0" borderId="253" xfId="33" applyFont="1" applyFill="1" applyBorder="1" applyAlignment="1">
      <alignment horizontal="center" vertical="center"/>
    </xf>
    <xf numFmtId="0" fontId="32" fillId="0" borderId="254" xfId="33" applyFont="1" applyFill="1" applyBorder="1" applyAlignment="1">
      <alignment horizontal="center" vertical="center"/>
    </xf>
    <xf numFmtId="0" fontId="47" fillId="0" borderId="0" xfId="33" applyFont="1" applyBorder="1" applyAlignment="1">
      <alignment vertical="center" wrapText="1"/>
    </xf>
    <xf numFmtId="0" fontId="259" fillId="2" borderId="74" xfId="33" applyFont="1" applyFill="1" applyBorder="1" applyAlignment="1">
      <alignment horizontal="center" vertical="center"/>
    </xf>
    <xf numFmtId="0" fontId="259" fillId="0" borderId="74" xfId="33" applyFont="1" applyFill="1" applyBorder="1" applyAlignment="1">
      <alignment horizontal="center" vertical="center" wrapText="1"/>
    </xf>
    <xf numFmtId="0" fontId="114" fillId="0" borderId="2" xfId="33" applyFont="1" applyFill="1" applyBorder="1" applyAlignment="1">
      <alignment horizontal="right" vertical="center"/>
    </xf>
    <xf numFmtId="15" fontId="50" fillId="0" borderId="102" xfId="33" applyNumberFormat="1" applyFont="1" applyFill="1" applyBorder="1" applyAlignment="1">
      <alignment horizontal="center" vertical="center"/>
    </xf>
    <xf numFmtId="0" fontId="50" fillId="0" borderId="102" xfId="33" applyFont="1" applyFill="1" applyBorder="1" applyAlignment="1">
      <alignment horizontal="center" vertical="center"/>
    </xf>
    <xf numFmtId="0" fontId="50" fillId="0" borderId="102" xfId="33" applyFont="1" applyFill="1" applyBorder="1" applyAlignment="1">
      <alignment horizontal="center" vertical="center" wrapText="1"/>
    </xf>
    <xf numFmtId="0" fontId="32" fillId="0" borderId="266" xfId="33" applyFont="1" applyFill="1" applyBorder="1" applyAlignment="1">
      <alignment horizontal="center" vertical="center" wrapText="1"/>
    </xf>
    <xf numFmtId="0" fontId="32" fillId="0" borderId="266" xfId="33" applyFont="1" applyFill="1" applyBorder="1" applyAlignment="1">
      <alignment horizontal="left" vertical="center" indent="1"/>
    </xf>
    <xf numFmtId="0" fontId="32" fillId="0" borderId="266" xfId="33" applyFont="1" applyFill="1" applyBorder="1" applyAlignment="1">
      <alignment horizontal="center" vertical="center"/>
    </xf>
    <xf numFmtId="0" fontId="47" fillId="0" borderId="267" xfId="33" applyFont="1" applyFill="1" applyBorder="1" applyAlignment="1">
      <alignment horizontal="center" vertical="center"/>
    </xf>
    <xf numFmtId="0" fontId="32" fillId="2" borderId="253" xfId="33" applyFont="1" applyFill="1" applyBorder="1" applyAlignment="1">
      <alignment horizontal="left" vertical="center" indent="1"/>
    </xf>
    <xf numFmtId="0" fontId="32" fillId="2" borderId="253" xfId="33" applyFont="1" applyFill="1" applyBorder="1" applyAlignment="1">
      <alignment horizontal="center" vertical="center"/>
    </xf>
    <xf numFmtId="0" fontId="32" fillId="2" borderId="254" xfId="33" applyFont="1" applyFill="1" applyBorder="1" applyAlignment="1">
      <alignment horizontal="center" vertical="center"/>
    </xf>
    <xf numFmtId="0" fontId="32" fillId="0" borderId="265" xfId="33" applyFont="1" applyFill="1" applyBorder="1" applyAlignment="1">
      <alignment horizontal="center" vertical="center" wrapText="1"/>
    </xf>
    <xf numFmtId="0" fontId="120" fillId="0" borderId="0" xfId="3" applyFont="1" applyAlignment="1">
      <alignment horizontal="right" vertical="center"/>
    </xf>
    <xf numFmtId="0" fontId="13" fillId="2" borderId="48" xfId="0" applyFont="1" applyFill="1" applyBorder="1" applyAlignment="1">
      <alignment vertical="center" wrapText="1"/>
    </xf>
    <xf numFmtId="3" fontId="44" fillId="0" borderId="0" xfId="3" applyNumberFormat="1" applyFont="1" applyAlignment="1">
      <alignment vertical="center"/>
    </xf>
    <xf numFmtId="3" fontId="84" fillId="0" borderId="0" xfId="3" applyNumberFormat="1" applyFont="1" applyAlignment="1">
      <alignment vertical="center"/>
    </xf>
    <xf numFmtId="0" fontId="54" fillId="0" borderId="60" xfId="3" applyFont="1" applyBorder="1" applyAlignment="1">
      <alignment horizontal="center" vertical="center"/>
    </xf>
    <xf numFmtId="0" fontId="57" fillId="0" borderId="60" xfId="3" applyFont="1" applyBorder="1" applyAlignment="1">
      <alignment horizontal="center" vertical="center"/>
    </xf>
    <xf numFmtId="0" fontId="55" fillId="0" borderId="60" xfId="3" applyFont="1" applyBorder="1" applyAlignment="1">
      <alignment horizontal="center" vertical="center"/>
    </xf>
    <xf numFmtId="3" fontId="54" fillId="0" borderId="219" xfId="45" applyNumberFormat="1" applyFont="1" applyBorder="1" applyAlignment="1">
      <alignment horizontal="right" vertical="center"/>
    </xf>
    <xf numFmtId="3" fontId="57" fillId="0" borderId="74" xfId="45" applyNumberFormat="1" applyFont="1" applyBorder="1" applyAlignment="1">
      <alignment horizontal="right" vertical="center"/>
    </xf>
    <xf numFmtId="3" fontId="55" fillId="0" borderId="74" xfId="45" applyNumberFormat="1" applyFont="1" applyBorder="1" applyAlignment="1">
      <alignment horizontal="right" vertical="center"/>
    </xf>
    <xf numFmtId="3" fontId="58" fillId="0" borderId="74" xfId="45" applyNumberFormat="1" applyFont="1" applyBorder="1" applyAlignment="1">
      <alignment horizontal="right" vertical="center"/>
    </xf>
    <xf numFmtId="3" fontId="56" fillId="0" borderId="109" xfId="45" applyNumberFormat="1" applyFont="1" applyBorder="1" applyAlignment="1">
      <alignment horizontal="right" vertical="center"/>
    </xf>
    <xf numFmtId="0" fontId="64" fillId="0" borderId="0" xfId="45" applyFont="1"/>
    <xf numFmtId="3" fontId="32" fillId="0" borderId="35" xfId="3" applyNumberFormat="1" applyFont="1" applyBorder="1" applyAlignment="1">
      <alignment horizontal="center" vertical="center"/>
    </xf>
    <xf numFmtId="3" fontId="32" fillId="0" borderId="36" xfId="3" applyNumberFormat="1" applyFont="1" applyBorder="1" applyAlignment="1">
      <alignment horizontal="center" vertical="center"/>
    </xf>
    <xf numFmtId="3" fontId="32" fillId="0" borderId="34" xfId="3" applyNumberFormat="1" applyFont="1" applyBorder="1" applyAlignment="1">
      <alignment horizontal="center" vertical="center"/>
    </xf>
    <xf numFmtId="3" fontId="32" fillId="0" borderId="0" xfId="3" applyNumberFormat="1" applyFont="1" applyBorder="1" applyAlignment="1">
      <alignment horizontal="center" vertical="center"/>
    </xf>
    <xf numFmtId="3" fontId="32" fillId="0" borderId="268" xfId="3" applyNumberFormat="1" applyFont="1" applyBorder="1" applyAlignment="1">
      <alignment horizontal="center" vertical="center"/>
    </xf>
    <xf numFmtId="3" fontId="32" fillId="0" borderId="269" xfId="3" applyNumberFormat="1" applyFont="1" applyBorder="1" applyAlignment="1">
      <alignment horizontal="center" vertical="center"/>
    </xf>
    <xf numFmtId="0" fontId="78" fillId="0" borderId="0" xfId="35" applyFont="1" applyAlignment="1">
      <alignment horizontal="right"/>
    </xf>
    <xf numFmtId="0" fontId="87" fillId="0" borderId="82" xfId="3" applyFont="1" applyBorder="1" applyAlignment="1">
      <alignment horizontal="center" vertical="center"/>
    </xf>
    <xf numFmtId="4" fontId="32" fillId="0" borderId="75" xfId="62" applyNumberFormat="1" applyFont="1" applyBorder="1" applyAlignment="1">
      <alignment vertical="center"/>
    </xf>
    <xf numFmtId="4" fontId="32" fillId="0" borderId="77" xfId="3" applyNumberFormat="1" applyFont="1" applyBorder="1" applyAlignment="1">
      <alignment vertical="center"/>
    </xf>
    <xf numFmtId="43" fontId="32" fillId="0" borderId="0" xfId="3" applyNumberFormat="1" applyFont="1" applyAlignment="1">
      <alignment vertical="center"/>
    </xf>
    <xf numFmtId="0" fontId="262" fillId="0" borderId="220" xfId="3" applyFont="1" applyBorder="1" applyAlignment="1">
      <alignment horizontal="center" vertical="center"/>
    </xf>
    <xf numFmtId="0" fontId="50" fillId="3" borderId="9" xfId="0" applyFont="1" applyFill="1" applyBorder="1" applyAlignment="1">
      <alignment horizontal="center" vertical="center"/>
    </xf>
    <xf numFmtId="0" fontId="50" fillId="3" borderId="4" xfId="0" applyFont="1" applyFill="1" applyBorder="1" applyAlignment="1">
      <alignment horizontal="center" vertical="center"/>
    </xf>
    <xf numFmtId="0" fontId="32" fillId="0" borderId="25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0" fontId="25" fillId="3" borderId="8" xfId="36" applyFont="1" applyFill="1" applyBorder="1" applyAlignment="1">
      <alignment horizontal="center" vertical="center"/>
    </xf>
    <xf numFmtId="0" fontId="25" fillId="0" borderId="1" xfId="65" applyFont="1" applyBorder="1" applyAlignment="1">
      <alignment horizontal="center" vertical="center" wrapText="1"/>
    </xf>
    <xf numFmtId="0" fontId="32" fillId="0" borderId="25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0" fontId="32" fillId="0" borderId="52" xfId="0" applyFont="1" applyBorder="1" applyAlignment="1">
      <alignment horizontal="center" vertical="center"/>
    </xf>
    <xf numFmtId="0" fontId="32" fillId="0" borderId="24" xfId="0" applyFont="1" applyBorder="1" applyAlignment="1">
      <alignment horizontal="center" vertical="center"/>
    </xf>
    <xf numFmtId="0" fontId="50" fillId="3" borderId="155" xfId="0" applyFont="1" applyFill="1" applyBorder="1" applyAlignment="1">
      <alignment horizontal="center" vertical="center"/>
    </xf>
    <xf numFmtId="0" fontId="25" fillId="0" borderId="0" xfId="0" applyFont="1"/>
    <xf numFmtId="0" fontId="25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22" fillId="0" borderId="35" xfId="36" applyFont="1" applyBorder="1" applyAlignment="1">
      <alignment horizontal="center" vertical="center"/>
    </xf>
    <xf numFmtId="0" fontId="22" fillId="0" borderId="84" xfId="36" applyFont="1" applyBorder="1" applyAlignment="1">
      <alignment horizontal="center" vertical="center"/>
    </xf>
    <xf numFmtId="0" fontId="22" fillId="0" borderId="199" xfId="36" applyFont="1" applyBorder="1" applyAlignment="1">
      <alignment horizontal="center" vertical="center"/>
    </xf>
    <xf numFmtId="0" fontId="22" fillId="0" borderId="35" xfId="36" applyFont="1" applyBorder="1" applyAlignment="1">
      <alignment horizontal="left" vertical="center"/>
    </xf>
    <xf numFmtId="0" fontId="165" fillId="0" borderId="0" xfId="36" applyFont="1" applyAlignment="1">
      <alignment horizontal="left" vertical="center" wrapText="1"/>
    </xf>
    <xf numFmtId="0" fontId="87" fillId="0" borderId="25" xfId="0" applyFont="1" applyBorder="1" applyAlignment="1">
      <alignment vertical="center"/>
    </xf>
    <xf numFmtId="0" fontId="12" fillId="0" borderId="49" xfId="36" applyFont="1" applyBorder="1" applyAlignment="1">
      <alignment horizontal="left" vertical="center"/>
    </xf>
    <xf numFmtId="0" fontId="22" fillId="0" borderId="55" xfId="36" applyFont="1" applyBorder="1" applyAlignment="1">
      <alignment horizontal="center" vertical="center"/>
    </xf>
    <xf numFmtId="0" fontId="25" fillId="0" borderId="52" xfId="36" applyFont="1" applyBorder="1" applyAlignment="1">
      <alignment horizontal="center" vertical="center"/>
    </xf>
    <xf numFmtId="0" fontId="87" fillId="0" borderId="155" xfId="0" applyFont="1" applyFill="1" applyBorder="1" applyAlignment="1">
      <alignment vertical="center" wrapText="1"/>
    </xf>
    <xf numFmtId="0" fontId="41" fillId="0" borderId="0" xfId="0" applyFont="1" applyAlignment="1">
      <alignment horizontal="center" vertical="center"/>
    </xf>
    <xf numFmtId="0" fontId="52" fillId="0" borderId="149" xfId="38" applyFont="1" applyFill="1" applyBorder="1" applyAlignment="1">
      <alignment vertical="center" wrapText="1"/>
    </xf>
    <xf numFmtId="0" fontId="52" fillId="0" borderId="14" xfId="38" applyFont="1" applyFill="1" applyBorder="1" applyAlignment="1">
      <alignment horizontal="center" vertical="center" wrapText="1"/>
    </xf>
    <xf numFmtId="0" fontId="52" fillId="0" borderId="14" xfId="38" applyFont="1" applyBorder="1" applyAlignment="1">
      <alignment horizontal="center" vertical="center"/>
    </xf>
    <xf numFmtId="0" fontId="52" fillId="0" borderId="150" xfId="38" applyFont="1" applyFill="1" applyBorder="1" applyAlignment="1">
      <alignment horizontal="center" vertical="center" wrapText="1"/>
    </xf>
    <xf numFmtId="0" fontId="52" fillId="0" borderId="151" xfId="38" applyFont="1" applyFill="1" applyBorder="1" applyAlignment="1">
      <alignment vertical="center" wrapText="1"/>
    </xf>
    <xf numFmtId="0" fontId="12" fillId="3" borderId="48" xfId="36" applyFont="1" applyFill="1" applyBorder="1" applyAlignment="1">
      <alignment horizontal="center" vertical="center"/>
    </xf>
    <xf numFmtId="0" fontId="12" fillId="3" borderId="52" xfId="36" applyFont="1" applyFill="1" applyBorder="1" applyAlignment="1">
      <alignment horizontal="center" vertical="center"/>
    </xf>
    <xf numFmtId="0" fontId="52" fillId="0" borderId="42" xfId="38" applyFont="1" applyFill="1" applyBorder="1" applyAlignment="1">
      <alignment horizontal="center" vertical="center" wrapText="1"/>
    </xf>
    <xf numFmtId="0" fontId="52" fillId="0" borderId="154" xfId="38" applyFont="1" applyFill="1" applyBorder="1" applyAlignment="1">
      <alignment horizontal="center" vertical="center" wrapText="1"/>
    </xf>
    <xf numFmtId="0" fontId="52" fillId="0" borderId="42" xfId="38" applyFont="1" applyBorder="1" applyAlignment="1">
      <alignment horizontal="center" vertical="center"/>
    </xf>
    <xf numFmtId="0" fontId="52" fillId="0" borderId="0" xfId="38" applyFont="1" applyFill="1" applyBorder="1" applyAlignment="1">
      <alignment vertical="center" wrapText="1"/>
    </xf>
    <xf numFmtId="0" fontId="52" fillId="0" borderId="270" xfId="38" applyFont="1" applyFill="1" applyBorder="1" applyAlignment="1">
      <alignment vertical="center" wrapText="1"/>
    </xf>
    <xf numFmtId="0" fontId="52" fillId="0" borderId="163" xfId="40" applyFont="1" applyFill="1" applyBorder="1" applyAlignment="1">
      <alignment horizontal="center" vertical="center" wrapText="1"/>
    </xf>
    <xf numFmtId="0" fontId="52" fillId="0" borderId="164" xfId="40" applyFont="1" applyFill="1" applyBorder="1" applyAlignment="1">
      <alignment horizontal="center" vertical="center" wrapText="1"/>
    </xf>
    <xf numFmtId="0" fontId="12" fillId="3" borderId="17" xfId="36" applyFont="1" applyFill="1" applyBorder="1" applyAlignment="1">
      <alignment horizontal="center" vertical="center"/>
    </xf>
    <xf numFmtId="0" fontId="52" fillId="0" borderId="18" xfId="40" applyFont="1" applyFill="1" applyBorder="1" applyAlignment="1">
      <alignment horizontal="center" vertical="center" wrapText="1"/>
    </xf>
    <xf numFmtId="0" fontId="52" fillId="0" borderId="17" xfId="40" applyFont="1" applyFill="1" applyBorder="1" applyAlignment="1">
      <alignment vertical="center" wrapText="1"/>
    </xf>
    <xf numFmtId="0" fontId="52" fillId="0" borderId="167" xfId="40" applyFont="1" applyFill="1" applyBorder="1" applyAlignment="1">
      <alignment horizontal="center" vertical="center" wrapText="1"/>
    </xf>
    <xf numFmtId="0" fontId="52" fillId="0" borderId="168" xfId="40" applyFont="1" applyFill="1" applyBorder="1" applyAlignment="1">
      <alignment horizontal="center" vertical="center" wrapText="1"/>
    </xf>
    <xf numFmtId="0" fontId="52" fillId="0" borderId="169" xfId="40" applyFont="1" applyFill="1" applyBorder="1" applyAlignment="1">
      <alignment horizontal="center" vertical="center" wrapText="1"/>
    </xf>
    <xf numFmtId="0" fontId="12" fillId="3" borderId="49" xfId="36" applyFont="1" applyFill="1" applyBorder="1" applyAlignment="1">
      <alignment horizontal="center" vertical="center"/>
    </xf>
    <xf numFmtId="0" fontId="52" fillId="0" borderId="0" xfId="40" applyFont="1" applyFill="1" applyBorder="1" applyAlignment="1">
      <alignment vertical="center" wrapText="1"/>
    </xf>
    <xf numFmtId="0" fontId="52" fillId="0" borderId="0" xfId="40" applyFont="1" applyFill="1" applyBorder="1" applyAlignment="1">
      <alignment horizontal="center" vertical="center" wrapText="1"/>
    </xf>
    <xf numFmtId="0" fontId="12" fillId="3" borderId="155" xfId="36" applyFont="1" applyFill="1" applyBorder="1" applyAlignment="1">
      <alignment horizontal="center" vertical="center"/>
    </xf>
    <xf numFmtId="0" fontId="52" fillId="0" borderId="42" xfId="40" applyFont="1" applyBorder="1" applyAlignment="1">
      <alignment horizontal="center" vertical="center"/>
    </xf>
    <xf numFmtId="0" fontId="52" fillId="0" borderId="22" xfId="40" applyFont="1" applyBorder="1" applyAlignment="1">
      <alignment horizontal="center" vertical="center"/>
    </xf>
    <xf numFmtId="0" fontId="52" fillId="0" borderId="0" xfId="40" applyFont="1" applyBorder="1" applyAlignment="1">
      <alignment horizontal="center" vertical="center"/>
    </xf>
    <xf numFmtId="0" fontId="72" fillId="0" borderId="0" xfId="0" applyFont="1" applyAlignment="1">
      <alignment vertical="center"/>
    </xf>
    <xf numFmtId="0" fontId="52" fillId="0" borderId="22" xfId="40" applyFont="1" applyFill="1" applyBorder="1" applyAlignment="1">
      <alignment horizontal="center" vertical="center" wrapText="1"/>
    </xf>
    <xf numFmtId="0" fontId="58" fillId="0" borderId="271" xfId="36" applyFont="1" applyBorder="1" applyAlignment="1">
      <alignment horizontal="center" vertical="center"/>
    </xf>
    <xf numFmtId="0" fontId="11" fillId="0" borderId="171" xfId="0" applyFont="1" applyBorder="1" applyAlignment="1">
      <alignment horizontal="left" vertical="center"/>
    </xf>
    <xf numFmtId="0" fontId="11" fillId="3" borderId="49" xfId="0" applyFont="1" applyFill="1" applyBorder="1" applyAlignment="1">
      <alignment horizontal="center" vertical="center"/>
    </xf>
    <xf numFmtId="0" fontId="11" fillId="0" borderId="25" xfId="0" applyFont="1" applyBorder="1" applyAlignment="1">
      <alignment horizontal="left" vertical="center"/>
    </xf>
    <xf numFmtId="0" fontId="11" fillId="0" borderId="49" xfId="0" applyFont="1" applyBorder="1" applyAlignment="1">
      <alignment horizontal="left" vertical="center"/>
    </xf>
    <xf numFmtId="0" fontId="11" fillId="4" borderId="49" xfId="0" applyFont="1" applyFill="1" applyBorder="1" applyAlignment="1">
      <alignment horizontal="left" vertical="center"/>
    </xf>
    <xf numFmtId="0" fontId="50" fillId="0" borderId="0" xfId="0" applyFont="1"/>
    <xf numFmtId="0" fontId="11" fillId="0" borderId="49" xfId="0" applyFont="1" applyBorder="1" applyAlignment="1">
      <alignment horizontal="center" vertical="center"/>
    </xf>
    <xf numFmtId="0" fontId="11" fillId="0" borderId="81" xfId="0" applyFont="1" applyBorder="1" applyAlignment="1">
      <alignment horizontal="center" vertical="center"/>
    </xf>
    <xf numFmtId="0" fontId="11" fillId="0" borderId="50" xfId="0" applyFont="1" applyBorder="1" applyAlignment="1">
      <alignment horizontal="center" vertical="center"/>
    </xf>
    <xf numFmtId="0" fontId="0" fillId="0" borderId="0" xfId="36" applyFont="1" applyFill="1" applyBorder="1" applyAlignment="1">
      <alignment horizontal="center" vertical="center" wrapText="1"/>
    </xf>
    <xf numFmtId="0" fontId="25" fillId="0" borderId="0" xfId="36" applyFont="1" applyFill="1" applyBorder="1" applyAlignment="1">
      <alignment horizontal="center" vertical="center"/>
    </xf>
    <xf numFmtId="0" fontId="0" fillId="0" borderId="0" xfId="0" applyBorder="1"/>
    <xf numFmtId="0" fontId="165" fillId="0" borderId="0" xfId="0" applyFont="1" applyFill="1" applyBorder="1" applyAlignment="1">
      <alignment vertical="center"/>
    </xf>
    <xf numFmtId="0" fontId="50" fillId="0" borderId="155" xfId="36" applyFont="1" applyFill="1" applyBorder="1" applyAlignment="1">
      <alignment horizontal="center" vertical="center" wrapText="1"/>
    </xf>
    <xf numFmtId="0" fontId="25" fillId="2" borderId="271" xfId="0" applyFont="1" applyFill="1" applyBorder="1" applyAlignment="1">
      <alignment horizontal="center" vertical="center"/>
    </xf>
    <xf numFmtId="0" fontId="41" fillId="3" borderId="155" xfId="0" applyFont="1" applyFill="1" applyBorder="1" applyAlignment="1">
      <alignment horizontal="center" vertical="center"/>
    </xf>
    <xf numFmtId="0" fontId="25" fillId="2" borderId="217" xfId="0" applyFont="1" applyFill="1" applyBorder="1" applyAlignment="1">
      <alignment horizontal="center" vertical="center"/>
    </xf>
    <xf numFmtId="0" fontId="25" fillId="2" borderId="179" xfId="0" applyFont="1" applyFill="1" applyBorder="1" applyAlignment="1">
      <alignment horizontal="center" vertical="center"/>
    </xf>
    <xf numFmtId="0" fontId="32" fillId="19" borderId="73" xfId="0" applyFont="1" applyFill="1" applyBorder="1" applyAlignment="1">
      <alignment vertical="center" wrapText="1"/>
    </xf>
    <xf numFmtId="0" fontId="32" fillId="19" borderId="128" xfId="0" applyFont="1" applyFill="1" applyBorder="1" applyAlignment="1">
      <alignment horizontal="center" vertical="center"/>
    </xf>
    <xf numFmtId="0" fontId="32" fillId="19" borderId="106" xfId="0" applyFont="1" applyFill="1" applyBorder="1" applyAlignment="1">
      <alignment horizontal="center" vertical="center" wrapText="1"/>
    </xf>
    <xf numFmtId="0" fontId="32" fillId="0" borderId="128" xfId="0" applyFont="1" applyFill="1" applyBorder="1" applyAlignment="1">
      <alignment horizontal="center" vertical="center"/>
    </xf>
    <xf numFmtId="0" fontId="32" fillId="0" borderId="73" xfId="0" applyFont="1" applyFill="1" applyBorder="1" applyAlignment="1">
      <alignment vertical="center" wrapText="1"/>
    </xf>
    <xf numFmtId="0" fontId="32" fillId="0" borderId="106" xfId="0" applyFont="1" applyFill="1" applyBorder="1" applyAlignment="1">
      <alignment horizontal="center" vertical="center" wrapText="1"/>
    </xf>
    <xf numFmtId="3" fontId="32" fillId="0" borderId="50" xfId="0" applyNumberFormat="1" applyFont="1" applyFill="1" applyBorder="1" applyAlignment="1">
      <alignment horizontal="center" vertical="center"/>
    </xf>
    <xf numFmtId="3" fontId="32" fillId="0" borderId="73" xfId="0" applyNumberFormat="1" applyFont="1" applyFill="1" applyBorder="1" applyAlignment="1">
      <alignment horizontal="center" vertical="center"/>
    </xf>
    <xf numFmtId="3" fontId="32" fillId="0" borderId="74" xfId="0" applyNumberFormat="1" applyFont="1" applyFill="1" applyBorder="1" applyAlignment="1">
      <alignment horizontal="center" vertical="center"/>
    </xf>
    <xf numFmtId="3" fontId="32" fillId="0" borderId="128" xfId="0" applyNumberFormat="1" applyFont="1" applyFill="1" applyBorder="1" applyAlignment="1">
      <alignment horizontal="center" vertical="center"/>
    </xf>
    <xf numFmtId="3" fontId="32" fillId="0" borderId="106" xfId="0" applyNumberFormat="1" applyFont="1" applyFill="1" applyBorder="1" applyAlignment="1">
      <alignment horizontal="center" vertical="center"/>
    </xf>
    <xf numFmtId="3" fontId="32" fillId="0" borderId="81" xfId="0" applyNumberFormat="1" applyFont="1" applyFill="1" applyBorder="1" applyAlignment="1">
      <alignment horizontal="center" vertical="center"/>
    </xf>
    <xf numFmtId="3" fontId="32" fillId="19" borderId="73" xfId="0" applyNumberFormat="1" applyFont="1" applyFill="1" applyBorder="1" applyAlignment="1">
      <alignment horizontal="center" vertical="center"/>
    </xf>
    <xf numFmtId="3" fontId="32" fillId="19" borderId="74" xfId="0" applyNumberFormat="1" applyFont="1" applyFill="1" applyBorder="1" applyAlignment="1">
      <alignment horizontal="center" vertical="center"/>
    </xf>
    <xf numFmtId="3" fontId="32" fillId="19" borderId="128" xfId="0" applyNumberFormat="1" applyFont="1" applyFill="1" applyBorder="1" applyAlignment="1">
      <alignment horizontal="center" vertical="center"/>
    </xf>
    <xf numFmtId="3" fontId="32" fillId="19" borderId="106" xfId="0" applyNumberFormat="1" applyFont="1" applyFill="1" applyBorder="1" applyAlignment="1">
      <alignment horizontal="center" vertical="center"/>
    </xf>
    <xf numFmtId="3" fontId="22" fillId="19" borderId="81" xfId="0" applyNumberFormat="1" applyFont="1" applyFill="1" applyBorder="1" applyAlignment="1">
      <alignment horizontal="center" vertical="center"/>
    </xf>
    <xf numFmtId="3" fontId="22" fillId="19" borderId="73" xfId="0" applyNumberFormat="1" applyFont="1" applyFill="1" applyBorder="1" applyAlignment="1">
      <alignment horizontal="center" vertical="center"/>
    </xf>
    <xf numFmtId="3" fontId="32" fillId="19" borderId="81" xfId="0" applyNumberFormat="1" applyFont="1" applyFill="1" applyBorder="1" applyAlignment="1">
      <alignment horizontal="center" vertical="center"/>
    </xf>
    <xf numFmtId="0" fontId="174" fillId="0" borderId="0" xfId="0" applyFont="1" applyAlignment="1">
      <alignment wrapText="1"/>
    </xf>
    <xf numFmtId="0" fontId="32" fillId="0" borderId="4" xfId="2" applyFont="1" applyBorder="1" applyAlignment="1">
      <alignment horizontal="right" vertical="center" wrapText="1"/>
    </xf>
    <xf numFmtId="0" fontId="165" fillId="0" borderId="0" xfId="35" applyFont="1" applyAlignment="1">
      <alignment vertical="center" wrapText="1"/>
    </xf>
    <xf numFmtId="0" fontId="165" fillId="0" borderId="2" xfId="36" applyFont="1" applyBorder="1" applyAlignment="1">
      <alignment vertical="center" wrapText="1"/>
    </xf>
    <xf numFmtId="0" fontId="165" fillId="0" borderId="0" xfId="35" applyFont="1" applyAlignment="1" applyProtection="1">
      <alignment vertical="center" wrapText="1"/>
      <protection locked="0"/>
    </xf>
    <xf numFmtId="0" fontId="165" fillId="0" borderId="2" xfId="35" applyFont="1" applyBorder="1" applyAlignment="1" applyProtection="1">
      <alignment vertical="center" wrapText="1"/>
      <protection locked="0"/>
    </xf>
    <xf numFmtId="3" fontId="22" fillId="0" borderId="213" xfId="34" applyNumberFormat="1" applyBorder="1" applyAlignment="1">
      <alignment horizontal="right" vertical="center" indent="1"/>
    </xf>
    <xf numFmtId="3" fontId="22" fillId="0" borderId="272" xfId="34" applyNumberFormat="1" applyBorder="1" applyAlignment="1">
      <alignment horizontal="right" vertical="center" indent="1"/>
    </xf>
    <xf numFmtId="3" fontId="22" fillId="0" borderId="26" xfId="34" applyNumberFormat="1" applyBorder="1" applyAlignment="1">
      <alignment horizontal="right" vertical="center" indent="1"/>
    </xf>
    <xf numFmtId="3" fontId="22" fillId="3" borderId="49" xfId="34" applyNumberFormat="1" applyFill="1" applyBorder="1" applyAlignment="1">
      <alignment horizontal="right" vertical="center" indent="1"/>
    </xf>
    <xf numFmtId="3" fontId="22" fillId="3" borderId="50" xfId="34" applyNumberFormat="1" applyFill="1" applyBorder="1" applyAlignment="1">
      <alignment horizontal="right" vertical="center" indent="1"/>
    </xf>
    <xf numFmtId="3" fontId="22" fillId="18" borderId="49" xfId="34" applyNumberFormat="1" applyFill="1" applyBorder="1" applyAlignment="1">
      <alignment horizontal="right" vertical="center" indent="1"/>
    </xf>
    <xf numFmtId="3" fontId="22" fillId="18" borderId="50" xfId="34" applyNumberFormat="1" applyFill="1" applyBorder="1" applyAlignment="1">
      <alignment horizontal="right" vertical="center" indent="1"/>
    </xf>
    <xf numFmtId="3" fontId="25" fillId="0" borderId="60" xfId="34" applyNumberFormat="1" applyFont="1" applyFill="1" applyBorder="1" applyAlignment="1">
      <alignment horizontal="right" indent="1"/>
    </xf>
    <xf numFmtId="3" fontId="25" fillId="0" borderId="2" xfId="34" applyNumberFormat="1" applyFont="1" applyFill="1" applyBorder="1" applyAlignment="1">
      <alignment horizontal="right" indent="1"/>
    </xf>
    <xf numFmtId="0" fontId="165" fillId="0" borderId="0" xfId="58" applyFont="1" applyAlignment="1">
      <alignment vertical="center" wrapText="1"/>
    </xf>
    <xf numFmtId="0" fontId="32" fillId="0" borderId="52" xfId="0" applyFont="1" applyBorder="1" applyAlignment="1">
      <alignment horizontal="center" vertical="center"/>
    </xf>
    <xf numFmtId="0" fontId="32" fillId="0" borderId="34" xfId="0" applyFont="1" applyBorder="1" applyAlignment="1">
      <alignment horizontal="center" vertical="center"/>
    </xf>
    <xf numFmtId="0" fontId="32" fillId="0" borderId="24" xfId="0" applyFont="1" applyBorder="1" applyAlignment="1">
      <alignment horizontal="center" vertical="center"/>
    </xf>
    <xf numFmtId="0" fontId="32" fillId="0" borderId="25" xfId="0" applyFont="1" applyBorder="1" applyAlignment="1">
      <alignment horizontal="center" vertical="center"/>
    </xf>
    <xf numFmtId="0" fontId="32" fillId="4" borderId="24" xfId="0" applyFont="1" applyFill="1" applyBorder="1" applyAlignment="1">
      <alignment horizontal="center" vertical="center"/>
    </xf>
    <xf numFmtId="2" fontId="196" fillId="0" borderId="0" xfId="45" applyNumberFormat="1" applyAlignment="1">
      <alignment vertical="center"/>
    </xf>
    <xf numFmtId="0" fontId="50" fillId="3" borderId="10" xfId="0" applyFont="1" applyFill="1" applyBorder="1" applyAlignment="1">
      <alignment horizontal="center" vertical="center" wrapText="1"/>
    </xf>
    <xf numFmtId="0" fontId="249" fillId="0" borderId="258" xfId="45" applyNumberFormat="1" applyFont="1" applyBorder="1" applyAlignment="1">
      <alignment horizontal="center" vertical="center"/>
    </xf>
    <xf numFmtId="0" fontId="131" fillId="0" borderId="258" xfId="45" applyNumberFormat="1" applyFont="1" applyBorder="1" applyAlignment="1">
      <alignment horizontal="center" vertical="center"/>
    </xf>
    <xf numFmtId="0" fontId="32" fillId="0" borderId="25" xfId="0" applyFont="1" applyBorder="1" applyAlignment="1">
      <alignment horizontal="center" vertical="center"/>
    </xf>
    <xf numFmtId="0" fontId="25" fillId="0" borderId="0" xfId="45" applyFont="1" applyBorder="1" applyAlignment="1">
      <alignment horizontal="center" vertical="center"/>
    </xf>
    <xf numFmtId="0" fontId="52" fillId="0" borderId="221" xfId="40" applyFont="1" applyFill="1" applyBorder="1" applyAlignment="1">
      <alignment vertical="center" wrapText="1"/>
    </xf>
    <xf numFmtId="0" fontId="54" fillId="0" borderId="37" xfId="36" applyFont="1" applyBorder="1" applyAlignment="1">
      <alignment horizontal="center" vertical="center"/>
    </xf>
    <xf numFmtId="0" fontId="52" fillId="0" borderId="41" xfId="40" applyFont="1" applyFill="1" applyBorder="1" applyAlignment="1">
      <alignment vertical="center" wrapText="1"/>
    </xf>
    <xf numFmtId="0" fontId="57" fillId="0" borderId="37" xfId="36" applyFont="1" applyBorder="1" applyAlignment="1">
      <alignment horizontal="center" vertical="center"/>
    </xf>
    <xf numFmtId="0" fontId="55" fillId="0" borderId="37" xfId="36" applyFont="1" applyBorder="1" applyAlignment="1">
      <alignment horizontal="center" vertical="center"/>
    </xf>
    <xf numFmtId="0" fontId="52" fillId="0" borderId="274" xfId="40" applyFont="1" applyFill="1" applyBorder="1" applyAlignment="1">
      <alignment vertical="center" wrapText="1"/>
    </xf>
    <xf numFmtId="0" fontId="52" fillId="0" borderId="221" xfId="40" applyFont="1" applyBorder="1" applyAlignment="1">
      <alignment horizontal="center" vertical="center"/>
    </xf>
    <xf numFmtId="0" fontId="52" fillId="0" borderId="17" xfId="40" applyFont="1" applyFill="1" applyBorder="1" applyAlignment="1">
      <alignment horizontal="center" vertical="center" wrapText="1"/>
    </xf>
    <xf numFmtId="0" fontId="53" fillId="3" borderId="17" xfId="38" applyFont="1" applyFill="1" applyBorder="1" applyAlignment="1">
      <alignment horizontal="center" vertical="center" wrapText="1"/>
    </xf>
    <xf numFmtId="0" fontId="52" fillId="0" borderId="17" xfId="40" applyFont="1" applyBorder="1" applyAlignment="1">
      <alignment horizontal="center" vertical="center"/>
    </xf>
    <xf numFmtId="0" fontId="52" fillId="0" borderId="41" xfId="40" applyFont="1" applyFill="1" applyBorder="1" applyAlignment="1">
      <alignment horizontal="center" vertical="center" wrapText="1"/>
    </xf>
    <xf numFmtId="0" fontId="52" fillId="0" borderId="41" xfId="40" applyFont="1" applyBorder="1" applyAlignment="1">
      <alignment horizontal="center" vertical="center"/>
    </xf>
    <xf numFmtId="0" fontId="52" fillId="0" borderId="274" xfId="40" applyFont="1" applyFill="1" applyBorder="1" applyAlignment="1">
      <alignment horizontal="center" vertical="center" wrapText="1"/>
    </xf>
    <xf numFmtId="0" fontId="52" fillId="0" borderId="21" xfId="40" applyFont="1" applyFill="1" applyBorder="1" applyAlignment="1">
      <alignment horizontal="center" vertical="center" wrapText="1"/>
    </xf>
    <xf numFmtId="0" fontId="56" fillId="0" borderId="37" xfId="36" applyFont="1" applyBorder="1" applyAlignment="1">
      <alignment horizontal="center" vertical="center"/>
    </xf>
    <xf numFmtId="0" fontId="50" fillId="3" borderId="271" xfId="0" applyFont="1" applyFill="1" applyBorder="1" applyAlignment="1">
      <alignment horizontal="center" vertical="center"/>
    </xf>
    <xf numFmtId="0" fontId="52" fillId="0" borderId="162" xfId="40" applyFont="1" applyFill="1" applyBorder="1" applyAlignment="1">
      <alignment horizontal="center" vertical="center" wrapText="1"/>
    </xf>
    <xf numFmtId="0" fontId="52" fillId="0" borderId="42" xfId="40" applyFont="1" applyFill="1" applyBorder="1" applyAlignment="1">
      <alignment horizontal="center" vertical="center" wrapText="1"/>
    </xf>
    <xf numFmtId="0" fontId="50" fillId="3" borderId="217" xfId="0" applyFont="1" applyFill="1" applyBorder="1" applyAlignment="1">
      <alignment horizontal="center" vertical="center"/>
    </xf>
    <xf numFmtId="0" fontId="52" fillId="0" borderId="275" xfId="40" applyFont="1" applyFill="1" applyBorder="1" applyAlignment="1">
      <alignment horizontal="center" vertical="center" wrapText="1"/>
    </xf>
    <xf numFmtId="0" fontId="52" fillId="0" borderId="276" xfId="40" applyFont="1" applyFill="1" applyBorder="1" applyAlignment="1">
      <alignment horizontal="center" vertical="center" wrapText="1"/>
    </xf>
    <xf numFmtId="0" fontId="53" fillId="3" borderId="276" xfId="38" applyFont="1" applyFill="1" applyBorder="1" applyAlignment="1">
      <alignment horizontal="center" vertical="center" wrapText="1"/>
    </xf>
    <xf numFmtId="0" fontId="54" fillId="0" borderId="277" xfId="36" applyFont="1" applyBorder="1" applyAlignment="1">
      <alignment horizontal="center" vertical="center"/>
    </xf>
    <xf numFmtId="0" fontId="52" fillId="0" borderId="278" xfId="40" applyFont="1" applyFill="1" applyBorder="1" applyAlignment="1">
      <alignment horizontal="center" vertical="center" wrapText="1"/>
    </xf>
    <xf numFmtId="0" fontId="57" fillId="0" borderId="277" xfId="36" applyFont="1" applyBorder="1" applyAlignment="1">
      <alignment horizontal="center" vertical="center"/>
    </xf>
    <xf numFmtId="0" fontId="55" fillId="0" borderId="277" xfId="36" applyFont="1" applyBorder="1" applyAlignment="1">
      <alignment horizontal="center" vertical="center"/>
    </xf>
    <xf numFmtId="0" fontId="52" fillId="0" borderId="279" xfId="40" applyFont="1" applyFill="1" applyBorder="1" applyAlignment="1">
      <alignment horizontal="center" vertical="center" wrapText="1"/>
    </xf>
    <xf numFmtId="0" fontId="52" fillId="0" borderId="280" xfId="40" applyFont="1" applyFill="1" applyBorder="1" applyAlignment="1">
      <alignment horizontal="center" vertical="center" wrapText="1"/>
    </xf>
    <xf numFmtId="0" fontId="56" fillId="0" borderId="277" xfId="36" applyFont="1" applyBorder="1" applyAlignment="1">
      <alignment horizontal="center" vertical="center"/>
    </xf>
    <xf numFmtId="0" fontId="52" fillId="0" borderId="281" xfId="40" applyFont="1" applyFill="1" applyBorder="1" applyAlignment="1">
      <alignment horizontal="center" vertical="center" wrapText="1"/>
    </xf>
    <xf numFmtId="0" fontId="50" fillId="3" borderId="179" xfId="0" applyFont="1" applyFill="1" applyBorder="1" applyAlignment="1">
      <alignment horizontal="center" vertical="center"/>
    </xf>
    <xf numFmtId="0" fontId="32" fillId="0" borderId="48" xfId="36" applyFont="1" applyBorder="1" applyAlignment="1">
      <alignment horizontal="left" vertical="center"/>
    </xf>
    <xf numFmtId="0" fontId="32" fillId="0" borderId="49" xfId="36" applyFont="1" applyBorder="1" applyAlignment="1">
      <alignment horizontal="center" vertical="center"/>
    </xf>
    <xf numFmtId="0" fontId="32" fillId="0" borderId="81" xfId="36" applyFont="1" applyBorder="1" applyAlignment="1">
      <alignment horizontal="center" vertical="center"/>
    </xf>
    <xf numFmtId="0" fontId="32" fillId="0" borderId="106" xfId="36" applyFont="1" applyBorder="1" applyAlignment="1">
      <alignment horizontal="center" vertical="center"/>
    </xf>
    <xf numFmtId="0" fontId="32" fillId="3" borderId="35" xfId="36" applyFont="1" applyFill="1" applyBorder="1" applyAlignment="1">
      <alignment horizontal="center" vertical="center"/>
    </xf>
    <xf numFmtId="0" fontId="32" fillId="3" borderId="84" xfId="36" applyFont="1" applyFill="1" applyBorder="1" applyAlignment="1">
      <alignment horizontal="center" vertical="center"/>
    </xf>
    <xf numFmtId="0" fontId="32" fillId="3" borderId="199" xfId="36" applyFont="1" applyFill="1" applyBorder="1" applyAlignment="1">
      <alignment horizontal="center" vertical="center"/>
    </xf>
    <xf numFmtId="0" fontId="32" fillId="0" borderId="171" xfId="36" applyFont="1" applyBorder="1" applyAlignment="1">
      <alignment horizontal="center" vertical="center"/>
    </xf>
    <xf numFmtId="0" fontId="32" fillId="0" borderId="188" xfId="36" applyFont="1" applyBorder="1" applyAlignment="1">
      <alignment horizontal="center" vertical="center"/>
    </xf>
    <xf numFmtId="0" fontId="32" fillId="0" borderId="189" xfId="36" applyFont="1" applyBorder="1" applyAlignment="1">
      <alignment horizontal="center" vertical="center"/>
    </xf>
    <xf numFmtId="0" fontId="50" fillId="0" borderId="60" xfId="36" applyFont="1" applyBorder="1" applyAlignment="1">
      <alignment horizontal="center" vertical="center"/>
    </xf>
    <xf numFmtId="0" fontId="32" fillId="0" borderId="60" xfId="36" applyFont="1" applyBorder="1" applyAlignment="1">
      <alignment horizontal="center" vertical="center"/>
    </xf>
    <xf numFmtId="0" fontId="32" fillId="0" borderId="69" xfId="36" applyFont="1" applyBorder="1" applyAlignment="1">
      <alignment horizontal="center" vertical="center"/>
    </xf>
    <xf numFmtId="0" fontId="32" fillId="0" borderId="191" xfId="36" applyFont="1" applyBorder="1" applyAlignment="1">
      <alignment horizontal="center" vertical="center"/>
    </xf>
    <xf numFmtId="0" fontId="165" fillId="0" borderId="0" xfId="0" applyFont="1" applyFill="1" applyBorder="1" applyAlignment="1">
      <alignment vertical="center" wrapText="1"/>
    </xf>
    <xf numFmtId="0" fontId="174" fillId="0" borderId="0" xfId="43" applyFont="1" applyAlignment="1">
      <alignment horizontal="right"/>
    </xf>
    <xf numFmtId="0" fontId="44" fillId="0" borderId="0" xfId="45" applyFont="1" applyAlignment="1">
      <alignment vertical="center" wrapText="1"/>
    </xf>
    <xf numFmtId="0" fontId="238" fillId="0" borderId="0" xfId="45" applyFont="1" applyBorder="1" applyAlignment="1">
      <alignment horizontal="center" vertical="center"/>
    </xf>
    <xf numFmtId="0" fontId="145" fillId="0" borderId="0" xfId="57" applyFont="1" applyBorder="1" applyAlignment="1">
      <alignment horizontal="center" vertical="center" wrapText="1"/>
    </xf>
    <xf numFmtId="3" fontId="85" fillId="0" borderId="0" xfId="45" applyNumberFormat="1" applyFont="1" applyBorder="1" applyAlignment="1">
      <alignment horizontal="center" vertical="center"/>
    </xf>
    <xf numFmtId="3" fontId="10" fillId="0" borderId="45" xfId="8" applyNumberFormat="1" applyFont="1" applyBorder="1" applyAlignment="1">
      <alignment horizontal="right"/>
    </xf>
    <xf numFmtId="3" fontId="10" fillId="0" borderId="46" xfId="8" applyNumberFormat="1" applyFont="1" applyBorder="1" applyAlignment="1">
      <alignment horizontal="right"/>
    </xf>
    <xf numFmtId="3" fontId="10" fillId="0" borderId="47" xfId="8" applyNumberFormat="1" applyFont="1" applyBorder="1" applyAlignment="1">
      <alignment horizontal="right"/>
    </xf>
    <xf numFmtId="3" fontId="10" fillId="0" borderId="49" xfId="8" applyNumberFormat="1" applyFont="1" applyBorder="1" applyAlignment="1">
      <alignment horizontal="right" vertical="center"/>
    </xf>
    <xf numFmtId="3" fontId="10" fillId="0" borderId="50" xfId="8" applyNumberFormat="1" applyFont="1" applyBorder="1" applyAlignment="1">
      <alignment horizontal="right"/>
    </xf>
    <xf numFmtId="3" fontId="10" fillId="0" borderId="51" xfId="8" applyNumberFormat="1" applyFont="1" applyBorder="1" applyAlignment="1">
      <alignment horizontal="right"/>
    </xf>
    <xf numFmtId="3" fontId="10" fillId="0" borderId="50" xfId="8" applyNumberFormat="1" applyFont="1" applyBorder="1" applyAlignment="1">
      <alignment horizontal="right" vertical="center"/>
    </xf>
    <xf numFmtId="0" fontId="52" fillId="0" borderId="17" xfId="38" applyFont="1" applyFill="1" applyBorder="1" applyAlignment="1">
      <alignment horizontal="center" vertical="center" wrapText="1"/>
    </xf>
    <xf numFmtId="0" fontId="52" fillId="0" borderId="17" xfId="38" applyFont="1" applyBorder="1" applyAlignment="1">
      <alignment horizontal="center" vertical="center"/>
    </xf>
    <xf numFmtId="0" fontId="52" fillId="0" borderId="41" xfId="38" applyFont="1" applyFill="1" applyBorder="1" applyAlignment="1">
      <alignment horizontal="center" vertical="center" wrapText="1"/>
    </xf>
    <xf numFmtId="0" fontId="58" fillId="0" borderId="37" xfId="36" applyFont="1" applyBorder="1" applyAlignment="1">
      <alignment horizontal="center" vertical="center"/>
    </xf>
    <xf numFmtId="0" fontId="52" fillId="0" borderId="270" xfId="39" applyFont="1" applyFill="1" applyBorder="1" applyAlignment="1"/>
    <xf numFmtId="0" fontId="52" fillId="0" borderId="282" xfId="39" applyFont="1" applyFill="1" applyBorder="1" applyAlignment="1"/>
    <xf numFmtId="0" fontId="52" fillId="0" borderId="283" xfId="38" applyFont="1" applyFill="1" applyBorder="1" applyAlignment="1">
      <alignment vertical="center" wrapText="1"/>
    </xf>
    <xf numFmtId="0" fontId="52" fillId="0" borderId="284" xfId="39" applyFont="1" applyFill="1" applyBorder="1" applyAlignment="1"/>
    <xf numFmtId="0" fontId="32" fillId="0" borderId="49" xfId="0" applyFont="1" applyBorder="1" applyAlignment="1">
      <alignment horizontal="center" vertical="center"/>
    </xf>
    <xf numFmtId="0" fontId="74" fillId="0" borderId="0" xfId="49" applyFont="1" applyAlignment="1">
      <alignment vertical="center" wrapText="1"/>
    </xf>
    <xf numFmtId="0" fontId="32" fillId="0" borderId="25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3" fontId="32" fillId="0" borderId="53" xfId="3" applyNumberFormat="1" applyFont="1" applyBorder="1" applyAlignment="1">
      <alignment horizontal="center" vertical="center"/>
    </xf>
    <xf numFmtId="3" fontId="32" fillId="0" borderId="142" xfId="3" applyNumberFormat="1" applyFont="1" applyBorder="1" applyAlignment="1">
      <alignment horizontal="center" vertical="center"/>
    </xf>
    <xf numFmtId="0" fontId="25" fillId="0" borderId="57" xfId="0" applyFont="1" applyBorder="1" applyAlignment="1">
      <alignment horizontal="center" vertical="center"/>
    </xf>
    <xf numFmtId="0" fontId="25" fillId="0" borderId="82" xfId="0" applyFont="1" applyBorder="1" applyAlignment="1">
      <alignment horizontal="center" vertical="center"/>
    </xf>
    <xf numFmtId="0" fontId="9" fillId="0" borderId="49" xfId="0" applyFont="1" applyBorder="1" applyAlignment="1">
      <alignment horizontal="center" vertical="center"/>
    </xf>
    <xf numFmtId="0" fontId="9" fillId="0" borderId="81" xfId="0" applyFont="1" applyBorder="1" applyAlignment="1">
      <alignment horizontal="center" vertical="center"/>
    </xf>
    <xf numFmtId="0" fontId="32" fillId="0" borderId="108" xfId="0" applyFont="1" applyBorder="1" applyAlignment="1">
      <alignment horizontal="center" vertical="center"/>
    </xf>
    <xf numFmtId="0" fontId="32" fillId="3" borderId="133" xfId="0" applyFont="1" applyFill="1" applyBorder="1" applyAlignment="1">
      <alignment horizontal="center" vertical="center"/>
    </xf>
    <xf numFmtId="0" fontId="32" fillId="3" borderId="79" xfId="0" applyFont="1" applyFill="1" applyBorder="1" applyAlignment="1">
      <alignment vertical="center" wrapText="1"/>
    </xf>
    <xf numFmtId="3" fontId="32" fillId="3" borderId="108" xfId="0" applyNumberFormat="1" applyFont="1" applyFill="1" applyBorder="1" applyAlignment="1">
      <alignment horizontal="center" vertical="center"/>
    </xf>
    <xf numFmtId="3" fontId="32" fillId="3" borderId="79" xfId="0" applyNumberFormat="1" applyFont="1" applyFill="1" applyBorder="1" applyAlignment="1">
      <alignment horizontal="center" vertical="center"/>
    </xf>
    <xf numFmtId="3" fontId="32" fillId="3" borderId="109" xfId="0" applyNumberFormat="1" applyFont="1" applyFill="1" applyBorder="1" applyAlignment="1">
      <alignment horizontal="center" vertical="center"/>
    </xf>
    <xf numFmtId="3" fontId="32" fillId="3" borderId="133" xfId="0" applyNumberFormat="1" applyFont="1" applyFill="1" applyBorder="1" applyAlignment="1">
      <alignment horizontal="center" vertical="center"/>
    </xf>
    <xf numFmtId="3" fontId="32" fillId="3" borderId="148" xfId="0" applyNumberFormat="1" applyFont="1" applyFill="1" applyBorder="1" applyAlignment="1">
      <alignment horizontal="center" vertical="center"/>
    </xf>
    <xf numFmtId="3" fontId="22" fillId="3" borderId="108" xfId="0" applyNumberFormat="1" applyFont="1" applyFill="1" applyBorder="1" applyAlignment="1">
      <alignment horizontal="center" vertical="center"/>
    </xf>
    <xf numFmtId="3" fontId="22" fillId="3" borderId="79" xfId="0" applyNumberFormat="1" applyFont="1" applyFill="1" applyBorder="1" applyAlignment="1">
      <alignment horizontal="center" vertical="center"/>
    </xf>
    <xf numFmtId="1" fontId="41" fillId="3" borderId="286" xfId="0" applyNumberFormat="1" applyFont="1" applyFill="1" applyBorder="1" applyAlignment="1">
      <alignment horizontal="center" vertical="center" wrapText="1"/>
    </xf>
    <xf numFmtId="0" fontId="32" fillId="0" borderId="188" xfId="0" applyFont="1" applyBorder="1" applyAlignment="1">
      <alignment horizontal="center" vertical="center"/>
    </xf>
    <xf numFmtId="0" fontId="32" fillId="0" borderId="172" xfId="0" applyFont="1" applyFill="1" applyBorder="1" applyAlignment="1">
      <alignment horizontal="center" vertical="center"/>
    </xf>
    <xf numFmtId="0" fontId="25" fillId="0" borderId="51" xfId="0" applyFont="1" applyBorder="1" applyAlignment="1">
      <alignment horizontal="center" vertical="center"/>
    </xf>
    <xf numFmtId="0" fontId="32" fillId="0" borderId="27" xfId="0" applyFont="1" applyFill="1" applyBorder="1" applyAlignment="1">
      <alignment horizontal="center" vertical="center"/>
    </xf>
    <xf numFmtId="0" fontId="50" fillId="0" borderId="51" xfId="0" applyFont="1" applyBorder="1" applyAlignment="1">
      <alignment horizontal="center" vertical="center"/>
    </xf>
    <xf numFmtId="0" fontId="32" fillId="0" borderId="171" xfId="0" applyFont="1" applyFill="1" applyBorder="1" applyAlignment="1">
      <alignment horizontal="center" vertical="center"/>
    </xf>
    <xf numFmtId="0" fontId="32" fillId="0" borderId="172" xfId="0" applyFont="1" applyFill="1" applyBorder="1" applyAlignment="1">
      <alignment horizontal="left" vertical="center" wrapText="1"/>
    </xf>
    <xf numFmtId="0" fontId="32" fillId="0" borderId="51" xfId="0" applyFont="1" applyFill="1" applyBorder="1" applyAlignment="1">
      <alignment horizontal="left" vertical="center" wrapText="1"/>
    </xf>
    <xf numFmtId="0" fontId="25" fillId="0" borderId="51" xfId="0" applyFont="1" applyFill="1" applyBorder="1" applyAlignment="1">
      <alignment horizontal="center" vertical="center"/>
    </xf>
    <xf numFmtId="0" fontId="32" fillId="0" borderId="57" xfId="0" applyFont="1" applyFill="1" applyBorder="1" applyAlignment="1">
      <alignment horizontal="center" vertical="center"/>
    </xf>
    <xf numFmtId="0" fontId="54" fillId="0" borderId="59" xfId="0" applyFont="1" applyFill="1" applyBorder="1" applyAlignment="1">
      <alignment horizontal="center" vertical="center"/>
    </xf>
    <xf numFmtId="0" fontId="32" fillId="0" borderId="25" xfId="0" applyFont="1" applyFill="1" applyBorder="1" applyAlignment="1">
      <alignment horizontal="center" vertical="center"/>
    </xf>
    <xf numFmtId="0" fontId="32" fillId="0" borderId="27" xfId="0" applyFont="1" applyFill="1" applyBorder="1" applyAlignment="1">
      <alignment horizontal="left" vertical="center" wrapText="1"/>
    </xf>
    <xf numFmtId="0" fontId="57" fillId="0" borderId="59" xfId="0" applyFont="1" applyFill="1" applyBorder="1" applyAlignment="1">
      <alignment horizontal="center" vertical="center"/>
    </xf>
    <xf numFmtId="0" fontId="32" fillId="0" borderId="27" xfId="0" applyFont="1" applyBorder="1" applyAlignment="1">
      <alignment horizontal="left" vertical="center" wrapText="1"/>
    </xf>
    <xf numFmtId="0" fontId="32" fillId="0" borderId="51" xfId="0" applyFont="1" applyBorder="1" applyAlignment="1">
      <alignment horizontal="left" vertical="center" wrapText="1"/>
    </xf>
    <xf numFmtId="0" fontId="55" fillId="0" borderId="59" xfId="0" applyFont="1" applyFill="1" applyBorder="1" applyAlignment="1">
      <alignment horizontal="center" vertical="center"/>
    </xf>
    <xf numFmtId="0" fontId="32" fillId="0" borderId="51" xfId="0" applyFont="1" applyBorder="1" applyAlignment="1">
      <alignment horizontal="left" vertical="center"/>
    </xf>
    <xf numFmtId="0" fontId="32" fillId="0" borderId="49" xfId="0" applyFont="1" applyBorder="1"/>
    <xf numFmtId="0" fontId="32" fillId="0" borderId="57" xfId="0" applyFont="1" applyBorder="1"/>
    <xf numFmtId="0" fontId="56" fillId="0" borderId="59" xfId="0" applyFont="1" applyFill="1" applyBorder="1" applyAlignment="1">
      <alignment horizontal="center" vertical="center"/>
    </xf>
    <xf numFmtId="0" fontId="32" fillId="0" borderId="212" xfId="0" applyFont="1" applyFill="1" applyBorder="1" applyAlignment="1">
      <alignment horizontal="left" vertical="center" wrapText="1"/>
    </xf>
    <xf numFmtId="0" fontId="32" fillId="0" borderId="188" xfId="0" applyFont="1" applyFill="1" applyBorder="1" applyAlignment="1">
      <alignment horizontal="center" vertical="center"/>
    </xf>
    <xf numFmtId="0" fontId="25" fillId="0" borderId="59" xfId="0" applyFont="1" applyBorder="1" applyAlignment="1">
      <alignment horizontal="center" vertical="center"/>
    </xf>
    <xf numFmtId="0" fontId="50" fillId="3" borderId="291" xfId="0" applyFont="1" applyFill="1" applyBorder="1" applyAlignment="1">
      <alignment horizontal="center" vertical="center"/>
    </xf>
    <xf numFmtId="0" fontId="50" fillId="3" borderId="292" xfId="0" applyFont="1" applyFill="1" applyBorder="1" applyAlignment="1">
      <alignment horizontal="center" vertical="center"/>
    </xf>
    <xf numFmtId="0" fontId="50" fillId="3" borderId="293" xfId="0" applyFont="1" applyFill="1" applyBorder="1" applyAlignment="1">
      <alignment horizontal="center" vertical="center"/>
    </xf>
    <xf numFmtId="0" fontId="50" fillId="3" borderId="294" xfId="0" applyFont="1" applyFill="1" applyBorder="1" applyAlignment="1">
      <alignment horizontal="center" vertical="center"/>
    </xf>
    <xf numFmtId="0" fontId="50" fillId="3" borderId="295" xfId="0" applyFont="1" applyFill="1" applyBorder="1" applyAlignment="1">
      <alignment horizontal="center" vertical="center"/>
    </xf>
    <xf numFmtId="0" fontId="32" fillId="0" borderId="53" xfId="0" applyFont="1" applyFill="1" applyBorder="1" applyAlignment="1">
      <alignment horizontal="center" vertical="center"/>
    </xf>
    <xf numFmtId="0" fontId="9" fillId="0" borderId="51" xfId="0" applyFont="1" applyBorder="1" applyAlignment="1">
      <alignment horizontal="center" vertical="center"/>
    </xf>
    <xf numFmtId="0" fontId="40" fillId="0" borderId="289" xfId="1" applyFont="1" applyBorder="1" applyAlignment="1" applyProtection="1">
      <alignment horizontal="left" vertical="center" indent="1"/>
    </xf>
    <xf numFmtId="0" fontId="40" fillId="0" borderId="2" xfId="1" applyFont="1" applyBorder="1" applyAlignment="1" applyProtection="1">
      <alignment vertical="center"/>
    </xf>
    <xf numFmtId="0" fontId="40" fillId="0" borderId="4" xfId="1" applyFont="1" applyBorder="1" applyAlignment="1" applyProtection="1">
      <alignment horizontal="left" vertical="top" indent="1"/>
    </xf>
    <xf numFmtId="0" fontId="20" fillId="0" borderId="71" xfId="65" applyFill="1" applyBorder="1" applyAlignment="1">
      <alignment horizontal="center" vertical="center" wrapText="1"/>
    </xf>
    <xf numFmtId="0" fontId="20" fillId="0" borderId="74" xfId="65" applyFill="1" applyBorder="1" applyAlignment="1">
      <alignment horizontal="center" vertical="center" wrapText="1"/>
    </xf>
    <xf numFmtId="8" fontId="20" fillId="0" borderId="77" xfId="65" applyNumberFormat="1" applyFill="1" applyBorder="1" applyAlignment="1">
      <alignment horizontal="center" vertical="center" wrapText="1"/>
    </xf>
    <xf numFmtId="0" fontId="20" fillId="0" borderId="80" xfId="65" applyFill="1" applyBorder="1" applyAlignment="1">
      <alignment vertical="center" wrapText="1"/>
    </xf>
    <xf numFmtId="0" fontId="20" fillId="0" borderId="70" xfId="65" applyFill="1" applyBorder="1" applyAlignment="1">
      <alignment horizontal="center" vertical="center" wrapText="1"/>
    </xf>
    <xf numFmtId="1" fontId="20" fillId="0" borderId="70" xfId="65" applyNumberFormat="1" applyFill="1" applyBorder="1" applyAlignment="1">
      <alignment horizontal="center" vertical="center" wrapText="1"/>
    </xf>
    <xf numFmtId="0" fontId="20" fillId="0" borderId="0" xfId="65" applyFill="1"/>
    <xf numFmtId="0" fontId="20" fillId="0" borderId="81" xfId="65" applyFill="1" applyBorder="1" applyAlignment="1">
      <alignment vertical="center" wrapText="1"/>
    </xf>
    <xf numFmtId="0" fontId="20" fillId="0" borderId="73" xfId="65" applyFill="1" applyBorder="1" applyAlignment="1">
      <alignment horizontal="center" vertical="center" wrapText="1"/>
    </xf>
    <xf numFmtId="1" fontId="20" fillId="0" borderId="73" xfId="65" applyNumberFormat="1" applyFill="1" applyBorder="1" applyAlignment="1">
      <alignment horizontal="center" vertical="center" wrapText="1"/>
    </xf>
    <xf numFmtId="174" fontId="20" fillId="0" borderId="262" xfId="65" applyNumberFormat="1" applyFill="1" applyBorder="1" applyAlignment="1">
      <alignment horizontal="center" vertical="center" wrapText="1"/>
    </xf>
    <xf numFmtId="174" fontId="20" fillId="0" borderId="75" xfId="65" applyNumberFormat="1" applyFill="1" applyBorder="1" applyAlignment="1">
      <alignment horizontal="center" vertical="center" wrapText="1"/>
    </xf>
    <xf numFmtId="8" fontId="20" fillId="0" borderId="75" xfId="65" applyNumberFormat="1" applyFill="1" applyBorder="1" applyAlignment="1">
      <alignment horizontal="center" vertical="center" wrapText="1"/>
    </xf>
    <xf numFmtId="0" fontId="50" fillId="3" borderId="8" xfId="3" applyFont="1" applyFill="1" applyBorder="1" applyAlignment="1">
      <alignment horizontal="center" vertical="center"/>
    </xf>
    <xf numFmtId="0" fontId="8" fillId="2" borderId="48" xfId="0" applyFont="1" applyFill="1" applyBorder="1" applyAlignment="1">
      <alignment vertical="center" wrapText="1"/>
    </xf>
    <xf numFmtId="0" fontId="8" fillId="0" borderId="55" xfId="0" applyFont="1" applyBorder="1" applyAlignment="1">
      <alignment vertical="center" wrapText="1"/>
    </xf>
    <xf numFmtId="0" fontId="158" fillId="0" borderId="51" xfId="0" applyFont="1" applyBorder="1" applyAlignment="1">
      <alignment vertical="center" wrapText="1"/>
    </xf>
    <xf numFmtId="0" fontId="22" fillId="0" borderId="51" xfId="0" applyFont="1" applyBorder="1" applyAlignment="1">
      <alignment vertical="center" wrapText="1"/>
    </xf>
    <xf numFmtId="0" fontId="8" fillId="0" borderId="48" xfId="0" applyFont="1" applyBorder="1" applyAlignment="1">
      <alignment vertical="center" wrapText="1"/>
    </xf>
    <xf numFmtId="0" fontId="144" fillId="0" borderId="39" xfId="0" applyFont="1" applyBorder="1" applyAlignment="1">
      <alignment horizontal="center" vertical="center" wrapText="1"/>
    </xf>
    <xf numFmtId="0" fontId="58" fillId="0" borderId="10" xfId="0" applyFont="1" applyBorder="1" applyAlignment="1">
      <alignment horizontal="center" vertical="center" wrapText="1"/>
    </xf>
    <xf numFmtId="3" fontId="58" fillId="0" borderId="39" xfId="0" applyNumberFormat="1" applyFont="1" applyBorder="1" applyAlignment="1">
      <alignment horizontal="right" vertical="center" wrapText="1"/>
    </xf>
    <xf numFmtId="0" fontId="55" fillId="2" borderId="0" xfId="0" applyFont="1" applyFill="1" applyBorder="1" applyAlignment="1">
      <alignment horizontal="center" vertical="center" wrapText="1" readingOrder="1"/>
    </xf>
    <xf numFmtId="3" fontId="55" fillId="2" borderId="0" xfId="0" applyNumberFormat="1" applyFont="1" applyFill="1" applyBorder="1" applyAlignment="1">
      <alignment horizontal="right" vertical="center" wrapText="1"/>
    </xf>
    <xf numFmtId="0" fontId="87" fillId="0" borderId="173" xfId="0" applyFont="1" applyBorder="1" applyAlignment="1">
      <alignment horizontal="center" vertical="center" wrapText="1" readingOrder="1"/>
    </xf>
    <xf numFmtId="3" fontId="32" fillId="0" borderId="171" xfId="0" applyNumberFormat="1" applyFont="1" applyBorder="1" applyAlignment="1">
      <alignment horizontal="right" vertical="center"/>
    </xf>
    <xf numFmtId="3" fontId="32" fillId="0" borderId="212" xfId="0" applyNumberFormat="1" applyFont="1" applyBorder="1" applyAlignment="1">
      <alignment horizontal="right" vertical="center"/>
    </xf>
    <xf numFmtId="3" fontId="50" fillId="0" borderId="172" xfId="0" applyNumberFormat="1" applyFont="1" applyBorder="1" applyAlignment="1">
      <alignment horizontal="right" vertical="center"/>
    </xf>
    <xf numFmtId="0" fontId="58" fillId="2" borderId="56" xfId="0" applyFont="1" applyFill="1" applyBorder="1" applyAlignment="1">
      <alignment horizontal="center" vertical="center" wrapText="1" readingOrder="1"/>
    </xf>
    <xf numFmtId="3" fontId="58" fillId="2" borderId="57" xfId="0" applyNumberFormat="1" applyFont="1" applyFill="1" applyBorder="1" applyAlignment="1">
      <alignment horizontal="right" vertical="center" wrapText="1"/>
    </xf>
    <xf numFmtId="3" fontId="58" fillId="2" borderId="58" xfId="0" applyNumberFormat="1" applyFont="1" applyFill="1" applyBorder="1" applyAlignment="1">
      <alignment horizontal="right" vertical="center" wrapText="1"/>
    </xf>
    <xf numFmtId="3" fontId="58" fillId="2" borderId="59" xfId="0" applyNumberFormat="1" applyFont="1" applyFill="1" applyBorder="1" applyAlignment="1">
      <alignment horizontal="right" vertical="center" wrapText="1"/>
    </xf>
    <xf numFmtId="0" fontId="52" fillId="0" borderId="0" xfId="2" applyFont="1" applyBorder="1" applyAlignment="1">
      <alignment vertical="center" wrapText="1"/>
    </xf>
    <xf numFmtId="0" fontId="50" fillId="0" borderId="0" xfId="2" applyFont="1" applyBorder="1" applyAlignment="1">
      <alignment horizontal="right" vertical="center"/>
    </xf>
    <xf numFmtId="0" fontId="32" fillId="0" borderId="297" xfId="3" applyFont="1" applyBorder="1" applyAlignment="1">
      <alignment horizontal="center" vertical="center"/>
    </xf>
    <xf numFmtId="1" fontId="32" fillId="0" borderId="299" xfId="3" applyNumberFormat="1" applyFont="1" applyBorder="1" applyAlignment="1">
      <alignment horizontal="right" vertical="center"/>
    </xf>
    <xf numFmtId="1" fontId="32" fillId="0" borderId="300" xfId="3" applyNumberFormat="1" applyFont="1" applyBorder="1" applyAlignment="1">
      <alignment horizontal="right" vertical="center"/>
    </xf>
    <xf numFmtId="1" fontId="50" fillId="0" borderId="301" xfId="3" applyNumberFormat="1" applyFont="1" applyBorder="1" applyAlignment="1">
      <alignment horizontal="right" vertical="center"/>
    </xf>
    <xf numFmtId="1" fontId="50" fillId="0" borderId="300" xfId="3" applyNumberFormat="1" applyFont="1" applyBorder="1" applyAlignment="1">
      <alignment horizontal="right" vertical="center"/>
    </xf>
    <xf numFmtId="3" fontId="32" fillId="0" borderId="299" xfId="3" applyNumberFormat="1" applyFont="1" applyBorder="1" applyAlignment="1">
      <alignment horizontal="right" vertical="center"/>
    </xf>
    <xf numFmtId="3" fontId="32" fillId="0" borderId="300" xfId="3" applyNumberFormat="1" applyFont="1" applyBorder="1" applyAlignment="1">
      <alignment horizontal="right" vertical="center"/>
    </xf>
    <xf numFmtId="3" fontId="32" fillId="0" borderId="301" xfId="3" applyNumberFormat="1" applyFont="1" applyBorder="1" applyAlignment="1">
      <alignment horizontal="right" vertical="center"/>
    </xf>
    <xf numFmtId="0" fontId="32" fillId="0" borderId="173" xfId="3" applyFont="1" applyBorder="1" applyAlignment="1">
      <alignment horizontal="center" vertical="center"/>
    </xf>
    <xf numFmtId="1" fontId="32" fillId="0" borderId="171" xfId="3" applyNumberFormat="1" applyFont="1" applyBorder="1" applyAlignment="1">
      <alignment horizontal="right" vertical="center"/>
    </xf>
    <xf numFmtId="1" fontId="32" fillId="0" borderId="212" xfId="3" applyNumberFormat="1" applyFont="1" applyBorder="1" applyAlignment="1">
      <alignment horizontal="right" vertical="center"/>
    </xf>
    <xf numFmtId="1" fontId="50" fillId="0" borderId="172" xfId="3" applyNumberFormat="1" applyFont="1" applyBorder="1" applyAlignment="1">
      <alignment horizontal="right" vertical="center"/>
    </xf>
    <xf numFmtId="1" fontId="50" fillId="0" borderId="212" xfId="3" applyNumberFormat="1" applyFont="1" applyBorder="1" applyAlignment="1">
      <alignment horizontal="right" vertical="center"/>
    </xf>
    <xf numFmtId="3" fontId="32" fillId="0" borderId="171" xfId="3" applyNumberFormat="1" applyFont="1" applyBorder="1" applyAlignment="1">
      <alignment horizontal="right" vertical="center"/>
    </xf>
    <xf numFmtId="3" fontId="32" fillId="0" borderId="212" xfId="3" applyNumberFormat="1" applyFont="1" applyBorder="1" applyAlignment="1">
      <alignment horizontal="right" vertical="center"/>
    </xf>
    <xf numFmtId="3" fontId="32" fillId="0" borderId="172" xfId="3" applyNumberFormat="1" applyFont="1" applyBorder="1" applyAlignment="1">
      <alignment horizontal="right" vertical="center"/>
    </xf>
    <xf numFmtId="0" fontId="89" fillId="0" borderId="299" xfId="2" applyFont="1" applyBorder="1" applyAlignment="1">
      <alignment vertical="center"/>
    </xf>
    <xf numFmtId="0" fontId="144" fillId="0" borderId="8" xfId="2" applyFont="1" applyBorder="1" applyAlignment="1">
      <alignment horizontal="center" vertical="center"/>
    </xf>
    <xf numFmtId="0" fontId="58" fillId="0" borderId="4" xfId="2" applyFont="1" applyBorder="1" applyAlignment="1">
      <alignment horizontal="center" vertical="center"/>
    </xf>
    <xf numFmtId="0" fontId="144" fillId="0" borderId="4" xfId="2" applyFont="1" applyBorder="1" applyAlignment="1">
      <alignment horizontal="right" vertical="center"/>
    </xf>
    <xf numFmtId="0" fontId="58" fillId="0" borderId="4" xfId="2" applyFont="1" applyBorder="1" applyAlignment="1">
      <alignment horizontal="right" vertical="center"/>
    </xf>
    <xf numFmtId="0" fontId="58" fillId="0" borderId="10" xfId="2" applyFont="1" applyBorder="1" applyAlignment="1">
      <alignment horizontal="right" vertical="center"/>
    </xf>
    <xf numFmtId="3" fontId="10" fillId="0" borderId="53" xfId="8" applyNumberFormat="1" applyFont="1" applyBorder="1" applyAlignment="1">
      <alignment horizontal="right" vertical="center"/>
    </xf>
    <xf numFmtId="3" fontId="10" fillId="0" borderId="54" xfId="8" applyNumberFormat="1" applyFont="1" applyBorder="1" applyAlignment="1">
      <alignment horizontal="right" vertical="center"/>
    </xf>
    <xf numFmtId="3" fontId="10" fillId="0" borderId="55" xfId="8" applyNumberFormat="1" applyFont="1" applyBorder="1" applyAlignment="1">
      <alignment horizontal="right"/>
    </xf>
    <xf numFmtId="3" fontId="50" fillId="3" borderId="302" xfId="8" applyNumberFormat="1" applyFont="1" applyFill="1" applyBorder="1" applyAlignment="1">
      <alignment horizontal="right" vertical="center"/>
    </xf>
    <xf numFmtId="3" fontId="50" fillId="3" borderId="303" xfId="8" applyNumberFormat="1" applyFont="1" applyFill="1" applyBorder="1" applyAlignment="1">
      <alignment horizontal="right" vertical="center"/>
    </xf>
    <xf numFmtId="3" fontId="50" fillId="3" borderId="304" xfId="8" applyNumberFormat="1" applyFont="1" applyFill="1" applyBorder="1" applyAlignment="1">
      <alignment horizontal="right" vertical="center"/>
    </xf>
    <xf numFmtId="3" fontId="99" fillId="0" borderId="0" xfId="2" applyNumberFormat="1" applyFont="1" applyAlignment="1">
      <alignment vertical="top" wrapText="1"/>
    </xf>
    <xf numFmtId="0" fontId="50" fillId="3" borderId="9" xfId="3" applyFont="1" applyFill="1" applyBorder="1" applyAlignment="1">
      <alignment horizontal="center" vertical="center"/>
    </xf>
    <xf numFmtId="0" fontId="50" fillId="3" borderId="10" xfId="3" applyFont="1" applyFill="1" applyBorder="1" applyAlignment="1">
      <alignment horizontal="center" vertical="center"/>
    </xf>
    <xf numFmtId="0" fontId="98" fillId="2" borderId="34" xfId="3" applyFont="1" applyFill="1" applyBorder="1" applyAlignment="1">
      <alignment horizontal="center" vertical="center"/>
    </xf>
    <xf numFmtId="0" fontId="50" fillId="3" borderId="304" xfId="3" applyFont="1" applyFill="1" applyBorder="1" applyAlignment="1">
      <alignment horizontal="center" vertical="center"/>
    </xf>
    <xf numFmtId="0" fontId="87" fillId="2" borderId="48" xfId="0" applyFont="1" applyFill="1" applyBorder="1" applyAlignment="1">
      <alignment wrapText="1"/>
    </xf>
    <xf numFmtId="3" fontId="52" fillId="2" borderId="51" xfId="3" applyNumberFormat="1" applyFont="1" applyFill="1" applyBorder="1" applyAlignment="1">
      <alignment horizontal="right" vertical="center"/>
    </xf>
    <xf numFmtId="3" fontId="52" fillId="2" borderId="48" xfId="3" applyNumberFormat="1" applyFont="1" applyFill="1" applyBorder="1" applyAlignment="1">
      <alignment horizontal="right" vertical="center"/>
    </xf>
    <xf numFmtId="0" fontId="32" fillId="2" borderId="48" xfId="0" applyFont="1" applyFill="1" applyBorder="1" applyAlignment="1">
      <alignment wrapText="1"/>
    </xf>
    <xf numFmtId="0" fontId="32" fillId="2" borderId="52" xfId="0" applyFont="1" applyFill="1" applyBorder="1" applyAlignment="1">
      <alignment wrapText="1"/>
    </xf>
    <xf numFmtId="3" fontId="52" fillId="2" borderId="55" xfId="3" applyNumberFormat="1" applyFont="1" applyFill="1" applyBorder="1" applyAlignment="1">
      <alignment horizontal="right" vertical="center"/>
    </xf>
    <xf numFmtId="3" fontId="52" fillId="2" borderId="52" xfId="3" applyNumberFormat="1" applyFont="1" applyFill="1" applyBorder="1" applyAlignment="1">
      <alignment horizontal="right" vertical="center"/>
    </xf>
    <xf numFmtId="0" fontId="32" fillId="2" borderId="55" xfId="0" applyFont="1" applyFill="1" applyBorder="1" applyAlignment="1">
      <alignment wrapText="1"/>
    </xf>
    <xf numFmtId="0" fontId="87" fillId="2" borderId="52" xfId="0" applyFont="1" applyFill="1" applyBorder="1" applyAlignment="1">
      <alignment wrapText="1"/>
    </xf>
    <xf numFmtId="0" fontId="22" fillId="2" borderId="50" xfId="0" applyFont="1" applyFill="1" applyBorder="1"/>
    <xf numFmtId="0" fontId="32" fillId="2" borderId="27" xfId="0" applyFont="1" applyFill="1" applyBorder="1" applyAlignment="1">
      <alignment wrapText="1"/>
    </xf>
    <xf numFmtId="0" fontId="32" fillId="2" borderId="51" xfId="0" applyFont="1" applyFill="1" applyBorder="1" applyAlignment="1">
      <alignment wrapText="1"/>
    </xf>
    <xf numFmtId="0" fontId="32" fillId="2" borderId="44" xfId="0" applyFont="1" applyFill="1" applyBorder="1" applyAlignment="1">
      <alignment wrapText="1"/>
    </xf>
    <xf numFmtId="3" fontId="52" fillId="2" borderId="27" xfId="3" applyNumberFormat="1" applyFont="1" applyFill="1" applyBorder="1" applyAlignment="1">
      <alignment horizontal="right" vertical="center"/>
    </xf>
    <xf numFmtId="3" fontId="52" fillId="2" borderId="24" xfId="3" applyNumberFormat="1" applyFont="1" applyFill="1" applyBorder="1" applyAlignment="1">
      <alignment horizontal="right" vertical="center"/>
    </xf>
    <xf numFmtId="3" fontId="32" fillId="2" borderId="52" xfId="3" applyNumberFormat="1" applyFont="1" applyFill="1" applyBorder="1" applyAlignment="1">
      <alignment horizontal="right" vertical="center"/>
    </xf>
    <xf numFmtId="0" fontId="87" fillId="2" borderId="5" xfId="0" applyFont="1" applyFill="1" applyBorder="1" applyAlignment="1">
      <alignment wrapText="1"/>
    </xf>
    <xf numFmtId="3" fontId="52" fillId="2" borderId="7" xfId="3" applyNumberFormat="1" applyFont="1" applyFill="1" applyBorder="1" applyAlignment="1">
      <alignment horizontal="right" vertical="center"/>
    </xf>
    <xf numFmtId="3" fontId="52" fillId="2" borderId="5" xfId="3" applyNumberFormat="1" applyFont="1" applyFill="1" applyBorder="1" applyAlignment="1">
      <alignment horizontal="right" vertical="center"/>
    </xf>
    <xf numFmtId="0" fontId="50" fillId="3" borderId="9" xfId="3" applyFont="1" applyFill="1" applyBorder="1" applyAlignment="1">
      <alignment horizontal="center" vertical="center"/>
    </xf>
    <xf numFmtId="0" fontId="50" fillId="3" borderId="10" xfId="3" applyFont="1" applyFill="1" applyBorder="1" applyAlignment="1">
      <alignment horizontal="center" vertical="center"/>
    </xf>
    <xf numFmtId="0" fontId="50" fillId="3" borderId="10" xfId="0" applyFont="1" applyFill="1" applyBorder="1" applyAlignment="1">
      <alignment horizontal="center" vertical="center" wrapText="1"/>
    </xf>
    <xf numFmtId="0" fontId="32" fillId="0" borderId="0" xfId="29" applyFont="1" applyBorder="1"/>
    <xf numFmtId="0" fontId="51" fillId="0" borderId="0" xfId="45" applyFont="1" applyAlignment="1">
      <alignment vertical="center" wrapText="1"/>
    </xf>
    <xf numFmtId="0" fontId="84" fillId="0" borderId="0" xfId="45" applyFont="1" applyBorder="1" applyAlignment="1">
      <alignment horizontal="center" vertical="center"/>
    </xf>
    <xf numFmtId="0" fontId="103" fillId="0" borderId="0" xfId="45" applyFont="1" applyBorder="1" applyAlignment="1">
      <alignment horizontal="center" vertical="center" wrapText="1"/>
    </xf>
    <xf numFmtId="3" fontId="126" fillId="0" borderId="0" xfId="45" applyNumberFormat="1" applyFont="1" applyBorder="1" applyAlignment="1">
      <alignment horizontal="right" vertical="center"/>
    </xf>
    <xf numFmtId="3" fontId="130" fillId="0" borderId="0" xfId="45" applyNumberFormat="1" applyFont="1" applyBorder="1" applyAlignment="1">
      <alignment horizontal="right" vertical="center"/>
    </xf>
    <xf numFmtId="3" fontId="129" fillId="0" borderId="0" xfId="45" applyNumberFormat="1" applyFont="1" applyBorder="1" applyAlignment="1">
      <alignment horizontal="right" vertical="center"/>
    </xf>
    <xf numFmtId="3" fontId="132" fillId="0" borderId="0" xfId="45" applyNumberFormat="1" applyFont="1" applyBorder="1" applyAlignment="1">
      <alignment horizontal="right" vertical="center"/>
    </xf>
    <xf numFmtId="0" fontId="50" fillId="0" borderId="0" xfId="45" applyFont="1" applyBorder="1" applyAlignment="1">
      <alignment horizontal="center" vertical="center" wrapText="1"/>
    </xf>
    <xf numFmtId="3" fontId="54" fillId="0" borderId="0" xfId="45" applyNumberFormat="1" applyFont="1" applyBorder="1" applyAlignment="1">
      <alignment horizontal="right" vertical="center" indent="1"/>
    </xf>
    <xf numFmtId="3" fontId="57" fillId="0" borderId="0" xfId="45" applyNumberFormat="1" applyFont="1" applyBorder="1" applyAlignment="1">
      <alignment horizontal="right" vertical="center" indent="1"/>
    </xf>
    <xf numFmtId="164" fontId="270" fillId="0" borderId="0" xfId="27" applyNumberFormat="1" applyFont="1" applyAlignment="1">
      <alignment horizontal="center" vertical="center"/>
    </xf>
    <xf numFmtId="164" fontId="271" fillId="0" borderId="0" xfId="27" applyNumberFormat="1" applyFont="1" applyAlignment="1">
      <alignment horizontal="center" vertical="center"/>
    </xf>
    <xf numFmtId="164" fontId="42" fillId="0" borderId="0" xfId="27" applyNumberFormat="1" applyFont="1" applyAlignment="1">
      <alignment horizontal="center" vertical="center"/>
    </xf>
    <xf numFmtId="164" fontId="272" fillId="0" borderId="0" xfId="27" applyNumberFormat="1" applyFont="1" applyAlignment="1">
      <alignment horizontal="center" vertical="center"/>
    </xf>
    <xf numFmtId="164" fontId="273" fillId="0" borderId="0" xfId="27" applyNumberFormat="1" applyFont="1" applyAlignment="1">
      <alignment horizontal="center" vertical="center"/>
    </xf>
    <xf numFmtId="164" fontId="41" fillId="0" borderId="0" xfId="27" applyNumberFormat="1" applyFont="1" applyAlignment="1">
      <alignment horizontal="center" vertical="center"/>
    </xf>
    <xf numFmtId="164" fontId="270" fillId="0" borderId="84" xfId="27" applyNumberFormat="1" applyFont="1" applyBorder="1" applyAlignment="1">
      <alignment horizontal="center" vertical="center"/>
    </xf>
    <xf numFmtId="164" fontId="271" fillId="0" borderId="84" xfId="27" applyNumberFormat="1" applyFont="1" applyBorder="1" applyAlignment="1">
      <alignment horizontal="center" vertical="center"/>
    </xf>
    <xf numFmtId="164" fontId="42" fillId="0" borderId="84" xfId="45" applyNumberFormat="1" applyFont="1" applyBorder="1" applyAlignment="1">
      <alignment horizontal="center" vertical="center"/>
    </xf>
    <xf numFmtId="164" fontId="272" fillId="0" borderId="84" xfId="45" applyNumberFormat="1" applyFont="1" applyBorder="1" applyAlignment="1">
      <alignment horizontal="center" vertical="center"/>
    </xf>
    <xf numFmtId="164" fontId="273" fillId="0" borderId="84" xfId="27" applyNumberFormat="1" applyFont="1" applyBorder="1" applyAlignment="1">
      <alignment horizontal="center" vertical="center"/>
    </xf>
    <xf numFmtId="164" fontId="41" fillId="0" borderId="84" xfId="45" applyNumberFormat="1" applyFont="1" applyBorder="1" applyAlignment="1">
      <alignment horizontal="center" vertical="center"/>
    </xf>
    <xf numFmtId="0" fontId="0" fillId="0" borderId="0" xfId="45" applyFont="1" applyAlignment="1">
      <alignment horizontal="right"/>
    </xf>
    <xf numFmtId="0" fontId="234" fillId="0" borderId="0" xfId="45" applyFont="1" applyAlignment="1">
      <alignment horizontal="right"/>
    </xf>
    <xf numFmtId="0" fontId="235" fillId="0" borderId="0" xfId="45" applyFont="1" applyAlignment="1">
      <alignment horizontal="right"/>
    </xf>
    <xf numFmtId="0" fontId="168" fillId="0" borderId="0" xfId="45" applyFont="1" applyAlignment="1">
      <alignment horizontal="right"/>
    </xf>
    <xf numFmtId="0" fontId="113" fillId="0" borderId="0" xfId="45" applyFont="1" applyAlignment="1">
      <alignment horizontal="right"/>
    </xf>
    <xf numFmtId="0" fontId="161" fillId="0" borderId="0" xfId="45" applyFont="1" applyAlignment="1">
      <alignment horizontal="right"/>
    </xf>
    <xf numFmtId="0" fontId="275" fillId="0" borderId="0" xfId="2" applyFont="1" applyAlignment="1">
      <alignment horizontal="right" vertical="center"/>
    </xf>
    <xf numFmtId="3" fontId="32" fillId="0" borderId="80" xfId="0" applyNumberFormat="1" applyFont="1" applyBorder="1" applyAlignment="1">
      <alignment horizontal="right" vertical="center" indent="1"/>
    </xf>
    <xf numFmtId="3" fontId="32" fillId="0" borderId="70" xfId="0" applyNumberFormat="1" applyFont="1" applyBorder="1" applyAlignment="1">
      <alignment horizontal="right" vertical="center" indent="1"/>
    </xf>
    <xf numFmtId="3" fontId="32" fillId="0" borderId="105" xfId="0" applyNumberFormat="1" applyFont="1" applyBorder="1" applyAlignment="1">
      <alignment horizontal="right" vertical="center" indent="1"/>
    </xf>
    <xf numFmtId="3" fontId="32" fillId="0" borderId="25" xfId="0" applyNumberFormat="1" applyFont="1" applyBorder="1" applyAlignment="1">
      <alignment horizontal="right" vertical="center" indent="1"/>
    </xf>
    <xf numFmtId="3" fontId="32" fillId="0" borderId="81" xfId="0" applyNumberFormat="1" applyFont="1" applyBorder="1" applyAlignment="1">
      <alignment horizontal="right" vertical="center" indent="1"/>
    </xf>
    <xf numFmtId="3" fontId="32" fillId="0" borderId="73" xfId="0" applyNumberFormat="1" applyFont="1" applyBorder="1" applyAlignment="1">
      <alignment horizontal="right" vertical="center" indent="1"/>
    </xf>
    <xf numFmtId="3" fontId="32" fillId="0" borderId="106" xfId="0" applyNumberFormat="1" applyFont="1" applyBorder="1" applyAlignment="1">
      <alignment horizontal="right" vertical="center" indent="1"/>
    </xf>
    <xf numFmtId="3" fontId="32" fillId="19" borderId="81" xfId="0" applyNumberFormat="1" applyFont="1" applyFill="1" applyBorder="1" applyAlignment="1">
      <alignment horizontal="right" vertical="center" indent="1"/>
    </xf>
    <xf numFmtId="3" fontId="32" fillId="19" borderId="73" xfId="0" applyNumberFormat="1" applyFont="1" applyFill="1" applyBorder="1" applyAlignment="1">
      <alignment horizontal="right" vertical="center" indent="1"/>
    </xf>
    <xf numFmtId="3" fontId="32" fillId="19" borderId="106" xfId="0" applyNumberFormat="1" applyFont="1" applyFill="1" applyBorder="1" applyAlignment="1">
      <alignment horizontal="right" vertical="center" indent="1"/>
    </xf>
    <xf numFmtId="3" fontId="32" fillId="19" borderId="49" xfId="0" applyNumberFormat="1" applyFont="1" applyFill="1" applyBorder="1" applyAlignment="1">
      <alignment horizontal="right" vertical="center" indent="1"/>
    </xf>
    <xf numFmtId="3" fontId="22" fillId="0" borderId="81" xfId="0" applyNumberFormat="1" applyFont="1" applyBorder="1" applyAlignment="1">
      <alignment horizontal="right" vertical="center" indent="1"/>
    </xf>
    <xf numFmtId="3" fontId="22" fillId="0" borderId="73" xfId="0" applyNumberFormat="1" applyFont="1" applyBorder="1" applyAlignment="1">
      <alignment horizontal="right" vertical="center" indent="1"/>
    </xf>
    <xf numFmtId="3" fontId="22" fillId="0" borderId="49" xfId="0" applyNumberFormat="1" applyFont="1" applyBorder="1" applyAlignment="1">
      <alignment horizontal="right" vertical="center" indent="1"/>
    </xf>
    <xf numFmtId="3" fontId="22" fillId="19" borderId="81" xfId="0" applyNumberFormat="1" applyFont="1" applyFill="1" applyBorder="1" applyAlignment="1">
      <alignment horizontal="right" vertical="center" indent="1"/>
    </xf>
    <xf numFmtId="3" fontId="22" fillId="19" borderId="73" xfId="0" applyNumberFormat="1" applyFont="1" applyFill="1" applyBorder="1" applyAlignment="1">
      <alignment horizontal="right" vertical="center" indent="1"/>
    </xf>
    <xf numFmtId="3" fontId="22" fillId="19" borderId="49" xfId="0" applyNumberFormat="1" applyFont="1" applyFill="1" applyBorder="1" applyAlignment="1">
      <alignment horizontal="right" vertical="center" indent="1"/>
    </xf>
    <xf numFmtId="3" fontId="32" fillId="0" borderId="81" xfId="0" applyNumberFormat="1" applyFont="1" applyFill="1" applyBorder="1" applyAlignment="1">
      <alignment horizontal="right" vertical="center" indent="1"/>
    </xf>
    <xf numFmtId="3" fontId="32" fillId="0" borderId="73" xfId="0" applyNumberFormat="1" applyFont="1" applyFill="1" applyBorder="1" applyAlignment="1">
      <alignment horizontal="right" vertical="center" indent="1"/>
    </xf>
    <xf numFmtId="3" fontId="32" fillId="0" borderId="106" xfId="0" applyNumberFormat="1" applyFont="1" applyFill="1" applyBorder="1" applyAlignment="1">
      <alignment horizontal="right" vertical="center" indent="1"/>
    </xf>
    <xf numFmtId="3" fontId="32" fillId="0" borderId="49" xfId="0" applyNumberFormat="1" applyFont="1" applyFill="1" applyBorder="1" applyAlignment="1">
      <alignment horizontal="right" vertical="center" indent="1"/>
    </xf>
    <xf numFmtId="3" fontId="32" fillId="18" borderId="81" xfId="0" applyNumberFormat="1" applyFont="1" applyFill="1" applyBorder="1" applyAlignment="1">
      <alignment horizontal="right" vertical="center" indent="1"/>
    </xf>
    <xf numFmtId="3" fontId="32" fillId="18" borderId="73" xfId="0" applyNumberFormat="1" applyFont="1" applyFill="1" applyBorder="1" applyAlignment="1">
      <alignment horizontal="right" vertical="center" indent="1"/>
    </xf>
    <xf numFmtId="3" fontId="32" fillId="18" borderId="106" xfId="0" applyNumberFormat="1" applyFont="1" applyFill="1" applyBorder="1" applyAlignment="1">
      <alignment horizontal="right" vertical="center" indent="1"/>
    </xf>
    <xf numFmtId="3" fontId="32" fillId="18" borderId="49" xfId="0" applyNumberFormat="1" applyFont="1" applyFill="1" applyBorder="1" applyAlignment="1">
      <alignment horizontal="right" vertical="center" indent="1"/>
    </xf>
    <xf numFmtId="3" fontId="22" fillId="18" borderId="81" xfId="0" applyNumberFormat="1" applyFont="1" applyFill="1" applyBorder="1" applyAlignment="1">
      <alignment horizontal="right" vertical="center" indent="1"/>
    </xf>
    <xf numFmtId="3" fontId="22" fillId="18" borderId="73" xfId="0" applyNumberFormat="1" applyFont="1" applyFill="1" applyBorder="1" applyAlignment="1">
      <alignment horizontal="right" vertical="center" indent="1"/>
    </xf>
    <xf numFmtId="3" fontId="22" fillId="18" borderId="49" xfId="0" applyNumberFormat="1" applyFont="1" applyFill="1" applyBorder="1" applyAlignment="1">
      <alignment horizontal="right" vertical="center" indent="1"/>
    </xf>
    <xf numFmtId="3" fontId="22" fillId="3" borderId="81" xfId="0" applyNumberFormat="1" applyFont="1" applyFill="1" applyBorder="1" applyAlignment="1">
      <alignment horizontal="right" vertical="center" indent="1"/>
    </xf>
    <xf numFmtId="3" fontId="22" fillId="3" borderId="73" xfId="0" applyNumberFormat="1" applyFont="1" applyFill="1" applyBorder="1" applyAlignment="1">
      <alignment horizontal="right" vertical="center" indent="1"/>
    </xf>
    <xf numFmtId="3" fontId="32" fillId="3" borderId="106" xfId="0" applyNumberFormat="1" applyFont="1" applyFill="1" applyBorder="1" applyAlignment="1">
      <alignment horizontal="right" vertical="center" indent="1"/>
    </xf>
    <xf numFmtId="3" fontId="22" fillId="3" borderId="49" xfId="0" applyNumberFormat="1" applyFont="1" applyFill="1" applyBorder="1" applyAlignment="1">
      <alignment horizontal="right" vertical="center" indent="1"/>
    </xf>
    <xf numFmtId="3" fontId="22" fillId="3" borderId="108" xfId="0" applyNumberFormat="1" applyFont="1" applyFill="1" applyBorder="1" applyAlignment="1">
      <alignment horizontal="right" vertical="center" indent="1"/>
    </xf>
    <xf numFmtId="3" fontId="22" fillId="3" borderId="79" xfId="0" applyNumberFormat="1" applyFont="1" applyFill="1" applyBorder="1" applyAlignment="1">
      <alignment horizontal="right" vertical="center" indent="1"/>
    </xf>
    <xf numFmtId="3" fontId="32" fillId="3" borderId="148" xfId="0" applyNumberFormat="1" applyFont="1" applyFill="1" applyBorder="1" applyAlignment="1">
      <alignment horizontal="right" vertical="center" indent="1"/>
    </xf>
    <xf numFmtId="3" fontId="22" fillId="3" borderId="53" xfId="0" applyNumberFormat="1" applyFont="1" applyFill="1" applyBorder="1" applyAlignment="1">
      <alignment horizontal="right" vertical="center" indent="1"/>
    </xf>
    <xf numFmtId="3" fontId="22" fillId="0" borderId="82" xfId="0" applyNumberFormat="1" applyFont="1" applyFill="1" applyBorder="1" applyAlignment="1">
      <alignment horizontal="right" vertical="center" indent="1"/>
    </xf>
    <xf numFmtId="3" fontId="22" fillId="0" borderId="75" xfId="0" applyNumberFormat="1" applyFont="1" applyFill="1" applyBorder="1" applyAlignment="1">
      <alignment horizontal="right" vertical="center" indent="1"/>
    </xf>
    <xf numFmtId="3" fontId="32" fillId="0" borderId="107" xfId="0" applyNumberFormat="1" applyFont="1" applyFill="1" applyBorder="1" applyAlignment="1">
      <alignment horizontal="right" vertical="center" indent="1"/>
    </xf>
    <xf numFmtId="3" fontId="22" fillId="0" borderId="57" xfId="0" applyNumberFormat="1" applyFont="1" applyFill="1" applyBorder="1" applyAlignment="1">
      <alignment horizontal="right" vertical="center" indent="1"/>
    </xf>
    <xf numFmtId="3" fontId="25" fillId="0" borderId="8" xfId="34" applyNumberFormat="1" applyFont="1" applyFill="1" applyBorder="1" applyAlignment="1">
      <alignment horizontal="right" vertical="center" wrapText="1" indent="1"/>
    </xf>
    <xf numFmtId="3" fontId="25" fillId="0" borderId="60" xfId="34" applyNumberFormat="1" applyFont="1" applyFill="1" applyBorder="1" applyAlignment="1">
      <alignment horizontal="right" vertical="center" wrapText="1" indent="1"/>
    </xf>
    <xf numFmtId="3" fontId="25" fillId="0" borderId="2" xfId="34" applyNumberFormat="1" applyFont="1" applyFill="1" applyBorder="1" applyAlignment="1">
      <alignment horizontal="right" vertical="center" wrapText="1" indent="1"/>
    </xf>
    <xf numFmtId="3" fontId="25" fillId="0" borderId="220" xfId="34" applyNumberFormat="1" applyFont="1" applyFill="1" applyBorder="1" applyAlignment="1">
      <alignment horizontal="right" vertical="center" wrapText="1" indent="1"/>
    </xf>
    <xf numFmtId="3" fontId="25" fillId="0" borderId="285" xfId="34" applyNumberFormat="1" applyFont="1" applyFill="1" applyBorder="1" applyAlignment="1">
      <alignment horizontal="right" vertical="center" wrapText="1" indent="1"/>
    </xf>
    <xf numFmtId="3" fontId="24" fillId="0" borderId="49" xfId="0" applyNumberFormat="1" applyFont="1" applyBorder="1" applyAlignment="1">
      <alignment horizontal="right" vertical="center" indent="1"/>
    </xf>
    <xf numFmtId="3" fontId="24" fillId="0" borderId="81" xfId="0" applyNumberFormat="1" applyFont="1" applyBorder="1" applyAlignment="1">
      <alignment horizontal="right" vertical="center" indent="1"/>
    </xf>
    <xf numFmtId="3" fontId="11" fillId="0" borderId="106" xfId="0" applyNumberFormat="1" applyFont="1" applyBorder="1" applyAlignment="1">
      <alignment horizontal="right" vertical="center" indent="1"/>
    </xf>
    <xf numFmtId="3" fontId="22" fillId="0" borderId="25" xfId="34" applyNumberFormat="1" applyBorder="1" applyAlignment="1">
      <alignment horizontal="right" vertical="center" indent="1"/>
    </xf>
    <xf numFmtId="0" fontId="24" fillId="0" borderId="70" xfId="0" applyFont="1" applyBorder="1" applyAlignment="1">
      <alignment vertical="center" wrapText="1"/>
    </xf>
    <xf numFmtId="0" fontId="24" fillId="0" borderId="105" xfId="0" applyFont="1" applyBorder="1" applyAlignment="1">
      <alignment horizontal="center" vertical="center" wrapText="1"/>
    </xf>
    <xf numFmtId="0" fontId="47" fillId="0" borderId="0" xfId="0" applyFont="1" applyAlignment="1">
      <alignment vertical="top" wrapText="1"/>
    </xf>
    <xf numFmtId="3" fontId="32" fillId="0" borderId="50" xfId="49" applyNumberFormat="1" applyFont="1" applyBorder="1" applyAlignment="1">
      <alignment horizontal="right" vertical="center" indent="1"/>
    </xf>
    <xf numFmtId="175" fontId="52" fillId="0" borderId="195" xfId="44" applyNumberFormat="1" applyFont="1" applyBorder="1" applyAlignment="1">
      <alignment vertical="center"/>
    </xf>
    <xf numFmtId="175" fontId="53" fillId="0" borderId="196" xfId="44" applyNumberFormat="1" applyFont="1" applyBorder="1" applyAlignment="1">
      <alignment vertical="center"/>
    </xf>
    <xf numFmtId="175" fontId="52" fillId="0" borderId="0" xfId="44" applyNumberFormat="1" applyFont="1" applyAlignment="1">
      <alignment vertical="center"/>
    </xf>
    <xf numFmtId="175" fontId="53" fillId="0" borderId="36" xfId="44" applyNumberFormat="1" applyFont="1" applyBorder="1" applyAlignment="1">
      <alignment vertical="center"/>
    </xf>
    <xf numFmtId="175" fontId="58" fillId="3" borderId="216" xfId="44" applyNumberFormat="1" applyFont="1" applyFill="1" applyBorder="1" applyAlignment="1">
      <alignment vertical="center"/>
    </xf>
    <xf numFmtId="175" fontId="58" fillId="3" borderId="217" xfId="44" applyNumberFormat="1" applyFont="1" applyFill="1" applyBorder="1" applyAlignment="1">
      <alignment vertical="center"/>
    </xf>
    <xf numFmtId="175" fontId="58" fillId="3" borderId="218" xfId="44" applyNumberFormat="1" applyFont="1" applyFill="1" applyBorder="1" applyAlignment="1">
      <alignment vertical="center"/>
    </xf>
    <xf numFmtId="166" fontId="52" fillId="0" borderId="195" xfId="44" applyNumberFormat="1" applyFont="1" applyBorder="1" applyAlignment="1">
      <alignment vertical="center"/>
    </xf>
    <xf numFmtId="166" fontId="53" fillId="0" borderId="196" xfId="44" applyNumberFormat="1" applyFont="1" applyBorder="1" applyAlignment="1">
      <alignment vertical="center"/>
    </xf>
    <xf numFmtId="166" fontId="52" fillId="0" borderId="0" xfId="44" applyNumberFormat="1" applyFont="1" applyAlignment="1">
      <alignment vertical="center"/>
    </xf>
    <xf numFmtId="166" fontId="53" fillId="0" borderId="36" xfId="44" applyNumberFormat="1" applyFont="1" applyBorder="1" applyAlignment="1">
      <alignment vertical="center"/>
    </xf>
    <xf numFmtId="166" fontId="58" fillId="3" borderId="216" xfId="44" applyNumberFormat="1" applyFont="1" applyFill="1" applyBorder="1" applyAlignment="1">
      <alignment vertical="center"/>
    </xf>
    <xf numFmtId="166" fontId="58" fillId="3" borderId="217" xfId="44" applyNumberFormat="1" applyFont="1" applyFill="1" applyBorder="1" applyAlignment="1">
      <alignment vertical="center"/>
    </xf>
    <xf numFmtId="166" fontId="58" fillId="3" borderId="218" xfId="44" applyNumberFormat="1" applyFont="1" applyFill="1" applyBorder="1" applyAlignment="1">
      <alignment vertical="center"/>
    </xf>
    <xf numFmtId="168" fontId="32" fillId="0" borderId="212" xfId="46" applyNumberFormat="1" applyFont="1" applyBorder="1" applyAlignment="1">
      <alignment horizontal="right" vertical="center"/>
    </xf>
    <xf numFmtId="168" fontId="32" fillId="0" borderId="50" xfId="46" applyNumberFormat="1" applyFont="1" applyBorder="1" applyAlignment="1">
      <alignment horizontal="right" vertical="center"/>
    </xf>
    <xf numFmtId="170" fontId="32" fillId="0" borderId="50" xfId="46" applyNumberFormat="1" applyFont="1" applyBorder="1" applyAlignment="1">
      <alignment horizontal="right" vertical="center"/>
    </xf>
    <xf numFmtId="170" fontId="32" fillId="0" borderId="51" xfId="46" applyNumberFormat="1" applyFont="1" applyBorder="1" applyAlignment="1">
      <alignment horizontal="right" vertical="center"/>
    </xf>
    <xf numFmtId="170" fontId="32" fillId="0" borderId="212" xfId="46" applyNumberFormat="1" applyFont="1" applyBorder="1" applyAlignment="1">
      <alignment horizontal="right" vertical="center"/>
    </xf>
    <xf numFmtId="170" fontId="32" fillId="0" borderId="172" xfId="46" applyNumberFormat="1" applyFont="1" applyBorder="1" applyAlignment="1">
      <alignment horizontal="right" vertical="center"/>
    </xf>
    <xf numFmtId="170" fontId="32" fillId="0" borderId="171" xfId="46" applyNumberFormat="1" applyFont="1" applyBorder="1" applyAlignment="1">
      <alignment horizontal="right" vertical="center"/>
    </xf>
    <xf numFmtId="170" fontId="32" fillId="0" borderId="49" xfId="46" applyNumberFormat="1" applyFont="1" applyBorder="1" applyAlignment="1">
      <alignment horizontal="right" vertical="center"/>
    </xf>
    <xf numFmtId="170" fontId="58" fillId="3" borderId="57" xfId="46" applyNumberFormat="1" applyFont="1" applyFill="1" applyBorder="1" applyAlignment="1">
      <alignment horizontal="right" vertical="center"/>
    </xf>
    <xf numFmtId="170" fontId="58" fillId="3" borderId="58" xfId="46" applyNumberFormat="1" applyFont="1" applyFill="1" applyBorder="1" applyAlignment="1">
      <alignment horizontal="right" vertical="center"/>
    </xf>
    <xf numFmtId="170" fontId="58" fillId="3" borderId="59" xfId="46" applyNumberFormat="1" applyFont="1" applyFill="1" applyBorder="1" applyAlignment="1">
      <alignment horizontal="right" vertical="center"/>
    </xf>
    <xf numFmtId="168" fontId="32" fillId="0" borderId="172" xfId="46" applyNumberFormat="1" applyFont="1" applyBorder="1" applyAlignment="1">
      <alignment horizontal="right" vertical="center"/>
    </xf>
    <xf numFmtId="168" fontId="32" fillId="0" borderId="51" xfId="46" applyNumberFormat="1" applyFont="1" applyBorder="1" applyAlignment="1">
      <alignment horizontal="right" vertical="center"/>
    </xf>
    <xf numFmtId="168" fontId="57" fillId="3" borderId="58" xfId="46" applyNumberFormat="1" applyFont="1" applyFill="1" applyBorder="1" applyAlignment="1">
      <alignment horizontal="right" vertical="center"/>
    </xf>
    <xf numFmtId="168" fontId="57" fillId="3" borderId="59" xfId="46" applyNumberFormat="1" applyFont="1" applyFill="1" applyBorder="1" applyAlignment="1">
      <alignment horizontal="right" vertical="center"/>
    </xf>
    <xf numFmtId="168" fontId="55" fillId="3" borderId="58" xfId="46" applyNumberFormat="1" applyFont="1" applyFill="1" applyBorder="1" applyAlignment="1">
      <alignment horizontal="right" vertical="center"/>
    </xf>
    <xf numFmtId="168" fontId="55" fillId="3" borderId="59" xfId="46" applyNumberFormat="1" applyFont="1" applyFill="1" applyBorder="1" applyAlignment="1">
      <alignment horizontal="right" vertical="center"/>
    </xf>
    <xf numFmtId="176" fontId="32" fillId="0" borderId="212" xfId="46" applyNumberFormat="1" applyFont="1" applyBorder="1" applyAlignment="1">
      <alignment horizontal="right" vertical="center"/>
    </xf>
    <xf numFmtId="176" fontId="32" fillId="0" borderId="172" xfId="46" applyNumberFormat="1" applyFont="1" applyBorder="1" applyAlignment="1">
      <alignment horizontal="right" vertical="center"/>
    </xf>
    <xf numFmtId="176" fontId="32" fillId="0" borderId="50" xfId="46" applyNumberFormat="1" applyFont="1" applyBorder="1" applyAlignment="1">
      <alignment horizontal="right" vertical="center"/>
    </xf>
    <xf numFmtId="176" fontId="32" fillId="0" borderId="51" xfId="46" applyNumberFormat="1" applyFont="1" applyBorder="1" applyAlignment="1">
      <alignment horizontal="right" vertical="center"/>
    </xf>
    <xf numFmtId="176" fontId="57" fillId="3" borderId="58" xfId="46" applyNumberFormat="1" applyFont="1" applyFill="1" applyBorder="1" applyAlignment="1">
      <alignment horizontal="right" vertical="center"/>
    </xf>
    <xf numFmtId="176" fontId="57" fillId="3" borderId="59" xfId="46" applyNumberFormat="1" applyFont="1" applyFill="1" applyBorder="1" applyAlignment="1">
      <alignment horizontal="right" vertical="center"/>
    </xf>
    <xf numFmtId="176" fontId="55" fillId="3" borderId="58" xfId="46" applyNumberFormat="1" applyFont="1" applyFill="1" applyBorder="1" applyAlignment="1">
      <alignment horizontal="right" vertical="center"/>
    </xf>
    <xf numFmtId="176" fontId="55" fillId="3" borderId="59" xfId="46" applyNumberFormat="1" applyFont="1" applyFill="1" applyBorder="1" applyAlignment="1">
      <alignment horizontal="right" vertical="center"/>
    </xf>
    <xf numFmtId="176" fontId="56" fillId="3" borderId="58" xfId="46" applyNumberFormat="1" applyFont="1" applyFill="1" applyBorder="1" applyAlignment="1">
      <alignment horizontal="right" vertical="center"/>
    </xf>
    <xf numFmtId="176" fontId="56" fillId="3" borderId="59" xfId="46" applyNumberFormat="1" applyFont="1" applyFill="1" applyBorder="1" applyAlignment="1">
      <alignment horizontal="right" vertical="center"/>
    </xf>
    <xf numFmtId="176" fontId="32" fillId="0" borderId="171" xfId="46" applyNumberFormat="1" applyFont="1" applyBorder="1" applyAlignment="1">
      <alignment horizontal="right" vertical="center"/>
    </xf>
    <xf numFmtId="176" fontId="32" fillId="0" borderId="49" xfId="46" applyNumberFormat="1" applyFont="1" applyBorder="1" applyAlignment="1">
      <alignment horizontal="right" vertical="center"/>
    </xf>
    <xf numFmtId="176" fontId="52" fillId="0" borderId="171" xfId="52" applyNumberFormat="1" applyFont="1" applyBorder="1" applyAlignment="1">
      <alignment horizontal="center" vertical="center" wrapText="1"/>
    </xf>
    <xf numFmtId="176" fontId="52" fillId="0" borderId="212" xfId="52" applyNumberFormat="1" applyFont="1" applyBorder="1" applyAlignment="1">
      <alignment horizontal="center" vertical="center" wrapText="1"/>
    </xf>
    <xf numFmtId="176" fontId="52" fillId="0" borderId="188" xfId="52" applyNumberFormat="1" applyFont="1" applyBorder="1" applyAlignment="1">
      <alignment horizontal="center" vertical="center" wrapText="1"/>
    </xf>
    <xf numFmtId="176" fontId="52" fillId="0" borderId="49" xfId="52" applyNumberFormat="1" applyFont="1" applyBorder="1" applyAlignment="1">
      <alignment horizontal="center" vertical="center" wrapText="1"/>
    </xf>
    <xf numFmtId="176" fontId="52" fillId="0" borderId="50" xfId="52" applyNumberFormat="1" applyFont="1" applyBorder="1" applyAlignment="1">
      <alignment horizontal="center" vertical="center" wrapText="1"/>
    </xf>
    <xf numFmtId="176" fontId="52" fillId="0" borderId="81" xfId="52" applyNumberFormat="1" applyFont="1" applyBorder="1" applyAlignment="1">
      <alignment horizontal="center" vertical="center" wrapText="1"/>
    </xf>
    <xf numFmtId="176" fontId="53" fillId="3" borderId="49" xfId="52" applyNumberFormat="1" applyFont="1" applyFill="1" applyBorder="1" applyAlignment="1">
      <alignment horizontal="center" vertical="center" wrapText="1"/>
    </xf>
    <xf numFmtId="176" fontId="53" fillId="3" borderId="50" xfId="52" applyNumberFormat="1" applyFont="1" applyFill="1" applyBorder="1" applyAlignment="1">
      <alignment horizontal="center" vertical="center" wrapText="1"/>
    </xf>
    <xf numFmtId="176" fontId="53" fillId="3" borderId="81" xfId="52" applyNumberFormat="1" applyFont="1" applyFill="1" applyBorder="1" applyAlignment="1">
      <alignment horizontal="center" vertical="center" wrapText="1"/>
    </xf>
    <xf numFmtId="176" fontId="53" fillId="3" borderId="53" xfId="52" applyNumberFormat="1" applyFont="1" applyFill="1" applyBorder="1" applyAlignment="1">
      <alignment horizontal="center" vertical="center"/>
    </xf>
    <xf numFmtId="176" fontId="53" fillId="3" borderId="54" xfId="52" applyNumberFormat="1" applyFont="1" applyFill="1" applyBorder="1" applyAlignment="1">
      <alignment horizontal="center" vertical="center"/>
    </xf>
    <xf numFmtId="176" fontId="53" fillId="3" borderId="108" xfId="52" applyNumberFormat="1" applyFont="1" applyFill="1" applyBorder="1" applyAlignment="1">
      <alignment horizontal="center" vertical="center"/>
    </xf>
    <xf numFmtId="176" fontId="54" fillId="0" borderId="60" xfId="52" applyNumberFormat="1" applyFont="1" applyBorder="1" applyAlignment="1">
      <alignment horizontal="center" vertical="center"/>
    </xf>
    <xf numFmtId="176" fontId="54" fillId="0" borderId="2" xfId="52" applyNumberFormat="1" applyFont="1" applyBorder="1" applyAlignment="1">
      <alignment horizontal="center" vertical="center"/>
    </xf>
    <xf numFmtId="176" fontId="54" fillId="0" borderId="69" xfId="52" applyNumberFormat="1" applyFont="1" applyBorder="1" applyAlignment="1">
      <alignment horizontal="center" vertical="center"/>
    </xf>
    <xf numFmtId="176" fontId="53" fillId="3" borderId="49" xfId="52" applyNumberFormat="1" applyFont="1" applyFill="1" applyBorder="1" applyAlignment="1">
      <alignment horizontal="center" vertical="center"/>
    </xf>
    <xf numFmtId="176" fontId="53" fillId="3" borderId="50" xfId="52" applyNumberFormat="1" applyFont="1" applyFill="1" applyBorder="1" applyAlignment="1">
      <alignment horizontal="center" vertical="center"/>
    </xf>
    <xf numFmtId="176" fontId="53" fillId="3" borderId="81" xfId="52" applyNumberFormat="1" applyFont="1" applyFill="1" applyBorder="1" applyAlignment="1">
      <alignment horizontal="center" vertical="center"/>
    </xf>
    <xf numFmtId="176" fontId="57" fillId="0" borderId="60" xfId="52" applyNumberFormat="1" applyFont="1" applyBorder="1" applyAlignment="1">
      <alignment horizontal="center" vertical="center"/>
    </xf>
    <xf numFmtId="176" fontId="57" fillId="0" borderId="2" xfId="52" applyNumberFormat="1" applyFont="1" applyBorder="1" applyAlignment="1">
      <alignment horizontal="center" vertical="center"/>
    </xf>
    <xf numFmtId="176" fontId="57" fillId="0" borderId="69" xfId="52" applyNumberFormat="1" applyFont="1" applyBorder="1" applyAlignment="1">
      <alignment horizontal="center" vertical="center"/>
    </xf>
    <xf numFmtId="176" fontId="55" fillId="0" borderId="60" xfId="52" applyNumberFormat="1" applyFont="1" applyBorder="1" applyAlignment="1">
      <alignment horizontal="center" vertical="center" wrapText="1"/>
    </xf>
    <xf numFmtId="176" fontId="55" fillId="0" borderId="2" xfId="52" applyNumberFormat="1" applyFont="1" applyBorder="1" applyAlignment="1">
      <alignment horizontal="center" vertical="center" wrapText="1"/>
    </xf>
    <xf numFmtId="176" fontId="55" fillId="0" borderId="69" xfId="52" applyNumberFormat="1" applyFont="1" applyBorder="1" applyAlignment="1">
      <alignment horizontal="center" vertical="center" wrapText="1"/>
    </xf>
    <xf numFmtId="176" fontId="58" fillId="0" borderId="60" xfId="52" applyNumberFormat="1" applyFont="1" applyBorder="1" applyAlignment="1">
      <alignment horizontal="center" vertical="center" wrapText="1"/>
    </xf>
    <xf numFmtId="176" fontId="58" fillId="0" borderId="2" xfId="52" applyNumberFormat="1" applyFont="1" applyBorder="1" applyAlignment="1">
      <alignment horizontal="center" vertical="center" wrapText="1"/>
    </xf>
    <xf numFmtId="176" fontId="58" fillId="0" borderId="69" xfId="52" applyNumberFormat="1" applyFont="1" applyBorder="1" applyAlignment="1">
      <alignment horizontal="center" vertical="center" wrapText="1"/>
    </xf>
    <xf numFmtId="0" fontId="0" fillId="2" borderId="50" xfId="0" applyFill="1" applyBorder="1"/>
    <xf numFmtId="3" fontId="135" fillId="0" borderId="0" xfId="0" applyNumberFormat="1" applyFont="1" applyAlignment="1">
      <alignment horizontal="left"/>
    </xf>
    <xf numFmtId="1" fontId="56" fillId="0" borderId="304" xfId="3" applyNumberFormat="1" applyFont="1" applyBorder="1" applyAlignment="1">
      <alignment horizontal="right" vertical="center"/>
    </xf>
    <xf numFmtId="0" fontId="241" fillId="0" borderId="0" xfId="45" applyFont="1"/>
    <xf numFmtId="0" fontId="196" fillId="0" borderId="2" xfId="45" applyBorder="1"/>
    <xf numFmtId="0" fontId="47" fillId="0" borderId="2" xfId="45" applyFont="1" applyBorder="1" applyAlignment="1">
      <alignment horizontal="center"/>
    </xf>
    <xf numFmtId="0" fontId="278" fillId="0" borderId="0" xfId="2" applyFont="1" applyAlignment="1">
      <alignment vertical="center"/>
    </xf>
    <xf numFmtId="0" fontId="115" fillId="0" borderId="0" xfId="2" applyFont="1"/>
    <xf numFmtId="0" fontId="115" fillId="0" borderId="0" xfId="2" applyFont="1" applyAlignment="1">
      <alignment vertical="center"/>
    </xf>
    <xf numFmtId="0" fontId="251" fillId="0" borderId="0" xfId="2" applyFont="1" applyAlignment="1">
      <alignment vertical="center"/>
    </xf>
    <xf numFmtId="0" fontId="279" fillId="0" borderId="0" xfId="2" applyFont="1" applyAlignment="1">
      <alignment horizontal="center" vertical="top"/>
    </xf>
    <xf numFmtId="0" fontId="101" fillId="0" borderId="0" xfId="2" applyFont="1"/>
    <xf numFmtId="0" fontId="47" fillId="0" borderId="0" xfId="2" applyFont="1" applyAlignment="1">
      <alignment vertical="center"/>
    </xf>
    <xf numFmtId="0" fontId="278" fillId="0" borderId="0" xfId="2" applyFont="1" applyAlignment="1">
      <alignment horizontal="center" vertical="center"/>
    </xf>
    <xf numFmtId="176" fontId="52" fillId="0" borderId="189" xfId="52" applyNumberFormat="1" applyFont="1" applyBorder="1" applyAlignment="1">
      <alignment horizontal="center" vertical="center" wrapText="1"/>
    </xf>
    <xf numFmtId="176" fontId="52" fillId="0" borderId="106" xfId="52" applyNumberFormat="1" applyFont="1" applyBorder="1" applyAlignment="1">
      <alignment horizontal="center" vertical="center" wrapText="1"/>
    </xf>
    <xf numFmtId="176" fontId="53" fillId="3" borderId="106" xfId="52" applyNumberFormat="1" applyFont="1" applyFill="1" applyBorder="1" applyAlignment="1">
      <alignment horizontal="center" vertical="center" wrapText="1"/>
    </xf>
    <xf numFmtId="176" fontId="53" fillId="3" borderId="148" xfId="52" applyNumberFormat="1" applyFont="1" applyFill="1" applyBorder="1" applyAlignment="1">
      <alignment horizontal="center" vertical="center"/>
    </xf>
    <xf numFmtId="176" fontId="54" fillId="0" borderId="191" xfId="52" applyNumberFormat="1" applyFont="1" applyBorder="1" applyAlignment="1">
      <alignment horizontal="center" vertical="center"/>
    </xf>
    <xf numFmtId="176" fontId="53" fillId="3" borderId="106" xfId="52" applyNumberFormat="1" applyFont="1" applyFill="1" applyBorder="1" applyAlignment="1">
      <alignment horizontal="center" vertical="center"/>
    </xf>
    <xf numFmtId="176" fontId="57" fillId="0" borderId="191" xfId="52" applyNumberFormat="1" applyFont="1" applyBorder="1" applyAlignment="1">
      <alignment horizontal="center" vertical="center"/>
    </xf>
    <xf numFmtId="176" fontId="55" fillId="0" borderId="191" xfId="52" applyNumberFormat="1" applyFont="1" applyBorder="1" applyAlignment="1">
      <alignment horizontal="center" vertical="center" wrapText="1"/>
    </xf>
    <xf numFmtId="176" fontId="58" fillId="0" borderId="191" xfId="52" applyNumberFormat="1" applyFont="1" applyBorder="1" applyAlignment="1">
      <alignment horizontal="center" vertical="center" wrapText="1"/>
    </xf>
    <xf numFmtId="176" fontId="56" fillId="0" borderId="60" xfId="52" applyNumberFormat="1" applyFont="1" applyBorder="1" applyAlignment="1">
      <alignment horizontal="center" vertical="center"/>
    </xf>
    <xf numFmtId="176" fontId="56" fillId="0" borderId="2" xfId="52" applyNumberFormat="1" applyFont="1" applyBorder="1" applyAlignment="1">
      <alignment horizontal="center" vertical="center"/>
    </xf>
    <xf numFmtId="176" fontId="56" fillId="0" borderId="69" xfId="52" applyNumberFormat="1" applyFont="1" applyBorder="1" applyAlignment="1">
      <alignment horizontal="center" vertical="center"/>
    </xf>
    <xf numFmtId="176" fontId="56" fillId="0" borderId="191" xfId="52" applyNumberFormat="1" applyFont="1" applyBorder="1" applyAlignment="1">
      <alignment horizontal="center" vertical="center"/>
    </xf>
    <xf numFmtId="176" fontId="196" fillId="0" borderId="0" xfId="45" applyNumberFormat="1" applyBorder="1" applyAlignment="1">
      <alignment horizontal="center" vertical="center"/>
    </xf>
    <xf numFmtId="176" fontId="196" fillId="0" borderId="0" xfId="45" applyNumberFormat="1" applyAlignment="1">
      <alignment horizontal="center" vertical="center"/>
    </xf>
    <xf numFmtId="176" fontId="25" fillId="3" borderId="216" xfId="52" applyNumberFormat="1" applyFont="1" applyFill="1" applyBorder="1" applyAlignment="1">
      <alignment horizontal="center" vertical="center"/>
    </xf>
    <xf numFmtId="176" fontId="25" fillId="3" borderId="217" xfId="52" applyNumberFormat="1" applyFont="1" applyFill="1" applyBorder="1" applyAlignment="1">
      <alignment horizontal="center" vertical="center"/>
    </xf>
    <xf numFmtId="176" fontId="25" fillId="3" borderId="220" xfId="52" applyNumberFormat="1" applyFont="1" applyFill="1" applyBorder="1" applyAlignment="1">
      <alignment horizontal="center" vertical="center"/>
    </xf>
    <xf numFmtId="176" fontId="25" fillId="3" borderId="187" xfId="52" applyNumberFormat="1" applyFont="1" applyFill="1" applyBorder="1" applyAlignment="1">
      <alignment horizontal="center" vertical="center"/>
    </xf>
    <xf numFmtId="0" fontId="72" fillId="0" borderId="0" xfId="43" applyFont="1" applyAlignment="1">
      <alignment vertical="center"/>
    </xf>
    <xf numFmtId="0" fontId="280" fillId="0" borderId="0" xfId="43" applyFont="1" applyAlignment="1">
      <alignment vertical="center"/>
    </xf>
    <xf numFmtId="0" fontId="281" fillId="0" borderId="0" xfId="43" applyFont="1" applyAlignment="1">
      <alignment vertical="center"/>
    </xf>
    <xf numFmtId="164" fontId="282" fillId="0" borderId="0" xfId="27" applyNumberFormat="1" applyFont="1" applyAlignment="1">
      <alignment horizontal="center" vertical="center"/>
    </xf>
    <xf numFmtId="164" fontId="282" fillId="0" borderId="84" xfId="45" applyNumberFormat="1" applyFont="1" applyBorder="1" applyAlignment="1">
      <alignment horizontal="center" vertical="center"/>
    </xf>
    <xf numFmtId="0" fontId="43" fillId="0" borderId="0" xfId="0" applyFont="1" applyBorder="1" applyAlignment="1">
      <alignment horizontal="right" vertical="center" wrapText="1"/>
    </xf>
    <xf numFmtId="0" fontId="53" fillId="0" borderId="1" xfId="24" applyFont="1" applyFill="1" applyBorder="1" applyAlignment="1">
      <alignment horizontal="center" vertical="center" wrapText="1"/>
    </xf>
    <xf numFmtId="0" fontId="32" fillId="0" borderId="69" xfId="33" applyFont="1" applyFill="1" applyBorder="1" applyAlignment="1">
      <alignment horizontal="center" vertical="center" wrapText="1"/>
    </xf>
    <xf numFmtId="0" fontId="32" fillId="0" borderId="70" xfId="33" applyFont="1" applyFill="1" applyBorder="1" applyAlignment="1">
      <alignment horizontal="center" vertical="center" wrapText="1"/>
    </xf>
    <xf numFmtId="0" fontId="32" fillId="2" borderId="73" xfId="33" applyFont="1" applyFill="1" applyBorder="1" applyAlignment="1">
      <alignment horizontal="center" vertical="center" wrapText="1"/>
    </xf>
    <xf numFmtId="0" fontId="32" fillId="0" borderId="73" xfId="33" applyFont="1" applyFill="1" applyBorder="1" applyAlignment="1">
      <alignment horizontal="center" vertical="center" wrapText="1"/>
    </xf>
    <xf numFmtId="0" fontId="32" fillId="0" borderId="75" xfId="33" applyFont="1" applyFill="1" applyBorder="1" applyAlignment="1">
      <alignment horizontal="center" vertical="center" wrapText="1"/>
    </xf>
    <xf numFmtId="0" fontId="32" fillId="0" borderId="220" xfId="33" applyFont="1" applyFill="1" applyBorder="1" applyAlignment="1">
      <alignment horizontal="center" vertical="center" wrapText="1"/>
    </xf>
    <xf numFmtId="0" fontId="32" fillId="2" borderId="75" xfId="33" applyFont="1" applyFill="1" applyBorder="1" applyAlignment="1">
      <alignment horizontal="center" vertical="center" wrapText="1"/>
    </xf>
    <xf numFmtId="0" fontId="32" fillId="0" borderId="253" xfId="33" applyFont="1" applyFill="1" applyBorder="1" applyAlignment="1">
      <alignment horizontal="center" vertical="center" wrapText="1"/>
    </xf>
    <xf numFmtId="0" fontId="32" fillId="0" borderId="188" xfId="33" applyFont="1" applyFill="1" applyBorder="1" applyAlignment="1">
      <alignment horizontal="center" vertical="center" wrapText="1"/>
    </xf>
    <xf numFmtId="0" fontId="50" fillId="0" borderId="1" xfId="0" applyFont="1" applyFill="1" applyBorder="1" applyAlignment="1">
      <alignment horizontal="center" vertical="center"/>
    </xf>
    <xf numFmtId="0" fontId="7" fillId="0" borderId="0" xfId="24" applyFont="1"/>
    <xf numFmtId="165" fontId="7" fillId="0" borderId="73" xfId="0" applyNumberFormat="1" applyFont="1" applyFill="1" applyBorder="1" applyAlignment="1">
      <alignment horizontal="center" vertical="center"/>
    </xf>
    <xf numFmtId="165" fontId="107" fillId="0" borderId="254" xfId="0" applyNumberFormat="1" applyFont="1" applyFill="1" applyBorder="1" applyAlignment="1">
      <alignment horizontal="center" vertical="center"/>
    </xf>
    <xf numFmtId="0" fontId="7" fillId="0" borderId="75" xfId="0" applyFont="1" applyFill="1" applyBorder="1" applyAlignment="1">
      <alignment horizontal="left" vertical="center" indent="1"/>
    </xf>
    <xf numFmtId="165" fontId="259" fillId="0" borderId="74" xfId="0" applyNumberFormat="1" applyFont="1" applyFill="1" applyBorder="1" applyAlignment="1">
      <alignment horizontal="center" vertical="center"/>
    </xf>
    <xf numFmtId="165" fontId="7" fillId="0" borderId="70" xfId="0" applyNumberFormat="1" applyFont="1" applyFill="1" applyBorder="1" applyAlignment="1">
      <alignment horizontal="center" vertical="center"/>
    </xf>
    <xf numFmtId="0" fontId="32" fillId="0" borderId="85" xfId="0" applyFont="1" applyFill="1" applyBorder="1" applyAlignment="1">
      <alignment horizontal="center" vertical="center"/>
    </xf>
    <xf numFmtId="165" fontId="32" fillId="0" borderId="85" xfId="0" applyNumberFormat="1" applyFont="1" applyFill="1" applyBorder="1" applyAlignment="1">
      <alignment horizontal="center" vertical="center"/>
    </xf>
    <xf numFmtId="165" fontId="260" fillId="0" borderId="86" xfId="0" applyNumberFormat="1" applyFont="1" applyFill="1" applyBorder="1" applyAlignment="1">
      <alignment horizontal="center" vertical="center"/>
    </xf>
    <xf numFmtId="165" fontId="7" fillId="0" borderId="75" xfId="0" applyNumberFormat="1" applyFont="1" applyFill="1" applyBorder="1" applyAlignment="1">
      <alignment horizontal="center" vertical="center"/>
    </xf>
    <xf numFmtId="165" fontId="170" fillId="0" borderId="74" xfId="0" applyNumberFormat="1" applyFont="1" applyFill="1" applyBorder="1" applyAlignment="1">
      <alignment horizontal="center" vertical="center"/>
    </xf>
    <xf numFmtId="165" fontId="171" fillId="0" borderId="74" xfId="0" applyNumberFormat="1" applyFont="1" applyFill="1" applyBorder="1" applyAlignment="1">
      <alignment horizontal="center" vertical="center"/>
    </xf>
    <xf numFmtId="165" fontId="170" fillId="0" borderId="77" xfId="0" applyNumberFormat="1" applyFont="1" applyFill="1" applyBorder="1" applyAlignment="1">
      <alignment horizontal="center" vertical="center"/>
    </xf>
    <xf numFmtId="0" fontId="7" fillId="0" borderId="1" xfId="24" applyFont="1" applyFill="1" applyBorder="1" applyAlignment="1">
      <alignment horizontal="center" vertical="center"/>
    </xf>
    <xf numFmtId="0" fontId="50" fillId="0" borderId="1" xfId="24" applyFont="1" applyFill="1" applyBorder="1" applyAlignment="1">
      <alignment horizontal="center" vertical="center" wrapText="1"/>
    </xf>
    <xf numFmtId="0" fontId="75" fillId="0" borderId="87" xfId="24" applyFont="1" applyFill="1" applyBorder="1" applyAlignment="1">
      <alignment horizontal="center" vertical="center"/>
    </xf>
    <xf numFmtId="0" fontId="7" fillId="0" borderId="71" xfId="24" applyFont="1" applyFill="1" applyBorder="1" applyAlignment="1">
      <alignment horizontal="center"/>
    </xf>
    <xf numFmtId="0" fontId="7" fillId="0" borderId="26" xfId="24" applyFont="1" applyFill="1" applyBorder="1" applyAlignment="1">
      <alignment horizontal="center"/>
    </xf>
    <xf numFmtId="0" fontId="7" fillId="0" borderId="25" xfId="24" applyFont="1" applyFill="1" applyBorder="1" applyAlignment="1">
      <alignment horizontal="center"/>
    </xf>
    <xf numFmtId="0" fontId="7" fillId="0" borderId="80" xfId="24" applyFont="1" applyFill="1" applyBorder="1" applyAlignment="1">
      <alignment horizontal="center"/>
    </xf>
    <xf numFmtId="164" fontId="283" fillId="0" borderId="27" xfId="26" applyNumberFormat="1" applyFont="1" applyFill="1" applyBorder="1" applyAlignment="1">
      <alignment horizontal="right" vertical="center" indent="1"/>
    </xf>
    <xf numFmtId="164" fontId="283" fillId="0" borderId="26" xfId="26" applyNumberFormat="1" applyFont="1" applyFill="1" applyBorder="1" applyAlignment="1">
      <alignment horizontal="right" vertical="center" indent="1"/>
    </xf>
    <xf numFmtId="0" fontId="7" fillId="0" borderId="74" xfId="24" applyFont="1" applyFill="1" applyBorder="1" applyAlignment="1">
      <alignment horizontal="center"/>
    </xf>
    <xf numFmtId="0" fontId="7" fillId="0" borderId="50" xfId="24" applyFont="1" applyFill="1" applyBorder="1" applyAlignment="1">
      <alignment horizontal="center"/>
    </xf>
    <xf numFmtId="0" fontId="7" fillId="0" borderId="49" xfId="24" applyFont="1" applyFill="1" applyBorder="1" applyAlignment="1">
      <alignment horizontal="center"/>
    </xf>
    <xf numFmtId="0" fontId="7" fillId="0" borderId="81" xfId="24" applyFont="1" applyFill="1" applyBorder="1" applyAlignment="1">
      <alignment horizontal="center"/>
    </xf>
    <xf numFmtId="164" fontId="283" fillId="0" borderId="51" xfId="26" applyNumberFormat="1" applyFont="1" applyFill="1" applyBorder="1" applyAlignment="1">
      <alignment horizontal="right" vertical="center" indent="1"/>
    </xf>
    <xf numFmtId="164" fontId="283" fillId="0" borderId="50" xfId="26" applyNumberFormat="1" applyFont="1" applyFill="1" applyBorder="1" applyAlignment="1">
      <alignment horizontal="right" vertical="center" indent="1"/>
    </xf>
    <xf numFmtId="164" fontId="258" fillId="0" borderId="59" xfId="26" applyNumberFormat="1" applyFont="1" applyFill="1" applyBorder="1" applyAlignment="1">
      <alignment horizontal="right" vertical="center" indent="1"/>
    </xf>
    <xf numFmtId="164" fontId="258" fillId="0" borderId="58" xfId="26" applyNumberFormat="1" applyFont="1" applyFill="1" applyBorder="1" applyAlignment="1">
      <alignment horizontal="right" vertical="center" indent="1"/>
    </xf>
    <xf numFmtId="0" fontId="242" fillId="0" borderId="0" xfId="24" applyFont="1" applyBorder="1" applyAlignment="1">
      <alignment horizontal="center" vertical="center"/>
    </xf>
    <xf numFmtId="0" fontId="162" fillId="0" borderId="0" xfId="24" applyFont="1" applyAlignment="1">
      <alignment horizontal="right" indent="1"/>
    </xf>
    <xf numFmtId="0" fontId="7" fillId="0" borderId="109" xfId="24" applyFont="1" applyFill="1" applyBorder="1" applyAlignment="1">
      <alignment horizontal="center"/>
    </xf>
    <xf numFmtId="0" fontId="7" fillId="0" borderId="54" xfId="24" applyFont="1" applyFill="1" applyBorder="1" applyAlignment="1">
      <alignment horizontal="center"/>
    </xf>
    <xf numFmtId="0" fontId="7" fillId="0" borderId="53" xfId="24" applyFont="1" applyFill="1" applyBorder="1" applyAlignment="1">
      <alignment horizontal="center"/>
    </xf>
    <xf numFmtId="0" fontId="7" fillId="0" borderId="108" xfId="24" applyFont="1" applyFill="1" applyBorder="1" applyAlignment="1">
      <alignment horizontal="center"/>
    </xf>
    <xf numFmtId="0" fontId="85" fillId="0" borderId="0" xfId="24" applyFont="1"/>
    <xf numFmtId="0" fontId="53" fillId="3" borderId="0" xfId="24" applyFont="1" applyFill="1" applyBorder="1" applyAlignment="1">
      <alignment horizontal="center"/>
    </xf>
    <xf numFmtId="0" fontId="53" fillId="3" borderId="308" xfId="24" applyFont="1" applyFill="1" applyBorder="1" applyAlignment="1">
      <alignment horizontal="center"/>
    </xf>
    <xf numFmtId="0" fontId="53" fillId="3" borderId="309" xfId="24" applyFont="1" applyFill="1" applyBorder="1" applyAlignment="1">
      <alignment horizontal="center"/>
    </xf>
    <xf numFmtId="0" fontId="53" fillId="3" borderId="310" xfId="24" applyFont="1" applyFill="1" applyBorder="1" applyAlignment="1">
      <alignment horizontal="center"/>
    </xf>
    <xf numFmtId="164" fontId="145" fillId="3" borderId="36" xfId="26" applyNumberFormat="1" applyFont="1" applyFill="1" applyBorder="1" applyAlignment="1">
      <alignment horizontal="right" vertical="center" indent="1"/>
    </xf>
    <xf numFmtId="0" fontId="53" fillId="3" borderId="0" xfId="24" applyFont="1" applyFill="1" applyBorder="1" applyAlignment="1">
      <alignment horizontal="center" vertical="center"/>
    </xf>
    <xf numFmtId="164" fontId="145" fillId="3" borderId="0" xfId="26" applyNumberFormat="1" applyFont="1" applyFill="1" applyBorder="1" applyAlignment="1">
      <alignment horizontal="right" vertical="center" indent="1"/>
    </xf>
    <xf numFmtId="9" fontId="85" fillId="0" borderId="2" xfId="27" applyNumberFormat="1" applyFont="1" applyBorder="1" applyAlignment="1">
      <alignment horizontal="center" vertical="center"/>
    </xf>
    <xf numFmtId="9" fontId="85" fillId="0" borderId="69" xfId="27" applyNumberFormat="1" applyFont="1" applyBorder="1" applyAlignment="1">
      <alignment horizontal="center" vertical="center"/>
    </xf>
    <xf numFmtId="9" fontId="238" fillId="0" borderId="191" xfId="27" applyNumberFormat="1" applyFont="1" applyBorder="1" applyAlignment="1">
      <alignment horizontal="center" vertical="center"/>
    </xf>
    <xf numFmtId="9" fontId="238" fillId="0" borderId="69" xfId="27" applyNumberFormat="1" applyFont="1" applyBorder="1" applyAlignment="1">
      <alignment horizontal="center" vertical="center"/>
    </xf>
    <xf numFmtId="9" fontId="238" fillId="0" borderId="93" xfId="27" applyNumberFormat="1" applyFont="1" applyBorder="1" applyAlignment="1">
      <alignment horizontal="center" vertical="center"/>
    </xf>
    <xf numFmtId="9" fontId="238" fillId="0" borderId="11" xfId="27" applyNumberFormat="1" applyFont="1" applyBorder="1" applyAlignment="1">
      <alignment horizontal="center" vertical="center"/>
    </xf>
    <xf numFmtId="0" fontId="53" fillId="0" borderId="60" xfId="24" applyFont="1" applyFill="1" applyBorder="1" applyAlignment="1">
      <alignment vertical="center"/>
    </xf>
    <xf numFmtId="0" fontId="53" fillId="0" borderId="2" xfId="24" applyFont="1" applyFill="1" applyBorder="1" applyAlignment="1">
      <alignment vertical="center"/>
    </xf>
    <xf numFmtId="9" fontId="85" fillId="0" borderId="0" xfId="27" applyNumberFormat="1" applyFont="1" applyBorder="1" applyAlignment="1">
      <alignment horizontal="center" vertical="center"/>
    </xf>
    <xf numFmtId="9" fontId="238" fillId="0" borderId="0" xfId="27" applyNumberFormat="1" applyFont="1" applyBorder="1" applyAlignment="1">
      <alignment horizontal="center" vertical="center"/>
    </xf>
    <xf numFmtId="0" fontId="102" fillId="0" borderId="74" xfId="33" applyFont="1" applyFill="1" applyBorder="1" applyAlignment="1">
      <alignment horizontal="center" vertical="center"/>
    </xf>
    <xf numFmtId="0" fontId="32" fillId="0" borderId="79" xfId="33" applyFont="1" applyFill="1" applyBorder="1" applyAlignment="1">
      <alignment horizontal="left" vertical="center" indent="1"/>
    </xf>
    <xf numFmtId="0" fontId="284" fillId="0" borderId="74" xfId="33" applyFont="1" applyFill="1" applyBorder="1" applyAlignment="1">
      <alignment horizontal="center" vertical="center" wrapText="1"/>
    </xf>
    <xf numFmtId="0" fontId="101" fillId="0" borderId="70" xfId="33" applyFont="1" applyFill="1" applyBorder="1" applyAlignment="1">
      <alignment horizontal="left" vertical="center" indent="1"/>
    </xf>
    <xf numFmtId="0" fontId="32" fillId="2" borderId="79" xfId="33" applyFont="1" applyFill="1" applyBorder="1" applyAlignment="1">
      <alignment horizontal="left" vertical="center" indent="1"/>
    </xf>
    <xf numFmtId="0" fontId="101" fillId="2" borderId="70" xfId="33" applyFont="1" applyFill="1" applyBorder="1" applyAlignment="1">
      <alignment horizontal="left" vertical="center" indent="1"/>
    </xf>
    <xf numFmtId="0" fontId="102" fillId="2" borderId="77" xfId="33" applyFont="1" applyFill="1" applyBorder="1" applyAlignment="1">
      <alignment horizontal="center" vertical="center" wrapText="1"/>
    </xf>
    <xf numFmtId="0" fontId="102" fillId="2" borderId="74" xfId="33" applyFont="1" applyFill="1" applyBorder="1" applyAlignment="1">
      <alignment horizontal="center" vertical="center"/>
    </xf>
    <xf numFmtId="0" fontId="32" fillId="2" borderId="73" xfId="3" applyFont="1" applyFill="1" applyBorder="1" applyAlignment="1">
      <alignment horizontal="left" vertical="center" wrapText="1" indent="1"/>
    </xf>
    <xf numFmtId="0" fontId="284" fillId="0" borderId="74" xfId="33" applyFont="1" applyFill="1" applyBorder="1" applyAlignment="1">
      <alignment horizontal="center" vertical="center"/>
    </xf>
    <xf numFmtId="0" fontId="32" fillId="0" borderId="253" xfId="3" applyFont="1" applyFill="1" applyBorder="1" applyAlignment="1">
      <alignment horizontal="left" wrapText="1" indent="1"/>
    </xf>
    <xf numFmtId="0" fontId="32" fillId="2" borderId="73" xfId="3" applyFont="1" applyFill="1" applyBorder="1" applyAlignment="1">
      <alignment horizontal="center" wrapText="1"/>
    </xf>
    <xf numFmtId="0" fontId="32" fillId="0" borderId="75" xfId="3" applyFont="1" applyFill="1" applyBorder="1" applyAlignment="1">
      <alignment horizontal="left" vertical="center" wrapText="1" indent="1"/>
    </xf>
    <xf numFmtId="0" fontId="102" fillId="0" borderId="77" xfId="33" applyFont="1" applyFill="1" applyBorder="1" applyAlignment="1">
      <alignment horizontal="center" vertical="center"/>
    </xf>
    <xf numFmtId="0" fontId="285" fillId="0" borderId="74" xfId="33" applyFont="1" applyFill="1" applyBorder="1" applyAlignment="1">
      <alignment horizontal="center" vertical="center"/>
    </xf>
    <xf numFmtId="0" fontId="259" fillId="0" borderId="74" xfId="33" applyFont="1" applyFill="1" applyBorder="1" applyAlignment="1">
      <alignment horizontal="center" vertical="center"/>
    </xf>
    <xf numFmtId="0" fontId="118" fillId="0" borderId="77" xfId="33" applyFont="1" applyFill="1" applyBorder="1" applyAlignment="1">
      <alignment horizontal="center" vertical="center" wrapText="1"/>
    </xf>
    <xf numFmtId="0" fontId="259" fillId="2" borderId="74" xfId="33" applyFont="1" applyFill="1" applyBorder="1" applyAlignment="1">
      <alignment horizontal="center" vertical="center" wrapText="1"/>
    </xf>
    <xf numFmtId="0" fontId="78" fillId="0" borderId="77" xfId="33" applyFont="1" applyFill="1" applyBorder="1" applyAlignment="1">
      <alignment horizontal="center" vertical="center"/>
    </xf>
    <xf numFmtId="0" fontId="259" fillId="0" borderId="71" xfId="33" applyFont="1" applyFill="1" applyBorder="1" applyAlignment="1">
      <alignment horizontal="center" vertical="center"/>
    </xf>
    <xf numFmtId="0" fontId="260" fillId="2" borderId="254" xfId="33" applyFont="1" applyFill="1" applyBorder="1" applyAlignment="1">
      <alignment horizontal="center" vertical="center" wrapText="1"/>
    </xf>
    <xf numFmtId="0" fontId="260" fillId="2" borderId="77" xfId="33" applyFont="1" applyFill="1" applyBorder="1" applyAlignment="1">
      <alignment horizontal="center" vertical="center" wrapText="1"/>
    </xf>
    <xf numFmtId="0" fontId="32" fillId="0" borderId="76" xfId="33" applyFont="1" applyFill="1" applyBorder="1" applyAlignment="1">
      <alignment horizontal="center" vertical="center" wrapText="1"/>
    </xf>
    <xf numFmtId="0" fontId="32" fillId="0" borderId="76" xfId="33" applyFont="1" applyFill="1" applyBorder="1" applyAlignment="1">
      <alignment horizontal="left" vertical="center" indent="1"/>
    </xf>
    <xf numFmtId="0" fontId="32" fillId="0" borderId="76" xfId="33" applyFont="1" applyFill="1" applyBorder="1" applyAlignment="1">
      <alignment horizontal="center" vertical="center"/>
    </xf>
    <xf numFmtId="0" fontId="32" fillId="0" borderId="93" xfId="33" applyFont="1" applyFill="1" applyBorder="1" applyAlignment="1">
      <alignment horizontal="center" vertical="center" wrapText="1"/>
    </xf>
    <xf numFmtId="0" fontId="171" fillId="0" borderId="74" xfId="33" applyFont="1" applyFill="1" applyBorder="1" applyAlignment="1">
      <alignment horizontal="center" vertical="center"/>
    </xf>
    <xf numFmtId="0" fontId="170" fillId="2" borderId="74" xfId="33" applyFont="1" applyFill="1" applyBorder="1" applyAlignment="1">
      <alignment horizontal="center" vertical="center"/>
    </xf>
    <xf numFmtId="0" fontId="171" fillId="2" borderId="74" xfId="33" applyFont="1" applyFill="1" applyBorder="1" applyAlignment="1">
      <alignment horizontal="center" vertical="center"/>
    </xf>
    <xf numFmtId="0" fontId="32" fillId="0" borderId="48" xfId="0" applyFont="1" applyBorder="1"/>
    <xf numFmtId="0" fontId="160" fillId="0" borderId="24" xfId="0" applyFont="1" applyBorder="1" applyAlignment="1">
      <alignment vertical="center" wrapText="1"/>
    </xf>
    <xf numFmtId="3" fontId="160" fillId="0" borderId="24" xfId="0" applyNumberFormat="1" applyFont="1" applyBorder="1" applyAlignment="1">
      <alignment horizontal="right" vertical="center" wrapText="1"/>
    </xf>
    <xf numFmtId="0" fontId="286" fillId="0" borderId="48" xfId="0" applyFont="1" applyBorder="1" applyAlignment="1">
      <alignment vertical="center" wrapText="1"/>
    </xf>
    <xf numFmtId="3" fontId="286" fillId="0" borderId="48" xfId="0" applyNumberFormat="1" applyFont="1" applyBorder="1" applyAlignment="1">
      <alignment horizontal="right" vertical="center" wrapText="1"/>
    </xf>
    <xf numFmtId="0" fontId="53" fillId="0" borderId="1" xfId="24" applyFont="1" applyFill="1" applyBorder="1" applyAlignment="1">
      <alignment horizontal="center" vertical="center" wrapText="1"/>
    </xf>
    <xf numFmtId="0" fontId="53" fillId="3" borderId="39" xfId="24" applyFont="1" applyFill="1" applyBorder="1" applyAlignment="1">
      <alignment horizontal="center" vertical="center"/>
    </xf>
    <xf numFmtId="0" fontId="53" fillId="3" borderId="39" xfId="24" applyFont="1" applyFill="1" applyBorder="1" applyAlignment="1">
      <alignment horizontal="center" vertical="center" wrapText="1"/>
    </xf>
    <xf numFmtId="0" fontId="53" fillId="0" borderId="0" xfId="24" applyFont="1" applyAlignment="1">
      <alignment horizontal="center" vertical="center" wrapText="1"/>
    </xf>
    <xf numFmtId="3" fontId="53" fillId="3" borderId="2" xfId="24" applyNumberFormat="1" applyFont="1" applyFill="1" applyBorder="1" applyAlignment="1">
      <alignment horizontal="center" vertical="center"/>
    </xf>
    <xf numFmtId="0" fontId="50" fillId="3" borderId="9" xfId="0" applyFont="1" applyFill="1" applyBorder="1" applyAlignment="1">
      <alignment horizontal="center" vertical="center"/>
    </xf>
    <xf numFmtId="0" fontId="50" fillId="3" borderId="4" xfId="0" applyFont="1" applyFill="1" applyBorder="1" applyAlignment="1">
      <alignment horizontal="center" vertical="center"/>
    </xf>
    <xf numFmtId="0" fontId="32" fillId="0" borderId="25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0" fontId="25" fillId="3" borderId="8" xfId="36" applyFont="1" applyFill="1" applyBorder="1" applyAlignment="1">
      <alignment horizontal="center" vertical="center"/>
    </xf>
    <xf numFmtId="0" fontId="25" fillId="3" borderId="155" xfId="36" applyFont="1" applyFill="1" applyBorder="1" applyAlignment="1">
      <alignment horizontal="center" vertical="center"/>
    </xf>
    <xf numFmtId="0" fontId="6" fillId="0" borderId="0" xfId="24" applyFont="1"/>
    <xf numFmtId="164" fontId="6" fillId="0" borderId="0" xfId="24" applyNumberFormat="1" applyFont="1"/>
    <xf numFmtId="164" fontId="6" fillId="0" borderId="0" xfId="24" applyNumberFormat="1" applyFont="1" applyBorder="1"/>
    <xf numFmtId="164" fontId="6" fillId="0" borderId="0" xfId="24" applyNumberFormat="1" applyFont="1" applyAlignment="1">
      <alignment horizontal="right" indent="1"/>
    </xf>
    <xf numFmtId="0" fontId="6" fillId="0" borderId="0" xfId="24" applyFont="1" applyBorder="1"/>
    <xf numFmtId="0" fontId="6" fillId="0" borderId="0" xfId="24" applyFont="1" applyBorder="1" applyAlignment="1">
      <alignment horizontal="right" indent="1"/>
    </xf>
    <xf numFmtId="164" fontId="6" fillId="0" borderId="0" xfId="24" applyNumberFormat="1" applyFont="1" applyBorder="1" applyAlignment="1">
      <alignment horizontal="right" indent="1"/>
    </xf>
    <xf numFmtId="3" fontId="6" fillId="0" borderId="0" xfId="24" applyNumberFormat="1" applyFont="1"/>
    <xf numFmtId="164" fontId="6" fillId="0" borderId="0" xfId="11" applyNumberFormat="1" applyFont="1" applyAlignment="1">
      <alignment horizontal="center"/>
    </xf>
    <xf numFmtId="0" fontId="6" fillId="0" borderId="0" xfId="24" applyFont="1" applyAlignment="1">
      <alignment horizontal="center" vertical="center"/>
    </xf>
    <xf numFmtId="0" fontId="6" fillId="0" borderId="0" xfId="24" applyFont="1" applyAlignment="1">
      <alignment horizontal="center"/>
    </xf>
    <xf numFmtId="0" fontId="6" fillId="0" borderId="0" xfId="24" applyFont="1" applyAlignment="1">
      <alignment vertical="center"/>
    </xf>
    <xf numFmtId="164" fontId="6" fillId="0" borderId="0" xfId="24" applyNumberFormat="1" applyFont="1" applyAlignment="1">
      <alignment vertical="center"/>
    </xf>
    <xf numFmtId="0" fontId="50" fillId="0" borderId="0" xfId="24" applyFont="1"/>
    <xf numFmtId="0" fontId="32" fillId="0" borderId="0" xfId="24" applyFont="1" applyFill="1" applyBorder="1" applyAlignment="1">
      <alignment vertical="top"/>
    </xf>
    <xf numFmtId="0" fontId="50" fillId="0" borderId="0" xfId="24" applyFont="1" applyAlignment="1">
      <alignment horizontal="center"/>
    </xf>
    <xf numFmtId="0" fontId="32" fillId="0" borderId="0" xfId="24" applyFont="1" applyAlignment="1">
      <alignment horizontal="center" vertical="center"/>
    </xf>
    <xf numFmtId="0" fontId="52" fillId="0" borderId="0" xfId="24" applyFont="1" applyAlignment="1">
      <alignment vertical="center"/>
    </xf>
    <xf numFmtId="0" fontId="52" fillId="0" borderId="45" xfId="24" applyFont="1" applyBorder="1" applyAlignment="1">
      <alignment horizontal="center" vertical="center"/>
    </xf>
    <xf numFmtId="0" fontId="52" fillId="0" borderId="44" xfId="24" applyFont="1" applyBorder="1" applyAlignment="1">
      <alignment horizontal="center" vertical="center"/>
    </xf>
    <xf numFmtId="0" fontId="52" fillId="0" borderId="46" xfId="24" applyFont="1" applyBorder="1" applyAlignment="1">
      <alignment horizontal="center" vertical="center"/>
    </xf>
    <xf numFmtId="164" fontId="52" fillId="0" borderId="44" xfId="26" applyNumberFormat="1" applyFont="1" applyBorder="1" applyAlignment="1">
      <alignment horizontal="center" vertical="center"/>
    </xf>
    <xf numFmtId="164" fontId="52" fillId="0" borderId="47" xfId="26" applyNumberFormat="1" applyFont="1" applyBorder="1" applyAlignment="1">
      <alignment horizontal="center" vertical="center"/>
    </xf>
    <xf numFmtId="0" fontId="52" fillId="0" borderId="49" xfId="24" applyFont="1" applyBorder="1" applyAlignment="1">
      <alignment horizontal="center" vertical="center"/>
    </xf>
    <xf numFmtId="0" fontId="52" fillId="0" borderId="48" xfId="24" applyFont="1" applyBorder="1" applyAlignment="1">
      <alignment horizontal="center" vertical="center"/>
    </xf>
    <xf numFmtId="0" fontId="52" fillId="0" borderId="50" xfId="24" applyFont="1" applyBorder="1" applyAlignment="1">
      <alignment horizontal="center" vertical="center"/>
    </xf>
    <xf numFmtId="164" fontId="52" fillId="0" borderId="48" xfId="26" applyNumberFormat="1" applyFont="1" applyBorder="1" applyAlignment="1">
      <alignment horizontal="center" vertical="center"/>
    </xf>
    <xf numFmtId="164" fontId="52" fillId="0" borderId="51" xfId="26" applyNumberFormat="1" applyFont="1" applyBorder="1" applyAlignment="1">
      <alignment horizontal="center" vertical="center"/>
    </xf>
    <xf numFmtId="0" fontId="52" fillId="0" borderId="57" xfId="24" applyFont="1" applyBorder="1" applyAlignment="1">
      <alignment horizontal="center" vertical="center"/>
    </xf>
    <xf numFmtId="0" fontId="52" fillId="0" borderId="56" xfId="24" applyFont="1" applyBorder="1" applyAlignment="1">
      <alignment horizontal="center" vertical="center"/>
    </xf>
    <xf numFmtId="0" fontId="52" fillId="0" borderId="58" xfId="24" applyFont="1" applyBorder="1" applyAlignment="1">
      <alignment horizontal="center" vertical="center"/>
    </xf>
    <xf numFmtId="164" fontId="52" fillId="0" borderId="56" xfId="26" applyNumberFormat="1" applyFont="1" applyBorder="1" applyAlignment="1">
      <alignment horizontal="center" vertical="center"/>
    </xf>
    <xf numFmtId="164" fontId="52" fillId="0" borderId="59" xfId="26" applyNumberFormat="1" applyFont="1" applyBorder="1" applyAlignment="1">
      <alignment horizontal="center" vertical="center"/>
    </xf>
    <xf numFmtId="0" fontId="53" fillId="3" borderId="9" xfId="24" applyFont="1" applyFill="1" applyBorder="1" applyAlignment="1">
      <alignment horizontal="center" vertical="center"/>
    </xf>
    <xf numFmtId="0" fontId="53" fillId="3" borderId="4" xfId="24" applyFont="1" applyFill="1" applyBorder="1" applyAlignment="1">
      <alignment horizontal="center" vertical="center"/>
    </xf>
    <xf numFmtId="164" fontId="53" fillId="3" borderId="39" xfId="26" applyNumberFormat="1" applyFont="1" applyFill="1" applyBorder="1" applyAlignment="1">
      <alignment horizontal="center" vertical="center"/>
    </xf>
    <xf numFmtId="164" fontId="53" fillId="3" borderId="10" xfId="26" applyNumberFormat="1" applyFont="1" applyFill="1" applyBorder="1" applyAlignment="1">
      <alignment horizontal="center" vertical="center"/>
    </xf>
    <xf numFmtId="0" fontId="52" fillId="0" borderId="0" xfId="24" applyFont="1" applyAlignment="1">
      <alignment horizontal="center" vertical="center"/>
    </xf>
    <xf numFmtId="3" fontId="52" fillId="0" borderId="0" xfId="24" applyNumberFormat="1" applyFont="1" applyAlignment="1">
      <alignment horizontal="center" vertical="center"/>
    </xf>
    <xf numFmtId="0" fontId="53" fillId="6" borderId="39" xfId="24" applyFont="1" applyFill="1" applyBorder="1" applyAlignment="1">
      <alignment horizontal="center" vertical="center"/>
    </xf>
    <xf numFmtId="164" fontId="53" fillId="6" borderId="39" xfId="26" applyNumberFormat="1" applyFont="1" applyFill="1" applyBorder="1" applyAlignment="1">
      <alignment horizontal="center" vertical="center"/>
    </xf>
    <xf numFmtId="0" fontId="32" fillId="0" borderId="0" xfId="24" applyFont="1" applyAlignment="1">
      <alignment horizontal="center" vertical="top"/>
    </xf>
    <xf numFmtId="0" fontId="52" fillId="0" borderId="0" xfId="0" applyFont="1"/>
    <xf numFmtId="0" fontId="174" fillId="0" borderId="0" xfId="24" applyFont="1"/>
    <xf numFmtId="0" fontId="32" fillId="0" borderId="24" xfId="0" applyFont="1" applyBorder="1" applyAlignment="1">
      <alignment horizontal="center" vertical="center"/>
    </xf>
    <xf numFmtId="0" fontId="32" fillId="0" borderId="25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0" fontId="54" fillId="0" borderId="60" xfId="3" applyFont="1" applyBorder="1" applyAlignment="1">
      <alignment horizontal="center" vertical="center"/>
    </xf>
    <xf numFmtId="0" fontId="57" fillId="0" borderId="60" xfId="3" applyFont="1" applyBorder="1" applyAlignment="1">
      <alignment horizontal="center" vertical="center"/>
    </xf>
    <xf numFmtId="0" fontId="55" fillId="0" borderId="60" xfId="3" applyFont="1" applyBorder="1" applyAlignment="1">
      <alignment horizontal="center" vertical="center"/>
    </xf>
    <xf numFmtId="0" fontId="32" fillId="0" borderId="35" xfId="3" applyFont="1" applyBorder="1" applyAlignment="1">
      <alignment vertical="center"/>
    </xf>
    <xf numFmtId="1" fontId="32" fillId="0" borderId="35" xfId="3" applyNumberFormat="1" applyFont="1" applyBorder="1" applyAlignment="1">
      <alignment horizontal="center" vertical="center"/>
    </xf>
    <xf numFmtId="1" fontId="32" fillId="0" borderId="36" xfId="3" applyNumberFormat="1" applyFont="1" applyBorder="1" applyAlignment="1">
      <alignment horizontal="center" vertical="center"/>
    </xf>
    <xf numFmtId="1" fontId="32" fillId="0" borderId="34" xfId="3" applyNumberFormat="1" applyFont="1" applyBorder="1" applyAlignment="1">
      <alignment horizontal="center" vertical="center"/>
    </xf>
    <xf numFmtId="10" fontId="32" fillId="0" borderId="52" xfId="3" applyNumberFormat="1" applyFont="1" applyBorder="1" applyAlignment="1">
      <alignment vertical="center"/>
    </xf>
    <xf numFmtId="3" fontId="32" fillId="0" borderId="55" xfId="3" applyNumberFormat="1" applyFont="1" applyBorder="1" applyAlignment="1">
      <alignment horizontal="center" vertical="center"/>
    </xf>
    <xf numFmtId="3" fontId="32" fillId="0" borderId="52" xfId="3" applyNumberFormat="1" applyFont="1" applyBorder="1" applyAlignment="1">
      <alignment horizontal="center" vertical="center"/>
    </xf>
    <xf numFmtId="3" fontId="32" fillId="0" borderId="54" xfId="3" applyNumberFormat="1" applyFont="1" applyBorder="1" applyAlignment="1">
      <alignment horizontal="center" vertical="center"/>
    </xf>
    <xf numFmtId="3" fontId="32" fillId="0" borderId="141" xfId="3" applyNumberFormat="1" applyFont="1" applyBorder="1" applyAlignment="1">
      <alignment horizontal="center" vertical="center"/>
    </xf>
    <xf numFmtId="0" fontId="5" fillId="0" borderId="81" xfId="36" applyFont="1" applyBorder="1" applyAlignment="1">
      <alignment horizontal="center" vertical="center"/>
    </xf>
    <xf numFmtId="0" fontId="32" fillId="3" borderId="25" xfId="0" applyFont="1" applyFill="1" applyBorder="1" applyAlignment="1">
      <alignment horizontal="center" vertical="center"/>
    </xf>
    <xf numFmtId="0" fontId="52" fillId="0" borderId="314" xfId="38" applyFont="1" applyFill="1" applyBorder="1" applyAlignment="1">
      <alignment vertical="center" wrapText="1"/>
    </xf>
    <xf numFmtId="0" fontId="52" fillId="0" borderId="315" xfId="38" applyFont="1" applyFill="1" applyBorder="1" applyAlignment="1">
      <alignment vertical="center" wrapText="1"/>
    </xf>
    <xf numFmtId="0" fontId="52" fillId="0" borderId="34" xfId="38" applyFont="1" applyFill="1" applyBorder="1" applyAlignment="1">
      <alignment vertical="center" wrapText="1"/>
    </xf>
    <xf numFmtId="0" fontId="52" fillId="0" borderId="316" xfId="39" applyFont="1" applyFill="1" applyBorder="1" applyAlignment="1"/>
    <xf numFmtId="0" fontId="52" fillId="0" borderId="315" xfId="39" applyFont="1" applyFill="1" applyBorder="1" applyAlignment="1"/>
    <xf numFmtId="0" fontId="52" fillId="0" borderId="35" xfId="40" applyFont="1" applyFill="1" applyBorder="1" applyAlignment="1">
      <alignment vertical="center" wrapText="1"/>
    </xf>
    <xf numFmtId="0" fontId="57" fillId="0" borderId="21" xfId="36" applyFont="1" applyBorder="1" applyAlignment="1">
      <alignment horizontal="center" vertical="center"/>
    </xf>
    <xf numFmtId="0" fontId="57" fillId="0" borderId="22" xfId="36" applyFont="1" applyBorder="1" applyAlignment="1">
      <alignment horizontal="center" vertical="center"/>
    </xf>
    <xf numFmtId="0" fontId="57" fillId="0" borderId="280" xfId="36" applyFont="1" applyBorder="1" applyAlignment="1">
      <alignment horizontal="center" vertical="center"/>
    </xf>
    <xf numFmtId="0" fontId="57" fillId="0" borderId="317" xfId="36" applyFont="1" applyBorder="1" applyAlignment="1">
      <alignment horizontal="center" vertical="center"/>
    </xf>
    <xf numFmtId="0" fontId="72" fillId="0" borderId="16" xfId="0" applyFont="1" applyBorder="1" applyAlignment="1">
      <alignment vertical="center"/>
    </xf>
    <xf numFmtId="0" fontId="5" fillId="0" borderId="49" xfId="36" applyFont="1" applyBorder="1" applyAlignment="1">
      <alignment horizontal="left" vertical="center"/>
    </xf>
    <xf numFmtId="0" fontId="58" fillId="0" borderId="294" xfId="36" applyFont="1" applyBorder="1" applyAlignment="1">
      <alignment horizontal="center" vertical="center"/>
    </xf>
    <xf numFmtId="0" fontId="58" fillId="0" borderId="293" xfId="36" applyFont="1" applyBorder="1" applyAlignment="1">
      <alignment horizontal="center" vertical="center"/>
    </xf>
    <xf numFmtId="0" fontId="62" fillId="0" borderId="60" xfId="36" applyFont="1" applyBorder="1" applyAlignment="1">
      <alignment horizontal="center" vertical="center"/>
    </xf>
    <xf numFmtId="0" fontId="62" fillId="0" borderId="69" xfId="36" applyFont="1" applyBorder="1" applyAlignment="1">
      <alignment horizontal="center" vertical="center"/>
    </xf>
    <xf numFmtId="0" fontId="62" fillId="0" borderId="191" xfId="36" applyFont="1" applyBorder="1" applyAlignment="1">
      <alignment horizontal="center" vertical="center"/>
    </xf>
    <xf numFmtId="0" fontId="87" fillId="0" borderId="34" xfId="0" applyFont="1" applyBorder="1" applyAlignment="1">
      <alignment vertical="center"/>
    </xf>
    <xf numFmtId="0" fontId="87" fillId="0" borderId="84" xfId="0" applyFont="1" applyBorder="1" applyAlignment="1">
      <alignment horizontal="center" vertical="center"/>
    </xf>
    <xf numFmtId="0" fontId="87" fillId="0" borderId="199" xfId="0" applyFont="1" applyBorder="1" applyAlignment="1">
      <alignment horizontal="center" vertical="center"/>
    </xf>
    <xf numFmtId="0" fontId="87" fillId="0" borderId="173" xfId="0" applyFont="1" applyFill="1" applyBorder="1" applyAlignment="1">
      <alignment vertical="center"/>
    </xf>
    <xf numFmtId="0" fontId="87" fillId="0" borderId="171" xfId="0" applyFont="1" applyFill="1" applyBorder="1" applyAlignment="1">
      <alignment horizontal="center" vertical="center"/>
    </xf>
    <xf numFmtId="0" fontId="87" fillId="0" borderId="174" xfId="0" applyFont="1" applyFill="1" applyBorder="1" applyAlignment="1">
      <alignment horizontal="center" vertical="center"/>
    </xf>
    <xf numFmtId="0" fontId="87" fillId="0" borderId="175" xfId="0" applyFont="1" applyFill="1" applyBorder="1" applyAlignment="1">
      <alignment horizontal="center" vertical="center"/>
    </xf>
    <xf numFmtId="0" fontId="87" fillId="0" borderId="48" xfId="0" applyFont="1" applyFill="1" applyBorder="1" applyAlignment="1">
      <alignment vertical="center"/>
    </xf>
    <xf numFmtId="0" fontId="87" fillId="0" borderId="49" xfId="0" applyFont="1" applyFill="1" applyBorder="1" applyAlignment="1">
      <alignment horizontal="center" vertical="center"/>
    </xf>
    <xf numFmtId="0" fontId="87" fillId="0" borderId="176" xfId="0" applyFont="1" applyFill="1" applyBorder="1" applyAlignment="1">
      <alignment horizontal="center" vertical="center"/>
    </xf>
    <xf numFmtId="0" fontId="87" fillId="0" borderId="177" xfId="0" applyFont="1" applyFill="1" applyBorder="1" applyAlignment="1">
      <alignment horizontal="center" vertical="center"/>
    </xf>
    <xf numFmtId="0" fontId="0" fillId="0" borderId="176" xfId="0" applyFont="1" applyFill="1" applyBorder="1" applyAlignment="1">
      <alignment horizontal="center"/>
    </xf>
    <xf numFmtId="0" fontId="87" fillId="2" borderId="48" xfId="0" applyFont="1" applyFill="1" applyBorder="1" applyAlignment="1">
      <alignment horizontal="center" vertical="center"/>
    </xf>
    <xf numFmtId="0" fontId="87" fillId="2" borderId="49" xfId="0" applyFont="1" applyFill="1" applyBorder="1" applyAlignment="1">
      <alignment horizontal="center" vertical="center"/>
    </xf>
    <xf numFmtId="0" fontId="87" fillId="2" borderId="176" xfId="0" applyFont="1" applyFill="1" applyBorder="1" applyAlignment="1">
      <alignment horizontal="center" vertical="center"/>
    </xf>
    <xf numFmtId="0" fontId="87" fillId="2" borderId="177" xfId="0" applyFont="1" applyFill="1" applyBorder="1" applyAlignment="1">
      <alignment horizontal="center" vertical="center"/>
    </xf>
    <xf numFmtId="0" fontId="0" fillId="0" borderId="49" xfId="0" applyFont="1" applyFill="1" applyBorder="1" applyAlignment="1">
      <alignment horizontal="center" vertical="center"/>
    </xf>
    <xf numFmtId="0" fontId="0" fillId="0" borderId="176" xfId="0" applyFont="1" applyFill="1" applyBorder="1" applyAlignment="1">
      <alignment horizontal="center" vertical="center"/>
    </xf>
    <xf numFmtId="0" fontId="87" fillId="0" borderId="24" xfId="0" applyFont="1" applyFill="1" applyBorder="1" applyAlignment="1">
      <alignment vertical="center"/>
    </xf>
    <xf numFmtId="0" fontId="87" fillId="0" borderId="25" xfId="0" applyFont="1" applyFill="1" applyBorder="1" applyAlignment="1">
      <alignment horizontal="center" vertical="center"/>
    </xf>
    <xf numFmtId="0" fontId="87" fillId="0" borderId="182" xfId="0" applyFont="1" applyFill="1" applyBorder="1" applyAlignment="1">
      <alignment horizontal="center" vertical="center"/>
    </xf>
    <xf numFmtId="0" fontId="87" fillId="0" borderId="183" xfId="0" applyFont="1" applyFill="1" applyBorder="1" applyAlignment="1">
      <alignment horizontal="center" vertical="center"/>
    </xf>
    <xf numFmtId="0" fontId="54" fillId="0" borderId="56" xfId="0" applyFont="1" applyFill="1" applyBorder="1" applyAlignment="1">
      <alignment horizontal="center" vertical="center"/>
    </xf>
    <xf numFmtId="0" fontId="54" fillId="0" borderId="57" xfId="0" applyFont="1" applyFill="1" applyBorder="1" applyAlignment="1">
      <alignment horizontal="center" vertical="center"/>
    </xf>
    <xf numFmtId="0" fontId="54" fillId="0" borderId="180" xfId="0" applyFont="1" applyFill="1" applyBorder="1" applyAlignment="1">
      <alignment horizontal="center" vertical="center"/>
    </xf>
    <xf numFmtId="0" fontId="54" fillId="0" borderId="181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0" fontId="0" fillId="0" borderId="182" xfId="0" applyFont="1" applyFill="1" applyBorder="1" applyAlignment="1">
      <alignment horizontal="center" vertical="center"/>
    </xf>
    <xf numFmtId="0" fontId="0" fillId="0" borderId="183" xfId="0" applyFont="1" applyFill="1" applyBorder="1" applyAlignment="1">
      <alignment horizontal="center" vertical="center"/>
    </xf>
    <xf numFmtId="0" fontId="57" fillId="0" borderId="56" xfId="0" applyFont="1" applyFill="1" applyBorder="1" applyAlignment="1">
      <alignment horizontal="center" vertical="center"/>
    </xf>
    <xf numFmtId="0" fontId="57" fillId="0" borderId="57" xfId="0" applyFont="1" applyFill="1" applyBorder="1" applyAlignment="1">
      <alignment horizontal="center" vertical="center"/>
    </xf>
    <xf numFmtId="0" fontId="57" fillId="0" borderId="180" xfId="0" applyFont="1" applyFill="1" applyBorder="1" applyAlignment="1">
      <alignment horizontal="center" vertical="center"/>
    </xf>
    <xf numFmtId="0" fontId="57" fillId="0" borderId="181" xfId="0" applyFont="1" applyFill="1" applyBorder="1" applyAlignment="1">
      <alignment horizontal="center" vertical="center"/>
    </xf>
    <xf numFmtId="0" fontId="32" fillId="0" borderId="24" xfId="0" applyFont="1" applyFill="1" applyBorder="1"/>
    <xf numFmtId="0" fontId="55" fillId="0" borderId="56" xfId="0" applyFont="1" applyFill="1" applyBorder="1" applyAlignment="1">
      <alignment horizontal="center" vertical="center"/>
    </xf>
    <xf numFmtId="0" fontId="55" fillId="0" borderId="57" xfId="0" applyFont="1" applyFill="1" applyBorder="1" applyAlignment="1">
      <alignment horizontal="center" vertical="center"/>
    </xf>
    <xf numFmtId="0" fontId="55" fillId="0" borderId="180" xfId="0" applyFont="1" applyFill="1" applyBorder="1" applyAlignment="1">
      <alignment horizontal="center" vertical="center"/>
    </xf>
    <xf numFmtId="0" fontId="55" fillId="0" borderId="181" xfId="0" applyFont="1" applyFill="1" applyBorder="1" applyAlignment="1">
      <alignment horizontal="center" vertical="center"/>
    </xf>
    <xf numFmtId="0" fontId="32" fillId="0" borderId="182" xfId="0" applyFont="1" applyFill="1" applyBorder="1" applyAlignment="1">
      <alignment horizontal="center"/>
    </xf>
    <xf numFmtId="0" fontId="58" fillId="0" borderId="56" xfId="0" applyFont="1" applyFill="1" applyBorder="1" applyAlignment="1">
      <alignment horizontal="center" vertical="center"/>
    </xf>
    <xf numFmtId="0" fontId="58" fillId="0" borderId="57" xfId="0" applyFont="1" applyFill="1" applyBorder="1" applyAlignment="1">
      <alignment horizontal="center" vertical="center"/>
    </xf>
    <xf numFmtId="0" fontId="58" fillId="0" borderId="180" xfId="0" applyFont="1" applyFill="1" applyBorder="1" applyAlignment="1">
      <alignment horizontal="center" vertical="center"/>
    </xf>
    <xf numFmtId="0" fontId="58" fillId="0" borderId="181" xfId="0" applyFont="1" applyFill="1" applyBorder="1" applyAlignment="1">
      <alignment horizontal="center" vertical="center"/>
    </xf>
    <xf numFmtId="0" fontId="56" fillId="0" borderId="56" xfId="0" applyFont="1" applyFill="1" applyBorder="1" applyAlignment="1">
      <alignment horizontal="center" vertical="center"/>
    </xf>
    <xf numFmtId="0" fontId="56" fillId="0" borderId="57" xfId="0" applyFont="1" applyFill="1" applyBorder="1" applyAlignment="1">
      <alignment horizontal="center" vertical="center"/>
    </xf>
    <xf numFmtId="0" fontId="56" fillId="0" borderId="180" xfId="0" applyFont="1" applyFill="1" applyBorder="1" applyAlignment="1">
      <alignment horizontal="center" vertical="center"/>
    </xf>
    <xf numFmtId="0" fontId="56" fillId="0" borderId="181" xfId="0" applyFont="1" applyFill="1" applyBorder="1" applyAlignment="1">
      <alignment horizontal="center" vertical="center"/>
    </xf>
    <xf numFmtId="0" fontId="88" fillId="0" borderId="49" xfId="0" applyFont="1" applyFill="1" applyBorder="1" applyAlignment="1">
      <alignment horizontal="center" vertical="center"/>
    </xf>
    <xf numFmtId="0" fontId="88" fillId="0" borderId="176" xfId="0" applyFont="1" applyFill="1" applyBorder="1" applyAlignment="1">
      <alignment horizontal="center" vertical="center"/>
    </xf>
    <xf numFmtId="0" fontId="50" fillId="0" borderId="176" xfId="0" applyFont="1" applyFill="1" applyBorder="1" applyAlignment="1">
      <alignment horizontal="center"/>
    </xf>
    <xf numFmtId="0" fontId="50" fillId="0" borderId="49" xfId="0" applyFont="1" applyFill="1" applyBorder="1" applyAlignment="1">
      <alignment horizontal="center" vertical="center"/>
    </xf>
    <xf numFmtId="0" fontId="141" fillId="0" borderId="49" xfId="0" applyFont="1" applyFill="1" applyBorder="1" applyAlignment="1">
      <alignment horizontal="center" vertical="center"/>
    </xf>
    <xf numFmtId="0" fontId="287" fillId="0" borderId="49" xfId="0" applyFont="1" applyFill="1" applyBorder="1" applyAlignment="1">
      <alignment horizontal="center" vertical="center"/>
    </xf>
    <xf numFmtId="0" fontId="288" fillId="0" borderId="176" xfId="0" applyFont="1" applyFill="1" applyBorder="1" applyAlignment="1">
      <alignment horizontal="center" vertical="center"/>
    </xf>
    <xf numFmtId="0" fontId="289" fillId="0" borderId="49" xfId="0" applyFont="1" applyFill="1" applyBorder="1" applyAlignment="1">
      <alignment horizontal="center" vertical="center"/>
    </xf>
    <xf numFmtId="0" fontId="289" fillId="0" borderId="176" xfId="0" applyFont="1" applyFill="1" applyBorder="1" applyAlignment="1">
      <alignment horizontal="center" vertical="center"/>
    </xf>
    <xf numFmtId="0" fontId="287" fillId="0" borderId="176" xfId="0" applyFont="1" applyFill="1" applyBorder="1" applyAlignment="1">
      <alignment horizontal="center"/>
    </xf>
    <xf numFmtId="0" fontId="141" fillId="0" borderId="177" xfId="0" applyFont="1" applyFill="1" applyBorder="1" applyAlignment="1">
      <alignment horizontal="center" vertical="center"/>
    </xf>
    <xf numFmtId="0" fontId="289" fillId="0" borderId="177" xfId="0" applyFont="1" applyFill="1" applyBorder="1" applyAlignment="1">
      <alignment horizontal="center" vertical="center"/>
    </xf>
    <xf numFmtId="0" fontId="84" fillId="0" borderId="0" xfId="0" applyFont="1" applyAlignment="1">
      <alignment horizontal="right"/>
    </xf>
    <xf numFmtId="0" fontId="290" fillId="0" borderId="0" xfId="0" applyFont="1" applyAlignment="1">
      <alignment horizontal="right"/>
    </xf>
    <xf numFmtId="0" fontId="32" fillId="0" borderId="189" xfId="0" applyFont="1" applyFill="1" applyBorder="1" applyAlignment="1">
      <alignment horizontal="center" vertical="center"/>
    </xf>
    <xf numFmtId="0" fontId="32" fillId="0" borderId="106" xfId="0" applyFont="1" applyFill="1" applyBorder="1" applyAlignment="1">
      <alignment horizontal="center" vertical="center"/>
    </xf>
    <xf numFmtId="0" fontId="25" fillId="0" borderId="106" xfId="0" applyFont="1" applyBorder="1" applyAlignment="1">
      <alignment horizontal="center" vertical="center"/>
    </xf>
    <xf numFmtId="0" fontId="54" fillId="0" borderId="107" xfId="0" applyFont="1" applyBorder="1" applyAlignment="1">
      <alignment horizontal="center" vertical="center"/>
    </xf>
    <xf numFmtId="0" fontId="32" fillId="0" borderId="105" xfId="0" applyFont="1" applyFill="1" applyBorder="1" applyAlignment="1">
      <alignment horizontal="center" vertical="center"/>
    </xf>
    <xf numFmtId="0" fontId="57" fillId="0" borderId="107" xfId="0" applyFont="1" applyBorder="1" applyAlignment="1">
      <alignment horizontal="center" vertical="center"/>
    </xf>
    <xf numFmtId="0" fontId="55" fillId="0" borderId="107" xfId="0" applyFont="1" applyBorder="1" applyAlignment="1">
      <alignment horizontal="center" vertical="center"/>
    </xf>
    <xf numFmtId="0" fontId="50" fillId="0" borderId="106" xfId="0" applyFont="1" applyBorder="1" applyAlignment="1">
      <alignment horizontal="center" vertical="center"/>
    </xf>
    <xf numFmtId="0" fontId="56" fillId="0" borderId="107" xfId="0" applyFont="1" applyBorder="1" applyAlignment="1">
      <alignment horizontal="center" vertical="center"/>
    </xf>
    <xf numFmtId="0" fontId="72" fillId="0" borderId="318" xfId="4" applyFont="1" applyFill="1" applyBorder="1" applyAlignment="1"/>
    <xf numFmtId="0" fontId="4" fillId="0" borderId="49" xfId="0" applyFont="1" applyBorder="1" applyAlignment="1">
      <alignment horizontal="center" vertical="center"/>
    </xf>
    <xf numFmtId="0" fontId="4" fillId="0" borderId="81" xfId="0" applyFont="1" applyBorder="1" applyAlignment="1">
      <alignment horizontal="center" vertical="center"/>
    </xf>
    <xf numFmtId="0" fontId="4" fillId="0" borderId="51" xfId="0" applyFont="1" applyBorder="1" applyAlignment="1">
      <alignment horizontal="center" vertical="center"/>
    </xf>
    <xf numFmtId="0" fontId="54" fillId="0" borderId="53" xfId="0" applyFont="1" applyBorder="1" applyAlignment="1">
      <alignment horizontal="center" vertical="center"/>
    </xf>
    <xf numFmtId="0" fontId="54" fillId="0" borderId="108" xfId="0" applyFont="1" applyBorder="1" applyAlignment="1">
      <alignment horizontal="center" vertical="center"/>
    </xf>
    <xf numFmtId="0" fontId="54" fillId="0" borderId="55" xfId="0" applyFont="1" applyBorder="1" applyAlignment="1">
      <alignment horizontal="center" vertical="center"/>
    </xf>
    <xf numFmtId="3" fontId="22" fillId="0" borderId="0" xfId="34" applyNumberFormat="1"/>
    <xf numFmtId="0" fontId="32" fillId="0" borderId="48" xfId="0" applyFont="1" applyFill="1" applyBorder="1" applyAlignment="1">
      <alignment horizontal="left" vertical="center"/>
    </xf>
    <xf numFmtId="0" fontId="32" fillId="2" borderId="24" xfId="0" applyFont="1" applyFill="1" applyBorder="1" applyAlignment="1">
      <alignment horizontal="center" vertical="center" wrapText="1"/>
    </xf>
    <xf numFmtId="0" fontId="32" fillId="2" borderId="25" xfId="0" applyFont="1" applyFill="1" applyBorder="1" applyAlignment="1">
      <alignment horizontal="center" vertical="center"/>
    </xf>
    <xf numFmtId="0" fontId="32" fillId="2" borderId="80" xfId="0" applyFont="1" applyFill="1" applyBorder="1" applyAlignment="1">
      <alignment horizontal="center" vertical="center"/>
    </xf>
    <xf numFmtId="0" fontId="32" fillId="2" borderId="27" xfId="0" applyFont="1" applyFill="1" applyBorder="1" applyAlignment="1">
      <alignment horizontal="center" vertical="center"/>
    </xf>
    <xf numFmtId="0" fontId="32" fillId="2" borderId="48" xfId="0" applyFont="1" applyFill="1" applyBorder="1" applyAlignment="1">
      <alignment horizontal="center" vertical="center"/>
    </xf>
    <xf numFmtId="0" fontId="32" fillId="2" borderId="49" xfId="0" applyFont="1" applyFill="1" applyBorder="1" applyAlignment="1">
      <alignment horizontal="center" vertical="center"/>
    </xf>
    <xf numFmtId="0" fontId="32" fillId="2" borderId="81" xfId="0" applyFont="1" applyFill="1" applyBorder="1" applyAlignment="1">
      <alignment horizontal="center" vertical="center"/>
    </xf>
    <xf numFmtId="0" fontId="32" fillId="2" borderId="51" xfId="0" applyFont="1" applyFill="1" applyBorder="1" applyAlignment="1">
      <alignment horizontal="center" vertical="center"/>
    </xf>
    <xf numFmtId="0" fontId="32" fillId="0" borderId="57" xfId="0" applyFont="1" applyBorder="1" applyAlignment="1">
      <alignment horizontal="center" vertical="center"/>
    </xf>
    <xf numFmtId="0" fontId="32" fillId="0" borderId="173" xfId="0" applyFont="1" applyFill="1" applyBorder="1" applyAlignment="1">
      <alignment horizontal="left" vertical="center"/>
    </xf>
    <xf numFmtId="0" fontId="57" fillId="0" borderId="82" xfId="0" applyFont="1" applyFill="1" applyBorder="1" applyAlignment="1">
      <alignment horizontal="center" vertical="center"/>
    </xf>
    <xf numFmtId="0" fontId="56" fillId="0" borderId="82" xfId="0" applyFont="1" applyFill="1" applyBorder="1" applyAlignment="1">
      <alignment horizontal="center" vertical="center"/>
    </xf>
    <xf numFmtId="3" fontId="25" fillId="0" borderId="0" xfId="34" applyNumberFormat="1" applyFont="1" applyFill="1" applyBorder="1" applyAlignment="1">
      <alignment horizontal="right" indent="1"/>
    </xf>
    <xf numFmtId="3" fontId="32" fillId="26" borderId="49" xfId="0" applyNumberFormat="1" applyFont="1" applyFill="1" applyBorder="1" applyAlignment="1">
      <alignment horizontal="right" vertical="center" indent="1"/>
    </xf>
    <xf numFmtId="3" fontId="32" fillId="26" borderId="81" xfId="0" applyNumberFormat="1" applyFont="1" applyFill="1" applyBorder="1" applyAlignment="1">
      <alignment horizontal="right" vertical="center" indent="1"/>
    </xf>
    <xf numFmtId="3" fontId="32" fillId="26" borderId="106" xfId="0" applyNumberFormat="1" applyFont="1" applyFill="1" applyBorder="1" applyAlignment="1">
      <alignment horizontal="right" vertical="center" indent="1"/>
    </xf>
    <xf numFmtId="0" fontId="52" fillId="0" borderId="319" xfId="40" applyFont="1" applyFill="1" applyBorder="1" applyAlignment="1">
      <alignment horizontal="center" vertical="center" wrapText="1"/>
    </xf>
    <xf numFmtId="0" fontId="52" fillId="0" borderId="320" xfId="40" applyFont="1" applyFill="1" applyBorder="1" applyAlignment="1">
      <alignment horizontal="center" vertical="center" wrapText="1"/>
    </xf>
    <xf numFmtId="0" fontId="53" fillId="3" borderId="320" xfId="38" applyFont="1" applyFill="1" applyBorder="1" applyAlignment="1">
      <alignment horizontal="center" vertical="center" wrapText="1"/>
    </xf>
    <xf numFmtId="0" fontId="54" fillId="0" borderId="321" xfId="36" applyFont="1" applyBorder="1" applyAlignment="1">
      <alignment horizontal="center" vertical="center"/>
    </xf>
    <xf numFmtId="0" fontId="52" fillId="0" borderId="322" xfId="40" applyFont="1" applyFill="1" applyBorder="1" applyAlignment="1">
      <alignment horizontal="center" vertical="center" wrapText="1"/>
    </xf>
    <xf numFmtId="0" fontId="57" fillId="0" borderId="321" xfId="36" applyFont="1" applyBorder="1" applyAlignment="1">
      <alignment horizontal="center" vertical="center"/>
    </xf>
    <xf numFmtId="0" fontId="57" fillId="0" borderId="323" xfId="36" applyFont="1" applyBorder="1" applyAlignment="1">
      <alignment horizontal="center" vertical="center"/>
    </xf>
    <xf numFmtId="0" fontId="55" fillId="0" borderId="321" xfId="36" applyFont="1" applyBorder="1" applyAlignment="1">
      <alignment horizontal="center" vertical="center"/>
    </xf>
    <xf numFmtId="0" fontId="52" fillId="0" borderId="324" xfId="40" applyFont="1" applyFill="1" applyBorder="1" applyAlignment="1">
      <alignment horizontal="center" vertical="center" wrapText="1"/>
    </xf>
    <xf numFmtId="0" fontId="52" fillId="0" borderId="323" xfId="40" applyFont="1" applyFill="1" applyBorder="1" applyAlignment="1">
      <alignment horizontal="center" vertical="center" wrapText="1"/>
    </xf>
    <xf numFmtId="0" fontId="56" fillId="0" borderId="321" xfId="36" applyFont="1" applyBorder="1" applyAlignment="1">
      <alignment horizontal="center" vertical="center"/>
    </xf>
    <xf numFmtId="0" fontId="52" fillId="0" borderId="221" xfId="40" applyFont="1" applyFill="1" applyBorder="1" applyAlignment="1">
      <alignment horizontal="center" vertical="center" wrapText="1"/>
    </xf>
    <xf numFmtId="0" fontId="50" fillId="3" borderId="302" xfId="0" applyFont="1" applyFill="1" applyBorder="1" applyAlignment="1">
      <alignment horizontal="center" vertical="center"/>
    </xf>
    <xf numFmtId="0" fontId="57" fillId="0" borderId="56" xfId="0" applyFont="1" applyFill="1" applyBorder="1" applyAlignment="1">
      <alignment horizontal="center" vertical="center" wrapText="1"/>
    </xf>
    <xf numFmtId="0" fontId="25" fillId="0" borderId="1" xfId="65" applyFont="1" applyBorder="1" applyAlignment="1">
      <alignment horizontal="center" vertical="center" wrapText="1"/>
    </xf>
    <xf numFmtId="172" fontId="26" fillId="0" borderId="0" xfId="2" applyNumberFormat="1"/>
    <xf numFmtId="0" fontId="261" fillId="0" borderId="0" xfId="2" applyFont="1" applyAlignment="1">
      <alignment horizontal="left" vertical="center" readingOrder="1"/>
    </xf>
    <xf numFmtId="0" fontId="25" fillId="0" borderId="2" xfId="65" applyFont="1" applyBorder="1" applyAlignment="1">
      <alignment horizontal="center" vertical="center" wrapText="1"/>
    </xf>
    <xf numFmtId="0" fontId="32" fillId="0" borderId="49" xfId="0" applyFont="1" applyBorder="1" applyAlignment="1">
      <alignment horizontal="center" vertical="center"/>
    </xf>
    <xf numFmtId="0" fontId="32" fillId="0" borderId="214" xfId="3" applyFont="1" applyBorder="1" applyAlignment="1">
      <alignment horizontal="center" vertical="center"/>
    </xf>
    <xf numFmtId="4" fontId="32" fillId="0" borderId="242" xfId="62" applyNumberFormat="1" applyFont="1" applyBorder="1" applyAlignment="1">
      <alignment vertical="center"/>
    </xf>
    <xf numFmtId="4" fontId="32" fillId="0" borderId="219" xfId="3" applyNumberFormat="1" applyFont="1" applyBorder="1" applyAlignment="1">
      <alignment vertical="center"/>
    </xf>
    <xf numFmtId="4" fontId="50" fillId="0" borderId="73" xfId="62" applyNumberFormat="1" applyFont="1" applyBorder="1" applyAlignment="1">
      <alignment vertical="center"/>
    </xf>
    <xf numFmtId="0" fontId="54" fillId="0" borderId="82" xfId="3" applyFont="1" applyBorder="1" applyAlignment="1">
      <alignment horizontal="center" vertical="center"/>
    </xf>
    <xf numFmtId="4" fontId="54" fillId="0" borderId="75" xfId="62" applyNumberFormat="1" applyFont="1" applyBorder="1" applyAlignment="1">
      <alignment vertical="center"/>
    </xf>
    <xf numFmtId="4" fontId="54" fillId="0" borderId="77" xfId="62" applyNumberFormat="1" applyFont="1" applyBorder="1" applyAlignment="1">
      <alignment vertical="center"/>
    </xf>
    <xf numFmtId="4" fontId="32" fillId="0" borderId="70" xfId="62" applyNumberFormat="1" applyFont="1" applyBorder="1" applyAlignment="1">
      <alignment vertical="center"/>
    </xf>
    <xf numFmtId="4" fontId="32" fillId="0" borderId="71" xfId="3" applyNumberFormat="1" applyFont="1" applyBorder="1" applyAlignment="1">
      <alignment vertical="center"/>
    </xf>
    <xf numFmtId="0" fontId="57" fillId="0" borderId="82" xfId="3" applyFont="1" applyBorder="1" applyAlignment="1">
      <alignment horizontal="center" vertical="center"/>
    </xf>
    <xf numFmtId="4" fontId="57" fillId="0" borderId="75" xfId="62" applyNumberFormat="1" applyFont="1" applyBorder="1" applyAlignment="1">
      <alignment vertical="center"/>
    </xf>
    <xf numFmtId="4" fontId="57" fillId="0" borderId="77" xfId="62" applyNumberFormat="1" applyFont="1" applyBorder="1" applyAlignment="1">
      <alignment vertical="center"/>
    </xf>
    <xf numFmtId="0" fontId="55" fillId="0" borderId="82" xfId="3" applyFont="1" applyBorder="1" applyAlignment="1">
      <alignment horizontal="center" vertical="center"/>
    </xf>
    <xf numFmtId="4" fontId="55" fillId="0" borderId="75" xfId="62" applyNumberFormat="1" applyFont="1" applyBorder="1" applyAlignment="1">
      <alignment vertical="center"/>
    </xf>
    <xf numFmtId="4" fontId="55" fillId="0" borderId="77" xfId="62" applyNumberFormat="1" applyFont="1" applyBorder="1" applyAlignment="1">
      <alignment vertical="center"/>
    </xf>
    <xf numFmtId="0" fontId="58" fillId="0" borderId="82" xfId="3" applyFont="1" applyBorder="1" applyAlignment="1">
      <alignment horizontal="center" vertical="center"/>
    </xf>
    <xf numFmtId="4" fontId="58" fillId="0" borderId="75" xfId="62" applyNumberFormat="1" applyFont="1" applyBorder="1" applyAlignment="1">
      <alignment vertical="center"/>
    </xf>
    <xf numFmtId="4" fontId="58" fillId="0" borderId="77" xfId="62" applyNumberFormat="1" applyFont="1" applyBorder="1" applyAlignment="1">
      <alignment vertical="center"/>
    </xf>
    <xf numFmtId="0" fontId="56" fillId="0" borderId="82" xfId="3" applyFont="1" applyBorder="1" applyAlignment="1">
      <alignment horizontal="center" vertical="center"/>
    </xf>
    <xf numFmtId="4" fontId="56" fillId="0" borderId="75" xfId="62" applyNumberFormat="1" applyFont="1" applyBorder="1" applyAlignment="1">
      <alignment vertical="center"/>
    </xf>
    <xf numFmtId="4" fontId="56" fillId="0" borderId="77" xfId="62" applyNumberFormat="1" applyFont="1" applyBorder="1" applyAlignment="1">
      <alignment vertical="center"/>
    </xf>
    <xf numFmtId="0" fontId="246" fillId="0" borderId="294" xfId="3" applyFont="1" applyBorder="1" applyAlignment="1">
      <alignment horizontal="center" vertical="center"/>
    </xf>
    <xf numFmtId="4" fontId="32" fillId="0" borderId="264" xfId="62" applyNumberFormat="1" applyFont="1" applyBorder="1" applyAlignment="1">
      <alignment vertical="center"/>
    </xf>
    <xf numFmtId="4" fontId="32" fillId="0" borderId="325" xfId="3" applyNumberFormat="1" applyFont="1" applyBorder="1" applyAlignment="1">
      <alignment vertical="center"/>
    </xf>
    <xf numFmtId="0" fontId="25" fillId="3" borderId="326" xfId="3" applyFont="1" applyFill="1" applyBorder="1" applyAlignment="1">
      <alignment horizontal="center" vertical="center"/>
    </xf>
    <xf numFmtId="4" fontId="25" fillId="3" borderId="327" xfId="3" applyNumberFormat="1" applyFont="1" applyFill="1" applyBorder="1" applyAlignment="1">
      <alignment vertical="center"/>
    </xf>
    <xf numFmtId="4" fontId="25" fillId="3" borderId="328" xfId="3" applyNumberFormat="1" applyFont="1" applyFill="1" applyBorder="1" applyAlignment="1">
      <alignment vertical="center"/>
    </xf>
    <xf numFmtId="0" fontId="282" fillId="0" borderId="0" xfId="0" applyFont="1" applyAlignment="1">
      <alignment vertical="center"/>
    </xf>
    <xf numFmtId="4" fontId="32" fillId="0" borderId="0" xfId="45" applyNumberFormat="1" applyFont="1" applyAlignment="1">
      <alignment vertical="center"/>
    </xf>
    <xf numFmtId="0" fontId="50" fillId="3" borderId="302" xfId="3" applyFont="1" applyFill="1" applyBorder="1" applyAlignment="1">
      <alignment horizontal="center" vertical="center"/>
    </xf>
    <xf numFmtId="3" fontId="32" fillId="2" borderId="171" xfId="3" applyNumberFormat="1" applyFont="1" applyFill="1" applyBorder="1" applyAlignment="1">
      <alignment horizontal="right" vertical="center"/>
    </xf>
    <xf numFmtId="3" fontId="54" fillId="0" borderId="302" xfId="3" applyNumberFormat="1" applyFont="1" applyBorder="1" applyAlignment="1">
      <alignment horizontal="right" vertical="center"/>
    </xf>
    <xf numFmtId="3" fontId="57" fillId="0" borderId="302" xfId="3" applyNumberFormat="1" applyFont="1" applyBorder="1" applyAlignment="1">
      <alignment horizontal="right" vertical="center"/>
    </xf>
    <xf numFmtId="3" fontId="55" fillId="0" borderId="302" xfId="3" applyNumberFormat="1" applyFont="1" applyBorder="1" applyAlignment="1">
      <alignment horizontal="right" vertical="center"/>
    </xf>
    <xf numFmtId="3" fontId="58" fillId="0" borderId="302" xfId="3" applyNumberFormat="1" applyFont="1" applyBorder="1" applyAlignment="1">
      <alignment horizontal="right" vertical="center"/>
    </xf>
    <xf numFmtId="0" fontId="32" fillId="0" borderId="49" xfId="3" applyFont="1" applyBorder="1" applyAlignment="1">
      <alignment horizontal="right" vertical="center"/>
    </xf>
    <xf numFmtId="3" fontId="56" fillId="0" borderId="302" xfId="3" applyNumberFormat="1" applyFont="1" applyBorder="1" applyAlignment="1">
      <alignment horizontal="right" vertical="center"/>
    </xf>
    <xf numFmtId="0" fontId="32" fillId="0" borderId="52" xfId="0" applyFont="1" applyBorder="1" applyAlignment="1">
      <alignment horizontal="center" vertical="center"/>
    </xf>
    <xf numFmtId="0" fontId="32" fillId="0" borderId="24" xfId="0" applyFont="1" applyBorder="1" applyAlignment="1">
      <alignment horizontal="center" vertical="center"/>
    </xf>
    <xf numFmtId="0" fontId="32" fillId="0" borderId="25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164" fontId="0" fillId="0" borderId="0" xfId="27" applyNumberFormat="1" applyFont="1" applyAlignment="1">
      <alignment vertical="center"/>
    </xf>
    <xf numFmtId="0" fontId="234" fillId="0" borderId="0" xfId="3" applyFont="1" applyAlignment="1">
      <alignment vertical="center"/>
    </xf>
    <xf numFmtId="0" fontId="132" fillId="0" borderId="0" xfId="3" applyFont="1" applyAlignment="1">
      <alignment vertical="center"/>
    </xf>
    <xf numFmtId="0" fontId="129" fillId="0" borderId="0" xfId="3" applyFont="1" applyAlignment="1">
      <alignment vertical="center"/>
    </xf>
    <xf numFmtId="0" fontId="130" fillId="0" borderId="0" xfId="3" applyFont="1" applyAlignment="1">
      <alignment vertical="center"/>
    </xf>
    <xf numFmtId="0" fontId="133" fillId="0" borderId="0" xfId="3" applyFont="1" applyAlignment="1">
      <alignment vertical="center"/>
    </xf>
    <xf numFmtId="0" fontId="161" fillId="0" borderId="0" xfId="3" applyFont="1" applyAlignment="1">
      <alignment vertical="center"/>
    </xf>
    <xf numFmtId="3" fontId="32" fillId="0" borderId="171" xfId="3" applyNumberFormat="1" applyFont="1" applyBorder="1" applyAlignment="1">
      <alignment vertical="center"/>
    </xf>
    <xf numFmtId="3" fontId="32" fillId="0" borderId="212" xfId="3" applyNumberFormat="1" applyFont="1" applyBorder="1" applyAlignment="1">
      <alignment vertical="center"/>
    </xf>
    <xf numFmtId="3" fontId="32" fillId="0" borderId="172" xfId="3" applyNumberFormat="1" applyFont="1" applyBorder="1" applyAlignment="1">
      <alignment vertical="center"/>
    </xf>
    <xf numFmtId="3" fontId="32" fillId="0" borderId="49" xfId="3" applyNumberFormat="1" applyFont="1" applyBorder="1" applyAlignment="1">
      <alignment vertical="center"/>
    </xf>
    <xf numFmtId="3" fontId="32" fillId="0" borderId="50" xfId="3" applyNumberFormat="1" applyFont="1" applyBorder="1" applyAlignment="1">
      <alignment vertical="center"/>
    </xf>
    <xf numFmtId="3" fontId="32" fillId="0" borderId="51" xfId="3" applyNumberFormat="1" applyFont="1" applyBorder="1" applyAlignment="1">
      <alignment vertical="center"/>
    </xf>
    <xf numFmtId="0" fontId="44" fillId="0" borderId="288" xfId="3" applyFont="1" applyBorder="1" applyAlignment="1">
      <alignment vertical="center"/>
    </xf>
    <xf numFmtId="0" fontId="44" fillId="0" borderId="289" xfId="3" applyFont="1" applyBorder="1" applyAlignment="1">
      <alignment vertical="center"/>
    </xf>
    <xf numFmtId="0" fontId="44" fillId="0" borderId="290" xfId="3" applyFont="1" applyBorder="1" applyAlignment="1">
      <alignment vertical="center"/>
    </xf>
    <xf numFmtId="3" fontId="32" fillId="0" borderId="53" xfId="3" applyNumberFormat="1" applyFont="1" applyBorder="1" applyAlignment="1">
      <alignment vertical="center"/>
    </xf>
    <xf numFmtId="3" fontId="32" fillId="0" borderId="54" xfId="3" applyNumberFormat="1" applyFont="1" applyBorder="1" applyAlignment="1">
      <alignment vertical="center"/>
    </xf>
    <xf numFmtId="3" fontId="32" fillId="0" borderId="55" xfId="3" applyNumberFormat="1" applyFont="1" applyBorder="1" applyAlignment="1">
      <alignment vertical="center"/>
    </xf>
    <xf numFmtId="3" fontId="50" fillId="27" borderId="302" xfId="3" applyNumberFormat="1" applyFont="1" applyFill="1" applyBorder="1" applyAlignment="1">
      <alignment vertical="center"/>
    </xf>
    <xf numFmtId="3" fontId="50" fillId="27" borderId="303" xfId="3" applyNumberFormat="1" applyFont="1" applyFill="1" applyBorder="1" applyAlignment="1">
      <alignment vertical="center"/>
    </xf>
    <xf numFmtId="3" fontId="50" fillId="27" borderId="304" xfId="3" applyNumberFormat="1" applyFont="1" applyFill="1" applyBorder="1" applyAlignment="1">
      <alignment vertical="center"/>
    </xf>
    <xf numFmtId="9" fontId="22" fillId="0" borderId="0" xfId="27" applyFont="1"/>
    <xf numFmtId="164" fontId="22" fillId="0" borderId="0" xfId="27" applyNumberFormat="1" applyFont="1"/>
    <xf numFmtId="0" fontId="256" fillId="0" borderId="0" xfId="0" applyFont="1" applyAlignment="1">
      <alignment vertical="center" wrapText="1"/>
    </xf>
    <xf numFmtId="0" fontId="87" fillId="0" borderId="49" xfId="2" applyFont="1" applyBorder="1" applyAlignment="1">
      <alignment horizontal="left" vertical="center" wrapText="1" readingOrder="1"/>
    </xf>
    <xf numFmtId="0" fontId="87" fillId="0" borderId="57" xfId="2" applyFont="1" applyBorder="1" applyAlignment="1">
      <alignment horizontal="left" vertical="center" wrapText="1" readingOrder="1"/>
    </xf>
    <xf numFmtId="173" fontId="12" fillId="0" borderId="26" xfId="0" applyNumberFormat="1" applyFont="1" applyBorder="1" applyAlignment="1">
      <alignment horizontal="center" vertical="center"/>
    </xf>
    <xf numFmtId="173" fontId="12" fillId="0" borderId="50" xfId="0" applyNumberFormat="1" applyFont="1" applyBorder="1" applyAlignment="1">
      <alignment horizontal="center" vertical="center"/>
    </xf>
    <xf numFmtId="0" fontId="25" fillId="21" borderId="329" xfId="0" applyFont="1" applyFill="1" applyBorder="1" applyAlignment="1">
      <alignment horizontal="center" vertical="center"/>
    </xf>
    <xf numFmtId="3" fontId="12" fillId="0" borderId="26" xfId="0" applyNumberFormat="1" applyFont="1" applyBorder="1" applyAlignment="1">
      <alignment horizontal="center"/>
    </xf>
    <xf numFmtId="3" fontId="12" fillId="0" borderId="50" xfId="0" applyNumberFormat="1" applyFont="1" applyBorder="1" applyAlignment="1">
      <alignment horizontal="center"/>
    </xf>
    <xf numFmtId="3" fontId="25" fillId="25" borderId="329" xfId="0" applyNumberFormat="1" applyFont="1" applyFill="1" applyBorder="1" applyAlignment="1">
      <alignment horizontal="center"/>
    </xf>
    <xf numFmtId="49" fontId="12" fillId="0" borderId="70" xfId="0" applyNumberFormat="1" applyFont="1" applyBorder="1" applyAlignment="1">
      <alignment horizontal="center" vertical="center"/>
    </xf>
    <xf numFmtId="49" fontId="12" fillId="0" borderId="73" xfId="0" applyNumberFormat="1" applyFont="1" applyBorder="1" applyAlignment="1">
      <alignment horizontal="center" vertical="center"/>
    </xf>
    <xf numFmtId="3" fontId="25" fillId="21" borderId="262" xfId="0" applyNumberFormat="1" applyFont="1" applyFill="1" applyBorder="1" applyAlignment="1">
      <alignment horizontal="center" vertical="center"/>
    </xf>
    <xf numFmtId="173" fontId="12" fillId="0" borderId="81" xfId="0" applyNumberFormat="1" applyFont="1" applyBorder="1" applyAlignment="1">
      <alignment horizontal="center" vertical="center"/>
    </xf>
    <xf numFmtId="3" fontId="12" fillId="23" borderId="73" xfId="0" applyNumberFormat="1" applyFont="1" applyFill="1" applyBorder="1" applyAlignment="1">
      <alignment horizontal="center" vertical="center"/>
    </xf>
    <xf numFmtId="3" fontId="12" fillId="23" borderId="73" xfId="0" applyNumberFormat="1" applyFont="1" applyFill="1" applyBorder="1" applyAlignment="1">
      <alignment horizontal="center"/>
    </xf>
    <xf numFmtId="3" fontId="12" fillId="0" borderId="73" xfId="0" applyNumberFormat="1" applyFont="1" applyBorder="1" applyAlignment="1">
      <alignment horizontal="center"/>
    </xf>
    <xf numFmtId="0" fontId="30" fillId="0" borderId="81" xfId="0" applyFont="1" applyBorder="1" applyAlignment="1">
      <alignment horizontal="center"/>
    </xf>
    <xf numFmtId="0" fontId="12" fillId="0" borderId="73" xfId="0" applyFont="1" applyBorder="1" applyAlignment="1">
      <alignment horizontal="center" vertical="center"/>
    </xf>
    <xf numFmtId="3" fontId="12" fillId="0" borderId="73" xfId="0" applyNumberFormat="1" applyFont="1" applyBorder="1" applyAlignment="1">
      <alignment horizontal="center" vertical="center"/>
    </xf>
    <xf numFmtId="173" fontId="12" fillId="0" borderId="81" xfId="0" applyNumberFormat="1" applyFont="1" applyBorder="1" applyAlignment="1">
      <alignment horizontal="center" vertical="center" wrapText="1"/>
    </xf>
    <xf numFmtId="0" fontId="25" fillId="21" borderId="261" xfId="0" applyFont="1" applyFill="1" applyBorder="1" applyAlignment="1">
      <alignment horizontal="center" vertical="center"/>
    </xf>
    <xf numFmtId="3" fontId="25" fillId="24" borderId="262" xfId="0" applyNumberFormat="1" applyFont="1" applyFill="1" applyBorder="1" applyAlignment="1">
      <alignment horizontal="center"/>
    </xf>
    <xf numFmtId="173" fontId="12" fillId="0" borderId="80" xfId="0" applyNumberFormat="1" applyFont="1" applyBorder="1" applyAlignment="1">
      <alignment horizontal="center" vertical="center"/>
    </xf>
    <xf numFmtId="3" fontId="12" fillId="23" borderId="70" xfId="0" applyNumberFormat="1" applyFont="1" applyFill="1" applyBorder="1" applyAlignment="1">
      <alignment horizontal="center" vertical="center"/>
    </xf>
    <xf numFmtId="3" fontId="12" fillId="23" borderId="70" xfId="0" applyNumberFormat="1" applyFont="1" applyFill="1" applyBorder="1" applyAlignment="1">
      <alignment horizontal="center"/>
    </xf>
    <xf numFmtId="3" fontId="12" fillId="0" borderId="70" xfId="0" applyNumberFormat="1" applyFont="1" applyBorder="1" applyAlignment="1">
      <alignment horizontal="center"/>
    </xf>
    <xf numFmtId="3" fontId="12" fillId="0" borderId="71" xfId="0" applyNumberFormat="1" applyFont="1" applyBorder="1" applyAlignment="1">
      <alignment horizontal="center"/>
    </xf>
    <xf numFmtId="3" fontId="12" fillId="0" borderId="74" xfId="0" applyNumberFormat="1" applyFont="1" applyBorder="1" applyAlignment="1">
      <alignment horizontal="center"/>
    </xf>
    <xf numFmtId="3" fontId="12" fillId="0" borderId="74" xfId="0" applyNumberFormat="1" applyFont="1" applyBorder="1" applyAlignment="1">
      <alignment horizontal="center" vertical="center"/>
    </xf>
    <xf numFmtId="3" fontId="25" fillId="22" borderId="334" xfId="0" applyNumberFormat="1" applyFont="1" applyFill="1" applyBorder="1" applyAlignment="1">
      <alignment horizontal="center"/>
    </xf>
    <xf numFmtId="0" fontId="25" fillId="0" borderId="0" xfId="0" applyFont="1" applyBorder="1"/>
    <xf numFmtId="3" fontId="30" fillId="0" borderId="74" xfId="0" applyNumberFormat="1" applyFont="1" applyBorder="1" applyAlignment="1">
      <alignment horizontal="center" vertical="center"/>
    </xf>
    <xf numFmtId="3" fontId="12" fillId="0" borderId="70" xfId="0" applyNumberFormat="1" applyFont="1" applyBorder="1" applyAlignment="1">
      <alignment horizontal="center" vertical="center"/>
    </xf>
    <xf numFmtId="3" fontId="30" fillId="0" borderId="71" xfId="0" applyNumberFormat="1" applyFont="1" applyBorder="1" applyAlignment="1">
      <alignment horizontal="center" vertical="center"/>
    </xf>
    <xf numFmtId="0" fontId="25" fillId="0" borderId="332" xfId="0" applyFont="1" applyBorder="1" applyAlignment="1">
      <alignment horizontal="center" vertical="center"/>
    </xf>
    <xf numFmtId="0" fontId="25" fillId="0" borderId="333" xfId="0" applyFont="1" applyBorder="1" applyAlignment="1">
      <alignment horizontal="center"/>
    </xf>
    <xf numFmtId="0" fontId="25" fillId="21" borderId="82" xfId="0" applyFont="1" applyFill="1" applyBorder="1" applyAlignment="1">
      <alignment horizontal="center" vertical="center"/>
    </xf>
    <xf numFmtId="3" fontId="25" fillId="21" borderId="75" xfId="0" applyNumberFormat="1" applyFont="1" applyFill="1" applyBorder="1" applyAlignment="1">
      <alignment horizontal="center" vertical="center"/>
    </xf>
    <xf numFmtId="3" fontId="25" fillId="21" borderId="77" xfId="0" applyNumberFormat="1" applyFont="1" applyFill="1" applyBorder="1" applyAlignment="1">
      <alignment horizontal="center" vertical="center"/>
    </xf>
    <xf numFmtId="0" fontId="174" fillId="0" borderId="42" xfId="3" applyFont="1" applyBorder="1" applyAlignment="1">
      <alignment vertical="center"/>
    </xf>
    <xf numFmtId="0" fontId="25" fillId="0" borderId="54" xfId="0" applyFont="1" applyBorder="1" applyAlignment="1">
      <alignment vertical="center"/>
    </xf>
    <xf numFmtId="173" fontId="12" fillId="0" borderId="80" xfId="0" applyNumberFormat="1" applyFont="1" applyBorder="1" applyAlignment="1">
      <alignment horizontal="left" vertical="center" wrapText="1"/>
    </xf>
    <xf numFmtId="173" fontId="12" fillId="0" borderId="81" xfId="0" applyNumberFormat="1" applyFont="1" applyBorder="1" applyAlignment="1">
      <alignment horizontal="left" vertical="center"/>
    </xf>
    <xf numFmtId="0" fontId="32" fillId="0" borderId="75" xfId="33" applyFont="1" applyFill="1" applyBorder="1" applyAlignment="1">
      <alignment horizontal="center" vertical="center" wrapText="1"/>
    </xf>
    <xf numFmtId="0" fontId="32" fillId="2" borderId="73" xfId="33" applyFont="1" applyFill="1" applyBorder="1" applyAlignment="1">
      <alignment horizontal="center" vertical="center" wrapText="1"/>
    </xf>
    <xf numFmtId="0" fontId="25" fillId="0" borderId="0" xfId="56" applyFont="1"/>
    <xf numFmtId="173" fontId="32" fillId="0" borderId="214" xfId="57" applyNumberFormat="1" applyFont="1" applyBorder="1" applyAlignment="1">
      <alignment horizontal="center" vertical="center"/>
    </xf>
    <xf numFmtId="0" fontId="32" fillId="0" borderId="242" xfId="57" applyFont="1" applyBorder="1" applyAlignment="1">
      <alignment horizontal="center" vertical="center"/>
    </xf>
    <xf numFmtId="3" fontId="32" fillId="0" borderId="219" xfId="57" applyNumberFormat="1" applyFont="1" applyBorder="1" applyAlignment="1">
      <alignment horizontal="center" vertical="center"/>
    </xf>
    <xf numFmtId="173" fontId="32" fillId="0" borderId="81" xfId="0" applyNumberFormat="1" applyFont="1" applyBorder="1" applyAlignment="1">
      <alignment horizontal="center" vertical="center"/>
    </xf>
    <xf numFmtId="173" fontId="32" fillId="0" borderId="81" xfId="0" applyNumberFormat="1" applyFont="1" applyBorder="1" applyAlignment="1">
      <alignment horizontal="center" vertical="center" wrapText="1"/>
    </xf>
    <xf numFmtId="0" fontId="50" fillId="3" borderId="82" xfId="57" applyFont="1" applyFill="1" applyBorder="1" applyAlignment="1">
      <alignment horizontal="center" vertical="center"/>
    </xf>
    <xf numFmtId="3" fontId="50" fillId="6" borderId="75" xfId="57" applyNumberFormat="1" applyFont="1" applyFill="1" applyBorder="1" applyAlignment="1">
      <alignment horizontal="center" vertical="center"/>
    </xf>
    <xf numFmtId="3" fontId="50" fillId="3" borderId="77" xfId="57" applyNumberFormat="1" applyFont="1" applyFill="1" applyBorder="1" applyAlignment="1">
      <alignment horizontal="center" vertical="center"/>
    </xf>
    <xf numFmtId="0" fontId="187" fillId="0" borderId="0" xfId="0" applyFont="1"/>
    <xf numFmtId="0" fontId="25" fillId="0" borderId="26" xfId="0" applyFont="1" applyFill="1" applyBorder="1" applyAlignment="1">
      <alignment vertical="center"/>
    </xf>
    <xf numFmtId="0" fontId="25" fillId="0" borderId="0" xfId="0" applyFont="1" applyBorder="1" applyAlignment="1">
      <alignment vertical="center"/>
    </xf>
    <xf numFmtId="0" fontId="32" fillId="0" borderId="242" xfId="57" applyFont="1" applyBorder="1" applyAlignment="1">
      <alignment horizontal="center"/>
    </xf>
    <xf numFmtId="3" fontId="32" fillId="0" borderId="219" xfId="57" applyNumberFormat="1" applyFont="1" applyBorder="1" applyAlignment="1">
      <alignment horizontal="center"/>
    </xf>
    <xf numFmtId="3" fontId="32" fillId="0" borderId="73" xfId="0" applyNumberFormat="1" applyFont="1" applyBorder="1" applyAlignment="1">
      <alignment horizontal="center"/>
    </xf>
    <xf numFmtId="3" fontId="32" fillId="0" borderId="74" xfId="0" applyNumberFormat="1" applyFont="1" applyBorder="1" applyAlignment="1">
      <alignment horizontal="center"/>
    </xf>
    <xf numFmtId="3" fontId="32" fillId="6" borderId="77" xfId="0" applyNumberFormat="1" applyFont="1" applyFill="1" applyBorder="1" applyAlignment="1">
      <alignment horizontal="center" vertical="center"/>
    </xf>
    <xf numFmtId="0" fontId="25" fillId="3" borderId="58" xfId="56" applyFont="1" applyFill="1" applyBorder="1" applyAlignment="1">
      <alignment horizontal="center" vertical="center"/>
    </xf>
    <xf numFmtId="173" fontId="32" fillId="0" borderId="82" xfId="0" applyNumberFormat="1" applyFont="1" applyBorder="1" applyAlignment="1">
      <alignment horizontal="center"/>
    </xf>
    <xf numFmtId="0" fontId="31" fillId="0" borderId="335" xfId="2" applyFont="1" applyFill="1" applyBorder="1" applyAlignment="1">
      <alignment vertical="center"/>
    </xf>
    <xf numFmtId="0" fontId="277" fillId="0" borderId="335" xfId="2" applyFont="1" applyFill="1" applyBorder="1" applyAlignment="1">
      <alignment vertical="center"/>
    </xf>
    <xf numFmtId="3" fontId="158" fillId="2" borderId="24" xfId="0" applyNumberFormat="1" applyFont="1" applyFill="1" applyBorder="1" applyAlignment="1">
      <alignment horizontal="right" vertical="center" wrapText="1"/>
    </xf>
    <xf numFmtId="3" fontId="158" fillId="2" borderId="48" xfId="0" applyNumberFormat="1" applyFont="1" applyFill="1" applyBorder="1" applyAlignment="1">
      <alignment horizontal="right" vertical="center" wrapText="1"/>
    </xf>
    <xf numFmtId="3" fontId="158" fillId="0" borderId="48" xfId="0" applyNumberFormat="1" applyFont="1" applyBorder="1" applyAlignment="1">
      <alignment horizontal="right" vertical="center" wrapText="1"/>
    </xf>
    <xf numFmtId="3" fontId="55" fillId="0" borderId="35" xfId="2" applyNumberFormat="1" applyFont="1" applyBorder="1" applyAlignment="1">
      <alignment horizontal="right"/>
    </xf>
    <xf numFmtId="3" fontId="55" fillId="0" borderId="0" xfId="2" applyNumberFormat="1" applyFont="1" applyBorder="1" applyAlignment="1">
      <alignment horizontal="right"/>
    </xf>
    <xf numFmtId="3" fontId="55" fillId="0" borderId="36" xfId="2" applyNumberFormat="1" applyFont="1" applyBorder="1" applyAlignment="1">
      <alignment horizontal="right"/>
    </xf>
    <xf numFmtId="3" fontId="55" fillId="2" borderId="35" xfId="2" applyNumberFormat="1" applyFont="1" applyFill="1" applyBorder="1" applyAlignment="1">
      <alignment horizontal="right"/>
    </xf>
    <xf numFmtId="3" fontId="55" fillId="2" borderId="0" xfId="2" applyNumberFormat="1" applyFont="1" applyFill="1" applyBorder="1" applyAlignment="1">
      <alignment horizontal="right"/>
    </xf>
    <xf numFmtId="3" fontId="55" fillId="2" borderId="36" xfId="2" applyNumberFormat="1" applyFont="1" applyFill="1" applyBorder="1" applyAlignment="1">
      <alignment horizontal="right"/>
    </xf>
    <xf numFmtId="3" fontId="32" fillId="0" borderId="35" xfId="2" applyNumberFormat="1" applyFont="1" applyBorder="1" applyAlignment="1">
      <alignment horizontal="right"/>
    </xf>
    <xf numFmtId="3" fontId="32" fillId="0" borderId="0" xfId="2" applyNumberFormat="1" applyFont="1" applyBorder="1" applyAlignment="1">
      <alignment horizontal="right"/>
    </xf>
    <xf numFmtId="3" fontId="50" fillId="0" borderId="36" xfId="2" applyNumberFormat="1" applyFont="1" applyBorder="1" applyAlignment="1">
      <alignment horizontal="right"/>
    </xf>
    <xf numFmtId="3" fontId="50" fillId="3" borderId="61" xfId="21" applyNumberFormat="1" applyFont="1" applyFill="1" applyBorder="1" applyAlignment="1">
      <alignment horizontal="right" vertical="center"/>
    </xf>
    <xf numFmtId="0" fontId="32" fillId="0" borderId="49" xfId="0" applyFont="1" applyBorder="1" applyAlignment="1">
      <alignment horizontal="center" vertical="center"/>
    </xf>
    <xf numFmtId="0" fontId="50" fillId="3" borderId="155" xfId="0" applyFont="1" applyFill="1" applyBorder="1" applyAlignment="1">
      <alignment horizontal="center" vertical="center"/>
    </xf>
    <xf numFmtId="0" fontId="3" fillId="0" borderId="261" xfId="65" applyFont="1" applyFill="1" applyBorder="1" applyAlignment="1">
      <alignment vertical="center" wrapText="1"/>
    </xf>
    <xf numFmtId="0" fontId="3" fillId="0" borderId="0" xfId="65" applyFont="1"/>
    <xf numFmtId="0" fontId="24" fillId="0" borderId="0" xfId="65" applyFont="1"/>
    <xf numFmtId="0" fontId="221" fillId="0" borderId="0" xfId="0" applyFont="1"/>
    <xf numFmtId="0" fontId="41" fillId="0" borderId="0" xfId="0" applyFont="1" applyBorder="1" applyAlignment="1">
      <alignment wrapText="1"/>
    </xf>
    <xf numFmtId="0" fontId="162" fillId="0" borderId="0" xfId="34" applyFont="1"/>
    <xf numFmtId="0" fontId="32" fillId="0" borderId="171" xfId="3" applyFont="1" applyBorder="1" applyAlignment="1">
      <alignment vertical="center"/>
    </xf>
    <xf numFmtId="0" fontId="71" fillId="0" borderId="336" xfId="5" applyFont="1" applyBorder="1" applyAlignment="1">
      <alignment wrapText="1"/>
    </xf>
    <xf numFmtId="0" fontId="54" fillId="0" borderId="302" xfId="3" applyFont="1" applyBorder="1" applyAlignment="1">
      <alignment horizontal="center" vertical="center"/>
    </xf>
    <xf numFmtId="0" fontId="55" fillId="0" borderId="302" xfId="3" applyFont="1" applyBorder="1" applyAlignment="1">
      <alignment horizontal="center" vertical="center"/>
    </xf>
    <xf numFmtId="0" fontId="56" fillId="0" borderId="302" xfId="3" applyFont="1" applyBorder="1" applyAlignment="1">
      <alignment horizontal="center" vertical="center"/>
    </xf>
    <xf numFmtId="0" fontId="57" fillId="0" borderId="302" xfId="3" applyFont="1" applyBorder="1" applyAlignment="1">
      <alignment horizontal="center" vertical="center"/>
    </xf>
    <xf numFmtId="0" fontId="58" fillId="0" borderId="302" xfId="3" applyFont="1" applyBorder="1" applyAlignment="1">
      <alignment horizontal="center" vertical="center"/>
    </xf>
    <xf numFmtId="0" fontId="32" fillId="0" borderId="173" xfId="3" applyFont="1" applyBorder="1" applyAlignment="1">
      <alignment vertical="center"/>
    </xf>
    <xf numFmtId="0" fontId="54" fillId="0" borderId="297" xfId="3" applyFont="1" applyBorder="1" applyAlignment="1">
      <alignment horizontal="center" vertical="center"/>
    </xf>
    <xf numFmtId="0" fontId="55" fillId="0" borderId="297" xfId="3" applyFont="1" applyBorder="1" applyAlignment="1">
      <alignment horizontal="center" vertical="center"/>
    </xf>
    <xf numFmtId="0" fontId="56" fillId="0" borderId="297" xfId="3" applyFont="1" applyBorder="1" applyAlignment="1">
      <alignment horizontal="center" vertical="center"/>
    </xf>
    <xf numFmtId="0" fontId="57" fillId="0" borderId="297" xfId="3" applyFont="1" applyBorder="1" applyAlignment="1">
      <alignment horizontal="center" vertical="center"/>
    </xf>
    <xf numFmtId="0" fontId="58" fillId="0" borderId="297" xfId="3" applyFont="1" applyBorder="1" applyAlignment="1">
      <alignment horizontal="center" vertical="center"/>
    </xf>
    <xf numFmtId="0" fontId="2" fillId="0" borderId="50" xfId="0" applyFont="1" applyFill="1" applyBorder="1" applyAlignment="1">
      <alignment horizontal="left" vertical="center"/>
    </xf>
    <xf numFmtId="0" fontId="2" fillId="0" borderId="50" xfId="0" applyFont="1" applyFill="1" applyBorder="1" applyAlignment="1">
      <alignment horizontal="left" vertical="center" wrapText="1"/>
    </xf>
    <xf numFmtId="0" fontId="72" fillId="0" borderId="337" xfId="0" applyFont="1" applyBorder="1" applyAlignment="1">
      <alignment vertical="center" wrapText="1"/>
    </xf>
    <xf numFmtId="0" fontId="72" fillId="0" borderId="0" xfId="0" applyFont="1"/>
    <xf numFmtId="0" fontId="189" fillId="0" borderId="0" xfId="0" applyFont="1"/>
    <xf numFmtId="0" fontId="295" fillId="0" borderId="0" xfId="0" applyFont="1"/>
    <xf numFmtId="0" fontId="145" fillId="0" borderId="0" xfId="0" applyFont="1" applyBorder="1" applyAlignment="1">
      <alignment horizontal="right"/>
    </xf>
    <xf numFmtId="0" fontId="55" fillId="0" borderId="60" xfId="3" applyFont="1" applyBorder="1" applyAlignment="1">
      <alignment horizontal="center" vertical="center"/>
    </xf>
    <xf numFmtId="1" fontId="41" fillId="3" borderId="35" xfId="0" applyNumberFormat="1" applyFont="1" applyFill="1" applyBorder="1" applyAlignment="1">
      <alignment horizontal="center" vertical="center" wrapText="1"/>
    </xf>
    <xf numFmtId="1" fontId="41" fillId="3" borderId="0" xfId="0" applyNumberFormat="1" applyFont="1" applyFill="1" applyBorder="1" applyAlignment="1">
      <alignment horizontal="center" vertical="center" wrapText="1"/>
    </xf>
    <xf numFmtId="3" fontId="32" fillId="0" borderId="49" xfId="2" applyNumberFormat="1" applyFont="1" applyBorder="1" applyAlignment="1">
      <alignment horizontal="center" vertical="center" wrapText="1"/>
    </xf>
    <xf numFmtId="3" fontId="32" fillId="0" borderId="50" xfId="2" applyNumberFormat="1" applyFont="1" applyBorder="1" applyAlignment="1">
      <alignment horizontal="center" vertical="center" wrapText="1"/>
    </xf>
    <xf numFmtId="1" fontId="41" fillId="0" borderId="35" xfId="0" applyNumberFormat="1" applyFont="1" applyFill="1" applyBorder="1" applyAlignment="1">
      <alignment horizontal="center" vertical="center" wrapText="1"/>
    </xf>
    <xf numFmtId="1" fontId="41" fillId="0" borderId="0" xfId="0" applyNumberFormat="1" applyFont="1" applyFill="1" applyBorder="1" applyAlignment="1">
      <alignment horizontal="center" vertical="center" wrapText="1"/>
    </xf>
    <xf numFmtId="3" fontId="32" fillId="0" borderId="35" xfId="2" applyNumberFormat="1" applyFont="1" applyBorder="1" applyAlignment="1">
      <alignment horizontal="center" vertical="center"/>
    </xf>
    <xf numFmtId="3" fontId="32" fillId="0" borderId="0" xfId="2" applyNumberFormat="1" applyFont="1" applyBorder="1" applyAlignment="1">
      <alignment horizontal="center" vertical="center"/>
    </xf>
    <xf numFmtId="3" fontId="32" fillId="0" borderId="53" xfId="2" applyNumberFormat="1" applyFont="1" applyBorder="1" applyAlignment="1">
      <alignment horizontal="center" vertical="center"/>
    </xf>
    <xf numFmtId="3" fontId="32" fillId="0" borderId="54" xfId="2" applyNumberFormat="1" applyFont="1" applyBorder="1" applyAlignment="1">
      <alignment horizontal="center" vertical="center"/>
    </xf>
    <xf numFmtId="3" fontId="32" fillId="3" borderId="49" xfId="2" applyNumberFormat="1" applyFont="1" applyFill="1" applyBorder="1" applyAlignment="1">
      <alignment horizontal="center" vertical="center" wrapText="1"/>
    </xf>
    <xf numFmtId="3" fontId="32" fillId="3" borderId="50" xfId="2" applyNumberFormat="1" applyFont="1" applyFill="1" applyBorder="1" applyAlignment="1">
      <alignment horizontal="center" vertical="center" wrapText="1"/>
    </xf>
    <xf numFmtId="3" fontId="55" fillId="0" borderId="60" xfId="2" applyNumberFormat="1" applyFont="1" applyBorder="1" applyAlignment="1">
      <alignment horizontal="center" vertical="center" wrapText="1"/>
    </xf>
    <xf numFmtId="3" fontId="55" fillId="0" borderId="2" xfId="2" applyNumberFormat="1" applyFont="1" applyBorder="1" applyAlignment="1">
      <alignment horizontal="center" vertical="center" wrapText="1"/>
    </xf>
    <xf numFmtId="0" fontId="56" fillId="0" borderId="57" xfId="3" applyFont="1" applyBorder="1" applyAlignment="1">
      <alignment horizontal="center" vertical="center"/>
    </xf>
    <xf numFmtId="3" fontId="56" fillId="0" borderId="57" xfId="3" applyNumberFormat="1" applyFont="1" applyBorder="1" applyAlignment="1">
      <alignment horizontal="center" vertical="center"/>
    </xf>
    <xf numFmtId="0" fontId="58" fillId="0" borderId="57" xfId="3" applyFont="1" applyBorder="1" applyAlignment="1">
      <alignment horizontal="center" vertical="center"/>
    </xf>
    <xf numFmtId="3" fontId="58" fillId="0" borderId="57" xfId="2" applyNumberFormat="1" applyFont="1" applyBorder="1" applyAlignment="1">
      <alignment horizontal="center" vertical="center" wrapText="1"/>
    </xf>
    <xf numFmtId="3" fontId="58" fillId="0" borderId="58" xfId="2" applyNumberFormat="1" applyFont="1" applyBorder="1" applyAlignment="1">
      <alignment horizontal="center" vertical="center" wrapText="1"/>
    </xf>
    <xf numFmtId="3" fontId="56" fillId="0" borderId="58" xfId="3" applyNumberFormat="1" applyFont="1" applyBorder="1" applyAlignment="1">
      <alignment horizontal="center" vertical="center"/>
    </xf>
    <xf numFmtId="3" fontId="32" fillId="0" borderId="189" xfId="2" applyNumberFormat="1" applyFont="1" applyBorder="1" applyAlignment="1">
      <alignment horizontal="center" vertical="center" wrapText="1"/>
    </xf>
    <xf numFmtId="3" fontId="32" fillId="3" borderId="106" xfId="2" applyNumberFormat="1" applyFont="1" applyFill="1" applyBorder="1" applyAlignment="1">
      <alignment horizontal="center" vertical="center" wrapText="1"/>
    </xf>
    <xf numFmtId="3" fontId="55" fillId="0" borderId="191" xfId="2" applyNumberFormat="1" applyFont="1" applyBorder="1" applyAlignment="1">
      <alignment horizontal="center" vertical="center" wrapText="1"/>
    </xf>
    <xf numFmtId="1" fontId="50" fillId="0" borderId="199" xfId="0" applyNumberFormat="1" applyFont="1" applyFill="1" applyBorder="1" applyAlignment="1">
      <alignment horizontal="center" vertical="center" wrapText="1"/>
    </xf>
    <xf numFmtId="1" fontId="50" fillId="3" borderId="199" xfId="0" applyNumberFormat="1" applyFont="1" applyFill="1" applyBorder="1" applyAlignment="1">
      <alignment horizontal="center" vertical="center" wrapText="1"/>
    </xf>
    <xf numFmtId="3" fontId="32" fillId="0" borderId="106" xfId="3" applyNumberFormat="1" applyFont="1" applyBorder="1" applyAlignment="1">
      <alignment horizontal="center" vertical="center"/>
    </xf>
    <xf numFmtId="3" fontId="32" fillId="3" borderId="106" xfId="3" applyNumberFormat="1" applyFont="1" applyFill="1" applyBorder="1" applyAlignment="1">
      <alignment horizontal="center" vertical="center"/>
    </xf>
    <xf numFmtId="3" fontId="56" fillId="0" borderId="107" xfId="3" applyNumberFormat="1" applyFont="1" applyBorder="1" applyAlignment="1">
      <alignment horizontal="center" vertical="center"/>
    </xf>
    <xf numFmtId="3" fontId="32" fillId="0" borderId="199" xfId="2" applyNumberFormat="1" applyFont="1" applyBorder="1" applyAlignment="1">
      <alignment horizontal="center" vertical="center"/>
    </xf>
    <xf numFmtId="3" fontId="58" fillId="0" borderId="107" xfId="2" applyNumberFormat="1" applyFont="1" applyBorder="1" applyAlignment="1">
      <alignment horizontal="center" vertical="center" wrapText="1"/>
    </xf>
    <xf numFmtId="0" fontId="58" fillId="0" borderId="0" xfId="3" applyFont="1" applyBorder="1" applyAlignment="1">
      <alignment horizontal="center" vertical="center"/>
    </xf>
    <xf numFmtId="3" fontId="58" fillId="0" borderId="0" xfId="2" applyNumberFormat="1" applyFont="1" applyBorder="1" applyAlignment="1">
      <alignment horizontal="center" vertical="center" wrapText="1"/>
    </xf>
    <xf numFmtId="0" fontId="50" fillId="3" borderId="297" xfId="3" applyFont="1" applyFill="1" applyBorder="1" applyAlignment="1">
      <alignment horizontal="center" vertical="center"/>
    </xf>
    <xf numFmtId="3" fontId="50" fillId="3" borderId="302" xfId="2" applyNumberFormat="1" applyFont="1" applyFill="1" applyBorder="1" applyAlignment="1">
      <alignment horizontal="right" vertical="center" wrapText="1" indent="1"/>
    </xf>
    <xf numFmtId="3" fontId="50" fillId="3" borderId="325" xfId="2" applyNumberFormat="1" applyFont="1" applyFill="1" applyBorder="1" applyAlignment="1">
      <alignment horizontal="right" vertical="center" wrapText="1" indent="1"/>
    </xf>
    <xf numFmtId="3" fontId="50" fillId="3" borderId="187" xfId="2" applyNumberFormat="1" applyFont="1" applyFill="1" applyBorder="1" applyAlignment="1">
      <alignment horizontal="right" vertical="center" wrapText="1" indent="1"/>
    </xf>
    <xf numFmtId="3" fontId="56" fillId="0" borderId="82" xfId="3" applyNumberFormat="1" applyFont="1" applyBorder="1" applyAlignment="1">
      <alignment horizontal="center" vertical="center"/>
    </xf>
    <xf numFmtId="1" fontId="32" fillId="0" borderId="199" xfId="0" applyNumberFormat="1" applyFont="1" applyFill="1" applyBorder="1" applyAlignment="1">
      <alignment horizontal="center" vertical="center" wrapText="1"/>
    </xf>
    <xf numFmtId="1" fontId="32" fillId="3" borderId="199" xfId="0" applyNumberFormat="1" applyFont="1" applyFill="1" applyBorder="1" applyAlignment="1">
      <alignment horizontal="center" vertical="center" wrapText="1"/>
    </xf>
    <xf numFmtId="0" fontId="47" fillId="0" borderId="0" xfId="2" applyFont="1" applyAlignment="1">
      <alignment horizontal="left" vertical="center"/>
    </xf>
    <xf numFmtId="0" fontId="27" fillId="0" borderId="0" xfId="0" applyFont="1" applyAlignment="1">
      <alignment horizontal="center" vertical="center" wrapText="1"/>
    </xf>
    <xf numFmtId="0" fontId="28" fillId="0" borderId="0" xfId="0" applyFont="1" applyAlignment="1">
      <alignment horizontal="center" vertical="center"/>
    </xf>
    <xf numFmtId="0" fontId="41" fillId="0" borderId="3" xfId="2" applyFont="1" applyBorder="1" applyAlignment="1">
      <alignment horizontal="right" vertical="center" wrapText="1"/>
    </xf>
    <xf numFmtId="0" fontId="41" fillId="0" borderId="2" xfId="2" applyFont="1" applyBorder="1" applyAlignment="1">
      <alignment horizontal="right" vertical="center" wrapText="1"/>
    </xf>
    <xf numFmtId="0" fontId="41" fillId="0" borderId="0" xfId="2" applyFont="1" applyBorder="1" applyAlignment="1">
      <alignment horizontal="right" vertical="center" wrapText="1"/>
    </xf>
    <xf numFmtId="0" fontId="32" fillId="0" borderId="3" xfId="2" applyFont="1" applyBorder="1" applyAlignment="1">
      <alignment horizontal="right" vertical="center" wrapText="1"/>
    </xf>
    <xf numFmtId="0" fontId="32" fillId="0" borderId="2" xfId="2" applyFont="1" applyBorder="1" applyAlignment="1">
      <alignment horizontal="right" vertical="center" wrapText="1"/>
    </xf>
    <xf numFmtId="0" fontId="292" fillId="0" borderId="335" xfId="2" applyFont="1" applyFill="1" applyBorder="1" applyAlignment="1">
      <alignment horizontal="right" vertical="center"/>
    </xf>
    <xf numFmtId="0" fontId="37" fillId="7" borderId="0" xfId="2" applyFont="1" applyFill="1" applyAlignment="1">
      <alignment horizontal="center" vertical="center"/>
    </xf>
    <xf numFmtId="0" fontId="37" fillId="8" borderId="0" xfId="2" applyFont="1" applyFill="1" applyAlignment="1">
      <alignment horizontal="center" vertical="center"/>
    </xf>
    <xf numFmtId="0" fontId="109" fillId="4" borderId="305" xfId="2" applyFont="1" applyFill="1" applyBorder="1" applyAlignment="1">
      <alignment horizontal="center" vertical="center"/>
    </xf>
    <xf numFmtId="0" fontId="109" fillId="4" borderId="306" xfId="2" applyFont="1" applyFill="1" applyBorder="1" applyAlignment="1">
      <alignment horizontal="center" vertical="center"/>
    </xf>
    <xf numFmtId="0" fontId="37" fillId="10" borderId="0" xfId="2" applyFont="1" applyFill="1" applyAlignment="1">
      <alignment horizontal="center" vertical="center"/>
    </xf>
    <xf numFmtId="0" fontId="41" fillId="0" borderId="289" xfId="2" applyFont="1" applyBorder="1" applyAlignment="1">
      <alignment horizontal="right" vertical="center" wrapText="1"/>
    </xf>
    <xf numFmtId="0" fontId="32" fillId="0" borderId="289" xfId="2" applyFont="1" applyBorder="1" applyAlignment="1">
      <alignment horizontal="right" vertical="center" wrapText="1"/>
    </xf>
    <xf numFmtId="0" fontId="37" fillId="11" borderId="0" xfId="2" applyFont="1" applyFill="1" applyAlignment="1">
      <alignment horizontal="center" vertical="center"/>
    </xf>
    <xf numFmtId="0" fontId="37" fillId="9" borderId="0" xfId="2" applyFont="1" applyFill="1" applyAlignment="1">
      <alignment horizontal="center" vertical="center"/>
    </xf>
    <xf numFmtId="0" fontId="32" fillId="0" borderId="0" xfId="2" applyFont="1" applyBorder="1" applyAlignment="1">
      <alignment horizontal="right" vertical="center" wrapText="1"/>
    </xf>
    <xf numFmtId="0" fontId="32" fillId="0" borderId="6" xfId="3" applyFont="1" applyBorder="1" applyAlignment="1">
      <alignment horizontal="center" vertical="center"/>
    </xf>
    <xf numFmtId="0" fontId="32" fillId="0" borderId="3" xfId="3" applyFont="1" applyBorder="1" applyAlignment="1">
      <alignment horizontal="center" vertical="center"/>
    </xf>
    <xf numFmtId="0" fontId="32" fillId="0" borderId="7" xfId="3" applyFont="1" applyBorder="1" applyAlignment="1">
      <alignment horizontal="center" vertical="center"/>
    </xf>
    <xf numFmtId="1" fontId="50" fillId="3" borderId="5" xfId="4" applyNumberFormat="1" applyFont="1" applyFill="1" applyBorder="1" applyAlignment="1">
      <alignment horizontal="center" vertical="center" wrapText="1"/>
    </xf>
    <xf numFmtId="1" fontId="50" fillId="3" borderId="8" xfId="4" applyNumberFormat="1" applyFont="1" applyFill="1" applyBorder="1" applyAlignment="1">
      <alignment horizontal="center" vertical="center" wrapText="1"/>
    </xf>
    <xf numFmtId="0" fontId="25" fillId="0" borderId="9" xfId="8" applyFont="1" applyBorder="1" applyAlignment="1">
      <alignment horizontal="center" vertical="center"/>
    </xf>
    <xf numFmtId="0" fontId="25" fillId="0" borderId="4" xfId="8" applyFont="1" applyBorder="1" applyAlignment="1">
      <alignment horizontal="center" vertical="center"/>
    </xf>
    <xf numFmtId="0" fontId="25" fillId="0" borderId="7" xfId="8" applyFont="1" applyBorder="1" applyAlignment="1">
      <alignment horizontal="center" vertical="center"/>
    </xf>
    <xf numFmtId="0" fontId="73" fillId="0" borderId="0" xfId="3" applyFont="1" applyAlignment="1">
      <alignment horizontal="left" vertical="center"/>
    </xf>
    <xf numFmtId="1" fontId="50" fillId="3" borderId="39" xfId="4" applyNumberFormat="1" applyFont="1" applyFill="1" applyBorder="1" applyAlignment="1">
      <alignment horizontal="center" vertical="center" wrapText="1"/>
    </xf>
    <xf numFmtId="0" fontId="41" fillId="0" borderId="3" xfId="3" applyFont="1" applyBorder="1" applyAlignment="1">
      <alignment horizontal="left" vertical="center"/>
    </xf>
    <xf numFmtId="0" fontId="41" fillId="0" borderId="0" xfId="3" applyFont="1" applyAlignment="1">
      <alignment horizontal="left" vertical="center"/>
    </xf>
    <xf numFmtId="0" fontId="43" fillId="0" borderId="0" xfId="3" applyFont="1" applyAlignment="1">
      <alignment horizontal="left" vertical="center"/>
    </xf>
    <xf numFmtId="0" fontId="50" fillId="0" borderId="39" xfId="3" applyFont="1" applyBorder="1" applyAlignment="1">
      <alignment horizontal="center" vertical="center"/>
    </xf>
    <xf numFmtId="0" fontId="73" fillId="0" borderId="0" xfId="15" applyFont="1" applyAlignment="1">
      <alignment horizontal="left" vertical="center"/>
    </xf>
    <xf numFmtId="0" fontId="50" fillId="0" borderId="6" xfId="3" applyFont="1" applyBorder="1" applyAlignment="1">
      <alignment horizontal="center" vertical="center"/>
    </xf>
    <xf numFmtId="0" fontId="50" fillId="0" borderId="3" xfId="3" applyFont="1" applyBorder="1" applyAlignment="1">
      <alignment horizontal="center" vertical="center"/>
    </xf>
    <xf numFmtId="0" fontId="50" fillId="0" borderId="7" xfId="3" applyFont="1" applyBorder="1" applyAlignment="1">
      <alignment horizontal="center" vertical="center"/>
    </xf>
    <xf numFmtId="1" fontId="50" fillId="3" borderId="39" xfId="20" applyNumberFormat="1" applyFont="1" applyFill="1" applyBorder="1" applyAlignment="1">
      <alignment horizontal="center" vertical="center" wrapText="1"/>
    </xf>
    <xf numFmtId="0" fontId="84" fillId="0" borderId="6" xfId="3" applyFont="1" applyBorder="1" applyAlignment="1">
      <alignment horizontal="center" vertical="center"/>
    </xf>
    <xf numFmtId="0" fontId="84" fillId="0" borderId="3" xfId="3" applyFont="1" applyBorder="1" applyAlignment="1">
      <alignment horizontal="center" vertical="center"/>
    </xf>
    <xf numFmtId="0" fontId="84" fillId="0" borderId="7" xfId="3" applyFont="1" applyBorder="1" applyAlignment="1">
      <alignment horizontal="center" vertical="center"/>
    </xf>
    <xf numFmtId="0" fontId="43" fillId="0" borderId="0" xfId="0" applyFont="1" applyBorder="1" applyAlignment="1">
      <alignment horizontal="right" vertical="center" wrapText="1"/>
    </xf>
    <xf numFmtId="0" fontId="32" fillId="0" borderId="84" xfId="0" applyFont="1" applyBorder="1" applyAlignment="1">
      <alignment horizontal="center" vertical="center" wrapText="1"/>
    </xf>
    <xf numFmtId="0" fontId="32" fillId="0" borderId="69" xfId="0" applyFont="1" applyBorder="1" applyAlignment="1">
      <alignment horizontal="center" vertical="center" wrapText="1"/>
    </xf>
    <xf numFmtId="0" fontId="32" fillId="0" borderId="220" xfId="0" applyFont="1" applyFill="1" applyBorder="1" applyAlignment="1">
      <alignment horizontal="center" vertical="center" wrapText="1"/>
    </xf>
    <xf numFmtId="0" fontId="32" fillId="5" borderId="220" xfId="0" applyFont="1" applyFill="1" applyBorder="1" applyAlignment="1">
      <alignment horizontal="center" vertical="center" wrapText="1"/>
    </xf>
    <xf numFmtId="0" fontId="32" fillId="5" borderId="84" xfId="0" applyFont="1" applyFill="1" applyBorder="1" applyAlignment="1">
      <alignment horizontal="center" vertical="center" wrapText="1"/>
    </xf>
    <xf numFmtId="0" fontId="32" fillId="5" borderId="69" xfId="0" applyFont="1" applyFill="1" applyBorder="1" applyAlignment="1">
      <alignment horizontal="center" vertical="center" wrapText="1"/>
    </xf>
    <xf numFmtId="0" fontId="32" fillId="0" borderId="255" xfId="0" applyFont="1" applyFill="1" applyBorder="1" applyAlignment="1">
      <alignment horizontal="center" vertical="center" wrapText="1"/>
    </xf>
    <xf numFmtId="0" fontId="32" fillId="0" borderId="84" xfId="0" applyFont="1" applyFill="1" applyBorder="1" applyAlignment="1">
      <alignment horizontal="center" vertical="center" wrapText="1"/>
    </xf>
    <xf numFmtId="0" fontId="32" fillId="0" borderId="69" xfId="0" applyFont="1" applyFill="1" applyBorder="1" applyAlignment="1">
      <alignment horizontal="center" vertical="center" wrapText="1"/>
    </xf>
    <xf numFmtId="0" fontId="32" fillId="5" borderId="255" xfId="0" applyFont="1" applyFill="1" applyBorder="1" applyAlignment="1">
      <alignment horizontal="center" vertical="center" wrapText="1"/>
    </xf>
    <xf numFmtId="0" fontId="32" fillId="0" borderId="188" xfId="0" applyFont="1" applyBorder="1" applyAlignment="1">
      <alignment horizontal="center" vertical="center" wrapText="1"/>
    </xf>
    <xf numFmtId="0" fontId="32" fillId="0" borderId="81" xfId="0" applyFont="1" applyBorder="1" applyAlignment="1">
      <alignment horizontal="center" vertical="center" wrapText="1"/>
    </xf>
    <xf numFmtId="0" fontId="32" fillId="0" borderId="82" xfId="0" applyFont="1" applyBorder="1" applyAlignment="1">
      <alignment horizontal="center" vertical="center" wrapText="1"/>
    </xf>
    <xf numFmtId="0" fontId="32" fillId="0" borderId="220" xfId="0" applyFont="1" applyBorder="1" applyAlignment="1">
      <alignment horizontal="center" vertical="center" wrapText="1"/>
    </xf>
    <xf numFmtId="0" fontId="43" fillId="0" borderId="0" xfId="0" applyFont="1" applyAlignment="1">
      <alignment horizontal="left" vertical="center" wrapText="1"/>
    </xf>
    <xf numFmtId="0" fontId="32" fillId="0" borderId="80" xfId="0" applyFont="1" applyBorder="1" applyAlignment="1">
      <alignment horizontal="center" vertical="center" wrapText="1"/>
    </xf>
    <xf numFmtId="0" fontId="32" fillId="0" borderId="188" xfId="0" applyFont="1" applyFill="1" applyBorder="1" applyAlignment="1">
      <alignment horizontal="center" vertical="center" wrapText="1"/>
    </xf>
    <xf numFmtId="0" fontId="32" fillId="0" borderId="81" xfId="0" applyFont="1" applyFill="1" applyBorder="1" applyAlignment="1">
      <alignment horizontal="center" vertical="center" wrapText="1"/>
    </xf>
    <xf numFmtId="0" fontId="32" fillId="0" borderId="82" xfId="0" applyFont="1" applyFill="1" applyBorder="1" applyAlignment="1">
      <alignment horizontal="center" vertical="center" wrapText="1"/>
    </xf>
    <xf numFmtId="0" fontId="50" fillId="0" borderId="2" xfId="24" applyFont="1" applyFill="1" applyBorder="1" applyAlignment="1">
      <alignment horizontal="center" vertical="center"/>
    </xf>
    <xf numFmtId="0" fontId="123" fillId="0" borderId="0" xfId="25" applyFont="1" applyBorder="1" applyAlignment="1">
      <alignment horizontal="center" vertical="center"/>
    </xf>
    <xf numFmtId="0" fontId="53" fillId="0" borderId="0" xfId="25" applyFont="1" applyFill="1" applyBorder="1" applyAlignment="1">
      <alignment horizontal="center" vertical="center"/>
    </xf>
    <xf numFmtId="0" fontId="53" fillId="0" borderId="0" xfId="25" applyFont="1" applyFill="1" applyBorder="1" applyAlignment="1">
      <alignment horizontal="center" vertical="center" wrapText="1"/>
    </xf>
    <xf numFmtId="0" fontId="53" fillId="0" borderId="0" xfId="24" applyFont="1" applyFill="1" applyBorder="1" applyAlignment="1">
      <alignment horizontal="center" vertical="center" wrapText="1"/>
    </xf>
    <xf numFmtId="0" fontId="53" fillId="0" borderId="1" xfId="24" applyFont="1" applyFill="1" applyBorder="1" applyAlignment="1">
      <alignment horizontal="center" vertical="center" wrapText="1"/>
    </xf>
    <xf numFmtId="0" fontId="123" fillId="0" borderId="9" xfId="24" applyFont="1" applyBorder="1" applyAlignment="1">
      <alignment horizontal="center"/>
    </xf>
    <xf numFmtId="0" fontId="123" fillId="0" borderId="4" xfId="24" applyFont="1" applyBorder="1" applyAlignment="1">
      <alignment horizontal="center"/>
    </xf>
    <xf numFmtId="0" fontId="123" fillId="0" borderId="10" xfId="24" applyFont="1" applyBorder="1" applyAlignment="1">
      <alignment horizontal="center"/>
    </xf>
    <xf numFmtId="0" fontId="52" fillId="3" borderId="9" xfId="24" applyFont="1" applyFill="1" applyBorder="1" applyAlignment="1">
      <alignment horizontal="center" vertical="center" wrapText="1"/>
    </xf>
    <xf numFmtId="0" fontId="52" fillId="3" borderId="10" xfId="24" applyFont="1" applyFill="1" applyBorder="1" applyAlignment="1">
      <alignment horizontal="center" vertical="center" wrapText="1"/>
    </xf>
    <xf numFmtId="0" fontId="54" fillId="0" borderId="5" xfId="24" applyFont="1" applyBorder="1" applyAlignment="1">
      <alignment horizontal="center" vertical="center"/>
    </xf>
    <xf numFmtId="0" fontId="54" fillId="0" borderId="34" xfId="24" applyFont="1" applyBorder="1" applyAlignment="1">
      <alignment horizontal="center" vertical="center"/>
    </xf>
    <xf numFmtId="0" fontId="54" fillId="0" borderId="8" xfId="24" applyFont="1" applyBorder="1" applyAlignment="1">
      <alignment horizontal="center" vertical="center"/>
    </xf>
    <xf numFmtId="0" fontId="55" fillId="0" borderId="5" xfId="24" applyFont="1" applyBorder="1" applyAlignment="1">
      <alignment horizontal="center" vertical="center"/>
    </xf>
    <xf numFmtId="0" fontId="55" fillId="0" borderId="34" xfId="24" applyFont="1" applyBorder="1" applyAlignment="1">
      <alignment horizontal="center" vertical="center"/>
    </xf>
    <xf numFmtId="0" fontId="55" fillId="0" borderId="8" xfId="24" applyFont="1" applyBorder="1" applyAlignment="1">
      <alignment horizontal="center" vertical="center"/>
    </xf>
    <xf numFmtId="0" fontId="56" fillId="0" borderId="5" xfId="24" applyFont="1" applyBorder="1" applyAlignment="1">
      <alignment horizontal="center" vertical="center"/>
    </xf>
    <xf numFmtId="0" fontId="56" fillId="0" borderId="34" xfId="24" applyFont="1" applyBorder="1" applyAlignment="1">
      <alignment horizontal="center" vertical="center"/>
    </xf>
    <xf numFmtId="0" fontId="56" fillId="0" borderId="8" xfId="24" applyFont="1" applyBorder="1" applyAlignment="1">
      <alignment horizontal="center" vertical="center"/>
    </xf>
    <xf numFmtId="0" fontId="57" fillId="0" borderId="5" xfId="24" applyFont="1" applyBorder="1" applyAlignment="1">
      <alignment horizontal="center" vertical="center"/>
    </xf>
    <xf numFmtId="0" fontId="57" fillId="0" borderId="34" xfId="24" applyFont="1" applyBorder="1" applyAlignment="1">
      <alignment horizontal="center" vertical="center"/>
    </xf>
    <xf numFmtId="0" fontId="57" fillId="0" borderId="8" xfId="24" applyFont="1" applyBorder="1" applyAlignment="1">
      <alignment horizontal="center" vertical="center"/>
    </xf>
    <xf numFmtId="3" fontId="53" fillId="3" borderId="39" xfId="24" applyNumberFormat="1" applyFont="1" applyFill="1" applyBorder="1" applyAlignment="1">
      <alignment horizontal="center"/>
    </xf>
    <xf numFmtId="0" fontId="53" fillId="3" borderId="39" xfId="24" applyFont="1" applyFill="1" applyBorder="1" applyAlignment="1">
      <alignment horizontal="center" vertical="center"/>
    </xf>
    <xf numFmtId="0" fontId="53" fillId="3" borderId="39" xfId="24" applyFont="1" applyFill="1" applyBorder="1" applyAlignment="1">
      <alignment horizontal="center" vertical="center" wrapText="1"/>
    </xf>
    <xf numFmtId="0" fontId="54" fillId="0" borderId="298" xfId="24" applyFont="1" applyBorder="1" applyAlignment="1">
      <alignment horizontal="center" vertical="center"/>
    </xf>
    <xf numFmtId="0" fontId="62" fillId="0" borderId="5" xfId="24" applyFont="1" applyBorder="1" applyAlignment="1">
      <alignment horizontal="center" vertical="center"/>
    </xf>
    <xf numFmtId="0" fontId="62" fillId="0" borderId="34" xfId="24" applyFont="1" applyBorder="1" applyAlignment="1">
      <alignment horizontal="center" vertical="center"/>
    </xf>
    <xf numFmtId="0" fontId="62" fillId="0" borderId="8" xfId="24" applyFont="1" applyBorder="1" applyAlignment="1">
      <alignment horizontal="center" vertical="center"/>
    </xf>
    <xf numFmtId="0" fontId="58" fillId="0" borderId="5" xfId="24" applyFont="1" applyBorder="1" applyAlignment="1">
      <alignment horizontal="center" vertical="center"/>
    </xf>
    <xf numFmtId="0" fontId="58" fillId="0" borderId="34" xfId="24" applyFont="1" applyBorder="1" applyAlignment="1">
      <alignment horizontal="center" vertical="center"/>
    </xf>
    <xf numFmtId="0" fontId="58" fillId="0" borderId="8" xfId="24" applyFont="1" applyBorder="1" applyAlignment="1">
      <alignment horizontal="center" vertical="center"/>
    </xf>
    <xf numFmtId="3" fontId="53" fillId="3" borderId="9" xfId="24" applyNumberFormat="1" applyFont="1" applyFill="1" applyBorder="1" applyAlignment="1">
      <alignment horizontal="center" vertical="center"/>
    </xf>
    <xf numFmtId="3" fontId="53" fillId="3" borderId="10" xfId="24" applyNumberFormat="1" applyFont="1" applyFill="1" applyBorder="1" applyAlignment="1">
      <alignment horizontal="center" vertical="center"/>
    </xf>
    <xf numFmtId="0" fontId="53" fillId="3" borderId="298" xfId="24" applyFont="1" applyFill="1" applyBorder="1" applyAlignment="1">
      <alignment horizontal="center" vertical="center"/>
    </xf>
    <xf numFmtId="0" fontId="53" fillId="3" borderId="8" xfId="24" applyFont="1" applyFill="1" applyBorder="1" applyAlignment="1">
      <alignment horizontal="center" vertical="center"/>
    </xf>
    <xf numFmtId="0" fontId="124" fillId="0" borderId="5" xfId="24" applyFont="1" applyBorder="1" applyAlignment="1">
      <alignment horizontal="center" vertical="center"/>
    </xf>
    <xf numFmtId="0" fontId="124" fillId="0" borderId="34" xfId="24" applyFont="1" applyBorder="1" applyAlignment="1">
      <alignment horizontal="center" vertical="center"/>
    </xf>
    <xf numFmtId="0" fontId="124" fillId="0" borderId="8" xfId="24" applyFont="1" applyBorder="1" applyAlignment="1">
      <alignment horizontal="center" vertical="center"/>
    </xf>
    <xf numFmtId="3" fontId="53" fillId="3" borderId="39" xfId="24" applyNumberFormat="1" applyFont="1" applyFill="1" applyBorder="1" applyAlignment="1">
      <alignment horizontal="center" vertical="center"/>
    </xf>
    <xf numFmtId="0" fontId="32" fillId="0" borderId="0" xfId="24" applyFont="1" applyAlignment="1">
      <alignment horizontal="center" vertical="top"/>
    </xf>
    <xf numFmtId="3" fontId="52" fillId="3" borderId="39" xfId="24" applyNumberFormat="1" applyFont="1" applyFill="1" applyBorder="1" applyAlignment="1">
      <alignment horizontal="center" vertical="center"/>
    </xf>
    <xf numFmtId="0" fontId="54" fillId="0" borderId="9" xfId="24" applyFont="1" applyBorder="1" applyAlignment="1">
      <alignment horizontal="center" vertical="center"/>
    </xf>
    <xf numFmtId="0" fontId="54" fillId="0" borderId="4" xfId="24" applyFont="1" applyBorder="1" applyAlignment="1">
      <alignment horizontal="center" vertical="center"/>
    </xf>
    <xf numFmtId="0" fontId="54" fillId="0" borderId="10" xfId="24" applyFont="1" applyBorder="1" applyAlignment="1">
      <alignment horizontal="center" vertical="center"/>
    </xf>
    <xf numFmtId="0" fontId="124" fillId="0" borderId="9" xfId="24" applyFont="1" applyBorder="1" applyAlignment="1">
      <alignment horizontal="center" vertical="center"/>
    </xf>
    <xf numFmtId="0" fontId="124" fillId="0" borderId="4" xfId="24" applyFont="1" applyBorder="1" applyAlignment="1">
      <alignment horizontal="center" vertical="center"/>
    </xf>
    <xf numFmtId="0" fontId="124" fillId="0" borderId="3" xfId="24" applyFont="1" applyBorder="1" applyAlignment="1">
      <alignment horizontal="center" vertical="center"/>
    </xf>
    <xf numFmtId="0" fontId="124" fillId="0" borderId="7" xfId="24" applyFont="1" applyBorder="1" applyAlignment="1">
      <alignment horizontal="center" vertical="center"/>
    </xf>
    <xf numFmtId="0" fontId="52" fillId="3" borderId="6" xfId="24" applyFont="1" applyFill="1" applyBorder="1" applyAlignment="1">
      <alignment horizontal="center" vertical="center" wrapText="1"/>
    </xf>
    <xf numFmtId="0" fontId="52" fillId="3" borderId="7" xfId="24" applyFont="1" applyFill="1" applyBorder="1" applyAlignment="1">
      <alignment horizontal="center" vertical="center" wrapText="1"/>
    </xf>
    <xf numFmtId="0" fontId="52" fillId="3" borderId="60" xfId="24" applyFont="1" applyFill="1" applyBorder="1" applyAlignment="1">
      <alignment horizontal="center" vertical="center" wrapText="1"/>
    </xf>
    <xf numFmtId="0" fontId="52" fillId="3" borderId="11" xfId="24" applyFont="1" applyFill="1" applyBorder="1" applyAlignment="1">
      <alignment horizontal="center" vertical="center" wrapText="1"/>
    </xf>
    <xf numFmtId="3" fontId="52" fillId="3" borderId="9" xfId="24" applyNumberFormat="1" applyFont="1" applyFill="1" applyBorder="1" applyAlignment="1">
      <alignment horizontal="center"/>
    </xf>
    <xf numFmtId="3" fontId="52" fillId="3" borderId="10" xfId="24" applyNumberFormat="1" applyFont="1" applyFill="1" applyBorder="1" applyAlignment="1">
      <alignment horizontal="center"/>
    </xf>
    <xf numFmtId="0" fontId="53" fillId="0" borderId="0" xfId="24" applyFont="1" applyAlignment="1">
      <alignment horizontal="center" vertical="center" wrapText="1"/>
    </xf>
    <xf numFmtId="0" fontId="53" fillId="0" borderId="1" xfId="24" applyFont="1" applyBorder="1" applyAlignment="1">
      <alignment horizontal="center" vertical="center" wrapText="1"/>
    </xf>
    <xf numFmtId="0" fontId="123" fillId="0" borderId="2" xfId="25" applyFont="1" applyBorder="1" applyAlignment="1">
      <alignment horizontal="center" vertical="center"/>
    </xf>
    <xf numFmtId="0" fontId="52" fillId="0" borderId="2" xfId="25" applyFont="1" applyBorder="1" applyAlignment="1">
      <alignment horizontal="center"/>
    </xf>
    <xf numFmtId="0" fontId="52" fillId="0" borderId="2" xfId="25" applyFont="1" applyBorder="1" applyAlignment="1">
      <alignment horizontal="center" vertical="center" wrapText="1"/>
    </xf>
    <xf numFmtId="0" fontId="53" fillId="3" borderId="5" xfId="24" applyFont="1" applyFill="1" applyBorder="1" applyAlignment="1">
      <alignment horizontal="center" vertical="center"/>
    </xf>
    <xf numFmtId="0" fontId="53" fillId="3" borderId="5" xfId="24" applyFont="1" applyFill="1" applyBorder="1" applyAlignment="1">
      <alignment horizontal="center" vertical="center" wrapText="1"/>
    </xf>
    <xf numFmtId="0" fontId="53" fillId="3" borderId="8" xfId="24" applyFont="1" applyFill="1" applyBorder="1" applyAlignment="1">
      <alignment horizontal="center" vertical="center" wrapText="1"/>
    </xf>
    <xf numFmtId="0" fontId="53" fillId="0" borderId="9" xfId="24" applyFont="1" applyBorder="1" applyAlignment="1">
      <alignment horizontal="center"/>
    </xf>
    <xf numFmtId="0" fontId="53" fillId="0" borderId="10" xfId="24" applyFont="1" applyBorder="1" applyAlignment="1">
      <alignment horizontal="center"/>
    </xf>
    <xf numFmtId="0" fontId="53" fillId="0" borderId="2" xfId="25" applyFont="1" applyFill="1" applyBorder="1" applyAlignment="1">
      <alignment horizontal="center" vertical="center"/>
    </xf>
    <xf numFmtId="0" fontId="53" fillId="0" borderId="2" xfId="25" applyFont="1" applyFill="1" applyBorder="1" applyAlignment="1">
      <alignment horizontal="center" vertical="center" wrapText="1"/>
    </xf>
    <xf numFmtId="0" fontId="42" fillId="2" borderId="5" xfId="3" applyFont="1" applyFill="1" applyBorder="1" applyAlignment="1">
      <alignment horizontal="center" vertical="center"/>
    </xf>
    <xf numFmtId="0" fontId="42" fillId="2" borderId="34" xfId="3" applyFont="1" applyFill="1" applyBorder="1" applyAlignment="1">
      <alignment horizontal="center" vertical="center"/>
    </xf>
    <xf numFmtId="0" fontId="42" fillId="2" borderId="8" xfId="3" applyFont="1" applyFill="1" applyBorder="1" applyAlignment="1">
      <alignment horizontal="center" vertical="center"/>
    </xf>
    <xf numFmtId="0" fontId="97" fillId="2" borderId="5" xfId="3" applyFont="1" applyFill="1" applyBorder="1" applyAlignment="1">
      <alignment horizontal="center" vertical="center"/>
    </xf>
    <xf numFmtId="0" fontId="97" fillId="2" borderId="34" xfId="3" applyFont="1" applyFill="1" applyBorder="1" applyAlignment="1">
      <alignment horizontal="center" vertical="center"/>
    </xf>
    <xf numFmtId="0" fontId="97" fillId="2" borderId="8" xfId="3" applyFont="1" applyFill="1" applyBorder="1" applyAlignment="1">
      <alignment horizontal="center" vertical="center"/>
    </xf>
    <xf numFmtId="0" fontId="97" fillId="0" borderId="5" xfId="3" applyFont="1" applyBorder="1" applyAlignment="1">
      <alignment horizontal="center" vertical="center"/>
    </xf>
    <xf numFmtId="0" fontId="97" fillId="0" borderId="34" xfId="3" applyFont="1" applyBorder="1" applyAlignment="1">
      <alignment horizontal="center" vertical="center"/>
    </xf>
    <xf numFmtId="0" fontId="97" fillId="0" borderId="8" xfId="3" applyFont="1" applyBorder="1" applyAlignment="1">
      <alignment horizontal="center" vertical="center"/>
    </xf>
    <xf numFmtId="0" fontId="89" fillId="0" borderId="5" xfId="3" applyFont="1" applyBorder="1" applyAlignment="1">
      <alignment horizontal="center" vertical="center"/>
    </xf>
    <xf numFmtId="0" fontId="89" fillId="0" borderId="8" xfId="3" applyFont="1" applyBorder="1" applyAlignment="1">
      <alignment horizontal="center" vertical="center"/>
    </xf>
    <xf numFmtId="0" fontId="42" fillId="0" borderId="5" xfId="3" applyFont="1" applyBorder="1" applyAlignment="1">
      <alignment horizontal="center" vertical="center"/>
    </xf>
    <xf numFmtId="0" fontId="42" fillId="0" borderId="34" xfId="3" applyFont="1" applyBorder="1" applyAlignment="1">
      <alignment horizontal="center" vertical="center"/>
    </xf>
    <xf numFmtId="0" fontId="42" fillId="0" borderId="8" xfId="3" applyFont="1" applyBorder="1" applyAlignment="1">
      <alignment horizontal="center" vertical="center"/>
    </xf>
    <xf numFmtId="0" fontId="50" fillId="3" borderId="9" xfId="3" applyFont="1" applyFill="1" applyBorder="1" applyAlignment="1">
      <alignment horizontal="center" vertical="center"/>
    </xf>
    <xf numFmtId="0" fontId="50" fillId="3" borderId="10" xfId="3" applyFont="1" applyFill="1" applyBorder="1" applyAlignment="1">
      <alignment horizontal="center" vertical="center"/>
    </xf>
    <xf numFmtId="0" fontId="98" fillId="0" borderId="5" xfId="3" applyFont="1" applyBorder="1" applyAlignment="1">
      <alignment horizontal="center" vertical="center"/>
    </xf>
    <xf numFmtId="0" fontId="98" fillId="0" borderId="8" xfId="3" applyFont="1" applyBorder="1" applyAlignment="1">
      <alignment horizontal="center" vertical="center"/>
    </xf>
    <xf numFmtId="0" fontId="98" fillId="2" borderId="5" xfId="3" applyFont="1" applyFill="1" applyBorder="1" applyAlignment="1">
      <alignment horizontal="center" vertical="center"/>
    </xf>
    <xf numFmtId="0" fontId="98" fillId="2" borderId="34" xfId="3" applyFont="1" applyFill="1" applyBorder="1" applyAlignment="1">
      <alignment horizontal="center" vertical="center"/>
    </xf>
    <xf numFmtId="0" fontId="98" fillId="2" borderId="8" xfId="3" applyFont="1" applyFill="1" applyBorder="1" applyAlignment="1">
      <alignment horizontal="center" vertical="center"/>
    </xf>
    <xf numFmtId="0" fontId="98" fillId="0" borderId="34" xfId="3" applyFont="1" applyBorder="1" applyAlignment="1">
      <alignment horizontal="center" vertical="center"/>
    </xf>
    <xf numFmtId="0" fontId="98" fillId="2" borderId="298" xfId="3" applyFont="1" applyFill="1" applyBorder="1" applyAlignment="1">
      <alignment horizontal="center" vertical="center"/>
    </xf>
    <xf numFmtId="0" fontId="44" fillId="0" borderId="0" xfId="3" applyFont="1" applyAlignment="1">
      <alignment horizontal="left" vertical="center" wrapText="1"/>
    </xf>
    <xf numFmtId="0" fontId="98" fillId="2" borderId="215" xfId="3" applyFont="1" applyFill="1" applyBorder="1" applyAlignment="1">
      <alignment horizontal="center" vertical="center"/>
    </xf>
    <xf numFmtId="0" fontId="84" fillId="0" borderId="39" xfId="3" applyFont="1" applyBorder="1" applyAlignment="1">
      <alignment horizontal="center" vertical="center"/>
    </xf>
    <xf numFmtId="0" fontId="84" fillId="0" borderId="10" xfId="3" applyFont="1" applyBorder="1" applyAlignment="1">
      <alignment horizontal="center" vertical="center"/>
    </xf>
    <xf numFmtId="0" fontId="81" fillId="0" borderId="0" xfId="3" applyFont="1" applyAlignment="1">
      <alignment horizontal="left" vertical="center"/>
    </xf>
    <xf numFmtId="0" fontId="46" fillId="0" borderId="2" xfId="1" applyFont="1" applyBorder="1" applyAlignment="1" applyProtection="1">
      <alignment horizontal="left" vertical="center" wrapText="1"/>
    </xf>
    <xf numFmtId="1" fontId="50" fillId="3" borderId="5" xfId="20" applyNumberFormat="1" applyFont="1" applyFill="1" applyBorder="1" applyAlignment="1">
      <alignment horizontal="center" vertical="center" wrapText="1"/>
    </xf>
    <xf numFmtId="1" fontId="50" fillId="3" borderId="8" xfId="20" applyNumberFormat="1" applyFont="1" applyFill="1" applyBorder="1" applyAlignment="1">
      <alignment horizontal="center" vertical="center" wrapText="1"/>
    </xf>
    <xf numFmtId="0" fontId="97" fillId="0" borderId="5" xfId="2" applyFont="1" applyBorder="1" applyAlignment="1">
      <alignment horizontal="center" vertical="center"/>
    </xf>
    <xf numFmtId="0" fontId="97" fillId="0" borderId="34" xfId="2" applyFont="1" applyBorder="1" applyAlignment="1">
      <alignment horizontal="center" vertical="center"/>
    </xf>
    <xf numFmtId="0" fontId="97" fillId="0" borderId="8" xfId="2" applyFont="1" applyBorder="1" applyAlignment="1">
      <alignment horizontal="center" vertical="center"/>
    </xf>
    <xf numFmtId="0" fontId="97" fillId="2" borderId="5" xfId="2" applyFont="1" applyFill="1" applyBorder="1" applyAlignment="1">
      <alignment horizontal="center" vertical="center"/>
    </xf>
    <xf numFmtId="0" fontId="97" fillId="2" borderId="34" xfId="2" applyFont="1" applyFill="1" applyBorder="1" applyAlignment="1">
      <alignment horizontal="center" vertical="center"/>
    </xf>
    <xf numFmtId="0" fontId="97" fillId="2" borderId="8" xfId="2" applyFont="1" applyFill="1" applyBorder="1" applyAlignment="1">
      <alignment horizontal="center" vertical="center"/>
    </xf>
    <xf numFmtId="0" fontId="98" fillId="2" borderId="5" xfId="2" applyFont="1" applyFill="1" applyBorder="1" applyAlignment="1">
      <alignment horizontal="center" vertical="center"/>
    </xf>
    <xf numFmtId="0" fontId="98" fillId="2" borderId="34" xfId="2" applyFont="1" applyFill="1" applyBorder="1" applyAlignment="1">
      <alignment horizontal="center" vertical="center"/>
    </xf>
    <xf numFmtId="0" fontId="98" fillId="2" borderId="8" xfId="2" applyFont="1" applyFill="1" applyBorder="1" applyAlignment="1">
      <alignment horizontal="center" vertical="center"/>
    </xf>
    <xf numFmtId="0" fontId="42" fillId="2" borderId="5" xfId="2" applyFont="1" applyFill="1" applyBorder="1" applyAlignment="1">
      <alignment horizontal="center" vertical="center"/>
    </xf>
    <xf numFmtId="0" fontId="42" fillId="2" borderId="34" xfId="2" applyFont="1" applyFill="1" applyBorder="1" applyAlignment="1">
      <alignment horizontal="center" vertical="center"/>
    </xf>
    <xf numFmtId="0" fontId="42" fillId="2" borderId="8" xfId="2" applyFont="1" applyFill="1" applyBorder="1" applyAlignment="1">
      <alignment horizontal="center" vertical="center"/>
    </xf>
    <xf numFmtId="0" fontId="42" fillId="0" borderId="5" xfId="2" applyFont="1" applyBorder="1" applyAlignment="1">
      <alignment horizontal="center" vertical="center"/>
    </xf>
    <xf numFmtId="0" fontId="42" fillId="0" borderId="34" xfId="2" applyFont="1" applyBorder="1" applyAlignment="1">
      <alignment horizontal="center" vertical="center"/>
    </xf>
    <xf numFmtId="0" fontId="42" fillId="0" borderId="8" xfId="2" applyFont="1" applyBorder="1" applyAlignment="1">
      <alignment horizontal="center" vertical="center"/>
    </xf>
    <xf numFmtId="0" fontId="98" fillId="0" borderId="5" xfId="2" applyFont="1" applyBorder="1" applyAlignment="1">
      <alignment horizontal="center" vertical="center"/>
    </xf>
    <xf numFmtId="0" fontId="98" fillId="0" borderId="34" xfId="2" applyFont="1" applyBorder="1" applyAlignment="1">
      <alignment horizontal="center" vertical="center"/>
    </xf>
    <xf numFmtId="0" fontId="42" fillId="0" borderId="298" xfId="2" applyFont="1" applyBorder="1" applyAlignment="1">
      <alignment horizontal="center" vertical="center"/>
    </xf>
    <xf numFmtId="0" fontId="50" fillId="3" borderId="9" xfId="2" applyFont="1" applyFill="1" applyBorder="1" applyAlignment="1">
      <alignment horizontal="center" vertical="center"/>
    </xf>
    <xf numFmtId="0" fontId="50" fillId="3" borderId="10" xfId="2" applyFont="1" applyFill="1" applyBorder="1" applyAlignment="1">
      <alignment horizontal="center" vertical="center"/>
    </xf>
    <xf numFmtId="0" fontId="98" fillId="0" borderId="8" xfId="2" applyFont="1" applyBorder="1" applyAlignment="1">
      <alignment horizontal="center" vertical="center"/>
    </xf>
    <xf numFmtId="0" fontId="89" fillId="0" borderId="298" xfId="2" applyFont="1" applyBorder="1" applyAlignment="1">
      <alignment horizontal="center" vertical="center"/>
    </xf>
    <xf numFmtId="0" fontId="89" fillId="0" borderId="8" xfId="2" applyFont="1" applyBorder="1" applyAlignment="1">
      <alignment horizontal="center" vertical="center"/>
    </xf>
    <xf numFmtId="0" fontId="42" fillId="0" borderId="296" xfId="0" applyFont="1" applyBorder="1" applyAlignment="1">
      <alignment horizontal="center" vertical="center" wrapText="1"/>
    </xf>
    <xf numFmtId="0" fontId="42" fillId="0" borderId="34" xfId="0" applyFont="1" applyBorder="1" applyAlignment="1">
      <alignment horizontal="center" vertical="center" wrapText="1"/>
    </xf>
    <xf numFmtId="0" fontId="42" fillId="0" borderId="8" xfId="0" applyFont="1" applyBorder="1" applyAlignment="1">
      <alignment horizontal="center" vertical="center" wrapText="1"/>
    </xf>
    <xf numFmtId="0" fontId="97" fillId="2" borderId="5" xfId="0" applyFont="1" applyFill="1" applyBorder="1" applyAlignment="1">
      <alignment horizontal="center" vertical="center" wrapText="1"/>
    </xf>
    <xf numFmtId="0" fontId="97" fillId="2" borderId="34" xfId="0" applyFont="1" applyFill="1" applyBorder="1" applyAlignment="1">
      <alignment horizontal="center" vertical="center" wrapText="1"/>
    </xf>
    <xf numFmtId="0" fontId="97" fillId="2" borderId="8" xfId="0" applyFont="1" applyFill="1" applyBorder="1" applyAlignment="1">
      <alignment horizontal="center" vertical="center" wrapText="1"/>
    </xf>
    <xf numFmtId="0" fontId="97" fillId="0" borderId="5" xfId="0" applyFont="1" applyBorder="1" applyAlignment="1">
      <alignment horizontal="center" vertical="center" wrapText="1"/>
    </xf>
    <xf numFmtId="0" fontId="97" fillId="0" borderId="34" xfId="0" applyFont="1" applyBorder="1" applyAlignment="1">
      <alignment horizontal="center" vertical="center" wrapText="1"/>
    </xf>
    <xf numFmtId="0" fontId="97" fillId="0" borderId="8" xfId="0" applyFont="1" applyBorder="1" applyAlignment="1">
      <alignment horizontal="center" vertical="center" wrapText="1"/>
    </xf>
    <xf numFmtId="0" fontId="97" fillId="0" borderId="6" xfId="0" applyFont="1" applyBorder="1" applyAlignment="1">
      <alignment horizontal="center" vertical="center" wrapText="1"/>
    </xf>
    <xf numFmtId="0" fontId="97" fillId="0" borderId="35" xfId="0" applyFont="1" applyBorder="1" applyAlignment="1">
      <alignment horizontal="center" vertical="center" wrapText="1"/>
    </xf>
    <xf numFmtId="0" fontId="97" fillId="0" borderId="60" xfId="0" applyFont="1" applyBorder="1" applyAlignment="1">
      <alignment horizontal="center" vertical="center" wrapText="1"/>
    </xf>
    <xf numFmtId="0" fontId="42" fillId="2" borderId="5" xfId="0" applyFont="1" applyFill="1" applyBorder="1" applyAlignment="1">
      <alignment horizontal="center" vertical="center" wrapText="1"/>
    </xf>
    <xf numFmtId="0" fontId="42" fillId="2" borderId="34" xfId="0" applyFont="1" applyFill="1" applyBorder="1" applyAlignment="1">
      <alignment horizontal="center" vertical="center" wrapText="1"/>
    </xf>
    <xf numFmtId="0" fontId="42" fillId="2" borderId="8" xfId="0" applyFont="1" applyFill="1" applyBorder="1" applyAlignment="1">
      <alignment horizontal="center" vertical="center" wrapText="1"/>
    </xf>
    <xf numFmtId="0" fontId="42" fillId="0" borderId="6" xfId="0" applyFont="1" applyBorder="1" applyAlignment="1">
      <alignment horizontal="center" vertical="center" wrapText="1"/>
    </xf>
    <xf numFmtId="0" fontId="42" fillId="0" borderId="35" xfId="0" applyFont="1" applyBorder="1" applyAlignment="1">
      <alignment horizontal="center" vertical="center" wrapText="1"/>
    </xf>
    <xf numFmtId="0" fontId="42" fillId="0" borderId="60" xfId="0" applyFont="1" applyBorder="1" applyAlignment="1">
      <alignment horizontal="center" vertical="center" wrapText="1"/>
    </xf>
    <xf numFmtId="0" fontId="50" fillId="3" borderId="9" xfId="0" applyFont="1" applyFill="1" applyBorder="1" applyAlignment="1">
      <alignment horizontal="center" vertical="center" wrapText="1"/>
    </xf>
    <xf numFmtId="0" fontId="50" fillId="3" borderId="10" xfId="0" applyFont="1" applyFill="1" applyBorder="1" applyAlignment="1">
      <alignment horizontal="center" vertical="center" wrapText="1"/>
    </xf>
    <xf numFmtId="0" fontId="42" fillId="0" borderId="5" xfId="0" applyFont="1" applyBorder="1" applyAlignment="1">
      <alignment horizontal="center" vertical="center" wrapText="1"/>
    </xf>
    <xf numFmtId="0" fontId="98" fillId="0" borderId="34" xfId="0" applyFont="1" applyBorder="1" applyAlignment="1">
      <alignment horizontal="center" vertical="center" wrapText="1"/>
    </xf>
    <xf numFmtId="0" fontId="98" fillId="2" borderId="5" xfId="0" applyFont="1" applyFill="1" applyBorder="1" applyAlignment="1">
      <alignment horizontal="center" vertical="center" wrapText="1"/>
    </xf>
    <xf numFmtId="0" fontId="98" fillId="2" borderId="34" xfId="0" applyFont="1" applyFill="1" applyBorder="1" applyAlignment="1">
      <alignment horizontal="center" vertical="center" wrapText="1"/>
    </xf>
    <xf numFmtId="0" fontId="98" fillId="2" borderId="8" xfId="0" applyFont="1" applyFill="1" applyBorder="1" applyAlignment="1">
      <alignment horizontal="center" vertical="center" wrapText="1"/>
    </xf>
    <xf numFmtId="0" fontId="98" fillId="0" borderId="5" xfId="0" applyFont="1" applyBorder="1" applyAlignment="1">
      <alignment horizontal="center" vertical="center" wrapText="1"/>
    </xf>
    <xf numFmtId="0" fontId="98" fillId="0" borderId="8" xfId="0" applyFont="1" applyBorder="1" applyAlignment="1">
      <alignment horizontal="center" vertical="center" wrapText="1"/>
    </xf>
    <xf numFmtId="0" fontId="98" fillId="0" borderId="5" xfId="0" applyFont="1" applyBorder="1" applyAlignment="1">
      <alignment horizontal="center" vertical="center"/>
    </xf>
    <xf numFmtId="0" fontId="98" fillId="0" borderId="34" xfId="0" applyFont="1" applyBorder="1" applyAlignment="1">
      <alignment horizontal="center" vertical="center"/>
    </xf>
    <xf numFmtId="0" fontId="98" fillId="0" borderId="8" xfId="0" applyFont="1" applyBorder="1" applyAlignment="1">
      <alignment horizontal="center" vertical="center"/>
    </xf>
    <xf numFmtId="0" fontId="89" fillId="0" borderId="5" xfId="0" applyFont="1" applyBorder="1" applyAlignment="1">
      <alignment horizontal="center" vertical="center" wrapText="1"/>
    </xf>
    <xf numFmtId="0" fontId="89" fillId="0" borderId="8" xfId="0" applyFont="1" applyBorder="1" applyAlignment="1">
      <alignment horizontal="center" vertical="center" wrapText="1"/>
    </xf>
    <xf numFmtId="0" fontId="50" fillId="0" borderId="5" xfId="3" applyFont="1" applyBorder="1" applyAlignment="1">
      <alignment horizontal="center" vertical="center"/>
    </xf>
    <xf numFmtId="0" fontId="88" fillId="3" borderId="39" xfId="0" applyFont="1" applyFill="1" applyBorder="1" applyAlignment="1">
      <alignment horizontal="center" vertical="center" wrapText="1"/>
    </xf>
    <xf numFmtId="0" fontId="32" fillId="0" borderId="255" xfId="33" applyFont="1" applyFill="1" applyBorder="1" applyAlignment="1">
      <alignment horizontal="center" vertical="center" wrapText="1"/>
    </xf>
    <xf numFmtId="0" fontId="32" fillId="0" borderId="84" xfId="33" applyFont="1" applyFill="1" applyBorder="1" applyAlignment="1">
      <alignment horizontal="center" vertical="center" wrapText="1"/>
    </xf>
    <xf numFmtId="0" fontId="32" fillId="0" borderId="69" xfId="33" applyFont="1" applyFill="1" applyBorder="1" applyAlignment="1">
      <alignment horizontal="center" vertical="center" wrapText="1"/>
    </xf>
    <xf numFmtId="0" fontId="32" fillId="0" borderId="311" xfId="33" applyFont="1" applyFill="1" applyBorder="1" applyAlignment="1">
      <alignment horizontal="center" vertical="center" wrapText="1"/>
    </xf>
    <xf numFmtId="0" fontId="32" fillId="0" borderId="70" xfId="33" applyFont="1" applyFill="1" applyBorder="1" applyAlignment="1">
      <alignment horizontal="center" vertical="center" wrapText="1"/>
    </xf>
    <xf numFmtId="0" fontId="32" fillId="2" borderId="79" xfId="33" applyFont="1" applyFill="1" applyBorder="1" applyAlignment="1">
      <alignment horizontal="center" vertical="center" wrapText="1"/>
    </xf>
    <xf numFmtId="0" fontId="32" fillId="2" borderId="85" xfId="33" applyFont="1" applyFill="1" applyBorder="1" applyAlignment="1">
      <alignment horizontal="center" vertical="center" wrapText="1"/>
    </xf>
    <xf numFmtId="0" fontId="32" fillId="2" borderId="70" xfId="33" applyFont="1" applyFill="1" applyBorder="1" applyAlignment="1">
      <alignment horizontal="center" vertical="center" wrapText="1"/>
    </xf>
    <xf numFmtId="0" fontId="32" fillId="0" borderId="79" xfId="33" applyFont="1" applyFill="1" applyBorder="1" applyAlignment="1">
      <alignment horizontal="center" vertical="center" wrapText="1"/>
    </xf>
    <xf numFmtId="0" fontId="32" fillId="0" borderId="85" xfId="33" applyFont="1" applyFill="1" applyBorder="1" applyAlignment="1">
      <alignment horizontal="center" vertical="center" wrapText="1"/>
    </xf>
    <xf numFmtId="0" fontId="32" fillId="0" borderId="76" xfId="33" applyFont="1" applyFill="1" applyBorder="1" applyAlignment="1">
      <alignment horizontal="center" vertical="center" wrapText="1"/>
    </xf>
    <xf numFmtId="0" fontId="32" fillId="0" borderId="220" xfId="33" applyFont="1" applyFill="1" applyBorder="1" applyAlignment="1">
      <alignment horizontal="center" vertical="center" wrapText="1"/>
    </xf>
    <xf numFmtId="0" fontId="32" fillId="0" borderId="73" xfId="33" applyFont="1" applyFill="1" applyBorder="1" applyAlignment="1">
      <alignment horizontal="center" vertical="center" wrapText="1"/>
    </xf>
    <xf numFmtId="0" fontId="32" fillId="0" borderId="75" xfId="33" applyFont="1" applyFill="1" applyBorder="1" applyAlignment="1">
      <alignment horizontal="center" vertical="center" wrapText="1"/>
    </xf>
    <xf numFmtId="0" fontId="32" fillId="0" borderId="312" xfId="33" applyFont="1" applyFill="1" applyBorder="1" applyAlignment="1">
      <alignment horizontal="center" vertical="center" wrapText="1"/>
    </xf>
    <xf numFmtId="0" fontId="165" fillId="0" borderId="0" xfId="32" applyFont="1" applyAlignment="1">
      <alignment horizontal="center"/>
    </xf>
    <xf numFmtId="0" fontId="32" fillId="0" borderId="263" xfId="33" applyFont="1" applyFill="1" applyBorder="1" applyAlignment="1">
      <alignment horizontal="center" vertical="center" wrapText="1"/>
    </xf>
    <xf numFmtId="0" fontId="32" fillId="0" borderId="96" xfId="33" applyFont="1" applyFill="1" applyBorder="1" applyAlignment="1">
      <alignment horizontal="center" vertical="center" wrapText="1"/>
    </xf>
    <xf numFmtId="0" fontId="32" fillId="2" borderId="76" xfId="33" applyFont="1" applyFill="1" applyBorder="1" applyAlignment="1">
      <alignment horizontal="center" vertical="center" wrapText="1"/>
    </xf>
    <xf numFmtId="0" fontId="32" fillId="2" borderId="73" xfId="33" applyFont="1" applyFill="1" applyBorder="1" applyAlignment="1">
      <alignment horizontal="center" vertical="center" wrapText="1"/>
    </xf>
    <xf numFmtId="0" fontId="32" fillId="2" borderId="75" xfId="33" applyFont="1" applyFill="1" applyBorder="1" applyAlignment="1">
      <alignment horizontal="center" vertical="center" wrapText="1"/>
    </xf>
    <xf numFmtId="0" fontId="32" fillId="0" borderId="80" xfId="33" applyFont="1" applyFill="1" applyBorder="1" applyAlignment="1">
      <alignment horizontal="center" vertical="center" wrapText="1"/>
    </xf>
    <xf numFmtId="0" fontId="32" fillId="0" borderId="81" xfId="33" applyFont="1" applyFill="1" applyBorder="1" applyAlignment="1">
      <alignment horizontal="center" vertical="center" wrapText="1"/>
    </xf>
    <xf numFmtId="0" fontId="32" fillId="0" borderId="82" xfId="33" applyFont="1" applyFill="1" applyBorder="1" applyAlignment="1">
      <alignment horizontal="center" vertical="center" wrapText="1"/>
    </xf>
    <xf numFmtId="0" fontId="32" fillId="0" borderId="313" xfId="33" applyFont="1" applyFill="1" applyBorder="1" applyAlignment="1">
      <alignment horizontal="center" vertical="center" wrapText="1"/>
    </xf>
    <xf numFmtId="0" fontId="32" fillId="2" borderId="311" xfId="33" applyFont="1" applyFill="1" applyBorder="1" applyAlignment="1">
      <alignment horizontal="center" vertical="center" wrapText="1"/>
    </xf>
    <xf numFmtId="0" fontId="50" fillId="0" borderId="0" xfId="24" applyFont="1" applyFill="1" applyBorder="1" applyAlignment="1">
      <alignment horizontal="center" vertical="center"/>
    </xf>
    <xf numFmtId="3" fontId="53" fillId="3" borderId="0" xfId="24" applyNumberFormat="1" applyFont="1" applyFill="1" applyBorder="1" applyAlignment="1">
      <alignment horizontal="center" vertical="center"/>
    </xf>
    <xf numFmtId="3" fontId="53" fillId="3" borderId="2" xfId="24" applyNumberFormat="1" applyFont="1" applyFill="1" applyBorder="1" applyAlignment="1">
      <alignment horizontal="center" vertical="center"/>
    </xf>
    <xf numFmtId="0" fontId="258" fillId="0" borderId="0" xfId="24" applyFont="1" applyFill="1" applyBorder="1" applyAlignment="1">
      <alignment horizontal="center" vertical="center"/>
    </xf>
    <xf numFmtId="0" fontId="238" fillId="0" borderId="0" xfId="24" applyFont="1" applyFill="1" applyBorder="1" applyAlignment="1">
      <alignment horizontal="center" vertical="center"/>
    </xf>
    <xf numFmtId="0" fontId="53" fillId="0" borderId="0" xfId="32" applyFont="1" applyFill="1" applyBorder="1" applyAlignment="1">
      <alignment horizontal="center" vertical="center" wrapText="1"/>
    </xf>
    <xf numFmtId="0" fontId="53" fillId="0" borderId="1" xfId="32" applyFont="1" applyFill="1" applyBorder="1" applyAlignment="1">
      <alignment horizontal="center" vertical="center" wrapText="1"/>
    </xf>
    <xf numFmtId="0" fontId="53" fillId="0" borderId="0" xfId="32" applyFont="1" applyFill="1" applyBorder="1" applyAlignment="1">
      <alignment horizontal="center" vertical="center"/>
    </xf>
    <xf numFmtId="0" fontId="25" fillId="0" borderId="0" xfId="32" applyFont="1" applyFill="1" applyBorder="1" applyAlignment="1">
      <alignment horizontal="center" vertical="center"/>
    </xf>
    <xf numFmtId="0" fontId="53" fillId="0" borderId="2" xfId="32" applyFont="1" applyFill="1" applyBorder="1" applyAlignment="1">
      <alignment horizontal="center" vertical="center"/>
    </xf>
    <xf numFmtId="0" fontId="25" fillId="0" borderId="2" xfId="32" applyFont="1" applyFill="1" applyBorder="1" applyAlignment="1">
      <alignment horizontal="center"/>
    </xf>
    <xf numFmtId="0" fontId="54" fillId="0" borderId="5" xfId="32" applyFont="1" applyBorder="1" applyAlignment="1">
      <alignment horizontal="center" vertical="center"/>
    </xf>
    <xf numFmtId="0" fontId="54" fillId="0" borderId="34" xfId="32" applyFont="1" applyBorder="1" applyAlignment="1">
      <alignment horizontal="center" vertical="center"/>
    </xf>
    <xf numFmtId="0" fontId="54" fillId="0" borderId="8" xfId="32" applyFont="1" applyBorder="1" applyAlignment="1">
      <alignment horizontal="center" vertical="center"/>
    </xf>
    <xf numFmtId="0" fontId="178" fillId="0" borderId="5" xfId="32" applyFont="1" applyBorder="1" applyAlignment="1">
      <alignment horizontal="center" vertical="center"/>
    </xf>
    <xf numFmtId="0" fontId="178" fillId="0" borderId="34" xfId="32" applyFont="1" applyBorder="1" applyAlignment="1">
      <alignment horizontal="center" vertical="center"/>
    </xf>
    <xf numFmtId="0" fontId="178" fillId="0" borderId="8" xfId="32" applyFont="1" applyBorder="1" applyAlignment="1">
      <alignment horizontal="center" vertical="center"/>
    </xf>
    <xf numFmtId="0" fontId="55" fillId="0" borderId="5" xfId="32" applyFont="1" applyBorder="1" applyAlignment="1">
      <alignment horizontal="center" vertical="center"/>
    </xf>
    <xf numFmtId="0" fontId="55" fillId="0" borderId="34" xfId="32" applyFont="1" applyBorder="1" applyAlignment="1">
      <alignment horizontal="center" vertical="center"/>
    </xf>
    <xf numFmtId="0" fontId="55" fillId="0" borderId="8" xfId="32" applyFont="1" applyBorder="1" applyAlignment="1">
      <alignment horizontal="center" vertical="center"/>
    </xf>
    <xf numFmtId="0" fontId="56" fillId="0" borderId="5" xfId="32" applyFont="1" applyBorder="1" applyAlignment="1">
      <alignment horizontal="center" vertical="center"/>
    </xf>
    <xf numFmtId="0" fontId="56" fillId="0" borderId="34" xfId="32" applyFont="1" applyBorder="1" applyAlignment="1">
      <alignment horizontal="center" vertical="center"/>
    </xf>
    <xf numFmtId="0" fontId="56" fillId="0" borderId="8" xfId="32" applyFont="1" applyBorder="1" applyAlignment="1">
      <alignment horizontal="center" vertical="center"/>
    </xf>
    <xf numFmtId="0" fontId="180" fillId="0" borderId="5" xfId="32" applyFont="1" applyBorder="1" applyAlignment="1">
      <alignment horizontal="center" vertical="center"/>
    </xf>
    <xf numFmtId="0" fontId="180" fillId="0" borderId="34" xfId="32" applyFont="1" applyBorder="1" applyAlignment="1">
      <alignment horizontal="center" vertical="center"/>
    </xf>
    <xf numFmtId="0" fontId="180" fillId="0" borderId="8" xfId="32" applyFont="1" applyBorder="1" applyAlignment="1">
      <alignment horizontal="center" vertical="center"/>
    </xf>
    <xf numFmtId="3" fontId="53" fillId="0" borderId="39" xfId="32" applyNumberFormat="1" applyFont="1" applyBorder="1" applyAlignment="1">
      <alignment horizontal="center"/>
    </xf>
    <xf numFmtId="0" fontId="53" fillId="0" borderId="2" xfId="32" applyFont="1" applyBorder="1" applyAlignment="1">
      <alignment horizontal="center" vertical="center"/>
    </xf>
    <xf numFmtId="0" fontId="123" fillId="0" borderId="2" xfId="32" applyFont="1" applyBorder="1" applyAlignment="1">
      <alignment horizontal="center" vertical="center"/>
    </xf>
    <xf numFmtId="0" fontId="25" fillId="0" borderId="2" xfId="32" applyFont="1" applyBorder="1" applyAlignment="1">
      <alignment horizontal="center"/>
    </xf>
    <xf numFmtId="0" fontId="53" fillId="3" borderId="5" xfId="32" applyFont="1" applyFill="1" applyBorder="1" applyAlignment="1">
      <alignment horizontal="center" vertical="center"/>
    </xf>
    <xf numFmtId="0" fontId="53" fillId="3" borderId="8" xfId="32" applyFont="1" applyFill="1" applyBorder="1" applyAlignment="1">
      <alignment horizontal="center" vertical="center"/>
    </xf>
    <xf numFmtId="0" fontId="53" fillId="0" borderId="9" xfId="32" applyFont="1" applyBorder="1" applyAlignment="1">
      <alignment horizontal="center" vertical="center"/>
    </xf>
    <xf numFmtId="0" fontId="53" fillId="0" borderId="4" xfId="32" applyFont="1" applyBorder="1" applyAlignment="1">
      <alignment horizontal="center" vertical="center"/>
    </xf>
    <xf numFmtId="0" fontId="123" fillId="0" borderId="6" xfId="32" applyFont="1" applyBorder="1" applyAlignment="1">
      <alignment horizontal="center" vertical="center"/>
    </xf>
    <xf numFmtId="0" fontId="123" fillId="0" borderId="3" xfId="32" applyFont="1" applyBorder="1" applyAlignment="1">
      <alignment horizontal="center" vertical="center"/>
    </xf>
    <xf numFmtId="0" fontId="123" fillId="0" borderId="7" xfId="32" applyFont="1" applyBorder="1" applyAlignment="1">
      <alignment horizontal="center" vertical="center"/>
    </xf>
    <xf numFmtId="17" fontId="22" fillId="3" borderId="9" xfId="32" applyNumberFormat="1" applyFont="1" applyFill="1" applyBorder="1" applyAlignment="1">
      <alignment horizontal="center"/>
    </xf>
    <xf numFmtId="17" fontId="22" fillId="3" borderId="10" xfId="32" applyNumberFormat="1" applyFont="1" applyFill="1" applyBorder="1" applyAlignment="1">
      <alignment horizontal="center"/>
    </xf>
    <xf numFmtId="0" fontId="25" fillId="0" borderId="0" xfId="32" applyFont="1" applyAlignment="1">
      <alignment horizontal="right"/>
    </xf>
    <xf numFmtId="0" fontId="124" fillId="0" borderId="6" xfId="32" applyFont="1" applyBorder="1" applyAlignment="1">
      <alignment horizontal="center" vertical="center"/>
    </xf>
    <xf numFmtId="0" fontId="124" fillId="0" borderId="3" xfId="32" applyFont="1" applyBorder="1" applyAlignment="1">
      <alignment horizontal="center" vertical="center"/>
    </xf>
    <xf numFmtId="0" fontId="124" fillId="0" borderId="7" xfId="32" applyFont="1" applyBorder="1" applyAlignment="1">
      <alignment horizontal="center" vertical="center"/>
    </xf>
    <xf numFmtId="0" fontId="53" fillId="3" borderId="39" xfId="32" applyFont="1" applyFill="1" applyBorder="1" applyAlignment="1">
      <alignment horizontal="center" vertical="center"/>
    </xf>
    <xf numFmtId="0" fontId="54" fillId="0" borderId="9" xfId="32" applyFont="1" applyBorder="1" applyAlignment="1">
      <alignment horizontal="center" vertical="center"/>
    </xf>
    <xf numFmtId="0" fontId="54" fillId="0" borderId="4" xfId="32" applyFont="1" applyBorder="1" applyAlignment="1">
      <alignment horizontal="center" vertical="center"/>
    </xf>
    <xf numFmtId="0" fontId="54" fillId="0" borderId="10" xfId="32" applyFont="1" applyBorder="1" applyAlignment="1">
      <alignment horizontal="center" vertical="center"/>
    </xf>
    <xf numFmtId="0" fontId="123" fillId="0" borderId="9" xfId="32" applyFont="1" applyBorder="1" applyAlignment="1">
      <alignment horizontal="center" vertical="center"/>
    </xf>
    <xf numFmtId="0" fontId="123" fillId="0" borderId="4" xfId="32" applyFont="1" applyBorder="1" applyAlignment="1">
      <alignment horizontal="center" vertical="center"/>
    </xf>
    <xf numFmtId="0" fontId="123" fillId="0" borderId="10" xfId="32" applyFont="1" applyBorder="1" applyAlignment="1">
      <alignment horizontal="center" vertical="center"/>
    </xf>
    <xf numFmtId="17" fontId="22" fillId="3" borderId="9" xfId="32" applyNumberFormat="1" applyFill="1" applyBorder="1" applyAlignment="1">
      <alignment horizontal="center"/>
    </xf>
    <xf numFmtId="17" fontId="22" fillId="3" borderId="10" xfId="32" applyNumberFormat="1" applyFill="1" applyBorder="1" applyAlignment="1">
      <alignment horizontal="center"/>
    </xf>
    <xf numFmtId="0" fontId="62" fillId="0" borderId="5" xfId="32" applyFont="1" applyBorder="1" applyAlignment="1">
      <alignment horizontal="center" vertical="center"/>
    </xf>
    <xf numFmtId="0" fontId="62" fillId="0" borderId="34" xfId="32" applyFont="1" applyBorder="1" applyAlignment="1">
      <alignment horizontal="center" vertical="center"/>
    </xf>
    <xf numFmtId="0" fontId="62" fillId="0" borderId="8" xfId="32" applyFont="1" applyBorder="1" applyAlignment="1">
      <alignment horizontal="center" vertical="center"/>
    </xf>
    <xf numFmtId="0" fontId="68" fillId="0" borderId="5" xfId="32" applyFont="1" applyBorder="1" applyAlignment="1">
      <alignment horizontal="center" vertical="center"/>
    </xf>
    <xf numFmtId="0" fontId="68" fillId="0" borderId="34" xfId="32" applyFont="1" applyBorder="1" applyAlignment="1">
      <alignment horizontal="center" vertical="center"/>
    </xf>
    <xf numFmtId="0" fontId="68" fillId="0" borderId="8" xfId="32" applyFont="1" applyBorder="1" applyAlignment="1">
      <alignment horizontal="center" vertical="center"/>
    </xf>
    <xf numFmtId="0" fontId="63" fillId="0" borderId="5" xfId="32" applyFont="1" applyBorder="1" applyAlignment="1">
      <alignment horizontal="center" vertical="center"/>
    </xf>
    <xf numFmtId="0" fontId="63" fillId="0" borderId="34" xfId="32" applyFont="1" applyBorder="1" applyAlignment="1">
      <alignment horizontal="center" vertical="center"/>
    </xf>
    <xf numFmtId="0" fontId="63" fillId="0" borderId="8" xfId="32" applyFont="1" applyBorder="1" applyAlignment="1">
      <alignment horizontal="center" vertical="center"/>
    </xf>
    <xf numFmtId="0" fontId="25" fillId="0" borderId="36" xfId="32" applyFont="1" applyBorder="1" applyAlignment="1">
      <alignment horizontal="right"/>
    </xf>
    <xf numFmtId="0" fontId="125" fillId="3" borderId="39" xfId="0" applyFont="1" applyFill="1" applyBorder="1" applyAlignment="1">
      <alignment horizontal="center" vertical="center"/>
    </xf>
    <xf numFmtId="0" fontId="121" fillId="0" borderId="9" xfId="32" applyFont="1" applyBorder="1" applyAlignment="1">
      <alignment horizontal="center" vertical="center"/>
    </xf>
    <xf numFmtId="0" fontId="121" fillId="0" borderId="4" xfId="32" applyFont="1" applyBorder="1" applyAlignment="1">
      <alignment horizontal="center" vertical="center"/>
    </xf>
    <xf numFmtId="0" fontId="121" fillId="0" borderId="10" xfId="32" applyFont="1" applyBorder="1" applyAlignment="1">
      <alignment horizontal="center" vertical="center"/>
    </xf>
    <xf numFmtId="0" fontId="121" fillId="0" borderId="9" xfId="0" applyFont="1" applyBorder="1" applyAlignment="1">
      <alignment horizontal="center" vertical="center"/>
    </xf>
    <xf numFmtId="0" fontId="121" fillId="0" borderId="4" xfId="0" applyFont="1" applyBorder="1" applyAlignment="1">
      <alignment horizontal="center" vertical="center"/>
    </xf>
    <xf numFmtId="0" fontId="121" fillId="0" borderId="10" xfId="0" applyFont="1" applyBorder="1" applyAlignment="1">
      <alignment horizontal="center" vertical="center"/>
    </xf>
    <xf numFmtId="0" fontId="125" fillId="3" borderId="39" xfId="32" applyFont="1" applyFill="1" applyBorder="1" applyAlignment="1">
      <alignment horizontal="center" vertical="center"/>
    </xf>
    <xf numFmtId="3" fontId="125" fillId="3" borderId="39" xfId="0" applyNumberFormat="1" applyFont="1" applyFill="1" applyBorder="1" applyAlignment="1">
      <alignment horizontal="center" vertical="center"/>
    </xf>
    <xf numFmtId="3" fontId="125" fillId="0" borderId="39" xfId="32" applyNumberFormat="1" applyFont="1" applyBorder="1" applyAlignment="1">
      <alignment horizontal="center"/>
    </xf>
    <xf numFmtId="0" fontId="79" fillId="0" borderId="0" xfId="34" applyFont="1" applyAlignment="1">
      <alignment horizontal="left" vertical="center" wrapText="1"/>
    </xf>
    <xf numFmtId="3" fontId="251" fillId="0" borderId="213" xfId="0" applyNumberFormat="1" applyFont="1" applyBorder="1" applyAlignment="1">
      <alignment horizontal="center" vertical="center" wrapText="1"/>
    </xf>
    <xf numFmtId="3" fontId="251" fillId="0" borderId="272" xfId="0" applyNumberFormat="1" applyFont="1" applyBorder="1" applyAlignment="1">
      <alignment horizontal="center" vertical="center" wrapText="1"/>
    </xf>
    <xf numFmtId="3" fontId="251" fillId="0" borderId="307" xfId="0" applyNumberFormat="1" applyFont="1" applyBorder="1" applyAlignment="1">
      <alignment horizontal="center" vertical="center" wrapText="1"/>
    </xf>
    <xf numFmtId="0" fontId="47" fillId="0" borderId="0" xfId="0" applyFont="1" applyAlignment="1">
      <alignment horizontal="right" vertical="center" wrapText="1"/>
    </xf>
    <xf numFmtId="0" fontId="50" fillId="0" borderId="0" xfId="0" applyFont="1" applyBorder="1" applyAlignment="1">
      <alignment horizontal="center" vertical="center"/>
    </xf>
    <xf numFmtId="3" fontId="25" fillId="0" borderId="4" xfId="34" applyNumberFormat="1" applyFont="1" applyBorder="1" applyAlignment="1">
      <alignment horizontal="center" vertical="center"/>
    </xf>
    <xf numFmtId="3" fontId="25" fillId="0" borderId="10" xfId="34" applyNumberFormat="1" applyFont="1" applyBorder="1" applyAlignment="1">
      <alignment horizontal="center" vertical="center"/>
    </xf>
    <xf numFmtId="3" fontId="25" fillId="0" borderId="9" xfId="34" applyNumberFormat="1" applyFont="1" applyBorder="1" applyAlignment="1">
      <alignment horizontal="center" vertical="center"/>
    </xf>
    <xf numFmtId="0" fontId="263" fillId="0" borderId="0" xfId="0" applyFont="1" applyAlignment="1">
      <alignment horizontal="center" vertical="center" wrapText="1"/>
    </xf>
    <xf numFmtId="0" fontId="34" fillId="0" borderId="0" xfId="0" applyFont="1" applyAlignment="1">
      <alignment horizontal="center" vertical="center"/>
    </xf>
    <xf numFmtId="0" fontId="50" fillId="0" borderId="0" xfId="0" applyFont="1" applyFill="1" applyBorder="1" applyAlignment="1">
      <alignment horizontal="center" vertical="center"/>
    </xf>
    <xf numFmtId="0" fontId="50" fillId="0" borderId="1" xfId="0" applyFont="1" applyFill="1" applyBorder="1" applyAlignment="1">
      <alignment horizontal="center" vertical="center"/>
    </xf>
    <xf numFmtId="0" fontId="50" fillId="0" borderId="87" xfId="0" applyFont="1" applyFill="1" applyBorder="1" applyAlignment="1">
      <alignment horizontal="center" vertical="center"/>
    </xf>
    <xf numFmtId="0" fontId="43" fillId="0" borderId="0" xfId="2" applyFont="1" applyAlignment="1">
      <alignment horizontal="center" wrapText="1"/>
    </xf>
    <xf numFmtId="0" fontId="43" fillId="0" borderId="2" xfId="2" applyFont="1" applyBorder="1" applyAlignment="1">
      <alignment horizontal="center" wrapText="1"/>
    </xf>
    <xf numFmtId="0" fontId="50" fillId="3" borderId="39" xfId="2" applyFont="1" applyFill="1" applyBorder="1" applyAlignment="1">
      <alignment horizontal="center" vertical="center" wrapText="1"/>
    </xf>
    <xf numFmtId="0" fontId="32" fillId="3" borderId="39" xfId="2" applyFont="1" applyFill="1" applyBorder="1" applyAlignment="1">
      <alignment wrapText="1"/>
    </xf>
    <xf numFmtId="0" fontId="50" fillId="0" borderId="9" xfId="2" applyFont="1" applyBorder="1" applyAlignment="1">
      <alignment horizontal="center" vertical="center" wrapText="1"/>
    </xf>
    <xf numFmtId="0" fontId="50" fillId="0" borderId="10" xfId="2" applyFont="1" applyBorder="1" applyAlignment="1">
      <alignment horizontal="center" vertical="center" wrapText="1"/>
    </xf>
    <xf numFmtId="0" fontId="50" fillId="0" borderId="39" xfId="2" applyFont="1" applyBorder="1" applyAlignment="1">
      <alignment horizontal="center" vertical="center" wrapText="1"/>
    </xf>
    <xf numFmtId="0" fontId="32" fillId="0" borderId="39" xfId="2" applyFont="1" applyBorder="1" applyAlignment="1">
      <alignment horizontal="center" vertical="center" wrapText="1"/>
    </xf>
    <xf numFmtId="0" fontId="255" fillId="0" borderId="35" xfId="0" applyFont="1" applyBorder="1" applyAlignment="1">
      <alignment horizontal="right" wrapText="1"/>
    </xf>
    <xf numFmtId="0" fontId="255" fillId="0" borderId="0" xfId="0" applyFont="1" applyBorder="1" applyAlignment="1">
      <alignment horizontal="right" wrapText="1"/>
    </xf>
    <xf numFmtId="0" fontId="50" fillId="0" borderId="99" xfId="2" applyFont="1" applyBorder="1" applyAlignment="1">
      <alignment horizontal="center" vertical="center" wrapText="1"/>
    </xf>
    <xf numFmtId="0" fontId="50" fillId="0" borderId="131" xfId="2" applyFont="1" applyBorder="1" applyAlignment="1">
      <alignment horizontal="center" vertical="center" wrapText="1"/>
    </xf>
    <xf numFmtId="1" fontId="50" fillId="0" borderId="9" xfId="4" applyNumberFormat="1" applyFont="1" applyBorder="1" applyAlignment="1">
      <alignment horizontal="center" vertical="center" wrapText="1"/>
    </xf>
    <xf numFmtId="1" fontId="50" fillId="0" borderId="10" xfId="4" applyNumberFormat="1" applyFont="1" applyBorder="1" applyAlignment="1">
      <alignment horizontal="center" vertical="center" wrapText="1"/>
    </xf>
    <xf numFmtId="1" fontId="50" fillId="0" borderId="39" xfId="4" applyNumberFormat="1" applyFont="1" applyBorder="1" applyAlignment="1">
      <alignment horizontal="center" vertical="center" wrapText="1"/>
    </xf>
    <xf numFmtId="1" fontId="50" fillId="0" borderId="4" xfId="4" applyNumberFormat="1" applyFont="1" applyBorder="1" applyAlignment="1">
      <alignment horizontal="center" vertical="center" wrapText="1"/>
    </xf>
    <xf numFmtId="0" fontId="256" fillId="0" borderId="0" xfId="0" applyFont="1" applyAlignment="1">
      <alignment horizontal="right" vertical="center" wrapText="1"/>
    </xf>
    <xf numFmtId="0" fontId="50" fillId="0" borderId="135" xfId="2" applyFont="1" applyBorder="1" applyAlignment="1">
      <alignment horizontal="center" vertical="center" wrapText="1"/>
    </xf>
    <xf numFmtId="0" fontId="50" fillId="3" borderId="5" xfId="3" applyFont="1" applyFill="1" applyBorder="1" applyAlignment="1">
      <alignment horizontal="center" vertical="center"/>
    </xf>
    <xf numFmtId="0" fontId="50" fillId="3" borderId="8" xfId="3" applyFont="1" applyFill="1" applyBorder="1" applyAlignment="1">
      <alignment horizontal="center" vertical="center"/>
    </xf>
    <xf numFmtId="0" fontId="50" fillId="0" borderId="9" xfId="3" applyFont="1" applyBorder="1" applyAlignment="1">
      <alignment horizontal="center" vertical="center"/>
    </xf>
    <xf numFmtId="0" fontId="50" fillId="0" borderId="4" xfId="3" applyFont="1" applyBorder="1" applyAlignment="1">
      <alignment horizontal="center" vertical="center"/>
    </xf>
    <xf numFmtId="0" fontId="41" fillId="0" borderId="289" xfId="0" applyFont="1" applyBorder="1" applyAlignment="1">
      <alignment horizontal="left" wrapText="1"/>
    </xf>
    <xf numFmtId="0" fontId="41" fillId="0" borderId="0" xfId="0" applyFont="1" applyAlignment="1">
      <alignment horizontal="left" wrapText="1"/>
    </xf>
    <xf numFmtId="0" fontId="50" fillId="0" borderId="6" xfId="0" applyFont="1" applyBorder="1" applyAlignment="1">
      <alignment horizontal="center" vertical="center"/>
    </xf>
    <xf numFmtId="0" fontId="50" fillId="0" borderId="3" xfId="0" applyFont="1" applyBorder="1" applyAlignment="1">
      <alignment horizontal="center" vertical="center"/>
    </xf>
    <xf numFmtId="0" fontId="50" fillId="0" borderId="7" xfId="0" applyFont="1" applyBorder="1" applyAlignment="1">
      <alignment horizontal="center" vertical="center"/>
    </xf>
    <xf numFmtId="0" fontId="172" fillId="3" borderId="9" xfId="0" applyFont="1" applyFill="1" applyBorder="1" applyAlignment="1">
      <alignment horizontal="center" vertical="center"/>
    </xf>
    <xf numFmtId="0" fontId="172" fillId="3" borderId="4" xfId="0" applyFont="1" applyFill="1" applyBorder="1" applyAlignment="1">
      <alignment horizontal="center" vertical="center"/>
    </xf>
    <xf numFmtId="0" fontId="172" fillId="3" borderId="10" xfId="0" applyFont="1" applyFill="1" applyBorder="1" applyAlignment="1">
      <alignment horizontal="center" vertical="center"/>
    </xf>
    <xf numFmtId="0" fontId="25" fillId="0" borderId="3" xfId="36" applyFont="1" applyBorder="1" applyAlignment="1">
      <alignment horizontal="center" vertical="center" wrapText="1"/>
    </xf>
    <xf numFmtId="0" fontId="25" fillId="0" borderId="7" xfId="36" applyFont="1" applyBorder="1" applyAlignment="1">
      <alignment horizontal="center" vertical="center" wrapText="1"/>
    </xf>
    <xf numFmtId="0" fontId="25" fillId="0" borderId="6" xfId="36" applyFont="1" applyBorder="1" applyAlignment="1">
      <alignment horizontal="center" vertical="center" wrapText="1"/>
    </xf>
    <xf numFmtId="0" fontId="174" fillId="0" borderId="0" xfId="0" applyFont="1" applyAlignment="1">
      <alignment horizontal="left" wrapText="1"/>
    </xf>
    <xf numFmtId="0" fontId="32" fillId="0" borderId="52" xfId="0" applyFont="1" applyBorder="1" applyAlignment="1">
      <alignment horizontal="center" vertical="center"/>
    </xf>
    <xf numFmtId="0" fontId="32" fillId="0" borderId="34" xfId="0" applyFont="1" applyBorder="1" applyAlignment="1">
      <alignment horizontal="center" vertical="center"/>
    </xf>
    <xf numFmtId="0" fontId="32" fillId="0" borderId="24" xfId="0" applyFont="1" applyBorder="1" applyAlignment="1">
      <alignment horizontal="center" vertical="center"/>
    </xf>
    <xf numFmtId="0" fontId="32" fillId="0" borderId="52" xfId="0" applyFont="1" applyFill="1" applyBorder="1" applyAlignment="1">
      <alignment horizontal="center" vertical="center"/>
    </xf>
    <xf numFmtId="0" fontId="32" fillId="0" borderId="34" xfId="0" applyFont="1" applyFill="1" applyBorder="1" applyAlignment="1">
      <alignment horizontal="center" vertical="center"/>
    </xf>
    <xf numFmtId="0" fontId="32" fillId="0" borderId="24" xfId="0" applyFont="1" applyFill="1" applyBorder="1" applyAlignment="1">
      <alignment horizontal="center" vertical="center"/>
    </xf>
    <xf numFmtId="0" fontId="32" fillId="0" borderId="49" xfId="0" applyFont="1" applyBorder="1" applyAlignment="1">
      <alignment horizontal="center" vertical="center" wrapText="1"/>
    </xf>
    <xf numFmtId="0" fontId="32" fillId="0" borderId="52" xfId="0" applyFont="1" applyBorder="1" applyAlignment="1">
      <alignment horizontal="center" vertical="center" wrapText="1"/>
    </xf>
    <xf numFmtId="0" fontId="32" fillId="0" borderId="34" xfId="0" applyFont="1" applyBorder="1" applyAlignment="1">
      <alignment horizontal="center" vertical="center" wrapText="1"/>
    </xf>
    <xf numFmtId="0" fontId="32" fillId="0" borderId="24" xfId="0" applyFont="1" applyBorder="1" applyAlignment="1">
      <alignment horizontal="center" vertical="center" wrapText="1"/>
    </xf>
    <xf numFmtId="0" fontId="50" fillId="3" borderId="9" xfId="0" applyFont="1" applyFill="1" applyBorder="1" applyAlignment="1">
      <alignment horizontal="center" vertical="center"/>
    </xf>
    <xf numFmtId="0" fontId="50" fillId="3" borderId="4" xfId="0" applyFont="1" applyFill="1" applyBorder="1" applyAlignment="1">
      <alignment horizontal="center" vertical="center"/>
    </xf>
    <xf numFmtId="0" fontId="50" fillId="3" borderId="7" xfId="0" applyFont="1" applyFill="1" applyBorder="1" applyAlignment="1">
      <alignment horizontal="center" vertical="center"/>
    </xf>
    <xf numFmtId="0" fontId="32" fillId="0" borderId="298" xfId="0" applyFont="1" applyBorder="1" applyAlignment="1">
      <alignment horizontal="center" vertical="center"/>
    </xf>
    <xf numFmtId="0" fontId="32" fillId="0" borderId="8" xfId="0" applyFont="1" applyBorder="1" applyAlignment="1">
      <alignment horizontal="center" vertical="center"/>
    </xf>
    <xf numFmtId="0" fontId="32" fillId="0" borderId="25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0" fontId="32" fillId="0" borderId="25" xfId="0" applyFont="1" applyBorder="1" applyAlignment="1">
      <alignment horizontal="center" vertical="center" wrapText="1"/>
    </xf>
    <xf numFmtId="0" fontId="25" fillId="3" borderId="5" xfId="36" applyFont="1" applyFill="1" applyBorder="1" applyAlignment="1">
      <alignment horizontal="center" vertical="center"/>
    </xf>
    <xf numFmtId="0" fontId="25" fillId="3" borderId="8" xfId="36" applyFont="1" applyFill="1" applyBorder="1" applyAlignment="1">
      <alignment horizontal="center" vertical="center"/>
    </xf>
    <xf numFmtId="0" fontId="50" fillId="3" borderId="158" xfId="3" applyFont="1" applyFill="1" applyBorder="1" applyAlignment="1">
      <alignment horizontal="center" vertical="center"/>
    </xf>
    <xf numFmtId="0" fontId="25" fillId="0" borderId="159" xfId="36" applyFont="1" applyBorder="1" applyAlignment="1">
      <alignment horizontal="center" vertical="center" wrapText="1"/>
    </xf>
    <xf numFmtId="0" fontId="25" fillId="0" borderId="160" xfId="36" applyFont="1" applyBorder="1" applyAlignment="1">
      <alignment horizontal="center" vertical="center" wrapText="1"/>
    </xf>
    <xf numFmtId="0" fontId="25" fillId="0" borderId="161" xfId="36" applyFont="1" applyBorder="1" applyAlignment="1">
      <alignment horizontal="center" vertical="center" wrapText="1"/>
    </xf>
    <xf numFmtId="0" fontId="22" fillId="0" borderId="155" xfId="36" applyFont="1" applyBorder="1" applyAlignment="1">
      <alignment horizontal="center" vertical="center"/>
    </xf>
    <xf numFmtId="0" fontId="22" fillId="0" borderId="158" xfId="36" applyFont="1" applyBorder="1" applyAlignment="1">
      <alignment horizontal="center" vertical="center"/>
    </xf>
    <xf numFmtId="0" fontId="25" fillId="3" borderId="158" xfId="36" applyFont="1" applyFill="1" applyBorder="1" applyAlignment="1">
      <alignment horizontal="center" vertical="center"/>
    </xf>
    <xf numFmtId="0" fontId="22" fillId="0" borderId="156" xfId="36" applyFont="1" applyBorder="1" applyAlignment="1">
      <alignment horizontal="center" vertical="center" wrapText="1"/>
    </xf>
    <xf numFmtId="0" fontId="22" fillId="0" borderId="160" xfId="36" applyFont="1" applyBorder="1" applyAlignment="1">
      <alignment horizontal="center" vertical="center" wrapText="1"/>
    </xf>
    <xf numFmtId="0" fontId="22" fillId="0" borderId="161" xfId="36" applyFont="1" applyBorder="1" applyAlignment="1">
      <alignment horizontal="center" vertical="center" wrapText="1"/>
    </xf>
    <xf numFmtId="0" fontId="24" fillId="0" borderId="156" xfId="36" applyFont="1" applyBorder="1" applyAlignment="1">
      <alignment horizontal="center" vertical="center" wrapText="1"/>
    </xf>
    <xf numFmtId="0" fontId="24" fillId="0" borderId="160" xfId="36" applyFont="1" applyBorder="1" applyAlignment="1">
      <alignment horizontal="center" vertical="center" wrapText="1"/>
    </xf>
    <xf numFmtId="0" fontId="24" fillId="0" borderId="161" xfId="36" applyFont="1" applyBorder="1" applyAlignment="1">
      <alignment horizontal="center" vertical="center" wrapText="1"/>
    </xf>
    <xf numFmtId="0" fontId="22" fillId="0" borderId="170" xfId="36" applyFont="1" applyBorder="1" applyAlignment="1">
      <alignment horizontal="center" vertical="center" wrapText="1"/>
    </xf>
    <xf numFmtId="1" fontId="50" fillId="0" borderId="170" xfId="3" applyNumberFormat="1" applyFont="1" applyBorder="1" applyAlignment="1">
      <alignment horizontal="center" vertical="center" wrapText="1"/>
    </xf>
    <xf numFmtId="1" fontId="50" fillId="0" borderId="156" xfId="3" applyNumberFormat="1" applyFont="1" applyBorder="1" applyAlignment="1">
      <alignment horizontal="center" vertical="center" wrapText="1"/>
    </xf>
    <xf numFmtId="1" fontId="50" fillId="0" borderId="161" xfId="3" applyNumberFormat="1" applyFont="1" applyBorder="1" applyAlignment="1">
      <alignment horizontal="center" vertical="center" wrapText="1"/>
    </xf>
    <xf numFmtId="0" fontId="41" fillId="0" borderId="289" xfId="0" applyFont="1" applyBorder="1" applyAlignment="1">
      <alignment horizontal="right" wrapText="1"/>
    </xf>
    <xf numFmtId="0" fontId="41" fillId="0" borderId="0" xfId="0" applyFont="1" applyBorder="1" applyAlignment="1">
      <alignment horizontal="right" wrapText="1"/>
    </xf>
    <xf numFmtId="0" fontId="172" fillId="0" borderId="170" xfId="0" applyFont="1" applyBorder="1" applyAlignment="1">
      <alignment horizontal="center" vertical="center"/>
    </xf>
    <xf numFmtId="0" fontId="172" fillId="0" borderId="157" xfId="0" applyFont="1" applyBorder="1" applyAlignment="1">
      <alignment horizontal="center" vertical="center"/>
    </xf>
    <xf numFmtId="0" fontId="25" fillId="0" borderId="194" xfId="35" applyFont="1" applyBorder="1" applyAlignment="1">
      <alignment horizontal="center" vertical="center" wrapText="1"/>
    </xf>
    <xf numFmtId="0" fontId="25" fillId="0" borderId="195" xfId="35" applyFont="1" applyBorder="1" applyAlignment="1">
      <alignment horizontal="center" vertical="center" wrapText="1"/>
    </xf>
    <xf numFmtId="0" fontId="25" fillId="0" borderId="196" xfId="35" applyFont="1" applyBorder="1" applyAlignment="1">
      <alignment horizontal="center" vertical="center" wrapText="1"/>
    </xf>
    <xf numFmtId="0" fontId="25" fillId="0" borderId="170" xfId="36" applyFont="1" applyBorder="1" applyAlignment="1">
      <alignment horizontal="center" vertical="center" wrapText="1"/>
    </xf>
    <xf numFmtId="0" fontId="25" fillId="0" borderId="156" xfId="36" applyFont="1" applyBorder="1" applyAlignment="1">
      <alignment horizontal="center" vertical="center" wrapText="1"/>
    </xf>
    <xf numFmtId="0" fontId="50" fillId="0" borderId="170" xfId="36" applyFont="1" applyBorder="1" applyAlignment="1">
      <alignment horizontal="center" vertical="center" wrapText="1"/>
    </xf>
    <xf numFmtId="0" fontId="50" fillId="0" borderId="156" xfId="36" applyFont="1" applyBorder="1" applyAlignment="1">
      <alignment horizontal="center" vertical="center" wrapText="1"/>
    </xf>
    <xf numFmtId="0" fontId="50" fillId="0" borderId="161" xfId="36" applyFont="1" applyBorder="1" applyAlignment="1">
      <alignment horizontal="center" vertical="center" wrapText="1"/>
    </xf>
    <xf numFmtId="0" fontId="123" fillId="0" borderId="170" xfId="36" applyFont="1" applyBorder="1" applyAlignment="1">
      <alignment horizontal="center" vertical="center" wrapText="1"/>
    </xf>
    <xf numFmtId="0" fontId="123" fillId="0" borderId="156" xfId="36" applyFont="1" applyBorder="1" applyAlignment="1">
      <alignment horizontal="center" vertical="center" wrapText="1"/>
    </xf>
    <xf numFmtId="0" fontId="123" fillId="0" borderId="161" xfId="36" applyFont="1" applyBorder="1" applyAlignment="1">
      <alignment horizontal="center" vertical="center" wrapText="1"/>
    </xf>
    <xf numFmtId="0" fontId="25" fillId="0" borderId="155" xfId="36" applyFont="1" applyBorder="1" applyAlignment="1">
      <alignment horizontal="center" vertical="center" wrapText="1"/>
    </xf>
    <xf numFmtId="0" fontId="25" fillId="0" borderId="158" xfId="36" applyFont="1" applyBorder="1" applyAlignment="1">
      <alignment horizontal="center" vertical="center" wrapText="1"/>
    </xf>
    <xf numFmtId="0" fontId="25" fillId="3" borderId="155" xfId="36" applyFont="1" applyFill="1" applyBorder="1" applyAlignment="1">
      <alignment horizontal="center" vertical="center"/>
    </xf>
    <xf numFmtId="0" fontId="32" fillId="0" borderId="155" xfId="0" applyFont="1" applyBorder="1" applyAlignment="1">
      <alignment horizontal="center"/>
    </xf>
    <xf numFmtId="0" fontId="32" fillId="0" borderId="158" xfId="0" applyFont="1" applyBorder="1" applyAlignment="1">
      <alignment horizontal="center"/>
    </xf>
    <xf numFmtId="0" fontId="50" fillId="0" borderId="159" xfId="0" applyFont="1" applyBorder="1" applyAlignment="1">
      <alignment horizontal="center" vertical="center"/>
    </xf>
    <xf numFmtId="0" fontId="50" fillId="0" borderId="160" xfId="0" applyFont="1" applyBorder="1" applyAlignment="1">
      <alignment horizontal="center" vertical="center"/>
    </xf>
    <xf numFmtId="0" fontId="50" fillId="0" borderId="161" xfId="0" applyFont="1" applyBorder="1" applyAlignment="1">
      <alignment horizontal="center" vertical="center"/>
    </xf>
    <xf numFmtId="0" fontId="25" fillId="3" borderId="34" xfId="36" applyFont="1" applyFill="1" applyBorder="1" applyAlignment="1">
      <alignment horizontal="center" vertical="center"/>
    </xf>
    <xf numFmtId="0" fontId="32" fillId="4" borderId="52" xfId="0" applyFont="1" applyFill="1" applyBorder="1" applyAlignment="1">
      <alignment horizontal="center" vertical="center"/>
    </xf>
    <xf numFmtId="0" fontId="32" fillId="4" borderId="34" xfId="0" applyFont="1" applyFill="1" applyBorder="1" applyAlignment="1">
      <alignment horizontal="center" vertical="center"/>
    </xf>
    <xf numFmtId="0" fontId="32" fillId="4" borderId="24" xfId="0" applyFont="1" applyFill="1" applyBorder="1" applyAlignment="1">
      <alignment horizontal="center" vertical="center"/>
    </xf>
    <xf numFmtId="0" fontId="190" fillId="0" borderId="0" xfId="0" applyFont="1" applyBorder="1" applyAlignment="1">
      <alignment horizontal="center" vertical="top" wrapText="1"/>
    </xf>
    <xf numFmtId="0" fontId="32" fillId="4" borderId="52" xfId="0" applyFont="1" applyFill="1" applyBorder="1" applyAlignment="1">
      <alignment horizontal="center" vertical="center" wrapText="1"/>
    </xf>
    <xf numFmtId="0" fontId="32" fillId="4" borderId="24" xfId="0" applyFont="1" applyFill="1" applyBorder="1" applyAlignment="1">
      <alignment horizontal="center" vertical="center" wrapText="1"/>
    </xf>
    <xf numFmtId="0" fontId="32" fillId="4" borderId="158" xfId="0" applyFont="1" applyFill="1" applyBorder="1" applyAlignment="1">
      <alignment horizontal="center" vertical="center"/>
    </xf>
    <xf numFmtId="0" fontId="50" fillId="3" borderId="158" xfId="3" applyFont="1" applyFill="1" applyBorder="1" applyAlignment="1">
      <alignment horizontal="center" vertical="center" wrapText="1"/>
    </xf>
    <xf numFmtId="0" fontId="50" fillId="3" borderId="8" xfId="3" applyFont="1" applyFill="1" applyBorder="1" applyAlignment="1">
      <alignment horizontal="center" vertical="center" wrapText="1"/>
    </xf>
    <xf numFmtId="0" fontId="50" fillId="3" borderId="155" xfId="0" applyFont="1" applyFill="1" applyBorder="1" applyAlignment="1">
      <alignment horizontal="center" vertical="center"/>
    </xf>
    <xf numFmtId="0" fontId="32" fillId="4" borderId="273" xfId="0" applyFont="1" applyFill="1" applyBorder="1" applyAlignment="1">
      <alignment horizontal="center" vertical="center"/>
    </xf>
    <xf numFmtId="0" fontId="32" fillId="4" borderId="298" xfId="0" applyFont="1" applyFill="1" applyBorder="1" applyAlignment="1">
      <alignment horizontal="center" vertical="center"/>
    </xf>
    <xf numFmtId="0" fontId="50" fillId="3" borderId="287" xfId="3" applyFont="1" applyFill="1" applyBorder="1" applyAlignment="1">
      <alignment horizontal="center" vertical="center" wrapText="1"/>
    </xf>
    <xf numFmtId="0" fontId="50" fillId="0" borderId="288" xfId="0" applyFont="1" applyBorder="1" applyAlignment="1">
      <alignment horizontal="center" vertical="center"/>
    </xf>
    <xf numFmtId="0" fontId="50" fillId="0" borderId="289" xfId="0" applyFont="1" applyBorder="1" applyAlignment="1">
      <alignment horizontal="center" vertical="center"/>
    </xf>
    <xf numFmtId="0" fontId="50" fillId="0" borderId="290" xfId="0" applyFont="1" applyBorder="1" applyAlignment="1">
      <alignment horizontal="center" vertical="center"/>
    </xf>
    <xf numFmtId="0" fontId="25" fillId="3" borderId="287" xfId="0" applyFont="1" applyFill="1" applyBorder="1" applyAlignment="1">
      <alignment horizontal="center" vertical="center" wrapText="1"/>
    </xf>
    <xf numFmtId="0" fontId="25" fillId="3" borderId="8" xfId="0" applyFont="1" applyFill="1" applyBorder="1" applyAlignment="1">
      <alignment horizontal="center" vertical="center" wrapText="1"/>
    </xf>
    <xf numFmtId="0" fontId="47" fillId="0" borderId="289" xfId="0" applyFont="1" applyBorder="1" applyAlignment="1">
      <alignment horizontal="right" vertical="center" wrapText="1"/>
    </xf>
    <xf numFmtId="0" fontId="47" fillId="0" borderId="0" xfId="0" applyFont="1" applyBorder="1" applyAlignment="1">
      <alignment horizontal="right" vertical="center" wrapText="1"/>
    </xf>
    <xf numFmtId="0" fontId="41" fillId="0" borderId="0" xfId="0" applyFont="1" applyBorder="1" applyAlignment="1">
      <alignment horizontal="right" vertical="center" wrapText="1"/>
    </xf>
    <xf numFmtId="0" fontId="172" fillId="0" borderId="0" xfId="0" applyFont="1" applyAlignment="1">
      <alignment horizontal="left" vertical="center" wrapText="1"/>
    </xf>
    <xf numFmtId="0" fontId="50" fillId="0" borderId="195" xfId="0" applyFont="1" applyBorder="1" applyAlignment="1">
      <alignment horizontal="center" vertical="center"/>
    </xf>
    <xf numFmtId="167" fontId="53" fillId="0" borderId="194" xfId="44" applyNumberFormat="1" applyFont="1" applyBorder="1" applyAlignment="1">
      <alignment horizontal="center" vertical="center"/>
    </xf>
    <xf numFmtId="167" fontId="53" fillId="0" borderId="195" xfId="44" applyNumberFormat="1" applyFont="1" applyBorder="1" applyAlignment="1">
      <alignment horizontal="center" vertical="center"/>
    </xf>
    <xf numFmtId="167" fontId="53" fillId="0" borderId="196" xfId="44" applyNumberFormat="1" applyFont="1" applyBorder="1" applyAlignment="1">
      <alignment horizontal="center" vertical="center"/>
    </xf>
    <xf numFmtId="0" fontId="53" fillId="3" borderId="215" xfId="43" applyFont="1" applyFill="1" applyBorder="1" applyAlignment="1">
      <alignment horizontal="center" vertical="center" wrapText="1"/>
    </xf>
    <xf numFmtId="0" fontId="52" fillId="3" borderId="8" xfId="43" applyFont="1" applyFill="1" applyBorder="1" applyAlignment="1">
      <alignment horizontal="center" vertical="center" wrapText="1"/>
    </xf>
    <xf numFmtId="0" fontId="25" fillId="0" borderId="216" xfId="46" applyFont="1" applyBorder="1" applyAlignment="1">
      <alignment horizontal="center"/>
    </xf>
    <xf numFmtId="0" fontId="25" fillId="0" borderId="217" xfId="46" applyFont="1" applyBorder="1" applyAlignment="1">
      <alignment horizontal="center"/>
    </xf>
    <xf numFmtId="0" fontId="25" fillId="0" borderId="196" xfId="46" applyFont="1" applyBorder="1" applyAlignment="1">
      <alignment horizontal="center"/>
    </xf>
    <xf numFmtId="1" fontId="50" fillId="3" borderId="215" xfId="4" applyNumberFormat="1" applyFont="1" applyFill="1" applyBorder="1" applyAlignment="1">
      <alignment horizontal="center" vertical="center" wrapText="1"/>
    </xf>
    <xf numFmtId="0" fontId="47" fillId="0" borderId="216" xfId="45" applyFont="1" applyBorder="1" applyAlignment="1">
      <alignment horizontal="center" vertical="center"/>
    </xf>
    <xf numFmtId="0" fontId="47" fillId="0" borderId="217" xfId="45" applyFont="1" applyBorder="1" applyAlignment="1">
      <alignment horizontal="center" vertical="center"/>
    </xf>
    <xf numFmtId="0" fontId="47" fillId="0" borderId="218" xfId="45" applyFont="1" applyBorder="1" applyAlignment="1">
      <alignment horizontal="center" vertical="center"/>
    </xf>
    <xf numFmtId="0" fontId="47" fillId="0" borderId="197" xfId="45" applyFont="1" applyBorder="1" applyAlignment="1">
      <alignment horizontal="center" vertical="center"/>
    </xf>
    <xf numFmtId="0" fontId="50" fillId="0" borderId="215" xfId="45" applyFont="1" applyBorder="1" applyAlignment="1">
      <alignment horizontal="center" vertical="center"/>
    </xf>
    <xf numFmtId="0" fontId="53" fillId="12" borderId="197" xfId="20" applyFont="1" applyFill="1" applyBorder="1" applyAlignment="1">
      <alignment horizontal="center" vertical="center"/>
    </xf>
    <xf numFmtId="0" fontId="53" fillId="12" borderId="216" xfId="20" applyFont="1" applyFill="1" applyBorder="1" applyAlignment="1">
      <alignment horizontal="center" vertical="center"/>
    </xf>
    <xf numFmtId="0" fontId="81" fillId="0" borderId="2" xfId="45" applyFont="1" applyBorder="1" applyAlignment="1">
      <alignment horizontal="left" vertical="center" wrapText="1"/>
    </xf>
    <xf numFmtId="0" fontId="0" fillId="0" borderId="0" xfId="45" applyFont="1" applyAlignment="1">
      <alignment horizontal="left" wrapText="1"/>
    </xf>
    <xf numFmtId="0" fontId="38" fillId="3" borderId="197" xfId="45" applyFont="1" applyFill="1" applyBorder="1" applyAlignment="1">
      <alignment horizontal="center" vertical="center"/>
    </xf>
    <xf numFmtId="0" fontId="32" fillId="0" borderId="216" xfId="45" applyFont="1" applyBorder="1" applyAlignment="1">
      <alignment horizontal="center" vertical="center" wrapText="1"/>
    </xf>
    <xf numFmtId="0" fontId="32" fillId="0" borderId="217" xfId="45" applyFont="1" applyBorder="1" applyAlignment="1">
      <alignment horizontal="center" vertical="center" wrapText="1"/>
    </xf>
    <xf numFmtId="0" fontId="50" fillId="0" borderId="196" xfId="45" applyFont="1" applyBorder="1" applyAlignment="1">
      <alignment horizontal="center" vertical="center" wrapText="1"/>
    </xf>
    <xf numFmtId="0" fontId="50" fillId="0" borderId="11" xfId="45" applyFont="1" applyBorder="1" applyAlignment="1">
      <alignment horizontal="center" vertical="center" wrapText="1"/>
    </xf>
    <xf numFmtId="0" fontId="43" fillId="0" borderId="0" xfId="45" applyFont="1" applyAlignment="1">
      <alignment horizontal="center" vertical="center" wrapText="1"/>
    </xf>
    <xf numFmtId="0" fontId="43" fillId="0" borderId="0" xfId="45" applyFont="1" applyAlignment="1">
      <alignment horizontal="center" vertical="top" wrapText="1"/>
    </xf>
    <xf numFmtId="0" fontId="50" fillId="3" borderId="215" xfId="45" applyFont="1" applyFill="1" applyBorder="1" applyAlignment="1">
      <alignment horizontal="center" vertical="center" wrapText="1"/>
    </xf>
    <xf numFmtId="0" fontId="50" fillId="3" borderId="34" xfId="45" applyFont="1" applyFill="1" applyBorder="1" applyAlignment="1">
      <alignment horizontal="center" vertical="center" wrapText="1"/>
    </xf>
    <xf numFmtId="0" fontId="50" fillId="3" borderId="8" xfId="45" applyFont="1" applyFill="1" applyBorder="1" applyAlignment="1">
      <alignment horizontal="center" vertical="center" wrapText="1"/>
    </xf>
    <xf numFmtId="0" fontId="38" fillId="3" borderId="218" xfId="45" applyFont="1" applyFill="1" applyBorder="1" applyAlignment="1">
      <alignment horizontal="center" vertical="center"/>
    </xf>
    <xf numFmtId="0" fontId="43" fillId="0" borderId="0" xfId="45" applyFont="1" applyAlignment="1">
      <alignment horizontal="left" vertical="center" wrapText="1"/>
    </xf>
    <xf numFmtId="0" fontId="50" fillId="0" borderId="216" xfId="54" applyFont="1" applyBorder="1" applyAlignment="1">
      <alignment horizontal="center" vertical="center"/>
    </xf>
    <xf numFmtId="0" fontId="50" fillId="0" borderId="217" xfId="54" applyFont="1" applyBorder="1" applyAlignment="1">
      <alignment horizontal="center" vertical="center"/>
    </xf>
    <xf numFmtId="0" fontId="50" fillId="0" borderId="196" xfId="54" applyFont="1" applyBorder="1" applyAlignment="1">
      <alignment horizontal="center" vertical="center"/>
    </xf>
    <xf numFmtId="0" fontId="18" fillId="0" borderId="0" xfId="54" applyFont="1" applyAlignment="1">
      <alignment horizontal="left" vertical="center" wrapText="1"/>
    </xf>
    <xf numFmtId="0" fontId="50" fillId="3" borderId="215" xfId="54" applyFont="1" applyFill="1" applyBorder="1" applyAlignment="1">
      <alignment horizontal="center" vertical="center" wrapText="1"/>
    </xf>
    <xf numFmtId="0" fontId="50" fillId="3" borderId="8" xfId="54" applyFont="1" applyFill="1" applyBorder="1" applyAlignment="1">
      <alignment horizontal="center" vertical="center" wrapText="1"/>
    </xf>
    <xf numFmtId="0" fontId="54" fillId="0" borderId="84" xfId="45" applyFont="1" applyBorder="1" applyAlignment="1">
      <alignment horizontal="center" vertical="center" textRotation="90"/>
    </xf>
    <xf numFmtId="0" fontId="54" fillId="0" borderId="69" xfId="45" applyFont="1" applyBorder="1" applyAlignment="1">
      <alignment horizontal="center" vertical="center" textRotation="90"/>
    </xf>
    <xf numFmtId="0" fontId="57" fillId="0" borderId="84" xfId="45" applyFont="1" applyBorder="1" applyAlignment="1">
      <alignment horizontal="center" vertical="center" textRotation="90"/>
    </xf>
    <xf numFmtId="0" fontId="57" fillId="0" borderId="69" xfId="45" applyFont="1" applyBorder="1" applyAlignment="1">
      <alignment horizontal="center" vertical="center" textRotation="90"/>
    </xf>
    <xf numFmtId="0" fontId="55" fillId="0" borderId="84" xfId="45" applyFont="1" applyBorder="1" applyAlignment="1">
      <alignment horizontal="center" vertical="center" textRotation="90"/>
    </xf>
    <xf numFmtId="0" fontId="55" fillId="0" borderId="69" xfId="45" applyFont="1" applyBorder="1" applyAlignment="1">
      <alignment horizontal="center" vertical="center" textRotation="90"/>
    </xf>
    <xf numFmtId="0" fontId="56" fillId="0" borderId="84" xfId="45" applyFont="1" applyBorder="1" applyAlignment="1">
      <alignment horizontal="center" vertical="center" textRotation="90"/>
    </xf>
    <xf numFmtId="0" fontId="56" fillId="0" borderId="69" xfId="45" applyFont="1" applyBorder="1" applyAlignment="1">
      <alignment horizontal="center" vertical="center" textRotation="90"/>
    </xf>
    <xf numFmtId="0" fontId="50" fillId="0" borderId="84" xfId="45" applyFont="1" applyBorder="1" applyAlignment="1">
      <alignment horizontal="center" vertical="center" textRotation="90" wrapText="1"/>
    </xf>
    <xf numFmtId="0" fontId="50" fillId="0" borderId="69" xfId="45" applyFont="1" applyBorder="1" applyAlignment="1">
      <alignment horizontal="center" vertical="center" textRotation="90" wrapText="1"/>
    </xf>
    <xf numFmtId="0" fontId="58" fillId="0" borderId="84" xfId="45" applyFont="1" applyBorder="1" applyAlignment="1">
      <alignment horizontal="center" vertical="center" textRotation="90"/>
    </xf>
    <xf numFmtId="0" fontId="58" fillId="0" borderId="69" xfId="45" applyFont="1" applyBorder="1" applyAlignment="1">
      <alignment horizontal="center" vertical="center" textRotation="90"/>
    </xf>
    <xf numFmtId="0" fontId="84" fillId="3" borderId="155" xfId="45" applyFont="1" applyFill="1" applyBorder="1" applyAlignment="1">
      <alignment horizontal="center" vertical="center"/>
    </xf>
    <xf numFmtId="0" fontId="84" fillId="0" borderId="216" xfId="45" applyFont="1" applyBorder="1" applyAlignment="1">
      <alignment horizontal="center" vertical="center"/>
    </xf>
    <xf numFmtId="0" fontId="84" fillId="0" borderId="217" xfId="45" applyFont="1" applyBorder="1" applyAlignment="1">
      <alignment horizontal="center" vertical="center"/>
    </xf>
    <xf numFmtId="0" fontId="84" fillId="0" borderId="196" xfId="45" applyFont="1" applyBorder="1" applyAlignment="1">
      <alignment horizontal="center" vertical="center"/>
    </xf>
    <xf numFmtId="0" fontId="50" fillId="0" borderId="0" xfId="45" applyFont="1" applyBorder="1" applyAlignment="1">
      <alignment horizontal="center" vertical="center"/>
    </xf>
    <xf numFmtId="0" fontId="84" fillId="3" borderId="215" xfId="45" applyFont="1" applyFill="1" applyBorder="1" applyAlignment="1">
      <alignment horizontal="center" vertical="center"/>
    </xf>
    <xf numFmtId="0" fontId="84" fillId="3" borderId="8" xfId="45" applyFont="1" applyFill="1" applyBorder="1" applyAlignment="1">
      <alignment horizontal="center" vertical="center"/>
    </xf>
    <xf numFmtId="0" fontId="25" fillId="0" borderId="26" xfId="0" applyFont="1" applyFill="1" applyBorder="1" applyAlignment="1">
      <alignment horizontal="center" vertical="center"/>
    </xf>
    <xf numFmtId="0" fontId="32" fillId="0" borderId="26" xfId="0" applyFont="1" applyFill="1" applyBorder="1"/>
    <xf numFmtId="0" fontId="25" fillId="0" borderId="80" xfId="0" applyFont="1" applyBorder="1" applyAlignment="1">
      <alignment horizontal="center" vertical="center"/>
    </xf>
    <xf numFmtId="0" fontId="25" fillId="0" borderId="70" xfId="0" applyFont="1" applyBorder="1" applyAlignment="1">
      <alignment horizontal="center" vertical="center"/>
    </xf>
    <xf numFmtId="0" fontId="25" fillId="0" borderId="71" xfId="0" applyFont="1" applyBorder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32" fillId="0" borderId="0" xfId="0" applyFont="1" applyBorder="1"/>
    <xf numFmtId="0" fontId="25" fillId="0" borderId="0" xfId="0" applyFont="1" applyFill="1" applyBorder="1" applyAlignment="1">
      <alignment horizontal="center" vertical="center"/>
    </xf>
    <xf numFmtId="0" fontId="32" fillId="0" borderId="1" xfId="0" applyFont="1" applyFill="1" applyBorder="1"/>
    <xf numFmtId="0" fontId="25" fillId="0" borderId="85" xfId="0" applyFont="1" applyFill="1" applyBorder="1" applyAlignment="1">
      <alignment horizontal="center" vertical="center" wrapText="1"/>
    </xf>
    <xf numFmtId="0" fontId="32" fillId="0" borderId="330" xfId="0" applyFont="1" applyFill="1" applyBorder="1" applyAlignment="1">
      <alignment wrapText="1"/>
    </xf>
    <xf numFmtId="0" fontId="25" fillId="0" borderId="0" xfId="0" applyFont="1" applyFill="1" applyBorder="1" applyAlignment="1">
      <alignment horizontal="center" vertical="center" wrapText="1"/>
    </xf>
    <xf numFmtId="0" fontId="32" fillId="0" borderId="1" xfId="0" applyFont="1" applyFill="1" applyBorder="1" applyAlignment="1">
      <alignment wrapText="1"/>
    </xf>
    <xf numFmtId="0" fontId="25" fillId="0" borderId="80" xfId="0" applyFont="1" applyFill="1" applyBorder="1" applyAlignment="1">
      <alignment horizontal="center" vertical="center"/>
    </xf>
    <xf numFmtId="0" fontId="32" fillId="0" borderId="331" xfId="0" applyFont="1" applyFill="1" applyBorder="1"/>
    <xf numFmtId="0" fontId="25" fillId="0" borderId="70" xfId="0" applyFont="1" applyFill="1" applyBorder="1" applyAlignment="1">
      <alignment horizontal="center" vertical="center" wrapText="1"/>
    </xf>
    <xf numFmtId="0" fontId="32" fillId="0" borderId="332" xfId="0" applyFont="1" applyFill="1" applyBorder="1" applyAlignment="1">
      <alignment wrapText="1"/>
    </xf>
    <xf numFmtId="0" fontId="25" fillId="0" borderId="71" xfId="0" applyFont="1" applyFill="1" applyBorder="1" applyAlignment="1">
      <alignment horizontal="center" vertical="center" wrapText="1"/>
    </xf>
    <xf numFmtId="0" fontId="32" fillId="0" borderId="333" xfId="0" applyFont="1" applyFill="1" applyBorder="1" applyAlignment="1">
      <alignment wrapText="1"/>
    </xf>
    <xf numFmtId="0" fontId="25" fillId="0" borderId="84" xfId="0" applyFont="1" applyFill="1" applyBorder="1" applyAlignment="1">
      <alignment horizontal="center" vertical="center"/>
    </xf>
    <xf numFmtId="0" fontId="25" fillId="0" borderId="125" xfId="0" applyFont="1" applyFill="1" applyBorder="1" applyAlignment="1">
      <alignment horizontal="center" vertical="center"/>
    </xf>
    <xf numFmtId="0" fontId="25" fillId="0" borderId="85" xfId="0" applyFont="1" applyFill="1" applyBorder="1" applyAlignment="1">
      <alignment horizontal="center" vertical="center"/>
    </xf>
    <xf numFmtId="0" fontId="25" fillId="0" borderId="330" xfId="0" applyFont="1" applyFill="1" applyBorder="1" applyAlignment="1">
      <alignment horizontal="center" vertical="center"/>
    </xf>
    <xf numFmtId="0" fontId="25" fillId="0" borderId="70" xfId="0" applyFont="1" applyFill="1" applyBorder="1" applyAlignment="1">
      <alignment horizontal="center" vertical="center"/>
    </xf>
    <xf numFmtId="0" fontId="25" fillId="0" borderId="71" xfId="0" applyFont="1" applyFill="1" applyBorder="1" applyAlignment="1">
      <alignment horizontal="center" vertical="center"/>
    </xf>
    <xf numFmtId="0" fontId="25" fillId="0" borderId="0" xfId="45" applyFont="1" applyBorder="1" applyAlignment="1">
      <alignment horizontal="center" vertical="center"/>
    </xf>
    <xf numFmtId="0" fontId="25" fillId="0" borderId="0" xfId="45" applyFont="1" applyAlignment="1">
      <alignment horizontal="center" vertical="center"/>
    </xf>
    <xf numFmtId="0" fontId="238" fillId="0" borderId="80" xfId="45" applyFont="1" applyBorder="1" applyAlignment="1">
      <alignment horizontal="center" vertical="center"/>
    </xf>
    <xf numFmtId="0" fontId="238" fillId="0" borderId="70" xfId="45" applyFont="1" applyBorder="1" applyAlignment="1">
      <alignment horizontal="center" vertical="center"/>
    </xf>
    <xf numFmtId="0" fontId="238" fillId="0" borderId="71" xfId="45" applyFont="1" applyBorder="1" applyAlignment="1">
      <alignment horizontal="center" vertical="center"/>
    </xf>
    <xf numFmtId="0" fontId="145" fillId="0" borderId="2" xfId="57" applyFont="1" applyBorder="1" applyAlignment="1">
      <alignment horizontal="center" vertical="center"/>
    </xf>
    <xf numFmtId="0" fontId="25" fillId="0" borderId="84" xfId="45" applyFont="1" applyBorder="1" applyAlignment="1">
      <alignment horizontal="center" vertical="center"/>
    </xf>
    <xf numFmtId="0" fontId="25" fillId="0" borderId="85" xfId="45" applyFont="1" applyBorder="1" applyAlignment="1">
      <alignment horizontal="center" vertical="center"/>
    </xf>
    <xf numFmtId="0" fontId="25" fillId="0" borderId="86" xfId="45" applyFont="1" applyBorder="1" applyAlignment="1">
      <alignment horizontal="center" vertical="center"/>
    </xf>
    <xf numFmtId="0" fontId="145" fillId="3" borderId="215" xfId="57" applyFont="1" applyFill="1" applyBorder="1" applyAlignment="1">
      <alignment horizontal="center" vertical="center" wrapText="1"/>
    </xf>
    <xf numFmtId="0" fontId="145" fillId="3" borderId="8" xfId="57" applyFont="1" applyFill="1" applyBorder="1" applyAlignment="1">
      <alignment horizontal="center" vertical="center" wrapText="1"/>
    </xf>
    <xf numFmtId="0" fontId="145" fillId="3" borderId="34" xfId="57" applyFont="1" applyFill="1" applyBorder="1" applyAlignment="1">
      <alignment horizontal="center" vertical="center"/>
    </xf>
    <xf numFmtId="0" fontId="145" fillId="3" borderId="8" xfId="57" applyFont="1" applyFill="1" applyBorder="1" applyAlignment="1">
      <alignment horizontal="center" vertical="center"/>
    </xf>
    <xf numFmtId="0" fontId="145" fillId="3" borderId="215" xfId="57" applyFont="1" applyFill="1" applyBorder="1" applyAlignment="1">
      <alignment horizontal="center" vertical="center"/>
    </xf>
    <xf numFmtId="0" fontId="145" fillId="0" borderId="216" xfId="57" applyFont="1" applyBorder="1" applyAlignment="1">
      <alignment horizontal="center" vertical="center"/>
    </xf>
    <xf numFmtId="0" fontId="145" fillId="0" borderId="218" xfId="57" applyFont="1" applyBorder="1" applyAlignment="1">
      <alignment horizontal="center" vertical="center"/>
    </xf>
    <xf numFmtId="0" fontId="238" fillId="3" borderId="271" xfId="45" applyFont="1" applyFill="1" applyBorder="1" applyAlignment="1">
      <alignment horizontal="center" vertical="center"/>
    </xf>
    <xf numFmtId="0" fontId="238" fillId="3" borderId="217" xfId="45" applyFont="1" applyFill="1" applyBorder="1" applyAlignment="1">
      <alignment horizontal="center" vertical="center"/>
    </xf>
    <xf numFmtId="0" fontId="238" fillId="3" borderId="218" xfId="45" applyFont="1" applyFill="1" applyBorder="1" applyAlignment="1">
      <alignment horizontal="center" vertical="center"/>
    </xf>
    <xf numFmtId="3" fontId="41" fillId="0" borderId="215" xfId="45" applyNumberFormat="1" applyFont="1" applyBorder="1" applyAlignment="1">
      <alignment horizontal="center" vertical="center"/>
    </xf>
    <xf numFmtId="3" fontId="41" fillId="0" borderId="8" xfId="45" applyNumberFormat="1" applyFont="1" applyBorder="1" applyAlignment="1">
      <alignment horizontal="center" vertical="center"/>
    </xf>
    <xf numFmtId="0" fontId="85" fillId="0" borderId="195" xfId="45" applyFont="1" applyBorder="1" applyAlignment="1">
      <alignment horizontal="left" wrapText="1"/>
    </xf>
    <xf numFmtId="0" fontId="85" fillId="0" borderId="0" xfId="45" applyFont="1" applyAlignment="1">
      <alignment horizontal="left" wrapText="1"/>
    </xf>
    <xf numFmtId="0" fontId="238" fillId="3" borderId="216" xfId="45" applyFont="1" applyFill="1" applyBorder="1" applyAlignment="1">
      <alignment horizontal="center" vertical="center"/>
    </xf>
    <xf numFmtId="0" fontId="238" fillId="0" borderId="216" xfId="45" applyFont="1" applyBorder="1" applyAlignment="1">
      <alignment horizontal="center" vertical="center"/>
    </xf>
    <xf numFmtId="0" fontId="238" fillId="0" borderId="217" xfId="45" applyFont="1" applyBorder="1" applyAlignment="1">
      <alignment horizontal="center" vertical="center"/>
    </xf>
    <xf numFmtId="0" fontId="238" fillId="0" borderId="218" xfId="45" applyFont="1" applyBorder="1" applyAlignment="1">
      <alignment horizontal="center" vertical="center"/>
    </xf>
    <xf numFmtId="0" fontId="145" fillId="3" borderId="155" xfId="57" applyFont="1" applyFill="1" applyBorder="1" applyAlignment="1">
      <alignment horizontal="center" vertical="center"/>
    </xf>
    <xf numFmtId="173" fontId="145" fillId="0" borderId="215" xfId="45" applyNumberFormat="1" applyFont="1" applyBorder="1" applyAlignment="1">
      <alignment horizontal="center" vertical="center" wrapText="1"/>
    </xf>
    <xf numFmtId="173" fontId="145" fillId="0" borderId="8" xfId="45" applyNumberFormat="1" applyFont="1" applyBorder="1" applyAlignment="1">
      <alignment horizontal="center" vertical="center" wrapText="1"/>
    </xf>
    <xf numFmtId="173" fontId="41" fillId="0" borderId="215" xfId="45" applyNumberFormat="1" applyFont="1" applyBorder="1" applyAlignment="1">
      <alignment horizontal="center" vertical="center"/>
    </xf>
    <xf numFmtId="173" fontId="41" fillId="0" borderId="8" xfId="45" applyNumberFormat="1" applyFont="1" applyBorder="1" applyAlignment="1">
      <alignment horizontal="center" vertical="center"/>
    </xf>
    <xf numFmtId="173" fontId="41" fillId="0" borderId="155" xfId="57" applyNumberFormat="1" applyFont="1" applyBorder="1" applyAlignment="1">
      <alignment horizontal="center" vertical="center" wrapText="1"/>
    </xf>
    <xf numFmtId="0" fontId="41" fillId="0" borderId="155" xfId="57" applyFont="1" applyBorder="1" applyAlignment="1">
      <alignment horizontal="center" vertical="center"/>
    </xf>
    <xf numFmtId="3" fontId="41" fillId="0" borderId="155" xfId="57" applyNumberFormat="1" applyFont="1" applyBorder="1" applyAlignment="1">
      <alignment horizontal="center" vertical="center"/>
    </xf>
    <xf numFmtId="3" fontId="41" fillId="0" borderId="155" xfId="45" applyNumberFormat="1" applyFont="1" applyBorder="1" applyAlignment="1">
      <alignment horizontal="center" vertical="center"/>
    </xf>
    <xf numFmtId="0" fontId="41" fillId="0" borderId="215" xfId="57" applyFont="1" applyBorder="1" applyAlignment="1">
      <alignment horizontal="center" vertical="center" wrapText="1"/>
    </xf>
    <xf numFmtId="0" fontId="41" fillId="0" borderId="34" xfId="57" applyFont="1" applyBorder="1" applyAlignment="1">
      <alignment horizontal="center" vertical="center" wrapText="1"/>
    </xf>
    <xf numFmtId="0" fontId="41" fillId="0" borderId="8" xfId="57" applyFont="1" applyBorder="1" applyAlignment="1">
      <alignment horizontal="center" vertical="center" wrapText="1"/>
    </xf>
    <xf numFmtId="3" fontId="41" fillId="0" borderId="215" xfId="57" applyNumberFormat="1" applyFont="1" applyBorder="1" applyAlignment="1">
      <alignment horizontal="center" vertical="center"/>
    </xf>
    <xf numFmtId="3" fontId="41" fillId="0" borderId="34" xfId="57" applyNumberFormat="1" applyFont="1" applyBorder="1" applyAlignment="1">
      <alignment horizontal="center" vertical="center"/>
    </xf>
    <xf numFmtId="3" fontId="41" fillId="0" borderId="8" xfId="57" applyNumberFormat="1" applyFont="1" applyBorder="1" applyAlignment="1">
      <alignment horizontal="center" vertical="center"/>
    </xf>
    <xf numFmtId="3" fontId="41" fillId="0" borderId="34" xfId="45" applyNumberFormat="1" applyFont="1" applyBorder="1" applyAlignment="1">
      <alignment horizontal="center" vertical="center"/>
    </xf>
    <xf numFmtId="173" fontId="41" fillId="0" borderId="215" xfId="57" applyNumberFormat="1" applyFont="1" applyBorder="1" applyAlignment="1">
      <alignment horizontal="center" vertical="center" wrapText="1"/>
    </xf>
    <xf numFmtId="173" fontId="41" fillId="0" borderId="34" xfId="57" applyNumberFormat="1" applyFont="1" applyBorder="1" applyAlignment="1">
      <alignment horizontal="center" vertical="center" wrapText="1"/>
    </xf>
    <xf numFmtId="173" fontId="41" fillId="0" borderId="8" xfId="57" applyNumberFormat="1" applyFont="1" applyBorder="1" applyAlignment="1">
      <alignment horizontal="center" vertical="center" wrapText="1"/>
    </xf>
    <xf numFmtId="0" fontId="41" fillId="0" borderId="215" xfId="57" applyFont="1" applyBorder="1" applyAlignment="1">
      <alignment horizontal="center" vertical="center"/>
    </xf>
    <xf numFmtId="0" fontId="41" fillId="0" borderId="34" xfId="57" applyFont="1" applyBorder="1" applyAlignment="1">
      <alignment horizontal="center" vertical="center"/>
    </xf>
    <xf numFmtId="0" fontId="41" fillId="0" borderId="8" xfId="57" applyFont="1" applyBorder="1" applyAlignment="1">
      <alignment horizontal="center" vertical="center"/>
    </xf>
    <xf numFmtId="0" fontId="85" fillId="0" borderId="195" xfId="45" applyFont="1" applyBorder="1" applyAlignment="1">
      <alignment horizontal="center" vertical="center" wrapText="1"/>
    </xf>
    <xf numFmtId="0" fontId="85" fillId="3" borderId="216" xfId="45" applyFont="1" applyFill="1" applyBorder="1" applyAlignment="1">
      <alignment horizontal="center" vertical="center"/>
    </xf>
    <xf numFmtId="0" fontId="85" fillId="3" borderId="217" xfId="45" applyFont="1" applyFill="1" applyBorder="1" applyAlignment="1">
      <alignment horizontal="center" vertical="center"/>
    </xf>
    <xf numFmtId="0" fontId="85" fillId="3" borderId="218" xfId="45" applyFont="1" applyFill="1" applyBorder="1" applyAlignment="1">
      <alignment horizontal="center" vertical="center"/>
    </xf>
    <xf numFmtId="0" fontId="41" fillId="3" borderId="34" xfId="3" applyFont="1" applyFill="1" applyBorder="1" applyAlignment="1">
      <alignment horizontal="center" vertical="center"/>
    </xf>
    <xf numFmtId="0" fontId="41" fillId="3" borderId="8" xfId="3" applyFont="1" applyFill="1" applyBorder="1" applyAlignment="1">
      <alignment horizontal="center" vertical="center"/>
    </xf>
    <xf numFmtId="0" fontId="41" fillId="3" borderId="215" xfId="3" applyFont="1" applyFill="1" applyBorder="1" applyAlignment="1">
      <alignment horizontal="center" vertical="center"/>
    </xf>
    <xf numFmtId="0" fontId="145" fillId="0" borderId="216" xfId="3" applyFont="1" applyBorder="1" applyAlignment="1">
      <alignment horizontal="center" vertical="center"/>
    </xf>
    <xf numFmtId="0" fontId="145" fillId="0" borderId="218" xfId="3" applyFont="1" applyBorder="1" applyAlignment="1">
      <alignment horizontal="center" vertical="center"/>
    </xf>
    <xf numFmtId="17" fontId="41" fillId="0" borderId="215" xfId="45" applyNumberFormat="1" applyFont="1" applyBorder="1" applyAlignment="1">
      <alignment horizontal="center" vertical="center" wrapText="1"/>
    </xf>
    <xf numFmtId="17" fontId="41" fillId="0" borderId="34" xfId="45" applyNumberFormat="1" applyFont="1" applyBorder="1" applyAlignment="1">
      <alignment horizontal="center" vertical="center" wrapText="1"/>
    </xf>
    <xf numFmtId="3" fontId="41" fillId="0" borderId="196" xfId="3" applyNumberFormat="1" applyFont="1" applyBorder="1" applyAlignment="1">
      <alignment horizontal="center" vertical="center"/>
    </xf>
    <xf numFmtId="3" fontId="41" fillId="0" borderId="36" xfId="3" applyNumberFormat="1" applyFont="1" applyBorder="1" applyAlignment="1">
      <alignment horizontal="center" vertical="center"/>
    </xf>
    <xf numFmtId="3" fontId="41" fillId="0" borderId="11" xfId="3" applyNumberFormat="1" applyFont="1" applyBorder="1" applyAlignment="1">
      <alignment horizontal="center" vertical="center"/>
    </xf>
    <xf numFmtId="3" fontId="85" fillId="0" borderId="196" xfId="45" applyNumberFormat="1" applyFont="1" applyBorder="1" applyAlignment="1">
      <alignment horizontal="center" vertical="center"/>
    </xf>
    <xf numFmtId="3" fontId="85" fillId="0" borderId="36" xfId="45" applyNumberFormat="1" applyFont="1" applyBorder="1" applyAlignment="1">
      <alignment horizontal="center" vertical="center"/>
    </xf>
    <xf numFmtId="3" fontId="85" fillId="0" borderId="11" xfId="45" applyNumberFormat="1" applyFont="1" applyBorder="1" applyAlignment="1">
      <alignment horizontal="center" vertical="center"/>
    </xf>
    <xf numFmtId="173" fontId="41" fillId="0" borderId="35" xfId="45" applyNumberFormat="1" applyFont="1" applyBorder="1" applyAlignment="1">
      <alignment horizontal="center" vertical="center" wrapText="1"/>
    </xf>
    <xf numFmtId="0" fontId="41" fillId="3" borderId="155" xfId="3" applyFont="1" applyFill="1" applyBorder="1" applyAlignment="1">
      <alignment horizontal="center" vertical="center"/>
    </xf>
    <xf numFmtId="0" fontId="41" fillId="3" borderId="215" xfId="3" applyFont="1" applyFill="1" applyBorder="1" applyAlignment="1">
      <alignment horizontal="center" vertical="center" wrapText="1"/>
    </xf>
    <xf numFmtId="0" fontId="41" fillId="3" borderId="8" xfId="3" applyFont="1" applyFill="1" applyBorder="1" applyAlignment="1">
      <alignment horizontal="center" vertical="center" wrapText="1"/>
    </xf>
    <xf numFmtId="0" fontId="85" fillId="3" borderId="271" xfId="45" applyFont="1" applyFill="1" applyBorder="1" applyAlignment="1">
      <alignment horizontal="center" vertical="center"/>
    </xf>
    <xf numFmtId="3" fontId="85" fillId="0" borderId="215" xfId="45" applyNumberFormat="1" applyFont="1" applyBorder="1" applyAlignment="1">
      <alignment horizontal="center" vertical="center"/>
    </xf>
    <xf numFmtId="3" fontId="85" fillId="0" borderId="8" xfId="45" applyNumberFormat="1" applyFont="1" applyBorder="1" applyAlignment="1">
      <alignment horizontal="center" vertical="center"/>
    </xf>
    <xf numFmtId="173" fontId="145" fillId="0" borderId="34" xfId="45" applyNumberFormat="1" applyFont="1" applyBorder="1" applyAlignment="1">
      <alignment horizontal="center" vertical="center" wrapText="1"/>
    </xf>
    <xf numFmtId="3" fontId="85" fillId="0" borderId="34" xfId="45" applyNumberFormat="1" applyFont="1" applyBorder="1" applyAlignment="1">
      <alignment horizontal="center" vertical="center"/>
    </xf>
    <xf numFmtId="173" fontId="41" fillId="0" borderId="215" xfId="45" applyNumberFormat="1" applyFont="1" applyBorder="1" applyAlignment="1">
      <alignment horizontal="center" vertical="center" wrapText="1"/>
    </xf>
    <xf numFmtId="173" fontId="41" fillId="0" borderId="8" xfId="45" applyNumberFormat="1" applyFont="1" applyBorder="1" applyAlignment="1">
      <alignment horizontal="center" vertical="center" wrapText="1"/>
    </xf>
    <xf numFmtId="3" fontId="41" fillId="0" borderId="34" xfId="45" applyNumberFormat="1" applyFont="1" applyBorder="1" applyAlignment="1">
      <alignment horizontal="center" vertical="center" wrapText="1"/>
    </xf>
    <xf numFmtId="3" fontId="41" fillId="0" borderId="8" xfId="45" applyNumberFormat="1" applyFont="1" applyBorder="1" applyAlignment="1">
      <alignment horizontal="center" vertical="center" wrapText="1"/>
    </xf>
    <xf numFmtId="0" fontId="145" fillId="3" borderId="34" xfId="3" applyFont="1" applyFill="1" applyBorder="1" applyAlignment="1">
      <alignment horizontal="center" vertical="center"/>
    </xf>
    <xf numFmtId="0" fontId="145" fillId="3" borderId="8" xfId="3" applyFont="1" applyFill="1" applyBorder="1" applyAlignment="1">
      <alignment horizontal="center" vertical="center"/>
    </xf>
    <xf numFmtId="0" fontId="145" fillId="3" borderId="215" xfId="3" applyFont="1" applyFill="1" applyBorder="1" applyAlignment="1">
      <alignment horizontal="center" vertical="center"/>
    </xf>
    <xf numFmtId="0" fontId="145" fillId="3" borderId="216" xfId="3" applyFont="1" applyFill="1" applyBorder="1" applyAlignment="1">
      <alignment horizontal="center" vertical="center"/>
    </xf>
    <xf numFmtId="0" fontId="145" fillId="3" borderId="218" xfId="3" applyFont="1" applyFill="1" applyBorder="1" applyAlignment="1">
      <alignment horizontal="center" vertical="center"/>
    </xf>
    <xf numFmtId="17" fontId="41" fillId="0" borderId="215" xfId="45" quotePrefix="1" applyNumberFormat="1" applyFont="1" applyBorder="1" applyAlignment="1">
      <alignment horizontal="center" vertical="center"/>
    </xf>
    <xf numFmtId="0" fontId="41" fillId="0" borderId="34" xfId="45" applyFont="1" applyBorder="1" applyAlignment="1">
      <alignment horizontal="center" vertical="center"/>
    </xf>
    <xf numFmtId="3" fontId="41" fillId="0" borderId="215" xfId="3" applyNumberFormat="1" applyFont="1" applyBorder="1" applyAlignment="1">
      <alignment horizontal="center" vertical="center"/>
    </xf>
    <xf numFmtId="3" fontId="41" fillId="0" borderId="34" xfId="3" applyNumberFormat="1" applyFont="1" applyBorder="1" applyAlignment="1">
      <alignment horizontal="center" vertical="center"/>
    </xf>
    <xf numFmtId="3" fontId="41" fillId="0" borderId="8" xfId="3" applyNumberFormat="1" applyFont="1" applyBorder="1" applyAlignment="1">
      <alignment horizontal="center" vertical="center"/>
    </xf>
    <xf numFmtId="173" fontId="41" fillId="0" borderId="34" xfId="45" applyNumberFormat="1" applyFont="1" applyBorder="1" applyAlignment="1">
      <alignment horizontal="center" vertical="center" wrapText="1"/>
    </xf>
    <xf numFmtId="0" fontId="145" fillId="3" borderId="155" xfId="3" applyFont="1" applyFill="1" applyBorder="1" applyAlignment="1">
      <alignment horizontal="center" vertical="center"/>
    </xf>
    <xf numFmtId="0" fontId="145" fillId="3" borderId="215" xfId="3" applyFont="1" applyFill="1" applyBorder="1" applyAlignment="1">
      <alignment horizontal="center" vertical="center" wrapText="1"/>
    </xf>
    <xf numFmtId="0" fontId="145" fillId="3" borderId="8" xfId="3" applyFont="1" applyFill="1" applyBorder="1" applyAlignment="1">
      <alignment horizontal="center" vertical="center" wrapText="1"/>
    </xf>
    <xf numFmtId="0" fontId="238" fillId="0" borderId="271" xfId="45" applyFont="1" applyBorder="1" applyAlignment="1">
      <alignment horizontal="center" vertical="center"/>
    </xf>
    <xf numFmtId="0" fontId="145" fillId="0" borderId="215" xfId="45" applyFont="1" applyBorder="1" applyAlignment="1">
      <alignment horizontal="center" vertical="center"/>
    </xf>
    <xf numFmtId="0" fontId="145" fillId="0" borderId="34" xfId="45" applyFont="1" applyBorder="1" applyAlignment="1">
      <alignment horizontal="center" vertical="center"/>
    </xf>
    <xf numFmtId="0" fontId="145" fillId="0" borderId="8" xfId="45" applyFont="1" applyBorder="1" applyAlignment="1">
      <alignment horizontal="center" vertical="center"/>
    </xf>
    <xf numFmtId="0" fontId="242" fillId="0" borderId="155" xfId="45" applyFont="1" applyBorder="1" applyAlignment="1">
      <alignment horizontal="center" vertical="center"/>
    </xf>
    <xf numFmtId="0" fontId="243" fillId="0" borderId="215" xfId="45" applyFont="1" applyBorder="1" applyAlignment="1">
      <alignment horizontal="center" vertical="center"/>
    </xf>
    <xf numFmtId="0" fontId="243" fillId="0" borderId="34" xfId="45" applyFont="1" applyBorder="1" applyAlignment="1">
      <alignment horizontal="center" vertical="center"/>
    </xf>
    <xf numFmtId="0" fontId="243" fillId="0" borderId="8" xfId="45" applyFont="1" applyBorder="1" applyAlignment="1">
      <alignment horizontal="center" vertical="center"/>
    </xf>
    <xf numFmtId="0" fontId="244" fillId="0" borderId="194" xfId="45" applyFont="1" applyBorder="1" applyAlignment="1">
      <alignment horizontal="center" vertical="center"/>
    </xf>
    <xf numFmtId="0" fontId="244" fillId="0" borderId="35" xfId="45" applyFont="1" applyBorder="1" applyAlignment="1">
      <alignment horizontal="center" vertical="center"/>
    </xf>
    <xf numFmtId="0" fontId="244" fillId="0" borderId="8" xfId="45" applyFont="1" applyBorder="1" applyAlignment="1">
      <alignment horizontal="center" vertical="center"/>
    </xf>
    <xf numFmtId="0" fontId="245" fillId="0" borderId="215" xfId="45" applyFont="1" applyBorder="1" applyAlignment="1">
      <alignment horizontal="center" vertical="center"/>
    </xf>
    <xf numFmtId="0" fontId="245" fillId="0" borderId="34" xfId="45" applyFont="1" applyBorder="1" applyAlignment="1">
      <alignment horizontal="center" vertical="center"/>
    </xf>
    <xf numFmtId="0" fontId="245" fillId="0" borderId="8" xfId="45" applyFont="1" applyBorder="1" applyAlignment="1">
      <alignment horizontal="center" vertical="center"/>
    </xf>
    <xf numFmtId="0" fontId="145" fillId="0" borderId="155" xfId="45" applyFont="1" applyBorder="1" applyAlignment="1">
      <alignment horizontal="center" vertical="center"/>
    </xf>
    <xf numFmtId="0" fontId="25" fillId="0" borderId="86" xfId="0" applyFont="1" applyFill="1" applyBorder="1" applyAlignment="1">
      <alignment horizontal="center" vertical="center"/>
    </xf>
    <xf numFmtId="0" fontId="25" fillId="0" borderId="69" xfId="0" applyFont="1" applyBorder="1" applyAlignment="1">
      <alignment horizontal="center" vertical="center"/>
    </xf>
    <xf numFmtId="0" fontId="25" fillId="0" borderId="76" xfId="0" applyFont="1" applyBorder="1" applyAlignment="1">
      <alignment horizontal="center" vertical="center"/>
    </xf>
    <xf numFmtId="0" fontId="25" fillId="0" borderId="93" xfId="0" applyFont="1" applyBorder="1" applyAlignment="1">
      <alignment horizontal="center" vertical="center"/>
    </xf>
    <xf numFmtId="0" fontId="25" fillId="0" borderId="333" xfId="0" applyFont="1" applyFill="1" applyBorder="1" applyAlignment="1">
      <alignment horizontal="center" vertical="center" wrapText="1"/>
    </xf>
    <xf numFmtId="0" fontId="32" fillId="0" borderId="0" xfId="0" applyFont="1" applyFill="1" applyBorder="1"/>
    <xf numFmtId="0" fontId="25" fillId="0" borderId="2" xfId="0" applyFont="1" applyBorder="1" applyAlignment="1">
      <alignment horizontal="center" vertical="center"/>
    </xf>
    <xf numFmtId="0" fontId="32" fillId="0" borderId="2" xfId="0" applyFont="1" applyBorder="1"/>
    <xf numFmtId="0" fontId="25" fillId="0" borderId="332" xfId="0" applyFont="1" applyFill="1" applyBorder="1" applyAlignment="1">
      <alignment horizontal="center" vertical="center" wrapText="1"/>
    </xf>
    <xf numFmtId="173" fontId="41" fillId="0" borderId="155" xfId="45" applyNumberFormat="1" applyFont="1" applyBorder="1" applyAlignment="1">
      <alignment horizontal="center" vertical="center" wrapText="1"/>
    </xf>
    <xf numFmtId="3" fontId="41" fillId="0" borderId="155" xfId="45" applyNumberFormat="1" applyFont="1" applyBorder="1" applyAlignment="1">
      <alignment horizontal="center" vertical="center" wrapText="1"/>
    </xf>
    <xf numFmtId="0" fontId="85" fillId="0" borderId="0" xfId="45" applyFont="1" applyAlignment="1">
      <alignment horizontal="left"/>
    </xf>
    <xf numFmtId="0" fontId="174" fillId="0" borderId="42" xfId="3" applyFont="1" applyBorder="1" applyAlignment="1">
      <alignment horizontal="center" vertical="center"/>
    </xf>
    <xf numFmtId="0" fontId="25" fillId="3" borderId="216" xfId="3" applyFont="1" applyFill="1" applyBorder="1" applyAlignment="1">
      <alignment horizontal="center" vertical="center"/>
    </xf>
    <xf numFmtId="0" fontId="25" fillId="3" borderId="218" xfId="3" applyFont="1" applyFill="1" applyBorder="1" applyAlignment="1">
      <alignment horizontal="center" vertical="center"/>
    </xf>
    <xf numFmtId="0" fontId="54" fillId="0" borderId="0" xfId="3" applyFont="1" applyAlignment="1">
      <alignment horizontal="center" vertical="center"/>
    </xf>
    <xf numFmtId="0" fontId="57" fillId="0" borderId="0" xfId="3" applyFont="1" applyAlignment="1">
      <alignment horizontal="center" vertical="center"/>
    </xf>
    <xf numFmtId="0" fontId="55" fillId="0" borderId="0" xfId="3" applyFont="1" applyAlignment="1">
      <alignment horizontal="center" vertical="center"/>
    </xf>
    <xf numFmtId="0" fontId="58" fillId="0" borderId="0" xfId="3" applyFont="1" applyAlignment="1">
      <alignment horizontal="center" vertical="center"/>
    </xf>
    <xf numFmtId="0" fontId="56" fillId="0" borderId="0" xfId="3" applyFont="1" applyAlignment="1">
      <alignment horizontal="center" vertical="center"/>
    </xf>
    <xf numFmtId="0" fontId="54" fillId="0" borderId="194" xfId="3" applyFont="1" applyBorder="1" applyAlignment="1">
      <alignment horizontal="center" vertical="center"/>
    </xf>
    <xf numFmtId="0" fontId="54" fillId="0" borderId="35" xfId="3" applyFont="1" applyBorder="1" applyAlignment="1">
      <alignment horizontal="center" vertical="center"/>
    </xf>
    <xf numFmtId="0" fontId="54" fillId="0" borderId="60" xfId="3" applyFont="1" applyBorder="1" applyAlignment="1">
      <alignment horizontal="center" vertical="center"/>
    </xf>
    <xf numFmtId="0" fontId="57" fillId="0" borderId="194" xfId="3" applyFont="1" applyBorder="1" applyAlignment="1">
      <alignment horizontal="center" vertical="center"/>
    </xf>
    <xf numFmtId="0" fontId="57" fillId="0" borderId="35" xfId="3" applyFont="1" applyBorder="1" applyAlignment="1">
      <alignment horizontal="center" vertical="center"/>
    </xf>
    <xf numFmtId="0" fontId="57" fillId="0" borderId="60" xfId="3" applyFont="1" applyBorder="1" applyAlignment="1">
      <alignment horizontal="center" vertical="center"/>
    </xf>
    <xf numFmtId="0" fontId="55" fillId="0" borderId="194" xfId="3" applyFont="1" applyBorder="1" applyAlignment="1">
      <alignment horizontal="center" vertical="center"/>
    </xf>
    <xf numFmtId="0" fontId="55" fillId="0" borderId="35" xfId="3" applyFont="1" applyBorder="1" applyAlignment="1">
      <alignment horizontal="center" vertical="center"/>
    </xf>
    <xf numFmtId="0" fontId="55" fillId="0" borderId="60" xfId="3" applyFont="1" applyBorder="1" applyAlignment="1">
      <alignment horizontal="center" vertical="center"/>
    </xf>
    <xf numFmtId="0" fontId="58" fillId="0" borderId="215" xfId="3" applyFont="1" applyBorder="1" applyAlignment="1">
      <alignment horizontal="center" vertical="center"/>
    </xf>
    <xf numFmtId="0" fontId="58" fillId="0" borderId="34" xfId="3" applyFont="1" applyBorder="1" applyAlignment="1">
      <alignment horizontal="center" vertical="center"/>
    </xf>
    <xf numFmtId="0" fontId="58" fillId="0" borderId="8" xfId="3" applyFont="1" applyBorder="1" applyAlignment="1">
      <alignment horizontal="center" vertical="center"/>
    </xf>
    <xf numFmtId="0" fontId="56" fillId="0" borderId="215" xfId="3" applyFont="1" applyBorder="1" applyAlignment="1">
      <alignment horizontal="center" vertical="center"/>
    </xf>
    <xf numFmtId="0" fontId="56" fillId="0" borderId="34" xfId="3" applyFont="1" applyBorder="1" applyAlignment="1">
      <alignment horizontal="center" vertical="center"/>
    </xf>
    <xf numFmtId="0" fontId="56" fillId="0" borderId="8" xfId="3" applyFont="1" applyBorder="1" applyAlignment="1">
      <alignment horizontal="center" vertical="center"/>
    </xf>
    <xf numFmtId="0" fontId="25" fillId="3" borderId="216" xfId="45" applyFont="1" applyFill="1" applyBorder="1" applyAlignment="1">
      <alignment horizontal="center" vertical="center"/>
    </xf>
    <xf numFmtId="0" fontId="25" fillId="3" borderId="218" xfId="45" applyFont="1" applyFill="1" applyBorder="1" applyAlignment="1">
      <alignment horizontal="center" vertical="center"/>
    </xf>
    <xf numFmtId="0" fontId="54" fillId="0" borderId="194" xfId="45" applyFont="1" applyBorder="1" applyAlignment="1">
      <alignment horizontal="center" vertical="center"/>
    </xf>
    <xf numFmtId="0" fontId="54" fillId="0" borderId="35" xfId="45" applyFont="1" applyBorder="1" applyAlignment="1">
      <alignment horizontal="center" vertical="center"/>
    </xf>
    <xf numFmtId="0" fontId="54" fillId="0" borderId="60" xfId="45" applyFont="1" applyBorder="1" applyAlignment="1">
      <alignment horizontal="center" vertical="center"/>
    </xf>
    <xf numFmtId="0" fontId="57" fillId="0" borderId="194" xfId="45" applyFont="1" applyBorder="1" applyAlignment="1">
      <alignment horizontal="center" vertical="center"/>
    </xf>
    <xf numFmtId="0" fontId="57" fillId="0" borderId="35" xfId="45" applyFont="1" applyBorder="1" applyAlignment="1">
      <alignment horizontal="center" vertical="center"/>
    </xf>
    <xf numFmtId="0" fontId="57" fillId="0" borderId="60" xfId="45" applyFont="1" applyBorder="1" applyAlignment="1">
      <alignment horizontal="center" vertical="center"/>
    </xf>
    <xf numFmtId="0" fontId="55" fillId="0" borderId="194" xfId="45" applyFont="1" applyBorder="1" applyAlignment="1">
      <alignment horizontal="center" vertical="center"/>
    </xf>
    <xf numFmtId="0" fontId="55" fillId="0" borderId="35" xfId="45" applyFont="1" applyBorder="1" applyAlignment="1">
      <alignment horizontal="center" vertical="center"/>
    </xf>
    <xf numFmtId="0" fontId="55" fillId="0" borderId="60" xfId="45" applyFont="1" applyBorder="1" applyAlignment="1">
      <alignment horizontal="center" vertical="center"/>
    </xf>
    <xf numFmtId="0" fontId="58" fillId="0" borderId="215" xfId="45" applyFont="1" applyBorder="1" applyAlignment="1">
      <alignment horizontal="center" vertical="center"/>
    </xf>
    <xf numFmtId="0" fontId="58" fillId="0" borderId="34" xfId="45" applyFont="1" applyBorder="1" applyAlignment="1">
      <alignment horizontal="center" vertical="center"/>
    </xf>
    <xf numFmtId="0" fontId="58" fillId="0" borderId="8" xfId="45" applyFont="1" applyBorder="1" applyAlignment="1">
      <alignment horizontal="center" vertical="center"/>
    </xf>
    <xf numFmtId="0" fontId="56" fillId="0" borderId="215" xfId="45" applyFont="1" applyBorder="1" applyAlignment="1">
      <alignment horizontal="center" vertical="center"/>
    </xf>
    <xf numFmtId="0" fontId="56" fillId="0" borderId="34" xfId="45" applyFont="1" applyBorder="1" applyAlignment="1">
      <alignment horizontal="center" vertical="center"/>
    </xf>
    <xf numFmtId="0" fontId="56" fillId="0" borderId="8" xfId="45" applyFont="1" applyBorder="1" applyAlignment="1">
      <alignment horizontal="center" vertical="center"/>
    </xf>
    <xf numFmtId="0" fontId="238" fillId="3" borderId="155" xfId="45" applyFont="1" applyFill="1" applyBorder="1" applyAlignment="1">
      <alignment horizontal="center" vertical="center"/>
    </xf>
    <xf numFmtId="0" fontId="25" fillId="0" borderId="194" xfId="45" applyFont="1" applyBorder="1" applyAlignment="1">
      <alignment horizontal="center" vertical="center"/>
    </xf>
    <xf numFmtId="0" fontId="25" fillId="0" borderId="35" xfId="45" applyFont="1" applyBorder="1" applyAlignment="1">
      <alignment horizontal="center" vertical="center"/>
    </xf>
    <xf numFmtId="0" fontId="25" fillId="0" borderId="60" xfId="45" applyFont="1" applyBorder="1" applyAlignment="1">
      <alignment horizontal="center" vertical="center"/>
    </xf>
    <xf numFmtId="0" fontId="25" fillId="3" borderId="216" xfId="45" applyFont="1" applyFill="1" applyBorder="1" applyAlignment="1">
      <alignment horizontal="center"/>
    </xf>
    <xf numFmtId="0" fontId="25" fillId="3" borderId="218" xfId="45" applyFont="1" applyFill="1" applyBorder="1" applyAlignment="1">
      <alignment horizontal="center"/>
    </xf>
    <xf numFmtId="0" fontId="25" fillId="0" borderId="216" xfId="45" applyFont="1" applyBorder="1" applyAlignment="1">
      <alignment horizontal="center" vertical="center"/>
    </xf>
    <xf numFmtId="0" fontId="25" fillId="0" borderId="217" xfId="45" applyFont="1" applyBorder="1" applyAlignment="1">
      <alignment horizontal="center" vertical="center"/>
    </xf>
    <xf numFmtId="0" fontId="85" fillId="0" borderId="215" xfId="45" applyFont="1" applyBorder="1" applyAlignment="1">
      <alignment horizontal="center" vertical="center"/>
    </xf>
    <xf numFmtId="0" fontId="85" fillId="0" borderId="34" xfId="45" applyFont="1" applyBorder="1" applyAlignment="1">
      <alignment horizontal="center" vertical="center"/>
    </xf>
    <xf numFmtId="0" fontId="85" fillId="0" borderId="8" xfId="45" applyFont="1" applyBorder="1" applyAlignment="1">
      <alignment horizontal="center" vertical="center"/>
    </xf>
    <xf numFmtId="0" fontId="88" fillId="0" borderId="0" xfId="45" applyFont="1" applyAlignment="1">
      <alignment horizontal="center" vertical="center" wrapText="1" readingOrder="1"/>
    </xf>
    <xf numFmtId="0" fontId="88" fillId="0" borderId="1" xfId="45" applyFont="1" applyBorder="1" applyAlignment="1">
      <alignment horizontal="center" vertical="center" wrapText="1" readingOrder="1"/>
    </xf>
    <xf numFmtId="0" fontId="20" fillId="0" borderId="2" xfId="45" applyFont="1" applyBorder="1" applyAlignment="1">
      <alignment horizontal="center" vertical="center" wrapText="1" readingOrder="1"/>
    </xf>
    <xf numFmtId="0" fontId="50" fillId="0" borderId="2" xfId="45" applyFont="1" applyBorder="1" applyAlignment="1">
      <alignment horizontal="center" vertical="center" wrapText="1" readingOrder="1"/>
    </xf>
    <xf numFmtId="0" fontId="43" fillId="0" borderId="0" xfId="45" applyFont="1" applyAlignment="1">
      <alignment horizontal="left" wrapText="1"/>
    </xf>
    <xf numFmtId="0" fontId="123" fillId="0" borderId="194" xfId="45" applyFont="1" applyBorder="1" applyAlignment="1">
      <alignment horizontal="center" vertical="center" wrapText="1" readingOrder="1"/>
    </xf>
    <xf numFmtId="0" fontId="123" fillId="0" borderId="195" xfId="45" applyFont="1" applyBorder="1" applyAlignment="1">
      <alignment horizontal="center" vertical="center" wrapText="1" readingOrder="1"/>
    </xf>
    <xf numFmtId="0" fontId="123" fillId="0" borderId="196" xfId="45" applyFont="1" applyBorder="1" applyAlignment="1">
      <alignment horizontal="center" vertical="center" wrapText="1" readingOrder="1"/>
    </xf>
    <xf numFmtId="0" fontId="123" fillId="0" borderId="216" xfId="45" applyFont="1" applyBorder="1" applyAlignment="1">
      <alignment horizontal="center" vertical="center"/>
    </xf>
    <xf numFmtId="0" fontId="123" fillId="0" borderId="217" xfId="45" applyFont="1" applyBorder="1" applyAlignment="1">
      <alignment horizontal="center" vertical="center"/>
    </xf>
    <xf numFmtId="0" fontId="123" fillId="0" borderId="218" xfId="45" applyFont="1" applyBorder="1" applyAlignment="1">
      <alignment horizontal="center" vertical="center"/>
    </xf>
    <xf numFmtId="0" fontId="25" fillId="3" borderId="215" xfId="45" applyFont="1" applyFill="1" applyBorder="1" applyAlignment="1">
      <alignment horizontal="center" vertical="center" wrapText="1" readingOrder="1"/>
    </xf>
    <xf numFmtId="0" fontId="25" fillId="3" borderId="8" xfId="45" applyFont="1" applyFill="1" applyBorder="1" applyAlignment="1">
      <alignment horizontal="center" vertical="center" wrapText="1" readingOrder="1"/>
    </xf>
    <xf numFmtId="0" fontId="20" fillId="0" borderId="216" xfId="45" applyFont="1" applyBorder="1" applyAlignment="1">
      <alignment horizontal="center" vertical="center" wrapText="1" readingOrder="1"/>
    </xf>
    <xf numFmtId="0" fontId="20" fillId="0" borderId="217" xfId="45" applyFont="1" applyBorder="1" applyAlignment="1">
      <alignment horizontal="center" vertical="center" wrapText="1" readingOrder="1"/>
    </xf>
    <xf numFmtId="0" fontId="20" fillId="0" borderId="196" xfId="45" applyFont="1" applyBorder="1" applyAlignment="1">
      <alignment horizontal="center" vertical="center" wrapText="1" readingOrder="1"/>
    </xf>
  </cellXfs>
  <cellStyles count="68">
    <cellStyle name="Hipervínculo" xfId="1" builtinId="8"/>
    <cellStyle name="Millares" xfId="42" builtinId="3"/>
    <cellStyle name="Millares 17" xfId="50"/>
    <cellStyle name="Millares 18" xfId="59"/>
    <cellStyle name="Millares 19 2" xfId="13"/>
    <cellStyle name="Millares 2 2" xfId="52"/>
    <cellStyle name="Millares_ACADÉMICOS 2003-2007 v2" xfId="44"/>
    <cellStyle name="Moneda 3" xfId="63"/>
    <cellStyle name="Normal" xfId="0" builtinId="0"/>
    <cellStyle name="Normal 10" xfId="24"/>
    <cellStyle name="Normal 10 7" xfId="25"/>
    <cellStyle name="Normal 10 7 2" xfId="32"/>
    <cellStyle name="Normal 100" xfId="15"/>
    <cellStyle name="Normal 11" xfId="53"/>
    <cellStyle name="Normal 11 4" xfId="2"/>
    <cellStyle name="Normal 126 2" xfId="65"/>
    <cellStyle name="Normal 127" xfId="37"/>
    <cellStyle name="Normal 13" xfId="23"/>
    <cellStyle name="Normal 17 2" xfId="62"/>
    <cellStyle name="Normal 2" xfId="45"/>
    <cellStyle name="Normal 2 2" xfId="3"/>
    <cellStyle name="Normal 2 2 2" xfId="57"/>
    <cellStyle name="Normal 2 3 2" xfId="29"/>
    <cellStyle name="Normal 23" xfId="56"/>
    <cellStyle name="Normal 26" xfId="49"/>
    <cellStyle name="Normal 26 2" xfId="60"/>
    <cellStyle name="Normal 27" xfId="46"/>
    <cellStyle name="Normal 27 2" xfId="58"/>
    <cellStyle name="Normal 28" xfId="8"/>
    <cellStyle name="Normal 29 2" xfId="10"/>
    <cellStyle name="Normal 32" xfId="35"/>
    <cellStyle name="Normal 33" xfId="34"/>
    <cellStyle name="Normal 34" xfId="36"/>
    <cellStyle name="Normal 4" xfId="67"/>
    <cellStyle name="Normal 4 7" xfId="48"/>
    <cellStyle name="Normal 41" xfId="64"/>
    <cellStyle name="Normal 7" xfId="54"/>
    <cellStyle name="Normal 8 6" xfId="47"/>
    <cellStyle name="Normal_10 Posgrado UAM" xfId="41"/>
    <cellStyle name="Normal_16 EGRESO-HIST" xfId="22"/>
    <cellStyle name="Normal_6.3 Lenguas Ext_L" xfId="39"/>
    <cellStyle name="Normal_6.4 Lenguas Ext_P" xfId="40"/>
    <cellStyle name="Normal_7 Mov Inter Lic" xfId="38"/>
    <cellStyle name="Normal_ACADÉMICOS 2003-2007 v2" xfId="43"/>
    <cellStyle name="Normal_ACT_ACAD R INV" xfId="55"/>
    <cellStyle name="Normal_activos" xfId="16"/>
    <cellStyle name="Normal_activos_1" xfId="18"/>
    <cellStyle name="Normal_egresados acum POS 2" xfId="31"/>
    <cellStyle name="Normal_EGRESO Y ESGREO ACUMULADO" xfId="19"/>
    <cellStyle name="Normal_ESTADÍSTICA OTOÑO ok" xfId="9"/>
    <cellStyle name="Normal_Hoja1" xfId="4"/>
    <cellStyle name="Normal_Hoja1 2" xfId="20"/>
    <cellStyle name="Normal_Hoja1_1" xfId="17"/>
    <cellStyle name="Normal_Hoja2" xfId="5"/>
    <cellStyle name="Normal_Hoja2 2" xfId="21"/>
    <cellStyle name="Normal_Hoja2_1" xfId="6"/>
    <cellStyle name="Normal_Hoja3" xfId="7"/>
    <cellStyle name="Normal_IPRIMAVERAok" xfId="14"/>
    <cellStyle name="Normal_Matricula Pos x nivel" xfId="30"/>
    <cellStyle name="Normal_Nvo ing-Pos x nivel" xfId="28"/>
    <cellStyle name="Normal_Posgrados evaluados 2007 2" xfId="33"/>
    <cellStyle name="Porcentaje" xfId="27" builtinId="5"/>
    <cellStyle name="Porcentaje 2" xfId="11"/>
    <cellStyle name="Porcentaje 5" xfId="66"/>
    <cellStyle name="Porcentaje 6" xfId="51"/>
    <cellStyle name="Porcentaje 7" xfId="61"/>
    <cellStyle name="Porcentaje 8 2" xfId="12"/>
    <cellStyle name="Porcentual 4" xfId="26"/>
  </cellStyles>
  <dxfs count="0"/>
  <tableStyles count="0" defaultTableStyle="TableStyleMedium2" defaultPivotStyle="PivotStyleLight16"/>
  <colors>
    <mruColors>
      <color rgb="FF57A519"/>
      <color rgb="FF007297"/>
      <color rgb="FF0072CE"/>
      <color rgb="FFAD25A8"/>
      <color rgb="FFF08200"/>
      <color rgb="FFCD032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calcChain" Target="calcChain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theme" Target="theme/theme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1"/>
            </a:pPr>
            <a:r>
              <a:rPr lang="es-MX" sz="1600" b="0" i="1"/>
              <a:t>Aspirantes a licenciatura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  <c:spPr>
        <a:noFill/>
        <a:ln w="3175">
          <a:solidFill>
            <a:schemeClr val="bg1">
              <a:lumMod val="85000"/>
            </a:schemeClr>
          </a:solidFill>
        </a:ln>
      </c:spPr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1.4293915605748563E-2"/>
          <c:y val="4.2970484705990915E-2"/>
          <c:w val="0.96432468301766117"/>
          <c:h val="0.81217800385727867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'Aspirantes uni'!$AN$57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rgbClr val="CD032E"/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'Aspirantes uni'!$AO$44:$AO$63</c:f>
              <c:numCache>
                <c:formatCode>General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('Aspirantes uni'!$D$9,'Aspirantes uni'!$G$9,'Aspirantes uni'!$J$9,'Aspirantes uni'!$M$9,'Aspirantes uni'!$P$9,'Aspirantes uni'!$S$9,'Aspirantes uni'!$V$9,'Aspirantes uni'!$Y$9,'Aspirantes uni'!$AB$9,'Aspirantes uni'!$AE$9,'Aspirantes uni'!$AH$9,'Aspirantes uni'!$AK$9,'Aspirantes uni'!$AN$9,'Aspirantes uni'!$AQ$9,'Aspirantes uni'!$AT$9,'Aspirantes uni'!$AW$9,'Aspirantes uni'!$AZ$9,'Aspirantes uni'!$BC$9,'Aspirantes uni'!$BF$9,'Aspirantes uni'!$BI$9)</c:f>
              <c:numCache>
                <c:formatCode>#,##0</c:formatCode>
                <c:ptCount val="20"/>
                <c:pt idx="0">
                  <c:v>18977</c:v>
                </c:pt>
                <c:pt idx="1">
                  <c:v>21362</c:v>
                </c:pt>
                <c:pt idx="2">
                  <c:v>21830</c:v>
                </c:pt>
                <c:pt idx="3">
                  <c:v>20296</c:v>
                </c:pt>
                <c:pt idx="4">
                  <c:v>21368</c:v>
                </c:pt>
                <c:pt idx="5">
                  <c:v>22969</c:v>
                </c:pt>
                <c:pt idx="6">
                  <c:v>24463</c:v>
                </c:pt>
                <c:pt idx="7">
                  <c:v>27536</c:v>
                </c:pt>
                <c:pt idx="8">
                  <c:v>27386</c:v>
                </c:pt>
                <c:pt idx="9">
                  <c:v>30212</c:v>
                </c:pt>
                <c:pt idx="10">
                  <c:v>28991</c:v>
                </c:pt>
                <c:pt idx="11">
                  <c:v>27833</c:v>
                </c:pt>
                <c:pt idx="12">
                  <c:v>29297</c:v>
                </c:pt>
                <c:pt idx="13">
                  <c:v>29363</c:v>
                </c:pt>
                <c:pt idx="14">
                  <c:v>28682</c:v>
                </c:pt>
                <c:pt idx="15">
                  <c:v>30133</c:v>
                </c:pt>
                <c:pt idx="16">
                  <c:v>25732</c:v>
                </c:pt>
                <c:pt idx="17">
                  <c:v>22443</c:v>
                </c:pt>
                <c:pt idx="18">
                  <c:v>23168</c:v>
                </c:pt>
                <c:pt idx="19">
                  <c:v>24684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AD-4B9B-920A-FC45A01A751F}"/>
            </c:ext>
          </c:extLst>
        </c:ser>
        <c:ser>
          <c:idx val="1"/>
          <c:order val="1"/>
          <c:tx>
            <c:strRef>
              <c:f>'Aspirantes uni'!$AN$58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2"/>
              <c:layout>
                <c:manualLayout>
                  <c:x val="2.310135720473578E-3"/>
                  <c:y val="2.5632802236472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AD-4B9B-920A-FC45A01A751F}"/>
                </c:ext>
              </c:extLst>
            </c:dLbl>
            <c:dLbl>
              <c:idx val="3"/>
              <c:layout>
                <c:manualLayout>
                  <c:x val="4.620271440947113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AD-4B9B-920A-FC45A01A751F}"/>
                </c:ext>
              </c:extLst>
            </c:dLbl>
            <c:dLbl>
              <c:idx val="4"/>
              <c:layout>
                <c:manualLayout>
                  <c:x val="4.620271440947156E-3"/>
                  <c:y val="-9.398585580110464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AD-4B9B-920A-FC45A01A751F}"/>
                </c:ext>
              </c:extLst>
            </c:dLbl>
            <c:dLbl>
              <c:idx val="5"/>
              <c:layout>
                <c:manualLayout>
                  <c:x val="3.9100680249209881E-3"/>
                  <c:y val="-2.71278312537821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AD-4B9B-920A-FC45A01A751F}"/>
                </c:ext>
              </c:extLst>
            </c:dLbl>
            <c:dLbl>
              <c:idx val="6"/>
              <c:layout>
                <c:manualLayout>
                  <c:x val="3.910068024920988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AD-4B9B-920A-FC45A01A751F}"/>
                </c:ext>
              </c:extLst>
            </c:dLbl>
            <c:dLbl>
              <c:idx val="7"/>
              <c:layout>
                <c:manualLayout>
                  <c:x val="3.910068024920988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AD-4B9B-920A-FC45A01A751F}"/>
                </c:ext>
              </c:extLst>
            </c:dLbl>
            <c:dLbl>
              <c:idx val="8"/>
              <c:layout>
                <c:manualLayout>
                  <c:x val="5.2134240332279841E-3"/>
                  <c:y val="-2.71278312537821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AD-4B9B-920A-FC45A01A751F}"/>
                </c:ext>
              </c:extLst>
            </c:dLbl>
            <c:dLbl>
              <c:idx val="9"/>
              <c:layout>
                <c:manualLayout>
                  <c:x val="3.9100680249209881E-3"/>
                  <c:y val="-2.71278312537821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AD-4B9B-920A-FC45A01A751F}"/>
                </c:ext>
              </c:extLst>
            </c:dLbl>
            <c:dLbl>
              <c:idx val="10"/>
              <c:layout>
                <c:manualLayout>
                  <c:x val="3.910068024920988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AD-4B9B-920A-FC45A01A751F}"/>
                </c:ext>
              </c:extLst>
            </c:dLbl>
            <c:dLbl>
              <c:idx val="11"/>
              <c:layout>
                <c:manualLayout>
                  <c:x val="6.51678004153498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AD-4B9B-920A-FC45A01A751F}"/>
                </c:ext>
              </c:extLst>
            </c:dLbl>
            <c:dLbl>
              <c:idx val="12"/>
              <c:layout>
                <c:manualLayout>
                  <c:x val="4.620271440947156E-3"/>
                  <c:y val="-2.5632802236472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AD-4B9B-920A-FC45A01A751F}"/>
                </c:ext>
              </c:extLst>
            </c:dLbl>
            <c:dLbl>
              <c:idx val="13"/>
              <c:layout>
                <c:manualLayout>
                  <c:x val="4.620271440947156E-3"/>
                  <c:y val="-2.5632802236472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AD-4B9B-920A-FC45A01A751F}"/>
                </c:ext>
              </c:extLst>
            </c:dLbl>
            <c:dLbl>
              <c:idx val="14"/>
              <c:layout>
                <c:manualLayout>
                  <c:x val="4.620271440947156E-3"/>
                  <c:y val="-5.12656044729441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AD-4B9B-920A-FC45A01A751F}"/>
                </c:ext>
              </c:extLst>
            </c:dLbl>
            <c:dLbl>
              <c:idx val="15"/>
              <c:layout>
                <c:manualLayout>
                  <c:x val="6.930407161420733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EAD-4B9B-920A-FC45A01A751F}"/>
                </c:ext>
              </c:extLst>
            </c:dLbl>
            <c:dLbl>
              <c:idx val="16"/>
              <c:layout>
                <c:manualLayout>
                  <c:x val="4.562303963501568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EAD-4B9B-920A-FC45A01A75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'Aspirantes uni'!$AO$44:$AO$63</c:f>
              <c:numCache>
                <c:formatCode>General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('Aspirantes uni'!$D$14,'Aspirantes uni'!$G$14,'Aspirantes uni'!$J$14,'Aspirantes uni'!$M$14,'Aspirantes uni'!$P$14,'Aspirantes uni'!$S$14,'Aspirantes uni'!$V$14,'Aspirantes uni'!$Y$14,'Aspirantes uni'!$AB$14,'Aspirantes uni'!$AE$14,'Aspirantes uni'!$AH$14,'Aspirantes uni'!$AK$14,'Aspirantes uni'!$AN$14,'Aspirantes uni'!$AQ$14,'Aspirantes uni'!$AT$14,'Aspirantes uni'!$AW$14,'Aspirantes uni'!$AZ$14,'Aspirantes uni'!$BC$14,'Aspirantes uni'!$BF$14,'Aspirantes uni'!$BI$14)</c:f>
              <c:numCache>
                <c:formatCode>#,##0</c:formatCode>
                <c:ptCount val="20"/>
                <c:pt idx="2">
                  <c:v>826</c:v>
                </c:pt>
                <c:pt idx="3">
                  <c:v>286</c:v>
                </c:pt>
                <c:pt idx="4">
                  <c:v>927</c:v>
                </c:pt>
                <c:pt idx="5">
                  <c:v>1153</c:v>
                </c:pt>
                <c:pt idx="6">
                  <c:v>1362</c:v>
                </c:pt>
                <c:pt idx="7">
                  <c:v>1844</c:v>
                </c:pt>
                <c:pt idx="8">
                  <c:v>1712</c:v>
                </c:pt>
                <c:pt idx="9">
                  <c:v>1698</c:v>
                </c:pt>
                <c:pt idx="10">
                  <c:v>3373</c:v>
                </c:pt>
                <c:pt idx="11">
                  <c:v>3920</c:v>
                </c:pt>
                <c:pt idx="12">
                  <c:v>4469</c:v>
                </c:pt>
                <c:pt idx="13">
                  <c:v>4913</c:v>
                </c:pt>
                <c:pt idx="14">
                  <c:v>4878</c:v>
                </c:pt>
                <c:pt idx="15">
                  <c:v>4993</c:v>
                </c:pt>
                <c:pt idx="16">
                  <c:v>4484</c:v>
                </c:pt>
                <c:pt idx="17">
                  <c:v>4140</c:v>
                </c:pt>
                <c:pt idx="18">
                  <c:v>3990</c:v>
                </c:pt>
                <c:pt idx="19">
                  <c:v>4137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EAD-4B9B-920A-FC45A01A751F}"/>
            </c:ext>
          </c:extLst>
        </c:ser>
        <c:ser>
          <c:idx val="2"/>
          <c:order val="2"/>
          <c:tx>
            <c:strRef>
              <c:f>'Aspirantes uni'!$AN$59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rgbClr val="57A519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18"/>
              <c:layout>
                <c:manualLayout>
                  <c:x val="6.21118012422360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D8-4FBC-BE1E-09845970D4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'Aspirantes uni'!$AO$44:$AO$63</c:f>
              <c:numCache>
                <c:formatCode>General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('Aspirantes uni'!$D$19,'Aspirantes uni'!$G$19,'Aspirantes uni'!$J$19,'Aspirantes uni'!$M$19,'Aspirantes uni'!$P$19,'Aspirantes uni'!$S$19,'Aspirantes uni'!$V$19,'Aspirantes uni'!$Y$19,'Aspirantes uni'!$AB$19,'Aspirantes uni'!$AE$19,'Aspirantes uni'!$AH$19,'Aspirantes uni'!$AK$19,'Aspirantes uni'!$AN$19,'Aspirantes uni'!$AQ$19,'Aspirantes uni'!$AT$19,'Aspirantes uni'!$AW$19,'Aspirantes uni'!$AZ$19,'Aspirantes uni'!$BC$19,'Aspirantes uni'!$BF$19,'Aspirantes uni'!$BI$19)</c:f>
              <c:numCache>
                <c:formatCode>#,##0</c:formatCode>
                <c:ptCount val="20"/>
                <c:pt idx="0">
                  <c:v>9596</c:v>
                </c:pt>
                <c:pt idx="1">
                  <c:v>8675</c:v>
                </c:pt>
                <c:pt idx="2">
                  <c:v>9557</c:v>
                </c:pt>
                <c:pt idx="3">
                  <c:v>9756</c:v>
                </c:pt>
                <c:pt idx="4">
                  <c:v>9718</c:v>
                </c:pt>
                <c:pt idx="5">
                  <c:v>10924</c:v>
                </c:pt>
                <c:pt idx="6">
                  <c:v>12037</c:v>
                </c:pt>
                <c:pt idx="7">
                  <c:v>12896</c:v>
                </c:pt>
                <c:pt idx="8">
                  <c:v>13008</c:v>
                </c:pt>
                <c:pt idx="9">
                  <c:v>14731</c:v>
                </c:pt>
                <c:pt idx="10">
                  <c:v>14690</c:v>
                </c:pt>
                <c:pt idx="11">
                  <c:v>14443</c:v>
                </c:pt>
                <c:pt idx="12">
                  <c:v>15401</c:v>
                </c:pt>
                <c:pt idx="13">
                  <c:v>15641</c:v>
                </c:pt>
                <c:pt idx="14">
                  <c:v>14975</c:v>
                </c:pt>
                <c:pt idx="15">
                  <c:v>15240</c:v>
                </c:pt>
                <c:pt idx="16">
                  <c:v>12462</c:v>
                </c:pt>
                <c:pt idx="17">
                  <c:v>9601</c:v>
                </c:pt>
                <c:pt idx="18">
                  <c:v>8246</c:v>
                </c:pt>
                <c:pt idx="19">
                  <c:v>8919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EAD-4B9B-920A-FC45A01A751F}"/>
            </c:ext>
          </c:extLst>
        </c:ser>
        <c:ser>
          <c:idx val="3"/>
          <c:order val="3"/>
          <c:tx>
            <c:strRef>
              <c:f>'Aspirantes uni'!$AN$60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8"/>
              <c:layout>
                <c:manualLayout>
                  <c:x val="5.775339301183945E-3"/>
                  <c:y val="-7.68984067094162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EAD-4B9B-920A-FC45A01A751F}"/>
                </c:ext>
              </c:extLst>
            </c:dLbl>
            <c:dLbl>
              <c:idx val="9"/>
              <c:layout>
                <c:manualLayout>
                  <c:x val="5.77533930118394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EAD-4B9B-920A-FC45A01A751F}"/>
                </c:ext>
              </c:extLst>
            </c:dLbl>
            <c:dLbl>
              <c:idx val="10"/>
              <c:layout>
                <c:manualLayout>
                  <c:x val="5.775339301183945E-3"/>
                  <c:y val="-2.563280223647302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EAD-4B9B-920A-FC45A01A751F}"/>
                </c:ext>
              </c:extLst>
            </c:dLbl>
            <c:dLbl>
              <c:idx val="11"/>
              <c:layout>
                <c:manualLayout>
                  <c:x val="4.620271440947156E-3"/>
                  <c:y val="-9.398585580110464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EAD-4B9B-920A-FC45A01A751F}"/>
                </c:ext>
              </c:extLst>
            </c:dLbl>
            <c:dLbl>
              <c:idx val="12"/>
              <c:layout>
                <c:manualLayout>
                  <c:x val="5.775339301183945E-3"/>
                  <c:y val="-2.5632802236472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EAD-4B9B-920A-FC45A01A751F}"/>
                </c:ext>
              </c:extLst>
            </c:dLbl>
            <c:dLbl>
              <c:idx val="13"/>
              <c:layout>
                <c:manualLayout>
                  <c:x val="4.62027144094715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EAD-4B9B-920A-FC45A01A751F}"/>
                </c:ext>
              </c:extLst>
            </c:dLbl>
            <c:dLbl>
              <c:idx val="14"/>
              <c:layout>
                <c:manualLayout>
                  <c:x val="3.4652035807103665E-3"/>
                  <c:y val="-2.563280223647302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EAD-4B9B-920A-FC45A01A751F}"/>
                </c:ext>
              </c:extLst>
            </c:dLbl>
            <c:dLbl>
              <c:idx val="15"/>
              <c:layout>
                <c:manualLayout>
                  <c:x val="5.7898151952562819E-3"/>
                  <c:y val="-5.12647431182307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EAD-4B9B-920A-FC45A01A751F}"/>
                </c:ext>
              </c:extLst>
            </c:dLbl>
            <c:dLbl>
              <c:idx val="16"/>
              <c:layout>
                <c:manualLayout>
                  <c:x val="4.562303963501568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EAD-4B9B-920A-FC45A01A751F}"/>
                </c:ext>
              </c:extLst>
            </c:dLbl>
            <c:dLbl>
              <c:idx val="17"/>
              <c:layout>
                <c:manualLayout>
                  <c:x val="5.88235294117636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D8-4FBC-BE1E-09845970D4C0}"/>
                </c:ext>
              </c:extLst>
            </c:dLbl>
            <c:dLbl>
              <c:idx val="18"/>
              <c:layout>
                <c:manualLayout>
                  <c:x val="6.339022839536362E-3"/>
                  <c:y val="-5.0793640636193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D8-4FBC-BE1E-09845970D4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'Aspirantes uni'!$AO$44:$AO$63</c:f>
              <c:numCache>
                <c:formatCode>General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('Aspirantes uni'!$D$24,'Aspirantes uni'!$G$24,'Aspirantes uni'!$J$24,'Aspirantes uni'!$M$24,'Aspirantes uni'!$P$24,'Aspirantes uni'!$S$24,'Aspirantes uni'!$V$24,'Aspirantes uni'!$Y$24,'Aspirantes uni'!$AB$24,'Aspirantes uni'!$AE$24,'Aspirantes uni'!$AH$24,'Aspirantes uni'!$AK$24,'Aspirantes uni'!$AN$24,'Aspirantes uni'!$AQ$24,'Aspirantes uni'!$AT$24,'Aspirantes uni'!$AW$24,'Aspirantes uni'!$AZ$24,'Aspirantes uni'!$BC$24,'Aspirantes uni'!$BF$24,'Aspirantes uni'!$BI$24)</c:f>
              <c:numCache>
                <c:formatCode>#,##0</c:formatCode>
                <c:ptCount val="20"/>
                <c:pt idx="8">
                  <c:v>402</c:v>
                </c:pt>
                <c:pt idx="9">
                  <c:v>163</c:v>
                </c:pt>
                <c:pt idx="10">
                  <c:v>401</c:v>
                </c:pt>
                <c:pt idx="11">
                  <c:v>433</c:v>
                </c:pt>
                <c:pt idx="12">
                  <c:v>645</c:v>
                </c:pt>
                <c:pt idx="13">
                  <c:v>767</c:v>
                </c:pt>
                <c:pt idx="14">
                  <c:v>1168</c:v>
                </c:pt>
                <c:pt idx="15">
                  <c:v>1765</c:v>
                </c:pt>
                <c:pt idx="16">
                  <c:v>1764</c:v>
                </c:pt>
                <c:pt idx="17">
                  <c:v>1757</c:v>
                </c:pt>
                <c:pt idx="18">
                  <c:v>1476</c:v>
                </c:pt>
                <c:pt idx="19">
                  <c:v>1537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EEAD-4B9B-920A-FC45A01A751F}"/>
            </c:ext>
          </c:extLst>
        </c:ser>
        <c:ser>
          <c:idx val="4"/>
          <c:order val="4"/>
          <c:tx>
            <c:strRef>
              <c:f>'Aspirantes uni'!$AN$61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rgbClr val="0072CE"/>
            </a:solidFill>
            <a:effectLst/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'Aspirantes uni'!$AO$44:$AO$63</c:f>
              <c:numCache>
                <c:formatCode>General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('Aspirantes uni'!$D$29,'Aspirantes uni'!$G$29,'Aspirantes uni'!$J$29,'Aspirantes uni'!$M$29,'Aspirantes uni'!$P$29,'Aspirantes uni'!$S$29,'Aspirantes uni'!$V$29,'Aspirantes uni'!$Y$29,'Aspirantes uni'!$AB$29,'Aspirantes uni'!$AE$29,'Aspirantes uni'!$AH$29,'Aspirantes uni'!$AK$29,'Aspirantes uni'!$AN$29,'Aspirantes uni'!$AQ$29,'Aspirantes uni'!$AT$29,'Aspirantes uni'!$AW$29,'Aspirantes uni'!$AZ$29,'Aspirantes uni'!$BC$29,'Aspirantes uni'!$BF$29,'Aspirantes uni'!$BI$29)</c:f>
              <c:numCache>
                <c:formatCode>#,##0</c:formatCode>
                <c:ptCount val="20"/>
                <c:pt idx="0">
                  <c:v>24707</c:v>
                </c:pt>
                <c:pt idx="1">
                  <c:v>25286</c:v>
                </c:pt>
                <c:pt idx="2">
                  <c:v>27551</c:v>
                </c:pt>
                <c:pt idx="3">
                  <c:v>26197</c:v>
                </c:pt>
                <c:pt idx="4">
                  <c:v>27570</c:v>
                </c:pt>
                <c:pt idx="5">
                  <c:v>30149</c:v>
                </c:pt>
                <c:pt idx="6">
                  <c:v>32128</c:v>
                </c:pt>
                <c:pt idx="7">
                  <c:v>34715</c:v>
                </c:pt>
                <c:pt idx="8">
                  <c:v>36519</c:v>
                </c:pt>
                <c:pt idx="9">
                  <c:v>40265</c:v>
                </c:pt>
                <c:pt idx="10">
                  <c:v>40663</c:v>
                </c:pt>
                <c:pt idx="11">
                  <c:v>39524</c:v>
                </c:pt>
                <c:pt idx="12">
                  <c:v>42878</c:v>
                </c:pt>
                <c:pt idx="13">
                  <c:v>43068</c:v>
                </c:pt>
                <c:pt idx="14">
                  <c:v>43304</c:v>
                </c:pt>
                <c:pt idx="15">
                  <c:v>43850</c:v>
                </c:pt>
                <c:pt idx="16">
                  <c:v>38362</c:v>
                </c:pt>
                <c:pt idx="17">
                  <c:v>35823</c:v>
                </c:pt>
                <c:pt idx="18">
                  <c:v>37459</c:v>
                </c:pt>
                <c:pt idx="19">
                  <c:v>43682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EEAD-4B9B-920A-FC45A01A75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shape val="cylinder"/>
        <c:axId val="111397120"/>
        <c:axId val="111570944"/>
        <c:axId val="0"/>
      </c:bar3DChart>
      <c:catAx>
        <c:axId val="11139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1100"/>
            </a:pPr>
            <a:endParaRPr lang="es-MX"/>
          </a:p>
        </c:txPr>
        <c:crossAx val="111570944"/>
        <c:crosses val="autoZero"/>
        <c:auto val="1"/>
        <c:lblAlgn val="ctr"/>
        <c:lblOffset val="100"/>
        <c:noMultiLvlLbl val="0"/>
      </c:catAx>
      <c:valAx>
        <c:axId val="111570944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113971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1200753612888022"/>
          <c:y val="0.9441732804216304"/>
          <c:w val="0.76910802009343937"/>
          <c:h val="4.9055022290746694E-2"/>
        </c:manualLayout>
      </c:layout>
      <c:overlay val="0"/>
      <c:txPr>
        <a:bodyPr/>
        <a:lstStyle/>
        <a:p>
          <a:pPr>
            <a:defRPr sz="12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1"/>
            </a:pPr>
            <a:r>
              <a:rPr lang="es-MX" sz="1200" b="0" i="1"/>
              <a:t>INSCRITOS DE PRIMER INGRESO A LICENCIATURA</a:t>
            </a:r>
          </a:p>
        </c:rich>
      </c:tx>
      <c:overlay val="1"/>
    </c:title>
    <c:autoTitleDeleted val="0"/>
    <c:view3D>
      <c:rotX val="15"/>
      <c:rotY val="20"/>
      <c:rAngAx val="1"/>
    </c:view3D>
    <c:floor>
      <c:thickness val="0"/>
      <c:spPr>
        <a:ln w="3175">
          <a:solidFill>
            <a:schemeClr val="bg1">
              <a:lumMod val="85000"/>
            </a:schemeClr>
          </a:solidFill>
        </a:ln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1.9507339638976544E-2"/>
          <c:y val="0.10807727971506807"/>
          <c:w val="0.96302132700935417"/>
          <c:h val="0.74707120884820155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'Admitidos uni'!$AO$65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rgbClr val="CD032E"/>
            </a:solidFill>
            <a:effectLst>
              <a:outerShdw blurRad="76200" dist="12700" dir="8100000" sy="-23000" kx="800400" algn="br" rotWithShape="0">
                <a:schemeClr val="bg1">
                  <a:lumMod val="50000"/>
                  <a:alpha val="20000"/>
                </a:scheme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('Inscritos uni'!$AL$41:$AL$59,'Inscritos uni'!$AL$60)</c:f>
              <c:numCache>
                <c:formatCode>General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('Inscritos uni'!$E$9,'Inscritos uni'!$H$9,'Inscritos uni'!$K$9,'Inscritos uni'!$N$9,'Inscritos uni'!$Q$9,'Inscritos uni'!$T$9,'Inscritos uni'!$W$9,'Inscritos uni'!$Z$9,'Inscritos uni'!$AC$9,'Inscritos uni'!$AF$9,'Inscritos uni'!$AI$9,'Inscritos uni'!$AL$9,'Inscritos uni'!$AO$9,'Inscritos uni'!$AR$9,'Inscritos uni'!$AU$9,'Inscritos uni'!$AX$9,'Inscritos uni'!$BA$9,'Inscritos uni'!$BD$9,'Inscritos uni'!$BG$9,'Inscritos uni'!$BJ$9)</c:f>
              <c:numCache>
                <c:formatCode>#,##0</c:formatCode>
                <c:ptCount val="20"/>
                <c:pt idx="0">
                  <c:v>2781</c:v>
                </c:pt>
                <c:pt idx="1">
                  <c:v>3279</c:v>
                </c:pt>
                <c:pt idx="2">
                  <c:v>2932</c:v>
                </c:pt>
                <c:pt idx="3">
                  <c:v>2956</c:v>
                </c:pt>
                <c:pt idx="4">
                  <c:v>2930</c:v>
                </c:pt>
                <c:pt idx="5">
                  <c:v>3318</c:v>
                </c:pt>
                <c:pt idx="6">
                  <c:v>3115</c:v>
                </c:pt>
                <c:pt idx="7">
                  <c:v>3329</c:v>
                </c:pt>
                <c:pt idx="8">
                  <c:v>3026</c:v>
                </c:pt>
                <c:pt idx="9">
                  <c:v>2712</c:v>
                </c:pt>
                <c:pt idx="10">
                  <c:v>2865</c:v>
                </c:pt>
                <c:pt idx="11">
                  <c:v>2876</c:v>
                </c:pt>
                <c:pt idx="12">
                  <c:v>2840</c:v>
                </c:pt>
                <c:pt idx="13">
                  <c:v>2967</c:v>
                </c:pt>
                <c:pt idx="14">
                  <c:v>3001</c:v>
                </c:pt>
                <c:pt idx="15">
                  <c:v>3044</c:v>
                </c:pt>
                <c:pt idx="16">
                  <c:v>3696</c:v>
                </c:pt>
                <c:pt idx="17">
                  <c:v>3264</c:v>
                </c:pt>
                <c:pt idx="18">
                  <c:v>3330</c:v>
                </c:pt>
                <c:pt idx="19">
                  <c:v>3363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D1-4873-B112-FA63A9CA668C}"/>
            </c:ext>
          </c:extLst>
        </c:ser>
        <c:ser>
          <c:idx val="1"/>
          <c:order val="1"/>
          <c:tx>
            <c:strRef>
              <c:f>'Inscritos uni'!$AN$57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18"/>
              <c:layout>
                <c:manualLayout>
                  <c:x val="3.787366320134245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5D-4BBE-9725-D8F272C213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('Inscritos uni'!$AL$41:$AL$59,'Inscritos uni'!$AL$60)</c:f>
              <c:numCache>
                <c:formatCode>General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('Inscritos uni'!$E$14,'Inscritos uni'!$H$14,'Inscritos uni'!$K$14,'Inscritos uni'!$N$14,'Inscritos uni'!$Q$14,'Inscritos uni'!$T$14,'Inscritos uni'!$W$14,'Inscritos uni'!$Z$14,'Inscritos uni'!$AC$14,'Inscritos uni'!$AF$14,'Inscritos uni'!$AI$14,'Inscritos uni'!$AL$14,'Inscritos uni'!$AO$14,'Inscritos uni'!$AR$14,'Inscritos uni'!$AU$14,'Inscritos uni'!$AX$14,'Inscritos uni'!$BA$14,'Inscritos uni'!$BD$14,'Inscritos uni'!$BG$14,'Inscritos uni'!$BJ$14)</c:f>
              <c:numCache>
                <c:formatCode>#,##0</c:formatCode>
                <c:ptCount val="20"/>
                <c:pt idx="2">
                  <c:v>203</c:v>
                </c:pt>
                <c:pt idx="3">
                  <c:v>101</c:v>
                </c:pt>
                <c:pt idx="4">
                  <c:v>316</c:v>
                </c:pt>
                <c:pt idx="5">
                  <c:v>355</c:v>
                </c:pt>
                <c:pt idx="6">
                  <c:v>260</c:v>
                </c:pt>
                <c:pt idx="7">
                  <c:v>318</c:v>
                </c:pt>
                <c:pt idx="8">
                  <c:v>322</c:v>
                </c:pt>
                <c:pt idx="9">
                  <c:v>356</c:v>
                </c:pt>
                <c:pt idx="10">
                  <c:v>361</c:v>
                </c:pt>
                <c:pt idx="11">
                  <c:v>580</c:v>
                </c:pt>
                <c:pt idx="12">
                  <c:v>608</c:v>
                </c:pt>
                <c:pt idx="13">
                  <c:v>694</c:v>
                </c:pt>
                <c:pt idx="14">
                  <c:v>659</c:v>
                </c:pt>
                <c:pt idx="15">
                  <c:v>655</c:v>
                </c:pt>
                <c:pt idx="16">
                  <c:v>710</c:v>
                </c:pt>
                <c:pt idx="17">
                  <c:v>719</c:v>
                </c:pt>
                <c:pt idx="18">
                  <c:v>662</c:v>
                </c:pt>
                <c:pt idx="19">
                  <c:v>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D1-4873-B112-FA63A9CA668C}"/>
            </c:ext>
          </c:extLst>
        </c:ser>
        <c:ser>
          <c:idx val="2"/>
          <c:order val="2"/>
          <c:tx>
            <c:strRef>
              <c:f>'Inscritos uni'!$AN$58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rgbClr val="57A519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('Inscritos uni'!$AL$41:$AL$59,'Inscritos uni'!$AL$60)</c:f>
              <c:numCache>
                <c:formatCode>General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('Inscritos uni'!$E$19,'Inscritos uni'!$H$19,'Inscritos uni'!$K$19,'Inscritos uni'!$N$19,'Inscritos uni'!$Q$19,'Inscritos uni'!$T$19,'Inscritos uni'!$W$19,'Inscritos uni'!$Z$19,'Inscritos uni'!$AC$19,'Inscritos uni'!$AF$19,'Inscritos uni'!$AI$19,'Inscritos uni'!$AL$19,'Inscritos uni'!$AO$19,'Inscritos uni'!$AR$19,'Inscritos uni'!$AU$19,'Inscritos uni'!$AX$19,'Inscritos uni'!$BA$19,'Inscritos uni'!$BD$19,'Inscritos uni'!$BG$19,'Inscritos uni'!$BJ$19)</c:f>
              <c:numCache>
                <c:formatCode>#,##0</c:formatCode>
                <c:ptCount val="20"/>
                <c:pt idx="0">
                  <c:v>1978</c:v>
                </c:pt>
                <c:pt idx="1">
                  <c:v>2192</c:v>
                </c:pt>
                <c:pt idx="2">
                  <c:v>2254</c:v>
                </c:pt>
                <c:pt idx="3">
                  <c:v>2386</c:v>
                </c:pt>
                <c:pt idx="4">
                  <c:v>2385</c:v>
                </c:pt>
                <c:pt idx="5">
                  <c:v>2567</c:v>
                </c:pt>
                <c:pt idx="6">
                  <c:v>2479</c:v>
                </c:pt>
                <c:pt idx="7">
                  <c:v>2676</c:v>
                </c:pt>
                <c:pt idx="8">
                  <c:v>2689</c:v>
                </c:pt>
                <c:pt idx="9">
                  <c:v>2734</c:v>
                </c:pt>
                <c:pt idx="10">
                  <c:v>2882</c:v>
                </c:pt>
                <c:pt idx="11">
                  <c:v>2617</c:v>
                </c:pt>
                <c:pt idx="12">
                  <c:v>2543</c:v>
                </c:pt>
                <c:pt idx="13">
                  <c:v>2618</c:v>
                </c:pt>
                <c:pt idx="14">
                  <c:v>2391</c:v>
                </c:pt>
                <c:pt idx="15">
                  <c:v>2307</c:v>
                </c:pt>
                <c:pt idx="16">
                  <c:v>2355</c:v>
                </c:pt>
                <c:pt idx="17">
                  <c:v>2337</c:v>
                </c:pt>
                <c:pt idx="18">
                  <c:v>2163</c:v>
                </c:pt>
                <c:pt idx="19">
                  <c:v>2246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D1-4873-B112-FA63A9CA668C}"/>
            </c:ext>
          </c:extLst>
        </c:ser>
        <c:ser>
          <c:idx val="3"/>
          <c:order val="3"/>
          <c:tx>
            <c:strRef>
              <c:f>'Inscritos uni'!$AN$59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11"/>
              <c:layout>
                <c:manualLayout>
                  <c:x val="1.2710855070229977E-3"/>
                  <c:y val="9.803808314197213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D1-4873-B112-FA63A9CA668C}"/>
                </c:ext>
              </c:extLst>
            </c:dLbl>
            <c:dLbl>
              <c:idx val="12"/>
              <c:layout>
                <c:manualLayout>
                  <c:x val="1.2710855070229045E-3"/>
                  <c:y val="-2.67379679144385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D1-4873-B112-FA63A9CA668C}"/>
                </c:ext>
              </c:extLst>
            </c:dLbl>
            <c:dLbl>
              <c:idx val="13"/>
              <c:layout>
                <c:manualLayout>
                  <c:x val="1.2710855070229977E-3"/>
                  <c:y val="-2.67379679144394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D1-4873-B112-FA63A9CA668C}"/>
                </c:ext>
              </c:extLst>
            </c:dLbl>
            <c:dLbl>
              <c:idx val="14"/>
              <c:layout>
                <c:manualLayout>
                  <c:x val="1.2710855070229045E-3"/>
                  <c:y val="-2.67379679144385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D1-4873-B112-FA63A9CA668C}"/>
                </c:ext>
              </c:extLst>
            </c:dLbl>
            <c:dLbl>
              <c:idx val="15"/>
              <c:layout>
                <c:manualLayout>
                  <c:x val="1.2710855070229977E-3"/>
                  <c:y val="-2.67379679144385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D1-4873-B112-FA63A9CA668C}"/>
                </c:ext>
              </c:extLst>
            </c:dLbl>
            <c:dLbl>
              <c:idx val="16"/>
              <c:layout>
                <c:manualLayout>
                  <c:x val="3.813256521068992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D1-4873-B112-FA63A9CA668C}"/>
                </c:ext>
              </c:extLst>
            </c:dLbl>
            <c:dLbl>
              <c:idx val="18"/>
              <c:layout>
                <c:manualLayout>
                  <c:x val="3.787366320134245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C5D-4BBE-9725-D8F272C213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('Inscritos uni'!$AL$41:$AL$59,'Inscritos uni'!$AL$60)</c:f>
              <c:numCache>
                <c:formatCode>General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('Inscritos uni'!$E$24,'Inscritos uni'!$H$24,'Inscritos uni'!$K$24,'Inscritos uni'!$N$24,'Inscritos uni'!$Q$24,'Inscritos uni'!$T$24,'Inscritos uni'!$W$24,'Inscritos uni'!$Z$24,'Inscritos uni'!$AC$24,'Inscritos uni'!$AF$24,'Inscritos uni'!$AI$24,'Inscritos uni'!$AL$24,'Inscritos uni'!$AO$24,'Inscritos uni'!$AR$24,'Inscritos uni'!$AU$24,'Inscritos uni'!$AX$24,'Inscritos uni'!$BA$24,'Inscritos uni'!$BD$24,'Inscritos uni'!$BG$24,'Inscritos uni'!$BJ$24)</c:f>
              <c:numCache>
                <c:formatCode>#,##0</c:formatCode>
                <c:ptCount val="20"/>
                <c:pt idx="8">
                  <c:v>173</c:v>
                </c:pt>
                <c:pt idx="9">
                  <c:v>89</c:v>
                </c:pt>
                <c:pt idx="10">
                  <c:v>176</c:v>
                </c:pt>
                <c:pt idx="11">
                  <c:v>144</c:v>
                </c:pt>
                <c:pt idx="12">
                  <c:v>201</c:v>
                </c:pt>
                <c:pt idx="13">
                  <c:v>222</c:v>
                </c:pt>
                <c:pt idx="14">
                  <c:v>302</c:v>
                </c:pt>
                <c:pt idx="15">
                  <c:v>345</c:v>
                </c:pt>
                <c:pt idx="16">
                  <c:v>378</c:v>
                </c:pt>
                <c:pt idx="17">
                  <c:v>382</c:v>
                </c:pt>
                <c:pt idx="18">
                  <c:v>371</c:v>
                </c:pt>
                <c:pt idx="19">
                  <c:v>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DD1-4873-B112-FA63A9CA668C}"/>
            </c:ext>
          </c:extLst>
        </c:ser>
        <c:ser>
          <c:idx val="4"/>
          <c:order val="4"/>
          <c:tx>
            <c:strRef>
              <c:f>'Inscritos uni'!$AN$60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rgbClr val="0072CE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('Inscritos uni'!$AL$41:$AL$59,'Inscritos uni'!$AL$60)</c:f>
              <c:numCache>
                <c:formatCode>General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('Inscritos uni'!$E$29,'Inscritos uni'!$H$29,'Inscritos uni'!$K$29,'Inscritos uni'!$N$29,'Inscritos uni'!$Q$29,'Inscritos uni'!$T$29,'Inscritos uni'!$W$29,'Inscritos uni'!$Z$29,'Inscritos uni'!$AC$29,'Inscritos uni'!$AF$29,'Inscritos uni'!$AI$29,'Inscritos uni'!$AL$29,'Inscritos uni'!$AO$29,'Inscritos uni'!$AR$29,'Inscritos uni'!$AU$29,'Inscritos uni'!$AX$29,'Inscritos uni'!$BA$29,'Inscritos uni'!$BD$29,'Inscritos uni'!$BG$29,'Inscritos uni'!$BJ$29)</c:f>
              <c:numCache>
                <c:formatCode>#,##0</c:formatCode>
                <c:ptCount val="20"/>
                <c:pt idx="0">
                  <c:v>3558</c:v>
                </c:pt>
                <c:pt idx="1">
                  <c:v>4241</c:v>
                </c:pt>
                <c:pt idx="2">
                  <c:v>4064</c:v>
                </c:pt>
                <c:pt idx="3">
                  <c:v>3739</c:v>
                </c:pt>
                <c:pt idx="4">
                  <c:v>3633</c:v>
                </c:pt>
                <c:pt idx="5">
                  <c:v>3695</c:v>
                </c:pt>
                <c:pt idx="6">
                  <c:v>3399</c:v>
                </c:pt>
                <c:pt idx="7">
                  <c:v>3563</c:v>
                </c:pt>
                <c:pt idx="8">
                  <c:v>3482</c:v>
                </c:pt>
                <c:pt idx="9">
                  <c:v>3512</c:v>
                </c:pt>
                <c:pt idx="10">
                  <c:v>3574</c:v>
                </c:pt>
                <c:pt idx="11">
                  <c:v>3656</c:v>
                </c:pt>
                <c:pt idx="12">
                  <c:v>3657</c:v>
                </c:pt>
                <c:pt idx="13">
                  <c:v>3815</c:v>
                </c:pt>
                <c:pt idx="14">
                  <c:v>3808</c:v>
                </c:pt>
                <c:pt idx="15">
                  <c:v>3735</c:v>
                </c:pt>
                <c:pt idx="16">
                  <c:v>3781</c:v>
                </c:pt>
                <c:pt idx="17">
                  <c:v>3734</c:v>
                </c:pt>
                <c:pt idx="18">
                  <c:v>3561</c:v>
                </c:pt>
                <c:pt idx="19">
                  <c:v>3688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DD1-4873-B112-FA63A9CA6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15715072"/>
        <c:axId val="115802880"/>
        <c:axId val="0"/>
      </c:bar3DChart>
      <c:catAx>
        <c:axId val="11571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chemeClr val="bg1">
                <a:lumMod val="85000"/>
              </a:schemeClr>
            </a:solidFill>
          </a:ln>
        </c:spPr>
        <c:crossAx val="115802880"/>
        <c:crosses val="autoZero"/>
        <c:auto val="1"/>
        <c:lblAlgn val="ctr"/>
        <c:lblOffset val="100"/>
        <c:noMultiLvlLbl val="0"/>
      </c:catAx>
      <c:valAx>
        <c:axId val="115802880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157150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3434460076050311"/>
          <c:y val="0.93466827895698401"/>
          <c:w val="0.79387178425127225"/>
          <c:h val="4.9055022290746694E-2"/>
        </c:manualLayout>
      </c:layout>
      <c:overlay val="0"/>
      <c:txPr>
        <a:bodyPr/>
        <a:lstStyle/>
        <a:p>
          <a:pPr>
            <a:defRPr sz="12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00"/>
            </a:pPr>
            <a:r>
              <a:rPr lang="es-419" sz="1400"/>
              <a:t>Ingresos por apoyos externos 2020</a:t>
            </a:r>
          </a:p>
          <a:p>
            <a:pPr algn="l">
              <a:defRPr sz="1400"/>
            </a:pPr>
            <a:r>
              <a:rPr lang="es-419" sz="1100" b="0"/>
              <a:t>Miles de pesos</a:t>
            </a:r>
          </a:p>
        </c:rich>
      </c:tx>
      <c:layout>
        <c:manualLayout>
          <c:xMode val="edge"/>
          <c:yMode val="edge"/>
          <c:x val="7.6559839614144176E-3"/>
          <c:y val="1.7655534437505657E-2"/>
        </c:manualLayout>
      </c:layout>
      <c:overlay val="1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0803871245584324E-2"/>
          <c:y val="0.16925889472149314"/>
          <c:w val="0.89605267762582308"/>
          <c:h val="0.7308628608923885"/>
        </c:manualLayout>
      </c:layout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explosion val="3"/>
          <c:dPt>
            <c:idx val="0"/>
            <c:bubble3D val="0"/>
            <c:spPr>
              <a:solidFill>
                <a:srgbClr val="FFC000"/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1-2214-4373-B4F2-370E33D1C81E}"/>
              </c:ext>
            </c:extLst>
          </c:dPt>
          <c:dPt>
            <c:idx val="1"/>
            <c:bubble3D val="0"/>
            <c:spPr>
              <a:solidFill>
                <a:schemeClr val="accent5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3-2214-4373-B4F2-370E33D1C81E}"/>
              </c:ext>
            </c:extLst>
          </c:dPt>
          <c:dPt>
            <c:idx val="2"/>
            <c:bubble3D val="0"/>
            <c:spPr>
              <a:solidFill>
                <a:schemeClr val="accent6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5-2214-4373-B4F2-370E33D1C81E}"/>
              </c:ext>
            </c:extLst>
          </c:dPt>
          <c:dLbls>
            <c:dLbl>
              <c:idx val="0"/>
              <c:layout>
                <c:manualLayout>
                  <c:x val="-0.22032053007778185"/>
                  <c:y val="5.9376521760057081E-2"/>
                </c:manualLayout>
              </c:layout>
              <c:spPr/>
              <c:txPr>
                <a:bodyPr/>
                <a:lstStyle/>
                <a:p>
                  <a:pPr>
                    <a:defRPr sz="1400" b="0">
                      <a:solidFill>
                        <a:sysClr val="windowText" lastClr="000000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0199854722956676"/>
                      <c:h val="0.2085119015295501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2214-4373-B4F2-370E33D1C81E}"/>
                </c:ext>
              </c:extLst>
            </c:dLbl>
            <c:dLbl>
              <c:idx val="1"/>
              <c:layout>
                <c:manualLayout>
                  <c:x val="-0.12005601882790481"/>
                  <c:y val="-0.25789881437234141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8454996077519831"/>
                      <c:h val="0.1751926871210064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2214-4373-B4F2-370E33D1C81E}"/>
                </c:ext>
              </c:extLst>
            </c:dLbl>
            <c:dLbl>
              <c:idx val="2"/>
              <c:layout>
                <c:manualLayout>
                  <c:x val="0.13421329805117693"/>
                  <c:y val="-9.8810153918182875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845268326699014"/>
                      <c:h val="0.2518754638428816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2214-4373-B4F2-370E33D1C8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'RECURSOS EXT'!$D$67:$F$67</c:f>
              <c:strCache>
                <c:ptCount val="3"/>
                <c:pt idx="0">
                  <c:v>CONACYT</c:v>
                </c:pt>
                <c:pt idx="1">
                  <c:v>SEP</c:v>
                </c:pt>
                <c:pt idx="2">
                  <c:v>Convenios</c:v>
                </c:pt>
              </c:strCache>
            </c:strRef>
          </c:cat>
          <c:val>
            <c:numRef>
              <c:f>'RECURSOS EXT'!$D$94:$F$94</c:f>
              <c:numCache>
                <c:formatCode>#,##0.00</c:formatCode>
                <c:ptCount val="3"/>
                <c:pt idx="0">
                  <c:v>46548.28815</c:v>
                </c:pt>
                <c:pt idx="1">
                  <c:v>8578.1326699999991</c:v>
                </c:pt>
                <c:pt idx="2">
                  <c:v>58291.642230000005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214-4373-B4F2-370E33D1C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  <a:scene3d>
          <a:camera prst="orthographicFront"/>
          <a:lightRig rig="threePt" dir="t"/>
        </a:scene3d>
        <a:sp3d prstMaterial="metal"/>
      </c:spPr>
    </c:plotArea>
    <c:legend>
      <c:legendPos val="b"/>
      <c:layout>
        <c:manualLayout>
          <c:xMode val="edge"/>
          <c:yMode val="edge"/>
          <c:x val="9.1243280936746385E-2"/>
          <c:y val="0.89683699882342294"/>
          <c:w val="0.84375334629305998"/>
          <c:h val="0.10223571011956839"/>
        </c:manualLayout>
      </c:layout>
      <c:overlay val="0"/>
      <c:spPr>
        <a:ln>
          <a:noFill/>
        </a:ln>
      </c:spPr>
      <c:txPr>
        <a:bodyPr/>
        <a:lstStyle/>
        <a:p>
          <a:pPr rtl="0">
            <a:defRPr sz="12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00"/>
            </a:pPr>
            <a:r>
              <a:rPr lang="es-419" sz="1400"/>
              <a:t>Ingresos por apoyos externos 2021</a:t>
            </a:r>
          </a:p>
          <a:p>
            <a:pPr algn="l">
              <a:defRPr sz="1400"/>
            </a:pPr>
            <a:r>
              <a:rPr lang="es-419" sz="1100" b="0"/>
              <a:t>Miles de pesos</a:t>
            </a:r>
          </a:p>
        </c:rich>
      </c:tx>
      <c:layout>
        <c:manualLayout>
          <c:xMode val="edge"/>
          <c:yMode val="edge"/>
          <c:x val="7.6559839614144176E-3"/>
          <c:y val="1.7655534437505657E-2"/>
        </c:manualLayout>
      </c:layout>
      <c:overlay val="1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0803871245584324E-2"/>
          <c:y val="0.16925889472149314"/>
          <c:w val="0.89605267762582308"/>
          <c:h val="0.7308628608923885"/>
        </c:manualLayout>
      </c:layout>
      <c:pie3DChart>
        <c:varyColors val="1"/>
        <c:ser>
          <c:idx val="0"/>
          <c:order val="0"/>
          <c:spPr>
            <a:solidFill>
              <a:schemeClr val="accent4"/>
            </a:solidFill>
            <a:ln>
              <a:noFill/>
            </a:ln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explosion val="3"/>
          <c:dPt>
            <c:idx val="1"/>
            <c:bubble3D val="0"/>
            <c:spPr>
              <a:solidFill>
                <a:schemeClr val="accent1"/>
              </a:solidFill>
              <a:ln>
                <a:noFill/>
              </a:ln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3-7D50-4183-A2FB-C85C5F19937B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5-7D50-4183-A2FB-C85C5F19937B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0">
                      <a:solidFill>
                        <a:sysClr val="windowText" lastClr="000000"/>
                      </a:solidFill>
                    </a:defRPr>
                  </a:pPr>
                  <a:endParaRPr lang="es-MX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7D50-4183-A2FB-C85C5F1993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'RECURSOS EXT'!$D$36:$F$36</c:f>
              <c:strCache>
                <c:ptCount val="3"/>
                <c:pt idx="0">
                  <c:v>CONACYT</c:v>
                </c:pt>
                <c:pt idx="1">
                  <c:v>SEP</c:v>
                </c:pt>
                <c:pt idx="2">
                  <c:v>Convenios</c:v>
                </c:pt>
              </c:strCache>
            </c:strRef>
          </c:cat>
          <c:val>
            <c:numRef>
              <c:f>'RECURSOS EXT'!$D$63:$F$63</c:f>
              <c:numCache>
                <c:formatCode>#,##0.00</c:formatCode>
                <c:ptCount val="3"/>
                <c:pt idx="0">
                  <c:v>50778.796579999995</c:v>
                </c:pt>
                <c:pt idx="1">
                  <c:v>20176</c:v>
                </c:pt>
                <c:pt idx="2">
                  <c:v>40968.979359999998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D50-4183-A2FB-C85C5F199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  <a:scene3d>
          <a:camera prst="orthographicFront"/>
          <a:lightRig rig="threePt" dir="t"/>
        </a:scene3d>
        <a:sp3d prstMaterial="metal"/>
      </c:spPr>
    </c:plotArea>
    <c:legend>
      <c:legendPos val="b"/>
      <c:layout>
        <c:manualLayout>
          <c:xMode val="edge"/>
          <c:yMode val="edge"/>
          <c:x val="9.1243280936746385E-2"/>
          <c:y val="0.89683699882342294"/>
          <c:w val="0.84375334629305998"/>
          <c:h val="0.10223571011956839"/>
        </c:manualLayout>
      </c:layout>
      <c:overlay val="0"/>
      <c:spPr>
        <a:ln>
          <a:noFill/>
        </a:ln>
      </c:spPr>
      <c:txPr>
        <a:bodyPr/>
        <a:lstStyle/>
        <a:p>
          <a:pPr rtl="0">
            <a:defRPr sz="12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 sz="1400"/>
            </a:pPr>
            <a:r>
              <a:rPr lang="es-419" sz="1400"/>
              <a:t>Ingresos por apoyos externos 2022</a:t>
            </a:r>
          </a:p>
          <a:p>
            <a:pPr algn="ctr">
              <a:defRPr sz="1400"/>
            </a:pPr>
            <a:r>
              <a:rPr lang="es-419" sz="1100" b="0"/>
              <a:t>Miles de pesos</a:t>
            </a:r>
            <a:endParaRPr lang="es-419" sz="1000" b="0"/>
          </a:p>
        </c:rich>
      </c:tx>
      <c:layout>
        <c:manualLayout>
          <c:xMode val="edge"/>
          <c:yMode val="edge"/>
          <c:x val="0.25214780988197372"/>
          <c:y val="1.76555077854532E-2"/>
        </c:manualLayout>
      </c:layout>
      <c:overlay val="1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0803871245584324E-2"/>
          <c:y val="0.21015860747467915"/>
          <c:w val="0.8477229152326109"/>
          <c:h val="0.68996312577492236"/>
        </c:manualLayout>
      </c:layout>
      <c:pie3DChart>
        <c:varyColors val="1"/>
        <c:ser>
          <c:idx val="0"/>
          <c:order val="0"/>
          <c:spPr>
            <a:solidFill>
              <a:schemeClr val="accent4"/>
            </a:solidFill>
            <a:ln>
              <a:noFill/>
            </a:ln>
            <a:scene3d>
              <a:camera prst="orthographicFront"/>
              <a:lightRig rig="threePt" dir="t"/>
            </a:scene3d>
            <a:sp3d prstMaterial="metal">
              <a:bevelT/>
              <a:bevelB/>
            </a:sp3d>
          </c:spPr>
          <c:explosion val="3"/>
          <c:dPt>
            <c:idx val="1"/>
            <c:bubble3D val="0"/>
            <c:spPr>
              <a:solidFill>
                <a:schemeClr val="accent1"/>
              </a:solidFill>
              <a:ln>
                <a:noFill/>
              </a:ln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8-4CDA-4BC4-A9BC-391C2B50EFFB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scene3d>
                <a:camera prst="orthographicFront"/>
                <a:lightRig rig="threePt" dir="t"/>
              </a:scene3d>
              <a:sp3d prstMaterial="metal"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A-4CDA-4BC4-A9BC-391C2B50EFFB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0">
                      <a:solidFill>
                        <a:sysClr val="windowText" lastClr="000000"/>
                      </a:solidFill>
                    </a:defRPr>
                  </a:pPr>
                  <a:endParaRPr lang="es-MX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4CDA-4BC4-A9BC-391C2B50EF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'RECURSOS EXT'!$D$4:$F$4</c:f>
              <c:strCache>
                <c:ptCount val="3"/>
                <c:pt idx="0">
                  <c:v>CONACYT</c:v>
                </c:pt>
                <c:pt idx="1">
                  <c:v>SEP</c:v>
                </c:pt>
                <c:pt idx="2">
                  <c:v>Convenios</c:v>
                </c:pt>
              </c:strCache>
            </c:strRef>
          </c:cat>
          <c:val>
            <c:numRef>
              <c:f>'RECURSOS EXT'!$D$32:$F$32</c:f>
              <c:numCache>
                <c:formatCode>#,##0.00</c:formatCode>
                <c:ptCount val="3"/>
                <c:pt idx="0">
                  <c:v>22295.016740000003</c:v>
                </c:pt>
                <c:pt idx="1">
                  <c:v>11213</c:v>
                </c:pt>
                <c:pt idx="2">
                  <c:v>58822.047010000002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CDA-4BC4-A9BC-391C2B50E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  <a:scene3d>
          <a:camera prst="orthographicFront"/>
          <a:lightRig rig="threePt" dir="t"/>
        </a:scene3d>
        <a:sp3d prstMaterial="metal"/>
      </c:spPr>
    </c:plotArea>
    <c:legend>
      <c:legendPos val="b"/>
      <c:layout>
        <c:manualLayout>
          <c:xMode val="edge"/>
          <c:yMode val="edge"/>
          <c:x val="9.1243280936746385E-2"/>
          <c:y val="0.89683699882342294"/>
          <c:w val="0.84375334629305998"/>
          <c:h val="0.10223571011956839"/>
        </c:manualLayout>
      </c:layout>
      <c:overlay val="0"/>
      <c:spPr>
        <a:ln>
          <a:noFill/>
        </a:ln>
      </c:spPr>
      <c:txPr>
        <a:bodyPr/>
        <a:lstStyle/>
        <a:p>
          <a:pPr rtl="0">
            <a:defRPr sz="12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1"/>
            </a:pPr>
            <a:r>
              <a:rPr lang="es-MX" sz="1600" b="0" i="1"/>
              <a:t>Convenios POR</a:t>
            </a:r>
            <a:r>
              <a:rPr lang="es-MX" sz="1600" b="0" i="1" baseline="0"/>
              <a:t> UNIDAD</a:t>
            </a:r>
            <a:endParaRPr lang="es-MX" sz="1600" b="0" i="1"/>
          </a:p>
        </c:rich>
      </c:tx>
      <c:layout>
        <c:manualLayout>
          <c:xMode val="edge"/>
          <c:yMode val="edge"/>
          <c:x val="3.8506784220550948E-2"/>
          <c:y val="4.1062801932367152E-2"/>
        </c:manualLayout>
      </c:layout>
      <c:overlay val="1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Convenios!$M$16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rgbClr val="CD032E"/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(Convenios!$N$15:$AF$15,Convenios!$AG$15)</c:f>
              <c:strCach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strCache>
            </c:strRef>
          </c:cat>
          <c:val>
            <c:numRef>
              <c:f>(Convenios!$N$16:$AF$16,Convenios!$AG$16)</c:f>
              <c:numCache>
                <c:formatCode>General</c:formatCode>
                <c:ptCount val="20"/>
                <c:pt idx="0">
                  <c:v>95</c:v>
                </c:pt>
                <c:pt idx="1">
                  <c:v>48</c:v>
                </c:pt>
                <c:pt idx="2">
                  <c:v>50</c:v>
                </c:pt>
                <c:pt idx="3">
                  <c:v>51</c:v>
                </c:pt>
                <c:pt idx="4">
                  <c:v>135</c:v>
                </c:pt>
                <c:pt idx="5">
                  <c:v>102</c:v>
                </c:pt>
                <c:pt idx="6">
                  <c:v>63</c:v>
                </c:pt>
                <c:pt idx="7">
                  <c:v>90</c:v>
                </c:pt>
                <c:pt idx="8">
                  <c:v>111</c:v>
                </c:pt>
                <c:pt idx="9">
                  <c:v>50</c:v>
                </c:pt>
                <c:pt idx="10">
                  <c:v>23</c:v>
                </c:pt>
                <c:pt idx="11">
                  <c:v>94</c:v>
                </c:pt>
                <c:pt idx="12">
                  <c:v>122</c:v>
                </c:pt>
                <c:pt idx="13">
                  <c:v>138</c:v>
                </c:pt>
                <c:pt idx="14">
                  <c:v>45</c:v>
                </c:pt>
                <c:pt idx="15">
                  <c:v>24</c:v>
                </c:pt>
                <c:pt idx="16">
                  <c:v>34</c:v>
                </c:pt>
                <c:pt idx="17">
                  <c:v>38</c:v>
                </c:pt>
                <c:pt idx="18">
                  <c:v>35</c:v>
                </c:pt>
                <c:pt idx="19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5A-41A3-87C1-A1B1D625E83C}"/>
            </c:ext>
          </c:extLst>
        </c:ser>
        <c:ser>
          <c:idx val="1"/>
          <c:order val="1"/>
          <c:tx>
            <c:strRef>
              <c:f>Convenios!$M$17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(Convenios!$N$15:$AF$15,Convenios!$AG$15)</c:f>
              <c:strCach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strCache>
            </c:strRef>
          </c:cat>
          <c:val>
            <c:numRef>
              <c:f>(Convenios!$N$17:$AF$17,Convenios!$AG$17)</c:f>
              <c:numCache>
                <c:formatCode>General</c:formatCode>
                <c:ptCount val="20"/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46</c:v>
                </c:pt>
                <c:pt idx="6">
                  <c:v>2</c:v>
                </c:pt>
                <c:pt idx="7">
                  <c:v>2</c:v>
                </c:pt>
                <c:pt idx="8">
                  <c:v>19</c:v>
                </c:pt>
                <c:pt idx="9">
                  <c:v>29</c:v>
                </c:pt>
                <c:pt idx="10">
                  <c:v>38</c:v>
                </c:pt>
                <c:pt idx="11">
                  <c:v>26</c:v>
                </c:pt>
                <c:pt idx="12">
                  <c:v>55</c:v>
                </c:pt>
                <c:pt idx="13">
                  <c:v>74</c:v>
                </c:pt>
                <c:pt idx="14">
                  <c:v>57</c:v>
                </c:pt>
                <c:pt idx="15">
                  <c:v>22</c:v>
                </c:pt>
                <c:pt idx="16">
                  <c:v>15</c:v>
                </c:pt>
                <c:pt idx="17">
                  <c:v>15</c:v>
                </c:pt>
                <c:pt idx="18">
                  <c:v>9</c:v>
                </c:pt>
                <c:pt idx="19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5A-41A3-87C1-A1B1D625E83C}"/>
            </c:ext>
          </c:extLst>
        </c:ser>
        <c:ser>
          <c:idx val="2"/>
          <c:order val="2"/>
          <c:tx>
            <c:strRef>
              <c:f>Convenios!$M$18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rgbClr val="57A519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7.285973454100733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5A-41A3-87C1-A1B1D625E83C}"/>
                </c:ext>
              </c:extLst>
            </c:dLbl>
            <c:dLbl>
              <c:idx val="1"/>
              <c:layout>
                <c:manualLayout>
                  <c:x val="1.092896018115110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5A-41A3-87C1-A1B1D625E83C}"/>
                </c:ext>
              </c:extLst>
            </c:dLbl>
            <c:dLbl>
              <c:idx val="2"/>
              <c:layout>
                <c:manualLayout>
                  <c:x val="5.46448009057555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5A-41A3-87C1-A1B1D625E83C}"/>
                </c:ext>
              </c:extLst>
            </c:dLbl>
            <c:dLbl>
              <c:idx val="3"/>
              <c:layout>
                <c:manualLayout>
                  <c:x val="5.4644800905755504E-3"/>
                  <c:y val="-6.208767610961554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5A-41A3-87C1-A1B1D625E83C}"/>
                </c:ext>
              </c:extLst>
            </c:dLbl>
            <c:dLbl>
              <c:idx val="4"/>
              <c:layout>
                <c:manualLayout>
                  <c:x val="5.46448009057555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5A-41A3-87C1-A1B1D625E83C}"/>
                </c:ext>
              </c:extLst>
            </c:dLbl>
            <c:dLbl>
              <c:idx val="5"/>
              <c:layout>
                <c:manualLayout>
                  <c:x val="5.46448009057555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5A-41A3-87C1-A1B1D625E83C}"/>
                </c:ext>
              </c:extLst>
            </c:dLbl>
            <c:dLbl>
              <c:idx val="6"/>
              <c:layout>
                <c:manualLayout>
                  <c:x val="5.46448009057555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5A-41A3-87C1-A1B1D625E83C}"/>
                </c:ext>
              </c:extLst>
            </c:dLbl>
            <c:dLbl>
              <c:idx val="7"/>
              <c:layout>
                <c:manualLayout>
                  <c:x val="5.46448009057555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5A-41A3-87C1-A1B1D625E83C}"/>
                </c:ext>
              </c:extLst>
            </c:dLbl>
            <c:dLbl>
              <c:idx val="8"/>
              <c:layout>
                <c:manualLayout>
                  <c:x val="9.107466817625916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5A-41A3-87C1-A1B1D625E83C}"/>
                </c:ext>
              </c:extLst>
            </c:dLbl>
            <c:dLbl>
              <c:idx val="9"/>
              <c:layout>
                <c:manualLayout>
                  <c:x val="5.46448009057555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5A-41A3-87C1-A1B1D625E83C}"/>
                </c:ext>
              </c:extLst>
            </c:dLbl>
            <c:dLbl>
              <c:idx val="10"/>
              <c:layout>
                <c:manualLayout>
                  <c:x val="7.285973454100733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5A-41A3-87C1-A1B1D625E8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(Convenios!$N$15:$AF$15,Convenios!$AG$15)</c:f>
              <c:strCach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strCache>
            </c:strRef>
          </c:cat>
          <c:val>
            <c:numRef>
              <c:f>(Convenios!$N$18:$AF$18,Convenios!$AG$18)</c:f>
              <c:numCache>
                <c:formatCode>General</c:formatCode>
                <c:ptCount val="20"/>
                <c:pt idx="0">
                  <c:v>178</c:v>
                </c:pt>
                <c:pt idx="1">
                  <c:v>147</c:v>
                </c:pt>
                <c:pt idx="2">
                  <c:v>154</c:v>
                </c:pt>
                <c:pt idx="3">
                  <c:v>164</c:v>
                </c:pt>
                <c:pt idx="4">
                  <c:v>137</c:v>
                </c:pt>
                <c:pt idx="5">
                  <c:v>315</c:v>
                </c:pt>
                <c:pt idx="6">
                  <c:v>117</c:v>
                </c:pt>
                <c:pt idx="7">
                  <c:v>173</c:v>
                </c:pt>
                <c:pt idx="8">
                  <c:v>85</c:v>
                </c:pt>
                <c:pt idx="9">
                  <c:v>366</c:v>
                </c:pt>
                <c:pt idx="10">
                  <c:v>115</c:v>
                </c:pt>
                <c:pt idx="11">
                  <c:v>234</c:v>
                </c:pt>
                <c:pt idx="12">
                  <c:v>286</c:v>
                </c:pt>
                <c:pt idx="13">
                  <c:v>288</c:v>
                </c:pt>
                <c:pt idx="14">
                  <c:v>103</c:v>
                </c:pt>
                <c:pt idx="15">
                  <c:v>109</c:v>
                </c:pt>
                <c:pt idx="16">
                  <c:v>67</c:v>
                </c:pt>
                <c:pt idx="17">
                  <c:v>39</c:v>
                </c:pt>
                <c:pt idx="18">
                  <c:v>58</c:v>
                </c:pt>
                <c:pt idx="19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95A-41A3-87C1-A1B1D625E83C}"/>
            </c:ext>
          </c:extLst>
        </c:ser>
        <c:ser>
          <c:idx val="3"/>
          <c:order val="3"/>
          <c:tx>
            <c:strRef>
              <c:f>Convenios!$M$19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(Convenios!$N$15:$AF$15,Convenios!$AG$15)</c:f>
              <c:strCach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strCache>
            </c:strRef>
          </c:cat>
          <c:val>
            <c:numRef>
              <c:f>(Convenios!$N$19:$AF$19,Convenios!$AG$19)</c:f>
              <c:numCache>
                <c:formatCode>General</c:formatCode>
                <c:ptCount val="20"/>
                <c:pt idx="8">
                  <c:v>4</c:v>
                </c:pt>
                <c:pt idx="10">
                  <c:v>10</c:v>
                </c:pt>
                <c:pt idx="11">
                  <c:v>19</c:v>
                </c:pt>
                <c:pt idx="12">
                  <c:v>20</c:v>
                </c:pt>
                <c:pt idx="13">
                  <c:v>27</c:v>
                </c:pt>
                <c:pt idx="14">
                  <c:v>23</c:v>
                </c:pt>
                <c:pt idx="15">
                  <c:v>20</c:v>
                </c:pt>
                <c:pt idx="16">
                  <c:v>4</c:v>
                </c:pt>
                <c:pt idx="17">
                  <c:v>7</c:v>
                </c:pt>
                <c:pt idx="18">
                  <c:v>3</c:v>
                </c:pt>
                <c:pt idx="19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95A-41A3-87C1-A1B1D625E83C}"/>
            </c:ext>
          </c:extLst>
        </c:ser>
        <c:ser>
          <c:idx val="4"/>
          <c:order val="4"/>
          <c:tx>
            <c:strRef>
              <c:f>Convenios!$M$20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rgbClr val="0072CE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7.285973454100733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5A-41A3-87C1-A1B1D625E83C}"/>
                </c:ext>
              </c:extLst>
            </c:dLbl>
            <c:dLbl>
              <c:idx val="1"/>
              <c:layout>
                <c:manualLayout>
                  <c:x val="5.46448009057555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5A-41A3-87C1-A1B1D625E83C}"/>
                </c:ext>
              </c:extLst>
            </c:dLbl>
            <c:dLbl>
              <c:idx val="2"/>
              <c:layout>
                <c:manualLayout>
                  <c:x val="5.46448009057555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5A-41A3-87C1-A1B1D625E83C}"/>
                </c:ext>
              </c:extLst>
            </c:dLbl>
            <c:dLbl>
              <c:idx val="3"/>
              <c:layout>
                <c:manualLayout>
                  <c:x val="7.285973454100733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5A-41A3-87C1-A1B1D625E83C}"/>
                </c:ext>
              </c:extLst>
            </c:dLbl>
            <c:dLbl>
              <c:idx val="4"/>
              <c:layout>
                <c:manualLayout>
                  <c:x val="7.285973454100733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5A-41A3-87C1-A1B1D625E83C}"/>
                </c:ext>
              </c:extLst>
            </c:dLbl>
            <c:dLbl>
              <c:idx val="5"/>
              <c:layout>
                <c:manualLayout>
                  <c:x val="3.642986727050366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5A-41A3-87C1-A1B1D625E83C}"/>
                </c:ext>
              </c:extLst>
            </c:dLbl>
            <c:dLbl>
              <c:idx val="6"/>
              <c:layout>
                <c:manualLayout>
                  <c:x val="5.4644800905755504E-3"/>
                  <c:y val="-3.10438380548077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95A-41A3-87C1-A1B1D625E83C}"/>
                </c:ext>
              </c:extLst>
            </c:dLbl>
            <c:dLbl>
              <c:idx val="8"/>
              <c:layout>
                <c:manualLayout>
                  <c:x val="7.285973454100733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95A-41A3-87C1-A1B1D625E83C}"/>
                </c:ext>
              </c:extLst>
            </c:dLbl>
            <c:dLbl>
              <c:idx val="9"/>
              <c:layout>
                <c:manualLayout>
                  <c:x val="5.46448009057555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95A-41A3-87C1-A1B1D625E83C}"/>
                </c:ext>
              </c:extLst>
            </c:dLbl>
            <c:dLbl>
              <c:idx val="10"/>
              <c:layout>
                <c:manualLayout>
                  <c:x val="5.46448009057555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95A-41A3-87C1-A1B1D625E8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(Convenios!$N$15:$AF$15,Convenios!$AG$15)</c:f>
              <c:strCach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strCache>
            </c:strRef>
          </c:cat>
          <c:val>
            <c:numRef>
              <c:f>(Convenios!$N$20:$AF$20,Convenios!$AG$20)</c:f>
              <c:numCache>
                <c:formatCode>General</c:formatCode>
                <c:ptCount val="20"/>
                <c:pt idx="0">
                  <c:v>89</c:v>
                </c:pt>
                <c:pt idx="1">
                  <c:v>113</c:v>
                </c:pt>
                <c:pt idx="2">
                  <c:v>94</c:v>
                </c:pt>
                <c:pt idx="3">
                  <c:v>172</c:v>
                </c:pt>
                <c:pt idx="4">
                  <c:v>100</c:v>
                </c:pt>
                <c:pt idx="5">
                  <c:v>107</c:v>
                </c:pt>
                <c:pt idx="6">
                  <c:v>123</c:v>
                </c:pt>
                <c:pt idx="7">
                  <c:v>22</c:v>
                </c:pt>
                <c:pt idx="8">
                  <c:v>134</c:v>
                </c:pt>
                <c:pt idx="9">
                  <c:v>166</c:v>
                </c:pt>
                <c:pt idx="10">
                  <c:v>135</c:v>
                </c:pt>
                <c:pt idx="11">
                  <c:v>194</c:v>
                </c:pt>
                <c:pt idx="12">
                  <c:v>151</c:v>
                </c:pt>
                <c:pt idx="13">
                  <c:v>226</c:v>
                </c:pt>
                <c:pt idx="14">
                  <c:v>137</c:v>
                </c:pt>
                <c:pt idx="15">
                  <c:v>103</c:v>
                </c:pt>
                <c:pt idx="16">
                  <c:v>119</c:v>
                </c:pt>
                <c:pt idx="17">
                  <c:v>88</c:v>
                </c:pt>
                <c:pt idx="18">
                  <c:v>61</c:v>
                </c:pt>
                <c:pt idx="19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F95A-41A3-87C1-A1B1D625E83C}"/>
            </c:ext>
          </c:extLst>
        </c:ser>
        <c:ser>
          <c:idx val="5"/>
          <c:order val="5"/>
          <c:tx>
            <c:strRef>
              <c:f>Convenios!$M$21</c:f>
              <c:strCache>
                <c:ptCount val="1"/>
                <c:pt idx="0">
                  <c:v>Rectoría General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11"/>
              <c:layout>
                <c:manualLayout>
                  <c:x val="4.9200492004918845E-3"/>
                  <c:y val="-7.78210116731512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95A-41A3-87C1-A1B1D625E8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(Convenios!$N$15:$AF$15,Convenios!$AG$15)</c:f>
              <c:strCach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strCache>
            </c:strRef>
          </c:cat>
          <c:val>
            <c:numRef>
              <c:f>(Convenios!$N$21:$AF$21,Convenios!$AG$21)</c:f>
              <c:numCache>
                <c:formatCode>General</c:formatCode>
                <c:ptCount val="20"/>
                <c:pt idx="0">
                  <c:v>50</c:v>
                </c:pt>
                <c:pt idx="1">
                  <c:v>40</c:v>
                </c:pt>
                <c:pt idx="2">
                  <c:v>59</c:v>
                </c:pt>
                <c:pt idx="3">
                  <c:v>52</c:v>
                </c:pt>
                <c:pt idx="4">
                  <c:v>60</c:v>
                </c:pt>
                <c:pt idx="5">
                  <c:v>66</c:v>
                </c:pt>
                <c:pt idx="6">
                  <c:v>61</c:v>
                </c:pt>
                <c:pt idx="7">
                  <c:v>54</c:v>
                </c:pt>
                <c:pt idx="8">
                  <c:v>121</c:v>
                </c:pt>
                <c:pt idx="9">
                  <c:v>202</c:v>
                </c:pt>
                <c:pt idx="10">
                  <c:v>76</c:v>
                </c:pt>
                <c:pt idx="11">
                  <c:v>88</c:v>
                </c:pt>
                <c:pt idx="12">
                  <c:v>145</c:v>
                </c:pt>
                <c:pt idx="13">
                  <c:v>89</c:v>
                </c:pt>
                <c:pt idx="14">
                  <c:v>66</c:v>
                </c:pt>
                <c:pt idx="15">
                  <c:v>170</c:v>
                </c:pt>
                <c:pt idx="16">
                  <c:v>120</c:v>
                </c:pt>
                <c:pt idx="17">
                  <c:v>67</c:v>
                </c:pt>
                <c:pt idx="18">
                  <c:v>77</c:v>
                </c:pt>
                <c:pt idx="19">
                  <c:v>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F95A-41A3-87C1-A1B1D625E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52003712"/>
        <c:axId val="152005248"/>
        <c:axId val="0"/>
      </c:bar3DChart>
      <c:catAx>
        <c:axId val="15200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MX"/>
          </a:p>
        </c:txPr>
        <c:crossAx val="152005248"/>
        <c:crosses val="autoZero"/>
        <c:auto val="1"/>
        <c:lblAlgn val="ctr"/>
        <c:lblOffset val="100"/>
        <c:noMultiLvlLbl val="0"/>
      </c:catAx>
      <c:valAx>
        <c:axId val="1520052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20037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7104237159148118E-2"/>
          <c:y val="0.93407690018129175"/>
          <c:w val="0.91077519031763809"/>
          <c:h val="5.5645642232865222E-2"/>
        </c:manualLayout>
      </c:layout>
      <c:overlay val="0"/>
      <c:txPr>
        <a:bodyPr/>
        <a:lstStyle/>
        <a:p>
          <a:pPr>
            <a:defRPr sz="1400" i="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1"/>
            </a:pPr>
            <a:r>
              <a:rPr lang="es-MX" sz="1600" b="0" i="1"/>
              <a:t>Convenios POR ORIGEN</a:t>
            </a:r>
          </a:p>
        </c:rich>
      </c:tx>
      <c:layout>
        <c:manualLayout>
          <c:xMode val="edge"/>
          <c:yMode val="edge"/>
          <c:x val="2.4992153008183894E-2"/>
          <c:y val="4.1842214218226002E-2"/>
        </c:manualLayout>
      </c:layout>
      <c:overlay val="1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Convenios!$M$58</c:f>
              <c:strCache>
                <c:ptCount val="1"/>
                <c:pt idx="0">
                  <c:v>Nacional</c:v>
                </c:pt>
              </c:strCache>
            </c:strRef>
          </c:tx>
          <c:spPr>
            <a:solidFill>
              <a:srgbClr val="CC99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3.8948778913163473E-3"/>
                  <c:y val="-1.630743050670139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5969779539261825E-2"/>
                      <c:h val="3.381245281063037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55DE-4605-B61C-2D142431EB7E}"/>
                </c:ext>
              </c:extLst>
            </c:dLbl>
            <c:dLbl>
              <c:idx val="1"/>
              <c:layout>
                <c:manualLayout>
                  <c:x val="2.4085867146220298E-3"/>
                  <c:y val="2.22376621248138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DE-4605-B61C-2D142431EB7E}"/>
                </c:ext>
              </c:extLst>
            </c:dLbl>
            <c:dLbl>
              <c:idx val="2"/>
              <c:layout>
                <c:manualLayout>
                  <c:x val="3.3994214929227297E-3"/>
                  <c:y val="-3.767445183287445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DE-4605-B61C-2D142431EB7E}"/>
                </c:ext>
              </c:extLst>
            </c:dLbl>
            <c:dLbl>
              <c:idx val="3"/>
              <c:layout>
                <c:manualLayout>
                  <c:x val="4.992480968365454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DE-4605-B61C-2D142431EB7E}"/>
                </c:ext>
              </c:extLst>
            </c:dLbl>
            <c:dLbl>
              <c:idx val="4"/>
              <c:layout>
                <c:manualLayout>
                  <c:x val="3.3994214929227479E-3"/>
                  <c:y val="-8.15371525335069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DE-4605-B61C-2D142431EB7E}"/>
                </c:ext>
              </c:extLst>
            </c:dLbl>
            <c:dLbl>
              <c:idx val="5"/>
              <c:layout>
                <c:manualLayout>
                  <c:x val="4.6037928687202431E-3"/>
                  <c:y val="2.22376621248138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DE-4605-B61C-2D142431EB7E}"/>
                </c:ext>
              </c:extLst>
            </c:dLbl>
            <c:dLbl>
              <c:idx val="6"/>
              <c:layout>
                <c:manualLayout>
                  <c:x val="4.778972520908063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DE-4605-B61C-2D142431EB7E}"/>
                </c:ext>
              </c:extLst>
            </c:dLbl>
            <c:dLbl>
              <c:idx val="7"/>
              <c:layout>
                <c:manualLayout>
                  <c:x val="5.3810910495241124E-3"/>
                  <c:y val="-8.15371525335069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DE-4605-B61C-2D142431EB7E}"/>
                </c:ext>
              </c:extLst>
            </c:dLbl>
            <c:dLbl>
              <c:idx val="8"/>
              <c:layout>
                <c:manualLayout>
                  <c:x val="4.9924809683653815E-3"/>
                  <c:y val="-2.22376621248130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DE-4605-B61C-2D142431EB7E}"/>
                </c:ext>
              </c:extLst>
            </c:dLbl>
            <c:dLbl>
              <c:idx val="9"/>
              <c:layout>
                <c:manualLayout>
                  <c:x val="3.612958090419452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DE-4605-B61C-2D142431EB7E}"/>
                </c:ext>
              </c:extLst>
            </c:dLbl>
            <c:dLbl>
              <c:idx val="10"/>
              <c:layout>
                <c:manualLayout>
                  <c:x val="1.6312885338180155E-3"/>
                  <c:y val="-2.2237662124814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DE-4605-B61C-2D142431EB7E}"/>
                </c:ext>
              </c:extLst>
            </c:dLbl>
            <c:dLbl>
              <c:idx val="11"/>
              <c:layout>
                <c:manualLayout>
                  <c:x val="2.97250433490215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748-4909-BD24-AF6628BE2172}"/>
                </c:ext>
              </c:extLst>
            </c:dLbl>
            <c:dLbl>
              <c:idx val="12"/>
              <c:layout>
                <c:manualLayout>
                  <c:x val="3.9633391132028011E-3"/>
                  <c:y val="-2.22376621248138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48-4909-BD24-AF6628BE2172}"/>
                </c:ext>
              </c:extLst>
            </c:dLbl>
            <c:dLbl>
              <c:idx val="13"/>
              <c:layout>
                <c:manualLayout>
                  <c:x val="1.98166955660143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48-4909-BD24-AF6628BE2172}"/>
                </c:ext>
              </c:extLst>
            </c:dLbl>
            <c:dLbl>
              <c:idx val="14"/>
              <c:layout>
                <c:manualLayout>
                  <c:x val="5.1089916885956235E-3"/>
                  <c:y val="-4.53065209104763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E3-4B52-ABC9-BA7B809B6EED}"/>
                </c:ext>
              </c:extLst>
            </c:dLbl>
            <c:dLbl>
              <c:idx val="15"/>
              <c:layout>
                <c:manualLayout>
                  <c:x val="4.087193350876618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E3-4B52-ABC9-BA7B809B6EED}"/>
                </c:ext>
              </c:extLst>
            </c:dLbl>
            <c:dLbl>
              <c:idx val="16"/>
              <c:layout>
                <c:manualLayout>
                  <c:x val="3.0653950131574637E-3"/>
                  <c:y val="-2.26532604552386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E3-4B52-ABC9-BA7B809B6EED}"/>
                </c:ext>
              </c:extLst>
            </c:dLbl>
            <c:dLbl>
              <c:idx val="17"/>
              <c:layout>
                <c:manualLayout>
                  <c:x val="3.065395013157463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E3-4B52-ABC9-BA7B809B6EED}"/>
                </c:ext>
              </c:extLst>
            </c:dLbl>
            <c:dLbl>
              <c:idx val="18"/>
              <c:layout>
                <c:manualLayout>
                  <c:x val="3.065395013157463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E3-4B52-ABC9-BA7B809B6EED}"/>
                </c:ext>
              </c:extLst>
            </c:dLbl>
            <c:dLbl>
              <c:idx val="19"/>
              <c:layout>
                <c:manualLayout>
                  <c:x val="4.087193350876618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E3-4B52-ABC9-BA7B809B6E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(Convenios!$N$57:$AF$57,Convenios!$AG$57)</c:f>
              <c:strCach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strCache>
            </c:strRef>
          </c:cat>
          <c:val>
            <c:numRef>
              <c:f>(Convenios!$N$58:$AF$58,Convenios!$AG$58)</c:f>
              <c:numCache>
                <c:formatCode>General</c:formatCode>
                <c:ptCount val="20"/>
                <c:pt idx="0">
                  <c:v>367</c:v>
                </c:pt>
                <c:pt idx="1">
                  <c:v>291</c:v>
                </c:pt>
                <c:pt idx="2">
                  <c:v>302</c:v>
                </c:pt>
                <c:pt idx="3">
                  <c:v>395</c:v>
                </c:pt>
                <c:pt idx="4">
                  <c:v>377</c:v>
                </c:pt>
                <c:pt idx="5">
                  <c:v>606</c:v>
                </c:pt>
                <c:pt idx="6">
                  <c:v>320</c:v>
                </c:pt>
                <c:pt idx="7">
                  <c:v>304</c:v>
                </c:pt>
                <c:pt idx="8">
                  <c:v>405</c:v>
                </c:pt>
                <c:pt idx="9">
                  <c:v>698</c:v>
                </c:pt>
                <c:pt idx="10">
                  <c:v>344</c:v>
                </c:pt>
                <c:pt idx="11">
                  <c:v>594</c:v>
                </c:pt>
                <c:pt idx="12">
                  <c:v>693</c:v>
                </c:pt>
                <c:pt idx="13">
                  <c:v>763</c:v>
                </c:pt>
                <c:pt idx="14">
                  <c:v>370</c:v>
                </c:pt>
                <c:pt idx="15">
                  <c:v>309</c:v>
                </c:pt>
                <c:pt idx="16">
                  <c:v>267</c:v>
                </c:pt>
                <c:pt idx="17">
                  <c:v>208</c:v>
                </c:pt>
                <c:pt idx="18">
                  <c:v>200</c:v>
                </c:pt>
                <c:pt idx="19">
                  <c:v>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5DE-4605-B61C-2D142431EB7E}"/>
            </c:ext>
          </c:extLst>
        </c:ser>
        <c:ser>
          <c:idx val="1"/>
          <c:order val="1"/>
          <c:tx>
            <c:strRef>
              <c:f>Convenios!$M$59</c:f>
              <c:strCache>
                <c:ptCount val="1"/>
                <c:pt idx="0">
                  <c:v>Extranjero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6.37196336121067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DE-4605-B61C-2D142431EB7E}"/>
                </c:ext>
              </c:extLst>
            </c:dLbl>
            <c:dLbl>
              <c:idx val="1"/>
              <c:layout>
                <c:manualLayout>
                  <c:x val="4.778972520908004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DE-4605-B61C-2D142431EB7E}"/>
                </c:ext>
              </c:extLst>
            </c:dLbl>
            <c:dLbl>
              <c:idx val="2"/>
              <c:layout>
                <c:manualLayout>
                  <c:x val="6.3719633612106434E-3"/>
                  <c:y val="6.906754874031190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DE-4605-B61C-2D142431EB7E}"/>
                </c:ext>
              </c:extLst>
            </c:dLbl>
            <c:dLbl>
              <c:idx val="3"/>
              <c:layout>
                <c:manualLayout>
                  <c:x val="6.37196336121067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5DE-4605-B61C-2D142431EB7E}"/>
                </c:ext>
              </c:extLst>
            </c:dLbl>
            <c:dLbl>
              <c:idx val="4"/>
              <c:layout>
                <c:manualLayout>
                  <c:x val="6.37196336121067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5DE-4605-B61C-2D142431EB7E}"/>
                </c:ext>
              </c:extLst>
            </c:dLbl>
            <c:dLbl>
              <c:idx val="5"/>
              <c:layout>
                <c:manualLayout>
                  <c:x val="4.7789725209080045E-3"/>
                  <c:y val="-1.130209308237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DE-4605-B61C-2D142431EB7E}"/>
                </c:ext>
              </c:extLst>
            </c:dLbl>
            <c:dLbl>
              <c:idx val="6"/>
              <c:layout>
                <c:manualLayout>
                  <c:x val="6.371963361210731E-3"/>
                  <c:y val="-3.76736436079247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5DE-4605-B61C-2D142431EB7E}"/>
                </c:ext>
              </c:extLst>
            </c:dLbl>
            <c:dLbl>
              <c:idx val="7"/>
              <c:layout>
                <c:manualLayout>
                  <c:x val="4.7789725209080045E-3"/>
                  <c:y val="-1.130209308237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5DE-4605-B61C-2D142431EB7E}"/>
                </c:ext>
              </c:extLst>
            </c:dLbl>
            <c:dLbl>
              <c:idx val="8"/>
              <c:layout>
                <c:manualLayout>
                  <c:x val="9.55794504181600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5DE-4605-B61C-2D142431EB7E}"/>
                </c:ext>
              </c:extLst>
            </c:dLbl>
            <c:dLbl>
              <c:idx val="9"/>
              <c:layout>
                <c:manualLayout>
                  <c:x val="6.37196336121067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DE-4605-B61C-2D142431EB7E}"/>
                </c:ext>
              </c:extLst>
            </c:dLbl>
            <c:dLbl>
              <c:idx val="10"/>
              <c:layout>
                <c:manualLayout>
                  <c:x val="6.3719633612106729E-3"/>
                  <c:y val="-6.906754874031190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5DE-4605-B61C-2D142431EB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(Convenios!$N$57:$AF$57,Convenios!$AG$57)</c:f>
              <c:strCach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strCache>
            </c:strRef>
          </c:cat>
          <c:val>
            <c:numRef>
              <c:f>(Convenios!$N$59:$AF$59,Convenios!$AG$59)</c:f>
              <c:numCache>
                <c:formatCode>General</c:formatCode>
                <c:ptCount val="20"/>
                <c:pt idx="0">
                  <c:v>45</c:v>
                </c:pt>
                <c:pt idx="1">
                  <c:v>57</c:v>
                </c:pt>
                <c:pt idx="2">
                  <c:v>56</c:v>
                </c:pt>
                <c:pt idx="3">
                  <c:v>46</c:v>
                </c:pt>
                <c:pt idx="4">
                  <c:v>56</c:v>
                </c:pt>
                <c:pt idx="5">
                  <c:v>30</c:v>
                </c:pt>
                <c:pt idx="6">
                  <c:v>46</c:v>
                </c:pt>
                <c:pt idx="7">
                  <c:v>37</c:v>
                </c:pt>
                <c:pt idx="8">
                  <c:v>69</c:v>
                </c:pt>
                <c:pt idx="9">
                  <c:v>115</c:v>
                </c:pt>
                <c:pt idx="10">
                  <c:v>53</c:v>
                </c:pt>
                <c:pt idx="11">
                  <c:v>61</c:v>
                </c:pt>
                <c:pt idx="12">
                  <c:v>86</c:v>
                </c:pt>
                <c:pt idx="13">
                  <c:v>79</c:v>
                </c:pt>
                <c:pt idx="14">
                  <c:v>61</c:v>
                </c:pt>
                <c:pt idx="15">
                  <c:v>139</c:v>
                </c:pt>
                <c:pt idx="16">
                  <c:v>92</c:v>
                </c:pt>
                <c:pt idx="17">
                  <c:v>46</c:v>
                </c:pt>
                <c:pt idx="18">
                  <c:v>43</c:v>
                </c:pt>
                <c:pt idx="19">
                  <c:v>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55DE-4605-B61C-2D142431EB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52385792"/>
        <c:axId val="152403968"/>
        <c:axId val="0"/>
      </c:bar3DChart>
      <c:catAx>
        <c:axId val="152385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50"/>
            </a:pPr>
            <a:endParaRPr lang="es-MX"/>
          </a:p>
        </c:txPr>
        <c:crossAx val="152403968"/>
        <c:crosses val="autoZero"/>
        <c:auto val="1"/>
        <c:lblAlgn val="ctr"/>
        <c:lblOffset val="100"/>
        <c:noMultiLvlLbl val="0"/>
      </c:catAx>
      <c:valAx>
        <c:axId val="15240396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238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8823371830272271"/>
          <c:y val="0.95066065886447604"/>
          <c:w val="0.42359798775153107"/>
          <c:h val="4.833473472569659E-2"/>
        </c:manualLayout>
      </c:layout>
      <c:overlay val="0"/>
      <c:txPr>
        <a:bodyPr/>
        <a:lstStyle/>
        <a:p>
          <a:pPr>
            <a:defRPr sz="14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1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MX" sz="1600" i="1"/>
              <a:t>Convenios POR TIPO</a:t>
            </a:r>
          </a:p>
        </c:rich>
      </c:tx>
      <c:layout>
        <c:manualLayout>
          <c:xMode val="edge"/>
          <c:yMode val="edge"/>
          <c:x val="2.5944931163954965E-2"/>
          <c:y val="4.6586869839220273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1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6350" cap="flat" cmpd="sng" algn="ctr">
          <a:solidFill>
            <a:schemeClr val="tx1">
              <a:tint val="75000"/>
            </a:schemeClr>
          </a:solidFill>
          <a:prstDash val="solid"/>
          <a:round/>
        </a:ln>
        <a:effectLst/>
        <a:sp3d contourW="6350">
          <a:contourClr>
            <a:schemeClr val="tx1">
              <a:tint val="7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Convenios!$M$99</c:f>
              <c:strCache>
                <c:ptCount val="1"/>
                <c:pt idx="0">
                  <c:v>Patrocinado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6.38340355286670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F3-42F4-90C8-110A273FABC3}"/>
                </c:ext>
              </c:extLst>
            </c:dLbl>
            <c:dLbl>
              <c:idx val="1"/>
              <c:layout>
                <c:manualLayout>
                  <c:x val="4.787552664650030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F3-42F4-90C8-110A273FABC3}"/>
                </c:ext>
              </c:extLst>
            </c:dLbl>
            <c:dLbl>
              <c:idx val="2"/>
              <c:layout>
                <c:manualLayout>
                  <c:x val="4.787552664650030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F3-42F4-90C8-110A273FABC3}"/>
                </c:ext>
              </c:extLst>
            </c:dLbl>
            <c:dLbl>
              <c:idx val="3"/>
              <c:layout>
                <c:manualLayout>
                  <c:x val="6.38340355286670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F3-42F4-90C8-110A273FABC3}"/>
                </c:ext>
              </c:extLst>
            </c:dLbl>
            <c:dLbl>
              <c:idx val="4"/>
              <c:layout>
                <c:manualLayout>
                  <c:x val="6.38340355286670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F3-42F4-90C8-110A273FABC3}"/>
                </c:ext>
              </c:extLst>
            </c:dLbl>
            <c:dLbl>
              <c:idx val="5"/>
              <c:layout>
                <c:manualLayout>
                  <c:x val="7.979254441083442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F3-42F4-90C8-110A273FABC3}"/>
                </c:ext>
              </c:extLst>
            </c:dLbl>
            <c:dLbl>
              <c:idx val="6"/>
              <c:layout>
                <c:manualLayout>
                  <c:x val="7.979254441083442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F3-42F4-90C8-110A273FABC3}"/>
                </c:ext>
              </c:extLst>
            </c:dLbl>
            <c:dLbl>
              <c:idx val="7"/>
              <c:layout>
                <c:manualLayout>
                  <c:x val="7.97925444108338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F3-42F4-90C8-110A273FABC3}"/>
                </c:ext>
              </c:extLst>
            </c:dLbl>
            <c:dLbl>
              <c:idx val="8"/>
              <c:layout>
                <c:manualLayout>
                  <c:x val="7.97925444108338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F3-42F4-90C8-110A273FABC3}"/>
                </c:ext>
              </c:extLst>
            </c:dLbl>
            <c:dLbl>
              <c:idx val="9"/>
              <c:layout>
                <c:manualLayout>
                  <c:x val="6.38340355286670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F3-42F4-90C8-110A273FABC3}"/>
                </c:ext>
              </c:extLst>
            </c:dLbl>
            <c:dLbl>
              <c:idx val="10"/>
              <c:layout>
                <c:manualLayout>
                  <c:x val="6.38340355286670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F3-42F4-90C8-110A273FABC3}"/>
                </c:ext>
              </c:extLst>
            </c:dLbl>
            <c:dLbl>
              <c:idx val="11"/>
              <c:layout>
                <c:manualLayout>
                  <c:x val="3.4349506225848005E-3"/>
                  <c:y val="-7.150901750507826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F3-42F4-90C8-110A273FABC3}"/>
                </c:ext>
              </c:extLst>
            </c:dLbl>
            <c:dLbl>
              <c:idx val="12"/>
              <c:layout>
                <c:manualLayout>
                  <c:x val="6.0842785765672577E-3"/>
                  <c:y val="5.087440891047152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DF3-42F4-90C8-110A273FABC3}"/>
                </c:ext>
              </c:extLst>
            </c:dLbl>
            <c:dLbl>
              <c:idx val="13"/>
              <c:layout>
                <c:manualLayout>
                  <c:x val="3.7546933667082939E-3"/>
                  <c:y val="-7.63116133657086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DF3-42F4-90C8-110A273FABC3}"/>
                </c:ext>
              </c:extLst>
            </c:dLbl>
            <c:dLbl>
              <c:idx val="14"/>
              <c:layout>
                <c:manualLayout>
                  <c:x val="6.2578222778471252E-3"/>
                  <c:y val="-7.63116133657105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DF3-42F4-90C8-110A273FAB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(Convenios!$N$98:$AF$98,Convenios!$AG$98)</c:f>
              <c:numCache>
                <c:formatCode>General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(Convenios!$N$99:$AF$99,Convenios!$AG$99)</c:f>
              <c:numCache>
                <c:formatCode>General</c:formatCode>
                <c:ptCount val="20"/>
                <c:pt idx="0">
                  <c:v>125</c:v>
                </c:pt>
                <c:pt idx="1">
                  <c:v>107</c:v>
                </c:pt>
                <c:pt idx="2">
                  <c:v>129</c:v>
                </c:pt>
                <c:pt idx="3">
                  <c:v>166</c:v>
                </c:pt>
                <c:pt idx="4">
                  <c:v>212</c:v>
                </c:pt>
                <c:pt idx="5">
                  <c:v>301</c:v>
                </c:pt>
                <c:pt idx="6">
                  <c:v>181</c:v>
                </c:pt>
                <c:pt idx="7">
                  <c:v>75</c:v>
                </c:pt>
                <c:pt idx="8">
                  <c:v>218</c:v>
                </c:pt>
                <c:pt idx="9">
                  <c:v>441</c:v>
                </c:pt>
                <c:pt idx="10">
                  <c:v>182</c:v>
                </c:pt>
                <c:pt idx="11">
                  <c:v>481</c:v>
                </c:pt>
                <c:pt idx="12">
                  <c:v>563</c:v>
                </c:pt>
                <c:pt idx="13">
                  <c:v>619</c:v>
                </c:pt>
                <c:pt idx="14">
                  <c:v>200</c:v>
                </c:pt>
                <c:pt idx="15">
                  <c:v>145</c:v>
                </c:pt>
                <c:pt idx="16">
                  <c:v>139</c:v>
                </c:pt>
                <c:pt idx="17">
                  <c:v>115</c:v>
                </c:pt>
                <c:pt idx="18">
                  <c:v>65</c:v>
                </c:pt>
                <c:pt idx="19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DF3-42F4-90C8-110A273FABC3}"/>
            </c:ext>
          </c:extLst>
        </c:ser>
        <c:ser>
          <c:idx val="1"/>
          <c:order val="1"/>
          <c:tx>
            <c:strRef>
              <c:f>Convenios!$M$100</c:f>
              <c:strCache>
                <c:ptCount val="1"/>
                <c:pt idx="0">
                  <c:v>No patrocinado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6.38340355286670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DF3-42F4-90C8-110A273FABC3}"/>
                </c:ext>
              </c:extLst>
            </c:dLbl>
            <c:dLbl>
              <c:idx val="1"/>
              <c:layout>
                <c:manualLayout>
                  <c:x val="6.38340355286670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DF3-42F4-90C8-110A273FABC3}"/>
                </c:ext>
              </c:extLst>
            </c:dLbl>
            <c:dLbl>
              <c:idx val="2"/>
              <c:layout>
                <c:manualLayout>
                  <c:x val="6.38340355286670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DF3-42F4-90C8-110A273FABC3}"/>
                </c:ext>
              </c:extLst>
            </c:dLbl>
            <c:dLbl>
              <c:idx val="3"/>
              <c:layout>
                <c:manualLayout>
                  <c:x val="6.38340355286670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DF3-42F4-90C8-110A273FABC3}"/>
                </c:ext>
              </c:extLst>
            </c:dLbl>
            <c:dLbl>
              <c:idx val="4"/>
              <c:layout>
                <c:manualLayout>
                  <c:x val="6.38340355286670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DF3-42F4-90C8-110A273FABC3}"/>
                </c:ext>
              </c:extLst>
            </c:dLbl>
            <c:dLbl>
              <c:idx val="5"/>
              <c:layout>
                <c:manualLayout>
                  <c:x val="6.383403552866765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DF3-42F4-90C8-110A273FABC3}"/>
                </c:ext>
              </c:extLst>
            </c:dLbl>
            <c:dLbl>
              <c:idx val="6"/>
              <c:layout>
                <c:manualLayout>
                  <c:x val="2.6286795502251832E-3"/>
                  <c:y val="5.08744089104724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DF3-42F4-90C8-110A273FABC3}"/>
                </c:ext>
              </c:extLst>
            </c:dLbl>
            <c:dLbl>
              <c:idx val="7"/>
              <c:layout>
                <c:manualLayout>
                  <c:x val="4.5688015531225052E-3"/>
                  <c:y val="-9.326867222153907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DF3-42F4-90C8-110A273FABC3}"/>
                </c:ext>
              </c:extLst>
            </c:dLbl>
            <c:dLbl>
              <c:idx val="8"/>
              <c:layout>
                <c:manualLayout>
                  <c:x val="4.787552664650030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DF3-42F4-90C8-110A273FABC3}"/>
                </c:ext>
              </c:extLst>
            </c:dLbl>
            <c:dLbl>
              <c:idx val="9"/>
              <c:layout>
                <c:manualLayout>
                  <c:x val="4.787552664650030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DF3-42F4-90C8-110A273FABC3}"/>
                </c:ext>
              </c:extLst>
            </c:dLbl>
            <c:dLbl>
              <c:idx val="10"/>
              <c:layout>
                <c:manualLayout>
                  <c:x val="4.568801553122505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DF3-42F4-90C8-110A273FABC3}"/>
                </c:ext>
              </c:extLst>
            </c:dLbl>
            <c:dLbl>
              <c:idx val="11"/>
              <c:layout>
                <c:manualLayout>
                  <c:x val="6.3079049845735716E-3"/>
                  <c:y val="-1.1701610768184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DF3-42F4-90C8-110A273FABC3}"/>
                </c:ext>
              </c:extLst>
            </c:dLbl>
            <c:dLbl>
              <c:idx val="12"/>
              <c:layout>
                <c:manualLayout>
                  <c:x val="7.5093867334168627E-3"/>
                  <c:y val="2.54372044552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DF3-42F4-90C8-110A273FABC3}"/>
                </c:ext>
              </c:extLst>
            </c:dLbl>
            <c:dLbl>
              <c:idx val="13"/>
              <c:layout>
                <c:manualLayout>
                  <c:x val="5.0062578222778474E-3"/>
                  <c:y val="5.08744089104726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DF3-42F4-90C8-110A273FABC3}"/>
                </c:ext>
              </c:extLst>
            </c:dLbl>
            <c:dLbl>
              <c:idx val="14"/>
              <c:layout>
                <c:manualLayout>
                  <c:x val="5.006257822277663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DF3-42F4-90C8-110A273FABC3}"/>
                </c:ext>
              </c:extLst>
            </c:dLbl>
            <c:dLbl>
              <c:idx val="15"/>
              <c:layout>
                <c:manualLayout>
                  <c:x val="3.7546933667083854E-3"/>
                  <c:y val="5.08744089104724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DF3-42F4-90C8-110A273FABC3}"/>
                </c:ext>
              </c:extLst>
            </c:dLbl>
            <c:dLbl>
              <c:idx val="16"/>
              <c:layout>
                <c:manualLayout>
                  <c:x val="4.091025313218975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46-480E-A0EF-88164A8EB3F7}"/>
                </c:ext>
              </c:extLst>
            </c:dLbl>
            <c:dLbl>
              <c:idx val="17"/>
              <c:layout>
                <c:manualLayout>
                  <c:x val="4.0910253132189758E-3"/>
                  <c:y val="8.036438229699002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46-480E-A0EF-88164A8EB3F7}"/>
                </c:ext>
              </c:extLst>
            </c:dLbl>
            <c:dLbl>
              <c:idx val="18"/>
              <c:layout>
                <c:manualLayout>
                  <c:x val="4.0910253132191259E-3"/>
                  <c:y val="-4.38356240035593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46-480E-A0EF-88164A8EB3F7}"/>
                </c:ext>
              </c:extLst>
            </c:dLbl>
            <c:dLbl>
              <c:idx val="19"/>
              <c:layout>
                <c:manualLayout>
                  <c:x val="3.068268984914344E-3"/>
                  <c:y val="-8.036438229699002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546-480E-A0EF-88164A8EB3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(Convenios!$N$98:$AF$98,Convenios!$AG$98)</c:f>
              <c:numCache>
                <c:formatCode>General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(Convenios!$N$100:$AF$100,Convenios!$AG$100)</c:f>
              <c:numCache>
                <c:formatCode>General</c:formatCode>
                <c:ptCount val="20"/>
                <c:pt idx="0">
                  <c:v>287</c:v>
                </c:pt>
                <c:pt idx="1">
                  <c:v>241</c:v>
                </c:pt>
                <c:pt idx="2">
                  <c:v>229</c:v>
                </c:pt>
                <c:pt idx="3">
                  <c:v>275</c:v>
                </c:pt>
                <c:pt idx="4">
                  <c:v>221</c:v>
                </c:pt>
                <c:pt idx="5">
                  <c:v>335</c:v>
                </c:pt>
                <c:pt idx="6">
                  <c:v>185</c:v>
                </c:pt>
                <c:pt idx="7">
                  <c:v>266</c:v>
                </c:pt>
                <c:pt idx="8">
                  <c:v>256</c:v>
                </c:pt>
                <c:pt idx="9">
                  <c:v>372</c:v>
                </c:pt>
                <c:pt idx="10">
                  <c:v>215</c:v>
                </c:pt>
                <c:pt idx="11">
                  <c:v>174</c:v>
                </c:pt>
                <c:pt idx="12">
                  <c:v>216</c:v>
                </c:pt>
                <c:pt idx="13">
                  <c:v>223</c:v>
                </c:pt>
                <c:pt idx="14">
                  <c:v>231</c:v>
                </c:pt>
                <c:pt idx="15">
                  <c:v>303</c:v>
                </c:pt>
                <c:pt idx="16">
                  <c:v>220</c:v>
                </c:pt>
                <c:pt idx="17">
                  <c:v>139</c:v>
                </c:pt>
                <c:pt idx="18">
                  <c:v>178</c:v>
                </c:pt>
                <c:pt idx="19">
                  <c:v>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DDF3-42F4-90C8-110A273FAB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52480768"/>
        <c:axId val="152863488"/>
        <c:axId val="0"/>
      </c:bar3DChart>
      <c:catAx>
        <c:axId val="152480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52863488"/>
        <c:crosses val="autoZero"/>
        <c:auto val="1"/>
        <c:lblAlgn val="ctr"/>
        <c:lblOffset val="100"/>
        <c:noMultiLvlLbl val="0"/>
      </c:catAx>
      <c:valAx>
        <c:axId val="15286348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24807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9444315236565394"/>
          <c:y val="0.95594958003681541"/>
          <c:w val="0.42359798775153107"/>
          <c:h val="4.20692271120767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 orientation="portrait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  <c:spPr>
        <a:solidFill>
          <a:schemeClr val="bg1">
            <a:lumMod val="95000"/>
            <a:alpha val="50000"/>
          </a:schemeClr>
        </a:solidFill>
        <a:ln w="12700">
          <a:solidFill>
            <a:schemeClr val="bg1">
              <a:lumMod val="85000"/>
            </a:schemeClr>
          </a:solidFill>
        </a:ln>
        <a:effectLst/>
        <a:sp3d contourW="12700">
          <a:contourClr>
            <a:schemeClr val="bg1">
              <a:lumMod val="85000"/>
            </a:schemeClr>
          </a:contourClr>
        </a:sp3d>
      </c:spPr>
    </c:floor>
    <c:sideWall>
      <c:thickness val="0"/>
      <c:spPr>
        <a:noFill/>
        <a:ln w="12700">
          <a:solidFill>
            <a:schemeClr val="bg1"/>
          </a:solidFill>
        </a:ln>
        <a:effectLst/>
        <a:sp3d contourW="12700">
          <a:contourClr>
            <a:schemeClr val="bg1"/>
          </a:contourClr>
        </a:sp3d>
      </c:spPr>
    </c:sideWall>
    <c:backWall>
      <c:thickness val="0"/>
      <c:spPr>
        <a:noFill/>
        <a:ln w="12700">
          <a:solidFill>
            <a:schemeClr val="bg1"/>
          </a:solidFill>
        </a:ln>
        <a:effectLst/>
        <a:sp3d contourW="12700">
          <a:contourClr>
            <a:schemeClr val="bg1"/>
          </a:contourClr>
        </a:sp3d>
      </c:spPr>
    </c:backWall>
    <c:plotArea>
      <c:layout>
        <c:manualLayout>
          <c:layoutTarget val="inner"/>
          <c:xMode val="edge"/>
          <c:yMode val="edge"/>
          <c:x val="1.6508063604139235E-2"/>
          <c:y val="3.0360048002343612E-2"/>
          <c:w val="0.96698387279172149"/>
          <c:h val="0.76457054114775314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Patentes!$B$5</c:f>
              <c:strCache>
                <c:ptCount val="1"/>
                <c:pt idx="0">
                  <c:v>Solicitudes de patente realizadas a nivel nacional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(Patentes!$C$4:$O$4,Patentes!$P$4,Patentes!$Q$4,Patentes!$R$4,Patentes!$S$4)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(Patentes!$C$5:$P$5,Patentes!$Q$5,Patentes!$R$5,Patentes!$S$5)</c:f>
              <c:numCache>
                <c:formatCode>General</c:formatCode>
                <c:ptCount val="17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10</c:v>
                </c:pt>
                <c:pt idx="4">
                  <c:v>13</c:v>
                </c:pt>
                <c:pt idx="5">
                  <c:v>7</c:v>
                </c:pt>
                <c:pt idx="6">
                  <c:v>10</c:v>
                </c:pt>
                <c:pt idx="7">
                  <c:v>12</c:v>
                </c:pt>
                <c:pt idx="8">
                  <c:v>8</c:v>
                </c:pt>
                <c:pt idx="9" formatCode="0">
                  <c:v>8</c:v>
                </c:pt>
                <c:pt idx="10">
                  <c:v>7</c:v>
                </c:pt>
                <c:pt idx="11">
                  <c:v>10</c:v>
                </c:pt>
                <c:pt idx="12">
                  <c:v>5</c:v>
                </c:pt>
                <c:pt idx="13">
                  <c:v>3</c:v>
                </c:pt>
                <c:pt idx="14">
                  <c:v>5</c:v>
                </c:pt>
                <c:pt idx="15">
                  <c:v>1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9F-45F4-B2E1-D050E6DCB82F}"/>
            </c:ext>
          </c:extLst>
        </c:ser>
        <c:ser>
          <c:idx val="1"/>
          <c:order val="1"/>
          <c:tx>
            <c:strRef>
              <c:f>Patentes!$B$6</c:f>
              <c:strCache>
                <c:ptCount val="1"/>
                <c:pt idx="0">
                  <c:v>Solicitudes de patente realizadas a nivel internacional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(Patentes!$C$4:$O$4,Patentes!$P$4,Patentes!$Q$4,Patentes!$R$4,Patentes!$S$4)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(Patentes!$C$6:$O$6,Patentes!$P$6,Patentes!$Q$6,Patentes!$R$6,Patentes!$S$6)</c:f>
            </c:numRef>
          </c:val>
          <c:extLst>
            <c:ext xmlns:c16="http://schemas.microsoft.com/office/drawing/2014/chart" uri="{C3380CC4-5D6E-409C-BE32-E72D297353CC}">
              <c16:uniqueId val="{00000001-F09F-45F4-B2E1-D050E6DCB82F}"/>
            </c:ext>
          </c:extLst>
        </c:ser>
        <c:ser>
          <c:idx val="2"/>
          <c:order val="2"/>
          <c:tx>
            <c:strRef>
              <c:f>Patentes!$B$7</c:f>
              <c:strCache>
                <c:ptCount val="1"/>
                <c:pt idx="0">
                  <c:v>Contestaciones oficiales de fondo realizadas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(Patentes!$C$4:$O$4,Patentes!$P$4,Patentes!$Q$4,Patentes!$R$4,Patentes!$S$4)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(Patentes!$C$7:$O$7,Patentes!$P$7,Patentes!$Q$7,Patentes!$R$7,Patentes!$S$7)</c:f>
              <c:numCache>
                <c:formatCode>General</c:formatCode>
                <c:ptCount val="17"/>
                <c:pt idx="1">
                  <c:v>25</c:v>
                </c:pt>
                <c:pt idx="2">
                  <c:v>14</c:v>
                </c:pt>
                <c:pt idx="3">
                  <c:v>10</c:v>
                </c:pt>
                <c:pt idx="4">
                  <c:v>19</c:v>
                </c:pt>
                <c:pt idx="5">
                  <c:v>5</c:v>
                </c:pt>
                <c:pt idx="6">
                  <c:v>6</c:v>
                </c:pt>
                <c:pt idx="7">
                  <c:v>18</c:v>
                </c:pt>
                <c:pt idx="8">
                  <c:v>19</c:v>
                </c:pt>
                <c:pt idx="9" formatCode="0">
                  <c:v>6</c:v>
                </c:pt>
                <c:pt idx="10">
                  <c:v>11</c:v>
                </c:pt>
                <c:pt idx="11">
                  <c:v>19</c:v>
                </c:pt>
                <c:pt idx="12">
                  <c:v>22</c:v>
                </c:pt>
                <c:pt idx="13">
                  <c:v>25</c:v>
                </c:pt>
                <c:pt idx="14">
                  <c:v>17</c:v>
                </c:pt>
                <c:pt idx="15">
                  <c:v>11</c:v>
                </c:pt>
                <c:pt idx="1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9F-45F4-B2E1-D050E6DCB82F}"/>
            </c:ext>
          </c:extLst>
        </c:ser>
        <c:ser>
          <c:idx val="3"/>
          <c:order val="3"/>
          <c:tx>
            <c:strRef>
              <c:f>Patentes!$B$8</c:f>
              <c:strCache>
                <c:ptCount val="1"/>
                <c:pt idx="0">
                  <c:v>Búsquedas tecnológicas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(Patentes!$C$4:$O$4,Patentes!$P$4,Patentes!$Q$4,Patentes!$R$4,Patentes!$S$4)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(Patentes!$C$8:$O$8,Patentes!$P$8,Patentes!$Q$8,Patentes!$R$8,Patentes!$S$8)</c:f>
              <c:numCache>
                <c:formatCode>General</c:formatCode>
                <c:ptCount val="17"/>
                <c:pt idx="3">
                  <c:v>5</c:v>
                </c:pt>
                <c:pt idx="4">
                  <c:v>13</c:v>
                </c:pt>
                <c:pt idx="5">
                  <c:v>11</c:v>
                </c:pt>
                <c:pt idx="6">
                  <c:v>11</c:v>
                </c:pt>
                <c:pt idx="7">
                  <c:v>14</c:v>
                </c:pt>
                <c:pt idx="8">
                  <c:v>13</c:v>
                </c:pt>
                <c:pt idx="9" formatCode="0">
                  <c:v>7</c:v>
                </c:pt>
                <c:pt idx="10">
                  <c:v>8</c:v>
                </c:pt>
                <c:pt idx="11">
                  <c:v>12</c:v>
                </c:pt>
                <c:pt idx="12">
                  <c:v>7</c:v>
                </c:pt>
                <c:pt idx="13">
                  <c:v>5</c:v>
                </c:pt>
                <c:pt idx="14">
                  <c:v>4</c:v>
                </c:pt>
                <c:pt idx="15">
                  <c:v>5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9F-45F4-B2E1-D050E6DCB82F}"/>
            </c:ext>
          </c:extLst>
        </c:ser>
        <c:ser>
          <c:idx val="4"/>
          <c:order val="4"/>
          <c:tx>
            <c:strRef>
              <c:f>Patentes!$B$9</c:f>
              <c:strCache>
                <c:ptCount val="1"/>
                <c:pt idx="0">
                  <c:v>Patentes obtenidas a nivel nacional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(Patentes!$C$4:$O$4,Patentes!$P$4,Patentes!$Q$4,Patentes!$R$4,Patentes!$S$4)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(Patentes!$C$9:$O$9,Patentes!$P$9,Patentes!$Q$9,Patentes!$R$9,Patentes!$S$9)</c:f>
              <c:numCache>
                <c:formatCode>General</c:formatCode>
                <c:ptCount val="17"/>
                <c:pt idx="1">
                  <c:v>3</c:v>
                </c:pt>
                <c:pt idx="2">
                  <c:v>3</c:v>
                </c:pt>
                <c:pt idx="3">
                  <c:v>6</c:v>
                </c:pt>
                <c:pt idx="4">
                  <c:v>7</c:v>
                </c:pt>
                <c:pt idx="5">
                  <c:v>4</c:v>
                </c:pt>
                <c:pt idx="6">
                  <c:v>3</c:v>
                </c:pt>
                <c:pt idx="7">
                  <c:v>4</c:v>
                </c:pt>
                <c:pt idx="8">
                  <c:v>13</c:v>
                </c:pt>
                <c:pt idx="9" formatCode="0">
                  <c:v>6</c:v>
                </c:pt>
                <c:pt idx="10">
                  <c:v>6</c:v>
                </c:pt>
                <c:pt idx="11">
                  <c:v>5</c:v>
                </c:pt>
                <c:pt idx="12">
                  <c:v>9</c:v>
                </c:pt>
                <c:pt idx="13">
                  <c:v>8</c:v>
                </c:pt>
                <c:pt idx="14">
                  <c:v>12</c:v>
                </c:pt>
                <c:pt idx="15">
                  <c:v>4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9F-45F4-B2E1-D050E6DCB82F}"/>
            </c:ext>
          </c:extLst>
        </c:ser>
        <c:ser>
          <c:idx val="5"/>
          <c:order val="5"/>
          <c:tx>
            <c:strRef>
              <c:f>Patentes!$B$10</c:f>
              <c:strCache>
                <c:ptCount val="1"/>
                <c:pt idx="0">
                  <c:v>Patentes obtenidas a nivel internacional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(Patentes!$C$4:$O$4,Patentes!$P$4,Patentes!$Q$4,Patentes!$R$4,Patentes!$S$4)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(Patentes!$C$10:$O$10,Patentes!$P$10,Patentes!$Q$10,Patentes!$R$10,Patentes!$S$10)</c:f>
            </c:numRef>
          </c:val>
          <c:extLst>
            <c:ext xmlns:c16="http://schemas.microsoft.com/office/drawing/2014/chart" uri="{C3380CC4-5D6E-409C-BE32-E72D297353CC}">
              <c16:uniqueId val="{00000006-F09F-45F4-B2E1-D050E6DCB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45558528"/>
        <c:axId val="145572608"/>
        <c:axId val="0"/>
      </c:bar3DChart>
      <c:catAx>
        <c:axId val="145558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45572608"/>
        <c:crosses val="autoZero"/>
        <c:auto val="1"/>
        <c:lblAlgn val="ctr"/>
        <c:lblOffset val="100"/>
        <c:noMultiLvlLbl val="0"/>
      </c:catAx>
      <c:valAx>
        <c:axId val="1455726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45558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6262923717595871E-2"/>
          <c:y val="0.87745808276280468"/>
          <c:w val="0.88127973256029191"/>
          <c:h val="0.122537674059566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>
                <a:solidFill>
                  <a:srgbClr val="CD032E"/>
                </a:solidFill>
              </a:defRPr>
            </a:pPr>
            <a:r>
              <a:rPr lang="es-MX" sz="1200" b="0">
                <a:solidFill>
                  <a:srgbClr val="CD032E"/>
                </a:solidFill>
              </a:rPr>
              <a:t>Azcapotzalco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3.2376747608535691E-2"/>
          <c:y val="0.10671834625322997"/>
          <c:w val="0.93524650478292859"/>
          <c:h val="0.65183991535941732"/>
        </c:manualLayout>
      </c:layout>
      <c:lineChart>
        <c:grouping val="standard"/>
        <c:varyColors val="0"/>
        <c:ser>
          <c:idx val="0"/>
          <c:order val="0"/>
          <c:tx>
            <c:strRef>
              <c:f>'Inscritos uni'!$B$6</c:f>
              <c:strCache>
                <c:ptCount val="1"/>
                <c:pt idx="0">
                  <c:v>CBI</c:v>
                </c:pt>
              </c:strCache>
            </c:strRef>
          </c:tx>
          <c:spPr>
            <a:ln w="12700">
              <a:solidFill>
                <a:srgbClr val="CD032E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CD032E"/>
                </a:solidFill>
              </a:ln>
            </c:spPr>
          </c:marker>
          <c:dLbls>
            <c:dLbl>
              <c:idx val="2"/>
              <c:layout>
                <c:manualLayout>
                  <c:x val="-4.8881472597382278E-2"/>
                  <c:y val="5.22867199739567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6F-40EC-ABA2-7409EF8ED52D}"/>
                </c:ext>
              </c:extLst>
            </c:dLbl>
            <c:dLbl>
              <c:idx val="3"/>
              <c:layout>
                <c:manualLayout>
                  <c:x val="-5.4768153980752403E-2"/>
                  <c:y val="6.2622637286618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6F-40EC-ABA2-7409EF8ED52D}"/>
                </c:ext>
              </c:extLst>
            </c:dLbl>
            <c:dLbl>
              <c:idx val="4"/>
              <c:layout>
                <c:manualLayout>
                  <c:x val="1.2287867990011182E-3"/>
                  <c:y val="5.77509206697990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6F-40EC-ABA2-7409EF8ED5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D032E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uni'!$AP$51:$AP$55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('Inscritos uni'!$Z$6,'Inscritos uni'!$AC$6,'Inscritos uni'!$AF$6,'Inscritos uni'!$AI$6,'Inscritos uni'!$AL$6)</c:f>
              <c:numCache>
                <c:formatCode>#,##0</c:formatCode>
                <c:ptCount val="5"/>
                <c:pt idx="0">
                  <c:v>1757</c:v>
                </c:pt>
                <c:pt idx="1">
                  <c:v>1445</c:v>
                </c:pt>
                <c:pt idx="2">
                  <c:v>960</c:v>
                </c:pt>
                <c:pt idx="3">
                  <c:v>1077</c:v>
                </c:pt>
                <c:pt idx="4">
                  <c:v>1061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6F-40EC-ABA2-7409EF8ED52D}"/>
            </c:ext>
          </c:extLst>
        </c:ser>
        <c:ser>
          <c:idx val="1"/>
          <c:order val="1"/>
          <c:tx>
            <c:strRef>
              <c:f>'Inscritos uni'!$B$7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0"/>
              <c:layout>
                <c:manualLayout>
                  <c:x val="-4.8881472597382278E-2"/>
                  <c:y val="4.0736535839996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6F-40EC-ABA2-7409EF8ED52D}"/>
                </c:ext>
              </c:extLst>
            </c:dLbl>
            <c:dLbl>
              <c:idx val="1"/>
              <c:layout>
                <c:manualLayout>
                  <c:x val="-5.1824813289067344E-2"/>
                  <c:y val="4.5904494496327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6F-40EC-ABA2-7409EF8ED52D}"/>
                </c:ext>
              </c:extLst>
            </c:dLbl>
            <c:dLbl>
              <c:idx val="2"/>
              <c:layout>
                <c:manualLayout>
                  <c:x val="-5.4768153980752403E-2"/>
                  <c:y val="-4.7118761317625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6F-40EC-ABA2-7409EF8ED52D}"/>
                </c:ext>
              </c:extLst>
            </c:dLbl>
            <c:dLbl>
              <c:idx val="3"/>
              <c:layout>
                <c:manualLayout>
                  <c:x val="-5.1824813289067344E-2"/>
                  <c:y val="-5.2286719973956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6F-40EC-ABA2-7409EF8ED52D}"/>
                </c:ext>
              </c:extLst>
            </c:dLbl>
            <c:dLbl>
              <c:idx val="4"/>
              <c:layout>
                <c:manualLayout>
                  <c:x val="-3.9977982884589758E-2"/>
                  <c:y val="-3.1614885348633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6F-40EC-ABA2-7409EF8ED5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uni'!$AP$51:$AP$55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('Inscritos uni'!$Z$7,'Inscritos uni'!$AC$7,'Inscritos uni'!$AF$7,'Inscritos uni'!$AI$7,'Inscritos uni'!$AL$7)</c:f>
              <c:numCache>
                <c:formatCode>#,##0</c:formatCode>
                <c:ptCount val="5"/>
                <c:pt idx="0">
                  <c:v>1039</c:v>
                </c:pt>
                <c:pt idx="1">
                  <c:v>1048</c:v>
                </c:pt>
                <c:pt idx="2">
                  <c:v>1205</c:v>
                </c:pt>
                <c:pt idx="3">
                  <c:v>1201</c:v>
                </c:pt>
                <c:pt idx="4">
                  <c:v>1219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86F-40EC-ABA2-7409EF8ED52D}"/>
            </c:ext>
          </c:extLst>
        </c:ser>
        <c:ser>
          <c:idx val="2"/>
          <c:order val="2"/>
          <c:tx>
            <c:strRef>
              <c:f>'Inscritos uni'!$B$8</c:f>
              <c:strCache>
                <c:ptCount val="1"/>
                <c:pt idx="0">
                  <c:v>CAD</c:v>
                </c:pt>
              </c:strCache>
            </c:strRef>
          </c:tx>
          <c:spPr>
            <a:ln w="12700">
              <a:solidFill>
                <a:srgbClr val="AD25A8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rgbClr val="AD25A8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AD25A8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uni'!$AP$51:$AP$55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('Inscritos uni'!$Z$8,'Inscritos uni'!$AC$8,'Inscritos uni'!$AF$8,'Inscritos uni'!$AI$8,'Inscritos uni'!$AL$8)</c:f>
              <c:numCache>
                <c:formatCode>#,##0</c:formatCode>
                <c:ptCount val="5"/>
                <c:pt idx="0">
                  <c:v>533</c:v>
                </c:pt>
                <c:pt idx="1">
                  <c:v>533</c:v>
                </c:pt>
                <c:pt idx="2">
                  <c:v>547</c:v>
                </c:pt>
                <c:pt idx="3">
                  <c:v>587</c:v>
                </c:pt>
                <c:pt idx="4">
                  <c:v>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86F-40EC-ABA2-7409EF8ED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855744"/>
        <c:axId val="115857280"/>
      </c:lineChart>
      <c:catAx>
        <c:axId val="11585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5857280"/>
        <c:crosses val="autoZero"/>
        <c:auto val="1"/>
        <c:lblAlgn val="ctr"/>
        <c:lblOffset val="100"/>
        <c:noMultiLvlLbl val="0"/>
      </c:catAx>
      <c:valAx>
        <c:axId val="115857280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15855744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497E-2"/>
          <c:y val="0.87554049929805289"/>
          <c:w val="0.8444690109100601"/>
          <c:h val="8.0968076664835506E-2"/>
        </c:manualLayout>
      </c:layout>
      <c:overlay val="0"/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>
                <a:solidFill>
                  <a:srgbClr val="F08200"/>
                </a:solidFill>
              </a:defRPr>
            </a:pPr>
            <a:r>
              <a:rPr lang="es-MX" sz="1200" b="0">
                <a:solidFill>
                  <a:srgbClr val="F08200"/>
                </a:solidFill>
              </a:rPr>
              <a:t>Cuajimalpa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3.2376747608535691E-2"/>
          <c:y val="0.10671834625322997"/>
          <c:w val="0.93524650478292859"/>
          <c:h val="0.65183991535941732"/>
        </c:manualLayout>
      </c:layout>
      <c:lineChart>
        <c:grouping val="standard"/>
        <c:varyColors val="0"/>
        <c:ser>
          <c:idx val="0"/>
          <c:order val="0"/>
          <c:tx>
            <c:strRef>
              <c:f>'Inscritos uni'!$B$11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uni'!$AP$51:$AP$55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('Inscritos uni'!$Z$11,'Inscritos uni'!$AC$11,'Inscritos uni'!$AF$11,'Inscritos uni'!$AI$11,'Inscritos uni'!$AL$11)</c:f>
              <c:numCache>
                <c:formatCode>#,##0</c:formatCode>
                <c:ptCount val="5"/>
                <c:pt idx="0">
                  <c:v>94</c:v>
                </c:pt>
                <c:pt idx="1">
                  <c:v>87</c:v>
                </c:pt>
                <c:pt idx="2">
                  <c:v>86</c:v>
                </c:pt>
                <c:pt idx="3">
                  <c:v>94</c:v>
                </c:pt>
                <c:pt idx="4">
                  <c:v>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FA-4E91-9221-AE09B6E7B932}"/>
            </c:ext>
          </c:extLst>
        </c:ser>
        <c:ser>
          <c:idx val="1"/>
          <c:order val="1"/>
          <c:tx>
            <c:strRef>
              <c:f>'Inscritos uni'!$B$12</c:f>
              <c:strCache>
                <c:ptCount val="1"/>
                <c:pt idx="0">
                  <c:v>CCD</c:v>
                </c:pt>
              </c:strCache>
            </c:strRef>
          </c:tx>
          <c:spPr>
            <a:ln w="12700">
              <a:solidFill>
                <a:srgbClr val="F082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F08200"/>
                </a:solidFill>
              </a:ln>
            </c:spPr>
          </c:marker>
          <c:dLbls>
            <c:dLbl>
              <c:idx val="0"/>
              <c:layout>
                <c:manualLayout>
                  <c:x val="-4.2994791214012153E-2"/>
                  <c:y val="-5.22867199739567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FA-4E91-9221-AE09B6E7B932}"/>
                </c:ext>
              </c:extLst>
            </c:dLbl>
            <c:dLbl>
              <c:idx val="1"/>
              <c:layout>
                <c:manualLayout>
                  <c:x val="-4.8881472597382278E-2"/>
                  <c:y val="-3.67828440049644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FA-4E91-9221-AE09B6E7B932}"/>
                </c:ext>
              </c:extLst>
            </c:dLbl>
            <c:dLbl>
              <c:idx val="2"/>
              <c:layout>
                <c:manualLayout>
                  <c:x val="-4.2994791214012153E-2"/>
                  <c:y val="4.0736535839996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FA-4E91-9221-AE09B6E7B932}"/>
                </c:ext>
              </c:extLst>
            </c:dLbl>
            <c:dLbl>
              <c:idx val="3"/>
              <c:layout>
                <c:manualLayout>
                  <c:x val="-5.1824813289067344E-2"/>
                  <c:y val="4.0736535839996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FA-4E91-9221-AE09B6E7B932}"/>
                </c:ext>
              </c:extLst>
            </c:dLbl>
            <c:dLbl>
              <c:idx val="4"/>
              <c:layout>
                <c:manualLayout>
                  <c:x val="-3.9977982884589758E-2"/>
                  <c:y val="-3.1614885348633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FA-4E91-9221-AE09B6E7B9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F08200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uni'!$AP$51:$AP$55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('Inscritos uni'!$Z$12,'Inscritos uni'!$AC$12,'Inscritos uni'!$AF$12,'Inscritos uni'!$AI$12,'Inscritos uni'!$AL$12)</c:f>
              <c:numCache>
                <c:formatCode>#,##0</c:formatCode>
                <c:ptCount val="5"/>
                <c:pt idx="0">
                  <c:v>117</c:v>
                </c:pt>
                <c:pt idx="1">
                  <c:v>125</c:v>
                </c:pt>
                <c:pt idx="2">
                  <c:v>134</c:v>
                </c:pt>
                <c:pt idx="3">
                  <c:v>122</c:v>
                </c:pt>
                <c:pt idx="4">
                  <c:v>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AFA-4E91-9221-AE09B6E7B932}"/>
            </c:ext>
          </c:extLst>
        </c:ser>
        <c:ser>
          <c:idx val="2"/>
          <c:order val="2"/>
          <c:tx>
            <c:strRef>
              <c:f>'Inscritos uni'!$B$13</c:f>
              <c:strCache>
                <c:ptCount val="1"/>
                <c:pt idx="0">
                  <c:v>CNI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7.5298071184810508E-2"/>
                  <c:y val="2.1278968035972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FA-4E91-9221-AE09B6E7B932}"/>
                </c:ext>
              </c:extLst>
            </c:dLbl>
            <c:dLbl>
              <c:idx val="1"/>
              <c:layout>
                <c:manualLayout>
                  <c:x val="-4.8808004959644942E-2"/>
                  <c:y val="4.7118761317625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FA-4E91-9221-AE09B6E7B9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tx1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uni'!$AP$51:$AP$55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('Inscritos uni'!$Z$13,'Inscritos uni'!$AC$13,'Inscritos uni'!$AF$13,'Inscritos uni'!$AI$13,'Inscritos uni'!$AL$13)</c:f>
              <c:numCache>
                <c:formatCode>#,##0</c:formatCode>
                <c:ptCount val="5"/>
                <c:pt idx="0">
                  <c:v>107</c:v>
                </c:pt>
                <c:pt idx="1">
                  <c:v>110</c:v>
                </c:pt>
                <c:pt idx="2">
                  <c:v>136</c:v>
                </c:pt>
                <c:pt idx="3">
                  <c:v>145</c:v>
                </c:pt>
                <c:pt idx="4">
                  <c:v>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AFA-4E91-9221-AE09B6E7B9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769920"/>
        <c:axId val="116771456"/>
      </c:lineChart>
      <c:catAx>
        <c:axId val="11676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6771456"/>
        <c:crosses val="autoZero"/>
        <c:auto val="1"/>
        <c:lblAlgn val="ctr"/>
        <c:lblOffset val="100"/>
        <c:noMultiLvlLbl val="0"/>
      </c:catAx>
      <c:valAx>
        <c:axId val="116771456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16769920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497E-2"/>
          <c:y val="0.87554049929805289"/>
          <c:w val="0.8444690109100601"/>
          <c:h val="8.0968076664835506E-2"/>
        </c:manualLayout>
      </c:layout>
      <c:overlay val="0"/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>
                <a:solidFill>
                  <a:srgbClr val="57A519"/>
                </a:solidFill>
              </a:defRPr>
            </a:pPr>
            <a:r>
              <a:rPr lang="es-MX" sz="1200" b="0">
                <a:solidFill>
                  <a:srgbClr val="57A519"/>
                </a:solidFill>
              </a:rPr>
              <a:t>Iztapalapa</a:t>
            </a:r>
          </a:p>
        </c:rich>
      </c:tx>
      <c:layout>
        <c:manualLayout>
          <c:xMode val="edge"/>
          <c:yMode val="edge"/>
          <c:x val="0.4264089505368121"/>
          <c:y val="1.03359173126614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376747608535691E-2"/>
          <c:y val="0.10671834625322997"/>
          <c:w val="0.93524650478292859"/>
          <c:h val="0.65183991535941732"/>
        </c:manualLayout>
      </c:layout>
      <c:lineChart>
        <c:grouping val="standard"/>
        <c:varyColors val="0"/>
        <c:ser>
          <c:idx val="0"/>
          <c:order val="0"/>
          <c:tx>
            <c:strRef>
              <c:f>'Inscritos uni'!$B$16</c:f>
              <c:strCache>
                <c:ptCount val="1"/>
                <c:pt idx="0">
                  <c:v>CBI</c:v>
                </c:pt>
              </c:strCache>
            </c:strRef>
          </c:tx>
          <c:spPr>
            <a:ln w="12700">
              <a:solidFill>
                <a:srgbClr val="C00000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CD032E"/>
                </a:solidFill>
              </a:ln>
            </c:spPr>
          </c:marker>
          <c:dLbls>
            <c:dLbl>
              <c:idx val="0"/>
              <c:layout>
                <c:manualLayout>
                  <c:x val="-3.9977982884589758E-2"/>
                  <c:y val="5.22867199739567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A1-444D-840B-BF6A6F8AC991}"/>
                </c:ext>
              </c:extLst>
            </c:dLbl>
            <c:dLbl>
              <c:idx val="3"/>
              <c:layout>
                <c:manualLayout>
                  <c:x val="-6.0654835364122528E-2"/>
                  <c:y val="3.67828440049644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A1-444D-840B-BF6A6F8AC9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D032E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uni'!$AP$51:$AP$55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('Inscritos uni'!$Z$16,'Inscritos uni'!$AC$16,'Inscritos uni'!$AF$16,'Inscritos uni'!$AI$16,'Inscritos uni'!$AL$16)</c:f>
              <c:numCache>
                <c:formatCode>#,##0</c:formatCode>
                <c:ptCount val="5"/>
                <c:pt idx="0">
                  <c:v>770</c:v>
                </c:pt>
                <c:pt idx="1">
                  <c:v>808</c:v>
                </c:pt>
                <c:pt idx="2">
                  <c:v>838</c:v>
                </c:pt>
                <c:pt idx="3">
                  <c:v>981</c:v>
                </c:pt>
                <c:pt idx="4">
                  <c:v>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A1-444D-840B-BF6A6F8AC991}"/>
            </c:ext>
          </c:extLst>
        </c:ser>
        <c:ser>
          <c:idx val="1"/>
          <c:order val="1"/>
          <c:tx>
            <c:strRef>
              <c:f>'Inscritos uni'!$B$17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0"/>
              <c:layout>
                <c:manualLayout>
                  <c:x val="-4.8881472597382278E-2"/>
                  <c:y val="-4.0736535839996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A1-444D-840B-BF6A6F8AC991}"/>
                </c:ext>
              </c:extLst>
            </c:dLbl>
            <c:dLbl>
              <c:idx val="1"/>
              <c:layout>
                <c:manualLayout>
                  <c:x val="-5.4768153980752403E-2"/>
                  <c:y val="-4.07365358399967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A1-444D-840B-BF6A6F8AC991}"/>
                </c:ext>
              </c:extLst>
            </c:dLbl>
            <c:dLbl>
              <c:idx val="2"/>
              <c:layout>
                <c:manualLayout>
                  <c:x val="-4.8881472597382278E-2"/>
                  <c:y val="-3.5568577183665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A1-444D-840B-BF6A6F8AC991}"/>
                </c:ext>
              </c:extLst>
            </c:dLbl>
            <c:dLbl>
              <c:idx val="3"/>
              <c:layout>
                <c:manualLayout>
                  <c:x val="-5.4768153980752403E-2"/>
                  <c:y val="-3.04006185273352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A1-444D-840B-BF6A6F8AC9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uni'!$AP$51:$AP$55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('Inscritos uni'!$Z$17,'Inscritos uni'!$AC$17,'Inscritos uni'!$AF$17,'Inscritos uni'!$AI$17,'Inscritos uni'!$AL$17)</c:f>
              <c:numCache>
                <c:formatCode>#,##0</c:formatCode>
                <c:ptCount val="5"/>
                <c:pt idx="0">
                  <c:v>1103</c:v>
                </c:pt>
                <c:pt idx="1">
                  <c:v>1075</c:v>
                </c:pt>
                <c:pt idx="2">
                  <c:v>1092</c:v>
                </c:pt>
                <c:pt idx="3">
                  <c:v>1095</c:v>
                </c:pt>
                <c:pt idx="4">
                  <c:v>1070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3A1-444D-840B-BF6A6F8AC991}"/>
            </c:ext>
          </c:extLst>
        </c:ser>
        <c:ser>
          <c:idx val="2"/>
          <c:order val="2"/>
          <c:tx>
            <c:strRef>
              <c:f>'Inscritos uni'!$B$18</c:f>
              <c:strCache>
                <c:ptCount val="1"/>
                <c:pt idx="0">
                  <c:v>CBS</c:v>
                </c:pt>
              </c:strCache>
            </c:strRef>
          </c:tx>
          <c:spPr>
            <a:ln w="12700">
              <a:solidFill>
                <a:srgbClr val="0072CE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rgbClr val="0072CE"/>
                </a:solidFill>
              </a:ln>
            </c:spPr>
          </c:marker>
          <c:dLbls>
            <c:dLbl>
              <c:idx val="0"/>
              <c:layout>
                <c:manualLayout>
                  <c:x val="-4.2921323576274817E-2"/>
                  <c:y val="-3.67828440049644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A1-444D-840B-BF6A6F8AC9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72CE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uni'!$AP$51:$AP$55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('Inscritos uni'!$Z$18,'Inscritos uni'!$AC$18,'Inscritos uni'!$AF$18,'Inscritos uni'!$AI$18,'Inscritos uni'!$AL$18)</c:f>
              <c:numCache>
                <c:formatCode>#,##0</c:formatCode>
                <c:ptCount val="5"/>
                <c:pt idx="0">
                  <c:v>803</c:v>
                </c:pt>
                <c:pt idx="1">
                  <c:v>806</c:v>
                </c:pt>
                <c:pt idx="2">
                  <c:v>804</c:v>
                </c:pt>
                <c:pt idx="3">
                  <c:v>806</c:v>
                </c:pt>
                <c:pt idx="4">
                  <c:v>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3A1-444D-840B-BF6A6F8AC9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847744"/>
        <c:axId val="116849280"/>
      </c:lineChart>
      <c:catAx>
        <c:axId val="11684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6849280"/>
        <c:crosses val="autoZero"/>
        <c:auto val="1"/>
        <c:lblAlgn val="ctr"/>
        <c:lblOffset val="100"/>
        <c:noMultiLvlLbl val="0"/>
      </c:catAx>
      <c:valAx>
        <c:axId val="116849280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16847744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497E-2"/>
          <c:y val="0.87554049929805289"/>
          <c:w val="0.8444690109100601"/>
          <c:h val="8.0968076664835506E-2"/>
        </c:manualLayout>
      </c:layout>
      <c:overlay val="0"/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>
                <a:solidFill>
                  <a:srgbClr val="AD25A8"/>
                </a:solidFill>
              </a:defRPr>
            </a:pPr>
            <a:r>
              <a:rPr lang="es-MX" sz="1200" b="0">
                <a:solidFill>
                  <a:srgbClr val="AD25A8"/>
                </a:solidFill>
              </a:rPr>
              <a:t>Lerma</a:t>
            </a:r>
          </a:p>
        </c:rich>
      </c:tx>
      <c:layout>
        <c:manualLayout>
          <c:xMode val="edge"/>
          <c:yMode val="edge"/>
          <c:x val="0.4264089505368121"/>
          <c:y val="1.03359173126614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376747608535691E-2"/>
          <c:y val="0.10671834625322997"/>
          <c:w val="0.93524650478292859"/>
          <c:h val="0.65183991535941732"/>
        </c:manualLayout>
      </c:layout>
      <c:lineChart>
        <c:grouping val="standard"/>
        <c:varyColors val="0"/>
        <c:ser>
          <c:idx val="0"/>
          <c:order val="0"/>
          <c:tx>
            <c:strRef>
              <c:f>'Inscritos uni'!$B$21</c:f>
              <c:strCache>
                <c:ptCount val="1"/>
                <c:pt idx="0">
                  <c:v>CBI</c:v>
                </c:pt>
              </c:strCache>
            </c:strRef>
          </c:tx>
          <c:spPr>
            <a:ln w="12700">
              <a:solidFill>
                <a:srgbClr val="C00000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CD032E"/>
                </a:solidFill>
              </a:ln>
            </c:spPr>
          </c:marker>
          <c:dLbls>
            <c:dLbl>
              <c:idx val="0"/>
              <c:layout>
                <c:manualLayout>
                  <c:x val="-3.401041757197569E-2"/>
                  <c:y val="-6.7790595942948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4C-4413-AD03-E19E7A32AFBD}"/>
                </c:ext>
              </c:extLst>
            </c:dLbl>
            <c:dLbl>
              <c:idx val="1"/>
              <c:layout>
                <c:manualLayout>
                  <c:x val="-3.9897098955345815E-2"/>
                  <c:y val="-8.3294471911941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4C-4413-AD03-E19E7A32AF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D032E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uni'!$AP$52:$AP$55</c:f>
              <c:numCache>
                <c:formatCode>General</c:formatCode>
                <c:ptCount val="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</c:numCache>
            </c:numRef>
          </c:cat>
          <c:val>
            <c:numRef>
              <c:f>('Inscritos uni'!$AC$21,'Inscritos uni'!$AF$21,'Inscritos uni'!$AI$21,'Inscritos uni'!$AL$21)</c:f>
              <c:numCache>
                <c:formatCode>#,##0</c:formatCode>
                <c:ptCount val="4"/>
                <c:pt idx="0">
                  <c:v>59</c:v>
                </c:pt>
                <c:pt idx="1">
                  <c:v>30</c:v>
                </c:pt>
                <c:pt idx="2">
                  <c:v>52</c:v>
                </c:pt>
                <c:pt idx="3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4C-4413-AD03-E19E7A32AFBD}"/>
            </c:ext>
          </c:extLst>
        </c:ser>
        <c:ser>
          <c:idx val="1"/>
          <c:order val="1"/>
          <c:tx>
            <c:strRef>
              <c:f>'Inscritos uni'!$B$22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0"/>
              <c:layout>
                <c:manualLayout>
                  <c:x val="-6.050048379714125E-2"/>
                  <c:y val="-4.560825245681498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4C-4413-AD03-E19E7A32AFBD}"/>
                </c:ext>
              </c:extLst>
            </c:dLbl>
            <c:dLbl>
              <c:idx val="1"/>
              <c:layout>
                <c:manualLayout>
                  <c:x val="-3.9897098955345815E-2"/>
                  <c:y val="-0.118255915684957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4C-4413-AD03-E19E7A32AFBD}"/>
                </c:ext>
              </c:extLst>
            </c:dLbl>
            <c:dLbl>
              <c:idx val="3"/>
              <c:layout>
                <c:manualLayout>
                  <c:x val="-3.4164769138956858E-2"/>
                  <c:y val="3.67828440049644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4C-4413-AD03-E19E7A32AF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uni'!$AP$52:$AP$55</c:f>
              <c:numCache>
                <c:formatCode>General</c:formatCode>
                <c:ptCount val="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</c:numCache>
            </c:numRef>
          </c:cat>
          <c:val>
            <c:numRef>
              <c:f>('Inscritos uni'!$AC$22,'Inscritos uni'!$AF$22,'Inscritos uni'!$AI$22,'Inscritos uni'!$AL$22)</c:f>
              <c:numCache>
                <c:formatCode>#,##0</c:formatCode>
                <c:ptCount val="4"/>
                <c:pt idx="0">
                  <c:v>58</c:v>
                </c:pt>
                <c:pt idx="1">
                  <c:v>33</c:v>
                </c:pt>
                <c:pt idx="2">
                  <c:v>69</c:v>
                </c:pt>
                <c:pt idx="3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54C-4413-AD03-E19E7A32AFBD}"/>
            </c:ext>
          </c:extLst>
        </c:ser>
        <c:ser>
          <c:idx val="2"/>
          <c:order val="2"/>
          <c:tx>
            <c:strRef>
              <c:f>'Inscritos uni'!$B$23</c:f>
              <c:strCache>
                <c:ptCount val="1"/>
                <c:pt idx="0">
                  <c:v>CBS</c:v>
                </c:pt>
              </c:strCache>
            </c:strRef>
          </c:tx>
          <c:spPr>
            <a:ln w="12700">
              <a:solidFill>
                <a:srgbClr val="0072CE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rgbClr val="0072CE"/>
                </a:solidFill>
              </a:ln>
            </c:spPr>
          </c:marker>
          <c:dLbls>
            <c:dLbl>
              <c:idx val="0"/>
              <c:layout>
                <c:manualLayout>
                  <c:x val="-3.6953758263660749E-2"/>
                  <c:y val="5.1072453152658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4C-4413-AD03-E19E7A32AFBD}"/>
                </c:ext>
              </c:extLst>
            </c:dLbl>
            <c:dLbl>
              <c:idx val="1"/>
              <c:layout>
                <c:manualLayout>
                  <c:x val="-3.6953758263660749E-2"/>
                  <c:y val="4.0736535839996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4C-4413-AD03-E19E7A32AFBD}"/>
                </c:ext>
              </c:extLst>
            </c:dLbl>
            <c:dLbl>
              <c:idx val="2"/>
              <c:layout>
                <c:manualLayout>
                  <c:x val="-3.401041757197569E-2"/>
                  <c:y val="-4.1950802661295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4C-4413-AD03-E19E7A32AFBD}"/>
                </c:ext>
              </c:extLst>
            </c:dLbl>
            <c:dLbl>
              <c:idx val="3"/>
              <c:layout>
                <c:manualLayout>
                  <c:x val="-3.401041757197569E-2"/>
                  <c:y val="-5.22867199739567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4C-4413-AD03-E19E7A32AF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72CE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uni'!$AP$52:$AP$55</c:f>
              <c:numCache>
                <c:formatCode>General</c:formatCode>
                <c:ptCount val="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</c:numCache>
            </c:numRef>
          </c:cat>
          <c:val>
            <c:numRef>
              <c:f>('Inscritos uni'!$AC$23,'Inscritos uni'!$AF$23,'Inscritos uni'!$AI$23,'Inscritos uni'!$AL$23)</c:f>
              <c:numCache>
                <c:formatCode>#,##0</c:formatCode>
                <c:ptCount val="4"/>
                <c:pt idx="0">
                  <c:v>56</c:v>
                </c:pt>
                <c:pt idx="1">
                  <c:v>26</c:v>
                </c:pt>
                <c:pt idx="2">
                  <c:v>55</c:v>
                </c:pt>
                <c:pt idx="3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54C-4413-AD03-E19E7A32A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586368"/>
        <c:axId val="116587904"/>
      </c:lineChart>
      <c:catAx>
        <c:axId val="116586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6587904"/>
        <c:crosses val="autoZero"/>
        <c:auto val="1"/>
        <c:lblAlgn val="ctr"/>
        <c:lblOffset val="100"/>
        <c:noMultiLvlLbl val="0"/>
      </c:catAx>
      <c:valAx>
        <c:axId val="116587904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16586368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497E-2"/>
          <c:y val="0.87554049929805289"/>
          <c:w val="0.8444690109100601"/>
          <c:h val="8.0968076664835506E-2"/>
        </c:manualLayout>
      </c:layout>
      <c:overlay val="0"/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>
                <a:solidFill>
                  <a:srgbClr val="0072CE"/>
                </a:solidFill>
              </a:defRPr>
            </a:pPr>
            <a:r>
              <a:rPr lang="es-MX" sz="1200" b="0">
                <a:solidFill>
                  <a:srgbClr val="0072CE"/>
                </a:solidFill>
              </a:rPr>
              <a:t>Xochimilco</a:t>
            </a:r>
          </a:p>
        </c:rich>
      </c:tx>
      <c:layout>
        <c:manualLayout>
          <c:xMode val="edge"/>
          <c:yMode val="edge"/>
          <c:x val="0.4264089505368121"/>
          <c:y val="1.03359173126614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376747608535691E-2"/>
          <c:y val="0.10671834625322997"/>
          <c:w val="0.93524650478292859"/>
          <c:h val="0.65183991535941732"/>
        </c:manualLayout>
      </c:layout>
      <c:lineChart>
        <c:grouping val="standard"/>
        <c:varyColors val="0"/>
        <c:ser>
          <c:idx val="0"/>
          <c:order val="0"/>
          <c:tx>
            <c:strRef>
              <c:f>'Inscritos uni'!$B$26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uni'!$AP$51:$AP$55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('Inscritos uni'!$Z$26,'Inscritos uni'!$AC$26,'Inscritos uni'!$AF$26,'Inscritos uni'!$AI$26,'Inscritos uni'!$AL$26)</c:f>
              <c:numCache>
                <c:formatCode>#,##0</c:formatCode>
                <c:ptCount val="5"/>
                <c:pt idx="0">
                  <c:v>1306</c:v>
                </c:pt>
                <c:pt idx="1">
                  <c:v>1262</c:v>
                </c:pt>
                <c:pt idx="2">
                  <c:v>1305</c:v>
                </c:pt>
                <c:pt idx="3">
                  <c:v>1279</c:v>
                </c:pt>
                <c:pt idx="4">
                  <c:v>1357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F5-45F8-BD03-DDC5B9BEF69A}"/>
            </c:ext>
          </c:extLst>
        </c:ser>
        <c:ser>
          <c:idx val="1"/>
          <c:order val="1"/>
          <c:tx>
            <c:strRef>
              <c:f>'Inscritos uni'!$B$27</c:f>
              <c:strCache>
                <c:ptCount val="1"/>
                <c:pt idx="0">
                  <c:v>CBS</c:v>
                </c:pt>
              </c:strCache>
            </c:strRef>
          </c:tx>
          <c:spPr>
            <a:ln w="12700">
              <a:solidFill>
                <a:srgbClr val="0072CE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0072CE"/>
                </a:solidFill>
              </a:ln>
            </c:spPr>
          </c:marker>
          <c:dLbls>
            <c:dLbl>
              <c:idx val="3"/>
              <c:layout>
                <c:manualLayout>
                  <c:x val="-5.4768153980752403E-2"/>
                  <c:y val="-6.140837046531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F5-45F8-BD03-DDC5B9BEF6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72CE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uni'!$AP$51:$AP$55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('Inscritos uni'!$Z$27,'Inscritos uni'!$AC$27,'Inscritos uni'!$AF$27,'Inscritos uni'!$AI$27,'Inscritos uni'!$AL$27)</c:f>
              <c:numCache>
                <c:formatCode>#,##0</c:formatCode>
                <c:ptCount val="5"/>
                <c:pt idx="0">
                  <c:v>1636</c:v>
                </c:pt>
                <c:pt idx="1">
                  <c:v>1579</c:v>
                </c:pt>
                <c:pt idx="2">
                  <c:v>1576</c:v>
                </c:pt>
                <c:pt idx="3">
                  <c:v>1660</c:v>
                </c:pt>
                <c:pt idx="4">
                  <c:v>1674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F5-45F8-BD03-DDC5B9BEF69A}"/>
            </c:ext>
          </c:extLst>
        </c:ser>
        <c:ser>
          <c:idx val="2"/>
          <c:order val="2"/>
          <c:tx>
            <c:strRef>
              <c:f>'Inscritos uni'!$B$28</c:f>
              <c:strCache>
                <c:ptCount val="1"/>
                <c:pt idx="0">
                  <c:v>CAD</c:v>
                </c:pt>
              </c:strCache>
            </c:strRef>
          </c:tx>
          <c:spPr>
            <a:ln w="12700">
              <a:solidFill>
                <a:srgbClr val="AD25A8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rgbClr val="AD25A8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AD25A8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uni'!$AP$51:$AP$55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('Inscritos uni'!$Z$28,'Inscritos uni'!$AC$28,'Inscritos uni'!$AF$28,'Inscritos uni'!$AI$28,'Inscritos uni'!$AL$28)</c:f>
              <c:numCache>
                <c:formatCode>#,##0</c:formatCode>
                <c:ptCount val="5"/>
                <c:pt idx="0">
                  <c:v>621</c:v>
                </c:pt>
                <c:pt idx="1">
                  <c:v>641</c:v>
                </c:pt>
                <c:pt idx="2">
                  <c:v>631</c:v>
                </c:pt>
                <c:pt idx="3">
                  <c:v>635</c:v>
                </c:pt>
                <c:pt idx="4">
                  <c:v>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AF5-45F8-BD03-DDC5B9BEF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666368"/>
        <c:axId val="116667904"/>
      </c:lineChart>
      <c:catAx>
        <c:axId val="116666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6667904"/>
        <c:crosses val="autoZero"/>
        <c:auto val="1"/>
        <c:lblAlgn val="ctr"/>
        <c:lblOffset val="100"/>
        <c:noMultiLvlLbl val="0"/>
      </c:catAx>
      <c:valAx>
        <c:axId val="116667904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16666368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497E-2"/>
          <c:y val="0.87554049929805289"/>
          <c:w val="0.8444690109100601"/>
          <c:h val="8.0968076664835506E-2"/>
        </c:manualLayout>
      </c:layout>
      <c:overlay val="0"/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1" u="none"/>
            </a:pPr>
            <a:r>
              <a:rPr lang="es-419" sz="1400" b="0" i="1" u="none"/>
              <a:t>Matrícula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  <c:spPr>
        <a:noFill/>
        <a:effectLst>
          <a:outerShdw blurRad="76200" dist="12700" dir="8100000" sy="-23000" kx="800400" algn="br" rotWithShape="0">
            <a:prstClr val="black">
              <a:alpha val="20000"/>
            </a:prstClr>
          </a:outerShdw>
        </a:effectLst>
      </c:spPr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'Matricula uni'!$AM$47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rgbClr val="CD032E"/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84760070485421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F0-4B13-B2B1-E79DD00E9CF2}"/>
                </c:ext>
              </c:extLst>
            </c:dLbl>
            <c:dLbl>
              <c:idx val="1"/>
              <c:layout>
                <c:manualLayout>
                  <c:x val="8.84760070485421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F0-4B13-B2B1-E79DD00E9CF2}"/>
                </c:ext>
              </c:extLst>
            </c:dLbl>
            <c:dLbl>
              <c:idx val="2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F0-4B13-B2B1-E79DD00E9CF2}"/>
                </c:ext>
              </c:extLst>
            </c:dLbl>
            <c:dLbl>
              <c:idx val="3"/>
              <c:layout>
                <c:manualLayout>
                  <c:x val="8.84760070485421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F0-4B13-B2B1-E79DD00E9CF2}"/>
                </c:ext>
              </c:extLst>
            </c:dLbl>
            <c:dLbl>
              <c:idx val="4"/>
              <c:layout>
                <c:manualLayout>
                  <c:x val="8.8476007048542121E-3"/>
                  <c:y val="-3.5810205908683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F0-4B13-B2B1-E79DD00E9CF2}"/>
                </c:ext>
              </c:extLst>
            </c:dLbl>
            <c:dLbl>
              <c:idx val="5"/>
              <c:layout>
                <c:manualLayout>
                  <c:x val="8.84760070485421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F0-4B13-B2B1-E79DD00E9CF2}"/>
                </c:ext>
              </c:extLst>
            </c:dLbl>
            <c:dLbl>
              <c:idx val="6"/>
              <c:layout>
                <c:manualLayout>
                  <c:x val="8.8476007048542121E-3"/>
                  <c:y val="-3.5810205908683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F0-4B13-B2B1-E79DD00E9CF2}"/>
                </c:ext>
              </c:extLst>
            </c:dLbl>
            <c:dLbl>
              <c:idx val="7"/>
              <c:layout>
                <c:manualLayout>
                  <c:x val="8.84760070485421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F0-4B13-B2B1-E79DD00E9CF2}"/>
                </c:ext>
              </c:extLst>
            </c:dLbl>
            <c:dLbl>
              <c:idx val="8"/>
              <c:layout>
                <c:manualLayout>
                  <c:x val="7.0780805638833693E-3"/>
                  <c:y val="-3.5810205908683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F0-4B13-B2B1-E79DD00E9CF2}"/>
                </c:ext>
              </c:extLst>
            </c:dLbl>
            <c:dLbl>
              <c:idx val="9"/>
              <c:layout>
                <c:manualLayout>
                  <c:x val="8.4388185654008432E-3"/>
                  <c:y val="-9.347671917169554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F0-4B13-B2B1-E79DD00E9CF2}"/>
                </c:ext>
              </c:extLst>
            </c:dLbl>
            <c:dLbl>
              <c:idx val="10"/>
              <c:layout>
                <c:manualLayout>
                  <c:x val="7.03234880450070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F0-4B13-B2B1-E79DD00E9CF2}"/>
                </c:ext>
              </c:extLst>
            </c:dLbl>
            <c:dLbl>
              <c:idx val="11"/>
              <c:layout>
                <c:manualLayout>
                  <c:x val="7.03234880450070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F0-4B13-B2B1-E79DD00E9CF2}"/>
                </c:ext>
              </c:extLst>
            </c:dLbl>
            <c:dLbl>
              <c:idx val="12"/>
              <c:layout>
                <c:manualLayout>
                  <c:x val="7.032348804500806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F0-4B13-B2B1-E79DD00E9C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'Matricula uni'!$AN$47:$AN$66</c:f>
              <c:numCache>
                <c:formatCode>General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('Matricula uni'!$E$9,'Matricula uni'!$H$9,'Matricula uni'!$K$9,'Matricula uni'!$N$9,'Matricula uni'!$Q$9,'Matricula uni'!$T$9,'Matricula uni'!$W$9,'Matricula uni'!$Z$9,'Matricula uni'!$AC$9,'Matricula uni'!$AF$9,'Matricula uni'!$AI$9,'Matricula uni'!$AL$9,'Matricula uni'!$AO$9,'Matricula uni'!$AR$9,'Matricula uni'!$AU$9,'Matricula uni'!$AX$9,'Matricula uni'!$BA$9,'Matricula uni'!$BD$9,'Matricula uni'!$BG$9,'Matricula uni'!$BJ$9)</c:f>
              <c:numCache>
                <c:formatCode>#,##0</c:formatCode>
                <c:ptCount val="20"/>
                <c:pt idx="0">
                  <c:v>12329</c:v>
                </c:pt>
                <c:pt idx="1">
                  <c:v>12690</c:v>
                </c:pt>
                <c:pt idx="2">
                  <c:v>12956</c:v>
                </c:pt>
                <c:pt idx="3">
                  <c:v>13214</c:v>
                </c:pt>
                <c:pt idx="4">
                  <c:v>13271</c:v>
                </c:pt>
                <c:pt idx="5">
                  <c:v>13426</c:v>
                </c:pt>
                <c:pt idx="6">
                  <c:v>13765</c:v>
                </c:pt>
                <c:pt idx="7">
                  <c:v>14704</c:v>
                </c:pt>
                <c:pt idx="8">
                  <c:v>14648</c:v>
                </c:pt>
                <c:pt idx="9">
                  <c:v>15075</c:v>
                </c:pt>
                <c:pt idx="10">
                  <c:v>15257</c:v>
                </c:pt>
                <c:pt idx="11">
                  <c:v>15208</c:v>
                </c:pt>
                <c:pt idx="12">
                  <c:v>15120</c:v>
                </c:pt>
                <c:pt idx="13">
                  <c:v>14923</c:v>
                </c:pt>
                <c:pt idx="14">
                  <c:v>14525</c:v>
                </c:pt>
                <c:pt idx="15">
                  <c:v>14830</c:v>
                </c:pt>
                <c:pt idx="16">
                  <c:v>14786</c:v>
                </c:pt>
                <c:pt idx="17">
                  <c:v>15336</c:v>
                </c:pt>
                <c:pt idx="18">
                  <c:v>15648</c:v>
                </c:pt>
                <c:pt idx="19">
                  <c:v>15840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6F0-4B13-B2B1-E79DD00E9CF2}"/>
            </c:ext>
          </c:extLst>
        </c:ser>
        <c:ser>
          <c:idx val="1"/>
          <c:order val="1"/>
          <c:tx>
            <c:strRef>
              <c:f>'Matricula uni'!$AM$48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2"/>
              <c:layout>
                <c:manualLayout>
                  <c:x val="3.539040281941684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F0-4B13-B2B1-E79DD00E9CF2}"/>
                </c:ext>
              </c:extLst>
            </c:dLbl>
            <c:dLbl>
              <c:idx val="3"/>
              <c:layout>
                <c:manualLayout>
                  <c:x val="3.539040281941684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6F0-4B13-B2B1-E79DD00E9CF2}"/>
                </c:ext>
              </c:extLst>
            </c:dLbl>
            <c:dLbl>
              <c:idx val="4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6F0-4B13-B2B1-E79DD00E9CF2}"/>
                </c:ext>
              </c:extLst>
            </c:dLbl>
            <c:dLbl>
              <c:idx val="5"/>
              <c:layout>
                <c:manualLayout>
                  <c:x val="3.5390402819416846E-3"/>
                  <c:y val="-6.565128575666531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6F0-4B13-B2B1-E79DD00E9CF2}"/>
                </c:ext>
              </c:extLst>
            </c:dLbl>
            <c:dLbl>
              <c:idx val="6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6F0-4B13-B2B1-E79DD00E9CF2}"/>
                </c:ext>
              </c:extLst>
            </c:dLbl>
            <c:dLbl>
              <c:idx val="7"/>
              <c:layout>
                <c:manualLayout>
                  <c:x val="7.078080563883369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6F0-4B13-B2B1-E79DD00E9CF2}"/>
                </c:ext>
              </c:extLst>
            </c:dLbl>
            <c:dLbl>
              <c:idx val="8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6F0-4B13-B2B1-E79DD00E9CF2}"/>
                </c:ext>
              </c:extLst>
            </c:dLbl>
            <c:dLbl>
              <c:idx val="12"/>
              <c:layout>
                <c:manualLayout>
                  <c:x val="8.438818565400843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6F0-4B13-B2B1-E79DD00E9C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'Matricula uni'!$AN$47:$AN$66</c:f>
              <c:numCache>
                <c:formatCode>General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('Matricula uni'!$E$14,'Matricula uni'!$H$14,'Matricula uni'!$K$14,'Matricula uni'!$N$14,'Matricula uni'!$Q$14,'Matricula uni'!$T$14,'Matricula uni'!$W$14,'Matricula uni'!$Z$14,'Matricula uni'!$AC$14,'Matricula uni'!$AF$14,'Matricula uni'!$AI$14,'Matricula uni'!$AL$14,'Matricula uni'!$AO$14,'Matricula uni'!$AR$14,'Matricula uni'!$AU$14,'Matricula uni'!$AX$14,'Matricula uni'!$BA$14,'Matricula uni'!$BD$14,'Matricula uni'!$BG$14,'Matricula uni'!$BJ$14)</c:f>
              <c:numCache>
                <c:formatCode>#,##0</c:formatCode>
                <c:ptCount val="20"/>
                <c:pt idx="2">
                  <c:v>203</c:v>
                </c:pt>
                <c:pt idx="3">
                  <c:v>265</c:v>
                </c:pt>
                <c:pt idx="4">
                  <c:v>546</c:v>
                </c:pt>
                <c:pt idx="5">
                  <c:v>825</c:v>
                </c:pt>
                <c:pt idx="6">
                  <c:v>969</c:v>
                </c:pt>
                <c:pt idx="7">
                  <c:v>1124</c:v>
                </c:pt>
                <c:pt idx="8">
                  <c:v>1227</c:v>
                </c:pt>
                <c:pt idx="9">
                  <c:v>1347</c:v>
                </c:pt>
                <c:pt idx="10">
                  <c:v>1490</c:v>
                </c:pt>
                <c:pt idx="11">
                  <c:v>1782</c:v>
                </c:pt>
                <c:pt idx="12">
                  <c:v>2089</c:v>
                </c:pt>
                <c:pt idx="13">
                  <c:v>2301</c:v>
                </c:pt>
                <c:pt idx="14">
                  <c:v>2691</c:v>
                </c:pt>
                <c:pt idx="15">
                  <c:v>2909</c:v>
                </c:pt>
                <c:pt idx="16">
                  <c:v>2987</c:v>
                </c:pt>
                <c:pt idx="17">
                  <c:v>3169</c:v>
                </c:pt>
                <c:pt idx="18">
                  <c:v>3254</c:v>
                </c:pt>
                <c:pt idx="19">
                  <c:v>3398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6F0-4B13-B2B1-E79DD00E9CF2}"/>
            </c:ext>
          </c:extLst>
        </c:ser>
        <c:ser>
          <c:idx val="2"/>
          <c:order val="2"/>
          <c:tx>
            <c:strRef>
              <c:f>'Matricula uni'!$AM$49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rgbClr val="57A519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7.078080563883369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6F0-4B13-B2B1-E79DD00E9CF2}"/>
                </c:ext>
              </c:extLst>
            </c:dLbl>
            <c:dLbl>
              <c:idx val="1"/>
              <c:layout>
                <c:manualLayout>
                  <c:x val="7.078080563883369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6F0-4B13-B2B1-E79DD00E9CF2}"/>
                </c:ext>
              </c:extLst>
            </c:dLbl>
            <c:dLbl>
              <c:idx val="2"/>
              <c:layout>
                <c:manualLayout>
                  <c:x val="7.0780805638833693E-3"/>
                  <c:y val="-3.5810205908683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6F0-4B13-B2B1-E79DD00E9CF2}"/>
                </c:ext>
              </c:extLst>
            </c:dLbl>
            <c:dLbl>
              <c:idx val="3"/>
              <c:layout>
                <c:manualLayout>
                  <c:x val="5.3085604229125274E-3"/>
                  <c:y val="-6.565128575666531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6F0-4B13-B2B1-E79DD00E9CF2}"/>
                </c:ext>
              </c:extLst>
            </c:dLbl>
            <c:dLbl>
              <c:idx val="4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6F0-4B13-B2B1-E79DD00E9CF2}"/>
                </c:ext>
              </c:extLst>
            </c:dLbl>
            <c:dLbl>
              <c:idx val="5"/>
              <c:layout>
                <c:manualLayout>
                  <c:x val="7.0780805638833693E-3"/>
                  <c:y val="6.565128575666531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6F0-4B13-B2B1-E79DD00E9CF2}"/>
                </c:ext>
              </c:extLst>
            </c:dLbl>
            <c:dLbl>
              <c:idx val="6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6F0-4B13-B2B1-E79DD00E9CF2}"/>
                </c:ext>
              </c:extLst>
            </c:dLbl>
            <c:dLbl>
              <c:idx val="7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6F0-4B13-B2B1-E79DD00E9CF2}"/>
                </c:ext>
              </c:extLst>
            </c:dLbl>
            <c:dLbl>
              <c:idx val="8"/>
              <c:layout>
                <c:manualLayout>
                  <c:x val="8.4845565190427141E-3"/>
                  <c:y val="-3.58099597015000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6F0-4B13-B2B1-E79DD00E9CF2}"/>
                </c:ext>
              </c:extLst>
            </c:dLbl>
            <c:dLbl>
              <c:idx val="9"/>
              <c:layout>
                <c:manualLayout>
                  <c:x val="7.03234880450070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6F0-4B13-B2B1-E79DD00E9CF2}"/>
                </c:ext>
              </c:extLst>
            </c:dLbl>
            <c:dLbl>
              <c:idx val="10"/>
              <c:layout>
                <c:manualLayout>
                  <c:x val="7.03234880450070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6F0-4B13-B2B1-E79DD00E9CF2}"/>
                </c:ext>
              </c:extLst>
            </c:dLbl>
            <c:dLbl>
              <c:idx val="11"/>
              <c:layout>
                <c:manualLayout>
                  <c:x val="7.03234880450070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6F0-4B13-B2B1-E79DD00E9CF2}"/>
                </c:ext>
              </c:extLst>
            </c:dLbl>
            <c:dLbl>
              <c:idx val="12"/>
              <c:layout>
                <c:manualLayout>
                  <c:x val="8.438818565400947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6F0-4B13-B2B1-E79DD00E9C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'Matricula uni'!$AN$47:$AN$66</c:f>
              <c:numCache>
                <c:formatCode>General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('Matricula uni'!$E$19,'Matricula uni'!$H$19,'Matricula uni'!$K$19,'Matricula uni'!$N$19,'Matricula uni'!$Q$19,'Matricula uni'!$T$19,'Matricula uni'!$W$19,'Matricula uni'!$Z$19,'Matricula uni'!$AC$19,'Matricula uni'!$AF$19,'Matricula uni'!$AI$19,'Matricula uni'!$AL$19,'Matricula uni'!$AO$19,'Matricula uni'!$AR$19,'Matricula uni'!$AU$19,'Matricula uni'!$AX$19,'Matricula uni'!$BA$19,'Matricula uni'!$BD$19,'Matricula uni'!$BG$19,'Matricula uni'!$BJ$19)</c:f>
              <c:numCache>
                <c:formatCode>#,##0</c:formatCode>
                <c:ptCount val="20"/>
                <c:pt idx="0">
                  <c:v>10121</c:v>
                </c:pt>
                <c:pt idx="1">
                  <c:v>9961</c:v>
                </c:pt>
                <c:pt idx="2">
                  <c:v>9974</c:v>
                </c:pt>
                <c:pt idx="3">
                  <c:v>10039</c:v>
                </c:pt>
                <c:pt idx="4">
                  <c:v>10243</c:v>
                </c:pt>
                <c:pt idx="5">
                  <c:v>10369</c:v>
                </c:pt>
                <c:pt idx="6">
                  <c:v>10789</c:v>
                </c:pt>
                <c:pt idx="7">
                  <c:v>11399</c:v>
                </c:pt>
                <c:pt idx="8">
                  <c:v>11743</c:v>
                </c:pt>
                <c:pt idx="9">
                  <c:v>12168</c:v>
                </c:pt>
                <c:pt idx="10">
                  <c:v>13176</c:v>
                </c:pt>
                <c:pt idx="11">
                  <c:v>13328</c:v>
                </c:pt>
                <c:pt idx="12">
                  <c:v>13384</c:v>
                </c:pt>
                <c:pt idx="13">
                  <c:v>13602</c:v>
                </c:pt>
                <c:pt idx="14">
                  <c:v>13154</c:v>
                </c:pt>
                <c:pt idx="15">
                  <c:v>12871</c:v>
                </c:pt>
                <c:pt idx="16">
                  <c:v>12029</c:v>
                </c:pt>
                <c:pt idx="17">
                  <c:v>12388</c:v>
                </c:pt>
                <c:pt idx="18">
                  <c:v>12288</c:v>
                </c:pt>
                <c:pt idx="19">
                  <c:v>12278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96F0-4B13-B2B1-E79DD00E9CF2}"/>
            </c:ext>
          </c:extLst>
        </c:ser>
        <c:ser>
          <c:idx val="3"/>
          <c:order val="3"/>
          <c:tx>
            <c:strRef>
              <c:f>'Matricula uni'!$AM$50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8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6F0-4B13-B2B1-E79DD00E9CF2}"/>
                </c:ext>
              </c:extLst>
            </c:dLbl>
            <c:dLbl>
              <c:idx val="10"/>
              <c:layout>
                <c:manualLayout>
                  <c:x val="5.6258790436004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6F0-4B13-B2B1-E79DD00E9CF2}"/>
                </c:ext>
              </c:extLst>
            </c:dLbl>
            <c:dLbl>
              <c:idx val="11"/>
              <c:layout>
                <c:manualLayout>
                  <c:x val="8.4388185654009473E-3"/>
                  <c:y val="-2.55918106206014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6F0-4B13-B2B1-E79DD00E9CF2}"/>
                </c:ext>
              </c:extLst>
            </c:dLbl>
            <c:dLbl>
              <c:idx val="12"/>
              <c:layout>
                <c:manualLayout>
                  <c:x val="5.6258790436005627E-3"/>
                  <c:y val="-4.691777747293356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6F0-4B13-B2B1-E79DD00E9CF2}"/>
                </c:ext>
              </c:extLst>
            </c:dLbl>
            <c:dLbl>
              <c:idx val="13"/>
              <c:layout>
                <c:manualLayout>
                  <c:x val="3.7082818294189453E-3"/>
                  <c:y val="-2.530044275774826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6F0-4B13-B2B1-E79DD00E9CF2}"/>
                </c:ext>
              </c:extLst>
            </c:dLbl>
            <c:dLbl>
              <c:idx val="14"/>
              <c:layout>
                <c:manualLayout>
                  <c:x val="6.180469715698393E-3"/>
                  <c:y val="-5.060088551549652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6F0-4B13-B2B1-E79DD00E9CF2}"/>
                </c:ext>
              </c:extLst>
            </c:dLbl>
            <c:dLbl>
              <c:idx val="15"/>
              <c:layout>
                <c:manualLayout>
                  <c:x val="2.472187886279357E-3"/>
                  <c:y val="-7.59013282732447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6F0-4B13-B2B1-E79DD00E9C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'Matricula uni'!$AN$47:$AN$66</c:f>
              <c:numCache>
                <c:formatCode>General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('Matricula uni'!$E$24,'Matricula uni'!$H$24,'Matricula uni'!$K$24,'Matricula uni'!$N$24,'Matricula uni'!$Q$24,'Matricula uni'!$T$24,'Matricula uni'!$W$24,'Matricula uni'!$Z$24,'Matricula uni'!$AC$24,'Matricula uni'!$AF$24,'Matricula uni'!$AI$24,'Matricula uni'!$AL$24,'Matricula uni'!$AO$24,'Matricula uni'!$AR$24,'Matricula uni'!$AU$24,'Matricula uni'!$AX$24,'Matricula uni'!$BA$24,'Matricula uni'!$BD$24,'Matricula uni'!$BG$24,'Matricula uni'!$BJ$24)</c:f>
              <c:numCache>
                <c:formatCode>#,##0</c:formatCode>
                <c:ptCount val="20"/>
                <c:pt idx="8">
                  <c:v>161</c:v>
                </c:pt>
                <c:pt idx="9">
                  <c:v>220</c:v>
                </c:pt>
                <c:pt idx="10">
                  <c:v>348</c:v>
                </c:pt>
                <c:pt idx="11">
                  <c:v>416</c:v>
                </c:pt>
                <c:pt idx="12">
                  <c:v>495</c:v>
                </c:pt>
                <c:pt idx="13">
                  <c:v>598</c:v>
                </c:pt>
                <c:pt idx="14">
                  <c:v>738</c:v>
                </c:pt>
                <c:pt idx="15">
                  <c:v>933</c:v>
                </c:pt>
                <c:pt idx="16">
                  <c:v>1119</c:v>
                </c:pt>
                <c:pt idx="17">
                  <c:v>1311</c:v>
                </c:pt>
                <c:pt idx="18">
                  <c:v>1395</c:v>
                </c:pt>
                <c:pt idx="19">
                  <c:v>1544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96F0-4B13-B2B1-E79DD00E9CF2}"/>
            </c:ext>
          </c:extLst>
        </c:ser>
        <c:ser>
          <c:idx val="4"/>
          <c:order val="4"/>
          <c:tx>
            <c:strRef>
              <c:f>'Matricula uni'!$AM$51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rgbClr val="0072CE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6F0-4B13-B2B1-E79DD00E9CF2}"/>
                </c:ext>
              </c:extLst>
            </c:dLbl>
            <c:dLbl>
              <c:idx val="1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6F0-4B13-B2B1-E79DD00E9CF2}"/>
                </c:ext>
              </c:extLst>
            </c:dLbl>
            <c:dLbl>
              <c:idx val="2"/>
              <c:layout>
                <c:manualLayout>
                  <c:x val="7.078080563883369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6F0-4B13-B2B1-E79DD00E9CF2}"/>
                </c:ext>
              </c:extLst>
            </c:dLbl>
            <c:dLbl>
              <c:idx val="3"/>
              <c:layout>
                <c:manualLayout>
                  <c:x val="7.0780805638833693E-3"/>
                  <c:y val="-3.28256428783326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6F0-4B13-B2B1-E79DD00E9CF2}"/>
                </c:ext>
              </c:extLst>
            </c:dLbl>
            <c:dLbl>
              <c:idx val="4"/>
              <c:layout>
                <c:manualLayout>
                  <c:x val="7.078080563883369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6F0-4B13-B2B1-E79DD00E9CF2}"/>
                </c:ext>
              </c:extLst>
            </c:dLbl>
            <c:dLbl>
              <c:idx val="5"/>
              <c:layout>
                <c:manualLayout>
                  <c:x val="8.8476007048542121E-3"/>
                  <c:y val="-3.28256428783326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96F0-4B13-B2B1-E79DD00E9CF2}"/>
                </c:ext>
              </c:extLst>
            </c:dLbl>
            <c:dLbl>
              <c:idx val="6"/>
              <c:layout>
                <c:manualLayout>
                  <c:x val="5.3085604229125274E-3"/>
                  <c:y val="3.28256428783326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6F0-4B13-B2B1-E79DD00E9CF2}"/>
                </c:ext>
              </c:extLst>
            </c:dLbl>
            <c:dLbl>
              <c:idx val="7"/>
              <c:layout>
                <c:manualLayout>
                  <c:x val="5.3085604229125274E-3"/>
                  <c:y val="3.28256428783326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6F0-4B13-B2B1-E79DD00E9CF2}"/>
                </c:ext>
              </c:extLst>
            </c:dLbl>
            <c:dLbl>
              <c:idx val="8"/>
              <c:layout>
                <c:manualLayout>
                  <c:x val="7.804135242588347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6F0-4B13-B2B1-E79DD00E9CF2}"/>
                </c:ext>
              </c:extLst>
            </c:dLbl>
            <c:dLbl>
              <c:idx val="9"/>
              <c:layout>
                <c:manualLayout>
                  <c:x val="8.438818565400843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6F0-4B13-B2B1-E79DD00E9CF2}"/>
                </c:ext>
              </c:extLst>
            </c:dLbl>
            <c:dLbl>
              <c:idx val="10"/>
              <c:layout>
                <c:manualLayout>
                  <c:x val="8.438818565400843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6F0-4B13-B2B1-E79DD00E9CF2}"/>
                </c:ext>
              </c:extLst>
            </c:dLbl>
            <c:dLbl>
              <c:idx val="11"/>
              <c:layout>
                <c:manualLayout>
                  <c:x val="8.438818565400843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6F0-4B13-B2B1-E79DD00E9CF2}"/>
                </c:ext>
              </c:extLst>
            </c:dLbl>
            <c:dLbl>
              <c:idx val="12"/>
              <c:layout>
                <c:manualLayout>
                  <c:x val="7.0323488045008061E-3"/>
                  <c:y val="-2.55918106206014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6F0-4B13-B2B1-E79DD00E9C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'Matricula uni'!$AN$47:$AN$66</c:f>
              <c:numCache>
                <c:formatCode>General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('Matricula uni'!$E$29,'Matricula uni'!$H$29,'Matricula uni'!$K$29,'Matricula uni'!$N$29,'Matricula uni'!$Q$29,'Matricula uni'!$T$29,'Matricula uni'!$W$29,'Matricula uni'!$Z$29,'Matricula uni'!$AC$29,'Matricula uni'!$AF$29,'Matricula uni'!$AI$29,'Matricula uni'!$AL$29,'Matricula uni'!$AO$29,'Matricula uni'!$AR$29,'Matricula uni'!$AU$29,'Matricula uni'!$AX$29,'Matricula uni'!$BA$29,'Matricula uni'!$BD$29,'Matricula uni'!$BG$29,'Matricula uni'!$BJ$29)</c:f>
              <c:numCache>
                <c:formatCode>#,##0</c:formatCode>
                <c:ptCount val="20"/>
                <c:pt idx="0">
                  <c:v>11859</c:v>
                </c:pt>
                <c:pt idx="1">
                  <c:v>12916</c:v>
                </c:pt>
                <c:pt idx="2">
                  <c:v>13875</c:v>
                </c:pt>
                <c:pt idx="3">
                  <c:v>14227</c:v>
                </c:pt>
                <c:pt idx="4">
                  <c:v>14343</c:v>
                </c:pt>
                <c:pt idx="5">
                  <c:v>13745</c:v>
                </c:pt>
                <c:pt idx="6">
                  <c:v>13387</c:v>
                </c:pt>
                <c:pt idx="7">
                  <c:v>13485</c:v>
                </c:pt>
                <c:pt idx="8">
                  <c:v>13456</c:v>
                </c:pt>
                <c:pt idx="9">
                  <c:v>13432</c:v>
                </c:pt>
                <c:pt idx="10">
                  <c:v>13491</c:v>
                </c:pt>
                <c:pt idx="11">
                  <c:v>13567</c:v>
                </c:pt>
                <c:pt idx="12">
                  <c:v>13624</c:v>
                </c:pt>
                <c:pt idx="13">
                  <c:v>13654</c:v>
                </c:pt>
                <c:pt idx="14">
                  <c:v>14099</c:v>
                </c:pt>
                <c:pt idx="15">
                  <c:v>14393</c:v>
                </c:pt>
                <c:pt idx="16">
                  <c:v>14167</c:v>
                </c:pt>
                <c:pt idx="17">
                  <c:v>14623</c:v>
                </c:pt>
                <c:pt idx="18">
                  <c:v>14465</c:v>
                </c:pt>
                <c:pt idx="19">
                  <c:v>14581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A-96F0-4B13-B2B1-E79DD00E9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shape val="cylinder"/>
        <c:axId val="56922880"/>
        <c:axId val="56924416"/>
        <c:axId val="0"/>
      </c:bar3DChart>
      <c:catAx>
        <c:axId val="56922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MX"/>
          </a:p>
        </c:txPr>
        <c:crossAx val="56924416"/>
        <c:crosses val="autoZero"/>
        <c:auto val="1"/>
        <c:lblAlgn val="ctr"/>
        <c:lblOffset val="100"/>
        <c:noMultiLvlLbl val="0"/>
      </c:catAx>
      <c:valAx>
        <c:axId val="56924416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569228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5.79256939160884E-2"/>
          <c:y val="0.93913430993209979"/>
          <c:w val="0.83696395096754084"/>
          <c:h val="3.6174302303990206E-2"/>
        </c:manualLayout>
      </c:layout>
      <c:overlay val="0"/>
      <c:txPr>
        <a:bodyPr/>
        <a:lstStyle/>
        <a:p>
          <a:pPr>
            <a:defRPr sz="12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>
                <a:solidFill>
                  <a:srgbClr val="CD032E"/>
                </a:solidFill>
              </a:defRPr>
            </a:pPr>
            <a:r>
              <a:rPr lang="es-MX" sz="1200" b="0">
                <a:solidFill>
                  <a:srgbClr val="CD032E"/>
                </a:solidFill>
              </a:rPr>
              <a:t>Azcapotzalco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3.2376747608535691E-2"/>
          <c:y val="0.10671834625322997"/>
          <c:w val="0.93524650478292859"/>
          <c:h val="0.65183991535941732"/>
        </c:manualLayout>
      </c:layout>
      <c:lineChart>
        <c:grouping val="standard"/>
        <c:varyColors val="0"/>
        <c:ser>
          <c:idx val="0"/>
          <c:order val="0"/>
          <c:tx>
            <c:strRef>
              <c:f>'Matricula uni'!$B$6</c:f>
              <c:strCache>
                <c:ptCount val="1"/>
                <c:pt idx="0">
                  <c:v>CBI</c:v>
                </c:pt>
              </c:strCache>
            </c:strRef>
          </c:tx>
          <c:spPr>
            <a:ln w="12700">
              <a:solidFill>
                <a:srgbClr val="CD032E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CD032E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D032E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5"/>
              <c:pt idx="0">
                <c:v>2010</c:v>
              </c:pt>
              <c:pt idx="1">
                <c:v>2011</c:v>
              </c:pt>
              <c:pt idx="2">
                <c:v>2012</c:v>
              </c:pt>
              <c:pt idx="3">
                <c:v>2013</c:v>
              </c:pt>
              <c:pt idx="4">
                <c:v>2014</c:v>
              </c:pt>
            </c:numLit>
          </c:cat>
          <c:val>
            <c:numRef>
              <c:f>('Matricula uni'!$Z$6,'Matricula uni'!$AC$6,'Matricula uni'!$AF$6,'Matricula uni'!$AI$6,'Matricula uni'!$AL$6)</c:f>
              <c:numCache>
                <c:formatCode>#,##0</c:formatCode>
                <c:ptCount val="5"/>
                <c:pt idx="0">
                  <c:v>7272</c:v>
                </c:pt>
                <c:pt idx="1">
                  <c:v>7261</c:v>
                </c:pt>
                <c:pt idx="2">
                  <c:v>7200</c:v>
                </c:pt>
                <c:pt idx="3">
                  <c:v>7158</c:v>
                </c:pt>
                <c:pt idx="4">
                  <c:v>6918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58-41C3-A659-CAB7041E52F3}"/>
            </c:ext>
          </c:extLst>
        </c:ser>
        <c:ser>
          <c:idx val="1"/>
          <c:order val="1"/>
          <c:tx>
            <c:strRef>
              <c:f>'Matricula uni'!$B$7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5"/>
              <c:pt idx="0">
                <c:v>2010</c:v>
              </c:pt>
              <c:pt idx="1">
                <c:v>2011</c:v>
              </c:pt>
              <c:pt idx="2">
                <c:v>2012</c:v>
              </c:pt>
              <c:pt idx="3">
                <c:v>2013</c:v>
              </c:pt>
              <c:pt idx="4">
                <c:v>2014</c:v>
              </c:pt>
            </c:numLit>
          </c:cat>
          <c:val>
            <c:numRef>
              <c:f>('Matricula uni'!$Z$7,'Matricula uni'!$AC$7,'Matricula uni'!$AF$7,'Matricula uni'!$AI$7,'Matricula uni'!$AL$7)</c:f>
              <c:numCache>
                <c:formatCode>#,##0</c:formatCode>
                <c:ptCount val="5"/>
                <c:pt idx="0">
                  <c:v>4785</c:v>
                </c:pt>
                <c:pt idx="1">
                  <c:v>4840</c:v>
                </c:pt>
                <c:pt idx="2">
                  <c:v>5201</c:v>
                </c:pt>
                <c:pt idx="3">
                  <c:v>5297</c:v>
                </c:pt>
                <c:pt idx="4">
                  <c:v>5452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58-41C3-A659-CAB7041E52F3}"/>
            </c:ext>
          </c:extLst>
        </c:ser>
        <c:ser>
          <c:idx val="2"/>
          <c:order val="2"/>
          <c:tx>
            <c:strRef>
              <c:f>'Matricula uni'!$B$8</c:f>
              <c:strCache>
                <c:ptCount val="1"/>
                <c:pt idx="0">
                  <c:v>CAD</c:v>
                </c:pt>
              </c:strCache>
            </c:strRef>
          </c:tx>
          <c:spPr>
            <a:ln w="12700">
              <a:solidFill>
                <a:srgbClr val="AD25A8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rgbClr val="AD25A8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AD25A8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5"/>
              <c:pt idx="0">
                <c:v>2010</c:v>
              </c:pt>
              <c:pt idx="1">
                <c:v>2011</c:v>
              </c:pt>
              <c:pt idx="2">
                <c:v>2012</c:v>
              </c:pt>
              <c:pt idx="3">
                <c:v>2013</c:v>
              </c:pt>
              <c:pt idx="4">
                <c:v>2014</c:v>
              </c:pt>
            </c:numLit>
          </c:cat>
          <c:val>
            <c:numRef>
              <c:f>('Matricula uni'!$Z$8,'Matricula uni'!$AC$8,'Matricula uni'!$AF$8,'Matricula uni'!$AI$8,'Matricula uni'!$AL$8)</c:f>
              <c:numCache>
                <c:formatCode>#,##0</c:formatCode>
                <c:ptCount val="5"/>
                <c:pt idx="0">
                  <c:v>2647</c:v>
                </c:pt>
                <c:pt idx="1">
                  <c:v>2547</c:v>
                </c:pt>
                <c:pt idx="2">
                  <c:v>2674</c:v>
                </c:pt>
                <c:pt idx="3">
                  <c:v>2802</c:v>
                </c:pt>
                <c:pt idx="4">
                  <c:v>2838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58-41C3-A659-CAB7041E52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006336"/>
        <c:axId val="57012224"/>
      </c:lineChart>
      <c:catAx>
        <c:axId val="57006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7012224"/>
        <c:crosses val="autoZero"/>
        <c:auto val="1"/>
        <c:lblAlgn val="ctr"/>
        <c:lblOffset val="100"/>
        <c:noMultiLvlLbl val="0"/>
      </c:catAx>
      <c:valAx>
        <c:axId val="57012224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57006336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497E-2"/>
          <c:y val="0.87554049929805289"/>
          <c:w val="0.8444690109100601"/>
          <c:h val="8.0968076664835506E-2"/>
        </c:manualLayout>
      </c:layout>
      <c:overlay val="0"/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>
                <a:solidFill>
                  <a:srgbClr val="F08200"/>
                </a:solidFill>
              </a:defRPr>
            </a:pPr>
            <a:r>
              <a:rPr lang="es-MX" sz="1200" b="0">
                <a:solidFill>
                  <a:srgbClr val="F08200"/>
                </a:solidFill>
              </a:rPr>
              <a:t>Cuajimalpa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3.2376747608535691E-2"/>
          <c:y val="0.10671834625322997"/>
          <c:w val="0.93524650478292859"/>
          <c:h val="0.65183991535941732"/>
        </c:manualLayout>
      </c:layout>
      <c:lineChart>
        <c:grouping val="standard"/>
        <c:varyColors val="0"/>
        <c:ser>
          <c:idx val="0"/>
          <c:order val="0"/>
          <c:tx>
            <c:strRef>
              <c:f>'Matricula uni'!$B$11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1"/>
              <c:layout>
                <c:manualLayout>
                  <c:x val="-4.2921323576274817E-2"/>
                  <c:y val="-4.19508026612952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F7-45DA-AC02-D11FB51A92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5"/>
              <c:pt idx="0">
                <c:v>2010</c:v>
              </c:pt>
              <c:pt idx="1">
                <c:v>2011</c:v>
              </c:pt>
              <c:pt idx="2">
                <c:v>2012</c:v>
              </c:pt>
              <c:pt idx="3">
                <c:v>2013</c:v>
              </c:pt>
              <c:pt idx="4">
                <c:v>2014</c:v>
              </c:pt>
            </c:numLit>
          </c:cat>
          <c:val>
            <c:numRef>
              <c:f>('Matricula uni'!$Z$11,'Matricula uni'!$AC$11,'Matricula uni'!$AF$11,'Matricula uni'!$AI$11,'Matricula uni'!$AL$11)</c:f>
              <c:numCache>
                <c:formatCode>#,##0</c:formatCode>
                <c:ptCount val="5"/>
                <c:pt idx="0">
                  <c:v>405</c:v>
                </c:pt>
                <c:pt idx="1">
                  <c:v>373</c:v>
                </c:pt>
                <c:pt idx="2">
                  <c:v>378</c:v>
                </c:pt>
                <c:pt idx="3">
                  <c:v>389</c:v>
                </c:pt>
                <c:pt idx="4">
                  <c:v>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F7-45DA-AC02-D11FB51A9202}"/>
            </c:ext>
          </c:extLst>
        </c:ser>
        <c:ser>
          <c:idx val="1"/>
          <c:order val="1"/>
          <c:tx>
            <c:strRef>
              <c:f>'Matricula uni'!$B$12</c:f>
              <c:strCache>
                <c:ptCount val="1"/>
                <c:pt idx="0">
                  <c:v>CCD</c:v>
                </c:pt>
              </c:strCache>
            </c:strRef>
          </c:tx>
          <c:spPr>
            <a:ln w="12700">
              <a:solidFill>
                <a:srgbClr val="F082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F08200"/>
                </a:solidFill>
              </a:ln>
            </c:spPr>
          </c:marker>
          <c:dLbls>
            <c:dLbl>
              <c:idx val="4"/>
              <c:layout>
                <c:manualLayout>
                  <c:x val="-3.9977982884589758E-2"/>
                  <c:y val="5.2286719973956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F7-45DA-AC02-D11FB51A92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F08200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5"/>
              <c:pt idx="0">
                <c:v>2010</c:v>
              </c:pt>
              <c:pt idx="1">
                <c:v>2011</c:v>
              </c:pt>
              <c:pt idx="2">
                <c:v>2012</c:v>
              </c:pt>
              <c:pt idx="3">
                <c:v>2013</c:v>
              </c:pt>
              <c:pt idx="4">
                <c:v>2014</c:v>
              </c:pt>
            </c:numLit>
          </c:cat>
          <c:val>
            <c:numRef>
              <c:f>('Matricula uni'!$Z$12,'Matricula uni'!$AC$12,'Matricula uni'!$AF$12,'Matricula uni'!$AI$12,'Matricula uni'!$AL$12)</c:f>
              <c:numCache>
                <c:formatCode>#,##0</c:formatCode>
                <c:ptCount val="5"/>
                <c:pt idx="0">
                  <c:v>423</c:v>
                </c:pt>
                <c:pt idx="1">
                  <c:v>498</c:v>
                </c:pt>
                <c:pt idx="2">
                  <c:v>520</c:v>
                </c:pt>
                <c:pt idx="3">
                  <c:v>576</c:v>
                </c:pt>
                <c:pt idx="4">
                  <c:v>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7F7-45DA-AC02-D11FB51A9202}"/>
            </c:ext>
          </c:extLst>
        </c:ser>
        <c:ser>
          <c:idx val="2"/>
          <c:order val="2"/>
          <c:tx>
            <c:strRef>
              <c:f>'Matricula uni'!$B$13</c:f>
              <c:strCache>
                <c:ptCount val="1"/>
                <c:pt idx="0">
                  <c:v>CNI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7.5298071184810508E-2"/>
                  <c:y val="2.1278968035972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F7-45DA-AC02-D11FB51A9202}"/>
                </c:ext>
              </c:extLst>
            </c:dLbl>
            <c:dLbl>
              <c:idx val="1"/>
              <c:layout>
                <c:manualLayout>
                  <c:x val="-4.2921323576274817E-2"/>
                  <c:y val="4.7118761317625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F7-45DA-AC02-D11FB51A9202}"/>
                </c:ext>
              </c:extLst>
            </c:dLbl>
            <c:dLbl>
              <c:idx val="2"/>
              <c:layout>
                <c:manualLayout>
                  <c:x val="-3.9977982884589758E-2"/>
                  <c:y val="-4.0736535839996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F7-45DA-AC02-D11FB51A9202}"/>
                </c:ext>
              </c:extLst>
            </c:dLbl>
            <c:dLbl>
              <c:idx val="3"/>
              <c:layout>
                <c:manualLayout>
                  <c:x val="-5.1751345651330008E-2"/>
                  <c:y val="4.7118761317625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F7-45DA-AC02-D11FB51A9202}"/>
                </c:ext>
              </c:extLst>
            </c:dLbl>
            <c:dLbl>
              <c:idx val="4"/>
              <c:layout>
                <c:manualLayout>
                  <c:x val="-3.7034642192904692E-2"/>
                  <c:y val="-3.04010254532136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F7-45DA-AC02-D11FB51A92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tx1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5"/>
              <c:pt idx="0">
                <c:v>2010</c:v>
              </c:pt>
              <c:pt idx="1">
                <c:v>2011</c:v>
              </c:pt>
              <c:pt idx="2">
                <c:v>2012</c:v>
              </c:pt>
              <c:pt idx="3">
                <c:v>2013</c:v>
              </c:pt>
              <c:pt idx="4">
                <c:v>2014</c:v>
              </c:pt>
            </c:numLit>
          </c:cat>
          <c:val>
            <c:numRef>
              <c:f>('Matricula uni'!$Z$13,'Matricula uni'!$AC$13,'Matricula uni'!$AF$13,'Matricula uni'!$AI$13,'Matricula uni'!$AL$13)</c:f>
              <c:numCache>
                <c:formatCode>#,##0</c:formatCode>
                <c:ptCount val="5"/>
                <c:pt idx="0">
                  <c:v>296</c:v>
                </c:pt>
                <c:pt idx="1">
                  <c:v>356</c:v>
                </c:pt>
                <c:pt idx="2">
                  <c:v>449</c:v>
                </c:pt>
                <c:pt idx="3">
                  <c:v>525</c:v>
                </c:pt>
                <c:pt idx="4">
                  <c:v>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7F7-45DA-AC02-D11FB51A9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072256"/>
        <c:axId val="57078144"/>
      </c:lineChart>
      <c:catAx>
        <c:axId val="57072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7078144"/>
        <c:crosses val="autoZero"/>
        <c:auto val="1"/>
        <c:lblAlgn val="ctr"/>
        <c:lblOffset val="100"/>
        <c:noMultiLvlLbl val="0"/>
      </c:catAx>
      <c:valAx>
        <c:axId val="57078144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57072256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497E-2"/>
          <c:y val="0.87554049929805289"/>
          <c:w val="0.8444690109100601"/>
          <c:h val="8.0968076664835506E-2"/>
        </c:manualLayout>
      </c:layout>
      <c:overlay val="0"/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>
                <a:solidFill>
                  <a:srgbClr val="57A519"/>
                </a:solidFill>
              </a:defRPr>
            </a:pPr>
            <a:r>
              <a:rPr lang="es-MX" sz="1200" b="0">
                <a:solidFill>
                  <a:srgbClr val="57A519"/>
                </a:solidFill>
              </a:rPr>
              <a:t>Iztapalapa</a:t>
            </a:r>
          </a:p>
        </c:rich>
      </c:tx>
      <c:layout>
        <c:manualLayout>
          <c:xMode val="edge"/>
          <c:yMode val="edge"/>
          <c:x val="0.4264089505368121"/>
          <c:y val="1.03359173126614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376747608535691E-2"/>
          <c:y val="0.10671834625322997"/>
          <c:w val="0.93524650478292859"/>
          <c:h val="0.65183991535941732"/>
        </c:manualLayout>
      </c:layout>
      <c:lineChart>
        <c:grouping val="standard"/>
        <c:varyColors val="0"/>
        <c:ser>
          <c:idx val="0"/>
          <c:order val="0"/>
          <c:tx>
            <c:strRef>
              <c:f>'Matricula uni'!$B$16</c:f>
              <c:strCache>
                <c:ptCount val="1"/>
                <c:pt idx="0">
                  <c:v>CBI</c:v>
                </c:pt>
              </c:strCache>
            </c:strRef>
          </c:tx>
          <c:spPr>
            <a:ln w="12700">
              <a:solidFill>
                <a:srgbClr val="C00000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CD032E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D032E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5"/>
              <c:pt idx="0">
                <c:v>2010</c:v>
              </c:pt>
              <c:pt idx="1">
                <c:v>2011</c:v>
              </c:pt>
              <c:pt idx="2">
                <c:v>2012</c:v>
              </c:pt>
              <c:pt idx="3">
                <c:v>2013</c:v>
              </c:pt>
              <c:pt idx="4">
                <c:v>2014</c:v>
              </c:pt>
            </c:numLit>
          </c:cat>
          <c:val>
            <c:numRef>
              <c:f>('Matricula uni'!$Z$16,'Matricula uni'!$AC$16,'Matricula uni'!$AF$16,'Matricula uni'!$AI$16,'Matricula uni'!$AL$16)</c:f>
              <c:numCache>
                <c:formatCode>#,##0</c:formatCode>
                <c:ptCount val="5"/>
                <c:pt idx="0">
                  <c:v>2868</c:v>
                </c:pt>
                <c:pt idx="1">
                  <c:v>3016</c:v>
                </c:pt>
                <c:pt idx="2">
                  <c:v>3114</c:v>
                </c:pt>
                <c:pt idx="3">
                  <c:v>3623</c:v>
                </c:pt>
                <c:pt idx="4">
                  <c:v>3750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00-4E31-9759-070241F1D038}"/>
            </c:ext>
          </c:extLst>
        </c:ser>
        <c:ser>
          <c:idx val="1"/>
          <c:order val="1"/>
          <c:tx>
            <c:strRef>
              <c:f>'Matricula uni'!$B$17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3"/>
              <c:layout>
                <c:manualLayout>
                  <c:x val="-5.4768153980752403E-2"/>
                  <c:y val="4.07365358399967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00-4E31-9759-070241F1D0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5"/>
              <c:pt idx="0">
                <c:v>2010</c:v>
              </c:pt>
              <c:pt idx="1">
                <c:v>2011</c:v>
              </c:pt>
              <c:pt idx="2">
                <c:v>2012</c:v>
              </c:pt>
              <c:pt idx="3">
                <c:v>2013</c:v>
              </c:pt>
              <c:pt idx="4">
                <c:v>2014</c:v>
              </c:pt>
            </c:numLit>
          </c:cat>
          <c:val>
            <c:numRef>
              <c:f>('Matricula uni'!$Z$17,'Matricula uni'!$AC$17,'Matricula uni'!$AF$17,'Matricula uni'!$AI$17,'Matricula uni'!$AL$17)</c:f>
              <c:numCache>
                <c:formatCode>#,##0</c:formatCode>
                <c:ptCount val="5"/>
                <c:pt idx="0">
                  <c:v>5289</c:v>
                </c:pt>
                <c:pt idx="1">
                  <c:v>5318</c:v>
                </c:pt>
                <c:pt idx="2">
                  <c:v>5362</c:v>
                </c:pt>
                <c:pt idx="3">
                  <c:v>5492</c:v>
                </c:pt>
                <c:pt idx="4">
                  <c:v>5510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00-4E31-9759-070241F1D038}"/>
            </c:ext>
          </c:extLst>
        </c:ser>
        <c:ser>
          <c:idx val="2"/>
          <c:order val="2"/>
          <c:tx>
            <c:strRef>
              <c:f>'Matricula uni'!$B$18</c:f>
              <c:strCache>
                <c:ptCount val="1"/>
                <c:pt idx="0">
                  <c:v>CBS</c:v>
                </c:pt>
              </c:strCache>
            </c:strRef>
          </c:tx>
          <c:spPr>
            <a:ln w="12700">
              <a:solidFill>
                <a:srgbClr val="0072CE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rgbClr val="0072CE"/>
                </a:solidFill>
              </a:ln>
            </c:spPr>
          </c:marker>
          <c:dLbls>
            <c:dLbl>
              <c:idx val="3"/>
              <c:layout>
                <c:manualLayout>
                  <c:x val="-5.4768153980752403E-2"/>
                  <c:y val="-4.0736535839996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00-4E31-9759-070241F1D0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72CE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5"/>
              <c:pt idx="0">
                <c:v>2010</c:v>
              </c:pt>
              <c:pt idx="1">
                <c:v>2011</c:v>
              </c:pt>
              <c:pt idx="2">
                <c:v>2012</c:v>
              </c:pt>
              <c:pt idx="3">
                <c:v>2013</c:v>
              </c:pt>
              <c:pt idx="4">
                <c:v>2014</c:v>
              </c:pt>
            </c:numLit>
          </c:cat>
          <c:val>
            <c:numRef>
              <c:f>('Matricula uni'!$Z$18,'Matricula uni'!$AC$18,'Matricula uni'!$AF$18,'Matricula uni'!$AI$18,'Matricula uni'!$AL$18)</c:f>
              <c:numCache>
                <c:formatCode>#,##0</c:formatCode>
                <c:ptCount val="5"/>
                <c:pt idx="0">
                  <c:v>3242</c:v>
                </c:pt>
                <c:pt idx="1">
                  <c:v>3409</c:v>
                </c:pt>
                <c:pt idx="2">
                  <c:v>3692</c:v>
                </c:pt>
                <c:pt idx="3">
                  <c:v>4061</c:v>
                </c:pt>
                <c:pt idx="4">
                  <c:v>4068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100-4E31-9759-070241F1D0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136256"/>
        <c:axId val="57137792"/>
      </c:lineChart>
      <c:catAx>
        <c:axId val="57136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7137792"/>
        <c:crosses val="autoZero"/>
        <c:auto val="1"/>
        <c:lblAlgn val="ctr"/>
        <c:lblOffset val="100"/>
        <c:noMultiLvlLbl val="0"/>
      </c:catAx>
      <c:valAx>
        <c:axId val="57137792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57136256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497E-2"/>
          <c:y val="0.87554049929805289"/>
          <c:w val="0.8444690109100601"/>
          <c:h val="8.0968076664835506E-2"/>
        </c:manualLayout>
      </c:layout>
      <c:overlay val="0"/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1"/>
            </a:pPr>
            <a:r>
              <a:rPr lang="es-MX" sz="1600" b="0" i="1"/>
              <a:t>Aspirantes</a:t>
            </a:r>
            <a:r>
              <a:rPr lang="es-MX" sz="1600" b="0" i="1" baseline="0"/>
              <a:t> a licenciatura por género</a:t>
            </a:r>
            <a:endParaRPr lang="es-MX" sz="1600" b="0" i="1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'Asp x gen'!$C$4</c:f>
              <c:strCache>
                <c:ptCount val="1"/>
                <c:pt idx="0">
                  <c:v>Femenino</c:v>
                </c:pt>
              </c:strCache>
            </c:strRef>
          </c:tx>
          <c:spPr>
            <a:ln w="19050">
              <a:solidFill>
                <a:srgbClr val="00B0F0"/>
              </a:solidFill>
            </a:ln>
          </c:spPr>
          <c:marker>
            <c:symbol val="diamond"/>
            <c:size val="5"/>
            <c:spPr>
              <a:noFill/>
              <a:ln>
                <a:solidFill>
                  <a:srgbClr val="00B0F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solidFill>
                      <a:srgbClr val="00B0F0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'Asp x gen'!$AF$42:$AF$58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('Asp x gen'!$C$37,'Asp x gen'!$F$37,'Asp x gen'!$I$37,'Asp x gen'!$L$37,'Asp x gen'!$O$37,'Asp x gen'!$R$37,'Asp x gen'!$U$37,'Asp x gen'!$X$37,'Asp x gen'!$AA$37,'Asp x gen'!$AD$37,'Asp x gen'!$AG$37,'Asp x gen'!$AJ$37,'Asp x gen'!$AM$37,'Asp x gen'!$AP$37,'Asp x gen'!$AS$37,'Asp x gen'!$AV$37,'Asp x gen'!$AY$37)</c:f>
              <c:numCache>
                <c:formatCode>#,##0</c:formatCode>
                <c:ptCount val="17"/>
                <c:pt idx="0">
                  <c:v>30697</c:v>
                </c:pt>
                <c:pt idx="1">
                  <c:v>32320</c:v>
                </c:pt>
                <c:pt idx="2">
                  <c:v>35147</c:v>
                </c:pt>
                <c:pt idx="3">
                  <c:v>38053</c:v>
                </c:pt>
                <c:pt idx="4">
                  <c:v>41577</c:v>
                </c:pt>
                <c:pt idx="5">
                  <c:v>42701</c:v>
                </c:pt>
                <c:pt idx="6">
                  <c:v>46619</c:v>
                </c:pt>
                <c:pt idx="7">
                  <c:v>47411</c:v>
                </c:pt>
                <c:pt idx="8">
                  <c:v>46359</c:v>
                </c:pt>
                <c:pt idx="9">
                  <c:v>50302</c:v>
                </c:pt>
                <c:pt idx="10">
                  <c:v>51182</c:v>
                </c:pt>
                <c:pt idx="11">
                  <c:v>51328</c:v>
                </c:pt>
                <c:pt idx="12">
                  <c:v>52647</c:v>
                </c:pt>
                <c:pt idx="13">
                  <c:v>44774</c:v>
                </c:pt>
                <c:pt idx="14">
                  <c:v>41867</c:v>
                </c:pt>
                <c:pt idx="15">
                  <c:v>42718</c:v>
                </c:pt>
                <c:pt idx="16">
                  <c:v>47344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8D-4956-9547-72D56ED856FA}"/>
            </c:ext>
          </c:extLst>
        </c:ser>
        <c:ser>
          <c:idx val="1"/>
          <c:order val="1"/>
          <c:tx>
            <c:strRef>
              <c:f>'Asp x gen'!$D$4</c:f>
              <c:strCache>
                <c:ptCount val="1"/>
                <c:pt idx="0">
                  <c:v>Masculino</c:v>
                </c:pt>
              </c:strCache>
            </c:strRef>
          </c:tx>
          <c:spPr>
            <a:ln w="19050">
              <a:solidFill>
                <a:srgbClr val="AD25A8"/>
              </a:solidFill>
            </a:ln>
          </c:spPr>
          <c:marker>
            <c:symbol val="square"/>
            <c:size val="5"/>
            <c:spPr>
              <a:noFill/>
              <a:ln>
                <a:solidFill>
                  <a:srgbClr val="AD25A8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solidFill>
                      <a:srgbClr val="AD25A8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'Asp x gen'!$AF$42:$AF$58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('Asp x gen'!$D$37,'Asp x gen'!$G$37,'Asp x gen'!$J$37,'Asp x gen'!$M$37,'Asp x gen'!$P$37,'Asp x gen'!$S$37,'Asp x gen'!$V$37,'Asp x gen'!$Y$37,'Asp x gen'!$AB$37,'Asp x gen'!$AE$37,'Asp x gen'!$AH$37,'Asp x gen'!$AK$37,'Asp x gen'!$AN$37,'Asp x gen'!$AQ$37,'Asp x gen'!$AT$37,'Asp x gen'!$AW$37,'Asp x gen'!$AZ$37)</c:f>
              <c:numCache>
                <c:formatCode>#,##0</c:formatCode>
                <c:ptCount val="17"/>
                <c:pt idx="0">
                  <c:v>25838</c:v>
                </c:pt>
                <c:pt idx="1">
                  <c:v>27263</c:v>
                </c:pt>
                <c:pt idx="2">
                  <c:v>30048</c:v>
                </c:pt>
                <c:pt idx="3">
                  <c:v>31937</c:v>
                </c:pt>
                <c:pt idx="4">
                  <c:v>35414</c:v>
                </c:pt>
                <c:pt idx="5">
                  <c:v>36326</c:v>
                </c:pt>
                <c:pt idx="6">
                  <c:v>40450</c:v>
                </c:pt>
                <c:pt idx="7">
                  <c:v>40707</c:v>
                </c:pt>
                <c:pt idx="8">
                  <c:v>39794</c:v>
                </c:pt>
                <c:pt idx="9">
                  <c:v>42388</c:v>
                </c:pt>
                <c:pt idx="10">
                  <c:v>42570</c:v>
                </c:pt>
                <c:pt idx="11">
                  <c:v>41679</c:v>
                </c:pt>
                <c:pt idx="12">
                  <c:v>43334</c:v>
                </c:pt>
                <c:pt idx="13">
                  <c:v>38030</c:v>
                </c:pt>
                <c:pt idx="14">
                  <c:v>31897</c:v>
                </c:pt>
                <c:pt idx="15">
                  <c:v>31621</c:v>
                </c:pt>
                <c:pt idx="16">
                  <c:v>35615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8D-4956-9547-72D56ED856FA}"/>
            </c:ext>
          </c:extLst>
        </c:ser>
        <c:ser>
          <c:idx val="2"/>
          <c:order val="2"/>
          <c:tx>
            <c:strRef>
              <c:f>'Asp x gen'!$E$4</c:f>
              <c:strCache>
                <c:ptCount val="1"/>
                <c:pt idx="0">
                  <c:v>Total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chemeClr val="tx1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/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'Asp x gen'!$AF$42:$AF$58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('Asp x gen'!$E$37,'Asp x gen'!$H$37,'Asp x gen'!$K$37,'Asp x gen'!$N$37,'Asp x gen'!$Q$37,'Asp x gen'!$T$37,'Asp x gen'!$W$37,'Asp x gen'!$Z$37,'Asp x gen'!$AC$37,'Asp x gen'!$AF$37,'Asp x gen'!$AI$37,'Asp x gen'!$AL$37,'Asp x gen'!$AO$37,'Asp x gen'!$AR$37,'Asp x gen'!$AU$37,'Asp x gen'!$AX$37,'Asp x gen'!$BA$37)</c:f>
              <c:numCache>
                <c:formatCode>#,##0</c:formatCode>
                <c:ptCount val="17"/>
                <c:pt idx="0">
                  <c:v>56535</c:v>
                </c:pt>
                <c:pt idx="1">
                  <c:v>59583</c:v>
                </c:pt>
                <c:pt idx="2">
                  <c:v>65195</c:v>
                </c:pt>
                <c:pt idx="3">
                  <c:v>69990</c:v>
                </c:pt>
                <c:pt idx="4">
                  <c:v>76991</c:v>
                </c:pt>
                <c:pt idx="5">
                  <c:v>79027</c:v>
                </c:pt>
                <c:pt idx="6">
                  <c:v>87069</c:v>
                </c:pt>
                <c:pt idx="7">
                  <c:v>88118</c:v>
                </c:pt>
                <c:pt idx="8">
                  <c:v>86153</c:v>
                </c:pt>
                <c:pt idx="9">
                  <c:v>92690</c:v>
                </c:pt>
                <c:pt idx="10">
                  <c:v>93752</c:v>
                </c:pt>
                <c:pt idx="11">
                  <c:v>93007</c:v>
                </c:pt>
                <c:pt idx="12">
                  <c:v>95981</c:v>
                </c:pt>
                <c:pt idx="13">
                  <c:v>82804</c:v>
                </c:pt>
                <c:pt idx="14">
                  <c:v>73764</c:v>
                </c:pt>
                <c:pt idx="15">
                  <c:v>74339</c:v>
                </c:pt>
                <c:pt idx="16">
                  <c:v>82959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8D-4956-9547-72D56ED856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228416"/>
        <c:axId val="111229952"/>
      </c:lineChart>
      <c:catAx>
        <c:axId val="111228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s-MX"/>
          </a:p>
        </c:txPr>
        <c:crossAx val="111229952"/>
        <c:crosses val="autoZero"/>
        <c:auto val="1"/>
        <c:lblAlgn val="ctr"/>
        <c:lblOffset val="100"/>
        <c:noMultiLvlLbl val="0"/>
      </c:catAx>
      <c:valAx>
        <c:axId val="111229952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11228416"/>
        <c:crosses val="autoZero"/>
        <c:crossBetween val="between"/>
      </c:valAx>
      <c:spPr>
        <a:noFill/>
      </c:spPr>
    </c:plotArea>
    <c:legend>
      <c:legendPos val="l"/>
      <c:layout>
        <c:manualLayout>
          <c:xMode val="edge"/>
          <c:yMode val="edge"/>
          <c:x val="5.4003584005940276E-2"/>
          <c:y val="0.10847071194189975"/>
          <c:w val="0.14301539692628423"/>
          <c:h val="0.16518458653580209"/>
        </c:manualLayout>
      </c:layout>
      <c:overlay val="1"/>
      <c:spPr>
        <a:noFill/>
        <a:effectLst>
          <a:outerShdw blurRad="50800" dist="38100" dir="2700000" algn="tl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sz="12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>
                <a:solidFill>
                  <a:srgbClr val="AD25A8"/>
                </a:solidFill>
              </a:defRPr>
            </a:pPr>
            <a:r>
              <a:rPr lang="es-MX" sz="1200" b="0">
                <a:solidFill>
                  <a:srgbClr val="AD25A8"/>
                </a:solidFill>
              </a:rPr>
              <a:t>Lerma</a:t>
            </a:r>
          </a:p>
        </c:rich>
      </c:tx>
      <c:layout>
        <c:manualLayout>
          <c:xMode val="edge"/>
          <c:yMode val="edge"/>
          <c:x val="0.4264089505368121"/>
          <c:y val="1.03359173126614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376747608535691E-2"/>
          <c:y val="0.10671834625322997"/>
          <c:w val="0.93524650478292859"/>
          <c:h val="0.65183991535941732"/>
        </c:manualLayout>
      </c:layout>
      <c:lineChart>
        <c:grouping val="standard"/>
        <c:varyColors val="0"/>
        <c:ser>
          <c:idx val="0"/>
          <c:order val="0"/>
          <c:tx>
            <c:strRef>
              <c:f>'Matricula uni'!$B$21</c:f>
              <c:strCache>
                <c:ptCount val="1"/>
                <c:pt idx="0">
                  <c:v>CBI</c:v>
                </c:pt>
              </c:strCache>
            </c:strRef>
          </c:tx>
          <c:spPr>
            <a:ln w="12700">
              <a:solidFill>
                <a:srgbClr val="C00000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CD032E"/>
                </a:solidFill>
              </a:ln>
            </c:spPr>
          </c:marker>
          <c:dLbls>
            <c:dLbl>
              <c:idx val="0"/>
              <c:layout>
                <c:manualLayout>
                  <c:x val="-3.401041757197569E-2"/>
                  <c:y val="-5.2286719973956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4E-4869-A756-9C667BC9883C}"/>
                </c:ext>
              </c:extLst>
            </c:dLbl>
            <c:dLbl>
              <c:idx val="1"/>
              <c:layout>
                <c:manualLayout>
                  <c:x val="-3.9897098955345815E-2"/>
                  <c:y val="-8.3294471911941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4E-4869-A756-9C667BC988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D032E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4"/>
              <c:pt idx="0">
                <c:v>2011</c:v>
              </c:pt>
              <c:pt idx="1">
                <c:v>2012</c:v>
              </c:pt>
              <c:pt idx="2">
                <c:v>2013</c:v>
              </c:pt>
              <c:pt idx="3">
                <c:v>2014</c:v>
              </c:pt>
            </c:numLit>
          </c:cat>
          <c:val>
            <c:numRef>
              <c:f>('Matricula uni'!$AC$21,'Matricula uni'!$AF$21,'Matricula uni'!$AI$21,'Matricula uni'!$AL$21)</c:f>
              <c:numCache>
                <c:formatCode>#,##0</c:formatCode>
                <c:ptCount val="4"/>
                <c:pt idx="0">
                  <c:v>57</c:v>
                </c:pt>
                <c:pt idx="1">
                  <c:v>78</c:v>
                </c:pt>
                <c:pt idx="2">
                  <c:v>106</c:v>
                </c:pt>
                <c:pt idx="3">
                  <c:v>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4E-4869-A756-9C667BC9883C}"/>
            </c:ext>
          </c:extLst>
        </c:ser>
        <c:ser>
          <c:idx val="1"/>
          <c:order val="1"/>
          <c:tx>
            <c:strRef>
              <c:f>'Matricula uni'!$B$22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0"/>
              <c:layout>
                <c:manualLayout>
                  <c:x val="-6.9330505872196441E-2"/>
                  <c:y val="-9.728783902012249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4E-4869-A756-9C667BC9883C}"/>
                </c:ext>
              </c:extLst>
            </c:dLbl>
            <c:dLbl>
              <c:idx val="1"/>
              <c:layout>
                <c:manualLayout>
                  <c:x val="-3.9897098955345815E-2"/>
                  <c:y val="-4.5904494496327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4E-4869-A756-9C667BC9883C}"/>
                </c:ext>
              </c:extLst>
            </c:dLbl>
            <c:dLbl>
              <c:idx val="3"/>
              <c:layout>
                <c:manualLayout>
                  <c:x val="-3.4164769138956858E-2"/>
                  <c:y val="3.67828440049644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4E-4869-A756-9C667BC988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4"/>
              <c:pt idx="0">
                <c:v>2011</c:v>
              </c:pt>
              <c:pt idx="1">
                <c:v>2012</c:v>
              </c:pt>
              <c:pt idx="2">
                <c:v>2013</c:v>
              </c:pt>
              <c:pt idx="3">
                <c:v>2014</c:v>
              </c:pt>
            </c:numLit>
          </c:cat>
          <c:val>
            <c:numRef>
              <c:f>('Matricula uni'!$AC$22,'Matricula uni'!$AF$22,'Matricula uni'!$AI$22,'Matricula uni'!$AL$22)</c:f>
              <c:numCache>
                <c:formatCode>#,##0</c:formatCode>
                <c:ptCount val="4"/>
                <c:pt idx="0">
                  <c:v>51</c:v>
                </c:pt>
                <c:pt idx="1">
                  <c:v>76</c:v>
                </c:pt>
                <c:pt idx="2">
                  <c:v>132</c:v>
                </c:pt>
                <c:pt idx="3">
                  <c:v>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44E-4869-A756-9C667BC9883C}"/>
            </c:ext>
          </c:extLst>
        </c:ser>
        <c:ser>
          <c:idx val="2"/>
          <c:order val="2"/>
          <c:tx>
            <c:strRef>
              <c:f>'Matricula uni'!$B$23</c:f>
              <c:strCache>
                <c:ptCount val="1"/>
                <c:pt idx="0">
                  <c:v>CBS</c:v>
                </c:pt>
              </c:strCache>
            </c:strRef>
          </c:tx>
          <c:spPr>
            <a:ln w="12700">
              <a:solidFill>
                <a:srgbClr val="0072CE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rgbClr val="0072CE"/>
                </a:solidFill>
              </a:ln>
            </c:spPr>
          </c:marker>
          <c:dLbls>
            <c:dLbl>
              <c:idx val="0"/>
              <c:layout>
                <c:manualLayout>
                  <c:x val="-3.6953758263660749E-2"/>
                  <c:y val="5.1072453152658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4E-4869-A756-9C667BC9883C}"/>
                </c:ext>
              </c:extLst>
            </c:dLbl>
            <c:dLbl>
              <c:idx val="1"/>
              <c:layout>
                <c:manualLayout>
                  <c:x val="-3.6953758263660749E-2"/>
                  <c:y val="4.0736535839996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4E-4869-A756-9C667BC9883C}"/>
                </c:ext>
              </c:extLst>
            </c:dLbl>
            <c:dLbl>
              <c:idx val="2"/>
              <c:layout>
                <c:manualLayout>
                  <c:x val="-3.401041757197569E-2"/>
                  <c:y val="-4.1950802661295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4E-4869-A756-9C667BC9883C}"/>
                </c:ext>
              </c:extLst>
            </c:dLbl>
            <c:dLbl>
              <c:idx val="3"/>
              <c:layout>
                <c:manualLayout>
                  <c:x val="-3.401041757197569E-2"/>
                  <c:y val="-5.22867199739567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4E-4869-A756-9C667BC988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72CE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4"/>
              <c:pt idx="0">
                <c:v>2011</c:v>
              </c:pt>
              <c:pt idx="1">
                <c:v>2012</c:v>
              </c:pt>
              <c:pt idx="2">
                <c:v>2013</c:v>
              </c:pt>
              <c:pt idx="3">
                <c:v>2014</c:v>
              </c:pt>
            </c:numLit>
          </c:cat>
          <c:val>
            <c:numRef>
              <c:f>('Matricula uni'!$AC$23,'Matricula uni'!$AF$23,'Matricula uni'!$AI$23,'Matricula uni'!$AL$23)</c:f>
              <c:numCache>
                <c:formatCode>#,##0</c:formatCode>
                <c:ptCount val="4"/>
                <c:pt idx="0">
                  <c:v>53</c:v>
                </c:pt>
                <c:pt idx="1">
                  <c:v>66</c:v>
                </c:pt>
                <c:pt idx="2">
                  <c:v>110</c:v>
                </c:pt>
                <c:pt idx="3">
                  <c:v>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44E-4869-A756-9C667BC98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321728"/>
        <c:axId val="57339904"/>
      </c:lineChart>
      <c:catAx>
        <c:axId val="57321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7339904"/>
        <c:crosses val="autoZero"/>
        <c:auto val="1"/>
        <c:lblAlgn val="ctr"/>
        <c:lblOffset val="100"/>
        <c:noMultiLvlLbl val="0"/>
      </c:catAx>
      <c:valAx>
        <c:axId val="57339904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57321728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497E-2"/>
          <c:y val="0.87554049929805289"/>
          <c:w val="0.8444690109100601"/>
          <c:h val="8.0968076664835506E-2"/>
        </c:manualLayout>
      </c:layout>
      <c:overlay val="0"/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>
                <a:solidFill>
                  <a:srgbClr val="0072CE"/>
                </a:solidFill>
              </a:defRPr>
            </a:pPr>
            <a:r>
              <a:rPr lang="es-MX" sz="1200" b="0">
                <a:solidFill>
                  <a:srgbClr val="0072CE"/>
                </a:solidFill>
              </a:rPr>
              <a:t>Xochimilco</a:t>
            </a:r>
          </a:p>
        </c:rich>
      </c:tx>
      <c:layout>
        <c:manualLayout>
          <c:xMode val="edge"/>
          <c:yMode val="edge"/>
          <c:x val="0.4264089505368121"/>
          <c:y val="1.03359173126614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376747608535691E-2"/>
          <c:y val="0.10671834625322997"/>
          <c:w val="0.93524650478292859"/>
          <c:h val="0.65183991535941732"/>
        </c:manualLayout>
      </c:layout>
      <c:lineChart>
        <c:grouping val="standard"/>
        <c:varyColors val="0"/>
        <c:ser>
          <c:idx val="0"/>
          <c:order val="0"/>
          <c:tx>
            <c:strRef>
              <c:f>'Matricula uni'!$B$26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5"/>
              <c:pt idx="0">
                <c:v>2010</c:v>
              </c:pt>
              <c:pt idx="1">
                <c:v>2011</c:v>
              </c:pt>
              <c:pt idx="2">
                <c:v>2012</c:v>
              </c:pt>
              <c:pt idx="3">
                <c:v>2013</c:v>
              </c:pt>
              <c:pt idx="4">
                <c:v>2014</c:v>
              </c:pt>
            </c:numLit>
          </c:cat>
          <c:val>
            <c:numRef>
              <c:f>('Matricula uni'!$Z$26,'Matricula uni'!$AC$26,'Matricula uni'!$AF$26,'Matricula uni'!$AI$26,'Matricula uni'!$AL$26)</c:f>
              <c:numCache>
                <c:formatCode>#,##0</c:formatCode>
                <c:ptCount val="5"/>
                <c:pt idx="0">
                  <c:v>4746</c:v>
                </c:pt>
                <c:pt idx="1">
                  <c:v>4733</c:v>
                </c:pt>
                <c:pt idx="2">
                  <c:v>4841</c:v>
                </c:pt>
                <c:pt idx="3">
                  <c:v>4753</c:v>
                </c:pt>
                <c:pt idx="4">
                  <c:v>4782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33-45A2-8974-7027753E5EC9}"/>
            </c:ext>
          </c:extLst>
        </c:ser>
        <c:ser>
          <c:idx val="1"/>
          <c:order val="1"/>
          <c:tx>
            <c:strRef>
              <c:f>'Matricula uni'!$B$27</c:f>
              <c:strCache>
                <c:ptCount val="1"/>
                <c:pt idx="0">
                  <c:v>CBS</c:v>
                </c:pt>
              </c:strCache>
            </c:strRef>
          </c:tx>
          <c:spPr>
            <a:ln w="12700">
              <a:solidFill>
                <a:srgbClr val="0072CE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0072CE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72CE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5"/>
              <c:pt idx="0">
                <c:v>2010</c:v>
              </c:pt>
              <c:pt idx="1">
                <c:v>2011</c:v>
              </c:pt>
              <c:pt idx="2">
                <c:v>2012</c:v>
              </c:pt>
              <c:pt idx="3">
                <c:v>2013</c:v>
              </c:pt>
              <c:pt idx="4">
                <c:v>2014</c:v>
              </c:pt>
            </c:numLit>
          </c:cat>
          <c:val>
            <c:numRef>
              <c:f>('Matricula uni'!$Z$27,'Matricula uni'!$AC$27,'Matricula uni'!$AF$27,'Matricula uni'!$AI$27,'Matricula uni'!$AL$27)</c:f>
              <c:numCache>
                <c:formatCode>#,##0</c:formatCode>
                <c:ptCount val="5"/>
                <c:pt idx="0">
                  <c:v>6339</c:v>
                </c:pt>
                <c:pt idx="1">
                  <c:v>6294</c:v>
                </c:pt>
                <c:pt idx="2">
                  <c:v>6161</c:v>
                </c:pt>
                <c:pt idx="3">
                  <c:v>6284</c:v>
                </c:pt>
                <c:pt idx="4">
                  <c:v>6362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33-45A2-8974-7027753E5EC9}"/>
            </c:ext>
          </c:extLst>
        </c:ser>
        <c:ser>
          <c:idx val="2"/>
          <c:order val="2"/>
          <c:tx>
            <c:strRef>
              <c:f>'Matricula uni'!$B$28</c:f>
              <c:strCache>
                <c:ptCount val="1"/>
                <c:pt idx="0">
                  <c:v>CAD</c:v>
                </c:pt>
              </c:strCache>
            </c:strRef>
          </c:tx>
          <c:spPr>
            <a:ln w="12700">
              <a:solidFill>
                <a:srgbClr val="AD25A8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rgbClr val="AD25A8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AD25A8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5"/>
              <c:pt idx="0">
                <c:v>2010</c:v>
              </c:pt>
              <c:pt idx="1">
                <c:v>2011</c:v>
              </c:pt>
              <c:pt idx="2">
                <c:v>2012</c:v>
              </c:pt>
              <c:pt idx="3">
                <c:v>2013</c:v>
              </c:pt>
              <c:pt idx="4">
                <c:v>2014</c:v>
              </c:pt>
            </c:numLit>
          </c:cat>
          <c:val>
            <c:numRef>
              <c:f>('Matricula uni'!$Z$28,'Matricula uni'!$AC$28,'Matricula uni'!$AF$28,'Matricula uni'!$AI$28,'Matricula uni'!$AL$28)</c:f>
              <c:numCache>
                <c:formatCode>#,##0</c:formatCode>
                <c:ptCount val="5"/>
                <c:pt idx="0">
                  <c:v>2400</c:v>
                </c:pt>
                <c:pt idx="1">
                  <c:v>2429</c:v>
                </c:pt>
                <c:pt idx="2">
                  <c:v>2430</c:v>
                </c:pt>
                <c:pt idx="3">
                  <c:v>2454</c:v>
                </c:pt>
                <c:pt idx="4">
                  <c:v>2423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33-45A2-8974-7027753E5E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174848"/>
        <c:axId val="116176384"/>
      </c:lineChart>
      <c:catAx>
        <c:axId val="11617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6176384"/>
        <c:crosses val="autoZero"/>
        <c:auto val="1"/>
        <c:lblAlgn val="ctr"/>
        <c:lblOffset val="100"/>
        <c:noMultiLvlLbl val="0"/>
      </c:catAx>
      <c:valAx>
        <c:axId val="116176384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16174848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497E-2"/>
          <c:y val="0.87554049929805289"/>
          <c:w val="0.8444690109100601"/>
          <c:h val="8.0968076664835506E-2"/>
        </c:manualLayout>
      </c:layout>
      <c:overlay val="0"/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1"/>
            </a:pPr>
            <a:r>
              <a:rPr lang="es-MX" sz="1200" b="0" i="1"/>
              <a:t>Bajas Definitivas de Licenciatura</a:t>
            </a:r>
          </a:p>
        </c:rich>
      </c:tx>
      <c:layout>
        <c:manualLayout>
          <c:xMode val="edge"/>
          <c:yMode val="edge"/>
          <c:x val="0.3752350254463806"/>
          <c:y val="2.668449462685089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noFill/>
        <a:effectLst>
          <a:outerShdw blurRad="76200" dist="12700" dir="8100000" sy="-23000" kx="800400" algn="br" rotWithShape="0">
            <a:prstClr val="black">
              <a:alpha val="20000"/>
            </a:prstClr>
          </a:outerShdw>
        </a:effectLst>
      </c:spPr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'BAJAS-DEF uni'!$B$9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rgbClr val="CD032E"/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19"/>
              <c:layout>
                <c:manualLayout>
                  <c:x val="3.3710737276827301E-3"/>
                  <c:y val="-3.308519437551695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800">
                      <a:solidFill>
                        <a:srgbClr val="0072CE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75-47FE-9612-7F206D4785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('BAJAS-DEF uni'!$C$4:$O$4,'BAJAS-DEF uni'!$P$4,'BAJAS-DEF uni'!$Q$4,'BAJAS-DEF uni'!$R$4,'BAJAS-DEF uni'!$S$4,'BAJAS-DEF uni'!$T$4,'BAJAS-DEF uni'!$U$4,'BAJAS-DEF uni'!$V$4,'BAJAS-DEF uni'!$W$4)</c:f>
              <c:numCache>
                <c:formatCode>General</c:formatCode>
                <c:ptCount val="21"/>
                <c:pt idx="0" formatCode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</c:numCache>
            </c:numRef>
          </c:cat>
          <c:val>
            <c:numRef>
              <c:f>('BAJAS-DEF uni'!$C$9:$O$9,'BAJAS-DEF uni'!$P$9,'BAJAS-DEF uni'!$Q$9,'BAJAS-DEF uni'!$R$9,'BAJAS-DEF uni'!$S$9,'BAJAS-DEF uni'!$T$9,'BAJAS-DEF uni'!$U$9,'BAJAS-DEF uni'!$V$9,'BAJAS-DEF uni'!$W$9)</c:f>
              <c:numCache>
                <c:formatCode>General</c:formatCode>
                <c:ptCount val="21"/>
                <c:pt idx="0">
                  <c:v>297</c:v>
                </c:pt>
                <c:pt idx="1">
                  <c:v>300</c:v>
                </c:pt>
                <c:pt idx="2">
                  <c:v>251</c:v>
                </c:pt>
                <c:pt idx="3">
                  <c:v>205</c:v>
                </c:pt>
                <c:pt idx="4">
                  <c:v>218</c:v>
                </c:pt>
                <c:pt idx="5">
                  <c:v>231</c:v>
                </c:pt>
                <c:pt idx="6">
                  <c:v>221</c:v>
                </c:pt>
                <c:pt idx="7">
                  <c:v>222</c:v>
                </c:pt>
                <c:pt idx="8">
                  <c:v>204</c:v>
                </c:pt>
                <c:pt idx="9">
                  <c:v>197</c:v>
                </c:pt>
                <c:pt idx="10">
                  <c:v>201</c:v>
                </c:pt>
                <c:pt idx="11">
                  <c:v>227</c:v>
                </c:pt>
                <c:pt idx="12">
                  <c:v>168</c:v>
                </c:pt>
                <c:pt idx="13">
                  <c:v>242</c:v>
                </c:pt>
                <c:pt idx="14">
                  <c:v>151</c:v>
                </c:pt>
                <c:pt idx="15" formatCode="#,##0">
                  <c:v>134</c:v>
                </c:pt>
                <c:pt idx="16" formatCode="#,##0">
                  <c:v>162</c:v>
                </c:pt>
                <c:pt idx="17" formatCode="#,##0">
                  <c:v>165</c:v>
                </c:pt>
                <c:pt idx="18" formatCode="#,##0">
                  <c:v>81</c:v>
                </c:pt>
                <c:pt idx="19" formatCode="#,##0">
                  <c:v>2</c:v>
                </c:pt>
                <c:pt idx="20" formatCode="#,##0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CD-4066-9F09-BD5D5574255D}"/>
            </c:ext>
          </c:extLst>
        </c:ser>
        <c:ser>
          <c:idx val="1"/>
          <c:order val="1"/>
          <c:tx>
            <c:strRef>
              <c:f>'BAJAS-DEF uni'!$B$14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2"/>
              <c:layout>
                <c:manualLayout>
                  <c:x val="3.539040281941684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CD-4066-9F09-BD5D5574255D}"/>
                </c:ext>
              </c:extLst>
            </c:dLbl>
            <c:dLbl>
              <c:idx val="3"/>
              <c:layout>
                <c:manualLayout>
                  <c:x val="3.539040281941684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CD-4066-9F09-BD5D5574255D}"/>
                </c:ext>
              </c:extLst>
            </c:dLbl>
            <c:dLbl>
              <c:idx val="4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CD-4066-9F09-BD5D5574255D}"/>
                </c:ext>
              </c:extLst>
            </c:dLbl>
            <c:dLbl>
              <c:idx val="5"/>
              <c:layout>
                <c:manualLayout>
                  <c:x val="3.5390402819416846E-3"/>
                  <c:y val="-6.565128575666531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CD-4066-9F09-BD5D5574255D}"/>
                </c:ext>
              </c:extLst>
            </c:dLbl>
            <c:dLbl>
              <c:idx val="6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CD-4066-9F09-BD5D5574255D}"/>
                </c:ext>
              </c:extLst>
            </c:dLbl>
            <c:dLbl>
              <c:idx val="7"/>
              <c:layout>
                <c:manualLayout>
                  <c:x val="7.078080563883369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CD-4066-9F09-BD5D5574255D}"/>
                </c:ext>
              </c:extLst>
            </c:dLbl>
            <c:dLbl>
              <c:idx val="8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CD-4066-9F09-BD5D5574255D}"/>
                </c:ext>
              </c:extLst>
            </c:dLbl>
            <c:dLbl>
              <c:idx val="19"/>
              <c:layout>
                <c:manualLayout>
                  <c:x val="2.1397381728621132E-2"/>
                  <c:y val="-1.1816140848398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75-47FE-9612-7F206D4785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('BAJAS-DEF uni'!$C$4:$O$4,'BAJAS-DEF uni'!$P$4,'BAJAS-DEF uni'!$Q$4,'BAJAS-DEF uni'!$R$4,'BAJAS-DEF uni'!$S$4,'BAJAS-DEF uni'!$T$4,'BAJAS-DEF uni'!$U$4,'BAJAS-DEF uni'!$V$4,'BAJAS-DEF uni'!$W$4)</c:f>
              <c:numCache>
                <c:formatCode>General</c:formatCode>
                <c:ptCount val="21"/>
                <c:pt idx="0" formatCode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</c:numCache>
            </c:numRef>
          </c:cat>
          <c:val>
            <c:numRef>
              <c:f>('BAJAS-DEF uni'!$C$14:$O$14,'BAJAS-DEF uni'!$P$14,'BAJAS-DEF uni'!$Q$14,'BAJAS-DEF uni'!$R$14,'BAJAS-DEF uni'!$S$14,'BAJAS-DEF uni'!$T$14,'BAJAS-DEF uni'!$U$14,'BAJAS-DEF uni'!$V$14,'BAJAS-DEF uni'!$W$14)</c:f>
              <c:numCache>
                <c:formatCode>General</c:formatCode>
                <c:ptCount val="21"/>
                <c:pt idx="4">
                  <c:v>1</c:v>
                </c:pt>
                <c:pt idx="5">
                  <c:v>3</c:v>
                </c:pt>
                <c:pt idx="6">
                  <c:v>12</c:v>
                </c:pt>
                <c:pt idx="7">
                  <c:v>17</c:v>
                </c:pt>
                <c:pt idx="8">
                  <c:v>12</c:v>
                </c:pt>
                <c:pt idx="9">
                  <c:v>16</c:v>
                </c:pt>
                <c:pt idx="10">
                  <c:v>23</c:v>
                </c:pt>
                <c:pt idx="11">
                  <c:v>27</c:v>
                </c:pt>
                <c:pt idx="12">
                  <c:v>19</c:v>
                </c:pt>
                <c:pt idx="13">
                  <c:v>32</c:v>
                </c:pt>
                <c:pt idx="14">
                  <c:v>41</c:v>
                </c:pt>
                <c:pt idx="15" formatCode="#,##0">
                  <c:v>44</c:v>
                </c:pt>
                <c:pt idx="16" formatCode="#,##0">
                  <c:v>47</c:v>
                </c:pt>
                <c:pt idx="17" formatCode="#,##0">
                  <c:v>33</c:v>
                </c:pt>
                <c:pt idx="18" formatCode="#,##0">
                  <c:v>8</c:v>
                </c:pt>
                <c:pt idx="19" formatCode="#,##0">
                  <c:v>3</c:v>
                </c:pt>
                <c:pt idx="20" formatCode="#,##0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CCD-4066-9F09-BD5D5574255D}"/>
            </c:ext>
          </c:extLst>
        </c:ser>
        <c:ser>
          <c:idx val="2"/>
          <c:order val="2"/>
          <c:tx>
            <c:strRef>
              <c:f>'BAJAS-DEF uni'!$B$19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rgbClr val="57A519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7.078080563883369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CD-4066-9F09-BD5D5574255D}"/>
                </c:ext>
              </c:extLst>
            </c:dLbl>
            <c:dLbl>
              <c:idx val="1"/>
              <c:layout>
                <c:manualLayout>
                  <c:x val="7.078080563883369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CD-4066-9F09-BD5D5574255D}"/>
                </c:ext>
              </c:extLst>
            </c:dLbl>
            <c:dLbl>
              <c:idx val="2"/>
              <c:layout>
                <c:manualLayout>
                  <c:x val="7.0780805638833693E-3"/>
                  <c:y val="-3.5810205908683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CD-4066-9F09-BD5D5574255D}"/>
                </c:ext>
              </c:extLst>
            </c:dLbl>
            <c:dLbl>
              <c:idx val="3"/>
              <c:layout>
                <c:manualLayout>
                  <c:x val="5.3085604229125274E-3"/>
                  <c:y val="-6.565128575666531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CD-4066-9F09-BD5D5574255D}"/>
                </c:ext>
              </c:extLst>
            </c:dLbl>
            <c:dLbl>
              <c:idx val="4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CD-4066-9F09-BD5D5574255D}"/>
                </c:ext>
              </c:extLst>
            </c:dLbl>
            <c:dLbl>
              <c:idx val="5"/>
              <c:layout>
                <c:manualLayout>
                  <c:x val="7.0780805638833693E-3"/>
                  <c:y val="6.565128575666531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CD-4066-9F09-BD5D5574255D}"/>
                </c:ext>
              </c:extLst>
            </c:dLbl>
            <c:dLbl>
              <c:idx val="6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CCD-4066-9F09-BD5D5574255D}"/>
                </c:ext>
              </c:extLst>
            </c:dLbl>
            <c:dLbl>
              <c:idx val="7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CCD-4066-9F09-BD5D5574255D}"/>
                </c:ext>
              </c:extLst>
            </c:dLbl>
            <c:dLbl>
              <c:idx val="8"/>
              <c:layout>
                <c:manualLayout>
                  <c:x val="7.0780805638833693E-3"/>
                  <c:y val="-3.5810205908683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CCD-4066-9F09-BD5D5574255D}"/>
                </c:ext>
              </c:extLst>
            </c:dLbl>
            <c:dLbl>
              <c:idx val="19"/>
              <c:layout>
                <c:manualLayout>
                  <c:x val="2.262017015162842E-2"/>
                  <c:y val="-3.07219662058371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800">
                      <a:solidFill>
                        <a:srgbClr val="57A519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75-47FE-9612-7F206D4785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('BAJAS-DEF uni'!$C$4:$O$4,'BAJAS-DEF uni'!$P$4,'BAJAS-DEF uni'!$Q$4,'BAJAS-DEF uni'!$R$4,'BAJAS-DEF uni'!$S$4,'BAJAS-DEF uni'!$T$4,'BAJAS-DEF uni'!$U$4,'BAJAS-DEF uni'!$V$4,'BAJAS-DEF uni'!$W$4)</c:f>
              <c:numCache>
                <c:formatCode>General</c:formatCode>
                <c:ptCount val="21"/>
                <c:pt idx="0" formatCode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</c:numCache>
            </c:numRef>
          </c:cat>
          <c:val>
            <c:numRef>
              <c:f>('BAJAS-DEF uni'!$C$19:$O$19,'BAJAS-DEF uni'!$P$19,'BAJAS-DEF uni'!$Q$19,'BAJAS-DEF uni'!$R$19,'BAJAS-DEF uni'!$S$19,'BAJAS-DEF uni'!$T$19,'BAJAS-DEF uni'!$U$19,'BAJAS-DEF uni'!$V$19,'BAJAS-DEF uni'!$W$19)</c:f>
              <c:numCache>
                <c:formatCode>General</c:formatCode>
                <c:ptCount val="21"/>
                <c:pt idx="0">
                  <c:v>319</c:v>
                </c:pt>
                <c:pt idx="1">
                  <c:v>337</c:v>
                </c:pt>
                <c:pt idx="2">
                  <c:v>302</c:v>
                </c:pt>
                <c:pt idx="3">
                  <c:v>245</c:v>
                </c:pt>
                <c:pt idx="4">
                  <c:v>262</c:v>
                </c:pt>
                <c:pt idx="5">
                  <c:v>293</c:v>
                </c:pt>
                <c:pt idx="6">
                  <c:v>295</c:v>
                </c:pt>
                <c:pt idx="7">
                  <c:v>285</c:v>
                </c:pt>
                <c:pt idx="8">
                  <c:v>229</c:v>
                </c:pt>
                <c:pt idx="9">
                  <c:v>253</c:v>
                </c:pt>
                <c:pt idx="10">
                  <c:v>269</c:v>
                </c:pt>
                <c:pt idx="11">
                  <c:v>234</c:v>
                </c:pt>
                <c:pt idx="12">
                  <c:v>192</c:v>
                </c:pt>
                <c:pt idx="13">
                  <c:v>256</c:v>
                </c:pt>
                <c:pt idx="14">
                  <c:v>211</c:v>
                </c:pt>
                <c:pt idx="15" formatCode="#,##0">
                  <c:v>190</c:v>
                </c:pt>
                <c:pt idx="16" formatCode="#,##0">
                  <c:v>193</c:v>
                </c:pt>
                <c:pt idx="17" formatCode="#,##0">
                  <c:v>191</c:v>
                </c:pt>
                <c:pt idx="18" formatCode="#,##0">
                  <c:v>52</c:v>
                </c:pt>
                <c:pt idx="19" formatCode="#,##0">
                  <c:v>4</c:v>
                </c:pt>
                <c:pt idx="20" formatCode="#,##0">
                  <c:v>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CCD-4066-9F09-BD5D5574255D}"/>
            </c:ext>
          </c:extLst>
        </c:ser>
        <c:ser>
          <c:idx val="3"/>
          <c:order val="3"/>
          <c:tx>
            <c:strRef>
              <c:f>'BAJAS-DEF uni'!$B$24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8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CCD-4066-9F09-BD5D5574255D}"/>
                </c:ext>
              </c:extLst>
            </c:dLbl>
            <c:dLbl>
              <c:idx val="17"/>
              <c:layout>
                <c:manualLayout>
                  <c:x val="2.720163209792587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CCD-4066-9F09-BD5D5574255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75-47FE-9612-7F206D4785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4">
                        <a:lumMod val="20000"/>
                        <a:lumOff val="8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('BAJAS-DEF uni'!$C$4:$O$4,'BAJAS-DEF uni'!$P$4,'BAJAS-DEF uni'!$Q$4,'BAJAS-DEF uni'!$R$4,'BAJAS-DEF uni'!$S$4,'BAJAS-DEF uni'!$T$4,'BAJAS-DEF uni'!$U$4,'BAJAS-DEF uni'!$V$4,'BAJAS-DEF uni'!$W$4)</c:f>
              <c:numCache>
                <c:formatCode>General</c:formatCode>
                <c:ptCount val="21"/>
                <c:pt idx="0" formatCode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</c:numCache>
            </c:numRef>
          </c:cat>
          <c:val>
            <c:numRef>
              <c:f>('BAJAS-DEF uni'!$C$24:$O$24,'BAJAS-DEF uni'!$P$24,'BAJAS-DEF uni'!$Q$24,'BAJAS-DEF uni'!$R$24,'BAJAS-DEF uni'!$S$24,'BAJAS-DEF uni'!$T$24,'BAJAS-DEF uni'!$U$24,'BAJAS-DEF uni'!$V$24,'BAJAS-DEF uni'!$W$24)</c:f>
              <c:numCache>
                <c:formatCode>General</c:formatCode>
                <c:ptCount val="21"/>
                <c:pt idx="9">
                  <c:v>1</c:v>
                </c:pt>
                <c:pt idx="10">
                  <c:v>2</c:v>
                </c:pt>
                <c:pt idx="11">
                  <c:v>9</c:v>
                </c:pt>
                <c:pt idx="12">
                  <c:v>14</c:v>
                </c:pt>
                <c:pt idx="13">
                  <c:v>16</c:v>
                </c:pt>
                <c:pt idx="14">
                  <c:v>22</c:v>
                </c:pt>
                <c:pt idx="15" formatCode="#,##0">
                  <c:v>22</c:v>
                </c:pt>
                <c:pt idx="16" formatCode="#,##0">
                  <c:v>21</c:v>
                </c:pt>
                <c:pt idx="17" formatCode="#,##0">
                  <c:v>23</c:v>
                </c:pt>
                <c:pt idx="18" formatCode="#,##0">
                  <c:v>5</c:v>
                </c:pt>
                <c:pt idx="19" formatCode="#,##0">
                  <c:v>0</c:v>
                </c:pt>
                <c:pt idx="20" formatCode="#,##0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DCCD-4066-9F09-BD5D5574255D}"/>
            </c:ext>
          </c:extLst>
        </c:ser>
        <c:ser>
          <c:idx val="4"/>
          <c:order val="4"/>
          <c:tx>
            <c:strRef>
              <c:f>'BAJAS-DEF uni'!$B$29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rgbClr val="0072CE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19"/>
              <c:layout>
                <c:manualLayout>
                  <c:x val="2.2577699931436972E-2"/>
                  <c:y val="1.181614084839891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800">
                      <a:solidFill>
                        <a:srgbClr val="CD032E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575-47FE-9612-7F206D4785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('BAJAS-DEF uni'!$C$4:$O$4,'BAJAS-DEF uni'!$P$4,'BAJAS-DEF uni'!$Q$4,'BAJAS-DEF uni'!$R$4,'BAJAS-DEF uni'!$S$4,'BAJAS-DEF uni'!$T$4,'BAJAS-DEF uni'!$U$4,'BAJAS-DEF uni'!$V$4,'BAJAS-DEF uni'!$W$4)</c:f>
              <c:numCache>
                <c:formatCode>General</c:formatCode>
                <c:ptCount val="21"/>
                <c:pt idx="0" formatCode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</c:numCache>
            </c:numRef>
          </c:cat>
          <c:val>
            <c:numRef>
              <c:f>('BAJAS-DEF uni'!$C$29:$O$29,'BAJAS-DEF uni'!$P$29,'BAJAS-DEF uni'!$Q$29,'BAJAS-DEF uni'!$R$29,'BAJAS-DEF uni'!$S$29,'BAJAS-DEF uni'!$T$29,'BAJAS-DEF uni'!$U$29,'BAJAS-DEF uni'!$V$29,'BAJAS-DEF uni'!$W$29)</c:f>
              <c:numCache>
                <c:formatCode>General</c:formatCode>
                <c:ptCount val="21"/>
                <c:pt idx="0">
                  <c:v>201</c:v>
                </c:pt>
                <c:pt idx="1">
                  <c:v>205</c:v>
                </c:pt>
                <c:pt idx="2">
                  <c:v>240</c:v>
                </c:pt>
                <c:pt idx="3">
                  <c:v>214</c:v>
                </c:pt>
                <c:pt idx="4">
                  <c:v>177</c:v>
                </c:pt>
                <c:pt idx="5">
                  <c:v>242</c:v>
                </c:pt>
                <c:pt idx="6">
                  <c:v>207</c:v>
                </c:pt>
                <c:pt idx="7">
                  <c:v>204</c:v>
                </c:pt>
                <c:pt idx="8">
                  <c:v>228</c:v>
                </c:pt>
                <c:pt idx="9">
                  <c:v>226</c:v>
                </c:pt>
                <c:pt idx="10">
                  <c:v>237</c:v>
                </c:pt>
                <c:pt idx="11">
                  <c:v>238</c:v>
                </c:pt>
                <c:pt idx="12">
                  <c:v>209</c:v>
                </c:pt>
                <c:pt idx="13">
                  <c:v>219</c:v>
                </c:pt>
                <c:pt idx="14">
                  <c:v>152</c:v>
                </c:pt>
                <c:pt idx="15" formatCode="#,##0">
                  <c:v>140</c:v>
                </c:pt>
                <c:pt idx="16" formatCode="#,##0">
                  <c:v>174</c:v>
                </c:pt>
                <c:pt idx="17" formatCode="#,##0">
                  <c:v>192</c:v>
                </c:pt>
                <c:pt idx="18" formatCode="#,##0">
                  <c:v>59</c:v>
                </c:pt>
                <c:pt idx="19" formatCode="#,##0">
                  <c:v>2</c:v>
                </c:pt>
                <c:pt idx="20" formatCode="#,##0">
                  <c:v>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CCD-4066-9F09-BD5D55742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56438144"/>
        <c:axId val="56476800"/>
        <c:axId val="0"/>
      </c:bar3DChart>
      <c:catAx>
        <c:axId val="5643814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MX"/>
          </a:p>
        </c:txPr>
        <c:crossAx val="56476800"/>
        <c:crosses val="autoZero"/>
        <c:auto val="1"/>
        <c:lblAlgn val="ctr"/>
        <c:lblOffset val="100"/>
        <c:noMultiLvlLbl val="0"/>
      </c:catAx>
      <c:valAx>
        <c:axId val="5647680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564381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5.79256939160884E-2"/>
          <c:y val="0.93913430993209979"/>
          <c:w val="0.83696395096754084"/>
          <c:h val="3.6174302303990206E-2"/>
        </c:manualLayout>
      </c:layout>
      <c:overlay val="0"/>
      <c:txPr>
        <a:bodyPr/>
        <a:lstStyle/>
        <a:p>
          <a:pPr>
            <a:defRPr sz="12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 sz="1200" b="0" i="1"/>
            </a:pPr>
            <a:r>
              <a:rPr lang="es-MX" sz="1200" b="0" i="1"/>
              <a:t>Bajas Reglamentarias de Licenciatura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  <c:spPr>
        <a:noFill/>
        <a:effectLst>
          <a:outerShdw blurRad="76200" dist="12700" dir="8100000" sy="-23000" kx="800400" algn="br" rotWithShape="0">
            <a:prstClr val="black">
              <a:alpha val="20000"/>
            </a:prstClr>
          </a:outerShdw>
        </a:effectLst>
      </c:spPr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'BAJAS-REG uni'!$B$9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rgbClr val="CD032E"/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84760070485421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B8-4ABD-85ED-3F41EAA67601}"/>
                </c:ext>
              </c:extLst>
            </c:dLbl>
            <c:dLbl>
              <c:idx val="1"/>
              <c:layout>
                <c:manualLayout>
                  <c:x val="8.84760070485421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B8-4ABD-85ED-3F41EAA67601}"/>
                </c:ext>
              </c:extLst>
            </c:dLbl>
            <c:dLbl>
              <c:idx val="2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B8-4ABD-85ED-3F41EAA67601}"/>
                </c:ext>
              </c:extLst>
            </c:dLbl>
            <c:dLbl>
              <c:idx val="3"/>
              <c:layout>
                <c:manualLayout>
                  <c:x val="8.84760070485421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B8-4ABD-85ED-3F41EAA67601}"/>
                </c:ext>
              </c:extLst>
            </c:dLbl>
            <c:dLbl>
              <c:idx val="4"/>
              <c:layout>
                <c:manualLayout>
                  <c:x val="8.8476007048542121E-3"/>
                  <c:y val="-3.5810205908683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B8-4ABD-85ED-3F41EAA67601}"/>
                </c:ext>
              </c:extLst>
            </c:dLbl>
            <c:dLbl>
              <c:idx val="5"/>
              <c:layout>
                <c:manualLayout>
                  <c:x val="8.84760070485421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B8-4ABD-85ED-3F41EAA67601}"/>
                </c:ext>
              </c:extLst>
            </c:dLbl>
            <c:dLbl>
              <c:idx val="6"/>
              <c:layout>
                <c:manualLayout>
                  <c:x val="8.8476007048542121E-3"/>
                  <c:y val="-3.5810205908683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B8-4ABD-85ED-3F41EAA67601}"/>
                </c:ext>
              </c:extLst>
            </c:dLbl>
            <c:dLbl>
              <c:idx val="7"/>
              <c:layout>
                <c:manualLayout>
                  <c:x val="8.84760070485421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B8-4ABD-85ED-3F41EAA67601}"/>
                </c:ext>
              </c:extLst>
            </c:dLbl>
            <c:dLbl>
              <c:idx val="8"/>
              <c:layout>
                <c:manualLayout>
                  <c:x val="7.0780805638833693E-3"/>
                  <c:y val="-3.5810205908683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B8-4ABD-85ED-3F41EAA67601}"/>
                </c:ext>
              </c:extLst>
            </c:dLbl>
            <c:dLbl>
              <c:idx val="19"/>
              <c:layout>
                <c:manualLayout>
                  <c:x val="2.8510071522101339E-2"/>
                  <c:y val="-2.3129409043598937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vert="horz"/>
                <a:lstStyle/>
                <a:p>
                  <a:pPr>
                    <a:defRPr sz="900">
                      <a:solidFill>
                        <a:srgbClr val="CD032E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EA-4130-9760-5FC7AD6DAC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('BAJAS-REG uni'!$C$4:$V$4,'BAJAS-REG uni'!$W$4)</c:f>
              <c:numCache>
                <c:formatCode>General</c:formatCode>
                <c:ptCount val="21"/>
                <c:pt idx="0" formatCode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</c:numCache>
            </c:numRef>
          </c:cat>
          <c:val>
            <c:numRef>
              <c:f>('BAJAS-REG uni'!$C$9:$V$9,'BAJAS-REG uni'!$W$9)</c:f>
              <c:numCache>
                <c:formatCode>#,##0</c:formatCode>
                <c:ptCount val="21"/>
                <c:pt idx="0">
                  <c:v>1717</c:v>
                </c:pt>
                <c:pt idx="1">
                  <c:v>1610</c:v>
                </c:pt>
                <c:pt idx="2">
                  <c:v>1626</c:v>
                </c:pt>
                <c:pt idx="3">
                  <c:v>1507</c:v>
                </c:pt>
                <c:pt idx="4">
                  <c:v>1743</c:v>
                </c:pt>
                <c:pt idx="5">
                  <c:v>1469</c:v>
                </c:pt>
                <c:pt idx="6">
                  <c:v>1569</c:v>
                </c:pt>
                <c:pt idx="7">
                  <c:v>1534</c:v>
                </c:pt>
                <c:pt idx="8">
                  <c:v>1526</c:v>
                </c:pt>
                <c:pt idx="9">
                  <c:v>1391</c:v>
                </c:pt>
                <c:pt idx="10">
                  <c:v>1294</c:v>
                </c:pt>
                <c:pt idx="11">
                  <c:v>1270</c:v>
                </c:pt>
                <c:pt idx="12">
                  <c:v>1575</c:v>
                </c:pt>
                <c:pt idx="13">
                  <c:v>1494</c:v>
                </c:pt>
                <c:pt idx="14">
                  <c:v>990</c:v>
                </c:pt>
                <c:pt idx="15">
                  <c:v>2213</c:v>
                </c:pt>
                <c:pt idx="16">
                  <c:v>1627</c:v>
                </c:pt>
                <c:pt idx="17">
                  <c:v>1502</c:v>
                </c:pt>
                <c:pt idx="19">
                  <c:v>134</c:v>
                </c:pt>
                <c:pt idx="2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FB8-4ABD-85ED-3F41EAA67601}"/>
            </c:ext>
          </c:extLst>
        </c:ser>
        <c:ser>
          <c:idx val="1"/>
          <c:order val="1"/>
          <c:tx>
            <c:strRef>
              <c:f>'BAJAS-REG uni'!$B$14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2"/>
              <c:layout>
                <c:manualLayout>
                  <c:x val="9.1648670498466166E-3"/>
                  <c:y val="-5.0987890376035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FB8-4ABD-85ED-3F41EAA67601}"/>
                </c:ext>
              </c:extLst>
            </c:dLbl>
            <c:dLbl>
              <c:idx val="3"/>
              <c:layout>
                <c:manualLayout>
                  <c:x val="7.7583972889464763E-3"/>
                  <c:y val="-2.54939451880178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FB8-4ABD-85ED-3F41EAA67601}"/>
                </c:ext>
              </c:extLst>
            </c:dLbl>
            <c:dLbl>
              <c:idx val="4"/>
              <c:layout>
                <c:manualLayout>
                  <c:x val="5.308592755019598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FB8-4ABD-85ED-3F41EAA67601}"/>
                </c:ext>
              </c:extLst>
            </c:dLbl>
            <c:dLbl>
              <c:idx val="5"/>
              <c:layout>
                <c:manualLayout>
                  <c:x val="1.0571336810746759E-2"/>
                  <c:y val="-2.54939451880178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FB8-4ABD-85ED-3F41EAA67601}"/>
                </c:ext>
              </c:extLst>
            </c:dLbl>
            <c:dLbl>
              <c:idx val="6"/>
              <c:layout>
                <c:manualLayout>
                  <c:x val="1.0934471798620109E-2"/>
                  <c:y val="-7.64818355640535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FB8-4ABD-85ED-3F41EAA67601}"/>
                </c:ext>
              </c:extLst>
            </c:dLbl>
            <c:dLbl>
              <c:idx val="7"/>
              <c:layout>
                <c:manualLayout>
                  <c:x val="8.484556519042714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FB8-4ABD-85ED-3F41EAA67601}"/>
                </c:ext>
              </c:extLst>
            </c:dLbl>
            <c:dLbl>
              <c:idx val="8"/>
              <c:layout>
                <c:manualLayout>
                  <c:x val="8.121532276819828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FB8-4ABD-85ED-3F41EAA67601}"/>
                </c:ext>
              </c:extLst>
            </c:dLbl>
            <c:dLbl>
              <c:idx val="10"/>
              <c:layout>
                <c:manualLayout>
                  <c:x val="9.84528832630098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FB8-4ABD-85ED-3F41EAA67601}"/>
                </c:ext>
              </c:extLst>
            </c:dLbl>
            <c:dLbl>
              <c:idx val="18"/>
              <c:layout>
                <c:manualLayout>
                  <c:x val="1.8481085763788454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accent6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FB8-4ABD-85ED-3F41EAA67601}"/>
                </c:ext>
              </c:extLst>
            </c:dLbl>
            <c:dLbl>
              <c:idx val="19"/>
              <c:layout>
                <c:manualLayout>
                  <c:x val="2.8510071522101339E-2"/>
                  <c:y val="-1.619058633051925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rgbClr val="F08200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EA-4130-9760-5FC7AD6DAC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('BAJAS-REG uni'!$C$4:$V$4,'BAJAS-REG uni'!$W$4)</c:f>
              <c:numCache>
                <c:formatCode>General</c:formatCode>
                <c:ptCount val="21"/>
                <c:pt idx="0" formatCode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</c:numCache>
            </c:numRef>
          </c:cat>
          <c:val>
            <c:numRef>
              <c:f>('BAJAS-REG uni'!$C$14:$V$14,'BAJAS-REG uni'!$W$14)</c:f>
              <c:numCache>
                <c:formatCode>#,##0</c:formatCode>
                <c:ptCount val="21"/>
                <c:pt idx="4">
                  <c:v>3</c:v>
                </c:pt>
                <c:pt idx="5">
                  <c:v>5</c:v>
                </c:pt>
                <c:pt idx="6">
                  <c:v>10</c:v>
                </c:pt>
                <c:pt idx="7">
                  <c:v>12</c:v>
                </c:pt>
                <c:pt idx="8">
                  <c:v>8</c:v>
                </c:pt>
                <c:pt idx="9">
                  <c:v>2</c:v>
                </c:pt>
                <c:pt idx="11">
                  <c:v>3</c:v>
                </c:pt>
                <c:pt idx="12">
                  <c:v>2</c:v>
                </c:pt>
                <c:pt idx="13">
                  <c:v>73</c:v>
                </c:pt>
                <c:pt idx="14">
                  <c:v>13</c:v>
                </c:pt>
                <c:pt idx="15">
                  <c:v>169</c:v>
                </c:pt>
                <c:pt idx="16">
                  <c:v>176</c:v>
                </c:pt>
                <c:pt idx="17">
                  <c:v>167</c:v>
                </c:pt>
                <c:pt idx="18">
                  <c:v>1</c:v>
                </c:pt>
                <c:pt idx="19">
                  <c:v>22</c:v>
                </c:pt>
                <c:pt idx="2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FFB8-4ABD-85ED-3F41EAA67601}"/>
            </c:ext>
          </c:extLst>
        </c:ser>
        <c:ser>
          <c:idx val="2"/>
          <c:order val="2"/>
          <c:tx>
            <c:strRef>
              <c:f>'BAJAS-REG uni'!$B$19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rgbClr val="57A519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7.078080563883369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FB8-4ABD-85ED-3F41EAA67601}"/>
                </c:ext>
              </c:extLst>
            </c:dLbl>
            <c:dLbl>
              <c:idx val="1"/>
              <c:layout>
                <c:manualLayout>
                  <c:x val="7.078080563883369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FB8-4ABD-85ED-3F41EAA67601}"/>
                </c:ext>
              </c:extLst>
            </c:dLbl>
            <c:dLbl>
              <c:idx val="2"/>
              <c:layout>
                <c:manualLayout>
                  <c:x val="7.0780805638833693E-3"/>
                  <c:y val="-3.5810205908683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FB8-4ABD-85ED-3F41EAA67601}"/>
                </c:ext>
              </c:extLst>
            </c:dLbl>
            <c:dLbl>
              <c:idx val="3"/>
              <c:layout>
                <c:manualLayout>
                  <c:x val="5.3085604229125274E-3"/>
                  <c:y val="-6.565128575666531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FB8-4ABD-85ED-3F41EAA67601}"/>
                </c:ext>
              </c:extLst>
            </c:dLbl>
            <c:dLbl>
              <c:idx val="4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FB8-4ABD-85ED-3F41EAA67601}"/>
                </c:ext>
              </c:extLst>
            </c:dLbl>
            <c:dLbl>
              <c:idx val="5"/>
              <c:layout>
                <c:manualLayout>
                  <c:x val="7.0780805638833693E-3"/>
                  <c:y val="6.565128575666531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FB8-4ABD-85ED-3F41EAA67601}"/>
                </c:ext>
              </c:extLst>
            </c:dLbl>
            <c:dLbl>
              <c:idx val="6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FB8-4ABD-85ED-3F41EAA67601}"/>
                </c:ext>
              </c:extLst>
            </c:dLbl>
            <c:dLbl>
              <c:idx val="7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FB8-4ABD-85ED-3F41EAA67601}"/>
                </c:ext>
              </c:extLst>
            </c:dLbl>
            <c:dLbl>
              <c:idx val="8"/>
              <c:layout>
                <c:manualLayout>
                  <c:x val="7.0780805638833693E-3"/>
                  <c:y val="-3.5810205908683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FB8-4ABD-85ED-3F41EAA67601}"/>
                </c:ext>
              </c:extLst>
            </c:dLbl>
            <c:dLbl>
              <c:idx val="19"/>
              <c:layout>
                <c:manualLayout>
                  <c:x val="2.8444558550734231E-2"/>
                  <c:y val="-3.113600245035889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vert="horz"/>
                <a:lstStyle/>
                <a:p>
                  <a:pPr>
                    <a:defRPr sz="900">
                      <a:solidFill>
                        <a:srgbClr val="57A519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1.6048202775791505E-2"/>
                      <c:h val="3.86831759836135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71EA-4130-9760-5FC7AD6DAC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('BAJAS-REG uni'!$C$4:$V$4,'BAJAS-REG uni'!$W$4)</c:f>
              <c:numCache>
                <c:formatCode>General</c:formatCode>
                <c:ptCount val="21"/>
                <c:pt idx="0" formatCode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</c:numCache>
            </c:numRef>
          </c:cat>
          <c:val>
            <c:numRef>
              <c:f>('BAJAS-REG uni'!$C$19:$V$19,'BAJAS-REG uni'!$W$19)</c:f>
              <c:numCache>
                <c:formatCode>#,##0</c:formatCode>
                <c:ptCount val="21"/>
                <c:pt idx="0">
                  <c:v>1591</c:v>
                </c:pt>
                <c:pt idx="1">
                  <c:v>1212</c:v>
                </c:pt>
                <c:pt idx="2">
                  <c:v>1315</c:v>
                </c:pt>
                <c:pt idx="3">
                  <c:v>1586</c:v>
                </c:pt>
                <c:pt idx="4">
                  <c:v>1794</c:v>
                </c:pt>
                <c:pt idx="5">
                  <c:v>1639</c:v>
                </c:pt>
                <c:pt idx="6">
                  <c:v>1567</c:v>
                </c:pt>
                <c:pt idx="7">
                  <c:v>1435</c:v>
                </c:pt>
                <c:pt idx="8">
                  <c:v>1164</c:v>
                </c:pt>
                <c:pt idx="9">
                  <c:v>1005</c:v>
                </c:pt>
                <c:pt idx="10">
                  <c:v>1048</c:v>
                </c:pt>
                <c:pt idx="11">
                  <c:v>930</c:v>
                </c:pt>
                <c:pt idx="12">
                  <c:v>1064</c:v>
                </c:pt>
                <c:pt idx="13">
                  <c:v>1118</c:v>
                </c:pt>
                <c:pt idx="14">
                  <c:v>612</c:v>
                </c:pt>
                <c:pt idx="15">
                  <c:v>1792</c:v>
                </c:pt>
                <c:pt idx="16">
                  <c:v>1250</c:v>
                </c:pt>
                <c:pt idx="17">
                  <c:v>1175</c:v>
                </c:pt>
                <c:pt idx="19">
                  <c:v>80</c:v>
                </c:pt>
                <c:pt idx="20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FFB8-4ABD-85ED-3F41EAA67601}"/>
            </c:ext>
          </c:extLst>
        </c:ser>
        <c:ser>
          <c:idx val="3"/>
          <c:order val="3"/>
          <c:tx>
            <c:strRef>
              <c:f>'BAJAS-REG uni'!$B$24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</c:spPr>
          <c:invertIfNegative val="0"/>
          <c:dLbls>
            <c:dLbl>
              <c:idx val="8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FB8-4ABD-85ED-3F41EAA67601}"/>
                </c:ext>
              </c:extLst>
            </c:dLbl>
            <c:dLbl>
              <c:idx val="9"/>
              <c:layout>
                <c:manualLayout>
                  <c:x val="2.4166558647394459E-2"/>
                  <c:y val="-9.3239207168069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rgbClr val="AD25A8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FB8-4ABD-85ED-3F41EAA67601}"/>
                </c:ext>
              </c:extLst>
            </c:dLbl>
            <c:dLbl>
              <c:idx val="11"/>
              <c:layout>
                <c:manualLayout>
                  <c:x val="2.2969312313961352E-2"/>
                  <c:y val="-6.99298735101640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rgbClr val="AD25A8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FB8-4ABD-85ED-3F41EAA67601}"/>
                </c:ext>
              </c:extLst>
            </c:dLbl>
            <c:dLbl>
              <c:idx val="12"/>
              <c:layout>
                <c:manualLayout>
                  <c:x val="2.3984991998717911E-2"/>
                  <c:y val="-9.3239207168069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vert="horz"/>
                <a:lstStyle/>
                <a:p>
                  <a:pPr>
                    <a:defRPr sz="900">
                      <a:solidFill>
                        <a:srgbClr val="AD25A8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FB8-4ABD-85ED-3F41EAA67601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FB8-4ABD-85ED-3F41EAA67601}"/>
                </c:ext>
              </c:extLst>
            </c:dLbl>
            <c:dLbl>
              <c:idx val="14"/>
              <c:layout>
                <c:manualLayout>
                  <c:x val="2.3984991998717911E-2"/>
                  <c:y val="-9.276920052056512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rgbClr val="AD25A8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FB8-4ABD-85ED-3F41EAA67601}"/>
                </c:ext>
              </c:extLst>
            </c:dLbl>
            <c:dLbl>
              <c:idx val="16"/>
              <c:layout>
                <c:manualLayout>
                  <c:x val="2.5270758122743681E-2"/>
                  <c:y val="-9.32400932400940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rgbClr val="AD25A8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FB8-4ABD-85ED-3F41EAA67601}"/>
                </c:ext>
              </c:extLst>
            </c:dLbl>
            <c:dLbl>
              <c:idx val="17"/>
              <c:layout>
                <c:manualLayout>
                  <c:x val="2.3944926668662079E-2"/>
                  <c:y val="-9.512485136741973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rgbClr val="AD25A8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FB8-4ABD-85ED-3F41EAA67601}"/>
                </c:ext>
              </c:extLst>
            </c:dLbl>
            <c:dLbl>
              <c:idx val="19"/>
              <c:layout>
                <c:manualLayout>
                  <c:x val="2.8549109553069954E-2"/>
                  <c:y val="-5.127479993099399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rgbClr val="AD25A8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EA-4130-9760-5FC7AD6DAC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('BAJAS-REG uni'!$C$4:$V$4,'BAJAS-REG uni'!$W$4)</c:f>
              <c:numCache>
                <c:formatCode>General</c:formatCode>
                <c:ptCount val="21"/>
                <c:pt idx="0" formatCode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</c:numCache>
            </c:numRef>
          </c:cat>
          <c:val>
            <c:numRef>
              <c:f>('BAJAS-REG uni'!$C$24:$V$24,'BAJAS-REG uni'!$W$24)</c:f>
              <c:numCache>
                <c:formatCode>#,##0</c:formatCode>
                <c:ptCount val="21"/>
                <c:pt idx="9">
                  <c:v>3</c:v>
                </c:pt>
                <c:pt idx="11">
                  <c:v>7</c:v>
                </c:pt>
                <c:pt idx="12">
                  <c:v>6</c:v>
                </c:pt>
                <c:pt idx="14">
                  <c:v>3</c:v>
                </c:pt>
                <c:pt idx="16">
                  <c:v>3</c:v>
                </c:pt>
                <c:pt idx="17">
                  <c:v>2</c:v>
                </c:pt>
                <c:pt idx="19">
                  <c:v>2</c:v>
                </c:pt>
                <c:pt idx="2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FFB8-4ABD-85ED-3F41EAA67601}"/>
            </c:ext>
          </c:extLst>
        </c:ser>
        <c:ser>
          <c:idx val="4"/>
          <c:order val="4"/>
          <c:tx>
            <c:strRef>
              <c:f>'BAJAS-REG uni'!$B$29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rgbClr val="0072CE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FB8-4ABD-85ED-3F41EAA67601}"/>
                </c:ext>
              </c:extLst>
            </c:dLbl>
            <c:dLbl>
              <c:idx val="1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FB8-4ABD-85ED-3F41EAA67601}"/>
                </c:ext>
              </c:extLst>
            </c:dLbl>
            <c:dLbl>
              <c:idx val="2"/>
              <c:layout>
                <c:manualLayout>
                  <c:x val="7.078080563883369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FB8-4ABD-85ED-3F41EAA67601}"/>
                </c:ext>
              </c:extLst>
            </c:dLbl>
            <c:dLbl>
              <c:idx val="3"/>
              <c:layout>
                <c:manualLayout>
                  <c:x val="7.0780805638833693E-3"/>
                  <c:y val="-3.28256428783326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FB8-4ABD-85ED-3F41EAA67601}"/>
                </c:ext>
              </c:extLst>
            </c:dLbl>
            <c:dLbl>
              <c:idx val="4"/>
              <c:layout>
                <c:manualLayout>
                  <c:x val="7.078080563883369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FB8-4ABD-85ED-3F41EAA67601}"/>
                </c:ext>
              </c:extLst>
            </c:dLbl>
            <c:dLbl>
              <c:idx val="5"/>
              <c:layout>
                <c:manualLayout>
                  <c:x val="8.8476007048542121E-3"/>
                  <c:y val="-3.28256428783326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FFB8-4ABD-85ED-3F41EAA67601}"/>
                </c:ext>
              </c:extLst>
            </c:dLbl>
            <c:dLbl>
              <c:idx val="6"/>
              <c:layout>
                <c:manualLayout>
                  <c:x val="5.3085604229125274E-3"/>
                  <c:y val="3.28256428783326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FFB8-4ABD-85ED-3F41EAA67601}"/>
                </c:ext>
              </c:extLst>
            </c:dLbl>
            <c:dLbl>
              <c:idx val="7"/>
              <c:layout>
                <c:manualLayout>
                  <c:x val="5.3085604229125274E-3"/>
                  <c:y val="3.28256428783326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FFB8-4ABD-85ED-3F41EAA67601}"/>
                </c:ext>
              </c:extLst>
            </c:dLbl>
            <c:dLbl>
              <c:idx val="8"/>
              <c:layout>
                <c:manualLayout>
                  <c:x val="1.061712084582505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FFB8-4ABD-85ED-3F41EAA67601}"/>
                </c:ext>
              </c:extLst>
            </c:dLbl>
            <c:dLbl>
              <c:idx val="18"/>
              <c:layout>
                <c:manualLayout>
                  <c:x val="6.9304071614207331E-3"/>
                  <c:y val="-2.742857142857142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vert="horz" anchor="ctr" anchorCtr="0"/>
                <a:lstStyle/>
                <a:p>
                  <a:pPr>
                    <a:defRPr sz="900">
                      <a:solidFill>
                        <a:srgbClr val="0072CE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FFB8-4ABD-85ED-3F41EAA67601}"/>
                </c:ext>
              </c:extLst>
            </c:dLbl>
            <c:dLbl>
              <c:idx val="19"/>
              <c:layout>
                <c:manualLayout>
                  <c:x val="4.2237434908434721E-3"/>
                  <c:y val="-3.241668439040328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vert="horz"/>
                <a:lstStyle/>
                <a:p>
                  <a:pPr>
                    <a:defRPr sz="900">
                      <a:solidFill>
                        <a:srgbClr val="0072CE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1EA-4130-9760-5FC7AD6DAC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('BAJAS-REG uni'!$C$4:$V$4,'BAJAS-REG uni'!$W$4)</c:f>
              <c:numCache>
                <c:formatCode>General</c:formatCode>
                <c:ptCount val="21"/>
                <c:pt idx="0" formatCode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</c:numCache>
            </c:numRef>
          </c:cat>
          <c:val>
            <c:numRef>
              <c:f>('BAJAS-REG uni'!$C$29:$V$29,'BAJAS-REG uni'!$W$29)</c:f>
              <c:numCache>
                <c:formatCode>#,##0</c:formatCode>
                <c:ptCount val="21"/>
                <c:pt idx="0">
                  <c:v>1340</c:v>
                </c:pt>
                <c:pt idx="1">
                  <c:v>1199</c:v>
                </c:pt>
                <c:pt idx="2">
                  <c:v>1121</c:v>
                </c:pt>
                <c:pt idx="3">
                  <c:v>1225</c:v>
                </c:pt>
                <c:pt idx="4">
                  <c:v>1148</c:v>
                </c:pt>
                <c:pt idx="5">
                  <c:v>1228</c:v>
                </c:pt>
                <c:pt idx="6">
                  <c:v>1281</c:v>
                </c:pt>
                <c:pt idx="7">
                  <c:v>1306</c:v>
                </c:pt>
                <c:pt idx="8">
                  <c:v>1338</c:v>
                </c:pt>
                <c:pt idx="9">
                  <c:v>1207</c:v>
                </c:pt>
                <c:pt idx="10">
                  <c:v>1190</c:v>
                </c:pt>
                <c:pt idx="11">
                  <c:v>1007</c:v>
                </c:pt>
                <c:pt idx="12">
                  <c:v>1115</c:v>
                </c:pt>
                <c:pt idx="13">
                  <c:v>1108</c:v>
                </c:pt>
                <c:pt idx="14">
                  <c:v>582</c:v>
                </c:pt>
                <c:pt idx="15">
                  <c:v>1644</c:v>
                </c:pt>
                <c:pt idx="16">
                  <c:v>1066</c:v>
                </c:pt>
                <c:pt idx="17">
                  <c:v>995</c:v>
                </c:pt>
                <c:pt idx="18">
                  <c:v>4</c:v>
                </c:pt>
                <c:pt idx="19">
                  <c:v>125</c:v>
                </c:pt>
                <c:pt idx="20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1-FFB8-4ABD-85ED-3F41EAA676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19644928"/>
        <c:axId val="119646464"/>
        <c:axId val="0"/>
      </c:bar3DChart>
      <c:catAx>
        <c:axId val="11964492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MX"/>
          </a:p>
        </c:txPr>
        <c:crossAx val="119646464"/>
        <c:crosses val="autoZero"/>
        <c:auto val="1"/>
        <c:lblAlgn val="ctr"/>
        <c:lblOffset val="100"/>
        <c:noMultiLvlLbl val="0"/>
      </c:catAx>
      <c:valAx>
        <c:axId val="119646464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196449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5.79256939160884E-2"/>
          <c:y val="0.93913430993209979"/>
          <c:w val="0.83696395096754084"/>
          <c:h val="3.6174302303990206E-2"/>
        </c:manualLayout>
      </c:layout>
      <c:overlay val="0"/>
      <c:txPr>
        <a:bodyPr/>
        <a:lstStyle/>
        <a:p>
          <a:pPr>
            <a:defRPr sz="12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  <a:scene3d>
      <a:camera prst="orthographicFront"/>
      <a:lightRig rig="threePt" dir="t"/>
    </a:scene3d>
    <a:sp3d>
      <a:bevelB w="165100" prst="coolSlant"/>
    </a:sp3d>
  </c:spPr>
  <c:printSettings>
    <c:headerFooter/>
    <c:pageMargins b="0.75" l="0.7" r="0.7" t="0.75" header="0.3" footer="0.3"/>
    <c:pageSetup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1.3994910941475827E-2"/>
          <c:y val="4.3210993365299773E-2"/>
          <c:w val="0.97201017811704837"/>
          <c:h val="0.78276821261165042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'ACTIVOS uni'!$B$9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rgbClr val="CD032E"/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998876203333977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B0-46A3-A6EE-75745AE33C26}"/>
                </c:ext>
              </c:extLst>
            </c:dLbl>
            <c:dLbl>
              <c:idx val="1"/>
              <c:layout>
                <c:manualLayout>
                  <c:x val="7.499063502778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B0-46A3-A6EE-75745AE33C26}"/>
                </c:ext>
              </c:extLst>
            </c:dLbl>
            <c:dLbl>
              <c:idx val="2"/>
              <c:layout>
                <c:manualLayout>
                  <c:x val="5.99925080222265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B0-46A3-A6EE-75745AE33C26}"/>
                </c:ext>
              </c:extLst>
            </c:dLbl>
            <c:dLbl>
              <c:idx val="3"/>
              <c:layout>
                <c:manualLayout>
                  <c:x val="5.99925080222265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B0-46A3-A6EE-75745AE33C26}"/>
                </c:ext>
              </c:extLst>
            </c:dLbl>
            <c:dLbl>
              <c:idx val="4"/>
              <c:layout>
                <c:manualLayout>
                  <c:x val="7.499063502778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B0-46A3-A6EE-75745AE33C26}"/>
                </c:ext>
              </c:extLst>
            </c:dLbl>
            <c:dLbl>
              <c:idx val="5"/>
              <c:layout>
                <c:manualLayout>
                  <c:x val="7.499063502778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B0-46A3-A6EE-75745AE33C26}"/>
                </c:ext>
              </c:extLst>
            </c:dLbl>
            <c:dLbl>
              <c:idx val="6"/>
              <c:layout>
                <c:manualLayout>
                  <c:x val="8.9988762033339775E-3"/>
                  <c:y val="-3.19361156982605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B0-46A3-A6EE-75745AE33C26}"/>
                </c:ext>
              </c:extLst>
            </c:dLbl>
            <c:dLbl>
              <c:idx val="7"/>
              <c:layout>
                <c:manualLayout>
                  <c:x val="8.9988762033339775E-3"/>
                  <c:y val="-3.19361156982605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B0-46A3-A6EE-75745AE33C26}"/>
                </c:ext>
              </c:extLst>
            </c:dLbl>
            <c:dLbl>
              <c:idx val="8"/>
              <c:layout>
                <c:manualLayout>
                  <c:x val="8.998876203333977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B0-46A3-A6EE-75745AE33C26}"/>
                </c:ext>
              </c:extLst>
            </c:dLbl>
            <c:dLbl>
              <c:idx val="9"/>
              <c:layout>
                <c:manualLayout>
                  <c:x val="1.049857080840151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B0-46A3-A6EE-75745AE33C26}"/>
                </c:ext>
              </c:extLst>
            </c:dLbl>
            <c:dLbl>
              <c:idx val="10"/>
              <c:layout>
                <c:manualLayout>
                  <c:x val="5.722461302700186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B0-46A3-A6EE-75745AE33C26}"/>
                </c:ext>
              </c:extLst>
            </c:dLbl>
            <c:dLbl>
              <c:idx val="11"/>
              <c:layout>
                <c:manualLayout>
                  <c:x val="8.58369195405054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B0-46A3-A6EE-75745AE33C26}"/>
                </c:ext>
              </c:extLst>
            </c:dLbl>
            <c:spPr>
              <a:ln>
                <a:noFill/>
              </a:ln>
            </c:spPr>
            <c:txPr>
              <a:bodyPr rot="-5400000" vert="horz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('ACTIVOS uni'!$C$4:$Q$4,'ACTIVOS uni'!$R$4,'ACTIVOS uni'!$S$4,'ACTIVOS uni'!$T$4,'ACTIVOS uni'!$U$4,'ACTIVOS uni'!$V$4)</c:f>
              <c:numCache>
                <c:formatCode>General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('ACTIVOS uni'!$C$9:$M$9,'ACTIVOS uni'!$N$9,'ACTIVOS uni'!$O$9,'ACTIVOS uni'!$P$9,'ACTIVOS uni'!$Q$9,'ACTIVOS uni'!$R$9,'ACTIVOS uni'!$S$9,'ACTIVOS uni'!$T$9,'ACTIVOS uni'!$U$9,'ACTIVOS uni'!$V$9)</c:f>
              <c:numCache>
                <c:formatCode>#,##0</c:formatCode>
                <c:ptCount val="20"/>
                <c:pt idx="0">
                  <c:v>14809</c:v>
                </c:pt>
                <c:pt idx="1">
                  <c:v>15053</c:v>
                </c:pt>
                <c:pt idx="2">
                  <c:v>15326</c:v>
                </c:pt>
                <c:pt idx="3">
                  <c:v>15516</c:v>
                </c:pt>
                <c:pt idx="4">
                  <c:v>15714</c:v>
                </c:pt>
                <c:pt idx="5">
                  <c:v>16179</c:v>
                </c:pt>
                <c:pt idx="6">
                  <c:v>16371</c:v>
                </c:pt>
                <c:pt idx="7">
                  <c:v>17035</c:v>
                </c:pt>
                <c:pt idx="8">
                  <c:v>17391</c:v>
                </c:pt>
                <c:pt idx="9">
                  <c:v>17855</c:v>
                </c:pt>
                <c:pt idx="10">
                  <c:v>18138</c:v>
                </c:pt>
                <c:pt idx="11">
                  <c:v>17966</c:v>
                </c:pt>
                <c:pt idx="12">
                  <c:v>17808</c:v>
                </c:pt>
                <c:pt idx="13">
                  <c:v>17637</c:v>
                </c:pt>
                <c:pt idx="14">
                  <c:v>17249</c:v>
                </c:pt>
                <c:pt idx="15">
                  <c:v>17497</c:v>
                </c:pt>
                <c:pt idx="16">
                  <c:v>18123</c:v>
                </c:pt>
                <c:pt idx="17">
                  <c:v>18085</c:v>
                </c:pt>
                <c:pt idx="18">
                  <c:v>18850</c:v>
                </c:pt>
                <c:pt idx="19">
                  <c:v>19200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EB0-46A3-A6EE-75745AE33C26}"/>
            </c:ext>
          </c:extLst>
        </c:ser>
        <c:ser>
          <c:idx val="3"/>
          <c:order val="1"/>
          <c:tx>
            <c:strRef>
              <c:f>'ACTIVOS uni'!$B$14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2"/>
              <c:layout>
                <c:manualLayout>
                  <c:x val="8.9988762033339775E-3"/>
                  <c:y val="-9.58083470947816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B0-46A3-A6EE-75745AE33C26}"/>
                </c:ext>
              </c:extLst>
            </c:dLbl>
            <c:dLbl>
              <c:idx val="3"/>
              <c:layout>
                <c:manualLayout>
                  <c:x val="5.9992508022227069E-3"/>
                  <c:y val="-9.58083470947816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B0-46A3-A6EE-75745AE33C26}"/>
                </c:ext>
              </c:extLst>
            </c:dLbl>
            <c:dLbl>
              <c:idx val="4"/>
              <c:layout>
                <c:manualLayout>
                  <c:x val="4.4994381016669888E-3"/>
                  <c:y val="-9.58083470947816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EB0-46A3-A6EE-75745AE33C26}"/>
                </c:ext>
              </c:extLst>
            </c:dLbl>
            <c:dLbl>
              <c:idx val="5"/>
              <c:layout>
                <c:manualLayout>
                  <c:x val="4.7070623620991021E-3"/>
                  <c:y val="-9.58086816283262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EB0-46A3-A6EE-75745AE33C26}"/>
                </c:ext>
              </c:extLst>
            </c:dLbl>
            <c:dLbl>
              <c:idx val="6"/>
              <c:layout>
                <c:manualLayout>
                  <c:x val="4.7070623620991021E-3"/>
                  <c:y val="-9.58086816283262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EB0-46A3-A6EE-75745AE33C26}"/>
                </c:ext>
              </c:extLst>
            </c:dLbl>
            <c:dLbl>
              <c:idx val="7"/>
              <c:layout>
                <c:manualLayout>
                  <c:x val="5.9992508022226514E-3"/>
                  <c:y val="-9.58083470947816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EB0-46A3-A6EE-75745AE33C26}"/>
                </c:ext>
              </c:extLst>
            </c:dLbl>
            <c:dLbl>
              <c:idx val="8"/>
              <c:layout>
                <c:manualLayout>
                  <c:x val="5.9992508022226514E-3"/>
                  <c:y val="-3.19361156982605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EB0-46A3-A6EE-75745AE33C26}"/>
                </c:ext>
              </c:extLst>
            </c:dLbl>
            <c:dLbl>
              <c:idx val="9"/>
              <c:layout>
                <c:manualLayout>
                  <c:x val="5.99925080222276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EB0-46A3-A6EE-75745AE33C26}"/>
                </c:ext>
              </c:extLst>
            </c:dLbl>
            <c:dLbl>
              <c:idx val="10"/>
              <c:layout>
                <c:manualLayout>
                  <c:x val="5.722461302700396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EB0-46A3-A6EE-75745AE33C26}"/>
                </c:ext>
              </c:extLst>
            </c:dLbl>
            <c:dLbl>
              <c:idx val="11"/>
              <c:layout>
                <c:manualLayout>
                  <c:x val="5.722461302700291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EB0-46A3-A6EE-75745AE33C26}"/>
                </c:ext>
              </c:extLst>
            </c:dLbl>
            <c:dLbl>
              <c:idx val="12"/>
              <c:layout>
                <c:manualLayout>
                  <c:x val="5.837712690396769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EB0-46A3-A6EE-75745AE33C26}"/>
                </c:ext>
              </c:extLst>
            </c:dLbl>
            <c:dLbl>
              <c:idx val="13"/>
              <c:layout>
                <c:manualLayout>
                  <c:x val="4.6701701523174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EB0-46A3-A6EE-75745AE33C26}"/>
                </c:ext>
              </c:extLst>
            </c:dLbl>
            <c:dLbl>
              <c:idx val="14"/>
              <c:layout>
                <c:manualLayout>
                  <c:x val="6.1461169735510064E-3"/>
                  <c:y val="-4.710149157913454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EB0-46A3-A6EE-75745AE33C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tx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('ACTIVOS uni'!$C$4:$Q$4,'ACTIVOS uni'!$R$4,'ACTIVOS uni'!$S$4,'ACTIVOS uni'!$T$4,'ACTIVOS uni'!$U$4,'ACTIVOS uni'!$V$4)</c:f>
              <c:numCache>
                <c:formatCode>General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('ACTIVOS uni'!$C$14:$P$14,'ACTIVOS uni'!$Q$14,'ACTIVOS uni'!$R$14,'ACTIVOS uni'!$S$14,'ACTIVOS uni'!$T$14,'ACTIVOS uni'!$U$14,'ACTIVOS uni'!$V$14)</c:f>
              <c:numCache>
                <c:formatCode>#,##0</c:formatCode>
                <c:ptCount val="20"/>
                <c:pt idx="2">
                  <c:v>203</c:v>
                </c:pt>
                <c:pt idx="3">
                  <c:v>287</c:v>
                </c:pt>
                <c:pt idx="4">
                  <c:v>562</c:v>
                </c:pt>
                <c:pt idx="5">
                  <c:v>871</c:v>
                </c:pt>
                <c:pt idx="6">
                  <c:v>1054</c:v>
                </c:pt>
                <c:pt idx="7">
                  <c:v>1205</c:v>
                </c:pt>
                <c:pt idx="8">
                  <c:v>1388</c:v>
                </c:pt>
                <c:pt idx="9">
                  <c:v>1528</c:v>
                </c:pt>
                <c:pt idx="10">
                  <c:v>1654</c:v>
                </c:pt>
                <c:pt idx="11">
                  <c:v>2009</c:v>
                </c:pt>
                <c:pt idx="12">
                  <c:v>2326</c:v>
                </c:pt>
                <c:pt idx="13">
                  <c:v>2697</c:v>
                </c:pt>
                <c:pt idx="14">
                  <c:v>3006</c:v>
                </c:pt>
                <c:pt idx="15">
                  <c:v>3245</c:v>
                </c:pt>
                <c:pt idx="16">
                  <c:v>3528</c:v>
                </c:pt>
                <c:pt idx="17">
                  <c:v>3663</c:v>
                </c:pt>
                <c:pt idx="18">
                  <c:v>3854</c:v>
                </c:pt>
                <c:pt idx="19">
                  <c:v>3993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2EB0-46A3-A6EE-75745AE33C26}"/>
            </c:ext>
          </c:extLst>
        </c:ser>
        <c:ser>
          <c:idx val="1"/>
          <c:order val="2"/>
          <c:tx>
            <c:strRef>
              <c:f>'ACTIVOS uni'!$B$19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rgbClr val="57A519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998876203333977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EB0-46A3-A6EE-75745AE33C26}"/>
                </c:ext>
              </c:extLst>
            </c:dLbl>
            <c:dLbl>
              <c:idx val="1"/>
              <c:layout>
                <c:manualLayout>
                  <c:x val="5.99925080222265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EB0-46A3-A6EE-75745AE33C26}"/>
                </c:ext>
              </c:extLst>
            </c:dLbl>
            <c:dLbl>
              <c:idx val="2"/>
              <c:layout>
                <c:manualLayout>
                  <c:x val="7.499063502778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EB0-46A3-A6EE-75745AE33C26}"/>
                </c:ext>
              </c:extLst>
            </c:dLbl>
            <c:dLbl>
              <c:idx val="3"/>
              <c:layout>
                <c:manualLayout>
                  <c:x val="7.499063502778314E-3"/>
                  <c:y val="-3.19361156982605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EB0-46A3-A6EE-75745AE33C26}"/>
                </c:ext>
              </c:extLst>
            </c:dLbl>
            <c:dLbl>
              <c:idx val="4"/>
              <c:layout>
                <c:manualLayout>
                  <c:x val="7.499063502778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EB0-46A3-A6EE-75745AE33C26}"/>
                </c:ext>
              </c:extLst>
            </c:dLbl>
            <c:dLbl>
              <c:idx val="5"/>
              <c:layout>
                <c:manualLayout>
                  <c:x val="7.499063502778314E-3"/>
                  <c:y val="-3.19361156982605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EB0-46A3-A6EE-75745AE33C26}"/>
                </c:ext>
              </c:extLst>
            </c:dLbl>
            <c:dLbl>
              <c:idx val="6"/>
              <c:layout>
                <c:manualLayout>
                  <c:x val="7.499063502778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EB0-46A3-A6EE-75745AE33C26}"/>
                </c:ext>
              </c:extLst>
            </c:dLbl>
            <c:dLbl>
              <c:idx val="7"/>
              <c:layout>
                <c:manualLayout>
                  <c:x val="8.9988762033339775E-3"/>
                  <c:y val="3.19361156982599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EB0-46A3-A6EE-75745AE33C26}"/>
                </c:ext>
              </c:extLst>
            </c:dLbl>
            <c:dLbl>
              <c:idx val="8"/>
              <c:layout>
                <c:manualLayout>
                  <c:x val="8.998876203333977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EB0-46A3-A6EE-75745AE33C26}"/>
                </c:ext>
              </c:extLst>
            </c:dLbl>
            <c:dLbl>
              <c:idx val="9"/>
              <c:layout>
                <c:manualLayout>
                  <c:x val="1.0498570808401518E-2"/>
                  <c:y val="-3.19361156982605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EB0-46A3-A6EE-75745AE33C26}"/>
                </c:ext>
              </c:extLst>
            </c:dLbl>
            <c:dLbl>
              <c:idx val="11"/>
              <c:layout>
                <c:manualLayout>
                  <c:x val="8.58369195405054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EB0-46A3-A6EE-75745AE33C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('ACTIVOS uni'!$C$4:$Q$4,'ACTIVOS uni'!$R$4,'ACTIVOS uni'!$S$4,'ACTIVOS uni'!$T$4,'ACTIVOS uni'!$U$4,'ACTIVOS uni'!$V$4)</c:f>
              <c:numCache>
                <c:formatCode>General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('ACTIVOS uni'!$C$19:$M$19,'ACTIVOS uni'!$N$19,'ACTIVOS uni'!$O$19,'ACTIVOS uni'!$P$19,'ACTIVOS uni'!$Q$19,'ACTIVOS uni'!$R$19,'ACTIVOS uni'!$S$19,'ACTIVOS uni'!$T$19,'ACTIVOS uni'!$U$19,'ACTIVOS uni'!$V$19)</c:f>
              <c:numCache>
                <c:formatCode>#,##0</c:formatCode>
                <c:ptCount val="20"/>
                <c:pt idx="0">
                  <c:v>12203</c:v>
                </c:pt>
                <c:pt idx="1">
                  <c:v>12093</c:v>
                </c:pt>
                <c:pt idx="2">
                  <c:v>11948</c:v>
                </c:pt>
                <c:pt idx="3">
                  <c:v>12096</c:v>
                </c:pt>
                <c:pt idx="4">
                  <c:v>12200</c:v>
                </c:pt>
                <c:pt idx="5">
                  <c:v>12545</c:v>
                </c:pt>
                <c:pt idx="6">
                  <c:v>12769</c:v>
                </c:pt>
                <c:pt idx="7">
                  <c:v>13388</c:v>
                </c:pt>
                <c:pt idx="8">
                  <c:v>13841</c:v>
                </c:pt>
                <c:pt idx="9">
                  <c:v>14547</c:v>
                </c:pt>
                <c:pt idx="10">
                  <c:v>15315</c:v>
                </c:pt>
                <c:pt idx="11">
                  <c:v>15582</c:v>
                </c:pt>
                <c:pt idx="12">
                  <c:v>15677</c:v>
                </c:pt>
                <c:pt idx="13">
                  <c:v>15778</c:v>
                </c:pt>
                <c:pt idx="14">
                  <c:v>15486</c:v>
                </c:pt>
                <c:pt idx="15">
                  <c:v>15301</c:v>
                </c:pt>
                <c:pt idx="16">
                  <c:v>14991</c:v>
                </c:pt>
                <c:pt idx="17">
                  <c:v>14606</c:v>
                </c:pt>
                <c:pt idx="18">
                  <c:v>14646</c:v>
                </c:pt>
                <c:pt idx="19">
                  <c:v>14687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2EB0-46A3-A6EE-75745AE33C26}"/>
            </c:ext>
          </c:extLst>
        </c:ser>
        <c:ser>
          <c:idx val="4"/>
          <c:order val="3"/>
          <c:tx>
            <c:strRef>
              <c:f>'ACTIVOS uni'!$B$24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8"/>
              <c:layout>
                <c:manualLayout>
                  <c:x val="3.0356105990063116E-2"/>
                  <c:y val="-1.04821712638332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EB0-46A3-A6EE-75745AE33C26}"/>
                </c:ext>
              </c:extLst>
            </c:dLbl>
            <c:dLbl>
              <c:idx val="9"/>
              <c:layout>
                <c:manualLayout>
                  <c:x val="2.9853143373855945E-2"/>
                  <c:y val="-1.04816328698839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EB0-46A3-A6EE-75745AE33C26}"/>
                </c:ext>
              </c:extLst>
            </c:dLbl>
            <c:dLbl>
              <c:idx val="10"/>
              <c:layout>
                <c:manualLayout>
                  <c:x val="3.0356105990063203E-2"/>
                  <c:y val="-9.11680420837425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EB0-46A3-A6EE-75745AE33C26}"/>
                </c:ext>
              </c:extLst>
            </c:dLbl>
            <c:dLbl>
              <c:idx val="11"/>
              <c:layout>
                <c:manualLayout>
                  <c:x val="2.9977803821228829E-2"/>
                  <c:y val="-6.83760315628072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EB0-46A3-A6EE-75745AE33C26}"/>
                </c:ext>
              </c:extLst>
            </c:dLbl>
            <c:dLbl>
              <c:idx val="12"/>
              <c:layout>
                <c:manualLayout>
                  <c:x val="3.2845517692280453E-2"/>
                  <c:y val="-1.26115353865076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5337726806796969E-2"/>
                      <c:h val="3.708629958715373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B-2EB0-46A3-A6EE-75745AE33C26}"/>
                </c:ext>
              </c:extLst>
            </c:dLbl>
            <c:dLbl>
              <c:idx val="13"/>
              <c:layout>
                <c:manualLayout>
                  <c:x val="3.0356105990063029E-2"/>
                  <c:y val="-1.59544073646549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EB0-46A3-A6EE-75745AE33C26}"/>
                </c:ext>
              </c:extLst>
            </c:dLbl>
            <c:dLbl>
              <c:idx val="14"/>
              <c:layout>
                <c:manualLayout>
                  <c:x val="3.1523648528142559E-2"/>
                  <c:y val="-1.13960052604678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EB0-46A3-A6EE-75745AE33C26}"/>
                </c:ext>
              </c:extLst>
            </c:dLbl>
            <c:dLbl>
              <c:idx val="15"/>
              <c:layout>
                <c:manualLayout>
                  <c:x val="3.0400663256921614E-2"/>
                  <c:y val="-9.63174771326925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EB0-46A3-A6EE-75745AE33C26}"/>
                </c:ext>
              </c:extLst>
            </c:dLbl>
            <c:dLbl>
              <c:idx val="16"/>
              <c:layout>
                <c:manualLayout>
                  <c:x val="3.1722431224613663E-2"/>
                  <c:y val="-7.43033910819548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EB0-46A3-A6EE-75745AE33C26}"/>
                </c:ext>
              </c:extLst>
            </c:dLbl>
            <c:dLbl>
              <c:idx val="17"/>
              <c:layout>
                <c:manualLayout>
                  <c:x val="2.524196783094421E-2"/>
                  <c:y val="-9.51528148378549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EB0-46A3-A6EE-75745AE33C26}"/>
                </c:ext>
              </c:extLst>
            </c:dLbl>
            <c:dLbl>
              <c:idx val="18"/>
              <c:layout>
                <c:manualLayout>
                  <c:x val="2.5982905982905983E-2"/>
                  <c:y val="-2.07900207900211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462-4A18-BB29-644DD777B429}"/>
                </c:ext>
              </c:extLst>
            </c:dLbl>
            <c:dLbl>
              <c:idx val="19"/>
              <c:layout>
                <c:manualLayout>
                  <c:x val="2.7602906621529023E-2"/>
                  <c:y val="-4.09302247633338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B4D-4A38-95DE-8DB3A93333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>
                    <a:solidFill>
                      <a:srgbClr val="AD25A8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('ACTIVOS uni'!$C$4:$Q$4,'ACTIVOS uni'!$R$4,'ACTIVOS uni'!$S$4,'ACTIVOS uni'!$T$4,'ACTIVOS uni'!$U$4,'ACTIVOS uni'!$V$4)</c:f>
              <c:numCache>
                <c:formatCode>General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('ACTIVOS uni'!$C$24:$R$24,'ACTIVOS uni'!$S$24,'ACTIVOS uni'!$T$24,'ACTIVOS uni'!$U$24,'ACTIVOS uni'!$V$24)</c:f>
              <c:numCache>
                <c:formatCode>#,##0</c:formatCode>
                <c:ptCount val="20"/>
                <c:pt idx="8">
                  <c:v>173</c:v>
                </c:pt>
                <c:pt idx="9">
                  <c:v>228</c:v>
                </c:pt>
                <c:pt idx="10">
                  <c:v>377</c:v>
                </c:pt>
                <c:pt idx="11">
                  <c:v>458</c:v>
                </c:pt>
                <c:pt idx="12">
                  <c:v>594</c:v>
                </c:pt>
                <c:pt idx="13">
                  <c:v>674</c:v>
                </c:pt>
                <c:pt idx="14">
                  <c:v>868</c:v>
                </c:pt>
                <c:pt idx="15">
                  <c:v>1045</c:v>
                </c:pt>
                <c:pt idx="16">
                  <c:v>1249</c:v>
                </c:pt>
                <c:pt idx="17">
                  <c:v>1475</c:v>
                </c:pt>
                <c:pt idx="18">
                  <c:v>1636</c:v>
                </c:pt>
                <c:pt idx="19">
                  <c:v>1793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1-2EB0-46A3-A6EE-75745AE33C26}"/>
            </c:ext>
          </c:extLst>
        </c:ser>
        <c:ser>
          <c:idx val="2"/>
          <c:order val="4"/>
          <c:tx>
            <c:strRef>
              <c:f>'ACTIVOS uni'!$B$29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rgbClr val="0072CE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7.499063502778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2EB0-46A3-A6EE-75745AE33C26}"/>
                </c:ext>
              </c:extLst>
            </c:dLbl>
            <c:dLbl>
              <c:idx val="1"/>
              <c:layout>
                <c:manualLayout>
                  <c:x val="8.998876203333977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EB0-46A3-A6EE-75745AE33C26}"/>
                </c:ext>
              </c:extLst>
            </c:dLbl>
            <c:dLbl>
              <c:idx val="2"/>
              <c:layout>
                <c:manualLayout>
                  <c:x val="7.499063502778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EB0-46A3-A6EE-75745AE33C26}"/>
                </c:ext>
              </c:extLst>
            </c:dLbl>
            <c:dLbl>
              <c:idx val="3"/>
              <c:layout>
                <c:manualLayout>
                  <c:x val="4.4994381016669888E-3"/>
                  <c:y val="-3.19361156982605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EB0-46A3-A6EE-75745AE33C26}"/>
                </c:ext>
              </c:extLst>
            </c:dLbl>
            <c:dLbl>
              <c:idx val="4"/>
              <c:layout>
                <c:manualLayout>
                  <c:x val="4.4994381016669888E-3"/>
                  <c:y val="2.927443454263956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EB0-46A3-A6EE-75745AE33C26}"/>
                </c:ext>
              </c:extLst>
            </c:dLbl>
            <c:dLbl>
              <c:idx val="5"/>
              <c:layout>
                <c:manualLayout>
                  <c:x val="4.499438101666988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EB0-46A3-A6EE-75745AE33C26}"/>
                </c:ext>
              </c:extLst>
            </c:dLbl>
            <c:dLbl>
              <c:idx val="6"/>
              <c:layout>
                <c:manualLayout>
                  <c:x val="5.99925080222265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2EB0-46A3-A6EE-75745AE33C26}"/>
                </c:ext>
              </c:extLst>
            </c:dLbl>
            <c:dLbl>
              <c:idx val="7"/>
              <c:layout>
                <c:manualLayout>
                  <c:x val="5.9992508022226514E-3"/>
                  <c:y val="-6.387223139652137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2EB0-46A3-A6EE-75745AE33C26}"/>
                </c:ext>
              </c:extLst>
            </c:dLbl>
            <c:dLbl>
              <c:idx val="8"/>
              <c:layout>
                <c:manualLayout>
                  <c:x val="8.998876203333977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2EB0-46A3-A6EE-75745AE33C26}"/>
                </c:ext>
              </c:extLst>
            </c:dLbl>
            <c:dLbl>
              <c:idx val="9"/>
              <c:layout>
                <c:manualLayout>
                  <c:x val="7.499063502778204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EB0-46A3-A6EE-75745AE33C26}"/>
                </c:ext>
              </c:extLst>
            </c:dLbl>
            <c:dLbl>
              <c:idx val="11"/>
              <c:layout>
                <c:manualLayout>
                  <c:x val="5.7224613027003967E-3"/>
                  <c:y val="-2.636909193242219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2EB0-46A3-A6EE-75745AE33C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('ACTIVOS uni'!$C$4:$Q$4,'ACTIVOS uni'!$R$4,'ACTIVOS uni'!$S$4,'ACTIVOS uni'!$T$4,'ACTIVOS uni'!$U$4,'ACTIVOS uni'!$V$4)</c:f>
              <c:numCache>
                <c:formatCode>General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('ACTIVOS uni'!$C$29:$M$29,'ACTIVOS uni'!$N$29,'ACTIVOS uni'!$O$29,'ACTIVOS uni'!$P$29,'ACTIVOS uni'!$Q$29,'ACTIVOS uni'!$R$29,'ACTIVOS uni'!$S$29,'ACTIVOS uni'!$T$29,'ACTIVOS uni'!$U$29,'ACTIVOS uni'!$V$29)</c:f>
              <c:numCache>
                <c:formatCode>#,##0</c:formatCode>
                <c:ptCount val="20"/>
                <c:pt idx="0">
                  <c:v>15223</c:v>
                </c:pt>
                <c:pt idx="1">
                  <c:v>16100</c:v>
                </c:pt>
                <c:pt idx="2">
                  <c:v>17019</c:v>
                </c:pt>
                <c:pt idx="3">
                  <c:v>17549</c:v>
                </c:pt>
                <c:pt idx="4">
                  <c:v>17791</c:v>
                </c:pt>
                <c:pt idx="5">
                  <c:v>17791</c:v>
                </c:pt>
                <c:pt idx="6">
                  <c:v>17149</c:v>
                </c:pt>
                <c:pt idx="7">
                  <c:v>16968</c:v>
                </c:pt>
                <c:pt idx="8">
                  <c:v>16715</c:v>
                </c:pt>
                <c:pt idx="9">
                  <c:v>16770</c:v>
                </c:pt>
                <c:pt idx="10">
                  <c:v>16975</c:v>
                </c:pt>
                <c:pt idx="11">
                  <c:v>16883</c:v>
                </c:pt>
                <c:pt idx="12">
                  <c:v>16969</c:v>
                </c:pt>
                <c:pt idx="13">
                  <c:v>17114</c:v>
                </c:pt>
                <c:pt idx="14">
                  <c:v>17380</c:v>
                </c:pt>
                <c:pt idx="15">
                  <c:v>17667</c:v>
                </c:pt>
                <c:pt idx="16">
                  <c:v>17920</c:v>
                </c:pt>
                <c:pt idx="17">
                  <c:v>18209</c:v>
                </c:pt>
                <c:pt idx="18">
                  <c:v>18276</c:v>
                </c:pt>
                <c:pt idx="19">
                  <c:v>18389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D-2EB0-46A3-A6EE-75745AE33C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shape val="cylinder"/>
        <c:axId val="115537792"/>
        <c:axId val="115539328"/>
        <c:axId val="0"/>
      </c:bar3DChart>
      <c:catAx>
        <c:axId val="115537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0"/>
            </a:pPr>
            <a:endParaRPr lang="es-MX"/>
          </a:p>
        </c:txPr>
        <c:crossAx val="115539328"/>
        <c:crosses val="autoZero"/>
        <c:auto val="1"/>
        <c:lblAlgn val="ctr"/>
        <c:lblOffset val="100"/>
        <c:noMultiLvlLbl val="0"/>
      </c:catAx>
      <c:valAx>
        <c:axId val="11553932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15537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167241634233709"/>
          <c:y val="0.92308852917590489"/>
          <c:w val="0.73355567564554536"/>
          <c:h val="5.7749801405138801E-2"/>
        </c:manualLayout>
      </c:layout>
      <c:overlay val="0"/>
      <c:txPr>
        <a:bodyPr/>
        <a:lstStyle/>
        <a:p>
          <a:pPr>
            <a:defRPr sz="12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1"/>
            </a:pPr>
            <a:r>
              <a:rPr lang="es-MX" sz="1200" b="0" i="1"/>
              <a:t>Egresados de estudios de Licenciatura</a:t>
            </a:r>
          </a:p>
        </c:rich>
      </c:tx>
      <c:overlay val="1"/>
    </c:title>
    <c:autoTitleDeleted val="0"/>
    <c:view3D>
      <c:rotX val="15"/>
      <c:rotY val="20"/>
      <c:rAngAx val="1"/>
    </c:view3D>
    <c:floor>
      <c:thickness val="0"/>
      <c:spPr>
        <a:noFill/>
        <a:effectLst>
          <a:outerShdw blurRad="76200" dist="12700" dir="8100000" sy="-23000" kx="800400" algn="br" rotWithShape="0">
            <a:prstClr val="black">
              <a:alpha val="20000"/>
            </a:prstClr>
          </a:outerShdw>
        </a:effectLst>
      </c:spPr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'EGRESO uni'!$BO$69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rgbClr val="CD032E"/>
            </a:solidFill>
            <a:effectLst>
              <a:outerShdw blurRad="101600" dist="12700" dir="8100000" sx="124000" sy="124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('EGRESO uni'!$BN$47:$BN$69,'EGRESO uni'!$BN$70)</c:f>
              <c:numCache>
                <c:formatCode>General</c:formatCode>
                <c:ptCount val="24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</c:numCache>
            </c:numRef>
          </c:cat>
          <c:val>
            <c:numRef>
              <c:f>('EGRESO uni'!$F$9,'EGRESO uni'!$J$9,'EGRESO uni'!$N$9,'EGRESO uni'!$R$9,'EGRESO uni'!$V$9,'EGRESO uni'!$Z$9,'EGRESO uni'!$AD$9,'EGRESO uni'!$AH$9,'EGRESO uni'!$AL$9,'EGRESO uni'!$AP$9,'EGRESO uni'!$AT$9,'EGRESO uni'!$AX$9,'EGRESO uni'!$BB$9,'EGRESO uni'!$BF$9,'EGRESO uni'!$BJ$9,'EGRESO uni'!$BN$9,'EGRESO uni'!$BR$9,'EGRESO uni'!$BV$9,'EGRESO uni'!$BZ$9,'EGRESO uni'!$CD$9,'EGRESO uni'!$CH$9,'EGRESO uni'!$CL$9,'EGRESO uni'!$CP$9,'EGRESO uni'!$CT$9)</c:f>
              <c:numCache>
                <c:formatCode>#,##0</c:formatCode>
                <c:ptCount val="24"/>
                <c:pt idx="0">
                  <c:v>1409</c:v>
                </c:pt>
                <c:pt idx="1">
                  <c:v>1366</c:v>
                </c:pt>
                <c:pt idx="2">
                  <c:v>1296</c:v>
                </c:pt>
                <c:pt idx="3">
                  <c:v>1258</c:v>
                </c:pt>
                <c:pt idx="4">
                  <c:v>1467</c:v>
                </c:pt>
                <c:pt idx="5">
                  <c:v>1278</c:v>
                </c:pt>
                <c:pt idx="6">
                  <c:v>1291</c:v>
                </c:pt>
                <c:pt idx="7">
                  <c:v>1247</c:v>
                </c:pt>
                <c:pt idx="8">
                  <c:v>1196</c:v>
                </c:pt>
                <c:pt idx="9">
                  <c:v>1193</c:v>
                </c:pt>
                <c:pt idx="10">
                  <c:v>1214</c:v>
                </c:pt>
                <c:pt idx="11">
                  <c:v>1192</c:v>
                </c:pt>
                <c:pt idx="12">
                  <c:v>1085</c:v>
                </c:pt>
                <c:pt idx="13">
                  <c:v>1139</c:v>
                </c:pt>
                <c:pt idx="14">
                  <c:v>1579</c:v>
                </c:pt>
                <c:pt idx="15">
                  <c:v>1480</c:v>
                </c:pt>
                <c:pt idx="16">
                  <c:v>1499</c:v>
                </c:pt>
                <c:pt idx="17">
                  <c:v>1428</c:v>
                </c:pt>
                <c:pt idx="18">
                  <c:v>1675</c:v>
                </c:pt>
                <c:pt idx="19">
                  <c:v>1511</c:v>
                </c:pt>
                <c:pt idx="20">
                  <c:v>1504</c:v>
                </c:pt>
                <c:pt idx="21">
                  <c:v>1338</c:v>
                </c:pt>
                <c:pt idx="22">
                  <c:v>1424</c:v>
                </c:pt>
                <c:pt idx="23">
                  <c:v>1459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FF-48AD-9687-7FA82CF98C52}"/>
            </c:ext>
          </c:extLst>
        </c:ser>
        <c:ser>
          <c:idx val="1"/>
          <c:order val="1"/>
          <c:tx>
            <c:strRef>
              <c:f>'EGRESO uni'!$BO$70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18"/>
              <c:layout>
                <c:manualLayout>
                  <c:x val="7.1916576770945703E-3"/>
                  <c:y val="-5.09554242350016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FF-48AD-9687-7FA82CF98C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('EGRESO uni'!$BN$47:$BN$69,'EGRESO uni'!$BN$70)</c:f>
              <c:numCache>
                <c:formatCode>General</c:formatCode>
                <c:ptCount val="24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</c:numCache>
            </c:numRef>
          </c:cat>
          <c:val>
            <c:numRef>
              <c:f>('EGRESO uni'!$F$14,'EGRESO uni'!$J$14,'EGRESO uni'!$N$14,'EGRESO uni'!$R$14,'EGRESO uni'!$V$14,'EGRESO uni'!$Z$14,'EGRESO uni'!$AD$14,'EGRESO uni'!$AH$14,'EGRESO uni'!$AL$14,'EGRESO uni'!$AP$14,'EGRESO uni'!$AT$14,'EGRESO uni'!$AX$14,'EGRESO uni'!$BB$14,'EGRESO uni'!$BF$14,'EGRESO uni'!$BJ$14,'EGRESO uni'!$BN$14,'EGRESO uni'!$BR$14,'EGRESO uni'!$BV$14,'EGRESO uni'!$BZ$14,'EGRESO uni'!$CD$14,'EGRESO uni'!$CH$14,'EGRESO uni'!$CL$14,'EGRESO uni'!$CP$14,'EGRESO uni'!$CT$14)</c:f>
              <c:numCache>
                <c:formatCode>#,##0</c:formatCode>
                <c:ptCount val="24"/>
                <c:pt idx="10">
                  <c:v>67</c:v>
                </c:pt>
                <c:pt idx="11">
                  <c:v>53</c:v>
                </c:pt>
                <c:pt idx="12">
                  <c:v>94</c:v>
                </c:pt>
                <c:pt idx="13">
                  <c:v>120</c:v>
                </c:pt>
                <c:pt idx="14">
                  <c:v>79</c:v>
                </c:pt>
                <c:pt idx="15">
                  <c:v>86</c:v>
                </c:pt>
                <c:pt idx="16">
                  <c:v>81</c:v>
                </c:pt>
                <c:pt idx="17">
                  <c:v>113</c:v>
                </c:pt>
                <c:pt idx="18">
                  <c:v>134</c:v>
                </c:pt>
                <c:pt idx="19">
                  <c:v>185</c:v>
                </c:pt>
                <c:pt idx="20">
                  <c:v>231</c:v>
                </c:pt>
                <c:pt idx="21">
                  <c:v>182</c:v>
                </c:pt>
                <c:pt idx="22">
                  <c:v>279</c:v>
                </c:pt>
                <c:pt idx="23">
                  <c:v>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FF-48AD-9687-7FA82CF98C52}"/>
            </c:ext>
          </c:extLst>
        </c:ser>
        <c:ser>
          <c:idx val="2"/>
          <c:order val="2"/>
          <c:tx>
            <c:strRef>
              <c:f>'EGRESO uni'!$BO$71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rgbClr val="57A519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('EGRESO uni'!$BN$47:$BN$69,'EGRESO uni'!$BN$70)</c:f>
              <c:numCache>
                <c:formatCode>General</c:formatCode>
                <c:ptCount val="24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</c:numCache>
            </c:numRef>
          </c:cat>
          <c:val>
            <c:numRef>
              <c:f>('EGRESO uni'!$F$19,'EGRESO uni'!$J$19,'EGRESO uni'!$N$19,'EGRESO uni'!$R$19,'EGRESO uni'!$V$19,'EGRESO uni'!$Z$19,'EGRESO uni'!$AD$19,'EGRESO uni'!$AH$19,'EGRESO uni'!$AL$19,'EGRESO uni'!$AP$19,'EGRESO uni'!$AT$19,'EGRESO uni'!$AX$19,'EGRESO uni'!$BB$19,'EGRESO uni'!$BF$19,'EGRESO uni'!$BJ$19,'EGRESO uni'!$BN$19,'EGRESO uni'!$BR$19,'EGRESO uni'!$BV$19,'EGRESO uni'!$BZ$19,'EGRESO uni'!$CD$19,'EGRESO uni'!$CH$19,'EGRESO uni'!$CL$19,'EGRESO uni'!$CP$19,'EGRESO uni'!$CT$19)</c:f>
              <c:numCache>
                <c:formatCode>#,##0</c:formatCode>
                <c:ptCount val="24"/>
                <c:pt idx="0">
                  <c:v>990</c:v>
                </c:pt>
                <c:pt idx="1">
                  <c:v>852</c:v>
                </c:pt>
                <c:pt idx="2">
                  <c:v>943</c:v>
                </c:pt>
                <c:pt idx="3">
                  <c:v>952</c:v>
                </c:pt>
                <c:pt idx="4">
                  <c:v>1040</c:v>
                </c:pt>
                <c:pt idx="5">
                  <c:v>1188</c:v>
                </c:pt>
                <c:pt idx="6">
                  <c:v>1097</c:v>
                </c:pt>
                <c:pt idx="7">
                  <c:v>1150</c:v>
                </c:pt>
                <c:pt idx="8">
                  <c:v>953</c:v>
                </c:pt>
                <c:pt idx="9">
                  <c:v>946</c:v>
                </c:pt>
                <c:pt idx="10">
                  <c:v>896</c:v>
                </c:pt>
                <c:pt idx="11">
                  <c:v>1089</c:v>
                </c:pt>
                <c:pt idx="12">
                  <c:v>916</c:v>
                </c:pt>
                <c:pt idx="13">
                  <c:v>1064</c:v>
                </c:pt>
                <c:pt idx="14">
                  <c:v>1185</c:v>
                </c:pt>
                <c:pt idx="15">
                  <c:v>1109</c:v>
                </c:pt>
                <c:pt idx="16">
                  <c:v>1132</c:v>
                </c:pt>
                <c:pt idx="17">
                  <c:v>1192</c:v>
                </c:pt>
                <c:pt idx="18">
                  <c:v>1256</c:v>
                </c:pt>
                <c:pt idx="19">
                  <c:v>1269</c:v>
                </c:pt>
                <c:pt idx="20">
                  <c:v>1316</c:v>
                </c:pt>
                <c:pt idx="21">
                  <c:v>1275</c:v>
                </c:pt>
                <c:pt idx="22">
                  <c:v>1285</c:v>
                </c:pt>
                <c:pt idx="23">
                  <c:v>1176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FF-48AD-9687-7FA82CF98C52}"/>
            </c:ext>
          </c:extLst>
        </c:ser>
        <c:ser>
          <c:idx val="4"/>
          <c:order val="3"/>
          <c:tx>
            <c:strRef>
              <c:f>'EGRESO uni'!$BO$73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16"/>
              <c:layout>
                <c:manualLayout>
                  <c:x val="4.0971197542112644E-3"/>
                  <c:y val="-3.317546278666977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FF-48AD-9687-7FA82CF98C52}"/>
                </c:ext>
              </c:extLst>
            </c:dLbl>
            <c:dLbl>
              <c:idx val="17"/>
              <c:layout>
                <c:manualLayout>
                  <c:x val="6.2366811361711672E-3"/>
                  <c:y val="1.86903475045756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FF-48AD-9687-7FA82CF98C52}"/>
                </c:ext>
              </c:extLst>
            </c:dLbl>
            <c:dLbl>
              <c:idx val="18"/>
              <c:layout>
                <c:manualLayout>
                  <c:x val="4.8429719407978465E-3"/>
                  <c:y val="-7.64331185741134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FF-48AD-9687-7FA82CF98C52}"/>
                </c:ext>
              </c:extLst>
            </c:dLbl>
            <c:dLbl>
              <c:idx val="19"/>
              <c:layout>
                <c:manualLayout>
                  <c:x val="1.907806974291677E-3"/>
                  <c:y val="-4.87507523738161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FF-48AD-9687-7FA82CF98C52}"/>
                </c:ext>
              </c:extLst>
            </c:dLbl>
            <c:dLbl>
              <c:idx val="20"/>
              <c:layout>
                <c:manualLayout>
                  <c:x val="3.3743843787980982E-3"/>
                  <c:y val="-4.97200094584136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FF-48AD-9687-7FA82CF98C52}"/>
                </c:ext>
              </c:extLst>
            </c:dLbl>
            <c:dLbl>
              <c:idx val="21"/>
              <c:layout>
                <c:manualLayout>
                  <c:x val="4.2548333608752832E-3"/>
                  <c:y val="-4.87507523738161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41-48EC-A5C4-395D045F3A5C}"/>
                </c:ext>
              </c:extLst>
            </c:dLbl>
            <c:dLbl>
              <c:idx val="22"/>
              <c:layout>
                <c:manualLayout>
                  <c:x val="5.3185417010941033E-3"/>
                  <c:y val="-7.31261285607251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41-48EC-A5C4-395D045F3A5C}"/>
                </c:ext>
              </c:extLst>
            </c:dLbl>
            <c:dLbl>
              <c:idx val="23"/>
              <c:layout>
                <c:manualLayout>
                  <c:x val="3.519650643726550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F9-4320-BDF3-AD5E54C572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chemeClr val="bg1"/>
                    </a:solidFill>
                    <a:latin typeface="+mn-lt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('EGRESO uni'!$BN$47:$BN$69,'EGRESO uni'!$BN$70)</c:f>
              <c:numCache>
                <c:formatCode>General</c:formatCode>
                <c:ptCount val="24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</c:numCache>
            </c:numRef>
          </c:cat>
          <c:val>
            <c:numRef>
              <c:f>('EGRESO uni'!$F$24,'EGRESO uni'!$J$24,'EGRESO uni'!$N$24,'EGRESO uni'!$R$24,'EGRESO uni'!$V$24,'EGRESO uni'!$Z$24,'EGRESO uni'!$AD$24,'EGRESO uni'!$AH$24,'EGRESO uni'!$AL$24,'EGRESO uni'!$AP$24,'EGRESO uni'!$AT$24,'EGRESO uni'!$AX$24,'EGRESO uni'!$BB$24,'EGRESO uni'!$BF$24,'EGRESO uni'!$BJ$24,'EGRESO uni'!$BN$24,'EGRESO uni'!$BR$24,'EGRESO uni'!$BV$24,'EGRESO uni'!$BZ$24,'EGRESO uni'!$CD$24,'EGRESO uni'!$CH$24,'EGRESO uni'!$CL$24,'EGRESO uni'!$CP$24,'EGRESO uni'!$CT$24)</c:f>
              <c:numCache>
                <c:formatCode>#,##0</c:formatCode>
                <c:ptCount val="24"/>
                <c:pt idx="16">
                  <c:v>75</c:v>
                </c:pt>
                <c:pt idx="17">
                  <c:v>29</c:v>
                </c:pt>
                <c:pt idx="18">
                  <c:v>81</c:v>
                </c:pt>
                <c:pt idx="19">
                  <c:v>51</c:v>
                </c:pt>
                <c:pt idx="20">
                  <c:v>42</c:v>
                </c:pt>
                <c:pt idx="21">
                  <c:v>81</c:v>
                </c:pt>
                <c:pt idx="22">
                  <c:v>71</c:v>
                </c:pt>
                <c:pt idx="23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7FF-48AD-9687-7FA82CF98C52}"/>
            </c:ext>
          </c:extLst>
        </c:ser>
        <c:ser>
          <c:idx val="3"/>
          <c:order val="4"/>
          <c:tx>
            <c:strRef>
              <c:f>'EGRESO uni'!$BO$72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rgbClr val="0072CE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('EGRESO uni'!$BN$47:$BN$69,'EGRESO uni'!$BN$70)</c:f>
              <c:numCache>
                <c:formatCode>General</c:formatCode>
                <c:ptCount val="24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</c:numCache>
            </c:numRef>
          </c:cat>
          <c:val>
            <c:numRef>
              <c:f>('EGRESO uni'!$F$29,'EGRESO uni'!$J$29,'EGRESO uni'!$N$29,'EGRESO uni'!$R$29,'EGRESO uni'!$V$29,'EGRESO uni'!$Z$29,'EGRESO uni'!$AD$29,'EGRESO uni'!$AH$29,'EGRESO uni'!$AL$29,'EGRESO uni'!$AP$29,'EGRESO uni'!$AT$29,'EGRESO uni'!$AX$29,'EGRESO uni'!$BB$29,'EGRESO uni'!$BF$29,'EGRESO uni'!$BJ$29,'EGRESO uni'!$BN$29,'EGRESO uni'!$BR$29,'EGRESO uni'!$BV$29,'EGRESO uni'!$BZ$29,'EGRESO uni'!$CD$29,'EGRESO uni'!$CH$29,'EGRESO uni'!$CL$29,'EGRESO uni'!$CP$29,'EGRESO uni'!$CT$29)</c:f>
              <c:numCache>
                <c:formatCode>#,##0</c:formatCode>
                <c:ptCount val="24"/>
                <c:pt idx="0">
                  <c:v>2127</c:v>
                </c:pt>
                <c:pt idx="1">
                  <c:v>2344</c:v>
                </c:pt>
                <c:pt idx="2">
                  <c:v>2252</c:v>
                </c:pt>
                <c:pt idx="3">
                  <c:v>2522</c:v>
                </c:pt>
                <c:pt idx="4">
                  <c:v>2186</c:v>
                </c:pt>
                <c:pt idx="5">
                  <c:v>1979</c:v>
                </c:pt>
                <c:pt idx="6">
                  <c:v>2046</c:v>
                </c:pt>
                <c:pt idx="7">
                  <c:v>2143</c:v>
                </c:pt>
                <c:pt idx="8">
                  <c:v>2277</c:v>
                </c:pt>
                <c:pt idx="9">
                  <c:v>2718</c:v>
                </c:pt>
                <c:pt idx="10">
                  <c:v>2674</c:v>
                </c:pt>
                <c:pt idx="11">
                  <c:v>2520</c:v>
                </c:pt>
                <c:pt idx="12">
                  <c:v>2353</c:v>
                </c:pt>
                <c:pt idx="13">
                  <c:v>2351</c:v>
                </c:pt>
                <c:pt idx="14">
                  <c:v>2491</c:v>
                </c:pt>
                <c:pt idx="15">
                  <c:v>2388</c:v>
                </c:pt>
                <c:pt idx="16">
                  <c:v>2360</c:v>
                </c:pt>
                <c:pt idx="17">
                  <c:v>2383</c:v>
                </c:pt>
                <c:pt idx="18">
                  <c:v>2281</c:v>
                </c:pt>
                <c:pt idx="19">
                  <c:v>2392</c:v>
                </c:pt>
                <c:pt idx="20">
                  <c:v>2243</c:v>
                </c:pt>
                <c:pt idx="21">
                  <c:v>2510</c:v>
                </c:pt>
                <c:pt idx="22">
                  <c:v>2548</c:v>
                </c:pt>
                <c:pt idx="23">
                  <c:v>2607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7FF-48AD-9687-7FA82CF98C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23030912"/>
        <c:axId val="123049088"/>
        <c:axId val="0"/>
      </c:bar3DChart>
      <c:catAx>
        <c:axId val="123030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123049088"/>
        <c:crosses val="autoZero"/>
        <c:auto val="1"/>
        <c:lblAlgn val="ctr"/>
        <c:lblOffset val="100"/>
        <c:noMultiLvlLbl val="0"/>
      </c:catAx>
      <c:valAx>
        <c:axId val="12304908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230309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0213172028993066"/>
          <c:y val="0.93913430993209979"/>
          <c:w val="0.7755720104523357"/>
          <c:h val="4.9192273527950497E-2"/>
        </c:manualLayout>
      </c:layout>
      <c:overlay val="0"/>
      <c:txPr>
        <a:bodyPr/>
        <a:lstStyle/>
        <a:p>
          <a:pPr>
            <a:defRPr sz="12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>
                <a:solidFill>
                  <a:srgbClr val="CD032E"/>
                </a:solidFill>
              </a:defRPr>
            </a:pPr>
            <a:r>
              <a:rPr lang="es-MX" sz="1200" b="0">
                <a:solidFill>
                  <a:srgbClr val="CD032E"/>
                </a:solidFill>
              </a:rPr>
              <a:t>Azcapotzalco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3.2376747608535691E-2"/>
          <c:y val="0.10671834625322997"/>
          <c:w val="0.93524650478292859"/>
          <c:h val="0.65183991535941732"/>
        </c:manualLayout>
      </c:layout>
      <c:lineChart>
        <c:grouping val="standard"/>
        <c:varyColors val="0"/>
        <c:ser>
          <c:idx val="0"/>
          <c:order val="0"/>
          <c:tx>
            <c:strRef>
              <c:f>'EGRESO uni'!$B$6</c:f>
              <c:strCache>
                <c:ptCount val="1"/>
                <c:pt idx="0">
                  <c:v>CBI</c:v>
                </c:pt>
              </c:strCache>
            </c:strRef>
          </c:tx>
          <c:spPr>
            <a:ln w="12700">
              <a:solidFill>
                <a:srgbClr val="CD032E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CD032E"/>
                </a:solidFill>
              </a:ln>
            </c:spPr>
          </c:marker>
          <c:dLbls>
            <c:dLbl>
              <c:idx val="0"/>
              <c:layout>
                <c:manualLayout>
                  <c:x val="-6.9411389801440376E-2"/>
                  <c:y val="4.560825245681498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E7-4B28-ADDB-0C58E807CF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D032E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uni'!$AP$51:$AP$55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('EGRESO uni'!$AX$6,'EGRESO uni'!$BB$6,'EGRESO uni'!$BF$6,'EGRESO uni'!$BJ$6,'EGRESO uni'!$BN$6)</c:f>
              <c:numCache>
                <c:formatCode>#,##0</c:formatCode>
                <c:ptCount val="5"/>
                <c:pt idx="0">
                  <c:v>368</c:v>
                </c:pt>
                <c:pt idx="1">
                  <c:v>404</c:v>
                </c:pt>
                <c:pt idx="2">
                  <c:v>362</c:v>
                </c:pt>
                <c:pt idx="3">
                  <c:v>522</c:v>
                </c:pt>
                <c:pt idx="4">
                  <c:v>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E7-4B28-ADDB-0C58E807CF35}"/>
            </c:ext>
          </c:extLst>
        </c:ser>
        <c:ser>
          <c:idx val="1"/>
          <c:order val="1"/>
          <c:tx>
            <c:strRef>
              <c:f>'EGRESO uni'!$B$7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uni'!$AP$51:$AP$55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('EGRESO uni'!$AX$7,'EGRESO uni'!$BB$7,'EGRESO uni'!$BF$7,'EGRESO uni'!$BJ$7,'EGRESO uni'!$BN$7)</c:f>
              <c:numCache>
                <c:formatCode>#,##0</c:formatCode>
                <c:ptCount val="5"/>
                <c:pt idx="0">
                  <c:v>503</c:v>
                </c:pt>
                <c:pt idx="1">
                  <c:v>439</c:v>
                </c:pt>
                <c:pt idx="2">
                  <c:v>524</c:v>
                </c:pt>
                <c:pt idx="3">
                  <c:v>724</c:v>
                </c:pt>
                <c:pt idx="4">
                  <c:v>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E7-4B28-ADDB-0C58E807CF35}"/>
            </c:ext>
          </c:extLst>
        </c:ser>
        <c:ser>
          <c:idx val="2"/>
          <c:order val="2"/>
          <c:tx>
            <c:strRef>
              <c:f>'EGRESO uni'!$B$8</c:f>
              <c:strCache>
                <c:ptCount val="1"/>
                <c:pt idx="0">
                  <c:v>CAD</c:v>
                </c:pt>
              </c:strCache>
            </c:strRef>
          </c:tx>
          <c:spPr>
            <a:ln w="12700">
              <a:solidFill>
                <a:srgbClr val="AD25A8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rgbClr val="AD25A8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AD25A8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uni'!$AP$51:$AP$55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('EGRESO uni'!$AX$8,'EGRESO uni'!$BB$8,'EGRESO uni'!$BF$8,'EGRESO uni'!$BJ$8,'EGRESO uni'!$BN$8)</c:f>
              <c:numCache>
                <c:formatCode>#,##0</c:formatCode>
                <c:ptCount val="5"/>
                <c:pt idx="0">
                  <c:v>321</c:v>
                </c:pt>
                <c:pt idx="1">
                  <c:v>242</c:v>
                </c:pt>
                <c:pt idx="2">
                  <c:v>253</c:v>
                </c:pt>
                <c:pt idx="3">
                  <c:v>333</c:v>
                </c:pt>
                <c:pt idx="4">
                  <c:v>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5E7-4B28-ADDB-0C58E807C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086336"/>
        <c:axId val="123087872"/>
      </c:lineChart>
      <c:catAx>
        <c:axId val="123086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3087872"/>
        <c:crosses val="autoZero"/>
        <c:auto val="1"/>
        <c:lblAlgn val="ctr"/>
        <c:lblOffset val="100"/>
        <c:noMultiLvlLbl val="0"/>
      </c:catAx>
      <c:valAx>
        <c:axId val="123087872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23086336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497E-2"/>
          <c:y val="0.87554049929805289"/>
          <c:w val="0.8444690109100601"/>
          <c:h val="8.0968076664835506E-2"/>
        </c:manualLayout>
      </c:layout>
      <c:overlay val="0"/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>
                <a:solidFill>
                  <a:srgbClr val="F08200"/>
                </a:solidFill>
              </a:defRPr>
            </a:pPr>
            <a:r>
              <a:rPr lang="es-MX" sz="1200" b="0">
                <a:solidFill>
                  <a:srgbClr val="F08200"/>
                </a:solidFill>
              </a:rPr>
              <a:t>Cuajimalpa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3.2376747608535691E-2"/>
          <c:y val="0.10671834625322997"/>
          <c:w val="0.93524650478292859"/>
          <c:h val="0.65183991535941732"/>
        </c:manualLayout>
      </c:layout>
      <c:lineChart>
        <c:grouping val="standard"/>
        <c:varyColors val="0"/>
        <c:ser>
          <c:idx val="0"/>
          <c:order val="0"/>
          <c:tx>
            <c:strRef>
              <c:f>'EGRESO uni'!$B$11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2"/>
              <c:layout>
                <c:manualLayout>
                  <c:x val="-3.401041757197569E-2"/>
                  <c:y val="-3.04006185273352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4F3-4784-8929-5788EF30B2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uni'!$AP$51:$AP$55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('EGRESO uni'!$AX$11,'EGRESO uni'!$BB$11,'EGRESO uni'!$BF$11,'EGRESO uni'!$BJ$11,'EGRESO uni'!$BN$11)</c:f>
              <c:numCache>
                <c:formatCode>#,##0</c:formatCode>
                <c:ptCount val="5"/>
                <c:pt idx="0">
                  <c:v>28</c:v>
                </c:pt>
                <c:pt idx="1">
                  <c:v>51</c:v>
                </c:pt>
                <c:pt idx="2">
                  <c:v>54</c:v>
                </c:pt>
                <c:pt idx="3">
                  <c:v>43</c:v>
                </c:pt>
                <c:pt idx="4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F3-4784-8929-5788EF30B213}"/>
            </c:ext>
          </c:extLst>
        </c:ser>
        <c:ser>
          <c:idx val="1"/>
          <c:order val="1"/>
          <c:tx>
            <c:strRef>
              <c:f>'EGRESO uni'!$B$12</c:f>
              <c:strCache>
                <c:ptCount val="1"/>
                <c:pt idx="0">
                  <c:v>CCD</c:v>
                </c:pt>
              </c:strCache>
            </c:strRef>
          </c:tx>
          <c:spPr>
            <a:ln w="12700">
              <a:solidFill>
                <a:srgbClr val="F082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F08200"/>
                </a:solidFill>
              </a:ln>
            </c:spPr>
          </c:marker>
          <c:dLbls>
            <c:dLbl>
              <c:idx val="2"/>
              <c:layout>
                <c:manualLayout>
                  <c:x val="-3.401041757197569E-2"/>
                  <c:y val="4.1950802661295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F3-4784-8929-5788EF30B2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F08200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uni'!$AP$51:$AP$55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('EGRESO uni'!$AX$12,'EGRESO uni'!$BB$12,'EGRESO uni'!$BF$12,'EGRESO uni'!$BJ$12,'EGRESO uni'!$BN$12)</c:f>
              <c:numCache>
                <c:formatCode>#,##0</c:formatCode>
                <c:ptCount val="5"/>
                <c:pt idx="0">
                  <c:v>15</c:v>
                </c:pt>
                <c:pt idx="1">
                  <c:v>32</c:v>
                </c:pt>
                <c:pt idx="2">
                  <c:v>48</c:v>
                </c:pt>
                <c:pt idx="3">
                  <c:v>21</c:v>
                </c:pt>
                <c:pt idx="4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F3-4784-8929-5788EF30B213}"/>
            </c:ext>
          </c:extLst>
        </c:ser>
        <c:ser>
          <c:idx val="2"/>
          <c:order val="2"/>
          <c:tx>
            <c:strRef>
              <c:f>'EGRESO uni'!$B$13</c:f>
              <c:strCache>
                <c:ptCount val="1"/>
                <c:pt idx="0">
                  <c:v>CNI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7.5298071184810508E-2"/>
                  <c:y val="2.1278968035972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F3-4784-8929-5788EF30B213}"/>
                </c:ext>
              </c:extLst>
            </c:dLbl>
            <c:dLbl>
              <c:idx val="1"/>
              <c:layout>
                <c:manualLayout>
                  <c:x val="-4.2921323576274817E-2"/>
                  <c:y val="4.7118761317625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F3-4784-8929-5788EF30B213}"/>
                </c:ext>
              </c:extLst>
            </c:dLbl>
            <c:dLbl>
              <c:idx val="2"/>
              <c:layout>
                <c:manualLayout>
                  <c:x val="-3.9977982884589758E-2"/>
                  <c:y val="5.22867199739567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3-4784-8929-5788EF30B213}"/>
                </c:ext>
              </c:extLst>
            </c:dLbl>
            <c:dLbl>
              <c:idx val="3"/>
              <c:layout>
                <c:manualLayout>
                  <c:x val="-5.1751345651330008E-2"/>
                  <c:y val="4.7118761317625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F3-4784-8929-5788EF30B2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tx1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uni'!$AP$51:$AP$55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('EGRESO uni'!$AX$13,'EGRESO uni'!$BB$13,'EGRESO uni'!$BF$13,'EGRESO uni'!$BJ$13,'EGRESO uni'!$BN$13)</c:f>
              <c:numCache>
                <c:formatCode>#,##0</c:formatCode>
                <c:ptCount val="5"/>
                <c:pt idx="0">
                  <c:v>10</c:v>
                </c:pt>
                <c:pt idx="1">
                  <c:v>11</c:v>
                </c:pt>
                <c:pt idx="2">
                  <c:v>18</c:v>
                </c:pt>
                <c:pt idx="3">
                  <c:v>15</c:v>
                </c:pt>
                <c:pt idx="4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4F3-4784-8929-5788EF30B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766848"/>
        <c:axId val="122768384"/>
      </c:lineChart>
      <c:catAx>
        <c:axId val="122766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2768384"/>
        <c:crosses val="autoZero"/>
        <c:auto val="1"/>
        <c:lblAlgn val="ctr"/>
        <c:lblOffset val="100"/>
        <c:noMultiLvlLbl val="0"/>
      </c:catAx>
      <c:valAx>
        <c:axId val="122768384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22766848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497E-2"/>
          <c:y val="0.87554049929805289"/>
          <c:w val="0.8444690109100601"/>
          <c:h val="8.0968076664835506E-2"/>
        </c:manualLayout>
      </c:layout>
      <c:overlay val="0"/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>
                <a:solidFill>
                  <a:srgbClr val="57A519"/>
                </a:solidFill>
              </a:defRPr>
            </a:pPr>
            <a:r>
              <a:rPr lang="es-MX" sz="1200" b="0">
                <a:solidFill>
                  <a:srgbClr val="57A519"/>
                </a:solidFill>
              </a:rPr>
              <a:t>Iztapalapa</a:t>
            </a:r>
          </a:p>
        </c:rich>
      </c:tx>
      <c:layout>
        <c:manualLayout>
          <c:xMode val="edge"/>
          <c:yMode val="edge"/>
          <c:x val="0.4264089505368121"/>
          <c:y val="1.03359173126614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376747608535691E-2"/>
          <c:y val="0.10671834625322997"/>
          <c:w val="0.93524650478292859"/>
          <c:h val="0.65183991535941732"/>
        </c:manualLayout>
      </c:layout>
      <c:lineChart>
        <c:grouping val="standard"/>
        <c:varyColors val="0"/>
        <c:ser>
          <c:idx val="0"/>
          <c:order val="0"/>
          <c:tx>
            <c:strRef>
              <c:f>'EGRESO uni'!$B$16</c:f>
              <c:strCache>
                <c:ptCount val="1"/>
                <c:pt idx="0">
                  <c:v>CBI</c:v>
                </c:pt>
              </c:strCache>
            </c:strRef>
          </c:tx>
          <c:spPr>
            <a:ln w="12700">
              <a:solidFill>
                <a:srgbClr val="C00000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CD032E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D032E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uni'!$AP$51:$AP$55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('EGRESO uni'!$AX$16,'EGRESO uni'!$BB$16,'EGRESO uni'!$BF$16,'EGRESO uni'!$BJ$16,'EGRESO uni'!$BN$16)</c:f>
              <c:numCache>
                <c:formatCode>#,##0</c:formatCode>
                <c:ptCount val="5"/>
                <c:pt idx="0">
                  <c:v>239</c:v>
                </c:pt>
                <c:pt idx="1">
                  <c:v>179</c:v>
                </c:pt>
                <c:pt idx="2">
                  <c:v>202</c:v>
                </c:pt>
                <c:pt idx="3">
                  <c:v>163</c:v>
                </c:pt>
                <c:pt idx="4">
                  <c:v>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EC-4C3E-9E9C-46EBE8E0E2EE}"/>
            </c:ext>
          </c:extLst>
        </c:ser>
        <c:ser>
          <c:idx val="1"/>
          <c:order val="1"/>
          <c:tx>
            <c:strRef>
              <c:f>'EGRESO uni'!$B$17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3"/>
              <c:layout>
                <c:manualLayout>
                  <c:x val="-5.4768153980752403E-2"/>
                  <c:y val="4.07365358399967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EC-4C3E-9E9C-46EBE8E0E2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uni'!$AP$51:$AP$55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('EGRESO uni'!$AX$17,'EGRESO uni'!$BB$17,'EGRESO uni'!$BF$17,'EGRESO uni'!$BJ$17,'EGRESO uni'!$BN$17)</c:f>
              <c:numCache>
                <c:formatCode>#,##0</c:formatCode>
                <c:ptCount val="5"/>
                <c:pt idx="0">
                  <c:v>547</c:v>
                </c:pt>
                <c:pt idx="1">
                  <c:v>482</c:v>
                </c:pt>
                <c:pt idx="2">
                  <c:v>565</c:v>
                </c:pt>
                <c:pt idx="3">
                  <c:v>668</c:v>
                </c:pt>
                <c:pt idx="4">
                  <c:v>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EC-4C3E-9E9C-46EBE8E0E2EE}"/>
            </c:ext>
          </c:extLst>
        </c:ser>
        <c:ser>
          <c:idx val="2"/>
          <c:order val="2"/>
          <c:tx>
            <c:strRef>
              <c:f>'EGRESO uni'!$B$18</c:f>
              <c:strCache>
                <c:ptCount val="1"/>
                <c:pt idx="0">
                  <c:v>CBS</c:v>
                </c:pt>
              </c:strCache>
            </c:strRef>
          </c:tx>
          <c:spPr>
            <a:ln w="12700">
              <a:solidFill>
                <a:srgbClr val="0072CE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rgbClr val="0072CE"/>
                </a:solidFill>
              </a:ln>
            </c:spPr>
          </c:marker>
          <c:dLbls>
            <c:dLbl>
              <c:idx val="3"/>
              <c:layout>
                <c:manualLayout>
                  <c:x val="-5.4768153980752403E-2"/>
                  <c:y val="-4.0736535839996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EC-4C3E-9E9C-46EBE8E0E2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72CE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uni'!$AP$51:$AP$55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('EGRESO uni'!$AX$18,'EGRESO uni'!$BB$18,'EGRESO uni'!$BF$18,'EGRESO uni'!$BJ$18,'EGRESO uni'!$BN$18)</c:f>
              <c:numCache>
                <c:formatCode>#,##0</c:formatCode>
                <c:ptCount val="5"/>
                <c:pt idx="0">
                  <c:v>303</c:v>
                </c:pt>
                <c:pt idx="1">
                  <c:v>255</c:v>
                </c:pt>
                <c:pt idx="2">
                  <c:v>297</c:v>
                </c:pt>
                <c:pt idx="3">
                  <c:v>354</c:v>
                </c:pt>
                <c:pt idx="4">
                  <c:v>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AEC-4C3E-9E9C-46EBE8E0E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830848"/>
        <c:axId val="122832384"/>
      </c:lineChart>
      <c:catAx>
        <c:axId val="122830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2832384"/>
        <c:crosses val="autoZero"/>
        <c:auto val="1"/>
        <c:lblAlgn val="ctr"/>
        <c:lblOffset val="100"/>
        <c:noMultiLvlLbl val="0"/>
      </c:catAx>
      <c:valAx>
        <c:axId val="122832384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22830848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497E-2"/>
          <c:y val="0.87554049929805289"/>
          <c:w val="0.8444690109100601"/>
          <c:h val="8.0968076664835506E-2"/>
        </c:manualLayout>
      </c:layout>
      <c:overlay val="0"/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>
                <a:solidFill>
                  <a:srgbClr val="0072CE"/>
                </a:solidFill>
              </a:defRPr>
            </a:pPr>
            <a:r>
              <a:rPr lang="es-MX" sz="1200" b="0">
                <a:solidFill>
                  <a:srgbClr val="0072CE"/>
                </a:solidFill>
              </a:rPr>
              <a:t>Xochimilco</a:t>
            </a:r>
          </a:p>
        </c:rich>
      </c:tx>
      <c:layout>
        <c:manualLayout>
          <c:xMode val="edge"/>
          <c:yMode val="edge"/>
          <c:x val="0.4264089505368121"/>
          <c:y val="1.03359173126614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376747608535691E-2"/>
          <c:y val="0.10671834625322997"/>
          <c:w val="0.93524650478292859"/>
          <c:h val="0.65183991535941732"/>
        </c:manualLayout>
      </c:layout>
      <c:lineChart>
        <c:grouping val="standard"/>
        <c:varyColors val="0"/>
        <c:ser>
          <c:idx val="0"/>
          <c:order val="0"/>
          <c:tx>
            <c:strRef>
              <c:f>'EGRESO uni'!$B$26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uni'!$AP$51:$AP$55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('EGRESO uni'!$AX$26,'EGRESO uni'!$BB$26,'EGRESO uni'!$BF$26,'EGRESO uni'!$BJ$26,'EGRESO uni'!$BN$26)</c:f>
              <c:numCache>
                <c:formatCode>#,##0</c:formatCode>
                <c:ptCount val="5"/>
                <c:pt idx="0">
                  <c:v>885</c:v>
                </c:pt>
                <c:pt idx="1">
                  <c:v>816</c:v>
                </c:pt>
                <c:pt idx="2">
                  <c:v>794</c:v>
                </c:pt>
                <c:pt idx="3">
                  <c:v>910</c:v>
                </c:pt>
                <c:pt idx="4">
                  <c:v>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F6-43F6-804F-AE5D77E36ED4}"/>
            </c:ext>
          </c:extLst>
        </c:ser>
        <c:ser>
          <c:idx val="1"/>
          <c:order val="1"/>
          <c:tx>
            <c:strRef>
              <c:f>'EGRESO uni'!$B$27</c:f>
              <c:strCache>
                <c:ptCount val="1"/>
                <c:pt idx="0">
                  <c:v>CBS</c:v>
                </c:pt>
              </c:strCache>
            </c:strRef>
          </c:tx>
          <c:spPr>
            <a:ln w="12700">
              <a:solidFill>
                <a:srgbClr val="0072CE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0072CE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72CE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uni'!$AP$51:$AP$55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('EGRESO uni'!$AX$27,'EGRESO uni'!$BB$27,'EGRESO uni'!$BF$27,'EGRESO uni'!$BJ$27,'EGRESO uni'!$BN$27)</c:f>
              <c:numCache>
                <c:formatCode>#,##0</c:formatCode>
                <c:ptCount val="5"/>
                <c:pt idx="0">
                  <c:v>1190</c:v>
                </c:pt>
                <c:pt idx="1">
                  <c:v>1160</c:v>
                </c:pt>
                <c:pt idx="2">
                  <c:v>1185</c:v>
                </c:pt>
                <c:pt idx="3">
                  <c:v>1145</c:v>
                </c:pt>
                <c:pt idx="4">
                  <c:v>1127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F6-43F6-804F-AE5D77E36ED4}"/>
            </c:ext>
          </c:extLst>
        </c:ser>
        <c:ser>
          <c:idx val="2"/>
          <c:order val="2"/>
          <c:tx>
            <c:strRef>
              <c:f>'EGRESO uni'!$B$28</c:f>
              <c:strCache>
                <c:ptCount val="1"/>
                <c:pt idx="0">
                  <c:v>CAD</c:v>
                </c:pt>
              </c:strCache>
            </c:strRef>
          </c:tx>
          <c:spPr>
            <a:ln w="12700">
              <a:solidFill>
                <a:srgbClr val="AD25A8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rgbClr val="AD25A8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AD25A8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uni'!$AP$51:$AP$55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('EGRESO uni'!$AX$28,'EGRESO uni'!$BB$28,'EGRESO uni'!$BF$28,'EGRESO uni'!$BJ$28,'EGRESO uni'!$BN$28)</c:f>
              <c:numCache>
                <c:formatCode>#,##0</c:formatCode>
                <c:ptCount val="5"/>
                <c:pt idx="0">
                  <c:v>445</c:v>
                </c:pt>
                <c:pt idx="1">
                  <c:v>377</c:v>
                </c:pt>
                <c:pt idx="2">
                  <c:v>372</c:v>
                </c:pt>
                <c:pt idx="3">
                  <c:v>436</c:v>
                </c:pt>
                <c:pt idx="4">
                  <c:v>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F6-43F6-804F-AE5D77E36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893824"/>
        <c:axId val="122895360"/>
      </c:lineChart>
      <c:catAx>
        <c:axId val="122893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2895360"/>
        <c:crosses val="autoZero"/>
        <c:auto val="1"/>
        <c:lblAlgn val="ctr"/>
        <c:lblOffset val="100"/>
        <c:noMultiLvlLbl val="0"/>
      </c:catAx>
      <c:valAx>
        <c:axId val="122895360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22893824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497E-2"/>
          <c:y val="0.87554049929805289"/>
          <c:w val="0.8444690109100601"/>
          <c:h val="8.0968076664835506E-2"/>
        </c:manualLayout>
      </c:layout>
      <c:overlay val="0"/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1"/>
            </a:pPr>
            <a:r>
              <a:rPr lang="es-MX" sz="1600" b="0" i="1"/>
              <a:t>Admitidos</a:t>
            </a:r>
            <a:r>
              <a:rPr lang="es-MX" sz="1600" b="0" i="1" baseline="0"/>
              <a:t> a licenciatura</a:t>
            </a:r>
            <a:endParaRPr lang="es-MX" sz="1600" b="0" i="1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  <c:spPr>
        <a:ln w="3175">
          <a:solidFill>
            <a:schemeClr val="bg1">
              <a:lumMod val="85000"/>
            </a:schemeClr>
          </a:solidFill>
        </a:ln>
      </c:spPr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1.4293915605748563E-2"/>
          <c:y val="4.2970558271059923E-2"/>
          <c:w val="0.96823475104258216"/>
          <c:h val="0.81217800385727867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'Admitidos uni'!$AO$65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rgbClr val="CD032E"/>
            </a:solidFill>
            <a:effectLst>
              <a:outerShdw blurRad="76200" dist="12700" dir="8100000" sy="-23000" kx="800400" algn="br" rotWithShape="0">
                <a:schemeClr val="bg1">
                  <a:lumMod val="50000"/>
                  <a:alpha val="20000"/>
                </a:scheme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uni'!$AP$44:$AP$63</c:f>
              <c:numCache>
                <c:formatCode>General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('Admitidos uni'!$E$9,'Admitidos uni'!$H$9,'Admitidos uni'!$K$9,'Admitidos uni'!$N$9,'Admitidos uni'!$Q$9,'Admitidos uni'!$T$9,'Admitidos uni'!$W$9,'Admitidos uni'!$Z$9,'Admitidos uni'!$AC$9,'Admitidos uni'!$AF$9,'Admitidos uni'!$AI$9,'Admitidos uni'!$AL$9,'Admitidos uni'!$AO$9,'Admitidos uni'!$AR$9,'Admitidos uni'!$AU$9,'Admitidos uni'!$AX$9,'Admitidos uni'!$BA$9,'Admitidos uni'!$BD$9,'Admitidos uni'!$BG$9,'Admitidos uni'!$BJ$9)</c:f>
              <c:numCache>
                <c:formatCode>#,##0</c:formatCode>
                <c:ptCount val="20"/>
                <c:pt idx="0">
                  <c:v>3442</c:v>
                </c:pt>
                <c:pt idx="1">
                  <c:v>3997</c:v>
                </c:pt>
                <c:pt idx="2">
                  <c:v>4015</c:v>
                </c:pt>
                <c:pt idx="3">
                  <c:v>4052</c:v>
                </c:pt>
                <c:pt idx="4">
                  <c:v>4088</c:v>
                </c:pt>
                <c:pt idx="5">
                  <c:v>4133</c:v>
                </c:pt>
                <c:pt idx="6">
                  <c:v>4132</c:v>
                </c:pt>
                <c:pt idx="7">
                  <c:v>4356</c:v>
                </c:pt>
                <c:pt idx="8">
                  <c:v>4099</c:v>
                </c:pt>
                <c:pt idx="9">
                  <c:v>3675</c:v>
                </c:pt>
                <c:pt idx="10">
                  <c:v>3751</c:v>
                </c:pt>
                <c:pt idx="11">
                  <c:v>3575</c:v>
                </c:pt>
                <c:pt idx="12">
                  <c:v>3590</c:v>
                </c:pt>
                <c:pt idx="13">
                  <c:v>3873</c:v>
                </c:pt>
                <c:pt idx="14">
                  <c:v>4042</c:v>
                </c:pt>
                <c:pt idx="15">
                  <c:v>4285</c:v>
                </c:pt>
                <c:pt idx="16">
                  <c:v>4874</c:v>
                </c:pt>
                <c:pt idx="17">
                  <c:v>3584</c:v>
                </c:pt>
                <c:pt idx="18">
                  <c:v>3681</c:v>
                </c:pt>
                <c:pt idx="19">
                  <c:v>3838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14-4747-8CA9-2397770AA662}"/>
            </c:ext>
          </c:extLst>
        </c:ser>
        <c:ser>
          <c:idx val="1"/>
          <c:order val="1"/>
          <c:tx>
            <c:strRef>
              <c:f>'Admitidos uni'!$AO$66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2"/>
              <c:layout>
                <c:manualLayout>
                  <c:x val="5.213424033227984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14-4747-8CA9-2397770AA662}"/>
                </c:ext>
              </c:extLst>
            </c:dLbl>
            <c:dLbl>
              <c:idx val="3"/>
              <c:layout>
                <c:manualLayout>
                  <c:x val="2.60671201661403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14-4747-8CA9-2397770AA662}"/>
                </c:ext>
              </c:extLst>
            </c:dLbl>
            <c:dLbl>
              <c:idx val="4"/>
              <c:layout>
                <c:manualLayout>
                  <c:x val="3.910068024920988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14-4747-8CA9-2397770AA662}"/>
                </c:ext>
              </c:extLst>
            </c:dLbl>
            <c:dLbl>
              <c:idx val="5"/>
              <c:layout>
                <c:manualLayout>
                  <c:x val="5.213424033227984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14-4747-8CA9-2397770AA662}"/>
                </c:ext>
              </c:extLst>
            </c:dLbl>
            <c:dLbl>
              <c:idx val="6"/>
              <c:layout>
                <c:manualLayout>
                  <c:x val="3.9100680249209881E-3"/>
                  <c:y val="-2.71278312537821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14-4747-8CA9-2397770AA662}"/>
                </c:ext>
              </c:extLst>
            </c:dLbl>
            <c:dLbl>
              <c:idx val="7"/>
              <c:layout>
                <c:manualLayout>
                  <c:x val="3.910068024920892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14-4747-8CA9-2397770AA662}"/>
                </c:ext>
              </c:extLst>
            </c:dLbl>
            <c:dLbl>
              <c:idx val="8"/>
              <c:layout>
                <c:manualLayout>
                  <c:x val="3.910068024920892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14-4747-8CA9-2397770AA662}"/>
                </c:ext>
              </c:extLst>
            </c:dLbl>
            <c:dLbl>
              <c:idx val="9"/>
              <c:layout>
                <c:manualLayout>
                  <c:x val="5.213424033227888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14-4747-8CA9-2397770AA662}"/>
                </c:ext>
              </c:extLst>
            </c:dLbl>
            <c:dLbl>
              <c:idx val="10"/>
              <c:layout>
                <c:manualLayout>
                  <c:x val="2.6632075614825604E-3"/>
                  <c:y val="-2.71270135667459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14-4747-8CA9-2397770AA662}"/>
                </c:ext>
              </c:extLst>
            </c:dLbl>
            <c:dLbl>
              <c:idx val="11"/>
              <c:layout>
                <c:manualLayout>
                  <c:x val="5.1380860629415539E-3"/>
                  <c:y val="-2.41984317129784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14-4747-8CA9-2397770AA662}"/>
                </c:ext>
              </c:extLst>
            </c:dLbl>
            <c:dLbl>
              <c:idx val="12"/>
              <c:layout>
                <c:manualLayout>
                  <c:x val="5.13808606294136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14-4747-8CA9-2397770AA662}"/>
                </c:ext>
              </c:extLst>
            </c:dLbl>
            <c:dLbl>
              <c:idx val="13"/>
              <c:layout>
                <c:manualLayout>
                  <c:x val="5.1380860629414602E-3"/>
                  <c:y val="-8.87265579708184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014-4747-8CA9-2397770AA662}"/>
                </c:ext>
              </c:extLst>
            </c:dLbl>
            <c:dLbl>
              <c:idx val="14"/>
              <c:layout>
                <c:manualLayout>
                  <c:x val="3.8535645472061657E-3"/>
                  <c:y val="-2.41984317129792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014-4747-8CA9-2397770AA662}"/>
                </c:ext>
              </c:extLst>
            </c:dLbl>
            <c:dLbl>
              <c:idx val="15"/>
              <c:layout>
                <c:manualLayout>
                  <c:x val="5.1380860629415539E-3"/>
                  <c:y val="-2.41984317129784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014-4747-8CA9-2397770AA662}"/>
                </c:ext>
              </c:extLst>
            </c:dLbl>
            <c:dLbl>
              <c:idx val="16"/>
              <c:layout>
                <c:manualLayout>
                  <c:x val="5.1521491510666054E-3"/>
                  <c:y val="-2.466960694711671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014-4747-8CA9-2397770AA662}"/>
                </c:ext>
              </c:extLst>
            </c:dLbl>
            <c:dLbl>
              <c:idx val="18"/>
              <c:layout>
                <c:manualLayout>
                  <c:x val="5.25969756738987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77-4376-8B3F-EBBB44D89D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uni'!$AP$44:$AP$63</c:f>
              <c:numCache>
                <c:formatCode>General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('Admitidos uni'!$E$14,'Admitidos uni'!$H$14,'Admitidos uni'!$K$14,'Admitidos uni'!$N$14,'Admitidos uni'!$Q$14,'Admitidos uni'!$T$14,'Admitidos uni'!$W$14,'Admitidos uni'!$Z$14,'Admitidos uni'!$AC$14,'Admitidos uni'!$AF$14,'Admitidos uni'!$AI$14,'Admitidos uni'!$AL$14,'Admitidos uni'!$AO$14,'Admitidos uni'!$AR$14,'Admitidos uni'!$AU$14,'Admitidos uni'!$AX$14,'Admitidos uni'!$BA$14,'Admitidos uni'!$BD$14,'Admitidos uni'!$BG$14,'Admitidos uni'!$BJ$14)</c:f>
              <c:numCache>
                <c:formatCode>#,##0</c:formatCode>
                <c:ptCount val="20"/>
                <c:pt idx="2">
                  <c:v>252</c:v>
                </c:pt>
                <c:pt idx="3">
                  <c:v>123</c:v>
                </c:pt>
                <c:pt idx="4">
                  <c:v>382</c:v>
                </c:pt>
                <c:pt idx="5">
                  <c:v>403</c:v>
                </c:pt>
                <c:pt idx="6">
                  <c:v>315</c:v>
                </c:pt>
                <c:pt idx="7">
                  <c:v>399</c:v>
                </c:pt>
                <c:pt idx="8">
                  <c:v>429</c:v>
                </c:pt>
                <c:pt idx="9">
                  <c:v>434</c:v>
                </c:pt>
                <c:pt idx="10">
                  <c:v>503</c:v>
                </c:pt>
                <c:pt idx="11">
                  <c:v>709</c:v>
                </c:pt>
                <c:pt idx="12">
                  <c:v>792</c:v>
                </c:pt>
                <c:pt idx="13">
                  <c:v>829</c:v>
                </c:pt>
                <c:pt idx="14">
                  <c:v>845</c:v>
                </c:pt>
                <c:pt idx="15">
                  <c:v>891</c:v>
                </c:pt>
                <c:pt idx="16">
                  <c:v>821</c:v>
                </c:pt>
                <c:pt idx="17">
                  <c:v>775</c:v>
                </c:pt>
                <c:pt idx="18">
                  <c:v>767</c:v>
                </c:pt>
                <c:pt idx="19">
                  <c:v>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F014-4747-8CA9-2397770AA662}"/>
            </c:ext>
          </c:extLst>
        </c:ser>
        <c:ser>
          <c:idx val="2"/>
          <c:order val="2"/>
          <c:tx>
            <c:strRef>
              <c:f>'Admitidos uni'!$AO$67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rgbClr val="57A519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uni'!$AP$44:$AP$63</c:f>
              <c:numCache>
                <c:formatCode>General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('Admitidos uni'!$E$19,'Admitidos uni'!$H$19,'Admitidos uni'!$K$19,'Admitidos uni'!$N$19,'Admitidos uni'!$Q$19,'Admitidos uni'!$T$19,'Admitidos uni'!$W$19,'Admitidos uni'!$Z$19,'Admitidos uni'!$AC$19,'Admitidos uni'!$AF$19,'Admitidos uni'!$AI$19,'Admitidos uni'!$AL$19,'Admitidos uni'!$AO$19,'Admitidos uni'!$AR$19,'Admitidos uni'!$AU$19,'Admitidos uni'!$AX$19,'Admitidos uni'!$BA$19,'Admitidos uni'!$BD$19,'Admitidos uni'!$BG$19,'Admitidos uni'!$BJ$19)</c:f>
              <c:numCache>
                <c:formatCode>#,##0</c:formatCode>
                <c:ptCount val="20"/>
                <c:pt idx="0">
                  <c:v>2494</c:v>
                </c:pt>
                <c:pt idx="1">
                  <c:v>2672</c:v>
                </c:pt>
                <c:pt idx="2">
                  <c:v>2928</c:v>
                </c:pt>
                <c:pt idx="3">
                  <c:v>3083</c:v>
                </c:pt>
                <c:pt idx="4">
                  <c:v>3093</c:v>
                </c:pt>
                <c:pt idx="5">
                  <c:v>2967</c:v>
                </c:pt>
                <c:pt idx="6">
                  <c:v>3166</c:v>
                </c:pt>
                <c:pt idx="7">
                  <c:v>3382</c:v>
                </c:pt>
                <c:pt idx="8">
                  <c:v>3479</c:v>
                </c:pt>
                <c:pt idx="9">
                  <c:v>3510</c:v>
                </c:pt>
                <c:pt idx="10">
                  <c:v>3570</c:v>
                </c:pt>
                <c:pt idx="11">
                  <c:v>3228</c:v>
                </c:pt>
                <c:pt idx="12">
                  <c:v>3089</c:v>
                </c:pt>
                <c:pt idx="13">
                  <c:v>3248</c:v>
                </c:pt>
                <c:pt idx="14">
                  <c:v>3081</c:v>
                </c:pt>
                <c:pt idx="15">
                  <c:v>3004</c:v>
                </c:pt>
                <c:pt idx="16">
                  <c:v>2857</c:v>
                </c:pt>
                <c:pt idx="17">
                  <c:v>2575</c:v>
                </c:pt>
                <c:pt idx="18">
                  <c:v>2439</c:v>
                </c:pt>
                <c:pt idx="19">
                  <c:v>2661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014-4747-8CA9-2397770AA662}"/>
            </c:ext>
          </c:extLst>
        </c:ser>
        <c:ser>
          <c:idx val="3"/>
          <c:order val="3"/>
          <c:tx>
            <c:strRef>
              <c:f>'Admitidos uni'!$AO$68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8"/>
              <c:layout>
                <c:manualLayout>
                  <c:x val="3.853564547206071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014-4747-8CA9-2397770AA662}"/>
                </c:ext>
              </c:extLst>
            </c:dLbl>
            <c:dLbl>
              <c:idx val="9"/>
              <c:layout>
                <c:manualLayout>
                  <c:x val="3.853564547206071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014-4747-8CA9-2397770AA662}"/>
                </c:ext>
              </c:extLst>
            </c:dLbl>
            <c:dLbl>
              <c:idx val="10"/>
              <c:layout>
                <c:manualLayout>
                  <c:x val="3.853564547206071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014-4747-8CA9-2397770AA662}"/>
                </c:ext>
              </c:extLst>
            </c:dLbl>
            <c:dLbl>
              <c:idx val="11"/>
              <c:layout>
                <c:manualLayout>
                  <c:x val="3.85356454720616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014-4747-8CA9-2397770AA662}"/>
                </c:ext>
              </c:extLst>
            </c:dLbl>
            <c:dLbl>
              <c:idx val="12"/>
              <c:layout>
                <c:manualLayout>
                  <c:x val="6.42260757867684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014-4747-8CA9-2397770AA662}"/>
                </c:ext>
              </c:extLst>
            </c:dLbl>
            <c:dLbl>
              <c:idx val="13"/>
              <c:layout>
                <c:manualLayout>
                  <c:x val="5.1380860629414602E-3"/>
                  <c:y val="-4.43632789854092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014-4747-8CA9-2397770AA662}"/>
                </c:ext>
              </c:extLst>
            </c:dLbl>
            <c:dLbl>
              <c:idx val="14"/>
              <c:layout>
                <c:manualLayout>
                  <c:x val="3.8535567669425938E-3"/>
                  <c:y val="-4.940013839818300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014-4747-8CA9-2397770AA662}"/>
                </c:ext>
              </c:extLst>
            </c:dLbl>
            <c:dLbl>
              <c:idx val="15"/>
              <c:layout>
                <c:manualLayout>
                  <c:x val="5.138086062941553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014-4747-8CA9-2397770AA662}"/>
                </c:ext>
              </c:extLst>
            </c:dLbl>
            <c:dLbl>
              <c:idx val="16"/>
              <c:layout>
                <c:manualLayout>
                  <c:x val="5.2059616808254961E-3"/>
                  <c:y val="-4.93398468906896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014-4747-8CA9-2397770AA662}"/>
                </c:ext>
              </c:extLst>
            </c:dLbl>
            <c:dLbl>
              <c:idx val="17"/>
              <c:layout>
                <c:manualLayout>
                  <c:x val="3.6416158039414741E-3"/>
                  <c:y val="-4.940013839818300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EF-4A6D-AA5D-81BEF867061D}"/>
                </c:ext>
              </c:extLst>
            </c:dLbl>
            <c:dLbl>
              <c:idx val="18"/>
              <c:layout>
                <c:manualLayout>
                  <c:x val="5.2596975673898753E-3"/>
                  <c:y val="-2.47000691990915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77-4376-8B3F-EBBB44D89D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uni'!$AP$44:$AP$63</c:f>
              <c:numCache>
                <c:formatCode>General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('Admitidos uni'!$E$24,'Admitidos uni'!$H$24,'Admitidos uni'!$K$24,'Admitidos uni'!$N$24,'Admitidos uni'!$Q$24,'Admitidos uni'!$T$24,'Admitidos uni'!$W$24,'Admitidos uni'!$Z$24,'Admitidos uni'!$AC$24,'Admitidos uni'!$AF$24,'Admitidos uni'!$AI$24,'Admitidos uni'!$AL$24,'Admitidos uni'!$AO$24,'Admitidos uni'!$AR$24,'Admitidos uni'!$AU$24,'Admitidos uni'!$AX$24,'Admitidos uni'!$BA$24,'Admitidos uni'!$BD$24,'Admitidos uni'!$BG$24,'Admitidos uni'!$BJ$24)</c:f>
              <c:numCache>
                <c:formatCode>#,##0</c:formatCode>
                <c:ptCount val="20"/>
                <c:pt idx="8">
                  <c:v>238</c:v>
                </c:pt>
                <c:pt idx="9">
                  <c:v>107</c:v>
                </c:pt>
                <c:pt idx="10">
                  <c:v>234</c:v>
                </c:pt>
                <c:pt idx="11">
                  <c:v>187</c:v>
                </c:pt>
                <c:pt idx="12">
                  <c:v>240</c:v>
                </c:pt>
                <c:pt idx="13">
                  <c:v>266</c:v>
                </c:pt>
                <c:pt idx="14">
                  <c:v>380</c:v>
                </c:pt>
                <c:pt idx="15">
                  <c:v>450</c:v>
                </c:pt>
                <c:pt idx="16">
                  <c:v>471</c:v>
                </c:pt>
                <c:pt idx="17">
                  <c:v>477</c:v>
                </c:pt>
                <c:pt idx="18">
                  <c:v>462</c:v>
                </c:pt>
                <c:pt idx="19">
                  <c:v>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F014-4747-8CA9-2397770AA662}"/>
            </c:ext>
          </c:extLst>
        </c:ser>
        <c:ser>
          <c:idx val="4"/>
          <c:order val="4"/>
          <c:tx>
            <c:strRef>
              <c:f>'Admitidos uni'!$AO$69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rgbClr val="0072CE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uni'!$AP$44:$AP$63</c:f>
              <c:numCache>
                <c:formatCode>General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('Admitidos uni'!$E$29,'Admitidos uni'!$H$29,'Admitidos uni'!$K$29,'Admitidos uni'!$N$29,'Admitidos uni'!$Q$29,'Admitidos uni'!$T$29,'Admitidos uni'!$W$29,'Admitidos uni'!$Z$29,'Admitidos uni'!$AC$29,'Admitidos uni'!$AF$29,'Admitidos uni'!$AI$29,'Admitidos uni'!$AL$29,'Admitidos uni'!$AO$29,'Admitidos uni'!$AR$29,'Admitidos uni'!$AU$29,'Admitidos uni'!$AX$29,'Admitidos uni'!$BA$29,'Admitidos uni'!$BD$29,'Admitidos uni'!$BG$29,'Admitidos uni'!$BJ$29)</c:f>
              <c:numCache>
                <c:formatCode>#,##0</c:formatCode>
                <c:ptCount val="20"/>
                <c:pt idx="0">
                  <c:v>4393</c:v>
                </c:pt>
                <c:pt idx="1">
                  <c:v>4794</c:v>
                </c:pt>
                <c:pt idx="2">
                  <c:v>5169</c:v>
                </c:pt>
                <c:pt idx="3">
                  <c:v>4769</c:v>
                </c:pt>
                <c:pt idx="4">
                  <c:v>4675</c:v>
                </c:pt>
                <c:pt idx="5">
                  <c:v>4201</c:v>
                </c:pt>
                <c:pt idx="6">
                  <c:v>4237</c:v>
                </c:pt>
                <c:pt idx="7">
                  <c:v>4510</c:v>
                </c:pt>
                <c:pt idx="8">
                  <c:v>4468</c:v>
                </c:pt>
                <c:pt idx="9">
                  <c:v>4501</c:v>
                </c:pt>
                <c:pt idx="10">
                  <c:v>4352</c:v>
                </c:pt>
                <c:pt idx="11">
                  <c:v>4212</c:v>
                </c:pt>
                <c:pt idx="12">
                  <c:v>4374</c:v>
                </c:pt>
                <c:pt idx="13">
                  <c:v>4730</c:v>
                </c:pt>
                <c:pt idx="14">
                  <c:v>4661</c:v>
                </c:pt>
                <c:pt idx="15">
                  <c:v>4625</c:v>
                </c:pt>
                <c:pt idx="16">
                  <c:v>4490</c:v>
                </c:pt>
                <c:pt idx="17">
                  <c:v>3953</c:v>
                </c:pt>
                <c:pt idx="18">
                  <c:v>3857</c:v>
                </c:pt>
                <c:pt idx="19">
                  <c:v>4079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F014-4747-8CA9-2397770AA6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shape val="cylinder"/>
        <c:axId val="114615808"/>
        <c:axId val="114617344"/>
        <c:axId val="0"/>
      </c:bar3DChart>
      <c:catAx>
        <c:axId val="114615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1200"/>
            </a:pPr>
            <a:endParaRPr lang="es-MX"/>
          </a:p>
        </c:txPr>
        <c:crossAx val="114617344"/>
        <c:crosses val="autoZero"/>
        <c:auto val="1"/>
        <c:lblAlgn val="ctr"/>
        <c:lblOffset val="100"/>
        <c:noMultiLvlLbl val="0"/>
      </c:catAx>
      <c:valAx>
        <c:axId val="114617344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146158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0343953367624621"/>
          <c:y val="0.93749116447545655"/>
          <c:w val="0.79387178425127225"/>
          <c:h val="4.9055022290746694E-2"/>
        </c:manualLayout>
      </c:layout>
      <c:overlay val="0"/>
      <c:txPr>
        <a:bodyPr/>
        <a:lstStyle/>
        <a:p>
          <a:pPr>
            <a:defRPr sz="14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1"/>
            </a:pPr>
            <a:r>
              <a:rPr lang="es-MX" sz="1200" i="1">
                <a:effectLst/>
              </a:rPr>
              <a:t>Estudiantes que terminaron estudios de licenciatura por Género</a:t>
            </a:r>
            <a:endParaRPr lang="x-none" sz="1200" i="1">
              <a:effectLst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'egresados x gen'!$C$4</c:f>
              <c:strCache>
                <c:ptCount val="1"/>
                <c:pt idx="0">
                  <c:v>Femenino</c:v>
                </c:pt>
              </c:strCache>
            </c:strRef>
          </c:tx>
          <c:spPr>
            <a:ln w="19050">
              <a:solidFill>
                <a:schemeClr val="accent5"/>
              </a:solidFill>
            </a:ln>
          </c:spPr>
          <c:marker>
            <c:symbol val="diamond"/>
            <c:size val="5"/>
            <c:spPr>
              <a:noFill/>
              <a:ln>
                <a:solidFill>
                  <a:schemeClr val="accent5"/>
                </a:solidFill>
              </a:ln>
            </c:spPr>
          </c:marker>
          <c:dLbls>
            <c:dLbl>
              <c:idx val="0"/>
              <c:layout>
                <c:manualLayout>
                  <c:x val="-2.8723827812860085E-2"/>
                  <c:y val="4.068050849137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D5-45AE-8DEB-1D8A242978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solidFill>
                      <a:schemeClr val="accent5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('egresados x gen'!$W$43:$W$54,'egresados x gen'!$W$55,'egresados x gen'!$W$56,'egresados x gen'!$W$57,'egresados x gen'!$W$58,'egresados x gen'!$W$59)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('egresados x gen'!$C$37,'egresados x gen'!$F$37,'egresados x gen'!$I$37,'egresados x gen'!$L$37,'egresados x gen'!$O$37,'egresados x gen'!$R$37,'egresados x gen'!$U$37,'egresados x gen'!$X$37,'egresados x gen'!$AA$37,'egresados x gen'!$AD$37,'egresados x gen'!$AG$37,'egresados x gen'!$AJ$37,'egresados x gen'!$AM$37,'egresados x gen'!$AP$37,'egresados x gen'!$AS$37,'egresados x gen'!$AV$37,'egresados x gen'!$AY$37)</c:f>
              <c:numCache>
                <c:formatCode>#,##0</c:formatCode>
                <c:ptCount val="17"/>
                <c:pt idx="0">
                  <c:v>2160</c:v>
                </c:pt>
                <c:pt idx="1">
                  <c:v>2287</c:v>
                </c:pt>
                <c:pt idx="2">
                  <c:v>2556</c:v>
                </c:pt>
                <c:pt idx="3">
                  <c:v>2557</c:v>
                </c:pt>
                <c:pt idx="4">
                  <c:v>2462</c:v>
                </c:pt>
                <c:pt idx="5">
                  <c:v>2265</c:v>
                </c:pt>
                <c:pt idx="6">
                  <c:v>2462</c:v>
                </c:pt>
                <c:pt idx="7">
                  <c:v>2859</c:v>
                </c:pt>
                <c:pt idx="8">
                  <c:v>2685</c:v>
                </c:pt>
                <c:pt idx="9">
                  <c:v>2832</c:v>
                </c:pt>
                <c:pt idx="10">
                  <c:v>2749</c:v>
                </c:pt>
                <c:pt idx="11">
                  <c:v>2895</c:v>
                </c:pt>
                <c:pt idx="12">
                  <c:v>2898</c:v>
                </c:pt>
                <c:pt idx="13">
                  <c:v>2936</c:v>
                </c:pt>
                <c:pt idx="14">
                  <c:v>3080</c:v>
                </c:pt>
                <c:pt idx="15">
                  <c:v>3141</c:v>
                </c:pt>
                <c:pt idx="16">
                  <c:v>3179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D5-45AE-8DEB-1D8A2429787B}"/>
            </c:ext>
          </c:extLst>
        </c:ser>
        <c:ser>
          <c:idx val="1"/>
          <c:order val="1"/>
          <c:tx>
            <c:strRef>
              <c:f>'egresados x gen'!$D$4</c:f>
              <c:strCache>
                <c:ptCount val="1"/>
                <c:pt idx="0">
                  <c:v>Masculino</c:v>
                </c:pt>
              </c:strCache>
            </c:strRef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quare"/>
            <c:size val="5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3.0036163635257029E-2"/>
                  <c:y val="-4.068050849137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D5-45AE-8DEB-1D8A242978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('egresados x gen'!$W$43:$W$54,'egresados x gen'!$W$55,'egresados x gen'!$W$56,'egresados x gen'!$W$57,'egresados x gen'!$W$58,'egresados x gen'!$W$59)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('egresados x gen'!$D$37,'egresados x gen'!$G$37,'egresados x gen'!$J$37,'egresados x gen'!$M$37,'egresados x gen'!$P$37,'egresados x gen'!$S$37,'egresados x gen'!$V$37,'egresados x gen'!$Y$37,'egresados x gen'!$AB$37,'egresados x gen'!$AE$37,'egresados x gen'!$AH$37,'egresados x gen'!$AK$37,'egresados x gen'!$AN$37,'egresados x gen'!$AQ$37,'egresados x gen'!$AT$37,'egresados x gen'!$AW$37,'egresados x gen'!$AZ$37)</c:f>
              <c:numCache>
                <c:formatCode>#,##0</c:formatCode>
                <c:ptCount val="17"/>
                <c:pt idx="0">
                  <c:v>2338</c:v>
                </c:pt>
                <c:pt idx="1">
                  <c:v>2139</c:v>
                </c:pt>
                <c:pt idx="2">
                  <c:v>2301</c:v>
                </c:pt>
                <c:pt idx="3">
                  <c:v>2294</c:v>
                </c:pt>
                <c:pt idx="4">
                  <c:v>2394</c:v>
                </c:pt>
                <c:pt idx="5">
                  <c:v>2183</c:v>
                </c:pt>
                <c:pt idx="6">
                  <c:v>2212</c:v>
                </c:pt>
                <c:pt idx="7">
                  <c:v>2475</c:v>
                </c:pt>
                <c:pt idx="8">
                  <c:v>2378</c:v>
                </c:pt>
                <c:pt idx="9">
                  <c:v>2315</c:v>
                </c:pt>
                <c:pt idx="10">
                  <c:v>2396</c:v>
                </c:pt>
                <c:pt idx="11">
                  <c:v>2532</c:v>
                </c:pt>
                <c:pt idx="12">
                  <c:v>2510</c:v>
                </c:pt>
                <c:pt idx="13">
                  <c:v>2400</c:v>
                </c:pt>
                <c:pt idx="14">
                  <c:v>2306</c:v>
                </c:pt>
                <c:pt idx="15">
                  <c:v>2466</c:v>
                </c:pt>
                <c:pt idx="16">
                  <c:v>2421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9D5-45AE-8DEB-1D8A2429787B}"/>
            </c:ext>
          </c:extLst>
        </c:ser>
        <c:ser>
          <c:idx val="2"/>
          <c:order val="2"/>
          <c:tx>
            <c:strRef>
              <c:f>'egresados x gen'!$E$4</c:f>
              <c:strCache>
                <c:ptCount val="1"/>
                <c:pt idx="0">
                  <c:v>Total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chemeClr val="tx1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/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('egresados x gen'!$W$43:$W$54,'egresados x gen'!$W$55,'egresados x gen'!$W$56,'egresados x gen'!$W$57,'egresados x gen'!$W$58,'egresados x gen'!$W$59)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('egresados x gen'!$E$37,'egresados x gen'!$H$37,'egresados x gen'!$K$37,'egresados x gen'!$N$37,'egresados x gen'!$Q$37,'egresados x gen'!$T$37,'egresados x gen'!$W$37,'egresados x gen'!$Z$37,'egresados x gen'!$AC$37,'egresados x gen'!$AF$37,'egresados x gen'!$AI$37,'egresados x gen'!$AL$37,'egresados x gen'!$AO$37,'egresados x gen'!$AR$37,'egresados x gen'!$AU$37,'egresados x gen'!$AX$37,'egresados x gen'!$BA$37)</c:f>
              <c:numCache>
                <c:formatCode>#,##0</c:formatCode>
                <c:ptCount val="17"/>
                <c:pt idx="0">
                  <c:v>4498</c:v>
                </c:pt>
                <c:pt idx="1">
                  <c:v>4426</c:v>
                </c:pt>
                <c:pt idx="2">
                  <c:v>4857</c:v>
                </c:pt>
                <c:pt idx="3">
                  <c:v>4851</c:v>
                </c:pt>
                <c:pt idx="4">
                  <c:v>4856</c:v>
                </c:pt>
                <c:pt idx="5">
                  <c:v>4448</c:v>
                </c:pt>
                <c:pt idx="6">
                  <c:v>4674</c:v>
                </c:pt>
                <c:pt idx="7">
                  <c:v>5334</c:v>
                </c:pt>
                <c:pt idx="8">
                  <c:v>5063</c:v>
                </c:pt>
                <c:pt idx="9">
                  <c:v>5147</c:v>
                </c:pt>
                <c:pt idx="10">
                  <c:v>5145</c:v>
                </c:pt>
                <c:pt idx="11">
                  <c:v>5427</c:v>
                </c:pt>
                <c:pt idx="12">
                  <c:v>5408</c:v>
                </c:pt>
                <c:pt idx="13">
                  <c:v>5336</c:v>
                </c:pt>
                <c:pt idx="14">
                  <c:v>5386</c:v>
                </c:pt>
                <c:pt idx="15">
                  <c:v>5607</c:v>
                </c:pt>
                <c:pt idx="16">
                  <c:v>5600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9D5-45AE-8DEB-1D8A24297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164352"/>
        <c:axId val="122165888"/>
      </c:lineChart>
      <c:catAx>
        <c:axId val="12216435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1100"/>
            </a:pPr>
            <a:endParaRPr lang="es-MX"/>
          </a:p>
        </c:txPr>
        <c:crossAx val="122165888"/>
        <c:crosses val="autoZero"/>
        <c:auto val="1"/>
        <c:lblAlgn val="ctr"/>
        <c:lblOffset val="100"/>
        <c:noMultiLvlLbl val="0"/>
      </c:catAx>
      <c:valAx>
        <c:axId val="12216588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22164352"/>
        <c:crosses val="autoZero"/>
        <c:crossBetween val="between"/>
      </c:valAx>
      <c:spPr>
        <a:noFill/>
      </c:spPr>
    </c:plotArea>
    <c:legend>
      <c:legendPos val="l"/>
      <c:layout>
        <c:manualLayout>
          <c:xMode val="edge"/>
          <c:yMode val="edge"/>
          <c:x val="0.70048873316782245"/>
          <c:y val="0.77343678886036915"/>
          <c:w val="0.12155849194017583"/>
          <c:h val="0.13749988598497537"/>
        </c:manualLayout>
      </c:layout>
      <c:overlay val="1"/>
      <c:spPr>
        <a:solidFill>
          <a:schemeClr val="bg1">
            <a:lumMod val="85000"/>
          </a:schemeClr>
        </a:solidFill>
      </c:spPr>
      <c:txPr>
        <a:bodyPr/>
        <a:lstStyle/>
        <a:p>
          <a:pPr>
            <a:defRPr sz="1200" i="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1"/>
            </a:pPr>
            <a:r>
              <a:rPr lang="es-MX" sz="1200" b="0" i="1"/>
              <a:t>Egresados de Estudios de Licenciatura Acumulado</a:t>
            </a:r>
          </a:p>
        </c:rich>
      </c:tx>
      <c:layout>
        <c:manualLayout>
          <c:xMode val="edge"/>
          <c:yMode val="edge"/>
          <c:x val="0.29749540400136726"/>
          <c:y val="3.0868167202572346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scene3d>
          <a:camera prst="orthographicFront"/>
          <a:lightRig rig="threePt" dir="t"/>
        </a:scene3d>
        <a:sp3d prstMaterial="metal"/>
      </c:spPr>
    </c:sideWall>
    <c:backWall>
      <c:thickness val="0"/>
      <c:spPr>
        <a:scene3d>
          <a:camera prst="orthographicFront"/>
          <a:lightRig rig="threePt" dir="t"/>
        </a:scene3d>
        <a:sp3d prstMaterial="metal"/>
      </c:spPr>
    </c:backWall>
    <c:plotArea>
      <c:layout>
        <c:manualLayout>
          <c:layoutTarget val="inner"/>
          <c:xMode val="edge"/>
          <c:yMode val="edge"/>
          <c:x val="1.9400352733686066E-2"/>
          <c:y val="2.1632668064991423E-2"/>
          <c:w val="0.96119929453262787"/>
          <c:h val="0.82881589161701807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'EGR-ACUM uni'!$B$8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rgbClr val="CD032E"/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998876203333977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01C-4BAB-B6E1-439CCDDFC60C}"/>
                </c:ext>
              </c:extLst>
            </c:dLbl>
            <c:dLbl>
              <c:idx val="1"/>
              <c:layout>
                <c:manualLayout>
                  <c:x val="7.499063502778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1C-4BAB-B6E1-439CCDDFC60C}"/>
                </c:ext>
              </c:extLst>
            </c:dLbl>
            <c:dLbl>
              <c:idx val="2"/>
              <c:layout>
                <c:manualLayout>
                  <c:x val="5.99925080222265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1C-4BAB-B6E1-439CCDDFC60C}"/>
                </c:ext>
              </c:extLst>
            </c:dLbl>
            <c:dLbl>
              <c:idx val="3"/>
              <c:layout>
                <c:manualLayout>
                  <c:x val="5.99925080222265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1C-4BAB-B6E1-439CCDDFC60C}"/>
                </c:ext>
              </c:extLst>
            </c:dLbl>
            <c:dLbl>
              <c:idx val="4"/>
              <c:layout>
                <c:manualLayout>
                  <c:x val="7.499063502778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1C-4BAB-B6E1-439CCDDFC60C}"/>
                </c:ext>
              </c:extLst>
            </c:dLbl>
            <c:dLbl>
              <c:idx val="5"/>
              <c:layout>
                <c:manualLayout>
                  <c:x val="7.499063502778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1C-4BAB-B6E1-439CCDDFC60C}"/>
                </c:ext>
              </c:extLst>
            </c:dLbl>
            <c:dLbl>
              <c:idx val="6"/>
              <c:layout>
                <c:manualLayout>
                  <c:x val="8.9988762033339775E-3"/>
                  <c:y val="-3.19361156982605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1C-4BAB-B6E1-439CCDDFC60C}"/>
                </c:ext>
              </c:extLst>
            </c:dLbl>
            <c:dLbl>
              <c:idx val="7"/>
              <c:layout>
                <c:manualLayout>
                  <c:x val="8.9988762033339775E-3"/>
                  <c:y val="-3.19361156982605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1C-4BAB-B6E1-439CCDDFC60C}"/>
                </c:ext>
              </c:extLst>
            </c:dLbl>
            <c:dLbl>
              <c:idx val="8"/>
              <c:layout>
                <c:manualLayout>
                  <c:x val="8.998876203333977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01C-4BAB-B6E1-439CCDDFC60C}"/>
                </c:ext>
              </c:extLst>
            </c:dLbl>
            <c:dLbl>
              <c:idx val="9"/>
              <c:layout>
                <c:manualLayout>
                  <c:x val="1.049857080840151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1C-4BAB-B6E1-439CCDDFC60C}"/>
                </c:ext>
              </c:extLst>
            </c:dLbl>
            <c:spPr>
              <a:ln>
                <a:noFill/>
              </a:ln>
            </c:spPr>
            <c:txPr>
              <a:bodyPr rot="-5400000" vert="horz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('EGR-ACUM uni'!$C$3:$P$3,'EGR-ACUM uni'!$Q$3,'EGR-ACUM uni'!$R$3,'EGR-ACUM uni'!$S$3,'EGR-ACUM uni'!$T$3,'EGR-ACUM uni'!$U$3)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('EGR-ACUM uni'!$C$8:$N$8,'EGR-ACUM uni'!$O$8,'EGR-ACUM uni'!$P$8,'EGR-ACUM uni'!$Q$8,'EGR-ACUM uni'!$R$8,'EGR-ACUM uni'!$S$8,'EGR-ACUM uni'!$T$8,'EGR-ACUM uni'!$U$8)</c:f>
              <c:numCache>
                <c:formatCode>#,##0</c:formatCode>
                <c:ptCount val="15"/>
                <c:pt idx="0">
                  <c:v>34119</c:v>
                </c:pt>
                <c:pt idx="1">
                  <c:v>35375</c:v>
                </c:pt>
                <c:pt idx="2">
                  <c:v>36633</c:v>
                </c:pt>
                <c:pt idx="3">
                  <c:v>37743</c:v>
                </c:pt>
                <c:pt idx="4">
                  <c:v>38914</c:v>
                </c:pt>
                <c:pt idx="5">
                  <c:v>40551</c:v>
                </c:pt>
                <c:pt idx="6">
                  <c:v>42043</c:v>
                </c:pt>
                <c:pt idx="7">
                  <c:v>43555</c:v>
                </c:pt>
                <c:pt idx="8">
                  <c:v>45004</c:v>
                </c:pt>
                <c:pt idx="9">
                  <c:v>46883</c:v>
                </c:pt>
                <c:pt idx="10">
                  <c:v>48448</c:v>
                </c:pt>
                <c:pt idx="11">
                  <c:v>50030</c:v>
                </c:pt>
                <c:pt idx="12">
                  <c:v>51484</c:v>
                </c:pt>
                <c:pt idx="13">
                  <c:v>52924</c:v>
                </c:pt>
                <c:pt idx="14">
                  <c:v>54396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01C-4BAB-B6E1-439CCDDFC60C}"/>
            </c:ext>
          </c:extLst>
        </c:ser>
        <c:ser>
          <c:idx val="1"/>
          <c:order val="1"/>
          <c:tx>
            <c:strRef>
              <c:f>'EGR-ACUM uni'!$B$13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 prstMaterial="metal"/>
          </c:spPr>
          <c:invertIfNegative val="0"/>
          <c:dLbls>
            <c:dLbl>
              <c:idx val="1"/>
              <c:layout>
                <c:manualLayout>
                  <c:x val="3.0633733553815812E-3"/>
                  <c:y val="2.62295081967203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01C-4BAB-B6E1-439CCDDFC60C}"/>
                </c:ext>
              </c:extLst>
            </c:dLbl>
            <c:dLbl>
              <c:idx val="2"/>
              <c:layout>
                <c:manualLayout>
                  <c:x val="6.1267467107631339E-3"/>
                  <c:y val="-9.617375238058380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01C-4BAB-B6E1-439CCDDFC60C}"/>
                </c:ext>
              </c:extLst>
            </c:dLbl>
            <c:dLbl>
              <c:idx val="3"/>
              <c:layout>
                <c:manualLayout>
                  <c:x val="4.595060033072371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01C-4BAB-B6E1-439CCDDFC60C}"/>
                </c:ext>
              </c:extLst>
            </c:dLbl>
            <c:dLbl>
              <c:idx val="4"/>
              <c:layout>
                <c:manualLayout>
                  <c:x val="4.5950600330723155E-3"/>
                  <c:y val="-9.617375238058380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01C-4BAB-B6E1-439CCDDFC60C}"/>
                </c:ext>
              </c:extLst>
            </c:dLbl>
            <c:dLbl>
              <c:idx val="5"/>
              <c:layout>
                <c:manualLayout>
                  <c:x val="6.1267467107631061E-3"/>
                  <c:y val="-9.617375238058380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01C-4BAB-B6E1-439CCDDFC60C}"/>
                </c:ext>
              </c:extLst>
            </c:dLbl>
            <c:dLbl>
              <c:idx val="6"/>
              <c:layout>
                <c:manualLayout>
                  <c:x val="4.5950600330723719E-3"/>
                  <c:y val="-9.617375238058380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01C-4BAB-B6E1-439CCDDFC60C}"/>
                </c:ext>
              </c:extLst>
            </c:dLbl>
            <c:dLbl>
              <c:idx val="7"/>
              <c:layout>
                <c:manualLayout>
                  <c:x val="4.595060033072371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01C-4BAB-B6E1-439CCDDFC60C}"/>
                </c:ext>
              </c:extLst>
            </c:dLbl>
            <c:dLbl>
              <c:idx val="8"/>
              <c:layout>
                <c:manualLayout>
                  <c:x val="7.65843338845384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01C-4BAB-B6E1-439CCDDFC60C}"/>
                </c:ext>
              </c:extLst>
            </c:dLbl>
            <c:dLbl>
              <c:idx val="9"/>
              <c:layout>
                <c:manualLayout>
                  <c:x val="4.5950600330723719E-3"/>
                  <c:y val="-2.62295081967213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01C-4BAB-B6E1-439CCDDFC60C}"/>
                </c:ext>
              </c:extLst>
            </c:dLbl>
            <c:dLbl>
              <c:idx val="10"/>
              <c:layout>
                <c:manualLayout>
                  <c:x val="6.126746710763162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01C-4BAB-B6E1-439CCDDFC60C}"/>
                </c:ext>
              </c:extLst>
            </c:dLbl>
            <c:dLbl>
              <c:idx val="11"/>
              <c:layout>
                <c:manualLayout>
                  <c:x val="4.595060033072259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01C-4BAB-B6E1-439CCDDFC6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('EGR-ACUM uni'!$C$3:$P$3,'EGR-ACUM uni'!$Q$3,'EGR-ACUM uni'!$R$3,'EGR-ACUM uni'!$S$3,'EGR-ACUM uni'!$T$3,'EGR-ACUM uni'!$U$3)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('EGR-ACUM uni'!$C$13:$F$13,'EGR-ACUM uni'!$I$13,'EGR-ACUM uni'!$L$13,'EGR-ACUM uni'!$M$13,'EGR-ACUM uni'!$N$13,'EGR-ACUM uni'!$O$13,'EGR-ACUM uni'!$P$13,'EGR-ACUM uni'!$Q$13,'EGR-ACUM uni'!$R$13,'EGR-ACUM uni'!$S$13,'EGR-ACUM uni'!$T$13,'EGR-ACUM uni'!$U$13)</c:f>
              <c:numCache>
                <c:formatCode>#,##0</c:formatCode>
                <c:ptCount val="15"/>
                <c:pt idx="1">
                  <c:v>67</c:v>
                </c:pt>
                <c:pt idx="2">
                  <c:v>122</c:v>
                </c:pt>
                <c:pt idx="3">
                  <c:v>217</c:v>
                </c:pt>
                <c:pt idx="4">
                  <c:v>339</c:v>
                </c:pt>
                <c:pt idx="5">
                  <c:v>422</c:v>
                </c:pt>
                <c:pt idx="6">
                  <c:v>526</c:v>
                </c:pt>
                <c:pt idx="7">
                  <c:v>626</c:v>
                </c:pt>
                <c:pt idx="8">
                  <c:v>767</c:v>
                </c:pt>
                <c:pt idx="9">
                  <c:v>949</c:v>
                </c:pt>
                <c:pt idx="10">
                  <c:v>1183</c:v>
                </c:pt>
                <c:pt idx="11">
                  <c:v>1454</c:v>
                </c:pt>
                <c:pt idx="12">
                  <c:v>1681</c:v>
                </c:pt>
                <c:pt idx="13">
                  <c:v>2057</c:v>
                </c:pt>
                <c:pt idx="14">
                  <c:v>2357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01C-4BAB-B6E1-439CCDDFC60C}"/>
            </c:ext>
          </c:extLst>
        </c:ser>
        <c:ser>
          <c:idx val="2"/>
          <c:order val="2"/>
          <c:tx>
            <c:strRef>
              <c:f>'EGR-ACUM uni'!$B$18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rgbClr val="57A519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('EGR-ACUM uni'!$C$3:$P$3,'EGR-ACUM uni'!$Q$3,'EGR-ACUM uni'!$R$3,'EGR-ACUM uni'!$S$3,'EGR-ACUM uni'!$T$3,'EGR-ACUM uni'!$U$3)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('EGR-ACUM uni'!$C$18:$F$18,'EGR-ACUM uni'!$I$18,'EGR-ACUM uni'!$L$18,'EGR-ACUM uni'!$M$18,'EGR-ACUM uni'!$N$18,'EGR-ACUM uni'!$O$18,'EGR-ACUM uni'!$P$18,'EGR-ACUM uni'!$Q$18,'EGR-ACUM uni'!$R$18,'EGR-ACUM uni'!$S$18,'EGR-ACUM uni'!$T$18,'EGR-ACUM uni'!$U$18)</c:f>
              <c:numCache>
                <c:formatCode>#,##0</c:formatCode>
                <c:ptCount val="15"/>
                <c:pt idx="0">
                  <c:v>24047</c:v>
                </c:pt>
                <c:pt idx="1">
                  <c:v>24949</c:v>
                </c:pt>
                <c:pt idx="2">
                  <c:v>26082</c:v>
                </c:pt>
                <c:pt idx="3">
                  <c:v>27025</c:v>
                </c:pt>
                <c:pt idx="4">
                  <c:v>28116</c:v>
                </c:pt>
                <c:pt idx="5">
                  <c:v>29317</c:v>
                </c:pt>
                <c:pt idx="6">
                  <c:v>30416</c:v>
                </c:pt>
                <c:pt idx="7">
                  <c:v>31541</c:v>
                </c:pt>
                <c:pt idx="8">
                  <c:v>32755</c:v>
                </c:pt>
                <c:pt idx="9">
                  <c:v>34080</c:v>
                </c:pt>
                <c:pt idx="10">
                  <c:v>35386</c:v>
                </c:pt>
                <c:pt idx="11">
                  <c:v>36739</c:v>
                </c:pt>
                <c:pt idx="12">
                  <c:v>38026</c:v>
                </c:pt>
                <c:pt idx="13">
                  <c:v>39336</c:v>
                </c:pt>
                <c:pt idx="14">
                  <c:v>40522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01C-4BAB-B6E1-439CCDDFC60C}"/>
            </c:ext>
          </c:extLst>
        </c:ser>
        <c:ser>
          <c:idx val="4"/>
          <c:order val="3"/>
          <c:tx>
            <c:strRef>
              <c:f>'EGR-ACUM uni'!$B$23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7"/>
              <c:layout>
                <c:manualLayout>
                  <c:x val="3.5228793586888185E-2"/>
                  <c:y val="-1.3114754098360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01C-4BAB-B6E1-439CCDDFC60C}"/>
                </c:ext>
              </c:extLst>
            </c:dLbl>
            <c:dLbl>
              <c:idx val="8"/>
              <c:layout>
                <c:manualLayout>
                  <c:x val="3.9823853619960554E-2"/>
                  <c:y val="-1.3114754098360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01C-4BAB-B6E1-439CCDDFC60C}"/>
                </c:ext>
              </c:extLst>
            </c:dLbl>
            <c:dLbl>
              <c:idx val="9"/>
              <c:layout>
                <c:manualLayout>
                  <c:x val="3.8292166942269765E-2"/>
                  <c:y val="-1.049180327868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01C-4BAB-B6E1-439CCDDFC60C}"/>
                </c:ext>
              </c:extLst>
            </c:dLbl>
            <c:dLbl>
              <c:idx val="10"/>
              <c:layout>
                <c:manualLayout>
                  <c:x val="3.9823853619960665E-2"/>
                  <c:y val="-1.0491803278688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01C-4BAB-B6E1-439CCDDFC60C}"/>
                </c:ext>
              </c:extLst>
            </c:dLbl>
            <c:dLbl>
              <c:idx val="11"/>
              <c:layout>
                <c:manualLayout>
                  <c:x val="3.9823853619960554E-2"/>
                  <c:y val="-1.3114754098360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01C-4BAB-B6E1-439CCDDFC60C}"/>
                </c:ext>
              </c:extLst>
            </c:dLbl>
            <c:dLbl>
              <c:idx val="12"/>
              <c:layout>
                <c:manualLayout>
                  <c:x val="3.4144844257568488E-2"/>
                  <c:y val="-7.4450924432311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DF-4F96-9DD7-58E90E75ACE8}"/>
                </c:ext>
              </c:extLst>
            </c:dLbl>
            <c:dLbl>
              <c:idx val="13"/>
              <c:layout>
                <c:manualLayout>
                  <c:x val="3.3436663740592919E-2"/>
                  <c:y val="-7.71208226221079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04-4DD9-9E7C-6F042DD2C563}"/>
                </c:ext>
              </c:extLst>
            </c:dLbl>
            <c:dLbl>
              <c:idx val="14"/>
              <c:layout>
                <c:manualLayout>
                  <c:x val="3.0798325330955504E-2"/>
                  <c:y val="-1.54241645244215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04-41F8-AB51-51BA224D38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solidFill>
                      <a:srgbClr val="AD25A8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('EGR-ACUM uni'!$C$3:$P$3,'EGR-ACUM uni'!$Q$3,'EGR-ACUM uni'!$R$3,'EGR-ACUM uni'!$S$3,'EGR-ACUM uni'!$T$3,'EGR-ACUM uni'!$U$3)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('EGR-ACUM uni'!$C$23:$N$23,'EGR-ACUM uni'!$O$23,'EGR-ACUM uni'!$P$23,'EGR-ACUM uni'!$Q$23,'EGR-ACUM uni'!$R$23,'EGR-ACUM uni'!$S$23,'EGR-ACUM uni'!$T$23,'EGR-ACUM uni'!$U$23)</c:f>
              <c:numCache>
                <c:formatCode>#,##0</c:formatCode>
                <c:ptCount val="15"/>
                <c:pt idx="7">
                  <c:v>75</c:v>
                </c:pt>
                <c:pt idx="8">
                  <c:v>110</c:v>
                </c:pt>
                <c:pt idx="9">
                  <c:v>192</c:v>
                </c:pt>
                <c:pt idx="10">
                  <c:v>243</c:v>
                </c:pt>
                <c:pt idx="11">
                  <c:v>286</c:v>
                </c:pt>
                <c:pt idx="12">
                  <c:v>368</c:v>
                </c:pt>
                <c:pt idx="13">
                  <c:v>440</c:v>
                </c:pt>
                <c:pt idx="14">
                  <c:v>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01C-4BAB-B6E1-439CCDDFC60C}"/>
            </c:ext>
          </c:extLst>
        </c:ser>
        <c:ser>
          <c:idx val="3"/>
          <c:order val="4"/>
          <c:tx>
            <c:strRef>
              <c:f>'EGR-ACUM uni'!$B$28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rgbClr val="0072CE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('EGR-ACUM uni'!$C$3:$P$3,'EGR-ACUM uni'!$Q$3,'EGR-ACUM uni'!$R$3,'EGR-ACUM uni'!$S$3,'EGR-ACUM uni'!$T$3,'EGR-ACUM uni'!$U$3)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('EGR-ACUM uni'!$C$28:$F$28,'EGR-ACUM uni'!$I$28,'EGR-ACUM uni'!$L$28,'EGR-ACUM uni'!$M$28,'EGR-ACUM uni'!$N$28,'EGR-ACUM uni'!$O$28,'EGR-ACUM uni'!$P$28,'EGR-ACUM uni'!$Q$28,'EGR-ACUM uni'!$R$28,'EGR-ACUM uni'!$S$28,'EGR-ACUM uni'!$T$28,'EGR-ACUM uni'!$U$28)</c:f>
              <c:numCache>
                <c:formatCode>#,##0</c:formatCode>
                <c:ptCount val="15"/>
                <c:pt idx="0">
                  <c:v>53543</c:v>
                </c:pt>
                <c:pt idx="1">
                  <c:v>56227</c:v>
                </c:pt>
                <c:pt idx="2">
                  <c:v>58752</c:v>
                </c:pt>
                <c:pt idx="3">
                  <c:v>61105</c:v>
                </c:pt>
                <c:pt idx="4">
                  <c:v>63462</c:v>
                </c:pt>
                <c:pt idx="5">
                  <c:v>65946</c:v>
                </c:pt>
                <c:pt idx="6">
                  <c:v>68337</c:v>
                </c:pt>
                <c:pt idx="7">
                  <c:v>70700</c:v>
                </c:pt>
                <c:pt idx="8">
                  <c:v>73084</c:v>
                </c:pt>
                <c:pt idx="9">
                  <c:v>75373</c:v>
                </c:pt>
                <c:pt idx="10">
                  <c:v>77785</c:v>
                </c:pt>
                <c:pt idx="11">
                  <c:v>80033</c:v>
                </c:pt>
                <c:pt idx="12">
                  <c:v>82536</c:v>
                </c:pt>
                <c:pt idx="13">
                  <c:v>85095</c:v>
                </c:pt>
                <c:pt idx="14">
                  <c:v>87707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101C-4BAB-B6E1-439CCDDFC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23475072"/>
        <c:axId val="123476608"/>
        <c:axId val="0"/>
      </c:bar3DChart>
      <c:catAx>
        <c:axId val="12347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0"/>
            </a:pPr>
            <a:endParaRPr lang="es-MX"/>
          </a:p>
        </c:txPr>
        <c:crossAx val="123476608"/>
        <c:crosses val="autoZero"/>
        <c:auto val="1"/>
        <c:lblAlgn val="ctr"/>
        <c:lblOffset val="100"/>
        <c:noMultiLvlLbl val="0"/>
      </c:catAx>
      <c:valAx>
        <c:axId val="12347660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234750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1188310677183273"/>
          <c:y val="0.9400180590076832"/>
          <c:w val="0.77529267174936467"/>
          <c:h val="4.9667102423007932E-2"/>
        </c:manualLayout>
      </c:layout>
      <c:overlay val="0"/>
      <c:txPr>
        <a:bodyPr/>
        <a:lstStyle/>
        <a:p>
          <a:pPr>
            <a:defRPr sz="11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1"/>
            </a:pPr>
            <a:r>
              <a:rPr lang="es-MX" sz="1200" b="0" i="1"/>
              <a:t>Titulados de Licenciatura</a:t>
            </a:r>
          </a:p>
        </c:rich>
      </c:tx>
      <c:overlay val="1"/>
    </c:title>
    <c:autoTitleDeleted val="0"/>
    <c:view3D>
      <c:rotX val="15"/>
      <c:rotY val="20"/>
      <c:rAngAx val="1"/>
    </c:view3D>
    <c:floor>
      <c:thickness val="0"/>
      <c:spPr>
        <a:noFill/>
        <a:ln w="6350">
          <a:solidFill>
            <a:schemeClr val="bg1">
              <a:lumMod val="65000"/>
            </a:schemeClr>
          </a:solidFill>
        </a:ln>
      </c:spPr>
    </c:floor>
    <c:sideWall>
      <c:thickness val="0"/>
      <c:spPr>
        <a:scene3d>
          <a:camera prst="orthographicFront"/>
          <a:lightRig rig="threePt" dir="t"/>
        </a:scene3d>
        <a:sp3d prstMaterial="metal"/>
      </c:spPr>
    </c:sideWall>
    <c:backWall>
      <c:thickness val="0"/>
      <c:spPr>
        <a:scene3d>
          <a:camera prst="orthographicFront"/>
          <a:lightRig rig="threePt" dir="t"/>
        </a:scene3d>
        <a:sp3d prstMaterial="metal"/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'TITULADOS uni'!$B$8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rgbClr val="CD032E"/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998876203333977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9D-49AB-A21B-D7A5A62FF34B}"/>
                </c:ext>
              </c:extLst>
            </c:dLbl>
            <c:dLbl>
              <c:idx val="1"/>
              <c:layout>
                <c:manualLayout>
                  <c:x val="7.499063502778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9D-49AB-A21B-D7A5A62FF34B}"/>
                </c:ext>
              </c:extLst>
            </c:dLbl>
            <c:dLbl>
              <c:idx val="2"/>
              <c:layout>
                <c:manualLayout>
                  <c:x val="5.99925080222265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9D-49AB-A21B-D7A5A62FF34B}"/>
                </c:ext>
              </c:extLst>
            </c:dLbl>
            <c:dLbl>
              <c:idx val="3"/>
              <c:layout>
                <c:manualLayout>
                  <c:x val="5.99925080222265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9D-49AB-A21B-D7A5A62FF34B}"/>
                </c:ext>
              </c:extLst>
            </c:dLbl>
            <c:dLbl>
              <c:idx val="4"/>
              <c:layout>
                <c:manualLayout>
                  <c:x val="7.499063502778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9D-49AB-A21B-D7A5A62FF34B}"/>
                </c:ext>
              </c:extLst>
            </c:dLbl>
            <c:dLbl>
              <c:idx val="5"/>
              <c:layout>
                <c:manualLayout>
                  <c:x val="7.499063502778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9D-49AB-A21B-D7A5A62FF34B}"/>
                </c:ext>
              </c:extLst>
            </c:dLbl>
            <c:dLbl>
              <c:idx val="6"/>
              <c:layout>
                <c:manualLayout>
                  <c:x val="8.9988762033339775E-3"/>
                  <c:y val="-3.19361156982605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9D-49AB-A21B-D7A5A62FF34B}"/>
                </c:ext>
              </c:extLst>
            </c:dLbl>
            <c:dLbl>
              <c:idx val="7"/>
              <c:layout>
                <c:manualLayout>
                  <c:x val="8.9988762033339775E-3"/>
                  <c:y val="-3.19361156982605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9D-49AB-A21B-D7A5A62FF34B}"/>
                </c:ext>
              </c:extLst>
            </c:dLbl>
            <c:dLbl>
              <c:idx val="8"/>
              <c:layout>
                <c:manualLayout>
                  <c:x val="8.998876203333977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9D-49AB-A21B-D7A5A62FF34B}"/>
                </c:ext>
              </c:extLst>
            </c:dLbl>
            <c:dLbl>
              <c:idx val="9"/>
              <c:layout>
                <c:manualLayout>
                  <c:x val="1.049857080840151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9D-49AB-A21B-D7A5A62FF34B}"/>
                </c:ext>
              </c:extLst>
            </c:dLbl>
            <c:spPr>
              <a:ln>
                <a:noFill/>
              </a:ln>
            </c:spPr>
            <c:txPr>
              <a:bodyPr rot="-5400000" vert="horz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('TITULADOS uni'!$C$3:$S$3,'TITULADOS uni'!$T$3,'TITULADOS uni'!$U$3,'TITULADOS uni'!$V$3,'TITULADOS uni'!$W$3,'TITULADOS uni'!$X$3,'TITULADOS uni'!$Y$3,'TITULADOS uni'!$Z$3)</c:f>
              <c:numCache>
                <c:formatCode>0</c:formatCode>
                <c:ptCount val="24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 formatCode="General">
                  <c:v>2019</c:v>
                </c:pt>
                <c:pt idx="21" formatCode="General">
                  <c:v>2020</c:v>
                </c:pt>
                <c:pt idx="22" formatCode="General">
                  <c:v>2021</c:v>
                </c:pt>
                <c:pt idx="23" formatCode="General">
                  <c:v>2022</c:v>
                </c:pt>
              </c:numCache>
            </c:numRef>
          </c:cat>
          <c:val>
            <c:numRef>
              <c:f>('TITULADOS uni'!$C$8:$Q$8,'TITULADOS uni'!$R$8,'TITULADOS uni'!$S$8,'TITULADOS uni'!$T$8,'TITULADOS uni'!$U$8,'TITULADOS uni'!$V$8,'TITULADOS uni'!$W$8,'TITULADOS uni'!$X$8,'TITULADOS uni'!$Y$8,'TITULADOS uni'!$Z$8)</c:f>
              <c:numCache>
                <c:formatCode>#,##0</c:formatCode>
                <c:ptCount val="24"/>
                <c:pt idx="0">
                  <c:v>1391</c:v>
                </c:pt>
                <c:pt idx="1">
                  <c:v>1223</c:v>
                </c:pt>
                <c:pt idx="2">
                  <c:v>1314</c:v>
                </c:pt>
                <c:pt idx="3">
                  <c:v>1184</c:v>
                </c:pt>
                <c:pt idx="4">
                  <c:v>1334</c:v>
                </c:pt>
                <c:pt idx="5">
                  <c:v>1179</c:v>
                </c:pt>
                <c:pt idx="6">
                  <c:v>1073</c:v>
                </c:pt>
                <c:pt idx="7">
                  <c:v>1110</c:v>
                </c:pt>
                <c:pt idx="8">
                  <c:v>1141</c:v>
                </c:pt>
                <c:pt idx="9">
                  <c:v>870</c:v>
                </c:pt>
                <c:pt idx="10">
                  <c:v>1143</c:v>
                </c:pt>
                <c:pt idx="11">
                  <c:v>1084</c:v>
                </c:pt>
                <c:pt idx="12">
                  <c:v>1027</c:v>
                </c:pt>
                <c:pt idx="13">
                  <c:v>934</c:v>
                </c:pt>
                <c:pt idx="14">
                  <c:v>1118</c:v>
                </c:pt>
                <c:pt idx="15">
                  <c:v>1241</c:v>
                </c:pt>
                <c:pt idx="16">
                  <c:v>1001</c:v>
                </c:pt>
                <c:pt idx="17">
                  <c:v>1310</c:v>
                </c:pt>
                <c:pt idx="18">
                  <c:v>1147</c:v>
                </c:pt>
                <c:pt idx="19">
                  <c:v>2555</c:v>
                </c:pt>
                <c:pt idx="20">
                  <c:v>1131</c:v>
                </c:pt>
                <c:pt idx="21">
                  <c:v>332</c:v>
                </c:pt>
                <c:pt idx="22">
                  <c:v>1250</c:v>
                </c:pt>
                <c:pt idx="23">
                  <c:v>1328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A9D-49AB-A21B-D7A5A62FF34B}"/>
            </c:ext>
          </c:extLst>
        </c:ser>
        <c:ser>
          <c:idx val="1"/>
          <c:order val="1"/>
          <c:tx>
            <c:strRef>
              <c:f>'TITULADOS uni'!$B$13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11"/>
              <c:layout>
                <c:manualLayout>
                  <c:x val="4.291845977025219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9D-49AB-A21B-D7A5A62FF34B}"/>
                </c:ext>
              </c:extLst>
            </c:dLbl>
            <c:dLbl>
              <c:idx val="12"/>
              <c:layout>
                <c:manualLayout>
                  <c:x val="4.29184597702532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9D-49AB-A21B-D7A5A62FF34B}"/>
                </c:ext>
              </c:extLst>
            </c:dLbl>
            <c:dLbl>
              <c:idx val="13"/>
              <c:layout>
                <c:manualLayout>
                  <c:x val="7.153076628375260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9D-49AB-A21B-D7A5A62FF34B}"/>
                </c:ext>
              </c:extLst>
            </c:dLbl>
            <c:dLbl>
              <c:idx val="14"/>
              <c:layout>
                <c:manualLayout>
                  <c:x val="5.7224613027002918E-3"/>
                  <c:y val="-2.88912800656992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9D-49AB-A21B-D7A5A62FF34B}"/>
                </c:ext>
              </c:extLst>
            </c:dLbl>
            <c:dLbl>
              <c:idx val="21"/>
              <c:layout>
                <c:manualLayout>
                  <c:x val="1.315068606628722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A9D-49AB-A21B-D7A5A62FF3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('TITULADOS uni'!$C$3:$S$3,'TITULADOS uni'!$T$3,'TITULADOS uni'!$U$3,'TITULADOS uni'!$V$3,'TITULADOS uni'!$W$3,'TITULADOS uni'!$X$3,'TITULADOS uni'!$Y$3,'TITULADOS uni'!$Z$3)</c:f>
              <c:numCache>
                <c:formatCode>0</c:formatCode>
                <c:ptCount val="24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 formatCode="General">
                  <c:v>2019</c:v>
                </c:pt>
                <c:pt idx="21" formatCode="General">
                  <c:v>2020</c:v>
                </c:pt>
                <c:pt idx="22" formatCode="General">
                  <c:v>2021</c:v>
                </c:pt>
                <c:pt idx="23" formatCode="General">
                  <c:v>2022</c:v>
                </c:pt>
              </c:numCache>
            </c:numRef>
          </c:cat>
          <c:val>
            <c:numRef>
              <c:f>('TITULADOS uni'!$C$13:$Q$13,'TITULADOS uni'!$R$13,'TITULADOS uni'!$S$13,'TITULADOS uni'!$T$13,'TITULADOS uni'!$U$13,'TITULADOS uni'!$V$13,'TITULADOS uni'!$W$13,'TITULADOS uni'!$X$13,'TITULADOS uni'!$Y$13,'TITULADOS uni'!$Z$13)</c:f>
              <c:numCache>
                <c:formatCode>General</c:formatCode>
                <c:ptCount val="24"/>
                <c:pt idx="11" formatCode="#,##0">
                  <c:v>18</c:v>
                </c:pt>
                <c:pt idx="12" formatCode="#,##0">
                  <c:v>67</c:v>
                </c:pt>
                <c:pt idx="13" formatCode="#,##0">
                  <c:v>76</c:v>
                </c:pt>
                <c:pt idx="14" formatCode="#,##0">
                  <c:v>92</c:v>
                </c:pt>
                <c:pt idx="15" formatCode="#,##0">
                  <c:v>81</c:v>
                </c:pt>
                <c:pt idx="16" formatCode="#,##0">
                  <c:v>88</c:v>
                </c:pt>
                <c:pt idx="17" formatCode="#,##0">
                  <c:v>102</c:v>
                </c:pt>
                <c:pt idx="18" formatCode="#,##0">
                  <c:v>89</c:v>
                </c:pt>
                <c:pt idx="19" formatCode="#,##0">
                  <c:v>126</c:v>
                </c:pt>
                <c:pt idx="20" formatCode="#,##0">
                  <c:v>135</c:v>
                </c:pt>
                <c:pt idx="21" formatCode="#,##0">
                  <c:v>51</c:v>
                </c:pt>
                <c:pt idx="22" formatCode="#,##0">
                  <c:v>278</c:v>
                </c:pt>
                <c:pt idx="23" formatCode="#,##0">
                  <c:v>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A9D-49AB-A21B-D7A5A62FF34B}"/>
            </c:ext>
          </c:extLst>
        </c:ser>
        <c:ser>
          <c:idx val="2"/>
          <c:order val="2"/>
          <c:tx>
            <c:strRef>
              <c:f>'TITULADOS uni'!$B$18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rgbClr val="57A519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('TITULADOS uni'!$C$3:$S$3,'TITULADOS uni'!$T$3,'TITULADOS uni'!$U$3,'TITULADOS uni'!$V$3,'TITULADOS uni'!$W$3,'TITULADOS uni'!$X$3,'TITULADOS uni'!$Y$3,'TITULADOS uni'!$Z$3)</c:f>
              <c:numCache>
                <c:formatCode>0</c:formatCode>
                <c:ptCount val="24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 formatCode="General">
                  <c:v>2019</c:v>
                </c:pt>
                <c:pt idx="21" formatCode="General">
                  <c:v>2020</c:v>
                </c:pt>
                <c:pt idx="22" formatCode="General">
                  <c:v>2021</c:v>
                </c:pt>
                <c:pt idx="23" formatCode="General">
                  <c:v>2022</c:v>
                </c:pt>
              </c:numCache>
            </c:numRef>
          </c:cat>
          <c:val>
            <c:numRef>
              <c:f>('TITULADOS uni'!$C$18:$Q$18,'TITULADOS uni'!$R$18,'TITULADOS uni'!$S$18,'TITULADOS uni'!$T$18,'TITULADOS uni'!$U$18,'TITULADOS uni'!$V$18,'TITULADOS uni'!$W$18,'TITULADOS uni'!$X$18,'TITULADOS uni'!$Y$18,'TITULADOS uni'!$Z$18)</c:f>
              <c:numCache>
                <c:formatCode>#,##0</c:formatCode>
                <c:ptCount val="24"/>
                <c:pt idx="0">
                  <c:v>791</c:v>
                </c:pt>
                <c:pt idx="1">
                  <c:v>821</c:v>
                </c:pt>
                <c:pt idx="2">
                  <c:v>865</c:v>
                </c:pt>
                <c:pt idx="3">
                  <c:v>856</c:v>
                </c:pt>
                <c:pt idx="4">
                  <c:v>972</c:v>
                </c:pt>
                <c:pt idx="5">
                  <c:v>1037</c:v>
                </c:pt>
                <c:pt idx="6">
                  <c:v>1062</c:v>
                </c:pt>
                <c:pt idx="7">
                  <c:v>1036</c:v>
                </c:pt>
                <c:pt idx="8">
                  <c:v>1056</c:v>
                </c:pt>
                <c:pt idx="9">
                  <c:v>930</c:v>
                </c:pt>
                <c:pt idx="10">
                  <c:v>870</c:v>
                </c:pt>
                <c:pt idx="11">
                  <c:v>1004</c:v>
                </c:pt>
                <c:pt idx="12">
                  <c:v>1025</c:v>
                </c:pt>
                <c:pt idx="13">
                  <c:v>966</c:v>
                </c:pt>
                <c:pt idx="14">
                  <c:v>965</c:v>
                </c:pt>
                <c:pt idx="15">
                  <c:v>1211</c:v>
                </c:pt>
                <c:pt idx="16">
                  <c:v>874</c:v>
                </c:pt>
                <c:pt idx="17">
                  <c:v>1117</c:v>
                </c:pt>
                <c:pt idx="18">
                  <c:v>827</c:v>
                </c:pt>
                <c:pt idx="19">
                  <c:v>693</c:v>
                </c:pt>
                <c:pt idx="20">
                  <c:v>1057</c:v>
                </c:pt>
                <c:pt idx="21">
                  <c:v>276</c:v>
                </c:pt>
                <c:pt idx="22">
                  <c:v>1160</c:v>
                </c:pt>
                <c:pt idx="23">
                  <c:v>1436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A9D-49AB-A21B-D7A5A62FF34B}"/>
            </c:ext>
          </c:extLst>
        </c:ser>
        <c:ser>
          <c:idx val="4"/>
          <c:order val="3"/>
          <c:tx>
            <c:strRef>
              <c:f>'TITULADOS uni'!$B$23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</c:spPr>
          <c:invertIfNegative val="0"/>
          <c:dLbls>
            <c:dLbl>
              <c:idx val="16"/>
              <c:layout>
                <c:manualLayout>
                  <c:x val="2.2106230591773839E-2"/>
                  <c:y val="-2.299467012516162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30-4940-B48C-5D132608CE8C}"/>
                </c:ext>
              </c:extLst>
            </c:dLbl>
            <c:dLbl>
              <c:idx val="17"/>
              <c:layout>
                <c:manualLayout>
                  <c:x val="2.0878106670008622E-2"/>
                  <c:y val="-2.299467012516162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30-4940-B48C-5D132608CE8C}"/>
                </c:ext>
              </c:extLst>
            </c:dLbl>
            <c:dLbl>
              <c:idx val="18"/>
              <c:layout>
                <c:manualLayout>
                  <c:x val="1.9649982748243401E-2"/>
                  <c:y val="-6.89840103754857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30-4940-B48C-5D132608CE8C}"/>
                </c:ext>
              </c:extLst>
            </c:dLbl>
            <c:dLbl>
              <c:idx val="19"/>
              <c:layout>
                <c:manualLayout>
                  <c:x val="2.2106230591773929E-2"/>
                  <c:y val="-6.89840103754848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30-4940-B48C-5D132608CE8C}"/>
                </c:ext>
              </c:extLst>
            </c:dLbl>
            <c:dLbl>
              <c:idx val="20"/>
              <c:layout>
                <c:manualLayout>
                  <c:x val="2.2106230591773749E-2"/>
                  <c:y val="-6.89840103754857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30-4940-B48C-5D132608CE8C}"/>
                </c:ext>
              </c:extLst>
            </c:dLbl>
            <c:dLbl>
              <c:idx val="21"/>
              <c:layout>
                <c:manualLayout>
                  <c:x val="1.83276704249192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A9D-49AB-A21B-D7A5A62FF34B}"/>
                </c:ext>
              </c:extLst>
            </c:dLbl>
            <c:dLbl>
              <c:idx val="22"/>
              <c:layout>
                <c:manualLayout>
                  <c:x val="2.2106230591773749E-2"/>
                  <c:y val="-4.59893402503240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30-4940-B48C-5D132608CE8C}"/>
                </c:ext>
              </c:extLst>
            </c:dLbl>
            <c:dLbl>
              <c:idx val="23"/>
              <c:layout>
                <c:manualLayout>
                  <c:x val="2.2106230591773929E-2"/>
                  <c:y val="-4.59893402503223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30-4940-B48C-5D132608CE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rgbClr val="AD25A8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('TITULADOS uni'!$C$3:$S$3,'TITULADOS uni'!$T$3,'TITULADOS uni'!$U$3,'TITULADOS uni'!$V$3,'TITULADOS uni'!$W$3,'TITULADOS uni'!$X$3,'TITULADOS uni'!$Y$3,'TITULADOS uni'!$Z$3)</c:f>
              <c:numCache>
                <c:formatCode>0</c:formatCode>
                <c:ptCount val="24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 formatCode="General">
                  <c:v>2019</c:v>
                </c:pt>
                <c:pt idx="21" formatCode="General">
                  <c:v>2020</c:v>
                </c:pt>
                <c:pt idx="22" formatCode="General">
                  <c:v>2021</c:v>
                </c:pt>
                <c:pt idx="23" formatCode="General">
                  <c:v>2022</c:v>
                </c:pt>
              </c:numCache>
            </c:numRef>
          </c:cat>
          <c:val>
            <c:numRef>
              <c:f>('TITULADOS uni'!$C$23:$S$23,'TITULADOS uni'!$T$23,'TITULADOS uni'!$U$23,'TITULADOS uni'!$V$23,'TITULADOS uni'!$W$23,'TITULADOS uni'!$X$23,'TITULADOS uni'!$Y$23,'TITULADOS uni'!$Z$23)</c:f>
              <c:numCache>
                <c:formatCode>#,##0</c:formatCode>
                <c:ptCount val="24"/>
                <c:pt idx="16">
                  <c:v>12</c:v>
                </c:pt>
                <c:pt idx="17">
                  <c:v>52</c:v>
                </c:pt>
                <c:pt idx="18">
                  <c:v>11</c:v>
                </c:pt>
                <c:pt idx="19">
                  <c:v>53</c:v>
                </c:pt>
                <c:pt idx="20">
                  <c:v>42</c:v>
                </c:pt>
                <c:pt idx="21">
                  <c:v>6</c:v>
                </c:pt>
                <c:pt idx="22">
                  <c:v>49</c:v>
                </c:pt>
                <c:pt idx="23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0A9D-49AB-A21B-D7A5A62FF34B}"/>
            </c:ext>
          </c:extLst>
        </c:ser>
        <c:ser>
          <c:idx val="3"/>
          <c:order val="4"/>
          <c:tx>
            <c:strRef>
              <c:f>'TITULADOS uni'!$B$28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rgbClr val="0072CE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21"/>
              <c:layout>
                <c:manualLayout>
                  <c:x val="3.287671516571806E-3"/>
                  <c:y val="-4.51212633953750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A9D-49AB-A21B-D7A5A62FF3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('TITULADOS uni'!$C$3:$S$3,'TITULADOS uni'!$T$3,'TITULADOS uni'!$U$3,'TITULADOS uni'!$V$3,'TITULADOS uni'!$W$3,'TITULADOS uni'!$X$3,'TITULADOS uni'!$Y$3,'TITULADOS uni'!$Z$3)</c:f>
              <c:numCache>
                <c:formatCode>0</c:formatCode>
                <c:ptCount val="24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 formatCode="General">
                  <c:v>2019</c:v>
                </c:pt>
                <c:pt idx="21" formatCode="General">
                  <c:v>2020</c:v>
                </c:pt>
                <c:pt idx="22" formatCode="General">
                  <c:v>2021</c:v>
                </c:pt>
                <c:pt idx="23" formatCode="General">
                  <c:v>2022</c:v>
                </c:pt>
              </c:numCache>
            </c:numRef>
          </c:cat>
          <c:val>
            <c:numRef>
              <c:f>('TITULADOS uni'!$C$28:$Q$28,'TITULADOS uni'!$R$28,'TITULADOS uni'!$S$28,'TITULADOS uni'!$T$28,'TITULADOS uni'!$U$28,'TITULADOS uni'!$V$28,'TITULADOS uni'!$W$28,'TITULADOS uni'!$X$28,'TITULADOS uni'!$Y$28,'TITULADOS uni'!$Z$28)</c:f>
              <c:numCache>
                <c:formatCode>#,##0</c:formatCode>
                <c:ptCount val="24"/>
                <c:pt idx="0">
                  <c:v>1832</c:v>
                </c:pt>
                <c:pt idx="1">
                  <c:v>1744</c:v>
                </c:pt>
                <c:pt idx="2">
                  <c:v>1894</c:v>
                </c:pt>
                <c:pt idx="3">
                  <c:v>2117</c:v>
                </c:pt>
                <c:pt idx="4">
                  <c:v>2100</c:v>
                </c:pt>
                <c:pt idx="5">
                  <c:v>1943</c:v>
                </c:pt>
                <c:pt idx="6">
                  <c:v>1915</c:v>
                </c:pt>
                <c:pt idx="7">
                  <c:v>1667</c:v>
                </c:pt>
                <c:pt idx="8">
                  <c:v>1851</c:v>
                </c:pt>
                <c:pt idx="9">
                  <c:v>1687</c:v>
                </c:pt>
                <c:pt idx="10">
                  <c:v>2167</c:v>
                </c:pt>
                <c:pt idx="11">
                  <c:v>2431</c:v>
                </c:pt>
                <c:pt idx="12">
                  <c:v>2420</c:v>
                </c:pt>
                <c:pt idx="13">
                  <c:v>2229</c:v>
                </c:pt>
                <c:pt idx="14">
                  <c:v>2093</c:v>
                </c:pt>
                <c:pt idx="15">
                  <c:v>2157</c:v>
                </c:pt>
                <c:pt idx="16">
                  <c:v>1948</c:v>
                </c:pt>
                <c:pt idx="17">
                  <c:v>2182</c:v>
                </c:pt>
                <c:pt idx="18">
                  <c:v>1505</c:v>
                </c:pt>
                <c:pt idx="19">
                  <c:v>1975</c:v>
                </c:pt>
                <c:pt idx="20">
                  <c:v>1895</c:v>
                </c:pt>
                <c:pt idx="21">
                  <c:v>390</c:v>
                </c:pt>
                <c:pt idx="22">
                  <c:v>1700</c:v>
                </c:pt>
                <c:pt idx="23">
                  <c:v>2189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A9D-49AB-A21B-D7A5A62FF3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23286272"/>
        <c:axId val="123287808"/>
        <c:axId val="0"/>
      </c:bar3DChart>
      <c:catAx>
        <c:axId val="12328627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b="0"/>
            </a:pPr>
            <a:endParaRPr lang="es-MX"/>
          </a:p>
        </c:txPr>
        <c:crossAx val="123287808"/>
        <c:crosses val="autoZero"/>
        <c:auto val="1"/>
        <c:lblAlgn val="ctr"/>
        <c:lblOffset val="100"/>
        <c:noMultiLvlLbl val="0"/>
      </c:catAx>
      <c:valAx>
        <c:axId val="12328780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232862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42992074300526"/>
          <c:y val="0.9317516734049941"/>
          <c:w val="0.70287542412958137"/>
          <c:h val="5.9194606003912277E-2"/>
        </c:manualLayout>
      </c:layout>
      <c:overlay val="0"/>
      <c:txPr>
        <a:bodyPr/>
        <a:lstStyle/>
        <a:p>
          <a:pPr>
            <a:defRPr sz="12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Activos de Licenciatura y Posgrado</a:t>
            </a:r>
          </a:p>
        </c:rich>
      </c:tx>
      <c:layout>
        <c:manualLayout>
          <c:xMode val="edge"/>
          <c:yMode val="edge"/>
          <c:x val="0.34653092006033182"/>
          <c:y val="6.9726902963393378E-3"/>
        </c:manualLayout>
      </c:layout>
      <c:overlay val="1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1.3089180411168603E-2"/>
          <c:y val="7.2051133062173159E-2"/>
          <c:w val="0.97849121869765787"/>
          <c:h val="0.78070927180614047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'Activos Lic-Pos'!$V$8</c:f>
              <c:strCache>
                <c:ptCount val="1"/>
                <c:pt idx="0">
                  <c:v>Licenciatura</c:v>
                </c:pt>
              </c:strCache>
            </c:strRef>
          </c:tx>
          <c:spPr>
            <a:solidFill>
              <a:schemeClr val="accent5"/>
            </a:solidFill>
            <a:ln w="3175">
              <a:noFill/>
            </a:ln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  <a:contourClr>
                <a:srgbClr val="000000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('Activos Lic-Pos'!$V$10:$V$28,'Activos Lic-Pos'!$V$29)</c:f>
              <c:numCache>
                <c:formatCode>General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('ACTIVOS uni'!$C$37:$M$37,'ACTIVOS uni'!$N$37,'ACTIVOS uni'!$O$37,'ACTIVOS uni'!$P$37,'ACTIVOS uni'!$Q$37,'ACTIVOS uni'!$R$37,'ACTIVOS uni'!$S$37,'ACTIVOS uni'!$T$37,'ACTIVOS uni'!$U$37,'ACTIVOS uni'!$V$37)</c:f>
              <c:numCache>
                <c:formatCode>#,##0</c:formatCode>
                <c:ptCount val="20"/>
                <c:pt idx="0">
                  <c:v>42235</c:v>
                </c:pt>
                <c:pt idx="1">
                  <c:v>43246</c:v>
                </c:pt>
                <c:pt idx="2">
                  <c:v>44496</c:v>
                </c:pt>
                <c:pt idx="3">
                  <c:v>45448</c:v>
                </c:pt>
                <c:pt idx="4">
                  <c:v>46267</c:v>
                </c:pt>
                <c:pt idx="5">
                  <c:v>47386</c:v>
                </c:pt>
                <c:pt idx="6">
                  <c:v>47343</c:v>
                </c:pt>
                <c:pt idx="7">
                  <c:v>48596</c:v>
                </c:pt>
                <c:pt idx="8">
                  <c:v>49508</c:v>
                </c:pt>
                <c:pt idx="9">
                  <c:v>50928</c:v>
                </c:pt>
                <c:pt idx="10">
                  <c:v>52459</c:v>
                </c:pt>
                <c:pt idx="11">
                  <c:v>52898</c:v>
                </c:pt>
                <c:pt idx="12">
                  <c:v>53374</c:v>
                </c:pt>
                <c:pt idx="13">
                  <c:v>53900</c:v>
                </c:pt>
                <c:pt idx="14">
                  <c:v>53989</c:v>
                </c:pt>
                <c:pt idx="15">
                  <c:v>54755</c:v>
                </c:pt>
                <c:pt idx="16">
                  <c:v>55811</c:v>
                </c:pt>
                <c:pt idx="17">
                  <c:v>56038</c:v>
                </c:pt>
                <c:pt idx="18">
                  <c:v>57262</c:v>
                </c:pt>
                <c:pt idx="19">
                  <c:v>58062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04-402C-96FF-EE444292A7AE}"/>
            </c:ext>
          </c:extLst>
        </c:ser>
        <c:ser>
          <c:idx val="1"/>
          <c:order val="1"/>
          <c:tx>
            <c:strRef>
              <c:f>'Activos Lic-Pos'!$V$9</c:f>
              <c:strCache>
                <c:ptCount val="1"/>
                <c:pt idx="0">
                  <c:v>Posgrado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5288477438202969E-3"/>
                  <c:y val="-7.37554347324403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04-402C-96FF-EE444292A7AE}"/>
                </c:ext>
              </c:extLst>
            </c:dLbl>
            <c:dLbl>
              <c:idx val="1"/>
              <c:layout>
                <c:manualLayout>
                  <c:x val="4.5248868778280547E-3"/>
                  <c:y val="-2.46006126923137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04-402C-96FF-EE444292A7AE}"/>
                </c:ext>
              </c:extLst>
            </c:dLbl>
            <c:dLbl>
              <c:idx val="2"/>
              <c:layout>
                <c:manualLayout>
                  <c:x val="4.5248868778280547E-3"/>
                  <c:y val="-2.45851259987707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04-402C-96FF-EE444292A7AE}"/>
                </c:ext>
              </c:extLst>
            </c:dLbl>
            <c:dLbl>
              <c:idx val="3"/>
              <c:layout>
                <c:manualLayout>
                  <c:x val="6.0331825037707393E-3"/>
                  <c:y val="-4.91702519975414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04-402C-96FF-EE444292A7AE}"/>
                </c:ext>
              </c:extLst>
            </c:dLbl>
            <c:dLbl>
              <c:idx val="4"/>
              <c:layout>
                <c:manualLayout>
                  <c:x val="6.0331825037707393E-3"/>
                  <c:y val="-7.37553779963122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04-402C-96FF-EE444292A7AE}"/>
                </c:ext>
              </c:extLst>
            </c:dLbl>
            <c:dLbl>
              <c:idx val="5"/>
              <c:layout>
                <c:manualLayout>
                  <c:x val="4.5248868778280547E-3"/>
                  <c:y val="-7.375537799631245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04-402C-96FF-EE444292A7AE}"/>
                </c:ext>
              </c:extLst>
            </c:dLbl>
            <c:dLbl>
              <c:idx val="6"/>
              <c:layout>
                <c:manualLayout>
                  <c:x val="4.6601465528233127E-3"/>
                  <c:y val="-9.83560591511426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04-402C-96FF-EE444292A7AE}"/>
                </c:ext>
              </c:extLst>
            </c:dLbl>
            <c:dLbl>
              <c:idx val="7"/>
              <c:layout>
                <c:manualLayout>
                  <c:x val="4.5248868778280547E-3"/>
                  <c:y val="-7.37553779963122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04-402C-96FF-EE444292A7AE}"/>
                </c:ext>
              </c:extLst>
            </c:dLbl>
            <c:dLbl>
              <c:idx val="8"/>
              <c:layout>
                <c:manualLayout>
                  <c:x val="3.2194839296920338E-3"/>
                  <c:y val="-7.375456116765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04-402C-96FF-EE444292A7AE}"/>
                </c:ext>
              </c:extLst>
            </c:dLbl>
            <c:dLbl>
              <c:idx val="9"/>
              <c:layout>
                <c:manualLayout>
                  <c:x val="4.6601465528233127E-3"/>
                  <c:y val="-9.83560591511431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04-402C-96FF-EE444292A7AE}"/>
                </c:ext>
              </c:extLst>
            </c:dLbl>
            <c:dLbl>
              <c:idx val="10"/>
              <c:layout>
                <c:manualLayout>
                  <c:x val="4.5248868778280547E-3"/>
                  <c:y val="-7.375537799631245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04-402C-96FF-EE444292A7AE}"/>
                </c:ext>
              </c:extLst>
            </c:dLbl>
            <c:dLbl>
              <c:idx val="11"/>
              <c:layout>
                <c:manualLayout>
                  <c:x val="6.0331825037707393E-3"/>
                  <c:y val="-1.22925629993853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704-402C-96FF-EE444292A7AE}"/>
                </c:ext>
              </c:extLst>
            </c:dLbl>
            <c:dLbl>
              <c:idx val="12"/>
              <c:layout>
                <c:manualLayout>
                  <c:x val="6.033182503770739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04-402C-96FF-EE444292A7AE}"/>
                </c:ext>
              </c:extLst>
            </c:dLbl>
            <c:dLbl>
              <c:idx val="13"/>
              <c:layout>
                <c:manualLayout>
                  <c:x val="6.0331825037707393E-3"/>
                  <c:y val="-4.91702519975415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704-402C-96FF-EE444292A7AE}"/>
                </c:ext>
              </c:extLst>
            </c:dLbl>
            <c:dLbl>
              <c:idx val="14"/>
              <c:layout>
                <c:manualLayout>
                  <c:x val="4.056795131845841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704-402C-96FF-EE444292A7AE}"/>
                </c:ext>
              </c:extLst>
            </c:dLbl>
            <c:dLbl>
              <c:idx val="15"/>
              <c:layout>
                <c:manualLayout>
                  <c:x val="6.5487877987523476E-3"/>
                  <c:y val="-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704-402C-96FF-EE444292A7AE}"/>
                </c:ext>
              </c:extLst>
            </c:dLbl>
            <c:dLbl>
              <c:idx val="16"/>
              <c:layout>
                <c:manualLayout>
                  <c:x val="4.6694876009477958E-3"/>
                  <c:y val="-4.86618004866180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704-402C-96FF-EE444292A7AE}"/>
                </c:ext>
              </c:extLst>
            </c:dLbl>
            <c:dLbl>
              <c:idx val="17"/>
              <c:layout>
                <c:manualLayout>
                  <c:x val="5.9873323980459562E-3"/>
                  <c:y val="-4.68933177022274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704-402C-96FF-EE444292A7AE}"/>
                </c:ext>
              </c:extLst>
            </c:dLbl>
            <c:dLbl>
              <c:idx val="18"/>
              <c:layout>
                <c:manualLayout>
                  <c:x val="4.5610039667565144E-3"/>
                  <c:y val="-2.235746530188876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AA3-421C-AEA2-F2F941A585FE}"/>
                </c:ext>
              </c:extLst>
            </c:dLbl>
            <c:dLbl>
              <c:idx val="19"/>
              <c:layout>
                <c:manualLayout>
                  <c:x val="5.4813286309000619E-3"/>
                  <c:y val="-2.43902439024390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E0F-417A-B772-9E9E9BC587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('Activos Lic-Pos'!$V$10:$V$28,'Activos Lic-Pos'!$V$29)</c:f>
              <c:numCache>
                <c:formatCode>General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('ACTIVOS-POS uni'!$D$90:$V$90,'ACTIVOS-POS uni'!$W$90)</c:f>
              <c:numCache>
                <c:formatCode>#,##0</c:formatCode>
                <c:ptCount val="20"/>
                <c:pt idx="0">
                  <c:v>2154</c:v>
                </c:pt>
                <c:pt idx="1">
                  <c:v>2264</c:v>
                </c:pt>
                <c:pt idx="2">
                  <c:v>2341</c:v>
                </c:pt>
                <c:pt idx="3">
                  <c:v>2344</c:v>
                </c:pt>
                <c:pt idx="4">
                  <c:v>2617</c:v>
                </c:pt>
                <c:pt idx="5">
                  <c:v>2744</c:v>
                </c:pt>
                <c:pt idx="6">
                  <c:v>3049</c:v>
                </c:pt>
                <c:pt idx="7">
                  <c:v>3326</c:v>
                </c:pt>
                <c:pt idx="8">
                  <c:v>3380</c:v>
                </c:pt>
                <c:pt idx="9">
                  <c:v>3436</c:v>
                </c:pt>
                <c:pt idx="10">
                  <c:v>3508</c:v>
                </c:pt>
                <c:pt idx="11">
                  <c:v>3708</c:v>
                </c:pt>
                <c:pt idx="12">
                  <c:v>3718</c:v>
                </c:pt>
                <c:pt idx="13">
                  <c:v>3842</c:v>
                </c:pt>
                <c:pt idx="14">
                  <c:v>3838</c:v>
                </c:pt>
                <c:pt idx="15">
                  <c:v>3868</c:v>
                </c:pt>
                <c:pt idx="16">
                  <c:v>3894</c:v>
                </c:pt>
                <c:pt idx="17">
                  <c:v>3671</c:v>
                </c:pt>
                <c:pt idx="18">
                  <c:v>3603</c:v>
                </c:pt>
                <c:pt idx="19">
                  <c:v>3846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5704-402C-96FF-EE444292A7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24357248"/>
        <c:axId val="124371328"/>
        <c:axId val="0"/>
      </c:bar3DChart>
      <c:catAx>
        <c:axId val="124357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4371328"/>
        <c:crosses val="autoZero"/>
        <c:auto val="1"/>
        <c:lblAlgn val="ctr"/>
        <c:lblOffset val="100"/>
        <c:noMultiLvlLbl val="0"/>
      </c:catAx>
      <c:valAx>
        <c:axId val="12437132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243572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080202200327844"/>
          <c:y val="0.95220944612077685"/>
          <c:w val="0.38850926837270339"/>
          <c:h val="4.2880331415241807E-2"/>
        </c:manualLayout>
      </c:layout>
      <c:overlay val="0"/>
      <c:txPr>
        <a:bodyPr/>
        <a:lstStyle/>
        <a:p>
          <a:pPr>
            <a:defRPr sz="12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Egresados de Licenciatura y Posgrado</a:t>
            </a:r>
          </a:p>
        </c:rich>
      </c:tx>
      <c:overlay val="1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1.594202716626416E-2"/>
          <c:y val="2.4403771491957847E-2"/>
          <c:w val="0.96811594566747172"/>
          <c:h val="0.82840305527532831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'Egresados Lic-Pos'!$AA$3</c:f>
              <c:strCache>
                <c:ptCount val="1"/>
                <c:pt idx="0">
                  <c:v>Licenciatura</c:v>
                </c:pt>
              </c:strCache>
            </c:strRef>
          </c:tx>
          <c:spPr>
            <a:solidFill>
              <a:srgbClr val="CC9900"/>
            </a:solidFill>
            <a:ln w="3175">
              <a:noFill/>
            </a:ln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  <a:contourClr>
                <a:srgbClr val="000000"/>
              </a:contourClr>
            </a:sp3d>
          </c:spPr>
          <c:invertIfNegative val="0"/>
          <c:dLbls>
            <c:dLbl>
              <c:idx val="11"/>
              <c:layout>
                <c:manualLayout>
                  <c:x val="5.7971007877324222E-3"/>
                  <c:y val="-2.21852468108707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06-47B2-AE64-2E472819B8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1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('Egresados Lic-Pos'!$AA$5:$AA$23,'Egresados Lic-Pos'!$AA$24)</c:f>
              <c:numCache>
                <c:formatCode>General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('EGRESO uni'!$V$37,'EGRESO uni'!$Z$37,'EGRESO uni'!$AD$37,'EGRESO uni'!$AH$37,'EGRESO uni'!$AL$37,'EGRESO uni'!$AP$37,'EGRESO uni'!$AT$37,'EGRESO uni'!$AX$37,'EGRESO uni'!$BB$37,'EGRESO uni'!$BF$37,'EGRESO uni'!$BJ$37,'EGRESO uni'!$BN$37,'EGRESO uni'!$BR$37,'EGRESO uni'!$BV$37,'EGRESO uni'!$BZ$37,'EGRESO uni'!$CD$37,'EGRESO uni'!$CH$37,'EGRESO uni'!$CL$37,'EGRESO uni'!$CP$37,'EGRESO uni'!$CT$37)</c:f>
              <c:numCache>
                <c:formatCode>#,##0</c:formatCode>
                <c:ptCount val="20"/>
                <c:pt idx="0">
                  <c:v>4693</c:v>
                </c:pt>
                <c:pt idx="1">
                  <c:v>4445</c:v>
                </c:pt>
                <c:pt idx="2">
                  <c:v>4434</c:v>
                </c:pt>
                <c:pt idx="3">
                  <c:v>4540</c:v>
                </c:pt>
                <c:pt idx="4">
                  <c:v>4426</c:v>
                </c:pt>
                <c:pt idx="5">
                  <c:v>4857</c:v>
                </c:pt>
                <c:pt idx="6">
                  <c:v>4851</c:v>
                </c:pt>
                <c:pt idx="7">
                  <c:v>4854</c:v>
                </c:pt>
                <c:pt idx="8">
                  <c:v>4448</c:v>
                </c:pt>
                <c:pt idx="9">
                  <c:v>4674</c:v>
                </c:pt>
                <c:pt idx="10">
                  <c:v>5334</c:v>
                </c:pt>
                <c:pt idx="11">
                  <c:v>5063</c:v>
                </c:pt>
                <c:pt idx="12">
                  <c:v>5147</c:v>
                </c:pt>
                <c:pt idx="13">
                  <c:v>5145</c:v>
                </c:pt>
                <c:pt idx="14">
                  <c:v>5427</c:v>
                </c:pt>
                <c:pt idx="15">
                  <c:v>5408</c:v>
                </c:pt>
                <c:pt idx="16">
                  <c:v>5336</c:v>
                </c:pt>
                <c:pt idx="17">
                  <c:v>5386</c:v>
                </c:pt>
                <c:pt idx="18">
                  <c:v>5607</c:v>
                </c:pt>
                <c:pt idx="19">
                  <c:v>5600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06-47B2-AE64-2E472819B898}"/>
            </c:ext>
          </c:extLst>
        </c:ser>
        <c:ser>
          <c:idx val="1"/>
          <c:order val="1"/>
          <c:tx>
            <c:strRef>
              <c:f>'Egresados Lic-Pos'!$AA$4</c:f>
              <c:strCache>
                <c:ptCount val="1"/>
                <c:pt idx="0">
                  <c:v>Posgrado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 w="3175">
              <a:noFill/>
            </a:ln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  <a:contourClr>
                <a:srgbClr val="000000"/>
              </a:contourClr>
            </a:sp3d>
          </c:spPr>
          <c:invertIfNegative val="0"/>
          <c:dLbls>
            <c:dLbl>
              <c:idx val="0"/>
              <c:layout>
                <c:manualLayout>
                  <c:x val="2.4733342434684015E-3"/>
                  <c:y val="-7.84826684107259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02-4F74-8E57-6EB391F7FAE6}"/>
                </c:ext>
              </c:extLst>
            </c:dLbl>
            <c:dLbl>
              <c:idx val="18"/>
              <c:layout>
                <c:manualLayout>
                  <c:x val="1.2366671217340192E-3"/>
                  <c:y val="-5.2321778940483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02-4F74-8E57-6EB391F7FAE6}"/>
                </c:ext>
              </c:extLst>
            </c:dLbl>
            <c:dLbl>
              <c:idx val="19"/>
              <c:layout>
                <c:manualLayout>
                  <c:x val="3.3265449116303028E-3"/>
                  <c:y val="-7.0796460176991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57-4EAF-8B17-9F1013E183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1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('Egresados Lic-Pos'!$AA$5:$AA$23,'Egresados Lic-Pos'!$AA$24)</c:f>
              <c:numCache>
                <c:formatCode>General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('EGRESO-POs uni'!$V$84,'EGRESO-POs uni'!$Z$84,'EGRESO-POs uni'!$AD$84,'EGRESO-POs uni'!$AH$84,'EGRESO-POs uni'!$AL$84,'EGRESO-POs uni'!$AP$84,'EGRESO-POs uni'!$AT$84,'EGRESO-POs uni'!$AX$84,'EGRESO-POs uni'!$BB$84,'EGRESO-POs uni'!$BF$84,'EGRESO-POs uni'!$BJ$84,'EGRESO-POs uni'!$BN$84,'EGRESO-POs uni'!$BR$84,'EGRESO-POs uni'!$BV$84,'EGRESO-POs uni'!$BZ$84,'EGRESO-POs uni'!$CD$84,'EGRESO-POs uni'!$CH$84,'EGRESO-POs uni'!$CL$84,'EGRESO-POs uni'!$CP$84,'EGRESO-POs uni'!$CT$84)</c:f>
              <c:numCache>
                <c:formatCode>0</c:formatCode>
                <c:ptCount val="20"/>
                <c:pt idx="0">
                  <c:v>389</c:v>
                </c:pt>
                <c:pt idx="1">
                  <c:v>475</c:v>
                </c:pt>
                <c:pt idx="2">
                  <c:v>501</c:v>
                </c:pt>
                <c:pt idx="3">
                  <c:v>521</c:v>
                </c:pt>
                <c:pt idx="4">
                  <c:v>540</c:v>
                </c:pt>
                <c:pt idx="5" formatCode="#,##0">
                  <c:v>562</c:v>
                </c:pt>
                <c:pt idx="6" formatCode="#,##0">
                  <c:v>627</c:v>
                </c:pt>
                <c:pt idx="7" formatCode="#,##0">
                  <c:v>737</c:v>
                </c:pt>
                <c:pt idx="8" formatCode="#,##0">
                  <c:v>861</c:v>
                </c:pt>
                <c:pt idx="9" formatCode="#,##0">
                  <c:v>663</c:v>
                </c:pt>
                <c:pt idx="10" formatCode="#,##0">
                  <c:v>732</c:v>
                </c:pt>
                <c:pt idx="11" formatCode="#,##0">
                  <c:v>815</c:v>
                </c:pt>
                <c:pt idx="12" formatCode="#,##0">
                  <c:v>659</c:v>
                </c:pt>
                <c:pt idx="13" formatCode="#,##0">
                  <c:v>824</c:v>
                </c:pt>
                <c:pt idx="14" formatCode="#,##0">
                  <c:v>771</c:v>
                </c:pt>
                <c:pt idx="15" formatCode="#,##0">
                  <c:v>862</c:v>
                </c:pt>
                <c:pt idx="16" formatCode="#,##0">
                  <c:v>744</c:v>
                </c:pt>
                <c:pt idx="17" formatCode="#,##0">
                  <c:v>609</c:v>
                </c:pt>
                <c:pt idx="18" formatCode="#,##0">
                  <c:v>626</c:v>
                </c:pt>
                <c:pt idx="19" formatCode="#,##0">
                  <c:v>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06-47B2-AE64-2E472819B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24628992"/>
        <c:axId val="124630528"/>
        <c:axId val="0"/>
      </c:bar3DChart>
      <c:catAx>
        <c:axId val="124628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4630528"/>
        <c:crosses val="autoZero"/>
        <c:auto val="1"/>
        <c:lblAlgn val="ctr"/>
        <c:lblOffset val="100"/>
        <c:noMultiLvlLbl val="0"/>
      </c:catAx>
      <c:valAx>
        <c:axId val="12463052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246289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0519430501034978"/>
          <c:y val="0.9597984112218918"/>
          <c:w val="0.40066204615048118"/>
          <c:h val="3.9643289181198443E-2"/>
        </c:manualLayout>
      </c:layout>
      <c:overlay val="0"/>
      <c:txPr>
        <a:bodyPr/>
        <a:lstStyle/>
        <a:p>
          <a:pPr>
            <a:defRPr sz="12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1"/>
            </a:pPr>
            <a:r>
              <a:rPr lang="es-MX" sz="1200" b="0" i="1"/>
              <a:t>INSCRITOS DE PRIMER INGRESO A POSGRADO por Unidad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'INSC-POSG uni'!$B$21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rgbClr val="CD032E"/>
            </a:solidFill>
            <a:ln>
              <a:noFill/>
            </a:ln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  <a:contourClr>
                <a:srgbClr val="000000"/>
              </a:contourClr>
            </a:sp3d>
          </c:spPr>
          <c:invertIfNegative val="0"/>
          <c:dLbls>
            <c:dLbl>
              <c:idx val="0"/>
              <c:layout>
                <c:manualLayout>
                  <c:x val="4.58190148911798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5C0-4866-B03E-074019CD23D2}"/>
                </c:ext>
              </c:extLst>
            </c:dLbl>
            <c:dLbl>
              <c:idx val="1"/>
              <c:layout>
                <c:manualLayout>
                  <c:x val="4.58190148911798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C0-4866-B03E-074019CD23D2}"/>
                </c:ext>
              </c:extLst>
            </c:dLbl>
            <c:dLbl>
              <c:idx val="2"/>
              <c:layout>
                <c:manualLayout>
                  <c:x val="4.58190148911798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C0-4866-B03E-074019CD23D2}"/>
                </c:ext>
              </c:extLst>
            </c:dLbl>
            <c:dLbl>
              <c:idx val="3"/>
              <c:layout>
                <c:manualLayout>
                  <c:x val="6.1092019854906456E-3"/>
                  <c:y val="-3.57302316866385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C0-4866-B03E-074019CD23D2}"/>
                </c:ext>
              </c:extLst>
            </c:dLbl>
            <c:dLbl>
              <c:idx val="4"/>
              <c:layout>
                <c:manualLayout>
                  <c:x val="4.58190148911798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C0-4866-B03E-074019CD23D2}"/>
                </c:ext>
              </c:extLst>
            </c:dLbl>
            <c:dLbl>
              <c:idx val="5"/>
              <c:layout>
                <c:manualLayout>
                  <c:x val="4.58190148911798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C0-4866-B03E-074019CD23D2}"/>
                </c:ext>
              </c:extLst>
            </c:dLbl>
            <c:dLbl>
              <c:idx val="6"/>
              <c:layout>
                <c:manualLayout>
                  <c:x val="7.636502481863306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C0-4866-B03E-074019CD23D2}"/>
                </c:ext>
              </c:extLst>
            </c:dLbl>
            <c:dLbl>
              <c:idx val="7"/>
              <c:layout>
                <c:manualLayout>
                  <c:x val="6.109201985490645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C0-4866-B03E-074019CD23D2}"/>
                </c:ext>
              </c:extLst>
            </c:dLbl>
            <c:dLbl>
              <c:idx val="8"/>
              <c:layout>
                <c:manualLayout>
                  <c:x val="7.636502481863306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C0-4866-B03E-074019CD23D2}"/>
                </c:ext>
              </c:extLst>
            </c:dLbl>
            <c:dLbl>
              <c:idx val="9"/>
              <c:layout>
                <c:manualLayout>
                  <c:x val="7.6365024818633069E-3"/>
                  <c:y val="-3.57302316866385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C0-4866-B03E-074019CD23D2}"/>
                </c:ext>
              </c:extLst>
            </c:dLbl>
            <c:dLbl>
              <c:idx val="10"/>
              <c:layout>
                <c:manualLayout>
                  <c:x val="7.636502481863306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5C0-4866-B03E-074019CD23D2}"/>
                </c:ext>
              </c:extLst>
            </c:dLbl>
            <c:dLbl>
              <c:idx val="11"/>
              <c:layout>
                <c:manualLayout>
                  <c:x val="6.08828006088268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C0-4866-B03E-074019CD23D2}"/>
                </c:ext>
              </c:extLst>
            </c:dLbl>
            <c:dLbl>
              <c:idx val="15"/>
              <c:layout>
                <c:manualLayout>
                  <c:x val="5.6404485000404155E-3"/>
                  <c:y val="9.68594477549369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C0-4866-B03E-074019CD23D2}"/>
                </c:ext>
              </c:extLst>
            </c:dLbl>
            <c:dLbl>
              <c:idx val="16"/>
              <c:layout>
                <c:manualLayout>
                  <c:x val="4.213995308860970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5C0-4866-B03E-074019CD23D2}"/>
                </c:ext>
              </c:extLst>
            </c:dLbl>
            <c:dLbl>
              <c:idx val="17"/>
              <c:layout>
                <c:manualLayout>
                  <c:x val="7.521153243497336E-3"/>
                  <c:y val="9.68594477549369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E0-46D3-B0DE-1CC32B567D75}"/>
                </c:ext>
              </c:extLst>
            </c:dLbl>
            <c:dLbl>
              <c:idx val="18"/>
              <c:layout>
                <c:manualLayout>
                  <c:x val="5.014102162331373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E0-46D3-B0DE-1CC32B567D75}"/>
                </c:ext>
              </c:extLst>
            </c:dLbl>
            <c:spPr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txPr>
              <a:bodyPr rot="0" vert="horz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('INSC-POSG uni'!$BN$94:$BN$112,'INSC-POSG uni'!$BN$113)</c:f>
              <c:numCache>
                <c:formatCode>General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('INSC-POSG uni'!$V$21,'INSC-POSG uni'!$Z$21,'INSC-POSG uni'!$AD$21,'INSC-POSG uni'!$AH$21,'INSC-POSG uni'!$AL$21,'INSC-POSG uni'!$AP$21,'INSC-POSG uni'!$AT$21,'INSC-POSG uni'!$AX$21,'INSC-POSG uni'!$BB$21,'INSC-POSG uni'!$BF$21,'INSC-POSG uni'!$BJ$21,'INSC-POSG uni'!$BN$21,'INSC-POSG uni'!$BR$21,'INSC-POSG uni'!$BV$21,'INSC-POSG uni'!$BZ$21,'INSC-POSG uni'!$CD$21,'INSC-POSG uni'!$CH$21,'INSC-POSG uni'!$CL$21,'INSC-POSG uni'!$CP$21,'INSC-POSG uni'!$CT$21)</c:f>
              <c:numCache>
                <c:formatCode>0</c:formatCode>
                <c:ptCount val="20"/>
                <c:pt idx="0">
                  <c:v>104</c:v>
                </c:pt>
                <c:pt idx="1">
                  <c:v>158</c:v>
                </c:pt>
                <c:pt idx="2">
                  <c:v>154</c:v>
                </c:pt>
                <c:pt idx="3">
                  <c:v>136</c:v>
                </c:pt>
                <c:pt idx="4">
                  <c:v>201</c:v>
                </c:pt>
                <c:pt idx="5" formatCode="#,##0">
                  <c:v>158</c:v>
                </c:pt>
                <c:pt idx="6" formatCode="#,##0">
                  <c:v>210</c:v>
                </c:pt>
                <c:pt idx="7" formatCode="#,##0">
                  <c:v>196</c:v>
                </c:pt>
                <c:pt idx="8" formatCode="#,##0">
                  <c:v>186</c:v>
                </c:pt>
                <c:pt idx="9" formatCode="#,##0">
                  <c:v>217</c:v>
                </c:pt>
                <c:pt idx="10" formatCode="#,##0">
                  <c:v>217</c:v>
                </c:pt>
                <c:pt idx="11" formatCode="#,##0">
                  <c:v>280</c:v>
                </c:pt>
                <c:pt idx="12" formatCode="#,##0">
                  <c:v>222</c:v>
                </c:pt>
                <c:pt idx="13" formatCode="#,##0">
                  <c:v>201</c:v>
                </c:pt>
                <c:pt idx="14" formatCode="#,##0">
                  <c:v>274</c:v>
                </c:pt>
                <c:pt idx="15" formatCode="#,##0">
                  <c:v>171</c:v>
                </c:pt>
                <c:pt idx="16" formatCode="#,##0">
                  <c:v>273</c:v>
                </c:pt>
                <c:pt idx="17" formatCode="#,##0">
                  <c:v>172</c:v>
                </c:pt>
                <c:pt idx="18" formatCode="#,##0">
                  <c:v>236</c:v>
                </c:pt>
                <c:pt idx="19" formatCode="#,##0">
                  <c:v>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5C0-4866-B03E-074019CD23D2}"/>
            </c:ext>
          </c:extLst>
        </c:ser>
        <c:ser>
          <c:idx val="1"/>
          <c:order val="1"/>
          <c:tx>
            <c:strRef>
              <c:f>'INSC-POSG uni'!$B$38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9"/>
              <c:layout>
                <c:manualLayout>
                  <c:x val="9.1324200913242004E-3"/>
                  <c:y val="-3.0616161090186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5C0-4866-B03E-074019CD23D2}"/>
                </c:ext>
              </c:extLst>
            </c:dLbl>
            <c:dLbl>
              <c:idx val="10"/>
              <c:layout>
                <c:manualLayout>
                  <c:x val="9.13242009132420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5C0-4866-B03E-074019CD23D2}"/>
                </c:ext>
              </c:extLst>
            </c:dLbl>
            <c:dLbl>
              <c:idx val="11"/>
              <c:layout>
                <c:manualLayout>
                  <c:x val="7.610350076103612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5C0-4866-B03E-074019CD23D2}"/>
                </c:ext>
              </c:extLst>
            </c:dLbl>
            <c:dLbl>
              <c:idx val="15"/>
              <c:layout>
                <c:manualLayout>
                  <c:x val="7.05056062505052E-3"/>
                  <c:y val="-2.64165181864197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5C0-4866-B03E-074019CD23D2}"/>
                </c:ext>
              </c:extLst>
            </c:dLbl>
            <c:dLbl>
              <c:idx val="16"/>
              <c:layout>
                <c:manualLayout>
                  <c:x val="4.2139953088609705E-3"/>
                  <c:y val="-9.881725358732828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5C0-4866-B03E-074019CD23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('INSC-POSG uni'!$BN$94:$BN$112,'INSC-POSG uni'!$BN$113)</c:f>
              <c:numCache>
                <c:formatCode>General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('INSC-POSG uni'!$V$38,'INSC-POSG uni'!$Z$38,'INSC-POSG uni'!$AD$38,'INSC-POSG uni'!$AH$38,'INSC-POSG uni'!$AL$38,'INSC-POSG uni'!$AP$38,'INSC-POSG uni'!$AT$38,'INSC-POSG uni'!$AX$38,'INSC-POSG uni'!$BB$38,'INSC-POSG uni'!$BF$38,'INSC-POSG uni'!$BJ$38,'INSC-POSG uni'!$BN$38,'INSC-POSG uni'!$BR$38,'INSC-POSG uni'!$BV$38,'INSC-POSG uni'!$BZ$38,'INSC-POSG uni'!$CD$38,'INSC-POSG uni'!$CH$38,'INSC-POSG uni'!$CL$38,'INSC-POSG uni'!$CP$38,'INSC-POSG uni'!$CT$38)</c:f>
              <c:numCache>
                <c:formatCode>#,##0</c:formatCode>
                <c:ptCount val="20"/>
                <c:pt idx="9">
                  <c:v>54</c:v>
                </c:pt>
                <c:pt idx="10">
                  <c:v>73</c:v>
                </c:pt>
                <c:pt idx="11">
                  <c:v>73</c:v>
                </c:pt>
                <c:pt idx="12">
                  <c:v>90</c:v>
                </c:pt>
                <c:pt idx="13">
                  <c:v>63</c:v>
                </c:pt>
                <c:pt idx="14">
                  <c:v>60</c:v>
                </c:pt>
                <c:pt idx="15">
                  <c:v>60</c:v>
                </c:pt>
                <c:pt idx="16">
                  <c:v>58</c:v>
                </c:pt>
                <c:pt idx="17">
                  <c:v>31</c:v>
                </c:pt>
                <c:pt idx="18">
                  <c:v>56</c:v>
                </c:pt>
                <c:pt idx="19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D5C0-4866-B03E-074019CD23D2}"/>
            </c:ext>
          </c:extLst>
        </c:ser>
        <c:ser>
          <c:idx val="2"/>
          <c:order val="2"/>
          <c:tx>
            <c:strRef>
              <c:f>'INSC-POSG uni'!$B$55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rgbClr val="57A519"/>
            </a:solidFill>
            <a:ln>
              <a:solidFill>
                <a:schemeClr val="bg1"/>
              </a:solidFill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  <a:contourClr>
                <a:srgbClr val="000000"/>
              </a:contourClr>
            </a:sp3d>
          </c:spPr>
          <c:invertIfNegative val="0"/>
          <c:dLbls>
            <c:dLbl>
              <c:idx val="0"/>
              <c:layout>
                <c:manualLayout>
                  <c:x val="3.054600992745322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5C0-4866-B03E-074019CD23D2}"/>
                </c:ext>
              </c:extLst>
            </c:dLbl>
            <c:dLbl>
              <c:idx val="1"/>
              <c:layout>
                <c:manualLayout>
                  <c:x val="3.054600992745322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5C0-4866-B03E-074019CD23D2}"/>
                </c:ext>
              </c:extLst>
            </c:dLbl>
            <c:dLbl>
              <c:idx val="3"/>
              <c:layout>
                <c:manualLayout>
                  <c:x val="4.566210045662100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5C0-4866-B03E-074019CD23D2}"/>
                </c:ext>
              </c:extLst>
            </c:dLbl>
            <c:dLbl>
              <c:idx val="4"/>
              <c:layout>
                <c:manualLayout>
                  <c:x val="4.5662100456621002E-3"/>
                  <c:y val="6.424220418161419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5C0-4866-B03E-074019CD23D2}"/>
                </c:ext>
              </c:extLst>
            </c:dLbl>
            <c:dLbl>
              <c:idx val="5"/>
              <c:layout>
                <c:manualLayout>
                  <c:x val="4.566210045662100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5C0-4866-B03E-074019CD23D2}"/>
                </c:ext>
              </c:extLst>
            </c:dLbl>
            <c:dLbl>
              <c:idx val="6"/>
              <c:layout>
                <c:manualLayout>
                  <c:x val="6.0882800608828003E-3"/>
                  <c:y val="6.424220418161419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5C0-4866-B03E-074019CD23D2}"/>
                </c:ext>
              </c:extLst>
            </c:dLbl>
            <c:dLbl>
              <c:idx val="7"/>
              <c:layout>
                <c:manualLayout>
                  <c:x val="7.610350076103500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5C0-4866-B03E-074019CD23D2}"/>
                </c:ext>
              </c:extLst>
            </c:dLbl>
            <c:dLbl>
              <c:idx val="8"/>
              <c:layout>
                <c:manualLayout>
                  <c:x val="6.088280060882800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5C0-4866-B03E-074019CD23D2}"/>
                </c:ext>
              </c:extLst>
            </c:dLbl>
            <c:dLbl>
              <c:idx val="9"/>
              <c:layout>
                <c:manualLayout>
                  <c:x val="4.566210045662100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5C0-4866-B03E-074019CD23D2}"/>
                </c:ext>
              </c:extLst>
            </c:dLbl>
            <c:dLbl>
              <c:idx val="10"/>
              <c:layout>
                <c:manualLayout>
                  <c:x val="6.0882800608826892E-3"/>
                  <c:y val="6.424220418161419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5C0-4866-B03E-074019CD23D2}"/>
                </c:ext>
              </c:extLst>
            </c:dLbl>
            <c:dLbl>
              <c:idx val="11"/>
              <c:layout>
                <c:manualLayout>
                  <c:x val="9.132420091324089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5C0-4866-B03E-074019CD23D2}"/>
                </c:ext>
              </c:extLst>
            </c:dLbl>
            <c:dLbl>
              <c:idx val="15"/>
              <c:layout>
                <c:manualLayout>
                  <c:x val="4.2303363750302086E-3"/>
                  <c:y val="-2.641651818642074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5C0-4866-B03E-074019CD23D2}"/>
                </c:ext>
              </c:extLst>
            </c:dLbl>
            <c:dLbl>
              <c:idx val="16"/>
              <c:layout>
                <c:manualLayout>
                  <c:x val="4.213995308860970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5C0-4866-B03E-074019CD23D2}"/>
                </c:ext>
              </c:extLst>
            </c:dLbl>
            <c:dLbl>
              <c:idx val="17"/>
              <c:layout>
                <c:manualLayout>
                  <c:x val="6.2676277029144467E-3"/>
                  <c:y val="-9.68594477549369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E0-46D3-B0DE-1CC32B567D75}"/>
                </c:ext>
              </c:extLst>
            </c:dLbl>
            <c:dLbl>
              <c:idx val="18"/>
              <c:layout>
                <c:manualLayout>
                  <c:x val="5.0141021623313735E-3"/>
                  <c:y val="-2.641651818642074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E0-46D3-B0DE-1CC32B567D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anchor="ctr" anchorCtr="1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('INSC-POSG uni'!$BN$94:$BN$112,'INSC-POSG uni'!$BN$113)</c:f>
              <c:numCache>
                <c:formatCode>General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('INSC-POSG uni'!$V$55,'INSC-POSG uni'!$Z$55,'INSC-POSG uni'!$AD$55,'INSC-POSG uni'!$AH$55,'INSC-POSG uni'!$AL$55,'INSC-POSG uni'!$AP$55,'INSC-POSG uni'!$AT$55,'INSC-POSG uni'!$AX$55,'INSC-POSG uni'!$BB$55,'INSC-POSG uni'!$BF$55,'INSC-POSG uni'!$BJ$55,'INSC-POSG uni'!$BN$55,'INSC-POSG uni'!$BR$55,'INSC-POSG uni'!$BV$55,'INSC-POSG uni'!$BZ$55,'INSC-POSG uni'!$CD$55,'INSC-POSG uni'!$CH$55,'INSC-POSG uni'!$CL$55,'INSC-POSG uni'!$CP$55,'INSC-POSG uni'!$CT$55)</c:f>
              <c:numCache>
                <c:formatCode>0</c:formatCode>
                <c:ptCount val="20"/>
                <c:pt idx="0">
                  <c:v>247</c:v>
                </c:pt>
                <c:pt idx="1">
                  <c:v>317</c:v>
                </c:pt>
                <c:pt idx="2">
                  <c:v>333</c:v>
                </c:pt>
                <c:pt idx="3">
                  <c:v>320</c:v>
                </c:pt>
                <c:pt idx="4">
                  <c:v>416</c:v>
                </c:pt>
                <c:pt idx="5" formatCode="#,##0">
                  <c:v>514</c:v>
                </c:pt>
                <c:pt idx="6" formatCode="#,##0">
                  <c:v>402</c:v>
                </c:pt>
                <c:pt idx="7" formatCode="#,##0">
                  <c:v>529</c:v>
                </c:pt>
                <c:pt idx="8" formatCode="#,##0">
                  <c:v>472</c:v>
                </c:pt>
                <c:pt idx="9" formatCode="#,##0">
                  <c:v>490</c:v>
                </c:pt>
                <c:pt idx="10" formatCode="#,##0">
                  <c:v>404</c:v>
                </c:pt>
                <c:pt idx="11" formatCode="#,##0">
                  <c:v>508</c:v>
                </c:pt>
                <c:pt idx="12" formatCode="#,##0">
                  <c:v>445</c:v>
                </c:pt>
                <c:pt idx="13" formatCode="#,##0">
                  <c:v>436</c:v>
                </c:pt>
                <c:pt idx="14" formatCode="#,##0">
                  <c:v>425</c:v>
                </c:pt>
                <c:pt idx="15" formatCode="#,##0">
                  <c:v>451</c:v>
                </c:pt>
                <c:pt idx="16" formatCode="#,##0">
                  <c:v>387</c:v>
                </c:pt>
                <c:pt idx="17" formatCode="#,##0">
                  <c:v>275</c:v>
                </c:pt>
                <c:pt idx="18" formatCode="#,##0">
                  <c:v>207</c:v>
                </c:pt>
                <c:pt idx="19" formatCode="#,##0">
                  <c:v>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D5C0-4866-B03E-074019CD23D2}"/>
            </c:ext>
          </c:extLst>
        </c:ser>
        <c:ser>
          <c:idx val="4"/>
          <c:order val="3"/>
          <c:tx>
            <c:strRef>
              <c:f>'INSC-POSG uni'!$B$61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15"/>
              <c:layout>
                <c:manualLayout>
                  <c:x val="2.8202242500201872E-2"/>
                  <c:y val="-1.529481416680355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rgbClr val="AD25A8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5C0-4866-B03E-074019CD23D2}"/>
                </c:ext>
              </c:extLst>
            </c:dLbl>
            <c:dLbl>
              <c:idx val="16"/>
              <c:layout>
                <c:manualLayout>
                  <c:x val="2.6688636956119272E-2"/>
                  <c:y val="-8.085141419946114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rgbClr val="AD25A8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5C0-4866-B03E-074019CD23D2}"/>
                </c:ext>
              </c:extLst>
            </c:dLbl>
            <c:dLbl>
              <c:idx val="17"/>
              <c:layout>
                <c:manualLayout>
                  <c:x val="2.4685262898049863E-2"/>
                  <c:y val="-1.02027536187640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rgbClr val="AD25A8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5C0-4866-B03E-074019CD23D2}"/>
                </c:ext>
              </c:extLst>
            </c:dLbl>
            <c:dLbl>
              <c:idx val="18"/>
              <c:layout>
                <c:manualLayout>
                  <c:x val="2.2563459730492008E-2"/>
                  <c:y val="-1.320825909321037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rgbClr val="AD25A8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E0-46D3-B0DE-1CC32B567D75}"/>
                </c:ext>
              </c:extLst>
            </c:dLbl>
            <c:dLbl>
              <c:idx val="19"/>
              <c:layout>
                <c:manualLayout>
                  <c:x val="2.3816985271074714E-2"/>
                  <c:y val="-2.6416518186420743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rgbClr val="AD25A8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7B5-41A2-9833-F0E96F8DD41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('INSC-POSG uni'!$BN$94:$BN$112,'INSC-POSG uni'!$BN$113)</c:f>
              <c:numCache>
                <c:formatCode>General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('INSC-POSG uni'!$V$61,'INSC-POSG uni'!$Z$61,'INSC-POSG uni'!$AD$61,'INSC-POSG uni'!$AH$61,'INSC-POSG uni'!$AL$61,'INSC-POSG uni'!$AP$61,'INSC-POSG uni'!$AT$61,'INSC-POSG uni'!$AX$61,'INSC-POSG uni'!$BB$61,'INSC-POSG uni'!$BF$61,'INSC-POSG uni'!$BJ$61,'INSC-POSG uni'!$BN$61,'INSC-POSG uni'!$BR$61,'INSC-POSG uni'!$BV$61,'INSC-POSG uni'!$BZ$61,'INSC-POSG uni'!$CD$61,'INSC-POSG uni'!$CH$61,'INSC-POSG uni'!$CL$61,'INSC-POSG uni'!$CP$61,'INSC-POSG uni'!$CT$61)</c:f>
              <c:numCache>
                <c:formatCode>0</c:formatCode>
                <c:ptCount val="20"/>
                <c:pt idx="15" formatCode="#,##0">
                  <c:v>1</c:v>
                </c:pt>
                <c:pt idx="16" formatCode="#,##0">
                  <c:v>1</c:v>
                </c:pt>
                <c:pt idx="17" formatCode="#,##0">
                  <c:v>4</c:v>
                </c:pt>
                <c:pt idx="18" formatCode="#,##0">
                  <c:v>0</c:v>
                </c:pt>
                <c:pt idx="19" formatCode="#,##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D5C0-4866-B03E-074019CD23D2}"/>
            </c:ext>
          </c:extLst>
        </c:ser>
        <c:ser>
          <c:idx val="3"/>
          <c:order val="4"/>
          <c:tx>
            <c:strRef>
              <c:f>'INSC-POSG uni'!$B$78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rgbClr val="0072CE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7.636502481863306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5C0-4866-B03E-074019CD23D2}"/>
                </c:ext>
              </c:extLst>
            </c:dLbl>
            <c:dLbl>
              <c:idx val="1"/>
              <c:layout>
                <c:manualLayout>
                  <c:x val="4.58190148911798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5C0-4866-B03E-074019CD23D2}"/>
                </c:ext>
              </c:extLst>
            </c:dLbl>
            <c:dLbl>
              <c:idx val="2"/>
              <c:layout>
                <c:manualLayout>
                  <c:x val="4.58190148911798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5C0-4866-B03E-074019CD23D2}"/>
                </c:ext>
              </c:extLst>
            </c:dLbl>
            <c:dLbl>
              <c:idx val="3"/>
              <c:layout>
                <c:manualLayout>
                  <c:x val="4.58190148911798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5C0-4866-B03E-074019CD23D2}"/>
                </c:ext>
              </c:extLst>
            </c:dLbl>
            <c:dLbl>
              <c:idx val="4"/>
              <c:layout>
                <c:manualLayout>
                  <c:x val="7.6365024818633069E-3"/>
                  <c:y val="3.57302316866385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5C0-4866-B03E-074019CD23D2}"/>
                </c:ext>
              </c:extLst>
            </c:dLbl>
            <c:dLbl>
              <c:idx val="5"/>
              <c:layout>
                <c:manualLayout>
                  <c:x val="4.58190148911798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5C0-4866-B03E-074019CD23D2}"/>
                </c:ext>
              </c:extLst>
            </c:dLbl>
            <c:dLbl>
              <c:idx val="6"/>
              <c:layout>
                <c:manualLayout>
                  <c:x val="4.58190148911798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5C0-4866-B03E-074019CD23D2}"/>
                </c:ext>
              </c:extLst>
            </c:dLbl>
            <c:dLbl>
              <c:idx val="7"/>
              <c:layout>
                <c:manualLayout>
                  <c:x val="7.636502481863306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5C0-4866-B03E-074019CD23D2}"/>
                </c:ext>
              </c:extLst>
            </c:dLbl>
            <c:dLbl>
              <c:idx val="8"/>
              <c:layout>
                <c:manualLayout>
                  <c:x val="4.58190148911798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5C0-4866-B03E-074019CD23D2}"/>
                </c:ext>
              </c:extLst>
            </c:dLbl>
            <c:dLbl>
              <c:idx val="9"/>
              <c:layout>
                <c:manualLayout>
                  <c:x val="7.6365024818633069E-3"/>
                  <c:y val="-3.27523340216611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5C0-4866-B03E-074019CD23D2}"/>
                </c:ext>
              </c:extLst>
            </c:dLbl>
            <c:dLbl>
              <c:idx val="10"/>
              <c:layout>
                <c:manualLayout>
                  <c:x val="4.5819014891179842E-3"/>
                  <c:y val="-3.27523340216611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D5C0-4866-B03E-074019CD23D2}"/>
                </c:ext>
              </c:extLst>
            </c:dLbl>
            <c:dLbl>
              <c:idx val="11"/>
              <c:layout>
                <c:manualLayout>
                  <c:x val="7.610350076103389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D5C0-4866-B03E-074019CD23D2}"/>
                </c:ext>
              </c:extLst>
            </c:dLbl>
            <c:dLbl>
              <c:idx val="15"/>
              <c:layout>
                <c:manualLayout>
                  <c:x val="4.2303363750302086E-3"/>
                  <c:y val="-2.64165181864212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D5C0-4866-B03E-074019CD23D2}"/>
                </c:ext>
              </c:extLst>
            </c:dLbl>
            <c:dLbl>
              <c:idx val="16"/>
              <c:layout>
                <c:manualLayout>
                  <c:x val="5.6186604118145245E-3"/>
                  <c:y val="5.390094279964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5C0-4866-B03E-074019CD23D2}"/>
                </c:ext>
              </c:extLst>
            </c:dLbl>
            <c:dLbl>
              <c:idx val="17"/>
              <c:layout>
                <c:manualLayout>
                  <c:x val="6.267627702914446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E0-46D3-B0DE-1CC32B567D75}"/>
                </c:ext>
              </c:extLst>
            </c:dLbl>
            <c:dLbl>
              <c:idx val="18"/>
              <c:layout>
                <c:manualLayout>
                  <c:x val="7.521153243497152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E0-46D3-B0DE-1CC32B567D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('INSC-POSG uni'!$BN$94:$BN$112,'INSC-POSG uni'!$BN$113)</c:f>
              <c:numCache>
                <c:formatCode>General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('INSC-POSG uni'!$V$78,'INSC-POSG uni'!$Z$78,'INSC-POSG uni'!$AD$78,'INSC-POSG uni'!$AH$78,'INSC-POSG uni'!$AL$78,'INSC-POSG uni'!$AP$78,'INSC-POSG uni'!$AT$78,'INSC-POSG uni'!$AX$78,'INSC-POSG uni'!$BB$78,'INSC-POSG uni'!$BF$78,'INSC-POSG uni'!$BJ$78,'INSC-POSG uni'!$BN$78,'INSC-POSG uni'!$BR$78,'INSC-POSG uni'!$BV$78,'INSC-POSG uni'!$BZ$78,'INSC-POSG uni'!$CD$78,'INSC-POSG uni'!$CH$78,'INSC-POSG uni'!$CL$78,'INSC-POSG uni'!$CP$78,'INSC-POSG uni'!$CT$78)</c:f>
              <c:numCache>
                <c:formatCode>0</c:formatCode>
                <c:ptCount val="20"/>
                <c:pt idx="0">
                  <c:v>230</c:v>
                </c:pt>
                <c:pt idx="1">
                  <c:v>219</c:v>
                </c:pt>
                <c:pt idx="2">
                  <c:v>209</c:v>
                </c:pt>
                <c:pt idx="3">
                  <c:v>261</c:v>
                </c:pt>
                <c:pt idx="4">
                  <c:v>279</c:v>
                </c:pt>
                <c:pt idx="5" formatCode="#,##0">
                  <c:v>268</c:v>
                </c:pt>
                <c:pt idx="6" formatCode="#,##0">
                  <c:v>280</c:v>
                </c:pt>
                <c:pt idx="7" formatCode="#,##0">
                  <c:v>241</c:v>
                </c:pt>
                <c:pt idx="8" formatCode="#,##0">
                  <c:v>300</c:v>
                </c:pt>
                <c:pt idx="9" formatCode="#,##0">
                  <c:v>287</c:v>
                </c:pt>
                <c:pt idx="10" formatCode="#,##0">
                  <c:v>294</c:v>
                </c:pt>
                <c:pt idx="11" formatCode="#,##0">
                  <c:v>307</c:v>
                </c:pt>
                <c:pt idx="12" formatCode="#,##0">
                  <c:v>315</c:v>
                </c:pt>
                <c:pt idx="13" formatCode="#,##0">
                  <c:v>290</c:v>
                </c:pt>
                <c:pt idx="14" formatCode="#,##0">
                  <c:v>332</c:v>
                </c:pt>
                <c:pt idx="15" formatCode="#,##0">
                  <c:v>338</c:v>
                </c:pt>
                <c:pt idx="16" formatCode="#,##0">
                  <c:v>329</c:v>
                </c:pt>
                <c:pt idx="17" formatCode="#,##0">
                  <c:v>260</c:v>
                </c:pt>
                <c:pt idx="18" formatCode="#,##0">
                  <c:v>366</c:v>
                </c:pt>
                <c:pt idx="19" formatCode="#,##0">
                  <c:v>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5-D5C0-4866-B03E-074019CD2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shape val="cylinder"/>
        <c:axId val="127764736"/>
        <c:axId val="127782912"/>
        <c:axId val="0"/>
      </c:bar3DChart>
      <c:catAx>
        <c:axId val="127764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7782912"/>
        <c:crosses val="autoZero"/>
        <c:auto val="1"/>
        <c:lblAlgn val="ctr"/>
        <c:lblOffset val="100"/>
        <c:noMultiLvlLbl val="0"/>
      </c:catAx>
      <c:valAx>
        <c:axId val="127782912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1277647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6.950487077155118E-2"/>
          <c:y val="0.93435971572359877"/>
          <c:w val="0.85922350459617192"/>
          <c:h val="5.0345470109597577E-2"/>
        </c:manualLayout>
      </c:layout>
      <c:overlay val="0"/>
      <c:txPr>
        <a:bodyPr/>
        <a:lstStyle/>
        <a:p>
          <a:pPr>
            <a:defRPr sz="1200" b="0" i="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'INSC-POSG uni'!$B$80</c:f>
              <c:strCache>
                <c:ptCount val="1"/>
                <c:pt idx="0">
                  <c:v>Especialización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6.541291905151267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24-4109-8C39-71673113C23C}"/>
                </c:ext>
              </c:extLst>
            </c:dLbl>
            <c:dLbl>
              <c:idx val="1"/>
              <c:layout>
                <c:manualLayout>
                  <c:x val="6.541291905151267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24-4109-8C39-71673113C23C}"/>
                </c:ext>
              </c:extLst>
            </c:dLbl>
            <c:dLbl>
              <c:idx val="2"/>
              <c:layout>
                <c:manualLayout>
                  <c:x val="4.905968928863450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24-4109-8C39-71673113C23C}"/>
                </c:ext>
              </c:extLst>
            </c:dLbl>
            <c:dLbl>
              <c:idx val="3"/>
              <c:layout>
                <c:manualLayout>
                  <c:x val="4.905968928863450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24-4109-8C39-71673113C23C}"/>
                </c:ext>
              </c:extLst>
            </c:dLbl>
            <c:dLbl>
              <c:idx val="4"/>
              <c:layout>
                <c:manualLayout>
                  <c:x val="4.905968928863450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24-4109-8C39-71673113C23C}"/>
                </c:ext>
              </c:extLst>
            </c:dLbl>
            <c:dLbl>
              <c:idx val="5"/>
              <c:layout>
                <c:manualLayout>
                  <c:x val="6.5411631395625837E-3"/>
                  <c:y val="-7.14604633732771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24-4109-8C39-71673113C23C}"/>
                </c:ext>
              </c:extLst>
            </c:dLbl>
            <c:dLbl>
              <c:idx val="6"/>
              <c:layout>
                <c:manualLayout>
                  <c:x val="4.905968928863450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24-4109-8C39-71673113C23C}"/>
                </c:ext>
              </c:extLst>
            </c:dLbl>
            <c:dLbl>
              <c:idx val="7"/>
              <c:layout>
                <c:manualLayout>
                  <c:x val="6.541291905151267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24-4109-8C39-71673113C23C}"/>
                </c:ext>
              </c:extLst>
            </c:dLbl>
            <c:dLbl>
              <c:idx val="8"/>
              <c:layout>
                <c:manualLayout>
                  <c:x val="6.541291905151267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24-4109-8C39-71673113C23C}"/>
                </c:ext>
              </c:extLst>
            </c:dLbl>
            <c:dLbl>
              <c:idx val="9"/>
              <c:layout>
                <c:manualLayout>
                  <c:x val="4.905968928863450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24-4109-8C39-71673113C23C}"/>
                </c:ext>
              </c:extLst>
            </c:dLbl>
            <c:dLbl>
              <c:idx val="10"/>
              <c:layout>
                <c:manualLayout>
                  <c:x val="6.541291905151267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24-4109-8C39-71673113C23C}"/>
                </c:ext>
              </c:extLst>
            </c:dLbl>
            <c:dLbl>
              <c:idx val="11"/>
              <c:layout>
                <c:manualLayout>
                  <c:x val="4.88997555012212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24-4109-8C39-71673113C23C}"/>
                </c:ext>
              </c:extLst>
            </c:dLbl>
            <c:dLbl>
              <c:idx val="14"/>
              <c:layout>
                <c:manualLayout>
                  <c:x val="4.233013975945592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24-4109-8C39-71673113C23C}"/>
                </c:ext>
              </c:extLst>
            </c:dLbl>
            <c:dLbl>
              <c:idx val="15"/>
              <c:layout>
                <c:manualLayout>
                  <c:x val="7.0550232932427579E-3"/>
                  <c:y val="-9.280315889945859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24-4109-8C39-71673113C23C}"/>
                </c:ext>
              </c:extLst>
            </c:dLbl>
            <c:dLbl>
              <c:idx val="16"/>
              <c:layout>
                <c:manualLayout>
                  <c:x val="4.989086373557659E-3"/>
                  <c:y val="-2.531024480985621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D4-4C0F-B7FE-530EDFFDD00D}"/>
                </c:ext>
              </c:extLst>
            </c:dLbl>
            <c:dLbl>
              <c:idx val="17"/>
              <c:layout>
                <c:manualLayout>
                  <c:x val="3.7418147801683817E-3"/>
                  <c:y val="-2.5310244809855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D4-4C0F-B7FE-530EDFFDD00D}"/>
                </c:ext>
              </c:extLst>
            </c:dLbl>
            <c:dLbl>
              <c:idx val="18"/>
              <c:layout>
                <c:manualLayout>
                  <c:x val="3.7418147801683817E-3"/>
                  <c:y val="9.280315889945859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D4-4C0F-B7FE-530EDFFDD00D}"/>
                </c:ext>
              </c:extLst>
            </c:dLbl>
            <c:dLbl>
              <c:idx val="19"/>
              <c:layout>
                <c:manualLayout>
                  <c:x val="4.989086373557659E-3"/>
                  <c:y val="-2.5310244809855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45-4188-9D52-3B7733AAE4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('INSC-POSG uni'!$BN$94:$BN$107,'INSC-POSG uni'!$BN$108,'INSC-POSG uni'!$BN$109,'INSC-POSG uni'!$BN$110,'INSC-POSG uni'!$BN$111,'INSC-POSG uni'!$BN$112,'INSC-POSG uni'!$BN$113)</c:f>
              <c:numCache>
                <c:formatCode>General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('INSC-POSG uni'!$V$80,'INSC-POSG uni'!$Z$80,'INSC-POSG uni'!$AD$80,'INSC-POSG uni'!$AH$80,'INSC-POSG uni'!$AL$80,'INSC-POSG uni'!$AP$80,'INSC-POSG uni'!$AT$80,'INSC-POSG uni'!$AX$80,'INSC-POSG uni'!$BB$80,'INSC-POSG uni'!$BF$80,'INSC-POSG uni'!$BJ$80,'INSC-POSG uni'!$BN$80,'INSC-POSG uni'!$BR$80,'INSC-POSG uni'!$BV$80,'INSC-POSG uni'!$BZ$80,'INSC-POSG uni'!$CD$80,'INSC-POSG uni'!$CH$80,'INSC-POSG uni'!$CL$80,'INSC-POSG uni'!$CP$80,'INSC-POSG uni'!$CT$80)</c:f>
              <c:numCache>
                <c:formatCode>0</c:formatCode>
                <c:ptCount val="20"/>
                <c:pt idx="0">
                  <c:v>113</c:v>
                </c:pt>
                <c:pt idx="1">
                  <c:v>167</c:v>
                </c:pt>
                <c:pt idx="2">
                  <c:v>64</c:v>
                </c:pt>
                <c:pt idx="3">
                  <c:v>184</c:v>
                </c:pt>
                <c:pt idx="4">
                  <c:v>254</c:v>
                </c:pt>
                <c:pt idx="5" formatCode="#,##0">
                  <c:v>231</c:v>
                </c:pt>
                <c:pt idx="6" formatCode="#,##0">
                  <c:v>221</c:v>
                </c:pt>
                <c:pt idx="7" formatCode="#,##0">
                  <c:v>260</c:v>
                </c:pt>
                <c:pt idx="8" formatCode="#,##0">
                  <c:v>199</c:v>
                </c:pt>
                <c:pt idx="9" formatCode="#,##0">
                  <c:v>129</c:v>
                </c:pt>
                <c:pt idx="10" formatCode="#,##0">
                  <c:v>135</c:v>
                </c:pt>
                <c:pt idx="11" formatCode="#,##0">
                  <c:v>122</c:v>
                </c:pt>
                <c:pt idx="12" formatCode="#,##0">
                  <c:v>113</c:v>
                </c:pt>
                <c:pt idx="13" formatCode="#,##0">
                  <c:v>65</c:v>
                </c:pt>
                <c:pt idx="14" formatCode="#,##0">
                  <c:v>141</c:v>
                </c:pt>
                <c:pt idx="15" formatCode="#,##0">
                  <c:v>93</c:v>
                </c:pt>
                <c:pt idx="16" formatCode="#,##0">
                  <c:v>72</c:v>
                </c:pt>
                <c:pt idx="17" formatCode="#,##0">
                  <c:v>91</c:v>
                </c:pt>
                <c:pt idx="18" formatCode="#,##0">
                  <c:v>63</c:v>
                </c:pt>
                <c:pt idx="19" formatCode="#,##0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D24-4109-8C39-71673113C23C}"/>
            </c:ext>
          </c:extLst>
        </c:ser>
        <c:ser>
          <c:idx val="1"/>
          <c:order val="1"/>
          <c:tx>
            <c:strRef>
              <c:f>'INSC-POSG uni'!$B$81</c:f>
              <c:strCache>
                <c:ptCount val="1"/>
                <c:pt idx="0">
                  <c:v>Maestría</c:v>
                </c:pt>
              </c:strCache>
            </c:strRef>
          </c:tx>
          <c:spPr>
            <a:solidFill>
              <a:srgbClr val="CC990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3545960254776336E-3"/>
                  <c:y val="-9.280315889945859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D24-4109-8C39-71673113C23C}"/>
                </c:ext>
              </c:extLst>
            </c:dLbl>
            <c:dLbl>
              <c:idx val="1"/>
              <c:layout>
                <c:manualLayout>
                  <c:x val="2.083953888367755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D24-4109-8C39-71673113C23C}"/>
                </c:ext>
              </c:extLst>
            </c:dLbl>
            <c:dLbl>
              <c:idx val="2"/>
              <c:layout>
                <c:manualLayout>
                  <c:x val="5.354596025477633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D24-4109-8C39-71673113C23C}"/>
                </c:ext>
              </c:extLst>
            </c:dLbl>
            <c:dLbl>
              <c:idx val="3"/>
              <c:layout>
                <c:manualLayout>
                  <c:x val="6.7656006841261386E-3"/>
                  <c:y val="-9.280315889945859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D24-4109-8C39-71673113C23C}"/>
                </c:ext>
              </c:extLst>
            </c:dLbl>
            <c:dLbl>
              <c:idx val="4"/>
              <c:layout>
                <c:manualLayout>
                  <c:x val="4.9059689288634507E-3"/>
                  <c:y val="6.550466804332237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D24-4109-8C39-71673113C23C}"/>
                </c:ext>
              </c:extLst>
            </c:dLbl>
            <c:dLbl>
              <c:idx val="5"/>
              <c:layout>
                <c:manualLayout>
                  <c:x val="4.905968928863390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D24-4109-8C39-71673113C23C}"/>
                </c:ext>
              </c:extLst>
            </c:dLbl>
            <c:dLbl>
              <c:idx val="6"/>
              <c:layout>
                <c:manualLayout>
                  <c:x val="4.905968928863450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D24-4109-8C39-71673113C23C}"/>
                </c:ext>
              </c:extLst>
            </c:dLbl>
            <c:dLbl>
              <c:idx val="7"/>
              <c:layout>
                <c:manualLayout>
                  <c:x val="6.541291905151267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D24-4109-8C39-71673113C23C}"/>
                </c:ext>
              </c:extLst>
            </c:dLbl>
            <c:dLbl>
              <c:idx val="8"/>
              <c:layout>
                <c:manualLayout>
                  <c:x val="4.905968928863450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D24-4109-8C39-71673113C23C}"/>
                </c:ext>
              </c:extLst>
            </c:dLbl>
            <c:dLbl>
              <c:idx val="9"/>
              <c:layout>
                <c:manualLayout>
                  <c:x val="3.943591366829102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D24-4109-8C39-71673113C23C}"/>
                </c:ext>
              </c:extLst>
            </c:dLbl>
            <c:dLbl>
              <c:idx val="10"/>
              <c:layout>
                <c:manualLayout>
                  <c:x val="4.905968928863450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D24-4109-8C39-71673113C23C}"/>
                </c:ext>
              </c:extLst>
            </c:dLbl>
            <c:dLbl>
              <c:idx val="11"/>
              <c:layout>
                <c:manualLayout>
                  <c:x val="5.32793137051104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D24-4109-8C39-71673113C23C}"/>
                </c:ext>
              </c:extLst>
            </c:dLbl>
            <c:dLbl>
              <c:idx val="12"/>
              <c:layout>
                <c:manualLayout>
                  <c:x val="5.644018634594020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D24-4109-8C39-71673113C23C}"/>
                </c:ext>
              </c:extLst>
            </c:dLbl>
            <c:dLbl>
              <c:idx val="13"/>
              <c:layout>
                <c:manualLayout>
                  <c:x val="4.2330139759455924E-3"/>
                  <c:y val="-5.06204896197105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D24-4109-8C39-71673113C23C}"/>
                </c:ext>
              </c:extLst>
            </c:dLbl>
            <c:dLbl>
              <c:idx val="14"/>
              <c:layout>
                <c:manualLayout>
                  <c:x val="7.0550232932425506E-3"/>
                  <c:y val="-9.280315889945859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D24-4109-8C39-71673113C23C}"/>
                </c:ext>
              </c:extLst>
            </c:dLbl>
            <c:dLbl>
              <c:idx val="15"/>
              <c:layout>
                <c:manualLayout>
                  <c:x val="5.644018634594020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D24-4109-8C39-71673113C23C}"/>
                </c:ext>
              </c:extLst>
            </c:dLbl>
            <c:dLbl>
              <c:idx val="16"/>
              <c:layout>
                <c:manualLayout>
                  <c:x val="4.2166522570046229E-3"/>
                  <c:y val="-2.58166497469367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D24-4109-8C39-71673113C23C}"/>
                </c:ext>
              </c:extLst>
            </c:dLbl>
            <c:dLbl>
              <c:idx val="17"/>
              <c:layout>
                <c:manualLayout>
                  <c:x val="3.7418147801683817E-3"/>
                  <c:y val="-2.5310244809855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45-4188-9D52-3B7733AAE48A}"/>
                </c:ext>
              </c:extLst>
            </c:dLbl>
            <c:dLbl>
              <c:idx val="18"/>
              <c:layout>
                <c:manualLayout>
                  <c:x val="4.989086373557659E-3"/>
                  <c:y val="-5.06204896197105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D4-4C0F-B7FE-530EDFFDD00D}"/>
                </c:ext>
              </c:extLst>
            </c:dLbl>
            <c:dLbl>
              <c:idx val="19"/>
              <c:layout>
                <c:manualLayout>
                  <c:x val="6.2363579669471201E-3"/>
                  <c:y val="-2.531024480985621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45-4188-9D52-3B7733AAE4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9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('INSC-POSG uni'!$BN$94:$BN$107,'INSC-POSG uni'!$BN$108,'INSC-POSG uni'!$BN$109,'INSC-POSG uni'!$BN$110,'INSC-POSG uni'!$BN$111,'INSC-POSG uni'!$BN$112,'INSC-POSG uni'!$BN$113)</c:f>
              <c:numCache>
                <c:formatCode>General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('INSC-POSG uni'!$V$81,'INSC-POSG uni'!$Z$81,'INSC-POSG uni'!$AD$81,'INSC-POSG uni'!$AH$81,'INSC-POSG uni'!$AL$81,'INSC-POSG uni'!$AP$81,'INSC-POSG uni'!$AT$81,'INSC-POSG uni'!$AX$81,'INSC-POSG uni'!$BB$81,'INSC-POSG uni'!$BF$81,'INSC-POSG uni'!$BJ$81,'INSC-POSG uni'!$BN$81,'INSC-POSG uni'!$BR$81,'INSC-POSG uni'!$BV$81,'INSC-POSG uni'!$BZ$81,'INSC-POSG uni'!$CD$81,'INSC-POSG uni'!$CH$81,'INSC-POSG uni'!$CL$81,'INSC-POSG uni'!$CP$81,'INSC-POSG uni'!$CT$81)</c:f>
              <c:numCache>
                <c:formatCode>0</c:formatCode>
                <c:ptCount val="20"/>
                <c:pt idx="0">
                  <c:v>270</c:v>
                </c:pt>
                <c:pt idx="1">
                  <c:v>346</c:v>
                </c:pt>
                <c:pt idx="2">
                  <c:v>408</c:v>
                </c:pt>
                <c:pt idx="3">
                  <c:v>403</c:v>
                </c:pt>
                <c:pt idx="4">
                  <c:v>393</c:v>
                </c:pt>
                <c:pt idx="5" formatCode="#,##0">
                  <c:v>532</c:v>
                </c:pt>
                <c:pt idx="6" formatCode="#,##0">
                  <c:v>452</c:v>
                </c:pt>
                <c:pt idx="7" formatCode="#,##0">
                  <c:v>469</c:v>
                </c:pt>
                <c:pt idx="8" formatCode="#,##0">
                  <c:v>486</c:v>
                </c:pt>
                <c:pt idx="9" formatCode="#,##0">
                  <c:v>636</c:v>
                </c:pt>
                <c:pt idx="10" formatCode="#,##0">
                  <c:v>571</c:v>
                </c:pt>
                <c:pt idx="11" formatCode="#,##0">
                  <c:v>709</c:v>
                </c:pt>
                <c:pt idx="12" formatCode="#,##0">
                  <c:v>647</c:v>
                </c:pt>
                <c:pt idx="13" formatCode="#,##0">
                  <c:v>647</c:v>
                </c:pt>
                <c:pt idx="14" formatCode="#,##0">
                  <c:v>644</c:v>
                </c:pt>
                <c:pt idx="15" formatCode="#,##0">
                  <c:v>628</c:v>
                </c:pt>
                <c:pt idx="16" formatCode="#,##0">
                  <c:v>629</c:v>
                </c:pt>
                <c:pt idx="17" formatCode="#,##0">
                  <c:v>453</c:v>
                </c:pt>
                <c:pt idx="18" formatCode="#,##0">
                  <c:v>532</c:v>
                </c:pt>
                <c:pt idx="19" formatCode="#,##0">
                  <c:v>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4D24-4109-8C39-71673113C23C}"/>
            </c:ext>
          </c:extLst>
        </c:ser>
        <c:ser>
          <c:idx val="2"/>
          <c:order val="2"/>
          <c:tx>
            <c:strRef>
              <c:f>'INSC-POSG uni'!$B$82</c:f>
              <c:strCache>
                <c:ptCount val="1"/>
                <c:pt idx="0">
                  <c:v>Doctorado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905968928863450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D24-4109-8C39-71673113C23C}"/>
                </c:ext>
              </c:extLst>
            </c:dLbl>
            <c:dLbl>
              <c:idx val="1"/>
              <c:layout>
                <c:manualLayout>
                  <c:x val="4.905968928863450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D24-4109-8C39-71673113C23C}"/>
                </c:ext>
              </c:extLst>
            </c:dLbl>
            <c:dLbl>
              <c:idx val="2"/>
              <c:layout>
                <c:manualLayout>
                  <c:x val="4.905968928863450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D24-4109-8C39-71673113C23C}"/>
                </c:ext>
              </c:extLst>
            </c:dLbl>
            <c:dLbl>
              <c:idx val="3"/>
              <c:layout>
                <c:manualLayout>
                  <c:x val="4.905968928863450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D24-4109-8C39-71673113C23C}"/>
                </c:ext>
              </c:extLst>
            </c:dLbl>
            <c:dLbl>
              <c:idx val="4"/>
              <c:layout>
                <c:manualLayout>
                  <c:x val="4.905968928863450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D24-4109-8C39-71673113C23C}"/>
                </c:ext>
              </c:extLst>
            </c:dLbl>
            <c:dLbl>
              <c:idx val="5"/>
              <c:layout>
                <c:manualLayout>
                  <c:x val="8.176614881439024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D24-4109-8C39-71673113C23C}"/>
                </c:ext>
              </c:extLst>
            </c:dLbl>
            <c:dLbl>
              <c:idx val="6"/>
              <c:layout>
                <c:manualLayout>
                  <c:x val="4.905968928863450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D24-4109-8C39-71673113C23C}"/>
                </c:ext>
              </c:extLst>
            </c:dLbl>
            <c:dLbl>
              <c:idx val="7"/>
              <c:layout>
                <c:manualLayout>
                  <c:x val="8.176614881439083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D24-4109-8C39-71673113C23C}"/>
                </c:ext>
              </c:extLst>
            </c:dLbl>
            <c:dLbl>
              <c:idx val="8"/>
              <c:layout>
                <c:manualLayout>
                  <c:x val="4.905968928863450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D24-4109-8C39-71673113C23C}"/>
                </c:ext>
              </c:extLst>
            </c:dLbl>
            <c:dLbl>
              <c:idx val="9"/>
              <c:layout>
                <c:manualLayout>
                  <c:x val="4.905968928863450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D24-4109-8C39-71673113C23C}"/>
                </c:ext>
              </c:extLst>
            </c:dLbl>
            <c:dLbl>
              <c:idx val="10"/>
              <c:layout>
                <c:manualLayout>
                  <c:x val="6.541291905151267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D24-4109-8C39-71673113C23C}"/>
                </c:ext>
              </c:extLst>
            </c:dLbl>
            <c:dLbl>
              <c:idx val="11"/>
              <c:layout>
                <c:manualLayout>
                  <c:x val="4.88997555012212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D24-4109-8C39-71673113C23C}"/>
                </c:ext>
              </c:extLst>
            </c:dLbl>
            <c:dLbl>
              <c:idx val="12"/>
              <c:layout>
                <c:manualLayout>
                  <c:x val="4.23301397594548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D24-4109-8C39-71673113C23C}"/>
                </c:ext>
              </c:extLst>
            </c:dLbl>
            <c:dLbl>
              <c:idx val="13"/>
              <c:layout>
                <c:manualLayout>
                  <c:x val="4.2330139759455924E-3"/>
                  <c:y val="-4.640157944972929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D24-4109-8C39-71673113C23C}"/>
                </c:ext>
              </c:extLst>
            </c:dLbl>
            <c:dLbl>
              <c:idx val="14"/>
              <c:layout>
                <c:manualLayout>
                  <c:x val="5.6440186345940203E-3"/>
                  <c:y val="-4.640157944972929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D24-4109-8C39-71673113C23C}"/>
                </c:ext>
              </c:extLst>
            </c:dLbl>
            <c:dLbl>
              <c:idx val="15"/>
              <c:layout>
                <c:manualLayout>
                  <c:x val="3.3132247617784914E-3"/>
                  <c:y val="-7.593073442956587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D24-4109-8C39-71673113C23C}"/>
                </c:ext>
              </c:extLst>
            </c:dLbl>
            <c:dLbl>
              <c:idx val="16"/>
              <c:layout>
                <c:manualLayout>
                  <c:x val="4.374976981946388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D24-4109-8C39-71673113C23C}"/>
                </c:ext>
              </c:extLst>
            </c:dLbl>
            <c:dLbl>
              <c:idx val="17"/>
              <c:layout>
                <c:manualLayout>
                  <c:x val="2.494543186778921E-3"/>
                  <c:y val="-9.280315889945859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D4-4C0F-B7FE-530EDFFDD00D}"/>
                </c:ext>
              </c:extLst>
            </c:dLbl>
            <c:dLbl>
              <c:idx val="18"/>
              <c:layout>
                <c:manualLayout>
                  <c:x val="4.989086373557842E-3"/>
                  <c:y val="-4.640157944972929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D4-4C0F-B7FE-530EDFFDD00D}"/>
                </c:ext>
              </c:extLst>
            </c:dLbl>
            <c:dLbl>
              <c:idx val="19"/>
              <c:layout>
                <c:manualLayout>
                  <c:x val="3.741814780168381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45-4188-9D52-3B7733AAE4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anchor="ctr" anchorCtr="1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('INSC-POSG uni'!$BN$94:$BN$107,'INSC-POSG uni'!$BN$108,'INSC-POSG uni'!$BN$109,'INSC-POSG uni'!$BN$110,'INSC-POSG uni'!$BN$111,'INSC-POSG uni'!$BN$112,'INSC-POSG uni'!$BN$113)</c:f>
              <c:numCache>
                <c:formatCode>General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('INSC-POSG uni'!$V$82,'INSC-POSG uni'!$Z$82,'INSC-POSG uni'!$AD$82,'INSC-POSG uni'!$AH$82,'INSC-POSG uni'!$AL$82,'INSC-POSG uni'!$AP$82,'INSC-POSG uni'!$AT$82,'INSC-POSG uni'!$AX$82,'INSC-POSG uni'!$BB$82,'INSC-POSG uni'!$BF$82,'INSC-POSG uni'!$BJ$82,'INSC-POSG uni'!$BN$82,'INSC-POSG uni'!$BR$82,'INSC-POSG uni'!$BV$82,'INSC-POSG uni'!$BZ$82,'INSC-POSG uni'!$CD$82,'INSC-POSG uni'!$CH$82,'INSC-POSG uni'!$CL$82,'INSC-POSG uni'!$CP$82,'INSC-POSG uni'!$CT$82)</c:f>
              <c:numCache>
                <c:formatCode>0</c:formatCode>
                <c:ptCount val="20"/>
                <c:pt idx="0">
                  <c:v>198</c:v>
                </c:pt>
                <c:pt idx="1">
                  <c:v>181</c:v>
                </c:pt>
                <c:pt idx="2">
                  <c:v>224</c:v>
                </c:pt>
                <c:pt idx="3">
                  <c:v>130</c:v>
                </c:pt>
                <c:pt idx="4">
                  <c:v>249</c:v>
                </c:pt>
                <c:pt idx="5" formatCode="#,##0">
                  <c:v>177</c:v>
                </c:pt>
                <c:pt idx="6" formatCode="#,##0">
                  <c:v>219</c:v>
                </c:pt>
                <c:pt idx="7" formatCode="#,##0">
                  <c:v>237</c:v>
                </c:pt>
                <c:pt idx="8" formatCode="#,##0">
                  <c:v>305</c:v>
                </c:pt>
                <c:pt idx="9" formatCode="#,##0">
                  <c:v>283</c:v>
                </c:pt>
                <c:pt idx="10" formatCode="#,##0">
                  <c:v>282</c:v>
                </c:pt>
                <c:pt idx="11" formatCode="#,##0">
                  <c:v>337</c:v>
                </c:pt>
                <c:pt idx="12" formatCode="#,##0">
                  <c:v>312</c:v>
                </c:pt>
                <c:pt idx="13" formatCode="#,##0">
                  <c:v>278</c:v>
                </c:pt>
                <c:pt idx="14" formatCode="#,##0">
                  <c:v>306</c:v>
                </c:pt>
                <c:pt idx="15" formatCode="#,##0">
                  <c:v>300</c:v>
                </c:pt>
                <c:pt idx="16" formatCode="#,##0">
                  <c:v>347</c:v>
                </c:pt>
                <c:pt idx="17" formatCode="#,##0">
                  <c:v>198</c:v>
                </c:pt>
                <c:pt idx="18" formatCode="#,##0">
                  <c:v>270</c:v>
                </c:pt>
                <c:pt idx="19" formatCode="#,##0">
                  <c:v>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2-4D24-4109-8C39-71673113C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shape val="cylinder"/>
        <c:axId val="127950208"/>
        <c:axId val="127972480"/>
        <c:axId val="0"/>
      </c:bar3DChart>
      <c:catAx>
        <c:axId val="127950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7972480"/>
        <c:crosses val="autoZero"/>
        <c:auto val="1"/>
        <c:lblAlgn val="ctr"/>
        <c:lblOffset val="100"/>
        <c:noMultiLvlLbl val="0"/>
      </c:catAx>
      <c:valAx>
        <c:axId val="127972480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1279502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778383742858158"/>
          <c:y val="0.96258341691028448"/>
          <c:w val="0.53013623000424259"/>
          <c:h val="3.7416583089715405E-2"/>
        </c:manualLayout>
      </c:layout>
      <c:overlay val="0"/>
      <c:txPr>
        <a:bodyPr/>
        <a:lstStyle/>
        <a:p>
          <a:pPr>
            <a:defRPr sz="1200" i="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  <a:scene3d>
      <a:camera prst="orthographicFront"/>
      <a:lightRig rig="threePt" dir="t"/>
    </a:scene3d>
    <a:sp3d>
      <a:bevelT w="152400" h="50800" prst="softRound"/>
    </a:sp3d>
  </c:spPr>
  <c:printSettings>
    <c:headerFooter/>
    <c:pageMargins b="0.75" l="0.7" r="0.7" t="0.75" header="0.3" footer="0.3"/>
    <c:pageSetup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MATRÍCULA </a:t>
            </a:r>
            <a:r>
              <a:rPr lang="es-MX" sz="1100" b="0"/>
              <a:t>(Inscritos de primer ingreso y Reinscritos) </a:t>
            </a:r>
            <a:r>
              <a:rPr lang="es-MX" sz="1400"/>
              <a:t>DE POSGRADO por</a:t>
            </a:r>
            <a:r>
              <a:rPr lang="es-MX" sz="1400" baseline="0"/>
              <a:t> Unidad</a:t>
            </a:r>
            <a:endParaRPr lang="es-MX" sz="14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'MATRICULA-POS uni'!$AO$111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rgbClr val="CD032E"/>
            </a:solidFill>
            <a:ln>
              <a:noFill/>
            </a:ln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('MATRICULA-POS uni'!$AN$97:$AN$115,'MATRICULA-POS uni'!$AN$116)</c:f>
              <c:numCache>
                <c:formatCode>General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('MATRICULA-POS uni'!$E$21,'MATRICULA-POS uni'!$H$21,'MATRICULA-POS uni'!$K$21,'MATRICULA-POS uni'!$N$21,'MATRICULA-POS uni'!$Q$21,'MATRICULA-POS uni'!$T$21,'MATRICULA-POS uni'!$W$21,'MATRICULA-POS uni'!$Z$21,'MATRICULA-POS uni'!$AC$21,'MATRICULA-POS uni'!$AF$21,'MATRICULA-POS uni'!$AI$21,'MATRICULA-POS uni'!$AL$21,'MATRICULA-POS uni'!$AO$21,'MATRICULA-POS uni'!$AR$21,'MATRICULA-POS uni'!$AU$21,'MATRICULA-POS uni'!$AX$21,'MATRICULA-POS uni'!$BA$21,'MATRICULA-POS uni'!$BD$21,'MATRICULA-POS uni'!$BG$21,'MATRICULA-POS uni'!$BJ$21)</c:f>
              <c:numCache>
                <c:formatCode>#,##0</c:formatCode>
                <c:ptCount val="20"/>
                <c:pt idx="0">
                  <c:v>226</c:v>
                </c:pt>
                <c:pt idx="1">
                  <c:v>269</c:v>
                </c:pt>
                <c:pt idx="2">
                  <c:v>281</c:v>
                </c:pt>
                <c:pt idx="3">
                  <c:v>288</c:v>
                </c:pt>
                <c:pt idx="4">
                  <c:v>365</c:v>
                </c:pt>
                <c:pt idx="5">
                  <c:v>365</c:v>
                </c:pt>
                <c:pt idx="6">
                  <c:v>469</c:v>
                </c:pt>
                <c:pt idx="7">
                  <c:v>519</c:v>
                </c:pt>
                <c:pt idx="8">
                  <c:v>416</c:v>
                </c:pt>
                <c:pt idx="9">
                  <c:v>450</c:v>
                </c:pt>
                <c:pt idx="10">
                  <c:v>469</c:v>
                </c:pt>
                <c:pt idx="11">
                  <c:v>597</c:v>
                </c:pt>
                <c:pt idx="12">
                  <c:v>509</c:v>
                </c:pt>
                <c:pt idx="13">
                  <c:v>548</c:v>
                </c:pt>
                <c:pt idx="14">
                  <c:v>637</c:v>
                </c:pt>
                <c:pt idx="15">
                  <c:v>599</c:v>
                </c:pt>
                <c:pt idx="16">
                  <c:v>585</c:v>
                </c:pt>
                <c:pt idx="17">
                  <c:v>572</c:v>
                </c:pt>
                <c:pt idx="18">
                  <c:v>610</c:v>
                </c:pt>
                <c:pt idx="19">
                  <c:v>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94-4EA3-B9A1-90279C3DDF5A}"/>
            </c:ext>
          </c:extLst>
        </c:ser>
        <c:ser>
          <c:idx val="1"/>
          <c:order val="1"/>
          <c:tx>
            <c:strRef>
              <c:f>'MATRICULA-POS uni'!$AO$112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>
              <a:bevelT w="152400" h="50800" prst="softRound"/>
            </a:sp3d>
          </c:spPr>
          <c:invertIfNegative val="0"/>
          <c:dLbls>
            <c:dLbl>
              <c:idx val="8"/>
              <c:layout>
                <c:manualLayout>
                  <c:x val="2.1894969022672943E-3"/>
                  <c:y val="-2.436570038438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94-4EA3-B9A1-90279C3DDF5A}"/>
                </c:ext>
              </c:extLst>
            </c:dLbl>
            <c:dLbl>
              <c:idx val="9"/>
              <c:layout>
                <c:manualLayout>
                  <c:x val="2.4521923985786863E-3"/>
                  <c:y val="2.43657003843833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9621151389616147E-2"/>
                      <c:h val="3.704814336240909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8394-4EA3-B9A1-90279C3DDF5A}"/>
                </c:ext>
              </c:extLst>
            </c:dLbl>
            <c:dLbl>
              <c:idx val="10"/>
              <c:layout>
                <c:manualLayout>
                  <c:x val="3.152787275343392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94-4EA3-B9A1-90279C3DDF5A}"/>
                </c:ext>
              </c:extLst>
            </c:dLbl>
            <c:dLbl>
              <c:idx val="11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94-4EA3-B9A1-90279C3DDF5A}"/>
                </c:ext>
              </c:extLst>
            </c:dLbl>
            <c:dLbl>
              <c:idx val="12"/>
              <c:layout>
                <c:manualLayout>
                  <c:x val="4.2035692605887544E-3"/>
                  <c:y val="-2.43657003843833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94-4EA3-B9A1-90279C3DDF5A}"/>
                </c:ext>
              </c:extLst>
            </c:dLbl>
            <c:dLbl>
              <c:idx val="13"/>
              <c:layout>
                <c:manualLayout>
                  <c:x val="4.203569260588856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252161417942246E-2"/>
                      <c:h val="3.704814336240909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8394-4EA3-B9A1-90279C3DDF5A}"/>
                </c:ext>
              </c:extLst>
            </c:dLbl>
            <c:dLbl>
              <c:idx val="14"/>
              <c:layout>
                <c:manualLayout>
                  <c:x val="4.2035692605888568E-3"/>
                  <c:y val="-2.436570038438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94-4EA3-B9A1-90279C3DDF5A}"/>
                </c:ext>
              </c:extLst>
            </c:dLbl>
            <c:dLbl>
              <c:idx val="15"/>
              <c:layout>
                <c:manualLayout>
                  <c:x val="4.203569260588856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394-4EA3-B9A1-90279C3DDF5A}"/>
                </c:ext>
              </c:extLst>
            </c:dLbl>
            <c:dLbl>
              <c:idx val="16"/>
              <c:layout>
                <c:manualLayout>
                  <c:x val="3.5220378344514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94-4EA3-B9A1-90279C3DDF5A}"/>
                </c:ext>
              </c:extLst>
            </c:dLbl>
            <c:dLbl>
              <c:idx val="17"/>
              <c:layout>
                <c:manualLayout>
                  <c:x val="4.2035692605887544E-3"/>
                  <c:y val="-8.933986934761110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94-4EA3-B9A1-90279C3DDF5A}"/>
                </c:ext>
              </c:extLst>
            </c:dLbl>
            <c:dLbl>
              <c:idx val="18"/>
              <c:layout>
                <c:manualLayout>
                  <c:x val="4.3413504744890963E-3"/>
                  <c:y val="-9.248339396945812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AB-47F6-8447-F73DCD17B8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('MATRICULA-POS uni'!$AN$97:$AN$115,'MATRICULA-POS uni'!$AN$116)</c:f>
              <c:numCache>
                <c:formatCode>General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('MATRICULA-POS uni'!$E$38,'MATRICULA-POS uni'!$H$38,'MATRICULA-POS uni'!$K$38,'MATRICULA-POS uni'!$N$38,'MATRICULA-POS uni'!$Q$38,'MATRICULA-POS uni'!$T$38,'MATRICULA-POS uni'!$W$38,'MATRICULA-POS uni'!$Z$38,'MATRICULA-POS uni'!$AC$38,'MATRICULA-POS uni'!$AF$38,'MATRICULA-POS uni'!$AI$38,'MATRICULA-POS uni'!$AL$38,'MATRICULA-POS uni'!$AO$38,'MATRICULA-POS uni'!$AR$38,'MATRICULA-POS uni'!$AU$38,'MATRICULA-POS uni'!$AX$38,'MATRICULA-POS uni'!$BA$38,'MATRICULA-POS uni'!$BD$38,'MATRICULA-POS uni'!$BG$38,'MATRICULA-POS uni'!$BJ$38)</c:f>
              <c:numCache>
                <c:formatCode>#,##0</c:formatCode>
                <c:ptCount val="20"/>
                <c:pt idx="8">
                  <c:v>30</c:v>
                </c:pt>
                <c:pt idx="9">
                  <c:v>80</c:v>
                </c:pt>
                <c:pt idx="10">
                  <c:v>123</c:v>
                </c:pt>
                <c:pt idx="11">
                  <c:v>160</c:v>
                </c:pt>
                <c:pt idx="12">
                  <c:v>201</c:v>
                </c:pt>
                <c:pt idx="13">
                  <c:v>210</c:v>
                </c:pt>
                <c:pt idx="14">
                  <c:v>209</c:v>
                </c:pt>
                <c:pt idx="15">
                  <c:v>216</c:v>
                </c:pt>
                <c:pt idx="16">
                  <c:v>180</c:v>
                </c:pt>
                <c:pt idx="17">
                  <c:v>179</c:v>
                </c:pt>
                <c:pt idx="18">
                  <c:v>213</c:v>
                </c:pt>
                <c:pt idx="19">
                  <c:v>220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394-4EA3-B9A1-90279C3DDF5A}"/>
            </c:ext>
          </c:extLst>
        </c:ser>
        <c:ser>
          <c:idx val="2"/>
          <c:order val="2"/>
          <c:tx>
            <c:strRef>
              <c:f>'MATRICULA-POS uni'!$AO$113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rgbClr val="57A519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  <a:contourClr>
                <a:srgbClr val="000000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anchor="ctr" anchorCtr="1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('MATRICULA-POS uni'!$AN$97:$AN$115,'MATRICULA-POS uni'!$AN$116)</c:f>
              <c:numCache>
                <c:formatCode>General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('MATRICULA-POS uni'!$E$55,'MATRICULA-POS uni'!$H$55,'MATRICULA-POS uni'!$K$55,'MATRICULA-POS uni'!$N$55,'MATRICULA-POS uni'!$Q$55,'MATRICULA-POS uni'!$T$55,'MATRICULA-POS uni'!$W$55,'MATRICULA-POS uni'!$Z$55,'MATRICULA-POS uni'!$AC$55,'MATRICULA-POS uni'!$AF$55,'MATRICULA-POS uni'!$AI$55,'MATRICULA-POS uni'!$AL$55,'MATRICULA-POS uni'!$AO$55,'MATRICULA-POS uni'!$AR$55,'MATRICULA-POS uni'!$AU$55,'MATRICULA-POS uni'!$AX$55,'MATRICULA-POS uni'!$BA$55,'MATRICULA-POS uni'!$BD$55,'MATRICULA-POS uni'!$BG$55,'MATRICULA-POS uni'!$BJ$55)</c:f>
              <c:numCache>
                <c:formatCode>#,##0</c:formatCode>
                <c:ptCount val="20"/>
                <c:pt idx="0">
                  <c:v>950</c:v>
                </c:pt>
                <c:pt idx="1">
                  <c:v>947</c:v>
                </c:pt>
                <c:pt idx="2">
                  <c:v>930</c:v>
                </c:pt>
                <c:pt idx="3">
                  <c:v>1022</c:v>
                </c:pt>
                <c:pt idx="4">
                  <c:v>1091</c:v>
                </c:pt>
                <c:pt idx="5">
                  <c:v>1252</c:v>
                </c:pt>
                <c:pt idx="6">
                  <c:v>1303</c:v>
                </c:pt>
                <c:pt idx="7">
                  <c:v>1434</c:v>
                </c:pt>
                <c:pt idx="8">
                  <c:v>1552</c:v>
                </c:pt>
                <c:pt idx="9">
                  <c:v>1522</c:v>
                </c:pt>
                <c:pt idx="10">
                  <c:v>1616</c:v>
                </c:pt>
                <c:pt idx="11">
                  <c:v>1620</c:v>
                </c:pt>
                <c:pt idx="12">
                  <c:v>1657</c:v>
                </c:pt>
                <c:pt idx="13">
                  <c:v>1551</c:v>
                </c:pt>
                <c:pt idx="14">
                  <c:v>1520</c:v>
                </c:pt>
                <c:pt idx="15">
                  <c:v>1479</c:v>
                </c:pt>
                <c:pt idx="16">
                  <c:v>1386</c:v>
                </c:pt>
                <c:pt idx="17">
                  <c:v>1330</c:v>
                </c:pt>
                <c:pt idx="18">
                  <c:v>916</c:v>
                </c:pt>
                <c:pt idx="19">
                  <c:v>1326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394-4EA3-B9A1-90279C3DDF5A}"/>
            </c:ext>
          </c:extLst>
        </c:ser>
        <c:ser>
          <c:idx val="4"/>
          <c:order val="3"/>
          <c:tx>
            <c:strRef>
              <c:f>'MATRICULA-POS uni'!$AO$114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15"/>
              <c:layout>
                <c:manualLayout>
                  <c:x val="2.4589311477151026E-2"/>
                  <c:y val="-1.3349006445012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394-4EA3-B9A1-90279C3DDF5A}"/>
                </c:ext>
              </c:extLst>
            </c:dLbl>
            <c:dLbl>
              <c:idx val="16"/>
              <c:layout>
                <c:manualLayout>
                  <c:x val="2.4654264841160255E-2"/>
                  <c:y val="-9.060604385118575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394-4EA3-B9A1-90279C3DDF5A}"/>
                </c:ext>
              </c:extLst>
            </c:dLbl>
            <c:dLbl>
              <c:idx val="17"/>
              <c:layout>
                <c:manualLayout>
                  <c:x val="2.2419036056473905E-2"/>
                  <c:y val="-7.30971011531503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394-4EA3-B9A1-90279C3DDF5A}"/>
                </c:ext>
              </c:extLst>
            </c:dLbl>
            <c:dLbl>
              <c:idx val="18"/>
              <c:layout>
                <c:manualLayout>
                  <c:x val="2.3153869197275075E-2"/>
                  <c:y val="-7.5669105555423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AB-47F6-8447-F73DCD17B8D4}"/>
                </c:ext>
              </c:extLst>
            </c:dLbl>
            <c:dLbl>
              <c:idx val="19"/>
              <c:layout>
                <c:manualLayout>
                  <c:x val="2.764445649438543E-2"/>
                  <c:y val="-7.5788589222265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77-4EDE-8A9B-D4661971DA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AD25A8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('MATRICULA-POS uni'!$AN$97:$AN$115,'MATRICULA-POS uni'!$AN$116)</c:f>
              <c:numCache>
                <c:formatCode>General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('MATRICULA-POS uni'!$E$61,'MATRICULA-POS uni'!$H$61,'MATRICULA-POS uni'!$K$61,'MATRICULA-POS uni'!$N$61,'MATRICULA-POS uni'!$Q$61,'MATRICULA-POS uni'!$T$61,'MATRICULA-POS uni'!$W$61,'MATRICULA-POS uni'!$Z$61,'MATRICULA-POS uni'!$AC$61,'MATRICULA-POS uni'!$AF$61,'MATRICULA-POS uni'!$AI$61,'MATRICULA-POS uni'!$AL$61,'MATRICULA-POS uni'!$AO$61,'MATRICULA-POS uni'!$AR$61,'MATRICULA-POS uni'!$AU$61,'MATRICULA-POS uni'!$AX$61,'MATRICULA-POS uni'!$BA$61,'MATRICULA-POS uni'!$BD$61,'MATRICULA-POS uni'!$BG$61,'MATRICULA-POS uni'!$BJ$61)</c:f>
              <c:numCache>
                <c:formatCode>#,##0</c:formatCode>
                <c:ptCount val="20"/>
                <c:pt idx="15">
                  <c:v>1</c:v>
                </c:pt>
                <c:pt idx="16">
                  <c:v>3</c:v>
                </c:pt>
                <c:pt idx="17">
                  <c:v>0</c:v>
                </c:pt>
                <c:pt idx="18">
                  <c:v>8</c:v>
                </c:pt>
                <c:pt idx="19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394-4EA3-B9A1-90279C3DDF5A}"/>
            </c:ext>
          </c:extLst>
        </c:ser>
        <c:ser>
          <c:idx val="3"/>
          <c:order val="4"/>
          <c:tx>
            <c:strRef>
              <c:f>'MATRICULA-POS uni'!$AO$115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rgbClr val="0072CE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('MATRICULA-POS uni'!$AN$97:$AN$115,'MATRICULA-POS uni'!$AN$116)</c:f>
              <c:numCache>
                <c:formatCode>General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('MATRICULA-POS uni'!$E$78,'MATRICULA-POS uni'!$H$78,'MATRICULA-POS uni'!$K$78,'MATRICULA-POS uni'!$N$78,'MATRICULA-POS uni'!$Q$78,'MATRICULA-POS uni'!$T$78,'MATRICULA-POS uni'!$W$78,'MATRICULA-POS uni'!$Z$78,'MATRICULA-POS uni'!$AC$78,'MATRICULA-POS uni'!$AF$78,'MATRICULA-POS uni'!$AI$78,'MATRICULA-POS uni'!$AL$78,'MATRICULA-POS uni'!$AO$78,'MATRICULA-POS uni'!$AR$78,'MATRICULA-POS uni'!$AU$78,'MATRICULA-POS uni'!$AX$78,'MATRICULA-POS uni'!$BA$78,'MATRICULA-POS uni'!$BD$78,'MATRICULA-POS uni'!$BG$78,'MATRICULA-POS uni'!$BJ$78)</c:f>
              <c:numCache>
                <c:formatCode>#,##0</c:formatCode>
                <c:ptCount val="20"/>
                <c:pt idx="0">
                  <c:v>516</c:v>
                </c:pt>
                <c:pt idx="1">
                  <c:v>476</c:v>
                </c:pt>
                <c:pt idx="2">
                  <c:v>530</c:v>
                </c:pt>
                <c:pt idx="3">
                  <c:v>547</c:v>
                </c:pt>
                <c:pt idx="4">
                  <c:v>590</c:v>
                </c:pt>
                <c:pt idx="5">
                  <c:v>630</c:v>
                </c:pt>
                <c:pt idx="6">
                  <c:v>747</c:v>
                </c:pt>
                <c:pt idx="7">
                  <c:v>685</c:v>
                </c:pt>
                <c:pt idx="8">
                  <c:v>687</c:v>
                </c:pt>
                <c:pt idx="9">
                  <c:v>746</c:v>
                </c:pt>
                <c:pt idx="10">
                  <c:v>739</c:v>
                </c:pt>
                <c:pt idx="11">
                  <c:v>814</c:v>
                </c:pt>
                <c:pt idx="12">
                  <c:v>786</c:v>
                </c:pt>
                <c:pt idx="13">
                  <c:v>795</c:v>
                </c:pt>
                <c:pt idx="14">
                  <c:v>812</c:v>
                </c:pt>
                <c:pt idx="15">
                  <c:v>947</c:v>
                </c:pt>
                <c:pt idx="16">
                  <c:v>864</c:v>
                </c:pt>
                <c:pt idx="17">
                  <c:v>884</c:v>
                </c:pt>
                <c:pt idx="18">
                  <c:v>855</c:v>
                </c:pt>
                <c:pt idx="19">
                  <c:v>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394-4EA3-B9A1-90279C3DD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1"/>
        <c:shape val="cylinder"/>
        <c:axId val="128595840"/>
        <c:axId val="128597376"/>
        <c:axId val="0"/>
      </c:bar3DChart>
      <c:catAx>
        <c:axId val="128595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MX"/>
          </a:p>
        </c:txPr>
        <c:crossAx val="128597376"/>
        <c:crosses val="autoZero"/>
        <c:auto val="1"/>
        <c:lblAlgn val="ctr"/>
        <c:lblOffset val="100"/>
        <c:noMultiLvlLbl val="0"/>
      </c:catAx>
      <c:valAx>
        <c:axId val="128597376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285958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5659611276822355"/>
          <c:y val="0.93802767553855881"/>
          <c:w val="0.68767158120981997"/>
          <c:h val="4.5616988625315109E-2"/>
        </c:manualLayout>
      </c:layout>
      <c:overlay val="0"/>
      <c:txPr>
        <a:bodyPr/>
        <a:lstStyle/>
        <a:p>
          <a:pPr>
            <a:defRPr sz="1200" b="0" i="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 b="1" i="0" baseline="0">
                <a:effectLst/>
              </a:rPr>
              <a:t>MATRÍCULA </a:t>
            </a:r>
            <a:r>
              <a:rPr lang="es-MX" sz="1100" b="0" i="0" baseline="0">
                <a:effectLst/>
              </a:rPr>
              <a:t>(Inscritos de primer ingreso y Reinscritos) </a:t>
            </a:r>
            <a:r>
              <a:rPr lang="es-MX" sz="1400" b="1" i="0" baseline="0">
                <a:effectLst/>
              </a:rPr>
              <a:t>DE POSGRADO por Nivel</a:t>
            </a:r>
            <a:endParaRPr lang="es-419" sz="1400">
              <a:effectLst/>
            </a:endParaRP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  <a:scene3d>
          <a:camera prst="orthographicFront"/>
          <a:lightRig rig="threePt" dir="t"/>
        </a:scene3d>
        <a:sp3d>
          <a:bevelT w="165100" prst="coolSlant"/>
        </a:sp3d>
      </c:spPr>
    </c:sideWall>
    <c:backWall>
      <c:thickness val="0"/>
      <c:spPr>
        <a:noFill/>
        <a:ln>
          <a:noFill/>
        </a:ln>
        <a:scene3d>
          <a:camera prst="orthographicFront"/>
          <a:lightRig rig="threePt" dir="t"/>
        </a:scene3d>
        <a:sp3d>
          <a:bevelT w="165100" prst="coolSlant"/>
        </a:sp3d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'MATRICULA-POS uni'!$B$80</c:f>
              <c:strCache>
                <c:ptCount val="1"/>
                <c:pt idx="0">
                  <c:v>Especialización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3.161228008289075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0F-4240-BC93-9FE53419EBD0}"/>
                </c:ext>
              </c:extLst>
            </c:dLbl>
            <c:dLbl>
              <c:idx val="1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0F-4240-BC93-9FE53419EBD0}"/>
                </c:ext>
              </c:extLst>
            </c:dLbl>
            <c:dLbl>
              <c:idx val="2"/>
              <c:layout>
                <c:manualLayout>
                  <c:x val="5.0003074871877804E-3"/>
                  <c:y val="-4.62179774467187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0F-4240-BC93-9FE53419EBD0}"/>
                </c:ext>
              </c:extLst>
            </c:dLbl>
            <c:dLbl>
              <c:idx val="3"/>
              <c:layout>
                <c:manualLayout>
                  <c:x val="3.822302272984249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0F-4240-BC93-9FE53419EBD0}"/>
                </c:ext>
              </c:extLst>
            </c:dLbl>
            <c:dLbl>
              <c:idx val="4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0F-4240-BC93-9FE53419EBD0}"/>
                </c:ext>
              </c:extLst>
            </c:dLbl>
            <c:dLbl>
              <c:idx val="5"/>
              <c:layout>
                <c:manualLayout>
                  <c:x val="3.6781609195402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0F-4240-BC93-9FE53419EBD0}"/>
                </c:ext>
              </c:extLst>
            </c:dLbl>
            <c:dLbl>
              <c:idx val="6"/>
              <c:layout>
                <c:manualLayout>
                  <c:x val="5.517241379310277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0F-4240-BC93-9FE53419EBD0}"/>
                </c:ext>
              </c:extLst>
            </c:dLbl>
            <c:dLbl>
              <c:idx val="7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0F-4240-BC93-9FE53419EBD0}"/>
                </c:ext>
              </c:extLst>
            </c:dLbl>
            <c:dLbl>
              <c:idx val="8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0F-4240-BC93-9FE53419EBD0}"/>
                </c:ext>
              </c:extLst>
            </c:dLbl>
            <c:dLbl>
              <c:idx val="9"/>
              <c:layout>
                <c:manualLayout>
                  <c:x val="3.67816091954022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0F-4240-BC93-9FE53419EBD0}"/>
                </c:ext>
              </c:extLst>
            </c:dLbl>
            <c:dLbl>
              <c:idx val="10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0F-4240-BC93-9FE53419EBD0}"/>
                </c:ext>
              </c:extLst>
            </c:dLbl>
            <c:dLbl>
              <c:idx val="11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0F-4240-BC93-9FE53419EBD0}"/>
                </c:ext>
              </c:extLst>
            </c:dLbl>
            <c:dLbl>
              <c:idx val="12"/>
              <c:layout>
                <c:manualLayout>
                  <c:x val="3.534015642610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B0F-4240-BC93-9FE53419EBD0}"/>
                </c:ext>
              </c:extLst>
            </c:dLbl>
            <c:dLbl>
              <c:idx val="13"/>
              <c:layout>
                <c:manualLayout>
                  <c:x val="3.5339745661409697E-3"/>
                  <c:y val="-2.48745207737503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B0F-4240-BC93-9FE53419EBD0}"/>
                </c:ext>
              </c:extLst>
            </c:dLbl>
            <c:dLbl>
              <c:idx val="14"/>
              <c:layout>
                <c:manualLayout>
                  <c:x val="3.5340156426106563E-3"/>
                  <c:y val="-2.31089887233593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B0F-4240-BC93-9FE53419EBD0}"/>
                </c:ext>
              </c:extLst>
            </c:dLbl>
            <c:dLbl>
              <c:idx val="15"/>
              <c:layout>
                <c:manualLayout>
                  <c:x val="3.5340156426104832E-3"/>
                  <c:y val="-1.6946395964251276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B0F-4240-BC93-9FE53419EBD0}"/>
                </c:ext>
              </c:extLst>
            </c:dLbl>
            <c:dLbl>
              <c:idx val="16"/>
              <c:layout>
                <c:manualLayout>
                  <c:x val="2.8228231699102906E-3"/>
                  <c:y val="-4.97490415475025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B0F-4240-BC93-9FE53419EBD0}"/>
                </c:ext>
              </c:extLst>
            </c:dLbl>
            <c:dLbl>
              <c:idx val="17"/>
              <c:layout>
                <c:manualLayout>
                  <c:x val="4.234234754865487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B0F-4240-BC93-9FE53419EB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('MATRICULA-POS uni'!$AN$97:$AN$115,'MATRICULA-POS uni'!$AN$116)</c:f>
              <c:numCache>
                <c:formatCode>General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('MATRICULA-POS uni'!$E$80,'MATRICULA-POS uni'!$H$80,'MATRICULA-POS uni'!$K$80,'MATRICULA-POS uni'!$N$80,'MATRICULA-POS uni'!$Q$80,'MATRICULA-POS uni'!$T$80,'MATRICULA-POS uni'!$W$80,'MATRICULA-POS uni'!$Z$80,'MATRICULA-POS uni'!$AC$80,'MATRICULA-POS uni'!$AF$80,'MATRICULA-POS uni'!$AI$80,'MATRICULA-POS uni'!$AL$80,'MATRICULA-POS uni'!$AO$80,'MATRICULA-POS uni'!$AR$80,'MATRICULA-POS uni'!$AU$80,'MATRICULA-POS uni'!$AX$80,'MATRICULA-POS uni'!$BA$80,'MATRICULA-POS uni'!$BD$80,'MATRICULA-POS uni'!$BG$80,'MATRICULA-POS uni'!$BJ$80)</c:f>
              <c:numCache>
                <c:formatCode>#,##0</c:formatCode>
                <c:ptCount val="20"/>
                <c:pt idx="0">
                  <c:v>147</c:v>
                </c:pt>
                <c:pt idx="1">
                  <c:v>195</c:v>
                </c:pt>
                <c:pt idx="2">
                  <c:v>82</c:v>
                </c:pt>
                <c:pt idx="3">
                  <c:v>180</c:v>
                </c:pt>
                <c:pt idx="4">
                  <c:v>253</c:v>
                </c:pt>
                <c:pt idx="5">
                  <c:v>242</c:v>
                </c:pt>
                <c:pt idx="6">
                  <c:v>237</c:v>
                </c:pt>
                <c:pt idx="7">
                  <c:v>283</c:v>
                </c:pt>
                <c:pt idx="8">
                  <c:v>277</c:v>
                </c:pt>
                <c:pt idx="9">
                  <c:v>210</c:v>
                </c:pt>
                <c:pt idx="10">
                  <c:v>200</c:v>
                </c:pt>
                <c:pt idx="11">
                  <c:v>214</c:v>
                </c:pt>
                <c:pt idx="12">
                  <c:v>145</c:v>
                </c:pt>
                <c:pt idx="13">
                  <c:v>112</c:v>
                </c:pt>
                <c:pt idx="14">
                  <c:v>165</c:v>
                </c:pt>
                <c:pt idx="15">
                  <c:v>137</c:v>
                </c:pt>
                <c:pt idx="16">
                  <c:v>96</c:v>
                </c:pt>
                <c:pt idx="17">
                  <c:v>121</c:v>
                </c:pt>
                <c:pt idx="18">
                  <c:v>76</c:v>
                </c:pt>
                <c:pt idx="19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B0F-4240-BC93-9FE53419EBD0}"/>
            </c:ext>
          </c:extLst>
        </c:ser>
        <c:ser>
          <c:idx val="1"/>
          <c:order val="1"/>
          <c:tx>
            <c:strRef>
              <c:f>'MATRICULA-POS uni'!$B$81</c:f>
              <c:strCache>
                <c:ptCount val="1"/>
                <c:pt idx="0">
                  <c:v>Maestría</c:v>
                </c:pt>
              </c:strCache>
            </c:strRef>
          </c:tx>
          <c:spPr>
            <a:solidFill>
              <a:srgbClr val="CC990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('MATRICULA-POS uni'!$AN$97:$AN$115,'MATRICULA-POS uni'!$AN$116)</c:f>
              <c:numCache>
                <c:formatCode>General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('MATRICULA-POS uni'!$E$81,'MATRICULA-POS uni'!$H$81,'MATRICULA-POS uni'!$K$81,'MATRICULA-POS uni'!$N$81,'MATRICULA-POS uni'!$Q$81,'MATRICULA-POS uni'!$T$81,'MATRICULA-POS uni'!$W$81,'MATRICULA-POS uni'!$Z$81,'MATRICULA-POS uni'!$AC$81,'MATRICULA-POS uni'!$AF$81,'MATRICULA-POS uni'!$AI$81,'MATRICULA-POS uni'!$AL$81,'MATRICULA-POS uni'!$AO$81,'MATRICULA-POS uni'!$AR$81,'MATRICULA-POS uni'!$AU$81,'MATRICULA-POS uni'!$AX$81,'MATRICULA-POS uni'!$BA$81,'MATRICULA-POS uni'!$BD$81,'MATRICULA-POS uni'!$BG$81,'MATRICULA-POS uni'!$BJ$81)</c:f>
              <c:numCache>
                <c:formatCode>#,##0</c:formatCode>
                <c:ptCount val="20"/>
                <c:pt idx="0">
                  <c:v>728</c:v>
                </c:pt>
                <c:pt idx="1">
                  <c:v>731</c:v>
                </c:pt>
                <c:pt idx="2">
                  <c:v>832</c:v>
                </c:pt>
                <c:pt idx="3">
                  <c:v>884</c:v>
                </c:pt>
                <c:pt idx="4">
                  <c:v>914</c:v>
                </c:pt>
                <c:pt idx="5">
                  <c:v>1118</c:v>
                </c:pt>
                <c:pt idx="6">
                  <c:v>1231</c:v>
                </c:pt>
                <c:pt idx="7">
                  <c:v>1243</c:v>
                </c:pt>
                <c:pt idx="8">
                  <c:v>1249</c:v>
                </c:pt>
                <c:pt idx="9">
                  <c:v>1418</c:v>
                </c:pt>
                <c:pt idx="10">
                  <c:v>1443</c:v>
                </c:pt>
                <c:pt idx="11">
                  <c:v>1570</c:v>
                </c:pt>
                <c:pt idx="12">
                  <c:v>1629</c:v>
                </c:pt>
                <c:pt idx="13">
                  <c:v>1597</c:v>
                </c:pt>
                <c:pt idx="14">
                  <c:v>1618</c:v>
                </c:pt>
                <c:pt idx="15">
                  <c:v>1656</c:v>
                </c:pt>
                <c:pt idx="16">
                  <c:v>1501</c:v>
                </c:pt>
                <c:pt idx="17">
                  <c:v>1428</c:v>
                </c:pt>
                <c:pt idx="18">
                  <c:v>1282</c:v>
                </c:pt>
                <c:pt idx="19">
                  <c:v>1530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CB0F-4240-BC93-9FE53419EBD0}"/>
            </c:ext>
          </c:extLst>
        </c:ser>
        <c:ser>
          <c:idx val="2"/>
          <c:order val="2"/>
          <c:tx>
            <c:strRef>
              <c:f>'MATRICULA-POS uni'!$B$82</c:f>
              <c:strCache>
                <c:ptCount val="1"/>
                <c:pt idx="0">
                  <c:v>Doctorado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('MATRICULA-POS uni'!$AN$97:$AN$115,'MATRICULA-POS uni'!$AN$116)</c:f>
              <c:numCache>
                <c:formatCode>General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('MATRICULA-POS uni'!$E$82,'MATRICULA-POS uni'!$H$82,'MATRICULA-POS uni'!$K$82,'MATRICULA-POS uni'!$N$82,'MATRICULA-POS uni'!$Q$82,'MATRICULA-POS uni'!$T$82,'MATRICULA-POS uni'!$W$82,'MATRICULA-POS uni'!$Z$82,'MATRICULA-POS uni'!$AC$82,'MATRICULA-POS uni'!$AF$82,'MATRICULA-POS uni'!$AI$82,'MATRICULA-POS uni'!$AL$82,'MATRICULA-POS uni'!$AO$82,'MATRICULA-POS uni'!$AR$82,'MATRICULA-POS uni'!$AU$82,'MATRICULA-POS uni'!$AX$82,'MATRICULA-POS uni'!$BA$82,'MATRICULA-POS uni'!$BD$82,'MATRICULA-POS uni'!$BG$82,'MATRICULA-POS uni'!$BJ$82)</c:f>
              <c:numCache>
                <c:formatCode>#,##0</c:formatCode>
                <c:ptCount val="20"/>
                <c:pt idx="0">
                  <c:v>817</c:v>
                </c:pt>
                <c:pt idx="1">
                  <c:v>766</c:v>
                </c:pt>
                <c:pt idx="2">
                  <c:v>827</c:v>
                </c:pt>
                <c:pt idx="3">
                  <c:v>793</c:v>
                </c:pt>
                <c:pt idx="4">
                  <c:v>879</c:v>
                </c:pt>
                <c:pt idx="5">
                  <c:v>887</c:v>
                </c:pt>
                <c:pt idx="6">
                  <c:v>1051</c:v>
                </c:pt>
                <c:pt idx="7">
                  <c:v>1112</c:v>
                </c:pt>
                <c:pt idx="8">
                  <c:v>1159</c:v>
                </c:pt>
                <c:pt idx="9">
                  <c:v>1170</c:v>
                </c:pt>
                <c:pt idx="10">
                  <c:v>1304</c:v>
                </c:pt>
                <c:pt idx="11">
                  <c:v>1407</c:v>
                </c:pt>
                <c:pt idx="12">
                  <c:v>1379</c:v>
                </c:pt>
                <c:pt idx="13">
                  <c:v>1395</c:v>
                </c:pt>
                <c:pt idx="14">
                  <c:v>1395</c:v>
                </c:pt>
                <c:pt idx="15">
                  <c:v>1449</c:v>
                </c:pt>
                <c:pt idx="16">
                  <c:v>1421</c:v>
                </c:pt>
                <c:pt idx="17">
                  <c:v>1416</c:v>
                </c:pt>
                <c:pt idx="18">
                  <c:v>1244</c:v>
                </c:pt>
                <c:pt idx="19">
                  <c:v>1434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B0F-4240-BC93-9FE53419E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1"/>
        <c:shape val="cylinder"/>
        <c:axId val="128669952"/>
        <c:axId val="128700416"/>
        <c:axId val="0"/>
      </c:bar3DChart>
      <c:catAx>
        <c:axId val="128669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MX"/>
          </a:p>
        </c:txPr>
        <c:crossAx val="128700416"/>
        <c:crosses val="autoZero"/>
        <c:auto val="1"/>
        <c:lblAlgn val="ctr"/>
        <c:lblOffset val="100"/>
        <c:noMultiLvlLbl val="0"/>
      </c:catAx>
      <c:valAx>
        <c:axId val="128700416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286699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46978273941453"/>
          <c:y val="0.94178630871099889"/>
          <c:w val="0.56526556249434334"/>
          <c:h val="4.5041609769922442E-2"/>
        </c:manualLayout>
      </c:layout>
      <c:overlay val="0"/>
      <c:txPr>
        <a:bodyPr/>
        <a:lstStyle/>
        <a:p>
          <a:pPr>
            <a:defRPr sz="12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  <a:scene3d>
      <a:camera prst="orthographicFront"/>
      <a:lightRig rig="threePt" dir="t"/>
    </a:scene3d>
    <a:sp3d>
      <a:bevelT w="152400" h="50800" prst="softRound"/>
    </a:sp3d>
  </c:spPr>
  <c:txPr>
    <a:bodyPr/>
    <a:lstStyle/>
    <a:p>
      <a:pPr>
        <a:defRPr sz="1000"/>
      </a:pPr>
      <a:endParaRPr lang="es-MX"/>
    </a:p>
  </c:txPr>
  <c:printSettings>
    <c:headerFooter/>
    <c:pageMargins b="0.75" l="0.7" r="0.7" t="0.75" header="0.3" footer="0.3"/>
    <c:pageSetup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1"/>
            </a:pPr>
            <a:r>
              <a:rPr lang="es-MX" sz="1200" b="0" i="1"/>
              <a:t>ALUMNOS DE POSGRADO QUE REGISTRARON ACTIVIDAD ACADEMICA por Unidad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'ACTIVOS-POS uni'!$I$95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rgbClr val="CD032E"/>
            </a:solidFill>
            <a:ln>
              <a:noFill/>
            </a:ln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('ACTIVOS-POS uni'!$D$3:$S$3,'ACTIVOS-POS uni'!$T$3,'ACTIVOS-POS uni'!$U$3,'ACTIVOS-POS uni'!$V$3,'ACTIVOS-POS uni'!$W$3)</c:f>
              <c:numCache>
                <c:formatCode>0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('ACTIVOS-POS uni'!$D$20:$S$20,'ACTIVOS-POS uni'!$T$20,'ACTIVOS-POS uni'!$U$20,'ACTIVOS-POS uni'!$V$20,'ACTIVOS-POS uni'!$W$20)</c:f>
              <c:numCache>
                <c:formatCode>#,##0</c:formatCode>
                <c:ptCount val="20"/>
                <c:pt idx="0">
                  <c:v>374</c:v>
                </c:pt>
                <c:pt idx="1">
                  <c:v>381</c:v>
                </c:pt>
                <c:pt idx="2">
                  <c:v>398</c:v>
                </c:pt>
                <c:pt idx="3">
                  <c:v>395</c:v>
                </c:pt>
                <c:pt idx="4">
                  <c:v>510</c:v>
                </c:pt>
                <c:pt idx="5">
                  <c:v>462</c:v>
                </c:pt>
                <c:pt idx="6">
                  <c:v>553</c:v>
                </c:pt>
                <c:pt idx="7">
                  <c:v>599</c:v>
                </c:pt>
                <c:pt idx="8">
                  <c:v>575</c:v>
                </c:pt>
                <c:pt idx="9">
                  <c:v>589</c:v>
                </c:pt>
                <c:pt idx="10">
                  <c:v>607</c:v>
                </c:pt>
                <c:pt idx="11">
                  <c:v>698</c:v>
                </c:pt>
                <c:pt idx="12">
                  <c:v>707</c:v>
                </c:pt>
                <c:pt idx="13">
                  <c:v>727</c:v>
                </c:pt>
                <c:pt idx="14">
                  <c:v>816</c:v>
                </c:pt>
                <c:pt idx="15">
                  <c:v>768</c:v>
                </c:pt>
                <c:pt idx="16">
                  <c:v>808</c:v>
                </c:pt>
                <c:pt idx="17">
                  <c:v>754</c:v>
                </c:pt>
                <c:pt idx="18">
                  <c:v>770</c:v>
                </c:pt>
                <c:pt idx="19">
                  <c:v>780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65-4C33-B8FB-CB573187C57D}"/>
            </c:ext>
          </c:extLst>
        </c:ser>
        <c:ser>
          <c:idx val="1"/>
          <c:order val="1"/>
          <c:tx>
            <c:strRef>
              <c:f>'ACTIVOS-POS uni'!$I$96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8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65-4C33-B8FB-CB573187C57D}"/>
                </c:ext>
              </c:extLst>
            </c:dLbl>
            <c:dLbl>
              <c:idx val="9"/>
              <c:layout>
                <c:manualLayout>
                  <c:x val="7.3563218390804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65-4C33-B8FB-CB573187C57D}"/>
                </c:ext>
              </c:extLst>
            </c:dLbl>
            <c:dLbl>
              <c:idx val="10"/>
              <c:layout>
                <c:manualLayout>
                  <c:x val="5.5172413793103444E-3"/>
                  <c:y val="-3.50416070798394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65-4C33-B8FB-CB573187C57D}"/>
                </c:ext>
              </c:extLst>
            </c:dLbl>
            <c:dLbl>
              <c:idx val="15"/>
              <c:layout>
                <c:manualLayout>
                  <c:x val="4.738554308123188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7F-4A6F-8C32-F1838C2C01C4}"/>
                </c:ext>
              </c:extLst>
            </c:dLbl>
            <c:dLbl>
              <c:idx val="16"/>
              <c:layout>
                <c:manualLayout>
                  <c:x val="3.159036205415342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7F-4A6F-8C32-F1838C2C01C4}"/>
                </c:ext>
              </c:extLst>
            </c:dLbl>
            <c:dLbl>
              <c:idx val="17"/>
              <c:layout>
                <c:manualLayout>
                  <c:x val="3.1590362054155744E-3"/>
                  <c:y val="-1.1477611800363638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7F-4A6F-8C32-F1838C2C01C4}"/>
                </c:ext>
              </c:extLst>
            </c:dLbl>
            <c:dLbl>
              <c:idx val="18"/>
              <c:layout>
                <c:manualLayout>
                  <c:x val="3.159036205415458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7F-4A6F-8C32-F1838C2C01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('ACTIVOS-POS uni'!$D$3:$S$3,'ACTIVOS-POS uni'!$T$3,'ACTIVOS-POS uni'!$U$3,'ACTIVOS-POS uni'!$V$3,'ACTIVOS-POS uni'!$W$3)</c:f>
              <c:numCache>
                <c:formatCode>0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('ACTIVOS-POS uni'!$D$71:$S$71,'ACTIVOS-POS uni'!$T$71,'ACTIVOS-POS uni'!$U$71,'ACTIVOS-POS uni'!$V$71,'ACTIVOS-POS uni'!$W$71)</c:f>
              <c:numCache>
                <c:formatCode>#,##0</c:formatCode>
                <c:ptCount val="20"/>
                <c:pt idx="8">
                  <c:v>32</c:v>
                </c:pt>
                <c:pt idx="9">
                  <c:v>85</c:v>
                </c:pt>
                <c:pt idx="10">
                  <c:v>138</c:v>
                </c:pt>
                <c:pt idx="11">
                  <c:v>179</c:v>
                </c:pt>
                <c:pt idx="12">
                  <c:v>219</c:v>
                </c:pt>
                <c:pt idx="13">
                  <c:v>253</c:v>
                </c:pt>
                <c:pt idx="14">
                  <c:v>252</c:v>
                </c:pt>
                <c:pt idx="15">
                  <c:v>244</c:v>
                </c:pt>
                <c:pt idx="16">
                  <c:v>274</c:v>
                </c:pt>
                <c:pt idx="17">
                  <c:v>224</c:v>
                </c:pt>
                <c:pt idx="18">
                  <c:v>239</c:v>
                </c:pt>
                <c:pt idx="19">
                  <c:v>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65-4C33-B8FB-CB573187C57D}"/>
            </c:ext>
          </c:extLst>
        </c:ser>
        <c:ser>
          <c:idx val="2"/>
          <c:order val="2"/>
          <c:tx>
            <c:strRef>
              <c:f>'ACTIVOS-POS uni'!$I$97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rgbClr val="57A519"/>
            </a:solidFill>
            <a:ln>
              <a:noFill/>
            </a:ln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anchor="ctr" anchorCtr="1"/>
              <a:lstStyle/>
              <a:p>
                <a:pPr>
                  <a:defRPr sz="900">
                    <a:solidFill>
                      <a:schemeClr val="tx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('ACTIVOS-POS uni'!$D$3:$S$3,'ACTIVOS-POS uni'!$T$3,'ACTIVOS-POS uni'!$U$3,'ACTIVOS-POS uni'!$V$3,'ACTIVOS-POS uni'!$W$3)</c:f>
              <c:numCache>
                <c:formatCode>0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('ACTIVOS-POS uni'!$D$37:$S$37,'ACTIVOS-POS uni'!$T$37,'ACTIVOS-POS uni'!$U$37,'ACTIVOS-POS uni'!$V$37,'ACTIVOS-POS uni'!$W$37)</c:f>
              <c:numCache>
                <c:formatCode>#,##0</c:formatCode>
                <c:ptCount val="20"/>
                <c:pt idx="0">
                  <c:v>1142</c:v>
                </c:pt>
                <c:pt idx="1">
                  <c:v>1209</c:v>
                </c:pt>
                <c:pt idx="2">
                  <c:v>1213</c:v>
                </c:pt>
                <c:pt idx="3">
                  <c:v>1210</c:v>
                </c:pt>
                <c:pt idx="4">
                  <c:v>1314</c:v>
                </c:pt>
                <c:pt idx="5">
                  <c:v>1459</c:v>
                </c:pt>
                <c:pt idx="6">
                  <c:v>1563</c:v>
                </c:pt>
                <c:pt idx="7">
                  <c:v>1781</c:v>
                </c:pt>
                <c:pt idx="8">
                  <c:v>1821</c:v>
                </c:pt>
                <c:pt idx="9">
                  <c:v>1826</c:v>
                </c:pt>
                <c:pt idx="10">
                  <c:v>1773</c:v>
                </c:pt>
                <c:pt idx="11">
                  <c:v>1875</c:v>
                </c:pt>
                <c:pt idx="12">
                  <c:v>1802</c:v>
                </c:pt>
                <c:pt idx="13">
                  <c:v>1833</c:v>
                </c:pt>
                <c:pt idx="14">
                  <c:v>1717</c:v>
                </c:pt>
                <c:pt idx="15">
                  <c:v>1710</c:v>
                </c:pt>
                <c:pt idx="16">
                  <c:v>1693</c:v>
                </c:pt>
                <c:pt idx="17">
                  <c:v>1574</c:v>
                </c:pt>
                <c:pt idx="18">
                  <c:v>1475</c:v>
                </c:pt>
                <c:pt idx="19">
                  <c:v>1724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65-4C33-B8FB-CB573187C57D}"/>
            </c:ext>
          </c:extLst>
        </c:ser>
        <c:ser>
          <c:idx val="4"/>
          <c:order val="3"/>
          <c:tx>
            <c:strRef>
              <c:f>'ACTIVOS-POS uni'!$I$98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  <a:scene3d>
              <a:camera prst="orthographicFront"/>
              <a:lightRig rig="threePt" dir="t"/>
            </a:scene3d>
            <a:sp3d>
              <a:bevelT w="88900" h="88900" prst="coolSlant"/>
              <a:bevelB w="88900" h="38100" prst="coolSlant"/>
            </a:sp3d>
          </c:spPr>
          <c:invertIfNegative val="0"/>
          <c:dLbls>
            <c:dLbl>
              <c:idx val="15"/>
              <c:layout>
                <c:manualLayout>
                  <c:x val="2.7928909563007337E-2"/>
                  <c:y val="-1.132802343384501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rgbClr val="AD25A8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65-4C33-B8FB-CB573187C57D}"/>
                </c:ext>
              </c:extLst>
            </c:dLbl>
            <c:dLbl>
              <c:idx val="16"/>
              <c:layout>
                <c:manualLayout>
                  <c:x val="2.544293428204986E-2"/>
                  <c:y val="-1.155981761884596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rgbClr val="AD25A8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65-4C33-B8FB-CB573187C57D}"/>
                </c:ext>
              </c:extLst>
            </c:dLbl>
            <c:dLbl>
              <c:idx val="17"/>
              <c:layout>
                <c:manualLayout>
                  <c:x val="2.314814814814796E-2"/>
                  <c:y val="-8.3394967540533563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rgbClr val="AD25A8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65-4C33-B8FB-CB573187C57D}"/>
                </c:ext>
              </c:extLst>
            </c:dLbl>
            <c:dLbl>
              <c:idx val="18"/>
              <c:layout>
                <c:manualLayout>
                  <c:x val="2.1100298113600001E-2"/>
                  <c:y val="-3.130293924740339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rgbClr val="AD25A8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3C-4455-AC6B-1CADED568C28}"/>
                </c:ext>
              </c:extLst>
            </c:dLbl>
            <c:dLbl>
              <c:idx val="19"/>
              <c:layout>
                <c:manualLayout>
                  <c:x val="2.7592697533169386E-2"/>
                  <c:y val="-6.260587849480679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rgbClr val="AD25A8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3C-4455-AC6B-1CADED568C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('ACTIVOS-POS uni'!$D$3:$S$3,'ACTIVOS-POS uni'!$T$3,'ACTIVOS-POS uni'!$U$3,'ACTIVOS-POS uni'!$V$3,'ACTIVOS-POS uni'!$W$3)</c:f>
              <c:numCache>
                <c:formatCode>0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('ACTIVOS-POS uni'!$D$77:$S$77,'ACTIVOS-POS uni'!$T$77,'ACTIVOS-POS uni'!$U$77,'ACTIVOS-POS uni'!$V$77,'ACTIVOS-POS uni'!$W$77)</c:f>
              <c:numCache>
                <c:formatCode>#,##0</c:formatCode>
                <c:ptCount val="20"/>
                <c:pt idx="15">
                  <c:v>1</c:v>
                </c:pt>
                <c:pt idx="16">
                  <c:v>3</c:v>
                </c:pt>
                <c:pt idx="17">
                  <c:v>7</c:v>
                </c:pt>
                <c:pt idx="18">
                  <c:v>9</c:v>
                </c:pt>
                <c:pt idx="19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065-4C33-B8FB-CB573187C57D}"/>
            </c:ext>
          </c:extLst>
        </c:ser>
        <c:ser>
          <c:idx val="3"/>
          <c:order val="4"/>
          <c:tx>
            <c:strRef>
              <c:f>'ACTIVOS-POS uni'!$I$99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rgbClr val="0072CE"/>
            </a:solidFill>
            <a:ln>
              <a:noFill/>
            </a:ln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('ACTIVOS-POS uni'!$D$3:$S$3,'ACTIVOS-POS uni'!$T$3,'ACTIVOS-POS uni'!$U$3,'ACTIVOS-POS uni'!$V$3,'ACTIVOS-POS uni'!$W$3)</c:f>
              <c:numCache>
                <c:formatCode>0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('ACTIVOS-POS uni'!$D$54:$S$54,'ACTIVOS-POS uni'!$T$54,'ACTIVOS-POS uni'!$U$54,'ACTIVOS-POS uni'!$V$54,'ACTIVOS-POS uni'!$W$54)</c:f>
              <c:numCache>
                <c:formatCode>#,##0</c:formatCode>
                <c:ptCount val="20"/>
                <c:pt idx="0">
                  <c:v>638</c:v>
                </c:pt>
                <c:pt idx="1">
                  <c:v>642</c:v>
                </c:pt>
                <c:pt idx="2">
                  <c:v>645</c:v>
                </c:pt>
                <c:pt idx="3">
                  <c:v>739</c:v>
                </c:pt>
                <c:pt idx="4">
                  <c:v>793</c:v>
                </c:pt>
                <c:pt idx="5">
                  <c:v>823</c:v>
                </c:pt>
                <c:pt idx="6">
                  <c:v>933</c:v>
                </c:pt>
                <c:pt idx="7">
                  <c:v>946</c:v>
                </c:pt>
                <c:pt idx="8">
                  <c:v>952</c:v>
                </c:pt>
                <c:pt idx="9">
                  <c:v>936</c:v>
                </c:pt>
                <c:pt idx="10">
                  <c:v>990</c:v>
                </c:pt>
                <c:pt idx="11">
                  <c:v>956</c:v>
                </c:pt>
                <c:pt idx="12">
                  <c:v>990</c:v>
                </c:pt>
                <c:pt idx="13">
                  <c:v>1029</c:v>
                </c:pt>
                <c:pt idx="14">
                  <c:v>1053</c:v>
                </c:pt>
                <c:pt idx="15">
                  <c:v>1145</c:v>
                </c:pt>
                <c:pt idx="16">
                  <c:v>1116</c:v>
                </c:pt>
                <c:pt idx="17">
                  <c:v>1112</c:v>
                </c:pt>
                <c:pt idx="18">
                  <c:v>1110</c:v>
                </c:pt>
                <c:pt idx="19">
                  <c:v>1051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065-4C33-B8FB-CB573187C5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shape val="cylinder"/>
        <c:axId val="130563456"/>
        <c:axId val="130581632"/>
        <c:axId val="0"/>
      </c:bar3DChart>
      <c:catAx>
        <c:axId val="13056345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es-MX"/>
          </a:p>
        </c:txPr>
        <c:crossAx val="130581632"/>
        <c:crosses val="autoZero"/>
        <c:auto val="1"/>
        <c:lblAlgn val="ctr"/>
        <c:lblOffset val="100"/>
        <c:noMultiLvlLbl val="0"/>
      </c:catAx>
      <c:valAx>
        <c:axId val="130581632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305634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1958801701511451"/>
          <c:y val="0.92612208330355716"/>
          <c:w val="0.7611551489149142"/>
          <c:h val="5.8066154764883304E-2"/>
        </c:manualLayout>
      </c:layout>
      <c:overlay val="0"/>
      <c:txPr>
        <a:bodyPr/>
        <a:lstStyle/>
        <a:p>
          <a:pPr>
            <a:defRPr sz="1200" b="0" i="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>
                <a:solidFill>
                  <a:srgbClr val="CD032E"/>
                </a:solidFill>
              </a:defRPr>
            </a:pPr>
            <a:r>
              <a:rPr lang="es-MX" sz="1200" b="0">
                <a:solidFill>
                  <a:srgbClr val="CD032E"/>
                </a:solidFill>
              </a:rPr>
              <a:t>Azcapotzalco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3.2376747608535691E-2"/>
          <c:y val="0.10671834625322997"/>
          <c:w val="0.93524650478292859"/>
          <c:h val="0.65183991535941732"/>
        </c:manualLayout>
      </c:layout>
      <c:lineChart>
        <c:grouping val="standard"/>
        <c:varyColors val="0"/>
        <c:ser>
          <c:idx val="0"/>
          <c:order val="0"/>
          <c:tx>
            <c:strRef>
              <c:f>'Admitidos uni'!$B$6</c:f>
              <c:strCache>
                <c:ptCount val="1"/>
                <c:pt idx="0">
                  <c:v>CBI</c:v>
                </c:pt>
              </c:strCache>
            </c:strRef>
          </c:tx>
          <c:spPr>
            <a:ln w="12700">
              <a:solidFill>
                <a:srgbClr val="CD032E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CD032E"/>
                </a:solidFill>
              </a:ln>
            </c:spPr>
          </c:marker>
          <c:dLbls>
            <c:dLbl>
              <c:idx val="2"/>
              <c:layout>
                <c:manualLayout>
                  <c:x val="-4.8881472597382278E-2"/>
                  <c:y val="5.22867199739567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48-4040-A019-C3B93AC8C972}"/>
                </c:ext>
              </c:extLst>
            </c:dLbl>
            <c:dLbl>
              <c:idx val="4"/>
              <c:layout>
                <c:manualLayout>
                  <c:x val="1.2287867990011182E-3"/>
                  <c:y val="5.77509206697990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48-4040-A019-C3B93AC8C9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D032E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uni'!$AP$51:$AP$55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('Admitidos uni'!$Z$6,'Admitidos uni'!$AC$6,'Admitidos uni'!$AF$6,'Admitidos uni'!$AI$6,'Admitidos uni'!$AL$6)</c:f>
              <c:numCache>
                <c:formatCode>#,##0</c:formatCode>
                <c:ptCount val="5"/>
                <c:pt idx="0">
                  <c:v>2385</c:v>
                </c:pt>
                <c:pt idx="1">
                  <c:v>2036</c:v>
                </c:pt>
                <c:pt idx="2">
                  <c:v>1449</c:v>
                </c:pt>
                <c:pt idx="3">
                  <c:v>1548</c:v>
                </c:pt>
                <c:pt idx="4">
                  <c:v>1454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48-4040-A019-C3B93AC8C972}"/>
            </c:ext>
          </c:extLst>
        </c:ser>
        <c:ser>
          <c:idx val="1"/>
          <c:order val="1"/>
          <c:tx>
            <c:strRef>
              <c:f>'Admitidos uni'!$B$7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0"/>
              <c:layout>
                <c:manualLayout>
                  <c:x val="-4.8881472597382278E-2"/>
                  <c:y val="4.0736535839996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48-4040-A019-C3B93AC8C972}"/>
                </c:ext>
              </c:extLst>
            </c:dLbl>
            <c:dLbl>
              <c:idx val="1"/>
              <c:layout>
                <c:manualLayout>
                  <c:x val="-5.1824813289067344E-2"/>
                  <c:y val="4.5904494496327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48-4040-A019-C3B93AC8C972}"/>
                </c:ext>
              </c:extLst>
            </c:dLbl>
            <c:dLbl>
              <c:idx val="2"/>
              <c:layout>
                <c:manualLayout>
                  <c:x val="-5.4768153980752403E-2"/>
                  <c:y val="-4.7118761317625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48-4040-A019-C3B93AC8C972}"/>
                </c:ext>
              </c:extLst>
            </c:dLbl>
            <c:dLbl>
              <c:idx val="3"/>
              <c:layout>
                <c:manualLayout>
                  <c:x val="-5.1824813289067344E-2"/>
                  <c:y val="4.0736535839996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48-4040-A019-C3B93AC8C972}"/>
                </c:ext>
              </c:extLst>
            </c:dLbl>
            <c:dLbl>
              <c:idx val="4"/>
              <c:layout>
                <c:manualLayout>
                  <c:x val="-3.9977982884589758E-2"/>
                  <c:y val="-3.1614885348633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48-4040-A019-C3B93AC8C9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uni'!$AP$51:$AP$55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('Admitidos uni'!$Z$7,'Admitidos uni'!$AC$7,'Admitidos uni'!$AF$7,'Admitidos uni'!$AI$7,'Admitidos uni'!$AL$7)</c:f>
              <c:numCache>
                <c:formatCode>#,##0</c:formatCode>
                <c:ptCount val="5"/>
                <c:pt idx="0">
                  <c:v>1349</c:v>
                </c:pt>
                <c:pt idx="1">
                  <c:v>1405</c:v>
                </c:pt>
                <c:pt idx="2">
                  <c:v>1586</c:v>
                </c:pt>
                <c:pt idx="3">
                  <c:v>1512</c:v>
                </c:pt>
                <c:pt idx="4">
                  <c:v>1454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548-4040-A019-C3B93AC8C972}"/>
            </c:ext>
          </c:extLst>
        </c:ser>
        <c:ser>
          <c:idx val="2"/>
          <c:order val="2"/>
          <c:tx>
            <c:strRef>
              <c:f>'Admitidos uni'!$B$8</c:f>
              <c:strCache>
                <c:ptCount val="1"/>
                <c:pt idx="0">
                  <c:v>CAD</c:v>
                </c:pt>
              </c:strCache>
            </c:strRef>
          </c:tx>
          <c:spPr>
            <a:ln w="12700">
              <a:solidFill>
                <a:srgbClr val="AD25A8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rgbClr val="AD25A8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AD25A8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uni'!$AP$51:$AP$55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('Admitidos uni'!$Z$8,'Admitidos uni'!$AC$8,'Admitidos uni'!$AF$8,'Admitidos uni'!$AI$8,'Admitidos uni'!$AL$8)</c:f>
              <c:numCache>
                <c:formatCode>#,##0</c:formatCode>
                <c:ptCount val="5"/>
                <c:pt idx="0">
                  <c:v>622</c:v>
                </c:pt>
                <c:pt idx="1">
                  <c:v>658</c:v>
                </c:pt>
                <c:pt idx="2">
                  <c:v>640</c:v>
                </c:pt>
                <c:pt idx="3">
                  <c:v>691</c:v>
                </c:pt>
                <c:pt idx="4">
                  <c:v>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548-4040-A019-C3B93AC8C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70432"/>
        <c:axId val="114371968"/>
      </c:lineChart>
      <c:catAx>
        <c:axId val="114370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4371968"/>
        <c:crosses val="autoZero"/>
        <c:auto val="1"/>
        <c:lblAlgn val="ctr"/>
        <c:lblOffset val="100"/>
        <c:noMultiLvlLbl val="0"/>
      </c:catAx>
      <c:valAx>
        <c:axId val="11437196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14370432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497E-2"/>
          <c:y val="0.87554049929805289"/>
          <c:w val="0.8444690109100601"/>
          <c:h val="8.0968076664835506E-2"/>
        </c:manualLayout>
      </c:layout>
      <c:overlay val="0"/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1"/>
            </a:pPr>
            <a:r>
              <a:rPr lang="es-MX" sz="1200" b="0" i="1" baseline="0">
                <a:effectLst/>
              </a:rPr>
              <a:t>ALUMNOS DE POSGRADO QUE REGISTRARON ACTIVIDAD ACADEMICA por nivel</a:t>
            </a:r>
            <a:endParaRPr lang="es-MX" sz="1200" b="0" i="1">
              <a:effectLst/>
            </a:endParaRP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'ACTIVOS-POS uni'!$C$79</c:f>
              <c:strCache>
                <c:ptCount val="1"/>
                <c:pt idx="0">
                  <c:v>Especialización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2D-4E86-ACC2-F1468D8D1EFB}"/>
                </c:ext>
              </c:extLst>
            </c:dLbl>
            <c:dLbl>
              <c:idx val="1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2D-4E86-ACC2-F1468D8D1EFB}"/>
                </c:ext>
              </c:extLst>
            </c:dLbl>
            <c:dLbl>
              <c:idx val="2"/>
              <c:layout>
                <c:manualLayout>
                  <c:x val="4.699035545368309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2D-4E86-ACC2-F1468D8D1EFB}"/>
                </c:ext>
              </c:extLst>
            </c:dLbl>
            <c:dLbl>
              <c:idx val="3"/>
              <c:layout>
                <c:manualLayout>
                  <c:x val="7.3563218390804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2D-4E86-ACC2-F1468D8D1EFB}"/>
                </c:ext>
              </c:extLst>
            </c:dLbl>
            <c:dLbl>
              <c:idx val="4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2D-4E86-ACC2-F1468D8D1EFB}"/>
                </c:ext>
              </c:extLst>
            </c:dLbl>
            <c:dLbl>
              <c:idx val="5"/>
              <c:layout>
                <c:manualLayout>
                  <c:x val="3.6781609195402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2D-4E86-ACC2-F1468D8D1EFB}"/>
                </c:ext>
              </c:extLst>
            </c:dLbl>
            <c:dLbl>
              <c:idx val="6"/>
              <c:layout>
                <c:manualLayout>
                  <c:x val="5.517241379310277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2D-4E86-ACC2-F1468D8D1EFB}"/>
                </c:ext>
              </c:extLst>
            </c:dLbl>
            <c:dLbl>
              <c:idx val="7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2D-4E86-ACC2-F1468D8D1EFB}"/>
                </c:ext>
              </c:extLst>
            </c:dLbl>
            <c:dLbl>
              <c:idx val="8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2D-4E86-ACC2-F1468D8D1EFB}"/>
                </c:ext>
              </c:extLst>
            </c:dLbl>
            <c:dLbl>
              <c:idx val="9"/>
              <c:layout>
                <c:manualLayout>
                  <c:x val="3.67816091954022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2D-4E86-ACC2-F1468D8D1EFB}"/>
                </c:ext>
              </c:extLst>
            </c:dLbl>
            <c:dLbl>
              <c:idx val="10"/>
              <c:layout>
                <c:manualLayout>
                  <c:x val="2.8599914005671303E-3"/>
                  <c:y val="-9.958730756317792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2D-4E86-ACC2-F1468D8D1EFB}"/>
                </c:ext>
              </c:extLst>
            </c:dLbl>
            <c:dLbl>
              <c:idx val="11"/>
              <c:layout>
                <c:manualLayout>
                  <c:x val="5.3144912996128165E-3"/>
                  <c:y val="-2.716048854661445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2D-4E86-ACC2-F1468D8D1EFB}"/>
                </c:ext>
              </c:extLst>
            </c:dLbl>
            <c:dLbl>
              <c:idx val="12"/>
              <c:layout>
                <c:manualLayout>
                  <c:x val="5.31449129961281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2D-4E86-ACC2-F1468D8D1EFB}"/>
                </c:ext>
              </c:extLst>
            </c:dLbl>
            <c:dLbl>
              <c:idx val="13"/>
              <c:layout>
                <c:manualLayout>
                  <c:x val="2.6572456498064083E-3"/>
                  <c:y val="-2.71604885466154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2D-4E86-ACC2-F1468D8D1EFB}"/>
                </c:ext>
              </c:extLst>
            </c:dLbl>
            <c:dLbl>
              <c:idx val="14"/>
              <c:layout>
                <c:manualLayout>
                  <c:x val="5.3144912996127185E-3"/>
                  <c:y val="-9.958730756317792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2D-4E86-ACC2-F1468D8D1EFB}"/>
                </c:ext>
              </c:extLst>
            </c:dLbl>
            <c:dLbl>
              <c:idx val="15"/>
              <c:layout>
                <c:manualLayout>
                  <c:x val="5.3144912996128165E-3"/>
                  <c:y val="-9.958730756317792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A2D-4E86-ACC2-F1468D8D1EFB}"/>
                </c:ext>
              </c:extLst>
            </c:dLbl>
            <c:dLbl>
              <c:idx val="16"/>
              <c:layout>
                <c:manualLayout>
                  <c:x val="2.6755165168902131E-3"/>
                  <c:y val="-2.7733332867472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A2D-4E86-ACC2-F1468D8D1EFB}"/>
                </c:ext>
              </c:extLst>
            </c:dLbl>
            <c:dLbl>
              <c:idx val="17"/>
              <c:layout>
                <c:manualLayout>
                  <c:x val="6.310904734035740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41-447B-9F8A-545FFBDBE499}"/>
                </c:ext>
              </c:extLst>
            </c:dLbl>
            <c:dLbl>
              <c:idx val="18"/>
              <c:layout>
                <c:manualLayout>
                  <c:x val="3.1554523670178701E-3"/>
                  <c:y val="-1.1055801354816007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41-447B-9F8A-545FFBDBE4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('ACTIVOS-POS uni'!$D$3:$S$3,'ACTIVOS-POS uni'!$T$3,'ACTIVOS-POS uni'!$U$3,'ACTIVOS-POS uni'!$V$3,'ACTIVOS-POS uni'!$W$3)</c:f>
              <c:numCache>
                <c:formatCode>0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('ACTIVOS-POS uni'!$D$79:$S$79,'ACTIVOS-POS uni'!$T$79,'ACTIVOS-POS uni'!$U$79,'ACTIVOS-POS uni'!$V$79,'ACTIVOS-POS uni'!$W$79)</c:f>
              <c:numCache>
                <c:formatCode>#,##0</c:formatCode>
                <c:ptCount val="20"/>
                <c:pt idx="0">
                  <c:v>223</c:v>
                </c:pt>
                <c:pt idx="1">
                  <c:v>282</c:v>
                </c:pt>
                <c:pt idx="2">
                  <c:v>225</c:v>
                </c:pt>
                <c:pt idx="3">
                  <c:v>254</c:v>
                </c:pt>
                <c:pt idx="4">
                  <c:v>336</c:v>
                </c:pt>
                <c:pt idx="5">
                  <c:v>322</c:v>
                </c:pt>
                <c:pt idx="6">
                  <c:v>365</c:v>
                </c:pt>
                <c:pt idx="7">
                  <c:v>394</c:v>
                </c:pt>
                <c:pt idx="8">
                  <c:v>363</c:v>
                </c:pt>
                <c:pt idx="9">
                  <c:v>349</c:v>
                </c:pt>
                <c:pt idx="10">
                  <c:v>221</c:v>
                </c:pt>
                <c:pt idx="11">
                  <c:v>221</c:v>
                </c:pt>
                <c:pt idx="12">
                  <c:v>190</c:v>
                </c:pt>
                <c:pt idx="13">
                  <c:v>145</c:v>
                </c:pt>
                <c:pt idx="14">
                  <c:v>192</c:v>
                </c:pt>
                <c:pt idx="15">
                  <c:v>212</c:v>
                </c:pt>
                <c:pt idx="16">
                  <c:v>155</c:v>
                </c:pt>
                <c:pt idx="17">
                  <c:v>167</c:v>
                </c:pt>
                <c:pt idx="18">
                  <c:v>142</c:v>
                </c:pt>
                <c:pt idx="19">
                  <c:v>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A2D-4E86-ACC2-F1468D8D1EFB}"/>
            </c:ext>
          </c:extLst>
        </c:ser>
        <c:ser>
          <c:idx val="1"/>
          <c:order val="1"/>
          <c:tx>
            <c:strRef>
              <c:f>'ACTIVOS-POS uni'!$C$80</c:f>
              <c:strCache>
                <c:ptCount val="1"/>
                <c:pt idx="0">
                  <c:v>Maestría</c:v>
                </c:pt>
              </c:strCache>
            </c:strRef>
          </c:tx>
          <c:spPr>
            <a:solidFill>
              <a:srgbClr val="CC9900"/>
            </a:solidFill>
            <a:ln>
              <a:noFill/>
            </a:ln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>
                    <a:solidFill>
                      <a:schemeClr val="tx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('ACTIVOS-POS uni'!$D$3:$S$3,'ACTIVOS-POS uni'!$T$3,'ACTIVOS-POS uni'!$U$3,'ACTIVOS-POS uni'!$V$3,'ACTIVOS-POS uni'!$W$3)</c:f>
              <c:numCache>
                <c:formatCode>0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('ACTIVOS-POS uni'!$D$80:$S$80,'ACTIVOS-POS uni'!$T$80,'ACTIVOS-POS uni'!$U$80,'ACTIVOS-POS uni'!$V$80,'ACTIVOS-POS uni'!$W$80)</c:f>
              <c:numCache>
                <c:formatCode>#,##0</c:formatCode>
                <c:ptCount val="20"/>
                <c:pt idx="0">
                  <c:v>956</c:v>
                </c:pt>
                <c:pt idx="1">
                  <c:v>1012</c:v>
                </c:pt>
                <c:pt idx="2">
                  <c:v>1073</c:v>
                </c:pt>
                <c:pt idx="3">
                  <c:v>1172</c:v>
                </c:pt>
                <c:pt idx="4">
                  <c:v>1232</c:v>
                </c:pt>
                <c:pt idx="5">
                  <c:v>1404</c:v>
                </c:pt>
                <c:pt idx="6">
                  <c:v>1561</c:v>
                </c:pt>
                <c:pt idx="7">
                  <c:v>1630</c:v>
                </c:pt>
                <c:pt idx="8">
                  <c:v>1625</c:v>
                </c:pt>
                <c:pt idx="9">
                  <c:v>1759</c:v>
                </c:pt>
                <c:pt idx="10">
                  <c:v>1791</c:v>
                </c:pt>
                <c:pt idx="11">
                  <c:v>1914</c:v>
                </c:pt>
                <c:pt idx="12">
                  <c:v>1943</c:v>
                </c:pt>
                <c:pt idx="13">
                  <c:v>2078</c:v>
                </c:pt>
                <c:pt idx="14">
                  <c:v>2026</c:v>
                </c:pt>
                <c:pt idx="15">
                  <c:v>2005</c:v>
                </c:pt>
                <c:pt idx="16">
                  <c:v>2015</c:v>
                </c:pt>
                <c:pt idx="17">
                  <c:v>1845</c:v>
                </c:pt>
                <c:pt idx="18">
                  <c:v>1798</c:v>
                </c:pt>
                <c:pt idx="19">
                  <c:v>1983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A2D-4E86-ACC2-F1468D8D1EFB}"/>
            </c:ext>
          </c:extLst>
        </c:ser>
        <c:ser>
          <c:idx val="2"/>
          <c:order val="2"/>
          <c:tx>
            <c:strRef>
              <c:f>'ACTIVOS-POS uni'!$C$81</c:f>
              <c:strCache>
                <c:ptCount val="1"/>
                <c:pt idx="0">
                  <c:v>Doctorado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anchor="ctr" anchorCtr="1"/>
              <a:lstStyle/>
              <a:p>
                <a:pPr>
                  <a:defRPr sz="900">
                    <a:solidFill>
                      <a:schemeClr val="tx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('ACTIVOS-POS uni'!$D$3:$S$3,'ACTIVOS-POS uni'!$T$3,'ACTIVOS-POS uni'!$U$3,'ACTIVOS-POS uni'!$V$3,'ACTIVOS-POS uni'!$W$3)</c:f>
              <c:numCache>
                <c:formatCode>0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('ACTIVOS-POS uni'!$D$81:$S$81,'ACTIVOS-POS uni'!$T$81,'ACTIVOS-POS uni'!$U$81,'ACTIVOS-POS uni'!$V$81,'ACTIVOS-POS uni'!$W$81)</c:f>
              <c:numCache>
                <c:formatCode>#,##0</c:formatCode>
                <c:ptCount val="20"/>
                <c:pt idx="0">
                  <c:v>975</c:v>
                </c:pt>
                <c:pt idx="1">
                  <c:v>938</c:v>
                </c:pt>
                <c:pt idx="2">
                  <c:v>958</c:v>
                </c:pt>
                <c:pt idx="3">
                  <c:v>918</c:v>
                </c:pt>
                <c:pt idx="4">
                  <c:v>1049</c:v>
                </c:pt>
                <c:pt idx="5">
                  <c:v>1018</c:v>
                </c:pt>
                <c:pt idx="6">
                  <c:v>1123</c:v>
                </c:pt>
                <c:pt idx="7">
                  <c:v>1302</c:v>
                </c:pt>
                <c:pt idx="8">
                  <c:v>1392</c:v>
                </c:pt>
                <c:pt idx="9">
                  <c:v>1328</c:v>
                </c:pt>
                <c:pt idx="10">
                  <c:v>1496</c:v>
                </c:pt>
                <c:pt idx="11">
                  <c:v>1573</c:v>
                </c:pt>
                <c:pt idx="12">
                  <c:v>1585</c:v>
                </c:pt>
                <c:pt idx="13">
                  <c:v>1619</c:v>
                </c:pt>
                <c:pt idx="14">
                  <c:v>1620</c:v>
                </c:pt>
                <c:pt idx="15">
                  <c:v>1651</c:v>
                </c:pt>
                <c:pt idx="16">
                  <c:v>1724</c:v>
                </c:pt>
                <c:pt idx="17">
                  <c:v>1659</c:v>
                </c:pt>
                <c:pt idx="18">
                  <c:v>1663</c:v>
                </c:pt>
                <c:pt idx="19">
                  <c:v>1677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6A2D-4E86-ACC2-F1468D8D1E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31027328"/>
        <c:axId val="131028864"/>
        <c:axId val="0"/>
      </c:bar3DChart>
      <c:catAx>
        <c:axId val="13102732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es-MX"/>
          </a:p>
        </c:txPr>
        <c:crossAx val="131028864"/>
        <c:crosses val="autoZero"/>
        <c:auto val="1"/>
        <c:lblAlgn val="ctr"/>
        <c:lblOffset val="100"/>
        <c:noMultiLvlLbl val="0"/>
      </c:catAx>
      <c:valAx>
        <c:axId val="131028864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310273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681848187580621"/>
          <c:y val="0.93024609113520129"/>
          <c:w val="0.56526556249434334"/>
          <c:h val="5.6877087444361436E-2"/>
        </c:manualLayout>
      </c:layout>
      <c:overlay val="0"/>
      <c:txPr>
        <a:bodyPr/>
        <a:lstStyle/>
        <a:p>
          <a:pPr>
            <a:defRPr sz="1200" b="0" i="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  <a:scene3d>
      <a:camera prst="orthographicFront"/>
      <a:lightRig rig="threePt" dir="t"/>
    </a:scene3d>
    <a:sp3d>
      <a:bevelT w="152400" h="50800" prst="softRound"/>
    </a:sp3d>
  </c:spPr>
  <c:printSettings>
    <c:headerFooter/>
    <c:pageMargins b="0.75" l="0.7" r="0.7" t="0.75" header="0.3" footer="0.3"/>
    <c:pageSetup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1"/>
            </a:pPr>
            <a:r>
              <a:rPr lang="es-MX" sz="1200" b="0" i="1"/>
              <a:t>ESTUDIANTES QUE TERMINARON ESTUDIOS DE POSGRADO por Unidad</a:t>
            </a:r>
          </a:p>
        </c:rich>
      </c:tx>
      <c:layout>
        <c:manualLayout>
          <c:xMode val="edge"/>
          <c:yMode val="edge"/>
          <c:x val="0.30238584530857066"/>
          <c:y val="1.1236607202895257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'EGRESO-POs uni'!$B$21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rgbClr val="CD032E"/>
            </a:solidFill>
            <a:ln w="3175">
              <a:noFill/>
            </a:ln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('EGRESO-POs uni'!$BK$94:$BK$112,'EGRESO-POs uni'!$BK$113)</c:f>
              <c:numCache>
                <c:formatCode>General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('EGRESO-POs uni'!$V$21,'EGRESO-POs uni'!$Z$21,'EGRESO-POs uni'!$AD$21,'EGRESO-POs uni'!$AH$21,'EGRESO-POs uni'!$AL$21,'EGRESO-POs uni'!$AP$21,'EGRESO-POs uni'!$AT$21,'EGRESO-POs uni'!$AX$21,'EGRESO-POs uni'!$BB$21,'EGRESO-POs uni'!$BF$21,'EGRESO-POs uni'!$BJ$21,'EGRESO-POs uni'!$BN$21,'EGRESO-POs uni'!$BR$21,'EGRESO-POs uni'!$BV$21,'EGRESO-POs uni'!$BZ$21,'EGRESO-POs uni'!$CD$21,'EGRESO-POs uni'!$CH$21,'EGRESO-POs uni'!$CL$21,'EGRESO-POs uni'!$CP$21,'EGRESO-POs uni'!$CT$21)</c:f>
              <c:numCache>
                <c:formatCode>0</c:formatCode>
                <c:ptCount val="20"/>
                <c:pt idx="0">
                  <c:v>69</c:v>
                </c:pt>
                <c:pt idx="1">
                  <c:v>84</c:v>
                </c:pt>
                <c:pt idx="2">
                  <c:v>103</c:v>
                </c:pt>
                <c:pt idx="3">
                  <c:v>107</c:v>
                </c:pt>
                <c:pt idx="4">
                  <c:v>97</c:v>
                </c:pt>
                <c:pt idx="5" formatCode="#,##0">
                  <c:v>84</c:v>
                </c:pt>
                <c:pt idx="6" formatCode="#,##0">
                  <c:v>121</c:v>
                </c:pt>
                <c:pt idx="7" formatCode="#,##0">
                  <c:v>104</c:v>
                </c:pt>
                <c:pt idx="8" formatCode="#,##0">
                  <c:v>158</c:v>
                </c:pt>
                <c:pt idx="9" formatCode="#,##0">
                  <c:v>121</c:v>
                </c:pt>
                <c:pt idx="10" formatCode="#,##0">
                  <c:v>154</c:v>
                </c:pt>
                <c:pt idx="11" formatCode="#,##0">
                  <c:v>138</c:v>
                </c:pt>
                <c:pt idx="12" formatCode="#,##0">
                  <c:v>105</c:v>
                </c:pt>
                <c:pt idx="13" formatCode="#,##0">
                  <c:v>158</c:v>
                </c:pt>
                <c:pt idx="14" formatCode="#,##0">
                  <c:v>156</c:v>
                </c:pt>
                <c:pt idx="15" formatCode="#,##0">
                  <c:v>150</c:v>
                </c:pt>
                <c:pt idx="16" formatCode="#,##0">
                  <c:v>117</c:v>
                </c:pt>
                <c:pt idx="17" formatCode="#,##0">
                  <c:v>118</c:v>
                </c:pt>
                <c:pt idx="18" formatCode="#,##0">
                  <c:v>120</c:v>
                </c:pt>
                <c:pt idx="19" formatCode="#,##0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5A-4B31-8C2E-7A6CC6524F2C}"/>
            </c:ext>
          </c:extLst>
        </c:ser>
        <c:ser>
          <c:idx val="1"/>
          <c:order val="1"/>
          <c:tx>
            <c:strRef>
              <c:f>'EGRESO-POs uni'!$B$72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10"/>
              <c:layout>
                <c:manualLayout>
                  <c:x val="7.3698761000463176E-3"/>
                  <c:y val="3.5041607079839407E-3"/>
                </c:manualLayout>
              </c:layout>
              <c:spPr/>
              <c:txPr>
                <a:bodyPr/>
                <a:lstStyle/>
                <a:p>
                  <a:pPr>
                    <a:defRPr sz="1000">
                      <a:solidFill>
                        <a:schemeClr val="tx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5A-4B31-8C2E-7A6CC6524F2C}"/>
                </c:ext>
              </c:extLst>
            </c:dLbl>
            <c:dLbl>
              <c:idx val="11"/>
              <c:spPr/>
              <c:txPr>
                <a:bodyPr/>
                <a:lstStyle/>
                <a:p>
                  <a:pPr>
                    <a:defRPr sz="1000">
                      <a:solidFill>
                        <a:schemeClr val="tx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105A-4B31-8C2E-7A6CC6524F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chemeClr val="tx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('EGRESO-POs uni'!$BK$94:$BK$112,'EGRESO-POs uni'!$BK$113)</c:f>
              <c:numCache>
                <c:formatCode>General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('EGRESO-POs uni'!$V$72,'EGRESO-POs uni'!$Z$72,'EGRESO-POs uni'!$AD$72,'EGRESO-POs uni'!$AH$72,'EGRESO-POs uni'!$AL$72,'EGRESO-POs uni'!$AP$72,'EGRESO-POs uni'!$AT$72,'EGRESO-POs uni'!$AX$72,'EGRESO-POs uni'!$BB$72,'EGRESO-POs uni'!$BF$72,'EGRESO-POs uni'!$BJ$72,'EGRESO-POs uni'!$BN$72,'EGRESO-POs uni'!$BR$72,'EGRESO-POs uni'!$BV$72,'EGRESO-POs uni'!$BZ$72,'EGRESO-POs uni'!$CD$72,'EGRESO-POs uni'!$CH$72,'EGRESO-POs uni'!$CL$72,'EGRESO-POs uni'!$CP$72,'EGRESO-POs uni'!$CT$72)</c:f>
              <c:numCache>
                <c:formatCode>0</c:formatCode>
                <c:ptCount val="20"/>
                <c:pt idx="10" formatCode="#,##0">
                  <c:v>12</c:v>
                </c:pt>
                <c:pt idx="11" formatCode="#,##0">
                  <c:v>19</c:v>
                </c:pt>
                <c:pt idx="12" formatCode="#,##0">
                  <c:v>31</c:v>
                </c:pt>
                <c:pt idx="13" formatCode="#,##0">
                  <c:v>41</c:v>
                </c:pt>
                <c:pt idx="14" formatCode="#,##0">
                  <c:v>38</c:v>
                </c:pt>
                <c:pt idx="15" formatCode="#,##0">
                  <c:v>28</c:v>
                </c:pt>
                <c:pt idx="16" formatCode="#,##0">
                  <c:v>49</c:v>
                </c:pt>
                <c:pt idx="17" formatCode="#,##0">
                  <c:v>39</c:v>
                </c:pt>
                <c:pt idx="18" formatCode="#,##0">
                  <c:v>24</c:v>
                </c:pt>
                <c:pt idx="19" formatCode="#,##0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05A-4B31-8C2E-7A6CC6524F2C}"/>
            </c:ext>
          </c:extLst>
        </c:ser>
        <c:ser>
          <c:idx val="2"/>
          <c:order val="2"/>
          <c:tx>
            <c:strRef>
              <c:f>'EGRESO-POs uni'!$B$38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rgbClr val="57A519"/>
            </a:solidFill>
            <a:ln w="3175">
              <a:noFill/>
            </a:ln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anchor="ctr" anchorCtr="1"/>
              <a:lstStyle/>
              <a:p>
                <a:pPr>
                  <a:defRPr sz="1000">
                    <a:solidFill>
                      <a:schemeClr val="tx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('EGRESO-POs uni'!$BK$94:$BK$112,'EGRESO-POs uni'!$BK$113)</c:f>
              <c:numCache>
                <c:formatCode>General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('EGRESO-POs uni'!$V$38,'EGRESO-POs uni'!$Z$38,'EGRESO-POs uni'!$AD$38,'EGRESO-POs uni'!$AH$38,'EGRESO-POs uni'!$AL$38,'EGRESO-POs uni'!$AP$38,'EGRESO-POs uni'!$AT$38,'EGRESO-POs uni'!$AX$38,'EGRESO-POs uni'!$BB$38,'EGRESO-POs uni'!$BF$38,'EGRESO-POs uni'!$BJ$38,'EGRESO-POs uni'!$BN$38,'EGRESO-POs uni'!$BR$38,'EGRESO-POs uni'!$BV$38,'EGRESO-POs uni'!$BZ$38,'EGRESO-POs uni'!$CD$38,'EGRESO-POs uni'!$CH$38,'EGRESO-POs uni'!$CL$38,'EGRESO-POs uni'!$CP$38,'EGRESO-POs uni'!$CT$38)</c:f>
              <c:numCache>
                <c:formatCode>0</c:formatCode>
                <c:ptCount val="20"/>
                <c:pt idx="0">
                  <c:v>196</c:v>
                </c:pt>
                <c:pt idx="1">
                  <c:v>255</c:v>
                </c:pt>
                <c:pt idx="2">
                  <c:v>234</c:v>
                </c:pt>
                <c:pt idx="3">
                  <c:v>277</c:v>
                </c:pt>
                <c:pt idx="4">
                  <c:v>238</c:v>
                </c:pt>
                <c:pt idx="5" formatCode="#,##0">
                  <c:v>283</c:v>
                </c:pt>
                <c:pt idx="6" formatCode="#,##0">
                  <c:v>304</c:v>
                </c:pt>
                <c:pt idx="7" formatCode="#,##0">
                  <c:v>335</c:v>
                </c:pt>
                <c:pt idx="8" formatCode="#,##0">
                  <c:v>437</c:v>
                </c:pt>
                <c:pt idx="9" formatCode="#,##0">
                  <c:v>377</c:v>
                </c:pt>
                <c:pt idx="10" formatCode="#,##0">
                  <c:v>341</c:v>
                </c:pt>
                <c:pt idx="11" formatCode="#,##0">
                  <c:v>437</c:v>
                </c:pt>
                <c:pt idx="12" formatCode="#,##0">
                  <c:v>282</c:v>
                </c:pt>
                <c:pt idx="13" formatCode="#,##0">
                  <c:v>424</c:v>
                </c:pt>
                <c:pt idx="14" formatCode="#,##0">
                  <c:v>330</c:v>
                </c:pt>
                <c:pt idx="15" formatCode="#,##0">
                  <c:v>412</c:v>
                </c:pt>
                <c:pt idx="16" formatCode="#,##0">
                  <c:v>350</c:v>
                </c:pt>
                <c:pt idx="17" formatCode="#,##0">
                  <c:v>272</c:v>
                </c:pt>
                <c:pt idx="18" formatCode="#,##0">
                  <c:v>289</c:v>
                </c:pt>
                <c:pt idx="19" formatCode="#,##0">
                  <c:v>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05A-4B31-8C2E-7A6CC6524F2C}"/>
            </c:ext>
          </c:extLst>
        </c:ser>
        <c:ser>
          <c:idx val="4"/>
          <c:order val="3"/>
          <c:tx>
            <c:strRef>
              <c:f>'EGRESO-POs uni'!$B$79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88900" h="38100"/>
              <a:bevelB w="88900" h="38100"/>
            </a:sp3d>
          </c:spPr>
          <c:invertIfNegative val="0"/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EF1-459E-B8C9-DF80D8A9F2F5}"/>
              </c:ext>
            </c:extLst>
          </c:dPt>
          <c:dLbls>
            <c:dLbl>
              <c:idx val="18"/>
              <c:layout>
                <c:manualLayout>
                  <c:x val="2.425292444618397E-2"/>
                  <c:y val="-6.993021111765632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vert="horz"/>
                <a:lstStyle/>
                <a:p>
                  <a:pPr>
                    <a:defRPr sz="1000">
                      <a:solidFill>
                        <a:srgbClr val="AD25A8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F1-459E-B8C9-DF80D8A9F2F5}"/>
                </c:ext>
              </c:extLst>
            </c:dLbl>
            <c:dLbl>
              <c:idx val="19"/>
              <c:layout>
                <c:manualLayout>
                  <c:x val="2.4217962754462277E-2"/>
                  <c:y val="-4.593749751322601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vert="horz"/>
                <a:lstStyle/>
                <a:p>
                  <a:pPr>
                    <a:defRPr sz="1000">
                      <a:solidFill>
                        <a:srgbClr val="AD25A8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13-4598-867E-66117E021C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numRef>
              <c:f>('EGRESO-POs uni'!$BK$94:$BK$112,'EGRESO-POs uni'!$BK$113)</c:f>
              <c:numCache>
                <c:formatCode>General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('EGRESO-POs uni'!$V$79,'EGRESO-POs uni'!$Z$79,'EGRESO-POs uni'!$AD$79,'EGRESO-POs uni'!$AH$79,'EGRESO-POs uni'!$AL$79,'EGRESO-POs uni'!$AP$79,'EGRESO-POs uni'!$AT$79,'EGRESO-POs uni'!$AX$79,'EGRESO-POs uni'!$BB$79,'EGRESO-POs uni'!$BF$79,'EGRESO-POs uni'!$BJ$79,'EGRESO-POs uni'!$BN$79,'EGRESO-POs uni'!$BR$79,'EGRESO-POs uni'!$BV$79,'EGRESO-POs uni'!$BZ$79,'EGRESO-POs uni'!$CD$79,'EGRESO-POs uni'!$CH$79,'EGRESO-POs uni'!$CL$79,'EGRESO-POs uni'!$CP$79,'EGRESO-POs uni'!$CT$79)</c:f>
              <c:numCache>
                <c:formatCode>0</c:formatCode>
                <c:ptCount val="20"/>
                <c:pt idx="18" formatCode="#,##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F1-459E-B8C9-DF80D8A9F2F5}"/>
            </c:ext>
          </c:extLst>
        </c:ser>
        <c:ser>
          <c:idx val="3"/>
          <c:order val="4"/>
          <c:tx>
            <c:strRef>
              <c:f>'EGRESO-POs uni'!$B$55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rgbClr val="0072CE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('EGRESO-POs uni'!$BK$94:$BK$112,'EGRESO-POs uni'!$BK$113)</c:f>
              <c:numCache>
                <c:formatCode>General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('EGRESO-POs uni'!$V$55,'EGRESO-POs uni'!$Z$55,'EGRESO-POs uni'!$AD$55,'EGRESO-POs uni'!$AH$55,'EGRESO-POs uni'!$AL$55,'EGRESO-POs uni'!$AP$55,'EGRESO-POs uni'!$AT$55,'EGRESO-POs uni'!$AX$55,'EGRESO-POs uni'!$BB$55,'EGRESO-POs uni'!$BF$55,'EGRESO-POs uni'!$BJ$55,'EGRESO-POs uni'!$BN$55,'EGRESO-POs uni'!$BR$55,'EGRESO-POs uni'!$BV$55,'EGRESO-POs uni'!$BZ$55,'EGRESO-POs uni'!$CD$55,'EGRESO-POs uni'!$CH$55,'EGRESO-POs uni'!$CL$55,'EGRESO-POs uni'!$CP$55,'EGRESO-POs uni'!$CT$55)</c:f>
              <c:numCache>
                <c:formatCode>0</c:formatCode>
                <c:ptCount val="20"/>
                <c:pt idx="0">
                  <c:v>124</c:v>
                </c:pt>
                <c:pt idx="1">
                  <c:v>136</c:v>
                </c:pt>
                <c:pt idx="2">
                  <c:v>164</c:v>
                </c:pt>
                <c:pt idx="3">
                  <c:v>137</c:v>
                </c:pt>
                <c:pt idx="4">
                  <c:v>205</c:v>
                </c:pt>
                <c:pt idx="5" formatCode="#,##0">
                  <c:v>195</c:v>
                </c:pt>
                <c:pt idx="6" formatCode="#,##0">
                  <c:v>202</c:v>
                </c:pt>
                <c:pt idx="7" formatCode="#,##0">
                  <c:v>298</c:v>
                </c:pt>
                <c:pt idx="8" formatCode="#,##0">
                  <c:v>266</c:v>
                </c:pt>
                <c:pt idx="9" formatCode="#,##0">
                  <c:v>165</c:v>
                </c:pt>
                <c:pt idx="10" formatCode="#,##0">
                  <c:v>225</c:v>
                </c:pt>
                <c:pt idx="11" formatCode="#,##0">
                  <c:v>221</c:v>
                </c:pt>
                <c:pt idx="12" formatCode="#,##0">
                  <c:v>241</c:v>
                </c:pt>
                <c:pt idx="13" formatCode="#,##0">
                  <c:v>201</c:v>
                </c:pt>
                <c:pt idx="14" formatCode="#,##0">
                  <c:v>247</c:v>
                </c:pt>
                <c:pt idx="15" formatCode="#,##0">
                  <c:v>272</c:v>
                </c:pt>
                <c:pt idx="16" formatCode="#,##0">
                  <c:v>228</c:v>
                </c:pt>
                <c:pt idx="17" formatCode="#,##0">
                  <c:v>180</c:v>
                </c:pt>
                <c:pt idx="18" formatCode="#,##0">
                  <c:v>192</c:v>
                </c:pt>
                <c:pt idx="19" formatCode="#,##0">
                  <c:v>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05A-4B31-8C2E-7A6CC6524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31169280"/>
        <c:axId val="131191552"/>
        <c:axId val="0"/>
      </c:bar3DChart>
      <c:catAx>
        <c:axId val="131169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1191552"/>
        <c:crosses val="autoZero"/>
        <c:auto val="1"/>
        <c:lblAlgn val="ctr"/>
        <c:lblOffset val="100"/>
        <c:noMultiLvlLbl val="0"/>
      </c:catAx>
      <c:valAx>
        <c:axId val="131191552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1311692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7347047554577011"/>
          <c:y val="0.94171164562584597"/>
          <c:w val="0.64751714570183805"/>
          <c:h val="4.7094073484080665E-2"/>
        </c:manualLayout>
      </c:layout>
      <c:overlay val="0"/>
      <c:txPr>
        <a:bodyPr/>
        <a:lstStyle/>
        <a:p>
          <a:pPr>
            <a:defRPr sz="1200" b="0" i="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'EGRESO-POs uni'!$B$81</c:f>
              <c:strCache>
                <c:ptCount val="1"/>
                <c:pt idx="0">
                  <c:v>Especialización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D3-4404-A678-38DBDA257895}"/>
                </c:ext>
              </c:extLst>
            </c:dLbl>
            <c:dLbl>
              <c:idx val="1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D3-4404-A678-38DBDA257895}"/>
                </c:ext>
              </c:extLst>
            </c:dLbl>
            <c:dLbl>
              <c:idx val="2"/>
              <c:layout>
                <c:manualLayout>
                  <c:x val="7.3563218390804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D3-4404-A678-38DBDA257895}"/>
                </c:ext>
              </c:extLst>
            </c:dLbl>
            <c:dLbl>
              <c:idx val="3"/>
              <c:layout>
                <c:manualLayout>
                  <c:x val="3.67816091954022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D3-4404-A678-38DBDA257895}"/>
                </c:ext>
              </c:extLst>
            </c:dLbl>
            <c:dLbl>
              <c:idx val="4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D3-4404-A678-38DBDA257895}"/>
                </c:ext>
              </c:extLst>
            </c:dLbl>
            <c:dLbl>
              <c:idx val="5"/>
              <c:layout>
                <c:manualLayout>
                  <c:x val="3.6781609195402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D3-4404-A678-38DBDA257895}"/>
                </c:ext>
              </c:extLst>
            </c:dLbl>
            <c:dLbl>
              <c:idx val="6"/>
              <c:layout>
                <c:manualLayout>
                  <c:x val="5.517241379310277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D3-4404-A678-38DBDA257895}"/>
                </c:ext>
              </c:extLst>
            </c:dLbl>
            <c:dLbl>
              <c:idx val="7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D3-4404-A678-38DBDA257895}"/>
                </c:ext>
              </c:extLst>
            </c:dLbl>
            <c:dLbl>
              <c:idx val="8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D3-4404-A678-38DBDA257895}"/>
                </c:ext>
              </c:extLst>
            </c:dLbl>
            <c:dLbl>
              <c:idx val="9"/>
              <c:layout>
                <c:manualLayout>
                  <c:x val="3.67816091954022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D3-4404-A678-38DBDA257895}"/>
                </c:ext>
              </c:extLst>
            </c:dLbl>
            <c:dLbl>
              <c:idx val="10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D3-4404-A678-38DBDA257895}"/>
                </c:ext>
              </c:extLst>
            </c:dLbl>
            <c:dLbl>
              <c:idx val="12"/>
              <c:layout>
                <c:manualLayout>
                  <c:x val="7.3563218390804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D3-4404-A678-38DBDA257895}"/>
                </c:ext>
              </c:extLst>
            </c:dLbl>
            <c:dLbl>
              <c:idx val="13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D3-4404-A678-38DBDA257895}"/>
                </c:ext>
              </c:extLst>
            </c:dLbl>
            <c:dLbl>
              <c:idx val="14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D3-4404-A678-38DBDA2578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('EGRESO-POs uni'!$BK$94:$BK$110,'EGRESO-POs uni'!$BK$111,'EGRESO-POs uni'!$BK$112,'EGRESO-POs uni'!$BK$113)</c:f>
              <c:numCache>
                <c:formatCode>General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('EGRESO-POs uni'!$V$81,'EGRESO-POs uni'!$Z$81,'EGRESO-POs uni'!$AD$81,'EGRESO-POs uni'!$AH$81,'EGRESO-POs uni'!$AL$81,'EGRESO-POs uni'!$AP$81,'EGRESO-POs uni'!$AT$81,'EGRESO-POs uni'!$AX$81,'EGRESO-POs uni'!$BB$81,'EGRESO-POs uni'!$BF$81,'EGRESO-POs uni'!$BJ$81,'EGRESO-POs uni'!$BN$81,'EGRESO-POs uni'!$BR$81,'EGRESO-POs uni'!$BV$81,'EGRESO-POs uni'!$BZ$81,'EGRESO-POs uni'!$CD$81,'EGRESO-POs uni'!$CH$81,'EGRESO-POs uni'!$CL$81,'EGRESO-POs uni'!$CP$81,'EGRESO-POs uni'!$CT$81)</c:f>
              <c:numCache>
                <c:formatCode>0</c:formatCode>
                <c:ptCount val="20"/>
                <c:pt idx="0">
                  <c:v>75</c:v>
                </c:pt>
                <c:pt idx="1">
                  <c:v>125</c:v>
                </c:pt>
                <c:pt idx="2">
                  <c:v>159</c:v>
                </c:pt>
                <c:pt idx="3">
                  <c:v>124</c:v>
                </c:pt>
                <c:pt idx="4">
                  <c:v>124</c:v>
                </c:pt>
                <c:pt idx="5" formatCode="#,##0">
                  <c:v>166</c:v>
                </c:pt>
                <c:pt idx="6" formatCode="#,##0">
                  <c:v>133</c:v>
                </c:pt>
                <c:pt idx="7" formatCode="#,##0">
                  <c:v>116</c:v>
                </c:pt>
                <c:pt idx="8" formatCode="#,##0">
                  <c:v>205</c:v>
                </c:pt>
                <c:pt idx="9" formatCode="#,##0">
                  <c:v>155</c:v>
                </c:pt>
                <c:pt idx="10" formatCode="#,##0">
                  <c:v>92</c:v>
                </c:pt>
                <c:pt idx="11" formatCode="#,##0">
                  <c:v>99</c:v>
                </c:pt>
                <c:pt idx="12" formatCode="#,##0">
                  <c:v>59</c:v>
                </c:pt>
                <c:pt idx="13" formatCode="#,##0">
                  <c:v>99</c:v>
                </c:pt>
                <c:pt idx="14" formatCode="#,##0">
                  <c:v>65</c:v>
                </c:pt>
                <c:pt idx="15" formatCode="#,##0">
                  <c:v>113</c:v>
                </c:pt>
                <c:pt idx="16" formatCode="#,##0">
                  <c:v>75</c:v>
                </c:pt>
                <c:pt idx="17" formatCode="#,##0">
                  <c:v>60</c:v>
                </c:pt>
                <c:pt idx="18" formatCode="#,##0">
                  <c:v>95</c:v>
                </c:pt>
                <c:pt idx="19" formatCode="#,##0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2D3-4404-A678-38DBDA257895}"/>
            </c:ext>
          </c:extLst>
        </c:ser>
        <c:ser>
          <c:idx val="1"/>
          <c:order val="1"/>
          <c:tx>
            <c:strRef>
              <c:f>'EGRESO-POs uni'!$B$82</c:f>
              <c:strCache>
                <c:ptCount val="1"/>
                <c:pt idx="0">
                  <c:v>Maestría</c:v>
                </c:pt>
              </c:strCache>
            </c:strRef>
          </c:tx>
          <c:spPr>
            <a:solidFill>
              <a:srgbClr val="CC9900"/>
            </a:solidFill>
            <a:ln w="3175">
              <a:noFill/>
            </a:ln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tx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('EGRESO-POs uni'!$BK$94:$BK$110,'EGRESO-POs uni'!$BK$111,'EGRESO-POs uni'!$BK$112,'EGRESO-POs uni'!$BK$113)</c:f>
              <c:numCache>
                <c:formatCode>General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('EGRESO-POs uni'!$V$82,'EGRESO-POs uni'!$Z$82,'EGRESO-POs uni'!$AD$82,'EGRESO-POs uni'!$AH$82,'EGRESO-POs uni'!$AL$82,'EGRESO-POs uni'!$AP$82,'EGRESO-POs uni'!$AT$82,'EGRESO-POs uni'!$AX$82,'EGRESO-POs uni'!$BB$82,'EGRESO-POs uni'!$BF$82,'EGRESO-POs uni'!$BJ$82,'EGRESO-POs uni'!$BN$82,'EGRESO-POs uni'!$BR$82,'EGRESO-POs uni'!$BV$82,'EGRESO-POs uni'!$BZ$82,'EGRESO-POs uni'!$CD$82,'EGRESO-POs uni'!$CH$82,'EGRESO-POs uni'!$CL$82,'EGRESO-POs uni'!$CP$82,'EGRESO-POs uni'!$CT$82)</c:f>
              <c:numCache>
                <c:formatCode>0</c:formatCode>
                <c:ptCount val="20"/>
                <c:pt idx="0">
                  <c:v>213</c:v>
                </c:pt>
                <c:pt idx="1">
                  <c:v>222</c:v>
                </c:pt>
                <c:pt idx="2">
                  <c:v>225</c:v>
                </c:pt>
                <c:pt idx="3">
                  <c:v>266</c:v>
                </c:pt>
                <c:pt idx="4">
                  <c:v>279</c:v>
                </c:pt>
                <c:pt idx="5" formatCode="#,##0">
                  <c:v>268</c:v>
                </c:pt>
                <c:pt idx="6" formatCode="#,##0">
                  <c:v>335</c:v>
                </c:pt>
                <c:pt idx="7" formatCode="#,##0">
                  <c:v>432</c:v>
                </c:pt>
                <c:pt idx="8" formatCode="#,##0">
                  <c:v>465</c:v>
                </c:pt>
                <c:pt idx="9" formatCode="#,##0">
                  <c:v>346</c:v>
                </c:pt>
                <c:pt idx="10" formatCode="#,##0">
                  <c:v>451</c:v>
                </c:pt>
                <c:pt idx="11" formatCode="#,##0">
                  <c:v>491</c:v>
                </c:pt>
                <c:pt idx="12" formatCode="#,##0">
                  <c:v>428</c:v>
                </c:pt>
                <c:pt idx="13" formatCode="#,##0">
                  <c:v>520</c:v>
                </c:pt>
                <c:pt idx="14" formatCode="#,##0">
                  <c:v>502</c:v>
                </c:pt>
                <c:pt idx="15" formatCode="#,##0">
                  <c:v>515</c:v>
                </c:pt>
                <c:pt idx="16" formatCode="#,##0">
                  <c:v>450</c:v>
                </c:pt>
                <c:pt idx="17" formatCode="#,##0">
                  <c:v>403</c:v>
                </c:pt>
                <c:pt idx="18" formatCode="#,##0">
                  <c:v>356</c:v>
                </c:pt>
                <c:pt idx="19" formatCode="#,##0">
                  <c:v>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2D3-4404-A678-38DBDA257895}"/>
            </c:ext>
          </c:extLst>
        </c:ser>
        <c:ser>
          <c:idx val="2"/>
          <c:order val="2"/>
          <c:tx>
            <c:strRef>
              <c:f>'EGRESO-POs uni'!$B$83</c:f>
              <c:strCache>
                <c:ptCount val="1"/>
                <c:pt idx="0">
                  <c:v>Doctorado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anchor="ctr" anchorCtr="1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('EGRESO-POs uni'!$BK$94:$BK$110,'EGRESO-POs uni'!$BK$111,'EGRESO-POs uni'!$BK$112,'EGRESO-POs uni'!$BK$113)</c:f>
              <c:numCache>
                <c:formatCode>General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('EGRESO-POs uni'!$V$83,'EGRESO-POs uni'!$Z$83,'EGRESO-POs uni'!$AD$83,'EGRESO-POs uni'!$AH$83,'EGRESO-POs uni'!$AL$83,'EGRESO-POs uni'!$AP$83,'EGRESO-POs uni'!$AT$83,'EGRESO-POs uni'!$AX$83,'EGRESO-POs uni'!$BB$83,'EGRESO-POs uni'!$BF$83,'EGRESO-POs uni'!$BJ$83,'EGRESO-POs uni'!$BN$83,'EGRESO-POs uni'!$BR$83,'EGRESO-POs uni'!$BV$83,'EGRESO-POs uni'!$BZ$83,'EGRESO-POs uni'!$CD$83,'EGRESO-POs uni'!$CH$83,'EGRESO-POs uni'!$CL$83,'EGRESO-POs uni'!$CP$83,'EGRESO-POs uni'!$CT$83)</c:f>
              <c:numCache>
                <c:formatCode>0</c:formatCode>
                <c:ptCount val="20"/>
                <c:pt idx="0">
                  <c:v>101</c:v>
                </c:pt>
                <c:pt idx="1">
                  <c:v>128</c:v>
                </c:pt>
                <c:pt idx="2">
                  <c:v>117</c:v>
                </c:pt>
                <c:pt idx="3">
                  <c:v>131</c:v>
                </c:pt>
                <c:pt idx="4">
                  <c:v>137</c:v>
                </c:pt>
                <c:pt idx="5" formatCode="#,##0">
                  <c:v>128</c:v>
                </c:pt>
                <c:pt idx="6" formatCode="#,##0">
                  <c:v>159</c:v>
                </c:pt>
                <c:pt idx="7" formatCode="#,##0">
                  <c:v>189</c:v>
                </c:pt>
                <c:pt idx="8" formatCode="#,##0">
                  <c:v>191</c:v>
                </c:pt>
                <c:pt idx="9" formatCode="#,##0">
                  <c:v>162</c:v>
                </c:pt>
                <c:pt idx="10" formatCode="#,##0">
                  <c:v>189</c:v>
                </c:pt>
                <c:pt idx="11" formatCode="#,##0">
                  <c:v>225</c:v>
                </c:pt>
                <c:pt idx="12" formatCode="#,##0">
                  <c:v>172</c:v>
                </c:pt>
                <c:pt idx="13" formatCode="#,##0">
                  <c:v>205</c:v>
                </c:pt>
                <c:pt idx="14" formatCode="#,##0">
                  <c:v>204</c:v>
                </c:pt>
                <c:pt idx="15" formatCode="#,##0">
                  <c:v>234</c:v>
                </c:pt>
                <c:pt idx="16" formatCode="#,##0">
                  <c:v>219</c:v>
                </c:pt>
                <c:pt idx="17" formatCode="#,##0">
                  <c:v>146</c:v>
                </c:pt>
                <c:pt idx="18" formatCode="#,##0">
                  <c:v>175</c:v>
                </c:pt>
                <c:pt idx="19" formatCode="#,##0">
                  <c:v>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2D3-4404-A678-38DBDA257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31238912"/>
        <c:axId val="136119040"/>
        <c:axId val="0"/>
      </c:bar3DChart>
      <c:catAx>
        <c:axId val="131238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6119040"/>
        <c:crosses val="autoZero"/>
        <c:auto val="1"/>
        <c:lblAlgn val="ctr"/>
        <c:lblOffset val="100"/>
        <c:noMultiLvlLbl val="0"/>
      </c:catAx>
      <c:valAx>
        <c:axId val="136119040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131238912"/>
        <c:crosses val="autoZero"/>
        <c:crossBetween val="between"/>
      </c:valAx>
    </c:plotArea>
    <c:legend>
      <c:legendPos val="b"/>
      <c:legendEntry>
        <c:idx val="1"/>
        <c:txPr>
          <a:bodyPr/>
          <a:lstStyle/>
          <a:p>
            <a:pPr>
              <a:defRPr sz="1200" b="0" i="0"/>
            </a:pPr>
            <a:endParaRPr lang="es-MX"/>
          </a:p>
        </c:txPr>
      </c:legendEntry>
      <c:layout>
        <c:manualLayout>
          <c:xMode val="edge"/>
          <c:yMode val="edge"/>
          <c:x val="0.26562021482600418"/>
          <c:y val="0.95346283079533822"/>
          <c:w val="0.47227203907644066"/>
          <c:h val="4.344265766846913E-2"/>
        </c:manualLayout>
      </c:layout>
      <c:overlay val="0"/>
      <c:txPr>
        <a:bodyPr/>
        <a:lstStyle/>
        <a:p>
          <a:pPr>
            <a:defRPr sz="1200" b="0" i="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  <a:scene3d>
      <a:camera prst="orthographicFront"/>
      <a:lightRig rig="threePt" dir="t"/>
    </a:scene3d>
    <a:sp3d>
      <a:bevelT w="152400" h="50800" prst="softRound"/>
    </a:sp3d>
  </c:spPr>
  <c:printSettings>
    <c:headerFooter/>
    <c:pageMargins b="0.75" l="0.7" r="0.7" t="0.75" header="0.3" footer="0.3"/>
    <c:pageSetup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MX" sz="1200" b="0" i="1" baseline="0">
                <a:effectLst/>
              </a:rPr>
              <a:t>ALUMNOS QUE TERMINARON ESTUDIOS DE POSGRADO ACUMULADO por unidad</a:t>
            </a:r>
            <a:endParaRPr lang="es-419" sz="1200">
              <a:effectLst/>
            </a:endParaRP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1.8390804597701149E-2"/>
          <c:y val="4.2049928495807284E-2"/>
          <c:w val="0.95954022988505749"/>
          <c:h val="0.83929158615356658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'EGRESO-POS ACUM uni'!$B$9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rgbClr val="CD032E"/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6.190505494987579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7D-494E-A07B-153F5B27018C}"/>
                </c:ext>
              </c:extLst>
            </c:dLbl>
            <c:dLbl>
              <c:idx val="1"/>
              <c:layout>
                <c:manualLayout>
                  <c:x val="7.7381318687344746E-3"/>
                  <c:y val="-1.4302400905568641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7D-494E-A07B-153F5B27018C}"/>
                </c:ext>
              </c:extLst>
            </c:dLbl>
            <c:dLbl>
              <c:idx val="2"/>
              <c:layout>
                <c:manualLayout>
                  <c:x val="9.285758242481312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7D-494E-A07B-153F5B27018C}"/>
                </c:ext>
              </c:extLst>
            </c:dLbl>
            <c:dLbl>
              <c:idx val="3"/>
              <c:layout>
                <c:manualLayout>
                  <c:x val="7.73813186873441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7D-494E-A07B-153F5B27018C}"/>
                </c:ext>
              </c:extLst>
            </c:dLbl>
            <c:dLbl>
              <c:idx val="4"/>
              <c:layout>
                <c:manualLayout>
                  <c:x val="9.285758242481312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7D-494E-A07B-153F5B27018C}"/>
                </c:ext>
              </c:extLst>
            </c:dLbl>
            <c:dLbl>
              <c:idx val="5"/>
              <c:layout>
                <c:manualLayout>
                  <c:x val="9.2857582424813699E-3"/>
                  <c:y val="-1.4302400905568641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7D-494E-A07B-153F5B27018C}"/>
                </c:ext>
              </c:extLst>
            </c:dLbl>
            <c:dLbl>
              <c:idx val="6"/>
              <c:layout>
                <c:manualLayout>
                  <c:x val="6.1905054949875794E-3"/>
                  <c:y val="-1.4302400905568641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7D-494E-A07B-153F5B27018C}"/>
                </c:ext>
              </c:extLst>
            </c:dLbl>
            <c:dLbl>
              <c:idx val="7"/>
              <c:layout>
                <c:manualLayout>
                  <c:x val="9.2857582424813699E-3"/>
                  <c:y val="-1.4302400905568641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7D-494E-A07B-153F5B27018C}"/>
                </c:ext>
              </c:extLst>
            </c:dLbl>
            <c:dLbl>
              <c:idx val="8"/>
              <c:layout>
                <c:manualLayout>
                  <c:x val="9.285758242481369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7D-494E-A07B-153F5B27018C}"/>
                </c:ext>
              </c:extLst>
            </c:dLbl>
            <c:dLbl>
              <c:idx val="9"/>
              <c:layout>
                <c:manualLayout>
                  <c:x val="7.7202098681301914E-3"/>
                  <c:y val="1.94892437022503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7D-494E-A07B-153F5B27018C}"/>
                </c:ext>
              </c:extLst>
            </c:dLbl>
            <c:dLbl>
              <c:idx val="10"/>
              <c:layout>
                <c:manualLayout>
                  <c:x val="6.1905054949875794E-3"/>
                  <c:y val="5.38398176398753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7D-494E-A07B-153F5B27018C}"/>
                </c:ext>
              </c:extLst>
            </c:dLbl>
            <c:dLbl>
              <c:idx val="11"/>
              <c:layout>
                <c:manualLayout>
                  <c:x val="7.4610074239960175E-3"/>
                  <c:y val="-9.401485007104480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7D-494E-A07B-153F5B27018C}"/>
                </c:ext>
              </c:extLst>
            </c:dLbl>
            <c:dLbl>
              <c:idx val="12"/>
              <c:layout>
                <c:manualLayout>
                  <c:x val="7.828440733992489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65-4613-AD0C-8756ECBA9058}"/>
                </c:ext>
              </c:extLst>
            </c:dLbl>
            <c:dLbl>
              <c:idx val="13"/>
              <c:layout>
                <c:manualLayout>
                  <c:x val="4.3095297700704686E-3"/>
                  <c:y val="-9.195296074005662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F5-49A2-94B3-7F1DB63988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11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'EGRESO-POS ACUM uni'!$AD$47:$AD$60</c:f>
              <c:numCache>
                <c:formatCode>General</c:formatCode>
                <c:ptCount val="1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</c:numCache>
            </c:numRef>
          </c:cat>
          <c:val>
            <c:numRef>
              <c:f>('EGRESO-POS ACUM uni'!$F$9,'EGRESO-POS ACUM uni'!$J$9,'EGRESO-POS ACUM uni'!$N$9,'EGRESO-POS ACUM uni'!$R$9,'EGRESO-POS ACUM uni'!$V$9,'EGRESO-POS ACUM uni'!$Z$9,'EGRESO-POS ACUM uni'!$AD$9,'EGRESO-POS ACUM uni'!$AH$9,'EGRESO-POS ACUM uni'!$AL$9,'EGRESO-POS ACUM uni'!$AP$9,'EGRESO-POS ACUM uni'!$AT$9,'EGRESO-POS ACUM uni'!$AX$9,'EGRESO-POS ACUM uni'!$BB$9,'EGRESO-POS ACUM uni'!$BF$9)</c:f>
              <c:numCache>
                <c:formatCode>#,##0</c:formatCode>
                <c:ptCount val="14"/>
                <c:pt idx="0">
                  <c:v>1221</c:v>
                </c:pt>
                <c:pt idx="1">
                  <c:v>1346</c:v>
                </c:pt>
                <c:pt idx="2">
                  <c:v>1524</c:v>
                </c:pt>
                <c:pt idx="3">
                  <c:v>1655</c:v>
                </c:pt>
                <c:pt idx="4">
                  <c:v>1821</c:v>
                </c:pt>
                <c:pt idx="5">
                  <c:v>1970</c:v>
                </c:pt>
                <c:pt idx="6">
                  <c:v>2067</c:v>
                </c:pt>
                <c:pt idx="7">
                  <c:v>2254</c:v>
                </c:pt>
                <c:pt idx="8">
                  <c:v>2419</c:v>
                </c:pt>
                <c:pt idx="9">
                  <c:v>2586</c:v>
                </c:pt>
                <c:pt idx="10">
                  <c:v>2717</c:v>
                </c:pt>
                <c:pt idx="11">
                  <c:v>2829</c:v>
                </c:pt>
                <c:pt idx="12">
                  <c:v>2962</c:v>
                </c:pt>
                <c:pt idx="13">
                  <c:v>3119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A7D-494E-A07B-153F5B27018C}"/>
            </c:ext>
          </c:extLst>
        </c:ser>
        <c:ser>
          <c:idx val="1"/>
          <c:order val="1"/>
          <c:tx>
            <c:strRef>
              <c:f>'EGRESO-POS ACUM uni'!$B$14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 prstMaterial="metal">
              <a:bevelT w="88900" h="38100"/>
              <a:bevelB w="88900" h="38100"/>
            </a:sp3d>
          </c:spPr>
          <c:invertIfNegative val="0"/>
          <c:dLbls>
            <c:dLbl>
              <c:idx val="4"/>
              <c:layout>
                <c:manualLayout>
                  <c:x val="8.8699740369949463E-3"/>
                  <c:y val="-3.5861742998259012E-3"/>
                </c:manualLayout>
              </c:layout>
              <c:spPr/>
              <c:txPr>
                <a:bodyPr/>
                <a:lstStyle/>
                <a:p>
                  <a:pPr>
                    <a:defRPr sz="1100">
                      <a:solidFill>
                        <a:sysClr val="windowText" lastClr="000000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7D-494E-A07B-153F5B27018C}"/>
                </c:ext>
              </c:extLst>
            </c:dLbl>
            <c:dLbl>
              <c:idx val="5"/>
              <c:layout>
                <c:manualLayout>
                  <c:x val="8.2264611105065978E-3"/>
                  <c:y val="-6.4421925245706417E-4"/>
                </c:manualLayout>
              </c:layout>
              <c:spPr/>
              <c:txPr>
                <a:bodyPr/>
                <a:lstStyle/>
                <a:p>
                  <a:pPr>
                    <a:defRPr sz="1100">
                      <a:solidFill>
                        <a:sysClr val="windowText" lastClr="000000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7D-494E-A07B-153F5B27018C}"/>
                </c:ext>
              </c:extLst>
            </c:dLbl>
            <c:dLbl>
              <c:idx val="6"/>
              <c:layout>
                <c:manualLayout>
                  <c:x val="7.5153507558813797E-3"/>
                  <c:y val="-3.8952399440489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>
                      <a:solidFill>
                        <a:sysClr val="windowText" lastClr="000000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A7D-494E-A07B-153F5B27018C}"/>
                </c:ext>
              </c:extLst>
            </c:dLbl>
            <c:dLbl>
              <c:idx val="7"/>
              <c:layout>
                <c:manualLayout>
                  <c:x val="4.1539592214867426E-3"/>
                  <c:y val="-5.84416431427402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A7D-494E-A07B-153F5B27018C}"/>
                </c:ext>
              </c:extLst>
            </c:dLbl>
            <c:dLbl>
              <c:idx val="8"/>
              <c:layout>
                <c:manualLayout>
                  <c:x val="6.2944633937434694E-3"/>
                  <c:y val="-5.8524510793129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A7D-494E-A07B-153F5B27018C}"/>
                </c:ext>
              </c:extLst>
            </c:dLbl>
            <c:dLbl>
              <c:idx val="9"/>
              <c:layout>
                <c:manualLayout>
                  <c:x val="4.6321259208780699E-3"/>
                  <c:y val="-3.89784874045007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A7D-494E-A07B-153F5B27018C}"/>
                </c:ext>
              </c:extLst>
            </c:dLbl>
            <c:dLbl>
              <c:idx val="10"/>
              <c:layout>
                <c:manualLayout>
                  <c:x val="7.7381318687344746E-3"/>
                  <c:y val="-5.38398176398743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A7D-494E-A07B-153F5B27018C}"/>
                </c:ext>
              </c:extLst>
            </c:dLbl>
            <c:dLbl>
              <c:idx val="12"/>
              <c:layout>
                <c:manualLayout>
                  <c:x val="5.591743381423207E-3"/>
                  <c:y val="-2.5740030956948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65-4613-AD0C-8756ECBA9058}"/>
                </c:ext>
              </c:extLst>
            </c:dLbl>
            <c:dLbl>
              <c:idx val="13"/>
              <c:layout>
                <c:manualLayout>
                  <c:x val="4.3095297700703108E-3"/>
                  <c:y val="-5.01567398119122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F5-49A2-94B3-7F1DB63988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'EGRESO-POS ACUM uni'!$AD$47:$AD$60</c:f>
              <c:numCache>
                <c:formatCode>General</c:formatCode>
                <c:ptCount val="1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</c:numCache>
            </c:numRef>
          </c:cat>
          <c:val>
            <c:numRef>
              <c:f>('EGRESO-POS ACUM uni'!$F$14,'EGRESO-POS ACUM uni'!$J$14,'EGRESO-POS ACUM uni'!$N$14,'EGRESO-POS ACUM uni'!$R$14,'EGRESO-POS ACUM uni'!$V$14,'EGRESO-POS ACUM uni'!$Z$14,'EGRESO-POS ACUM uni'!$AD$14,'EGRESO-POS ACUM uni'!$AH$14,'EGRESO-POS ACUM uni'!$AL$14,'EGRESO-POS ACUM uni'!$AP$14,'EGRESO-POS ACUM uni'!$AT$14,'EGRESO-POS ACUM uni'!$AX$14,'EGRESO-POS ACUM uni'!$BB$14,'EGRESO-POS ACUM uni'!$BF$14)</c:f>
              <c:numCache>
                <c:formatCode>#,##0</c:formatCode>
                <c:ptCount val="14"/>
                <c:pt idx="4">
                  <c:v>12</c:v>
                </c:pt>
                <c:pt idx="5">
                  <c:v>31</c:v>
                </c:pt>
                <c:pt idx="6">
                  <c:v>65</c:v>
                </c:pt>
                <c:pt idx="7">
                  <c:v>106</c:v>
                </c:pt>
                <c:pt idx="8">
                  <c:v>148</c:v>
                </c:pt>
                <c:pt idx="9">
                  <c:v>186</c:v>
                </c:pt>
                <c:pt idx="10">
                  <c:v>243</c:v>
                </c:pt>
                <c:pt idx="11">
                  <c:v>279</c:v>
                </c:pt>
                <c:pt idx="12">
                  <c:v>321</c:v>
                </c:pt>
                <c:pt idx="13">
                  <c:v>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A7D-494E-A07B-153F5B27018C}"/>
            </c:ext>
          </c:extLst>
        </c:ser>
        <c:ser>
          <c:idx val="2"/>
          <c:order val="2"/>
          <c:tx>
            <c:strRef>
              <c:f>'EGRESO-POS ACUM uni'!$B$19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rgbClr val="57A519"/>
            </a:solidFill>
            <a:ln>
              <a:noFill/>
            </a:ln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6.190505494987579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A7D-494E-A07B-153F5B27018C}"/>
                </c:ext>
              </c:extLst>
            </c:dLbl>
            <c:dLbl>
              <c:idx val="1"/>
              <c:layout>
                <c:manualLayout>
                  <c:x val="6.190505494987579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A7D-494E-A07B-153F5B27018C}"/>
                </c:ext>
              </c:extLst>
            </c:dLbl>
            <c:dLbl>
              <c:idx val="2"/>
              <c:layout>
                <c:manualLayout>
                  <c:x val="6.1905054949875794E-3"/>
                  <c:y val="1.95034992656241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A7D-494E-A07B-153F5B27018C}"/>
                </c:ext>
              </c:extLst>
            </c:dLbl>
            <c:dLbl>
              <c:idx val="3"/>
              <c:layout>
                <c:manualLayout>
                  <c:x val="9.285758242481312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A7D-494E-A07B-153F5B27018C}"/>
                </c:ext>
              </c:extLst>
            </c:dLbl>
            <c:dLbl>
              <c:idx val="4"/>
              <c:layout>
                <c:manualLayout>
                  <c:x val="6.190505494987523E-3"/>
                  <c:y val="-1.4302400905568641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A7D-494E-A07B-153F5B27018C}"/>
                </c:ext>
              </c:extLst>
            </c:dLbl>
            <c:dLbl>
              <c:idx val="5"/>
              <c:layout>
                <c:manualLayout>
                  <c:x val="9.2857582424813699E-3"/>
                  <c:y val="-7.151200452784320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A7D-494E-A07B-153F5B27018C}"/>
                </c:ext>
              </c:extLst>
            </c:dLbl>
            <c:dLbl>
              <c:idx val="6"/>
              <c:layout>
                <c:manualLayout>
                  <c:x val="7.738131868734361E-3"/>
                  <c:y val="-7.151200452784320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A7D-494E-A07B-153F5B27018C}"/>
                </c:ext>
              </c:extLst>
            </c:dLbl>
            <c:dLbl>
              <c:idx val="7"/>
              <c:layout>
                <c:manualLayout>
                  <c:x val="7.738131868734474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A7D-494E-A07B-153F5B27018C}"/>
                </c:ext>
              </c:extLst>
            </c:dLbl>
            <c:dLbl>
              <c:idx val="8"/>
              <c:layout>
                <c:manualLayout>
                  <c:x val="9.2857582424813699E-3"/>
                  <c:y val="1.95034992656241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A7D-494E-A07B-153F5B27018C}"/>
                </c:ext>
              </c:extLst>
            </c:dLbl>
            <c:dLbl>
              <c:idx val="9"/>
              <c:layout>
                <c:manualLayout>
                  <c:x val="7.7202098681301914E-3"/>
                  <c:y val="-2.64045725234859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A7D-494E-A07B-153F5B27018C}"/>
                </c:ext>
              </c:extLst>
            </c:dLbl>
            <c:dLbl>
              <c:idx val="10"/>
              <c:layout>
                <c:manualLayout>
                  <c:x val="6.190505494987579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A7D-494E-A07B-153F5B27018C}"/>
                </c:ext>
              </c:extLst>
            </c:dLbl>
            <c:dLbl>
              <c:idx val="11"/>
              <c:layout>
                <c:manualLayout>
                  <c:x val="7.4610074239960175E-3"/>
                  <c:y val="-2.56407098559860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A7D-494E-A07B-153F5B27018C}"/>
                </c:ext>
              </c:extLst>
            </c:dLbl>
            <c:dLbl>
              <c:idx val="12"/>
              <c:layout>
                <c:manualLayout>
                  <c:x val="6.71009205770784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65-4613-AD0C-8756ECBA9058}"/>
                </c:ext>
              </c:extLst>
            </c:dLbl>
            <c:dLbl>
              <c:idx val="13"/>
              <c:layout>
                <c:manualLayout>
                  <c:x val="7.5416770976233201E-3"/>
                  <c:y val="-9.195296074005662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F5-49A2-94B3-7F1DB63988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anchor="ctr" anchorCtr="1"/>
              <a:lstStyle/>
              <a:p>
                <a:pPr>
                  <a:defRPr sz="11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'EGRESO-POS ACUM uni'!$AD$47:$AD$60</c:f>
              <c:numCache>
                <c:formatCode>General</c:formatCode>
                <c:ptCount val="1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</c:numCache>
            </c:numRef>
          </c:cat>
          <c:val>
            <c:numRef>
              <c:f>('EGRESO-POS ACUM uni'!$F$19,'EGRESO-POS ACUM uni'!$J$19,'EGRESO-POS ACUM uni'!$N$19,'EGRESO-POS ACUM uni'!$R$19,'EGRESO-POS ACUM uni'!$V$19,'EGRESO-POS ACUM uni'!$Z$19,'EGRESO-POS ACUM uni'!$AD$19,'EGRESO-POS ACUM uni'!$AH$19,'EGRESO-POS ACUM uni'!$AL$19,'EGRESO-POS ACUM uni'!$AP$19,'EGRESO-POS ACUM uni'!$AT$19,'EGRESO-POS ACUM uni'!$AX$19,'EGRESO-POS ACUM uni'!$BB$19,'EGRESO-POS ACUM uni'!$BF$19)</c:f>
              <c:numCache>
                <c:formatCode>#,##0</c:formatCode>
                <c:ptCount val="14"/>
                <c:pt idx="0">
                  <c:v>3487</c:v>
                </c:pt>
                <c:pt idx="1">
                  <c:v>3812</c:v>
                </c:pt>
                <c:pt idx="2">
                  <c:v>4268</c:v>
                </c:pt>
                <c:pt idx="3">
                  <c:v>4631</c:v>
                </c:pt>
                <c:pt idx="4">
                  <c:v>4976</c:v>
                </c:pt>
                <c:pt idx="5">
                  <c:v>5399</c:v>
                </c:pt>
                <c:pt idx="6">
                  <c:v>5677</c:v>
                </c:pt>
                <c:pt idx="7">
                  <c:v>6126</c:v>
                </c:pt>
                <c:pt idx="8">
                  <c:v>6460</c:v>
                </c:pt>
                <c:pt idx="9">
                  <c:v>6838</c:v>
                </c:pt>
                <c:pt idx="10">
                  <c:v>7229</c:v>
                </c:pt>
                <c:pt idx="11">
                  <c:v>7508</c:v>
                </c:pt>
                <c:pt idx="12">
                  <c:v>7833</c:v>
                </c:pt>
                <c:pt idx="13">
                  <c:v>8145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0A7D-494E-A07B-153F5B27018C}"/>
            </c:ext>
          </c:extLst>
        </c:ser>
        <c:ser>
          <c:idx val="4"/>
          <c:order val="3"/>
          <c:tx>
            <c:strRef>
              <c:f>'EGRESO-POS ACUM uni'!$B$22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h="38100"/>
              <a:bevelB h="38100"/>
            </a:sp3d>
          </c:spPr>
          <c:invertIfNegative val="0"/>
          <c:dLbls>
            <c:dLbl>
              <c:idx val="12"/>
              <c:layout>
                <c:manualLayout>
                  <c:x val="3.1550013710506905E-2"/>
                  <c:y val="-1.544401857416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05-47CA-88CE-F508A51CC33E}"/>
                </c:ext>
              </c:extLst>
            </c:dLbl>
            <c:dLbl>
              <c:idx val="13"/>
              <c:layout>
                <c:manualLayout>
                  <c:x val="3.2321473275528513E-2"/>
                  <c:y val="-1.2539184952978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F5-49A2-94B3-7F1DB63988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AD25A8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'EGRESO-POS ACUM uni'!$AD$47:$AD$60</c:f>
              <c:numCache>
                <c:formatCode>General</c:formatCode>
                <c:ptCount val="1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</c:numCache>
            </c:numRef>
          </c:cat>
          <c:val>
            <c:numRef>
              <c:f>('EGRESO-POS ACUM uni'!$F$22,'EGRESO-POS ACUM uni'!$J$22,'EGRESO-POS ACUM uni'!$N$22,'EGRESO-POS ACUM uni'!$R$22,'EGRESO-POS ACUM uni'!$V$22,'EGRESO-POS ACUM uni'!$Z$22,'EGRESO-POS ACUM uni'!$AD$22,'EGRESO-POS ACUM uni'!$AH$22,'EGRESO-POS ACUM uni'!$AL$22,'EGRESO-POS ACUM uni'!$AP$22,'EGRESO-POS ACUM uni'!$AT$22,'EGRESO-POS ACUM uni'!$AX$22,'EGRESO-POS ACUM uni'!$BB$22,'EGRESO-POS ACUM uni'!$BF$22)</c:f>
              <c:numCache>
                <c:formatCode>#,##0</c:formatCode>
                <c:ptCount val="14"/>
                <c:pt idx="12">
                  <c:v>1</c:v>
                </c:pt>
                <c:pt idx="1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05-47CA-88CE-F508A51CC33E}"/>
            </c:ext>
          </c:extLst>
        </c:ser>
        <c:ser>
          <c:idx val="3"/>
          <c:order val="4"/>
          <c:tx>
            <c:strRef>
              <c:f>'EGRESO-POS ACUM uni'!$B$27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rgbClr val="0072CE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9.285758242481369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A7D-494E-A07B-153F5B27018C}"/>
                </c:ext>
              </c:extLst>
            </c:dLbl>
            <c:dLbl>
              <c:idx val="1"/>
              <c:layout>
                <c:manualLayout>
                  <c:x val="7.738131868734474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A7D-494E-A07B-153F5B27018C}"/>
                </c:ext>
              </c:extLst>
            </c:dLbl>
            <c:dLbl>
              <c:idx val="2"/>
              <c:layout>
                <c:manualLayout>
                  <c:x val="7.738131868734474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A7D-494E-A07B-153F5B27018C}"/>
                </c:ext>
              </c:extLst>
            </c:dLbl>
            <c:dLbl>
              <c:idx val="3"/>
              <c:layout>
                <c:manualLayout>
                  <c:x val="9.2857582424813127E-3"/>
                  <c:y val="-7.151200452784320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A7D-494E-A07B-153F5B27018C}"/>
                </c:ext>
              </c:extLst>
            </c:dLbl>
            <c:dLbl>
              <c:idx val="4"/>
              <c:layout>
                <c:manualLayout>
                  <c:x val="7.738131868734474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A7D-494E-A07B-153F5B27018C}"/>
                </c:ext>
              </c:extLst>
            </c:dLbl>
            <c:dLbl>
              <c:idx val="5"/>
              <c:layout>
                <c:manualLayout>
                  <c:x val="4.6428791212405713E-3"/>
                  <c:y val="-1.95034992656241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A7D-494E-A07B-153F5B27018C}"/>
                </c:ext>
              </c:extLst>
            </c:dLbl>
            <c:dLbl>
              <c:idx val="6"/>
              <c:layout>
                <c:manualLayout>
                  <c:x val="9.2857582424813699E-3"/>
                  <c:y val="-3.575600226392160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A7D-494E-A07B-153F5B27018C}"/>
                </c:ext>
              </c:extLst>
            </c:dLbl>
            <c:dLbl>
              <c:idx val="7"/>
              <c:layout>
                <c:manualLayout>
                  <c:x val="7.738131868734474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A7D-494E-A07B-153F5B27018C}"/>
                </c:ext>
              </c:extLst>
            </c:dLbl>
            <c:dLbl>
              <c:idx val="8"/>
              <c:layout>
                <c:manualLayout>
                  <c:x val="6.201212984785107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A7D-494E-A07B-153F5B27018C}"/>
                </c:ext>
              </c:extLst>
            </c:dLbl>
            <c:dLbl>
              <c:idx val="9"/>
              <c:layout>
                <c:manualLayout>
                  <c:x val="7.72020986813019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A7D-494E-A07B-153F5B27018C}"/>
                </c:ext>
              </c:extLst>
            </c:dLbl>
            <c:dLbl>
              <c:idx val="10"/>
              <c:layout>
                <c:manualLayout>
                  <c:x val="7.738131868734474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A7D-494E-A07B-153F5B27018C}"/>
                </c:ext>
              </c:extLst>
            </c:dLbl>
            <c:dLbl>
              <c:idx val="11"/>
              <c:layout>
                <c:manualLayout>
                  <c:x val="4.476604454397676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A7D-494E-A07B-153F5B27018C}"/>
                </c:ext>
              </c:extLst>
            </c:dLbl>
            <c:dLbl>
              <c:idx val="12"/>
              <c:layout>
                <c:manualLayout>
                  <c:x val="5.591743381423207E-3"/>
                  <c:y val="-2.359475580856932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65-4613-AD0C-8756ECBA9058}"/>
                </c:ext>
              </c:extLst>
            </c:dLbl>
            <c:dLbl>
              <c:idx val="13"/>
              <c:layout>
                <c:manualLayout>
                  <c:x val="5.386912212588085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F5-49A2-94B3-7F1DB63988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11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'EGRESO-POS ACUM uni'!$AD$47:$AD$60</c:f>
              <c:numCache>
                <c:formatCode>General</c:formatCode>
                <c:ptCount val="1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</c:numCache>
            </c:numRef>
          </c:cat>
          <c:val>
            <c:numRef>
              <c:f>('EGRESO-POS ACUM uni'!$F$27,'EGRESO-POS ACUM uni'!$J$27,'EGRESO-POS ACUM uni'!$N$27,'EGRESO-POS ACUM uni'!$R$27,'EGRESO-POS ACUM uni'!$V$27,'EGRESO-POS ACUM uni'!$Z$27,'EGRESO-POS ACUM uni'!$AD$27,'EGRESO-POS ACUM uni'!$AH$27,'EGRESO-POS ACUM uni'!$AL$27,'EGRESO-POS ACUM uni'!$AP$27,'EGRESO-POS ACUM uni'!$AT$27,'EGRESO-POS ACUM uni'!$AX$27,'EGRESO-POS ACUM uni'!$BB$27,'EGRESO-POS ACUM uni'!$BF$27)</c:f>
              <c:numCache>
                <c:formatCode>#,##0</c:formatCode>
                <c:ptCount val="14"/>
                <c:pt idx="0">
                  <c:v>1883</c:v>
                </c:pt>
                <c:pt idx="1">
                  <c:v>2167</c:v>
                </c:pt>
                <c:pt idx="2">
                  <c:v>2432</c:v>
                </c:pt>
                <c:pt idx="3">
                  <c:v>2584</c:v>
                </c:pt>
                <c:pt idx="4">
                  <c:v>2844</c:v>
                </c:pt>
                <c:pt idx="5">
                  <c:v>3229</c:v>
                </c:pt>
                <c:pt idx="6">
                  <c:v>3285</c:v>
                </c:pt>
                <c:pt idx="7">
                  <c:v>3542</c:v>
                </c:pt>
                <c:pt idx="8">
                  <c:v>3826</c:v>
                </c:pt>
                <c:pt idx="9">
                  <c:v>4142</c:v>
                </c:pt>
                <c:pt idx="10">
                  <c:v>4546</c:v>
                </c:pt>
                <c:pt idx="11">
                  <c:v>4741</c:v>
                </c:pt>
                <c:pt idx="12">
                  <c:v>4944</c:v>
                </c:pt>
                <c:pt idx="13">
                  <c:v>5170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E-0A7D-494E-A07B-153F5B2701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36298496"/>
        <c:axId val="136300032"/>
        <c:axId val="0"/>
      </c:bar3DChart>
      <c:catAx>
        <c:axId val="136298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MX"/>
          </a:p>
        </c:txPr>
        <c:crossAx val="136300032"/>
        <c:crosses val="autoZero"/>
        <c:auto val="1"/>
        <c:lblAlgn val="ctr"/>
        <c:lblOffset val="100"/>
        <c:noMultiLvlLbl val="0"/>
      </c:catAx>
      <c:valAx>
        <c:axId val="136300032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362984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9537940069365487"/>
          <c:y val="0.95362274721526308"/>
          <c:w val="0.41495378132867961"/>
          <c:h val="4.6377252784736929E-2"/>
        </c:manualLayout>
      </c:layout>
      <c:overlay val="0"/>
      <c:txPr>
        <a:bodyPr/>
        <a:lstStyle/>
        <a:p>
          <a:pPr>
            <a:defRPr sz="1200" b="0" i="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1"/>
            </a:pPr>
            <a:r>
              <a:rPr lang="es-MX" sz="1200" b="0" i="1" baseline="0">
                <a:effectLst/>
              </a:rPr>
              <a:t>ALUMNOS QUE TERMINARON ESTUDIOS DE POSGRADO ACUMULADO por nivel</a:t>
            </a:r>
            <a:endParaRPr lang="es-MX" sz="1200" b="0" i="1">
              <a:effectLst/>
            </a:endParaRPr>
          </a:p>
        </c:rich>
      </c:tx>
      <c:overlay val="1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'EGRESO-POS ACUM uni'!$AC$47</c:f>
              <c:strCache>
                <c:ptCount val="1"/>
                <c:pt idx="0">
                  <c:v>Especialización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24-445A-BEF6-D1F4E4AC5320}"/>
                </c:ext>
              </c:extLst>
            </c:dLbl>
            <c:dLbl>
              <c:idx val="1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24-445A-BEF6-D1F4E4AC5320}"/>
                </c:ext>
              </c:extLst>
            </c:dLbl>
            <c:dLbl>
              <c:idx val="2"/>
              <c:layout>
                <c:manualLayout>
                  <c:x val="7.3563218390804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24-445A-BEF6-D1F4E4AC5320}"/>
                </c:ext>
              </c:extLst>
            </c:dLbl>
            <c:dLbl>
              <c:idx val="3"/>
              <c:layout>
                <c:manualLayout>
                  <c:x val="3.67816091954022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24-445A-BEF6-D1F4E4AC5320}"/>
                </c:ext>
              </c:extLst>
            </c:dLbl>
            <c:dLbl>
              <c:idx val="4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24-445A-BEF6-D1F4E4AC5320}"/>
                </c:ext>
              </c:extLst>
            </c:dLbl>
            <c:dLbl>
              <c:idx val="5"/>
              <c:layout>
                <c:manualLayout>
                  <c:x val="3.6781609195402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24-445A-BEF6-D1F4E4AC5320}"/>
                </c:ext>
              </c:extLst>
            </c:dLbl>
            <c:dLbl>
              <c:idx val="6"/>
              <c:layout>
                <c:manualLayout>
                  <c:x val="5.517241379310277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24-445A-BEF6-D1F4E4AC5320}"/>
                </c:ext>
              </c:extLst>
            </c:dLbl>
            <c:dLbl>
              <c:idx val="7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24-445A-BEF6-D1F4E4AC5320}"/>
                </c:ext>
              </c:extLst>
            </c:dLbl>
            <c:dLbl>
              <c:idx val="8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24-445A-BEF6-D1F4E4AC5320}"/>
                </c:ext>
              </c:extLst>
            </c:dLbl>
            <c:dLbl>
              <c:idx val="9"/>
              <c:layout>
                <c:manualLayout>
                  <c:x val="3.67816091954022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24-445A-BEF6-D1F4E4AC5320}"/>
                </c:ext>
              </c:extLst>
            </c:dLbl>
            <c:dLbl>
              <c:idx val="10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24-445A-BEF6-D1F4E4AC5320}"/>
                </c:ext>
              </c:extLst>
            </c:dLbl>
            <c:dLbl>
              <c:idx val="12"/>
              <c:layout>
                <c:manualLayout>
                  <c:x val="7.3563218390804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24-445A-BEF6-D1F4E4AC5320}"/>
                </c:ext>
              </c:extLst>
            </c:dLbl>
            <c:dLbl>
              <c:idx val="13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524-445A-BEF6-D1F4E4AC5320}"/>
                </c:ext>
              </c:extLst>
            </c:dLbl>
            <c:dLbl>
              <c:idx val="14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24-445A-BEF6-D1F4E4AC53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1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'EGRESO-POS ACUM uni'!$AD$47:$AD$60</c:f>
              <c:numCache>
                <c:formatCode>General</c:formatCode>
                <c:ptCount val="1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</c:numCache>
            </c:numRef>
          </c:cat>
          <c:val>
            <c:numRef>
              <c:f>('EGRESO-POS ACUM uni'!$C$35,'EGRESO-POS ACUM uni'!$G$35,'EGRESO-POS ACUM uni'!$K$35,'EGRESO-POS ACUM uni'!$O$35,'EGRESO-POS ACUM uni'!$S$35,'EGRESO-POS ACUM uni'!$W$35,'EGRESO-POS ACUM uni'!$AA$35,'EGRESO-POS ACUM uni'!$AE$35,'EGRESO-POS ACUM uni'!$AI$35,'EGRESO-POS ACUM uni'!$AM$35,'EGRESO-POS ACUM uni'!$AQ$35,'EGRESO-POS ACUM uni'!$AU$35,'EGRESO-POS ACUM uni'!$AY$35,'EGRESO-POS ACUM uni'!$BC$35)</c:f>
              <c:numCache>
                <c:formatCode>#,##0</c:formatCode>
                <c:ptCount val="14"/>
                <c:pt idx="0">
                  <c:v>1537</c:v>
                </c:pt>
                <c:pt idx="1">
                  <c:v>1672</c:v>
                </c:pt>
                <c:pt idx="2">
                  <c:v>1891</c:v>
                </c:pt>
                <c:pt idx="3">
                  <c:v>2055</c:v>
                </c:pt>
                <c:pt idx="4">
                  <c:v>2186</c:v>
                </c:pt>
                <c:pt idx="5">
                  <c:v>2258</c:v>
                </c:pt>
                <c:pt idx="6">
                  <c:v>2331</c:v>
                </c:pt>
                <c:pt idx="7">
                  <c:v>2444</c:v>
                </c:pt>
                <c:pt idx="8">
                  <c:v>2545</c:v>
                </c:pt>
                <c:pt idx="9">
                  <c:v>2660</c:v>
                </c:pt>
                <c:pt idx="10">
                  <c:v>2744</c:v>
                </c:pt>
                <c:pt idx="11">
                  <c:v>2790</c:v>
                </c:pt>
                <c:pt idx="12">
                  <c:v>2886</c:v>
                </c:pt>
                <c:pt idx="13">
                  <c:v>2954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524-445A-BEF6-D1F4E4AC5320}"/>
            </c:ext>
          </c:extLst>
        </c:ser>
        <c:ser>
          <c:idx val="1"/>
          <c:order val="1"/>
          <c:tx>
            <c:strRef>
              <c:f>'EGRESO-POS ACUM uni'!$AC$48</c:f>
              <c:strCache>
                <c:ptCount val="1"/>
                <c:pt idx="0">
                  <c:v>Maestría</c:v>
                </c:pt>
              </c:strCache>
            </c:strRef>
          </c:tx>
          <c:spPr>
            <a:solidFill>
              <a:srgbClr val="CC9900"/>
            </a:solidFill>
            <a:ln>
              <a:noFill/>
            </a:ln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6.194347657762291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524-445A-BEF6-D1F4E4AC5320}"/>
                </c:ext>
              </c:extLst>
            </c:dLbl>
            <c:dLbl>
              <c:idx val="1"/>
              <c:layout>
                <c:manualLayout>
                  <c:x val="6.1943476577622919E-3"/>
                  <c:y val="-7.615003758068032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524-445A-BEF6-D1F4E4AC5320}"/>
                </c:ext>
              </c:extLst>
            </c:dLbl>
            <c:dLbl>
              <c:idx val="2"/>
              <c:layout>
                <c:manualLayout>
                  <c:x val="7.742934572202864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524-445A-BEF6-D1F4E4AC5320}"/>
                </c:ext>
              </c:extLst>
            </c:dLbl>
            <c:dLbl>
              <c:idx val="3"/>
              <c:layout>
                <c:manualLayout>
                  <c:x val="7.742934572202808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524-445A-BEF6-D1F4E4AC5320}"/>
                </c:ext>
              </c:extLst>
            </c:dLbl>
            <c:dLbl>
              <c:idx val="4"/>
              <c:layout>
                <c:manualLayout>
                  <c:x val="7.7429345722029213E-3"/>
                  <c:y val="-2.07684319833852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524-445A-BEF6-D1F4E4AC5320}"/>
                </c:ext>
              </c:extLst>
            </c:dLbl>
            <c:dLbl>
              <c:idx val="5"/>
              <c:layout>
                <c:manualLayout>
                  <c:x val="7.742934572202864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524-445A-BEF6-D1F4E4AC5320}"/>
                </c:ext>
              </c:extLst>
            </c:dLbl>
            <c:dLbl>
              <c:idx val="6"/>
              <c:layout>
                <c:manualLayout>
                  <c:x val="9.2915214866434379E-3"/>
                  <c:y val="-7.615003758068032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524-445A-BEF6-D1F4E4AC5320}"/>
                </c:ext>
              </c:extLst>
            </c:dLbl>
            <c:dLbl>
              <c:idx val="7"/>
              <c:layout>
                <c:manualLayout>
                  <c:x val="7.7429345722028649E-3"/>
                  <c:y val="-7.615003758068032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524-445A-BEF6-D1F4E4AC5320}"/>
                </c:ext>
              </c:extLst>
            </c:dLbl>
            <c:dLbl>
              <c:idx val="8"/>
              <c:layout>
                <c:manualLayout>
                  <c:x val="7.7429345722027513E-3"/>
                  <c:y val="-7.615003758068032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524-445A-BEF6-D1F4E4AC5320}"/>
                </c:ext>
              </c:extLst>
            </c:dLbl>
            <c:dLbl>
              <c:idx val="13"/>
              <c:layout>
                <c:manualLayout>
                  <c:x val="6.479481641468682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8A-410D-8B31-522CD8B77E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1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'EGRESO-POS ACUM uni'!$AD$47:$AD$60</c:f>
              <c:numCache>
                <c:formatCode>General</c:formatCode>
                <c:ptCount val="1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</c:numCache>
            </c:numRef>
          </c:cat>
          <c:val>
            <c:numRef>
              <c:f>('EGRESO-POS ACUM uni'!$D$35,'EGRESO-POS ACUM uni'!$H$35,'EGRESO-POS ACUM uni'!$L$35,'EGRESO-POS ACUM uni'!$P$35,'EGRESO-POS ACUM uni'!$T$35,'EGRESO-POS ACUM uni'!$X$35,'EGRESO-POS ACUM uni'!$AB$35,'EGRESO-POS ACUM uni'!$AF$35,'EGRESO-POS ACUM uni'!$AJ$35,'EGRESO-POS ACUM uni'!$AN$35,'EGRESO-POS ACUM uni'!$AR$35,'EGRESO-POS ACUM uni'!$AV$35,'EGRESO-POS ACUM uni'!$AZ$35,'EGRESO-POS ACUM uni'!$BD$35)</c:f>
              <c:numCache>
                <c:formatCode>#,##0</c:formatCode>
                <c:ptCount val="14"/>
                <c:pt idx="0">
                  <c:v>3778</c:v>
                </c:pt>
                <c:pt idx="1">
                  <c:v>4204</c:v>
                </c:pt>
                <c:pt idx="2">
                  <c:v>4699</c:v>
                </c:pt>
                <c:pt idx="3">
                  <c:v>5031</c:v>
                </c:pt>
                <c:pt idx="4">
                  <c:v>5497</c:v>
                </c:pt>
                <c:pt idx="5">
                  <c:v>6183</c:v>
                </c:pt>
                <c:pt idx="6">
                  <c:v>6411</c:v>
                </c:pt>
                <c:pt idx="7">
                  <c:v>7028</c:v>
                </c:pt>
                <c:pt idx="8">
                  <c:v>7556</c:v>
                </c:pt>
                <c:pt idx="9">
                  <c:v>8105</c:v>
                </c:pt>
                <c:pt idx="10">
                  <c:v>8602</c:v>
                </c:pt>
                <c:pt idx="11">
                  <c:v>9022</c:v>
                </c:pt>
                <c:pt idx="12">
                  <c:v>9422</c:v>
                </c:pt>
                <c:pt idx="13">
                  <c:v>9880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3524-445A-BEF6-D1F4E4AC5320}"/>
            </c:ext>
          </c:extLst>
        </c:ser>
        <c:ser>
          <c:idx val="2"/>
          <c:order val="2"/>
          <c:tx>
            <c:strRef>
              <c:f>'EGRESO-POS ACUM uni'!$AC$49</c:f>
              <c:strCache>
                <c:ptCount val="1"/>
                <c:pt idx="0">
                  <c:v>Doctorado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9.2915214866434379E-3"/>
                  <c:y val="-6.23052959501565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524-445A-BEF6-D1F4E4AC5320}"/>
                </c:ext>
              </c:extLst>
            </c:dLbl>
            <c:dLbl>
              <c:idx val="1"/>
              <c:layout>
                <c:manualLayout>
                  <c:x val="7.7429345722028649E-3"/>
                  <c:y val="-1.03842159916926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524-445A-BEF6-D1F4E4AC5320}"/>
                </c:ext>
              </c:extLst>
            </c:dLbl>
            <c:dLbl>
              <c:idx val="2"/>
              <c:layout>
                <c:manualLayout>
                  <c:x val="9.2915214866434379E-3"/>
                  <c:y val="-6.230529595015576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524-445A-BEF6-D1F4E4AC5320}"/>
                </c:ext>
              </c:extLst>
            </c:dLbl>
            <c:dLbl>
              <c:idx val="3"/>
              <c:layout>
                <c:manualLayout>
                  <c:x val="6.1943476577622919E-3"/>
                  <c:y val="-6.23052959501565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524-445A-BEF6-D1F4E4AC5320}"/>
                </c:ext>
              </c:extLst>
            </c:dLbl>
            <c:dLbl>
              <c:idx val="4"/>
              <c:layout>
                <c:manualLayout>
                  <c:x val="6.194347657762291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524-445A-BEF6-D1F4E4AC5320}"/>
                </c:ext>
              </c:extLst>
            </c:dLbl>
            <c:dLbl>
              <c:idx val="5"/>
              <c:layout>
                <c:manualLayout>
                  <c:x val="9.2915214866433251E-3"/>
                  <c:y val="-3.807501879034016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524-445A-BEF6-D1F4E4AC5320}"/>
                </c:ext>
              </c:extLst>
            </c:dLbl>
            <c:dLbl>
              <c:idx val="6"/>
              <c:layout>
                <c:manualLayout>
                  <c:x val="7.7429345722028649E-3"/>
                  <c:y val="-3.807501879034016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524-445A-BEF6-D1F4E4AC5320}"/>
                </c:ext>
              </c:extLst>
            </c:dLbl>
            <c:dLbl>
              <c:idx val="7"/>
              <c:layout>
                <c:manualLayout>
                  <c:x val="9.2915214866434379E-3"/>
                  <c:y val="-1.03842159916926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524-445A-BEF6-D1F4E4AC5320}"/>
                </c:ext>
              </c:extLst>
            </c:dLbl>
            <c:dLbl>
              <c:idx val="8"/>
              <c:layout>
                <c:manualLayout>
                  <c:x val="7.742934572202751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524-445A-BEF6-D1F4E4AC5320}"/>
                </c:ext>
              </c:extLst>
            </c:dLbl>
            <c:dLbl>
              <c:idx val="13"/>
              <c:layout>
                <c:manualLayout>
                  <c:x val="6.4794816414686825E-3"/>
                  <c:y val="2.74128783112112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8A-410D-8B31-522CD8B77E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 anchor="ctr" anchorCtr="1"/>
              <a:lstStyle/>
              <a:p>
                <a:pPr>
                  <a:defRPr sz="11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'EGRESO-POS ACUM uni'!$AD$47:$AD$60</c:f>
              <c:numCache>
                <c:formatCode>General</c:formatCode>
                <c:ptCount val="1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</c:numCache>
            </c:numRef>
          </c:cat>
          <c:val>
            <c:numRef>
              <c:f>('EGRESO-POS ACUM uni'!$E$35,'EGRESO-POS ACUM uni'!$I$35,'EGRESO-POS ACUM uni'!$M$35,'EGRESO-POS ACUM uni'!$Q$35,'EGRESO-POS ACUM uni'!$U$35,'EGRESO-POS ACUM uni'!$Y$35,'EGRESO-POS ACUM uni'!$AC$35,'EGRESO-POS ACUM uni'!$AG$35,'EGRESO-POS ACUM uni'!$AK$35,'EGRESO-POS ACUM uni'!$AO$35,'EGRESO-POS ACUM uni'!$AS$35,'EGRESO-POS ACUM uni'!$AW$35,'EGRESO-POS ACUM uni'!$BA$35,'EGRESO-POS ACUM uni'!$BE$35)</c:f>
              <c:numCache>
                <c:formatCode>#,##0</c:formatCode>
                <c:ptCount val="14"/>
                <c:pt idx="0">
                  <c:v>1276</c:v>
                </c:pt>
                <c:pt idx="1">
                  <c:v>1449</c:v>
                </c:pt>
                <c:pt idx="2">
                  <c:v>1634</c:v>
                </c:pt>
                <c:pt idx="3">
                  <c:v>1784</c:v>
                </c:pt>
                <c:pt idx="4">
                  <c:v>1970</c:v>
                </c:pt>
                <c:pt idx="5">
                  <c:v>2188</c:v>
                </c:pt>
                <c:pt idx="6">
                  <c:v>2352</c:v>
                </c:pt>
                <c:pt idx="7">
                  <c:v>2556</c:v>
                </c:pt>
                <c:pt idx="8">
                  <c:v>2752</c:v>
                </c:pt>
                <c:pt idx="9">
                  <c:v>2987</c:v>
                </c:pt>
                <c:pt idx="10">
                  <c:v>3389</c:v>
                </c:pt>
                <c:pt idx="11">
                  <c:v>3545</c:v>
                </c:pt>
                <c:pt idx="12">
                  <c:v>3753</c:v>
                </c:pt>
                <c:pt idx="13">
                  <c:v>3966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3524-445A-BEF6-D1F4E4AC5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36760320"/>
        <c:axId val="136880896"/>
        <c:axId val="0"/>
      </c:bar3DChart>
      <c:catAx>
        <c:axId val="136760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MX"/>
          </a:p>
        </c:txPr>
        <c:crossAx val="136880896"/>
        <c:crosses val="autoZero"/>
        <c:auto val="1"/>
        <c:lblAlgn val="ctr"/>
        <c:lblOffset val="100"/>
        <c:noMultiLvlLbl val="0"/>
      </c:catAx>
      <c:valAx>
        <c:axId val="136880896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367603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606728327275468"/>
          <c:y val="0.95120268844899059"/>
          <c:w val="0.56526556249434334"/>
          <c:h val="4.4673878382024676E-2"/>
        </c:manualLayout>
      </c:layout>
      <c:overlay val="0"/>
      <c:txPr>
        <a:bodyPr/>
        <a:lstStyle/>
        <a:p>
          <a:pPr>
            <a:defRPr sz="1400" i="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  <a:scene3d>
      <a:camera prst="orthographicFront"/>
      <a:lightRig rig="threePt" dir="t"/>
    </a:scene3d>
    <a:sp3d>
      <a:bevelT w="152400" h="50800" prst="softRound"/>
    </a:sp3d>
  </c:spPr>
  <c:printSettings>
    <c:headerFooter/>
    <c:pageMargins b="0.75" l="0.7" r="0.7" t="0.75" header="0.3" footer="0.3"/>
    <c:pageSetup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explosion val="18"/>
          <c:dPt>
            <c:idx val="0"/>
            <c:bubble3D val="0"/>
            <c:spPr>
              <a:solidFill>
                <a:srgbClr val="CC9900"/>
              </a:solidFill>
              <a:scene3d>
                <a:camera prst="orthographicFront"/>
                <a:lightRig rig="threePt" dir="t"/>
              </a:scene3d>
              <a:sp3d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1-E283-4026-9A4A-857A3A307BD7}"/>
              </c:ext>
            </c:extLst>
          </c:dPt>
          <c:dPt>
            <c:idx val="1"/>
            <c:bubble3D val="0"/>
            <c:spPr>
              <a:solidFill>
                <a:schemeClr val="bg2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3-E283-4026-9A4A-857A3A307BD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Planes de estudio en el PNPC</c:v>
              </c:pt>
              <c:pt idx="1">
                <c:v>Planes en proceso</c:v>
              </c:pt>
            </c:strLit>
          </c:cat>
          <c:val>
            <c:numLit>
              <c:formatCode>General</c:formatCode>
              <c:ptCount val="2"/>
              <c:pt idx="0">
                <c:v>0.78947368421052633</c:v>
              </c:pt>
              <c:pt idx="1">
                <c:v>0.21052631578947367</c:v>
              </c:pt>
            </c:numLit>
          </c:val>
          <c:extLst>
            <c:ext xmlns:c16="http://schemas.microsoft.com/office/drawing/2014/chart" uri="{C3380CC4-5D6E-409C-BE32-E72D297353CC}">
              <c16:uniqueId val="{00000004-E283-4026-9A4A-857A3A307B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6037401574803151"/>
          <c:y val="0.84220873432487608"/>
          <c:w val="0.71536307961504797"/>
          <c:h val="8.3717191601049873E-2"/>
        </c:manualLayout>
      </c:layout>
      <c:overlay val="0"/>
      <c:txPr>
        <a:bodyPr/>
        <a:lstStyle/>
        <a:p>
          <a:pPr rtl="0">
            <a:defRPr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MX"/>
              <a:t>Becas de Manutención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  <c:spPr>
        <a:noFill/>
      </c:spPr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'Manutención uni'!$B$9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rgbClr val="CD032E"/>
            </a:solidFill>
            <a:effectLst>
              <a:outerShdw blurRad="609600" dist="317500" dir="5400000" sx="90000" sy="-19000" rotWithShape="0">
                <a:prstClr val="black"/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0"/>
                  <c:y val="8.1135902636916835E-3"/>
                </c:manualLayout>
              </c:layout>
              <c:spPr/>
              <c:txPr>
                <a:bodyPr/>
                <a:lstStyle/>
                <a:p>
                  <a:pPr>
                    <a:defRPr sz="800">
                      <a:solidFill>
                        <a:srgbClr val="CD032E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F3-4B90-A37D-275E416EBF96}"/>
                </c:ext>
              </c:extLst>
            </c:dLbl>
            <c:dLbl>
              <c:idx val="2"/>
              <c:layout>
                <c:manualLayout>
                  <c:x val="4.67229033832900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F3-4B90-A37D-275E416EBF96}"/>
                </c:ext>
              </c:extLst>
            </c:dLbl>
            <c:dLbl>
              <c:idx val="3"/>
              <c:layout>
                <c:manualLayout>
                  <c:x val="3.11486022555267E-3"/>
                  <c:y val="9.916495766084538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F3-4B90-A37D-275E416EBF96}"/>
                </c:ext>
              </c:extLst>
            </c:dLbl>
            <c:dLbl>
              <c:idx val="4"/>
              <c:layout>
                <c:manualLayout>
                  <c:x val="2.5331647245875012E-3"/>
                  <c:y val="-1.6323313564873714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F3-4B90-A37D-275E416EBF96}"/>
                </c:ext>
              </c:extLst>
            </c:dLbl>
            <c:dLbl>
              <c:idx val="5"/>
              <c:layout>
                <c:manualLayout>
                  <c:x val="3.60277602502778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F3-4B90-A37D-275E416EBF96}"/>
                </c:ext>
              </c:extLst>
            </c:dLbl>
            <c:dLbl>
              <c:idx val="6"/>
              <c:layout>
                <c:manualLayout>
                  <c:x val="3.84664988370485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F3-4B90-A37D-275E416EBF96}"/>
                </c:ext>
              </c:extLst>
            </c:dLbl>
            <c:dLbl>
              <c:idx val="7"/>
              <c:layout>
                <c:manualLayout>
                  <c:x val="3.60277602502778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F3-4B90-A37D-275E416EBF96}"/>
                </c:ext>
              </c:extLst>
            </c:dLbl>
            <c:dLbl>
              <c:idx val="8"/>
              <c:layout>
                <c:manualLayout>
                  <c:x val="6.229720451105339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F3-4B90-A37D-275E416EBF96}"/>
                </c:ext>
              </c:extLst>
            </c:dLbl>
            <c:dLbl>
              <c:idx val="9"/>
              <c:layout>
                <c:manualLayout>
                  <c:x val="4.916261184145041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F3-4B90-A37D-275E416EBF96}"/>
                </c:ext>
              </c:extLst>
            </c:dLbl>
            <c:dLbl>
              <c:idx val="10"/>
              <c:layout>
                <c:manualLayout>
                  <c:x val="4.67229033832900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F3-4B90-A37D-275E416EBF96}"/>
                </c:ext>
              </c:extLst>
            </c:dLbl>
            <c:dLbl>
              <c:idx val="11"/>
              <c:layout>
                <c:manualLayout>
                  <c:x val="5.404112325527446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F3-4B90-A37D-275E416EBF96}"/>
                </c:ext>
              </c:extLst>
            </c:dLbl>
            <c:dLbl>
              <c:idx val="12"/>
              <c:layout>
                <c:manualLayout>
                  <c:x val="3.846649883704754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F3-4B90-A37D-275E416EBF96}"/>
                </c:ext>
              </c:extLst>
            </c:dLbl>
            <c:dLbl>
              <c:idx val="13"/>
              <c:layout>
                <c:manualLayout>
                  <c:x val="5.6192931128372864E-3"/>
                  <c:y val="9.916495766084538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F3-4B90-A37D-275E416EBF96}"/>
                </c:ext>
              </c:extLst>
            </c:dLbl>
            <c:dLbl>
              <c:idx val="14"/>
              <c:layout>
                <c:manualLayout>
                  <c:x val="3.940455477352050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5F3-4B90-A37D-275E416EBF96}"/>
                </c:ext>
              </c:extLst>
            </c:dLbl>
            <c:dLbl>
              <c:idx val="15"/>
              <c:layout>
                <c:manualLayout>
                  <c:x val="3.9404554773520509E-3"/>
                  <c:y val="-1.6516325718512423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5F3-4B90-A37D-275E416EBF96}"/>
                </c:ext>
              </c:extLst>
            </c:dLbl>
            <c:dLbl>
              <c:idx val="16"/>
              <c:layout>
                <c:manualLayout>
                  <c:x val="3.9404554773520509E-3"/>
                  <c:y val="-4.50450450450466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5F3-4B90-A37D-275E416EBF96}"/>
                </c:ext>
              </c:extLst>
            </c:dLbl>
            <c:dLbl>
              <c:idx val="17"/>
              <c:layout>
                <c:manualLayout>
                  <c:x val="3.9404554773520509E-3"/>
                  <c:y val="-1.6323313564873714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5F3-4B90-A37D-275E416EBF96}"/>
                </c:ext>
              </c:extLst>
            </c:dLbl>
            <c:dLbl>
              <c:idx val="18"/>
              <c:layout>
                <c:manualLayout>
                  <c:x val="6.5352360372881012E-3"/>
                  <c:y val="-2.26821641213527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5F3-4B90-A37D-275E416EBF96}"/>
                </c:ext>
              </c:extLst>
            </c:dLbl>
            <c:dLbl>
              <c:idx val="19"/>
              <c:layout>
                <c:manualLayout>
                  <c:x val="5.82383005788738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5F3-4B90-A37D-275E416EBF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('Manutención uni'!$R$43:$R$61,'Manutención uni'!$R$62)</c:f>
              <c:numCache>
                <c:formatCode>General</c:formatCode>
                <c:ptCount val="20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</c:numCache>
            </c:numRef>
          </c:cat>
          <c:val>
            <c:numRef>
              <c:f>('Manutención uni'!$D$9,'Manutención uni'!$F$9,'Manutención uni'!$H$9,'Manutención uni'!$J$9,'Manutención uni'!$L$9,'Manutención uni'!$N$9,'Manutención uni'!$P$9,'Manutención uni'!$R$9,'Manutención uni'!$T$9,'Manutención uni'!$V$9,'Manutención uni'!$X$9,'Manutención uni'!$Z$9,'Manutención uni'!$AB$9,'Manutención uni'!$AD$9,'Manutención uni'!$AF$9,'Manutención uni'!$AH$9,'Manutención uni'!$AJ$9,'Manutención uni'!$AN$9,'Manutención uni'!$AQ$9,'Manutención uni'!$AT$9)</c:f>
              <c:numCache>
                <c:formatCode>#,##0</c:formatCode>
                <c:ptCount val="20"/>
                <c:pt idx="0">
                  <c:v>51</c:v>
                </c:pt>
                <c:pt idx="1">
                  <c:v>299</c:v>
                </c:pt>
                <c:pt idx="2">
                  <c:v>558</c:v>
                </c:pt>
                <c:pt idx="3">
                  <c:v>811</c:v>
                </c:pt>
                <c:pt idx="4">
                  <c:v>1092</c:v>
                </c:pt>
                <c:pt idx="5">
                  <c:v>1645</c:v>
                </c:pt>
                <c:pt idx="6">
                  <c:v>2231</c:v>
                </c:pt>
                <c:pt idx="7">
                  <c:v>2234</c:v>
                </c:pt>
                <c:pt idx="8">
                  <c:v>2381</c:v>
                </c:pt>
                <c:pt idx="9">
                  <c:v>2915</c:v>
                </c:pt>
                <c:pt idx="10">
                  <c:v>3523</c:v>
                </c:pt>
                <c:pt idx="11">
                  <c:v>3788</c:v>
                </c:pt>
                <c:pt idx="12">
                  <c:v>3742</c:v>
                </c:pt>
                <c:pt idx="13">
                  <c:v>3964</c:v>
                </c:pt>
                <c:pt idx="14">
                  <c:v>3994</c:v>
                </c:pt>
                <c:pt idx="15">
                  <c:v>4147</c:v>
                </c:pt>
                <c:pt idx="16">
                  <c:v>4439</c:v>
                </c:pt>
                <c:pt idx="17">
                  <c:v>4313</c:v>
                </c:pt>
                <c:pt idx="18">
                  <c:v>2752</c:v>
                </c:pt>
                <c:pt idx="19">
                  <c:v>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45F3-4B90-A37D-275E416EBF96}"/>
            </c:ext>
          </c:extLst>
        </c:ser>
        <c:ser>
          <c:idx val="1"/>
          <c:order val="1"/>
          <c:tx>
            <c:strRef>
              <c:f>'Manutención uni'!$B$14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4"/>
              <c:layout>
                <c:manualLayout>
                  <c:x val="4.67229033832900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5F3-4B90-A37D-275E416EBF96}"/>
                </c:ext>
              </c:extLst>
            </c:dLbl>
            <c:dLbl>
              <c:idx val="5"/>
              <c:layout>
                <c:manualLayout>
                  <c:x val="4.67229033832900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5F3-4B90-A37D-275E416EBF96}"/>
                </c:ext>
              </c:extLst>
            </c:dLbl>
            <c:dLbl>
              <c:idx val="6"/>
              <c:layout>
                <c:manualLayout>
                  <c:x val="4.67229033832900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5F3-4B90-A37D-275E416EBF96}"/>
                </c:ext>
              </c:extLst>
            </c:dLbl>
            <c:dLbl>
              <c:idx val="7"/>
              <c:layout>
                <c:manualLayout>
                  <c:x val="6.2297204511053399E-3"/>
                  <c:y val="-9.916495766084538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5F3-4B90-A37D-275E416EBF96}"/>
                </c:ext>
              </c:extLst>
            </c:dLbl>
            <c:dLbl>
              <c:idx val="8"/>
              <c:layout>
                <c:manualLayout>
                  <c:x val="4.67229033832900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5F3-4B90-A37D-275E416EBF96}"/>
                </c:ext>
              </c:extLst>
            </c:dLbl>
            <c:dLbl>
              <c:idx val="9"/>
              <c:layout>
                <c:manualLayout>
                  <c:x val="4.6722903383290054E-3"/>
                  <c:y val="9.916495766084538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5F3-4B90-A37D-275E416EBF96}"/>
                </c:ext>
              </c:extLst>
            </c:dLbl>
            <c:dLbl>
              <c:idx val="10"/>
              <c:layout>
                <c:manualLayout>
                  <c:x val="6.229720451105339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5F3-4B90-A37D-275E416EBF96}"/>
                </c:ext>
              </c:extLst>
            </c:dLbl>
            <c:dLbl>
              <c:idx val="11"/>
              <c:layout>
                <c:manualLayout>
                  <c:x val="6.2297204511053399E-3"/>
                  <c:y val="-2.70453008789722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5F3-4B90-A37D-275E416EBF96}"/>
                </c:ext>
              </c:extLst>
            </c:dLbl>
            <c:dLbl>
              <c:idx val="12"/>
              <c:layout>
                <c:manualLayout>
                  <c:x val="7.7871505638816754E-3"/>
                  <c:y val="-2.70453008789722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5F3-4B90-A37D-275E416EBF96}"/>
                </c:ext>
              </c:extLst>
            </c:dLbl>
            <c:dLbl>
              <c:idx val="13"/>
              <c:layout>
                <c:manualLayout>
                  <c:x val="8.4289396692558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5F3-4B90-A37D-275E416EBF96}"/>
                </c:ext>
              </c:extLst>
            </c:dLbl>
            <c:dLbl>
              <c:idx val="15"/>
              <c:layout>
                <c:manualLayout>
                  <c:x val="6.567425795586751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5F3-4B90-A37D-275E416EBF96}"/>
                </c:ext>
              </c:extLst>
            </c:dLbl>
            <c:dLbl>
              <c:idx val="16"/>
              <c:layout>
                <c:manualLayout>
                  <c:x val="6.5674257955865593E-3"/>
                  <c:y val="-8.258162859256211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5F3-4B90-A37D-275E416EBF96}"/>
                </c:ext>
              </c:extLst>
            </c:dLbl>
            <c:dLbl>
              <c:idx val="17"/>
              <c:layout>
                <c:manualLayout>
                  <c:x val="3.9404554773520509E-3"/>
                  <c:y val="-8.16165678243685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5F3-4B90-A37D-275E416EBF96}"/>
                </c:ext>
              </c:extLst>
            </c:dLbl>
            <c:dLbl>
              <c:idx val="18"/>
              <c:layout>
                <c:manualLayout>
                  <c:x val="2.61409441491504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5F3-4B90-A37D-275E416EBF96}"/>
                </c:ext>
              </c:extLst>
            </c:dLbl>
            <c:dLbl>
              <c:idx val="19"/>
              <c:layout>
                <c:manualLayout>
                  <c:x val="2.4751277746021854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80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5F3-4B90-A37D-275E416EBF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  <a:latin typeface="+mn-lt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('Manutención uni'!$R$43:$R$61,'Manutención uni'!$R$62)</c:f>
              <c:numCache>
                <c:formatCode>General</c:formatCode>
                <c:ptCount val="20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</c:numCache>
            </c:numRef>
          </c:cat>
          <c:val>
            <c:numRef>
              <c:f>('Manutención uni'!$D$14,'Manutención uni'!$F$14,'Manutención uni'!$H$14,'Manutención uni'!$J$14,'Manutención uni'!$L$14,'Manutención uni'!$N$14,'Manutención uni'!$P$14,'Manutención uni'!$R$14,'Manutención uni'!$T$14,'Manutención uni'!$V$14,'Manutención uni'!$X$14,'Manutención uni'!$Z$14,'Manutención uni'!$AB$14,'Manutención uni'!$AD$14,'Manutención uni'!$AF$14,'Manutención uni'!$AH$14,'Manutención uni'!$AJ$14,'Manutención uni'!$AN$14,'Manutención uni'!$AQ$14,'Manutención uni'!$AT$14)</c:f>
              <c:numCache>
                <c:formatCode>#,##0</c:formatCode>
                <c:ptCount val="20"/>
                <c:pt idx="4">
                  <c:v>28</c:v>
                </c:pt>
                <c:pt idx="5">
                  <c:v>99</c:v>
                </c:pt>
                <c:pt idx="6">
                  <c:v>162</c:v>
                </c:pt>
                <c:pt idx="7">
                  <c:v>225</c:v>
                </c:pt>
                <c:pt idx="8">
                  <c:v>263</c:v>
                </c:pt>
                <c:pt idx="9">
                  <c:v>283</c:v>
                </c:pt>
                <c:pt idx="10">
                  <c:v>339</c:v>
                </c:pt>
                <c:pt idx="11">
                  <c:v>311</c:v>
                </c:pt>
                <c:pt idx="12">
                  <c:v>326</c:v>
                </c:pt>
                <c:pt idx="13">
                  <c:v>497</c:v>
                </c:pt>
                <c:pt idx="14">
                  <c:v>614</c:v>
                </c:pt>
                <c:pt idx="15">
                  <c:v>745</c:v>
                </c:pt>
                <c:pt idx="16">
                  <c:v>922</c:v>
                </c:pt>
                <c:pt idx="17">
                  <c:v>997</c:v>
                </c:pt>
                <c:pt idx="18">
                  <c:v>659</c:v>
                </c:pt>
                <c:pt idx="19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45F3-4B90-A37D-275E416EBF96}"/>
            </c:ext>
          </c:extLst>
        </c:ser>
        <c:ser>
          <c:idx val="2"/>
          <c:order val="2"/>
          <c:tx>
            <c:strRef>
              <c:f>'Manutención uni'!$B$19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rgbClr val="57A519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-1.557430112776335E-3"/>
                  <c:y val="-2.434077079107505E-2"/>
                </c:manualLayout>
              </c:layout>
              <c:spPr/>
              <c:txPr>
                <a:bodyPr/>
                <a:lstStyle/>
                <a:p>
                  <a:pPr>
                    <a:defRPr sz="800">
                      <a:solidFill>
                        <a:sysClr val="windowText" lastClr="000000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5F3-4B90-A37D-275E416EBF96}"/>
                </c:ext>
              </c:extLst>
            </c:dLbl>
            <c:dLbl>
              <c:idx val="3"/>
              <c:layout>
                <c:manualLayout>
                  <c:x val="7.7871505638816754E-3"/>
                  <c:y val="-9.916495766084538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5F3-4B90-A37D-275E416EBF96}"/>
                </c:ext>
              </c:extLst>
            </c:dLbl>
            <c:dLbl>
              <c:idx val="4"/>
              <c:layout>
                <c:manualLayout>
                  <c:x val="4.67229033832900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5F3-4B90-A37D-275E416EBF96}"/>
                </c:ext>
              </c:extLst>
            </c:dLbl>
            <c:dLbl>
              <c:idx val="5"/>
              <c:layout>
                <c:manualLayout>
                  <c:x val="4.6722903383290054E-3"/>
                  <c:y val="-9.916495766084538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5F3-4B90-A37D-275E416EBF96}"/>
                </c:ext>
              </c:extLst>
            </c:dLbl>
            <c:dLbl>
              <c:idx val="6"/>
              <c:layout>
                <c:manualLayout>
                  <c:x val="4.67229033832900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5F3-4B90-A37D-275E416EBF96}"/>
                </c:ext>
              </c:extLst>
            </c:dLbl>
            <c:dLbl>
              <c:idx val="7"/>
              <c:layout>
                <c:manualLayout>
                  <c:x val="3.6027760250277874E-3"/>
                  <c:y val="-8.16165678243685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5F3-4B90-A37D-275E416EBF96}"/>
                </c:ext>
              </c:extLst>
            </c:dLbl>
            <c:dLbl>
              <c:idx val="8"/>
              <c:layout>
                <c:manualLayout>
                  <c:x val="4.67229033832900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5F3-4B90-A37D-275E416EBF96}"/>
                </c:ext>
              </c:extLst>
            </c:dLbl>
            <c:dLbl>
              <c:idx val="9"/>
              <c:layout>
                <c:manualLayout>
                  <c:x val="3.8466498837047549E-3"/>
                  <c:y val="-8.16165678243685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5F3-4B90-A37D-275E416EBF96}"/>
                </c:ext>
              </c:extLst>
            </c:dLbl>
            <c:dLbl>
              <c:idx val="10"/>
              <c:layout>
                <c:manualLayout>
                  <c:x val="7.78715056388167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5F3-4B90-A37D-275E416EBF96}"/>
                </c:ext>
              </c:extLst>
            </c:dLbl>
            <c:dLbl>
              <c:idx val="11"/>
              <c:layout>
                <c:manualLayout>
                  <c:x val="6.229720451105339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5F3-4B90-A37D-275E416EBF96}"/>
                </c:ext>
              </c:extLst>
            </c:dLbl>
            <c:dLbl>
              <c:idx val="12"/>
              <c:layout>
                <c:manualLayout>
                  <c:x val="6.22972045110545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5F3-4B90-A37D-275E416EBF96}"/>
                </c:ext>
              </c:extLst>
            </c:dLbl>
            <c:dLbl>
              <c:idx val="13"/>
              <c:layout>
                <c:manualLayout>
                  <c:x val="4.397175986223092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5F3-4B90-A37D-275E416EBF96}"/>
                </c:ext>
              </c:extLst>
            </c:dLbl>
            <c:dLbl>
              <c:idx val="14"/>
              <c:layout>
                <c:manualLayout>
                  <c:x val="3.9404554773520509E-3"/>
                  <c:y val="-8.258162859256211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5F3-4B90-A37D-275E416EBF96}"/>
                </c:ext>
              </c:extLst>
            </c:dLbl>
            <c:dLbl>
              <c:idx val="15"/>
              <c:layout>
                <c:manualLayout>
                  <c:x val="3.940455477352050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5F3-4B90-A37D-275E416EBF96}"/>
                </c:ext>
              </c:extLst>
            </c:dLbl>
            <c:dLbl>
              <c:idx val="16"/>
              <c:layout>
                <c:manualLayout>
                  <c:x val="5.253940636469401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45F3-4B90-A37D-275E416EBF96}"/>
                </c:ext>
              </c:extLst>
            </c:dLbl>
            <c:dLbl>
              <c:idx val="17"/>
              <c:layout>
                <c:manualLayout>
                  <c:x val="3.940455477352050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45F3-4B90-A37D-275E416EBF96}"/>
                </c:ext>
              </c:extLst>
            </c:dLbl>
            <c:dLbl>
              <c:idx val="18"/>
              <c:layout>
                <c:manualLayout>
                  <c:x val="5.2281888298302895E-3"/>
                  <c:y val="4.53643282427047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5F3-4B90-A37D-275E416EBF96}"/>
                </c:ext>
              </c:extLst>
            </c:dLbl>
            <c:dLbl>
              <c:idx val="19"/>
              <c:layout>
                <c:manualLayout>
                  <c:x val="4.367872543415514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45F3-4B90-A37D-275E416EBF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('Manutención uni'!$R$43:$R$61,'Manutención uni'!$R$62)</c:f>
              <c:numCache>
                <c:formatCode>General</c:formatCode>
                <c:ptCount val="20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</c:numCache>
            </c:numRef>
          </c:cat>
          <c:val>
            <c:numRef>
              <c:f>('Manutención uni'!$D$19,'Manutención uni'!$F$19,'Manutención uni'!$H$19,'Manutención uni'!$J$19,'Manutención uni'!$L$19,'Manutención uni'!$N$19,'Manutención uni'!$P$19,'Manutención uni'!$R$19,'Manutención uni'!$T$19,'Manutención uni'!$V$19,'Manutención uni'!$X$19,'Manutención uni'!$Z$19,'Manutención uni'!$AB$19,'Manutención uni'!$AD$19,'Manutención uni'!$AF$19,'Manutención uni'!$AH$19,'Manutención uni'!$AJ$19,'Manutención uni'!$AN$19,'Manutención uni'!$AQ$19,'Manutención uni'!$AT$19)</c:f>
              <c:numCache>
                <c:formatCode>#,##0</c:formatCode>
                <c:ptCount val="20"/>
                <c:pt idx="0">
                  <c:v>58</c:v>
                </c:pt>
                <c:pt idx="1">
                  <c:v>325</c:v>
                </c:pt>
                <c:pt idx="2">
                  <c:v>565</c:v>
                </c:pt>
                <c:pt idx="3">
                  <c:v>767</c:v>
                </c:pt>
                <c:pt idx="4">
                  <c:v>1005</c:v>
                </c:pt>
                <c:pt idx="5">
                  <c:v>1515</c:v>
                </c:pt>
                <c:pt idx="6">
                  <c:v>1776</c:v>
                </c:pt>
                <c:pt idx="7">
                  <c:v>1809</c:v>
                </c:pt>
                <c:pt idx="8">
                  <c:v>2042</c:v>
                </c:pt>
                <c:pt idx="9">
                  <c:v>2801</c:v>
                </c:pt>
                <c:pt idx="10">
                  <c:v>3345</c:v>
                </c:pt>
                <c:pt idx="11">
                  <c:v>3333</c:v>
                </c:pt>
                <c:pt idx="12">
                  <c:v>3498</c:v>
                </c:pt>
                <c:pt idx="13">
                  <c:v>3693</c:v>
                </c:pt>
                <c:pt idx="14">
                  <c:v>3663</c:v>
                </c:pt>
                <c:pt idx="15">
                  <c:v>3744</c:v>
                </c:pt>
                <c:pt idx="16">
                  <c:v>3857</c:v>
                </c:pt>
                <c:pt idx="17">
                  <c:v>3513</c:v>
                </c:pt>
                <c:pt idx="18">
                  <c:v>2200</c:v>
                </c:pt>
                <c:pt idx="19">
                  <c:v>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45F3-4B90-A37D-275E416EBF96}"/>
            </c:ext>
          </c:extLst>
        </c:ser>
        <c:ser>
          <c:idx val="3"/>
          <c:order val="3"/>
          <c:tx>
            <c:strRef>
              <c:f>'Manutención uni'!$B$24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11"/>
              <c:layout>
                <c:manualLayout>
                  <c:x val="4.9600898160386897E-3"/>
                  <c:y val="-9.4929959360936448E-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45F3-4B90-A37D-275E416EBF96}"/>
                </c:ext>
              </c:extLst>
            </c:dLbl>
            <c:dLbl>
              <c:idx val="12"/>
              <c:layout>
                <c:manualLayout>
                  <c:x val="7.78715056388167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5F3-4B90-A37D-275E416EBF96}"/>
                </c:ext>
              </c:extLst>
            </c:dLbl>
            <c:dLbl>
              <c:idx val="13"/>
              <c:layout>
                <c:manualLayout>
                  <c:x val="4.3844699083818404E-3"/>
                  <c:y val="-2.609546501913283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45F3-4B90-A37D-275E416EBF96}"/>
                </c:ext>
              </c:extLst>
            </c:dLbl>
            <c:dLbl>
              <c:idx val="14"/>
              <c:layout>
                <c:manualLayout>
                  <c:x val="3.9404554773518584E-3"/>
                  <c:y val="-2.252252252252252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5F3-4B90-A37D-275E416EBF96}"/>
                </c:ext>
              </c:extLst>
            </c:dLbl>
            <c:dLbl>
              <c:idx val="15"/>
              <c:layout>
                <c:manualLayout>
                  <c:x val="4.2364796642301592E-3"/>
                  <c:y val="-4.83546912043488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45F3-4B90-A37D-275E416EBF96}"/>
                </c:ext>
              </c:extLst>
            </c:dLbl>
            <c:dLbl>
              <c:idx val="16"/>
              <c:layout>
                <c:manualLayout>
                  <c:x val="3.940455477351858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5F3-4B90-A37D-275E416EBF96}"/>
                </c:ext>
              </c:extLst>
            </c:dLbl>
            <c:dLbl>
              <c:idx val="17"/>
              <c:layout>
                <c:manualLayout>
                  <c:x val="3.940455477352050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45F3-4B90-A37D-275E416EBF96}"/>
                </c:ext>
              </c:extLst>
            </c:dLbl>
            <c:dLbl>
              <c:idx val="18"/>
              <c:layout>
                <c:manualLayout>
                  <c:x val="2.6140944149150489E-3"/>
                  <c:y val="-2.26821641213527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5F3-4B90-A37D-275E416EBF96}"/>
                </c:ext>
              </c:extLst>
            </c:dLbl>
            <c:dLbl>
              <c:idx val="19"/>
              <c:layout>
                <c:manualLayout>
                  <c:x val="2.1839362717078106E-2"/>
                  <c:y val="-1.05761811908031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800">
                      <a:solidFill>
                        <a:srgbClr val="AD25A8"/>
                      </a:solidFill>
                      <a:latin typeface="+mn-lt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45F3-4B90-A37D-275E416EBF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  <a:latin typeface="+mn-lt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('Manutención uni'!$R$43:$R$61,'Manutención uni'!$R$62)</c:f>
              <c:numCache>
                <c:formatCode>General</c:formatCode>
                <c:ptCount val="20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</c:numCache>
            </c:numRef>
          </c:cat>
          <c:val>
            <c:numRef>
              <c:f>('Manutención uni'!$D$24,'Manutención uni'!$F$24,'Manutención uni'!$H$24,'Manutención uni'!$J$24,'Manutención uni'!$L$24,'Manutención uni'!$N$24,'Manutención uni'!$P$24,'Manutención uni'!$R$24,'Manutención uni'!$T$24,'Manutención uni'!$V$24,'Manutención uni'!$X$24,'Manutención uni'!$Z$24,'Manutención uni'!$AB$24,'Manutención uni'!$AD$24,'Manutención uni'!$AF$24,'Manutención uni'!$AH$24,'Manutención uni'!$AJ$24,'Manutención uni'!$AN$24,'Manutención uni'!$AQ$24,'Manutención uni'!$AT$24)</c:f>
              <c:numCache>
                <c:formatCode>#,##0</c:formatCode>
                <c:ptCount val="20"/>
                <c:pt idx="10">
                  <c:v>73</c:v>
                </c:pt>
                <c:pt idx="11">
                  <c:v>113</c:v>
                </c:pt>
                <c:pt idx="12">
                  <c:v>145</c:v>
                </c:pt>
                <c:pt idx="13">
                  <c:v>172</c:v>
                </c:pt>
                <c:pt idx="14">
                  <c:v>260</c:v>
                </c:pt>
                <c:pt idx="15">
                  <c:v>248</c:v>
                </c:pt>
                <c:pt idx="16">
                  <c:v>290</c:v>
                </c:pt>
                <c:pt idx="17">
                  <c:v>308</c:v>
                </c:pt>
                <c:pt idx="18">
                  <c:v>189</c:v>
                </c:pt>
                <c:pt idx="19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0-45F3-4B90-A37D-275E416EBF96}"/>
            </c:ext>
          </c:extLst>
        </c:ser>
        <c:ser>
          <c:idx val="4"/>
          <c:order val="4"/>
          <c:tx>
            <c:strRef>
              <c:f>'Manutención uni'!$B$29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rgbClr val="0072CE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-1.557430112776335E-3"/>
                  <c:y val="-4.8681541582150101E-2"/>
                </c:manualLayout>
              </c:layout>
              <c:spPr/>
              <c:txPr>
                <a:bodyPr/>
                <a:lstStyle/>
                <a:p>
                  <a:pPr>
                    <a:defRPr sz="800">
                      <a:solidFill>
                        <a:srgbClr val="0072CE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45F3-4B90-A37D-275E416EBF96}"/>
                </c:ext>
              </c:extLst>
            </c:dLbl>
            <c:dLbl>
              <c:idx val="3"/>
              <c:layout>
                <c:manualLayout>
                  <c:x val="6.229720451105339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5F3-4B90-A37D-275E416EBF96}"/>
                </c:ext>
              </c:extLst>
            </c:dLbl>
            <c:dLbl>
              <c:idx val="4"/>
              <c:layout>
                <c:manualLayout>
                  <c:x val="4.6722903383290054E-3"/>
                  <c:y val="-9.916495766084538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45F3-4B90-A37D-275E416EBF96}"/>
                </c:ext>
              </c:extLst>
            </c:dLbl>
            <c:dLbl>
              <c:idx val="5"/>
              <c:layout>
                <c:manualLayout>
                  <c:x val="3.60277602502778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45F3-4B90-A37D-275E416EBF96}"/>
                </c:ext>
              </c:extLst>
            </c:dLbl>
            <c:dLbl>
              <c:idx val="6"/>
              <c:layout>
                <c:manualLayout>
                  <c:x val="3.60277602502778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45F3-4B90-A37D-275E416EBF96}"/>
                </c:ext>
              </c:extLst>
            </c:dLbl>
            <c:dLbl>
              <c:idx val="7"/>
              <c:layout>
                <c:manualLayout>
                  <c:x val="2.2892908659103888E-3"/>
                  <c:y val="-8.16165678243685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45F3-4B90-A37D-275E416EBF96}"/>
                </c:ext>
              </c:extLst>
            </c:dLbl>
            <c:dLbl>
              <c:idx val="8"/>
              <c:layout>
                <c:manualLayout>
                  <c:x val="7.78715056388167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45F3-4B90-A37D-275E416EBF96}"/>
                </c:ext>
              </c:extLst>
            </c:dLbl>
            <c:dLbl>
              <c:idx val="9"/>
              <c:layout>
                <c:manualLayout>
                  <c:x val="4.6722903383290054E-3"/>
                  <c:y val="4.958247883042269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45F3-4B90-A37D-275E416EBF96}"/>
                </c:ext>
              </c:extLst>
            </c:dLbl>
            <c:dLbl>
              <c:idx val="10"/>
              <c:layout>
                <c:manualLayout>
                  <c:x val="4.67229033832900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45F3-4B90-A37D-275E416EBF96}"/>
                </c:ext>
              </c:extLst>
            </c:dLbl>
            <c:dLbl>
              <c:idx val="11"/>
              <c:layout>
                <c:manualLayout>
                  <c:x val="6.229720451105339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45F3-4B90-A37D-275E416EBF96}"/>
                </c:ext>
              </c:extLst>
            </c:dLbl>
            <c:dLbl>
              <c:idx val="12"/>
              <c:layout>
                <c:manualLayout>
                  <c:x val="5.4041123255275424E-3"/>
                  <c:y val="-4.129081429628105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45F3-4B90-A37D-275E416EBF96}"/>
                </c:ext>
              </c:extLst>
            </c:dLbl>
            <c:dLbl>
              <c:idx val="13"/>
              <c:layout>
                <c:manualLayout>
                  <c:x val="5.619293112837286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45F3-4B90-A37D-275E416EBF96}"/>
                </c:ext>
              </c:extLst>
            </c:dLbl>
            <c:dLbl>
              <c:idx val="14"/>
              <c:layout>
                <c:manualLayout>
                  <c:x val="6.5674257955867519E-3"/>
                  <c:y val="4.50450450450450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45F3-4B90-A37D-275E416EBF96}"/>
                </c:ext>
              </c:extLst>
            </c:dLbl>
            <c:dLbl>
              <c:idx val="15"/>
              <c:layout>
                <c:manualLayout>
                  <c:x val="3.940455477352050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45F3-4B90-A37D-275E416EBF96}"/>
                </c:ext>
              </c:extLst>
            </c:dLbl>
            <c:dLbl>
              <c:idx val="16"/>
              <c:layout>
                <c:manualLayout>
                  <c:x val="3.940455477352050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45F3-4B90-A37D-275E416EBF96}"/>
                </c:ext>
              </c:extLst>
            </c:dLbl>
            <c:dLbl>
              <c:idx val="17"/>
              <c:layout>
                <c:manualLayout>
                  <c:x val="5.253940636469401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45F3-4B90-A37D-275E416EBF96}"/>
                </c:ext>
              </c:extLst>
            </c:dLbl>
            <c:dLbl>
              <c:idx val="18"/>
              <c:layout>
                <c:manualLayout>
                  <c:x val="5.2281888298302895E-3"/>
                  <c:y val="2.26821641213519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45F3-4B90-A37D-275E416EBF96}"/>
                </c:ext>
              </c:extLst>
            </c:dLbl>
            <c:dLbl>
              <c:idx val="19"/>
              <c:layout>
                <c:manualLayout>
                  <c:x val="4.3678725434155149E-3"/>
                  <c:y val="-2.908449827470839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800">
                      <a:solidFill>
                        <a:srgbClr val="0070C0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45F3-4B90-A37D-275E416EBF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('Manutención uni'!$R$43:$R$61,'Manutención uni'!$R$62)</c:f>
              <c:numCache>
                <c:formatCode>General</c:formatCode>
                <c:ptCount val="20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</c:numCache>
            </c:numRef>
          </c:cat>
          <c:val>
            <c:numRef>
              <c:f>('Manutención uni'!$D$29,'Manutención uni'!$F$29,'Manutención uni'!$H$29,'Manutención uni'!$J$29,'Manutención uni'!$L$29,'Manutención uni'!$N$29,'Manutención uni'!$P$29,'Manutención uni'!$R$29,'Manutención uni'!$T$29,'Manutención uni'!$V$29,'Manutención uni'!$X$29,'Manutención uni'!$Z$29,'Manutención uni'!$AB$29,'Manutención uni'!$AD$29,'Manutención uni'!$AF$29,'Manutención uni'!$AH$29,'Manutención uni'!$AJ$29,'Manutención uni'!$AN$29,'Manutención uni'!$AQ$29,'Manutención uni'!$AT$29)</c:f>
              <c:numCache>
                <c:formatCode>#,##0</c:formatCode>
                <c:ptCount val="20"/>
                <c:pt idx="0">
                  <c:v>44</c:v>
                </c:pt>
                <c:pt idx="1">
                  <c:v>336</c:v>
                </c:pt>
                <c:pt idx="2">
                  <c:v>635</c:v>
                </c:pt>
                <c:pt idx="3">
                  <c:v>877</c:v>
                </c:pt>
                <c:pt idx="4">
                  <c:v>1061</c:v>
                </c:pt>
                <c:pt idx="5">
                  <c:v>2004</c:v>
                </c:pt>
                <c:pt idx="6">
                  <c:v>2354</c:v>
                </c:pt>
                <c:pt idx="7">
                  <c:v>2359</c:v>
                </c:pt>
                <c:pt idx="8">
                  <c:v>3194</c:v>
                </c:pt>
                <c:pt idx="9">
                  <c:v>3881</c:v>
                </c:pt>
                <c:pt idx="10">
                  <c:v>4251</c:v>
                </c:pt>
                <c:pt idx="11">
                  <c:v>4418</c:v>
                </c:pt>
                <c:pt idx="12">
                  <c:v>4332</c:v>
                </c:pt>
                <c:pt idx="13">
                  <c:v>4644</c:v>
                </c:pt>
                <c:pt idx="14">
                  <c:v>4807</c:v>
                </c:pt>
                <c:pt idx="15">
                  <c:v>5230</c:v>
                </c:pt>
                <c:pt idx="16">
                  <c:v>5690</c:v>
                </c:pt>
                <c:pt idx="17">
                  <c:v>5648</c:v>
                </c:pt>
                <c:pt idx="18">
                  <c:v>3607</c:v>
                </c:pt>
                <c:pt idx="19">
                  <c:v>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3-45F3-4B90-A37D-275E416EB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30350080"/>
        <c:axId val="137990912"/>
        <c:axId val="0"/>
      </c:bar3DChart>
      <c:catAx>
        <c:axId val="130350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7990912"/>
        <c:crosses val="autoZero"/>
        <c:auto val="1"/>
        <c:lblAlgn val="ctr"/>
        <c:lblOffset val="100"/>
        <c:noMultiLvlLbl val="0"/>
      </c:catAx>
      <c:valAx>
        <c:axId val="137990912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30350080"/>
        <c:crosses val="autoZero"/>
        <c:crossBetween val="between"/>
      </c:valAx>
    </c:plotArea>
    <c:legend>
      <c:legendPos val="l"/>
      <c:layout>
        <c:manualLayout>
          <c:xMode val="edge"/>
          <c:yMode val="edge"/>
          <c:x val="7.2075080639187536E-2"/>
          <c:y val="0.17353918001629107"/>
          <c:w val="0.11925585743946962"/>
          <c:h val="0.26092859082269887"/>
        </c:manualLayout>
      </c:layout>
      <c:overlay val="1"/>
      <c:txPr>
        <a:bodyPr/>
        <a:lstStyle/>
        <a:p>
          <a:pPr>
            <a:defRPr sz="11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  <a:scene3d>
      <a:camera prst="orthographicFront"/>
      <a:lightRig rig="threePt" dir="t"/>
    </a:scene3d>
    <a:sp3d prstMaterial="metal"/>
  </c:spPr>
  <c:printSettings>
    <c:headerFooter/>
    <c:pageMargins b="0.75" l="0.7" r="0.7" t="0.75" header="0.3" footer="0.3"/>
    <c:pageSetup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1"/>
            </a:pPr>
            <a:r>
              <a:rPr lang="en-US" sz="1200" b="0" i="1"/>
              <a:t>Personal Académico</a:t>
            </a:r>
            <a:r>
              <a:rPr lang="en-US" sz="1200" b="0" i="1" baseline="0"/>
              <a:t> Definitivo </a:t>
            </a:r>
            <a:r>
              <a:rPr lang="en-US" sz="1200" b="1" i="1" baseline="0"/>
              <a:t>por</a:t>
            </a:r>
            <a:r>
              <a:rPr lang="en-US" sz="1200" b="0" i="1" baseline="0"/>
              <a:t> </a:t>
            </a:r>
            <a:r>
              <a:rPr lang="en-US" sz="1200" b="1" i="1" baseline="0"/>
              <a:t>categoría</a:t>
            </a:r>
            <a:endParaRPr lang="en-US" sz="1200" b="1" i="1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1.2159070086740631E-2"/>
          <c:y val="2.0394539439966455E-2"/>
          <c:w val="0.96781564284164145"/>
          <c:h val="0.83844933109932374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'Definitivo x categoría'!$AZ$164</c:f>
              <c:strCache>
                <c:ptCount val="1"/>
                <c:pt idx="0">
                  <c:v>Titular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  <a:contourClr>
                <a:srgbClr val="000000"/>
              </a:contourClr>
            </a:sp3d>
          </c:spPr>
          <c:invertIfNegative val="0"/>
          <c:dLbls>
            <c:dLbl>
              <c:idx val="0"/>
              <c:layout>
                <c:manualLayout>
                  <c:x val="6.404740516602840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A2-478E-A1A7-8DDFA0AAFC4B}"/>
                </c:ext>
              </c:extLst>
            </c:dLbl>
            <c:dLbl>
              <c:idx val="1"/>
              <c:layout>
                <c:manualLayout>
                  <c:x val="4.8035553874521296E-3"/>
                  <c:y val="-2.28800548256557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A2-478E-A1A7-8DDFA0AAFC4B}"/>
                </c:ext>
              </c:extLst>
            </c:dLbl>
            <c:dLbl>
              <c:idx val="2"/>
              <c:layout>
                <c:manualLayout>
                  <c:x val="4.803429309882905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A2-478E-A1A7-8DDFA0AAFC4B}"/>
                </c:ext>
              </c:extLst>
            </c:dLbl>
            <c:dLbl>
              <c:idx val="3"/>
              <c:layout>
                <c:manualLayout>
                  <c:x val="4.80355538745212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A2-478E-A1A7-8DDFA0AAFC4B}"/>
                </c:ext>
              </c:extLst>
            </c:dLbl>
            <c:dLbl>
              <c:idx val="4"/>
              <c:layout>
                <c:manualLayout>
                  <c:x val="5.045435493999979E-3"/>
                  <c:y val="-2.288087131229868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A2-478E-A1A7-8DDFA0AAFC4B}"/>
                </c:ext>
              </c:extLst>
            </c:dLbl>
            <c:dLbl>
              <c:idx val="5"/>
              <c:layout>
                <c:manualLayout>
                  <c:x val="6.404740516602898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A2-478E-A1A7-8DDFA0AAFC4B}"/>
                </c:ext>
              </c:extLst>
            </c:dLbl>
            <c:dLbl>
              <c:idx val="6"/>
              <c:layout>
                <c:manualLayout>
                  <c:x val="6.404740516602840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A2-478E-A1A7-8DDFA0AAFC4B}"/>
                </c:ext>
              </c:extLst>
            </c:dLbl>
            <c:dLbl>
              <c:idx val="7"/>
              <c:layout>
                <c:manualLayout>
                  <c:x val="6.404740516602840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A2-478E-A1A7-8DDFA0AAFC4B}"/>
                </c:ext>
              </c:extLst>
            </c:dLbl>
            <c:dLbl>
              <c:idx val="8"/>
              <c:layout>
                <c:manualLayout>
                  <c:x val="8.00592564575355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9A2-478E-A1A7-8DDFA0AAFC4B}"/>
                </c:ext>
              </c:extLst>
            </c:dLbl>
            <c:dLbl>
              <c:idx val="9"/>
              <c:layout>
                <c:manualLayout>
                  <c:x val="9.607110774904259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A2-478E-A1A7-8DDFA0AAFC4B}"/>
                </c:ext>
              </c:extLst>
            </c:dLbl>
            <c:dLbl>
              <c:idx val="10"/>
              <c:layout>
                <c:manualLayout>
                  <c:x val="8.00592564575355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9A2-478E-A1A7-8DDFA0AAFC4B}"/>
                </c:ext>
              </c:extLst>
            </c:dLbl>
            <c:dLbl>
              <c:idx val="11"/>
              <c:layout>
                <c:manualLayout>
                  <c:x val="6.42187766853984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9A2-478E-A1A7-8DDFA0AAFC4B}"/>
                </c:ext>
              </c:extLst>
            </c:dLbl>
            <c:dLbl>
              <c:idx val="13"/>
              <c:layout>
                <c:manualLayout>
                  <c:x val="5.851701301519844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9A2-478E-A1A7-8DDFA0AAFC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('Definitivo x categoría'!$AY$144:$AY$160,'Definitivo x categoría'!$AY$161,'Definitivo x categoría'!$AY$162,'Definitivo x categoría'!$AY$163)</c:f>
              <c:numCache>
                <c:formatCode>General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('Definitivo x categoría'!$E$31,'Definitivo x categoría'!$I$31,'Definitivo x categoría'!$M$31,'Definitivo x categoría'!$Q$31,'Definitivo x categoría'!$U$31,'Definitivo x categoría'!$Y$31,'Definitivo x categoría'!$AC$31,'Definitivo x categoría'!$AG$31,'Definitivo x categoría'!$AK$31,'Definitivo x categoría'!$AO$31,'Definitivo x categoría'!$AS$31,'Definitivo x categoría'!$AW$31,'Definitivo x categoría'!$BA$31,'Definitivo x categoría'!$BE$31,'Definitivo x categoría'!$BI$31,'Definitivo x categoría'!$BM$31,'Definitivo x categoría'!$BQ$31,'Definitivo x categoría'!$BU$31,'Definitivo x categoría'!$BY$31,'Definitivo x categoría'!$CC$31)</c:f>
              <c:numCache>
                <c:formatCode>_(* #,##0_);_(* \(#,##0\);_(* "-"??_);_(@_)</c:formatCode>
                <c:ptCount val="20"/>
                <c:pt idx="0">
                  <c:v>2469</c:v>
                </c:pt>
                <c:pt idx="1">
                  <c:v>2571</c:v>
                </c:pt>
                <c:pt idx="2">
                  <c:v>2593</c:v>
                </c:pt>
                <c:pt idx="3">
                  <c:v>2578</c:v>
                </c:pt>
                <c:pt idx="4">
                  <c:v>2581</c:v>
                </c:pt>
                <c:pt idx="5">
                  <c:v>2563</c:v>
                </c:pt>
                <c:pt idx="6">
                  <c:v>2570</c:v>
                </c:pt>
                <c:pt idx="7">
                  <c:v>2595</c:v>
                </c:pt>
                <c:pt idx="8">
                  <c:v>2638</c:v>
                </c:pt>
                <c:pt idx="9">
                  <c:v>2651</c:v>
                </c:pt>
                <c:pt idx="10">
                  <c:v>2657</c:v>
                </c:pt>
                <c:pt idx="11">
                  <c:v>2680</c:v>
                </c:pt>
                <c:pt idx="12">
                  <c:v>2670</c:v>
                </c:pt>
                <c:pt idx="13">
                  <c:v>2658</c:v>
                </c:pt>
                <c:pt idx="14">
                  <c:v>2633</c:v>
                </c:pt>
                <c:pt idx="15">
                  <c:v>2626</c:v>
                </c:pt>
                <c:pt idx="16">
                  <c:v>2575</c:v>
                </c:pt>
                <c:pt idx="17">
                  <c:v>2535</c:v>
                </c:pt>
                <c:pt idx="18">
                  <c:v>2516</c:v>
                </c:pt>
                <c:pt idx="19">
                  <c:v>2449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9A2-478E-A1A7-8DDFA0AAFC4B}"/>
            </c:ext>
          </c:extLst>
        </c:ser>
        <c:ser>
          <c:idx val="1"/>
          <c:order val="1"/>
          <c:tx>
            <c:strRef>
              <c:f>'Definitivo x categoría'!$AZ$165</c:f>
              <c:strCache>
                <c:ptCount val="1"/>
                <c:pt idx="0">
                  <c:v>Asociado</c:v>
                </c:pt>
              </c:strCache>
            </c:strRef>
          </c:tx>
          <c:spPr>
            <a:solidFill>
              <a:srgbClr val="CC990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9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('Definitivo x categoría'!$AY$144:$AY$160,'Definitivo x categoría'!$AY$161,'Definitivo x categoría'!$AY$162,'Definitivo x categoría'!$AY$163)</c:f>
              <c:numCache>
                <c:formatCode>General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('Definitivo x categoría'!$D$31,'Definitivo x categoría'!$H$31,'Definitivo x categoría'!$L$31,'Definitivo x categoría'!$P$31,'Definitivo x categoría'!$T$31,'Definitivo x categoría'!$X$31,'Definitivo x categoría'!$AB$31,'Definitivo x categoría'!$AF$31,'Definitivo x categoría'!$AJ$31,'Definitivo x categoría'!$AN$31,'Definitivo x categoría'!$AR$31,'Definitivo x categoría'!$AV$31,'Definitivo x categoría'!$AZ$31,'Definitivo x categoría'!$BD$31,'Definitivo x categoría'!$BH$31,'Definitivo x categoría'!$BL$31,'Definitivo x categoría'!$BP$31,'Definitivo x categoría'!$BT$31,'Definitivo x categoría'!$BX$31,'Definitivo x categoría'!$CB$31)</c:f>
              <c:numCache>
                <c:formatCode>_(* #,##0_);_(* \(#,##0\);_(* "-"??_);_(@_)</c:formatCode>
                <c:ptCount val="20"/>
                <c:pt idx="0">
                  <c:v>305</c:v>
                </c:pt>
                <c:pt idx="1">
                  <c:v>218</c:v>
                </c:pt>
                <c:pt idx="2">
                  <c:v>226</c:v>
                </c:pt>
                <c:pt idx="3">
                  <c:v>251</c:v>
                </c:pt>
                <c:pt idx="4">
                  <c:v>267</c:v>
                </c:pt>
                <c:pt idx="5">
                  <c:v>296</c:v>
                </c:pt>
                <c:pt idx="6">
                  <c:v>304</c:v>
                </c:pt>
                <c:pt idx="7">
                  <c:v>329</c:v>
                </c:pt>
                <c:pt idx="8">
                  <c:v>335</c:v>
                </c:pt>
                <c:pt idx="9">
                  <c:v>345</c:v>
                </c:pt>
                <c:pt idx="10">
                  <c:v>367</c:v>
                </c:pt>
                <c:pt idx="11">
                  <c:v>408</c:v>
                </c:pt>
                <c:pt idx="12">
                  <c:v>390</c:v>
                </c:pt>
                <c:pt idx="13">
                  <c:v>375</c:v>
                </c:pt>
                <c:pt idx="14">
                  <c:v>404</c:v>
                </c:pt>
                <c:pt idx="15">
                  <c:v>425</c:v>
                </c:pt>
                <c:pt idx="16">
                  <c:v>427</c:v>
                </c:pt>
                <c:pt idx="17">
                  <c:v>417</c:v>
                </c:pt>
                <c:pt idx="18">
                  <c:v>383</c:v>
                </c:pt>
                <c:pt idx="19">
                  <c:v>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9A2-478E-A1A7-8DDFA0AAFC4B}"/>
            </c:ext>
          </c:extLst>
        </c:ser>
        <c:ser>
          <c:idx val="2"/>
          <c:order val="2"/>
          <c:tx>
            <c:strRef>
              <c:f>'Definitivo x categoría'!$AZ$166</c:f>
              <c:strCache>
                <c:ptCount val="1"/>
                <c:pt idx="0">
                  <c:v>Asistente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  <a:contourClr>
                <a:srgbClr val="000000"/>
              </a:contourClr>
            </a:sp3d>
          </c:spPr>
          <c:invertIfNegative val="0"/>
          <c:dLbls>
            <c:dLbl>
              <c:idx val="0"/>
              <c:layout>
                <c:manualLayout>
                  <c:x val="4.8034293098829055E-3"/>
                  <c:y val="-4.57601096513115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9A2-478E-A1A7-8DDFA0AAFC4B}"/>
                </c:ext>
              </c:extLst>
            </c:dLbl>
            <c:dLbl>
              <c:idx val="1"/>
              <c:layout>
                <c:manualLayout>
                  <c:x val="6.4047405166028403E-3"/>
                  <c:y val="-4.57601096513115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9A2-478E-A1A7-8DDFA0AAFC4B}"/>
                </c:ext>
              </c:extLst>
            </c:dLbl>
            <c:dLbl>
              <c:idx val="2"/>
              <c:layout>
                <c:manualLayout>
                  <c:x val="4.8035553874521296E-3"/>
                  <c:y val="-4.57601096513115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9A2-478E-A1A7-8DDFA0AAFC4B}"/>
                </c:ext>
              </c:extLst>
            </c:dLbl>
            <c:dLbl>
              <c:idx val="3"/>
              <c:layout>
                <c:manualLayout>
                  <c:x val="4.8035553874521296E-3"/>
                  <c:y val="-4.57601096513115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9A2-478E-A1A7-8DDFA0AAFC4B}"/>
                </c:ext>
              </c:extLst>
            </c:dLbl>
            <c:dLbl>
              <c:idx val="4"/>
              <c:layout>
                <c:manualLayout>
                  <c:x val="4.8035553874521296E-3"/>
                  <c:y val="-4.57601096513113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9A2-478E-A1A7-8DDFA0AAFC4B}"/>
                </c:ext>
              </c:extLst>
            </c:dLbl>
            <c:dLbl>
              <c:idx val="5"/>
              <c:layout>
                <c:manualLayout>
                  <c:x val="4.8035553874520714E-3"/>
                  <c:y val="-4.57601096513115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9A2-478E-A1A7-8DDFA0AAFC4B}"/>
                </c:ext>
              </c:extLst>
            </c:dLbl>
            <c:dLbl>
              <c:idx val="6"/>
              <c:layout>
                <c:manualLayout>
                  <c:x val="3.6171116647444597E-3"/>
                  <c:y val="-4.575952059384283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9A2-478E-A1A7-8DDFA0AAFC4B}"/>
                </c:ext>
              </c:extLst>
            </c:dLbl>
            <c:dLbl>
              <c:idx val="7"/>
              <c:layout>
                <c:manualLayout>
                  <c:x val="3.6171116647445135E-3"/>
                  <c:y val="-6.86409277460364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9A2-478E-A1A7-8DDFA0AAFC4B}"/>
                </c:ext>
              </c:extLst>
            </c:dLbl>
            <c:dLbl>
              <c:idx val="8"/>
              <c:layout>
                <c:manualLayout>
                  <c:x val="6.4047331509015535E-3"/>
                  <c:y val="-8.75896445081740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9A2-478E-A1A7-8DDFA0AAFC4B}"/>
                </c:ext>
              </c:extLst>
            </c:dLbl>
            <c:dLbl>
              <c:idx val="9"/>
              <c:layout>
                <c:manualLayout>
                  <c:x val="3.7554560203178441E-3"/>
                  <c:y val="-6.86409277460366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9A2-478E-A1A7-8DDFA0AAFC4B}"/>
                </c:ext>
              </c:extLst>
            </c:dLbl>
            <c:dLbl>
              <c:idx val="10"/>
              <c:layout>
                <c:manualLayout>
                  <c:x val="8.0059256457536681E-3"/>
                  <c:y val="-6.86419660560874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9A2-478E-A1A7-8DDFA0AAFC4B}"/>
                </c:ext>
              </c:extLst>
            </c:dLbl>
            <c:dLbl>
              <c:idx val="11"/>
              <c:layout>
                <c:manualLayout>
                  <c:x val="4.3887759761396961E-3"/>
                  <c:y val="-6.274518587149687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9A2-478E-A1A7-8DDFA0AAFC4B}"/>
                </c:ext>
              </c:extLst>
            </c:dLbl>
            <c:dLbl>
              <c:idx val="12"/>
              <c:layout>
                <c:manualLayout>
                  <c:x val="1.4629253253799343E-3"/>
                  <c:y val="-4.18301239143314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9A2-478E-A1A7-8DDFA0AAFC4B}"/>
                </c:ext>
              </c:extLst>
            </c:dLbl>
            <c:dLbl>
              <c:idx val="13"/>
              <c:layout>
                <c:manualLayout>
                  <c:x val="4.3887759761396961E-3"/>
                  <c:y val="-6.27451858714970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9A2-478E-A1A7-8DDFA0AAFC4B}"/>
                </c:ext>
              </c:extLst>
            </c:dLbl>
            <c:dLbl>
              <c:idx val="14"/>
              <c:layout>
                <c:manualLayout>
                  <c:x val="2.9258504849055001E-3"/>
                  <c:y val="-6.16100495707055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9A2-478E-A1A7-8DDFA0AAFC4B}"/>
                </c:ext>
              </c:extLst>
            </c:dLbl>
            <c:dLbl>
              <c:idx val="15"/>
              <c:layout>
                <c:manualLayout>
                  <c:x val="1.4040014040014039E-3"/>
                  <c:y val="-4.410143329658233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9A2-478E-A1A7-8DDFA0AAFC4B}"/>
                </c:ext>
              </c:extLst>
            </c:dLbl>
            <c:dLbl>
              <c:idx val="16"/>
              <c:layout>
                <c:manualLayout>
                  <c:x val="2.8080028080026019E-3"/>
                  <c:y val="-6.615214994487340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9A2-478E-A1A7-8DDFA0AAFC4B}"/>
                </c:ext>
              </c:extLst>
            </c:dLbl>
            <c:dLbl>
              <c:idx val="17"/>
              <c:layout>
                <c:manualLayout>
                  <c:x val="2.6255333114536964E-3"/>
                  <c:y val="-6.89813750287422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9A2-478E-A1A7-8DDFA0AAFC4B}"/>
                </c:ext>
              </c:extLst>
            </c:dLbl>
            <c:dLbl>
              <c:idx val="18"/>
              <c:layout>
                <c:manualLayout>
                  <c:x val="3.4772529701534087E-3"/>
                  <c:y val="-5.84795321637426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50-45D2-8116-5C8EFCA8A016}"/>
                </c:ext>
              </c:extLst>
            </c:dLbl>
            <c:dLbl>
              <c:idx val="19"/>
              <c:layout>
                <c:manualLayout>
                  <c:x val="3.4772529701535787E-3"/>
                  <c:y val="-3.898635477582845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21-48F9-8C40-6CB2B49CAF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('Definitivo x categoría'!$AY$144:$AY$160,'Definitivo x categoría'!$AY$161,'Definitivo x categoría'!$AY$162,'Definitivo x categoría'!$AY$163)</c:f>
              <c:numCache>
                <c:formatCode>General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('Definitivo x categoría'!$C$31,'Definitivo x categoría'!$G$31,'Definitivo x categoría'!$K$31,'Definitivo x categoría'!$O$31,'Definitivo x categoría'!$S$31,'Definitivo x categoría'!$W$31,'Definitivo x categoría'!$AA$31,'Definitivo x categoría'!$AE$31,'Definitivo x categoría'!$AI$31,'Definitivo x categoría'!$AM$31,'Definitivo x categoría'!$AQ$31,'Definitivo x categoría'!$AU$31,'Definitivo x categoría'!$AY$31,'Definitivo x categoría'!$BC$31,'Definitivo x categoría'!$BG$31,'Definitivo x categoría'!$BK$31,'Definitivo x categoría'!$BO$31,'Definitivo x categoría'!$BS$31,'Definitivo x categoría'!$BW$31,'Definitivo x categoría'!$CA$31)</c:f>
              <c:numCache>
                <c:formatCode>_(* #,##0_);_(* \(#,##0\);_(* "-"??_);_(@_)</c:formatCode>
                <c:ptCount val="20"/>
                <c:pt idx="0">
                  <c:v>41</c:v>
                </c:pt>
                <c:pt idx="1">
                  <c:v>28</c:v>
                </c:pt>
                <c:pt idx="2">
                  <c:v>34</c:v>
                </c:pt>
                <c:pt idx="3">
                  <c:v>36</c:v>
                </c:pt>
                <c:pt idx="4">
                  <c:v>34</c:v>
                </c:pt>
                <c:pt idx="5">
                  <c:v>33</c:v>
                </c:pt>
                <c:pt idx="6">
                  <c:v>37</c:v>
                </c:pt>
                <c:pt idx="7">
                  <c:v>34</c:v>
                </c:pt>
                <c:pt idx="8">
                  <c:v>31</c:v>
                </c:pt>
                <c:pt idx="9">
                  <c:v>30</c:v>
                </c:pt>
                <c:pt idx="10">
                  <c:v>33</c:v>
                </c:pt>
                <c:pt idx="11">
                  <c:v>36</c:v>
                </c:pt>
                <c:pt idx="12">
                  <c:v>30</c:v>
                </c:pt>
                <c:pt idx="13">
                  <c:v>29</c:v>
                </c:pt>
                <c:pt idx="14">
                  <c:v>35</c:v>
                </c:pt>
                <c:pt idx="15">
                  <c:v>37</c:v>
                </c:pt>
                <c:pt idx="16">
                  <c:v>35</c:v>
                </c:pt>
                <c:pt idx="17">
                  <c:v>36</c:v>
                </c:pt>
                <c:pt idx="18">
                  <c:v>32</c:v>
                </c:pt>
                <c:pt idx="19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B9A2-478E-A1A7-8DDFA0AAF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39780096"/>
        <c:axId val="139781632"/>
        <c:axId val="0"/>
      </c:bar3DChart>
      <c:catAx>
        <c:axId val="139780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50"/>
            </a:pPr>
            <a:endParaRPr lang="es-MX"/>
          </a:p>
        </c:txPr>
        <c:crossAx val="139781632"/>
        <c:crosses val="autoZero"/>
        <c:auto val="1"/>
        <c:lblAlgn val="ctr"/>
        <c:lblOffset val="100"/>
        <c:tickMarkSkip val="1"/>
        <c:noMultiLvlLbl val="0"/>
      </c:catAx>
      <c:valAx>
        <c:axId val="139781632"/>
        <c:scaling>
          <c:orientation val="minMax"/>
        </c:scaling>
        <c:delete val="1"/>
        <c:axPos val="l"/>
        <c:numFmt formatCode="_(* #,##0_);_(* \(#,##0\);_(* &quot;-&quot;??_);_(@_)" sourceLinked="1"/>
        <c:majorTickMark val="out"/>
        <c:minorTickMark val="none"/>
        <c:tickLblPos val="nextTo"/>
        <c:crossAx val="1397800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995737934091419"/>
          <c:y val="0.94218516944246866"/>
          <c:w val="0.49258307965499748"/>
          <c:h val="4.1840491155219726E-2"/>
        </c:manualLayout>
      </c:layout>
      <c:overlay val="0"/>
      <c:txPr>
        <a:bodyPr/>
        <a:lstStyle/>
        <a:p>
          <a:pPr>
            <a:defRPr sz="1400" b="0" i="0">
              <a:latin typeface="+mn-lt"/>
            </a:defRPr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1"/>
            </a:pPr>
            <a:r>
              <a:rPr lang="x-none" sz="1200" b="0" i="1"/>
              <a:t>Personal</a:t>
            </a:r>
            <a:r>
              <a:rPr lang="x-none" sz="1200" b="0" i="1" baseline="0"/>
              <a:t> Académico por </a:t>
            </a:r>
            <a:r>
              <a:rPr lang="x-none" sz="1200" b="1" i="1" baseline="0"/>
              <a:t>tiempo de dedicación</a:t>
            </a:r>
            <a:endParaRPr lang="x-none" sz="1200" b="1" i="1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1.4846058488369436E-2"/>
          <c:y val="2.3206751054852322E-2"/>
          <c:w val="0.9703078830232611"/>
          <c:h val="0.83440895046347052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'Definitivo x categoría'!$AD$176</c:f>
              <c:strCache>
                <c:ptCount val="1"/>
                <c:pt idx="0">
                  <c:v>Tiempo Completo</c:v>
                </c:pt>
              </c:strCache>
            </c:strRef>
          </c:tx>
          <c:spPr>
            <a:solidFill>
              <a:srgbClr val="CC9900"/>
            </a:solidFill>
            <a:ln>
              <a:noFill/>
            </a:ln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86564102623314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8F-4185-93EB-9C731B580E75}"/>
                </c:ext>
              </c:extLst>
            </c:dLbl>
            <c:dLbl>
              <c:idx val="1"/>
              <c:layout>
                <c:manualLayout>
                  <c:x val="7.3320512827914448E-3"/>
                  <c:y val="-7.975256790668314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8F-4185-93EB-9C731B580E75}"/>
                </c:ext>
              </c:extLst>
            </c:dLbl>
            <c:dLbl>
              <c:idx val="2"/>
              <c:layout>
                <c:manualLayout>
                  <c:x val="8.798461539349706E-3"/>
                  <c:y val="7.975256790668314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8F-4185-93EB-9C731B580E75}"/>
                </c:ext>
              </c:extLst>
            </c:dLbl>
            <c:dLbl>
              <c:idx val="3"/>
              <c:layout>
                <c:manualLayout>
                  <c:x val="5.865641026233155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8F-4185-93EB-9C731B580E75}"/>
                </c:ext>
              </c:extLst>
            </c:dLbl>
            <c:dLbl>
              <c:idx val="4"/>
              <c:layout>
                <c:manualLayout>
                  <c:x val="7.332051282791444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8F-4185-93EB-9C731B580E75}"/>
                </c:ext>
              </c:extLst>
            </c:dLbl>
            <c:dLbl>
              <c:idx val="5"/>
              <c:layout>
                <c:manualLayout>
                  <c:x val="4.3992307696749207E-3"/>
                  <c:y val="-7.975256790668314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8F-4185-93EB-9C731B580E75}"/>
                </c:ext>
              </c:extLst>
            </c:dLbl>
            <c:dLbl>
              <c:idx val="6"/>
              <c:layout>
                <c:manualLayout>
                  <c:x val="5.865641026233155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8F-4185-93EB-9C731B580E75}"/>
                </c:ext>
              </c:extLst>
            </c:dLbl>
            <c:dLbl>
              <c:idx val="7"/>
              <c:layout>
                <c:manualLayout>
                  <c:x val="7.332051282791444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8F-4185-93EB-9C731B580E75}"/>
                </c:ext>
              </c:extLst>
            </c:dLbl>
            <c:dLbl>
              <c:idx val="8"/>
              <c:layout>
                <c:manualLayout>
                  <c:x val="4.399230769674866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98F-4185-93EB-9C731B580E75}"/>
                </c:ext>
              </c:extLst>
            </c:dLbl>
            <c:dLbl>
              <c:idx val="9"/>
              <c:layout>
                <c:manualLayout>
                  <c:x val="4.399230769674866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8F-4185-93EB-9C731B580E75}"/>
                </c:ext>
              </c:extLst>
            </c:dLbl>
            <c:dLbl>
              <c:idx val="10"/>
              <c:layout>
                <c:manualLayout>
                  <c:x val="4.399230769674866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8F-4185-93EB-9C731B580E75}"/>
                </c:ext>
              </c:extLst>
            </c:dLbl>
            <c:dLbl>
              <c:idx val="11"/>
              <c:layout>
                <c:manualLayout>
                  <c:x val="5.8656410262332634E-3"/>
                  <c:y val="-2.17509516041326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8F-4185-93EB-9C731B580E75}"/>
                </c:ext>
              </c:extLst>
            </c:dLbl>
            <c:dLbl>
              <c:idx val="12"/>
              <c:layout>
                <c:manualLayout>
                  <c:x val="5.398566723043332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8F-4185-93EB-9C731B580E75}"/>
                </c:ext>
              </c:extLst>
            </c:dLbl>
            <c:dLbl>
              <c:idx val="13"/>
              <c:layout>
                <c:manualLayout>
                  <c:x val="5.3985667230434312E-3"/>
                  <c:y val="-4.21940928270042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8F-4185-93EB-9C731B580E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('Definitivo x categoría'!$AY$144:$AY$161,'Definitivo x categoría'!$AY$162,'Definitivo x categoría'!$AY$163)</c:f>
              <c:numCache>
                <c:formatCode>General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('Definitivo x categoría'!$F$66,'Definitivo x categoría'!$J$66,'Definitivo x categoría'!$N$66,'Definitivo x categoría'!$R$66,'Definitivo x categoría'!$V$66,'Definitivo x categoría'!$Z$66,'Definitivo x categoría'!$AD$66,'Definitivo x categoría'!$AH$66,'Definitivo x categoría'!$AL$66,'Definitivo x categoría'!$AP$66,'Definitivo x categoría'!$AT$66,'Definitivo x categoría'!$AX$66,'Definitivo x categoría'!$BB$66,'Definitivo x categoría'!$BF$66,'Definitivo x categoría'!$BJ$66,'Definitivo x categoría'!$BN$66,'Definitivo x categoría'!$BR$66,'Definitivo x categoría'!$BV$66,'Definitivo x categoría'!$BZ$66,'Definitivo x categoría'!$CD$66)</c:f>
              <c:numCache>
                <c:formatCode>_(* #,##0_);_(* \(#,##0\);_(* "-"??_);_(@_)</c:formatCode>
                <c:ptCount val="20"/>
                <c:pt idx="0">
                  <c:v>2421</c:v>
                </c:pt>
                <c:pt idx="1">
                  <c:v>2429</c:v>
                </c:pt>
                <c:pt idx="2">
                  <c:v>2467</c:v>
                </c:pt>
                <c:pt idx="3">
                  <c:v>2468</c:v>
                </c:pt>
                <c:pt idx="4">
                  <c:v>2495</c:v>
                </c:pt>
                <c:pt idx="5">
                  <c:v>2520</c:v>
                </c:pt>
                <c:pt idx="6">
                  <c:v>2538</c:v>
                </c:pt>
                <c:pt idx="7">
                  <c:v>2575</c:v>
                </c:pt>
                <c:pt idx="8">
                  <c:v>2623</c:v>
                </c:pt>
                <c:pt idx="9">
                  <c:v>2663</c:v>
                </c:pt>
                <c:pt idx="10">
                  <c:v>2705</c:v>
                </c:pt>
                <c:pt idx="11">
                  <c:v>2759</c:v>
                </c:pt>
                <c:pt idx="12">
                  <c:v>2743</c:v>
                </c:pt>
                <c:pt idx="13">
                  <c:v>2732</c:v>
                </c:pt>
                <c:pt idx="14">
                  <c:v>2754</c:v>
                </c:pt>
                <c:pt idx="15">
                  <c:v>2776</c:v>
                </c:pt>
                <c:pt idx="16">
                  <c:v>2743</c:v>
                </c:pt>
                <c:pt idx="17">
                  <c:v>2709</c:v>
                </c:pt>
                <c:pt idx="18">
                  <c:v>2660</c:v>
                </c:pt>
                <c:pt idx="19">
                  <c:v>2613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98F-4185-93EB-9C731B580E75}"/>
            </c:ext>
          </c:extLst>
        </c:ser>
        <c:ser>
          <c:idx val="1"/>
          <c:order val="1"/>
          <c:tx>
            <c:strRef>
              <c:f>'Definitivo x categoría'!$AD$177</c:f>
              <c:strCache>
                <c:ptCount val="1"/>
                <c:pt idx="0">
                  <c:v>Medio Tiempo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('Definitivo x categoría'!$AY$144:$AY$161,'Definitivo x categoría'!$AY$162,'Definitivo x categoría'!$AY$163)</c:f>
              <c:numCache>
                <c:formatCode>General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('Definitivo x categoría'!$F$101,'Definitivo x categoría'!$J$101,'Definitivo x categoría'!$N$101,'Definitivo x categoría'!$R$101,'Definitivo x categoría'!$V$101,'Definitivo x categoría'!$Z$101,'Definitivo x categoría'!$AD$101,'Definitivo x categoría'!$AH$101,'Definitivo x categoría'!$AL$101,'Definitivo x categoría'!$AP$101,'Definitivo x categoría'!$AT$101,'Definitivo x categoría'!$AX$101,'Definitivo x categoría'!$BB$101,'Definitivo x categoría'!$BF$101,'Definitivo x categoría'!$BJ$101,'Definitivo x categoría'!$BN$101,'Definitivo x categoría'!$BR$101,'Definitivo x categoría'!$BV$101,'Definitivo x categoría'!$BZ$101,'Definitivo x categoría'!$CD$101)</c:f>
              <c:numCache>
                <c:formatCode>_(* #,##0_);_(* \(#,##0\);_(* "-"??_);_(@_)</c:formatCode>
                <c:ptCount val="20"/>
                <c:pt idx="0">
                  <c:v>223</c:v>
                </c:pt>
                <c:pt idx="1">
                  <c:v>213</c:v>
                </c:pt>
                <c:pt idx="2">
                  <c:v>216</c:v>
                </c:pt>
                <c:pt idx="3">
                  <c:v>232</c:v>
                </c:pt>
                <c:pt idx="4">
                  <c:v>227</c:v>
                </c:pt>
                <c:pt idx="5">
                  <c:v>221</c:v>
                </c:pt>
                <c:pt idx="6">
                  <c:v>225</c:v>
                </c:pt>
                <c:pt idx="7">
                  <c:v>221</c:v>
                </c:pt>
                <c:pt idx="8">
                  <c:v>215</c:v>
                </c:pt>
                <c:pt idx="9">
                  <c:v>196</c:v>
                </c:pt>
                <c:pt idx="10">
                  <c:v>192</c:v>
                </c:pt>
                <c:pt idx="11">
                  <c:v>194</c:v>
                </c:pt>
                <c:pt idx="12">
                  <c:v>187</c:v>
                </c:pt>
                <c:pt idx="13">
                  <c:v>176</c:v>
                </c:pt>
                <c:pt idx="14">
                  <c:v>169</c:v>
                </c:pt>
                <c:pt idx="15">
                  <c:v>168</c:v>
                </c:pt>
                <c:pt idx="16">
                  <c:v>160</c:v>
                </c:pt>
                <c:pt idx="17">
                  <c:v>158</c:v>
                </c:pt>
                <c:pt idx="18">
                  <c:v>153</c:v>
                </c:pt>
                <c:pt idx="19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98F-4185-93EB-9C731B580E75}"/>
            </c:ext>
          </c:extLst>
        </c:ser>
        <c:ser>
          <c:idx val="2"/>
          <c:order val="2"/>
          <c:tx>
            <c:strRef>
              <c:f>'Definitivo x categoría'!$AD$178</c:f>
              <c:strCache>
                <c:ptCount val="1"/>
                <c:pt idx="0">
                  <c:v>Tiempo Parcial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  <a:contourClr>
                <a:srgbClr val="000000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('Definitivo x categoría'!$AY$144:$AY$161,'Definitivo x categoría'!$AY$162,'Definitivo x categoría'!$AY$163)</c:f>
              <c:numCache>
                <c:formatCode>General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('Definitivo x categoría'!$F$136,'Definitivo x categoría'!$J$136,'Definitivo x categoría'!$N$136,'Definitivo x categoría'!$R$136,'Definitivo x categoría'!$V$136,'Definitivo x categoría'!$Z$136,'Definitivo x categoría'!$AD$136,'Definitivo x categoría'!$AH$136,'Definitivo x categoría'!$AL$136,'Definitivo x categoría'!$AP$136,'Definitivo x categoría'!$AT$136,'Definitivo x categoría'!$AX$136,'Definitivo x categoría'!$BB$136,'Definitivo x categoría'!$BF$136,'Definitivo x categoría'!$BJ$136,'Definitivo x categoría'!$BN$136,'Definitivo x categoría'!$BR$136,'Definitivo x categoría'!$BV$136,'Definitivo x categoría'!$BZ$136,'Definitivo x categoría'!$CD$136)</c:f>
              <c:numCache>
                <c:formatCode>_(* #,##0_);_(* \(#,##0\);_(* "-"??_);_(@_)</c:formatCode>
                <c:ptCount val="20"/>
                <c:pt idx="0">
                  <c:v>171</c:v>
                </c:pt>
                <c:pt idx="1">
                  <c:v>175</c:v>
                </c:pt>
                <c:pt idx="2">
                  <c:v>170</c:v>
                </c:pt>
                <c:pt idx="3">
                  <c:v>165</c:v>
                </c:pt>
                <c:pt idx="4">
                  <c:v>160</c:v>
                </c:pt>
                <c:pt idx="5">
                  <c:v>151</c:v>
                </c:pt>
                <c:pt idx="6">
                  <c:v>148</c:v>
                </c:pt>
                <c:pt idx="7">
                  <c:v>162</c:v>
                </c:pt>
                <c:pt idx="8">
                  <c:v>166</c:v>
                </c:pt>
                <c:pt idx="9">
                  <c:v>167</c:v>
                </c:pt>
                <c:pt idx="10">
                  <c:v>160</c:v>
                </c:pt>
                <c:pt idx="11">
                  <c:v>171</c:v>
                </c:pt>
                <c:pt idx="12">
                  <c:v>160</c:v>
                </c:pt>
                <c:pt idx="13">
                  <c:v>154</c:v>
                </c:pt>
                <c:pt idx="14">
                  <c:v>149</c:v>
                </c:pt>
                <c:pt idx="15">
                  <c:v>144</c:v>
                </c:pt>
                <c:pt idx="16">
                  <c:v>134</c:v>
                </c:pt>
                <c:pt idx="17">
                  <c:v>121</c:v>
                </c:pt>
                <c:pt idx="18">
                  <c:v>118</c:v>
                </c:pt>
                <c:pt idx="19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98F-4185-93EB-9C731B580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41742080"/>
        <c:axId val="141743616"/>
        <c:axId val="0"/>
      </c:bar3DChart>
      <c:catAx>
        <c:axId val="141742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50"/>
            </a:pPr>
            <a:endParaRPr lang="es-MX"/>
          </a:p>
        </c:txPr>
        <c:crossAx val="141743616"/>
        <c:crosses val="autoZero"/>
        <c:auto val="1"/>
        <c:lblAlgn val="ctr"/>
        <c:lblOffset val="100"/>
        <c:tickMarkSkip val="1"/>
        <c:noMultiLvlLbl val="0"/>
      </c:catAx>
      <c:valAx>
        <c:axId val="141743616"/>
        <c:scaling>
          <c:orientation val="minMax"/>
        </c:scaling>
        <c:delete val="1"/>
        <c:axPos val="l"/>
        <c:numFmt formatCode="_(* #,##0_);_(* \(#,##0\);_(* &quot;-&quot;??_);_(@_)" sourceLinked="1"/>
        <c:majorTickMark val="out"/>
        <c:minorTickMark val="none"/>
        <c:tickLblPos val="nextTo"/>
        <c:crossAx val="1417420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3413164107395345"/>
          <c:y val="0.94216684939698991"/>
          <c:w val="0.72293569254185697"/>
          <c:h val="4.1840491155219726E-2"/>
        </c:manualLayout>
      </c:layout>
      <c:overlay val="0"/>
      <c:txPr>
        <a:bodyPr/>
        <a:lstStyle/>
        <a:p>
          <a:pPr>
            <a:defRPr sz="1400" b="0" i="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n-US" sz="1100" b="0" i="1" baseline="0">
                <a:effectLst/>
              </a:rPr>
              <a:t>Personal Académico Definitivo por categoría</a:t>
            </a:r>
            <a:endParaRPr lang="x-none" sz="1100">
              <a:effectLst/>
            </a:endParaRP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1.609217857917928E-2"/>
          <c:y val="0.10460502704654592"/>
          <c:w val="0.96781564284164145"/>
          <c:h val="0.75423877490294933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'Definitivo x categoría'!$AZ$164</c:f>
              <c:strCache>
                <c:ptCount val="1"/>
                <c:pt idx="0">
                  <c:v>Titular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solidFill>
                <a:schemeClr val="bg1"/>
              </a:solidFill>
            </a:ln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  <a:contourClr>
                <a:srgbClr val="000000"/>
              </a:contourClr>
            </a:sp3d>
          </c:spPr>
          <c:invertIfNegative val="0"/>
          <c:dLbls>
            <c:dLbl>
              <c:idx val="0"/>
              <c:layout>
                <c:manualLayout>
                  <c:x val="4.803429309882905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3E-42AD-823E-2CDC40859591}"/>
                </c:ext>
              </c:extLst>
            </c:dLbl>
            <c:dLbl>
              <c:idx val="1"/>
              <c:layout>
                <c:manualLayout>
                  <c:x val="4.80355538745212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94-49B1-B6AC-F0854D32F46E}"/>
                </c:ext>
              </c:extLst>
            </c:dLbl>
            <c:dLbl>
              <c:idx val="2"/>
              <c:layout>
                <c:manualLayout>
                  <c:x val="5.045435493999979E-3"/>
                  <c:y val="-2.288087131229868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3E-42AD-823E-2CDC40859591}"/>
                </c:ext>
              </c:extLst>
            </c:dLbl>
            <c:dLbl>
              <c:idx val="4"/>
              <c:layout>
                <c:manualLayout>
                  <c:x val="6.404740516602898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03D-4626-A3C2-DEFCC404C42E}"/>
                </c:ext>
              </c:extLst>
            </c:dLbl>
            <c:dLbl>
              <c:idx val="6"/>
              <c:layout>
                <c:manualLayout>
                  <c:x val="6.404740516602840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3E-42AD-823E-2CDC40859591}"/>
                </c:ext>
              </c:extLst>
            </c:dLbl>
            <c:dLbl>
              <c:idx val="7"/>
              <c:layout>
                <c:manualLayout>
                  <c:x val="6.404740516602840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3E-42AD-823E-2CDC40859591}"/>
                </c:ext>
              </c:extLst>
            </c:dLbl>
            <c:dLbl>
              <c:idx val="8"/>
              <c:layout>
                <c:manualLayout>
                  <c:x val="8.00592564575355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3E-42AD-823E-2CDC40859591}"/>
                </c:ext>
              </c:extLst>
            </c:dLbl>
            <c:dLbl>
              <c:idx val="9"/>
              <c:layout>
                <c:manualLayout>
                  <c:x val="9.607110774904259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3E-42AD-823E-2CDC40859591}"/>
                </c:ext>
              </c:extLst>
            </c:dLbl>
            <c:dLbl>
              <c:idx val="10"/>
              <c:layout>
                <c:manualLayout>
                  <c:x val="8.00592564575355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3E-42AD-823E-2CDC40859591}"/>
                </c:ext>
              </c:extLst>
            </c:dLbl>
            <c:dLbl>
              <c:idx val="11"/>
              <c:layout>
                <c:manualLayout>
                  <c:x val="6.42187766853984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3E-42AD-823E-2CDC40859591}"/>
                </c:ext>
              </c:extLst>
            </c:dLbl>
            <c:dLbl>
              <c:idx val="13"/>
              <c:layout>
                <c:manualLayout>
                  <c:x val="5.851701301519844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3E-42AD-823E-2CDC408595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'Definitivo x categoría'!$AY$159:$AY$163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('Definitivo x categoría'!$BM$31,'Definitivo x categoría'!$BQ$31,'Definitivo x categoría'!$BU$31,'Definitivo x categoría'!$BY$31,'Definitivo x categoría'!$CC$31)</c:f>
              <c:numCache>
                <c:formatCode>_(* #,##0_);_(* \(#,##0\);_(* "-"??_);_(@_)</c:formatCode>
                <c:ptCount val="5"/>
                <c:pt idx="0">
                  <c:v>2626</c:v>
                </c:pt>
                <c:pt idx="1">
                  <c:v>2575</c:v>
                </c:pt>
                <c:pt idx="2">
                  <c:v>2535</c:v>
                </c:pt>
                <c:pt idx="3">
                  <c:v>2516</c:v>
                </c:pt>
                <c:pt idx="4">
                  <c:v>2449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43E-42AD-823E-2CDC40859591}"/>
            </c:ext>
          </c:extLst>
        </c:ser>
        <c:ser>
          <c:idx val="1"/>
          <c:order val="1"/>
          <c:tx>
            <c:strRef>
              <c:f>'Definitivo x categoría'!$AZ$165</c:f>
              <c:strCache>
                <c:ptCount val="1"/>
                <c:pt idx="0">
                  <c:v>Asociado</c:v>
                </c:pt>
              </c:strCache>
            </c:strRef>
          </c:tx>
          <c:spPr>
            <a:solidFill>
              <a:srgbClr val="CC990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9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'Definitivo x categoría'!$AY$159:$AY$163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('Definitivo x categoría'!$BL$31,'Definitivo x categoría'!$BP$31,'Definitivo x categoría'!$BT$31,'Definitivo x categoría'!$BX$31,'Definitivo x categoría'!$CB$31)</c:f>
              <c:numCache>
                <c:formatCode>_(* #,##0_);_(* \(#,##0\);_(* "-"??_);_(@_)</c:formatCode>
                <c:ptCount val="5"/>
                <c:pt idx="0">
                  <c:v>425</c:v>
                </c:pt>
                <c:pt idx="1">
                  <c:v>427</c:v>
                </c:pt>
                <c:pt idx="2">
                  <c:v>417</c:v>
                </c:pt>
                <c:pt idx="3">
                  <c:v>383</c:v>
                </c:pt>
                <c:pt idx="4">
                  <c:v>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43E-42AD-823E-2CDC40859591}"/>
            </c:ext>
          </c:extLst>
        </c:ser>
        <c:ser>
          <c:idx val="2"/>
          <c:order val="2"/>
          <c:tx>
            <c:strRef>
              <c:f>'Definitivo x categoría'!$AZ$166</c:f>
              <c:strCache>
                <c:ptCount val="1"/>
                <c:pt idx="0">
                  <c:v>Asistente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solidFill>
                <a:schemeClr val="bg1"/>
              </a:solidFill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  <a:contourClr>
                <a:srgbClr val="000000"/>
              </a:contourClr>
            </a:sp3d>
          </c:spPr>
          <c:invertIfNegative val="0"/>
          <c:dLbls>
            <c:dLbl>
              <c:idx val="0"/>
              <c:layout>
                <c:manualLayout>
                  <c:x val="1.3549961307141409E-2"/>
                  <c:y val="-1.51023580322259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43E-42AD-823E-2CDC40859591}"/>
                </c:ext>
              </c:extLst>
            </c:dLbl>
            <c:dLbl>
              <c:idx val="1"/>
              <c:layout>
                <c:manualLayout>
                  <c:x val="1.3549961307141409E-2"/>
                  <c:y val="-1.51023580322259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94-49B1-B6AC-F0854D32F46E}"/>
                </c:ext>
              </c:extLst>
            </c:dLbl>
            <c:dLbl>
              <c:idx val="2"/>
              <c:layout>
                <c:manualLayout>
                  <c:x val="1.3549961307141409E-2"/>
                  <c:y val="-1.159358707180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43E-42AD-823E-2CDC40859591}"/>
                </c:ext>
              </c:extLst>
            </c:dLbl>
            <c:dLbl>
              <c:idx val="3"/>
              <c:layout>
                <c:manualLayout>
                  <c:x val="1.457725612881795E-2"/>
                  <c:y val="-1.05263128812507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43E-42AD-823E-2CDC40859591}"/>
                </c:ext>
              </c:extLst>
            </c:dLbl>
            <c:dLbl>
              <c:idx val="4"/>
              <c:layout>
                <c:manualLayout>
                  <c:x val="4.8035553874520714E-3"/>
                  <c:y val="-4.57601096513115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43E-42AD-823E-2CDC40859591}"/>
                </c:ext>
              </c:extLst>
            </c:dLbl>
            <c:dLbl>
              <c:idx val="6"/>
              <c:layout>
                <c:manualLayout>
                  <c:x val="3.6171116647444597E-3"/>
                  <c:y val="-4.575952059384283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43E-42AD-823E-2CDC40859591}"/>
                </c:ext>
              </c:extLst>
            </c:dLbl>
            <c:dLbl>
              <c:idx val="7"/>
              <c:layout>
                <c:manualLayout>
                  <c:x val="3.6171116647445135E-3"/>
                  <c:y val="-6.86409277460364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43E-42AD-823E-2CDC40859591}"/>
                </c:ext>
              </c:extLst>
            </c:dLbl>
            <c:dLbl>
              <c:idx val="8"/>
              <c:layout>
                <c:manualLayout>
                  <c:x val="6.4047331509015535E-3"/>
                  <c:y val="-8.75896445081740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43E-42AD-823E-2CDC40859591}"/>
                </c:ext>
              </c:extLst>
            </c:dLbl>
            <c:dLbl>
              <c:idx val="9"/>
              <c:layout>
                <c:manualLayout>
                  <c:x val="3.7554560203178441E-3"/>
                  <c:y val="-6.86409277460366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43E-42AD-823E-2CDC40859591}"/>
                </c:ext>
              </c:extLst>
            </c:dLbl>
            <c:dLbl>
              <c:idx val="10"/>
              <c:layout>
                <c:manualLayout>
                  <c:x val="8.0059256457536681E-3"/>
                  <c:y val="-6.86419660560874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43E-42AD-823E-2CDC40859591}"/>
                </c:ext>
              </c:extLst>
            </c:dLbl>
            <c:dLbl>
              <c:idx val="11"/>
              <c:layout>
                <c:manualLayout>
                  <c:x val="4.3887759761396961E-3"/>
                  <c:y val="-6.274518587149687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43E-42AD-823E-2CDC40859591}"/>
                </c:ext>
              </c:extLst>
            </c:dLbl>
            <c:dLbl>
              <c:idx val="12"/>
              <c:layout>
                <c:manualLayout>
                  <c:x val="1.4629253253799343E-3"/>
                  <c:y val="-4.18301239143314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43E-42AD-823E-2CDC40859591}"/>
                </c:ext>
              </c:extLst>
            </c:dLbl>
            <c:dLbl>
              <c:idx val="13"/>
              <c:layout>
                <c:manualLayout>
                  <c:x val="4.3887759761396961E-3"/>
                  <c:y val="-6.27451858714970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43E-42AD-823E-2CDC40859591}"/>
                </c:ext>
              </c:extLst>
            </c:dLbl>
            <c:dLbl>
              <c:idx val="14"/>
              <c:layout>
                <c:manualLayout>
                  <c:x val="2.9258506507597614E-3"/>
                  <c:y val="-8.36602478286624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43E-42AD-823E-2CDC408595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'Definitivo x categoría'!$AY$159:$AY$163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('Definitivo x categoría'!$BK$31,'Definitivo x categoría'!$BO$31,'Definitivo x categoría'!$BS$31,'Definitivo x categoría'!$BW$31,'Definitivo x categoría'!$CA$31)</c:f>
              <c:numCache>
                <c:formatCode>_(* #,##0_);_(* \(#,##0\);_(* "-"??_);_(@_)</c:formatCode>
                <c:ptCount val="5"/>
                <c:pt idx="0">
                  <c:v>37</c:v>
                </c:pt>
                <c:pt idx="1">
                  <c:v>35</c:v>
                </c:pt>
                <c:pt idx="2">
                  <c:v>36</c:v>
                </c:pt>
                <c:pt idx="3">
                  <c:v>32</c:v>
                </c:pt>
                <c:pt idx="4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943E-42AD-823E-2CDC40859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41490432"/>
        <c:axId val="141512704"/>
        <c:axId val="0"/>
      </c:bar3DChart>
      <c:catAx>
        <c:axId val="141490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es-MX"/>
          </a:p>
        </c:txPr>
        <c:crossAx val="141512704"/>
        <c:crosses val="autoZero"/>
        <c:auto val="1"/>
        <c:lblAlgn val="ctr"/>
        <c:lblOffset val="100"/>
        <c:tickMarkSkip val="1"/>
        <c:noMultiLvlLbl val="0"/>
      </c:catAx>
      <c:valAx>
        <c:axId val="141512704"/>
        <c:scaling>
          <c:orientation val="minMax"/>
        </c:scaling>
        <c:delete val="1"/>
        <c:axPos val="l"/>
        <c:numFmt formatCode="_(* #,##0_);_(* \(#,##0\);_(* &quot;-&quot;??_);_(@_)" sourceLinked="1"/>
        <c:majorTickMark val="out"/>
        <c:minorTickMark val="none"/>
        <c:tickLblPos val="nextTo"/>
        <c:crossAx val="1414904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4.2809365470490433E-2"/>
          <c:y val="0.94218516944246866"/>
          <c:w val="0.85728036727479406"/>
          <c:h val="4.1840491155219726E-2"/>
        </c:manualLayout>
      </c:layout>
      <c:overlay val="0"/>
      <c:txPr>
        <a:bodyPr/>
        <a:lstStyle/>
        <a:p>
          <a:pPr>
            <a:defRPr sz="1200" b="0" i="0">
              <a:latin typeface="+mn-lt"/>
            </a:defRPr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>
                <a:solidFill>
                  <a:srgbClr val="F08200"/>
                </a:solidFill>
              </a:defRPr>
            </a:pPr>
            <a:r>
              <a:rPr lang="es-MX" sz="1200" b="0">
                <a:solidFill>
                  <a:srgbClr val="F08200"/>
                </a:solidFill>
              </a:rPr>
              <a:t>Cuajimalpa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3.2376747608535691E-2"/>
          <c:y val="0.10671834625322997"/>
          <c:w val="0.93524650478292859"/>
          <c:h val="0.65183991535941732"/>
        </c:manualLayout>
      </c:layout>
      <c:lineChart>
        <c:grouping val="standard"/>
        <c:varyColors val="0"/>
        <c:ser>
          <c:idx val="0"/>
          <c:order val="0"/>
          <c:tx>
            <c:strRef>
              <c:f>'Admitidos uni'!$B$11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4"/>
              <c:layout>
                <c:manualLayout>
                  <c:x val="-4.2921323576274817E-2"/>
                  <c:y val="-4.7118761317625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7E5-4AD6-887B-82A0E65610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uni'!$AP$51:$AP$55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('Admitidos uni'!$Z$11,'Admitidos uni'!$AC$11,'Admitidos uni'!$AF$11,'Admitidos uni'!$AI$11,'Admitidos uni'!$AL$11)</c:f>
              <c:numCache>
                <c:formatCode>#,##0</c:formatCode>
                <c:ptCount val="5"/>
                <c:pt idx="0">
                  <c:v>94</c:v>
                </c:pt>
                <c:pt idx="1">
                  <c:v>105</c:v>
                </c:pt>
                <c:pt idx="2">
                  <c:v>106</c:v>
                </c:pt>
                <c:pt idx="3">
                  <c:v>123</c:v>
                </c:pt>
                <c:pt idx="4">
                  <c:v>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E5-4AD6-887B-82A0E6561018}"/>
            </c:ext>
          </c:extLst>
        </c:ser>
        <c:ser>
          <c:idx val="1"/>
          <c:order val="1"/>
          <c:tx>
            <c:strRef>
              <c:f>'Admitidos uni'!$B$12</c:f>
              <c:strCache>
                <c:ptCount val="1"/>
                <c:pt idx="0">
                  <c:v>CCD</c:v>
                </c:pt>
              </c:strCache>
            </c:strRef>
          </c:tx>
          <c:spPr>
            <a:ln w="12700">
              <a:solidFill>
                <a:srgbClr val="F082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F08200"/>
                </a:solidFill>
              </a:ln>
            </c:spPr>
          </c:marker>
          <c:dLbls>
            <c:dLbl>
              <c:idx val="0"/>
              <c:layout>
                <c:manualLayout>
                  <c:x val="-4.2994791214012153E-2"/>
                  <c:y val="-5.22867199739567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E5-4AD6-887B-82A0E6561018}"/>
                </c:ext>
              </c:extLst>
            </c:dLbl>
            <c:dLbl>
              <c:idx val="1"/>
              <c:layout>
                <c:manualLayout>
                  <c:x val="-5.1824813289067344E-2"/>
                  <c:y val="4.5904494496327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E5-4AD6-887B-82A0E6561018}"/>
                </c:ext>
              </c:extLst>
            </c:dLbl>
            <c:dLbl>
              <c:idx val="2"/>
              <c:layout>
                <c:manualLayout>
                  <c:x val="-4.2994791214012153E-2"/>
                  <c:y val="4.0736535839996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E5-4AD6-887B-82A0E6561018}"/>
                </c:ext>
              </c:extLst>
            </c:dLbl>
            <c:dLbl>
              <c:idx val="3"/>
              <c:layout>
                <c:manualLayout>
                  <c:x val="-5.1824813289067344E-2"/>
                  <c:y val="4.0736535839996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E5-4AD6-887B-82A0E6561018}"/>
                </c:ext>
              </c:extLst>
            </c:dLbl>
            <c:dLbl>
              <c:idx val="4"/>
              <c:layout>
                <c:manualLayout>
                  <c:x val="-4.8808004959644942E-2"/>
                  <c:y val="4.59044944963275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E5-4AD6-887B-82A0E65610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F08200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uni'!$AP$51:$AP$55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('Admitidos uni'!$Z$12,'Admitidos uni'!$AC$12,'Admitidos uni'!$AF$12,'Admitidos uni'!$AI$12,'Admitidos uni'!$AL$12)</c:f>
              <c:numCache>
                <c:formatCode>#,##0</c:formatCode>
                <c:ptCount val="5"/>
                <c:pt idx="0">
                  <c:v>159</c:v>
                </c:pt>
                <c:pt idx="1">
                  <c:v>158</c:v>
                </c:pt>
                <c:pt idx="2">
                  <c:v>153</c:v>
                </c:pt>
                <c:pt idx="3">
                  <c:v>158</c:v>
                </c:pt>
                <c:pt idx="4">
                  <c:v>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7E5-4AD6-887B-82A0E6561018}"/>
            </c:ext>
          </c:extLst>
        </c:ser>
        <c:ser>
          <c:idx val="2"/>
          <c:order val="2"/>
          <c:tx>
            <c:strRef>
              <c:f>'Admitidos uni'!$B$13</c:f>
              <c:strCache>
                <c:ptCount val="1"/>
                <c:pt idx="0">
                  <c:v>CNI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3.4091301501219633E-2"/>
                  <c:y val="6.77905959429489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E5-4AD6-887B-82A0E65610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tx1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uni'!$AP$51:$AP$55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('Admitidos uni'!$Z$13,'Admitidos uni'!$AC$13,'Admitidos uni'!$AF$13,'Admitidos uni'!$AI$13,'Admitidos uni'!$AL$13)</c:f>
              <c:numCache>
                <c:formatCode>#,##0</c:formatCode>
                <c:ptCount val="5"/>
                <c:pt idx="0">
                  <c:v>146</c:v>
                </c:pt>
                <c:pt idx="1">
                  <c:v>166</c:v>
                </c:pt>
                <c:pt idx="2">
                  <c:v>175</c:v>
                </c:pt>
                <c:pt idx="3">
                  <c:v>222</c:v>
                </c:pt>
                <c:pt idx="4">
                  <c:v>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7E5-4AD6-887B-82A0E6561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28160"/>
        <c:axId val="114454528"/>
      </c:lineChart>
      <c:catAx>
        <c:axId val="114428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4454528"/>
        <c:crosses val="autoZero"/>
        <c:auto val="1"/>
        <c:lblAlgn val="ctr"/>
        <c:lblOffset val="100"/>
        <c:noMultiLvlLbl val="0"/>
      </c:catAx>
      <c:valAx>
        <c:axId val="11445452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14428160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497E-2"/>
          <c:y val="0.87554049929805289"/>
          <c:w val="0.8444690109100601"/>
          <c:h val="8.0968076664835506E-2"/>
        </c:manualLayout>
      </c:layout>
      <c:overlay val="0"/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1"/>
            </a:pPr>
            <a:r>
              <a:rPr lang="x-none" sz="1200" b="0" i="1"/>
              <a:t>Personal</a:t>
            </a:r>
            <a:r>
              <a:rPr lang="x-none" sz="1200" b="0" i="1" baseline="0"/>
              <a:t> Académico por tiempo de dedicación</a:t>
            </a:r>
            <a:endParaRPr lang="x-none" sz="1200" b="0" i="1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1.4846058488369436E-2"/>
          <c:y val="0.11946358989531908"/>
          <c:w val="0.9703078830232611"/>
          <c:h val="0.73815226975234605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'Definitivo x categoría'!$AD$176</c:f>
              <c:strCache>
                <c:ptCount val="1"/>
                <c:pt idx="0">
                  <c:v>Tiempo Completo</c:v>
                </c:pt>
              </c:strCache>
            </c:strRef>
          </c:tx>
          <c:spPr>
            <a:solidFill>
              <a:srgbClr val="CC9900"/>
            </a:solidFill>
            <a:ln>
              <a:noFill/>
            </a:ln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798461539349706E-3"/>
                  <c:y val="7.975256790668314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18-46E5-94A3-1CE1474653F3}"/>
                </c:ext>
              </c:extLst>
            </c:dLbl>
            <c:dLbl>
              <c:idx val="1"/>
              <c:layout>
                <c:manualLayout>
                  <c:x val="5.865641026233155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18-46E5-94A3-1CE1474653F3}"/>
                </c:ext>
              </c:extLst>
            </c:dLbl>
            <c:dLbl>
              <c:idx val="2"/>
              <c:layout>
                <c:manualLayout>
                  <c:x val="7.332051282791444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18-46E5-94A3-1CE1474653F3}"/>
                </c:ext>
              </c:extLst>
            </c:dLbl>
            <c:dLbl>
              <c:idx val="4"/>
              <c:layout>
                <c:manualLayout>
                  <c:x val="4.3992307696749207E-3"/>
                  <c:y val="-7.975256790668314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22-4751-AFED-03AEA8E9605D}"/>
                </c:ext>
              </c:extLst>
            </c:dLbl>
            <c:dLbl>
              <c:idx val="6"/>
              <c:layout>
                <c:manualLayout>
                  <c:x val="5.865641026233155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18-46E5-94A3-1CE1474653F3}"/>
                </c:ext>
              </c:extLst>
            </c:dLbl>
            <c:dLbl>
              <c:idx val="7"/>
              <c:layout>
                <c:manualLayout>
                  <c:x val="7.332051282791444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18-46E5-94A3-1CE1474653F3}"/>
                </c:ext>
              </c:extLst>
            </c:dLbl>
            <c:dLbl>
              <c:idx val="8"/>
              <c:layout>
                <c:manualLayout>
                  <c:x val="4.399230769674866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18-46E5-94A3-1CE1474653F3}"/>
                </c:ext>
              </c:extLst>
            </c:dLbl>
            <c:dLbl>
              <c:idx val="9"/>
              <c:layout>
                <c:manualLayout>
                  <c:x val="4.399230769674866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18-46E5-94A3-1CE1474653F3}"/>
                </c:ext>
              </c:extLst>
            </c:dLbl>
            <c:dLbl>
              <c:idx val="10"/>
              <c:layout>
                <c:manualLayout>
                  <c:x val="4.399230769674866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18-46E5-94A3-1CE1474653F3}"/>
                </c:ext>
              </c:extLst>
            </c:dLbl>
            <c:dLbl>
              <c:idx val="11"/>
              <c:layout>
                <c:manualLayout>
                  <c:x val="5.8656410262332634E-3"/>
                  <c:y val="-2.17509516041326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18-46E5-94A3-1CE1474653F3}"/>
                </c:ext>
              </c:extLst>
            </c:dLbl>
            <c:dLbl>
              <c:idx val="12"/>
              <c:layout>
                <c:manualLayout>
                  <c:x val="5.398566723043332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418-46E5-94A3-1CE1474653F3}"/>
                </c:ext>
              </c:extLst>
            </c:dLbl>
            <c:dLbl>
              <c:idx val="13"/>
              <c:layout>
                <c:manualLayout>
                  <c:x val="5.3985667230434312E-3"/>
                  <c:y val="-4.21940928270042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418-46E5-94A3-1CE1474653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'Definitivo x categoría'!$AY$159:$AY$163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('Definitivo x categoría'!$BN$66,'Definitivo x categoría'!$BR$66,'Definitivo x categoría'!$BV$66,'Definitivo x categoría'!$BZ$66,'Definitivo x categoría'!$CD$66)</c:f>
              <c:numCache>
                <c:formatCode>_(* #,##0_);_(* \(#,##0\);_(* "-"??_);_(@_)</c:formatCode>
                <c:ptCount val="5"/>
                <c:pt idx="0">
                  <c:v>2776</c:v>
                </c:pt>
                <c:pt idx="1">
                  <c:v>2743</c:v>
                </c:pt>
                <c:pt idx="2">
                  <c:v>2709</c:v>
                </c:pt>
                <c:pt idx="3">
                  <c:v>2660</c:v>
                </c:pt>
                <c:pt idx="4">
                  <c:v>2613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418-46E5-94A3-1CE1474653F3}"/>
            </c:ext>
          </c:extLst>
        </c:ser>
        <c:ser>
          <c:idx val="1"/>
          <c:order val="1"/>
          <c:tx>
            <c:strRef>
              <c:f>'Definitivo x categoría'!$AD$177</c:f>
              <c:strCache>
                <c:ptCount val="1"/>
                <c:pt idx="0">
                  <c:v>Medio Tiempo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'Definitivo x categoría'!$AY$159:$AY$163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('Definitivo x categoría'!$BN$101,'Definitivo x categoría'!$BR$101,'Definitivo x categoría'!$BV$101,'Definitivo x categoría'!$BZ$101,'Definitivo x categoría'!$CD$101)</c:f>
              <c:numCache>
                <c:formatCode>_(* #,##0_);_(* \(#,##0\);_(* "-"??_);_(@_)</c:formatCode>
                <c:ptCount val="5"/>
                <c:pt idx="0">
                  <c:v>168</c:v>
                </c:pt>
                <c:pt idx="1">
                  <c:v>160</c:v>
                </c:pt>
                <c:pt idx="2">
                  <c:v>158</c:v>
                </c:pt>
                <c:pt idx="3">
                  <c:v>153</c:v>
                </c:pt>
                <c:pt idx="4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418-46E5-94A3-1CE1474653F3}"/>
            </c:ext>
          </c:extLst>
        </c:ser>
        <c:ser>
          <c:idx val="2"/>
          <c:order val="2"/>
          <c:tx>
            <c:strRef>
              <c:f>'Definitivo x categoría'!$AD$178</c:f>
              <c:strCache>
                <c:ptCount val="1"/>
                <c:pt idx="0">
                  <c:v>Tiempo Parcial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solidFill>
                <a:schemeClr val="bg1"/>
              </a:solidFill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  <a:contourClr>
                <a:srgbClr val="000000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'Definitivo x categoría'!$AY$159:$AY$163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('Definitivo x categoría'!$BN$136,'Definitivo x categoría'!$BR$136,'Definitivo x categoría'!$BV$136,'Definitivo x categoría'!$BZ$136,'Definitivo x categoría'!$CD$136)</c:f>
              <c:numCache>
                <c:formatCode>_(* #,##0_);_(* \(#,##0\);_(* "-"??_);_(@_)</c:formatCode>
                <c:ptCount val="5"/>
                <c:pt idx="0">
                  <c:v>144</c:v>
                </c:pt>
                <c:pt idx="1">
                  <c:v>134</c:v>
                </c:pt>
                <c:pt idx="2">
                  <c:v>121</c:v>
                </c:pt>
                <c:pt idx="3">
                  <c:v>118</c:v>
                </c:pt>
                <c:pt idx="4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418-46E5-94A3-1CE1474653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41633408"/>
        <c:axId val="141634944"/>
        <c:axId val="0"/>
      </c:bar3DChart>
      <c:catAx>
        <c:axId val="141633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es-MX"/>
          </a:p>
        </c:txPr>
        <c:crossAx val="141634944"/>
        <c:crosses val="autoZero"/>
        <c:auto val="1"/>
        <c:lblAlgn val="ctr"/>
        <c:lblOffset val="100"/>
        <c:tickMarkSkip val="1"/>
        <c:noMultiLvlLbl val="0"/>
      </c:catAx>
      <c:valAx>
        <c:axId val="141634944"/>
        <c:scaling>
          <c:orientation val="minMax"/>
        </c:scaling>
        <c:delete val="1"/>
        <c:axPos val="l"/>
        <c:numFmt formatCode="_(* #,##0_);_(* \(#,##0\);_(* &quot;-&quot;??_);_(@_)" sourceLinked="1"/>
        <c:majorTickMark val="out"/>
        <c:minorTickMark val="none"/>
        <c:tickLblPos val="nextTo"/>
        <c:crossAx val="1416334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3744990708948329E-2"/>
          <c:y val="0.94216684939698991"/>
          <c:w val="0.96323644580159329"/>
          <c:h val="4.1840491155219726E-2"/>
        </c:manualLayout>
      </c:layout>
      <c:overlay val="0"/>
      <c:txPr>
        <a:bodyPr/>
        <a:lstStyle/>
        <a:p>
          <a:pPr>
            <a:defRPr sz="1200" b="0" i="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MX" b="0">
                <a:solidFill>
                  <a:sysClr val="windowText" lastClr="000000"/>
                </a:solidFill>
              </a:rPr>
              <a:t>Personal Académico Definitivo</a:t>
            </a:r>
          </a:p>
          <a:p>
            <a:pPr algn="l">
              <a:defRPr>
                <a:solidFill>
                  <a:sysClr val="windowText" lastClr="000000"/>
                </a:solidFill>
              </a:defRPr>
            </a:pPr>
            <a:r>
              <a:rPr lang="es-MX" b="0">
                <a:solidFill>
                  <a:sysClr val="windowText" lastClr="000000"/>
                </a:solidFill>
              </a:rPr>
              <a:t>Total UAM </a:t>
            </a:r>
            <a:r>
              <a:rPr lang="es-MX" b="1">
                <a:solidFill>
                  <a:sysClr val="windowText" lastClr="000000"/>
                </a:solidFill>
              </a:rPr>
              <a:t>por género</a:t>
            </a:r>
          </a:p>
        </c:rich>
      </c:tx>
      <c:layout>
        <c:manualLayout>
          <c:xMode val="edge"/>
          <c:yMode val="edge"/>
          <c:x val="2.7157019018214351E-2"/>
          <c:y val="1.68107588856868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1.7425611272275175E-2"/>
          <c:y val="6.8423570612751214E-2"/>
          <c:w val="0.96660341555977225"/>
          <c:h val="0.85230282814071889"/>
        </c:manualLayout>
      </c:layout>
      <c:lineChart>
        <c:grouping val="standard"/>
        <c:varyColors val="0"/>
        <c:ser>
          <c:idx val="0"/>
          <c:order val="0"/>
          <c:tx>
            <c:strRef>
              <c:f>'Definitivo x género'!$C$4</c:f>
              <c:strCache>
                <c:ptCount val="1"/>
                <c:pt idx="0">
                  <c:v>Femenino</c:v>
                </c:pt>
              </c:strCache>
            </c:strRef>
          </c:tx>
          <c:spPr>
            <a:ln w="19050" cap="rnd">
              <a:solidFill>
                <a:srgbClr val="AD25A8"/>
              </a:solidFill>
              <a:round/>
            </a:ln>
            <a:effectLst/>
          </c:spPr>
          <c:marker>
            <c:symbol val="diamond"/>
            <c:size val="6"/>
            <c:spPr>
              <a:noFill/>
              <a:ln w="9525">
                <a:solidFill>
                  <a:srgbClr val="AD25A8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AD25A8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'Definitivo x género'!$AF$154:$AF$171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('Definitivo x género'!$C$147,'Definitivo x género'!$F$147,'Definitivo x género'!$I$147,'Definitivo x género'!$L$147,'Definitivo x género'!$O$147,'Definitivo x género'!$R$147,'Definitivo x género'!$U$147,'Definitivo x género'!$X$147,'Definitivo x género'!$AA$147,'Definitivo x género'!$AD$147,'Definitivo x género'!$AG$147,'Definitivo x género'!$AJ$147,'Definitivo x género'!$AM$147,'Definitivo x género'!$AP$147,'Definitivo x género'!$AS$147,'Definitivo x género'!$AV$147,'Definitivo x género'!$AY$147,'Definitivo x género'!$BB$147)</c:f>
              <c:numCache>
                <c:formatCode>#,##0</c:formatCode>
                <c:ptCount val="18"/>
                <c:pt idx="0">
                  <c:v>1003</c:v>
                </c:pt>
                <c:pt idx="1">
                  <c:v>1012</c:v>
                </c:pt>
                <c:pt idx="2">
                  <c:v>1031</c:v>
                </c:pt>
                <c:pt idx="3">
                  <c:v>1044</c:v>
                </c:pt>
                <c:pt idx="4">
                  <c:v>1046</c:v>
                </c:pt>
                <c:pt idx="5">
                  <c:v>1084</c:v>
                </c:pt>
                <c:pt idx="6">
                  <c:v>1099</c:v>
                </c:pt>
                <c:pt idx="7">
                  <c:v>1108</c:v>
                </c:pt>
                <c:pt idx="8">
                  <c:v>1127</c:v>
                </c:pt>
                <c:pt idx="9">
                  <c:v>1157</c:v>
                </c:pt>
                <c:pt idx="10">
                  <c:v>1144</c:v>
                </c:pt>
                <c:pt idx="11">
                  <c:v>1142</c:v>
                </c:pt>
                <c:pt idx="12">
                  <c:v>1147</c:v>
                </c:pt>
                <c:pt idx="13">
                  <c:v>1157</c:v>
                </c:pt>
                <c:pt idx="14">
                  <c:v>1127</c:v>
                </c:pt>
                <c:pt idx="15">
                  <c:v>1124</c:v>
                </c:pt>
                <c:pt idx="16">
                  <c:v>1105</c:v>
                </c:pt>
                <c:pt idx="17">
                  <c:v>1087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E9-481B-A04E-6F92B807DF6C}"/>
            </c:ext>
          </c:extLst>
        </c:ser>
        <c:ser>
          <c:idx val="1"/>
          <c:order val="1"/>
          <c:tx>
            <c:strRef>
              <c:f>'Definitivo x género'!$D$4</c:f>
              <c:strCache>
                <c:ptCount val="1"/>
                <c:pt idx="0">
                  <c:v>Masculino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6"/>
            <c:spPr>
              <a:noFill/>
              <a:ln w="9525">
                <a:solidFill>
                  <a:srgbClr val="0070C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'Definitivo x género'!$AF$154:$AF$171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('Definitivo x género'!$D$147,'Definitivo x género'!$G$147,'Definitivo x género'!$J$147,'Definitivo x género'!$M$147,'Definitivo x género'!$P$147,'Definitivo x género'!$S$147,'Definitivo x género'!$V$147,'Definitivo x género'!$Y$147,'Definitivo x género'!$AB$147,'Definitivo x género'!$AE$147,'Definitivo x género'!$AH$147,'Definitivo x género'!$AK$147,'Definitivo x género'!$AN$147,'Definitivo x género'!$AQ$147,'Definitivo x género'!$AT$147,'Definitivo x género'!$AW$147,'Definitivo x género'!$AZ$147,'Definitivo x género'!$BC$147)</c:f>
              <c:numCache>
                <c:formatCode>#,##0</c:formatCode>
                <c:ptCount val="18"/>
                <c:pt idx="0">
                  <c:v>1850</c:v>
                </c:pt>
                <c:pt idx="1">
                  <c:v>1853</c:v>
                </c:pt>
                <c:pt idx="2">
                  <c:v>1851</c:v>
                </c:pt>
                <c:pt idx="3">
                  <c:v>1848</c:v>
                </c:pt>
                <c:pt idx="4">
                  <c:v>1865</c:v>
                </c:pt>
                <c:pt idx="5">
                  <c:v>1874</c:v>
                </c:pt>
                <c:pt idx="6">
                  <c:v>1905</c:v>
                </c:pt>
                <c:pt idx="7">
                  <c:v>1918</c:v>
                </c:pt>
                <c:pt idx="8">
                  <c:v>1930</c:v>
                </c:pt>
                <c:pt idx="9">
                  <c:v>1967</c:v>
                </c:pt>
                <c:pt idx="10">
                  <c:v>1946</c:v>
                </c:pt>
                <c:pt idx="11">
                  <c:v>1920</c:v>
                </c:pt>
                <c:pt idx="12">
                  <c:v>1925</c:v>
                </c:pt>
                <c:pt idx="13">
                  <c:v>1931</c:v>
                </c:pt>
                <c:pt idx="14">
                  <c:v>1910</c:v>
                </c:pt>
                <c:pt idx="15">
                  <c:v>1864</c:v>
                </c:pt>
                <c:pt idx="16">
                  <c:v>1826</c:v>
                </c:pt>
                <c:pt idx="17">
                  <c:v>1775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E9-481B-A04E-6F92B807DF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296576"/>
        <c:axId val="142298112"/>
      </c:lineChart>
      <c:catAx>
        <c:axId val="142296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42298112"/>
        <c:crosses val="autoZero"/>
        <c:auto val="1"/>
        <c:lblAlgn val="ctr"/>
        <c:lblOffset val="100"/>
        <c:noMultiLvlLbl val="0"/>
      </c:catAx>
      <c:valAx>
        <c:axId val="142298112"/>
        <c:scaling>
          <c:orientation val="minMax"/>
          <c:max val="2000"/>
          <c:min val="100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crossAx val="142296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3.7614187518756163E-2"/>
          <c:y val="0.38205652128535478"/>
          <c:w val="0.13414773425554111"/>
          <c:h val="0.10831143529739197"/>
        </c:manualLayout>
      </c:layout>
      <c:overlay val="1"/>
      <c:spPr>
        <a:solidFill>
          <a:schemeClr val="bg1">
            <a:lumMod val="9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/>
            </a:pPr>
            <a:r>
              <a:rPr lang="es-MX" sz="1400" b="0"/>
              <a:t>Personal Académico Definitivo por rangos de </a:t>
            </a:r>
            <a:r>
              <a:rPr lang="es-MX" sz="1400" b="1"/>
              <a:t>edad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9.1334481627296585E-3"/>
          <c:y val="8.9607302724350635E-2"/>
          <c:w val="0.97182815421944235"/>
          <c:h val="0.7754864733157383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'ACAD x EDAD'!$A$33</c:f>
              <c:strCache>
                <c:ptCount val="1"/>
                <c:pt idx="0">
                  <c:v>HASTA 30 AÑOS</c:v>
                </c:pt>
              </c:strCache>
            </c:strRef>
          </c:tx>
          <c:spPr>
            <a:solidFill>
              <a:srgbClr val="7030A0"/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2507503017818974E-3"/>
                  <c:y val="1.24175382572621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1B-4003-A9B7-D4348B3B7BEA}"/>
                </c:ext>
              </c:extLst>
            </c:dLbl>
            <c:dLbl>
              <c:idx val="1"/>
              <c:layout>
                <c:manualLayout>
                  <c:x val="4.2507503017818974E-3"/>
                  <c:y val="1.24175382572620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1B-4003-A9B7-D4348B3B7BEA}"/>
                </c:ext>
              </c:extLst>
            </c:dLbl>
            <c:dLbl>
              <c:idx val="2"/>
              <c:layout>
                <c:manualLayout>
                  <c:x val="4.2507970244420826E-3"/>
                  <c:y val="1.5521922821577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1B-4003-A9B7-D4348B3B7BEA}"/>
                </c:ext>
              </c:extLst>
            </c:dLbl>
            <c:dLbl>
              <c:idx val="3"/>
              <c:layout>
                <c:manualLayout>
                  <c:x val="5.6677293659227771E-3"/>
                  <c:y val="1.5521922821577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1B-4003-A9B7-D4348B3B7BEA}"/>
                </c:ext>
              </c:extLst>
            </c:dLbl>
            <c:dLbl>
              <c:idx val="4"/>
              <c:layout>
                <c:manualLayout>
                  <c:x val="4.2507970244421347E-3"/>
                  <c:y val="1.5521922821577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1B-4003-A9B7-D4348B3B7BEA}"/>
                </c:ext>
              </c:extLst>
            </c:dLbl>
            <c:dLbl>
              <c:idx val="5"/>
              <c:layout>
                <c:manualLayout>
                  <c:x val="5.6677408994761733E-3"/>
                  <c:y val="9.313153692946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1B-4003-A9B7-D4348B3B7BEA}"/>
                </c:ext>
              </c:extLst>
            </c:dLbl>
            <c:dLbl>
              <c:idx val="6"/>
              <c:layout>
                <c:manualLayout>
                  <c:x val="7.0846617074034716E-3"/>
                  <c:y val="1.24175382572620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1B-4003-A9B7-D4348B3B7BEA}"/>
                </c:ext>
              </c:extLst>
            </c:dLbl>
            <c:dLbl>
              <c:idx val="7"/>
              <c:layout>
                <c:manualLayout>
                  <c:x val="7.0742106603763136E-3"/>
                  <c:y val="9.313153692946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1B-4003-A9B7-D4348B3B7BEA}"/>
                </c:ext>
              </c:extLst>
            </c:dLbl>
            <c:dLbl>
              <c:idx val="8"/>
              <c:layout>
                <c:manualLayout>
                  <c:x val="7.0846207515199841E-3"/>
                  <c:y val="9.313153692946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1B-4003-A9B7-D4348B3B7BEA}"/>
                </c:ext>
              </c:extLst>
            </c:dLbl>
            <c:dLbl>
              <c:idx val="9"/>
              <c:layout>
                <c:manualLayout>
                  <c:x val="5.6677408994761733E-3"/>
                  <c:y val="1.24175382572620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1B-4003-A9B7-D4348B3B7BEA}"/>
                </c:ext>
              </c:extLst>
            </c:dLbl>
            <c:dLbl>
              <c:idx val="10"/>
              <c:layout>
                <c:manualLayout>
                  <c:x val="8.5015940488841653E-3"/>
                  <c:y val="1.5521922821577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1B-4003-A9B7-D4348B3B7BEA}"/>
                </c:ext>
              </c:extLst>
            </c:dLbl>
            <c:dLbl>
              <c:idx val="11"/>
              <c:layout>
                <c:manualLayout>
                  <c:x val="1.4064697609001407E-3"/>
                  <c:y val="1.5521922821577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1B-4003-A9B7-D4348B3B7BEA}"/>
                </c:ext>
              </c:extLst>
            </c:dLbl>
            <c:dLbl>
              <c:idx val="12"/>
              <c:layout>
                <c:manualLayout>
                  <c:x val="3.8387719798662957E-3"/>
                  <c:y val="7.51173634870071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1B-4003-A9B7-D4348B3B7BEA}"/>
                </c:ext>
              </c:extLst>
            </c:dLbl>
            <c:dLbl>
              <c:idx val="13"/>
              <c:layout>
                <c:manualLayout>
                  <c:x val="3.992016386336659E-3"/>
                  <c:y val="1.2519560581167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1B-4003-A9B7-D4348B3B7BEA}"/>
                </c:ext>
              </c:extLst>
            </c:dLbl>
            <c:dLbl>
              <c:idx val="14"/>
              <c:layout>
                <c:manualLayout>
                  <c:x val="3.4129692832765338E-3"/>
                  <c:y val="1.17392511564795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F1B-4003-A9B7-D4348B3B7BEA}"/>
                </c:ext>
              </c:extLst>
            </c:dLbl>
            <c:dLbl>
              <c:idx val="15"/>
              <c:layout>
                <c:manualLayout>
                  <c:x val="5.2083165372246555E-3"/>
                  <c:y val="1.21311183407462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F1B-4003-A9B7-D4348B3B7BEA}"/>
                </c:ext>
              </c:extLst>
            </c:dLbl>
            <c:dLbl>
              <c:idx val="16"/>
              <c:layout>
                <c:manualLayout>
                  <c:x val="0"/>
                  <c:y val="9.07801175102158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F1B-4003-A9B7-D4348B3B7BEA}"/>
                </c:ext>
              </c:extLst>
            </c:dLbl>
            <c:dLbl>
              <c:idx val="17"/>
              <c:layout>
                <c:manualLayout>
                  <c:x val="1.2638230647711174E-3"/>
                  <c:y val="1.4096912387689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F1B-4003-A9B7-D4348B3B7BEA}"/>
                </c:ext>
              </c:extLst>
            </c:dLbl>
            <c:dLbl>
              <c:idx val="18"/>
              <c:layout>
                <c:manualLayout>
                  <c:x val="1.13765642775865E-3"/>
                  <c:y val="1.59680638722554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9E-4B99-BC95-868C5FD96D29}"/>
                </c:ext>
              </c:extLst>
            </c:dLbl>
            <c:dLbl>
              <c:idx val="19"/>
              <c:layout>
                <c:manualLayout>
                  <c:x val="1.139168441123335E-3"/>
                  <c:y val="1.864181091877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0F-4D67-831D-D7DD6D1EC032}"/>
                </c:ext>
              </c:extLst>
            </c:dLbl>
            <c:spPr>
              <a:scene3d>
                <a:camera prst="orthographicFront"/>
                <a:lightRig rig="threePt" dir="t"/>
              </a:scene3d>
              <a:sp3d>
                <a:bevelB w="165100" prst="coolSlant"/>
              </a:sp3d>
            </c:spPr>
            <c:txPr>
              <a:bodyPr/>
              <a:lstStyle/>
              <a:p>
                <a:pPr>
                  <a:defRPr sz="800">
                    <a:solidFill>
                      <a:srgbClr val="7030A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('ACAD x EDAD'!$C$32:$R$32,'ACAD x EDAD'!$S$32,'ACAD x EDAD'!$T$32,'ACAD x EDAD'!$U$32,'ACAD x EDAD'!$V$32)</c:f>
              <c:numCache>
                <c:formatCode>General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('ACAD x EDAD'!$C$33:$M$33,'ACAD x EDAD'!$N$33,'ACAD x EDAD'!$O$33,'ACAD x EDAD'!$P$33,'ACAD x EDAD'!$Q$33,'ACAD x EDAD'!$R$33:$S$33,'ACAD x EDAD'!$T$33,'ACAD x EDAD'!$U$33,'ACAD x EDAD'!$V$33)</c:f>
              <c:numCache>
                <c:formatCode>0.0%</c:formatCode>
                <c:ptCount val="20"/>
                <c:pt idx="0">
                  <c:v>4.6181172291296629E-3</c:v>
                </c:pt>
                <c:pt idx="1">
                  <c:v>3.9048633297834577E-3</c:v>
                </c:pt>
                <c:pt idx="2">
                  <c:v>4.5566070802663863E-3</c:v>
                </c:pt>
                <c:pt idx="3">
                  <c:v>4.1884816753926706E-3</c:v>
                </c:pt>
                <c:pt idx="4">
                  <c:v>3.4698126301179735E-3</c:v>
                </c:pt>
                <c:pt idx="5">
                  <c:v>4.8409405255878286E-3</c:v>
                </c:pt>
                <c:pt idx="6">
                  <c:v>3.7787701820680177E-3</c:v>
                </c:pt>
                <c:pt idx="7">
                  <c:v>2.7045300878972278E-3</c:v>
                </c:pt>
                <c:pt idx="8">
                  <c:v>3.9946737683089215E-3</c:v>
                </c:pt>
                <c:pt idx="9">
                  <c:v>3.6351619299405157E-3</c:v>
                </c:pt>
                <c:pt idx="10">
                  <c:v>3.9254170755642784E-3</c:v>
                </c:pt>
                <c:pt idx="11">
                  <c:v>5.7618437900128043E-3</c:v>
                </c:pt>
                <c:pt idx="12">
                  <c:v>3.5598705501618125E-3</c:v>
                </c:pt>
                <c:pt idx="13">
                  <c:v>2.939255388634879E-3</c:v>
                </c:pt>
                <c:pt idx="14">
                  <c:v>3.90625E-3</c:v>
                </c:pt>
                <c:pt idx="15">
                  <c:v>3.2383419689119169E-3</c:v>
                </c:pt>
                <c:pt idx="16">
                  <c:v>1.975633849193283E-3</c:v>
                </c:pt>
                <c:pt idx="17">
                  <c:v>1.6733601070950468E-3</c:v>
                </c:pt>
                <c:pt idx="18">
                  <c:v>6.8236096895257596E-4</c:v>
                </c:pt>
                <c:pt idx="19">
                  <c:v>6.9881201956673651E-4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F1B-4003-A9B7-D4348B3B7BEA}"/>
            </c:ext>
          </c:extLst>
        </c:ser>
        <c:ser>
          <c:idx val="1"/>
          <c:order val="1"/>
          <c:tx>
            <c:strRef>
              <c:f>'ACAD x EDAD'!$A$34</c:f>
              <c:strCache>
                <c:ptCount val="1"/>
                <c:pt idx="0">
                  <c:v>31 - 40 AÑOS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F1B-4003-A9B7-D4348B3B7BEA}"/>
                </c:ext>
              </c:extLst>
            </c:dLbl>
            <c:dLbl>
              <c:idx val="1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F1B-4003-A9B7-D4348B3B7BEA}"/>
                </c:ext>
              </c:extLst>
            </c:dLbl>
            <c:dLbl>
              <c:idx val="2"/>
              <c:layout>
                <c:manualLayout>
                  <c:x val="2.805762900656508E-3"/>
                  <c:y val="-3.5457185694664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F1B-4003-A9B7-D4348B3B7BEA}"/>
                </c:ext>
              </c:extLst>
            </c:dLbl>
            <c:dLbl>
              <c:idx val="3"/>
              <c:layout>
                <c:manualLayout>
                  <c:x val="3.4175053233700048E-3"/>
                  <c:y val="-9.764645298294961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0F-4D67-831D-D7DD6D1EC032}"/>
                </c:ext>
              </c:extLst>
            </c:dLbl>
            <c:dLbl>
              <c:idx val="4"/>
              <c:layout>
                <c:manualLayout>
                  <c:x val="4.556673764493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0F-4D67-831D-D7DD6D1EC032}"/>
                </c:ext>
              </c:extLst>
            </c:dLbl>
            <c:dLbl>
              <c:idx val="5"/>
              <c:layout>
                <c:manualLayout>
                  <c:x val="3.9449313417798636E-3"/>
                  <c:y val="-3.10431236042232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F1B-4003-A9B7-D4348B3B7BEA}"/>
                </c:ext>
              </c:extLst>
            </c:dLbl>
            <c:dLbl>
              <c:idx val="6"/>
              <c:layout>
                <c:manualLayout>
                  <c:x val="5.0840997829031571E-3"/>
                  <c:y val="-4.411965148829454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F1B-4003-A9B7-D4348B3B7BEA}"/>
                </c:ext>
              </c:extLst>
            </c:dLbl>
            <c:dLbl>
              <c:idx val="7"/>
              <c:layout>
                <c:manualLayout>
                  <c:x val="5.0840997829031988E-3"/>
                  <c:y val="-3.10431236042232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F1B-4003-A9B7-D4348B3B7BEA}"/>
                </c:ext>
              </c:extLst>
            </c:dLbl>
            <c:dLbl>
              <c:idx val="8"/>
              <c:layout>
                <c:manualLayout>
                  <c:x val="3.6671356990900976E-3"/>
                  <c:y val="-3.54571856946662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F1B-4003-A9B7-D4348B3B7BEA}"/>
                </c:ext>
              </c:extLst>
            </c:dLbl>
            <c:dLbl>
              <c:idx val="9"/>
              <c:layout>
                <c:manualLayout>
                  <c:x val="5.0840997829031988E-3"/>
                  <c:y val="-3.10431236042232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F1B-4003-A9B7-D4348B3B7BEA}"/>
                </c:ext>
              </c:extLst>
            </c:dLbl>
            <c:dLbl>
              <c:idx val="10"/>
              <c:layout>
                <c:manualLayout>
                  <c:x val="5.084099782903114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F1B-4003-A9B7-D4348B3B7BEA}"/>
                </c:ext>
              </c:extLst>
            </c:dLbl>
            <c:dLbl>
              <c:idx val="11"/>
              <c:layout>
                <c:manualLayout>
                  <c:x val="5.02131097118773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F1B-4003-A9B7-D4348B3B7BEA}"/>
                </c:ext>
              </c:extLst>
            </c:dLbl>
            <c:dLbl>
              <c:idx val="12"/>
              <c:layout>
                <c:manualLayout>
                  <c:x val="6.819223745508694E-3"/>
                  <c:y val="2.66311584553928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F1B-4003-A9B7-D4348B3B7BEA}"/>
                </c:ext>
              </c:extLst>
            </c:dLbl>
            <c:dLbl>
              <c:idx val="13"/>
              <c:layout>
                <c:manualLayout>
                  <c:x val="5.322688515115544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F1B-4003-A9B7-D4348B3B7BEA}"/>
                </c:ext>
              </c:extLst>
            </c:dLbl>
            <c:dLbl>
              <c:idx val="14"/>
              <c:layout>
                <c:manualLayout>
                  <c:x val="3.9062499999998092E-3"/>
                  <c:y val="-1.6642829284155502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F1B-4003-A9B7-D4348B3B7BEA}"/>
                </c:ext>
              </c:extLst>
            </c:dLbl>
            <c:dLbl>
              <c:idx val="15"/>
              <c:layout>
                <c:manualLayout>
                  <c:x val="6.510416666666667E-3"/>
                  <c:y val="-6.808508813266191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F1B-4003-A9B7-D4348B3B7BEA}"/>
                </c:ext>
              </c:extLst>
            </c:dLbl>
            <c:dLbl>
              <c:idx val="16"/>
              <c:layout>
                <c:manualLayout>
                  <c:x val="5.208333333333333E-3"/>
                  <c:y val="-2.26950293775539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F1B-4003-A9B7-D4348B3B7BEA}"/>
                </c:ext>
              </c:extLst>
            </c:dLbl>
            <c:dLbl>
              <c:idx val="17"/>
              <c:layout>
                <c:manualLayout>
                  <c:x val="5.05529225908372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F1B-4003-A9B7-D4348B3B7BEA}"/>
                </c:ext>
              </c:extLst>
            </c:dLbl>
            <c:dLbl>
              <c:idx val="18"/>
              <c:layout>
                <c:manualLayout>
                  <c:x val="3.4129692832762836E-3"/>
                  <c:y val="-9.758148528302749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9E-4B99-BC95-868C5FD96D29}"/>
                </c:ext>
              </c:extLst>
            </c:dLbl>
            <c:dLbl>
              <c:idx val="19"/>
              <c:layout>
                <c:manualLayout>
                  <c:x val="3.417505323370004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0F-4D67-831D-D7DD6D1EC0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('ACAD x EDAD'!$C$32:$R$32,'ACAD x EDAD'!$S$32,'ACAD x EDAD'!$T$32,'ACAD x EDAD'!$U$32,'ACAD x EDAD'!$V$32)</c:f>
              <c:numCache>
                <c:formatCode>General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('ACAD x EDAD'!$C$34:$M$34,'ACAD x EDAD'!$N$34,'ACAD x EDAD'!$O$34,'ACAD x EDAD'!$P$34,'ACAD x EDAD'!$Q$34,'ACAD x EDAD'!$R$34:$S$34,'ACAD x EDAD'!$T$34,'ACAD x EDAD'!$U$34,'ACAD x EDAD'!$V$34)</c:f>
              <c:numCache>
                <c:formatCode>0.0%</c:formatCode>
                <c:ptCount val="20"/>
                <c:pt idx="0">
                  <c:v>0.12753108348134992</c:v>
                </c:pt>
                <c:pt idx="1">
                  <c:v>0.10898118565850196</c:v>
                </c:pt>
                <c:pt idx="2">
                  <c:v>9.3235191026989128E-2</c:v>
                </c:pt>
                <c:pt idx="3">
                  <c:v>8.5165794066317621E-2</c:v>
                </c:pt>
                <c:pt idx="4">
                  <c:v>8.5357390700902147E-2</c:v>
                </c:pt>
                <c:pt idx="5">
                  <c:v>8.7136929460580909E-2</c:v>
                </c:pt>
                <c:pt idx="6">
                  <c:v>8.2102370319477841E-2</c:v>
                </c:pt>
                <c:pt idx="7">
                  <c:v>7.9107505070993914E-2</c:v>
                </c:pt>
                <c:pt idx="8">
                  <c:v>7.3901464713715045E-2</c:v>
                </c:pt>
                <c:pt idx="9">
                  <c:v>7.3364177131526764E-2</c:v>
                </c:pt>
                <c:pt idx="10">
                  <c:v>7.4910042525351647E-2</c:v>
                </c:pt>
                <c:pt idx="11">
                  <c:v>7.6184379001280403E-2</c:v>
                </c:pt>
                <c:pt idx="12">
                  <c:v>7.4110032362459541E-2</c:v>
                </c:pt>
                <c:pt idx="13">
                  <c:v>7.0868713259307645E-2</c:v>
                </c:pt>
                <c:pt idx="14">
                  <c:v>6.5755208333333329E-2</c:v>
                </c:pt>
                <c:pt idx="15">
                  <c:v>6.7033678756476686E-2</c:v>
                </c:pt>
                <c:pt idx="16">
                  <c:v>6.3549555482383932E-2</c:v>
                </c:pt>
                <c:pt idx="17">
                  <c:v>5.6224899598393573E-2</c:v>
                </c:pt>
                <c:pt idx="18">
                  <c:v>4.8106448311156604E-2</c:v>
                </c:pt>
                <c:pt idx="19">
                  <c:v>4.0880503144654086E-2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BF1B-4003-A9B7-D4348B3B7BEA}"/>
            </c:ext>
          </c:extLst>
        </c:ser>
        <c:ser>
          <c:idx val="2"/>
          <c:order val="2"/>
          <c:tx>
            <c:strRef>
              <c:f>'ACAD x EDAD'!$A$35</c:f>
              <c:strCache>
                <c:ptCount val="1"/>
                <c:pt idx="0">
                  <c:v>41 - 50 AÑOS</c:v>
                </c:pt>
              </c:strCache>
            </c:strRef>
          </c:tx>
          <c:spPr>
            <a:solidFill>
              <a:srgbClr val="CC9900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25079702444208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F1B-4003-A9B7-D4348B3B7BEA}"/>
                </c:ext>
              </c:extLst>
            </c:dLbl>
            <c:dLbl>
              <c:idx val="1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F1B-4003-A9B7-D4348B3B7BEA}"/>
                </c:ext>
              </c:extLst>
            </c:dLbl>
            <c:dLbl>
              <c:idx val="2"/>
              <c:layout>
                <c:manualLayout>
                  <c:x val="7.08466170740347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F1B-4003-A9B7-D4348B3B7BEA}"/>
                </c:ext>
              </c:extLst>
            </c:dLbl>
            <c:dLbl>
              <c:idx val="3"/>
              <c:layout>
                <c:manualLayout>
                  <c:x val="7.0846617074034716E-3"/>
                  <c:y val="-6.2087691286310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F1B-4003-A9B7-D4348B3B7BEA}"/>
                </c:ext>
              </c:extLst>
            </c:dLbl>
            <c:dLbl>
              <c:idx val="4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F1B-4003-A9B7-D4348B3B7BEA}"/>
                </c:ext>
              </c:extLst>
            </c:dLbl>
            <c:dLbl>
              <c:idx val="5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F1B-4003-A9B7-D4348B3B7BEA}"/>
                </c:ext>
              </c:extLst>
            </c:dLbl>
            <c:dLbl>
              <c:idx val="6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F1B-4003-A9B7-D4348B3B7BEA}"/>
                </c:ext>
              </c:extLst>
            </c:dLbl>
            <c:dLbl>
              <c:idx val="7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F1B-4003-A9B7-D4348B3B7BEA}"/>
                </c:ext>
              </c:extLst>
            </c:dLbl>
            <c:dLbl>
              <c:idx val="8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F1B-4003-A9B7-D4348B3B7BEA}"/>
                </c:ext>
              </c:extLst>
            </c:dLbl>
            <c:dLbl>
              <c:idx val="9"/>
              <c:layout>
                <c:manualLayout>
                  <c:x val="7.0846617074033676E-3"/>
                  <c:y val="-6.2087691286310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F1B-4003-A9B7-D4348B3B7BEA}"/>
                </c:ext>
              </c:extLst>
            </c:dLbl>
            <c:dLbl>
              <c:idx val="10"/>
              <c:layout>
                <c:manualLayout>
                  <c:x val="8.5015940488841653E-3"/>
                  <c:y val="-9.313153692946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F1B-4003-A9B7-D4348B3B7BEA}"/>
                </c:ext>
              </c:extLst>
            </c:dLbl>
            <c:dLbl>
              <c:idx val="11"/>
              <c:layout>
                <c:manualLayout>
                  <c:x val="7.03234880450070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F1B-4003-A9B7-D4348B3B7BEA}"/>
                </c:ext>
              </c:extLst>
            </c:dLbl>
            <c:dLbl>
              <c:idx val="12"/>
              <c:layout>
                <c:manualLayout>
                  <c:x val="7.67754395973259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F1B-4003-A9B7-D4348B3B7BEA}"/>
                </c:ext>
              </c:extLst>
            </c:dLbl>
            <c:dLbl>
              <c:idx val="13"/>
              <c:layout>
                <c:manualLayout>
                  <c:x val="5.3226885151155447E-3"/>
                  <c:y val="-5.00782423246723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F1B-4003-A9B7-D4348B3B7BEA}"/>
                </c:ext>
              </c:extLst>
            </c:dLbl>
            <c:dLbl>
              <c:idx val="14"/>
              <c:layout>
                <c:manualLayout>
                  <c:x val="5.208333333333333E-3"/>
                  <c:y val="2.26950293775548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F1B-4003-A9B7-D4348B3B7BEA}"/>
                </c:ext>
              </c:extLst>
            </c:dLbl>
            <c:dLbl>
              <c:idx val="15"/>
              <c:layout>
                <c:manualLayout>
                  <c:x val="5.208333333333333E-3"/>
                  <c:y val="-2.26950293775548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F1B-4003-A9B7-D4348B3B7BEA}"/>
                </c:ext>
              </c:extLst>
            </c:dLbl>
            <c:dLbl>
              <c:idx val="17"/>
              <c:layout>
                <c:manualLayout>
                  <c:x val="5.0552922590835431E-3"/>
                  <c:y val="2.349485397948251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F1B-4003-A9B7-D4348B3B7BEA}"/>
                </c:ext>
              </c:extLst>
            </c:dLbl>
            <c:dLbl>
              <c:idx val="18"/>
              <c:layout>
                <c:manualLayout>
                  <c:x val="4.5506257110352671E-3"/>
                  <c:y val="-9.758148528302749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9E-4B99-BC95-868C5FD96D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('ACAD x EDAD'!$C$32:$R$32,'ACAD x EDAD'!$S$32,'ACAD x EDAD'!$T$32,'ACAD x EDAD'!$U$32,'ACAD x EDAD'!$V$32)</c:f>
              <c:numCache>
                <c:formatCode>General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('ACAD x EDAD'!$C$35:$M$35,'ACAD x EDAD'!$N$35,'ACAD x EDAD'!$O$35,'ACAD x EDAD'!$P$35,'ACAD x EDAD'!$Q$35,'ACAD x EDAD'!$R$35:$S$35,'ACAD x EDAD'!$T$35,'ACAD x EDAD'!$U$35,'ACAD x EDAD'!$V$35)</c:f>
              <c:numCache>
                <c:formatCode>0.0%</c:formatCode>
                <c:ptCount val="20"/>
                <c:pt idx="0">
                  <c:v>0.39751332149200713</c:v>
                </c:pt>
                <c:pt idx="1">
                  <c:v>0.38019169329073482</c:v>
                </c:pt>
                <c:pt idx="2">
                  <c:v>0.36172450052576238</c:v>
                </c:pt>
                <c:pt idx="3">
                  <c:v>0.33752181500872602</c:v>
                </c:pt>
                <c:pt idx="4">
                  <c:v>0.32234559333795976</c:v>
                </c:pt>
                <c:pt idx="5">
                  <c:v>0.29045643153526973</c:v>
                </c:pt>
                <c:pt idx="6">
                  <c:v>0.27310202679491585</c:v>
                </c:pt>
                <c:pt idx="7">
                  <c:v>0.25185936443542933</c:v>
                </c:pt>
                <c:pt idx="8">
                  <c:v>0.23668442077230359</c:v>
                </c:pt>
                <c:pt idx="9">
                  <c:v>0.21943159286186384</c:v>
                </c:pt>
                <c:pt idx="10">
                  <c:v>0.20804710500490678</c:v>
                </c:pt>
                <c:pt idx="11">
                  <c:v>0.19878361075544174</c:v>
                </c:pt>
                <c:pt idx="12">
                  <c:v>0.18284789644012944</c:v>
                </c:pt>
                <c:pt idx="13">
                  <c:v>0.1760287393860222</c:v>
                </c:pt>
                <c:pt idx="14">
                  <c:v>0.17350260416666666</c:v>
                </c:pt>
                <c:pt idx="15">
                  <c:v>0.17584196891191708</c:v>
                </c:pt>
                <c:pt idx="16">
                  <c:v>0.16924596641422457</c:v>
                </c:pt>
                <c:pt idx="17">
                  <c:v>0.17101740294511378</c:v>
                </c:pt>
                <c:pt idx="18">
                  <c:v>0.16376663254861823</c:v>
                </c:pt>
                <c:pt idx="19">
                  <c:v>0.16142557651991615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5-BF1B-4003-A9B7-D4348B3B7BEA}"/>
            </c:ext>
          </c:extLst>
        </c:ser>
        <c:ser>
          <c:idx val="3"/>
          <c:order val="3"/>
          <c:tx>
            <c:strRef>
              <c:f>'ACAD x EDAD'!$A$36</c:f>
              <c:strCache>
                <c:ptCount val="1"/>
                <c:pt idx="0">
                  <c:v>51 - 60 AÑOS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25079702444208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F1B-4003-A9B7-D4348B3B7BEA}"/>
                </c:ext>
              </c:extLst>
            </c:dLbl>
            <c:dLbl>
              <c:idx val="1"/>
              <c:layout>
                <c:manualLayout>
                  <c:x val="7.0846617074034716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F1B-4003-A9B7-D4348B3B7BEA}"/>
                </c:ext>
              </c:extLst>
            </c:dLbl>
            <c:dLbl>
              <c:idx val="2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F1B-4003-A9B7-D4348B3B7BEA}"/>
                </c:ext>
              </c:extLst>
            </c:dLbl>
            <c:dLbl>
              <c:idx val="3"/>
              <c:layout>
                <c:manualLayout>
                  <c:x val="7.0846617074034716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F1B-4003-A9B7-D4348B3B7BEA}"/>
                </c:ext>
              </c:extLst>
            </c:dLbl>
            <c:dLbl>
              <c:idx val="4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F1B-4003-A9B7-D4348B3B7BEA}"/>
                </c:ext>
              </c:extLst>
            </c:dLbl>
            <c:dLbl>
              <c:idx val="5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F1B-4003-A9B7-D4348B3B7BEA}"/>
                </c:ext>
              </c:extLst>
            </c:dLbl>
            <c:dLbl>
              <c:idx val="6"/>
              <c:layout>
                <c:manualLayout>
                  <c:x val="7.08466170740347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F1B-4003-A9B7-D4348B3B7BEA}"/>
                </c:ext>
              </c:extLst>
            </c:dLbl>
            <c:dLbl>
              <c:idx val="7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F1B-4003-A9B7-D4348B3B7BEA}"/>
                </c:ext>
              </c:extLst>
            </c:dLbl>
            <c:dLbl>
              <c:idx val="8"/>
              <c:layout>
                <c:manualLayout>
                  <c:x val="7.0846617074034716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F1B-4003-A9B7-D4348B3B7BEA}"/>
                </c:ext>
              </c:extLst>
            </c:dLbl>
            <c:dLbl>
              <c:idx val="9"/>
              <c:layout>
                <c:manualLayout>
                  <c:x val="7.0846617074033676E-3"/>
                  <c:y val="5.691305954793062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F1B-4003-A9B7-D4348B3B7BEA}"/>
                </c:ext>
              </c:extLst>
            </c:dLbl>
            <c:dLbl>
              <c:idx val="10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F1B-4003-A9B7-D4348B3B7BEA}"/>
                </c:ext>
              </c:extLst>
            </c:dLbl>
            <c:dLbl>
              <c:idx val="11"/>
              <c:layout>
                <c:manualLayout>
                  <c:x val="8.4388185654008432E-3"/>
                  <c:y val="5.691305954793062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F1B-4003-A9B7-D4348B3B7BEA}"/>
                </c:ext>
              </c:extLst>
            </c:dLbl>
            <c:dLbl>
              <c:idx val="12"/>
              <c:layout>
                <c:manualLayout>
                  <c:x val="7.6775439597325914E-3"/>
                  <c:y val="-2.50391211623357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F1B-4003-A9B7-D4348B3B7BEA}"/>
                </c:ext>
              </c:extLst>
            </c:dLbl>
            <c:dLbl>
              <c:idx val="13"/>
              <c:layout>
                <c:manualLayout>
                  <c:x val="6.6533606438942362E-3"/>
                  <c:y val="-2.50391211623357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BF1B-4003-A9B7-D4348B3B7BEA}"/>
                </c:ext>
              </c:extLst>
            </c:dLbl>
            <c:dLbl>
              <c:idx val="14"/>
              <c:layout>
                <c:manualLayout>
                  <c:x val="7.8125E-3"/>
                  <c:y val="-2.26950293775539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BF1B-4003-A9B7-D4348B3B7BEA}"/>
                </c:ext>
              </c:extLst>
            </c:dLbl>
            <c:dLbl>
              <c:idx val="15"/>
              <c:layout>
                <c:manualLayout>
                  <c:x val="5.208333333333333E-3"/>
                  <c:y val="-4.53900587551079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BF1B-4003-A9B7-D4348B3B7BEA}"/>
                </c:ext>
              </c:extLst>
            </c:dLbl>
            <c:dLbl>
              <c:idx val="16"/>
              <c:layout>
                <c:manualLayout>
                  <c:x val="5.20833333333333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BF1B-4003-A9B7-D4348B3B7BEA}"/>
                </c:ext>
              </c:extLst>
            </c:dLbl>
            <c:dLbl>
              <c:idx val="17"/>
              <c:layout>
                <c:manualLayout>
                  <c:x val="7.5829383886255926E-3"/>
                  <c:y val="2.34948539794816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BF1B-4003-A9B7-D4348B3B7BEA}"/>
                </c:ext>
              </c:extLst>
            </c:dLbl>
            <c:dLbl>
              <c:idx val="18"/>
              <c:layout>
                <c:manualLayout>
                  <c:x val="4.55062571103526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9E-4B99-BC95-868C5FD96D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('ACAD x EDAD'!$C$32:$R$32,'ACAD x EDAD'!$S$32,'ACAD x EDAD'!$T$32,'ACAD x EDAD'!$U$32,'ACAD x EDAD'!$V$32)</c:f>
              <c:numCache>
                <c:formatCode>General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('ACAD x EDAD'!$C$36:$O$36,'ACAD x EDAD'!$P$36,'ACAD x EDAD'!$Q$36,'ACAD x EDAD'!$R$36:$S$36,'ACAD x EDAD'!$T$36,'ACAD x EDAD'!$U$36,'ACAD x EDAD'!$V$36)</c:f>
              <c:numCache>
                <c:formatCode>0.0%</c:formatCode>
                <c:ptCount val="20"/>
                <c:pt idx="0">
                  <c:v>0.35808170515097693</c:v>
                </c:pt>
                <c:pt idx="1">
                  <c:v>0.37344692935747248</c:v>
                </c:pt>
                <c:pt idx="2">
                  <c:v>0.39046617595513494</c:v>
                </c:pt>
                <c:pt idx="3">
                  <c:v>0.40244328097731241</c:v>
                </c:pt>
                <c:pt idx="4">
                  <c:v>0.40874392782789731</c:v>
                </c:pt>
                <c:pt idx="5">
                  <c:v>0.41874135546334718</c:v>
                </c:pt>
                <c:pt idx="6">
                  <c:v>0.41841291652353141</c:v>
                </c:pt>
                <c:pt idx="7">
                  <c:v>0.41717376605814738</c:v>
                </c:pt>
                <c:pt idx="8">
                  <c:v>0.40545938748335553</c:v>
                </c:pt>
                <c:pt idx="9">
                  <c:v>0.40085922009253139</c:v>
                </c:pt>
                <c:pt idx="10">
                  <c:v>0.39090611710827611</c:v>
                </c:pt>
                <c:pt idx="11">
                  <c:v>0.37419974391805377</c:v>
                </c:pt>
                <c:pt idx="12">
                  <c:v>0.36634304207119739</c:v>
                </c:pt>
                <c:pt idx="13">
                  <c:v>0.34454604833442193</c:v>
                </c:pt>
                <c:pt idx="14">
                  <c:v>0.3271484375</c:v>
                </c:pt>
                <c:pt idx="15">
                  <c:v>0.29533678756476683</c:v>
                </c:pt>
                <c:pt idx="16">
                  <c:v>0.2884425419822193</c:v>
                </c:pt>
                <c:pt idx="17">
                  <c:v>0.26874163319946454</c:v>
                </c:pt>
                <c:pt idx="18">
                  <c:v>0.25997952917093142</c:v>
                </c:pt>
                <c:pt idx="19">
                  <c:v>0.24807826694619148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BF1B-4003-A9B7-D4348B3B7BEA}"/>
            </c:ext>
          </c:extLst>
        </c:ser>
        <c:ser>
          <c:idx val="4"/>
          <c:order val="4"/>
          <c:tx>
            <c:strRef>
              <c:f>'ACAD x EDAD'!$A$37</c:f>
              <c:strCache>
                <c:ptCount val="1"/>
                <c:pt idx="0">
                  <c:v>61 -70 AÑOS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6677293659227771E-3"/>
                  <c:y val="1.42282648869826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BF1B-4003-A9B7-D4348B3B7BEA}"/>
                </c:ext>
              </c:extLst>
            </c:dLbl>
            <c:dLbl>
              <c:idx val="1"/>
              <c:layout>
                <c:manualLayout>
                  <c:x val="4.25079702444208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BF1B-4003-A9B7-D4348B3B7BEA}"/>
                </c:ext>
              </c:extLst>
            </c:dLbl>
            <c:dLbl>
              <c:idx val="2"/>
              <c:layout>
                <c:manualLayout>
                  <c:x val="4.2507970244420826E-3"/>
                  <c:y val="-1.42282648869826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BF1B-4003-A9B7-D4348B3B7BEA}"/>
                </c:ext>
              </c:extLst>
            </c:dLbl>
            <c:dLbl>
              <c:idx val="3"/>
              <c:layout>
                <c:manualLayout>
                  <c:x val="7.08466170740347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BF1B-4003-A9B7-D4348B3B7BEA}"/>
                </c:ext>
              </c:extLst>
            </c:dLbl>
            <c:dLbl>
              <c:idx val="4"/>
              <c:layout>
                <c:manualLayout>
                  <c:x val="7.08466170740347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BF1B-4003-A9B7-D4348B3B7BEA}"/>
                </c:ext>
              </c:extLst>
            </c:dLbl>
            <c:dLbl>
              <c:idx val="5"/>
              <c:layout>
                <c:manualLayout>
                  <c:x val="5.6677293659227771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BF1B-4003-A9B7-D4348B3B7BEA}"/>
                </c:ext>
              </c:extLst>
            </c:dLbl>
            <c:dLbl>
              <c:idx val="6"/>
              <c:layout>
                <c:manualLayout>
                  <c:x val="7.0846617074034716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BF1B-4003-A9B7-D4348B3B7BEA}"/>
                </c:ext>
              </c:extLst>
            </c:dLbl>
            <c:dLbl>
              <c:idx val="7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BF1B-4003-A9B7-D4348B3B7BEA}"/>
                </c:ext>
              </c:extLst>
            </c:dLbl>
            <c:dLbl>
              <c:idx val="8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BF1B-4003-A9B7-D4348B3B7BEA}"/>
                </c:ext>
              </c:extLst>
            </c:dLbl>
            <c:dLbl>
              <c:idx val="9"/>
              <c:layout>
                <c:manualLayout>
                  <c:x val="8.5015940488840612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BF1B-4003-A9B7-D4348B3B7BEA}"/>
                </c:ext>
              </c:extLst>
            </c:dLbl>
            <c:dLbl>
              <c:idx val="10"/>
              <c:layout>
                <c:manualLayout>
                  <c:x val="9.9185263903648607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BF1B-4003-A9B7-D4348B3B7BEA}"/>
                </c:ext>
              </c:extLst>
            </c:dLbl>
            <c:dLbl>
              <c:idx val="11"/>
              <c:layout>
                <c:manualLayout>
                  <c:x val="8.4388185654008432E-3"/>
                  <c:y val="3.10438456431554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BF1B-4003-A9B7-D4348B3B7BEA}"/>
                </c:ext>
              </c:extLst>
            </c:dLbl>
            <c:dLbl>
              <c:idx val="12"/>
              <c:layout>
                <c:manualLayout>
                  <c:x val="7.67754395973259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BF1B-4003-A9B7-D4348B3B7BEA}"/>
                </c:ext>
              </c:extLst>
            </c:dLbl>
            <c:dLbl>
              <c:idx val="13"/>
              <c:layout>
                <c:manualLayout>
                  <c:x val="8.3461005881526312E-3"/>
                  <c:y val="-2.50391211623357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BF1B-4003-A9B7-D4348B3B7BEA}"/>
                </c:ext>
              </c:extLst>
            </c:dLbl>
            <c:dLbl>
              <c:idx val="14"/>
              <c:layout>
                <c:manualLayout>
                  <c:x val="6.51041666666666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BF1B-4003-A9B7-D4348B3B7BEA}"/>
                </c:ext>
              </c:extLst>
            </c:dLbl>
            <c:dLbl>
              <c:idx val="15"/>
              <c:layout>
                <c:manualLayout>
                  <c:x val="6.510416666666667E-3"/>
                  <c:y val="-2.26950293775543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BF1B-4003-A9B7-D4348B3B7BEA}"/>
                </c:ext>
              </c:extLst>
            </c:dLbl>
            <c:dLbl>
              <c:idx val="16"/>
              <c:layout>
                <c:manualLayout>
                  <c:x val="6.510416666666667E-3"/>
                  <c:y val="-6.808508813266191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BF1B-4003-A9B7-D4348B3B7BEA}"/>
                </c:ext>
              </c:extLst>
            </c:dLbl>
            <c:dLbl>
              <c:idx val="17"/>
              <c:layout>
                <c:manualLayout>
                  <c:x val="6.3191153238544746E-3"/>
                  <c:y val="2.349485397948251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BF1B-4003-A9B7-D4348B3B7BEA}"/>
                </c:ext>
              </c:extLst>
            </c:dLbl>
            <c:dLbl>
              <c:idx val="18"/>
              <c:layout>
                <c:manualLayout>
                  <c:x val="4.55062571103526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9E-4B99-BC95-868C5FD96D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('ACAD x EDAD'!$C$32:$R$32,'ACAD x EDAD'!$S$32,'ACAD x EDAD'!$T$32,'ACAD x EDAD'!$U$32,'ACAD x EDAD'!$V$32)</c:f>
              <c:numCache>
                <c:formatCode>General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('ACAD x EDAD'!$C$37:$M$37,'ACAD x EDAD'!$N$37,'ACAD x EDAD'!$O$37,'ACAD x EDAD'!$P$37,'ACAD x EDAD'!$Q$37,'ACAD x EDAD'!$R$37:$S$37,'ACAD x EDAD'!$T$37,'ACAD x EDAD'!$U$37,'ACAD x EDAD'!$V$37)</c:f>
              <c:numCache>
                <c:formatCode>0.0%</c:formatCode>
                <c:ptCount val="20"/>
                <c:pt idx="0">
                  <c:v>9.6980461811722915E-2</c:v>
                </c:pt>
                <c:pt idx="1">
                  <c:v>0.11501597444089456</c:v>
                </c:pt>
                <c:pt idx="2">
                  <c:v>0.12828601472134596</c:v>
                </c:pt>
                <c:pt idx="3">
                  <c:v>0.15148342059336825</c:v>
                </c:pt>
                <c:pt idx="4">
                  <c:v>0.16204024982650936</c:v>
                </c:pt>
                <c:pt idx="5">
                  <c:v>0.17807745504840941</c:v>
                </c:pt>
                <c:pt idx="6">
                  <c:v>0.19649604946753693</c:v>
                </c:pt>
                <c:pt idx="7">
                  <c:v>0.2194050033806626</c:v>
                </c:pt>
                <c:pt idx="8">
                  <c:v>0.24234354194407456</c:v>
                </c:pt>
                <c:pt idx="9">
                  <c:v>0.25842696629213485</c:v>
                </c:pt>
                <c:pt idx="10">
                  <c:v>0.27052666012430487</c:v>
                </c:pt>
                <c:pt idx="11">
                  <c:v>0.28104993597951344</c:v>
                </c:pt>
                <c:pt idx="12">
                  <c:v>0.29676375404530747</c:v>
                </c:pt>
                <c:pt idx="13">
                  <c:v>0.31417374265186154</c:v>
                </c:pt>
                <c:pt idx="14">
                  <c:v>0.33040364583333331</c:v>
                </c:pt>
                <c:pt idx="15">
                  <c:v>0.33613989637305697</c:v>
                </c:pt>
                <c:pt idx="16">
                  <c:v>0.34474810668422784</c:v>
                </c:pt>
                <c:pt idx="17">
                  <c:v>0.35174029451137884</c:v>
                </c:pt>
                <c:pt idx="18">
                  <c:v>0.35516888433981575</c:v>
                </c:pt>
                <c:pt idx="19">
                  <c:v>0.35674353598881903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B-BF1B-4003-A9B7-D4348B3B7BEA}"/>
            </c:ext>
          </c:extLst>
        </c:ser>
        <c:ser>
          <c:idx val="5"/>
          <c:order val="5"/>
          <c:tx>
            <c:strRef>
              <c:f>'ACAD x EDAD'!$A$38</c:f>
              <c:strCache>
                <c:ptCount val="1"/>
                <c:pt idx="0">
                  <c:v>MÁS DE 70 AÑOS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6677293659227771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BF1B-4003-A9B7-D4348B3B7BEA}"/>
                </c:ext>
              </c:extLst>
            </c:dLbl>
            <c:dLbl>
              <c:idx val="1"/>
              <c:layout>
                <c:manualLayout>
                  <c:x val="7.0846617074034716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BF1B-4003-A9B7-D4348B3B7BEA}"/>
                </c:ext>
              </c:extLst>
            </c:dLbl>
            <c:dLbl>
              <c:idx val="2"/>
              <c:layout>
                <c:manualLayout>
                  <c:x val="4.25079702444208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BF1B-4003-A9B7-D4348B3B7BEA}"/>
                </c:ext>
              </c:extLst>
            </c:dLbl>
            <c:dLbl>
              <c:idx val="3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BF1B-4003-A9B7-D4348B3B7BEA}"/>
                </c:ext>
              </c:extLst>
            </c:dLbl>
            <c:dLbl>
              <c:idx val="4"/>
              <c:layout>
                <c:manualLayout>
                  <c:x val="7.084661707403523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BF1B-4003-A9B7-D4348B3B7BEA}"/>
                </c:ext>
              </c:extLst>
            </c:dLbl>
            <c:dLbl>
              <c:idx val="5"/>
              <c:layout>
                <c:manualLayout>
                  <c:x val="7.08466170740347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BF1B-4003-A9B7-D4348B3B7BEA}"/>
                </c:ext>
              </c:extLst>
            </c:dLbl>
            <c:dLbl>
              <c:idx val="6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BF1B-4003-A9B7-D4348B3B7BEA}"/>
                </c:ext>
              </c:extLst>
            </c:dLbl>
            <c:dLbl>
              <c:idx val="7"/>
              <c:layout>
                <c:manualLayout>
                  <c:x val="7.0846617074034716E-3"/>
                  <c:y val="-9.31315369294655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BF1B-4003-A9B7-D4348B3B7BEA}"/>
                </c:ext>
              </c:extLst>
            </c:dLbl>
            <c:dLbl>
              <c:idx val="8"/>
              <c:layout>
                <c:manualLayout>
                  <c:x val="6.0122416338582677E-3"/>
                  <c:y val="-8.348911594640327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BF1B-4003-A9B7-D4348B3B7BEA}"/>
                </c:ext>
              </c:extLst>
            </c:dLbl>
            <c:dLbl>
              <c:idx val="9"/>
              <c:layout>
                <c:manualLayout>
                  <c:x val="5.897412237532808E-3"/>
                  <c:y val="-6.808508813266191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BF1B-4003-A9B7-D4348B3B7BEA}"/>
                </c:ext>
              </c:extLst>
            </c:dLbl>
            <c:dLbl>
              <c:idx val="10"/>
              <c:layout>
                <c:manualLayout>
                  <c:x val="7.105551679457789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BF1B-4003-A9B7-D4348B3B7BEA}"/>
                </c:ext>
              </c:extLst>
            </c:dLbl>
            <c:dLbl>
              <c:idx val="11"/>
              <c:layout>
                <c:manualLayout>
                  <c:x val="8.43870781975048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BF1B-4003-A9B7-D4348B3B7BEA}"/>
                </c:ext>
              </c:extLst>
            </c:dLbl>
            <c:dLbl>
              <c:idx val="12"/>
              <c:layout>
                <c:manualLayout>
                  <c:x val="5.1183626398217281E-3"/>
                  <c:y val="-7.51173634870071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BF1B-4003-A9B7-D4348B3B7BEA}"/>
                </c:ext>
              </c:extLst>
            </c:dLbl>
            <c:dLbl>
              <c:idx val="13"/>
              <c:layout>
                <c:manualLayout>
                  <c:x val="6.6533606438944314E-3"/>
                  <c:y val="-2.295226258564509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BF1B-4003-A9B7-D4348B3B7BEA}"/>
                </c:ext>
              </c:extLst>
            </c:dLbl>
            <c:dLbl>
              <c:idx val="14"/>
              <c:layout>
                <c:manualLayout>
                  <c:x val="5.208333333333333E-3"/>
                  <c:y val="-2.26950293775541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BF1B-4003-A9B7-D4348B3B7BEA}"/>
                </c:ext>
              </c:extLst>
            </c:dLbl>
            <c:dLbl>
              <c:idx val="15"/>
              <c:layout>
                <c:manualLayout>
                  <c:x val="6.510416666666667E-3"/>
                  <c:y val="-2.26950293775539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BF1B-4003-A9B7-D4348B3B7BEA}"/>
                </c:ext>
              </c:extLst>
            </c:dLbl>
            <c:dLbl>
              <c:idx val="16"/>
              <c:layout>
                <c:manualLayout>
                  <c:x val="5.20833333333333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BF1B-4003-A9B7-D4348B3B7BEA}"/>
                </c:ext>
              </c:extLst>
            </c:dLbl>
            <c:dLbl>
              <c:idx val="17"/>
              <c:layout>
                <c:manualLayout>
                  <c:x val="7.5829383886255926E-3"/>
                  <c:y val="2.349485397948251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BF1B-4003-A9B7-D4348B3B7BEA}"/>
                </c:ext>
              </c:extLst>
            </c:dLbl>
            <c:dLbl>
              <c:idx val="18"/>
              <c:layout>
                <c:manualLayout>
                  <c:x val="5.688282138794084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9E-4B99-BC95-868C5FD96D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('ACAD x EDAD'!$C$32:$R$32,'ACAD x EDAD'!$S$32,'ACAD x EDAD'!$T$32,'ACAD x EDAD'!$U$32,'ACAD x EDAD'!$V$32)</c:f>
              <c:numCache>
                <c:formatCode>General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('ACAD x EDAD'!$C$38:$M$38,'ACAD x EDAD'!$N$38,'ACAD x EDAD'!$O$38,'ACAD x EDAD'!$P$38,'ACAD x EDAD'!$Q$38,'ACAD x EDAD'!$R$38:$S$38,'ACAD x EDAD'!$T$38,'ACAD x EDAD'!$U$38,'ACAD x EDAD'!$V$38)</c:f>
              <c:numCache>
                <c:formatCode>0.0%</c:formatCode>
                <c:ptCount val="20"/>
                <c:pt idx="0">
                  <c:v>1.52753108348135E-2</c:v>
                </c:pt>
                <c:pt idx="1">
                  <c:v>1.845935392261271E-2</c:v>
                </c:pt>
                <c:pt idx="2">
                  <c:v>2.1731510690501228E-2</c:v>
                </c:pt>
                <c:pt idx="3">
                  <c:v>1.9197207678883072E-2</c:v>
                </c:pt>
                <c:pt idx="4">
                  <c:v>1.8043025676613464E-2</c:v>
                </c:pt>
                <c:pt idx="5">
                  <c:v>2.0746887966804978E-2</c:v>
                </c:pt>
                <c:pt idx="6">
                  <c:v>2.6107866712469941E-2</c:v>
                </c:pt>
                <c:pt idx="7">
                  <c:v>2.9749830966869506E-2</c:v>
                </c:pt>
                <c:pt idx="8">
                  <c:v>3.7616511318242341E-2</c:v>
                </c:pt>
                <c:pt idx="9">
                  <c:v>4.4282881692002646E-2</c:v>
                </c:pt>
                <c:pt idx="10">
                  <c:v>5.1684658161596335E-2</c:v>
                </c:pt>
                <c:pt idx="11">
                  <c:v>6.4020486555697823E-2</c:v>
                </c:pt>
                <c:pt idx="12">
                  <c:v>7.6375404530744331E-2</c:v>
                </c:pt>
                <c:pt idx="13">
                  <c:v>9.1443500979751791E-2</c:v>
                </c:pt>
                <c:pt idx="14">
                  <c:v>9.9283854166666671E-2</c:v>
                </c:pt>
                <c:pt idx="15">
                  <c:v>0.12240932642487047</c:v>
                </c:pt>
                <c:pt idx="16">
                  <c:v>0.13203819558775107</c:v>
                </c:pt>
                <c:pt idx="17">
                  <c:v>0.15060240963855423</c:v>
                </c:pt>
                <c:pt idx="18">
                  <c:v>0.17229614466052542</c:v>
                </c:pt>
                <c:pt idx="19">
                  <c:v>0.19217330538085256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6E-BF1B-4003-A9B7-D4348B3B7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shape val="cylinder"/>
        <c:axId val="142684544"/>
        <c:axId val="142686080"/>
        <c:axId val="0"/>
      </c:bar3DChart>
      <c:catAx>
        <c:axId val="142684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0"/>
            </a:pPr>
            <a:endParaRPr lang="es-MX"/>
          </a:p>
        </c:txPr>
        <c:crossAx val="142686080"/>
        <c:crosses val="autoZero"/>
        <c:auto val="1"/>
        <c:lblAlgn val="ctr"/>
        <c:lblOffset val="100"/>
        <c:noMultiLvlLbl val="0"/>
      </c:catAx>
      <c:valAx>
        <c:axId val="14268608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42684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3.4781721620734903E-2"/>
          <c:y val="0.9395575970359934"/>
          <c:w val="0.89310213664698168"/>
          <c:h val="5.613631719281504E-2"/>
        </c:manualLayout>
      </c:layout>
      <c:overlay val="0"/>
      <c:txPr>
        <a:bodyPr/>
        <a:lstStyle/>
        <a:p>
          <a:pPr>
            <a:defRPr sz="11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1.5389996502273523E-2"/>
          <c:y val="3.4466490735245374E-2"/>
          <c:w val="0.97182815421944235"/>
          <c:h val="0.78816584160109993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'ACAD x EDAD'!$A$33</c:f>
              <c:strCache>
                <c:ptCount val="1"/>
                <c:pt idx="0">
                  <c:v>HASTA 30 AÑOS</c:v>
                </c:pt>
              </c:strCache>
            </c:strRef>
          </c:tx>
          <c:spPr>
            <a:solidFill>
              <a:schemeClr val="tx1"/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2507503017818974E-3"/>
                  <c:y val="1.24175382572621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082-4C09-9951-09C05851562B}"/>
                </c:ext>
              </c:extLst>
            </c:dLbl>
            <c:dLbl>
              <c:idx val="1"/>
              <c:layout>
                <c:manualLayout>
                  <c:x val="4.2507503017818974E-3"/>
                  <c:y val="1.24175382572620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82-4C09-9951-09C05851562B}"/>
                </c:ext>
              </c:extLst>
            </c:dLbl>
            <c:dLbl>
              <c:idx val="2"/>
              <c:layout>
                <c:manualLayout>
                  <c:x val="4.2507970244420826E-3"/>
                  <c:y val="1.5521922821577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82-4C09-9951-09C05851562B}"/>
                </c:ext>
              </c:extLst>
            </c:dLbl>
            <c:dLbl>
              <c:idx val="3"/>
              <c:layout>
                <c:manualLayout>
                  <c:x val="5.6677293659227771E-3"/>
                  <c:y val="1.5521922821577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82-4C09-9951-09C05851562B}"/>
                </c:ext>
              </c:extLst>
            </c:dLbl>
            <c:dLbl>
              <c:idx val="4"/>
              <c:layout>
                <c:manualLayout>
                  <c:x val="4.2507970244421347E-3"/>
                  <c:y val="1.5521922821577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82-4C09-9951-09C05851562B}"/>
                </c:ext>
              </c:extLst>
            </c:dLbl>
            <c:dLbl>
              <c:idx val="5"/>
              <c:layout>
                <c:manualLayout>
                  <c:x val="5.6677408994761733E-3"/>
                  <c:y val="9.313153692946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82-4C09-9951-09C05851562B}"/>
                </c:ext>
              </c:extLst>
            </c:dLbl>
            <c:dLbl>
              <c:idx val="6"/>
              <c:layout>
                <c:manualLayout>
                  <c:x val="7.0846617074034716E-3"/>
                  <c:y val="1.24175382572620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82-4C09-9951-09C05851562B}"/>
                </c:ext>
              </c:extLst>
            </c:dLbl>
            <c:dLbl>
              <c:idx val="7"/>
              <c:layout>
                <c:manualLayout>
                  <c:x val="7.0742106603763136E-3"/>
                  <c:y val="9.313153692946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82-4C09-9951-09C05851562B}"/>
                </c:ext>
              </c:extLst>
            </c:dLbl>
            <c:dLbl>
              <c:idx val="8"/>
              <c:layout>
                <c:manualLayout>
                  <c:x val="7.0846207515199841E-3"/>
                  <c:y val="9.313153692946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082-4C09-9951-09C05851562B}"/>
                </c:ext>
              </c:extLst>
            </c:dLbl>
            <c:dLbl>
              <c:idx val="9"/>
              <c:layout>
                <c:manualLayout>
                  <c:x val="5.6677408994761733E-3"/>
                  <c:y val="1.24175382572620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82-4C09-9951-09C05851562B}"/>
                </c:ext>
              </c:extLst>
            </c:dLbl>
            <c:dLbl>
              <c:idx val="10"/>
              <c:layout>
                <c:manualLayout>
                  <c:x val="8.5015940488841653E-3"/>
                  <c:y val="1.5521922821577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082-4C09-9951-09C05851562B}"/>
                </c:ext>
              </c:extLst>
            </c:dLbl>
            <c:dLbl>
              <c:idx val="11"/>
              <c:layout>
                <c:manualLayout>
                  <c:x val="1.4064697609001407E-3"/>
                  <c:y val="1.5521922821577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082-4C09-9951-09C05851562B}"/>
                </c:ext>
              </c:extLst>
            </c:dLbl>
            <c:spPr>
              <a:scene3d>
                <a:camera prst="orthographicFront"/>
                <a:lightRig rig="threePt" dir="t"/>
              </a:scene3d>
              <a:sp3d>
                <a:bevelB w="165100" prst="coolSlant"/>
              </a:sp3d>
            </c:spPr>
            <c:txPr>
              <a:bodyPr/>
              <a:lstStyle/>
              <a:p>
                <a:pPr>
                  <a:defRPr sz="8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EDAD'!$J$32:$N$32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'ACAD x EDAD'!$J$33:$N$33</c:f>
              <c:numCache>
                <c:formatCode>0.0%</c:formatCode>
                <c:ptCount val="5"/>
                <c:pt idx="0">
                  <c:v>2.7045300878972278E-3</c:v>
                </c:pt>
                <c:pt idx="1">
                  <c:v>3.9946737683089215E-3</c:v>
                </c:pt>
                <c:pt idx="2">
                  <c:v>3.6351619299405157E-3</c:v>
                </c:pt>
                <c:pt idx="3">
                  <c:v>3.9254170755642784E-3</c:v>
                </c:pt>
                <c:pt idx="4">
                  <c:v>5.7618437900128043E-3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082-4C09-9951-09C05851562B}"/>
            </c:ext>
          </c:extLst>
        </c:ser>
        <c:ser>
          <c:idx val="1"/>
          <c:order val="1"/>
          <c:tx>
            <c:strRef>
              <c:f>'ACAD x EDAD'!$A$34</c:f>
              <c:strCache>
                <c:ptCount val="1"/>
                <c:pt idx="0">
                  <c:v>31 - 40 AÑOS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082-4C09-9951-09C05851562B}"/>
                </c:ext>
              </c:extLst>
            </c:dLbl>
            <c:dLbl>
              <c:idx val="1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082-4C09-9951-09C05851562B}"/>
                </c:ext>
              </c:extLst>
            </c:dLbl>
            <c:dLbl>
              <c:idx val="2"/>
              <c:layout>
                <c:manualLayout>
                  <c:x val="8.5015940488841653E-3"/>
                  <c:y val="-6.2087691286310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082-4C09-9951-09C05851562B}"/>
                </c:ext>
              </c:extLst>
            </c:dLbl>
            <c:dLbl>
              <c:idx val="5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082-4C09-9951-09C05851562B}"/>
                </c:ext>
              </c:extLst>
            </c:dLbl>
            <c:dLbl>
              <c:idx val="6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082-4C09-9951-09C05851562B}"/>
                </c:ext>
              </c:extLst>
            </c:dLbl>
            <c:dLbl>
              <c:idx val="7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082-4C09-9951-09C05851562B}"/>
                </c:ext>
              </c:extLst>
            </c:dLbl>
            <c:dLbl>
              <c:idx val="8"/>
              <c:layout>
                <c:manualLayout>
                  <c:x val="7.0846617074034716E-3"/>
                  <c:y val="-6.2087691286310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082-4C09-9951-09C05851562B}"/>
                </c:ext>
              </c:extLst>
            </c:dLbl>
            <c:dLbl>
              <c:idx val="9"/>
              <c:layout>
                <c:manualLayout>
                  <c:x val="8.5015940488842694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082-4C09-9951-09C05851562B}"/>
                </c:ext>
              </c:extLst>
            </c:dLbl>
            <c:dLbl>
              <c:idx val="10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082-4C09-9951-09C05851562B}"/>
                </c:ext>
              </c:extLst>
            </c:dLbl>
            <c:dLbl>
              <c:idx val="11"/>
              <c:layout>
                <c:manualLayout>
                  <c:x val="8.438818565400740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082-4C09-9951-09C0585156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EDAD'!$J$32:$N$32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'ACAD x EDAD'!$J$34:$N$34</c:f>
              <c:numCache>
                <c:formatCode>0.0%</c:formatCode>
                <c:ptCount val="5"/>
                <c:pt idx="0">
                  <c:v>7.9107505070993914E-2</c:v>
                </c:pt>
                <c:pt idx="1">
                  <c:v>7.3901464713715045E-2</c:v>
                </c:pt>
                <c:pt idx="2">
                  <c:v>7.3364177131526764E-2</c:v>
                </c:pt>
                <c:pt idx="3">
                  <c:v>7.4910042525351647E-2</c:v>
                </c:pt>
                <c:pt idx="4">
                  <c:v>7.6184379001280403E-2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082-4C09-9951-09C05851562B}"/>
            </c:ext>
          </c:extLst>
        </c:ser>
        <c:ser>
          <c:idx val="2"/>
          <c:order val="2"/>
          <c:tx>
            <c:strRef>
              <c:f>'ACAD x EDAD'!$A$35</c:f>
              <c:strCache>
                <c:ptCount val="1"/>
                <c:pt idx="0">
                  <c:v>41 - 50 AÑOS</c:v>
                </c:pt>
              </c:strCache>
            </c:strRef>
          </c:tx>
          <c:spPr>
            <a:solidFill>
              <a:srgbClr val="CC99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25079702444208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082-4C09-9951-09C05851562B}"/>
                </c:ext>
              </c:extLst>
            </c:dLbl>
            <c:dLbl>
              <c:idx val="1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082-4C09-9951-09C05851562B}"/>
                </c:ext>
              </c:extLst>
            </c:dLbl>
            <c:dLbl>
              <c:idx val="2"/>
              <c:layout>
                <c:manualLayout>
                  <c:x val="7.08466170740347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082-4C09-9951-09C05851562B}"/>
                </c:ext>
              </c:extLst>
            </c:dLbl>
            <c:dLbl>
              <c:idx val="3"/>
              <c:layout>
                <c:manualLayout>
                  <c:x val="7.0846617074034716E-3"/>
                  <c:y val="-6.2087691286310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082-4C09-9951-09C05851562B}"/>
                </c:ext>
              </c:extLst>
            </c:dLbl>
            <c:dLbl>
              <c:idx val="4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082-4C09-9951-09C05851562B}"/>
                </c:ext>
              </c:extLst>
            </c:dLbl>
            <c:dLbl>
              <c:idx val="5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082-4C09-9951-09C05851562B}"/>
                </c:ext>
              </c:extLst>
            </c:dLbl>
            <c:dLbl>
              <c:idx val="6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082-4C09-9951-09C05851562B}"/>
                </c:ext>
              </c:extLst>
            </c:dLbl>
            <c:dLbl>
              <c:idx val="7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082-4C09-9951-09C05851562B}"/>
                </c:ext>
              </c:extLst>
            </c:dLbl>
            <c:dLbl>
              <c:idx val="8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082-4C09-9951-09C05851562B}"/>
                </c:ext>
              </c:extLst>
            </c:dLbl>
            <c:dLbl>
              <c:idx val="9"/>
              <c:layout>
                <c:manualLayout>
                  <c:x val="7.0846617074033676E-3"/>
                  <c:y val="-6.2087691286310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082-4C09-9951-09C05851562B}"/>
                </c:ext>
              </c:extLst>
            </c:dLbl>
            <c:dLbl>
              <c:idx val="10"/>
              <c:layout>
                <c:manualLayout>
                  <c:x val="8.5015940488841653E-3"/>
                  <c:y val="-9.313153692946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082-4C09-9951-09C05851562B}"/>
                </c:ext>
              </c:extLst>
            </c:dLbl>
            <c:dLbl>
              <c:idx val="11"/>
              <c:layout>
                <c:manualLayout>
                  <c:x val="7.03234880450070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082-4C09-9951-09C0585156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EDAD'!$J$32:$N$32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'ACAD x EDAD'!$J$35:$N$35</c:f>
              <c:numCache>
                <c:formatCode>0.0%</c:formatCode>
                <c:ptCount val="5"/>
                <c:pt idx="0">
                  <c:v>0.25185936443542933</c:v>
                </c:pt>
                <c:pt idx="1">
                  <c:v>0.23668442077230359</c:v>
                </c:pt>
                <c:pt idx="2">
                  <c:v>0.21943159286186384</c:v>
                </c:pt>
                <c:pt idx="3">
                  <c:v>0.20804710500490678</c:v>
                </c:pt>
                <c:pt idx="4">
                  <c:v>0.19878361075544174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6082-4C09-9951-09C05851562B}"/>
            </c:ext>
          </c:extLst>
        </c:ser>
        <c:ser>
          <c:idx val="3"/>
          <c:order val="3"/>
          <c:tx>
            <c:strRef>
              <c:f>'ACAD x EDAD'!$A$36</c:f>
              <c:strCache>
                <c:ptCount val="1"/>
                <c:pt idx="0">
                  <c:v>51 - 60 AÑOS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25079702444208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082-4C09-9951-09C05851562B}"/>
                </c:ext>
              </c:extLst>
            </c:dLbl>
            <c:dLbl>
              <c:idx val="1"/>
              <c:layout>
                <c:manualLayout>
                  <c:x val="7.0846617074034716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082-4C09-9951-09C05851562B}"/>
                </c:ext>
              </c:extLst>
            </c:dLbl>
            <c:dLbl>
              <c:idx val="2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082-4C09-9951-09C05851562B}"/>
                </c:ext>
              </c:extLst>
            </c:dLbl>
            <c:dLbl>
              <c:idx val="3"/>
              <c:layout>
                <c:manualLayout>
                  <c:x val="7.0846617074034716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082-4C09-9951-09C05851562B}"/>
                </c:ext>
              </c:extLst>
            </c:dLbl>
            <c:dLbl>
              <c:idx val="4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082-4C09-9951-09C05851562B}"/>
                </c:ext>
              </c:extLst>
            </c:dLbl>
            <c:dLbl>
              <c:idx val="5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082-4C09-9951-09C05851562B}"/>
                </c:ext>
              </c:extLst>
            </c:dLbl>
            <c:dLbl>
              <c:idx val="6"/>
              <c:layout>
                <c:manualLayout>
                  <c:x val="7.08466170740347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082-4C09-9951-09C05851562B}"/>
                </c:ext>
              </c:extLst>
            </c:dLbl>
            <c:dLbl>
              <c:idx val="7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082-4C09-9951-09C05851562B}"/>
                </c:ext>
              </c:extLst>
            </c:dLbl>
            <c:dLbl>
              <c:idx val="8"/>
              <c:layout>
                <c:manualLayout>
                  <c:x val="7.0846617074034716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082-4C09-9951-09C05851562B}"/>
                </c:ext>
              </c:extLst>
            </c:dLbl>
            <c:dLbl>
              <c:idx val="9"/>
              <c:layout>
                <c:manualLayout>
                  <c:x val="7.0846617074033676E-3"/>
                  <c:y val="5.691305954793062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082-4C09-9951-09C05851562B}"/>
                </c:ext>
              </c:extLst>
            </c:dLbl>
            <c:dLbl>
              <c:idx val="10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082-4C09-9951-09C05851562B}"/>
                </c:ext>
              </c:extLst>
            </c:dLbl>
            <c:dLbl>
              <c:idx val="11"/>
              <c:layout>
                <c:manualLayout>
                  <c:x val="8.4388185654008432E-3"/>
                  <c:y val="5.691305954793062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082-4C09-9951-09C0585156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EDAD'!$J$32:$N$32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'ACAD x EDAD'!$J$36:$N$36</c:f>
              <c:numCache>
                <c:formatCode>0.0%</c:formatCode>
                <c:ptCount val="5"/>
                <c:pt idx="0">
                  <c:v>0.41717376605814738</c:v>
                </c:pt>
                <c:pt idx="1">
                  <c:v>0.40545938748335553</c:v>
                </c:pt>
                <c:pt idx="2">
                  <c:v>0.40085922009253139</c:v>
                </c:pt>
                <c:pt idx="3">
                  <c:v>0.39090611710827611</c:v>
                </c:pt>
                <c:pt idx="4">
                  <c:v>0.37419974391805377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1-6082-4C09-9951-09C05851562B}"/>
            </c:ext>
          </c:extLst>
        </c:ser>
        <c:ser>
          <c:idx val="4"/>
          <c:order val="4"/>
          <c:tx>
            <c:strRef>
              <c:f>'ACAD x EDAD'!$A$37</c:f>
              <c:strCache>
                <c:ptCount val="1"/>
                <c:pt idx="0">
                  <c:v>61 -70 AÑOS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6677293659227771E-3"/>
                  <c:y val="1.42282648869826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6082-4C09-9951-09C05851562B}"/>
                </c:ext>
              </c:extLst>
            </c:dLbl>
            <c:dLbl>
              <c:idx val="1"/>
              <c:layout>
                <c:manualLayout>
                  <c:x val="4.25079702444208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6082-4C09-9951-09C05851562B}"/>
                </c:ext>
              </c:extLst>
            </c:dLbl>
            <c:dLbl>
              <c:idx val="2"/>
              <c:layout>
                <c:manualLayout>
                  <c:x val="4.2507970244420826E-3"/>
                  <c:y val="-1.42282648869826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082-4C09-9951-09C05851562B}"/>
                </c:ext>
              </c:extLst>
            </c:dLbl>
            <c:dLbl>
              <c:idx val="3"/>
              <c:layout>
                <c:manualLayout>
                  <c:x val="7.08466170740347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6082-4C09-9951-09C05851562B}"/>
                </c:ext>
              </c:extLst>
            </c:dLbl>
            <c:dLbl>
              <c:idx val="4"/>
              <c:layout>
                <c:manualLayout>
                  <c:x val="7.08466170740347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6082-4C09-9951-09C05851562B}"/>
                </c:ext>
              </c:extLst>
            </c:dLbl>
            <c:dLbl>
              <c:idx val="5"/>
              <c:layout>
                <c:manualLayout>
                  <c:x val="5.6677293659227771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6082-4C09-9951-09C05851562B}"/>
                </c:ext>
              </c:extLst>
            </c:dLbl>
            <c:dLbl>
              <c:idx val="6"/>
              <c:layout>
                <c:manualLayout>
                  <c:x val="7.0846617074034716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6082-4C09-9951-09C05851562B}"/>
                </c:ext>
              </c:extLst>
            </c:dLbl>
            <c:dLbl>
              <c:idx val="7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6082-4C09-9951-09C05851562B}"/>
                </c:ext>
              </c:extLst>
            </c:dLbl>
            <c:dLbl>
              <c:idx val="8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6082-4C09-9951-09C05851562B}"/>
                </c:ext>
              </c:extLst>
            </c:dLbl>
            <c:dLbl>
              <c:idx val="9"/>
              <c:layout>
                <c:manualLayout>
                  <c:x val="8.5015940488840612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6082-4C09-9951-09C05851562B}"/>
                </c:ext>
              </c:extLst>
            </c:dLbl>
            <c:dLbl>
              <c:idx val="10"/>
              <c:layout>
                <c:manualLayout>
                  <c:x val="9.9185263903648607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6082-4C09-9951-09C05851562B}"/>
                </c:ext>
              </c:extLst>
            </c:dLbl>
            <c:dLbl>
              <c:idx val="11"/>
              <c:layout>
                <c:manualLayout>
                  <c:x val="8.4388185654008432E-3"/>
                  <c:y val="3.10438456431554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6082-4C09-9951-09C0585156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EDAD'!$J$32:$N$32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'ACAD x EDAD'!$J$37:$N$37</c:f>
              <c:numCache>
                <c:formatCode>0.0%</c:formatCode>
                <c:ptCount val="5"/>
                <c:pt idx="0">
                  <c:v>0.2194050033806626</c:v>
                </c:pt>
                <c:pt idx="1">
                  <c:v>0.24234354194407456</c:v>
                </c:pt>
                <c:pt idx="2">
                  <c:v>0.25842696629213485</c:v>
                </c:pt>
                <c:pt idx="3">
                  <c:v>0.27052666012430487</c:v>
                </c:pt>
                <c:pt idx="4">
                  <c:v>0.28104993597951344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E-6082-4C09-9951-09C05851562B}"/>
            </c:ext>
          </c:extLst>
        </c:ser>
        <c:ser>
          <c:idx val="5"/>
          <c:order val="5"/>
          <c:tx>
            <c:strRef>
              <c:f>'ACAD x EDAD'!$A$38</c:f>
              <c:strCache>
                <c:ptCount val="1"/>
                <c:pt idx="0">
                  <c:v>MÁS DE 70 AÑOS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6677293659227771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6082-4C09-9951-09C05851562B}"/>
                </c:ext>
              </c:extLst>
            </c:dLbl>
            <c:dLbl>
              <c:idx val="1"/>
              <c:layout>
                <c:manualLayout>
                  <c:x val="7.0846617074034716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6082-4C09-9951-09C05851562B}"/>
                </c:ext>
              </c:extLst>
            </c:dLbl>
            <c:dLbl>
              <c:idx val="2"/>
              <c:layout>
                <c:manualLayout>
                  <c:x val="4.25079702444208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6082-4C09-9951-09C05851562B}"/>
                </c:ext>
              </c:extLst>
            </c:dLbl>
            <c:dLbl>
              <c:idx val="3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6082-4C09-9951-09C05851562B}"/>
                </c:ext>
              </c:extLst>
            </c:dLbl>
            <c:dLbl>
              <c:idx val="4"/>
              <c:layout>
                <c:manualLayout>
                  <c:x val="7.084661707403523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6082-4C09-9951-09C05851562B}"/>
                </c:ext>
              </c:extLst>
            </c:dLbl>
            <c:dLbl>
              <c:idx val="5"/>
              <c:layout>
                <c:manualLayout>
                  <c:x val="7.08466170740347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6082-4C09-9951-09C05851562B}"/>
                </c:ext>
              </c:extLst>
            </c:dLbl>
            <c:dLbl>
              <c:idx val="6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6082-4C09-9951-09C05851562B}"/>
                </c:ext>
              </c:extLst>
            </c:dLbl>
            <c:dLbl>
              <c:idx val="7"/>
              <c:layout>
                <c:manualLayout>
                  <c:x val="7.0846617074034716E-3"/>
                  <c:y val="-9.31315369294655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6082-4C09-9951-09C05851562B}"/>
                </c:ext>
              </c:extLst>
            </c:dLbl>
            <c:dLbl>
              <c:idx val="8"/>
              <c:layout>
                <c:manualLayout>
                  <c:x val="9.9185263903648607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6082-4C09-9951-09C05851562B}"/>
                </c:ext>
              </c:extLst>
            </c:dLbl>
            <c:dLbl>
              <c:idx val="9"/>
              <c:layout>
                <c:manualLayout>
                  <c:x val="8.501594048884269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6082-4C09-9951-09C05851562B}"/>
                </c:ext>
              </c:extLst>
            </c:dLbl>
            <c:dLbl>
              <c:idx val="10"/>
              <c:layout>
                <c:manualLayout>
                  <c:x val="7.105551679457789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6082-4C09-9951-09C05851562B}"/>
                </c:ext>
              </c:extLst>
            </c:dLbl>
            <c:dLbl>
              <c:idx val="11"/>
              <c:layout>
                <c:manualLayout>
                  <c:x val="8.43870781975048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6082-4C09-9951-09C0585156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EDAD'!$J$32:$N$32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'ACAD x EDAD'!$J$38:$N$38</c:f>
              <c:numCache>
                <c:formatCode>0.0%</c:formatCode>
                <c:ptCount val="5"/>
                <c:pt idx="0">
                  <c:v>2.9749830966869506E-2</c:v>
                </c:pt>
                <c:pt idx="1">
                  <c:v>3.7616511318242341E-2</c:v>
                </c:pt>
                <c:pt idx="2">
                  <c:v>4.4282881692002646E-2</c:v>
                </c:pt>
                <c:pt idx="3">
                  <c:v>5.1684658161596335E-2</c:v>
                </c:pt>
                <c:pt idx="4">
                  <c:v>6.4020486555697823E-2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B-6082-4C09-9951-09C0585156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9"/>
        <c:shape val="cylinder"/>
        <c:axId val="142940800"/>
        <c:axId val="142983552"/>
        <c:axId val="0"/>
      </c:bar3DChart>
      <c:catAx>
        <c:axId val="142940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0"/>
            </a:pPr>
            <a:endParaRPr lang="es-MX"/>
          </a:p>
        </c:txPr>
        <c:crossAx val="142983552"/>
        <c:crosses val="autoZero"/>
        <c:auto val="1"/>
        <c:lblAlgn val="ctr"/>
        <c:lblOffset val="100"/>
        <c:noMultiLvlLbl val="0"/>
      </c:catAx>
      <c:valAx>
        <c:axId val="142983552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429408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5.3309080035881591E-2"/>
          <c:y val="0.92523737542129192"/>
          <c:w val="0.85664385306267099"/>
          <c:h val="5.613631719281504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9.1335009773651846E-3"/>
          <c:y val="3.3532522268629593E-2"/>
          <c:w val="0.97182815421944235"/>
          <c:h val="0.7754864733157383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'ACAD x EDAD'!$A$33</c:f>
              <c:strCache>
                <c:ptCount val="1"/>
                <c:pt idx="0">
                  <c:v>HASTA 30 AÑOS</c:v>
                </c:pt>
              </c:strCache>
            </c:strRef>
          </c:tx>
          <c:spPr>
            <a:solidFill>
              <a:srgbClr val="7030A0"/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2507970244420826E-3"/>
                  <c:y val="1.5521922821577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706-4402-8EF3-B9E6559F6DE9}"/>
                </c:ext>
              </c:extLst>
            </c:dLbl>
            <c:dLbl>
              <c:idx val="1"/>
              <c:layout>
                <c:manualLayout>
                  <c:x val="5.6677293659227771E-3"/>
                  <c:y val="1.5521922821577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06-4402-8EF3-B9E6559F6DE9}"/>
                </c:ext>
              </c:extLst>
            </c:dLbl>
            <c:dLbl>
              <c:idx val="2"/>
              <c:layout>
                <c:manualLayout>
                  <c:x val="4.2507970244421347E-3"/>
                  <c:y val="1.5521922821577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06-4402-8EF3-B9E6559F6DE9}"/>
                </c:ext>
              </c:extLst>
            </c:dLbl>
            <c:dLbl>
              <c:idx val="3"/>
              <c:layout>
                <c:manualLayout>
                  <c:x val="0"/>
                  <c:y val="1.47329692820490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06-4402-8EF3-B9E6559F6DE9}"/>
                </c:ext>
              </c:extLst>
            </c:dLbl>
            <c:dLbl>
              <c:idx val="4"/>
              <c:layout>
                <c:manualLayout>
                  <c:x val="5.6677408994761733E-3"/>
                  <c:y val="9.313153692946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06-4402-8EF3-B9E6559F6DE9}"/>
                </c:ext>
              </c:extLst>
            </c:dLbl>
            <c:dLbl>
              <c:idx val="6"/>
              <c:layout>
                <c:manualLayout>
                  <c:x val="7.0846617074034716E-3"/>
                  <c:y val="1.24175382572620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06-4402-8EF3-B9E6559F6DE9}"/>
                </c:ext>
              </c:extLst>
            </c:dLbl>
            <c:dLbl>
              <c:idx val="7"/>
              <c:layout>
                <c:manualLayout>
                  <c:x val="7.0742106603763136E-3"/>
                  <c:y val="9.313153692946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06-4402-8EF3-B9E6559F6DE9}"/>
                </c:ext>
              </c:extLst>
            </c:dLbl>
            <c:dLbl>
              <c:idx val="8"/>
              <c:layout>
                <c:manualLayout>
                  <c:x val="7.0846207515199841E-3"/>
                  <c:y val="9.313153692946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06-4402-8EF3-B9E6559F6DE9}"/>
                </c:ext>
              </c:extLst>
            </c:dLbl>
            <c:dLbl>
              <c:idx val="9"/>
              <c:layout>
                <c:manualLayout>
                  <c:x val="5.6677408994761733E-3"/>
                  <c:y val="1.24175382572620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06-4402-8EF3-B9E6559F6DE9}"/>
                </c:ext>
              </c:extLst>
            </c:dLbl>
            <c:dLbl>
              <c:idx val="10"/>
              <c:layout>
                <c:manualLayout>
                  <c:x val="8.5015940488841653E-3"/>
                  <c:y val="1.5521922821577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706-4402-8EF3-B9E6559F6DE9}"/>
                </c:ext>
              </c:extLst>
            </c:dLbl>
            <c:dLbl>
              <c:idx val="11"/>
              <c:layout>
                <c:manualLayout>
                  <c:x val="1.4064697609001407E-3"/>
                  <c:y val="1.5521922821577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706-4402-8EF3-B9E6559F6DE9}"/>
                </c:ext>
              </c:extLst>
            </c:dLbl>
            <c:dLbl>
              <c:idx val="12"/>
              <c:layout>
                <c:manualLayout>
                  <c:x val="3.8387719798662957E-3"/>
                  <c:y val="7.51173634870071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06-4402-8EF3-B9E6559F6DE9}"/>
                </c:ext>
              </c:extLst>
            </c:dLbl>
            <c:dLbl>
              <c:idx val="13"/>
              <c:layout>
                <c:manualLayout>
                  <c:x val="3.992016386336659E-3"/>
                  <c:y val="1.2519560581167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706-4402-8EF3-B9E6559F6DE9}"/>
                </c:ext>
              </c:extLst>
            </c:dLbl>
            <c:spPr>
              <a:scene3d>
                <a:camera prst="orthographicFront"/>
                <a:lightRig rig="threePt" dir="t"/>
              </a:scene3d>
              <a:sp3d>
                <a:bevelB w="165100" prst="coolSlant"/>
              </a:sp3d>
            </c:spPr>
            <c:txPr>
              <a:bodyPr/>
              <a:lstStyle/>
              <a:p>
                <a:pPr>
                  <a:defRPr sz="1000">
                    <a:solidFill>
                      <a:srgbClr val="7030A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EDAD'!$R$32:$V$32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'ACAD x EDAD'!$R$33:$V$33</c:f>
              <c:numCache>
                <c:formatCode>0.0%</c:formatCode>
                <c:ptCount val="5"/>
                <c:pt idx="0">
                  <c:v>3.2383419689119169E-3</c:v>
                </c:pt>
                <c:pt idx="1">
                  <c:v>1.975633849193283E-3</c:v>
                </c:pt>
                <c:pt idx="2">
                  <c:v>1.6733601070950468E-3</c:v>
                </c:pt>
                <c:pt idx="3">
                  <c:v>6.8236096895257596E-4</c:v>
                </c:pt>
                <c:pt idx="4">
                  <c:v>6.9881201956673651E-4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706-4402-8EF3-B9E6559F6DE9}"/>
            </c:ext>
          </c:extLst>
        </c:ser>
        <c:ser>
          <c:idx val="1"/>
          <c:order val="1"/>
          <c:tx>
            <c:strRef>
              <c:f>'ACAD x EDAD'!$A$34</c:f>
              <c:strCache>
                <c:ptCount val="1"/>
                <c:pt idx="0">
                  <c:v>31 - 40 AÑOS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5015940488841653E-3"/>
                  <c:y val="-6.2087691286310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706-4402-8EF3-B9E6559F6DE9}"/>
                </c:ext>
              </c:extLst>
            </c:dLbl>
            <c:dLbl>
              <c:idx val="4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F5-40A2-8747-1E007628BC75}"/>
                </c:ext>
              </c:extLst>
            </c:dLbl>
            <c:dLbl>
              <c:idx val="6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706-4402-8EF3-B9E6559F6DE9}"/>
                </c:ext>
              </c:extLst>
            </c:dLbl>
            <c:dLbl>
              <c:idx val="7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706-4402-8EF3-B9E6559F6DE9}"/>
                </c:ext>
              </c:extLst>
            </c:dLbl>
            <c:dLbl>
              <c:idx val="8"/>
              <c:layout>
                <c:manualLayout>
                  <c:x val="7.0846617074034716E-3"/>
                  <c:y val="-6.2087691286310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706-4402-8EF3-B9E6559F6DE9}"/>
                </c:ext>
              </c:extLst>
            </c:dLbl>
            <c:dLbl>
              <c:idx val="9"/>
              <c:layout>
                <c:manualLayout>
                  <c:x val="8.5015940488842694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706-4402-8EF3-B9E6559F6DE9}"/>
                </c:ext>
              </c:extLst>
            </c:dLbl>
            <c:dLbl>
              <c:idx val="10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706-4402-8EF3-B9E6559F6DE9}"/>
                </c:ext>
              </c:extLst>
            </c:dLbl>
            <c:dLbl>
              <c:idx val="11"/>
              <c:layout>
                <c:manualLayout>
                  <c:x val="8.438818565400740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706-4402-8EF3-B9E6559F6DE9}"/>
                </c:ext>
              </c:extLst>
            </c:dLbl>
            <c:dLbl>
              <c:idx val="12"/>
              <c:layout>
                <c:manualLayout>
                  <c:x val="1.023672527964345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706-4402-8EF3-B9E6559F6DE9}"/>
                </c:ext>
              </c:extLst>
            </c:dLbl>
            <c:dLbl>
              <c:idx val="13"/>
              <c:layout>
                <c:manualLayout>
                  <c:x val="5.322688515115544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706-4402-8EF3-B9E6559F6D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EDAD'!$R$32:$V$32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'ACAD x EDAD'!$R$34:$V$34</c:f>
              <c:numCache>
                <c:formatCode>0.0%</c:formatCode>
                <c:ptCount val="5"/>
                <c:pt idx="0">
                  <c:v>6.7033678756476686E-2</c:v>
                </c:pt>
                <c:pt idx="1">
                  <c:v>6.3549555482383932E-2</c:v>
                </c:pt>
                <c:pt idx="2">
                  <c:v>5.6224899598393573E-2</c:v>
                </c:pt>
                <c:pt idx="3">
                  <c:v>4.8106448311156604E-2</c:v>
                </c:pt>
                <c:pt idx="4">
                  <c:v>4.0880503144654086E-2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E706-4402-8EF3-B9E6559F6DE9}"/>
            </c:ext>
          </c:extLst>
        </c:ser>
        <c:ser>
          <c:idx val="2"/>
          <c:order val="2"/>
          <c:tx>
            <c:strRef>
              <c:f>'ACAD x EDAD'!$A$35</c:f>
              <c:strCache>
                <c:ptCount val="1"/>
                <c:pt idx="0">
                  <c:v>41 - 50 AÑOS</c:v>
                </c:pt>
              </c:strCache>
            </c:strRef>
          </c:tx>
          <c:spPr>
            <a:solidFill>
              <a:srgbClr val="CC99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7.08466170740347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706-4402-8EF3-B9E6559F6DE9}"/>
                </c:ext>
              </c:extLst>
            </c:dLbl>
            <c:dLbl>
              <c:idx val="1"/>
              <c:layout>
                <c:manualLayout>
                  <c:x val="7.0846617074034716E-3"/>
                  <c:y val="-6.2087691286310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706-4402-8EF3-B9E6559F6DE9}"/>
                </c:ext>
              </c:extLst>
            </c:dLbl>
            <c:dLbl>
              <c:idx val="2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706-4402-8EF3-B9E6559F6DE9}"/>
                </c:ext>
              </c:extLst>
            </c:dLbl>
            <c:dLbl>
              <c:idx val="3"/>
              <c:layout>
                <c:manualLayout>
                  <c:x val="1.807229201408658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706-4402-8EF3-B9E6559F6DE9}"/>
                </c:ext>
              </c:extLst>
            </c:dLbl>
            <c:dLbl>
              <c:idx val="5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706-4402-8EF3-B9E6559F6DE9}"/>
                </c:ext>
              </c:extLst>
            </c:dLbl>
            <c:dLbl>
              <c:idx val="6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706-4402-8EF3-B9E6559F6DE9}"/>
                </c:ext>
              </c:extLst>
            </c:dLbl>
            <c:dLbl>
              <c:idx val="7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706-4402-8EF3-B9E6559F6DE9}"/>
                </c:ext>
              </c:extLst>
            </c:dLbl>
            <c:dLbl>
              <c:idx val="8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706-4402-8EF3-B9E6559F6DE9}"/>
                </c:ext>
              </c:extLst>
            </c:dLbl>
            <c:dLbl>
              <c:idx val="9"/>
              <c:layout>
                <c:manualLayout>
                  <c:x val="7.0846617074033676E-3"/>
                  <c:y val="-6.2087691286310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706-4402-8EF3-B9E6559F6DE9}"/>
                </c:ext>
              </c:extLst>
            </c:dLbl>
            <c:dLbl>
              <c:idx val="10"/>
              <c:layout>
                <c:manualLayout>
                  <c:x val="8.5015940488841653E-3"/>
                  <c:y val="-9.313153692946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706-4402-8EF3-B9E6559F6DE9}"/>
                </c:ext>
              </c:extLst>
            </c:dLbl>
            <c:dLbl>
              <c:idx val="11"/>
              <c:layout>
                <c:manualLayout>
                  <c:x val="7.03234880450070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706-4402-8EF3-B9E6559F6DE9}"/>
                </c:ext>
              </c:extLst>
            </c:dLbl>
            <c:dLbl>
              <c:idx val="12"/>
              <c:layout>
                <c:manualLayout>
                  <c:x val="7.67754395973259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706-4402-8EF3-B9E6559F6DE9}"/>
                </c:ext>
              </c:extLst>
            </c:dLbl>
            <c:dLbl>
              <c:idx val="13"/>
              <c:layout>
                <c:manualLayout>
                  <c:x val="5.3226885151155447E-3"/>
                  <c:y val="-5.00782423246723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706-4402-8EF3-B9E6559F6D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EDAD'!$R$32:$V$32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'ACAD x EDAD'!$R$35:$V$35</c:f>
              <c:numCache>
                <c:formatCode>0.0%</c:formatCode>
                <c:ptCount val="5"/>
                <c:pt idx="0">
                  <c:v>0.17584196891191708</c:v>
                </c:pt>
                <c:pt idx="1">
                  <c:v>0.16924596641422457</c:v>
                </c:pt>
                <c:pt idx="2">
                  <c:v>0.17101740294511378</c:v>
                </c:pt>
                <c:pt idx="3">
                  <c:v>0.16376663254861823</c:v>
                </c:pt>
                <c:pt idx="4">
                  <c:v>0.16142557651991615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E706-4402-8EF3-B9E6559F6DE9}"/>
            </c:ext>
          </c:extLst>
        </c:ser>
        <c:ser>
          <c:idx val="3"/>
          <c:order val="3"/>
          <c:tx>
            <c:strRef>
              <c:f>'ACAD x EDAD'!$A$36</c:f>
              <c:strCache>
                <c:ptCount val="1"/>
                <c:pt idx="0">
                  <c:v>51 - 60 AÑOS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706-4402-8EF3-B9E6559F6DE9}"/>
                </c:ext>
              </c:extLst>
            </c:dLbl>
            <c:dLbl>
              <c:idx val="1"/>
              <c:layout>
                <c:manualLayout>
                  <c:x val="7.0846617074034716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706-4402-8EF3-B9E6559F6DE9}"/>
                </c:ext>
              </c:extLst>
            </c:dLbl>
            <c:dLbl>
              <c:idx val="2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706-4402-8EF3-B9E6559F6DE9}"/>
                </c:ext>
              </c:extLst>
            </c:dLbl>
            <c:dLbl>
              <c:idx val="3"/>
              <c:layout>
                <c:manualLayout>
                  <c:x val="1.8072292014086586E-2"/>
                  <c:y val="-3.68324232051226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706-4402-8EF3-B9E6559F6DE9}"/>
                </c:ext>
              </c:extLst>
            </c:dLbl>
            <c:dLbl>
              <c:idx val="5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706-4402-8EF3-B9E6559F6DE9}"/>
                </c:ext>
              </c:extLst>
            </c:dLbl>
            <c:dLbl>
              <c:idx val="6"/>
              <c:layout>
                <c:manualLayout>
                  <c:x val="7.08466170740347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E706-4402-8EF3-B9E6559F6DE9}"/>
                </c:ext>
              </c:extLst>
            </c:dLbl>
            <c:dLbl>
              <c:idx val="7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E706-4402-8EF3-B9E6559F6DE9}"/>
                </c:ext>
              </c:extLst>
            </c:dLbl>
            <c:dLbl>
              <c:idx val="8"/>
              <c:layout>
                <c:manualLayout>
                  <c:x val="7.0846617074034716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E706-4402-8EF3-B9E6559F6DE9}"/>
                </c:ext>
              </c:extLst>
            </c:dLbl>
            <c:dLbl>
              <c:idx val="9"/>
              <c:layout>
                <c:manualLayout>
                  <c:x val="7.0846617074033676E-3"/>
                  <c:y val="5.691305954793062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706-4402-8EF3-B9E6559F6DE9}"/>
                </c:ext>
              </c:extLst>
            </c:dLbl>
            <c:dLbl>
              <c:idx val="10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E706-4402-8EF3-B9E6559F6DE9}"/>
                </c:ext>
              </c:extLst>
            </c:dLbl>
            <c:dLbl>
              <c:idx val="11"/>
              <c:layout>
                <c:manualLayout>
                  <c:x val="8.4388185654008432E-3"/>
                  <c:y val="5.691305954793062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E706-4402-8EF3-B9E6559F6DE9}"/>
                </c:ext>
              </c:extLst>
            </c:dLbl>
            <c:dLbl>
              <c:idx val="12"/>
              <c:layout>
                <c:manualLayout>
                  <c:x val="7.6775439597325914E-3"/>
                  <c:y val="-2.50391211623357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E706-4402-8EF3-B9E6559F6DE9}"/>
                </c:ext>
              </c:extLst>
            </c:dLbl>
            <c:dLbl>
              <c:idx val="13"/>
              <c:layout>
                <c:manualLayout>
                  <c:x val="6.6533606438942362E-3"/>
                  <c:y val="-2.50391211623357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E706-4402-8EF3-B9E6559F6D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EDAD'!$R$32:$V$32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'ACAD x EDAD'!$R$36:$V$36</c:f>
              <c:numCache>
                <c:formatCode>0.0%</c:formatCode>
                <c:ptCount val="5"/>
                <c:pt idx="0">
                  <c:v>0.29533678756476683</c:v>
                </c:pt>
                <c:pt idx="1">
                  <c:v>0.2884425419822193</c:v>
                </c:pt>
                <c:pt idx="2">
                  <c:v>0.26874163319946454</c:v>
                </c:pt>
                <c:pt idx="3">
                  <c:v>0.25997952917093142</c:v>
                </c:pt>
                <c:pt idx="4">
                  <c:v>0.24807826694619148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9-E706-4402-8EF3-B9E6559F6DE9}"/>
            </c:ext>
          </c:extLst>
        </c:ser>
        <c:ser>
          <c:idx val="4"/>
          <c:order val="4"/>
          <c:tx>
            <c:strRef>
              <c:f>'ACAD x EDAD'!$A$37</c:f>
              <c:strCache>
                <c:ptCount val="1"/>
                <c:pt idx="0">
                  <c:v>61 -70 AÑOS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2507970244420826E-3"/>
                  <c:y val="-1.42282648869826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E706-4402-8EF3-B9E6559F6DE9}"/>
                </c:ext>
              </c:extLst>
            </c:dLbl>
            <c:dLbl>
              <c:idx val="1"/>
              <c:layout>
                <c:manualLayout>
                  <c:x val="7.08466170740347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E706-4402-8EF3-B9E6559F6DE9}"/>
                </c:ext>
              </c:extLst>
            </c:dLbl>
            <c:dLbl>
              <c:idx val="2"/>
              <c:layout>
                <c:manualLayout>
                  <c:x val="7.08466170740347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E706-4402-8EF3-B9E6559F6DE9}"/>
                </c:ext>
              </c:extLst>
            </c:dLbl>
            <c:dLbl>
              <c:idx val="3"/>
              <c:layout>
                <c:manualLayout>
                  <c:x val="1.405622712206734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E706-4402-8EF3-B9E6559F6DE9}"/>
                </c:ext>
              </c:extLst>
            </c:dLbl>
            <c:dLbl>
              <c:idx val="5"/>
              <c:layout>
                <c:manualLayout>
                  <c:x val="5.6677293659227771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E706-4402-8EF3-B9E6559F6DE9}"/>
                </c:ext>
              </c:extLst>
            </c:dLbl>
            <c:dLbl>
              <c:idx val="6"/>
              <c:layout>
                <c:manualLayout>
                  <c:x val="7.0846617074034716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E706-4402-8EF3-B9E6559F6DE9}"/>
                </c:ext>
              </c:extLst>
            </c:dLbl>
            <c:dLbl>
              <c:idx val="7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E706-4402-8EF3-B9E6559F6DE9}"/>
                </c:ext>
              </c:extLst>
            </c:dLbl>
            <c:dLbl>
              <c:idx val="8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E706-4402-8EF3-B9E6559F6DE9}"/>
                </c:ext>
              </c:extLst>
            </c:dLbl>
            <c:dLbl>
              <c:idx val="9"/>
              <c:layout>
                <c:manualLayout>
                  <c:x val="8.5015940488840612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E706-4402-8EF3-B9E6559F6DE9}"/>
                </c:ext>
              </c:extLst>
            </c:dLbl>
            <c:dLbl>
              <c:idx val="10"/>
              <c:layout>
                <c:manualLayout>
                  <c:x val="9.9185263903648607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E706-4402-8EF3-B9E6559F6DE9}"/>
                </c:ext>
              </c:extLst>
            </c:dLbl>
            <c:dLbl>
              <c:idx val="11"/>
              <c:layout>
                <c:manualLayout>
                  <c:x val="8.4388185654008432E-3"/>
                  <c:y val="3.10438456431554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E706-4402-8EF3-B9E6559F6DE9}"/>
                </c:ext>
              </c:extLst>
            </c:dLbl>
            <c:dLbl>
              <c:idx val="12"/>
              <c:layout>
                <c:manualLayout>
                  <c:x val="7.67754395973259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E706-4402-8EF3-B9E6559F6DE9}"/>
                </c:ext>
              </c:extLst>
            </c:dLbl>
            <c:dLbl>
              <c:idx val="13"/>
              <c:layout>
                <c:manualLayout>
                  <c:x val="8.3461005881526312E-3"/>
                  <c:y val="-2.50391211623357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E706-4402-8EF3-B9E6559F6D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EDAD'!$R$32:$V$32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'ACAD x EDAD'!$R$37:$V$37</c:f>
              <c:numCache>
                <c:formatCode>0.0%</c:formatCode>
                <c:ptCount val="5"/>
                <c:pt idx="0">
                  <c:v>0.33613989637305697</c:v>
                </c:pt>
                <c:pt idx="1">
                  <c:v>0.34474810668422784</c:v>
                </c:pt>
                <c:pt idx="2">
                  <c:v>0.35174029451137884</c:v>
                </c:pt>
                <c:pt idx="3">
                  <c:v>0.35516888433981575</c:v>
                </c:pt>
                <c:pt idx="4">
                  <c:v>0.35674353598881903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E706-4402-8EF3-B9E6559F6DE9}"/>
            </c:ext>
          </c:extLst>
        </c:ser>
        <c:ser>
          <c:idx val="5"/>
          <c:order val="5"/>
          <c:tx>
            <c:strRef>
              <c:f>'ACAD x EDAD'!$A$38</c:f>
              <c:strCache>
                <c:ptCount val="1"/>
                <c:pt idx="0">
                  <c:v>MÁS DE 70 AÑOS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25079702444208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E706-4402-8EF3-B9E6559F6DE9}"/>
                </c:ext>
              </c:extLst>
            </c:dLbl>
            <c:dLbl>
              <c:idx val="1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E706-4402-8EF3-B9E6559F6DE9}"/>
                </c:ext>
              </c:extLst>
            </c:dLbl>
            <c:dLbl>
              <c:idx val="2"/>
              <c:layout>
                <c:manualLayout>
                  <c:x val="7.084661707403523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E706-4402-8EF3-B9E6559F6DE9}"/>
                </c:ext>
              </c:extLst>
            </c:dLbl>
            <c:dLbl>
              <c:idx val="3"/>
              <c:layout>
                <c:manualLayout>
                  <c:x val="1.6064259568076816E-2"/>
                  <c:y val="-7.3664846410245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E706-4402-8EF3-B9E6559F6DE9}"/>
                </c:ext>
              </c:extLst>
            </c:dLbl>
            <c:dLbl>
              <c:idx val="5"/>
              <c:layout>
                <c:manualLayout>
                  <c:x val="7.08466170740347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E706-4402-8EF3-B9E6559F6DE9}"/>
                </c:ext>
              </c:extLst>
            </c:dLbl>
            <c:dLbl>
              <c:idx val="6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E706-4402-8EF3-B9E6559F6DE9}"/>
                </c:ext>
              </c:extLst>
            </c:dLbl>
            <c:dLbl>
              <c:idx val="7"/>
              <c:layout>
                <c:manualLayout>
                  <c:x val="7.0846617074034716E-3"/>
                  <c:y val="-9.31315369294655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E706-4402-8EF3-B9E6559F6DE9}"/>
                </c:ext>
              </c:extLst>
            </c:dLbl>
            <c:dLbl>
              <c:idx val="8"/>
              <c:layout>
                <c:manualLayout>
                  <c:x val="9.9185263903648607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E706-4402-8EF3-B9E6559F6DE9}"/>
                </c:ext>
              </c:extLst>
            </c:dLbl>
            <c:dLbl>
              <c:idx val="9"/>
              <c:layout>
                <c:manualLayout>
                  <c:x val="8.501594048884269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E706-4402-8EF3-B9E6559F6DE9}"/>
                </c:ext>
              </c:extLst>
            </c:dLbl>
            <c:dLbl>
              <c:idx val="10"/>
              <c:layout>
                <c:manualLayout>
                  <c:x val="7.105551679457789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E706-4402-8EF3-B9E6559F6DE9}"/>
                </c:ext>
              </c:extLst>
            </c:dLbl>
            <c:dLbl>
              <c:idx val="11"/>
              <c:layout>
                <c:manualLayout>
                  <c:x val="8.43870781975048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E706-4402-8EF3-B9E6559F6DE9}"/>
                </c:ext>
              </c:extLst>
            </c:dLbl>
            <c:dLbl>
              <c:idx val="12"/>
              <c:layout>
                <c:manualLayout>
                  <c:x val="5.1183626398217281E-3"/>
                  <c:y val="-7.51173634870071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E706-4402-8EF3-B9E6559F6DE9}"/>
                </c:ext>
              </c:extLst>
            </c:dLbl>
            <c:dLbl>
              <c:idx val="13"/>
              <c:layout>
                <c:manualLayout>
                  <c:x val="6.6533606438944314E-3"/>
                  <c:y val="-2.295226258564509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E706-4402-8EF3-B9E6559F6D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EDAD'!$R$32:$V$32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'ACAD x EDAD'!$R$38:$V$38</c:f>
              <c:numCache>
                <c:formatCode>0.0%</c:formatCode>
                <c:ptCount val="5"/>
                <c:pt idx="0">
                  <c:v>0.12240932642487047</c:v>
                </c:pt>
                <c:pt idx="1">
                  <c:v>0.13203819558775107</c:v>
                </c:pt>
                <c:pt idx="2">
                  <c:v>0.15060240963855423</c:v>
                </c:pt>
                <c:pt idx="3">
                  <c:v>0.17229614466052542</c:v>
                </c:pt>
                <c:pt idx="4">
                  <c:v>0.19217330538085256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7-E706-4402-8EF3-B9E6559F6D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9"/>
        <c:shape val="cylinder"/>
        <c:axId val="143017856"/>
        <c:axId val="143019392"/>
        <c:axId val="0"/>
      </c:bar3DChart>
      <c:catAx>
        <c:axId val="143017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0"/>
            </a:pPr>
            <a:endParaRPr lang="es-MX"/>
          </a:p>
        </c:txPr>
        <c:crossAx val="143019392"/>
        <c:crosses val="autoZero"/>
        <c:auto val="1"/>
        <c:lblAlgn val="ctr"/>
        <c:lblOffset val="100"/>
        <c:noMultiLvlLbl val="0"/>
      </c:catAx>
      <c:valAx>
        <c:axId val="143019392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430178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9.9695297947522243E-2"/>
          <c:y val="0.90217452895099681"/>
          <c:w val="0.78957073643984654"/>
          <c:h val="9.0404270710199602E-2"/>
        </c:manualLayout>
      </c:layout>
      <c:overlay val="0"/>
      <c:txPr>
        <a:bodyPr/>
        <a:lstStyle/>
        <a:p>
          <a:pPr>
            <a:defRPr sz="11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/>
            </a:pPr>
            <a:r>
              <a:rPr lang="es-MX" sz="1400" b="0"/>
              <a:t>Personal Académico Definitivo por años de </a:t>
            </a:r>
            <a:r>
              <a:rPr lang="es-MX" sz="1400" b="1"/>
              <a:t>antiguedad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1.4829794405123021E-2"/>
          <c:y val="8.0717474538774314E-2"/>
          <c:w val="0.967644084934277"/>
          <c:h val="0.7644298316165208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'ACAD x ANTIG'!$A$25</c:f>
              <c:strCache>
                <c:ptCount val="1"/>
                <c:pt idx="0">
                  <c:v>HASTA 5 AÑOS</c:v>
                </c:pt>
              </c:strCache>
            </c:strRef>
          </c:tx>
          <c:spPr>
            <a:solidFill>
              <a:srgbClr val="FF0000"/>
            </a:solidFill>
            <a:effectLst>
              <a:outerShdw blurRad="76200" dist="12700" dir="8100000" sy="-23000" kx="800400" algn="br" rotWithShape="0">
                <a:schemeClr val="tx1">
                  <a:alpha val="20000"/>
                </a:scheme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9D-42A7-AA10-3C305A02C97F}"/>
                </c:ext>
              </c:extLst>
            </c:dLbl>
            <c:dLbl>
              <c:idx val="1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9D-42A7-AA10-3C305A02C97F}"/>
                </c:ext>
              </c:extLst>
            </c:dLbl>
            <c:dLbl>
              <c:idx val="2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9D-42A7-AA10-3C305A02C97F}"/>
                </c:ext>
              </c:extLst>
            </c:dLbl>
            <c:dLbl>
              <c:idx val="3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9D-42A7-AA10-3C305A02C97F}"/>
                </c:ext>
              </c:extLst>
            </c:dLbl>
            <c:dLbl>
              <c:idx val="4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9D-42A7-AA10-3C305A02C97F}"/>
                </c:ext>
              </c:extLst>
            </c:dLbl>
            <c:dLbl>
              <c:idx val="5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9D-42A7-AA10-3C305A02C97F}"/>
                </c:ext>
              </c:extLst>
            </c:dLbl>
            <c:dLbl>
              <c:idx val="6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9D-42A7-AA10-3C305A02C97F}"/>
                </c:ext>
              </c:extLst>
            </c:dLbl>
            <c:dLbl>
              <c:idx val="7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9D-42A7-AA10-3C305A02C97F}"/>
                </c:ext>
              </c:extLst>
            </c:dLbl>
            <c:dLbl>
              <c:idx val="8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9D-42A7-AA10-3C305A02C97F}"/>
                </c:ext>
              </c:extLst>
            </c:dLbl>
            <c:dLbl>
              <c:idx val="9"/>
              <c:layout>
                <c:manualLayout>
                  <c:x val="5.979073243647234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9D-42A7-AA10-3C305A02C97F}"/>
                </c:ext>
              </c:extLst>
            </c:dLbl>
            <c:dLbl>
              <c:idx val="10"/>
              <c:layout>
                <c:manualLayout>
                  <c:x val="7.47384155455904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9D-42A7-AA10-3C305A02C97F}"/>
                </c:ext>
              </c:extLst>
            </c:dLbl>
            <c:dLbl>
              <c:idx val="11"/>
              <c:layout>
                <c:manualLayout>
                  <c:x val="8.31600831600831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9D-42A7-AA10-3C305A02C97F}"/>
                </c:ext>
              </c:extLst>
            </c:dLbl>
            <c:dLbl>
              <c:idx val="12"/>
              <c:layout>
                <c:manualLayout>
                  <c:x val="5.91016548463356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9D-42A7-AA10-3C305A02C97F}"/>
                </c:ext>
              </c:extLst>
            </c:dLbl>
            <c:dLbl>
              <c:idx val="13"/>
              <c:layout>
                <c:manualLayout>
                  <c:x val="5.392652510953825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29D-42A7-AA10-3C305A02C97F}"/>
                </c:ext>
              </c:extLst>
            </c:dLbl>
            <c:dLbl>
              <c:idx val="14"/>
              <c:layout>
                <c:manualLayout>
                  <c:x val="6.74081563869228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29D-42A7-AA10-3C305A02C97F}"/>
                </c:ext>
              </c:extLst>
            </c:dLbl>
            <c:dLbl>
              <c:idx val="15"/>
              <c:layout>
                <c:manualLayout>
                  <c:x val="3.92285060477280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29D-42A7-AA10-3C305A02C97F}"/>
                </c:ext>
              </c:extLst>
            </c:dLbl>
            <c:dLbl>
              <c:idx val="16"/>
              <c:layout>
                <c:manualLayout>
                  <c:x val="3.9228506047728016E-3"/>
                  <c:y val="2.2421520705215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29D-42A7-AA10-3C305A02C97F}"/>
                </c:ext>
              </c:extLst>
            </c:dLbl>
            <c:dLbl>
              <c:idx val="17"/>
              <c:layout>
                <c:manualLayout>
                  <c:x val="2.5396825396825397E-3"/>
                  <c:y val="-1.6994779329890881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29D-42A7-AA10-3C305A02C97F}"/>
                </c:ext>
              </c:extLst>
            </c:dLbl>
            <c:dLbl>
              <c:idx val="18"/>
              <c:layout>
                <c:manualLayout>
                  <c:x val="3.704847175053848E-3"/>
                  <c:y val="-9.386557286298261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CE0-405A-ABBC-F35DEE1E0C49}"/>
                </c:ext>
              </c:extLst>
            </c:dLbl>
            <c:dLbl>
              <c:idx val="19"/>
              <c:layout>
                <c:manualLayout>
                  <c:x val="3.73540837719742E-3"/>
                  <c:y val="-9.611072895176298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D6-418B-9BA9-78BEF65501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8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('ACAD x ANTIG'!$C$24:$R$24,'ACAD x ANTIG'!$S$24,'ACAD x ANTIG'!$T$24,'ACAD x ANTIG'!$U$24,'ACAD x ANTIG'!$V$24)</c:f>
              <c:numCache>
                <c:formatCode>General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('ACAD x ANTIG'!$C$25:$M$25,'ACAD x ANTIG'!$N$25,'ACAD x ANTIG'!$O$25,'ACAD x ANTIG'!$P$25,'ACAD x ANTIG'!$Q$25,'ACAD x ANTIG'!$R$25,'ACAD x ANTIG'!$S$25,'ACAD x ANTIG'!$T$25,'ACAD x ANTIG'!$U$25,'ACAD x ANTIG'!$V$25)</c:f>
              <c:numCache>
                <c:formatCode>0.0%</c:formatCode>
                <c:ptCount val="20"/>
                <c:pt idx="0">
                  <c:v>5.3641207815275309E-2</c:v>
                </c:pt>
                <c:pt idx="1">
                  <c:v>4.1533546325878593E-2</c:v>
                </c:pt>
                <c:pt idx="2">
                  <c:v>4.1710480196284615E-2</c:v>
                </c:pt>
                <c:pt idx="3">
                  <c:v>4.5724258289703314E-2</c:v>
                </c:pt>
                <c:pt idx="4">
                  <c:v>5.6557945870922971E-2</c:v>
                </c:pt>
                <c:pt idx="5">
                  <c:v>6.3969571230982014E-2</c:v>
                </c:pt>
                <c:pt idx="6">
                  <c:v>6.870491240123669E-2</c:v>
                </c:pt>
                <c:pt idx="7">
                  <c:v>8.0459770114942528E-2</c:v>
                </c:pt>
                <c:pt idx="8">
                  <c:v>8.1557922769640481E-2</c:v>
                </c:pt>
                <c:pt idx="9">
                  <c:v>7.8321216126900198E-2</c:v>
                </c:pt>
                <c:pt idx="10">
                  <c:v>8.4723585214262348E-2</c:v>
                </c:pt>
                <c:pt idx="11">
                  <c:v>8.7387964148527522E-2</c:v>
                </c:pt>
                <c:pt idx="12">
                  <c:v>7.5728155339805828E-2</c:v>
                </c:pt>
                <c:pt idx="13">
                  <c:v>6.9235793598954931E-2</c:v>
                </c:pt>
                <c:pt idx="14">
                  <c:v>6.0221354166666664E-2</c:v>
                </c:pt>
                <c:pt idx="15">
                  <c:v>6.1204663212435235E-2</c:v>
                </c:pt>
                <c:pt idx="16">
                  <c:v>5.3671386236417519E-2</c:v>
                </c:pt>
                <c:pt idx="17">
                  <c:v>4.2838018741633198E-2</c:v>
                </c:pt>
                <c:pt idx="18">
                  <c:v>2.8659160696008188E-2</c:v>
                </c:pt>
                <c:pt idx="19">
                  <c:v>2.6205450733752619E-2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29D-42A7-AA10-3C305A02C97F}"/>
            </c:ext>
          </c:extLst>
        </c:ser>
        <c:ser>
          <c:idx val="1"/>
          <c:order val="1"/>
          <c:tx>
            <c:strRef>
              <c:f>'ACAD x ANTIG'!$A$26</c:f>
              <c:strCache>
                <c:ptCount val="1"/>
                <c:pt idx="0">
                  <c:v>6 - 10 AÑOS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709582926848103E-3"/>
                  <c:y val="1.6442258574783602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29D-42A7-AA10-3C305A02C97F}"/>
                </c:ext>
              </c:extLst>
            </c:dLbl>
            <c:dLbl>
              <c:idx val="1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29D-42A7-AA10-3C305A02C97F}"/>
                </c:ext>
              </c:extLst>
            </c:dLbl>
            <c:dLbl>
              <c:idx val="2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29D-42A7-AA10-3C305A02C97F}"/>
                </c:ext>
              </c:extLst>
            </c:dLbl>
            <c:dLbl>
              <c:idx val="3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29D-42A7-AA10-3C305A02C97F}"/>
                </c:ext>
              </c:extLst>
            </c:dLbl>
            <c:dLbl>
              <c:idx val="4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29D-42A7-AA10-3C305A02C97F}"/>
                </c:ext>
              </c:extLst>
            </c:dLbl>
            <c:dLbl>
              <c:idx val="5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29D-42A7-AA10-3C305A02C97F}"/>
                </c:ext>
              </c:extLst>
            </c:dLbl>
            <c:dLbl>
              <c:idx val="6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29D-42A7-AA10-3C305A02C97F}"/>
                </c:ext>
              </c:extLst>
            </c:dLbl>
            <c:dLbl>
              <c:idx val="7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29D-42A7-AA10-3C305A02C97F}"/>
                </c:ext>
              </c:extLst>
            </c:dLbl>
            <c:dLbl>
              <c:idx val="8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29D-42A7-AA10-3C305A02C97F}"/>
                </c:ext>
              </c:extLst>
            </c:dLbl>
            <c:dLbl>
              <c:idx val="9"/>
              <c:layout>
                <c:manualLayout>
                  <c:x val="7.47384155455904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29D-42A7-AA10-3C305A02C97F}"/>
                </c:ext>
              </c:extLst>
            </c:dLbl>
            <c:dLbl>
              <c:idx val="10"/>
              <c:layout>
                <c:manualLayout>
                  <c:x val="7.473841554559042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29D-42A7-AA10-3C305A02C97F}"/>
                </c:ext>
              </c:extLst>
            </c:dLbl>
            <c:dLbl>
              <c:idx val="11"/>
              <c:layout>
                <c:manualLayout>
                  <c:x val="8.3160083160083165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29D-42A7-AA10-3C305A02C97F}"/>
                </c:ext>
              </c:extLst>
            </c:dLbl>
            <c:dLbl>
              <c:idx val="12"/>
              <c:layout>
                <c:manualLayout>
                  <c:x val="9.45626477541371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29D-42A7-AA10-3C305A02C97F}"/>
                </c:ext>
              </c:extLst>
            </c:dLbl>
            <c:dLbl>
              <c:idx val="13"/>
              <c:layout>
                <c:manualLayout>
                  <c:x val="5.3926525109538256E-3"/>
                  <c:y val="-1.6442258574783602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29D-42A7-AA10-3C305A02C97F}"/>
                </c:ext>
              </c:extLst>
            </c:dLbl>
            <c:dLbl>
              <c:idx val="14"/>
              <c:layout>
                <c:manualLayout>
                  <c:x val="6.74081563869228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29D-42A7-AA10-3C305A02C97F}"/>
                </c:ext>
              </c:extLst>
            </c:dLbl>
            <c:dLbl>
              <c:idx val="15"/>
              <c:layout>
                <c:manualLayout>
                  <c:x val="3.92285060477280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29D-42A7-AA10-3C305A02C97F}"/>
                </c:ext>
              </c:extLst>
            </c:dLbl>
            <c:dLbl>
              <c:idx val="16"/>
              <c:layout>
                <c:manualLayout>
                  <c:x val="5.23046747303040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29D-42A7-AA10-3C305A02C97F}"/>
                </c:ext>
              </c:extLst>
            </c:dLbl>
            <c:dLbl>
              <c:idx val="17"/>
              <c:layout>
                <c:manualLayout>
                  <c:x val="5.079365079365079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29D-42A7-AA10-3C305A02C97F}"/>
                </c:ext>
              </c:extLst>
            </c:dLbl>
            <c:dLbl>
              <c:idx val="18"/>
              <c:layout>
                <c:manualLayout>
                  <c:x val="6.174745291756714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E0-405A-ABBC-F35DEE1E0C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('ACAD x ANTIG'!$C$24:$R$24,'ACAD x ANTIG'!$S$24,'ACAD x ANTIG'!$T$24,'ACAD x ANTIG'!$U$24,'ACAD x ANTIG'!$V$24)</c:f>
              <c:numCache>
                <c:formatCode>General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('ACAD x ANTIG'!$C$26:$M$26,'ACAD x ANTIG'!$N$26,'ACAD x ANTIG'!$O$26,'ACAD x ANTIG'!$P$26,'ACAD x ANTIG'!$Q$26,'ACAD x ANTIG'!$R$26,'ACAD x ANTIG'!$S$26,'ACAD x ANTIG'!$T$26,'ACAD x ANTIG'!$U$26,'ACAD x ANTIG'!$V$26)</c:f>
              <c:numCache>
                <c:formatCode>0.0%</c:formatCode>
                <c:ptCount val="20"/>
                <c:pt idx="0">
                  <c:v>0.10124333925399645</c:v>
                </c:pt>
                <c:pt idx="1">
                  <c:v>0.10046148384806532</c:v>
                </c:pt>
                <c:pt idx="2">
                  <c:v>9.0431125131440596E-2</c:v>
                </c:pt>
                <c:pt idx="3">
                  <c:v>8.0279232111692841E-2</c:v>
                </c:pt>
                <c:pt idx="4">
                  <c:v>7.7376821651630817E-2</c:v>
                </c:pt>
                <c:pt idx="5">
                  <c:v>7.1576763485477174E-2</c:v>
                </c:pt>
                <c:pt idx="6">
                  <c:v>6.6300240467193405E-2</c:v>
                </c:pt>
                <c:pt idx="7">
                  <c:v>6.4232589587559161E-2</c:v>
                </c:pt>
                <c:pt idx="8">
                  <c:v>6.6910785619174434E-2</c:v>
                </c:pt>
                <c:pt idx="9">
                  <c:v>7.7329808327825517E-2</c:v>
                </c:pt>
                <c:pt idx="10">
                  <c:v>8.4069349035001642E-2</c:v>
                </c:pt>
                <c:pt idx="11">
                  <c:v>9.4750320102432783E-2</c:v>
                </c:pt>
                <c:pt idx="12">
                  <c:v>0.10097087378640776</c:v>
                </c:pt>
                <c:pt idx="13">
                  <c:v>0.10418027433050293</c:v>
                </c:pt>
                <c:pt idx="14">
                  <c:v>0.11360677083333333</c:v>
                </c:pt>
                <c:pt idx="15">
                  <c:v>0.11107512953367876</c:v>
                </c:pt>
                <c:pt idx="16">
                  <c:v>0.10898913401382944</c:v>
                </c:pt>
                <c:pt idx="17">
                  <c:v>0.10843373493975904</c:v>
                </c:pt>
                <c:pt idx="18">
                  <c:v>0.10133060388945753</c:v>
                </c:pt>
                <c:pt idx="19">
                  <c:v>8.2459818308874916E-2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129D-42A7-AA10-3C305A02C97F}"/>
            </c:ext>
          </c:extLst>
        </c:ser>
        <c:ser>
          <c:idx val="2"/>
          <c:order val="2"/>
          <c:tx>
            <c:strRef>
              <c:f>'ACAD x ANTIG'!$A$27</c:f>
              <c:strCache>
                <c:ptCount val="1"/>
                <c:pt idx="0">
                  <c:v>11 - 15 AÑOS</c:v>
                </c:pt>
              </c:strCache>
            </c:strRef>
          </c:tx>
          <c:spPr>
            <a:solidFill>
              <a:schemeClr val="tx1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3.4019660585904964E-3"/>
                  <c:y val="8.221129287391800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29D-42A7-AA10-3C305A02C97F}"/>
                </c:ext>
              </c:extLst>
            </c:dLbl>
            <c:dLbl>
              <c:idx val="1"/>
              <c:layout>
                <c:manualLayout>
                  <c:x val="6.436049040780657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29D-42A7-AA10-3C305A02C97F}"/>
                </c:ext>
              </c:extLst>
            </c:dLbl>
            <c:dLbl>
              <c:idx val="2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29D-42A7-AA10-3C305A02C97F}"/>
                </c:ext>
              </c:extLst>
            </c:dLbl>
            <c:dLbl>
              <c:idx val="3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29D-42A7-AA10-3C305A02C97F}"/>
                </c:ext>
              </c:extLst>
            </c:dLbl>
            <c:dLbl>
              <c:idx val="4"/>
              <c:layout>
                <c:manualLayout>
                  <c:x val="3.6518764103372118E-3"/>
                  <c:y val="-3.25590035190564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29D-42A7-AA10-3C305A02C97F}"/>
                </c:ext>
              </c:extLst>
            </c:dLbl>
            <c:dLbl>
              <c:idx val="5"/>
              <c:layout>
                <c:manualLayout>
                  <c:x val="3.6518764103372118E-3"/>
                  <c:y val="2.62123197903004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29D-42A7-AA10-3C305A02C97F}"/>
                </c:ext>
              </c:extLst>
            </c:dLbl>
            <c:dLbl>
              <c:idx val="6"/>
              <c:layout>
                <c:manualLayout>
                  <c:x val="1.0358859720647927E-2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29D-42A7-AA10-3C305A02C97F}"/>
                </c:ext>
              </c:extLst>
            </c:dLbl>
            <c:dLbl>
              <c:idx val="7"/>
              <c:layout>
                <c:manualLayout>
                  <c:x val="6.6234378933943865E-3"/>
                  <c:y val="-3.25590035190555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29D-42A7-AA10-3C305A02C97F}"/>
                </c:ext>
              </c:extLst>
            </c:dLbl>
            <c:dLbl>
              <c:idx val="8"/>
              <c:layout>
                <c:manualLayout>
                  <c:x val="5.859689041468628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29D-42A7-AA10-3C305A02C97F}"/>
                </c:ext>
              </c:extLst>
            </c:dLbl>
            <c:dLbl>
              <c:idx val="9"/>
              <c:layout>
                <c:manualLayout>
                  <c:x val="5.2331992900174987E-3"/>
                  <c:y val="-9.611072895176298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29D-42A7-AA10-3C305A02C97F}"/>
                </c:ext>
              </c:extLst>
            </c:dLbl>
            <c:dLbl>
              <c:idx val="10"/>
              <c:layout>
                <c:manualLayout>
                  <c:x val="5.2331992900174077E-3"/>
                  <c:y val="-3.89077512099987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29D-42A7-AA10-3C305A02C97F}"/>
                </c:ext>
              </c:extLst>
            </c:dLbl>
            <c:dLbl>
              <c:idx val="11"/>
              <c:layout>
                <c:manualLayout>
                  <c:x val="4.58063030947604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29D-42A7-AA10-3C305A02C97F}"/>
                </c:ext>
              </c:extLst>
            </c:dLbl>
            <c:dLbl>
              <c:idx val="12"/>
              <c:layout>
                <c:manualLayout>
                  <c:x val="5.7840004517784333E-3"/>
                  <c:y val="-9.611072895176298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129D-42A7-AA10-3C305A02C97F}"/>
                </c:ext>
              </c:extLst>
            </c:dLbl>
            <c:dLbl>
              <c:idx val="13"/>
              <c:layout>
                <c:manualLayout>
                  <c:x val="4.0444893832153692E-3"/>
                  <c:y val="-2.2421520705215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29D-42A7-AA10-3C305A02C97F}"/>
                </c:ext>
              </c:extLst>
            </c:dLbl>
            <c:dLbl>
              <c:idx val="14"/>
              <c:layout>
                <c:manualLayout>
                  <c:x val="4.04448938321536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129D-42A7-AA10-3C305A02C97F}"/>
                </c:ext>
              </c:extLst>
            </c:dLbl>
            <c:dLbl>
              <c:idx val="15"/>
              <c:layout>
                <c:manualLayout>
                  <c:x val="6.5380843412880026E-3"/>
                  <c:y val="-4.48430414104309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29D-42A7-AA10-3C305A02C97F}"/>
                </c:ext>
              </c:extLst>
            </c:dLbl>
            <c:dLbl>
              <c:idx val="16"/>
              <c:layout>
                <c:manualLayout>
                  <c:x val="4.1103218059218155E-3"/>
                  <c:y val="-9.611072895176298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129D-42A7-AA10-3C305A02C97F}"/>
                </c:ext>
              </c:extLst>
            </c:dLbl>
            <c:dLbl>
              <c:idx val="17"/>
              <c:layout>
                <c:manualLayout>
                  <c:x val="6.34920634920634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29D-42A7-AA10-3C305A02C97F}"/>
                </c:ext>
              </c:extLst>
            </c:dLbl>
            <c:dLbl>
              <c:idx val="18"/>
              <c:layout>
                <c:manualLayout>
                  <c:x val="6.19509145769949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E0-405A-ABBC-F35DEE1E0C49}"/>
                </c:ext>
              </c:extLst>
            </c:dLbl>
            <c:dLbl>
              <c:idx val="19"/>
              <c:layout>
                <c:manualLayout>
                  <c:x val="6.225680628662366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D6-418B-9BA9-78BEF65501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('ACAD x ANTIG'!$C$24:$R$24,'ACAD x ANTIG'!$S$24,'ACAD x ANTIG'!$T$24,'ACAD x ANTIG'!$U$24,'ACAD x ANTIG'!$V$24)</c:f>
              <c:numCache>
                <c:formatCode>General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('ACAD x ANTIG'!$C$27:$S$27,'ACAD x ANTIG'!$T$27,'ACAD x ANTIG'!$U$27,'ACAD x ANTIG'!$V$27)</c:f>
              <c:numCache>
                <c:formatCode>0.0%</c:formatCode>
                <c:ptCount val="20"/>
                <c:pt idx="0">
                  <c:v>0.17797513321492006</c:v>
                </c:pt>
                <c:pt idx="1">
                  <c:v>0.15654952076677317</c:v>
                </c:pt>
                <c:pt idx="2">
                  <c:v>0.13739922888187872</c:v>
                </c:pt>
                <c:pt idx="3">
                  <c:v>0.12390924956369982</c:v>
                </c:pt>
                <c:pt idx="4">
                  <c:v>0.11693268563497571</c:v>
                </c:pt>
                <c:pt idx="5">
                  <c:v>0.10926694329183956</c:v>
                </c:pt>
                <c:pt idx="6">
                  <c:v>0.10271384403984885</c:v>
                </c:pt>
                <c:pt idx="7">
                  <c:v>9.1615956727518599E-2</c:v>
                </c:pt>
                <c:pt idx="8">
                  <c:v>8.2556591211717711E-2</c:v>
                </c:pt>
                <c:pt idx="9">
                  <c:v>7.9312623925974879E-2</c:v>
                </c:pt>
                <c:pt idx="10">
                  <c:v>7.098462544978737E-2</c:v>
                </c:pt>
                <c:pt idx="11">
                  <c:v>6.5941101152368758E-2</c:v>
                </c:pt>
                <c:pt idx="12">
                  <c:v>6.4724919093851127E-2</c:v>
                </c:pt>
                <c:pt idx="13">
                  <c:v>6.7929457870672769E-2</c:v>
                </c:pt>
                <c:pt idx="14">
                  <c:v>8.0078125E-2</c:v>
                </c:pt>
                <c:pt idx="15">
                  <c:v>8.9054404145077717E-2</c:v>
                </c:pt>
                <c:pt idx="16">
                  <c:v>9.8123147843266381E-2</c:v>
                </c:pt>
                <c:pt idx="17">
                  <c:v>0.10977242302543508</c:v>
                </c:pt>
                <c:pt idx="18">
                  <c:v>0.1163425452064142</c:v>
                </c:pt>
                <c:pt idx="19">
                  <c:v>0.12578616352201258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8-129D-42A7-AA10-3C305A02C97F}"/>
            </c:ext>
          </c:extLst>
        </c:ser>
        <c:ser>
          <c:idx val="3"/>
          <c:order val="3"/>
          <c:tx>
            <c:strRef>
              <c:f>'ACAD x ANTIG'!$A$28</c:f>
              <c:strCache>
                <c:ptCount val="1"/>
                <c:pt idx="0">
                  <c:v>16 - 20 AÑOS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2.98301385095741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29D-42A7-AA10-3C305A02C97F}"/>
                </c:ext>
              </c:extLst>
            </c:dLbl>
            <c:dLbl>
              <c:idx val="1"/>
              <c:layout>
                <c:manualLayout>
                  <c:x val="4.70958292684810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129D-42A7-AA10-3C305A02C97F}"/>
                </c:ext>
              </c:extLst>
            </c:dLbl>
            <c:dLbl>
              <c:idx val="2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29D-42A7-AA10-3C305A02C97F}"/>
                </c:ext>
              </c:extLst>
            </c:dLbl>
            <c:dLbl>
              <c:idx val="3"/>
              <c:layout>
                <c:manualLayout>
                  <c:x val="4.9275439829051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129D-42A7-AA10-3C305A02C97F}"/>
                </c:ext>
              </c:extLst>
            </c:dLbl>
            <c:dLbl>
              <c:idx val="4"/>
              <c:layout>
                <c:manualLayout>
                  <c:x val="3.4406458686335093E-3"/>
                  <c:y val="-7.6799992259529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29D-42A7-AA10-3C305A02C97F}"/>
                </c:ext>
              </c:extLst>
            </c:dLbl>
            <c:dLbl>
              <c:idx val="5"/>
              <c:layout>
                <c:manualLayout>
                  <c:x val="4.9275439829051483E-3"/>
                  <c:y val="-6.960377251237568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129D-42A7-AA10-3C305A02C97F}"/>
                </c:ext>
              </c:extLst>
            </c:dLbl>
            <c:dLbl>
              <c:idx val="6"/>
              <c:layout>
                <c:manualLayout>
                  <c:x val="4.927543982905148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29D-42A7-AA10-3C305A02C97F}"/>
                </c:ext>
              </c:extLst>
            </c:dLbl>
            <c:dLbl>
              <c:idx val="7"/>
              <c:layout>
                <c:manualLayout>
                  <c:x val="4.927543982905238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129D-42A7-AA10-3C305A02C97F}"/>
                </c:ext>
              </c:extLst>
            </c:dLbl>
            <c:dLbl>
              <c:idx val="8"/>
              <c:layout>
                <c:manualLayout>
                  <c:x val="3.6925949245538501E-3"/>
                  <c:y val="-3.25603746710812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129D-42A7-AA10-3C305A02C97F}"/>
                </c:ext>
              </c:extLst>
            </c:dLbl>
            <c:dLbl>
              <c:idx val="9"/>
              <c:layout>
                <c:manualLayout>
                  <c:x val="5.0039746884063081E-3"/>
                  <c:y val="-6.960377251237568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129D-42A7-AA10-3C305A02C97F}"/>
                </c:ext>
              </c:extLst>
            </c:dLbl>
            <c:dLbl>
              <c:idx val="10"/>
              <c:layout>
                <c:manualLayout>
                  <c:x val="5.003974688406308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129D-42A7-AA10-3C305A02C97F}"/>
                </c:ext>
              </c:extLst>
            </c:dLbl>
            <c:dLbl>
              <c:idx val="11"/>
              <c:layout>
                <c:manualLayout>
                  <c:x val="5.5440055440055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129D-42A7-AA10-3C305A02C97F}"/>
                </c:ext>
              </c:extLst>
            </c:dLbl>
            <c:dLbl>
              <c:idx val="12"/>
              <c:layout>
                <c:manualLayout>
                  <c:x val="7.0921985815602835E-3"/>
                  <c:y val="-2.2421520705215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129D-42A7-AA10-3C305A02C97F}"/>
                </c:ext>
              </c:extLst>
            </c:dLbl>
            <c:dLbl>
              <c:idx val="13"/>
              <c:layout>
                <c:manualLayout>
                  <c:x val="6.74081563869228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129D-42A7-AA10-3C305A02C97F}"/>
                </c:ext>
              </c:extLst>
            </c:dLbl>
            <c:dLbl>
              <c:idx val="14"/>
              <c:layout>
                <c:manualLayout>
                  <c:x val="6.740815638692282E-3"/>
                  <c:y val="-8.221129287391800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129D-42A7-AA10-3C305A02C97F}"/>
                </c:ext>
              </c:extLst>
            </c:dLbl>
            <c:dLbl>
              <c:idx val="15"/>
              <c:layout>
                <c:manualLayout>
                  <c:x val="6.5380843412880026E-3"/>
                  <c:y val="-2.2421520705215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129D-42A7-AA10-3C305A02C97F}"/>
                </c:ext>
              </c:extLst>
            </c:dLbl>
            <c:dLbl>
              <c:idx val="16"/>
              <c:layout>
                <c:manualLayout>
                  <c:x val="7.8457012095456032E-3"/>
                  <c:y val="-8.221129287391800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129D-42A7-AA10-3C305A02C97F}"/>
                </c:ext>
              </c:extLst>
            </c:dLbl>
            <c:dLbl>
              <c:idx val="17"/>
              <c:layout>
                <c:manualLayout>
                  <c:x val="6.34920634920634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129D-42A7-AA10-3C305A02C97F}"/>
                </c:ext>
              </c:extLst>
            </c:dLbl>
            <c:dLbl>
              <c:idx val="18"/>
              <c:layout>
                <c:manualLayout>
                  <c:x val="3.674328077486291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E0-405A-ABBC-F35DEE1E0C49}"/>
                </c:ext>
              </c:extLst>
            </c:dLbl>
            <c:dLbl>
              <c:idx val="19"/>
              <c:layout>
                <c:manualLayout>
                  <c:x val="3.735408377197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2D6-418B-9BA9-78BEF65501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('ACAD x ANTIG'!$C$24:$R$24,'ACAD x ANTIG'!$S$24,'ACAD x ANTIG'!$T$24,'ACAD x ANTIG'!$U$24,'ACAD x ANTIG'!$V$24)</c:f>
              <c:numCache>
                <c:formatCode>General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('ACAD x ANTIG'!$C$28:$M$28,'ACAD x ANTIG'!$N$28,'ACAD x ANTIG'!$O$28,'ACAD x ANTIG'!$P$28,'ACAD x ANTIG'!$Q$28,'ACAD x ANTIG'!$R$28,'ACAD x ANTIG'!$S$28,'ACAD x ANTIG'!$T$28,'ACAD x ANTIG'!$U$28,'ACAD x ANTIG'!$V$28)</c:f>
              <c:numCache>
                <c:formatCode>0.0%</c:formatCode>
                <c:ptCount val="20"/>
                <c:pt idx="0">
                  <c:v>0.21740674955595027</c:v>
                </c:pt>
                <c:pt idx="1">
                  <c:v>0.21547745828895989</c:v>
                </c:pt>
                <c:pt idx="2">
                  <c:v>0.20820189274447951</c:v>
                </c:pt>
                <c:pt idx="3">
                  <c:v>0.19930191972076788</c:v>
                </c:pt>
                <c:pt idx="4">
                  <c:v>0.19049271339347676</c:v>
                </c:pt>
                <c:pt idx="5">
                  <c:v>0.17116182572614108</c:v>
                </c:pt>
                <c:pt idx="6">
                  <c:v>0.1556166265888011</c:v>
                </c:pt>
                <c:pt idx="7">
                  <c:v>0.13590263691683571</c:v>
                </c:pt>
                <c:pt idx="8">
                  <c:v>0.12083888149134488</c:v>
                </c:pt>
                <c:pt idx="9">
                  <c:v>0.10806345009914078</c:v>
                </c:pt>
                <c:pt idx="10">
                  <c:v>0.10075237160614982</c:v>
                </c:pt>
                <c:pt idx="11">
                  <c:v>9.2829705505761848E-2</c:v>
                </c:pt>
                <c:pt idx="12">
                  <c:v>8.8025889967637536E-2</c:v>
                </c:pt>
                <c:pt idx="13">
                  <c:v>7.8706727629000647E-2</c:v>
                </c:pt>
                <c:pt idx="14">
                  <c:v>7.6822916666666671E-2</c:v>
                </c:pt>
                <c:pt idx="15">
                  <c:v>6.8976683937823829E-2</c:v>
                </c:pt>
                <c:pt idx="16">
                  <c:v>6.6842278564372734E-2</c:v>
                </c:pt>
                <c:pt idx="17">
                  <c:v>6.659973226238286E-2</c:v>
                </c:pt>
                <c:pt idx="18">
                  <c:v>7.1306721255544186E-2</c:v>
                </c:pt>
                <c:pt idx="19">
                  <c:v>8.1411600279524807E-2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B-129D-42A7-AA10-3C305A02C97F}"/>
            </c:ext>
          </c:extLst>
        </c:ser>
        <c:ser>
          <c:idx val="4"/>
          <c:order val="4"/>
          <c:tx>
            <c:strRef>
              <c:f>'ACAD x ANTIG'!$A$29</c:f>
              <c:strCache>
                <c:ptCount val="1"/>
                <c:pt idx="0">
                  <c:v>21 - 25 AÑOS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709582926848103E-3"/>
                  <c:y val="-4.110564643695900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129D-42A7-AA10-3C305A02C97F}"/>
                </c:ext>
              </c:extLst>
            </c:dLbl>
            <c:dLbl>
              <c:idx val="1"/>
              <c:layout>
                <c:manualLayout>
                  <c:x val="6.017199795105703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129D-42A7-AA10-3C305A02C97F}"/>
                </c:ext>
              </c:extLst>
            </c:dLbl>
            <c:dLbl>
              <c:idx val="2"/>
              <c:layout>
                <c:manualLayout>
                  <c:x val="5.179429860323963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129D-42A7-AA10-3C305A02C97F}"/>
                </c:ext>
              </c:extLst>
            </c:dLbl>
            <c:dLbl>
              <c:idx val="3"/>
              <c:layout>
                <c:manualLayout>
                  <c:x val="4.290630719215018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129D-42A7-AA10-3C305A02C97F}"/>
                </c:ext>
              </c:extLst>
            </c:dLbl>
            <c:dLbl>
              <c:idx val="4"/>
              <c:layout>
                <c:manualLayout>
                  <c:x val="2.98301385095741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129D-42A7-AA10-3C305A02C97F}"/>
                </c:ext>
              </c:extLst>
            </c:dLbl>
            <c:dLbl>
              <c:idx val="5"/>
              <c:layout>
                <c:manualLayout>
                  <c:x val="4.7095829268480553E-3"/>
                  <c:y val="-3.25606382965576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129D-42A7-AA10-3C305A02C97F}"/>
                </c:ext>
              </c:extLst>
            </c:dLbl>
            <c:dLbl>
              <c:idx val="6"/>
              <c:layout>
                <c:manualLayout>
                  <c:x val="6.436049040780657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129D-42A7-AA10-3C305A02C97F}"/>
                </c:ext>
              </c:extLst>
            </c:dLbl>
            <c:dLbl>
              <c:idx val="7"/>
              <c:layout>
                <c:manualLayout>
                  <c:x val="4.709582926848103E-3"/>
                  <c:y val="-8.221129287391800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129D-42A7-AA10-3C305A02C97F}"/>
                </c:ext>
              </c:extLst>
            </c:dLbl>
            <c:dLbl>
              <c:idx val="8"/>
              <c:layout>
                <c:manualLayout>
                  <c:x val="5.1284321725230571E-3"/>
                  <c:y val="-3.25606382965576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129D-42A7-AA10-3C305A02C97F}"/>
                </c:ext>
              </c:extLst>
            </c:dLbl>
            <c:dLbl>
              <c:idx val="9"/>
              <c:layout>
                <c:manualLayout>
                  <c:x val="5.0457537201442498E-3"/>
                  <c:y val="-8.221129287391800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129D-42A7-AA10-3C305A02C97F}"/>
                </c:ext>
              </c:extLst>
            </c:dLbl>
            <c:dLbl>
              <c:idx val="10"/>
              <c:layout>
                <c:manualLayout>
                  <c:x val="3.5509520120052683E-3"/>
                  <c:y val="-3.25606382965576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129D-42A7-AA10-3C305A02C97F}"/>
                </c:ext>
              </c:extLst>
            </c:dLbl>
            <c:dLbl>
              <c:idx val="11"/>
              <c:layout>
                <c:manualLayout>
                  <c:x val="5.700797697770616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129D-42A7-AA10-3C305A02C97F}"/>
                </c:ext>
              </c:extLst>
            </c:dLbl>
            <c:dLbl>
              <c:idx val="12"/>
              <c:layout>
                <c:manualLayout>
                  <c:x val="4.476991863431258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129D-42A7-AA10-3C305A02C97F}"/>
                </c:ext>
              </c:extLst>
            </c:dLbl>
            <c:dLbl>
              <c:idx val="13"/>
              <c:layout>
                <c:manualLayout>
                  <c:x val="6.74081563869228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129D-42A7-AA10-3C305A02C97F}"/>
                </c:ext>
              </c:extLst>
            </c:dLbl>
            <c:dLbl>
              <c:idx val="14"/>
              <c:layout>
                <c:manualLayout>
                  <c:x val="6.740815638692282E-3"/>
                  <c:y val="-6.72645621156460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129D-42A7-AA10-3C305A02C97F}"/>
                </c:ext>
              </c:extLst>
            </c:dLbl>
            <c:dLbl>
              <c:idx val="15"/>
              <c:layout>
                <c:manualLayout>
                  <c:x val="6.5380843412880026E-3"/>
                  <c:y val="-8.221129287391800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129D-42A7-AA10-3C305A02C97F}"/>
                </c:ext>
              </c:extLst>
            </c:dLbl>
            <c:dLbl>
              <c:idx val="16"/>
              <c:layout>
                <c:manualLayout>
                  <c:x val="5.2304674730304021E-3"/>
                  <c:y val="-6.72645621156452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129D-42A7-AA10-3C305A02C97F}"/>
                </c:ext>
              </c:extLst>
            </c:dLbl>
            <c:dLbl>
              <c:idx val="17"/>
              <c:layout>
                <c:manualLayout>
                  <c:x val="7.61904761904761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129D-42A7-AA10-3C305A02C97F}"/>
                </c:ext>
              </c:extLst>
            </c:dLbl>
            <c:dLbl>
              <c:idx val="18"/>
              <c:layout>
                <c:manualLayout>
                  <c:x val="7.4096943501080577E-3"/>
                  <c:y val="-9.386557286298261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E0-405A-ABBC-F35DEE1E0C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('ACAD x ANTIG'!$C$24:$R$24,'ACAD x ANTIG'!$S$24,'ACAD x ANTIG'!$T$24,'ACAD x ANTIG'!$U$24,'ACAD x ANTIG'!$V$24)</c:f>
              <c:numCache>
                <c:formatCode>General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('ACAD x ANTIG'!$C$29:$M$29,'ACAD x ANTIG'!$N$29,'ACAD x ANTIG'!$O$29,'ACAD x ANTIG'!$P$29,'ACAD x ANTIG'!$Q$29,'ACAD x ANTIG'!$R$29,'ACAD x ANTIG'!$S$29,'ACAD x ANTIG'!$T$29,'ACAD x ANTIG'!$U$29,'ACAD x ANTIG'!$V$29)</c:f>
              <c:numCache>
                <c:formatCode>0.0%</c:formatCode>
                <c:ptCount val="20"/>
                <c:pt idx="0">
                  <c:v>0.2714031971580817</c:v>
                </c:pt>
                <c:pt idx="1">
                  <c:v>0.25985090521831739</c:v>
                </c:pt>
                <c:pt idx="2">
                  <c:v>0.24675779880827201</c:v>
                </c:pt>
                <c:pt idx="3">
                  <c:v>0.23699825479930192</c:v>
                </c:pt>
                <c:pt idx="4">
                  <c:v>0.21859819569743233</c:v>
                </c:pt>
                <c:pt idx="5">
                  <c:v>0.21092669432918396</c:v>
                </c:pt>
                <c:pt idx="6">
                  <c:v>0.20577121264170389</c:v>
                </c:pt>
                <c:pt idx="7">
                  <c:v>0.19641649763353616</c:v>
                </c:pt>
                <c:pt idx="8">
                  <c:v>0.18641810918774968</c:v>
                </c:pt>
                <c:pt idx="9">
                  <c:v>0.17382683410442828</c:v>
                </c:pt>
                <c:pt idx="10">
                  <c:v>0.15767091920183185</c:v>
                </c:pt>
                <c:pt idx="11">
                  <c:v>0.14116517285531371</c:v>
                </c:pt>
                <c:pt idx="12">
                  <c:v>0.12524271844660195</c:v>
                </c:pt>
                <c:pt idx="13">
                  <c:v>0.11365120836054866</c:v>
                </c:pt>
                <c:pt idx="14">
                  <c:v>0.10026041666666667</c:v>
                </c:pt>
                <c:pt idx="15">
                  <c:v>9.3588082901554404E-2</c:v>
                </c:pt>
                <c:pt idx="16">
                  <c:v>9.0220612446493251E-2</c:v>
                </c:pt>
                <c:pt idx="17">
                  <c:v>8.4002677376171356E-2</c:v>
                </c:pt>
                <c:pt idx="18">
                  <c:v>7.8812691914022515E-2</c:v>
                </c:pt>
                <c:pt idx="19">
                  <c:v>7.6519916142557654E-2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E-129D-42A7-AA10-3C305A02C97F}"/>
            </c:ext>
          </c:extLst>
        </c:ser>
        <c:ser>
          <c:idx val="5"/>
          <c:order val="5"/>
          <c:tx>
            <c:strRef>
              <c:f>'ACAD x ANTIG'!$A$30</c:f>
              <c:strCache>
                <c:ptCount val="1"/>
                <c:pt idx="0">
                  <c:v>26 - 30 AÑOS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129D-42A7-AA10-3C305A02C97F}"/>
                </c:ext>
              </c:extLst>
            </c:dLbl>
            <c:dLbl>
              <c:idx val="1"/>
              <c:layout>
                <c:manualLayout>
                  <c:x val="4.70958292684810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129D-42A7-AA10-3C305A02C97F}"/>
                </c:ext>
              </c:extLst>
            </c:dLbl>
            <c:dLbl>
              <c:idx val="2"/>
              <c:layout>
                <c:manualLayout>
                  <c:x val="4.290630719215018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129D-42A7-AA10-3C305A02C97F}"/>
                </c:ext>
              </c:extLst>
            </c:dLbl>
            <c:dLbl>
              <c:idx val="3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129D-42A7-AA10-3C305A02C97F}"/>
                </c:ext>
              </c:extLst>
            </c:dLbl>
            <c:dLbl>
              <c:idx val="4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129D-42A7-AA10-3C305A02C97F}"/>
                </c:ext>
              </c:extLst>
            </c:dLbl>
            <c:dLbl>
              <c:idx val="5"/>
              <c:layout>
                <c:manualLayout>
                  <c:x val="4.2906307192150184E-3"/>
                  <c:y val="-4.110564643695900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129D-42A7-AA10-3C305A02C97F}"/>
                </c:ext>
              </c:extLst>
            </c:dLbl>
            <c:dLbl>
              <c:idx val="6"/>
              <c:layout>
                <c:manualLayout>
                  <c:x val="4.7095829268480553E-3"/>
                  <c:y val="-3.25606382965580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129D-42A7-AA10-3C305A02C97F}"/>
                </c:ext>
              </c:extLst>
            </c:dLbl>
            <c:dLbl>
              <c:idx val="7"/>
              <c:layout>
                <c:manualLayout>
                  <c:x val="6.4360490407806576E-3"/>
                  <c:y val="-4.110564643695900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129D-42A7-AA10-3C305A02C97F}"/>
                </c:ext>
              </c:extLst>
            </c:dLbl>
            <c:dLbl>
              <c:idx val="8"/>
              <c:layout>
                <c:manualLayout>
                  <c:x val="4.2396645499403153E-3"/>
                  <c:y val="-3.25606382965576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129D-42A7-AA10-3C305A02C97F}"/>
                </c:ext>
              </c:extLst>
            </c:dLbl>
            <c:dLbl>
              <c:idx val="9"/>
              <c:layout>
                <c:manualLayout>
                  <c:x val="8.968609865470851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129D-42A7-AA10-3C305A02C97F}"/>
                </c:ext>
              </c:extLst>
            </c:dLbl>
            <c:dLbl>
              <c:idx val="10"/>
              <c:layout>
                <c:manualLayout>
                  <c:x val="7.4738415545589337E-3"/>
                  <c:y val="-6.51200567723833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129D-42A7-AA10-3C305A02C97F}"/>
                </c:ext>
              </c:extLst>
            </c:dLbl>
            <c:dLbl>
              <c:idx val="11"/>
              <c:layout>
                <c:manualLayout>
                  <c:x val="6.930006930006929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129D-42A7-AA10-3C305A02C97F}"/>
                </c:ext>
              </c:extLst>
            </c:dLbl>
            <c:dLbl>
              <c:idx val="12"/>
              <c:layout>
                <c:manualLayout>
                  <c:x val="5.65899514276952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129D-42A7-AA10-3C305A02C97F}"/>
                </c:ext>
              </c:extLst>
            </c:dLbl>
            <c:dLbl>
              <c:idx val="13"/>
              <c:layout>
                <c:manualLayout>
                  <c:x val="5.392652510953825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129D-42A7-AA10-3C305A02C97F}"/>
                </c:ext>
              </c:extLst>
            </c:dLbl>
            <c:dLbl>
              <c:idx val="14"/>
              <c:layout>
                <c:manualLayout>
                  <c:x val="5.3926525109538256E-3"/>
                  <c:y val="-2.2421520705215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129D-42A7-AA10-3C305A02C97F}"/>
                </c:ext>
              </c:extLst>
            </c:dLbl>
            <c:dLbl>
              <c:idx val="15"/>
              <c:layout>
                <c:manualLayout>
                  <c:x val="5.2304674730304021E-3"/>
                  <c:y val="-2.2421520705215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129D-42A7-AA10-3C305A02C97F}"/>
                </c:ext>
              </c:extLst>
            </c:dLbl>
            <c:dLbl>
              <c:idx val="16"/>
              <c:layout>
                <c:manualLayout>
                  <c:x val="7.8457012095456032E-3"/>
                  <c:y val="-8.221129287391800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129D-42A7-AA10-3C305A02C97F}"/>
                </c:ext>
              </c:extLst>
            </c:dLbl>
            <c:dLbl>
              <c:idx val="17"/>
              <c:layout>
                <c:manualLayout>
                  <c:x val="6.34920634920634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129D-42A7-AA10-3C305A02C97F}"/>
                </c:ext>
              </c:extLst>
            </c:dLbl>
            <c:dLbl>
              <c:idx val="18"/>
              <c:layout>
                <c:manualLayout>
                  <c:x val="7.409694350108057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E0-405A-ABBC-F35DEE1E0C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anchor="b" anchorCtr="1"/>
              <a:lstStyle/>
              <a:p>
                <a:pPr>
                  <a:defRPr sz="8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('ACAD x ANTIG'!$C$24:$R$24,'ACAD x ANTIG'!$S$24,'ACAD x ANTIG'!$T$24,'ACAD x ANTIG'!$U$24,'ACAD x ANTIG'!$V$24)</c:f>
              <c:numCache>
                <c:formatCode>General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('ACAD x ANTIG'!$C$30:$M$30,'ACAD x ANTIG'!$N$30,'ACAD x ANTIG'!$O$30,'ACAD x ANTIG'!$P$30,'ACAD x ANTIG'!$Q$30,'ACAD x ANTIG'!$R$30,'ACAD x ANTIG'!$S$30,'ACAD x ANTIG'!$T$30,'ACAD x ANTIG'!$U$30,'ACAD x ANTIG'!$V$30)</c:f>
              <c:numCache>
                <c:formatCode>0.0%</c:formatCode>
                <c:ptCount val="20"/>
                <c:pt idx="0">
                  <c:v>0.15523978685612788</c:v>
                </c:pt>
                <c:pt idx="1">
                  <c:v>0.20269790557330494</c:v>
                </c:pt>
                <c:pt idx="2">
                  <c:v>0.21556256572029442</c:v>
                </c:pt>
                <c:pt idx="3">
                  <c:v>0.21047120418848167</c:v>
                </c:pt>
                <c:pt idx="4">
                  <c:v>0.21859819569743233</c:v>
                </c:pt>
                <c:pt idx="5">
                  <c:v>0.23858921161825727</c:v>
                </c:pt>
                <c:pt idx="6">
                  <c:v>0.23359670216420475</c:v>
                </c:pt>
                <c:pt idx="7">
                  <c:v>0.22413793103448276</c:v>
                </c:pt>
                <c:pt idx="8">
                  <c:v>0.21438082556591212</c:v>
                </c:pt>
                <c:pt idx="9">
                  <c:v>0.19662921348314608</c:v>
                </c:pt>
                <c:pt idx="10">
                  <c:v>0.18711154726856394</c:v>
                </c:pt>
                <c:pt idx="11">
                  <c:v>0.1795774647887324</c:v>
                </c:pt>
                <c:pt idx="12">
                  <c:v>0.17896440129449839</c:v>
                </c:pt>
                <c:pt idx="13">
                  <c:v>0.170476812540823</c:v>
                </c:pt>
                <c:pt idx="14">
                  <c:v>0.15983072916666666</c:v>
                </c:pt>
                <c:pt idx="15">
                  <c:v>0.14507772020725387</c:v>
                </c:pt>
                <c:pt idx="16">
                  <c:v>0.13368455712874547</c:v>
                </c:pt>
                <c:pt idx="17">
                  <c:v>0.11947791164658635</c:v>
                </c:pt>
                <c:pt idx="18">
                  <c:v>0.11020129648584101</c:v>
                </c:pt>
                <c:pt idx="19">
                  <c:v>9.7484276729559755E-2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1-129D-42A7-AA10-3C305A02C97F}"/>
            </c:ext>
          </c:extLst>
        </c:ser>
        <c:ser>
          <c:idx val="7"/>
          <c:order val="6"/>
          <c:tx>
            <c:strRef>
              <c:f>'ACAD x ANTIG'!$A$31</c:f>
              <c:strCache>
                <c:ptCount val="1"/>
                <c:pt idx="0">
                  <c:v>31 - 35 AÑOS</c:v>
                </c:pt>
              </c:strCache>
            </c:strRef>
          </c:tx>
          <c:spPr>
            <a:solidFill>
              <a:srgbClr val="FFC000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17"/>
              <c:layout>
                <c:manualLayout>
                  <c:x val="8.8888888888888889E-3"/>
                  <c:y val="-8.497389664945440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129D-42A7-AA10-3C305A02C97F}"/>
                </c:ext>
              </c:extLst>
            </c:dLbl>
            <c:dLbl>
              <c:idx val="18"/>
              <c:layout>
                <c:manualLayout>
                  <c:x val="4.9397962334053721E-3"/>
                  <c:y val="-2.5599997419843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E0-405A-ABBC-F35DEE1E0C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('ACAD x ANTIG'!$C$24:$R$24,'ACAD x ANTIG'!$S$24,'ACAD x ANTIG'!$T$24,'ACAD x ANTIG'!$U$24,'ACAD x ANTIG'!$V$24)</c:f>
              <c:numCache>
                <c:formatCode>General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('ACAD x ANTIG'!$C$31:$R$31,'ACAD x ANTIG'!$S$31,'ACAD x ANTIG'!$T$31,'ACAD x ANTIG'!$U$31,'ACAD x ANTIG'!$V$31)</c:f>
              <c:numCache>
                <c:formatCode>0.0%</c:formatCode>
                <c:ptCount val="20"/>
                <c:pt idx="0">
                  <c:v>1.2788632326820605E-2</c:v>
                </c:pt>
                <c:pt idx="1">
                  <c:v>1.1359602413915513E-2</c:v>
                </c:pt>
                <c:pt idx="2">
                  <c:v>4.5566070802663859E-2</c:v>
                </c:pt>
                <c:pt idx="3">
                  <c:v>8.5165794066317621E-2</c:v>
                </c:pt>
                <c:pt idx="4">
                  <c:v>0.10201249132546843</c:v>
                </c:pt>
                <c:pt idx="5">
                  <c:v>0.11549100968188106</c:v>
                </c:pt>
                <c:pt idx="6">
                  <c:v>0.14874613534867742</c:v>
                </c:pt>
                <c:pt idx="7">
                  <c:v>0.16260987153482082</c:v>
                </c:pt>
                <c:pt idx="8">
                  <c:v>0.17143808255659121</c:v>
                </c:pt>
                <c:pt idx="9">
                  <c:v>0.18638466622604097</c:v>
                </c:pt>
                <c:pt idx="10">
                  <c:v>0.20019627085377822</c:v>
                </c:pt>
                <c:pt idx="11">
                  <c:v>0.19750320102432778</c:v>
                </c:pt>
                <c:pt idx="12">
                  <c:v>0.19093851132686085</c:v>
                </c:pt>
                <c:pt idx="13">
                  <c:v>0.18647942521227956</c:v>
                </c:pt>
                <c:pt idx="14">
                  <c:v>0.1728515625</c:v>
                </c:pt>
                <c:pt idx="15">
                  <c:v>0.16871761658031087</c:v>
                </c:pt>
                <c:pt idx="16">
                  <c:v>0.16430688179124137</c:v>
                </c:pt>
                <c:pt idx="17">
                  <c:v>0.16265060240963855</c:v>
                </c:pt>
                <c:pt idx="18">
                  <c:v>0.15796656431252132</c:v>
                </c:pt>
                <c:pt idx="19">
                  <c:v>0.15129280223619845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3-129D-42A7-AA10-3C305A02C97F}"/>
            </c:ext>
          </c:extLst>
        </c:ser>
        <c:ser>
          <c:idx val="8"/>
          <c:order val="7"/>
          <c:tx>
            <c:strRef>
              <c:f>'ACAD x ANTIG'!$A$32</c:f>
              <c:strCache>
                <c:ptCount val="1"/>
                <c:pt idx="0">
                  <c:v>36 - 40 AÑOS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-2.1089260951963319E-2"/>
                  <c:y val="-2.242115096630535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6">
                          <a:lumMod val="50000"/>
                        </a:schemeClr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129D-42A7-AA10-3C305A02C97F}"/>
                </c:ext>
              </c:extLst>
            </c:dLbl>
            <c:dLbl>
              <c:idx val="1"/>
              <c:layout>
                <c:manualLayout>
                  <c:x val="-1.8594083324786858E-2"/>
                  <c:y val="-4.484230193261083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6">
                          <a:lumMod val="50000"/>
                        </a:schemeClr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129D-42A7-AA10-3C305A02C97F}"/>
                </c:ext>
              </c:extLst>
            </c:dLbl>
            <c:dLbl>
              <c:idx val="2"/>
              <c:layout>
                <c:manualLayout>
                  <c:x val="-1.5998312709806128E-2"/>
                  <c:y val="-1.4348119931699153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6">
                          <a:lumMod val="50000"/>
                        </a:schemeClr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129D-42A7-AA10-3C305A02C97F}"/>
                </c:ext>
              </c:extLst>
            </c:dLbl>
            <c:dLbl>
              <c:idx val="3"/>
              <c:layout>
                <c:manualLayout>
                  <c:x val="-1.8594083324786882E-2"/>
                  <c:y val="-6.726553626176370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6">
                          <a:lumMod val="50000"/>
                        </a:schemeClr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129D-42A7-AA10-3C305A02C97F}"/>
                </c:ext>
              </c:extLst>
            </c:dLbl>
            <c:dLbl>
              <c:idx val="4"/>
              <c:layout>
                <c:manualLayout>
                  <c:x val="-1.7245901523394353E-2"/>
                  <c:y val="-4.080682809673137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6">
                          <a:lumMod val="50000"/>
                        </a:schemeClr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129D-42A7-AA10-3C305A02C97F}"/>
                </c:ext>
              </c:extLst>
            </c:dLbl>
            <c:dLbl>
              <c:idx val="5"/>
              <c:layout>
                <c:manualLayout>
                  <c:x val="-1.6098905697610452E-2"/>
                  <c:y val="-3.676927089800450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6">
                          <a:lumMod val="50000"/>
                        </a:schemeClr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129D-42A7-AA10-3C305A02C97F}"/>
                </c:ext>
              </c:extLst>
            </c:dLbl>
            <c:dLbl>
              <c:idx val="6"/>
              <c:layout>
                <c:manualLayout>
                  <c:x val="-1.7245901523394398E-2"/>
                  <c:y val="-4.08068280967312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6">
                          <a:lumMod val="50000"/>
                        </a:schemeClr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129D-42A7-AA10-3C305A02C97F}"/>
                </c:ext>
              </c:extLst>
            </c:dLbl>
            <c:dLbl>
              <c:idx val="7"/>
              <c:layout>
                <c:manualLayout>
                  <c:x val="5.392652510953726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129D-42A7-AA10-3C305A02C97F}"/>
                </c:ext>
              </c:extLst>
            </c:dLbl>
            <c:dLbl>
              <c:idx val="8"/>
              <c:layout>
                <c:manualLayout>
                  <c:x val="4.04448938321536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129D-42A7-AA10-3C305A02C97F}"/>
                </c:ext>
              </c:extLst>
            </c:dLbl>
            <c:dLbl>
              <c:idx val="9"/>
              <c:layout>
                <c:manualLayout>
                  <c:x val="6.7408156386921832E-3"/>
                  <c:y val="-1.027641160923975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129D-42A7-AA10-3C305A02C97F}"/>
                </c:ext>
              </c:extLst>
            </c:dLbl>
            <c:dLbl>
              <c:idx val="10"/>
              <c:layout>
                <c:manualLayout>
                  <c:x val="6.740815638692282E-3"/>
                  <c:y val="-2.2421520705215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129D-42A7-AA10-3C305A02C97F}"/>
                </c:ext>
              </c:extLst>
            </c:dLbl>
            <c:dLbl>
              <c:idx val="11"/>
              <c:layout>
                <c:manualLayout>
                  <c:x val="5.3926525109537268E-3"/>
                  <c:y val="-2.2421520705215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129D-42A7-AA10-3C305A02C97F}"/>
                </c:ext>
              </c:extLst>
            </c:dLbl>
            <c:dLbl>
              <c:idx val="12"/>
              <c:layout>
                <c:manualLayout>
                  <c:x val="6.74081563869228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129D-42A7-AA10-3C305A02C97F}"/>
                </c:ext>
              </c:extLst>
            </c:dLbl>
            <c:dLbl>
              <c:idx val="13"/>
              <c:layout>
                <c:manualLayout>
                  <c:x val="8.0889787664305407E-3"/>
                  <c:y val="-2.2421520705215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129D-42A7-AA10-3C305A02C97F}"/>
                </c:ext>
              </c:extLst>
            </c:dLbl>
            <c:dLbl>
              <c:idx val="14"/>
              <c:layout>
                <c:manualLayout>
                  <c:x val="5.392652510953825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129D-42A7-AA10-3C305A02C97F}"/>
                </c:ext>
              </c:extLst>
            </c:dLbl>
            <c:dLbl>
              <c:idx val="15"/>
              <c:layout>
                <c:manualLayout>
                  <c:x val="5.2304674730304021E-3"/>
                  <c:y val="4.110564643695900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129D-42A7-AA10-3C305A02C97F}"/>
                </c:ext>
              </c:extLst>
            </c:dLbl>
            <c:dLbl>
              <c:idx val="16"/>
              <c:layout>
                <c:manualLayout>
                  <c:x val="7.845701209545603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129D-42A7-AA10-3C305A02C97F}"/>
                </c:ext>
              </c:extLst>
            </c:dLbl>
            <c:dLbl>
              <c:idx val="17"/>
              <c:layout>
                <c:manualLayout>
                  <c:x val="6.3492063492063492E-3"/>
                  <c:y val="2.31749668023158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129D-42A7-AA10-3C305A02C97F}"/>
                </c:ext>
              </c:extLst>
            </c:dLbl>
            <c:dLbl>
              <c:idx val="18"/>
              <c:layout>
                <c:manualLayout>
                  <c:x val="7.409694350108057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E0-405A-ABBC-F35DEE1E0C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('ACAD x ANTIG'!$C$24:$R$24,'ACAD x ANTIG'!$S$24,'ACAD x ANTIG'!$T$24,'ACAD x ANTIG'!$U$24,'ACAD x ANTIG'!$V$24)</c:f>
              <c:numCache>
                <c:formatCode>General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('ACAD x ANTIG'!$C$32:$P$32,'ACAD x ANTIG'!$Q$32,'ACAD x ANTIG'!$R$32,'ACAD x ANTIG'!$S$32,'ACAD x ANTIG'!$T$32,'ACAD x ANTIG'!$U$32,'ACAD x ANTIG'!$V$32)</c:f>
              <c:numCache>
                <c:formatCode>0.0%</c:formatCode>
                <c:ptCount val="20"/>
                <c:pt idx="0">
                  <c:v>5.6838365896980459E-3</c:v>
                </c:pt>
                <c:pt idx="1">
                  <c:v>7.099751508697196E-3</c:v>
                </c:pt>
                <c:pt idx="2">
                  <c:v>8.7627059235892042E-3</c:v>
                </c:pt>
                <c:pt idx="3">
                  <c:v>1.1169284467713788E-2</c:v>
                </c:pt>
                <c:pt idx="4">
                  <c:v>1.1450381679389313E-2</c:v>
                </c:pt>
                <c:pt idx="5">
                  <c:v>1.0373443983402489E-2</c:v>
                </c:pt>
                <c:pt idx="6">
                  <c:v>8.5881140501545862E-3</c:v>
                </c:pt>
                <c:pt idx="7">
                  <c:v>3.3468559837728194E-2</c:v>
                </c:pt>
                <c:pt idx="8">
                  <c:v>6.2250332889480689E-2</c:v>
                </c:pt>
                <c:pt idx="9">
                  <c:v>8.6582947785855915E-2</c:v>
                </c:pt>
                <c:pt idx="10">
                  <c:v>0.10075237160614982</c:v>
                </c:pt>
                <c:pt idx="11">
                  <c:v>0.12644046094750319</c:v>
                </c:pt>
                <c:pt idx="12">
                  <c:v>0.13851132686084142</c:v>
                </c:pt>
                <c:pt idx="13">
                  <c:v>0.14598301763553234</c:v>
                </c:pt>
                <c:pt idx="14">
                  <c:v>0.15364583333333334</c:v>
                </c:pt>
                <c:pt idx="15">
                  <c:v>0.16904145077720206</c:v>
                </c:pt>
                <c:pt idx="16">
                  <c:v>0.16957523872242344</c:v>
                </c:pt>
                <c:pt idx="17">
                  <c:v>0.16599732262382866</c:v>
                </c:pt>
                <c:pt idx="18">
                  <c:v>0.16751961787785738</c:v>
                </c:pt>
                <c:pt idx="19">
                  <c:v>0.16037735849056603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6-129D-42A7-AA10-3C305A02C97F}"/>
            </c:ext>
          </c:extLst>
        </c:ser>
        <c:ser>
          <c:idx val="9"/>
          <c:order val="8"/>
          <c:tx>
            <c:strRef>
              <c:f>'ACAD x ANTIG'!$A$33</c:f>
              <c:strCache>
                <c:ptCount val="1"/>
                <c:pt idx="0">
                  <c:v>MÁS DE 40 AÑOS</c:v>
                </c:pt>
              </c:strCache>
            </c:strRef>
          </c:tx>
          <c:spPr>
            <a:solidFill>
              <a:srgbClr val="AD25A8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3926525109538256E-3"/>
                  <c:y val="-8.96860828208603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129D-42A7-AA10-3C305A02C97F}"/>
                </c:ext>
              </c:extLst>
            </c:dLbl>
            <c:dLbl>
              <c:idx val="1"/>
              <c:layout>
                <c:manualLayout>
                  <c:x val="4.0444893832153692E-3"/>
                  <c:y val="-8.96860828208603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129D-42A7-AA10-3C305A02C97F}"/>
                </c:ext>
              </c:extLst>
            </c:dLbl>
            <c:dLbl>
              <c:idx val="2"/>
              <c:layout>
                <c:manualLayout>
                  <c:x val="2.6963262554769128E-3"/>
                  <c:y val="-6.72645621156453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129D-42A7-AA10-3C305A02C97F}"/>
                </c:ext>
              </c:extLst>
            </c:dLbl>
            <c:dLbl>
              <c:idx val="3"/>
              <c:layout>
                <c:manualLayout>
                  <c:x val="4.0444893832153198E-3"/>
                  <c:y val="-6.72645621156452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129D-42A7-AA10-3C305A02C97F}"/>
                </c:ext>
              </c:extLst>
            </c:dLbl>
            <c:dLbl>
              <c:idx val="4"/>
              <c:layout>
                <c:manualLayout>
                  <c:x val="4.0444893832153692E-3"/>
                  <c:y val="-6.72645621156452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129D-42A7-AA10-3C305A02C97F}"/>
                </c:ext>
              </c:extLst>
            </c:dLbl>
            <c:dLbl>
              <c:idx val="5"/>
              <c:layout>
                <c:manualLayout>
                  <c:x val="4.0444893832153198E-3"/>
                  <c:y val="-8.96860828208603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129D-42A7-AA10-3C305A02C97F}"/>
                </c:ext>
              </c:extLst>
            </c:dLbl>
            <c:dLbl>
              <c:idx val="6"/>
              <c:layout>
                <c:manualLayout>
                  <c:x val="8.0889787664306396E-3"/>
                  <c:y val="-8.96860828208603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129D-42A7-AA10-3C305A02C97F}"/>
                </c:ext>
              </c:extLst>
            </c:dLbl>
            <c:dLbl>
              <c:idx val="7"/>
              <c:layout>
                <c:manualLayout>
                  <c:x val="4.0444893832153692E-3"/>
                  <c:y val="-6.72645621156452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129D-42A7-AA10-3C305A02C97F}"/>
                </c:ext>
              </c:extLst>
            </c:dLbl>
            <c:dLbl>
              <c:idx val="8"/>
              <c:layout>
                <c:manualLayout>
                  <c:x val="6.740815638692282E-3"/>
                  <c:y val="-6.72645621156452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129D-42A7-AA10-3C305A02C97F}"/>
                </c:ext>
              </c:extLst>
            </c:dLbl>
            <c:dLbl>
              <c:idx val="9"/>
              <c:layout>
                <c:manualLayout>
                  <c:x val="2.6963262554769128E-3"/>
                  <c:y val="-6.72645621156452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129D-42A7-AA10-3C305A02C97F}"/>
                </c:ext>
              </c:extLst>
            </c:dLbl>
            <c:dLbl>
              <c:idx val="10"/>
              <c:layout>
                <c:manualLayout>
                  <c:x val="5.3926525109538256E-3"/>
                  <c:y val="-6.72645621156453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129D-42A7-AA10-3C305A02C97F}"/>
                </c:ext>
              </c:extLst>
            </c:dLbl>
            <c:dLbl>
              <c:idx val="11"/>
              <c:layout>
                <c:manualLayout>
                  <c:x val="5.3926525109537268E-3"/>
                  <c:y val="-8.96860828208603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129D-42A7-AA10-3C305A02C97F}"/>
                </c:ext>
              </c:extLst>
            </c:dLbl>
            <c:dLbl>
              <c:idx val="12"/>
              <c:layout>
                <c:manualLayout>
                  <c:x val="5.3926525109537268E-3"/>
                  <c:y val="-4.48430414104301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129D-42A7-AA10-3C305A02C97F}"/>
                </c:ext>
              </c:extLst>
            </c:dLbl>
            <c:dLbl>
              <c:idx val="13"/>
              <c:layout>
                <c:manualLayout>
                  <c:x val="6.740815638692084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129D-42A7-AA10-3C305A02C97F}"/>
                </c:ext>
              </c:extLst>
            </c:dLbl>
            <c:dLbl>
              <c:idx val="14"/>
              <c:layout>
                <c:manualLayout>
                  <c:x val="5.392652510953825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129D-42A7-AA10-3C305A02C97F}"/>
                </c:ext>
              </c:extLst>
            </c:dLbl>
            <c:dLbl>
              <c:idx val="15"/>
              <c:layout>
                <c:manualLayout>
                  <c:x val="5.2304674730304021E-3"/>
                  <c:y val="-2.2421520705215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6-129D-42A7-AA10-3C305A02C97F}"/>
                </c:ext>
              </c:extLst>
            </c:dLbl>
            <c:dLbl>
              <c:idx val="16"/>
              <c:layout>
                <c:manualLayout>
                  <c:x val="6.5380843412880026E-3"/>
                  <c:y val="-2.2421520705215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7-129D-42A7-AA10-3C305A02C97F}"/>
                </c:ext>
              </c:extLst>
            </c:dLbl>
            <c:dLbl>
              <c:idx val="17"/>
              <c:layout>
                <c:manualLayout>
                  <c:x val="7.619047619047619E-3"/>
                  <c:y val="-2.124347416236360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129D-42A7-AA10-3C305A02C97F}"/>
                </c:ext>
              </c:extLst>
            </c:dLbl>
            <c:dLbl>
              <c:idx val="18"/>
              <c:layout>
                <c:manualLayout>
                  <c:x val="7.4096943501080577E-3"/>
                  <c:y val="-2.55999974198427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E0-405A-ABBC-F35DEE1E0C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('ACAD x ANTIG'!$C$24:$R$24,'ACAD x ANTIG'!$S$24,'ACAD x ANTIG'!$T$24,'ACAD x ANTIG'!$U$24,'ACAD x ANTIG'!$V$24)</c:f>
              <c:numCache>
                <c:formatCode>General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('ACAD x ANTIG'!$C$33:$P$33,'ACAD x ANTIG'!$Q$33,'ACAD x ANTIG'!$R$33,'ACAD x ANTIG'!$S$33,'ACAD x ANTIG'!$T$33,'ACAD x ANTIG'!$U$33,'ACAD x ANTIG'!$V$33)</c:f>
              <c:numCache>
                <c:formatCode>0.0%</c:formatCode>
                <c:ptCount val="20"/>
                <c:pt idx="0">
                  <c:v>4.6181172291296629E-3</c:v>
                </c:pt>
                <c:pt idx="1">
                  <c:v>4.9698260560880371E-3</c:v>
                </c:pt>
                <c:pt idx="2">
                  <c:v>5.6081317910970912E-3</c:v>
                </c:pt>
                <c:pt idx="3">
                  <c:v>6.9808027923211171E-3</c:v>
                </c:pt>
                <c:pt idx="4">
                  <c:v>7.9805690492713386E-3</c:v>
                </c:pt>
                <c:pt idx="5">
                  <c:v>8.6445366528354085E-3</c:v>
                </c:pt>
                <c:pt idx="6">
                  <c:v>9.9622122981793196E-3</c:v>
                </c:pt>
                <c:pt idx="7">
                  <c:v>1.1156186612576065E-2</c:v>
                </c:pt>
                <c:pt idx="8">
                  <c:v>1.3648468708388815E-2</c:v>
                </c:pt>
                <c:pt idx="9">
                  <c:v>1.3549239920687376E-2</c:v>
                </c:pt>
                <c:pt idx="10">
                  <c:v>1.3738959764474975E-2</c:v>
                </c:pt>
                <c:pt idx="11">
                  <c:v>1.4404609475032011E-2</c:v>
                </c:pt>
                <c:pt idx="12">
                  <c:v>3.6893203883495145E-2</c:v>
                </c:pt>
                <c:pt idx="13">
                  <c:v>6.3357282821685179E-2</c:v>
                </c:pt>
                <c:pt idx="14">
                  <c:v>8.2682291666666671E-2</c:v>
                </c:pt>
                <c:pt idx="15">
                  <c:v>9.3264248704663211E-2</c:v>
                </c:pt>
                <c:pt idx="16">
                  <c:v>0.11458676325321041</c:v>
                </c:pt>
                <c:pt idx="17">
                  <c:v>0.14022757697456492</c:v>
                </c:pt>
                <c:pt idx="18">
                  <c:v>0.16786079836233367</c:v>
                </c:pt>
                <c:pt idx="19">
                  <c:v>0.19846261355695319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99-129D-42A7-AA10-3C305A02C9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gapDepth val="99"/>
        <c:shape val="cylinder"/>
        <c:axId val="143510528"/>
        <c:axId val="143536896"/>
        <c:axId val="0"/>
      </c:bar3DChart>
      <c:catAx>
        <c:axId val="143510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0"/>
            </a:pPr>
            <a:endParaRPr lang="es-MX"/>
          </a:p>
        </c:txPr>
        <c:crossAx val="143536896"/>
        <c:crosses val="autoZero"/>
        <c:auto val="1"/>
        <c:lblAlgn val="ctr"/>
        <c:lblOffset val="100"/>
        <c:noMultiLvlLbl val="0"/>
      </c:catAx>
      <c:valAx>
        <c:axId val="14353689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43510528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3225947443068473"/>
          <c:y val="0.92776068504631104"/>
          <c:w val="0.73636539139701362"/>
          <c:h val="7.1468862068983771E-2"/>
        </c:manualLayout>
      </c:layout>
      <c:overlay val="0"/>
      <c:txPr>
        <a:bodyPr/>
        <a:lstStyle/>
        <a:p>
          <a:pPr>
            <a:defRPr sz="11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'ACAD x ANTIG'!$A$25</c:f>
              <c:strCache>
                <c:ptCount val="1"/>
                <c:pt idx="0">
                  <c:v>HASTA 5 AÑOS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effectLst>
              <a:outerShdw blurRad="76200" dist="12700" dir="8100000" sy="-23000" kx="800400" algn="br" rotWithShape="0">
                <a:schemeClr val="tx1">
                  <a:alpha val="20000"/>
                </a:scheme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D9-423C-845C-9B8874B55C98}"/>
                </c:ext>
              </c:extLst>
            </c:dLbl>
            <c:dLbl>
              <c:idx val="1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D9-423C-845C-9B8874B55C98}"/>
                </c:ext>
              </c:extLst>
            </c:dLbl>
            <c:dLbl>
              <c:idx val="2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D9-423C-845C-9B8874B55C98}"/>
                </c:ext>
              </c:extLst>
            </c:dLbl>
            <c:dLbl>
              <c:idx val="3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D9-423C-845C-9B8874B55C98}"/>
                </c:ext>
              </c:extLst>
            </c:dLbl>
            <c:dLbl>
              <c:idx val="4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D9-423C-845C-9B8874B55C98}"/>
                </c:ext>
              </c:extLst>
            </c:dLbl>
            <c:dLbl>
              <c:idx val="5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D9-423C-845C-9B8874B55C98}"/>
                </c:ext>
              </c:extLst>
            </c:dLbl>
            <c:dLbl>
              <c:idx val="6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D9-423C-845C-9B8874B55C98}"/>
                </c:ext>
              </c:extLst>
            </c:dLbl>
            <c:dLbl>
              <c:idx val="7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D9-423C-845C-9B8874B55C98}"/>
                </c:ext>
              </c:extLst>
            </c:dLbl>
            <c:dLbl>
              <c:idx val="8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0D9-423C-845C-9B8874B55C98}"/>
                </c:ext>
              </c:extLst>
            </c:dLbl>
            <c:dLbl>
              <c:idx val="9"/>
              <c:layout>
                <c:manualLayout>
                  <c:x val="5.979073243647234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D9-423C-845C-9B8874B55C98}"/>
                </c:ext>
              </c:extLst>
            </c:dLbl>
            <c:dLbl>
              <c:idx val="10"/>
              <c:layout>
                <c:manualLayout>
                  <c:x val="7.47384155455904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D9-423C-845C-9B8874B55C98}"/>
                </c:ext>
              </c:extLst>
            </c:dLbl>
            <c:dLbl>
              <c:idx val="11"/>
              <c:layout>
                <c:manualLayout>
                  <c:x val="8.31600831600831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D9-423C-845C-9B8874B55C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ANTIG'!$J$24:$N$24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'ACAD x ANTIG'!$J$25:$N$25</c:f>
              <c:numCache>
                <c:formatCode>0.0%</c:formatCode>
                <c:ptCount val="5"/>
                <c:pt idx="0">
                  <c:v>8.0459770114942528E-2</c:v>
                </c:pt>
                <c:pt idx="1">
                  <c:v>8.1557922769640481E-2</c:v>
                </c:pt>
                <c:pt idx="2">
                  <c:v>7.8321216126900198E-2</c:v>
                </c:pt>
                <c:pt idx="3">
                  <c:v>8.4723585214262348E-2</c:v>
                </c:pt>
                <c:pt idx="4">
                  <c:v>8.7387964148527522E-2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0D9-423C-845C-9B8874B55C98}"/>
            </c:ext>
          </c:extLst>
        </c:ser>
        <c:ser>
          <c:idx val="1"/>
          <c:order val="1"/>
          <c:tx>
            <c:strRef>
              <c:f>'ACAD x ANTIG'!$A$26</c:f>
              <c:strCache>
                <c:ptCount val="1"/>
                <c:pt idx="0">
                  <c:v>6 - 10 AÑOS</c:v>
                </c:pt>
              </c:strCache>
            </c:strRef>
          </c:tx>
          <c:spPr>
            <a:solidFill>
              <a:srgbClr val="CC99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0D9-423C-845C-9B8874B55C98}"/>
                </c:ext>
              </c:extLst>
            </c:dLbl>
            <c:dLbl>
              <c:idx val="1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0D9-423C-845C-9B8874B55C98}"/>
                </c:ext>
              </c:extLst>
            </c:dLbl>
            <c:dLbl>
              <c:idx val="2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0D9-423C-845C-9B8874B55C98}"/>
                </c:ext>
              </c:extLst>
            </c:dLbl>
            <c:dLbl>
              <c:idx val="3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0D9-423C-845C-9B8874B55C98}"/>
                </c:ext>
              </c:extLst>
            </c:dLbl>
            <c:dLbl>
              <c:idx val="4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0D9-423C-845C-9B8874B55C98}"/>
                </c:ext>
              </c:extLst>
            </c:dLbl>
            <c:dLbl>
              <c:idx val="5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0D9-423C-845C-9B8874B55C98}"/>
                </c:ext>
              </c:extLst>
            </c:dLbl>
            <c:dLbl>
              <c:idx val="6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0D9-423C-845C-9B8874B55C98}"/>
                </c:ext>
              </c:extLst>
            </c:dLbl>
            <c:dLbl>
              <c:idx val="7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0D9-423C-845C-9B8874B55C98}"/>
                </c:ext>
              </c:extLst>
            </c:dLbl>
            <c:dLbl>
              <c:idx val="8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0D9-423C-845C-9B8874B55C98}"/>
                </c:ext>
              </c:extLst>
            </c:dLbl>
            <c:dLbl>
              <c:idx val="9"/>
              <c:layout>
                <c:manualLayout>
                  <c:x val="7.47384155455904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0D9-423C-845C-9B8874B55C98}"/>
                </c:ext>
              </c:extLst>
            </c:dLbl>
            <c:dLbl>
              <c:idx val="10"/>
              <c:layout>
                <c:manualLayout>
                  <c:x val="7.473841554559042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0D9-423C-845C-9B8874B55C98}"/>
                </c:ext>
              </c:extLst>
            </c:dLbl>
            <c:dLbl>
              <c:idx val="11"/>
              <c:layout>
                <c:manualLayout>
                  <c:x val="8.3160083160083165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0D9-423C-845C-9B8874B55C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ANTIG'!$J$24:$N$24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'ACAD x ANTIG'!$J$26:$N$26</c:f>
              <c:numCache>
                <c:formatCode>0.0%</c:formatCode>
                <c:ptCount val="5"/>
                <c:pt idx="0">
                  <c:v>6.4232589587559161E-2</c:v>
                </c:pt>
                <c:pt idx="1">
                  <c:v>6.6910785619174434E-2</c:v>
                </c:pt>
                <c:pt idx="2">
                  <c:v>7.7329808327825517E-2</c:v>
                </c:pt>
                <c:pt idx="3">
                  <c:v>8.4069349035001642E-2</c:v>
                </c:pt>
                <c:pt idx="4">
                  <c:v>9.4750320102432783E-2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A0D9-423C-845C-9B8874B55C98}"/>
            </c:ext>
          </c:extLst>
        </c:ser>
        <c:ser>
          <c:idx val="2"/>
          <c:order val="2"/>
          <c:tx>
            <c:strRef>
              <c:f>'ACAD x ANTIG'!$A$27</c:f>
              <c:strCache>
                <c:ptCount val="1"/>
                <c:pt idx="0">
                  <c:v>11 - 15 AÑOS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0D9-423C-845C-9B8874B55C98}"/>
                </c:ext>
              </c:extLst>
            </c:dLbl>
            <c:dLbl>
              <c:idx val="1"/>
              <c:layout>
                <c:manualLayout>
                  <c:x val="1.035885972064792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0D9-423C-845C-9B8874B55C98}"/>
                </c:ext>
              </c:extLst>
            </c:dLbl>
            <c:dLbl>
              <c:idx val="2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0D9-423C-845C-9B8874B55C98}"/>
                </c:ext>
              </c:extLst>
            </c:dLbl>
            <c:dLbl>
              <c:idx val="3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0D9-423C-845C-9B8874B55C98}"/>
                </c:ext>
              </c:extLst>
            </c:dLbl>
            <c:dLbl>
              <c:idx val="4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0D9-423C-845C-9B8874B55C98}"/>
                </c:ext>
              </c:extLst>
            </c:dLbl>
            <c:dLbl>
              <c:idx val="5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0D9-423C-845C-9B8874B55C98}"/>
                </c:ext>
              </c:extLst>
            </c:dLbl>
            <c:dLbl>
              <c:idx val="6"/>
              <c:layout>
                <c:manualLayout>
                  <c:x val="1.0358859720647927E-2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0D9-423C-845C-9B8874B55C98}"/>
                </c:ext>
              </c:extLst>
            </c:dLbl>
            <c:dLbl>
              <c:idx val="7"/>
              <c:layout>
                <c:manualLayout>
                  <c:x val="1.0358859720647927E-2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0D9-423C-845C-9B8874B55C98}"/>
                </c:ext>
              </c:extLst>
            </c:dLbl>
            <c:dLbl>
              <c:idx val="8"/>
              <c:layout>
                <c:manualLayout>
                  <c:x val="1.208533634075591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0D9-423C-845C-9B8874B55C98}"/>
                </c:ext>
              </c:extLst>
            </c:dLbl>
            <c:dLbl>
              <c:idx val="9"/>
              <c:layout>
                <c:manualLayout>
                  <c:x val="8.968609865470851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0D9-423C-845C-9B8874B55C98}"/>
                </c:ext>
              </c:extLst>
            </c:dLbl>
            <c:dLbl>
              <c:idx val="10"/>
              <c:layout>
                <c:manualLayout>
                  <c:x val="8.9686098654708519E-3"/>
                  <c:y val="-6.51200567723833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0D9-423C-845C-9B8874B55C98}"/>
                </c:ext>
              </c:extLst>
            </c:dLbl>
            <c:dLbl>
              <c:idx val="11"/>
              <c:layout>
                <c:manualLayout>
                  <c:x val="8.31600831600831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0D9-423C-845C-9B8874B55C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ANTIG'!$J$24:$N$24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'ACAD x ANTIG'!$J$27:$N$27</c:f>
              <c:numCache>
                <c:formatCode>0.0%</c:formatCode>
                <c:ptCount val="5"/>
                <c:pt idx="0">
                  <c:v>9.1615956727518599E-2</c:v>
                </c:pt>
                <c:pt idx="1">
                  <c:v>8.2556591211717711E-2</c:v>
                </c:pt>
                <c:pt idx="2">
                  <c:v>7.9312623925974879E-2</c:v>
                </c:pt>
                <c:pt idx="3">
                  <c:v>7.098462544978737E-2</c:v>
                </c:pt>
                <c:pt idx="4">
                  <c:v>6.5941101152368758E-2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A0D9-423C-845C-9B8874B55C98}"/>
            </c:ext>
          </c:extLst>
        </c:ser>
        <c:ser>
          <c:idx val="3"/>
          <c:order val="3"/>
          <c:tx>
            <c:strRef>
              <c:f>'ACAD x ANTIG'!$A$28</c:f>
              <c:strCache>
                <c:ptCount val="1"/>
                <c:pt idx="0">
                  <c:v>16 - 20 AÑOS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0D9-423C-845C-9B8874B55C98}"/>
                </c:ext>
              </c:extLst>
            </c:dLbl>
            <c:dLbl>
              <c:idx val="1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0D9-423C-845C-9B8874B55C98}"/>
                </c:ext>
              </c:extLst>
            </c:dLbl>
            <c:dLbl>
              <c:idx val="2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0D9-423C-845C-9B8874B55C98}"/>
                </c:ext>
              </c:extLst>
            </c:dLbl>
            <c:dLbl>
              <c:idx val="3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0D9-423C-845C-9B8874B55C98}"/>
                </c:ext>
              </c:extLst>
            </c:dLbl>
            <c:dLbl>
              <c:idx val="4"/>
              <c:layout>
                <c:manualLayout>
                  <c:x val="1.208533634075591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0D9-423C-845C-9B8874B55C98}"/>
                </c:ext>
              </c:extLst>
            </c:dLbl>
            <c:dLbl>
              <c:idx val="5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0D9-423C-845C-9B8874B55C98}"/>
                </c:ext>
              </c:extLst>
            </c:dLbl>
            <c:dLbl>
              <c:idx val="6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0D9-423C-845C-9B8874B55C98}"/>
                </c:ext>
              </c:extLst>
            </c:dLbl>
            <c:dLbl>
              <c:idx val="7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0D9-423C-845C-9B8874B55C98}"/>
                </c:ext>
              </c:extLst>
            </c:dLbl>
            <c:dLbl>
              <c:idx val="8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A0D9-423C-845C-9B8874B55C98}"/>
                </c:ext>
              </c:extLst>
            </c:dLbl>
            <c:dLbl>
              <c:idx val="9"/>
              <c:layout>
                <c:manualLayout>
                  <c:x val="7.473841554559042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0D9-423C-845C-9B8874B55C98}"/>
                </c:ext>
              </c:extLst>
            </c:dLbl>
            <c:dLbl>
              <c:idx val="10"/>
              <c:layout>
                <c:manualLayout>
                  <c:x val="7.473841554558933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A0D9-423C-845C-9B8874B55C98}"/>
                </c:ext>
              </c:extLst>
            </c:dLbl>
            <c:dLbl>
              <c:idx val="11"/>
              <c:layout>
                <c:manualLayout>
                  <c:x val="5.5440055440055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A0D9-423C-845C-9B8874B55C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ANTIG'!$J$24:$N$24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'ACAD x ANTIG'!$J$28:$N$28</c:f>
              <c:numCache>
                <c:formatCode>0.0%</c:formatCode>
                <c:ptCount val="5"/>
                <c:pt idx="0">
                  <c:v>0.13590263691683571</c:v>
                </c:pt>
                <c:pt idx="1">
                  <c:v>0.12083888149134488</c:v>
                </c:pt>
                <c:pt idx="2">
                  <c:v>0.10806345009914078</c:v>
                </c:pt>
                <c:pt idx="3">
                  <c:v>0.10075237160614982</c:v>
                </c:pt>
                <c:pt idx="4">
                  <c:v>9.2829705505761848E-2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3-A0D9-423C-845C-9B8874B55C98}"/>
            </c:ext>
          </c:extLst>
        </c:ser>
        <c:ser>
          <c:idx val="4"/>
          <c:order val="4"/>
          <c:tx>
            <c:strRef>
              <c:f>'ACAD x ANTIG'!$A$29</c:f>
              <c:strCache>
                <c:ptCount val="1"/>
                <c:pt idx="0">
                  <c:v>21 - 25 AÑOS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6323831005399379E-3"/>
                  <c:y val="2.984634789978454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0D9-423C-845C-9B8874B55C98}"/>
                </c:ext>
              </c:extLst>
            </c:dLbl>
            <c:dLbl>
              <c:idx val="1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A0D9-423C-845C-9B8874B55C98}"/>
                </c:ext>
              </c:extLst>
            </c:dLbl>
            <c:dLbl>
              <c:idx val="2"/>
              <c:layout>
                <c:manualLayout>
                  <c:x val="5.179429860323963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A0D9-423C-845C-9B8874B55C98}"/>
                </c:ext>
              </c:extLst>
            </c:dLbl>
            <c:dLbl>
              <c:idx val="3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A0D9-423C-845C-9B8874B55C98}"/>
                </c:ext>
              </c:extLst>
            </c:dLbl>
            <c:dLbl>
              <c:idx val="4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A0D9-423C-845C-9B8874B55C98}"/>
                </c:ext>
              </c:extLst>
            </c:dLbl>
            <c:dLbl>
              <c:idx val="5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A0D9-423C-845C-9B8874B55C98}"/>
                </c:ext>
              </c:extLst>
            </c:dLbl>
            <c:dLbl>
              <c:idx val="6"/>
              <c:layout>
                <c:manualLayout>
                  <c:x val="1.035885972064792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A0D9-423C-845C-9B8874B55C98}"/>
                </c:ext>
              </c:extLst>
            </c:dLbl>
            <c:dLbl>
              <c:idx val="7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A0D9-423C-845C-9B8874B55C98}"/>
                </c:ext>
              </c:extLst>
            </c:dLbl>
            <c:dLbl>
              <c:idx val="8"/>
              <c:layout>
                <c:manualLayout>
                  <c:x val="1.0358859720647927E-2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A0D9-423C-845C-9B8874B55C98}"/>
                </c:ext>
              </c:extLst>
            </c:dLbl>
            <c:dLbl>
              <c:idx val="9"/>
              <c:layout>
                <c:manualLayout>
                  <c:x val="8.9686098654708519E-3"/>
                  <c:y val="5.969269579956908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A0D9-423C-845C-9B8874B55C98}"/>
                </c:ext>
              </c:extLst>
            </c:dLbl>
            <c:dLbl>
              <c:idx val="10"/>
              <c:layout>
                <c:manualLayout>
                  <c:x val="7.4738415545589337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A0D9-423C-845C-9B8874B55C98}"/>
                </c:ext>
              </c:extLst>
            </c:dLbl>
            <c:dLbl>
              <c:idx val="11"/>
              <c:layout>
                <c:manualLayout>
                  <c:x val="8.3160083160083165E-3"/>
                  <c:y val="5.969269579956908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A0D9-423C-845C-9B8874B55C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ANTIG'!$J$24:$N$24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'ACAD x ANTIG'!$J$29:$N$29</c:f>
              <c:numCache>
                <c:formatCode>0.0%</c:formatCode>
                <c:ptCount val="5"/>
                <c:pt idx="0">
                  <c:v>0.19641649763353616</c:v>
                </c:pt>
                <c:pt idx="1">
                  <c:v>0.18641810918774968</c:v>
                </c:pt>
                <c:pt idx="2">
                  <c:v>0.17382683410442828</c:v>
                </c:pt>
                <c:pt idx="3">
                  <c:v>0.15767091920183185</c:v>
                </c:pt>
                <c:pt idx="4">
                  <c:v>0.14116517285531371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0-A0D9-423C-845C-9B8874B55C98}"/>
            </c:ext>
          </c:extLst>
        </c:ser>
        <c:ser>
          <c:idx val="5"/>
          <c:order val="5"/>
          <c:tx>
            <c:strRef>
              <c:f>'ACAD x ANTIG'!$A$30</c:f>
              <c:strCache>
                <c:ptCount val="1"/>
                <c:pt idx="0">
                  <c:v>26 - 30 AÑOS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A0D9-423C-845C-9B8874B55C98}"/>
                </c:ext>
              </c:extLst>
            </c:dLbl>
            <c:dLbl>
              <c:idx val="1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A0D9-423C-845C-9B8874B55C98}"/>
                </c:ext>
              </c:extLst>
            </c:dLbl>
            <c:dLbl>
              <c:idx val="2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A0D9-423C-845C-9B8874B55C98}"/>
                </c:ext>
              </c:extLst>
            </c:dLbl>
            <c:dLbl>
              <c:idx val="3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A0D9-423C-845C-9B8874B55C98}"/>
                </c:ext>
              </c:extLst>
            </c:dLbl>
            <c:dLbl>
              <c:idx val="4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A0D9-423C-845C-9B8874B55C98}"/>
                </c:ext>
              </c:extLst>
            </c:dLbl>
            <c:dLbl>
              <c:idx val="5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A0D9-423C-845C-9B8874B55C98}"/>
                </c:ext>
              </c:extLst>
            </c:dLbl>
            <c:dLbl>
              <c:idx val="6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A0D9-423C-845C-9B8874B55C98}"/>
                </c:ext>
              </c:extLst>
            </c:dLbl>
            <c:dLbl>
              <c:idx val="7"/>
              <c:layout>
                <c:manualLayout>
                  <c:x val="1.035885972064792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A0D9-423C-845C-9B8874B55C98}"/>
                </c:ext>
              </c:extLst>
            </c:dLbl>
            <c:dLbl>
              <c:idx val="8"/>
              <c:layout>
                <c:manualLayout>
                  <c:x val="1.2085336340755913E-2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A0D9-423C-845C-9B8874B55C98}"/>
                </c:ext>
              </c:extLst>
            </c:dLbl>
            <c:dLbl>
              <c:idx val="9"/>
              <c:layout>
                <c:manualLayout>
                  <c:x val="8.968609865470851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A0D9-423C-845C-9B8874B55C98}"/>
                </c:ext>
              </c:extLst>
            </c:dLbl>
            <c:dLbl>
              <c:idx val="10"/>
              <c:layout>
                <c:manualLayout>
                  <c:x val="7.4738415545589337E-3"/>
                  <c:y val="-6.51200567723833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A0D9-423C-845C-9B8874B55C98}"/>
                </c:ext>
              </c:extLst>
            </c:dLbl>
            <c:dLbl>
              <c:idx val="11"/>
              <c:layout>
                <c:manualLayout>
                  <c:x val="6.930006930006929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A0D9-423C-845C-9B8874B55C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anchor="b" anchorCtr="1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ANTIG'!$J$24:$N$24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'ACAD x ANTIG'!$J$30:$N$30</c:f>
              <c:numCache>
                <c:formatCode>0.0%</c:formatCode>
                <c:ptCount val="5"/>
                <c:pt idx="0">
                  <c:v>0.22413793103448276</c:v>
                </c:pt>
                <c:pt idx="1">
                  <c:v>0.21438082556591212</c:v>
                </c:pt>
                <c:pt idx="2">
                  <c:v>0.19662921348314608</c:v>
                </c:pt>
                <c:pt idx="3">
                  <c:v>0.18711154726856394</c:v>
                </c:pt>
                <c:pt idx="4">
                  <c:v>0.1795774647887324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D-A0D9-423C-845C-9B8874B55C98}"/>
            </c:ext>
          </c:extLst>
        </c:ser>
        <c:ser>
          <c:idx val="6"/>
          <c:order val="6"/>
          <c:tx>
            <c:strRef>
              <c:f>'ACAD x ANTIG'!#REF!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C0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7.9273822580909203E-3"/>
                  <c:y val="-9.76800851585750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A0D9-423C-845C-9B8874B55C98}"/>
                </c:ext>
              </c:extLst>
            </c:dLbl>
            <c:dLbl>
              <c:idx val="1"/>
              <c:layout>
                <c:manualLayout>
                  <c:x val="3.4288801217935076E-3"/>
                  <c:y val="-9.76800851585750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A0D9-423C-845C-9B8874B55C98}"/>
                </c:ext>
              </c:extLst>
            </c:dLbl>
            <c:dLbl>
              <c:idx val="2"/>
              <c:layout>
                <c:manualLayout>
                  <c:x val="6.541380872089533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A0D9-423C-845C-9B8874B55C98}"/>
                </c:ext>
              </c:extLst>
            </c:dLbl>
            <c:dLbl>
              <c:idx val="3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A0D9-423C-845C-9B8874B55C98}"/>
                </c:ext>
              </c:extLst>
            </c:dLbl>
            <c:dLbl>
              <c:idx val="4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A0D9-423C-845C-9B8874B55C98}"/>
                </c:ext>
              </c:extLst>
            </c:dLbl>
            <c:dLbl>
              <c:idx val="5"/>
              <c:layout>
                <c:manualLayout>
                  <c:x val="1.035885972064792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A0D9-423C-845C-9B8874B55C98}"/>
                </c:ext>
              </c:extLst>
            </c:dLbl>
            <c:dLbl>
              <c:idx val="6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A0D9-423C-845C-9B8874B55C98}"/>
                </c:ext>
              </c:extLst>
            </c:dLbl>
            <c:dLbl>
              <c:idx val="7"/>
              <c:layout>
                <c:manualLayout>
                  <c:x val="6.9570967090652131E-3"/>
                  <c:y val="-3.25594204364711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A0D9-423C-845C-9B8874B55C98}"/>
                </c:ext>
              </c:extLst>
            </c:dLbl>
            <c:dLbl>
              <c:idx val="8"/>
              <c:layout>
                <c:manualLayout>
                  <c:x val="6.5126186149809138E-3"/>
                  <c:y val="-3.25594204364711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A0D9-423C-845C-9B8874B55C98}"/>
                </c:ext>
              </c:extLst>
            </c:dLbl>
            <c:dLbl>
              <c:idx val="9"/>
              <c:layout>
                <c:manualLayout>
                  <c:x val="6.4045023218251562E-3"/>
                  <c:y val="-3.25594204364711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A0D9-423C-845C-9B8874B55C98}"/>
                </c:ext>
              </c:extLst>
            </c:dLbl>
            <c:dLbl>
              <c:idx val="10"/>
              <c:layout>
                <c:manualLayout>
                  <c:x val="7.4738415545589337E-3"/>
                  <c:y val="-6.51200567723833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A0D9-423C-845C-9B8874B55C98}"/>
                </c:ext>
              </c:extLst>
            </c:dLbl>
            <c:dLbl>
              <c:idx val="11"/>
              <c:layout>
                <c:manualLayout>
                  <c:x val="8.31600831600831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A0D9-423C-845C-9B8874B55C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anchor="b" anchorCtr="0"/>
              <a:lstStyle/>
              <a:p>
                <a:pPr>
                  <a:defRPr sz="8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ANTIG'!$J$24:$N$24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'ACAD x ANTIG'!#REF!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A-A0D9-423C-845C-9B8874B55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9"/>
        <c:gapDepth val="99"/>
        <c:shape val="cylinder"/>
        <c:axId val="143909632"/>
        <c:axId val="143911168"/>
        <c:axId val="0"/>
      </c:bar3DChart>
      <c:catAx>
        <c:axId val="143909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0"/>
            </a:pPr>
            <a:endParaRPr lang="es-MX"/>
          </a:p>
        </c:txPr>
        <c:crossAx val="143911168"/>
        <c:crosses val="autoZero"/>
        <c:auto val="1"/>
        <c:lblAlgn val="ctr"/>
        <c:lblOffset val="100"/>
        <c:noMultiLvlLbl val="0"/>
      </c:catAx>
      <c:valAx>
        <c:axId val="14391116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43909632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5.6488723732818227E-2"/>
          <c:y val="0.92551855049932219"/>
          <c:w val="0.85791641429436705"/>
          <c:h val="5.4945432468962857E-2"/>
        </c:manualLayout>
      </c:layout>
      <c:overlay val="0"/>
      <c:txPr>
        <a:bodyPr/>
        <a:lstStyle/>
        <a:p>
          <a:pPr>
            <a:defRPr sz="9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4774774774774775E-2"/>
          <c:y val="3.290949112550931E-2"/>
          <c:w val="0.9504504504504504"/>
          <c:h val="0.75418518267241086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'ACAD x ANTIG'!$A$25</c:f>
              <c:strCache>
                <c:ptCount val="1"/>
                <c:pt idx="0">
                  <c:v>HASTA 5 AÑOS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effectLst>
              <a:outerShdw blurRad="76200" dist="12700" dir="8100000" sy="-23000" kx="800400" algn="br" rotWithShape="0">
                <a:schemeClr val="tx1">
                  <a:alpha val="20000"/>
                </a:scheme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1C-4001-8B03-B27CE7272C95}"/>
                </c:ext>
              </c:extLst>
            </c:dLbl>
            <c:dLbl>
              <c:idx val="1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1C-4001-8B03-B27CE7272C95}"/>
                </c:ext>
              </c:extLst>
            </c:dLbl>
            <c:dLbl>
              <c:idx val="2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1C-4001-8B03-B27CE7272C95}"/>
                </c:ext>
              </c:extLst>
            </c:dLbl>
            <c:dLbl>
              <c:idx val="5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1C-4001-8B03-B27CE7272C95}"/>
                </c:ext>
              </c:extLst>
            </c:dLbl>
            <c:dLbl>
              <c:idx val="6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1C-4001-8B03-B27CE7272C95}"/>
                </c:ext>
              </c:extLst>
            </c:dLbl>
            <c:dLbl>
              <c:idx val="7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1C-4001-8B03-B27CE7272C95}"/>
                </c:ext>
              </c:extLst>
            </c:dLbl>
            <c:dLbl>
              <c:idx val="8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1C-4001-8B03-B27CE7272C95}"/>
                </c:ext>
              </c:extLst>
            </c:dLbl>
            <c:dLbl>
              <c:idx val="9"/>
              <c:layout>
                <c:manualLayout>
                  <c:x val="5.979073243647234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1C-4001-8B03-B27CE7272C95}"/>
                </c:ext>
              </c:extLst>
            </c:dLbl>
            <c:dLbl>
              <c:idx val="10"/>
              <c:layout>
                <c:manualLayout>
                  <c:x val="7.47384155455904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1C-4001-8B03-B27CE7272C95}"/>
                </c:ext>
              </c:extLst>
            </c:dLbl>
            <c:dLbl>
              <c:idx val="11"/>
              <c:layout>
                <c:manualLayout>
                  <c:x val="8.31600831600831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1C-4001-8B03-B27CE7272C95}"/>
                </c:ext>
              </c:extLst>
            </c:dLbl>
            <c:dLbl>
              <c:idx val="12"/>
              <c:layout>
                <c:manualLayout>
                  <c:x val="5.91016548463356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1C-4001-8B03-B27CE7272C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105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ANTIG'!$R$24:$V$24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'ACAD x ANTIG'!$R$25:$V$25</c:f>
              <c:numCache>
                <c:formatCode>0.0%</c:formatCode>
                <c:ptCount val="5"/>
                <c:pt idx="0">
                  <c:v>6.1204663212435235E-2</c:v>
                </c:pt>
                <c:pt idx="1">
                  <c:v>5.3671386236417519E-2</c:v>
                </c:pt>
                <c:pt idx="2">
                  <c:v>4.2838018741633198E-2</c:v>
                </c:pt>
                <c:pt idx="3">
                  <c:v>2.8659160696008188E-2</c:v>
                </c:pt>
                <c:pt idx="4">
                  <c:v>2.6205450733752619E-2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A1C-4001-8B03-B27CE7272C95}"/>
            </c:ext>
          </c:extLst>
        </c:ser>
        <c:ser>
          <c:idx val="1"/>
          <c:order val="1"/>
          <c:tx>
            <c:strRef>
              <c:f>'ACAD x ANTIG'!$A$26</c:f>
              <c:strCache>
                <c:ptCount val="1"/>
                <c:pt idx="0">
                  <c:v>6 - 10 AÑOS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1C-4001-8B03-B27CE7272C95}"/>
                </c:ext>
              </c:extLst>
            </c:dLbl>
            <c:dLbl>
              <c:idx val="1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A1C-4001-8B03-B27CE7272C95}"/>
                </c:ext>
              </c:extLst>
            </c:dLbl>
            <c:dLbl>
              <c:idx val="2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A1C-4001-8B03-B27CE7272C95}"/>
                </c:ext>
              </c:extLst>
            </c:dLbl>
            <c:dLbl>
              <c:idx val="5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A1C-4001-8B03-B27CE7272C95}"/>
                </c:ext>
              </c:extLst>
            </c:dLbl>
            <c:dLbl>
              <c:idx val="6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A1C-4001-8B03-B27CE7272C95}"/>
                </c:ext>
              </c:extLst>
            </c:dLbl>
            <c:dLbl>
              <c:idx val="7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A1C-4001-8B03-B27CE7272C95}"/>
                </c:ext>
              </c:extLst>
            </c:dLbl>
            <c:dLbl>
              <c:idx val="8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A1C-4001-8B03-B27CE7272C95}"/>
                </c:ext>
              </c:extLst>
            </c:dLbl>
            <c:dLbl>
              <c:idx val="9"/>
              <c:layout>
                <c:manualLayout>
                  <c:x val="7.47384155455904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A1C-4001-8B03-B27CE7272C95}"/>
                </c:ext>
              </c:extLst>
            </c:dLbl>
            <c:dLbl>
              <c:idx val="10"/>
              <c:layout>
                <c:manualLayout>
                  <c:x val="7.473841554559042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A1C-4001-8B03-B27CE7272C95}"/>
                </c:ext>
              </c:extLst>
            </c:dLbl>
            <c:dLbl>
              <c:idx val="11"/>
              <c:layout>
                <c:manualLayout>
                  <c:x val="8.3160083160083165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A1C-4001-8B03-B27CE7272C95}"/>
                </c:ext>
              </c:extLst>
            </c:dLbl>
            <c:dLbl>
              <c:idx val="12"/>
              <c:layout>
                <c:manualLayout>
                  <c:x val="9.45626477541371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A1C-4001-8B03-B27CE7272C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ANTIG'!$R$24:$V$24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'ACAD x ANTIG'!$R$26:$V$26</c:f>
              <c:numCache>
                <c:formatCode>0.0%</c:formatCode>
                <c:ptCount val="5"/>
                <c:pt idx="0">
                  <c:v>0.11107512953367876</c:v>
                </c:pt>
                <c:pt idx="1">
                  <c:v>0.10898913401382944</c:v>
                </c:pt>
                <c:pt idx="2">
                  <c:v>0.10843373493975904</c:v>
                </c:pt>
                <c:pt idx="3">
                  <c:v>0.10133060388945753</c:v>
                </c:pt>
                <c:pt idx="4">
                  <c:v>8.2459818308874916E-2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5A1C-4001-8B03-B27CE7272C95}"/>
            </c:ext>
          </c:extLst>
        </c:ser>
        <c:ser>
          <c:idx val="2"/>
          <c:order val="2"/>
          <c:tx>
            <c:strRef>
              <c:f>'ACAD x ANTIG'!$A$27</c:f>
              <c:strCache>
                <c:ptCount val="1"/>
                <c:pt idx="0">
                  <c:v>11 - 15 AÑOS</c:v>
                </c:pt>
              </c:strCache>
            </c:strRef>
          </c:tx>
          <c:spPr>
            <a:solidFill>
              <a:schemeClr val="tx1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A1C-4001-8B03-B27CE7272C95}"/>
                </c:ext>
              </c:extLst>
            </c:dLbl>
            <c:dLbl>
              <c:idx val="1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A1C-4001-8B03-B27CE7272C95}"/>
                </c:ext>
              </c:extLst>
            </c:dLbl>
            <c:dLbl>
              <c:idx val="2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A1C-4001-8B03-B27CE7272C95}"/>
                </c:ext>
              </c:extLst>
            </c:dLbl>
            <c:dLbl>
              <c:idx val="3"/>
              <c:layout>
                <c:manualLayout>
                  <c:x val="1.226993865030674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1D-45CB-8302-15C2589904A0}"/>
                </c:ext>
              </c:extLst>
            </c:dLbl>
            <c:dLbl>
              <c:idx val="4"/>
              <c:layout>
                <c:manualLayout>
                  <c:x val="1.840490797545997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1D-45CB-8302-15C2589904A0}"/>
                </c:ext>
              </c:extLst>
            </c:dLbl>
            <c:dLbl>
              <c:idx val="5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A1C-4001-8B03-B27CE7272C95}"/>
                </c:ext>
              </c:extLst>
            </c:dLbl>
            <c:dLbl>
              <c:idx val="6"/>
              <c:layout>
                <c:manualLayout>
                  <c:x val="1.0358859720647927E-2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A1C-4001-8B03-B27CE7272C95}"/>
                </c:ext>
              </c:extLst>
            </c:dLbl>
            <c:dLbl>
              <c:idx val="7"/>
              <c:layout>
                <c:manualLayout>
                  <c:x val="1.0358859720647927E-2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A1C-4001-8B03-B27CE7272C95}"/>
                </c:ext>
              </c:extLst>
            </c:dLbl>
            <c:dLbl>
              <c:idx val="8"/>
              <c:layout>
                <c:manualLayout>
                  <c:x val="1.208533634075591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A1C-4001-8B03-B27CE7272C95}"/>
                </c:ext>
              </c:extLst>
            </c:dLbl>
            <c:dLbl>
              <c:idx val="9"/>
              <c:layout>
                <c:manualLayout>
                  <c:x val="8.968609865470851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A1C-4001-8B03-B27CE7272C95}"/>
                </c:ext>
              </c:extLst>
            </c:dLbl>
            <c:dLbl>
              <c:idx val="10"/>
              <c:layout>
                <c:manualLayout>
                  <c:x val="8.9686098654708519E-3"/>
                  <c:y val="-6.51200567723833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A1C-4001-8B03-B27CE7272C95}"/>
                </c:ext>
              </c:extLst>
            </c:dLbl>
            <c:dLbl>
              <c:idx val="11"/>
              <c:layout>
                <c:manualLayout>
                  <c:x val="8.31600831600831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A1C-4001-8B03-B27CE7272C95}"/>
                </c:ext>
              </c:extLst>
            </c:dLbl>
            <c:dLbl>
              <c:idx val="12"/>
              <c:layout>
                <c:manualLayout>
                  <c:x val="8.2742316784869974E-3"/>
                  <c:y val="-8.221129287391800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A1C-4001-8B03-B27CE7272C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ANTIG'!$R$24:$V$24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'ACAD x ANTIG'!$R$27:$V$27</c:f>
              <c:numCache>
                <c:formatCode>0.0%</c:formatCode>
                <c:ptCount val="5"/>
                <c:pt idx="0">
                  <c:v>8.9054404145077717E-2</c:v>
                </c:pt>
                <c:pt idx="1">
                  <c:v>9.8123147843266381E-2</c:v>
                </c:pt>
                <c:pt idx="2">
                  <c:v>0.10977242302543508</c:v>
                </c:pt>
                <c:pt idx="3">
                  <c:v>0.1163425452064142</c:v>
                </c:pt>
                <c:pt idx="4">
                  <c:v>0.12578616352201258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5A1C-4001-8B03-B27CE7272C95}"/>
            </c:ext>
          </c:extLst>
        </c:ser>
        <c:ser>
          <c:idx val="3"/>
          <c:order val="3"/>
          <c:tx>
            <c:strRef>
              <c:f>'ACAD x ANTIG'!$A$28</c:f>
              <c:strCache>
                <c:ptCount val="1"/>
                <c:pt idx="0">
                  <c:v>16 - 20 AÑOS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A1C-4001-8B03-B27CE7272C95}"/>
                </c:ext>
              </c:extLst>
            </c:dLbl>
            <c:dLbl>
              <c:idx val="1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A1C-4001-8B03-B27CE7272C95}"/>
                </c:ext>
              </c:extLst>
            </c:dLbl>
            <c:dLbl>
              <c:idx val="2"/>
              <c:layout>
                <c:manualLayout>
                  <c:x val="1.208533634075591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A1C-4001-8B03-B27CE7272C95}"/>
                </c:ext>
              </c:extLst>
            </c:dLbl>
            <c:dLbl>
              <c:idx val="5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5A1C-4001-8B03-B27CE7272C95}"/>
                </c:ext>
              </c:extLst>
            </c:dLbl>
            <c:dLbl>
              <c:idx val="6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A1C-4001-8B03-B27CE7272C95}"/>
                </c:ext>
              </c:extLst>
            </c:dLbl>
            <c:dLbl>
              <c:idx val="7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5A1C-4001-8B03-B27CE7272C95}"/>
                </c:ext>
              </c:extLst>
            </c:dLbl>
            <c:dLbl>
              <c:idx val="8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5A1C-4001-8B03-B27CE7272C95}"/>
                </c:ext>
              </c:extLst>
            </c:dLbl>
            <c:dLbl>
              <c:idx val="9"/>
              <c:layout>
                <c:manualLayout>
                  <c:x val="7.473841554559042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A1C-4001-8B03-B27CE7272C95}"/>
                </c:ext>
              </c:extLst>
            </c:dLbl>
            <c:dLbl>
              <c:idx val="10"/>
              <c:layout>
                <c:manualLayout>
                  <c:x val="7.473841554558933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A1C-4001-8B03-B27CE7272C95}"/>
                </c:ext>
              </c:extLst>
            </c:dLbl>
            <c:dLbl>
              <c:idx val="11"/>
              <c:layout>
                <c:manualLayout>
                  <c:x val="5.5440055440055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5A1C-4001-8B03-B27CE7272C95}"/>
                </c:ext>
              </c:extLst>
            </c:dLbl>
            <c:dLbl>
              <c:idx val="12"/>
              <c:layout>
                <c:manualLayout>
                  <c:x val="7.0921985815602835E-3"/>
                  <c:y val="-2.2421520705215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A1C-4001-8B03-B27CE7272C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ANTIG'!$R$24:$V$24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'ACAD x ANTIG'!$R$28:$V$28</c:f>
              <c:numCache>
                <c:formatCode>0.0%</c:formatCode>
                <c:ptCount val="5"/>
                <c:pt idx="0">
                  <c:v>6.8976683937823829E-2</c:v>
                </c:pt>
                <c:pt idx="1">
                  <c:v>6.6842278564372734E-2</c:v>
                </c:pt>
                <c:pt idx="2">
                  <c:v>6.659973226238286E-2</c:v>
                </c:pt>
                <c:pt idx="3">
                  <c:v>7.1306721255544186E-2</c:v>
                </c:pt>
                <c:pt idx="4">
                  <c:v>8.1411600279524807E-2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7-5A1C-4001-8B03-B27CE7272C95}"/>
            </c:ext>
          </c:extLst>
        </c:ser>
        <c:ser>
          <c:idx val="4"/>
          <c:order val="4"/>
          <c:tx>
            <c:strRef>
              <c:f>'ACAD x ANTIG'!$A$29</c:f>
              <c:strCache>
                <c:ptCount val="1"/>
                <c:pt idx="0">
                  <c:v>21 - 25 AÑOS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179429860323963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A1C-4001-8B03-B27CE7272C95}"/>
                </c:ext>
              </c:extLst>
            </c:dLbl>
            <c:dLbl>
              <c:idx val="1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5A1C-4001-8B03-B27CE7272C95}"/>
                </c:ext>
              </c:extLst>
            </c:dLbl>
            <c:dLbl>
              <c:idx val="2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A1C-4001-8B03-B27CE7272C95}"/>
                </c:ext>
              </c:extLst>
            </c:dLbl>
            <c:dLbl>
              <c:idx val="5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5A1C-4001-8B03-B27CE7272C95}"/>
                </c:ext>
              </c:extLst>
            </c:dLbl>
            <c:dLbl>
              <c:idx val="6"/>
              <c:layout>
                <c:manualLayout>
                  <c:x val="1.035885972064792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A1C-4001-8B03-B27CE7272C95}"/>
                </c:ext>
              </c:extLst>
            </c:dLbl>
            <c:dLbl>
              <c:idx val="7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5A1C-4001-8B03-B27CE7272C95}"/>
                </c:ext>
              </c:extLst>
            </c:dLbl>
            <c:dLbl>
              <c:idx val="8"/>
              <c:layout>
                <c:manualLayout>
                  <c:x val="1.0358859720647927E-2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5A1C-4001-8B03-B27CE7272C95}"/>
                </c:ext>
              </c:extLst>
            </c:dLbl>
            <c:dLbl>
              <c:idx val="9"/>
              <c:layout>
                <c:manualLayout>
                  <c:x val="8.9686098654708519E-3"/>
                  <c:y val="5.969269579956908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5A1C-4001-8B03-B27CE7272C95}"/>
                </c:ext>
              </c:extLst>
            </c:dLbl>
            <c:dLbl>
              <c:idx val="10"/>
              <c:layout>
                <c:manualLayout>
                  <c:x val="7.4738415545589337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5A1C-4001-8B03-B27CE7272C95}"/>
                </c:ext>
              </c:extLst>
            </c:dLbl>
            <c:dLbl>
              <c:idx val="11"/>
              <c:layout>
                <c:manualLayout>
                  <c:x val="8.3160083160083165E-3"/>
                  <c:y val="5.969269579956908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5A1C-4001-8B03-B27CE7272C95}"/>
                </c:ext>
              </c:extLst>
            </c:dLbl>
            <c:dLbl>
              <c:idx val="12"/>
              <c:layout>
                <c:manualLayout>
                  <c:x val="7.092198581560283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5A1C-4001-8B03-B27CE7272C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ANTIG'!$R$24:$V$24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'ACAD x ANTIG'!$R$29:$V$29</c:f>
              <c:numCache>
                <c:formatCode>0.0%</c:formatCode>
                <c:ptCount val="5"/>
                <c:pt idx="0">
                  <c:v>9.3588082901554404E-2</c:v>
                </c:pt>
                <c:pt idx="1">
                  <c:v>9.0220612446493251E-2</c:v>
                </c:pt>
                <c:pt idx="2">
                  <c:v>8.4002677376171356E-2</c:v>
                </c:pt>
                <c:pt idx="3">
                  <c:v>7.8812691914022515E-2</c:v>
                </c:pt>
                <c:pt idx="4">
                  <c:v>7.6519916142557654E-2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5-5A1C-4001-8B03-B27CE7272C95}"/>
            </c:ext>
          </c:extLst>
        </c:ser>
        <c:ser>
          <c:idx val="5"/>
          <c:order val="5"/>
          <c:tx>
            <c:strRef>
              <c:f>'ACAD x ANTIG'!$A$30</c:f>
              <c:strCache>
                <c:ptCount val="1"/>
                <c:pt idx="0">
                  <c:v>26 - 30 AÑOS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5A1C-4001-8B03-B27CE7272C95}"/>
                </c:ext>
              </c:extLst>
            </c:dLbl>
            <c:dLbl>
              <c:idx val="1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5A1C-4001-8B03-B27CE7272C95}"/>
                </c:ext>
              </c:extLst>
            </c:dLbl>
            <c:dLbl>
              <c:idx val="2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5A1C-4001-8B03-B27CE7272C95}"/>
                </c:ext>
              </c:extLst>
            </c:dLbl>
            <c:dLbl>
              <c:idx val="5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5A1C-4001-8B03-B27CE7272C95}"/>
                </c:ext>
              </c:extLst>
            </c:dLbl>
            <c:dLbl>
              <c:idx val="6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5A1C-4001-8B03-B27CE7272C95}"/>
                </c:ext>
              </c:extLst>
            </c:dLbl>
            <c:dLbl>
              <c:idx val="7"/>
              <c:layout>
                <c:manualLayout>
                  <c:x val="1.035885972064792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5A1C-4001-8B03-B27CE7272C95}"/>
                </c:ext>
              </c:extLst>
            </c:dLbl>
            <c:dLbl>
              <c:idx val="8"/>
              <c:layout>
                <c:manualLayout>
                  <c:x val="1.2085336340755913E-2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5A1C-4001-8B03-B27CE7272C95}"/>
                </c:ext>
              </c:extLst>
            </c:dLbl>
            <c:dLbl>
              <c:idx val="9"/>
              <c:layout>
                <c:manualLayout>
                  <c:x val="8.968609865470851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5A1C-4001-8B03-B27CE7272C95}"/>
                </c:ext>
              </c:extLst>
            </c:dLbl>
            <c:dLbl>
              <c:idx val="10"/>
              <c:layout>
                <c:manualLayout>
                  <c:x val="7.4738415545589337E-3"/>
                  <c:y val="-6.51200567723833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5A1C-4001-8B03-B27CE7272C95}"/>
                </c:ext>
              </c:extLst>
            </c:dLbl>
            <c:dLbl>
              <c:idx val="11"/>
              <c:layout>
                <c:manualLayout>
                  <c:x val="6.930006930006929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5A1C-4001-8B03-B27CE7272C95}"/>
                </c:ext>
              </c:extLst>
            </c:dLbl>
            <c:dLbl>
              <c:idx val="12"/>
              <c:layout>
                <c:manualLayout>
                  <c:x val="8.2742316784869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5A1C-4001-8B03-B27CE7272C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anchor="b" anchorCtr="1"/>
              <a:lstStyle/>
              <a:p>
                <a:pPr>
                  <a:defRPr sz="105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ANTIG'!$R$24:$V$24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'ACAD x ANTIG'!$R$30:$V$30</c:f>
              <c:numCache>
                <c:formatCode>0.0%</c:formatCode>
                <c:ptCount val="5"/>
                <c:pt idx="0">
                  <c:v>0.14507772020725387</c:v>
                </c:pt>
                <c:pt idx="1">
                  <c:v>0.13368455712874547</c:v>
                </c:pt>
                <c:pt idx="2">
                  <c:v>0.11947791164658635</c:v>
                </c:pt>
                <c:pt idx="3">
                  <c:v>0.11020129648584101</c:v>
                </c:pt>
                <c:pt idx="4">
                  <c:v>9.7484276729559755E-2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3-5A1C-4001-8B03-B27CE7272C95}"/>
            </c:ext>
          </c:extLst>
        </c:ser>
        <c:ser>
          <c:idx val="6"/>
          <c:order val="6"/>
          <c:tx>
            <c:strRef>
              <c:f>'ACAD x ANTIG'!$A$31</c:f>
              <c:strCache>
                <c:ptCount val="1"/>
                <c:pt idx="0">
                  <c:v>31 - 35 AÑOS</c:v>
                </c:pt>
              </c:strCache>
            </c:strRef>
          </c:tx>
          <c:spPr>
            <a:solidFill>
              <a:srgbClr val="FFC0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6.541380872089533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5A1C-4001-8B03-B27CE7272C95}"/>
                </c:ext>
              </c:extLst>
            </c:dLbl>
            <c:dLbl>
              <c:idx val="1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5A1C-4001-8B03-B27CE7272C95}"/>
                </c:ext>
              </c:extLst>
            </c:dLbl>
            <c:dLbl>
              <c:idx val="2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5A1C-4001-8B03-B27CE7272C95}"/>
                </c:ext>
              </c:extLst>
            </c:dLbl>
            <c:dLbl>
              <c:idx val="5"/>
              <c:layout>
                <c:manualLayout>
                  <c:x val="1.035885972064792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5A1C-4001-8B03-B27CE7272C95}"/>
                </c:ext>
              </c:extLst>
            </c:dLbl>
            <c:dLbl>
              <c:idx val="6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5A1C-4001-8B03-B27CE7272C95}"/>
                </c:ext>
              </c:extLst>
            </c:dLbl>
            <c:dLbl>
              <c:idx val="7"/>
              <c:layout>
                <c:manualLayout>
                  <c:x val="6.9570967090652131E-3"/>
                  <c:y val="-3.25594204364711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5A1C-4001-8B03-B27CE7272C95}"/>
                </c:ext>
              </c:extLst>
            </c:dLbl>
            <c:dLbl>
              <c:idx val="8"/>
              <c:layout>
                <c:manualLayout>
                  <c:x val="6.5126186149809138E-3"/>
                  <c:y val="-3.25594204364711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5A1C-4001-8B03-B27CE7272C95}"/>
                </c:ext>
              </c:extLst>
            </c:dLbl>
            <c:dLbl>
              <c:idx val="9"/>
              <c:layout>
                <c:manualLayout>
                  <c:x val="6.4045023218251562E-3"/>
                  <c:y val="-3.25594204364711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5A1C-4001-8B03-B27CE7272C95}"/>
                </c:ext>
              </c:extLst>
            </c:dLbl>
            <c:dLbl>
              <c:idx val="10"/>
              <c:layout>
                <c:manualLayout>
                  <c:x val="7.4738415545589337E-3"/>
                  <c:y val="-6.51200567723833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5A1C-4001-8B03-B27CE7272C95}"/>
                </c:ext>
              </c:extLst>
            </c:dLbl>
            <c:dLbl>
              <c:idx val="11"/>
              <c:layout>
                <c:manualLayout>
                  <c:x val="8.31600831600831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5A1C-4001-8B03-B27CE7272C95}"/>
                </c:ext>
              </c:extLst>
            </c:dLbl>
            <c:dLbl>
              <c:idx val="12"/>
              <c:layout>
                <c:manualLayout>
                  <c:x val="9.45626477541371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5A1C-4001-8B03-B27CE7272C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anchor="b" anchorCtr="0"/>
              <a:lstStyle/>
              <a:p>
                <a:pPr>
                  <a:defRPr sz="105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ANTIG'!$R$24:$V$24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'ACAD x ANTIG'!$R$31:$V$31</c:f>
              <c:numCache>
                <c:formatCode>0.0%</c:formatCode>
                <c:ptCount val="5"/>
                <c:pt idx="0">
                  <c:v>0.16871761658031087</c:v>
                </c:pt>
                <c:pt idx="1">
                  <c:v>0.16430688179124137</c:v>
                </c:pt>
                <c:pt idx="2">
                  <c:v>0.16265060240963855</c:v>
                </c:pt>
                <c:pt idx="3">
                  <c:v>0.15796656431252132</c:v>
                </c:pt>
                <c:pt idx="4">
                  <c:v>0.15129280223619845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61-5A1C-4001-8B03-B27CE7272C95}"/>
            </c:ext>
          </c:extLst>
        </c:ser>
        <c:ser>
          <c:idx val="7"/>
          <c:order val="7"/>
          <c:tx>
            <c:strRef>
              <c:f>'ACAD x ANTIG'!$A$32</c:f>
              <c:strCache>
                <c:ptCount val="1"/>
                <c:pt idx="0">
                  <c:v>36 - 40 AÑOS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1.801801801801801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5A1C-4001-8B03-B27CE7272C95}"/>
                </c:ext>
              </c:extLst>
            </c:dLbl>
            <c:dLbl>
              <c:idx val="1"/>
              <c:layout>
                <c:manualLayout>
                  <c:x val="1.0296010296010202E-2"/>
                  <c:y val="-2.742425913054274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5A1C-4001-8B03-B27CE7272C95}"/>
                </c:ext>
              </c:extLst>
            </c:dLbl>
            <c:dLbl>
              <c:idx val="2"/>
              <c:layout>
                <c:manualLayout>
                  <c:x val="1.5444015444015349E-2"/>
                  <c:y val="-2.99177192050084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5A1C-4001-8B03-B27CE7272C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'ACAD x ANTIG'!$R$24:$V$24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'ACAD x ANTIG'!$R$32:$V$32</c:f>
              <c:numCache>
                <c:formatCode>0.0%</c:formatCode>
                <c:ptCount val="5"/>
                <c:pt idx="0">
                  <c:v>0.16904145077720206</c:v>
                </c:pt>
                <c:pt idx="1">
                  <c:v>0.16957523872242344</c:v>
                </c:pt>
                <c:pt idx="2">
                  <c:v>0.16599732262382866</c:v>
                </c:pt>
                <c:pt idx="3">
                  <c:v>0.16751961787785738</c:v>
                </c:pt>
                <c:pt idx="4">
                  <c:v>0.16037735849056603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67-5A1C-4001-8B03-B27CE7272C95}"/>
            </c:ext>
          </c:extLst>
        </c:ser>
        <c:ser>
          <c:idx val="8"/>
          <c:order val="8"/>
          <c:tx>
            <c:strRef>
              <c:f>'ACAD x ANTIG'!$A$33</c:f>
              <c:strCache>
                <c:ptCount val="1"/>
                <c:pt idx="0">
                  <c:v>MÁS DE 40 AÑOS</c:v>
                </c:pt>
              </c:strCache>
            </c:strRef>
          </c:tx>
          <c:spPr>
            <a:solidFill>
              <a:srgbClr val="AD25A8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1.0296010296010296E-2"/>
                  <c:y val="-1.7950631523005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5A1C-4001-8B03-B27CE7272C95}"/>
                </c:ext>
              </c:extLst>
            </c:dLbl>
            <c:dLbl>
              <c:idx val="1"/>
              <c:layout>
                <c:manualLayout>
                  <c:x val="1.5444015444015444E-2"/>
                  <c:y val="-8.97531576150253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5A1C-4001-8B03-B27CE7272C95}"/>
                </c:ext>
              </c:extLst>
            </c:dLbl>
            <c:dLbl>
              <c:idx val="2"/>
              <c:layout>
                <c:manualLayout>
                  <c:x val="2.0592020592020591E-2"/>
                  <c:y val="-8.9753157615025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5A1C-4001-8B03-B27CE7272C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'ACAD x ANTIG'!$R$24:$V$24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'ACAD x ANTIG'!$R$33:$V$33</c:f>
              <c:numCache>
                <c:formatCode>0.0%</c:formatCode>
                <c:ptCount val="5"/>
                <c:pt idx="0">
                  <c:v>9.3264248704663211E-2</c:v>
                </c:pt>
                <c:pt idx="1">
                  <c:v>0.11458676325321041</c:v>
                </c:pt>
                <c:pt idx="2">
                  <c:v>0.14022757697456492</c:v>
                </c:pt>
                <c:pt idx="3">
                  <c:v>0.16786079836233367</c:v>
                </c:pt>
                <c:pt idx="4">
                  <c:v>0.19846261355695319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6D-5A1C-4001-8B03-B27CE7272C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9"/>
        <c:gapDepth val="99"/>
        <c:shape val="cylinder"/>
        <c:axId val="144122240"/>
        <c:axId val="144123776"/>
        <c:axId val="0"/>
      </c:bar3DChart>
      <c:catAx>
        <c:axId val="14412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0"/>
            </a:pPr>
            <a:endParaRPr lang="es-MX"/>
          </a:p>
        </c:txPr>
        <c:crossAx val="144123776"/>
        <c:crosses val="autoZero"/>
        <c:auto val="1"/>
        <c:lblAlgn val="ctr"/>
        <c:lblOffset val="100"/>
        <c:noMultiLvlLbl val="0"/>
      </c:catAx>
      <c:valAx>
        <c:axId val="14412377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44122240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7.703663754359473E-2"/>
          <c:y val="0.87166664782085934"/>
          <c:w val="0.83558048394635598"/>
          <c:h val="0.12833335217914071"/>
        </c:manualLayout>
      </c:layout>
      <c:overlay val="0"/>
      <c:txPr>
        <a:bodyPr/>
        <a:lstStyle/>
        <a:p>
          <a:pPr>
            <a:defRPr sz="11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0">
                <a:solidFill>
                  <a:sysClr val="windowText" lastClr="000000"/>
                </a:solidFill>
              </a:defRPr>
            </a:pPr>
            <a:r>
              <a:rPr lang="es-MX" sz="1200" b="0" i="0">
                <a:solidFill>
                  <a:sysClr val="windowText" lastClr="000000"/>
                </a:solidFill>
              </a:rPr>
              <a:t>Alumnos</a:t>
            </a:r>
            <a:r>
              <a:rPr lang="es-MX" sz="1200" b="0" i="0" baseline="0">
                <a:solidFill>
                  <a:sysClr val="windowText" lastClr="000000"/>
                </a:solidFill>
              </a:rPr>
              <a:t> atendidos de </a:t>
            </a:r>
            <a:r>
              <a:rPr lang="es-MX" sz="1200" b="0" i="0">
                <a:solidFill>
                  <a:sysClr val="windowText" lastClr="000000"/>
                </a:solidFill>
              </a:rPr>
              <a:t>Licenciatura y</a:t>
            </a:r>
            <a:r>
              <a:rPr lang="es-MX" sz="1200" b="0" i="0" baseline="0">
                <a:solidFill>
                  <a:sysClr val="windowText" lastClr="000000"/>
                </a:solidFill>
              </a:rPr>
              <a:t> Posgrado </a:t>
            </a:r>
            <a:r>
              <a:rPr lang="es-MX" sz="1200" b="0" i="0">
                <a:solidFill>
                  <a:sysClr val="windowText" lastClr="000000"/>
                </a:solidFill>
              </a:rPr>
              <a:t>por Personal Académico Definitivo</a:t>
            </a:r>
          </a:p>
        </c:rich>
      </c:tx>
      <c:layout>
        <c:manualLayout>
          <c:xMode val="edge"/>
          <c:yMode val="edge"/>
          <c:x val="2.1129687693332098E-2"/>
          <c:y val="2.003635633030682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1.5930485155684286E-2"/>
          <c:y val="4.7918902802623738E-2"/>
          <c:w val="0.96813902968863141"/>
          <c:h val="0.83199207433596745"/>
        </c:manualLayout>
      </c:layout>
      <c:lineChart>
        <c:grouping val="standard"/>
        <c:varyColors val="0"/>
        <c:ser>
          <c:idx val="0"/>
          <c:order val="0"/>
          <c:tx>
            <c:strRef>
              <c:f>'Alumnos x PTC'!$B$9</c:f>
              <c:strCache>
                <c:ptCount val="1"/>
                <c:pt idx="0">
                  <c:v>Azcapotzalco</c:v>
                </c:pt>
              </c:strCache>
            </c:strRef>
          </c:tx>
          <c:spPr>
            <a:ln>
              <a:solidFill>
                <a:srgbClr val="CD032E"/>
              </a:solidFill>
            </a:ln>
          </c:spPr>
          <c:marker>
            <c:symbol val="diamond"/>
            <c:size val="8"/>
            <c:spPr>
              <a:noFill/>
              <a:ln>
                <a:solidFill>
                  <a:srgbClr val="CD032E"/>
                </a:solidFill>
              </a:ln>
            </c:spPr>
          </c:marker>
          <c:dLbls>
            <c:dLbl>
              <c:idx val="1"/>
              <c:layout>
                <c:manualLayout>
                  <c:x val="-2.8772714055203621E-2"/>
                  <c:y val="-2.7185403255720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96-4AE3-BE42-267A991ACC50}"/>
                </c:ext>
              </c:extLst>
            </c:dLbl>
            <c:dLbl>
              <c:idx val="12"/>
              <c:layout>
                <c:manualLayout>
                  <c:x val="-1.7098387283444611E-2"/>
                  <c:y val="5.21396071165844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DF-4B90-B9ED-E8C185BAA5A2}"/>
                </c:ext>
              </c:extLst>
            </c:dLbl>
            <c:dLbl>
              <c:idx val="18"/>
              <c:layout>
                <c:manualLayout>
                  <c:x val="-1.6580249776742363E-2"/>
                  <c:y val="2.2151141141959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0D-4062-89CC-7CA28DEAE3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rgbClr val="CD032E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('Alumnos x PTC'!$C$4:$P$4,'Alumnos x PTC'!$Q$4,'Alumnos x PTC'!$R$4,'Alumnos x PTC'!$S$4,'Alumnos x PTC'!$T$4,'Alumnos x PTC'!$U$4)</c:f>
              <c:numCache>
                <c:formatCode>General</c:formatCode>
                <c:ptCount val="19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</c:numCache>
            </c:numRef>
          </c:cat>
          <c:val>
            <c:numRef>
              <c:f>('Alumnos x PTC'!$C$9:$N$9,'Alumnos x PTC'!$O$9,'Alumnos x PTC'!$P$9,'Alumnos x PTC'!$Q$9,'Alumnos x PTC'!$R$9,'Alumnos x PTC'!$S$9,'Alumnos x PTC'!$T$9,'Alumnos x PTC'!$U$9)</c:f>
              <c:numCache>
                <c:formatCode>0.0</c:formatCode>
                <c:ptCount val="19"/>
                <c:pt idx="0">
                  <c:v>17.913734392735527</c:v>
                </c:pt>
                <c:pt idx="1">
                  <c:v>18.312191416635017</c:v>
                </c:pt>
                <c:pt idx="2">
                  <c:v>18.053333333333335</c:v>
                </c:pt>
                <c:pt idx="3">
                  <c:v>18.334858188472094</c:v>
                </c:pt>
                <c:pt idx="4">
                  <c:v>18.798826334128002</c:v>
                </c:pt>
                <c:pt idx="5">
                  <c:v>19.046473482777476</c:v>
                </c:pt>
                <c:pt idx="6">
                  <c:v>19.829361469892671</c:v>
                </c:pt>
                <c:pt idx="7">
                  <c:v>20.189788922965903</c:v>
                </c:pt>
                <c:pt idx="8">
                  <c:v>20.465650224215249</c:v>
                </c:pt>
                <c:pt idx="9">
                  <c:v>20.616852146263913</c:v>
                </c:pt>
                <c:pt idx="10">
                  <c:v>20.196187175043327</c:v>
                </c:pt>
                <c:pt idx="11">
                  <c:v>20.456960680127523</c:v>
                </c:pt>
                <c:pt idx="12">
                  <c:v>20.804112554112553</c:v>
                </c:pt>
                <c:pt idx="13">
                  <c:v>20.344434550311664</c:v>
                </c:pt>
                <c:pt idx="14">
                  <c:v>20.159747766684184</c:v>
                </c:pt>
                <c:pt idx="15">
                  <c:v>21.13699115044248</c:v>
                </c:pt>
                <c:pt idx="16">
                  <c:v>21.255239118753359</c:v>
                </c:pt>
                <c:pt idx="17">
                  <c:v>22.548740416210297</c:v>
                </c:pt>
                <c:pt idx="18">
                  <c:v>24.483606557377048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96-4AE3-BE42-267A991ACC50}"/>
            </c:ext>
          </c:extLst>
        </c:ser>
        <c:ser>
          <c:idx val="1"/>
          <c:order val="1"/>
          <c:tx>
            <c:strRef>
              <c:f>'Alumnos x PTC'!$B$14</c:f>
              <c:strCache>
                <c:ptCount val="1"/>
                <c:pt idx="0">
                  <c:v>Cuajimalpa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diamond"/>
            <c:size val="7"/>
            <c:spPr>
              <a:noFill/>
              <a:ln>
                <a:solidFill>
                  <a:srgbClr val="F08200"/>
                </a:solidFill>
              </a:ln>
            </c:spPr>
          </c:marker>
          <c:dLbls>
            <c:dLbl>
              <c:idx val="3"/>
              <c:layout>
                <c:manualLayout>
                  <c:x val="-2.6600375170337597E-2"/>
                  <c:y val="-4.26892792247124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96-4AE3-BE42-267A991ACC50}"/>
                </c:ext>
              </c:extLst>
            </c:dLbl>
            <c:dLbl>
              <c:idx val="11"/>
              <c:layout>
                <c:manualLayout>
                  <c:x val="-2.3703923323849543E-2"/>
                  <c:y val="2.6481859713868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96-4AE3-BE42-267A991ACC50}"/>
                </c:ext>
              </c:extLst>
            </c:dLbl>
            <c:dLbl>
              <c:idx val="12"/>
              <c:layout>
                <c:manualLayout>
                  <c:x val="-1.7332572404627829E-2"/>
                  <c:y val="3.19125593729849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96-4AE3-BE42-267A991ACC50}"/>
                </c:ext>
              </c:extLst>
            </c:dLbl>
            <c:dLbl>
              <c:idx val="13"/>
              <c:layout>
                <c:manualLayout>
                  <c:x val="-1.8925414353616339E-2"/>
                  <c:y val="-2.61495427258443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96-4AE3-BE42-267A991ACC50}"/>
                </c:ext>
              </c:extLst>
            </c:dLbl>
            <c:dLbl>
              <c:idx val="14"/>
              <c:layout>
                <c:manualLayout>
                  <c:x val="-2.1088633560946948E-2"/>
                  <c:y val="-3.514154156335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96-4AE3-BE42-267A991ACC50}"/>
                </c:ext>
              </c:extLst>
            </c:dLbl>
            <c:dLbl>
              <c:idx val="15"/>
              <c:layout>
                <c:manualLayout>
                  <c:x val="-2.8722780559320003E-2"/>
                  <c:y val="-2.64823336937074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96-4AE3-BE42-267A991ACC50}"/>
                </c:ext>
              </c:extLst>
            </c:dLbl>
            <c:dLbl>
              <c:idx val="16"/>
              <c:layout>
                <c:manualLayout>
                  <c:x val="-1.301451484808697E-2"/>
                  <c:y val="2.10731184553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96-4AE3-BE42-267A991ACC50}"/>
                </c:ext>
              </c:extLst>
            </c:dLbl>
            <c:dLbl>
              <c:idx val="17"/>
              <c:layout>
                <c:manualLayout>
                  <c:x val="-1.6979769233182673E-2"/>
                  <c:y val="-2.4741440169273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DF-4B90-B9ED-E8C185BAA5A2}"/>
                </c:ext>
              </c:extLst>
            </c:dLbl>
            <c:dLbl>
              <c:idx val="18"/>
              <c:layout>
                <c:manualLayout>
                  <c:x val="-1.9828098560994881E-2"/>
                  <c:y val="-2.7445167969920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10D-4062-89CC-7CA28DEAE3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08200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('Alumnos x PTC'!$C$4:$P$4,'Alumnos x PTC'!$Q$4,'Alumnos x PTC'!$R$4,'Alumnos x PTC'!$S$4,'Alumnos x PTC'!$T$4,'Alumnos x PTC'!$U$4)</c:f>
              <c:numCache>
                <c:formatCode>General</c:formatCode>
                <c:ptCount val="19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</c:numCache>
            </c:numRef>
          </c:cat>
          <c:val>
            <c:numRef>
              <c:f>('Alumnos x PTC'!$C$14:$Q$14,'Alumnos x PTC'!$R$14,'Alumnos x PTC'!$S$14,'Alumnos x PTC'!$T$14,'Alumnos x PTC'!$U$14)</c:f>
              <c:numCache>
                <c:formatCode>0.0</c:formatCode>
                <c:ptCount val="19"/>
                <c:pt idx="1">
                  <c:v>15.615384615384615</c:v>
                </c:pt>
                <c:pt idx="2">
                  <c:v>13.045454545454545</c:v>
                </c:pt>
                <c:pt idx="3">
                  <c:v>10.704761904761904</c:v>
                </c:pt>
                <c:pt idx="4">
                  <c:v>12.267605633802816</c:v>
                </c:pt>
                <c:pt idx="5">
                  <c:v>12.622754491017965</c:v>
                </c:pt>
                <c:pt idx="6">
                  <c:v>11.5311004784689</c:v>
                </c:pt>
                <c:pt idx="7">
                  <c:v>12.082530949105914</c:v>
                </c:pt>
                <c:pt idx="8">
                  <c:v>13.060606060606061</c:v>
                </c:pt>
                <c:pt idx="9">
                  <c:v>14.461538461538462</c:v>
                </c:pt>
                <c:pt idx="10">
                  <c:v>16.635428571428569</c:v>
                </c:pt>
                <c:pt idx="11">
                  <c:v>18.973333333333333</c:v>
                </c:pt>
                <c:pt idx="12">
                  <c:v>20.95864262990456</c:v>
                </c:pt>
                <c:pt idx="13">
                  <c:v>21.683049147442329</c:v>
                </c:pt>
                <c:pt idx="14">
                  <c:v>23.593846153846155</c:v>
                </c:pt>
                <c:pt idx="15">
                  <c:v>25.576374745417517</c:v>
                </c:pt>
                <c:pt idx="16">
                  <c:v>25.159362549800797</c:v>
                </c:pt>
                <c:pt idx="17">
                  <c:v>26.214566929133856</c:v>
                </c:pt>
                <c:pt idx="18">
                  <c:v>27.633136094674555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C96-4AE3-BE42-267A991ACC50}"/>
            </c:ext>
          </c:extLst>
        </c:ser>
        <c:ser>
          <c:idx val="2"/>
          <c:order val="2"/>
          <c:tx>
            <c:strRef>
              <c:f>'Alumnos x PTC'!$B$19</c:f>
              <c:strCache>
                <c:ptCount val="1"/>
                <c:pt idx="0">
                  <c:v>Iztapalapa</c:v>
                </c:pt>
              </c:strCache>
            </c:strRef>
          </c:tx>
          <c:spPr>
            <a:ln w="25400">
              <a:solidFill>
                <a:srgbClr val="57A519"/>
              </a:solidFill>
            </a:ln>
          </c:spPr>
          <c:marker>
            <c:symbol val="triangle"/>
            <c:size val="7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0"/>
              <c:layout>
                <c:manualLayout>
                  <c:x val="-4.6875538095753969E-2"/>
                  <c:y val="-3.36374947764803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96-4AE3-BE42-267A991ACC50}"/>
                </c:ext>
              </c:extLst>
            </c:dLbl>
            <c:dLbl>
              <c:idx val="1"/>
              <c:layout>
                <c:manualLayout>
                  <c:x val="-2.9496827016825648E-2"/>
                  <c:y val="2.3607585724414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96-4AE3-BE42-267A991ACC50}"/>
                </c:ext>
              </c:extLst>
            </c:dLbl>
            <c:dLbl>
              <c:idx val="4"/>
              <c:layout>
                <c:manualLayout>
                  <c:x val="-2.8048601093581621E-2"/>
                  <c:y val="-2.4096648026331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96-4AE3-BE42-267A991ACC50}"/>
                </c:ext>
              </c:extLst>
            </c:dLbl>
            <c:dLbl>
              <c:idx val="5"/>
              <c:layout>
                <c:manualLayout>
                  <c:x val="-2.6600375170337597E-2"/>
                  <c:y val="2.1222374036876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C96-4AE3-BE42-267A991ACC50}"/>
                </c:ext>
              </c:extLst>
            </c:dLbl>
            <c:dLbl>
              <c:idx val="6"/>
              <c:layout>
                <c:manualLayout>
                  <c:x val="-2.8048601093581677E-2"/>
                  <c:y val="-1.6941012963719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C96-4AE3-BE42-267A991ACC50}"/>
                </c:ext>
              </c:extLst>
            </c:dLbl>
            <c:dLbl>
              <c:idx val="13"/>
              <c:layout>
                <c:manualLayout>
                  <c:x val="-1.6463517326426442E-2"/>
                  <c:y val="-2.72989492230426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C96-4AE3-BE42-267A991ACC50}"/>
                </c:ext>
              </c:extLst>
            </c:dLbl>
            <c:dLbl>
              <c:idx val="14"/>
              <c:layout>
                <c:manualLayout>
                  <c:x val="-1.9402510540335059E-2"/>
                  <c:y val="1.8837162349339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C96-4AE3-BE42-267A991ACC50}"/>
                </c:ext>
              </c:extLst>
            </c:dLbl>
            <c:dLbl>
              <c:idx val="15"/>
              <c:layout>
                <c:manualLayout>
                  <c:x val="-2.2001636995375749E-2"/>
                  <c:y val="1.67617990643028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C96-4AE3-BE42-267A991ACC50}"/>
                </c:ext>
              </c:extLst>
            </c:dLbl>
            <c:dLbl>
              <c:idx val="16"/>
              <c:layout>
                <c:manualLayout>
                  <c:x val="-2.179211047631326E-2"/>
                  <c:y val="1.8171836895905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C96-4AE3-BE42-267A991ACC50}"/>
                </c:ext>
              </c:extLst>
            </c:dLbl>
            <c:dLbl>
              <c:idx val="17"/>
              <c:layout>
                <c:manualLayout>
                  <c:x val="-1.6979769233182673E-2"/>
                  <c:y val="2.02006767167705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DF-4B90-B9ED-E8C185BAA5A2}"/>
                </c:ext>
              </c:extLst>
            </c:dLbl>
            <c:dLbl>
              <c:idx val="18"/>
              <c:layout>
                <c:manualLayout>
                  <c:x val="-1.426035778799066E-2"/>
                  <c:y val="1.5911142595064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0D-4062-89CC-7CA28DEAE3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('Alumnos x PTC'!$C$4:$P$4,'Alumnos x PTC'!$Q$4,'Alumnos x PTC'!$R$4,'Alumnos x PTC'!$S$4,'Alumnos x PTC'!$T$4,'Alumnos x PTC'!$U$4)</c:f>
              <c:numCache>
                <c:formatCode>General</c:formatCode>
                <c:ptCount val="19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</c:numCache>
            </c:numRef>
          </c:cat>
          <c:val>
            <c:numRef>
              <c:f>('Alumnos x PTC'!$C$19:$N$19,'Alumnos x PTC'!$O$19,'Alumnos x PTC'!$P$19,'Alumnos x PTC'!$Q$19,'Alumnos x PTC'!$R$19,'Alumnos x PTC'!$S$19,'Alumnos x PTC'!$T$19,'Alumnos x PTC'!$U$19)</c:f>
              <c:numCache>
                <c:formatCode>0.0</c:formatCode>
                <c:ptCount val="19"/>
                <c:pt idx="0">
                  <c:v>18.147106109324756</c:v>
                </c:pt>
                <c:pt idx="1">
                  <c:v>18.033843674456083</c:v>
                </c:pt>
                <c:pt idx="2">
                  <c:v>18.071041541240216</c:v>
                </c:pt>
                <c:pt idx="3">
                  <c:v>18.331398839303581</c:v>
                </c:pt>
                <c:pt idx="4">
                  <c:v>19.149959903769044</c:v>
                </c:pt>
                <c:pt idx="5">
                  <c:v>19.799274486094316</c:v>
                </c:pt>
                <c:pt idx="6">
                  <c:v>21.158592964824123</c:v>
                </c:pt>
                <c:pt idx="7">
                  <c:v>21.775955191038207</c:v>
                </c:pt>
                <c:pt idx="8">
                  <c:v>22.755466399197591</c:v>
                </c:pt>
                <c:pt idx="9">
                  <c:v>23.427440110869135</c:v>
                </c:pt>
                <c:pt idx="10">
                  <c:v>23.728178090216755</c:v>
                </c:pt>
                <c:pt idx="11">
                  <c:v>23.809767625049229</c:v>
                </c:pt>
                <c:pt idx="12">
                  <c:v>24.194928684627573</c:v>
                </c:pt>
                <c:pt idx="13">
                  <c:v>23.576892430278885</c:v>
                </c:pt>
                <c:pt idx="14">
                  <c:v>23.132844981191841</c:v>
                </c:pt>
                <c:pt idx="15">
                  <c:v>23.485015290519879</c:v>
                </c:pt>
                <c:pt idx="16">
                  <c:v>22.995031055900622</c:v>
                </c:pt>
                <c:pt idx="17">
                  <c:v>23.366071428571427</c:v>
                </c:pt>
                <c:pt idx="18">
                  <c:v>25.243675099866845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C96-4AE3-BE42-267A991ACC50}"/>
            </c:ext>
          </c:extLst>
        </c:ser>
        <c:ser>
          <c:idx val="3"/>
          <c:order val="3"/>
          <c:tx>
            <c:strRef>
              <c:f>'Alumnos x PTC'!$B$24</c:f>
              <c:strCache>
                <c:ptCount val="1"/>
                <c:pt idx="0">
                  <c:v>Lerma</c:v>
                </c:pt>
              </c:strCache>
            </c:strRef>
          </c:tx>
          <c:spPr>
            <a:ln w="25400">
              <a:solidFill>
                <a:srgbClr val="AD25A8"/>
              </a:solidFill>
            </a:ln>
          </c:spPr>
          <c:marker>
            <c:symbol val="circle"/>
            <c:size val="7"/>
            <c:spPr>
              <a:noFill/>
              <a:ln>
                <a:solidFill>
                  <a:srgbClr val="AD25A8"/>
                </a:solidFill>
              </a:ln>
            </c:spPr>
          </c:marker>
          <c:dLbls>
            <c:dLbl>
              <c:idx val="7"/>
              <c:layout>
                <c:manualLayout>
                  <c:x val="-2.9496827016825648E-2"/>
                  <c:y val="-2.83780090994887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C96-4AE3-BE42-267A991ACC50}"/>
                </c:ext>
              </c:extLst>
            </c:dLbl>
            <c:dLbl>
              <c:idx val="8"/>
              <c:layout>
                <c:manualLayout>
                  <c:x val="-2.6600375170337597E-2"/>
                  <c:y val="-5.938576103747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C96-4AE3-BE42-267A991ACC50}"/>
                </c:ext>
              </c:extLst>
            </c:dLbl>
            <c:dLbl>
              <c:idx val="17"/>
              <c:layout>
                <c:manualLayout>
                  <c:x val="-1.513087445371151E-2"/>
                  <c:y val="5.6992301975786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DF-4B90-B9ED-E8C185BAA5A2}"/>
                </c:ext>
              </c:extLst>
            </c:dLbl>
            <c:dLbl>
              <c:idx val="18"/>
              <c:layout>
                <c:manualLayout>
                  <c:x val="-1.5188314583491342E-2"/>
                  <c:y val="-1.5911142595064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0D-4062-89CC-7CA28DEAE3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AD25A8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('Alumnos x PTC'!$C$4:$P$4,'Alumnos x PTC'!$Q$4,'Alumnos x PTC'!$R$4,'Alumnos x PTC'!$S$4,'Alumnos x PTC'!$T$4,'Alumnos x PTC'!$U$4)</c:f>
              <c:numCache>
                <c:formatCode>General</c:formatCode>
                <c:ptCount val="19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</c:numCache>
            </c:numRef>
          </c:cat>
          <c:val>
            <c:numRef>
              <c:f>('Alumnos x PTC'!$C$24:$N$24,'Alumnos x PTC'!$O$24,'Alumnos x PTC'!$P$24,'Alumnos x PTC'!$Q$24,'Alumnos x PTC'!$R$24,'Alumnos x PTC'!$S$24,'Alumnos x PTC'!$T$24,'Alumnos x PTC'!$U$24)</c:f>
              <c:numCache>
                <c:formatCode>0.0</c:formatCode>
                <c:ptCount val="19"/>
                <c:pt idx="7">
                  <c:v>13.307692307692308</c:v>
                </c:pt>
                <c:pt idx="8">
                  <c:v>10.363636363636363</c:v>
                </c:pt>
                <c:pt idx="9">
                  <c:v>13.464285714285714</c:v>
                </c:pt>
                <c:pt idx="10">
                  <c:v>12.722222222222221</c:v>
                </c:pt>
                <c:pt idx="11">
                  <c:v>14.142857142857142</c:v>
                </c:pt>
                <c:pt idx="12">
                  <c:v>12.254545454545454</c:v>
                </c:pt>
                <c:pt idx="13">
                  <c:v>12.955223880597014</c:v>
                </c:pt>
                <c:pt idx="14">
                  <c:v>14.555555555555555</c:v>
                </c:pt>
                <c:pt idx="15">
                  <c:v>17</c:v>
                </c:pt>
                <c:pt idx="16">
                  <c:v>19.946666666666665</c:v>
                </c:pt>
                <c:pt idx="17">
                  <c:v>22.472972972972972</c:v>
                </c:pt>
                <c:pt idx="18">
                  <c:v>26.171428571428571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C96-4AE3-BE42-267A991ACC50}"/>
            </c:ext>
          </c:extLst>
        </c:ser>
        <c:ser>
          <c:idx val="4"/>
          <c:order val="4"/>
          <c:tx>
            <c:strRef>
              <c:f>'Alumnos x PTC'!$B$29</c:f>
              <c:strCache>
                <c:ptCount val="1"/>
                <c:pt idx="0">
                  <c:v>Xochimilco</c:v>
                </c:pt>
              </c:strCache>
            </c:strRef>
          </c:tx>
          <c:spPr>
            <a:ln w="25400">
              <a:solidFill>
                <a:srgbClr val="0072CE"/>
              </a:solidFill>
            </a:ln>
          </c:spPr>
          <c:marker>
            <c:symbol val="square"/>
            <c:size val="6"/>
            <c:spPr>
              <a:noFill/>
              <a:ln>
                <a:solidFill>
                  <a:srgbClr val="0072CE"/>
                </a:solidFill>
              </a:ln>
            </c:spPr>
          </c:marker>
          <c:dLbls>
            <c:dLbl>
              <c:idx val="7"/>
              <c:layout>
                <c:manualLayout>
                  <c:x val="-2.1531584438983505E-2"/>
                  <c:y val="-1.5748407119950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C96-4AE3-BE42-267A991ACC50}"/>
                </c:ext>
              </c:extLst>
            </c:dLbl>
            <c:dLbl>
              <c:idx val="8"/>
              <c:layout>
                <c:manualLayout>
                  <c:x val="-3.0220939978447662E-2"/>
                  <c:y val="-1.81336188074880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C96-4AE3-BE42-267A991ACC50}"/>
                </c:ext>
              </c:extLst>
            </c:dLbl>
            <c:dLbl>
              <c:idx val="9"/>
              <c:layout>
                <c:manualLayout>
                  <c:x val="-2.7324488131959715E-2"/>
                  <c:y val="1.764455650557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C96-4AE3-BE42-267A991ACC50}"/>
                </c:ext>
              </c:extLst>
            </c:dLbl>
            <c:dLbl>
              <c:idx val="10"/>
              <c:layout>
                <c:manualLayout>
                  <c:x val="-2.5876262208715584E-2"/>
                  <c:y val="-2.0518830495025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C96-4AE3-BE42-267A991ACC50}"/>
                </c:ext>
              </c:extLst>
            </c:dLbl>
            <c:dLbl>
              <c:idx val="11"/>
              <c:layout>
                <c:manualLayout>
                  <c:x val="-4.7599651057375972E-2"/>
                  <c:y val="-1.3363195432413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C96-4AE3-BE42-267A991ACC50}"/>
                </c:ext>
              </c:extLst>
            </c:dLbl>
            <c:dLbl>
              <c:idx val="12"/>
              <c:layout>
                <c:manualLayout>
                  <c:x val="-2.2979810362227637E-2"/>
                  <c:y val="2.00297681931081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C96-4AE3-BE42-267A991ACC50}"/>
                </c:ext>
              </c:extLst>
            </c:dLbl>
            <c:dLbl>
              <c:idx val="13"/>
              <c:layout>
                <c:manualLayout>
                  <c:x val="-1.5739411184853794E-2"/>
                  <c:y val="-2.86483393728033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C96-4AE3-BE42-267A991ACC50}"/>
                </c:ext>
              </c:extLst>
            </c:dLbl>
            <c:dLbl>
              <c:idx val="14"/>
              <c:layout>
                <c:manualLayout>
                  <c:x val="-1.906062553128654E-2"/>
                  <c:y val="-2.55245256972636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C96-4AE3-BE42-267A991ACC50}"/>
                </c:ext>
              </c:extLst>
            </c:dLbl>
            <c:dLbl>
              <c:idx val="15"/>
              <c:layout>
                <c:manualLayout>
                  <c:x val="-2.5473239952128524E-2"/>
                  <c:y val="-2.81956735966934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C96-4AE3-BE42-267A991ACC50}"/>
                </c:ext>
              </c:extLst>
            </c:dLbl>
            <c:dLbl>
              <c:idx val="17"/>
              <c:layout>
                <c:manualLayout>
                  <c:x val="-1.4668650758843787E-2"/>
                  <c:y val="-2.1801385218885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DF-4B90-B9ED-E8C185BAA5A2}"/>
                </c:ext>
              </c:extLst>
            </c:dLbl>
            <c:dLbl>
              <c:idx val="18"/>
              <c:layout>
                <c:manualLayout>
                  <c:x val="-5.4447682307341922E-3"/>
                  <c:y val="-3.696700542190011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0D-4062-89CC-7CA28DEAE3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0072CE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('Alumnos x PTC'!$C$4:$P$4,'Alumnos x PTC'!$Q$4,'Alumnos x PTC'!$R$4,'Alumnos x PTC'!$S$4,'Alumnos x PTC'!$T$4,'Alumnos x PTC'!$U$4)</c:f>
              <c:numCache>
                <c:formatCode>General</c:formatCode>
                <c:ptCount val="19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</c:numCache>
            </c:numRef>
          </c:cat>
          <c:val>
            <c:numRef>
              <c:f>('Alumnos x PTC'!$C$29:$N$29,'Alumnos x PTC'!$O$29,'Alumnos x PTC'!$P$29,'Alumnos x PTC'!$Q$29,'Alumnos x PTC'!$R$29,'Alumnos x PTC'!$S$29,'Alumnos x PTC'!$T$29,'Alumnos x PTC'!$U$29)</c:f>
              <c:numCache>
                <c:formatCode>0.0</c:formatCode>
                <c:ptCount val="19"/>
                <c:pt idx="0">
                  <c:v>19.870967741935484</c:v>
                </c:pt>
                <c:pt idx="1">
                  <c:v>21.115077857956706</c:v>
                </c:pt>
                <c:pt idx="2">
                  <c:v>21.701071630005639</c:v>
                </c:pt>
                <c:pt idx="3">
                  <c:v>22.717751251443975</c:v>
                </c:pt>
                <c:pt idx="4">
                  <c:v>22.632809505557685</c:v>
                </c:pt>
                <c:pt idx="5">
                  <c:v>22.120923135609385</c:v>
                </c:pt>
                <c:pt idx="6">
                  <c:v>21.78211443728685</c:v>
                </c:pt>
                <c:pt idx="7">
                  <c:v>21.130774962742176</c:v>
                </c:pt>
                <c:pt idx="8">
                  <c:v>20.924667651403251</c:v>
                </c:pt>
                <c:pt idx="9">
                  <c:v>21.28358208955224</c:v>
                </c:pt>
                <c:pt idx="10">
                  <c:v>20.870087336244541</c:v>
                </c:pt>
                <c:pt idx="11">
                  <c:v>21.197144426139484</c:v>
                </c:pt>
                <c:pt idx="12">
                  <c:v>21.828454223382433</c:v>
                </c:pt>
                <c:pt idx="13">
                  <c:v>22.50084985835694</c:v>
                </c:pt>
                <c:pt idx="14">
                  <c:v>23.16833932967241</c:v>
                </c:pt>
                <c:pt idx="15">
                  <c:v>23.679617224880381</c:v>
                </c:pt>
                <c:pt idx="16">
                  <c:v>24.54673721340388</c:v>
                </c:pt>
                <c:pt idx="17">
                  <c:v>25.111909036505086</c:v>
                </c:pt>
                <c:pt idx="18">
                  <c:v>27.146944083224966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AC96-4AE3-BE42-267A991ACC50}"/>
            </c:ext>
          </c:extLst>
        </c:ser>
        <c:ser>
          <c:idx val="6"/>
          <c:order val="5"/>
          <c:tx>
            <c:strRef>
              <c:f>'Alumnos x PTC'!$B$31</c:f>
              <c:strCache>
                <c:ptCount val="1"/>
                <c:pt idx="0">
                  <c:v>UAM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star"/>
            <c:size val="7"/>
            <c:spPr>
              <a:noFill/>
              <a:ln>
                <a:solidFill>
                  <a:schemeClr val="tx1"/>
                </a:solidFill>
              </a:ln>
            </c:spPr>
          </c:marker>
          <c:dLbls>
            <c:dLbl>
              <c:idx val="6"/>
              <c:layout>
                <c:manualLayout>
                  <c:x val="-2.6600375170337597E-2"/>
                  <c:y val="-2.17114363387939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C96-4AE3-BE42-267A991ACC50}"/>
                </c:ext>
              </c:extLst>
            </c:dLbl>
            <c:dLbl>
              <c:idx val="7"/>
              <c:layout>
                <c:manualLayout>
                  <c:x val="-3.2393278863313703E-2"/>
                  <c:y val="-1.93262246512566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C96-4AE3-BE42-267A991ACC50}"/>
                </c:ext>
              </c:extLst>
            </c:dLbl>
            <c:dLbl>
              <c:idx val="8"/>
              <c:layout>
                <c:manualLayout>
                  <c:x val="-2.9496827016825648E-2"/>
                  <c:y val="-4.079312983909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C96-4AE3-BE42-267A991ACC50}"/>
                </c:ext>
              </c:extLst>
            </c:dLbl>
            <c:dLbl>
              <c:idx val="13"/>
              <c:layout>
                <c:manualLayout>
                  <c:x val="-1.5305202916538627E-2"/>
                  <c:y val="2.3607516188504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C96-4AE3-BE42-267A991ACC50}"/>
                </c:ext>
              </c:extLst>
            </c:dLbl>
            <c:dLbl>
              <c:idx val="14"/>
              <c:layout>
                <c:manualLayout>
                  <c:x val="-2.4804266110895489E-2"/>
                  <c:y val="2.5992797411951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C96-4AE3-BE42-267A991ACC50}"/>
                </c:ext>
              </c:extLst>
            </c:dLbl>
            <c:dLbl>
              <c:idx val="15"/>
              <c:layout>
                <c:manualLayout>
                  <c:x val="-2.0752949432975166E-2"/>
                  <c:y val="2.64823336937074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C96-4AE3-BE42-267A991ACC50}"/>
                </c:ext>
              </c:extLst>
            </c:dLbl>
            <c:dLbl>
              <c:idx val="16"/>
              <c:layout>
                <c:manualLayout>
                  <c:x val="-1.7737407760674621E-2"/>
                  <c:y val="-2.77599469616471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C96-4AE3-BE42-267A991ACC50}"/>
                </c:ext>
              </c:extLst>
            </c:dLbl>
            <c:dLbl>
              <c:idx val="17"/>
              <c:layout>
                <c:manualLayout>
                  <c:x val="-1.6979769233182673E-2"/>
                  <c:y val="-2.52069578082628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DF-4B90-B9ED-E8C185BAA5A2}"/>
                </c:ext>
              </c:extLst>
            </c:dLbl>
            <c:dLbl>
              <c:idx val="18"/>
              <c:layout>
                <c:manualLayout>
                  <c:x val="-8.6926170149864389E-3"/>
                  <c:y val="-2.364929297333066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0D-4062-89CC-7CA28DEAE394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('Alumnos x PTC'!$C$4:$P$4,'Alumnos x PTC'!$Q$4,'Alumnos x PTC'!$R$4,'Alumnos x PTC'!$S$4,'Alumnos x PTC'!$T$4,'Alumnos x PTC'!$U$4)</c:f>
              <c:numCache>
                <c:formatCode>General</c:formatCode>
                <c:ptCount val="19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</c:numCache>
            </c:numRef>
          </c:cat>
          <c:val>
            <c:numRef>
              <c:f>('Alumnos x PTC'!$C$31:$P$31,'Alumnos x PTC'!$Q$31,'Alumnos x PTC'!$R$31,'Alumnos x PTC'!$S$31,'Alumnos x PTC'!$T$31,'Alumnos x PTC'!$U$31)</c:f>
              <c:numCache>
                <c:formatCode>0.0</c:formatCode>
                <c:ptCount val="19"/>
                <c:pt idx="0">
                  <c:v>18.655015099916469</c:v>
                </c:pt>
                <c:pt idx="1">
                  <c:v>19.157698728650317</c:v>
                </c:pt>
                <c:pt idx="2">
                  <c:v>19.242516104585071</c:v>
                </c:pt>
                <c:pt idx="3">
                  <c:v>19.6086657065932</c:v>
                </c:pt>
                <c:pt idx="4">
                  <c:v>19.978489275722723</c:v>
                </c:pt>
                <c:pt idx="5">
                  <c:v>20.066423853324277</c:v>
                </c:pt>
                <c:pt idx="6">
                  <c:v>20.469793757985034</c:v>
                </c:pt>
                <c:pt idx="7">
                  <c:v>20.60891414896799</c:v>
                </c:pt>
                <c:pt idx="8">
                  <c:v>20.916923076923077</c:v>
                </c:pt>
                <c:pt idx="9">
                  <c:v>21.373817587294173</c:v>
                </c:pt>
                <c:pt idx="10">
                  <c:v>21.706294522947562</c:v>
                </c:pt>
                <c:pt idx="11">
                  <c:v>21.503316223542303</c:v>
                </c:pt>
                <c:pt idx="12">
                  <c:v>21.961225911307174</c:v>
                </c:pt>
                <c:pt idx="13">
                  <c:v>21.845345951872584</c:v>
                </c:pt>
                <c:pt idx="14">
                  <c:v>21.984181568088033</c:v>
                </c:pt>
                <c:pt idx="15">
                  <c:v>22.725095896780193</c:v>
                </c:pt>
                <c:pt idx="16">
                  <c:v>22.936476134354741</c:v>
                </c:pt>
                <c:pt idx="17">
                  <c:v>23.772680876613627</c:v>
                </c:pt>
                <c:pt idx="18">
                  <c:v>25.734787600459242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AC96-4AE3-BE42-267A991AC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641408"/>
        <c:axId val="144667776"/>
      </c:lineChart>
      <c:catAx>
        <c:axId val="144641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5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s-MX"/>
          </a:p>
        </c:txPr>
        <c:crossAx val="144667776"/>
        <c:crosses val="autoZero"/>
        <c:auto val="1"/>
        <c:lblAlgn val="ctr"/>
        <c:lblOffset val="100"/>
        <c:noMultiLvlLbl val="0"/>
      </c:catAx>
      <c:valAx>
        <c:axId val="144667776"/>
        <c:scaling>
          <c:orientation val="minMax"/>
          <c:min val="10"/>
        </c:scaling>
        <c:delete val="1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.0" sourceLinked="1"/>
        <c:majorTickMark val="out"/>
        <c:minorTickMark val="none"/>
        <c:tickLblPos val="nextTo"/>
        <c:crossAx val="144641408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5.4028519787669545E-2"/>
          <c:y val="0.94011259326036845"/>
          <c:w val="0.88496581844720545"/>
          <c:h val="4.6024255912554754E-2"/>
        </c:manualLayout>
      </c:layout>
      <c:overlay val="0"/>
      <c:txPr>
        <a:bodyPr/>
        <a:lstStyle/>
        <a:p>
          <a:pPr>
            <a:defRPr sz="1100" b="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  <a:scene3d>
      <a:camera prst="orthographicFront"/>
      <a:lightRig rig="threePt" dir="t"/>
    </a:scene3d>
    <a:sp3d>
      <a:bevelT w="165100" prst="coolSlant"/>
    </a:sp3d>
  </c:spPr>
  <c:printSettings>
    <c:headerFooter/>
    <c:pageMargins b="0.75" l="0.7" r="0.7" t="0.75" header="0.3" footer="0.3"/>
    <c:pageSetup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0">
                <a:solidFill>
                  <a:sysClr val="windowText" lastClr="000000"/>
                </a:solidFill>
              </a:defRPr>
            </a:pPr>
            <a:r>
              <a:rPr lang="es-MX" sz="1200" b="0" i="0">
                <a:solidFill>
                  <a:sysClr val="windowText" lastClr="000000"/>
                </a:solidFill>
              </a:rPr>
              <a:t>Alumno</a:t>
            </a:r>
            <a:r>
              <a:rPr lang="es-MX" sz="1200" b="0" i="0" baseline="0">
                <a:solidFill>
                  <a:sysClr val="windowText" lastClr="000000"/>
                </a:solidFill>
              </a:rPr>
              <a:t> atendidos de</a:t>
            </a:r>
            <a:r>
              <a:rPr lang="es-MX" sz="1200" b="0" i="0">
                <a:solidFill>
                  <a:sysClr val="windowText" lastClr="000000"/>
                </a:solidFill>
              </a:rPr>
              <a:t> Licenciatura por personal académico definitivo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'Alumnos x PTC'!$B$86</c:f>
              <c:strCache>
                <c:ptCount val="1"/>
                <c:pt idx="0">
                  <c:v>Azcapotzalco</c:v>
                </c:pt>
              </c:strCache>
            </c:strRef>
          </c:tx>
          <c:spPr>
            <a:ln w="19050">
              <a:solidFill>
                <a:srgbClr val="CD032E"/>
              </a:solidFill>
            </a:ln>
          </c:spPr>
          <c:marker>
            <c:symbol val="square"/>
            <c:size val="7"/>
            <c:spPr>
              <a:noFill/>
              <a:ln>
                <a:solidFill>
                  <a:srgbClr val="CD032E"/>
                </a:solidFill>
              </a:ln>
            </c:spPr>
          </c:marker>
          <c:dLbls>
            <c:dLbl>
              <c:idx val="6"/>
              <c:layout>
                <c:manualLayout>
                  <c:x val="-3.4691706216875041E-2"/>
                  <c:y val="-2.2252020753444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C3C-46D6-9C2F-82CCDF1D4EC6}"/>
                </c:ext>
              </c:extLst>
            </c:dLbl>
            <c:dLbl>
              <c:idx val="7"/>
              <c:layout>
                <c:manualLayout>
                  <c:x val="-2.8487751953207643E-2"/>
                  <c:y val="-3.5983564531444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3C-46D6-9C2F-82CCDF1D4EC6}"/>
                </c:ext>
              </c:extLst>
            </c:dLbl>
            <c:dLbl>
              <c:idx val="10"/>
              <c:layout>
                <c:manualLayout>
                  <c:x val="-2.8487751953207643E-2"/>
                  <c:y val="-4.69687995538437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3C-46D6-9C2F-82CCDF1D4EC6}"/>
                </c:ext>
              </c:extLst>
            </c:dLbl>
            <c:dLbl>
              <c:idx val="11"/>
              <c:layout>
                <c:manualLayout>
                  <c:x val="-2.8487751953207529E-2"/>
                  <c:y val="-4.69687995538437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3C-46D6-9C2F-82CCDF1D4EC6}"/>
                </c:ext>
              </c:extLst>
            </c:dLbl>
            <c:dLbl>
              <c:idx val="13"/>
              <c:layout>
                <c:manualLayout>
                  <c:x val="-8.3249005962880481E-3"/>
                  <c:y val="7.95737555815481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3C-46D6-9C2F-82CCDF1D4EC6}"/>
                </c:ext>
              </c:extLst>
            </c:dLbl>
            <c:dLbl>
              <c:idx val="14"/>
              <c:layout>
                <c:manualLayout>
                  <c:x val="-3.0038740519124422E-2"/>
                  <c:y val="2.168891933615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3C-46D6-9C2F-82CCDF1D4EC6}"/>
                </c:ext>
              </c:extLst>
            </c:dLbl>
            <c:dLbl>
              <c:idx val="15"/>
              <c:layout>
                <c:manualLayout>
                  <c:x val="-1.9222574975641366E-2"/>
                  <c:y val="2.2551165671663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3C-46D6-9C2F-82CCDF1D4EC6}"/>
                </c:ext>
              </c:extLst>
            </c:dLbl>
            <c:dLbl>
              <c:idx val="16"/>
              <c:layout>
                <c:manualLayout>
                  <c:x val="-1.1465011654178629E-2"/>
                  <c:y val="1.89426105805545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05B-43EE-B3D4-3C17541499C1}"/>
                </c:ext>
              </c:extLst>
            </c:dLbl>
            <c:dLbl>
              <c:idx val="17"/>
              <c:layout>
                <c:manualLayout>
                  <c:x val="-1.8451349690043872E-2"/>
                  <c:y val="-2.7315000704686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5B-43EE-B3D4-3C17541499C1}"/>
                </c:ext>
              </c:extLst>
            </c:dLbl>
            <c:dLbl>
              <c:idx val="18"/>
              <c:layout>
                <c:manualLayout>
                  <c:x val="-1.7135370736367551E-2"/>
                  <c:y val="-2.49983295090443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3A-4F69-9536-99B7B32AD9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D032E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('Alumnos x PTC'!$C$81:$R$81,'Alumnos x PTC'!$S$81,'Alumnos x PTC'!$T$81,'Alumnos x PTC'!$U$81)</c:f>
              <c:numCache>
                <c:formatCode>General</c:formatCode>
                <c:ptCount val="19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</c:numCache>
            </c:numRef>
          </c:cat>
          <c:val>
            <c:numRef>
              <c:f>('Alumnos x PTC'!$C$86:$M$86,'Alumnos x PTC'!$N$86,'Alumnos x PTC'!$O$86,'Alumnos x PTC'!$P$86,'Alumnos x PTC'!$Q$86,'Alumnos x PTC'!$R$86,'Alumnos x PTC'!$S$86,'Alumnos x PTC'!$T$86,'Alumnos x PTC'!$U$86)</c:f>
              <c:numCache>
                <c:formatCode>0.0</c:formatCode>
                <c:ptCount val="19"/>
                <c:pt idx="0">
                  <c:v>17.086265607264473</c:v>
                </c:pt>
                <c:pt idx="1">
                  <c:v>17.462210406380553</c:v>
                </c:pt>
                <c:pt idx="2">
                  <c:v>17.239999999999998</c:v>
                </c:pt>
                <c:pt idx="3">
                  <c:v>17.252333028362305</c:v>
                </c:pt>
                <c:pt idx="4">
                  <c:v>17.801943884100496</c:v>
                </c:pt>
                <c:pt idx="5">
                  <c:v>17.901585565882996</c:v>
                </c:pt>
                <c:pt idx="6">
                  <c:v>18.593778424595236</c:v>
                </c:pt>
                <c:pt idx="7">
                  <c:v>18.824824102471585</c:v>
                </c:pt>
                <c:pt idx="8">
                  <c:v>19.216143497757848</c:v>
                </c:pt>
                <c:pt idx="9">
                  <c:v>19.224165341812402</c:v>
                </c:pt>
                <c:pt idx="10">
                  <c:v>18.682149046793761</c:v>
                </c:pt>
                <c:pt idx="11">
                  <c:v>18.924548352816153</c:v>
                </c:pt>
                <c:pt idx="12">
                  <c:v>19.087662337662337</c:v>
                </c:pt>
                <c:pt idx="13">
                  <c:v>18.431700801424753</c:v>
                </c:pt>
                <c:pt idx="14">
                  <c:v>18.388859695218077</c:v>
                </c:pt>
                <c:pt idx="15">
                  <c:v>19.24566371681416</c:v>
                </c:pt>
                <c:pt idx="16">
                  <c:v>19.435787211176788</c:v>
                </c:pt>
                <c:pt idx="17">
                  <c:v>20.646221248630887</c:v>
                </c:pt>
                <c:pt idx="18">
                  <c:v>22.482435597189696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C3C-46D6-9C2F-82CCDF1D4EC6}"/>
            </c:ext>
          </c:extLst>
        </c:ser>
        <c:ser>
          <c:idx val="1"/>
          <c:order val="1"/>
          <c:tx>
            <c:strRef>
              <c:f>'Alumnos x PTC'!$B$91</c:f>
              <c:strCache>
                <c:ptCount val="1"/>
                <c:pt idx="0">
                  <c:v>Cuajimalpa</c:v>
                </c:pt>
              </c:strCache>
            </c:strRef>
          </c:tx>
          <c:spPr>
            <a:ln w="19050">
              <a:solidFill>
                <a:srgbClr val="F08200"/>
              </a:solidFill>
            </a:ln>
          </c:spPr>
          <c:marker>
            <c:symbol val="diamond"/>
            <c:size val="7"/>
            <c:spPr>
              <a:noFill/>
              <a:ln>
                <a:solidFill>
                  <a:srgbClr val="F08200"/>
                </a:solidFill>
              </a:ln>
            </c:spPr>
          </c:marker>
          <c:dLbls>
            <c:dLbl>
              <c:idx val="1"/>
              <c:layout>
                <c:manualLayout>
                  <c:x val="-1.2977866294038597E-2"/>
                  <c:y val="-8.520476975444755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3C-46D6-9C2F-82CCDF1D4EC6}"/>
                </c:ext>
              </c:extLst>
            </c:dLbl>
            <c:dLbl>
              <c:idx val="9"/>
              <c:layout>
                <c:manualLayout>
                  <c:x val="-1.812468823279861E-2"/>
                  <c:y val="3.42357854439283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3C-46D6-9C2F-82CCDF1D4EC6}"/>
                </c:ext>
              </c:extLst>
            </c:dLbl>
            <c:dLbl>
              <c:idx val="13"/>
              <c:layout>
                <c:manualLayout>
                  <c:x val="-2.8487751953207643E-2"/>
                  <c:y val="5.1898315647753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3C-46D6-9C2F-82CCDF1D4EC6}"/>
                </c:ext>
              </c:extLst>
            </c:dLbl>
            <c:dLbl>
              <c:idx val="14"/>
              <c:layout>
                <c:manualLayout>
                  <c:x val="-8.6435655257079604E-3"/>
                  <c:y val="-1.6759403242244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3C-46D6-9C2F-82CCDF1D4EC6}"/>
                </c:ext>
              </c:extLst>
            </c:dLbl>
            <c:dLbl>
              <c:idx val="16"/>
              <c:layout>
                <c:manualLayout>
                  <c:x val="-1.7688065088686911E-2"/>
                  <c:y val="2.3066831099200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3C-46D6-9C2F-82CCDF1D4E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08200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('Alumnos x PTC'!$C$81:$R$81,'Alumnos x PTC'!$S$81,'Alumnos x PTC'!$T$81,'Alumnos x PTC'!$U$81)</c:f>
              <c:numCache>
                <c:formatCode>General</c:formatCode>
                <c:ptCount val="19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</c:numCache>
            </c:numRef>
          </c:cat>
          <c:val>
            <c:numRef>
              <c:f>('Alumnos x PTC'!$C$91:$M$91,'Alumnos x PTC'!$N$91,'Alumnos x PTC'!$O$91,'Alumnos x PTC'!$P$91,'Alumnos x PTC'!$Q$91,'Alumnos x PTC'!$R$91,'Alumnos x PTC'!$S$91,'Alumnos x PTC'!$T$91,'Alumnos x PTC'!$U$91)</c:f>
              <c:numCache>
                <c:formatCode>0.0</c:formatCode>
                <c:ptCount val="19"/>
                <c:pt idx="1">
                  <c:v>15.615384615384615</c:v>
                </c:pt>
                <c:pt idx="2">
                  <c:v>13.045454545454545</c:v>
                </c:pt>
                <c:pt idx="3">
                  <c:v>10.704761904761904</c:v>
                </c:pt>
                <c:pt idx="4">
                  <c:v>12.267605633802816</c:v>
                </c:pt>
                <c:pt idx="5">
                  <c:v>12.622754491017965</c:v>
                </c:pt>
                <c:pt idx="6">
                  <c:v>11.5311004784689</c:v>
                </c:pt>
                <c:pt idx="7">
                  <c:v>11.455295735900963</c:v>
                </c:pt>
                <c:pt idx="8">
                  <c:v>11.575757575757576</c:v>
                </c:pt>
                <c:pt idx="9">
                  <c:v>12.117216117216117</c:v>
                </c:pt>
                <c:pt idx="10">
                  <c:v>13.776</c:v>
                </c:pt>
                <c:pt idx="11">
                  <c:v>15.506666666666666</c:v>
                </c:pt>
                <c:pt idx="12">
                  <c:v>17.160127253446447</c:v>
                </c:pt>
                <c:pt idx="13">
                  <c:v>18.090270812437314</c:v>
                </c:pt>
                <c:pt idx="14">
                  <c:v>19.969230769230769</c:v>
                </c:pt>
                <c:pt idx="15">
                  <c:v>21.556008146639513</c:v>
                </c:pt>
                <c:pt idx="16">
                  <c:v>21.89043824701195</c:v>
                </c:pt>
                <c:pt idx="17">
                  <c:v>22.759842519685037</c:v>
                </c:pt>
                <c:pt idx="18">
                  <c:v>23.627218934911241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C3C-46D6-9C2F-82CCDF1D4EC6}"/>
            </c:ext>
          </c:extLst>
        </c:ser>
        <c:ser>
          <c:idx val="2"/>
          <c:order val="2"/>
          <c:tx>
            <c:strRef>
              <c:f>'Alumnos x PTC'!$B$96</c:f>
              <c:strCache>
                <c:ptCount val="1"/>
                <c:pt idx="0">
                  <c:v>Iztapalapa</c:v>
                </c:pt>
              </c:strCache>
            </c:strRef>
          </c:tx>
          <c:spPr>
            <a:ln w="19050">
              <a:solidFill>
                <a:srgbClr val="57A519"/>
              </a:solidFill>
            </a:ln>
          </c:spPr>
          <c:marker>
            <c:symbol val="triangle"/>
            <c:size val="7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2"/>
              <c:layout>
                <c:manualLayout>
                  <c:x val="-2.8487751953207529E-2"/>
                  <c:y val="2.49983295090443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3C-46D6-9C2F-82CCDF1D4EC6}"/>
                </c:ext>
              </c:extLst>
            </c:dLbl>
            <c:dLbl>
              <c:idx val="9"/>
              <c:layout>
                <c:manualLayout>
                  <c:x val="-2.8487751953207529E-2"/>
                  <c:y val="5.5207725820643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C3C-46D6-9C2F-82CCDF1D4EC6}"/>
                </c:ext>
              </c:extLst>
            </c:dLbl>
            <c:dLbl>
              <c:idx val="10"/>
              <c:layout>
                <c:manualLayout>
                  <c:x val="-2.8487751953207643E-2"/>
                  <c:y val="6.0700343331843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C3C-46D6-9C2F-82CCDF1D4EC6}"/>
                </c:ext>
              </c:extLst>
            </c:dLbl>
            <c:dLbl>
              <c:idx val="11"/>
              <c:layout>
                <c:manualLayout>
                  <c:x val="-2.8487751953207529E-2"/>
                  <c:y val="4.9715108309443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C3C-46D6-9C2F-82CCDF1D4EC6}"/>
                </c:ext>
              </c:extLst>
            </c:dLbl>
            <c:dLbl>
              <c:idx val="13"/>
              <c:layout>
                <c:manualLayout>
                  <c:x val="-2.8487751953207643E-2"/>
                  <c:y val="3.87298732870439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C3C-46D6-9C2F-82CCDF1D4E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('Alumnos x PTC'!$C$81:$R$81,'Alumnos x PTC'!$S$81,'Alumnos x PTC'!$T$81,'Alumnos x PTC'!$U$81)</c:f>
              <c:numCache>
                <c:formatCode>General</c:formatCode>
                <c:ptCount val="19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</c:numCache>
            </c:numRef>
          </c:cat>
          <c:val>
            <c:numRef>
              <c:f>('Alumnos x PTC'!$C$96:$M$96,'Alumnos x PTC'!$N$96,'Alumnos x PTC'!$O$96,'Alumnos x PTC'!$P$96,'Alumnos x PTC'!$Q$96,'Alumnos x PTC'!$R$96,'Alumnos x PTC'!$S$96,'Alumnos x PTC'!$T$96,'Alumnos x PTC'!$U$96)</c:f>
              <c:numCache>
                <c:formatCode>0.0</c:formatCode>
                <c:ptCount val="19"/>
                <c:pt idx="0">
                  <c:v>14.581591639871382</c:v>
                </c:pt>
                <c:pt idx="1">
                  <c:v>14.441579371474617</c:v>
                </c:pt>
                <c:pt idx="2">
                  <c:v>14.564720048163757</c:v>
                </c:pt>
                <c:pt idx="3">
                  <c:v>14.648789273564137</c:v>
                </c:pt>
                <c:pt idx="4">
                  <c:v>15.090216519647152</c:v>
                </c:pt>
                <c:pt idx="5">
                  <c:v>15.440145102781136</c:v>
                </c:pt>
                <c:pt idx="6">
                  <c:v>16.146331658291459</c:v>
                </c:pt>
                <c:pt idx="7">
                  <c:v>16.612522504500902</c:v>
                </c:pt>
                <c:pt idx="8">
                  <c:v>17.508926780341021</c:v>
                </c:pt>
                <c:pt idx="9">
                  <c:v>18.192437141160166</c:v>
                </c:pt>
                <c:pt idx="10">
                  <c:v>18.256590509666079</c:v>
                </c:pt>
                <c:pt idx="11">
                  <c:v>18.523434423001181</c:v>
                </c:pt>
                <c:pt idx="12">
                  <c:v>18.753565768621236</c:v>
                </c:pt>
                <c:pt idx="13">
                  <c:v>18.509163346613548</c:v>
                </c:pt>
                <c:pt idx="14">
                  <c:v>18.175806770936447</c:v>
                </c:pt>
                <c:pt idx="15">
                  <c:v>18.337614678899083</c:v>
                </c:pt>
                <c:pt idx="16">
                  <c:v>18.144099378881986</c:v>
                </c:pt>
                <c:pt idx="17">
                  <c:v>18.681122448979593</c:v>
                </c:pt>
                <c:pt idx="18">
                  <c:v>19.556591211717709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C3C-46D6-9C2F-82CCDF1D4EC6}"/>
            </c:ext>
          </c:extLst>
        </c:ser>
        <c:ser>
          <c:idx val="3"/>
          <c:order val="3"/>
          <c:tx>
            <c:strRef>
              <c:f>'Alumnos x PTC'!$B$101</c:f>
              <c:strCache>
                <c:ptCount val="1"/>
                <c:pt idx="0">
                  <c:v>Lerma</c:v>
                </c:pt>
              </c:strCache>
            </c:strRef>
          </c:tx>
          <c:spPr>
            <a:ln w="19050">
              <a:solidFill>
                <a:srgbClr val="AD25A8"/>
              </a:solidFill>
            </a:ln>
          </c:spPr>
          <c:marker>
            <c:symbol val="x"/>
            <c:size val="7"/>
            <c:spPr>
              <a:noFill/>
              <a:ln>
                <a:solidFill>
                  <a:srgbClr val="AD25A8"/>
                </a:solidFill>
              </a:ln>
            </c:spPr>
          </c:marker>
          <c:dLbls>
            <c:dLbl>
              <c:idx val="7"/>
              <c:layout>
                <c:manualLayout>
                  <c:x val="-1.9111465418510075E-2"/>
                  <c:y val="-2.892687477178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C3C-46D6-9C2F-82CCDF1D4EC6}"/>
                </c:ext>
              </c:extLst>
            </c:dLbl>
            <c:dLbl>
              <c:idx val="8"/>
              <c:layout>
                <c:manualLayout>
                  <c:x val="-1.812468823279861E-2"/>
                  <c:y val="-3.42357854439283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C3C-46D6-9C2F-82CCDF1D4EC6}"/>
                </c:ext>
              </c:extLst>
            </c:dLbl>
            <c:dLbl>
              <c:idx val="9"/>
              <c:layout>
                <c:manualLayout>
                  <c:x val="-1.7137911047087142E-2"/>
                  <c:y val="-2.89268747717848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C3C-46D6-9C2F-82CCDF1D4EC6}"/>
                </c:ext>
              </c:extLst>
            </c:dLbl>
            <c:dLbl>
              <c:idx val="16"/>
              <c:layout>
                <c:manualLayout>
                  <c:x val="-1.5499303131737882E-2"/>
                  <c:y val="1.9505711997844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5B-43EE-B3D4-3C17541499C1}"/>
                </c:ext>
              </c:extLst>
            </c:dLbl>
            <c:dLbl>
              <c:idx val="17"/>
              <c:layout>
                <c:manualLayout>
                  <c:x val="-1.6442217313294996E-2"/>
                  <c:y val="-2.94644001459615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5B-43EE-B3D4-3C17541499C1}"/>
                </c:ext>
              </c:extLst>
            </c:dLbl>
            <c:dLbl>
              <c:idx val="18"/>
              <c:layout>
                <c:manualLayout>
                  <c:x val="-1.9001200668907512E-2"/>
                  <c:y val="-3.2674154358554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3A-4F69-9536-99B7B32AD9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AD25A8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('Alumnos x PTC'!$C$81:$R$81,'Alumnos x PTC'!$S$81,'Alumnos x PTC'!$T$81,'Alumnos x PTC'!$U$81)</c:f>
              <c:numCache>
                <c:formatCode>General</c:formatCode>
                <c:ptCount val="19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</c:numCache>
            </c:numRef>
          </c:cat>
          <c:val>
            <c:numRef>
              <c:f>('Alumnos x PTC'!$C$101:$M$101,'Alumnos x PTC'!$N$101,'Alumnos x PTC'!$O$101,'Alumnos x PTC'!$P$101,'Alumnos x PTC'!$Q$101,'Alumnos x PTC'!$R$101,'Alumnos x PTC'!$S$101,'Alumnos x PTC'!$T$101,'Alumnos x PTC'!$U$101)</c:f>
              <c:numCache>
                <c:formatCode>0.0</c:formatCode>
                <c:ptCount val="19"/>
                <c:pt idx="7">
                  <c:v>13.307692307692308</c:v>
                </c:pt>
                <c:pt idx="8">
                  <c:v>10.363636363636363</c:v>
                </c:pt>
                <c:pt idx="9">
                  <c:v>13.464285714285714</c:v>
                </c:pt>
                <c:pt idx="10">
                  <c:v>12.722222222222221</c:v>
                </c:pt>
                <c:pt idx="11">
                  <c:v>14.142857142857142</c:v>
                </c:pt>
                <c:pt idx="12">
                  <c:v>12.254545454545454</c:v>
                </c:pt>
                <c:pt idx="13">
                  <c:v>12.955223880597014</c:v>
                </c:pt>
                <c:pt idx="14">
                  <c:v>14.513888888888889</c:v>
                </c:pt>
                <c:pt idx="15">
                  <c:v>16.878378378378379</c:v>
                </c:pt>
                <c:pt idx="16">
                  <c:v>19.666666666666668</c:v>
                </c:pt>
                <c:pt idx="17">
                  <c:v>22.108108108108109</c:v>
                </c:pt>
                <c:pt idx="18">
                  <c:v>25.614285714285714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C3C-46D6-9C2F-82CCDF1D4EC6}"/>
            </c:ext>
          </c:extLst>
        </c:ser>
        <c:ser>
          <c:idx val="4"/>
          <c:order val="4"/>
          <c:tx>
            <c:strRef>
              <c:f>'Alumnos x PTC'!$B$106</c:f>
              <c:strCache>
                <c:ptCount val="1"/>
                <c:pt idx="0">
                  <c:v>Xochimilco</c:v>
                </c:pt>
              </c:strCache>
            </c:strRef>
          </c:tx>
          <c:spPr>
            <a:ln w="19050">
              <a:solidFill>
                <a:srgbClr val="0072CE"/>
              </a:solidFill>
            </a:ln>
          </c:spPr>
          <c:marker>
            <c:symbol val="star"/>
            <c:size val="7"/>
            <c:spPr>
              <a:noFill/>
              <a:ln>
                <a:solidFill>
                  <a:srgbClr val="0072CE"/>
                </a:solidFill>
              </a:ln>
            </c:spPr>
          </c:marker>
          <c:dLbls>
            <c:dLbl>
              <c:idx val="7"/>
              <c:layout>
                <c:manualLayout>
                  <c:x val="-2.5626062525232932E-2"/>
                  <c:y val="1.89426105805544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C3C-46D6-9C2F-82CCDF1D4EC6}"/>
                </c:ext>
              </c:extLst>
            </c:dLbl>
            <c:dLbl>
              <c:idx val="8"/>
              <c:layout>
                <c:manualLayout>
                  <c:x val="-2.5626062525232932E-2"/>
                  <c:y val="-2.2252020753444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C3C-46D6-9C2F-82CCDF1D4EC6}"/>
                </c:ext>
              </c:extLst>
            </c:dLbl>
            <c:dLbl>
              <c:idx val="9"/>
              <c:layout>
                <c:manualLayout>
                  <c:x val="-2.5626062525232828E-2"/>
                  <c:y val="-1.67594032422445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C3C-46D6-9C2F-82CCDF1D4EC6}"/>
                </c:ext>
              </c:extLst>
            </c:dLbl>
            <c:dLbl>
              <c:idx val="12"/>
              <c:layout>
                <c:manualLayout>
                  <c:x val="-2.5626062525232828E-2"/>
                  <c:y val="-6.3446652087443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C3C-46D6-9C2F-82CCDF1D4EC6}"/>
                </c:ext>
              </c:extLst>
            </c:dLbl>
            <c:dLbl>
              <c:idx val="15"/>
              <c:layout>
                <c:manualLayout>
                  <c:x val="-2.2827836896956919E-2"/>
                  <c:y val="-2.2688182024033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C3C-46D6-9C2F-82CCDF1D4EC6}"/>
                </c:ext>
              </c:extLst>
            </c:dLbl>
            <c:dLbl>
              <c:idx val="17"/>
              <c:layout>
                <c:manualLayout>
                  <c:x val="-1.6442217313294996E-2"/>
                  <c:y val="1.5945495181521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5B-43EE-B3D4-3C17541499C1}"/>
                </c:ext>
              </c:extLst>
            </c:dLbl>
            <c:dLbl>
              <c:idx val="18"/>
              <c:layout>
                <c:manualLayout>
                  <c:x val="-5.0074761748577848E-3"/>
                  <c:y val="-3.02785946424494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03A-4F69-9536-99B7B32AD9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0072CE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('Alumnos x PTC'!$C$81:$R$81,'Alumnos x PTC'!$S$81,'Alumnos x PTC'!$T$81,'Alumnos x PTC'!$U$81)</c:f>
              <c:numCache>
                <c:formatCode>General</c:formatCode>
                <c:ptCount val="19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</c:numCache>
            </c:numRef>
          </c:cat>
          <c:val>
            <c:numRef>
              <c:f>('Alumnos x PTC'!$C$106:$M$106,'Alumnos x PTC'!$N$106,'Alumnos x PTC'!$O$106,'Alumnos x PTC'!$P$106,'Alumnos x PTC'!$Q$106,'Alumnos x PTC'!$R$106,'Alumnos x PTC'!$S$106,'Alumnos x PTC'!$T$106,'Alumnos x PTC'!$U$106)</c:f>
              <c:numCache>
                <c:formatCode>0.0</c:formatCode>
                <c:ptCount val="19"/>
                <c:pt idx="0">
                  <c:v>18.222976796830785</c:v>
                </c:pt>
                <c:pt idx="1">
                  <c:v>19.391188758070644</c:v>
                </c:pt>
                <c:pt idx="2">
                  <c:v>19.795826283135927</c:v>
                </c:pt>
                <c:pt idx="3">
                  <c:v>20.551790527531768</c:v>
                </c:pt>
                <c:pt idx="4">
                  <c:v>20.45726331927942</c:v>
                </c:pt>
                <c:pt idx="5">
                  <c:v>19.625023841312224</c:v>
                </c:pt>
                <c:pt idx="6">
                  <c:v>19.289124668435015</c:v>
                </c:pt>
                <c:pt idx="7">
                  <c:v>18.682935916542476</c:v>
                </c:pt>
                <c:pt idx="8">
                  <c:v>18.578286558345642</c:v>
                </c:pt>
                <c:pt idx="9">
                  <c:v>18.767274737423993</c:v>
                </c:pt>
                <c:pt idx="10">
                  <c:v>18.431222707423579</c:v>
                </c:pt>
                <c:pt idx="11">
                  <c:v>18.637012630422845</c:v>
                </c:pt>
                <c:pt idx="12">
                  <c:v>19.146746224128286</c:v>
                </c:pt>
                <c:pt idx="13">
                  <c:v>19.694050991501417</c:v>
                </c:pt>
                <c:pt idx="14">
                  <c:v>20.072334785078585</c:v>
                </c:pt>
                <c:pt idx="15">
                  <c:v>20.577990430622009</c:v>
                </c:pt>
                <c:pt idx="16">
                  <c:v>21.40975896531452</c:v>
                </c:pt>
                <c:pt idx="17">
                  <c:v>21.874326750448834</c:v>
                </c:pt>
                <c:pt idx="18">
                  <c:v>23.912873862158648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EC3C-46D6-9C2F-82CCDF1D4EC6}"/>
            </c:ext>
          </c:extLst>
        </c:ser>
        <c:ser>
          <c:idx val="5"/>
          <c:order val="5"/>
          <c:tx>
            <c:strRef>
              <c:f>'Alumnos x PTC'!$B$108</c:f>
              <c:strCache>
                <c:ptCount val="1"/>
                <c:pt idx="0">
                  <c:v>UAM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circle"/>
            <c:size val="7"/>
            <c:spPr>
              <a:noFill/>
              <a:ln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2.8487751953207529E-2"/>
                  <c:y val="2.49983295090443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C3C-46D6-9C2F-82CCDF1D4EC6}"/>
                </c:ext>
              </c:extLst>
            </c:dLbl>
            <c:dLbl>
              <c:idx val="1"/>
              <c:layout>
                <c:manualLayout>
                  <c:x val="-2.6936763387290667E-2"/>
                  <c:y val="2.2252020753444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C3C-46D6-9C2F-82CCDF1D4EC6}"/>
                </c:ext>
              </c:extLst>
            </c:dLbl>
            <c:dLbl>
              <c:idx val="8"/>
              <c:layout>
                <c:manualLayout>
                  <c:x val="-3.1589729085041311E-2"/>
                  <c:y val="1.40130944866446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C3C-46D6-9C2F-82CCDF1D4EC6}"/>
                </c:ext>
              </c:extLst>
            </c:dLbl>
            <c:dLbl>
              <c:idx val="9"/>
              <c:layout>
                <c:manualLayout>
                  <c:x val="-2.8487751953207529E-2"/>
                  <c:y val="3.5983564531443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C3C-46D6-9C2F-82CCDF1D4EC6}"/>
                </c:ext>
              </c:extLst>
            </c:dLbl>
            <c:dLbl>
              <c:idx val="10"/>
              <c:layout>
                <c:manualLayout>
                  <c:x val="-3.0038740519124422E-2"/>
                  <c:y val="2.49983295090442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C3C-46D6-9C2F-82CCDF1D4EC6}"/>
                </c:ext>
              </c:extLst>
            </c:dLbl>
            <c:dLbl>
              <c:idx val="11"/>
              <c:layout>
                <c:manualLayout>
                  <c:x val="-3.0038740519124422E-2"/>
                  <c:y val="1.67594032422444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C3C-46D6-9C2F-82CCDF1D4EC6}"/>
                </c:ext>
              </c:extLst>
            </c:dLbl>
            <c:dLbl>
              <c:idx val="12"/>
              <c:layout>
                <c:manualLayout>
                  <c:x val="-2.8487751953207529E-2"/>
                  <c:y val="1.6759403242244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C3C-46D6-9C2F-82CCDF1D4EC6}"/>
                </c:ext>
              </c:extLst>
            </c:dLbl>
            <c:dLbl>
              <c:idx val="13"/>
              <c:layout>
                <c:manualLayout>
                  <c:x val="-2.2283797689540075E-2"/>
                  <c:y val="-2.44352280917543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C3C-46D6-9C2F-82CCDF1D4EC6}"/>
                </c:ext>
              </c:extLst>
            </c:dLbl>
            <c:dLbl>
              <c:idx val="14"/>
              <c:layout>
                <c:manualLayout>
                  <c:x val="-2.8487751953207529E-2"/>
                  <c:y val="-3.26741543585542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C3C-46D6-9C2F-82CCDF1D4EC6}"/>
                </c:ext>
              </c:extLst>
            </c:dLbl>
            <c:dLbl>
              <c:idx val="15"/>
              <c:layout>
                <c:manualLayout>
                  <c:x val="-2.1433136757486905E-2"/>
                  <c:y val="-2.7714321432595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C3C-46D6-9C2F-82CCDF1D4EC6}"/>
                </c:ext>
              </c:extLst>
            </c:dLbl>
            <c:dLbl>
              <c:idx val="16"/>
              <c:layout>
                <c:manualLayout>
                  <c:x val="-1.8328469153156158E-2"/>
                  <c:y val="-1.8318311889419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C3C-46D6-9C2F-82CCDF1D4EC6}"/>
                </c:ext>
              </c:extLst>
            </c:dLbl>
            <c:dLbl>
              <c:idx val="18"/>
              <c:layout>
                <c:manualLayout>
                  <c:x val="-1.5269540803827449E-2"/>
                  <c:y val="2.7744638264644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3A-4F69-9536-99B7B32AD902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('Alumnos x PTC'!$C$81:$R$81,'Alumnos x PTC'!$S$81,'Alumnos x PTC'!$T$81,'Alumnos x PTC'!$U$81)</c:f>
              <c:numCache>
                <c:formatCode>General</c:formatCode>
                <c:ptCount val="19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</c:numCache>
            </c:numRef>
          </c:cat>
          <c:val>
            <c:numRef>
              <c:f>('Alumnos x PTC'!$C$108:$P$108,'Alumnos x PTC'!$Q$108,'Alumnos x PTC'!$R$108,'Alumnos x PTC'!$S$108,'Alumnos x PTC'!$T$108,'Alumnos x PTC'!$U$108)</c:f>
              <c:numCache>
                <c:formatCode>0.0</c:formatCode>
                <c:ptCount val="19"/>
                <c:pt idx="0">
                  <c:v>16.672620959969155</c:v>
                </c:pt>
                <c:pt idx="1">
                  <c:v>17.142416848593811</c:v>
                </c:pt>
                <c:pt idx="2">
                  <c:v>17.221674876847292</c:v>
                </c:pt>
                <c:pt idx="3">
                  <c:v>17.381629202930309</c:v>
                </c:pt>
                <c:pt idx="4">
                  <c:v>17.675847062480571</c:v>
                </c:pt>
                <c:pt idx="5">
                  <c:v>17.535526884375578</c:v>
                </c:pt>
                <c:pt idx="6">
                  <c:v>17.739003467786091</c:v>
                </c:pt>
                <c:pt idx="7">
                  <c:v>17.771343104995513</c:v>
                </c:pt>
                <c:pt idx="8">
                  <c:v>18.08094674556213</c:v>
                </c:pt>
                <c:pt idx="9">
                  <c:v>18.378722410370198</c:v>
                </c:pt>
                <c:pt idx="10">
                  <c:v>18.159285959491932</c:v>
                </c:pt>
                <c:pt idx="11">
                  <c:v>18.46957725359017</c:v>
                </c:pt>
                <c:pt idx="12">
                  <c:v>18.7717668911075</c:v>
                </c:pt>
                <c:pt idx="13">
                  <c:v>18.693173293323333</c:v>
                </c:pt>
                <c:pt idx="14">
                  <c:v>18.829092159559835</c:v>
                </c:pt>
                <c:pt idx="15">
                  <c:v>19.462164361269327</c:v>
                </c:pt>
                <c:pt idx="16">
                  <c:v>19.813081909251618</c:v>
                </c:pt>
                <c:pt idx="17">
                  <c:v>20.628760132092463</c:v>
                </c:pt>
                <c:pt idx="18">
                  <c:v>22.220436280137772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EC3C-46D6-9C2F-82CCDF1D4E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078912"/>
        <c:axId val="145084800"/>
      </c:lineChart>
      <c:catAx>
        <c:axId val="145078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5084800"/>
        <c:crosses val="autoZero"/>
        <c:auto val="1"/>
        <c:lblAlgn val="ctr"/>
        <c:lblOffset val="100"/>
        <c:noMultiLvlLbl val="0"/>
      </c:catAx>
      <c:valAx>
        <c:axId val="145084800"/>
        <c:scaling>
          <c:orientation val="minMax"/>
          <c:min val="10"/>
        </c:scaling>
        <c:delete val="1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.0" sourceLinked="1"/>
        <c:majorTickMark val="out"/>
        <c:minorTickMark val="none"/>
        <c:tickLblPos val="nextTo"/>
        <c:crossAx val="145078912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6.6754181501811241E-2"/>
          <c:y val="0.9388107272117463"/>
          <c:w val="0.90308641839614101"/>
          <c:h val="5.2991865519963821E-2"/>
        </c:manualLayout>
      </c:layout>
      <c:overlay val="0"/>
      <c:txPr>
        <a:bodyPr/>
        <a:lstStyle/>
        <a:p>
          <a:pPr>
            <a:defRPr sz="1100" b="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  <a:scene3d>
      <a:camera prst="orthographicFront"/>
      <a:lightRig rig="threePt" dir="t"/>
    </a:scene3d>
    <a:sp3d>
      <a:bevelT w="165100" prst="coolSlant"/>
    </a:sp3d>
  </c:spPr>
  <c:printSettings>
    <c:headerFooter/>
    <c:pageMargins b="0.75" l="0.7" r="0.7" t="0.75" header="0.3" footer="0.3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>
                <a:solidFill>
                  <a:srgbClr val="57A519"/>
                </a:solidFill>
              </a:defRPr>
            </a:pPr>
            <a:r>
              <a:rPr lang="es-MX" sz="1200" b="0">
                <a:solidFill>
                  <a:srgbClr val="57A519"/>
                </a:solidFill>
              </a:rPr>
              <a:t>Iztapalapa</a:t>
            </a:r>
          </a:p>
        </c:rich>
      </c:tx>
      <c:layout>
        <c:manualLayout>
          <c:xMode val="edge"/>
          <c:yMode val="edge"/>
          <c:x val="0.4264089505368121"/>
          <c:y val="1.03359173126614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376747608535691E-2"/>
          <c:y val="0.13255813953488371"/>
          <c:w val="0.93524650478292859"/>
          <c:h val="0.65183991535941732"/>
        </c:manualLayout>
      </c:layout>
      <c:lineChart>
        <c:grouping val="standard"/>
        <c:varyColors val="0"/>
        <c:ser>
          <c:idx val="0"/>
          <c:order val="0"/>
          <c:tx>
            <c:strRef>
              <c:f>'Admitidos uni'!$B$16</c:f>
              <c:strCache>
                <c:ptCount val="1"/>
                <c:pt idx="0">
                  <c:v>CBI</c:v>
                </c:pt>
              </c:strCache>
            </c:strRef>
          </c:tx>
          <c:spPr>
            <a:ln w="12700">
              <a:solidFill>
                <a:srgbClr val="C00000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CD032E"/>
                </a:solidFill>
              </a:ln>
            </c:spPr>
          </c:marker>
          <c:dLbls>
            <c:dLbl>
              <c:idx val="3"/>
              <c:layout>
                <c:manualLayout>
                  <c:x val="-6.0654835364122528E-2"/>
                  <c:y val="3.67828440049644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41-4C02-B419-0245C70489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D032E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uni'!$AP$51:$AP$55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('Admitidos uni'!$Z$16,'Admitidos uni'!$AC$16,'Admitidos uni'!$AF$16,'Admitidos uni'!$AI$16,'Admitidos uni'!$AL$16)</c:f>
              <c:numCache>
                <c:formatCode>#,##0</c:formatCode>
                <c:ptCount val="5"/>
                <c:pt idx="0">
                  <c:v>1032</c:v>
                </c:pt>
                <c:pt idx="1">
                  <c:v>1098</c:v>
                </c:pt>
                <c:pt idx="2">
                  <c:v>1119</c:v>
                </c:pt>
                <c:pt idx="3">
                  <c:v>1290</c:v>
                </c:pt>
                <c:pt idx="4">
                  <c:v>1052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41-4C02-B419-0245C70489D5}"/>
            </c:ext>
          </c:extLst>
        </c:ser>
        <c:ser>
          <c:idx val="1"/>
          <c:order val="1"/>
          <c:tx>
            <c:strRef>
              <c:f>'Admitidos uni'!$B$17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3"/>
              <c:layout>
                <c:manualLayout>
                  <c:x val="-5.4768153980752403E-2"/>
                  <c:y val="-6.140837046531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41-4C02-B419-0245C70489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uni'!$AP$51:$AP$55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('Admitidos uni'!$Z$17,'Admitidos uni'!$AC$17,'Admitidos uni'!$AF$17,'Admitidos uni'!$AI$17,'Admitidos uni'!$AL$17)</c:f>
              <c:numCache>
                <c:formatCode>#,##0</c:formatCode>
                <c:ptCount val="5"/>
                <c:pt idx="0">
                  <c:v>1392</c:v>
                </c:pt>
                <c:pt idx="1">
                  <c:v>1375</c:v>
                </c:pt>
                <c:pt idx="2">
                  <c:v>1385</c:v>
                </c:pt>
                <c:pt idx="3">
                  <c:v>1312</c:v>
                </c:pt>
                <c:pt idx="4">
                  <c:v>1315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41-4C02-B419-0245C70489D5}"/>
            </c:ext>
          </c:extLst>
        </c:ser>
        <c:ser>
          <c:idx val="2"/>
          <c:order val="2"/>
          <c:tx>
            <c:strRef>
              <c:f>'Admitidos uni'!$B$18</c:f>
              <c:strCache>
                <c:ptCount val="1"/>
                <c:pt idx="0">
                  <c:v>CBS</c:v>
                </c:pt>
              </c:strCache>
            </c:strRef>
          </c:tx>
          <c:spPr>
            <a:ln w="12700">
              <a:solidFill>
                <a:srgbClr val="0072CE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rgbClr val="0072CE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72CE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uni'!$AP$51:$AP$55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('Admitidos uni'!$Z$18,'Admitidos uni'!$AC$18,'Admitidos uni'!$AF$18,'Admitidos uni'!$AI$18,'Admitidos uni'!$AL$18)</c:f>
              <c:numCache>
                <c:formatCode>#,##0</c:formatCode>
                <c:ptCount val="5"/>
                <c:pt idx="0">
                  <c:v>958</c:v>
                </c:pt>
                <c:pt idx="1">
                  <c:v>1006</c:v>
                </c:pt>
                <c:pt idx="2">
                  <c:v>1006</c:v>
                </c:pt>
                <c:pt idx="3">
                  <c:v>968</c:v>
                </c:pt>
                <c:pt idx="4">
                  <c:v>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841-4C02-B419-0245C70489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35520"/>
        <c:axId val="114637056"/>
      </c:lineChart>
      <c:catAx>
        <c:axId val="114635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4637056"/>
        <c:crosses val="autoZero"/>
        <c:auto val="1"/>
        <c:lblAlgn val="ctr"/>
        <c:lblOffset val="100"/>
        <c:noMultiLvlLbl val="0"/>
      </c:catAx>
      <c:valAx>
        <c:axId val="114637056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14635520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7.311744972275816E-2"/>
          <c:y val="0.91171620989236812"/>
          <c:w val="0.8444690109100601"/>
          <c:h val="8.0968076664835506E-2"/>
        </c:manualLayout>
      </c:layout>
      <c:overlay val="0"/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0">
                <a:solidFill>
                  <a:sysClr val="windowText" lastClr="000000"/>
                </a:solidFill>
              </a:defRPr>
            </a:pPr>
            <a:r>
              <a:rPr lang="es-MX" sz="1200" b="0" i="0" baseline="0">
                <a:solidFill>
                  <a:sysClr val="windowText" lastClr="000000"/>
                </a:solidFill>
                <a:effectLst/>
              </a:rPr>
              <a:t>Alumnos atendidos de Posgrado por personal académico definitivo</a:t>
            </a:r>
            <a:endParaRPr lang="es-MX" sz="1200" b="0" i="0">
              <a:solidFill>
                <a:sysClr val="windowText" lastClr="000000"/>
              </a:solidFill>
              <a:effectLst/>
            </a:endParaRPr>
          </a:p>
        </c:rich>
      </c:tx>
      <c:layout>
        <c:manualLayout>
          <c:xMode val="edge"/>
          <c:yMode val="edge"/>
          <c:x val="1.5368743295174516E-2"/>
          <c:y val="2.4874690663667043E-2"/>
        </c:manualLayout>
      </c:layout>
      <c:overlay val="1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'Alumnos x PTC'!$B$152</c:f>
              <c:strCache>
                <c:ptCount val="1"/>
                <c:pt idx="0">
                  <c:v>Azcapotzalco</c:v>
                </c:pt>
              </c:strCache>
            </c:strRef>
          </c:tx>
          <c:spPr>
            <a:ln w="19050">
              <a:solidFill>
                <a:srgbClr val="CD032E"/>
              </a:solidFill>
            </a:ln>
          </c:spPr>
          <c:marker>
            <c:symbol val="square"/>
            <c:size val="7"/>
            <c:spPr>
              <a:noFill/>
              <a:ln>
                <a:solidFill>
                  <a:srgbClr val="CD032E"/>
                </a:solidFill>
              </a:ln>
            </c:spPr>
          </c:marker>
          <c:dLbls>
            <c:dLbl>
              <c:idx val="7"/>
              <c:layout>
                <c:manualLayout>
                  <c:x val="-2.9883197787571293E-2"/>
                  <c:y val="-4.05603004481226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25-4923-81BC-48E4DF20B3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rgbClr val="CD032E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('Alumnos x PTC'!$C$147:$P$147,'Alumnos x PTC'!$Q$147,'Alumnos x PTC'!$R$147,'Alumnos x PTC'!$S$147,'Alumnos x PTC'!$T$147,'Alumnos x PTC'!$U$147)</c:f>
              <c:numCache>
                <c:formatCode>General</c:formatCode>
                <c:ptCount val="19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</c:numCache>
            </c:numRef>
          </c:cat>
          <c:val>
            <c:numRef>
              <c:f>('Alumnos x PTC'!$C$152:$M$152,'Alumnos x PTC'!$N$152,'Alumnos x PTC'!$O$152,'Alumnos x PTC'!$P$152,'Alumnos x PTC'!$Q$152,'Alumnos x PTC'!$R$152,'Alumnos x PTC'!$S$152,'Alumnos x PTC'!$T$152,'Alumnos x PTC'!$U$152)</c:f>
              <c:numCache>
                <c:formatCode>0.0</c:formatCode>
                <c:ptCount val="19"/>
                <c:pt idx="0">
                  <c:v>0.82746878547105562</c:v>
                </c:pt>
                <c:pt idx="1">
                  <c:v>0.84998101025446249</c:v>
                </c:pt>
                <c:pt idx="2">
                  <c:v>0.81333333333333335</c:v>
                </c:pt>
                <c:pt idx="3">
                  <c:v>1.0825251601097896</c:v>
                </c:pt>
                <c:pt idx="4">
                  <c:v>0.99688245002750775</c:v>
                </c:pt>
                <c:pt idx="5">
                  <c:v>1.1448879168944779</c:v>
                </c:pt>
                <c:pt idx="6">
                  <c:v>1.235583045297435</c:v>
                </c:pt>
                <c:pt idx="7">
                  <c:v>1.364964820494317</c:v>
                </c:pt>
                <c:pt idx="8">
                  <c:v>1.2495067264573991</c:v>
                </c:pt>
                <c:pt idx="9">
                  <c:v>1.3926868044515104</c:v>
                </c:pt>
                <c:pt idx="10">
                  <c:v>1.5140381282495667</c:v>
                </c:pt>
                <c:pt idx="11">
                  <c:v>1.5324123273113708</c:v>
                </c:pt>
                <c:pt idx="12">
                  <c:v>1.7164502164502164</c:v>
                </c:pt>
                <c:pt idx="13">
                  <c:v>1.9127337488869101</c:v>
                </c:pt>
                <c:pt idx="14">
                  <c:v>1.7708880714661062</c:v>
                </c:pt>
                <c:pt idx="15">
                  <c:v>1.8913274336283186</c:v>
                </c:pt>
                <c:pt idx="16">
                  <c:v>1.8194519075765718</c:v>
                </c:pt>
                <c:pt idx="17">
                  <c:v>1.9025191675794086</c:v>
                </c:pt>
                <c:pt idx="18">
                  <c:v>2.0011709601873537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25-4923-81BC-48E4DF20B34D}"/>
            </c:ext>
          </c:extLst>
        </c:ser>
        <c:ser>
          <c:idx val="1"/>
          <c:order val="1"/>
          <c:tx>
            <c:strRef>
              <c:f>'Alumnos x PTC'!$B$157</c:f>
              <c:strCache>
                <c:ptCount val="1"/>
                <c:pt idx="0">
                  <c:v>Cuajimalpa</c:v>
                </c:pt>
              </c:strCache>
            </c:strRef>
          </c:tx>
          <c:spPr>
            <a:ln w="19050">
              <a:solidFill>
                <a:srgbClr val="F08200"/>
              </a:solidFill>
            </a:ln>
          </c:spPr>
          <c:marker>
            <c:symbol val="diamond"/>
            <c:size val="7"/>
            <c:spPr>
              <a:noFill/>
              <a:ln>
                <a:solidFill>
                  <a:srgbClr val="F08200"/>
                </a:solidFill>
              </a:ln>
            </c:spPr>
          </c:marker>
          <c:dLbls>
            <c:dLbl>
              <c:idx val="7"/>
              <c:layout>
                <c:manualLayout>
                  <c:x val="-2.3121605965738506E-2"/>
                  <c:y val="2.71419185926789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25-4923-81BC-48E4DF20B34D}"/>
                </c:ext>
              </c:extLst>
            </c:dLbl>
            <c:dLbl>
              <c:idx val="8"/>
              <c:layout>
                <c:manualLayout>
                  <c:x val="-2.5623711157287111E-2"/>
                  <c:y val="-2.01806218805463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25-4923-81BC-48E4DF20B34D}"/>
                </c:ext>
              </c:extLst>
            </c:dLbl>
            <c:dLbl>
              <c:idx val="9"/>
              <c:layout>
                <c:manualLayout>
                  <c:x val="-1.385329963449118E-2"/>
                  <c:y val="2.4651258567772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F14-4321-9AE6-6B9489E911C8}"/>
                </c:ext>
              </c:extLst>
            </c:dLbl>
            <c:dLbl>
              <c:idx val="10"/>
              <c:layout>
                <c:manualLayout>
                  <c:x val="-1.4166288803283666E-2"/>
                  <c:y val="2.3885429638854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14-4321-9AE6-6B9489E911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>
                    <a:solidFill>
                      <a:srgbClr val="F08200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('Alumnos x PTC'!$C$147:$P$147,'Alumnos x PTC'!$Q$147,'Alumnos x PTC'!$R$147,'Alumnos x PTC'!$S$147,'Alumnos x PTC'!$T$147,'Alumnos x PTC'!$U$147)</c:f>
              <c:numCache>
                <c:formatCode>General</c:formatCode>
                <c:ptCount val="19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</c:numCache>
            </c:numRef>
          </c:cat>
          <c:val>
            <c:numRef>
              <c:f>('Alumnos x PTC'!$C$157:$M$157,'Alumnos x PTC'!$N$157,'Alumnos x PTC'!$O$157,'Alumnos x PTC'!$P$157,'Alumnos x PTC'!$Q$157,'Alumnos x PTC'!$R$157,'Alumnos x PTC'!$S$157,'Alumnos x PTC'!$T$157,'Alumnos x PTC'!$U$157)</c:f>
              <c:numCache>
                <c:formatCode>0.0</c:formatCode>
                <c:ptCount val="19"/>
                <c:pt idx="7">
                  <c:v>0.62723521320495179</c:v>
                </c:pt>
                <c:pt idx="8">
                  <c:v>1.4848484848484849</c:v>
                </c:pt>
                <c:pt idx="9">
                  <c:v>2.3443223443223444</c:v>
                </c:pt>
                <c:pt idx="10">
                  <c:v>2.8594285714285714</c:v>
                </c:pt>
                <c:pt idx="11">
                  <c:v>3.4666666666666668</c:v>
                </c:pt>
                <c:pt idx="12">
                  <c:v>3.7985153764581128</c:v>
                </c:pt>
                <c:pt idx="13">
                  <c:v>3.5927783350050153</c:v>
                </c:pt>
                <c:pt idx="14">
                  <c:v>3.6246153846153848</c:v>
                </c:pt>
                <c:pt idx="15">
                  <c:v>4.0203665987780042</c:v>
                </c:pt>
                <c:pt idx="16">
                  <c:v>3.2689243027888444</c:v>
                </c:pt>
                <c:pt idx="17">
                  <c:v>3.4547244094488185</c:v>
                </c:pt>
                <c:pt idx="18">
                  <c:v>4.0059171597633139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D25-4923-81BC-48E4DF20B34D}"/>
            </c:ext>
          </c:extLst>
        </c:ser>
        <c:ser>
          <c:idx val="2"/>
          <c:order val="2"/>
          <c:tx>
            <c:strRef>
              <c:f>'Alumnos x PTC'!$B$162</c:f>
              <c:strCache>
                <c:ptCount val="1"/>
                <c:pt idx="0">
                  <c:v>Iztapalapa</c:v>
                </c:pt>
              </c:strCache>
            </c:strRef>
          </c:tx>
          <c:spPr>
            <a:ln w="19050">
              <a:solidFill>
                <a:srgbClr val="57A519"/>
              </a:solidFill>
            </a:ln>
          </c:spPr>
          <c:marker>
            <c:symbol val="triangle"/>
            <c:size val="7"/>
            <c:spPr>
              <a:noFill/>
              <a:ln>
                <a:solidFill>
                  <a:srgbClr val="57A519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('Alumnos x PTC'!$C$147:$P$147,'Alumnos x PTC'!$Q$147,'Alumnos x PTC'!$R$147,'Alumnos x PTC'!$S$147,'Alumnos x PTC'!$T$147,'Alumnos x PTC'!$U$147)</c:f>
              <c:numCache>
                <c:formatCode>General</c:formatCode>
                <c:ptCount val="19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</c:numCache>
            </c:numRef>
          </c:cat>
          <c:val>
            <c:numRef>
              <c:f>('Alumnos x PTC'!$C$162:$M$162,'Alumnos x PTC'!$N$162,'Alumnos x PTC'!$O$162,'Alumnos x PTC'!$P$162,'Alumnos x PTC'!$Q$162,'Alumnos x PTC'!$R$162,'Alumnos x PTC'!$S$162,'Alumnos x PTC'!$T$162,'Alumnos x PTC'!$U$162)</c:f>
              <c:numCache>
                <c:formatCode>0.0</c:formatCode>
                <c:ptCount val="19"/>
                <c:pt idx="0">
                  <c:v>3.565514469453376</c:v>
                </c:pt>
                <c:pt idx="1">
                  <c:v>3.5922643029814663</c:v>
                </c:pt>
                <c:pt idx="2">
                  <c:v>3.5063214930764599</c:v>
                </c:pt>
                <c:pt idx="3">
                  <c:v>3.6826095657394435</c:v>
                </c:pt>
                <c:pt idx="4">
                  <c:v>4.0597433841218926</c:v>
                </c:pt>
                <c:pt idx="5">
                  <c:v>4.3591293833131806</c:v>
                </c:pt>
                <c:pt idx="6">
                  <c:v>5.0122613065326638</c:v>
                </c:pt>
                <c:pt idx="7">
                  <c:v>5.1634326865373081</c:v>
                </c:pt>
                <c:pt idx="8">
                  <c:v>5.2465396188565698</c:v>
                </c:pt>
                <c:pt idx="9">
                  <c:v>5.2350029697089679</c:v>
                </c:pt>
                <c:pt idx="10">
                  <c:v>5.4715875805506737</c:v>
                </c:pt>
                <c:pt idx="11">
                  <c:v>5.2863332020480502</c:v>
                </c:pt>
                <c:pt idx="12">
                  <c:v>5.441362916006339</c:v>
                </c:pt>
                <c:pt idx="13">
                  <c:v>5.0677290836653386</c:v>
                </c:pt>
                <c:pt idx="14">
                  <c:v>4.9570382102553951</c:v>
                </c:pt>
                <c:pt idx="15">
                  <c:v>5.1474006116207951</c:v>
                </c:pt>
                <c:pt idx="16">
                  <c:v>4.8509316770186333</c:v>
                </c:pt>
                <c:pt idx="17">
                  <c:v>4.6849489795918364</c:v>
                </c:pt>
                <c:pt idx="18">
                  <c:v>5.6870838881491341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25-4923-81BC-48E4DF20B34D}"/>
            </c:ext>
          </c:extLst>
        </c:ser>
        <c:ser>
          <c:idx val="4"/>
          <c:order val="3"/>
          <c:tx>
            <c:strRef>
              <c:f>'Alumnos x PTC'!$B$167</c:f>
              <c:strCache>
                <c:ptCount val="1"/>
                <c:pt idx="0">
                  <c:v>Xochimilco</c:v>
                </c:pt>
              </c:strCache>
            </c:strRef>
          </c:tx>
          <c:spPr>
            <a:ln w="19050">
              <a:solidFill>
                <a:srgbClr val="0072CE"/>
              </a:solidFill>
            </a:ln>
          </c:spPr>
          <c:marker>
            <c:symbol val="star"/>
            <c:size val="7"/>
            <c:spPr>
              <a:noFill/>
              <a:ln>
                <a:solidFill>
                  <a:srgbClr val="0072CE"/>
                </a:solidFill>
              </a:ln>
            </c:spPr>
          </c:marker>
          <c:dLbls>
            <c:dLbl>
              <c:idx val="9"/>
              <c:layout>
                <c:manualLayout>
                  <c:x val="-1.6487250560880764E-2"/>
                  <c:y val="-3.05976603484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14-4321-9AE6-6B9489E911C8}"/>
                </c:ext>
              </c:extLst>
            </c:dLbl>
            <c:dLbl>
              <c:idx val="17"/>
              <c:layout>
                <c:manualLayout>
                  <c:x val="-1.6422210270805367E-2"/>
                  <c:y val="-1.78622625506822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14-4321-9AE6-6B9489E911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rgbClr val="0072CE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('Alumnos x PTC'!$C$147:$P$147,'Alumnos x PTC'!$Q$147,'Alumnos x PTC'!$R$147,'Alumnos x PTC'!$S$147,'Alumnos x PTC'!$T$147,'Alumnos x PTC'!$U$147)</c:f>
              <c:numCache>
                <c:formatCode>General</c:formatCode>
                <c:ptCount val="19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</c:numCache>
            </c:numRef>
          </c:cat>
          <c:val>
            <c:numRef>
              <c:f>('Alumnos x PTC'!$C$167:$M$167,'Alumnos x PTC'!$N$167,'Alumnos x PTC'!$O$167,'Alumnos x PTC'!$P$167,'Alumnos x PTC'!$Q$167,'Alumnos x PTC'!$R$167,'Alumnos x PTC'!$S$167,'Alumnos x PTC'!$T$167,'Alumnos x PTC'!$U$167)</c:f>
              <c:numCache>
                <c:formatCode>0.0</c:formatCode>
                <c:ptCount val="19"/>
                <c:pt idx="0">
                  <c:v>1.6479909451046972</c:v>
                </c:pt>
                <c:pt idx="1">
                  <c:v>1.7238890998860616</c:v>
                </c:pt>
                <c:pt idx="2">
                  <c:v>1.9052453468697124</c:v>
                </c:pt>
                <c:pt idx="3">
                  <c:v>2.1659607239122063</c:v>
                </c:pt>
                <c:pt idx="4">
                  <c:v>2.1755461862782677</c:v>
                </c:pt>
                <c:pt idx="5">
                  <c:v>2.4958992942971578</c:v>
                </c:pt>
                <c:pt idx="6">
                  <c:v>2.4929897688518379</c:v>
                </c:pt>
                <c:pt idx="7">
                  <c:v>2.3673621460506706</c:v>
                </c:pt>
                <c:pt idx="8">
                  <c:v>2.346381093057607</c:v>
                </c:pt>
                <c:pt idx="9">
                  <c:v>2.5163073521282477</c:v>
                </c:pt>
                <c:pt idx="10">
                  <c:v>2.4388646288209608</c:v>
                </c:pt>
                <c:pt idx="11">
                  <c:v>2.5601317957166394</c:v>
                </c:pt>
                <c:pt idx="12">
                  <c:v>2.6817079992541486</c:v>
                </c:pt>
                <c:pt idx="13">
                  <c:v>2.8067988668555239</c:v>
                </c:pt>
                <c:pt idx="14">
                  <c:v>3.0960045445938271</c:v>
                </c:pt>
                <c:pt idx="15">
                  <c:v>3.1016267942583733</c:v>
                </c:pt>
                <c:pt idx="16">
                  <c:v>3.1369782480893593</c:v>
                </c:pt>
                <c:pt idx="17">
                  <c:v>3.2375822860562535</c:v>
                </c:pt>
                <c:pt idx="18">
                  <c:v>3.2340702210663199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D25-4923-81BC-48E4DF20B34D}"/>
            </c:ext>
          </c:extLst>
        </c:ser>
        <c:ser>
          <c:idx val="3"/>
          <c:order val="4"/>
          <c:tx>
            <c:strRef>
              <c:f>'Alumnos x PTC'!$B$169</c:f>
              <c:strCache>
                <c:ptCount val="1"/>
                <c:pt idx="0">
                  <c:v>UAM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circle"/>
            <c:size val="7"/>
            <c:spPr>
              <a:noFill/>
              <a:ln>
                <a:solidFill>
                  <a:schemeClr val="tx1"/>
                </a:solidFill>
              </a:ln>
            </c:spPr>
          </c:marker>
          <c:dLbls>
            <c:dLbl>
              <c:idx val="15"/>
              <c:layout>
                <c:manualLayout>
                  <c:x val="-1.6487250560880691E-2"/>
                  <c:y val="2.31258763887390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14-4321-9AE6-6B9489E911C8}"/>
                </c:ext>
              </c:extLst>
            </c:dLbl>
            <c:dLbl>
              <c:idx val="17"/>
              <c:layout>
                <c:manualLayout>
                  <c:x val="-1.3429555941153262E-2"/>
                  <c:y val="2.767020253962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14-4321-9AE6-6B9489E911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/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('Alumnos x PTC'!$C$147:$P$147,'Alumnos x PTC'!$Q$147,'Alumnos x PTC'!$R$147,'Alumnos x PTC'!$S$147,'Alumnos x PTC'!$T$147,'Alumnos x PTC'!$U$147)</c:f>
              <c:numCache>
                <c:formatCode>General</c:formatCode>
                <c:ptCount val="19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</c:numCache>
            </c:numRef>
          </c:cat>
          <c:val>
            <c:numRef>
              <c:f>('Alumnos x PTC'!$C$169:$P$169,'Alumnos x PTC'!$Q$169,'Alumnos x PTC'!$R$169,'Alumnos x PTC'!$S$169,'Alumnos x PTC'!$T$169,'Alumnos x PTC'!$U$169)</c:f>
              <c:numCache>
                <c:formatCode>0.0</c:formatCode>
                <c:ptCount val="19"/>
                <c:pt idx="0">
                  <c:v>1.9823941399473108</c:v>
                </c:pt>
                <c:pt idx="1">
                  <c:v>2.0152818800565044</c:v>
                </c:pt>
                <c:pt idx="2">
                  <c:v>2.0208412277377796</c:v>
                </c:pt>
                <c:pt idx="3">
                  <c:v>2.2270365036628887</c:v>
                </c:pt>
                <c:pt idx="4">
                  <c:v>2.3026422132421511</c:v>
                </c:pt>
                <c:pt idx="5">
                  <c:v>2.5308969689487002</c:v>
                </c:pt>
                <c:pt idx="6">
                  <c:v>2.7307902901989416</c:v>
                </c:pt>
                <c:pt idx="7">
                  <c:v>2.8673646425366437</c:v>
                </c:pt>
                <c:pt idx="8">
                  <c:v>2.8359763313609467</c:v>
                </c:pt>
                <c:pt idx="9">
                  <c:v>2.9950951769239751</c:v>
                </c:pt>
                <c:pt idx="10">
                  <c:v>3.1098523858565055</c:v>
                </c:pt>
                <c:pt idx="11">
                  <c:v>3.0337389699521307</c:v>
                </c:pt>
                <c:pt idx="12">
                  <c:v>3.1894590201996746</c:v>
                </c:pt>
                <c:pt idx="13">
                  <c:v>3.1521726585492527</c:v>
                </c:pt>
                <c:pt idx="14">
                  <c:v>3.1550894085281982</c:v>
                </c:pt>
                <c:pt idx="15">
                  <c:v>3.2629315355108686</c:v>
                </c:pt>
                <c:pt idx="16">
                  <c:v>3.123394225103123</c:v>
                </c:pt>
                <c:pt idx="17">
                  <c:v>3.1439207445211648</c:v>
                </c:pt>
                <c:pt idx="18">
                  <c:v>3.5143513203214698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D25-4923-81BC-48E4DF20B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900864"/>
        <c:axId val="144902400"/>
      </c:lineChart>
      <c:catAx>
        <c:axId val="144900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4902400"/>
        <c:crosses val="autoZero"/>
        <c:auto val="1"/>
        <c:lblAlgn val="ctr"/>
        <c:lblOffset val="100"/>
        <c:noMultiLvlLbl val="0"/>
      </c:catAx>
      <c:valAx>
        <c:axId val="144902400"/>
        <c:scaling>
          <c:orientation val="minMax"/>
        </c:scaling>
        <c:delete val="1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.0" sourceLinked="1"/>
        <c:majorTickMark val="out"/>
        <c:minorTickMark val="none"/>
        <c:tickLblPos val="nextTo"/>
        <c:crossAx val="144900864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6.8486400864733094E-2"/>
          <c:y val="0.94053441327306053"/>
          <c:w val="0.89065622547455392"/>
          <c:h val="4.8058952157754874E-2"/>
        </c:manualLayout>
      </c:layout>
      <c:overlay val="0"/>
      <c:txPr>
        <a:bodyPr/>
        <a:lstStyle/>
        <a:p>
          <a:pPr>
            <a:defRPr sz="1200" b="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  <a:scene3d>
      <a:camera prst="orthographicFront"/>
      <a:lightRig rig="threePt" dir="t"/>
    </a:scene3d>
    <a:sp3d>
      <a:bevelT w="165100" prst="coolSlant"/>
    </a:sp3d>
  </c:spPr>
  <c:printSettings>
    <c:headerFooter/>
    <c:pageMargins b="0.75" l="0.7" r="0.7" t="0.75" header="0.3" footer="0.3"/>
    <c:pageSetup orientation="landscape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1"/>
            </a:pPr>
            <a:r>
              <a:rPr lang="es-MX" sz="1400" b="0" i="1"/>
              <a:t>Becas y Estímulos al Personal Académico</a:t>
            </a:r>
          </a:p>
        </c:rich>
      </c:tx>
      <c:overlay val="1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1.1369508118618234E-2"/>
          <c:y val="2.191664770989073E-2"/>
          <c:w val="0.97726098376276349"/>
          <c:h val="0.84753929307728115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'becas y estímulos'!$A$5</c:f>
              <c:strCache>
                <c:ptCount val="1"/>
                <c:pt idx="0">
                  <c:v>Estímulo a la Docencia e Investigación (EDI)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-5400000" vert="horz"/>
                <a:lstStyle/>
                <a:p>
                  <a:pPr>
                    <a:defRPr sz="800">
                      <a:solidFill>
                        <a:schemeClr val="bg1"/>
                      </a:solidFill>
                      <a:latin typeface="+mn-lt"/>
                      <a:cs typeface="Arial" panose="020B0604020202020204" pitchFamily="34" charset="0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B142-4536-80EF-DA6689E11235}"/>
                </c:ext>
              </c:extLst>
            </c:dLbl>
            <c:dLbl>
              <c:idx val="30"/>
              <c:layout>
                <c:manualLayout>
                  <c:x val="1.3895821800732443E-2"/>
                  <c:y val="2.11864406779660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vert="horz" anchor="ctr" anchorCtr="0"/>
                <a:lstStyle/>
                <a:p>
                  <a:pPr>
                    <a:defRPr sz="1000">
                      <a:solidFill>
                        <a:sysClr val="windowText" lastClr="000000"/>
                      </a:solidFill>
                      <a:latin typeface="+mn-lt"/>
                      <a:cs typeface="Arial" panose="020B0604020202020204" pitchFamily="34" charset="0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1.826302872261415E-2"/>
                      <c:h val="3.645135459762444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B142-4536-80EF-DA6689E112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bg1"/>
                    </a:solidFill>
                    <a:latin typeface="+mn-lt"/>
                    <a:cs typeface="Arial" panose="020B0604020202020204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('becas y estímulos'!$B$4:$Z$4,'becas y estímulos'!$AA$4,'becas y estímulos'!$AB$4,'becas y estímulos'!$AC$4,'becas y estímulos'!$AD$4,'becas y estímulos'!$AE$4,'becas y estímulos'!$AF$4,'becas y estímulos'!$AG$4,'becas y estímulos'!$AH$4)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numCache>
            </c:numRef>
          </c:cat>
          <c:val>
            <c:numRef>
              <c:f>('becas y estímulos'!$B$5:$Z$5,'becas y estímulos'!$AA$5,'becas y estímulos'!$AB$5,'becas y estímulos'!$AC$5,'becas y estímulos'!$AD$5,'becas y estímulos'!$AE$5,'becas y estímulos'!$AF$5,'becas y estímulos'!$AG$5,'becas y estímulos'!$AH$5)</c:f>
              <c:numCache>
                <c:formatCode>_(* #,##0_);_(* \(#,##0\);_(* "-"_);_(@_)</c:formatCode>
                <c:ptCount val="33"/>
                <c:pt idx="0">
                  <c:v>315</c:v>
                </c:pt>
                <c:pt idx="1">
                  <c:v>517</c:v>
                </c:pt>
                <c:pt idx="2">
                  <c:v>530</c:v>
                </c:pt>
                <c:pt idx="3">
                  <c:v>634</c:v>
                </c:pt>
                <c:pt idx="4">
                  <c:v>693</c:v>
                </c:pt>
                <c:pt idx="5">
                  <c:v>751</c:v>
                </c:pt>
                <c:pt idx="6">
                  <c:v>773</c:v>
                </c:pt>
                <c:pt idx="7">
                  <c:v>795</c:v>
                </c:pt>
                <c:pt idx="8">
                  <c:v>805</c:v>
                </c:pt>
                <c:pt idx="9">
                  <c:v>780</c:v>
                </c:pt>
                <c:pt idx="10">
                  <c:v>821</c:v>
                </c:pt>
                <c:pt idx="11">
                  <c:v>876</c:v>
                </c:pt>
                <c:pt idx="12">
                  <c:v>898</c:v>
                </c:pt>
                <c:pt idx="13">
                  <c:v>888</c:v>
                </c:pt>
                <c:pt idx="14">
                  <c:v>924</c:v>
                </c:pt>
                <c:pt idx="15">
                  <c:v>1010</c:v>
                </c:pt>
                <c:pt idx="16">
                  <c:v>970</c:v>
                </c:pt>
                <c:pt idx="17">
                  <c:v>1059</c:v>
                </c:pt>
                <c:pt idx="18">
                  <c:v>1010</c:v>
                </c:pt>
                <c:pt idx="19">
                  <c:v>1076</c:v>
                </c:pt>
                <c:pt idx="20">
                  <c:v>1066</c:v>
                </c:pt>
                <c:pt idx="21">
                  <c:v>1217</c:v>
                </c:pt>
                <c:pt idx="22">
                  <c:v>1288</c:v>
                </c:pt>
                <c:pt idx="23">
                  <c:v>1383</c:v>
                </c:pt>
                <c:pt idx="24">
                  <c:v>1385</c:v>
                </c:pt>
                <c:pt idx="25">
                  <c:v>1392</c:v>
                </c:pt>
                <c:pt idx="26">
                  <c:v>1418</c:v>
                </c:pt>
                <c:pt idx="27">
                  <c:v>1464</c:v>
                </c:pt>
                <c:pt idx="28">
                  <c:v>1419</c:v>
                </c:pt>
                <c:pt idx="29">
                  <c:v>1377</c:v>
                </c:pt>
                <c:pt idx="30">
                  <c:v>59</c:v>
                </c:pt>
                <c:pt idx="31">
                  <c:v>1597</c:v>
                </c:pt>
                <c:pt idx="32">
                  <c:v>1262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42-4536-80EF-DA6689E11235}"/>
            </c:ext>
          </c:extLst>
        </c:ser>
        <c:ser>
          <c:idx val="2"/>
          <c:order val="1"/>
          <c:tx>
            <c:strRef>
              <c:f>'becas y estímulos'!$A$6</c:f>
              <c:strCache>
                <c:ptCount val="1"/>
                <c:pt idx="0">
                  <c:v>Beca de Apoyo a la Permanencia (BAP)</c:v>
                </c:pt>
              </c:strCache>
            </c:strRef>
          </c:tx>
          <c:spPr>
            <a:solidFill>
              <a:srgbClr val="CC9900"/>
            </a:solidFill>
            <a:ln>
              <a:noFill/>
            </a:ln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latin typeface="+mn-lt"/>
                    <a:cs typeface="Arial" panose="020B0604020202020204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('becas y estímulos'!$B$4:$Z$4,'becas y estímulos'!$AA$4,'becas y estímulos'!$AB$4,'becas y estímulos'!$AC$4,'becas y estímulos'!$AD$4,'becas y estímulos'!$AE$4,'becas y estímulos'!$AF$4,'becas y estímulos'!$AG$4,'becas y estímulos'!$AH$4)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numCache>
            </c:numRef>
          </c:cat>
          <c:val>
            <c:numRef>
              <c:f>('becas y estímulos'!$B$6:$Z$6,'becas y estímulos'!$AA$6,'becas y estímulos'!$AB$6,'becas y estímulos'!$AC$6,'becas y estímulos'!$AD$6,'becas y estímulos'!$AE$6,'becas y estímulos'!$AF$6,'becas y estímulos'!$AG$6,'becas y estímulos'!$AH$6)</c:f>
              <c:numCache>
                <c:formatCode>_(* #,##0_);_(* \(#,##0\);_(* "-"_);_(@_)</c:formatCode>
                <c:ptCount val="33"/>
                <c:pt idx="0">
                  <c:v>585</c:v>
                </c:pt>
                <c:pt idx="1">
                  <c:v>857</c:v>
                </c:pt>
                <c:pt idx="2">
                  <c:v>886</c:v>
                </c:pt>
                <c:pt idx="3">
                  <c:v>994</c:v>
                </c:pt>
                <c:pt idx="4">
                  <c:v>1128</c:v>
                </c:pt>
                <c:pt idx="5">
                  <c:v>1289</c:v>
                </c:pt>
                <c:pt idx="6">
                  <c:v>1378</c:v>
                </c:pt>
                <c:pt idx="7">
                  <c:v>1447</c:v>
                </c:pt>
                <c:pt idx="8">
                  <c:v>1491</c:v>
                </c:pt>
                <c:pt idx="9">
                  <c:v>1500</c:v>
                </c:pt>
                <c:pt idx="10">
                  <c:v>1544</c:v>
                </c:pt>
                <c:pt idx="11">
                  <c:v>1538</c:v>
                </c:pt>
                <c:pt idx="12">
                  <c:v>1587</c:v>
                </c:pt>
                <c:pt idx="13">
                  <c:v>1620</c:v>
                </c:pt>
                <c:pt idx="14">
                  <c:v>1649</c:v>
                </c:pt>
                <c:pt idx="15">
                  <c:v>1659</c:v>
                </c:pt>
                <c:pt idx="16">
                  <c:v>1651</c:v>
                </c:pt>
                <c:pt idx="17">
                  <c:v>1692</c:v>
                </c:pt>
                <c:pt idx="18">
                  <c:v>1744</c:v>
                </c:pt>
                <c:pt idx="19">
                  <c:v>1783</c:v>
                </c:pt>
                <c:pt idx="20">
                  <c:v>1801</c:v>
                </c:pt>
                <c:pt idx="21">
                  <c:v>1879</c:v>
                </c:pt>
                <c:pt idx="22">
                  <c:v>1967</c:v>
                </c:pt>
                <c:pt idx="23">
                  <c:v>2012</c:v>
                </c:pt>
                <c:pt idx="24">
                  <c:v>2047</c:v>
                </c:pt>
                <c:pt idx="25">
                  <c:v>2070</c:v>
                </c:pt>
                <c:pt idx="26">
                  <c:v>2080</c:v>
                </c:pt>
                <c:pt idx="27">
                  <c:v>2095</c:v>
                </c:pt>
                <c:pt idx="28">
                  <c:v>2109</c:v>
                </c:pt>
                <c:pt idx="29">
                  <c:v>2102</c:v>
                </c:pt>
                <c:pt idx="30">
                  <c:v>1780</c:v>
                </c:pt>
                <c:pt idx="31">
                  <c:v>1971</c:v>
                </c:pt>
                <c:pt idx="32">
                  <c:v>1895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42-4536-80EF-DA6689E11235}"/>
            </c:ext>
          </c:extLst>
        </c:ser>
        <c:ser>
          <c:idx val="3"/>
          <c:order val="2"/>
          <c:tx>
            <c:strRef>
              <c:f>'becas y estímulos'!$A$7</c:f>
              <c:strCache>
                <c:ptCount val="1"/>
                <c:pt idx="0">
                  <c:v>Beca al Reconocimiento de la Carrera Docente (BRCD)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bg1"/>
                    </a:solidFill>
                    <a:latin typeface="+mn-lt"/>
                    <a:cs typeface="Arial" panose="020B0604020202020204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('becas y estímulos'!$B$4:$Z$4,'becas y estímulos'!$AA$4,'becas y estímulos'!$AB$4,'becas y estímulos'!$AC$4,'becas y estímulos'!$AD$4,'becas y estímulos'!$AE$4,'becas y estímulos'!$AF$4,'becas y estímulos'!$AG$4,'becas y estímulos'!$AH$4)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numCache>
            </c:numRef>
          </c:cat>
          <c:val>
            <c:numRef>
              <c:f>('becas y estímulos'!$B$7:$Z$7,'becas y estímulos'!$AA$7,'becas y estímulos'!$AB$7,'becas y estímulos'!$AC$7,'becas y estímulos'!$AD$7,'becas y estímulos'!$AE$7,'becas y estímulos'!$AF$7,'becas y estímulos'!$AG$7,'becas y estímulos'!$AH$7)</c:f>
              <c:numCache>
                <c:formatCode>_(* #,##0_);_(* \(#,##0\);_(* "-"_);_(@_)</c:formatCode>
                <c:ptCount val="33"/>
                <c:pt idx="2">
                  <c:v>1276</c:v>
                </c:pt>
                <c:pt idx="3">
                  <c:v>1613</c:v>
                </c:pt>
                <c:pt idx="4">
                  <c:v>1709</c:v>
                </c:pt>
                <c:pt idx="5">
                  <c:v>1912</c:v>
                </c:pt>
                <c:pt idx="6">
                  <c:v>2001</c:v>
                </c:pt>
                <c:pt idx="7">
                  <c:v>2122</c:v>
                </c:pt>
                <c:pt idx="8">
                  <c:v>2197</c:v>
                </c:pt>
                <c:pt idx="9">
                  <c:v>2263</c:v>
                </c:pt>
                <c:pt idx="10">
                  <c:v>2332</c:v>
                </c:pt>
                <c:pt idx="11">
                  <c:v>2341</c:v>
                </c:pt>
                <c:pt idx="12">
                  <c:v>2416</c:v>
                </c:pt>
                <c:pt idx="13">
                  <c:v>2454</c:v>
                </c:pt>
                <c:pt idx="14">
                  <c:v>2496</c:v>
                </c:pt>
                <c:pt idx="15">
                  <c:v>2601</c:v>
                </c:pt>
                <c:pt idx="16">
                  <c:v>2576</c:v>
                </c:pt>
                <c:pt idx="17">
                  <c:v>2633</c:v>
                </c:pt>
                <c:pt idx="18">
                  <c:v>2606</c:v>
                </c:pt>
                <c:pt idx="19">
                  <c:v>2645</c:v>
                </c:pt>
                <c:pt idx="20">
                  <c:v>2598</c:v>
                </c:pt>
                <c:pt idx="21">
                  <c:v>2669</c:v>
                </c:pt>
                <c:pt idx="22">
                  <c:v>2743</c:v>
                </c:pt>
                <c:pt idx="23">
                  <c:v>2761</c:v>
                </c:pt>
                <c:pt idx="24">
                  <c:v>2813</c:v>
                </c:pt>
                <c:pt idx="25">
                  <c:v>2826</c:v>
                </c:pt>
                <c:pt idx="26">
                  <c:v>2804</c:v>
                </c:pt>
                <c:pt idx="27">
                  <c:v>2780</c:v>
                </c:pt>
                <c:pt idx="28">
                  <c:v>2807</c:v>
                </c:pt>
                <c:pt idx="29">
                  <c:v>2812</c:v>
                </c:pt>
                <c:pt idx="30">
                  <c:v>2660</c:v>
                </c:pt>
                <c:pt idx="31">
                  <c:v>3029</c:v>
                </c:pt>
                <c:pt idx="32">
                  <c:v>2912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42-4536-80EF-DA6689E11235}"/>
            </c:ext>
          </c:extLst>
        </c:ser>
        <c:ser>
          <c:idx val="4"/>
          <c:order val="3"/>
          <c:tx>
            <c:strRef>
              <c:f>'becas y estímulos'!$A$8</c:f>
              <c:strCache>
                <c:ptCount val="1"/>
                <c:pt idx="0">
                  <c:v>Estímulo a los Grados Académicos (EGA)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latin typeface="+mn-lt"/>
                    <a:cs typeface="Arial" panose="020B0604020202020204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('becas y estímulos'!$B$4:$Z$4,'becas y estímulos'!$AA$4,'becas y estímulos'!$AB$4,'becas y estímulos'!$AC$4,'becas y estímulos'!$AD$4,'becas y estímulos'!$AE$4,'becas y estímulos'!$AF$4,'becas y estímulos'!$AG$4,'becas y estímulos'!$AH$4)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numCache>
            </c:numRef>
          </c:cat>
          <c:val>
            <c:numRef>
              <c:f>('becas y estímulos'!$B$8:$Z$8,'becas y estímulos'!$AA$8,'becas y estímulos'!$AB$8,'becas y estímulos'!$AC$8,'becas y estímulos'!$AD$8,'becas y estímulos'!$AE$8,'becas y estímulos'!$AF$8,'becas y estímulos'!$AG$8,'becas y estímulos'!$AH$8)</c:f>
              <c:numCache>
                <c:formatCode>_(* #,##0_);_(* \(#,##0\);_(* "-"_);_(@_)</c:formatCode>
                <c:ptCount val="33"/>
                <c:pt idx="5">
                  <c:v>1817</c:v>
                </c:pt>
                <c:pt idx="6">
                  <c:v>1875</c:v>
                </c:pt>
                <c:pt idx="7">
                  <c:v>1931</c:v>
                </c:pt>
                <c:pt idx="8">
                  <c:v>2016</c:v>
                </c:pt>
                <c:pt idx="9">
                  <c:v>2045</c:v>
                </c:pt>
                <c:pt idx="10">
                  <c:v>2095</c:v>
                </c:pt>
                <c:pt idx="11">
                  <c:v>2111</c:v>
                </c:pt>
                <c:pt idx="12">
                  <c:v>2158</c:v>
                </c:pt>
                <c:pt idx="13">
                  <c:v>1611</c:v>
                </c:pt>
                <c:pt idx="14">
                  <c:v>1677</c:v>
                </c:pt>
                <c:pt idx="15">
                  <c:v>1729</c:v>
                </c:pt>
                <c:pt idx="16">
                  <c:v>1776</c:v>
                </c:pt>
                <c:pt idx="17">
                  <c:v>1884</c:v>
                </c:pt>
                <c:pt idx="18">
                  <c:v>1952</c:v>
                </c:pt>
                <c:pt idx="19">
                  <c:v>1990</c:v>
                </c:pt>
                <c:pt idx="20">
                  <c:v>1987</c:v>
                </c:pt>
                <c:pt idx="21">
                  <c:v>2093</c:v>
                </c:pt>
                <c:pt idx="22">
                  <c:v>2171</c:v>
                </c:pt>
                <c:pt idx="23">
                  <c:v>2203</c:v>
                </c:pt>
                <c:pt idx="24">
                  <c:v>2280</c:v>
                </c:pt>
                <c:pt idx="25">
                  <c:v>2295</c:v>
                </c:pt>
                <c:pt idx="26">
                  <c:v>2303</c:v>
                </c:pt>
                <c:pt idx="27">
                  <c:v>2317</c:v>
                </c:pt>
                <c:pt idx="28">
                  <c:v>2341</c:v>
                </c:pt>
                <c:pt idx="29">
                  <c:v>2351</c:v>
                </c:pt>
                <c:pt idx="30">
                  <c:v>2477</c:v>
                </c:pt>
                <c:pt idx="31">
                  <c:v>2224</c:v>
                </c:pt>
                <c:pt idx="32">
                  <c:v>2179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42-4536-80EF-DA6689E11235}"/>
            </c:ext>
          </c:extLst>
        </c:ser>
        <c:ser>
          <c:idx val="5"/>
          <c:order val="4"/>
          <c:tx>
            <c:strRef>
              <c:f>'becas y estímulos'!$A$9</c:f>
              <c:strCache>
                <c:ptCount val="1"/>
                <c:pt idx="0">
                  <c:v>Estímulo a la trayectoria Académica sobresaliente (ETAS)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bg1"/>
                    </a:solidFill>
                    <a:latin typeface="+mn-lt"/>
                    <a:cs typeface="Arial" panose="020B0604020202020204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('becas y estímulos'!$B$4:$Z$4,'becas y estímulos'!$AA$4,'becas y estímulos'!$AB$4,'becas y estímulos'!$AC$4,'becas y estímulos'!$AD$4,'becas y estímulos'!$AE$4,'becas y estímulos'!$AF$4,'becas y estímulos'!$AG$4,'becas y estímulos'!$AH$4)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numCache>
            </c:numRef>
          </c:cat>
          <c:val>
            <c:numRef>
              <c:f>('becas y estímulos'!$B$9:$Z$9,'becas y estímulos'!$AA$9,'becas y estímulos'!$AB$9,'becas y estímulos'!$AC$9,'becas y estímulos'!$AD$9,'becas y estímulos'!$AE$9,'becas y estímulos'!$AF$9,'becas y estímulos'!$AG$9,'becas y estímulos'!$AH$9)</c:f>
              <c:numCache>
                <c:formatCode>_(* #,##0_);_(* \(#,##0\);_(* "-"_);_(@_)</c:formatCode>
                <c:ptCount val="33"/>
                <c:pt idx="5">
                  <c:v>388</c:v>
                </c:pt>
                <c:pt idx="6">
                  <c:v>553</c:v>
                </c:pt>
                <c:pt idx="7">
                  <c:v>658</c:v>
                </c:pt>
                <c:pt idx="8">
                  <c:v>753</c:v>
                </c:pt>
                <c:pt idx="9">
                  <c:v>838</c:v>
                </c:pt>
                <c:pt idx="10">
                  <c:v>934</c:v>
                </c:pt>
                <c:pt idx="11">
                  <c:v>1049</c:v>
                </c:pt>
                <c:pt idx="12">
                  <c:v>1173</c:v>
                </c:pt>
                <c:pt idx="13">
                  <c:v>1280</c:v>
                </c:pt>
                <c:pt idx="14">
                  <c:v>1372</c:v>
                </c:pt>
                <c:pt idx="15">
                  <c:v>1453</c:v>
                </c:pt>
                <c:pt idx="16">
                  <c:v>1522</c:v>
                </c:pt>
                <c:pt idx="17">
                  <c:v>1588</c:v>
                </c:pt>
                <c:pt idx="18">
                  <c:v>1601</c:v>
                </c:pt>
                <c:pt idx="19">
                  <c:v>1639</c:v>
                </c:pt>
                <c:pt idx="20">
                  <c:v>1630</c:v>
                </c:pt>
                <c:pt idx="21">
                  <c:v>1690</c:v>
                </c:pt>
                <c:pt idx="22">
                  <c:v>1756</c:v>
                </c:pt>
                <c:pt idx="23">
                  <c:v>1778</c:v>
                </c:pt>
                <c:pt idx="24">
                  <c:v>1756</c:v>
                </c:pt>
                <c:pt idx="25">
                  <c:v>1798</c:v>
                </c:pt>
                <c:pt idx="26">
                  <c:v>1824</c:v>
                </c:pt>
                <c:pt idx="27">
                  <c:v>1862</c:v>
                </c:pt>
                <c:pt idx="28">
                  <c:v>1853</c:v>
                </c:pt>
                <c:pt idx="29">
                  <c:v>1856</c:v>
                </c:pt>
                <c:pt idx="30">
                  <c:v>1850</c:v>
                </c:pt>
                <c:pt idx="31">
                  <c:v>1988</c:v>
                </c:pt>
                <c:pt idx="32">
                  <c:v>1947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42-4536-80EF-DA6689E112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40312576"/>
        <c:axId val="140314112"/>
        <c:axId val="0"/>
      </c:bar3DChart>
      <c:catAx>
        <c:axId val="140312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0314112"/>
        <c:crosses val="autoZero"/>
        <c:auto val="1"/>
        <c:lblAlgn val="ctr"/>
        <c:lblOffset val="100"/>
        <c:noMultiLvlLbl val="0"/>
      </c:catAx>
      <c:valAx>
        <c:axId val="140314112"/>
        <c:scaling>
          <c:orientation val="minMax"/>
        </c:scaling>
        <c:delete val="1"/>
        <c:axPos val="l"/>
        <c:numFmt formatCode="_(* #,##0_);_(* \(#,##0\);_(* &quot;-&quot;_);_(@_)" sourceLinked="1"/>
        <c:majorTickMark val="out"/>
        <c:minorTickMark val="none"/>
        <c:tickLblPos val="nextTo"/>
        <c:crossAx val="140312576"/>
        <c:crosses val="autoZero"/>
        <c:crossBetween val="between"/>
        <c:majorUnit val="1000"/>
      </c:valAx>
    </c:plotArea>
    <c:legend>
      <c:legendPos val="b"/>
      <c:layout>
        <c:manualLayout>
          <c:xMode val="edge"/>
          <c:yMode val="edge"/>
          <c:x val="7.5806204530492777E-2"/>
          <c:y val="0.91939129281843557"/>
          <c:w val="0.9205592874425661"/>
          <c:h val="7.496928809199381E-2"/>
        </c:manualLayout>
      </c:layout>
      <c:overlay val="0"/>
      <c:spPr>
        <a:effectLst/>
      </c:spPr>
      <c:txPr>
        <a:bodyPr/>
        <a:lstStyle/>
        <a:p>
          <a:pPr>
            <a:defRPr sz="1200" b="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1.5585655306476666E-2"/>
          <c:y val="5.407318816101693E-2"/>
          <c:w val="0.97362427563519338"/>
          <c:h val="0.81689099294776935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'PRODEP PERFIL'!$D$74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rgbClr val="CD032E"/>
            </a:solidFill>
            <a:ln w="3175"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('PRODEP PERFIL'!$C$3:$S$3,'PRODEP PERFIL'!$T$3,'PRODEP PERFIL'!$U$3,'PRODEP PERFIL'!$V$3)</c:f>
              <c:numCache>
                <c:formatCode>General</c:formatCode>
                <c:ptCount val="19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</c:numCache>
            </c:numRef>
          </c:cat>
          <c:val>
            <c:numRef>
              <c:f>('PRODEP PERFIL'!$C$8:$S$8,'PRODEP PERFIL'!$T$8,'PRODEP PERFIL'!$U$8,'PRODEP PERFIL'!$V$8)</c:f>
              <c:numCache>
                <c:formatCode>#,##0</c:formatCode>
                <c:ptCount val="19"/>
                <c:pt idx="0">
                  <c:v>250</c:v>
                </c:pt>
                <c:pt idx="1">
                  <c:v>276</c:v>
                </c:pt>
                <c:pt idx="2">
                  <c:v>374</c:v>
                </c:pt>
                <c:pt idx="3">
                  <c:v>376</c:v>
                </c:pt>
                <c:pt idx="4">
                  <c:v>388</c:v>
                </c:pt>
                <c:pt idx="5">
                  <c:v>432</c:v>
                </c:pt>
                <c:pt idx="6">
                  <c:v>447</c:v>
                </c:pt>
                <c:pt idx="7">
                  <c:v>426</c:v>
                </c:pt>
                <c:pt idx="8">
                  <c:v>473</c:v>
                </c:pt>
                <c:pt idx="9">
                  <c:v>503</c:v>
                </c:pt>
                <c:pt idx="10">
                  <c:v>515</c:v>
                </c:pt>
                <c:pt idx="11">
                  <c:v>468</c:v>
                </c:pt>
                <c:pt idx="12">
                  <c:v>467</c:v>
                </c:pt>
                <c:pt idx="13">
                  <c:v>501</c:v>
                </c:pt>
                <c:pt idx="14">
                  <c:v>466</c:v>
                </c:pt>
                <c:pt idx="15">
                  <c:v>421</c:v>
                </c:pt>
                <c:pt idx="16">
                  <c:v>463</c:v>
                </c:pt>
                <c:pt idx="17">
                  <c:v>404</c:v>
                </c:pt>
                <c:pt idx="18">
                  <c:v>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79-437B-BCEF-68E691CA9A10}"/>
            </c:ext>
          </c:extLst>
        </c:ser>
        <c:ser>
          <c:idx val="1"/>
          <c:order val="1"/>
          <c:tx>
            <c:strRef>
              <c:f>'PRODEP PERFIL'!$D$75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  <a:ln>
              <a:noFill/>
            </a:ln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('PRODEP PERFIL'!$C$3:$S$3,'PRODEP PERFIL'!$T$3,'PRODEP PERFIL'!$U$3,'PRODEP PERFIL'!$V$3)</c:f>
              <c:numCache>
                <c:formatCode>General</c:formatCode>
                <c:ptCount val="19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</c:numCache>
            </c:numRef>
          </c:cat>
          <c:val>
            <c:numRef>
              <c:f>('PRODEP PERFIL'!$C$13:$S$13,'PRODEP PERFIL'!$T$13,'PRODEP PERFIL'!$U$13,'PRODEP PERFIL'!$V$13)</c:f>
              <c:numCache>
                <c:formatCode>#,##0</c:formatCode>
                <c:ptCount val="19"/>
                <c:pt idx="1">
                  <c:v>11</c:v>
                </c:pt>
                <c:pt idx="2">
                  <c:v>24</c:v>
                </c:pt>
                <c:pt idx="3">
                  <c:v>47</c:v>
                </c:pt>
                <c:pt idx="4">
                  <c:v>61</c:v>
                </c:pt>
                <c:pt idx="5">
                  <c:v>70</c:v>
                </c:pt>
                <c:pt idx="6">
                  <c:v>93</c:v>
                </c:pt>
                <c:pt idx="7">
                  <c:v>110</c:v>
                </c:pt>
                <c:pt idx="8">
                  <c:v>123</c:v>
                </c:pt>
                <c:pt idx="9">
                  <c:v>124</c:v>
                </c:pt>
                <c:pt idx="10">
                  <c:v>115</c:v>
                </c:pt>
                <c:pt idx="11">
                  <c:v>114</c:v>
                </c:pt>
                <c:pt idx="12">
                  <c:v>105</c:v>
                </c:pt>
                <c:pt idx="13">
                  <c:v>103</c:v>
                </c:pt>
                <c:pt idx="14">
                  <c:v>97</c:v>
                </c:pt>
                <c:pt idx="15">
                  <c:v>97</c:v>
                </c:pt>
                <c:pt idx="16">
                  <c:v>100</c:v>
                </c:pt>
                <c:pt idx="17">
                  <c:v>85</c:v>
                </c:pt>
                <c:pt idx="18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79-437B-BCEF-68E691CA9A10}"/>
            </c:ext>
          </c:extLst>
        </c:ser>
        <c:ser>
          <c:idx val="2"/>
          <c:order val="2"/>
          <c:tx>
            <c:strRef>
              <c:f>'PRODEP PERFIL'!$D$76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rgbClr val="57A519"/>
            </a:solidFill>
            <a:ln w="3175">
              <a:noFill/>
            </a:ln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('PRODEP PERFIL'!$C$3:$S$3,'PRODEP PERFIL'!$T$3,'PRODEP PERFIL'!$U$3,'PRODEP PERFIL'!$V$3)</c:f>
              <c:numCache>
                <c:formatCode>General</c:formatCode>
                <c:ptCount val="19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</c:numCache>
            </c:numRef>
          </c:cat>
          <c:val>
            <c:numRef>
              <c:f>('PRODEP PERFIL'!$C$18:$S$18,'PRODEP PERFIL'!$T$18,'PRODEP PERFIL'!$U$18,'PRODEP PERFIL'!$V$18)</c:f>
              <c:numCache>
                <c:formatCode>#,##0</c:formatCode>
                <c:ptCount val="19"/>
                <c:pt idx="0">
                  <c:v>470</c:v>
                </c:pt>
                <c:pt idx="1">
                  <c:v>492</c:v>
                </c:pt>
                <c:pt idx="2">
                  <c:v>504</c:v>
                </c:pt>
                <c:pt idx="3">
                  <c:v>467</c:v>
                </c:pt>
                <c:pt idx="4">
                  <c:v>497</c:v>
                </c:pt>
                <c:pt idx="5">
                  <c:v>525</c:v>
                </c:pt>
                <c:pt idx="6">
                  <c:v>476</c:v>
                </c:pt>
                <c:pt idx="7">
                  <c:v>458</c:v>
                </c:pt>
                <c:pt idx="8">
                  <c:v>411</c:v>
                </c:pt>
                <c:pt idx="9">
                  <c:v>430</c:v>
                </c:pt>
                <c:pt idx="10">
                  <c:v>416</c:v>
                </c:pt>
                <c:pt idx="11">
                  <c:v>331</c:v>
                </c:pt>
                <c:pt idx="12">
                  <c:v>325</c:v>
                </c:pt>
                <c:pt idx="13">
                  <c:v>360</c:v>
                </c:pt>
                <c:pt idx="14">
                  <c:v>338</c:v>
                </c:pt>
                <c:pt idx="15">
                  <c:v>341</c:v>
                </c:pt>
                <c:pt idx="16">
                  <c:v>319</c:v>
                </c:pt>
                <c:pt idx="17">
                  <c:v>300</c:v>
                </c:pt>
                <c:pt idx="18">
                  <c:v>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979-437B-BCEF-68E691CA9A10}"/>
            </c:ext>
          </c:extLst>
        </c:ser>
        <c:ser>
          <c:idx val="4"/>
          <c:order val="3"/>
          <c:tx>
            <c:strRef>
              <c:f>'PRODEP PERFIL'!$D$77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8"/>
              <c:layout>
                <c:manualLayout>
                  <c:x val="2.8773517488880088E-2"/>
                  <c:y val="-1.2648698985033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79-437B-BCEF-68E691CA9A10}"/>
                </c:ext>
              </c:extLst>
            </c:dLbl>
            <c:dLbl>
              <c:idx val="9"/>
              <c:layout>
                <c:manualLayout>
                  <c:x val="6.8538178813817409E-3"/>
                  <c:y val="2.3122884102556832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79-437B-BCEF-68E691CA9A10}"/>
                </c:ext>
              </c:extLst>
            </c:dLbl>
            <c:dLbl>
              <c:idx val="10"/>
              <c:layout>
                <c:manualLayout>
                  <c:x val="6.7985931184847762E-3"/>
                  <c:y val="-5.86172581704038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79-437B-BCEF-68E691CA9A10}"/>
                </c:ext>
              </c:extLst>
            </c:dLbl>
            <c:dLbl>
              <c:idx val="11"/>
              <c:layout>
                <c:manualLayout>
                  <c:x val="6.7653638594424997E-3"/>
                  <c:y val="-4.92768081456301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79-437B-BCEF-68E691CA9A10}"/>
                </c:ext>
              </c:extLst>
            </c:dLbl>
            <c:dLbl>
              <c:idx val="12"/>
              <c:layout>
                <c:manualLayout>
                  <c:x val="6.9687042684682459E-3"/>
                  <c:y val="-3.524040412759250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79-437B-BCEF-68E691CA9A10}"/>
                </c:ext>
              </c:extLst>
            </c:dLbl>
            <c:dLbl>
              <c:idx val="13"/>
              <c:layout>
                <c:manualLayout>
                  <c:x val="7.1933793722199994E-3"/>
                  <c:y val="-4.21623299501106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79-437B-BCEF-68E691CA9A10}"/>
                </c:ext>
              </c:extLst>
            </c:dLbl>
            <c:dLbl>
              <c:idx val="14"/>
              <c:layout>
                <c:manualLayout>
                  <c:x val="3.5966896861099997E-3"/>
                  <c:y val="-6.32434949251660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79-437B-BCEF-68E691CA9A10}"/>
                </c:ext>
              </c:extLst>
            </c:dLbl>
            <c:dLbl>
              <c:idx val="15"/>
              <c:layout>
                <c:manualLayout>
                  <c:x val="4.7955862481464905E-3"/>
                  <c:y val="-6.45012747889741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79-437B-BCEF-68E691CA9A10}"/>
                </c:ext>
              </c:extLst>
            </c:dLbl>
            <c:dLbl>
              <c:idx val="16"/>
              <c:layout>
                <c:manualLayout>
                  <c:x val="4.6258801237768965E-3"/>
                  <c:y val="-2.03663048306629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79-437B-BCEF-68E691CA9A10}"/>
                </c:ext>
              </c:extLst>
            </c:dLbl>
            <c:dLbl>
              <c:idx val="17"/>
              <c:layout>
                <c:manualLayout>
                  <c:x val="1.9987008444509601E-3"/>
                  <c:y val="-2.108116497505533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E66-4C42-8438-B011836D78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('PRODEP PERFIL'!$C$3:$S$3,'PRODEP PERFIL'!$T$3,'PRODEP PERFIL'!$U$3,'PRODEP PERFIL'!$V$3)</c:f>
              <c:numCache>
                <c:formatCode>General</c:formatCode>
                <c:ptCount val="19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</c:numCache>
            </c:numRef>
          </c:cat>
          <c:val>
            <c:numRef>
              <c:f>('PRODEP PERFIL'!$C$23:$P$23,'PRODEP PERFIL'!$Q$23,'PRODEP PERFIL'!$R$23,'PRODEP PERFIL'!$S$23,'PRODEP PERFIL'!$T$23,'PRODEP PERFIL'!$U$23,'PRODEP PERFIL'!$V$23)</c:f>
              <c:numCache>
                <c:formatCode>#,##0</c:formatCode>
                <c:ptCount val="19"/>
                <c:pt idx="8">
                  <c:v>1</c:v>
                </c:pt>
                <c:pt idx="9">
                  <c:v>10</c:v>
                </c:pt>
                <c:pt idx="10">
                  <c:v>14</c:v>
                </c:pt>
                <c:pt idx="11">
                  <c:v>26</c:v>
                </c:pt>
                <c:pt idx="12">
                  <c:v>32</c:v>
                </c:pt>
                <c:pt idx="13">
                  <c:v>40</c:v>
                </c:pt>
                <c:pt idx="14">
                  <c:v>40</c:v>
                </c:pt>
                <c:pt idx="15">
                  <c:v>47</c:v>
                </c:pt>
                <c:pt idx="16">
                  <c:v>46</c:v>
                </c:pt>
                <c:pt idx="17">
                  <c:v>46</c:v>
                </c:pt>
                <c:pt idx="18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979-437B-BCEF-68E691CA9A10}"/>
            </c:ext>
          </c:extLst>
        </c:ser>
        <c:ser>
          <c:idx val="3"/>
          <c:order val="4"/>
          <c:tx>
            <c:strRef>
              <c:f>'PRODEP PERFIL'!$D$78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rgbClr val="0072CE"/>
            </a:solidFill>
            <a:ln w="3175">
              <a:noFill/>
            </a:ln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  <a:contourClr>
                <a:srgbClr val="000000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('PRODEP PERFIL'!$C$3:$S$3,'PRODEP PERFIL'!$T$3,'PRODEP PERFIL'!$U$3,'PRODEP PERFIL'!$V$3)</c:f>
              <c:numCache>
                <c:formatCode>General</c:formatCode>
                <c:ptCount val="19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</c:numCache>
            </c:numRef>
          </c:cat>
          <c:val>
            <c:numRef>
              <c:f>('PRODEP PERFIL'!$C$28:$S$28,'PRODEP PERFIL'!$T$28,'PRODEP PERFIL'!$U$28,'PRODEP PERFIL'!$V$28)</c:f>
              <c:numCache>
                <c:formatCode>#,##0</c:formatCode>
                <c:ptCount val="19"/>
                <c:pt idx="0">
                  <c:v>264</c:v>
                </c:pt>
                <c:pt idx="1">
                  <c:v>287</c:v>
                </c:pt>
                <c:pt idx="2">
                  <c:v>331</c:v>
                </c:pt>
                <c:pt idx="3">
                  <c:v>300</c:v>
                </c:pt>
                <c:pt idx="4">
                  <c:v>329</c:v>
                </c:pt>
                <c:pt idx="5">
                  <c:v>369</c:v>
                </c:pt>
                <c:pt idx="6">
                  <c:v>400</c:v>
                </c:pt>
                <c:pt idx="7">
                  <c:v>380</c:v>
                </c:pt>
                <c:pt idx="8">
                  <c:v>387</c:v>
                </c:pt>
                <c:pt idx="9">
                  <c:v>397</c:v>
                </c:pt>
                <c:pt idx="10">
                  <c:v>393</c:v>
                </c:pt>
                <c:pt idx="11">
                  <c:v>371</c:v>
                </c:pt>
                <c:pt idx="12">
                  <c:v>313</c:v>
                </c:pt>
                <c:pt idx="13">
                  <c:v>310</c:v>
                </c:pt>
                <c:pt idx="14">
                  <c:v>306</c:v>
                </c:pt>
                <c:pt idx="15">
                  <c:v>312</c:v>
                </c:pt>
                <c:pt idx="16">
                  <c:v>293</c:v>
                </c:pt>
                <c:pt idx="17">
                  <c:v>251</c:v>
                </c:pt>
                <c:pt idx="18">
                  <c:v>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979-437B-BCEF-68E691CA9A1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5"/>
        <c:gapDepth val="95"/>
        <c:shape val="cylinder"/>
        <c:axId val="140708096"/>
        <c:axId val="140734464"/>
        <c:axId val="0"/>
      </c:bar3DChart>
      <c:catAx>
        <c:axId val="140708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100"/>
            </a:pPr>
            <a:endParaRPr lang="es-MX"/>
          </a:p>
        </c:txPr>
        <c:crossAx val="140734464"/>
        <c:crosses val="autoZero"/>
        <c:auto val="1"/>
        <c:lblAlgn val="ctr"/>
        <c:lblOffset val="100"/>
        <c:noMultiLvlLbl val="0"/>
      </c:catAx>
      <c:valAx>
        <c:axId val="140734464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one"/>
        <c:crossAx val="1407080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8.642250587506517E-2"/>
          <c:y val="0.93832198906601305"/>
          <c:w val="0.83055389407956914"/>
          <c:h val="4.5226900562468718E-2"/>
        </c:manualLayout>
      </c:layout>
      <c:overlay val="0"/>
      <c:spPr>
        <a:effectLst/>
      </c:spPr>
      <c:txPr>
        <a:bodyPr/>
        <a:lstStyle/>
        <a:p>
          <a:pPr>
            <a:defRPr sz="1400" b="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'PRODEP PERFIL'!$D$74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chemeClr val="accent2"/>
            </a:solidFill>
            <a:ln w="3175">
              <a:noFill/>
            </a:ln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'PRODEP PERFIL'!$L$3:$P$3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'PRODEP PERFIL'!$L$8:$P$8</c:f>
              <c:numCache>
                <c:formatCode>#,##0</c:formatCode>
                <c:ptCount val="5"/>
                <c:pt idx="0">
                  <c:v>473</c:v>
                </c:pt>
                <c:pt idx="1">
                  <c:v>503</c:v>
                </c:pt>
                <c:pt idx="2">
                  <c:v>515</c:v>
                </c:pt>
                <c:pt idx="3">
                  <c:v>468</c:v>
                </c:pt>
                <c:pt idx="4">
                  <c:v>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F7-40FE-B0A2-723D8DE7E82F}"/>
            </c:ext>
          </c:extLst>
        </c:ser>
        <c:ser>
          <c:idx val="1"/>
          <c:order val="1"/>
          <c:tx>
            <c:strRef>
              <c:f>'PRODEP PERFIL'!$D$75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'PRODEP PERFIL'!$L$3:$P$3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'PRODEP PERFIL'!$L$13:$P$13</c:f>
              <c:numCache>
                <c:formatCode>#,##0</c:formatCode>
                <c:ptCount val="5"/>
                <c:pt idx="0">
                  <c:v>123</c:v>
                </c:pt>
                <c:pt idx="1">
                  <c:v>124</c:v>
                </c:pt>
                <c:pt idx="2">
                  <c:v>115</c:v>
                </c:pt>
                <c:pt idx="3">
                  <c:v>114</c:v>
                </c:pt>
                <c:pt idx="4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F7-40FE-B0A2-723D8DE7E82F}"/>
            </c:ext>
          </c:extLst>
        </c:ser>
        <c:ser>
          <c:idx val="2"/>
          <c:order val="2"/>
          <c:tx>
            <c:strRef>
              <c:f>'PRODEP PERFIL'!$D$76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3175">
              <a:noFill/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'PRODEP PERFIL'!$L$3:$P$3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'PRODEP PERFIL'!$L$18:$P$18</c:f>
              <c:numCache>
                <c:formatCode>#,##0</c:formatCode>
                <c:ptCount val="5"/>
                <c:pt idx="0">
                  <c:v>411</c:v>
                </c:pt>
                <c:pt idx="1">
                  <c:v>430</c:v>
                </c:pt>
                <c:pt idx="2">
                  <c:v>416</c:v>
                </c:pt>
                <c:pt idx="3">
                  <c:v>331</c:v>
                </c:pt>
                <c:pt idx="4">
                  <c:v>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1F7-40FE-B0A2-723D8DE7E82F}"/>
            </c:ext>
          </c:extLst>
        </c:ser>
        <c:ser>
          <c:idx val="4"/>
          <c:order val="3"/>
          <c:tx>
            <c:strRef>
              <c:f>'PRODEP PERFIL'!$D$77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</c:spPr>
          <c:invertIfNegative val="0"/>
          <c:dLbls>
            <c:dLbl>
              <c:idx val="1"/>
              <c:layout>
                <c:manualLayout>
                  <c:x val="6.7588325652841785E-2"/>
                  <c:y val="-2.74914014959543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F7-40FE-B0A2-723D8DE7E82F}"/>
                </c:ext>
              </c:extLst>
            </c:dLbl>
            <c:dLbl>
              <c:idx val="2"/>
              <c:layout>
                <c:manualLayout>
                  <c:x val="6.9636456733230934E-2"/>
                  <c:y val="-3.0927826682948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F7-40FE-B0A2-723D8DE7E82F}"/>
                </c:ext>
              </c:extLst>
            </c:dLbl>
            <c:dLbl>
              <c:idx val="3"/>
              <c:layout>
                <c:manualLayout>
                  <c:x val="6.9636456733230934E-2"/>
                  <c:y val="-2.7491401495954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F7-40FE-B0A2-723D8DE7E82F}"/>
                </c:ext>
              </c:extLst>
            </c:dLbl>
            <c:dLbl>
              <c:idx val="4"/>
              <c:layout>
                <c:manualLayout>
                  <c:x val="7.3732718894009217E-2"/>
                  <c:y val="-2.4054976308960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F7-40FE-B0A2-723D8DE7E8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rgbClr val="AD25A8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'PRODEP PERFIL'!$L$3:$P$3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'PRODEP PERFIL'!$L$23:$P$23</c:f>
              <c:numCache>
                <c:formatCode>#,##0</c:formatCode>
                <c:ptCount val="5"/>
                <c:pt idx="0">
                  <c:v>1</c:v>
                </c:pt>
                <c:pt idx="1">
                  <c:v>10</c:v>
                </c:pt>
                <c:pt idx="2">
                  <c:v>14</c:v>
                </c:pt>
                <c:pt idx="3">
                  <c:v>26</c:v>
                </c:pt>
                <c:pt idx="4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1F7-40FE-B0A2-723D8DE7E82F}"/>
            </c:ext>
          </c:extLst>
        </c:ser>
        <c:ser>
          <c:idx val="3"/>
          <c:order val="4"/>
          <c:tx>
            <c:strRef>
              <c:f>'PRODEP PERFIL'!$D$78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 w="3175">
              <a:noFill/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'PRODEP PERFIL'!$L$3:$P$3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'PRODEP PERFIL'!$L$28:$P$28</c:f>
              <c:numCache>
                <c:formatCode>#,##0</c:formatCode>
                <c:ptCount val="5"/>
                <c:pt idx="0">
                  <c:v>387</c:v>
                </c:pt>
                <c:pt idx="1">
                  <c:v>397</c:v>
                </c:pt>
                <c:pt idx="2">
                  <c:v>393</c:v>
                </c:pt>
                <c:pt idx="3">
                  <c:v>371</c:v>
                </c:pt>
                <c:pt idx="4">
                  <c:v>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1F7-40FE-B0A2-723D8DE7E8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5"/>
        <c:gapDepth val="95"/>
        <c:shape val="cylinder"/>
        <c:axId val="145474688"/>
        <c:axId val="145476224"/>
        <c:axId val="0"/>
      </c:bar3DChart>
      <c:catAx>
        <c:axId val="145474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100"/>
            </a:pPr>
            <a:endParaRPr lang="es-MX"/>
          </a:p>
        </c:txPr>
        <c:crossAx val="145476224"/>
        <c:crosses val="autoZero"/>
        <c:auto val="1"/>
        <c:lblAlgn val="ctr"/>
        <c:lblOffset val="100"/>
        <c:noMultiLvlLbl val="0"/>
      </c:catAx>
      <c:valAx>
        <c:axId val="145476224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one"/>
        <c:crossAx val="1454746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8.944462587337873E-2"/>
          <c:y val="0.91724086986474296"/>
          <c:w val="0.82266394120089825"/>
          <c:h val="6.6308123952668246E-2"/>
        </c:manualLayout>
      </c:layout>
      <c:overlay val="0"/>
      <c:txPr>
        <a:bodyPr/>
        <a:lstStyle/>
        <a:p>
          <a:pPr>
            <a:defRPr sz="110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s-MX" b="0"/>
              <a:t>Sistema</a:t>
            </a:r>
            <a:r>
              <a:rPr lang="es-MX" b="0" baseline="0"/>
              <a:t> Nacional de Investigadores</a:t>
            </a:r>
            <a:endParaRPr lang="es-MX" b="0"/>
          </a:p>
        </c:rich>
      </c:tx>
      <c:layout>
        <c:manualLayout>
          <c:xMode val="edge"/>
          <c:yMode val="edge"/>
          <c:x val="3.2765018546641295E-2"/>
          <c:y val="1.7770695261839473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noFill/>
        <a:ln w="6350"/>
        <a:effectLst/>
      </c:spPr>
    </c:floor>
    <c:sideWall>
      <c:thickness val="0"/>
      <c:spPr>
        <a:noFill/>
      </c:spPr>
    </c:sideWall>
    <c:backWall>
      <c:thickness val="0"/>
      <c:spPr>
        <a:noFill/>
      </c:spPr>
    </c:backWall>
    <c:plotArea>
      <c:layout/>
      <c:bar3DChart>
        <c:barDir val="col"/>
        <c:grouping val="stacked"/>
        <c:varyColors val="0"/>
        <c:ser>
          <c:idx val="3"/>
          <c:order val="0"/>
          <c:tx>
            <c:strRef>
              <c:f>SNI!$CB$74</c:f>
              <c:strCache>
                <c:ptCount val="1"/>
                <c:pt idx="0">
                  <c:v>Candidato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  <a:contourClr>
                <a:srgbClr val="000000"/>
              </a:contourClr>
            </a:sp3d>
          </c:spPr>
          <c:invertIfNegative val="0"/>
          <c:dLbls>
            <c:dLbl>
              <c:idx val="7"/>
              <c:layout>
                <c:manualLayout>
                  <c:x val="4.514673221197958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3A-4D74-B304-E497818C492F}"/>
                </c:ext>
              </c:extLst>
            </c:dLbl>
            <c:dLbl>
              <c:idx val="8"/>
              <c:layout>
                <c:manualLayout>
                  <c:x val="4.51467322119801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3A-4D74-B304-E497818C492F}"/>
                </c:ext>
              </c:extLst>
            </c:dLbl>
            <c:dLbl>
              <c:idx val="9"/>
              <c:layout>
                <c:manualLayout>
                  <c:x val="4.51467322119801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3A-4D74-B304-E497818C492F}"/>
                </c:ext>
              </c:extLst>
            </c:dLbl>
            <c:dLbl>
              <c:idx val="10"/>
              <c:layout>
                <c:manualLayout>
                  <c:x val="9.029346442396028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3A-4D74-B304-E497818C492F}"/>
                </c:ext>
              </c:extLst>
            </c:dLbl>
            <c:dLbl>
              <c:idx val="11"/>
              <c:layout>
                <c:manualLayout>
                  <c:x val="4.51467322119801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3A-4D74-B304-E497818C492F}"/>
                </c:ext>
              </c:extLst>
            </c:dLbl>
            <c:dLbl>
              <c:idx val="12"/>
              <c:layout>
                <c:manualLayout>
                  <c:x val="6.019564294930685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3A-4D74-B304-E497818C492F}"/>
                </c:ext>
              </c:extLst>
            </c:dLbl>
            <c:dLbl>
              <c:idx val="13"/>
              <c:layout>
                <c:manualLayout>
                  <c:x val="4.51467322119801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3A-4D74-B304-E497818C492F}"/>
                </c:ext>
              </c:extLst>
            </c:dLbl>
            <c:dLbl>
              <c:idx val="14"/>
              <c:layout>
                <c:manualLayout>
                  <c:x val="4.5146732211981244E-3"/>
                  <c:y val="-2.310411834795835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3A-4D74-B304-E497818C492F}"/>
                </c:ext>
              </c:extLst>
            </c:dLbl>
            <c:dLbl>
              <c:idx val="15"/>
              <c:layout>
                <c:manualLayout>
                  <c:x val="3.45721694036300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3A-4D74-B304-E497818C492F}"/>
                </c:ext>
              </c:extLst>
            </c:dLbl>
            <c:dLbl>
              <c:idx val="16"/>
              <c:layout>
                <c:manualLayout>
                  <c:x val="3.45721694036300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3A-4D74-B304-E497818C492F}"/>
                </c:ext>
              </c:extLst>
            </c:dLbl>
            <c:dLbl>
              <c:idx val="17"/>
              <c:layout>
                <c:manualLayout>
                  <c:x val="2.304811293575338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3A-4D74-B304-E497818C492F}"/>
                </c:ext>
              </c:extLst>
            </c:dLbl>
            <c:dLbl>
              <c:idx val="18"/>
              <c:layout>
                <c:manualLayout>
                  <c:x val="5.7620282339381776E-3"/>
                  <c:y val="-1.4378918860822581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3A-4D74-B304-E497818C492F}"/>
                </c:ext>
              </c:extLst>
            </c:dLbl>
            <c:dLbl>
              <c:idx val="19"/>
              <c:layout>
                <c:manualLayout>
                  <c:x val="3.4079153978293993E-3"/>
                  <c:y val="-3.9370078740157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3A-4D74-B304-E497818C492F}"/>
                </c:ext>
              </c:extLst>
            </c:dLbl>
            <c:dLbl>
              <c:idx val="20"/>
              <c:layout>
                <c:manualLayout>
                  <c:x val="4.4336775513739851E-3"/>
                  <c:y val="-1.96933451534755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3A-4D74-B304-E497818C492F}"/>
                </c:ext>
              </c:extLst>
            </c:dLbl>
            <c:dLbl>
              <c:idx val="21"/>
              <c:layout>
                <c:manualLayout>
                  <c:x val="2.216838775686911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06-435C-B0B2-BF2FD086D8A5}"/>
                </c:ext>
              </c:extLst>
            </c:dLbl>
            <c:dLbl>
              <c:idx val="22"/>
              <c:layout>
                <c:manualLayout>
                  <c:x val="4.4469153420242519E-3"/>
                  <c:y val="-3.91745339618532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55-4191-8F02-D1216BEC65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chemeClr val="tx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SNI!$CA$54:$CA$76</c:f>
              <c:numCache>
                <c:formatCode>General</c:formatCode>
                <c:ptCount val="2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</c:numCache>
            </c:numRef>
          </c:cat>
          <c:val>
            <c:numRef>
              <c:f>(SNI!$C$38,SNI!$H$38,SNI!$M$38,SNI!$R$38,SNI!$W$38,SNI!$AB$38,SNI!$AG$38,SNI!$AL$38,SNI!$AQ$38,SNI!$AV$38,SNI!$BA$38,SNI!$BF$38,SNI!$BK$38,SNI!$BP$38,SNI!$BU$38,SNI!$BZ$38,SNI!$CE$38,SNI!$CJ$38,SNI!$CO$38,SNI!$CT$38,SNI!$CY$38,SNI!$DD$38,SNI!$DI$38)</c:f>
              <c:numCache>
                <c:formatCode>#,##0</c:formatCode>
                <c:ptCount val="23"/>
                <c:pt idx="0">
                  <c:v>76</c:v>
                </c:pt>
                <c:pt idx="1">
                  <c:v>47</c:v>
                </c:pt>
                <c:pt idx="2">
                  <c:v>38</c:v>
                </c:pt>
                <c:pt idx="3">
                  <c:v>40</c:v>
                </c:pt>
                <c:pt idx="4">
                  <c:v>42</c:v>
                </c:pt>
                <c:pt idx="5">
                  <c:v>49</c:v>
                </c:pt>
                <c:pt idx="6">
                  <c:v>48</c:v>
                </c:pt>
                <c:pt idx="7">
                  <c:v>64</c:v>
                </c:pt>
                <c:pt idx="8">
                  <c:v>73</c:v>
                </c:pt>
                <c:pt idx="9">
                  <c:v>75</c:v>
                </c:pt>
                <c:pt idx="10">
                  <c:v>92</c:v>
                </c:pt>
                <c:pt idx="11">
                  <c:v>95</c:v>
                </c:pt>
                <c:pt idx="12">
                  <c:v>110</c:v>
                </c:pt>
                <c:pt idx="13">
                  <c:v>148</c:v>
                </c:pt>
                <c:pt idx="14">
                  <c:v>156</c:v>
                </c:pt>
                <c:pt idx="15">
                  <c:v>151</c:v>
                </c:pt>
                <c:pt idx="16">
                  <c:v>167</c:v>
                </c:pt>
                <c:pt idx="17">
                  <c:v>164</c:v>
                </c:pt>
                <c:pt idx="18">
                  <c:v>145</c:v>
                </c:pt>
                <c:pt idx="19">
                  <c:v>161</c:v>
                </c:pt>
                <c:pt idx="20">
                  <c:v>177</c:v>
                </c:pt>
                <c:pt idx="21">
                  <c:v>171</c:v>
                </c:pt>
                <c:pt idx="22">
                  <c:v>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93A-4D74-B304-E497818C492F}"/>
            </c:ext>
          </c:extLst>
        </c:ser>
        <c:ser>
          <c:idx val="0"/>
          <c:order val="1"/>
          <c:tx>
            <c:strRef>
              <c:f>SNI!$CB$71</c:f>
              <c:strCache>
                <c:ptCount val="1"/>
                <c:pt idx="0">
                  <c:v>Nivel 1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  <a:contourClr>
                <a:srgbClr val="000000"/>
              </a:contourClr>
            </a:sp3d>
          </c:spPr>
          <c:invertIfNegative val="0"/>
          <c:dLbls>
            <c:dLbl>
              <c:idx val="0"/>
              <c:layout>
                <c:manualLayout>
                  <c:x val="2.0714937716097338E-3"/>
                  <c:y val="-1.96850393700787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93A-4D74-B304-E497818C492F}"/>
                </c:ext>
              </c:extLst>
            </c:dLbl>
            <c:dLbl>
              <c:idx val="1"/>
              <c:layout>
                <c:manualLayout>
                  <c:x val="2.07149377160973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93A-4D74-B304-E497818C492F}"/>
                </c:ext>
              </c:extLst>
            </c:dLbl>
            <c:dLbl>
              <c:idx val="2"/>
              <c:layout>
                <c:manualLayout>
                  <c:x val="3.207465570886205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93A-4D74-B304-E497818C492F}"/>
                </c:ext>
              </c:extLst>
            </c:dLbl>
            <c:dLbl>
              <c:idx val="3"/>
              <c:layout>
                <c:manualLayout>
                  <c:x val="2.0714937716097182E-3"/>
                  <c:y val="1.96850393700787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93A-4D74-B304-E497818C492F}"/>
                </c:ext>
              </c:extLst>
            </c:dLbl>
            <c:dLbl>
              <c:idx val="4"/>
              <c:layout>
                <c:manualLayout>
                  <c:x val="3.8979933102888664E-3"/>
                  <c:y val="1.96850393700787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93A-4D74-B304-E497818C492F}"/>
                </c:ext>
              </c:extLst>
            </c:dLbl>
            <c:dLbl>
              <c:idx val="5"/>
              <c:layout>
                <c:manualLayout>
                  <c:x val="5.479452054794453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93A-4D74-B304-E497818C492F}"/>
                </c:ext>
              </c:extLst>
            </c:dLbl>
            <c:dLbl>
              <c:idx val="6"/>
              <c:layout>
                <c:manualLayout>
                  <c:x val="5.0339651095653746E-3"/>
                  <c:y val="-1.4435528777597473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93A-4D74-B304-E497818C492F}"/>
                </c:ext>
              </c:extLst>
            </c:dLbl>
            <c:dLbl>
              <c:idx val="7"/>
              <c:layout>
                <c:manualLayout>
                  <c:x val="5.479452054794520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93A-4D74-B304-E497818C492F}"/>
                </c:ext>
              </c:extLst>
            </c:dLbl>
            <c:dLbl>
              <c:idx val="8"/>
              <c:layout>
                <c:manualLayout>
                  <c:x val="5.479452054794520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93A-4D74-B304-E497818C492F}"/>
                </c:ext>
              </c:extLst>
            </c:dLbl>
            <c:dLbl>
              <c:idx val="9"/>
              <c:layout>
                <c:manualLayout>
                  <c:x val="5.479452054794520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93A-4D74-B304-E497818C492F}"/>
                </c:ext>
              </c:extLst>
            </c:dLbl>
            <c:dLbl>
              <c:idx val="10"/>
              <c:layout>
                <c:manualLayout>
                  <c:x val="3.8487626384644874E-3"/>
                  <c:y val="-1.96947316592818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93A-4D74-B304-E497818C492F}"/>
                </c:ext>
              </c:extLst>
            </c:dLbl>
            <c:dLbl>
              <c:idx val="11"/>
              <c:layout>
                <c:manualLayout>
                  <c:x val="6.388454948655333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93A-4D74-B304-E497818C492F}"/>
                </c:ext>
              </c:extLst>
            </c:dLbl>
            <c:dLbl>
              <c:idx val="12"/>
              <c:layout>
                <c:manualLayout>
                  <c:x val="5.5392489437474813E-3"/>
                  <c:y val="2.52046004092000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93A-4D74-B304-E497818C492F}"/>
                </c:ext>
              </c:extLst>
            </c:dLbl>
            <c:dLbl>
              <c:idx val="13"/>
              <c:layout>
                <c:manualLayout>
                  <c:x val="4.5146732211980142E-3"/>
                  <c:y val="2.52047839076782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93A-4D74-B304-E497818C492F}"/>
                </c:ext>
              </c:extLst>
            </c:dLbl>
            <c:dLbl>
              <c:idx val="14"/>
              <c:layout>
                <c:manualLayout>
                  <c:x val="2.9148603615559293E-3"/>
                  <c:y val="1.96947316592804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93A-4D74-B304-E497818C492F}"/>
                </c:ext>
              </c:extLst>
            </c:dLbl>
            <c:dLbl>
              <c:idx val="15"/>
              <c:layout>
                <c:manualLayout>
                  <c:x val="3.4572169403630079E-3"/>
                  <c:y val="-1.96947316592818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93A-4D74-B304-E497818C492F}"/>
                </c:ext>
              </c:extLst>
            </c:dLbl>
            <c:dLbl>
              <c:idx val="16"/>
              <c:layout>
                <c:manualLayout>
                  <c:x val="3.4572169403630079E-3"/>
                  <c:y val="-1.969473165928114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93A-4D74-B304-E497818C492F}"/>
                </c:ext>
              </c:extLst>
            </c:dLbl>
            <c:dLbl>
              <c:idx val="17"/>
              <c:layout>
                <c:manualLayout>
                  <c:x val="3.4572169403630079E-3"/>
                  <c:y val="-7.221318187119168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93A-4D74-B304-E497818C492F}"/>
                </c:ext>
              </c:extLst>
            </c:dLbl>
            <c:dLbl>
              <c:idx val="18"/>
              <c:layout>
                <c:manualLayout>
                  <c:x val="3.4572169403630079E-3"/>
                  <c:y val="7.189459430411290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93A-4D74-B304-E497818C492F}"/>
                </c:ext>
              </c:extLst>
            </c:dLbl>
            <c:dLbl>
              <c:idx val="19"/>
              <c:layout>
                <c:manualLayout>
                  <c:x val="3.4079153978293993E-3"/>
                  <c:y val="1.9685039370078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93A-4D74-B304-E497818C492F}"/>
                </c:ext>
              </c:extLst>
            </c:dLbl>
            <c:dLbl>
              <c:idx val="20"/>
              <c:layout>
                <c:manualLayout>
                  <c:x val="4.43367755137398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93A-4D74-B304-E497818C492F}"/>
                </c:ext>
              </c:extLst>
            </c:dLbl>
            <c:dLbl>
              <c:idx val="21"/>
              <c:layout>
                <c:manualLayout>
                  <c:x val="4.4336775513741473E-3"/>
                  <c:y val="-7.201898466716238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06-435C-B0B2-BF2FD086D8A5}"/>
                </c:ext>
              </c:extLst>
            </c:dLbl>
            <c:dLbl>
              <c:idx val="22"/>
              <c:layout>
                <c:manualLayout>
                  <c:x val="3.3351865065181889E-3"/>
                  <c:y val="7.181914926912338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955-4191-8F02-D1216BEC65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SNI!$CA$54:$CA$76</c:f>
              <c:numCache>
                <c:formatCode>General</c:formatCode>
                <c:ptCount val="2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</c:numCache>
            </c:numRef>
          </c:cat>
          <c:val>
            <c:numRef>
              <c:f>(SNI!$D$38,SNI!$I$38,SNI!$N$38,SNI!$S$38,SNI!$X$38,SNI!$AC$38,SNI!$AH$38,SNI!$AM$38,SNI!$AR$38,SNI!$AW$38,SNI!$BB$38,SNI!$BG$38,SNI!$BL$38,SNI!$BQ$38,SNI!$BV$38,SNI!$CA$38,SNI!$CF$38,SNI!$CK$38,SNI!$CP$38,SNI!$CU$38,SNI!$CZ$38,SNI!$DE$38,SNI!$DJ$38)</c:f>
              <c:numCache>
                <c:formatCode>#,##0</c:formatCode>
                <c:ptCount val="23"/>
                <c:pt idx="0">
                  <c:v>271</c:v>
                </c:pt>
                <c:pt idx="1">
                  <c:v>301</c:v>
                </c:pt>
                <c:pt idx="2">
                  <c:v>340</c:v>
                </c:pt>
                <c:pt idx="3">
                  <c:v>344</c:v>
                </c:pt>
                <c:pt idx="4">
                  <c:v>382</c:v>
                </c:pt>
                <c:pt idx="5">
                  <c:v>391</c:v>
                </c:pt>
                <c:pt idx="6">
                  <c:v>403</c:v>
                </c:pt>
                <c:pt idx="7">
                  <c:v>443</c:v>
                </c:pt>
                <c:pt idx="8">
                  <c:v>478</c:v>
                </c:pt>
                <c:pt idx="9">
                  <c:v>480</c:v>
                </c:pt>
                <c:pt idx="10">
                  <c:v>508</c:v>
                </c:pt>
                <c:pt idx="11">
                  <c:v>516</c:v>
                </c:pt>
                <c:pt idx="12">
                  <c:v>530</c:v>
                </c:pt>
                <c:pt idx="13">
                  <c:v>587</c:v>
                </c:pt>
                <c:pt idx="14">
                  <c:v>595</c:v>
                </c:pt>
                <c:pt idx="15">
                  <c:v>605</c:v>
                </c:pt>
                <c:pt idx="16">
                  <c:v>636</c:v>
                </c:pt>
                <c:pt idx="17">
                  <c:v>619</c:v>
                </c:pt>
                <c:pt idx="18">
                  <c:v>615</c:v>
                </c:pt>
                <c:pt idx="19">
                  <c:v>614</c:v>
                </c:pt>
                <c:pt idx="20">
                  <c:v>607</c:v>
                </c:pt>
                <c:pt idx="21">
                  <c:v>630</c:v>
                </c:pt>
                <c:pt idx="22">
                  <c:v>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193A-4D74-B304-E497818C492F}"/>
            </c:ext>
          </c:extLst>
        </c:ser>
        <c:ser>
          <c:idx val="1"/>
          <c:order val="2"/>
          <c:tx>
            <c:strRef>
              <c:f>SNI!$CB$72</c:f>
              <c:strCache>
                <c:ptCount val="1"/>
                <c:pt idx="0">
                  <c:v>Nivel 2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1"/>
              <c:layout>
                <c:manualLayout>
                  <c:x val="4.514673221198000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93A-4D74-B304-E497818C492F}"/>
                </c:ext>
              </c:extLst>
            </c:dLbl>
            <c:dLbl>
              <c:idx val="2"/>
              <c:layout>
                <c:manualLayout>
                  <c:x val="7.5244553686633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93A-4D74-B304-E497818C492F}"/>
                </c:ext>
              </c:extLst>
            </c:dLbl>
            <c:dLbl>
              <c:idx val="3"/>
              <c:layout>
                <c:manualLayout>
                  <c:x val="2.562333122361412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93A-4D74-B304-E497818C492F}"/>
                </c:ext>
              </c:extLst>
            </c:dLbl>
            <c:dLbl>
              <c:idx val="4"/>
              <c:layout>
                <c:manualLayout>
                  <c:x val="4.8671444159367298E-3"/>
                  <c:y val="1.96078431372549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93A-4D74-B304-E497818C492F}"/>
                </c:ext>
              </c:extLst>
            </c:dLbl>
            <c:dLbl>
              <c:idx val="5"/>
              <c:layout>
                <c:manualLayout>
                  <c:x val="4.51467322119801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93A-4D74-B304-E497818C492F}"/>
                </c:ext>
              </c:extLst>
            </c:dLbl>
            <c:dLbl>
              <c:idx val="6"/>
              <c:layout>
                <c:manualLayout>
                  <c:x val="4.5146732211980142E-3"/>
                  <c:y val="2.52047839076782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93A-4D74-B304-E497818C492F}"/>
                </c:ext>
              </c:extLst>
            </c:dLbl>
            <c:dLbl>
              <c:idx val="7"/>
              <c:layout>
                <c:manualLayout>
                  <c:x val="4.51467322119801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93A-4D74-B304-E497818C492F}"/>
                </c:ext>
              </c:extLst>
            </c:dLbl>
            <c:dLbl>
              <c:idx val="8"/>
              <c:layout>
                <c:manualLayout>
                  <c:x val="5.2196716551311832E-3"/>
                  <c:y val="3.92156862745098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93A-4D74-B304-E497818C492F}"/>
                </c:ext>
              </c:extLst>
            </c:dLbl>
            <c:dLbl>
              <c:idx val="9"/>
              <c:layout>
                <c:manualLayout>
                  <c:x val="4.51467322119801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93A-4D74-B304-E497818C492F}"/>
                </c:ext>
              </c:extLst>
            </c:dLbl>
            <c:dLbl>
              <c:idx val="10"/>
              <c:layout>
                <c:manualLayout>
                  <c:x val="5.219671655131183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93A-4D74-B304-E497818C492F}"/>
                </c:ext>
              </c:extLst>
            </c:dLbl>
            <c:dLbl>
              <c:idx val="11"/>
              <c:layout>
                <c:manualLayout>
                  <c:x val="4.51467322119801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93A-4D74-B304-E497818C492F}"/>
                </c:ext>
              </c:extLst>
            </c:dLbl>
            <c:dLbl>
              <c:idx val="12"/>
              <c:layout>
                <c:manualLayout>
                  <c:x val="4.51467322119801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93A-4D74-B304-E497818C492F}"/>
                </c:ext>
              </c:extLst>
            </c:dLbl>
            <c:dLbl>
              <c:idx val="13"/>
              <c:layout>
                <c:manualLayout>
                  <c:x val="5.57210815372356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93A-4D74-B304-E497818C492F}"/>
                </c:ext>
              </c:extLst>
            </c:dLbl>
            <c:dLbl>
              <c:idx val="14"/>
              <c:layout>
                <c:manualLayout>
                  <c:x val="4.5146732211981244E-3"/>
                  <c:y val="4.620823669591671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193A-4D74-B304-E497818C492F}"/>
                </c:ext>
              </c:extLst>
            </c:dLbl>
            <c:dLbl>
              <c:idx val="15"/>
              <c:layout>
                <c:manualLayout>
                  <c:x val="5.7620282339381776E-3"/>
                  <c:y val="-3.594729715205645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93A-4D74-B304-E497818C492F}"/>
                </c:ext>
              </c:extLst>
            </c:dLbl>
            <c:dLbl>
              <c:idx val="16"/>
              <c:layout>
                <c:manualLayout>
                  <c:x val="4.6096225871506769E-3"/>
                  <c:y val="-3.594729715205645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193A-4D74-B304-E497818C492F}"/>
                </c:ext>
              </c:extLst>
            </c:dLbl>
            <c:dLbl>
              <c:idx val="17"/>
              <c:layout>
                <c:manualLayout>
                  <c:x val="3.4572169403630079E-3"/>
                  <c:y val="-3.594729715205645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93A-4D74-B304-E497818C492F}"/>
                </c:ext>
              </c:extLst>
            </c:dLbl>
            <c:dLbl>
              <c:idx val="18"/>
              <c:layout>
                <c:manualLayout>
                  <c:x val="5.7620282339381776E-3"/>
                  <c:y val="-3.594729715205645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193A-4D74-B304-E497818C492F}"/>
                </c:ext>
              </c:extLst>
            </c:dLbl>
            <c:dLbl>
              <c:idx val="19"/>
              <c:layout>
                <c:manualLayout>
                  <c:x val="4.543887197105866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93A-4D74-B304-E497818C492F}"/>
                </c:ext>
              </c:extLst>
            </c:dLbl>
            <c:dLbl>
              <c:idx val="20"/>
              <c:layout>
                <c:manualLayout>
                  <c:x val="4.4336775513739851E-3"/>
                  <c:y val="3.610404903764974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193A-4D74-B304-E497818C492F}"/>
                </c:ext>
              </c:extLst>
            </c:dLbl>
            <c:dLbl>
              <c:idx val="21"/>
              <c:layout>
                <c:manualLayout>
                  <c:x val="4.433677551374147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06-435C-B0B2-BF2FD086D8A5}"/>
                </c:ext>
              </c:extLst>
            </c:dLbl>
            <c:dLbl>
              <c:idx val="22"/>
              <c:layout>
                <c:manualLayout>
                  <c:x val="3.33518650651818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955-4191-8F02-D1216BEC65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SNI!$CA$54:$CA$76</c:f>
              <c:numCache>
                <c:formatCode>General</c:formatCode>
                <c:ptCount val="2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</c:numCache>
            </c:numRef>
          </c:cat>
          <c:val>
            <c:numRef>
              <c:f>(SNI!$E$38,SNI!$J$38,SNI!$O$38,SNI!$T$38,SNI!$Y$38,SNI!$AD$38,SNI!$AI$38,SNI!$AN$38,SNI!$AS$38,SNI!$AX$38,SNI!$BC$38,SNI!$BH$38,SNI!$BM$38,SNI!$BR$38,SNI!$BW$38,SNI!$CB$38,SNI!$CG$38,SNI!$CL$38,SNI!$CQ$38,SNI!$CV$38,SNI!$DA$38,SNI!$DF$38,SNI!$DK$38)</c:f>
              <c:numCache>
                <c:formatCode>#,##0</c:formatCode>
                <c:ptCount val="23"/>
                <c:pt idx="0">
                  <c:v>76</c:v>
                </c:pt>
                <c:pt idx="1">
                  <c:v>100</c:v>
                </c:pt>
                <c:pt idx="2">
                  <c:v>120</c:v>
                </c:pt>
                <c:pt idx="3">
                  <c:v>121</c:v>
                </c:pt>
                <c:pt idx="4">
                  <c:v>134</c:v>
                </c:pt>
                <c:pt idx="5">
                  <c:v>143</c:v>
                </c:pt>
                <c:pt idx="6">
                  <c:v>167</c:v>
                </c:pt>
                <c:pt idx="7">
                  <c:v>175</c:v>
                </c:pt>
                <c:pt idx="8">
                  <c:v>208</c:v>
                </c:pt>
                <c:pt idx="9">
                  <c:v>212</c:v>
                </c:pt>
                <c:pt idx="10">
                  <c:v>210</c:v>
                </c:pt>
                <c:pt idx="11">
                  <c:v>210</c:v>
                </c:pt>
                <c:pt idx="12">
                  <c:v>206</c:v>
                </c:pt>
                <c:pt idx="13">
                  <c:v>219</c:v>
                </c:pt>
                <c:pt idx="14">
                  <c:v>219</c:v>
                </c:pt>
                <c:pt idx="15">
                  <c:v>234</c:v>
                </c:pt>
                <c:pt idx="16">
                  <c:v>237</c:v>
                </c:pt>
                <c:pt idx="17">
                  <c:v>242</c:v>
                </c:pt>
                <c:pt idx="18">
                  <c:v>234</c:v>
                </c:pt>
                <c:pt idx="19">
                  <c:v>232</c:v>
                </c:pt>
                <c:pt idx="20">
                  <c:v>231</c:v>
                </c:pt>
                <c:pt idx="21">
                  <c:v>236</c:v>
                </c:pt>
                <c:pt idx="22">
                  <c:v>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9-193A-4D74-B304-E497818C492F}"/>
            </c:ext>
          </c:extLst>
        </c:ser>
        <c:ser>
          <c:idx val="2"/>
          <c:order val="3"/>
          <c:tx>
            <c:strRef>
              <c:f>SNI!$CB$73</c:f>
              <c:strCache>
                <c:ptCount val="1"/>
                <c:pt idx="0">
                  <c:v>Nivel 3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effectLst/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  <a:contourClr>
                <a:srgbClr val="000000"/>
              </a:contourClr>
            </a:sp3d>
          </c:spPr>
          <c:invertIfNegative val="0"/>
          <c:dLbls>
            <c:dLbl>
              <c:idx val="0"/>
              <c:layout>
                <c:manualLayout>
                  <c:x val="2.3048112935753332E-3"/>
                  <c:y val="-5.88235294117654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193A-4D74-B304-E497818C492F}"/>
                </c:ext>
              </c:extLst>
            </c:dLbl>
            <c:dLbl>
              <c:idx val="1"/>
              <c:layout>
                <c:manualLayout>
                  <c:x val="2.304811293575328E-3"/>
                  <c:y val="-3.92156862745098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93A-4D74-B304-E497818C492F}"/>
                </c:ext>
              </c:extLst>
            </c:dLbl>
            <c:dLbl>
              <c:idx val="2"/>
              <c:layout>
                <c:manualLayout>
                  <c:x val="3.45721694036300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193A-4D74-B304-E497818C492F}"/>
                </c:ext>
              </c:extLst>
            </c:dLbl>
            <c:dLbl>
              <c:idx val="3"/>
              <c:layout>
                <c:manualLayout>
                  <c:x val="4.6096225871506769E-3"/>
                  <c:y val="-1.96078431372549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93A-4D74-B304-E497818C492F}"/>
                </c:ext>
              </c:extLst>
            </c:dLbl>
            <c:dLbl>
              <c:idx val="4"/>
              <c:layout>
                <c:manualLayout>
                  <c:x val="3.45721694036300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193A-4D74-B304-E497818C492F}"/>
                </c:ext>
              </c:extLst>
            </c:dLbl>
            <c:dLbl>
              <c:idx val="5"/>
              <c:layout>
                <c:manualLayout>
                  <c:x val="4.6096225871506344E-3"/>
                  <c:y val="-7.189459430411290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93A-4D74-B304-E497818C492F}"/>
                </c:ext>
              </c:extLst>
            </c:dLbl>
            <c:dLbl>
              <c:idx val="6"/>
              <c:layout>
                <c:manualLayout>
                  <c:x val="3.45721694036296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193A-4D74-B304-E497818C492F}"/>
                </c:ext>
              </c:extLst>
            </c:dLbl>
            <c:dLbl>
              <c:idx val="7"/>
              <c:layout>
                <c:manualLayout>
                  <c:x val="3.45721694036300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193A-4D74-B304-E497818C492F}"/>
                </c:ext>
              </c:extLst>
            </c:dLbl>
            <c:dLbl>
              <c:idx val="8"/>
              <c:layout>
                <c:manualLayout>
                  <c:x val="2.56233312236134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193A-4D74-B304-E497818C492F}"/>
                </c:ext>
              </c:extLst>
            </c:dLbl>
            <c:dLbl>
              <c:idx val="9"/>
              <c:layout>
                <c:manualLayout>
                  <c:x val="4.51467322119801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193A-4D74-B304-E497818C492F}"/>
                </c:ext>
              </c:extLst>
            </c:dLbl>
            <c:dLbl>
              <c:idx val="10"/>
              <c:layout>
                <c:manualLayout>
                  <c:x val="4.4197025069359847E-3"/>
                  <c:y val="-3.594729715205645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193A-4D74-B304-E497818C492F}"/>
                </c:ext>
              </c:extLst>
            </c:dLbl>
            <c:dLbl>
              <c:idx val="11"/>
              <c:layout>
                <c:manualLayout>
                  <c:x val="6.019564294930685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193A-4D74-B304-E497818C492F}"/>
                </c:ext>
              </c:extLst>
            </c:dLbl>
            <c:dLbl>
              <c:idx val="12"/>
              <c:layout>
                <c:manualLayout>
                  <c:x val="6.01956429493057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193A-4D74-B304-E497818C492F}"/>
                </c:ext>
              </c:extLst>
            </c:dLbl>
            <c:dLbl>
              <c:idx val="13"/>
              <c:layout>
                <c:manualLayout>
                  <c:x val="4.067266008343598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193A-4D74-B304-E497818C492F}"/>
                </c:ext>
              </c:extLst>
            </c:dLbl>
            <c:dLbl>
              <c:idx val="14"/>
              <c:layout>
                <c:manualLayout>
                  <c:x val="5.57210815372356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193A-4D74-B304-E497818C492F}"/>
                </c:ext>
              </c:extLst>
            </c:dLbl>
            <c:dLbl>
              <c:idx val="15"/>
              <c:layout>
                <c:manualLayout>
                  <c:x val="3.45721694036300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193A-4D74-B304-E497818C492F}"/>
                </c:ext>
              </c:extLst>
            </c:dLbl>
            <c:dLbl>
              <c:idx val="16"/>
              <c:layout>
                <c:manualLayout>
                  <c:x val="3.4572169403630079E-3"/>
                  <c:y val="-1.797364857602822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193A-4D74-B304-E497818C492F}"/>
                </c:ext>
              </c:extLst>
            </c:dLbl>
            <c:dLbl>
              <c:idx val="17"/>
              <c:layout>
                <c:manualLayout>
                  <c:x val="3.4572169403630079E-3"/>
                  <c:y val="-1.797364857602822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193A-4D74-B304-E497818C492F}"/>
                </c:ext>
              </c:extLst>
            </c:dLbl>
            <c:dLbl>
              <c:idx val="18"/>
              <c:layout>
                <c:manualLayout>
                  <c:x val="5.7620282339381776E-3"/>
                  <c:y val="-1.96078431372549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193A-4D74-B304-E497818C492F}"/>
                </c:ext>
              </c:extLst>
            </c:dLbl>
            <c:dLbl>
              <c:idx val="19"/>
              <c:layout>
                <c:manualLayout>
                  <c:x val="3.4079153978293993E-3"/>
                  <c:y val="1.968503937007855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193A-4D74-B304-E497818C492F}"/>
                </c:ext>
              </c:extLst>
            </c:dLbl>
            <c:dLbl>
              <c:idx val="20"/>
              <c:layout>
                <c:manualLayout>
                  <c:x val="5.54209693921768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193A-4D74-B304-E497818C492F}"/>
                </c:ext>
              </c:extLst>
            </c:dLbl>
            <c:dLbl>
              <c:idx val="21"/>
              <c:layout>
                <c:manualLayout>
                  <c:x val="2.2168387756869115E-3"/>
                  <c:y val="1.800474616679059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06-435C-B0B2-BF2FD086D8A5}"/>
                </c:ext>
              </c:extLst>
            </c:dLbl>
            <c:dLbl>
              <c:idx val="22"/>
              <c:layout>
                <c:manualLayout>
                  <c:x val="4.4469153420242519E-3"/>
                  <c:y val="-1.795478731728084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55-4191-8F02-D1216BEC65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SNI!$CA$54:$CA$76</c:f>
              <c:numCache>
                <c:formatCode>General</c:formatCode>
                <c:ptCount val="2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</c:numCache>
            </c:numRef>
          </c:cat>
          <c:val>
            <c:numRef>
              <c:f>(SNI!$F$38,SNI!$K$38,SNI!$P$38,SNI!$U$38,SNI!$Z$38,SNI!$AE$38,SNI!$AJ$38,SNI!$AO$38,SNI!$AT$38,SNI!$AY$38,SNI!$BD$38,SNI!$BI$38,SNI!$BN$38,SNI!$BS$38,SNI!$BX$38,SNI!$CC$38,SNI!$CH$38,SNI!$CM$38,SNI!$CR$38,SNI!$CW$38,SNI!$DB$38,SNI!$DG$38,SNI!$DL$38)</c:f>
              <c:numCache>
                <c:formatCode>#,##0</c:formatCode>
                <c:ptCount val="23"/>
                <c:pt idx="0">
                  <c:v>29</c:v>
                </c:pt>
                <c:pt idx="1">
                  <c:v>33</c:v>
                </c:pt>
                <c:pt idx="2">
                  <c:v>35</c:v>
                </c:pt>
                <c:pt idx="3">
                  <c:v>36</c:v>
                </c:pt>
                <c:pt idx="4">
                  <c:v>42</c:v>
                </c:pt>
                <c:pt idx="5">
                  <c:v>51</c:v>
                </c:pt>
                <c:pt idx="6">
                  <c:v>63</c:v>
                </c:pt>
                <c:pt idx="7">
                  <c:v>64</c:v>
                </c:pt>
                <c:pt idx="8">
                  <c:v>74</c:v>
                </c:pt>
                <c:pt idx="9">
                  <c:v>75</c:v>
                </c:pt>
                <c:pt idx="10">
                  <c:v>96</c:v>
                </c:pt>
                <c:pt idx="11">
                  <c:v>93</c:v>
                </c:pt>
                <c:pt idx="12">
                  <c:v>95</c:v>
                </c:pt>
                <c:pt idx="13">
                  <c:v>107</c:v>
                </c:pt>
                <c:pt idx="14">
                  <c:v>114</c:v>
                </c:pt>
                <c:pt idx="15">
                  <c:v>120</c:v>
                </c:pt>
                <c:pt idx="16">
                  <c:v>130</c:v>
                </c:pt>
                <c:pt idx="17">
                  <c:v>138</c:v>
                </c:pt>
                <c:pt idx="18">
                  <c:v>141</c:v>
                </c:pt>
                <c:pt idx="19">
                  <c:v>149</c:v>
                </c:pt>
                <c:pt idx="20">
                  <c:v>149</c:v>
                </c:pt>
                <c:pt idx="21">
                  <c:v>154</c:v>
                </c:pt>
                <c:pt idx="22">
                  <c:v>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F-193A-4D74-B304-E497818C49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gapDepth val="95"/>
        <c:shape val="cylinder"/>
        <c:axId val="145981824"/>
        <c:axId val="145983360"/>
        <c:axId val="0"/>
      </c:bar3DChart>
      <c:catAx>
        <c:axId val="145981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100" b="0"/>
            </a:pPr>
            <a:endParaRPr lang="es-MX"/>
          </a:p>
        </c:txPr>
        <c:crossAx val="145983360"/>
        <c:crosses val="autoZero"/>
        <c:auto val="1"/>
        <c:lblAlgn val="ctr"/>
        <c:lblOffset val="100"/>
        <c:noMultiLvlLbl val="0"/>
      </c:catAx>
      <c:valAx>
        <c:axId val="145983360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one"/>
        <c:crossAx val="1459818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715409994136775"/>
          <c:y val="0.9552354454708909"/>
          <c:w val="0.50492716932423209"/>
          <c:h val="3.9231097128739401E-2"/>
        </c:manualLayout>
      </c:layout>
      <c:overlay val="0"/>
      <c:spPr>
        <a:effectLst/>
      </c:spPr>
      <c:txPr>
        <a:bodyPr/>
        <a:lstStyle/>
        <a:p>
          <a:pPr>
            <a:defRPr sz="12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419"/>
              <a:t>Cuerpos académicos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  <c:spPr>
        <a:noFill/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2.0106219723517026E-2"/>
          <c:y val="3.7043095710170698E-2"/>
          <c:w val="0.96228032576082301"/>
          <c:h val="0.83082693195438961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'Cuerpos Acad'!$AA$136</c:f>
              <c:strCache>
                <c:ptCount val="1"/>
                <c:pt idx="0">
                  <c:v>Cuerpos Académicos Consolidados</c:v>
                </c:pt>
              </c:strCache>
            </c:strRef>
          </c:tx>
          <c:spPr>
            <a:solidFill>
              <a:srgbClr val="CC9900"/>
            </a:solidFill>
            <a:ln>
              <a:noFill/>
            </a:ln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/>
              <a:bevelB w="88900" h="38100"/>
              <a:contourClr>
                <a:srgbClr val="000000"/>
              </a:contourClr>
            </a:sp3d>
          </c:spPr>
          <c:invertIfNegative val="0"/>
          <c:dLbls>
            <c:dLbl>
              <c:idx val="0"/>
              <c:layout>
                <c:manualLayout>
                  <c:x val="6.2143968883780799E-3"/>
                  <c:y val="-1.3120468062591815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C7-42FD-BB86-7713D1D8F15E}"/>
                </c:ext>
              </c:extLst>
            </c:dLbl>
            <c:dLbl>
              <c:idx val="1"/>
              <c:layout>
                <c:manualLayout>
                  <c:x val="4.9715175107024412E-3"/>
                  <c:y val="-1.3120468062591815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C7-42FD-BB86-7713D1D8F15E}"/>
                </c:ext>
              </c:extLst>
            </c:dLbl>
            <c:dLbl>
              <c:idx val="2"/>
              <c:layout>
                <c:manualLayout>
                  <c:x val="6.2143968883780565E-3"/>
                  <c:y val="-1.3120468062591815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C7-42FD-BB86-7713D1D8F15E}"/>
                </c:ext>
              </c:extLst>
            </c:dLbl>
            <c:dLbl>
              <c:idx val="3"/>
              <c:layout>
                <c:manualLayout>
                  <c:x val="3.72863813302680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C7-42FD-BB86-7713D1D8F15E}"/>
                </c:ext>
              </c:extLst>
            </c:dLbl>
            <c:dLbl>
              <c:idx val="4"/>
              <c:layout>
                <c:manualLayout>
                  <c:x val="7.45727626605365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C7-42FD-BB86-7713D1D8F15E}"/>
                </c:ext>
              </c:extLst>
            </c:dLbl>
            <c:dLbl>
              <c:idx val="5"/>
              <c:layout>
                <c:manualLayout>
                  <c:x val="8.7001556437293574E-3"/>
                  <c:y val="-1.3120468062591815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C7-42FD-BB86-7713D1D8F15E}"/>
                </c:ext>
              </c:extLst>
            </c:dLbl>
            <c:dLbl>
              <c:idx val="6"/>
              <c:layout>
                <c:manualLayout>
                  <c:x val="7.457276266053695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C7-42FD-BB86-7713D1D8F15E}"/>
                </c:ext>
              </c:extLst>
            </c:dLbl>
            <c:dLbl>
              <c:idx val="7"/>
              <c:layout>
                <c:manualLayout>
                  <c:x val="7.457276266053695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C7-42FD-BB86-7713D1D8F15E}"/>
                </c:ext>
              </c:extLst>
            </c:dLbl>
            <c:dLbl>
              <c:idx val="8"/>
              <c:layout>
                <c:manualLayout>
                  <c:x val="7.4572762660536952E-3"/>
                  <c:y val="-1.3120468062591815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C7-42FD-BB86-7713D1D8F15E}"/>
                </c:ext>
              </c:extLst>
            </c:dLbl>
            <c:dLbl>
              <c:idx val="9"/>
              <c:layout>
                <c:manualLayout>
                  <c:x val="7.457276266053695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C7-42FD-BB86-7713D1D8F15E}"/>
                </c:ext>
              </c:extLst>
            </c:dLbl>
            <c:dLbl>
              <c:idx val="10"/>
              <c:layout>
                <c:manualLayout>
                  <c:x val="6.2143968883780799E-3"/>
                  <c:y val="-1.3120468062591815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C7-42FD-BB86-7713D1D8F15E}"/>
                </c:ext>
              </c:extLst>
            </c:dLbl>
            <c:dLbl>
              <c:idx val="11"/>
              <c:layout>
                <c:manualLayout>
                  <c:x val="6.2143968883780799E-3"/>
                  <c:y val="-1.3120468062591815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C7-42FD-BB86-7713D1D8F15E}"/>
                </c:ext>
              </c:extLst>
            </c:dLbl>
            <c:dLbl>
              <c:idx val="12"/>
              <c:layout>
                <c:manualLayout>
                  <c:x val="7.457276266053695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C7-42FD-BB86-7713D1D8F15E}"/>
                </c:ext>
              </c:extLst>
            </c:dLbl>
            <c:dLbl>
              <c:idx val="13"/>
              <c:layout>
                <c:manualLayout>
                  <c:x val="6.2143968883778969E-3"/>
                  <c:y val="-1.3120468062591815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C7-42FD-BB86-7713D1D8F15E}"/>
                </c:ext>
              </c:extLst>
            </c:dLbl>
            <c:dLbl>
              <c:idx val="14"/>
              <c:layout>
                <c:manualLayout>
                  <c:x val="5.3173817463493906E-3"/>
                  <c:y val="-4.429678075761957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1C7-42FD-BB86-7713D1D8F15E}"/>
                </c:ext>
              </c:extLst>
            </c:dLbl>
            <c:dLbl>
              <c:idx val="15"/>
              <c:layout>
                <c:manualLayout>
                  <c:x val="5.3173817463495858E-3"/>
                  <c:y val="-1.6241965315890608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1C7-42FD-BB86-7713D1D8F15E}"/>
                </c:ext>
              </c:extLst>
            </c:dLbl>
            <c:dLbl>
              <c:idx val="17"/>
              <c:layout>
                <c:manualLayout>
                  <c:x val="7.1620415856331479E-3"/>
                  <c:y val="-2.43087277328704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1C7-42FD-BB86-7713D1D8F15E}"/>
                </c:ext>
              </c:extLst>
            </c:dLbl>
            <c:dLbl>
              <c:idx val="18"/>
              <c:layout>
                <c:manualLayout>
                  <c:x val="2.8449502133711616E-3"/>
                  <c:y val="-2.28180303404350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11-4FDE-8493-4CCF7AE980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Acad'!$BA$43:$BA$62</c:f>
              <c:numCache>
                <c:formatCode>General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('Cuerpos Acad'!$C$37,'Cuerpos Acad'!$G$37,'Cuerpos Acad'!$K$37,'Cuerpos Acad'!$O$37,'Cuerpos Acad'!$S$37,'Cuerpos Acad'!$W$37,'Cuerpos Acad'!$AA$37,'Cuerpos Acad'!$AE$37,'Cuerpos Acad'!$AI$37,'Cuerpos Acad'!$AM$37,'Cuerpos Acad'!$AQ$37,'Cuerpos Acad'!$AU$37,'Cuerpos Acad'!$AY$37,'Cuerpos Acad'!$BC$37,'Cuerpos Acad'!$BG$37,'Cuerpos Acad'!$BK$37,'Cuerpos Acad'!$BO$37,'Cuerpos Acad'!$BS$37,'Cuerpos Acad'!$BW$37,'Cuerpos Acad'!$CA$37)</c:f>
              <c:numCache>
                <c:formatCode>General</c:formatCode>
                <c:ptCount val="20"/>
                <c:pt idx="0">
                  <c:v>15</c:v>
                </c:pt>
                <c:pt idx="1">
                  <c:v>17</c:v>
                </c:pt>
                <c:pt idx="2">
                  <c:v>23</c:v>
                </c:pt>
                <c:pt idx="3">
                  <c:v>49</c:v>
                </c:pt>
                <c:pt idx="4">
                  <c:v>54</c:v>
                </c:pt>
                <c:pt idx="5">
                  <c:v>57</c:v>
                </c:pt>
                <c:pt idx="6">
                  <c:v>66</c:v>
                </c:pt>
                <c:pt idx="7">
                  <c:v>73</c:v>
                </c:pt>
                <c:pt idx="8">
                  <c:v>72</c:v>
                </c:pt>
                <c:pt idx="9">
                  <c:v>80</c:v>
                </c:pt>
                <c:pt idx="10">
                  <c:v>81</c:v>
                </c:pt>
                <c:pt idx="11">
                  <c:v>84</c:v>
                </c:pt>
                <c:pt idx="12">
                  <c:v>87</c:v>
                </c:pt>
                <c:pt idx="13">
                  <c:v>82</c:v>
                </c:pt>
                <c:pt idx="14">
                  <c:v>80</c:v>
                </c:pt>
                <c:pt idx="15">
                  <c:v>83</c:v>
                </c:pt>
                <c:pt idx="16">
                  <c:v>83</c:v>
                </c:pt>
                <c:pt idx="17">
                  <c:v>83</c:v>
                </c:pt>
                <c:pt idx="18">
                  <c:v>76</c:v>
                </c:pt>
                <c:pt idx="19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1C7-42FD-BB86-7713D1D8F15E}"/>
            </c:ext>
          </c:extLst>
        </c:ser>
        <c:ser>
          <c:idx val="1"/>
          <c:order val="1"/>
          <c:tx>
            <c:strRef>
              <c:f>'Cuerpos Acad'!$AA$137</c:f>
              <c:strCache>
                <c:ptCount val="1"/>
                <c:pt idx="0">
                  <c:v>Cuerpos Académicos en Consolidación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 prstMaterial="metal">
              <a:bevelT w="88900" h="38100"/>
              <a:bevelB w="88900" h="38100"/>
              <a:contourClr>
                <a:srgbClr val="000000"/>
              </a:contourClr>
            </a:sp3d>
          </c:spPr>
          <c:invertIfNegative val="0"/>
          <c:dLbls>
            <c:dLbl>
              <c:idx val="0"/>
              <c:layout>
                <c:manualLayout>
                  <c:x val="3.728638133026847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1C7-42FD-BB86-7713D1D8F15E}"/>
                </c:ext>
              </c:extLst>
            </c:dLbl>
            <c:dLbl>
              <c:idx val="1"/>
              <c:layout>
                <c:manualLayout>
                  <c:x val="4.97151751070244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1C7-42FD-BB86-7713D1D8F15E}"/>
                </c:ext>
              </c:extLst>
            </c:dLbl>
            <c:dLbl>
              <c:idx val="2"/>
              <c:layout>
                <c:manualLayout>
                  <c:x val="4.9715175107024412E-3"/>
                  <c:y val="-1.3120468062591815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1C7-42FD-BB86-7713D1D8F15E}"/>
                </c:ext>
              </c:extLst>
            </c:dLbl>
            <c:dLbl>
              <c:idx val="3"/>
              <c:layout>
                <c:manualLayout>
                  <c:x val="7.45727626605365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1C7-42FD-BB86-7713D1D8F15E}"/>
                </c:ext>
              </c:extLst>
            </c:dLbl>
            <c:dLbl>
              <c:idx val="4"/>
              <c:layout>
                <c:manualLayout>
                  <c:x val="4.971517510702463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1C7-42FD-BB86-7713D1D8F15E}"/>
                </c:ext>
              </c:extLst>
            </c:dLbl>
            <c:dLbl>
              <c:idx val="5"/>
              <c:layout>
                <c:manualLayout>
                  <c:x val="4.971517510702463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1C7-42FD-BB86-7713D1D8F15E}"/>
                </c:ext>
              </c:extLst>
            </c:dLbl>
            <c:dLbl>
              <c:idx val="6"/>
              <c:layout>
                <c:manualLayout>
                  <c:x val="4.971517510702463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1C7-42FD-BB86-7713D1D8F15E}"/>
                </c:ext>
              </c:extLst>
            </c:dLbl>
            <c:dLbl>
              <c:idx val="7"/>
              <c:layout>
                <c:manualLayout>
                  <c:x val="3.7286381330267565E-3"/>
                  <c:y val="-6.560234031295907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1C7-42FD-BB86-7713D1D8F15E}"/>
                </c:ext>
              </c:extLst>
            </c:dLbl>
            <c:dLbl>
              <c:idx val="8"/>
              <c:layout>
                <c:manualLayout>
                  <c:x val="3.72863813302675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1C7-42FD-BB86-7713D1D8F15E}"/>
                </c:ext>
              </c:extLst>
            </c:dLbl>
            <c:dLbl>
              <c:idx val="9"/>
              <c:layout>
                <c:manualLayout>
                  <c:x val="7.4572762660536952E-3"/>
                  <c:y val="-6.560234031295907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1C7-42FD-BB86-7713D1D8F15E}"/>
                </c:ext>
              </c:extLst>
            </c:dLbl>
            <c:dLbl>
              <c:idx val="10"/>
              <c:layout>
                <c:manualLayout>
                  <c:x val="7.457276266053695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1C7-42FD-BB86-7713D1D8F15E}"/>
                </c:ext>
              </c:extLst>
            </c:dLbl>
            <c:dLbl>
              <c:idx val="11"/>
              <c:layout>
                <c:manualLayout>
                  <c:x val="6.2143968883780799E-3"/>
                  <c:y val="-6.560234031295907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1C7-42FD-BB86-7713D1D8F15E}"/>
                </c:ext>
              </c:extLst>
            </c:dLbl>
            <c:dLbl>
              <c:idx val="12"/>
              <c:layout>
                <c:manualLayout>
                  <c:x val="6.2143968883778969E-3"/>
                  <c:y val="-6.560234031295907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1C7-42FD-BB86-7713D1D8F15E}"/>
                </c:ext>
              </c:extLst>
            </c:dLbl>
            <c:dLbl>
              <c:idx val="13"/>
              <c:layout>
                <c:manualLayout>
                  <c:x val="7.4572762660536952E-3"/>
                  <c:y val="6.560234031295907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1C7-42FD-BB86-7713D1D8F15E}"/>
                </c:ext>
              </c:extLst>
            </c:dLbl>
            <c:dLbl>
              <c:idx val="14"/>
              <c:layout>
                <c:manualLayout>
                  <c:x val="6.646727182936788E-3"/>
                  <c:y val="-2.21483903788089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1C7-42FD-BB86-7713D1D8F15E}"/>
                </c:ext>
              </c:extLst>
            </c:dLbl>
            <c:dLbl>
              <c:idx val="15"/>
              <c:layout>
                <c:manualLayout>
                  <c:x val="3.9880363097621893E-3"/>
                  <c:y val="-6.64451711364277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1C7-42FD-BB86-7713D1D8F15E}"/>
                </c:ext>
              </c:extLst>
            </c:dLbl>
            <c:dLbl>
              <c:idx val="17"/>
              <c:layout>
                <c:manualLayout>
                  <c:x val="4.2972249513798886E-3"/>
                  <c:y val="-2.43087277328704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1C7-42FD-BB86-7713D1D8F15E}"/>
                </c:ext>
              </c:extLst>
            </c:dLbl>
            <c:dLbl>
              <c:idx val="18"/>
              <c:layout>
                <c:manualLayout>
                  <c:x val="5.6899004267425323E-3"/>
                  <c:y val="-2.28180303404342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11-4FDE-8493-4CCF7AE980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solidFill>
                      <a:schemeClr val="tx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Acad'!$BA$43:$BA$62</c:f>
              <c:numCache>
                <c:formatCode>General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('Cuerpos Acad'!$D$37,'Cuerpos Acad'!$H$37,'Cuerpos Acad'!$L$37,'Cuerpos Acad'!$P$37,'Cuerpos Acad'!$T$37,'Cuerpos Acad'!$X$37,'Cuerpos Acad'!$AB$37,'Cuerpos Acad'!$AF$37,'Cuerpos Acad'!$AJ$37,'Cuerpos Acad'!$AN$37,'Cuerpos Acad'!$AR$37,'Cuerpos Acad'!$AV$37,'Cuerpos Acad'!$AZ$37,'Cuerpos Acad'!$BD$37,'Cuerpos Acad'!$BH$37,'Cuerpos Acad'!$BL$37,'Cuerpos Acad'!$BP$37,'Cuerpos Acad'!$BT$37,'Cuerpos Acad'!$BX$37,'Cuerpos Acad'!$CB$37)</c:f>
              <c:numCache>
                <c:formatCode>General</c:formatCode>
                <c:ptCount val="20"/>
                <c:pt idx="0">
                  <c:v>44</c:v>
                </c:pt>
                <c:pt idx="1">
                  <c:v>54</c:v>
                </c:pt>
                <c:pt idx="2">
                  <c:v>53</c:v>
                </c:pt>
                <c:pt idx="3">
                  <c:v>71</c:v>
                </c:pt>
                <c:pt idx="4">
                  <c:v>85</c:v>
                </c:pt>
                <c:pt idx="5">
                  <c:v>87</c:v>
                </c:pt>
                <c:pt idx="6">
                  <c:v>99</c:v>
                </c:pt>
                <c:pt idx="7">
                  <c:v>111</c:v>
                </c:pt>
                <c:pt idx="8">
                  <c:v>112</c:v>
                </c:pt>
                <c:pt idx="9">
                  <c:v>99</c:v>
                </c:pt>
                <c:pt idx="10">
                  <c:v>96</c:v>
                </c:pt>
                <c:pt idx="11">
                  <c:v>92</c:v>
                </c:pt>
                <c:pt idx="12">
                  <c:v>81</c:v>
                </c:pt>
                <c:pt idx="13">
                  <c:v>83</c:v>
                </c:pt>
                <c:pt idx="14">
                  <c:v>78</c:v>
                </c:pt>
                <c:pt idx="15">
                  <c:v>79</c:v>
                </c:pt>
                <c:pt idx="16">
                  <c:v>76</c:v>
                </c:pt>
                <c:pt idx="17">
                  <c:v>75</c:v>
                </c:pt>
                <c:pt idx="18">
                  <c:v>79</c:v>
                </c:pt>
                <c:pt idx="19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41C7-42FD-BB86-7713D1D8F15E}"/>
            </c:ext>
          </c:extLst>
        </c:ser>
        <c:ser>
          <c:idx val="2"/>
          <c:order val="2"/>
          <c:tx>
            <c:strRef>
              <c:f>'Cuerpos Acad'!$AA$138</c:f>
              <c:strCache>
                <c:ptCount val="1"/>
                <c:pt idx="0">
                  <c:v>Cuerpos Academicos en Formación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 prstMaterial="metal">
              <a:bevelT w="88900" h="38100"/>
              <a:bevelB w="88900" h="38100"/>
              <a:contourClr>
                <a:srgbClr val="000000"/>
              </a:contourClr>
            </a:sp3d>
          </c:spPr>
          <c:invertIfNegative val="0"/>
          <c:dLbls>
            <c:dLbl>
              <c:idx val="0"/>
              <c:layout>
                <c:manualLayout>
                  <c:x val="5.1435919417059661E-3"/>
                  <c:y val="-2.4933768450497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1C7-42FD-BB86-7713D1D8F15E}"/>
                </c:ext>
              </c:extLst>
            </c:dLbl>
            <c:dLbl>
              <c:idx val="1"/>
              <c:layout>
                <c:manualLayout>
                  <c:x val="5.1435919417059739E-3"/>
                  <c:y val="-2.4933768450497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1C7-42FD-BB86-7713D1D8F15E}"/>
                </c:ext>
              </c:extLst>
            </c:dLbl>
            <c:dLbl>
              <c:idx val="2"/>
              <c:layout>
                <c:manualLayout>
                  <c:x val="5.1435919417059583E-3"/>
                  <c:y val="-2.4933768450497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1C7-42FD-BB86-7713D1D8F15E}"/>
                </c:ext>
              </c:extLst>
            </c:dLbl>
            <c:dLbl>
              <c:idx val="3"/>
              <c:layout>
                <c:manualLayout>
                  <c:x val="6.8581225889412772E-3"/>
                  <c:y val="4.571138076414139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1C7-42FD-BB86-7713D1D8F15E}"/>
                </c:ext>
              </c:extLst>
            </c:dLbl>
            <c:dLbl>
              <c:idx val="4"/>
              <c:layout>
                <c:manualLayout>
                  <c:x val="5.143591941705958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1C7-42FD-BB86-7713D1D8F15E}"/>
                </c:ext>
              </c:extLst>
            </c:dLbl>
            <c:dLbl>
              <c:idx val="5"/>
              <c:layout>
                <c:manualLayout>
                  <c:x val="5.1435919417059583E-3"/>
                  <c:y val="-4.986753690099566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1C7-42FD-BB86-7713D1D8F15E}"/>
                </c:ext>
              </c:extLst>
            </c:dLbl>
            <c:dLbl>
              <c:idx val="6"/>
              <c:layout>
                <c:manualLayout>
                  <c:x val="5.1435919417059583E-3"/>
                  <c:y val="-2.4933768450497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1C7-42FD-BB86-7713D1D8F15E}"/>
                </c:ext>
              </c:extLst>
            </c:dLbl>
            <c:dLbl>
              <c:idx val="7"/>
              <c:layout>
                <c:manualLayout>
                  <c:x val="3.6404177117380365E-3"/>
                  <c:y val="-4.060491328972651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1C7-42FD-BB86-7713D1D8F15E}"/>
                </c:ext>
              </c:extLst>
            </c:dLbl>
            <c:dLbl>
              <c:idx val="8"/>
              <c:layout>
                <c:manualLayout>
                  <c:x val="5.9139124269095523E-3"/>
                  <c:y val="-2.7851164909415701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1C7-42FD-BB86-7713D1D8F15E}"/>
                </c:ext>
              </c:extLst>
            </c:dLbl>
            <c:dLbl>
              <c:idx val="9"/>
              <c:layout>
                <c:manualLayout>
                  <c:x val="5.143591941705958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1C7-42FD-BB86-7713D1D8F15E}"/>
                </c:ext>
              </c:extLst>
            </c:dLbl>
            <c:dLbl>
              <c:idx val="10"/>
              <c:layout>
                <c:manualLayout>
                  <c:x val="5.9139124269095523E-3"/>
                  <c:y val="1.936327388786740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1C7-42FD-BB86-7713D1D8F15E}"/>
                </c:ext>
              </c:extLst>
            </c:dLbl>
            <c:dLbl>
              <c:idx val="11"/>
              <c:layout>
                <c:manualLayout>
                  <c:x val="6.8581225889414029E-3"/>
                  <c:y val="-2.4933768450497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1C7-42FD-BB86-7713D1D8F15E}"/>
                </c:ext>
              </c:extLst>
            </c:dLbl>
            <c:dLbl>
              <c:idx val="12"/>
              <c:layout>
                <c:manualLayout>
                  <c:x val="6.2143968883780799E-3"/>
                  <c:y val="-6.560234031295907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1C7-42FD-BB86-7713D1D8F15E}"/>
                </c:ext>
              </c:extLst>
            </c:dLbl>
            <c:dLbl>
              <c:idx val="13"/>
              <c:layout>
                <c:manualLayout>
                  <c:x val="4.7121632176606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1C7-42FD-BB86-7713D1D8F15E}"/>
                </c:ext>
              </c:extLst>
            </c:dLbl>
            <c:dLbl>
              <c:idx val="14"/>
              <c:layout>
                <c:manualLayout>
                  <c:x val="2.349488004257072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41C7-42FD-BB86-7713D1D8F15E}"/>
                </c:ext>
              </c:extLst>
            </c:dLbl>
            <c:dLbl>
              <c:idx val="15"/>
              <c:layout>
                <c:manualLayout>
                  <c:x val="5.3173817463495858E-3"/>
                  <c:y val="-1.32890342272854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41C7-42FD-BB86-7713D1D8F15E}"/>
                </c:ext>
              </c:extLst>
            </c:dLbl>
            <c:dLbl>
              <c:idx val="16"/>
              <c:layout>
                <c:manualLayout>
                  <c:x val="2.6796182957585439E-3"/>
                  <c:y val="-2.21361333857159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1C7-42FD-BB86-7713D1D8F15E}"/>
                </c:ext>
              </c:extLst>
            </c:dLbl>
            <c:dLbl>
              <c:idx val="17"/>
              <c:layout>
                <c:manualLayout>
                  <c:x val="2.8648166342532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41C7-42FD-BB86-7713D1D8F15E}"/>
                </c:ext>
              </c:extLst>
            </c:dLbl>
            <c:dLbl>
              <c:idx val="18"/>
              <c:layout>
                <c:manualLayout>
                  <c:x val="2.8449502133711616E-3"/>
                  <c:y val="-4.183257237068368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11-4FDE-8493-4CCF7AE980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Acad'!$BA$43:$BA$62</c:f>
              <c:numCache>
                <c:formatCode>General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('Cuerpos Acad'!$E$37,'Cuerpos Acad'!$I$37,'Cuerpos Acad'!$M$37,'Cuerpos Acad'!$Q$37,'Cuerpos Acad'!$U$37,'Cuerpos Acad'!$Y$37,'Cuerpos Acad'!$AC$37,'Cuerpos Acad'!$AG$37,'Cuerpos Acad'!$AK$37,'Cuerpos Acad'!$AO$37,'Cuerpos Acad'!$AS$37,'Cuerpos Acad'!$AW$37,'Cuerpos Acad'!$BA$37,'Cuerpos Acad'!$BE$37,'Cuerpos Acad'!$BI$37,'Cuerpos Acad'!$BM$37,'Cuerpos Acad'!$BQ$37,'Cuerpos Acad'!$BU$37,'Cuerpos Acad'!$BY$37,'Cuerpos Acad'!$CC$37)</c:f>
              <c:numCache>
                <c:formatCode>General</c:formatCode>
                <c:ptCount val="20"/>
                <c:pt idx="0">
                  <c:v>154</c:v>
                </c:pt>
                <c:pt idx="1">
                  <c:v>178</c:v>
                </c:pt>
                <c:pt idx="2">
                  <c:v>192</c:v>
                </c:pt>
                <c:pt idx="3">
                  <c:v>171</c:v>
                </c:pt>
                <c:pt idx="4">
                  <c:v>163</c:v>
                </c:pt>
                <c:pt idx="5">
                  <c:v>165</c:v>
                </c:pt>
                <c:pt idx="6">
                  <c:v>146</c:v>
                </c:pt>
                <c:pt idx="7">
                  <c:v>93</c:v>
                </c:pt>
                <c:pt idx="8">
                  <c:v>102</c:v>
                </c:pt>
                <c:pt idx="9">
                  <c:v>107</c:v>
                </c:pt>
                <c:pt idx="10">
                  <c:v>105</c:v>
                </c:pt>
                <c:pt idx="11">
                  <c:v>101</c:v>
                </c:pt>
                <c:pt idx="12">
                  <c:v>111</c:v>
                </c:pt>
                <c:pt idx="13">
                  <c:v>112</c:v>
                </c:pt>
                <c:pt idx="14">
                  <c:v>106</c:v>
                </c:pt>
                <c:pt idx="15">
                  <c:v>104</c:v>
                </c:pt>
                <c:pt idx="16">
                  <c:v>103</c:v>
                </c:pt>
                <c:pt idx="17">
                  <c:v>101</c:v>
                </c:pt>
                <c:pt idx="18">
                  <c:v>96</c:v>
                </c:pt>
                <c:pt idx="19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41C7-42FD-BB86-7713D1D8F15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0"/>
        <c:gapDepth val="95"/>
        <c:shape val="cylinder"/>
        <c:axId val="148732160"/>
        <c:axId val="147206144"/>
        <c:axId val="0"/>
      </c:bar3DChart>
      <c:catAx>
        <c:axId val="148732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/>
            </a:pPr>
            <a:endParaRPr lang="es-MX"/>
          </a:p>
        </c:txPr>
        <c:crossAx val="147206144"/>
        <c:crosses val="autoZero"/>
        <c:auto val="1"/>
        <c:lblAlgn val="ctr"/>
        <c:lblOffset val="100"/>
        <c:noMultiLvlLbl val="0"/>
      </c:catAx>
      <c:valAx>
        <c:axId val="14720614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1487321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1373048452861722E-2"/>
          <c:y val="0.9558272153491485"/>
          <c:w val="0.95743373108325747"/>
          <c:h val="4.3141053332103253E-2"/>
        </c:manualLayout>
      </c:layout>
      <c:overlay val="0"/>
      <c:txPr>
        <a:bodyPr/>
        <a:lstStyle/>
        <a:p>
          <a:pPr>
            <a:defRPr sz="12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CD032E"/>
                </a:solidFill>
              </a:defRPr>
            </a:pPr>
            <a:r>
              <a:rPr lang="es-MX" sz="1200">
                <a:solidFill>
                  <a:srgbClr val="CD032E"/>
                </a:solidFill>
              </a:rPr>
              <a:t>CBI</a:t>
            </a:r>
          </a:p>
        </c:rich>
      </c:tx>
      <c:layout>
        <c:manualLayout>
          <c:xMode val="edge"/>
          <c:yMode val="edge"/>
          <c:x val="0.46962344476241452"/>
          <c:y val="1.13815845506605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9.4511338999530292E-2"/>
          <c:w val="0.93302893538298992"/>
          <c:h val="0.66871847759817116"/>
        </c:manualLayout>
      </c:layout>
      <c:lineChart>
        <c:grouping val="standard"/>
        <c:varyColors val="0"/>
        <c:ser>
          <c:idx val="0"/>
          <c:order val="0"/>
          <c:tx>
            <c:strRef>
              <c:f>'Cuerpos Acad'!$AE$4</c:f>
              <c:strCache>
                <c:ptCount val="1"/>
                <c:pt idx="0">
                  <c:v>CAC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Acad'!$AE$6,'Cuerpos Acad'!$AI$6,'Cuerpos Acad'!$AM$6,'Cuerpos Acad'!$AQ$6,'Cuerpos Acad'!$AU$6)</c:f>
              <c:numCache>
                <c:formatCode>General</c:formatCode>
                <c:ptCount val="5"/>
                <c:pt idx="0">
                  <c:v>6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86-4452-AAB9-D312EE644AE8}"/>
            </c:ext>
          </c:extLst>
        </c:ser>
        <c:ser>
          <c:idx val="1"/>
          <c:order val="1"/>
          <c:tx>
            <c:strRef>
              <c:f>'Cuerpos Acad'!$AF$4</c:f>
              <c:strCache>
                <c:ptCount val="1"/>
                <c:pt idx="0">
                  <c:v>CAEC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dLbl>
              <c:idx val="1"/>
              <c:layout>
                <c:manualLayout>
                  <c:x val="-5.0312192065534805E-2"/>
                  <c:y val="1.0080422443401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86-4452-AAB9-D312EE644AE8}"/>
                </c:ext>
              </c:extLst>
            </c:dLbl>
            <c:dLbl>
              <c:idx val="2"/>
              <c:layout>
                <c:manualLayout>
                  <c:x val="-3.5175149468438145E-2"/>
                  <c:y val="-5.41765785761087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86-4452-AAB9-D312EE644AE8}"/>
                </c:ext>
              </c:extLst>
            </c:dLbl>
            <c:dLbl>
              <c:idx val="3"/>
              <c:layout>
                <c:manualLayout>
                  <c:x val="-4.4307567370757708E-2"/>
                  <c:y val="-4.3467078406190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86-4452-AAB9-D312EE644AE8}"/>
                </c:ext>
              </c:extLst>
            </c:dLbl>
            <c:dLbl>
              <c:idx val="4"/>
              <c:layout>
                <c:manualLayout>
                  <c:x val="-4.1263428069984523E-2"/>
                  <c:y val="-3.81123283212309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86-4452-AAB9-D312EE644A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Acad'!$AF$6,'Cuerpos Acad'!$AJ$6,'Cuerpos Acad'!$AN$6,'Cuerpos Acad'!$AR$6,'Cuerpos Acad'!$AV$6)</c:f>
              <c:numCache>
                <c:formatCode>General</c:formatCode>
                <c:ptCount val="5"/>
                <c:pt idx="0">
                  <c:v>12</c:v>
                </c:pt>
                <c:pt idx="1">
                  <c:v>9</c:v>
                </c:pt>
                <c:pt idx="2">
                  <c:v>11</c:v>
                </c:pt>
                <c:pt idx="3">
                  <c:v>11</c:v>
                </c:pt>
                <c:pt idx="4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86-4452-AAB9-D312EE644AE8}"/>
            </c:ext>
          </c:extLst>
        </c:ser>
        <c:ser>
          <c:idx val="2"/>
          <c:order val="2"/>
          <c:tx>
            <c:strRef>
              <c:f>'Cuerpos Acad'!$AG$4</c:f>
              <c:strCache>
                <c:ptCount val="1"/>
                <c:pt idx="0">
                  <c:v>CAEF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3.5175149468438145E-2"/>
                  <c:y val="4.3467078406190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86-4452-AAB9-D312EE644AE8}"/>
                </c:ext>
              </c:extLst>
            </c:dLbl>
            <c:dLbl>
              <c:idx val="3"/>
              <c:layout>
                <c:manualLayout>
                  <c:x val="-2.9003216960122494E-2"/>
                  <c:y val="-4.22089229531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86-4452-AAB9-D312EE644AE8}"/>
                </c:ext>
              </c:extLst>
            </c:dLbl>
            <c:dLbl>
              <c:idx val="4"/>
              <c:layout>
                <c:manualLayout>
                  <c:x val="-2.9003216960122494E-2"/>
                  <c:y val="-3.6854172868198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86-4452-AAB9-D312EE644A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Acad'!$AG$6,'Cuerpos Acad'!$AK$6,'Cuerpos Acad'!$AO$6,'Cuerpos Acad'!$AS$6,'Cuerpos Acad'!$AW$6)</c:f>
              <c:numCache>
                <c:formatCode>General</c:formatCode>
                <c:ptCount val="5"/>
                <c:pt idx="0">
                  <c:v>12</c:v>
                </c:pt>
                <c:pt idx="1">
                  <c:v>10</c:v>
                </c:pt>
                <c:pt idx="2">
                  <c:v>9</c:v>
                </c:pt>
                <c:pt idx="3">
                  <c:v>9</c:v>
                </c:pt>
                <c:pt idx="4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F86-4452-AAB9-D312EE644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257984"/>
        <c:axId val="147345792"/>
      </c:lineChart>
      <c:catAx>
        <c:axId val="147257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MX"/>
          </a:p>
        </c:txPr>
        <c:crossAx val="147345792"/>
        <c:crosses val="autoZero"/>
        <c:auto val="1"/>
        <c:lblAlgn val="ctr"/>
        <c:lblOffset val="100"/>
        <c:noMultiLvlLbl val="0"/>
      </c:catAx>
      <c:valAx>
        <c:axId val="1473457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7257984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701698289793479"/>
          <c:y val="0.88850481555914296"/>
          <c:w val="0.65401181102362205"/>
          <c:h val="8.3717191601049873E-2"/>
        </c:manualLayout>
      </c:layout>
      <c:overlay val="0"/>
      <c:txPr>
        <a:bodyPr/>
        <a:lstStyle/>
        <a:p>
          <a:pPr>
            <a:defRPr sz="9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CD032E"/>
                </a:solidFill>
              </a:defRPr>
            </a:pPr>
            <a:r>
              <a:rPr lang="es-MX" sz="1200">
                <a:solidFill>
                  <a:srgbClr val="CD032E"/>
                </a:solidFill>
              </a:rPr>
              <a:t>CSH</a:t>
            </a:r>
          </a:p>
        </c:rich>
      </c:tx>
      <c:layout>
        <c:manualLayout>
          <c:xMode val="edge"/>
          <c:yMode val="edge"/>
          <c:x val="0.45744688755932178"/>
          <c:y val="1.67363346356197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9.9866089084489518E-2"/>
          <c:w val="0.93302893538298992"/>
          <c:h val="0.66336372751321193"/>
        </c:manualLayout>
      </c:layout>
      <c:lineChart>
        <c:grouping val="standard"/>
        <c:varyColors val="0"/>
        <c:ser>
          <c:idx val="0"/>
          <c:order val="0"/>
          <c:tx>
            <c:strRef>
              <c:f>'Cuerpos Acad'!$AE$4</c:f>
              <c:strCache>
                <c:ptCount val="1"/>
                <c:pt idx="0">
                  <c:v>CAC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Acad'!$AE$7,'Cuerpos Acad'!$AI$7,'Cuerpos Acad'!$AM$7,'Cuerpos Acad'!$AQ$7,'Cuerpos Acad'!$AU$7)</c:f>
              <c:numCache>
                <c:formatCode>General</c:formatCode>
                <c:ptCount val="5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C0-498E-8408-EE75227DC0A1}"/>
            </c:ext>
          </c:extLst>
        </c:ser>
        <c:ser>
          <c:idx val="1"/>
          <c:order val="1"/>
          <c:tx>
            <c:strRef>
              <c:f>'Cuerpos Acad'!$AF$4</c:f>
              <c:strCache>
                <c:ptCount val="1"/>
                <c:pt idx="0">
                  <c:v>CAEC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dLbl>
              <c:idx val="4"/>
              <c:layout>
                <c:manualLayout>
                  <c:x val="-4.4307567370757597E-2"/>
                  <c:y val="3.8112328321231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C0-498E-8408-EE75227DC0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Acad'!$AF$7,'Cuerpos Acad'!$AJ$7,'Cuerpos Acad'!$AN$7,'Cuerpos Acad'!$AR$7,'Cuerpos Acad'!$AV$7)</c:f>
              <c:numCache>
                <c:formatCode>General</c:formatCode>
                <c:ptCount val="5"/>
                <c:pt idx="0">
                  <c:v>16</c:v>
                </c:pt>
                <c:pt idx="1">
                  <c:v>17</c:v>
                </c:pt>
                <c:pt idx="2">
                  <c:v>15</c:v>
                </c:pt>
                <c:pt idx="3">
                  <c:v>15</c:v>
                </c:pt>
                <c:pt idx="4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C0-498E-8408-EE75227DC0A1}"/>
            </c:ext>
          </c:extLst>
        </c:ser>
        <c:ser>
          <c:idx val="2"/>
          <c:order val="2"/>
          <c:tx>
            <c:strRef>
              <c:f>'Cuerpos Acad'!$AG$4</c:f>
              <c:strCache>
                <c:ptCount val="1"/>
                <c:pt idx="0">
                  <c:v>CAEF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3.5175149468438145E-2"/>
                  <c:y val="5.41765785761087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C0-498E-8408-EE75227DC0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Acad'!$AG$7,'Cuerpos Acad'!$AK$7,'Cuerpos Acad'!$AO$7,'Cuerpos Acad'!$AS$7,'Cuerpos Acad'!$AW$7)</c:f>
              <c:numCache>
                <c:formatCode>General</c:formatCode>
                <c:ptCount val="5"/>
                <c:pt idx="0">
                  <c:v>12</c:v>
                </c:pt>
                <c:pt idx="1">
                  <c:v>11</c:v>
                </c:pt>
                <c:pt idx="2">
                  <c:v>9</c:v>
                </c:pt>
                <c:pt idx="3">
                  <c:v>10</c:v>
                </c:pt>
                <c:pt idx="4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9C0-498E-8408-EE75227DC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767488"/>
        <c:axId val="148769024"/>
      </c:lineChart>
      <c:catAx>
        <c:axId val="14876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MX"/>
          </a:p>
        </c:txPr>
        <c:crossAx val="148769024"/>
        <c:crosses val="autoZero"/>
        <c:auto val="1"/>
        <c:lblAlgn val="ctr"/>
        <c:lblOffset val="100"/>
        <c:noMultiLvlLbl val="0"/>
      </c:catAx>
      <c:valAx>
        <c:axId val="1487690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8767488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701698289793479"/>
          <c:y val="0.88850481555914296"/>
          <c:w val="0.65401181102362205"/>
          <c:h val="8.3717191601049873E-2"/>
        </c:manualLayout>
      </c:layout>
      <c:overlay val="0"/>
      <c:txPr>
        <a:bodyPr/>
        <a:lstStyle/>
        <a:p>
          <a:pPr>
            <a:defRPr sz="9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CD032E"/>
                </a:solidFill>
              </a:defRPr>
            </a:pPr>
            <a:r>
              <a:rPr lang="es-MX" sz="1200">
                <a:solidFill>
                  <a:srgbClr val="CD032E"/>
                </a:solidFill>
              </a:rPr>
              <a:t>CAD</a:t>
            </a:r>
          </a:p>
        </c:rich>
      </c:tx>
      <c:layout>
        <c:manualLayout>
          <c:xMode val="edge"/>
          <c:yMode val="edge"/>
          <c:x val="0.46353516616086815"/>
          <c:y val="1.13815845506605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0.11593033933936719"/>
          <c:w val="0.93302893538298992"/>
          <c:h val="0.64729947725833425"/>
        </c:manualLayout>
      </c:layout>
      <c:lineChart>
        <c:grouping val="standard"/>
        <c:varyColors val="0"/>
        <c:ser>
          <c:idx val="0"/>
          <c:order val="0"/>
          <c:tx>
            <c:strRef>
              <c:f>'Cuerpos Acad'!$AE$4</c:f>
              <c:strCache>
                <c:ptCount val="1"/>
                <c:pt idx="0">
                  <c:v>CAC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Acad'!$AE$8,'Cuerpos Acad'!$AI$8,'Cuerpos Acad'!$AM$8,'Cuerpos Acad'!$AQ$8,'Cuerpos Acad'!$AU$8)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73-44A4-A15D-ADE427D564A7}"/>
            </c:ext>
          </c:extLst>
        </c:ser>
        <c:ser>
          <c:idx val="1"/>
          <c:order val="1"/>
          <c:tx>
            <c:strRef>
              <c:f>'Cuerpos Acad'!$AF$4</c:f>
              <c:strCache>
                <c:ptCount val="1"/>
                <c:pt idx="0">
                  <c:v>CAEC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Acad'!$AF$8,'Cuerpos Acad'!$AJ$8,'Cuerpos Acad'!$AN$8,'Cuerpos Acad'!$AR$8,'Cuerpos Acad'!$AV$8)</c:f>
              <c:numCache>
                <c:formatCode>General</c:formatCode>
                <c:ptCount val="5"/>
                <c:pt idx="0">
                  <c:v>4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73-44A4-A15D-ADE427D564A7}"/>
            </c:ext>
          </c:extLst>
        </c:ser>
        <c:ser>
          <c:idx val="2"/>
          <c:order val="2"/>
          <c:tx>
            <c:strRef>
              <c:f>'Cuerpos Acad'!$AG$4</c:f>
              <c:strCache>
                <c:ptCount val="1"/>
                <c:pt idx="0">
                  <c:v>CAEF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Acad'!$AG$8,'Cuerpos Acad'!$AK$8,'Cuerpos Acad'!$AO$8,'Cuerpos Acad'!$AS$8,'Cuerpos Acad'!$AW$8)</c:f>
              <c:numCache>
                <c:formatCode>General</c:formatCode>
                <c:ptCount val="5"/>
                <c:pt idx="0">
                  <c:v>12</c:v>
                </c:pt>
                <c:pt idx="1">
                  <c:v>15</c:v>
                </c:pt>
                <c:pt idx="2">
                  <c:v>16</c:v>
                </c:pt>
                <c:pt idx="3">
                  <c:v>16</c:v>
                </c:pt>
                <c:pt idx="4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73-44A4-A15D-ADE427D56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822272"/>
        <c:axId val="148844544"/>
      </c:lineChart>
      <c:catAx>
        <c:axId val="148822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MX"/>
          </a:p>
        </c:txPr>
        <c:crossAx val="148844544"/>
        <c:crosses val="autoZero"/>
        <c:auto val="1"/>
        <c:lblAlgn val="ctr"/>
        <c:lblOffset val="100"/>
        <c:noMultiLvlLbl val="0"/>
      </c:catAx>
      <c:valAx>
        <c:axId val="14884454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8822272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701698289793479"/>
          <c:y val="0.88850481555914296"/>
          <c:w val="0.65401181102362205"/>
          <c:h val="8.3717191601049873E-2"/>
        </c:manualLayout>
      </c:layout>
      <c:overlay val="0"/>
      <c:txPr>
        <a:bodyPr/>
        <a:lstStyle/>
        <a:p>
          <a:pPr>
            <a:defRPr sz="9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CD032E"/>
                </a:solidFill>
              </a:defRPr>
            </a:pPr>
            <a:r>
              <a:rPr lang="es-MX" sz="1200">
                <a:solidFill>
                  <a:srgbClr val="CD032E"/>
                </a:solidFill>
              </a:rPr>
              <a:t>TOTAL</a:t>
            </a:r>
          </a:p>
        </c:rich>
      </c:tx>
      <c:layout>
        <c:manualLayout>
          <c:xMode val="edge"/>
          <c:yMode val="edge"/>
          <c:x val="0.45135860895777541"/>
          <c:y val="1.67363346356197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0.11057558925440797"/>
          <c:w val="0.93302893538298992"/>
          <c:h val="0.65265422734329348"/>
        </c:manualLayout>
      </c:layout>
      <c:lineChart>
        <c:grouping val="standard"/>
        <c:varyColors val="0"/>
        <c:ser>
          <c:idx val="0"/>
          <c:order val="0"/>
          <c:tx>
            <c:strRef>
              <c:f>'Cuerpos Acad'!$AE$4</c:f>
              <c:strCache>
                <c:ptCount val="1"/>
                <c:pt idx="0">
                  <c:v>CAC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Acad'!$AE$9,'Cuerpos Acad'!$AI$9,'Cuerpos Acad'!$AM$9,'Cuerpos Acad'!$AQ$9,'Cuerpos Acad'!$AU$9)</c:f>
              <c:numCache>
                <c:formatCode>General</c:formatCode>
                <c:ptCount val="5"/>
                <c:pt idx="0">
                  <c:v>13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8A-456D-9772-59F10F172EAF}"/>
            </c:ext>
          </c:extLst>
        </c:ser>
        <c:ser>
          <c:idx val="1"/>
          <c:order val="1"/>
          <c:tx>
            <c:strRef>
              <c:f>'Cuerpos Acad'!$AF$4</c:f>
              <c:strCache>
                <c:ptCount val="1"/>
                <c:pt idx="0">
                  <c:v>CAEC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Acad'!$AF$9,'Cuerpos Acad'!$AJ$9,'Cuerpos Acad'!$AN$9,'Cuerpos Acad'!$AR$9,'Cuerpos Acad'!$AV$9)</c:f>
              <c:numCache>
                <c:formatCode>General</c:formatCode>
                <c:ptCount val="5"/>
                <c:pt idx="0">
                  <c:v>32</c:v>
                </c:pt>
                <c:pt idx="1">
                  <c:v>29</c:v>
                </c:pt>
                <c:pt idx="2">
                  <c:v>29</c:v>
                </c:pt>
                <c:pt idx="3">
                  <c:v>29</c:v>
                </c:pt>
                <c:pt idx="4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8A-456D-9772-59F10F172EAF}"/>
            </c:ext>
          </c:extLst>
        </c:ser>
        <c:ser>
          <c:idx val="2"/>
          <c:order val="2"/>
          <c:tx>
            <c:strRef>
              <c:f>'Cuerpos Acad'!$AG$4</c:f>
              <c:strCache>
                <c:ptCount val="1"/>
                <c:pt idx="0">
                  <c:v>CAEF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Acad'!$AG$9,'Cuerpos Acad'!$AK$9,'Cuerpos Acad'!$AO$9,'Cuerpos Acad'!$AS$9,'Cuerpos Acad'!$AW$9)</c:f>
              <c:numCache>
                <c:formatCode>General</c:formatCode>
                <c:ptCount val="5"/>
                <c:pt idx="0">
                  <c:v>36</c:v>
                </c:pt>
                <c:pt idx="1">
                  <c:v>36</c:v>
                </c:pt>
                <c:pt idx="2">
                  <c:v>34</c:v>
                </c:pt>
                <c:pt idx="3">
                  <c:v>35</c:v>
                </c:pt>
                <c:pt idx="4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8A-456D-9772-59F10F172E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901888"/>
        <c:axId val="148903424"/>
      </c:lineChart>
      <c:catAx>
        <c:axId val="14890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MX"/>
          </a:p>
        </c:txPr>
        <c:crossAx val="148903424"/>
        <c:crosses val="autoZero"/>
        <c:auto val="1"/>
        <c:lblAlgn val="ctr"/>
        <c:lblOffset val="100"/>
        <c:noMultiLvlLbl val="0"/>
      </c:catAx>
      <c:valAx>
        <c:axId val="1489034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8901888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701698289793479"/>
          <c:y val="0.88850481555914296"/>
          <c:w val="0.65401181102362205"/>
          <c:h val="8.3717191601049873E-2"/>
        </c:manualLayout>
      </c:layout>
      <c:overlay val="0"/>
      <c:txPr>
        <a:bodyPr/>
        <a:lstStyle/>
        <a:p>
          <a:pPr>
            <a:defRPr sz="9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>
                <a:solidFill>
                  <a:srgbClr val="AD25A8"/>
                </a:solidFill>
              </a:defRPr>
            </a:pPr>
            <a:r>
              <a:rPr lang="es-MX" sz="1200" b="0">
                <a:solidFill>
                  <a:srgbClr val="AD25A8"/>
                </a:solidFill>
              </a:rPr>
              <a:t>Lerma</a:t>
            </a:r>
          </a:p>
        </c:rich>
      </c:tx>
      <c:layout>
        <c:manualLayout>
          <c:xMode val="edge"/>
          <c:yMode val="edge"/>
          <c:x val="0.4264089505368121"/>
          <c:y val="1.03359173126614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376747608535691E-2"/>
          <c:y val="0.10671834625322997"/>
          <c:w val="0.93524650478292859"/>
          <c:h val="0.65183991535941732"/>
        </c:manualLayout>
      </c:layout>
      <c:lineChart>
        <c:grouping val="standard"/>
        <c:varyColors val="0"/>
        <c:ser>
          <c:idx val="0"/>
          <c:order val="0"/>
          <c:tx>
            <c:strRef>
              <c:f>'Admitidos uni'!$B$21</c:f>
              <c:strCache>
                <c:ptCount val="1"/>
                <c:pt idx="0">
                  <c:v>CBI</c:v>
                </c:pt>
              </c:strCache>
            </c:strRef>
          </c:tx>
          <c:spPr>
            <a:ln w="12700">
              <a:solidFill>
                <a:srgbClr val="C00000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CD032E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D032E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uni'!$AP$52:$AP$55</c:f>
              <c:numCache>
                <c:formatCode>General</c:formatCode>
                <c:ptCount val="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</c:numCache>
            </c:numRef>
          </c:cat>
          <c:val>
            <c:numRef>
              <c:f>('Admitidos uni'!$AC$21,'Admitidos uni'!$AF$21,'Admitidos uni'!$AI$21,'Admitidos uni'!$AL$21)</c:f>
              <c:numCache>
                <c:formatCode>#,##0</c:formatCode>
                <c:ptCount val="4"/>
                <c:pt idx="0">
                  <c:v>77</c:v>
                </c:pt>
                <c:pt idx="1">
                  <c:v>32</c:v>
                </c:pt>
                <c:pt idx="2">
                  <c:v>73</c:v>
                </c:pt>
                <c:pt idx="3">
                  <c:v>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56-4AEE-A24E-8838CC4372CF}"/>
            </c:ext>
          </c:extLst>
        </c:ser>
        <c:ser>
          <c:idx val="1"/>
          <c:order val="1"/>
          <c:tx>
            <c:strRef>
              <c:f>'Admitidos uni'!$B$22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1"/>
              <c:layout>
                <c:manualLayout>
                  <c:x val="-3.6953758263660749E-2"/>
                  <c:y val="-5.62404118089889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56-4AEE-A24E-8838CC4372CF}"/>
                </c:ext>
              </c:extLst>
            </c:dLbl>
            <c:dLbl>
              <c:idx val="3"/>
              <c:layout>
                <c:manualLayout>
                  <c:x val="-3.4164769138956858E-2"/>
                  <c:y val="-4.5904901422205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56-4AEE-A24E-8838CC4372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uni'!$AP$52:$AP$55</c:f>
              <c:numCache>
                <c:formatCode>General</c:formatCode>
                <c:ptCount val="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</c:numCache>
            </c:numRef>
          </c:cat>
          <c:val>
            <c:numRef>
              <c:f>('Admitidos uni'!$AC$22,'Admitidos uni'!$AF$22,'Admitidos uni'!$AI$22,'Admitidos uni'!$AL$22)</c:f>
              <c:numCache>
                <c:formatCode>#,##0</c:formatCode>
                <c:ptCount val="4"/>
                <c:pt idx="0">
                  <c:v>81</c:v>
                </c:pt>
                <c:pt idx="1">
                  <c:v>37</c:v>
                </c:pt>
                <c:pt idx="2">
                  <c:v>88</c:v>
                </c:pt>
                <c:pt idx="3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256-4AEE-A24E-8838CC4372CF}"/>
            </c:ext>
          </c:extLst>
        </c:ser>
        <c:ser>
          <c:idx val="2"/>
          <c:order val="2"/>
          <c:tx>
            <c:strRef>
              <c:f>'Admitidos uni'!$B$23</c:f>
              <c:strCache>
                <c:ptCount val="1"/>
                <c:pt idx="0">
                  <c:v>CBS</c:v>
                </c:pt>
              </c:strCache>
            </c:strRef>
          </c:tx>
          <c:spPr>
            <a:ln w="12700">
              <a:solidFill>
                <a:srgbClr val="0072CE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rgbClr val="0072CE"/>
                </a:solidFill>
              </a:ln>
            </c:spPr>
          </c:marker>
          <c:dLbls>
            <c:dLbl>
              <c:idx val="0"/>
              <c:layout>
                <c:manualLayout>
                  <c:x val="-6.9330505872196441E-2"/>
                  <c:y val="-6.0713341064922658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56-4AEE-A24E-8838CC4372CF}"/>
                </c:ext>
              </c:extLst>
            </c:dLbl>
            <c:dLbl>
              <c:idx val="1"/>
              <c:layout>
                <c:manualLayout>
                  <c:x val="-3.9897098955345815E-2"/>
                  <c:y val="-0.11430222384992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56-4AEE-A24E-8838CC4372CF}"/>
                </c:ext>
              </c:extLst>
            </c:dLbl>
            <c:dLbl>
              <c:idx val="2"/>
              <c:layout>
                <c:manualLayout>
                  <c:x val="-3.401041757197569E-2"/>
                  <c:y val="-4.1950802661295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56-4AEE-A24E-8838CC4372CF}"/>
                </c:ext>
              </c:extLst>
            </c:dLbl>
            <c:dLbl>
              <c:idx val="3"/>
              <c:layout>
                <c:manualLayout>
                  <c:x val="-1.0463692038495188E-2"/>
                  <c:y val="3.5568577183665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56-4AEE-A24E-8838CC4372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72CE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uni'!$AP$52:$AP$55</c:f>
              <c:numCache>
                <c:formatCode>General</c:formatCode>
                <c:ptCount val="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</c:numCache>
            </c:numRef>
          </c:cat>
          <c:val>
            <c:numRef>
              <c:f>('Admitidos uni'!$AC$23,'Admitidos uni'!$AF$23,'Admitidos uni'!$AI$23,'Admitidos uni'!$AL$23)</c:f>
              <c:numCache>
                <c:formatCode>#,##0</c:formatCode>
                <c:ptCount val="4"/>
                <c:pt idx="0">
                  <c:v>80</c:v>
                </c:pt>
                <c:pt idx="1">
                  <c:v>38</c:v>
                </c:pt>
                <c:pt idx="2">
                  <c:v>73</c:v>
                </c:pt>
                <c:pt idx="3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256-4AEE-A24E-8838CC4372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959104"/>
        <c:axId val="114960640"/>
      </c:lineChart>
      <c:catAx>
        <c:axId val="114959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4960640"/>
        <c:crosses val="autoZero"/>
        <c:auto val="1"/>
        <c:lblAlgn val="ctr"/>
        <c:lblOffset val="100"/>
        <c:noMultiLvlLbl val="0"/>
      </c:catAx>
      <c:valAx>
        <c:axId val="114960640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14959104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497E-2"/>
          <c:y val="0.87554049929805289"/>
          <c:w val="0.8444690109100601"/>
          <c:h val="8.0968076664835506E-2"/>
        </c:manualLayout>
      </c:layout>
      <c:overlay val="0"/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F08200"/>
                </a:solidFill>
              </a:defRPr>
            </a:pPr>
            <a:r>
              <a:rPr lang="es-MX" sz="1200">
                <a:solidFill>
                  <a:srgbClr val="F08200"/>
                </a:solidFill>
              </a:rPr>
              <a:t>CSH</a:t>
            </a:r>
          </a:p>
        </c:rich>
      </c:tx>
      <c:layout>
        <c:manualLayout>
          <c:xMode val="edge"/>
          <c:yMode val="edge"/>
          <c:x val="0.46657930546164134"/>
          <c:y val="1.67363346356197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9.4511338999530292E-2"/>
          <c:w val="0.93302893538298992"/>
          <c:h val="0.66871847759817116"/>
        </c:manualLayout>
      </c:layout>
      <c:lineChart>
        <c:grouping val="standard"/>
        <c:varyColors val="0"/>
        <c:ser>
          <c:idx val="0"/>
          <c:order val="0"/>
          <c:tx>
            <c:strRef>
              <c:f>'Cuerpos Acad'!$AE$4</c:f>
              <c:strCache>
                <c:ptCount val="1"/>
                <c:pt idx="0">
                  <c:v>CAC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dLbl>
              <c:idx val="4"/>
              <c:layout>
                <c:manualLayout>
                  <c:x val="-2.9003216960122494E-2"/>
                  <c:y val="-2.2048078066353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06-4AD1-AC5E-44BF588DF6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Acad'!$AE$11,'Cuerpos Acad'!$AI$11,'Cuerpos Acad'!$AM$11,'Cuerpos Acad'!$AQ$11,'Cuerpos Acad'!$AU$11)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06-4AD1-AC5E-44BF588DF60C}"/>
            </c:ext>
          </c:extLst>
        </c:ser>
        <c:ser>
          <c:idx val="1"/>
          <c:order val="1"/>
          <c:tx>
            <c:strRef>
              <c:f>'Cuerpos Acad'!$AF$4</c:f>
              <c:strCache>
                <c:ptCount val="1"/>
                <c:pt idx="0">
                  <c:v>CAEC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dLbl>
              <c:idx val="1"/>
              <c:layout>
                <c:manualLayout>
                  <c:x val="-3.5091495561668871E-2"/>
                  <c:y val="-5.41765785761086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06-4AD1-AC5E-44BF588DF60C}"/>
                </c:ext>
              </c:extLst>
            </c:dLbl>
            <c:dLbl>
              <c:idx val="2"/>
              <c:layout>
                <c:manualLayout>
                  <c:x val="-3.5175149468438145E-2"/>
                  <c:y val="-5.41765785761087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06-4AD1-AC5E-44BF588DF60C}"/>
                </c:ext>
              </c:extLst>
            </c:dLbl>
            <c:dLbl>
              <c:idx val="3"/>
              <c:layout>
                <c:manualLayout>
                  <c:x val="-4.4307567370757708E-2"/>
                  <c:y val="-4.3467078406190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06-4AD1-AC5E-44BF588DF60C}"/>
                </c:ext>
              </c:extLst>
            </c:dLbl>
            <c:dLbl>
              <c:idx val="4"/>
              <c:layout>
                <c:manualLayout>
                  <c:x val="-3.2131249863672898E-2"/>
                  <c:y val="4.22089229531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06-4AD1-AC5E-44BF588DF6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Acad'!$AF$11,'Cuerpos Acad'!$AJ$11,'Cuerpos Acad'!$AN$11,'Cuerpos Acad'!$AR$11,'Cuerpos Acad'!$AV$11)</c:f>
              <c:numCache>
                <c:formatCode>General</c:formatCode>
                <c:ptCount val="5"/>
                <c:pt idx="0">
                  <c:v>4</c:v>
                </c:pt>
                <c:pt idx="1">
                  <c:v>4</c:v>
                </c:pt>
                <c:pt idx="2">
                  <c:v>3</c:v>
                </c:pt>
                <c:pt idx="3">
                  <c:v>3</c:v>
                </c:pt>
                <c:pt idx="4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06-4AD1-AC5E-44BF588DF60C}"/>
            </c:ext>
          </c:extLst>
        </c:ser>
        <c:ser>
          <c:idx val="2"/>
          <c:order val="2"/>
          <c:tx>
            <c:strRef>
              <c:f>'Cuerpos Acad'!$AG$4</c:f>
              <c:strCache>
                <c:ptCount val="1"/>
                <c:pt idx="0">
                  <c:v>CAEF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3.5175149468438145E-2"/>
                  <c:y val="4.3467078406190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06-4AD1-AC5E-44BF588DF60C}"/>
                </c:ext>
              </c:extLst>
            </c:dLbl>
            <c:dLbl>
              <c:idx val="3"/>
              <c:layout>
                <c:manualLayout>
                  <c:x val="-2.9003216960122494E-2"/>
                  <c:y val="-4.22089229531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06-4AD1-AC5E-44BF588DF60C}"/>
                </c:ext>
              </c:extLst>
            </c:dLbl>
            <c:dLbl>
              <c:idx val="4"/>
              <c:layout>
                <c:manualLayout>
                  <c:x val="-2.9003216960122494E-2"/>
                  <c:y val="-3.6854172868198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06-4AD1-AC5E-44BF588DF6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Acad'!$AG$11,'Cuerpos Acad'!$AK$11,'Cuerpos Acad'!$AO$11,'Cuerpos Acad'!$AS$11,'Cuerpos Acad'!$AW$11)</c:f>
              <c:numCache>
                <c:formatCode>General</c:formatCode>
                <c:ptCount val="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7</c:v>
                </c:pt>
                <c:pt idx="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D06-4AD1-AC5E-44BF588DF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951808"/>
        <c:axId val="148953344"/>
      </c:lineChart>
      <c:catAx>
        <c:axId val="148951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MX"/>
          </a:p>
        </c:txPr>
        <c:crossAx val="148953344"/>
        <c:crosses val="autoZero"/>
        <c:auto val="1"/>
        <c:lblAlgn val="ctr"/>
        <c:lblOffset val="100"/>
        <c:noMultiLvlLbl val="0"/>
      </c:catAx>
      <c:valAx>
        <c:axId val="14895334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8951808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701698289793479"/>
          <c:y val="0.88850481555914296"/>
          <c:w val="0.65401181102362205"/>
          <c:h val="8.3717191601049873E-2"/>
        </c:manualLayout>
      </c:layout>
      <c:overlay val="0"/>
      <c:txPr>
        <a:bodyPr/>
        <a:lstStyle/>
        <a:p>
          <a:pPr>
            <a:defRPr sz="9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F08200"/>
                </a:solidFill>
              </a:defRPr>
            </a:pPr>
            <a:r>
              <a:rPr lang="es-MX" sz="1200">
                <a:solidFill>
                  <a:srgbClr val="F08200"/>
                </a:solidFill>
              </a:rPr>
              <a:t>CCD</a:t>
            </a:r>
          </a:p>
        </c:rich>
      </c:tx>
      <c:layout>
        <c:manualLayout>
          <c:xMode val="edge"/>
          <c:yMode val="edge"/>
          <c:x val="0.46657930546164134"/>
          <c:y val="1.13815845506605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9.4511338999530292E-2"/>
          <c:w val="0.93302893538298992"/>
          <c:h val="0.66871847759817116"/>
        </c:manualLayout>
      </c:layout>
      <c:lineChart>
        <c:grouping val="standard"/>
        <c:varyColors val="0"/>
        <c:ser>
          <c:idx val="0"/>
          <c:order val="0"/>
          <c:tx>
            <c:strRef>
              <c:f>'Cuerpos Acad'!$AE$4</c:f>
              <c:strCache>
                <c:ptCount val="1"/>
                <c:pt idx="0">
                  <c:v>CAC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Acad'!$AE$12,'Cuerpos Acad'!$AI$12,'Cuerpos Acad'!$AM$12,'Cuerpos Acad'!$AQ$12,'Cuerpos Acad'!$AU$12)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5D-48D5-8C28-73352F22191D}"/>
            </c:ext>
          </c:extLst>
        </c:ser>
        <c:ser>
          <c:idx val="1"/>
          <c:order val="1"/>
          <c:tx>
            <c:strRef>
              <c:f>'Cuerpos Acad'!$AF$4</c:f>
              <c:strCache>
                <c:ptCount val="1"/>
                <c:pt idx="0">
                  <c:v>CAEC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dLbl>
              <c:idx val="1"/>
              <c:layout>
                <c:manualLayout>
                  <c:x val="-3.5091495561668871E-2"/>
                  <c:y val="-5.41765785761086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5D-48D5-8C28-73352F22191D}"/>
                </c:ext>
              </c:extLst>
            </c:dLbl>
            <c:dLbl>
              <c:idx val="2"/>
              <c:layout>
                <c:manualLayout>
                  <c:x val="-3.5175149468438145E-2"/>
                  <c:y val="-5.41765785761087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5D-48D5-8C28-73352F22191D}"/>
                </c:ext>
              </c:extLst>
            </c:dLbl>
            <c:dLbl>
              <c:idx val="3"/>
              <c:layout>
                <c:manualLayout>
                  <c:x val="-4.4307567370757708E-2"/>
                  <c:y val="-4.3467078406190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5D-48D5-8C28-73352F22191D}"/>
                </c:ext>
              </c:extLst>
            </c:dLbl>
            <c:dLbl>
              <c:idx val="4"/>
              <c:layout>
                <c:manualLayout>
                  <c:x val="-3.2131249863672898E-2"/>
                  <c:y val="4.22089229531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5D-48D5-8C28-73352F2219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Acad'!$AF$12,'Cuerpos Acad'!$AJ$12,'Cuerpos Acad'!$AN$12,'Cuerpos Acad'!$AR$12,'Cuerpos Acad'!$AV$12)</c:f>
              <c:numCache>
                <c:formatCode>General</c:formatCode>
                <c:ptCount val="5"/>
                <c:pt idx="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5D-48D5-8C28-73352F22191D}"/>
            </c:ext>
          </c:extLst>
        </c:ser>
        <c:ser>
          <c:idx val="2"/>
          <c:order val="2"/>
          <c:tx>
            <c:strRef>
              <c:f>'Cuerpos Acad'!$AG$4</c:f>
              <c:strCache>
                <c:ptCount val="1"/>
                <c:pt idx="0">
                  <c:v>CAEF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3.5175149468438145E-2"/>
                  <c:y val="4.3467078406190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5D-48D5-8C28-73352F22191D}"/>
                </c:ext>
              </c:extLst>
            </c:dLbl>
            <c:dLbl>
              <c:idx val="3"/>
              <c:layout>
                <c:manualLayout>
                  <c:x val="-2.9003216960122494E-2"/>
                  <c:y val="-4.22089229531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5D-48D5-8C28-73352F22191D}"/>
                </c:ext>
              </c:extLst>
            </c:dLbl>
            <c:dLbl>
              <c:idx val="4"/>
              <c:layout>
                <c:manualLayout>
                  <c:x val="-2.9003216960122494E-2"/>
                  <c:y val="-3.6854172868198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5D-48D5-8C28-73352F2219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Acad'!$AG$12,'Cuerpos Acad'!$AK$12,'Cuerpos Acad'!$AO$12,'Cuerpos Acad'!$AS$12,'Cuerpos Acad'!$AW$12)</c:f>
              <c:numCache>
                <c:formatCode>General</c:formatCode>
                <c:ptCount val="5"/>
                <c:pt idx="0">
                  <c:v>4</c:v>
                </c:pt>
                <c:pt idx="1">
                  <c:v>8</c:v>
                </c:pt>
                <c:pt idx="2">
                  <c:v>9</c:v>
                </c:pt>
                <c:pt idx="3">
                  <c:v>8</c:v>
                </c:pt>
                <c:pt idx="4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B5D-48D5-8C28-73352F221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022208"/>
        <c:axId val="149023744"/>
      </c:lineChart>
      <c:catAx>
        <c:axId val="149022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MX"/>
          </a:p>
        </c:txPr>
        <c:crossAx val="149023744"/>
        <c:crosses val="autoZero"/>
        <c:auto val="1"/>
        <c:lblAlgn val="ctr"/>
        <c:lblOffset val="100"/>
        <c:noMultiLvlLbl val="0"/>
      </c:catAx>
      <c:valAx>
        <c:axId val="14902374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9022208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701698289793479"/>
          <c:y val="0.88850481555914296"/>
          <c:w val="0.65401181102362205"/>
          <c:h val="8.3717191601049873E-2"/>
        </c:manualLayout>
      </c:layout>
      <c:overlay val="0"/>
      <c:txPr>
        <a:bodyPr/>
        <a:lstStyle/>
        <a:p>
          <a:pPr>
            <a:defRPr sz="9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F08200"/>
                </a:solidFill>
              </a:defRPr>
            </a:pPr>
            <a:r>
              <a:rPr lang="es-MX" sz="1200">
                <a:solidFill>
                  <a:srgbClr val="F08200"/>
                </a:solidFill>
              </a:rPr>
              <a:t>CNI</a:t>
            </a:r>
          </a:p>
        </c:rich>
      </c:tx>
      <c:layout>
        <c:manualLayout>
          <c:xMode val="edge"/>
          <c:yMode val="edge"/>
          <c:x val="0.46049102686009497"/>
          <c:y val="1.67363346356197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9.4511338999530292E-2"/>
          <c:w val="0.93302893538298992"/>
          <c:h val="0.66871847759817116"/>
        </c:manualLayout>
      </c:layout>
      <c:lineChart>
        <c:grouping val="standard"/>
        <c:varyColors val="0"/>
        <c:ser>
          <c:idx val="0"/>
          <c:order val="0"/>
          <c:tx>
            <c:strRef>
              <c:f>'Cuerpos Acad'!$AE$4</c:f>
              <c:strCache>
                <c:ptCount val="1"/>
                <c:pt idx="0">
                  <c:v>CAC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dLbl>
              <c:idx val="4"/>
              <c:layout>
                <c:manualLayout>
                  <c:x val="-2.9003216960122494E-2"/>
                  <c:y val="-2.2048078066353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92-484E-B8BA-724406C421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Acad'!$AE$13,'Cuerpos Acad'!$AI$13,'Cuerpos Acad'!$AM$13,'Cuerpos Acad'!$AQ$13,'Cuerpos Acad'!$AU$13)</c:f>
              <c:numCache>
                <c:formatCode>General</c:formatCode>
                <c:ptCount val="5"/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92-484E-B8BA-724406C421E2}"/>
            </c:ext>
          </c:extLst>
        </c:ser>
        <c:ser>
          <c:idx val="1"/>
          <c:order val="1"/>
          <c:tx>
            <c:strRef>
              <c:f>'Cuerpos Acad'!$AF$4</c:f>
              <c:strCache>
                <c:ptCount val="1"/>
                <c:pt idx="0">
                  <c:v>CAEC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dLbl>
              <c:idx val="1"/>
              <c:layout>
                <c:manualLayout>
                  <c:x val="-3.5091495561668871E-2"/>
                  <c:y val="-5.41765785761086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92-484E-B8BA-724406C421E2}"/>
                </c:ext>
              </c:extLst>
            </c:dLbl>
            <c:dLbl>
              <c:idx val="2"/>
              <c:layout>
                <c:manualLayout>
                  <c:x val="-3.5175149468438145E-2"/>
                  <c:y val="-5.41765785761087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92-484E-B8BA-724406C421E2}"/>
                </c:ext>
              </c:extLst>
            </c:dLbl>
            <c:dLbl>
              <c:idx val="3"/>
              <c:layout>
                <c:manualLayout>
                  <c:x val="-4.4307567370757708E-2"/>
                  <c:y val="-4.3467078406190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92-484E-B8BA-724406C421E2}"/>
                </c:ext>
              </c:extLst>
            </c:dLbl>
            <c:dLbl>
              <c:idx val="4"/>
              <c:layout>
                <c:manualLayout>
                  <c:x val="-3.2131249863672898E-2"/>
                  <c:y val="4.22089229531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92-484E-B8BA-724406C421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Acad'!$AF$13,'Cuerpos Acad'!$AJ$13,'Cuerpos Acad'!$AN$13,'Cuerpos Acad'!$AR$13,'Cuerpos Acad'!$AV$13)</c:f>
              <c:numCache>
                <c:formatCode>General</c:formatCode>
                <c:ptCount val="5"/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92-484E-B8BA-724406C421E2}"/>
            </c:ext>
          </c:extLst>
        </c:ser>
        <c:ser>
          <c:idx val="2"/>
          <c:order val="2"/>
          <c:tx>
            <c:strRef>
              <c:f>'Cuerpos Acad'!$AG$4</c:f>
              <c:strCache>
                <c:ptCount val="1"/>
                <c:pt idx="0">
                  <c:v>CAEF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3.5175149468438145E-2"/>
                  <c:y val="4.3467078406190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92-484E-B8BA-724406C421E2}"/>
                </c:ext>
              </c:extLst>
            </c:dLbl>
            <c:dLbl>
              <c:idx val="3"/>
              <c:layout>
                <c:manualLayout>
                  <c:x val="-2.9003216960122494E-2"/>
                  <c:y val="-4.22089229531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92-484E-B8BA-724406C421E2}"/>
                </c:ext>
              </c:extLst>
            </c:dLbl>
            <c:dLbl>
              <c:idx val="4"/>
              <c:layout>
                <c:manualLayout>
                  <c:x val="-2.9003216960122494E-2"/>
                  <c:y val="-3.6854172868198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92-484E-B8BA-724406C421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Acad'!$AG$13,'Cuerpos Acad'!$AK$13,'Cuerpos Acad'!$AO$13,'Cuerpos Acad'!$AS$13,'Cuerpos Acad'!$AW$13)</c:f>
              <c:numCache>
                <c:formatCode>General</c:formatCode>
                <c:ptCount val="5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92-484E-B8BA-724406C42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162240"/>
        <c:axId val="149180416"/>
      </c:lineChart>
      <c:catAx>
        <c:axId val="14916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MX"/>
          </a:p>
        </c:txPr>
        <c:crossAx val="149180416"/>
        <c:crosses val="autoZero"/>
        <c:auto val="1"/>
        <c:lblAlgn val="ctr"/>
        <c:lblOffset val="100"/>
        <c:noMultiLvlLbl val="0"/>
      </c:catAx>
      <c:valAx>
        <c:axId val="14918041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9162240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701698289793479"/>
          <c:y val="0.88850481555914296"/>
          <c:w val="0.65401181102362205"/>
          <c:h val="8.3717191601049873E-2"/>
        </c:manualLayout>
      </c:layout>
      <c:overlay val="0"/>
      <c:txPr>
        <a:bodyPr/>
        <a:lstStyle/>
        <a:p>
          <a:pPr>
            <a:defRPr sz="9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F08200"/>
                </a:solidFill>
              </a:defRPr>
            </a:pPr>
            <a:r>
              <a:rPr lang="es-MX" sz="1200">
                <a:solidFill>
                  <a:srgbClr val="F08200"/>
                </a:solidFill>
              </a:rPr>
              <a:t>TOTAL</a:t>
            </a:r>
          </a:p>
        </c:rich>
      </c:tx>
      <c:layout>
        <c:manualLayout>
          <c:xMode val="edge"/>
          <c:yMode val="edge"/>
          <c:x val="0.45135860895777541"/>
          <c:y val="1.67363346356197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9.4511338999530292E-2"/>
          <c:w val="0.93302893538298992"/>
          <c:h val="0.66871847759817116"/>
        </c:manualLayout>
      </c:layout>
      <c:lineChart>
        <c:grouping val="standard"/>
        <c:varyColors val="0"/>
        <c:ser>
          <c:idx val="0"/>
          <c:order val="0"/>
          <c:tx>
            <c:strRef>
              <c:f>'Cuerpos Acad'!$AE$4</c:f>
              <c:strCache>
                <c:ptCount val="1"/>
                <c:pt idx="0">
                  <c:v>CAC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Acad'!$AE$14,'Cuerpos Acad'!$AI$14,'Cuerpos Acad'!$AM$14,'Cuerpos Acad'!$AQ$14,'Cuerpos Acad'!$AU$14)</c:f>
              <c:numCache>
                <c:formatCode>General</c:formatCode>
                <c:ptCount val="5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D2-4F96-9DE4-8FBFE080EEF0}"/>
            </c:ext>
          </c:extLst>
        </c:ser>
        <c:ser>
          <c:idx val="1"/>
          <c:order val="1"/>
          <c:tx>
            <c:strRef>
              <c:f>'Cuerpos Acad'!$AF$4</c:f>
              <c:strCache>
                <c:ptCount val="1"/>
                <c:pt idx="0">
                  <c:v>CAEC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Acad'!$AF$14,'Cuerpos Acad'!$AJ$14,'Cuerpos Acad'!$AN$14,'Cuerpos Acad'!$AR$14,'Cuerpos Acad'!$AV$14)</c:f>
              <c:numCache>
                <c:formatCode>General</c:formatCode>
                <c:ptCount val="5"/>
                <c:pt idx="0">
                  <c:v>4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D2-4F96-9DE4-8FBFE080EEF0}"/>
            </c:ext>
          </c:extLst>
        </c:ser>
        <c:ser>
          <c:idx val="2"/>
          <c:order val="2"/>
          <c:tx>
            <c:strRef>
              <c:f>'Cuerpos Acad'!$AG$4</c:f>
              <c:strCache>
                <c:ptCount val="1"/>
                <c:pt idx="0">
                  <c:v>CAEF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3.5175149468438145E-2"/>
                  <c:y val="4.3467078406190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D2-4F96-9DE4-8FBFE080EEF0}"/>
                </c:ext>
              </c:extLst>
            </c:dLbl>
            <c:dLbl>
              <c:idx val="3"/>
              <c:layout>
                <c:manualLayout>
                  <c:x val="-2.9003216960122494E-2"/>
                  <c:y val="-4.22089229531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D2-4F96-9DE4-8FBFE080EEF0}"/>
                </c:ext>
              </c:extLst>
            </c:dLbl>
            <c:dLbl>
              <c:idx val="4"/>
              <c:layout>
                <c:manualLayout>
                  <c:x val="-2.9003216960122494E-2"/>
                  <c:y val="-3.6854172868198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D2-4F96-9DE4-8FBFE080EE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Acad'!$AG$14,'Cuerpos Acad'!$AK$14,'Cuerpos Acad'!$AO$14,'Cuerpos Acad'!$AS$14,'Cuerpos Acad'!$AW$14)</c:f>
              <c:numCache>
                <c:formatCode>General</c:formatCode>
                <c:ptCount val="5"/>
                <c:pt idx="0">
                  <c:v>14</c:v>
                </c:pt>
                <c:pt idx="1">
                  <c:v>19</c:v>
                </c:pt>
                <c:pt idx="2">
                  <c:v>21</c:v>
                </c:pt>
                <c:pt idx="3">
                  <c:v>20</c:v>
                </c:pt>
                <c:pt idx="4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D2-4F96-9DE4-8FBFE080EE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242624"/>
        <c:axId val="149244160"/>
      </c:lineChart>
      <c:catAx>
        <c:axId val="149242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MX"/>
          </a:p>
        </c:txPr>
        <c:crossAx val="149244160"/>
        <c:crosses val="autoZero"/>
        <c:auto val="1"/>
        <c:lblAlgn val="ctr"/>
        <c:lblOffset val="100"/>
        <c:noMultiLvlLbl val="0"/>
      </c:catAx>
      <c:valAx>
        <c:axId val="14924416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9242624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701698289793479"/>
          <c:y val="0.88850481555914296"/>
          <c:w val="0.65401181102362205"/>
          <c:h val="8.3717191601049873E-2"/>
        </c:manualLayout>
      </c:layout>
      <c:overlay val="0"/>
      <c:txPr>
        <a:bodyPr/>
        <a:lstStyle/>
        <a:p>
          <a:pPr>
            <a:defRPr sz="9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57A519"/>
                </a:solidFill>
              </a:defRPr>
            </a:pPr>
            <a:r>
              <a:rPr lang="es-MX" sz="1200">
                <a:solidFill>
                  <a:srgbClr val="57A519"/>
                </a:solidFill>
              </a:rPr>
              <a:t>CBI</a:t>
            </a:r>
          </a:p>
        </c:rich>
      </c:tx>
      <c:layout>
        <c:manualLayout>
          <c:xMode val="edge"/>
          <c:yMode val="edge"/>
          <c:x val="0.46657930546164134"/>
          <c:y val="1.67363346356197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9.4511338999530292E-2"/>
          <c:w val="0.93302893538298992"/>
          <c:h val="0.66871847759817116"/>
        </c:manualLayout>
      </c:layout>
      <c:lineChart>
        <c:grouping val="standard"/>
        <c:varyColors val="0"/>
        <c:ser>
          <c:idx val="0"/>
          <c:order val="0"/>
          <c:tx>
            <c:strRef>
              <c:f>'Cuerpos Acad'!$AE$4</c:f>
              <c:strCache>
                <c:ptCount val="1"/>
                <c:pt idx="0">
                  <c:v>CAC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dLbl>
              <c:idx val="3"/>
              <c:layout>
                <c:manualLayout>
                  <c:x val="-3.5175149468438145E-2"/>
                  <c:y val="-4.3467078406190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58-41B2-BA95-F545EED3895B}"/>
                </c:ext>
              </c:extLst>
            </c:dLbl>
            <c:dLbl>
              <c:idx val="4"/>
              <c:layout>
                <c:manualLayout>
                  <c:x val="-2.9003216960122494E-2"/>
                  <c:y val="-2.2048078066353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58-41B2-BA95-F545EED389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Acad'!$AE$16,'Cuerpos Acad'!$AI$16,'Cuerpos Acad'!$AM$16,'Cuerpos Acad'!$AQ$16,'Cuerpos Acad'!$AU$16)</c:f>
              <c:numCache>
                <c:formatCode>General</c:formatCode>
                <c:ptCount val="5"/>
                <c:pt idx="0">
                  <c:v>16</c:v>
                </c:pt>
                <c:pt idx="1">
                  <c:v>16</c:v>
                </c:pt>
                <c:pt idx="2">
                  <c:v>17</c:v>
                </c:pt>
                <c:pt idx="3">
                  <c:v>17</c:v>
                </c:pt>
                <c:pt idx="4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58-41B2-BA95-F545EED3895B}"/>
            </c:ext>
          </c:extLst>
        </c:ser>
        <c:ser>
          <c:idx val="1"/>
          <c:order val="1"/>
          <c:tx>
            <c:strRef>
              <c:f>'Cuerpos Acad'!$AF$4</c:f>
              <c:strCache>
                <c:ptCount val="1"/>
                <c:pt idx="0">
                  <c:v>CAEC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dLbl>
              <c:idx val="0"/>
              <c:layout>
                <c:manualLayout>
                  <c:x val="-3.5175149468438145E-2"/>
                  <c:y val="-3.27575782362718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58-41B2-BA95-F545EED3895B}"/>
                </c:ext>
              </c:extLst>
            </c:dLbl>
            <c:dLbl>
              <c:idx val="1"/>
              <c:layout>
                <c:manualLayout>
                  <c:x val="-3.5091495561668871E-2"/>
                  <c:y val="-5.41765785761086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58-41B2-BA95-F545EED3895B}"/>
                </c:ext>
              </c:extLst>
            </c:dLbl>
            <c:dLbl>
              <c:idx val="2"/>
              <c:layout>
                <c:manualLayout>
                  <c:x val="-3.5175149468438145E-2"/>
                  <c:y val="-5.41765785761087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58-41B2-BA95-F545EED3895B}"/>
                </c:ext>
              </c:extLst>
            </c:dLbl>
            <c:dLbl>
              <c:idx val="3"/>
              <c:layout>
                <c:manualLayout>
                  <c:x val="-2.9086870866891774E-2"/>
                  <c:y val="2.6144672698279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58-41B2-BA95-F545EED3895B}"/>
                </c:ext>
              </c:extLst>
            </c:dLbl>
            <c:dLbl>
              <c:idx val="4"/>
              <c:layout>
                <c:manualLayout>
                  <c:x val="-3.2131249863672898E-2"/>
                  <c:y val="4.22089229531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58-41B2-BA95-F545EED389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Acad'!$AF$16,'Cuerpos Acad'!$AJ$16,'Cuerpos Acad'!$AN$16,'Cuerpos Acad'!$AR$16,'Cuerpos Acad'!$AV$16)</c:f>
              <c:numCache>
                <c:formatCode>General</c:formatCode>
                <c:ptCount val="5"/>
                <c:pt idx="0">
                  <c:v>18</c:v>
                </c:pt>
                <c:pt idx="1">
                  <c:v>19</c:v>
                </c:pt>
                <c:pt idx="2">
                  <c:v>17</c:v>
                </c:pt>
                <c:pt idx="3">
                  <c:v>16</c:v>
                </c:pt>
                <c:pt idx="4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58-41B2-BA95-F545EED3895B}"/>
            </c:ext>
          </c:extLst>
        </c:ser>
        <c:ser>
          <c:idx val="2"/>
          <c:order val="2"/>
          <c:tx>
            <c:strRef>
              <c:f>'Cuerpos Acad'!$AG$4</c:f>
              <c:strCache>
                <c:ptCount val="1"/>
                <c:pt idx="0">
                  <c:v>CAEF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Acad'!$AG$16,'Cuerpos Acad'!$AK$16,'Cuerpos Acad'!$AO$16,'Cuerpos Acad'!$AS$16,'Cuerpos Acad'!$AW$16)</c:f>
              <c:numCache>
                <c:formatCode>General</c:formatCode>
                <c:ptCount val="5"/>
                <c:pt idx="0">
                  <c:v>3</c:v>
                </c:pt>
                <c:pt idx="1">
                  <c:v>4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258-41B2-BA95-F545EED38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288064"/>
        <c:axId val="149289600"/>
      </c:lineChart>
      <c:catAx>
        <c:axId val="14928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MX"/>
          </a:p>
        </c:txPr>
        <c:crossAx val="149289600"/>
        <c:crosses val="autoZero"/>
        <c:auto val="1"/>
        <c:lblAlgn val="ctr"/>
        <c:lblOffset val="100"/>
        <c:noMultiLvlLbl val="0"/>
      </c:catAx>
      <c:valAx>
        <c:axId val="14928960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9288064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701698289793479"/>
          <c:y val="0.88850481555914296"/>
          <c:w val="0.65401181102362205"/>
          <c:h val="8.3717191601049873E-2"/>
        </c:manualLayout>
      </c:layout>
      <c:overlay val="0"/>
      <c:txPr>
        <a:bodyPr/>
        <a:lstStyle/>
        <a:p>
          <a:pPr>
            <a:defRPr sz="9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57A519"/>
                </a:solidFill>
              </a:defRPr>
            </a:pPr>
            <a:r>
              <a:rPr lang="es-MX" sz="1200">
                <a:solidFill>
                  <a:srgbClr val="57A519"/>
                </a:solidFill>
              </a:rPr>
              <a:t>CSH</a:t>
            </a:r>
          </a:p>
        </c:rich>
      </c:tx>
      <c:layout>
        <c:manualLayout>
          <c:xMode val="edge"/>
          <c:yMode val="edge"/>
          <c:x val="0.46657930546164134"/>
          <c:y val="1.67363346356197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9.4511338999530292E-2"/>
          <c:w val="0.93302893538298992"/>
          <c:h val="0.66871847759817116"/>
        </c:manualLayout>
      </c:layout>
      <c:lineChart>
        <c:grouping val="standard"/>
        <c:varyColors val="0"/>
        <c:ser>
          <c:idx val="0"/>
          <c:order val="0"/>
          <c:tx>
            <c:strRef>
              <c:f>'Cuerpos Acad'!$AE$4</c:f>
              <c:strCache>
                <c:ptCount val="1"/>
                <c:pt idx="0">
                  <c:v>CAC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dLbl>
              <c:idx val="1"/>
              <c:layout>
                <c:manualLayout>
                  <c:x val="-1.0822035062252648E-2"/>
                  <c:y val="2.61446726982796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CF-4686-9401-BEE591EF2C95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CF-4686-9401-BEE591EF2C95}"/>
                </c:ext>
              </c:extLst>
            </c:dLbl>
            <c:dLbl>
              <c:idx val="3"/>
              <c:layout>
                <c:manualLayout>
                  <c:x val="-3.5175149468438145E-2"/>
                  <c:y val="-4.3467078406190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CF-4686-9401-BEE591EF2C95}"/>
                </c:ext>
              </c:extLst>
            </c:dLbl>
            <c:dLbl>
              <c:idx val="4"/>
              <c:layout>
                <c:manualLayout>
                  <c:x val="-4.1179774163215242E-2"/>
                  <c:y val="-3.8112328321231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CF-4686-9401-BEE591EF2C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Acad'!$AE$17,'Cuerpos Acad'!$AI$17,'Cuerpos Acad'!$AM$17,'Cuerpos Acad'!$AQ$17,'Cuerpos Acad'!$AU$17)</c:f>
              <c:numCache>
                <c:formatCode>General</c:formatCode>
                <c:ptCount val="5"/>
                <c:pt idx="0">
                  <c:v>17</c:v>
                </c:pt>
                <c:pt idx="1">
                  <c:v>12</c:v>
                </c:pt>
                <c:pt idx="2">
                  <c:v>16</c:v>
                </c:pt>
                <c:pt idx="3">
                  <c:v>16</c:v>
                </c:pt>
                <c:pt idx="4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2CF-4686-9401-BEE591EF2C95}"/>
            </c:ext>
          </c:extLst>
        </c:ser>
        <c:ser>
          <c:idx val="1"/>
          <c:order val="1"/>
          <c:tx>
            <c:strRef>
              <c:f>'Cuerpos Acad'!$AF$4</c:f>
              <c:strCache>
                <c:ptCount val="1"/>
                <c:pt idx="0">
                  <c:v>CAEC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dLbl>
              <c:idx val="0"/>
              <c:layout>
                <c:manualLayout>
                  <c:x val="-3.5175149468438145E-2"/>
                  <c:y val="4.8821828491149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CF-4686-9401-BEE591EF2C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Acad'!$AF$17,'Cuerpos Acad'!$AJ$17,'Cuerpos Acad'!$AN$17,'Cuerpos Acad'!$AR$17,'Cuerpos Acad'!$AV$17)</c:f>
              <c:numCache>
                <c:formatCode>General</c:formatCode>
                <c:ptCount val="5"/>
                <c:pt idx="0">
                  <c:v>12</c:v>
                </c:pt>
                <c:pt idx="1">
                  <c:v>14</c:v>
                </c:pt>
                <c:pt idx="2">
                  <c:v>11</c:v>
                </c:pt>
                <c:pt idx="3">
                  <c:v>12</c:v>
                </c:pt>
                <c:pt idx="4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2CF-4686-9401-BEE591EF2C95}"/>
            </c:ext>
          </c:extLst>
        </c:ser>
        <c:ser>
          <c:idx val="2"/>
          <c:order val="2"/>
          <c:tx>
            <c:strRef>
              <c:f>'Cuerpos Acad'!$AG$4</c:f>
              <c:strCache>
                <c:ptCount val="1"/>
                <c:pt idx="0">
                  <c:v>CAEF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Acad'!$AG$17,'Cuerpos Acad'!$AK$17,'Cuerpos Acad'!$AO$17,'Cuerpos Acad'!$AS$17,'Cuerpos Acad'!$AW$17)</c:f>
              <c:numCache>
                <c:formatCode>General</c:formatCode>
                <c:ptCount val="5"/>
                <c:pt idx="0">
                  <c:v>3</c:v>
                </c:pt>
                <c:pt idx="1">
                  <c:v>10</c:v>
                </c:pt>
                <c:pt idx="2">
                  <c:v>9</c:v>
                </c:pt>
                <c:pt idx="3">
                  <c:v>9</c:v>
                </c:pt>
                <c:pt idx="4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2CF-4686-9401-BEE591EF2C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09568"/>
        <c:axId val="149711104"/>
      </c:lineChart>
      <c:catAx>
        <c:axId val="149709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MX"/>
          </a:p>
        </c:txPr>
        <c:crossAx val="149711104"/>
        <c:crosses val="autoZero"/>
        <c:auto val="1"/>
        <c:lblAlgn val="ctr"/>
        <c:lblOffset val="100"/>
        <c:noMultiLvlLbl val="0"/>
      </c:catAx>
      <c:valAx>
        <c:axId val="149711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9709568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701698289793479"/>
          <c:y val="0.88850481555914296"/>
          <c:w val="0.65401181102362205"/>
          <c:h val="8.3717191601049873E-2"/>
        </c:manualLayout>
      </c:layout>
      <c:overlay val="0"/>
      <c:txPr>
        <a:bodyPr/>
        <a:lstStyle/>
        <a:p>
          <a:pPr>
            <a:defRPr sz="9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57A519"/>
                </a:solidFill>
              </a:defRPr>
            </a:pPr>
            <a:r>
              <a:rPr lang="es-MX" sz="1200">
                <a:solidFill>
                  <a:srgbClr val="57A519"/>
                </a:solidFill>
              </a:rPr>
              <a:t>CBS</a:t>
            </a:r>
          </a:p>
        </c:rich>
      </c:tx>
      <c:layout>
        <c:manualLayout>
          <c:xMode val="edge"/>
          <c:yMode val="edge"/>
          <c:x val="0.46657930546164134"/>
          <c:y val="1.67363346356197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9.4511338999530292E-2"/>
          <c:w val="0.93302893538298992"/>
          <c:h val="0.66871847759817116"/>
        </c:manualLayout>
      </c:layout>
      <c:lineChart>
        <c:grouping val="standard"/>
        <c:varyColors val="0"/>
        <c:ser>
          <c:idx val="0"/>
          <c:order val="0"/>
          <c:tx>
            <c:strRef>
              <c:f>'Cuerpos Acad'!$AE$4</c:f>
              <c:strCache>
                <c:ptCount val="1"/>
                <c:pt idx="0">
                  <c:v>CAC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3.5175149468438145E-2"/>
                  <c:y val="3.8112328321231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5B-403E-BD8A-C699F65B89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Acad'!$AE$18,'Cuerpos Acad'!$AI$18,'Cuerpos Acad'!$AM$18,'Cuerpos Acad'!$AQ$18,'Cuerpos Acad'!$AU$18)</c:f>
              <c:numCache>
                <c:formatCode>General</c:formatCode>
                <c:ptCount val="5"/>
                <c:pt idx="0">
                  <c:v>14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5B-403E-BD8A-C699F65B89F4}"/>
            </c:ext>
          </c:extLst>
        </c:ser>
        <c:ser>
          <c:idx val="1"/>
          <c:order val="1"/>
          <c:tx>
            <c:strRef>
              <c:f>'Cuerpos Acad'!$AF$4</c:f>
              <c:strCache>
                <c:ptCount val="1"/>
                <c:pt idx="0">
                  <c:v>CAEC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dLbl>
              <c:idx val="1"/>
              <c:layout>
                <c:manualLayout>
                  <c:x val="-3.5175149468438145E-2"/>
                  <c:y val="3.8112328321231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5B-403E-BD8A-C699F65B89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Acad'!$AF$18,'Cuerpos Acad'!$AJ$18,'Cuerpos Acad'!$AN$18,'Cuerpos Acad'!$AR$18,'Cuerpos Acad'!$AV$18)</c:f>
              <c:numCache>
                <c:formatCode>General</c:formatCode>
                <c:ptCount val="5"/>
                <c:pt idx="0">
                  <c:v>15</c:v>
                </c:pt>
                <c:pt idx="1">
                  <c:v>13</c:v>
                </c:pt>
                <c:pt idx="2">
                  <c:v>9</c:v>
                </c:pt>
                <c:pt idx="3">
                  <c:v>8</c:v>
                </c:pt>
                <c:pt idx="4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C5B-403E-BD8A-C699F65B89F4}"/>
            </c:ext>
          </c:extLst>
        </c:ser>
        <c:ser>
          <c:idx val="2"/>
          <c:order val="2"/>
          <c:tx>
            <c:strRef>
              <c:f>'Cuerpos Acad'!$AG$4</c:f>
              <c:strCache>
                <c:ptCount val="1"/>
                <c:pt idx="0">
                  <c:v>CAEF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Acad'!$AG$18,'Cuerpos Acad'!$AK$18,'Cuerpos Acad'!$AO$18,'Cuerpos Acad'!$AS$18,'Cuerpos Acad'!$AW$18)</c:f>
              <c:numCache>
                <c:formatCode>General</c:formatCode>
                <c:ptCount val="5"/>
                <c:pt idx="0">
                  <c:v>10</c:v>
                </c:pt>
                <c:pt idx="1">
                  <c:v>4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C5B-403E-BD8A-C699F65B8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48736"/>
        <c:axId val="149455616"/>
      </c:lineChart>
      <c:catAx>
        <c:axId val="149748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MX"/>
          </a:p>
        </c:txPr>
        <c:crossAx val="149455616"/>
        <c:crosses val="autoZero"/>
        <c:auto val="1"/>
        <c:lblAlgn val="ctr"/>
        <c:lblOffset val="100"/>
        <c:noMultiLvlLbl val="0"/>
      </c:catAx>
      <c:valAx>
        <c:axId val="14945561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9748736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701698289793479"/>
          <c:y val="0.88850481555914296"/>
          <c:w val="0.65401181102362205"/>
          <c:h val="8.3717191601049873E-2"/>
        </c:manualLayout>
      </c:layout>
      <c:overlay val="0"/>
      <c:txPr>
        <a:bodyPr/>
        <a:lstStyle/>
        <a:p>
          <a:pPr>
            <a:defRPr sz="9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57A519"/>
                </a:solidFill>
              </a:defRPr>
            </a:pPr>
            <a:r>
              <a:rPr lang="es-MX" sz="1200">
                <a:solidFill>
                  <a:srgbClr val="57A519"/>
                </a:solidFill>
              </a:rPr>
              <a:t>TOTAL</a:t>
            </a:r>
          </a:p>
        </c:rich>
      </c:tx>
      <c:layout>
        <c:manualLayout>
          <c:xMode val="edge"/>
          <c:yMode val="edge"/>
          <c:x val="0.46657930546164134"/>
          <c:y val="1.67363346356197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9.4511338999530292E-2"/>
          <c:w val="0.93302893538298992"/>
          <c:h val="0.66871847759817116"/>
        </c:manualLayout>
      </c:layout>
      <c:lineChart>
        <c:grouping val="standard"/>
        <c:varyColors val="0"/>
        <c:ser>
          <c:idx val="0"/>
          <c:order val="0"/>
          <c:tx>
            <c:strRef>
              <c:f>'Cuerpos Acad'!$AE$4</c:f>
              <c:strCache>
                <c:ptCount val="1"/>
                <c:pt idx="0">
                  <c:v>CAC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3.5175149468438145E-2"/>
                  <c:y val="-5.41765785761087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8D-435B-9AC1-B76E0C1C1F6E}"/>
                </c:ext>
              </c:extLst>
            </c:dLbl>
            <c:dLbl>
              <c:idx val="2"/>
              <c:layout>
                <c:manualLayout>
                  <c:x val="-3.8219288769211338E-2"/>
                  <c:y val="-3.8112328321231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8D-435B-9AC1-B76E0C1C1F6E}"/>
                </c:ext>
              </c:extLst>
            </c:dLbl>
            <c:dLbl>
              <c:idx val="3"/>
              <c:layout>
                <c:manualLayout>
                  <c:x val="-3.5175149468438145E-2"/>
                  <c:y val="-4.3467078406190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8D-435B-9AC1-B76E0C1C1F6E}"/>
                </c:ext>
              </c:extLst>
            </c:dLbl>
            <c:dLbl>
              <c:idx val="4"/>
              <c:layout>
                <c:manualLayout>
                  <c:x val="-2.9003216960122494E-2"/>
                  <c:y val="-2.2048078066353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8D-435B-9AC1-B76E0C1C1F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Acad'!$AE$19,'Cuerpos Acad'!$AI$19,'Cuerpos Acad'!$AM$19,'Cuerpos Acad'!$AQ$19,'Cuerpos Acad'!$AU$19)</c:f>
              <c:numCache>
                <c:formatCode>General</c:formatCode>
                <c:ptCount val="5"/>
                <c:pt idx="0">
                  <c:v>47</c:v>
                </c:pt>
                <c:pt idx="1">
                  <c:v>43</c:v>
                </c:pt>
                <c:pt idx="2">
                  <c:v>48</c:v>
                </c:pt>
                <c:pt idx="3">
                  <c:v>48</c:v>
                </c:pt>
                <c:pt idx="4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68D-435B-9AC1-B76E0C1C1F6E}"/>
            </c:ext>
          </c:extLst>
        </c:ser>
        <c:ser>
          <c:idx val="1"/>
          <c:order val="1"/>
          <c:tx>
            <c:strRef>
              <c:f>'Cuerpos Acad'!$AF$4</c:f>
              <c:strCache>
                <c:ptCount val="1"/>
                <c:pt idx="0">
                  <c:v>CAEC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dLbl>
              <c:idx val="0"/>
              <c:layout>
                <c:manualLayout>
                  <c:x val="-3.5175149468438145E-2"/>
                  <c:y val="5.41765785761087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8D-435B-9AC1-B76E0C1C1F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Acad'!$AF$19,'Cuerpos Acad'!$AJ$19,'Cuerpos Acad'!$AN$19,'Cuerpos Acad'!$AR$19,'Cuerpos Acad'!$AV$19)</c:f>
              <c:numCache>
                <c:formatCode>General</c:formatCode>
                <c:ptCount val="5"/>
                <c:pt idx="0">
                  <c:v>45</c:v>
                </c:pt>
                <c:pt idx="1">
                  <c:v>46</c:v>
                </c:pt>
                <c:pt idx="2">
                  <c:v>37</c:v>
                </c:pt>
                <c:pt idx="3">
                  <c:v>36</c:v>
                </c:pt>
                <c:pt idx="4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68D-435B-9AC1-B76E0C1C1F6E}"/>
            </c:ext>
          </c:extLst>
        </c:ser>
        <c:ser>
          <c:idx val="2"/>
          <c:order val="2"/>
          <c:tx>
            <c:strRef>
              <c:f>'Cuerpos Acad'!$AG$4</c:f>
              <c:strCache>
                <c:ptCount val="1"/>
                <c:pt idx="0">
                  <c:v>CAEF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Acad'!$AG$19,'Cuerpos Acad'!$AK$19,'Cuerpos Acad'!$AO$19,'Cuerpos Acad'!$AS$19,'Cuerpos Acad'!$AW$19)</c:f>
              <c:numCache>
                <c:formatCode>General</c:formatCode>
                <c:ptCount val="5"/>
                <c:pt idx="0">
                  <c:v>16</c:v>
                </c:pt>
                <c:pt idx="1">
                  <c:v>18</c:v>
                </c:pt>
                <c:pt idx="2">
                  <c:v>20</c:v>
                </c:pt>
                <c:pt idx="3">
                  <c:v>20</c:v>
                </c:pt>
                <c:pt idx="4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68D-435B-9AC1-B76E0C1C1F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490304"/>
        <c:axId val="149512576"/>
      </c:lineChart>
      <c:catAx>
        <c:axId val="149490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MX"/>
          </a:p>
        </c:txPr>
        <c:crossAx val="149512576"/>
        <c:crosses val="autoZero"/>
        <c:auto val="1"/>
        <c:lblAlgn val="ctr"/>
        <c:lblOffset val="100"/>
        <c:noMultiLvlLbl val="0"/>
      </c:catAx>
      <c:valAx>
        <c:axId val="14951257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9490304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701698289793479"/>
          <c:y val="0.88850481555914296"/>
          <c:w val="0.65401181102362205"/>
          <c:h val="8.3717191601049873E-2"/>
        </c:manualLayout>
      </c:layout>
      <c:overlay val="0"/>
      <c:txPr>
        <a:bodyPr/>
        <a:lstStyle/>
        <a:p>
          <a:pPr>
            <a:defRPr sz="9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0072CE"/>
                </a:solidFill>
              </a:defRPr>
            </a:pPr>
            <a:r>
              <a:rPr lang="es-MX" sz="1200">
                <a:solidFill>
                  <a:srgbClr val="0072CE"/>
                </a:solidFill>
              </a:rPr>
              <a:t>CSH</a:t>
            </a:r>
          </a:p>
        </c:rich>
      </c:tx>
      <c:layout>
        <c:manualLayout>
          <c:xMode val="edge"/>
          <c:yMode val="edge"/>
          <c:x val="0.46657930546164134"/>
          <c:y val="1.67363346356197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9.4511338999530292E-2"/>
          <c:w val="0.93302893538298992"/>
          <c:h val="0.66871847759817116"/>
        </c:manualLayout>
      </c:layout>
      <c:lineChart>
        <c:grouping val="standard"/>
        <c:varyColors val="0"/>
        <c:ser>
          <c:idx val="0"/>
          <c:order val="0"/>
          <c:tx>
            <c:strRef>
              <c:f>'Cuerpos Acad'!$AE$4</c:f>
              <c:strCache>
                <c:ptCount val="1"/>
                <c:pt idx="0">
                  <c:v>CAC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dLbl>
              <c:idx val="3"/>
              <c:layout>
                <c:manualLayout>
                  <c:x val="-3.5175149468438145E-2"/>
                  <c:y val="-4.3467078406190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1A-41CA-A17C-5E2F508BBAEC}"/>
                </c:ext>
              </c:extLst>
            </c:dLbl>
            <c:dLbl>
              <c:idx val="4"/>
              <c:layout>
                <c:manualLayout>
                  <c:x val="-2.9003216960122494E-2"/>
                  <c:y val="-2.2048078066353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1A-41CA-A17C-5E2F508BBA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Acad'!$AE$26,'Cuerpos Acad'!$AI$26,'Cuerpos Acad'!$AM$26,'Cuerpos Acad'!$AQ$26,'Cuerpos Acad'!$AU$26)</c:f>
              <c:numCache>
                <c:formatCode>General</c:formatCode>
                <c:ptCount val="5"/>
                <c:pt idx="0">
                  <c:v>6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1A-41CA-A17C-5E2F508BBAEC}"/>
            </c:ext>
          </c:extLst>
        </c:ser>
        <c:ser>
          <c:idx val="1"/>
          <c:order val="1"/>
          <c:tx>
            <c:strRef>
              <c:f>'Cuerpos Acad'!$AF$4</c:f>
              <c:strCache>
                <c:ptCount val="1"/>
                <c:pt idx="0">
                  <c:v>CAEC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dLbl>
              <c:idx val="0"/>
              <c:layout>
                <c:manualLayout>
                  <c:x val="-3.5175149468438145E-2"/>
                  <c:y val="-3.27575782362718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1A-41CA-A17C-5E2F508BBAEC}"/>
                </c:ext>
              </c:extLst>
            </c:dLbl>
            <c:dLbl>
              <c:idx val="1"/>
              <c:layout>
                <c:manualLayout>
                  <c:x val="-3.5091495561668871E-2"/>
                  <c:y val="-5.41765785761086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1A-41CA-A17C-5E2F508BBAEC}"/>
                </c:ext>
              </c:extLst>
            </c:dLbl>
            <c:dLbl>
              <c:idx val="2"/>
              <c:layout>
                <c:manualLayout>
                  <c:x val="-3.5175149468438145E-2"/>
                  <c:y val="4.756367303811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1A-41CA-A17C-5E2F508BBAEC}"/>
                </c:ext>
              </c:extLst>
            </c:dLbl>
            <c:dLbl>
              <c:idx val="3"/>
              <c:layout>
                <c:manualLayout>
                  <c:x val="-3.8219288769211338E-2"/>
                  <c:y val="5.29184231230757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1A-41CA-A17C-5E2F508BBAEC}"/>
                </c:ext>
              </c:extLst>
            </c:dLbl>
            <c:dLbl>
              <c:idx val="4"/>
              <c:layout>
                <c:manualLayout>
                  <c:x val="-3.2131249863672898E-2"/>
                  <c:y val="4.22089229531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1A-41CA-A17C-5E2F508BBA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Acad'!$AF$26,'Cuerpos Acad'!$AJ$26,'Cuerpos Acad'!$AN$26,'Cuerpos Acad'!$AR$26,'Cuerpos Acad'!$AV$26)</c:f>
              <c:numCache>
                <c:formatCode>General</c:formatCode>
                <c:ptCount val="5"/>
                <c:pt idx="0">
                  <c:v>17</c:v>
                </c:pt>
                <c:pt idx="1">
                  <c:v>13</c:v>
                </c:pt>
                <c:pt idx="2">
                  <c:v>11</c:v>
                </c:pt>
                <c:pt idx="3">
                  <c:v>11</c:v>
                </c:pt>
                <c:pt idx="4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B1A-41CA-A17C-5E2F508BBAEC}"/>
            </c:ext>
          </c:extLst>
        </c:ser>
        <c:ser>
          <c:idx val="2"/>
          <c:order val="2"/>
          <c:tx>
            <c:strRef>
              <c:f>'Cuerpos Acad'!$AG$4</c:f>
              <c:strCache>
                <c:ptCount val="1"/>
                <c:pt idx="0">
                  <c:v>CAEF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4.1263428069984523E-2"/>
                  <c:y val="4.8821828491149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1A-41CA-A17C-5E2F508BBAEC}"/>
                </c:ext>
              </c:extLst>
            </c:dLbl>
            <c:dLbl>
              <c:idx val="1"/>
              <c:layout>
                <c:manualLayout>
                  <c:x val="-3.5175149468438145E-2"/>
                  <c:y val="4.3467078406190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1A-41CA-A17C-5E2F508BBA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Acad'!$AG$26,'Cuerpos Acad'!$AK$26,'Cuerpos Acad'!$AO$26,'Cuerpos Acad'!$AS$26,'Cuerpos Acad'!$AW$26)</c:f>
              <c:numCache>
                <c:formatCode>General</c:formatCode>
                <c:ptCount val="5"/>
                <c:pt idx="0">
                  <c:v>12</c:v>
                </c:pt>
                <c:pt idx="1">
                  <c:v>10</c:v>
                </c:pt>
                <c:pt idx="2">
                  <c:v>13</c:v>
                </c:pt>
                <c:pt idx="3">
                  <c:v>12</c:v>
                </c:pt>
                <c:pt idx="4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B1A-41CA-A17C-5E2F508BB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630976"/>
        <c:axId val="149632512"/>
      </c:lineChart>
      <c:catAx>
        <c:axId val="14963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MX"/>
          </a:p>
        </c:txPr>
        <c:crossAx val="149632512"/>
        <c:crosses val="autoZero"/>
        <c:auto val="1"/>
        <c:lblAlgn val="ctr"/>
        <c:lblOffset val="100"/>
        <c:noMultiLvlLbl val="0"/>
      </c:catAx>
      <c:valAx>
        <c:axId val="14963251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9630976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701698289793479"/>
          <c:y val="0.88850481555914296"/>
          <c:w val="0.65401181102362205"/>
          <c:h val="8.3717191601049873E-2"/>
        </c:manualLayout>
      </c:layout>
      <c:overlay val="0"/>
      <c:txPr>
        <a:bodyPr/>
        <a:lstStyle/>
        <a:p>
          <a:pPr>
            <a:defRPr sz="9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0072CE"/>
                </a:solidFill>
              </a:defRPr>
            </a:pPr>
            <a:r>
              <a:rPr lang="es-MX" sz="1200">
                <a:solidFill>
                  <a:srgbClr val="0072CE"/>
                </a:solidFill>
              </a:rPr>
              <a:t>CBS</a:t>
            </a:r>
          </a:p>
        </c:rich>
      </c:tx>
      <c:layout>
        <c:manualLayout>
          <c:xMode val="edge"/>
          <c:yMode val="edge"/>
          <c:x val="0.46657930546164134"/>
          <c:y val="1.67363346356197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9.4511338999530292E-2"/>
          <c:w val="0.93302893538298992"/>
          <c:h val="0.66871847759817116"/>
        </c:manualLayout>
      </c:layout>
      <c:lineChart>
        <c:grouping val="standard"/>
        <c:varyColors val="0"/>
        <c:ser>
          <c:idx val="0"/>
          <c:order val="0"/>
          <c:tx>
            <c:strRef>
              <c:f>'Cuerpos Acad'!$AE$4</c:f>
              <c:strCache>
                <c:ptCount val="1"/>
                <c:pt idx="0">
                  <c:v>CAC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Acad'!$AE$27,'Cuerpos Acad'!$AI$27,'Cuerpos Acad'!$AM$27,'Cuerpos Acad'!$AQ$27,'Cuerpos Acad'!$AU$27)</c:f>
              <c:numCache>
                <c:formatCode>General</c:formatCode>
                <c:ptCount val="5"/>
                <c:pt idx="0">
                  <c:v>5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74-4901-B436-D67158A8CA31}"/>
            </c:ext>
          </c:extLst>
        </c:ser>
        <c:ser>
          <c:idx val="1"/>
          <c:order val="1"/>
          <c:tx>
            <c:strRef>
              <c:f>'Cuerpos Acad'!$AF$4</c:f>
              <c:strCache>
                <c:ptCount val="1"/>
                <c:pt idx="0">
                  <c:v>CAEC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Acad'!$AF$27,'Cuerpos Acad'!$AJ$27,'Cuerpos Acad'!$AN$27,'Cuerpos Acad'!$AR$27,'Cuerpos Acad'!$AV$27)</c:f>
              <c:numCache>
                <c:formatCode>General</c:formatCode>
                <c:ptCount val="5"/>
                <c:pt idx="0">
                  <c:v>11</c:v>
                </c:pt>
                <c:pt idx="1">
                  <c:v>17</c:v>
                </c:pt>
                <c:pt idx="2">
                  <c:v>15</c:v>
                </c:pt>
                <c:pt idx="3">
                  <c:v>13</c:v>
                </c:pt>
                <c:pt idx="4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74-4901-B436-D67158A8CA31}"/>
            </c:ext>
          </c:extLst>
        </c:ser>
        <c:ser>
          <c:idx val="2"/>
          <c:order val="2"/>
          <c:tx>
            <c:strRef>
              <c:f>'Cuerpos Acad'!$AG$4</c:f>
              <c:strCache>
                <c:ptCount val="1"/>
                <c:pt idx="0">
                  <c:v>CAEF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Acad'!$AG$27,'Cuerpos Acad'!$AK$27,'Cuerpos Acad'!$AO$27,'Cuerpos Acad'!$AS$27,'Cuerpos Acad'!$AW$27)</c:f>
              <c:numCache>
                <c:formatCode>General</c:formatCode>
                <c:ptCount val="5"/>
                <c:pt idx="0">
                  <c:v>8</c:v>
                </c:pt>
                <c:pt idx="1">
                  <c:v>13</c:v>
                </c:pt>
                <c:pt idx="2">
                  <c:v>14</c:v>
                </c:pt>
                <c:pt idx="3">
                  <c:v>13</c:v>
                </c:pt>
                <c:pt idx="4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74-4901-B436-D67158A8C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682816"/>
        <c:axId val="149840256"/>
      </c:lineChart>
      <c:catAx>
        <c:axId val="149682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MX"/>
          </a:p>
        </c:txPr>
        <c:crossAx val="149840256"/>
        <c:crosses val="autoZero"/>
        <c:auto val="1"/>
        <c:lblAlgn val="ctr"/>
        <c:lblOffset val="100"/>
        <c:noMultiLvlLbl val="0"/>
      </c:catAx>
      <c:valAx>
        <c:axId val="14984025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9682816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701698289793479"/>
          <c:y val="0.88850481555914296"/>
          <c:w val="0.65401181102362205"/>
          <c:h val="8.3717191601049873E-2"/>
        </c:manualLayout>
      </c:layout>
      <c:overlay val="0"/>
      <c:txPr>
        <a:bodyPr/>
        <a:lstStyle/>
        <a:p>
          <a:pPr>
            <a:defRPr sz="9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>
                <a:solidFill>
                  <a:srgbClr val="0072CE"/>
                </a:solidFill>
              </a:defRPr>
            </a:pPr>
            <a:r>
              <a:rPr lang="es-MX" sz="1200" b="0">
                <a:solidFill>
                  <a:srgbClr val="0072CE"/>
                </a:solidFill>
              </a:rPr>
              <a:t>Xochimilco</a:t>
            </a:r>
          </a:p>
        </c:rich>
      </c:tx>
      <c:layout>
        <c:manualLayout>
          <c:xMode val="edge"/>
          <c:yMode val="edge"/>
          <c:x val="0.4264089505368121"/>
          <c:y val="1.03359173126614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376747608535691E-2"/>
          <c:y val="0.10671834625322997"/>
          <c:w val="0.93524650478292859"/>
          <c:h val="0.65183991535941732"/>
        </c:manualLayout>
      </c:layout>
      <c:lineChart>
        <c:grouping val="standard"/>
        <c:varyColors val="0"/>
        <c:ser>
          <c:idx val="0"/>
          <c:order val="0"/>
          <c:tx>
            <c:strRef>
              <c:f>'Admitidos uni'!$B$26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uni'!$AP$51:$AP$55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('Admitidos uni'!$Z$26,'Admitidos uni'!$AC$26,'Admitidos uni'!$AF$26,'Admitidos uni'!$AI$26,'Admitidos uni'!$AL$26)</c:f>
              <c:numCache>
                <c:formatCode>#,##0</c:formatCode>
                <c:ptCount val="5"/>
                <c:pt idx="0">
                  <c:v>1616</c:v>
                </c:pt>
                <c:pt idx="1">
                  <c:v>1611</c:v>
                </c:pt>
                <c:pt idx="2">
                  <c:v>1663</c:v>
                </c:pt>
                <c:pt idx="3">
                  <c:v>1547</c:v>
                </c:pt>
                <c:pt idx="4">
                  <c:v>1572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A5-4819-93FE-48EA2D679305}"/>
            </c:ext>
          </c:extLst>
        </c:ser>
        <c:ser>
          <c:idx val="1"/>
          <c:order val="1"/>
          <c:tx>
            <c:strRef>
              <c:f>'Admitidos uni'!$B$27</c:f>
              <c:strCache>
                <c:ptCount val="1"/>
                <c:pt idx="0">
                  <c:v>CBS</c:v>
                </c:pt>
              </c:strCache>
            </c:strRef>
          </c:tx>
          <c:spPr>
            <a:ln w="12700">
              <a:solidFill>
                <a:srgbClr val="0072CE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0072CE"/>
                </a:solidFill>
              </a:ln>
            </c:spPr>
          </c:marker>
          <c:dLbls>
            <c:dLbl>
              <c:idx val="3"/>
              <c:layout>
                <c:manualLayout>
                  <c:x val="-5.4768153980752403E-2"/>
                  <c:y val="-6.140837046531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A5-4819-93FE-48EA2D6793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72CE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uni'!$AP$51:$AP$55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('Admitidos uni'!$Z$27,'Admitidos uni'!$AC$27,'Admitidos uni'!$AF$27,'Admitidos uni'!$AI$27,'Admitidos uni'!$AL$27)</c:f>
              <c:numCache>
                <c:formatCode>#,##0</c:formatCode>
                <c:ptCount val="5"/>
                <c:pt idx="0">
                  <c:v>2150</c:v>
                </c:pt>
                <c:pt idx="1">
                  <c:v>2081</c:v>
                </c:pt>
                <c:pt idx="2">
                  <c:v>2067</c:v>
                </c:pt>
                <c:pt idx="3">
                  <c:v>2087</c:v>
                </c:pt>
                <c:pt idx="4">
                  <c:v>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A5-4819-93FE-48EA2D679305}"/>
            </c:ext>
          </c:extLst>
        </c:ser>
        <c:ser>
          <c:idx val="2"/>
          <c:order val="2"/>
          <c:tx>
            <c:strRef>
              <c:f>'Admitidos uni'!$B$28</c:f>
              <c:strCache>
                <c:ptCount val="1"/>
                <c:pt idx="0">
                  <c:v>CAD</c:v>
                </c:pt>
              </c:strCache>
            </c:strRef>
          </c:tx>
          <c:spPr>
            <a:ln w="12700">
              <a:solidFill>
                <a:srgbClr val="AD25A8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rgbClr val="AD25A8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AD25A8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uni'!$AP$51:$AP$55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('Admitidos uni'!$Z$28,'Admitidos uni'!$AC$28,'Admitidos uni'!$AF$28,'Admitidos uni'!$AI$28,'Admitidos uni'!$AL$28)</c:f>
              <c:numCache>
                <c:formatCode>#,##0</c:formatCode>
                <c:ptCount val="5"/>
                <c:pt idx="0">
                  <c:v>744</c:v>
                </c:pt>
                <c:pt idx="1">
                  <c:v>776</c:v>
                </c:pt>
                <c:pt idx="2">
                  <c:v>771</c:v>
                </c:pt>
                <c:pt idx="3">
                  <c:v>718</c:v>
                </c:pt>
                <c:pt idx="4">
                  <c:v>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A5-4819-93FE-48EA2D6793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014272"/>
        <c:axId val="115032448"/>
      </c:lineChart>
      <c:catAx>
        <c:axId val="11501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5032448"/>
        <c:crosses val="autoZero"/>
        <c:auto val="1"/>
        <c:lblAlgn val="ctr"/>
        <c:lblOffset val="100"/>
        <c:noMultiLvlLbl val="0"/>
      </c:catAx>
      <c:valAx>
        <c:axId val="11503244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15014272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497E-2"/>
          <c:y val="0.87554049929805289"/>
          <c:w val="0.8444690109100601"/>
          <c:h val="8.0968076664835506E-2"/>
        </c:manualLayout>
      </c:layout>
      <c:overlay val="0"/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0072CE"/>
                </a:solidFill>
              </a:defRPr>
            </a:pPr>
            <a:r>
              <a:rPr lang="es-MX" sz="1200">
                <a:solidFill>
                  <a:srgbClr val="0072CE"/>
                </a:solidFill>
              </a:rPr>
              <a:t>CAD</a:t>
            </a:r>
          </a:p>
        </c:rich>
      </c:tx>
      <c:layout>
        <c:manualLayout>
          <c:xMode val="edge"/>
          <c:yMode val="edge"/>
          <c:x val="0.46657930546164134"/>
          <c:y val="1.67363346356197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9.4511338999530292E-2"/>
          <c:w val="0.93302893538298992"/>
          <c:h val="0.66871847759817116"/>
        </c:manualLayout>
      </c:layout>
      <c:lineChart>
        <c:grouping val="standard"/>
        <c:varyColors val="0"/>
        <c:ser>
          <c:idx val="0"/>
          <c:order val="0"/>
          <c:tx>
            <c:strRef>
              <c:f>'Cuerpos Acad'!$AE$4</c:f>
              <c:strCache>
                <c:ptCount val="1"/>
                <c:pt idx="0">
                  <c:v>CAC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Acad'!$AE$28,'Cuerpos Acad'!$AI$28,'Cuerpos Acad'!$AM$28,'Cuerpos Acad'!$AQ$28,'Cuerpos Acad'!$AU$28)</c:f>
              <c:numCache>
                <c:formatCode>General</c:formatCode>
                <c:ptCount val="5"/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FE-450B-BC66-83F52409EBD3}"/>
            </c:ext>
          </c:extLst>
        </c:ser>
        <c:ser>
          <c:idx val="1"/>
          <c:order val="1"/>
          <c:tx>
            <c:strRef>
              <c:f>'Cuerpos Acad'!$AF$4</c:f>
              <c:strCache>
                <c:ptCount val="1"/>
                <c:pt idx="0">
                  <c:v>CAEC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Acad'!$AF$28,'Cuerpos Acad'!$AJ$28,'Cuerpos Acad'!$AN$28,'Cuerpos Acad'!$AR$28,'Cuerpos Acad'!$AV$28)</c:f>
              <c:numCache>
                <c:formatCode>General</c:formatCode>
                <c:ptCount val="5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FE-450B-BC66-83F52409EBD3}"/>
            </c:ext>
          </c:extLst>
        </c:ser>
        <c:ser>
          <c:idx val="2"/>
          <c:order val="2"/>
          <c:tx>
            <c:strRef>
              <c:f>'Cuerpos Acad'!$AG$4</c:f>
              <c:strCache>
                <c:ptCount val="1"/>
                <c:pt idx="0">
                  <c:v>CAEF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Acad'!$AG$28,'Cuerpos Acad'!$AK$28,'Cuerpos Acad'!$AO$28,'Cuerpos Acad'!$AS$28,'Cuerpos Acad'!$AW$28)</c:f>
              <c:numCache>
                <c:formatCode>General</c:formatCode>
                <c:ptCount val="5"/>
                <c:pt idx="0">
                  <c:v>7</c:v>
                </c:pt>
                <c:pt idx="1">
                  <c:v>6</c:v>
                </c:pt>
                <c:pt idx="2">
                  <c:v>5</c:v>
                </c:pt>
                <c:pt idx="3">
                  <c:v>5</c:v>
                </c:pt>
                <c:pt idx="4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FE-450B-BC66-83F52409E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877120"/>
        <c:axId val="149878656"/>
      </c:lineChart>
      <c:catAx>
        <c:axId val="14987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MX"/>
          </a:p>
        </c:txPr>
        <c:crossAx val="149878656"/>
        <c:crosses val="autoZero"/>
        <c:auto val="1"/>
        <c:lblAlgn val="ctr"/>
        <c:lblOffset val="100"/>
        <c:noMultiLvlLbl val="0"/>
      </c:catAx>
      <c:valAx>
        <c:axId val="14987865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9877120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701698289793479"/>
          <c:y val="0.88850481555914296"/>
          <c:w val="0.65401181102362205"/>
          <c:h val="8.3717191601049873E-2"/>
        </c:manualLayout>
      </c:layout>
      <c:overlay val="0"/>
      <c:txPr>
        <a:bodyPr/>
        <a:lstStyle/>
        <a:p>
          <a:pPr>
            <a:defRPr sz="9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0072CE"/>
                </a:solidFill>
              </a:defRPr>
            </a:pPr>
            <a:r>
              <a:rPr lang="es-MX" sz="1200">
                <a:solidFill>
                  <a:srgbClr val="0072CE"/>
                </a:solidFill>
              </a:rPr>
              <a:t>TOTAL</a:t>
            </a:r>
          </a:p>
        </c:rich>
      </c:tx>
      <c:layout>
        <c:manualLayout>
          <c:xMode val="edge"/>
          <c:yMode val="edge"/>
          <c:x val="0.46657930546164134"/>
          <c:y val="1.67363346356197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9.4511338999530292E-2"/>
          <c:w val="0.93302893538298992"/>
          <c:h val="0.66871847759817116"/>
        </c:manualLayout>
      </c:layout>
      <c:lineChart>
        <c:grouping val="standard"/>
        <c:varyColors val="0"/>
        <c:ser>
          <c:idx val="0"/>
          <c:order val="0"/>
          <c:tx>
            <c:strRef>
              <c:f>'Cuerpos Acad'!$AE$4</c:f>
              <c:strCache>
                <c:ptCount val="1"/>
                <c:pt idx="0">
                  <c:v>CAC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Acad'!$AE$29,'Cuerpos Acad'!$AI$29,'Cuerpos Acad'!$AM$29,'Cuerpos Acad'!$AQ$29,'Cuerpos Acad'!$AU$29)</c:f>
              <c:numCache>
                <c:formatCode>General</c:formatCode>
                <c:ptCount val="5"/>
                <c:pt idx="0">
                  <c:v>11</c:v>
                </c:pt>
                <c:pt idx="1">
                  <c:v>11</c:v>
                </c:pt>
                <c:pt idx="2">
                  <c:v>13</c:v>
                </c:pt>
                <c:pt idx="3">
                  <c:v>14</c:v>
                </c:pt>
                <c:pt idx="4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0F-48F1-BF14-3E61C3CC9A85}"/>
            </c:ext>
          </c:extLst>
        </c:ser>
        <c:ser>
          <c:idx val="1"/>
          <c:order val="1"/>
          <c:tx>
            <c:strRef>
              <c:f>'Cuerpos Acad'!$AF$4</c:f>
              <c:strCache>
                <c:ptCount val="1"/>
                <c:pt idx="0">
                  <c:v>CAEC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dLbl>
              <c:idx val="0"/>
              <c:layout>
                <c:manualLayout>
                  <c:x val="-3.5175149468438145E-2"/>
                  <c:y val="-4.3467078406190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0F-48F1-BF14-3E61C3CC9A85}"/>
                </c:ext>
              </c:extLst>
            </c:dLbl>
            <c:dLbl>
              <c:idx val="1"/>
              <c:layout>
                <c:manualLayout>
                  <c:x val="-3.8219288769211338E-2"/>
                  <c:y val="-5.41765785761087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0F-48F1-BF14-3E61C3CC9A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Acad'!$AF$29,'Cuerpos Acad'!$AJ$29,'Cuerpos Acad'!$AN$29,'Cuerpos Acad'!$AR$29,'Cuerpos Acad'!$AV$29)</c:f>
              <c:numCache>
                <c:formatCode>General</c:formatCode>
                <c:ptCount val="5"/>
                <c:pt idx="0">
                  <c:v>30</c:v>
                </c:pt>
                <c:pt idx="1">
                  <c:v>32</c:v>
                </c:pt>
                <c:pt idx="2">
                  <c:v>28</c:v>
                </c:pt>
                <c:pt idx="3">
                  <c:v>26</c:v>
                </c:pt>
                <c:pt idx="4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0F-48F1-BF14-3E61C3CC9A85}"/>
            </c:ext>
          </c:extLst>
        </c:ser>
        <c:ser>
          <c:idx val="2"/>
          <c:order val="2"/>
          <c:tx>
            <c:strRef>
              <c:f>'Cuerpos Acad'!$AG$4</c:f>
              <c:strCache>
                <c:ptCount val="1"/>
                <c:pt idx="0">
                  <c:v>CAEF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3.5175149468438145E-2"/>
                  <c:y val="3.8112328321231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0F-48F1-BF14-3E61C3CC9A85}"/>
                </c:ext>
              </c:extLst>
            </c:dLbl>
            <c:dLbl>
              <c:idx val="1"/>
              <c:layout>
                <c:manualLayout>
                  <c:x val="-3.5175149468438145E-2"/>
                  <c:y val="3.8112328321231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0F-48F1-BF14-3E61C3CC9A85}"/>
                </c:ext>
              </c:extLst>
            </c:dLbl>
            <c:dLbl>
              <c:idx val="2"/>
              <c:layout>
                <c:manualLayout>
                  <c:x val="-3.5175149468438145E-2"/>
                  <c:y val="-5.827317320803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0F-48F1-BF14-3E61C3CC9A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Acad'!$AG$29,'Cuerpos Acad'!$AK$29,'Cuerpos Acad'!$AO$29,'Cuerpos Acad'!$AS$29,'Cuerpos Acad'!$AW$29)</c:f>
              <c:numCache>
                <c:formatCode>General</c:formatCode>
                <c:ptCount val="5"/>
                <c:pt idx="0">
                  <c:v>27</c:v>
                </c:pt>
                <c:pt idx="1">
                  <c:v>29</c:v>
                </c:pt>
                <c:pt idx="2">
                  <c:v>32</c:v>
                </c:pt>
                <c:pt idx="3">
                  <c:v>30</c:v>
                </c:pt>
                <c:pt idx="4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90F-48F1-BF14-3E61C3CC9A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942272"/>
        <c:axId val="149943808"/>
      </c:lineChart>
      <c:catAx>
        <c:axId val="149942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MX"/>
          </a:p>
        </c:txPr>
        <c:crossAx val="149943808"/>
        <c:crosses val="autoZero"/>
        <c:auto val="1"/>
        <c:lblAlgn val="ctr"/>
        <c:lblOffset val="100"/>
        <c:noMultiLvlLbl val="0"/>
      </c:catAx>
      <c:valAx>
        <c:axId val="14994380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9942272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701698289793479"/>
          <c:y val="0.88850481555914296"/>
          <c:w val="0.65401181102362205"/>
          <c:h val="8.3717191601049873E-2"/>
        </c:manualLayout>
      </c:layout>
      <c:overlay val="0"/>
      <c:txPr>
        <a:bodyPr/>
        <a:lstStyle/>
        <a:p>
          <a:pPr>
            <a:defRPr sz="9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1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/>
              <a:t>Reporte de investigación o técnico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solidFill>
            <a:schemeClr val="bg1">
              <a:lumMod val="65000"/>
            </a:schemeClr>
          </a:solidFill>
        </a:ln>
        <a:effectLst/>
        <a:sp3d>
          <a:contourClr>
            <a:schemeClr val="bg1">
              <a:lumMod val="6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'Act de Investigacion'!$C$3</c:f>
              <c:strCache>
                <c:ptCount val="1"/>
                <c:pt idx="0">
                  <c:v>Reporte de investigación o técnico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144000" tIns="14400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'Act de Investigacion'!$B$112:$B$116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'Act de Investigacion'!$C$112:$C$116</c:f>
              <c:numCache>
                <c:formatCode>#,##0</c:formatCode>
                <c:ptCount val="5"/>
                <c:pt idx="0">
                  <c:v>1295</c:v>
                </c:pt>
                <c:pt idx="1">
                  <c:v>1119</c:v>
                </c:pt>
                <c:pt idx="2">
                  <c:v>368</c:v>
                </c:pt>
                <c:pt idx="3">
                  <c:v>630</c:v>
                </c:pt>
                <c:pt idx="4">
                  <c:v>485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0-E49A-474B-8FC7-7952672B6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0807552"/>
        <c:axId val="140817536"/>
        <c:axId val="0"/>
      </c:bar3DChart>
      <c:catAx>
        <c:axId val="140807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40817536"/>
        <c:crosses val="autoZero"/>
        <c:auto val="1"/>
        <c:lblAlgn val="ctr"/>
        <c:lblOffset val="100"/>
        <c:noMultiLvlLbl val="0"/>
      </c:catAx>
      <c:valAx>
        <c:axId val="140817536"/>
        <c:scaling>
          <c:orientation val="minMax"/>
          <c:min val="0"/>
        </c:scaling>
        <c:delete val="1"/>
        <c:axPos val="l"/>
        <c:numFmt formatCode="#,##0" sourceLinked="1"/>
        <c:majorTickMark val="none"/>
        <c:minorTickMark val="none"/>
        <c:tickLblPos val="nextTo"/>
        <c:crossAx val="140807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1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solidFill>
            <a:schemeClr val="bg1">
              <a:lumMod val="65000"/>
            </a:schemeClr>
          </a:solidFill>
        </a:ln>
        <a:effectLst/>
        <a:sp3d>
          <a:contourClr>
            <a:schemeClr val="bg1">
              <a:lumMod val="6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'Act de Investigacion'!$E$3</c:f>
              <c:strCache>
                <c:ptCount val="1"/>
                <c:pt idx="0">
                  <c:v>Artículo especializado de investigación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144000" tIns="108000" rIns="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'Act de Investigacion'!$B$112:$B$116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'Act de Investigacion'!$E$112:$E$116</c:f>
              <c:numCache>
                <c:formatCode>#,##0</c:formatCode>
                <c:ptCount val="5"/>
                <c:pt idx="0">
                  <c:v>4667</c:v>
                </c:pt>
                <c:pt idx="1">
                  <c:v>4140</c:v>
                </c:pt>
                <c:pt idx="2">
                  <c:v>3157</c:v>
                </c:pt>
                <c:pt idx="3">
                  <c:v>4688</c:v>
                </c:pt>
                <c:pt idx="4">
                  <c:v>4183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0-AE97-4848-A163-2512A02321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6069376"/>
        <c:axId val="146070912"/>
        <c:axId val="0"/>
      </c:bar3DChart>
      <c:catAx>
        <c:axId val="146069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46070912"/>
        <c:crosses val="autoZero"/>
        <c:auto val="1"/>
        <c:lblAlgn val="ctr"/>
        <c:lblOffset val="100"/>
        <c:noMultiLvlLbl val="0"/>
      </c:catAx>
      <c:valAx>
        <c:axId val="146070912"/>
        <c:scaling>
          <c:orientation val="minMax"/>
          <c:min val="0"/>
        </c:scaling>
        <c:delete val="1"/>
        <c:axPos val="l"/>
        <c:numFmt formatCode="#,##0" sourceLinked="1"/>
        <c:majorTickMark val="none"/>
        <c:minorTickMark val="none"/>
        <c:tickLblPos val="nextTo"/>
        <c:crossAx val="146069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1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solidFill>
            <a:schemeClr val="bg1">
              <a:lumMod val="65000"/>
            </a:schemeClr>
          </a:solidFill>
        </a:ln>
        <a:effectLst/>
        <a:sp3d>
          <a:contourClr>
            <a:schemeClr val="bg1">
              <a:lumMod val="6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'Act de Investigacion'!$G$3</c:f>
              <c:strCache>
                <c:ptCount val="1"/>
                <c:pt idx="0">
                  <c:v>Libro científico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216000" tIns="18000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'Act de Investigacion'!$B$112:$B$116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'Act de Investigacion'!$G$112:$G$116</c:f>
              <c:numCache>
                <c:formatCode>#,##0</c:formatCode>
                <c:ptCount val="5"/>
                <c:pt idx="0">
                  <c:v>162</c:v>
                </c:pt>
                <c:pt idx="1">
                  <c:v>226</c:v>
                </c:pt>
                <c:pt idx="2">
                  <c:v>74</c:v>
                </c:pt>
                <c:pt idx="3">
                  <c:v>125</c:v>
                </c:pt>
                <c:pt idx="4">
                  <c:v>134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0-5895-40A9-BA5B-ADFF8980C1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6194816"/>
        <c:axId val="146196352"/>
        <c:axId val="0"/>
      </c:bar3DChart>
      <c:catAx>
        <c:axId val="146194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46196352"/>
        <c:crosses val="autoZero"/>
        <c:auto val="1"/>
        <c:lblAlgn val="ctr"/>
        <c:lblOffset val="100"/>
        <c:noMultiLvlLbl val="0"/>
      </c:catAx>
      <c:valAx>
        <c:axId val="146196352"/>
        <c:scaling>
          <c:orientation val="minMax"/>
          <c:min val="0"/>
        </c:scaling>
        <c:delete val="1"/>
        <c:axPos val="l"/>
        <c:numFmt formatCode="#,##0" sourceLinked="1"/>
        <c:majorTickMark val="none"/>
        <c:minorTickMark val="none"/>
        <c:tickLblPos val="nextTo"/>
        <c:crossAx val="146194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1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x-none" sz="1400"/>
              <a:t>Trabajos presentados en eventos especializados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solidFill>
            <a:schemeClr val="bg1">
              <a:lumMod val="65000"/>
            </a:schemeClr>
          </a:solidFill>
        </a:ln>
        <a:effectLst/>
        <a:sp3d>
          <a:contourClr>
            <a:schemeClr val="bg1">
              <a:lumMod val="6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'Act de Investigacion'!$J$3</c:f>
              <c:strCache>
                <c:ptCount val="1"/>
                <c:pt idx="0">
                  <c:v>Trabajos presentados en eventos especializados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180000" tIns="14400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'Act de Investigacion'!$B$112:$B$116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'Act de Investigacion'!$J$112:$J$116</c:f>
              <c:numCache>
                <c:formatCode>#,##0</c:formatCode>
                <c:ptCount val="5"/>
                <c:pt idx="0">
                  <c:v>8864</c:v>
                </c:pt>
                <c:pt idx="1">
                  <c:v>7853</c:v>
                </c:pt>
                <c:pt idx="2">
                  <c:v>4921</c:v>
                </c:pt>
                <c:pt idx="3">
                  <c:v>6144</c:v>
                </c:pt>
                <c:pt idx="4">
                  <c:v>5148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0-A4EE-4500-AF75-602380359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6295424"/>
        <c:axId val="146297216"/>
        <c:axId val="0"/>
      </c:bar3DChart>
      <c:catAx>
        <c:axId val="14629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46297216"/>
        <c:crosses val="autoZero"/>
        <c:auto val="1"/>
        <c:lblAlgn val="ctr"/>
        <c:lblOffset val="100"/>
        <c:noMultiLvlLbl val="0"/>
      </c:catAx>
      <c:valAx>
        <c:axId val="146297216"/>
        <c:scaling>
          <c:orientation val="minMax"/>
          <c:min val="0"/>
        </c:scaling>
        <c:delete val="1"/>
        <c:axPos val="l"/>
        <c:numFmt formatCode="#,##0" sourceLinked="1"/>
        <c:majorTickMark val="none"/>
        <c:minorTickMark val="none"/>
        <c:tickLblPos val="nextTo"/>
        <c:crossAx val="146295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MX" sz="1200" b="0" i="1" baseline="0">
                <a:effectLst/>
              </a:rPr>
              <a:t>Actividades evaluadas por las comisiones dictaminadoras por Beca o Estímulo</a:t>
            </a:r>
            <a:endParaRPr lang="es-419" sz="1200">
              <a:effectLst/>
            </a:endParaRP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'TIPPA PROD TOTAL'!$B$5</c:f>
              <c:strCache>
                <c:ptCount val="1"/>
                <c:pt idx="0">
                  <c:v>Docencia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effectLst>
              <a:outerShdw blurRad="76200" dist="12700" dir="2700000" sy="-23000" kx="-800400" algn="bl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9.250081627548220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43A-42A5-A97F-F5135EB8CDA2}"/>
                </c:ext>
              </c:extLst>
            </c:dLbl>
            <c:dLbl>
              <c:idx val="1"/>
              <c:layout>
                <c:manualLayout>
                  <c:x val="7.9286413950413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3A-42A5-A97F-F5135EB8CDA2}"/>
                </c:ext>
              </c:extLst>
            </c:dLbl>
            <c:dLbl>
              <c:idx val="2"/>
              <c:layout>
                <c:manualLayout>
                  <c:x val="6.6072011625344434E-3"/>
                  <c:y val="-9.826795708849836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3A-42A5-A97F-F5135EB8CDA2}"/>
                </c:ext>
              </c:extLst>
            </c:dLbl>
            <c:dLbl>
              <c:idx val="3"/>
              <c:layout>
                <c:manualLayout>
                  <c:x val="6.60720116253444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3A-42A5-A97F-F5135EB8CDA2}"/>
                </c:ext>
              </c:extLst>
            </c:dLbl>
            <c:dLbl>
              <c:idx val="4"/>
              <c:layout>
                <c:manualLayout>
                  <c:x val="7.9286413950413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3A-42A5-A97F-F5135EB8CDA2}"/>
                </c:ext>
              </c:extLst>
            </c:dLbl>
            <c:dLbl>
              <c:idx val="5"/>
              <c:layout>
                <c:manualLayout>
                  <c:x val="7.9286413950413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3A-42A5-A97F-F5135EB8CDA2}"/>
                </c:ext>
              </c:extLst>
            </c:dLbl>
            <c:dLbl>
              <c:idx val="6"/>
              <c:layout>
                <c:manualLayout>
                  <c:x val="9.2500816275482203E-3"/>
                  <c:y val="9.826795708849836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3A-42A5-A97F-F5135EB8CDA2}"/>
                </c:ext>
              </c:extLst>
            </c:dLbl>
            <c:dLbl>
              <c:idx val="7"/>
              <c:layout>
                <c:manualLayout>
                  <c:x val="7.9286413950413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3A-42A5-A97F-F5135EB8CDA2}"/>
                </c:ext>
              </c:extLst>
            </c:dLbl>
            <c:dLbl>
              <c:idx val="8"/>
              <c:layout>
                <c:manualLayout>
                  <c:x val="7.928641395041234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3A-42A5-A97F-F5135EB8CDA2}"/>
                </c:ext>
              </c:extLst>
            </c:dLbl>
            <c:dLbl>
              <c:idx val="9"/>
              <c:layout>
                <c:manualLayout>
                  <c:x val="7.9286413950413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3A-42A5-A97F-F5135EB8CDA2}"/>
                </c:ext>
              </c:extLst>
            </c:dLbl>
            <c:dLbl>
              <c:idx val="10"/>
              <c:layout>
                <c:manualLayout>
                  <c:x val="5.285760930027554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3A-42A5-A97F-F5135EB8CDA2}"/>
                </c:ext>
              </c:extLst>
            </c:dLbl>
            <c:dLbl>
              <c:idx val="11"/>
              <c:layout>
                <c:manualLayout>
                  <c:x val="6.4639332881366975E-3"/>
                  <c:y val="9.67301750132351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3A-42A5-A97F-F5135EB8CDA2}"/>
                </c:ext>
              </c:extLst>
            </c:dLbl>
            <c:dLbl>
              <c:idx val="12"/>
              <c:layout>
                <c:manualLayout>
                  <c:x val="7.0788475859085969E-3"/>
                  <c:y val="-8.339322922271107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3A-42A5-A97F-F5135EB8CD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'TIPPA PROD TOTAL'!$AC$80:$AC$99</c:f>
              <c:numCache>
                <c:formatCode>General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('TIPPA PROD TOTAL'!$B$10,'TIPPA PROD TOTAL'!$K$10,'TIPPA PROD TOTAL'!$T$10,'TIPPA PROD TOTAL'!$B$20,'TIPPA PROD TOTAL'!$K$20,'TIPPA PROD TOTAL'!$T$20,'TIPPA PROD TOTAL'!$B$30,'TIPPA PROD TOTAL'!$K$30,'TIPPA PROD TOTAL'!$T$30,'TIPPA PROD TOTAL'!$B$41,'TIPPA PROD TOTAL'!$K$41,'TIPPA PROD TOTAL'!$T$41,'TIPPA PROD TOTAL'!$B$52,'TIPPA PROD TOTAL'!$K$52,'TIPPA PROD TOTAL'!$T$52,'TIPPA PROD TOTAL'!$B$62,'TIPPA PROD TOTAL'!$K$62,'TIPPA PROD TOTAL'!$T$62,'TIPPA PROD TOTAL'!$B$73,'TIPPA PROD TOTAL'!$K$73)</c:f>
              <c:numCache>
                <c:formatCode>#,##0</c:formatCode>
                <c:ptCount val="20"/>
                <c:pt idx="0">
                  <c:v>19851</c:v>
                </c:pt>
                <c:pt idx="1">
                  <c:v>23668</c:v>
                </c:pt>
                <c:pt idx="2">
                  <c:v>15721</c:v>
                </c:pt>
                <c:pt idx="3">
                  <c:v>14794</c:v>
                </c:pt>
                <c:pt idx="4">
                  <c:v>17545</c:v>
                </c:pt>
                <c:pt idx="5">
                  <c:v>16972</c:v>
                </c:pt>
                <c:pt idx="6">
                  <c:v>19209</c:v>
                </c:pt>
                <c:pt idx="7">
                  <c:v>21325</c:v>
                </c:pt>
                <c:pt idx="8">
                  <c:v>22784</c:v>
                </c:pt>
                <c:pt idx="9">
                  <c:v>24207</c:v>
                </c:pt>
                <c:pt idx="10">
                  <c:v>25434</c:v>
                </c:pt>
                <c:pt idx="11">
                  <c:v>24059</c:v>
                </c:pt>
                <c:pt idx="12">
                  <c:v>24163</c:v>
                </c:pt>
                <c:pt idx="13">
                  <c:v>23603</c:v>
                </c:pt>
                <c:pt idx="14">
                  <c:v>23479</c:v>
                </c:pt>
                <c:pt idx="15">
                  <c:v>26556</c:v>
                </c:pt>
                <c:pt idx="16">
                  <c:v>23289</c:v>
                </c:pt>
                <c:pt idx="17">
                  <c:v>14071</c:v>
                </c:pt>
                <c:pt idx="18">
                  <c:v>29562</c:v>
                </c:pt>
                <c:pt idx="19">
                  <c:v>25753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43A-42A5-A97F-F5135EB8CDA2}"/>
            </c:ext>
          </c:extLst>
        </c:ser>
        <c:ser>
          <c:idx val="1"/>
          <c:order val="1"/>
          <c:tx>
            <c:strRef>
              <c:f>'TIPPA PROD TOTAL'!$C$5</c:f>
              <c:strCache>
                <c:ptCount val="1"/>
                <c:pt idx="0">
                  <c:v>Investigación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285760930027554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43A-42A5-A97F-F5135EB8CDA2}"/>
                </c:ext>
              </c:extLst>
            </c:dLbl>
            <c:dLbl>
              <c:idx val="1"/>
              <c:layout>
                <c:manualLayout>
                  <c:x val="7.9286413950413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43A-42A5-A97F-F5135EB8CDA2}"/>
                </c:ext>
              </c:extLst>
            </c:dLbl>
            <c:dLbl>
              <c:idx val="2"/>
              <c:layout>
                <c:manualLayout>
                  <c:x val="5.285760930027554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43A-42A5-A97F-F5135EB8CDA2}"/>
                </c:ext>
              </c:extLst>
            </c:dLbl>
            <c:dLbl>
              <c:idx val="3"/>
              <c:layout>
                <c:manualLayout>
                  <c:x val="5.285760930027554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43A-42A5-A97F-F5135EB8CDA2}"/>
                </c:ext>
              </c:extLst>
            </c:dLbl>
            <c:dLbl>
              <c:idx val="4"/>
              <c:layout>
                <c:manualLayout>
                  <c:x val="6.6072011625344434E-3"/>
                  <c:y val="-2.68006615331793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43A-42A5-A97F-F5135EB8CDA2}"/>
                </c:ext>
              </c:extLst>
            </c:dLbl>
            <c:dLbl>
              <c:idx val="5"/>
              <c:layout>
                <c:manualLayout>
                  <c:x val="6.60720116253444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43A-42A5-A97F-F5135EB8CDA2}"/>
                </c:ext>
              </c:extLst>
            </c:dLbl>
            <c:dLbl>
              <c:idx val="6"/>
              <c:layout>
                <c:manualLayout>
                  <c:x val="7.9286413950413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43A-42A5-A97F-F5135EB8CDA2}"/>
                </c:ext>
              </c:extLst>
            </c:dLbl>
            <c:dLbl>
              <c:idx val="7"/>
              <c:layout>
                <c:manualLayout>
                  <c:x val="5.285760930027554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43A-42A5-A97F-F5135EB8CDA2}"/>
                </c:ext>
              </c:extLst>
            </c:dLbl>
            <c:dLbl>
              <c:idx val="8"/>
              <c:layout>
                <c:manualLayout>
                  <c:x val="7.928641395041234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43A-42A5-A97F-F5135EB8CDA2}"/>
                </c:ext>
              </c:extLst>
            </c:dLbl>
            <c:dLbl>
              <c:idx val="9"/>
              <c:layout>
                <c:manualLayout>
                  <c:x val="7.9286413950413314E-3"/>
                  <c:y val="4.91339785442491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43A-42A5-A97F-F5135EB8CDA2}"/>
                </c:ext>
              </c:extLst>
            </c:dLbl>
            <c:dLbl>
              <c:idx val="10"/>
              <c:layout>
                <c:manualLayout>
                  <c:x val="9.2500816275482203E-3"/>
                  <c:y val="4.91339785442491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43A-42A5-A97F-F5135EB8CDA2}"/>
                </c:ext>
              </c:extLst>
            </c:dLbl>
            <c:dLbl>
              <c:idx val="11"/>
              <c:layout>
                <c:manualLayout>
                  <c:x val="6.463933288136697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43A-42A5-A97F-F5135EB8CDA2}"/>
                </c:ext>
              </c:extLst>
            </c:dLbl>
            <c:dLbl>
              <c:idx val="12"/>
              <c:layout>
                <c:manualLayout>
                  <c:x val="8.258655516893363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43A-42A5-A97F-F5135EB8CD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'TIPPA PROD TOTAL'!$AC$80:$AC$99</c:f>
              <c:numCache>
                <c:formatCode>General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('TIPPA PROD TOTAL'!$C$10,'TIPPA PROD TOTAL'!$L$10,'TIPPA PROD TOTAL'!$U$10,'TIPPA PROD TOTAL'!$C$20,'TIPPA PROD TOTAL'!$L$20,'TIPPA PROD TOTAL'!$U$20,'TIPPA PROD TOTAL'!$C$30,'TIPPA PROD TOTAL'!$L$30,'TIPPA PROD TOTAL'!$U$30,'TIPPA PROD TOTAL'!$C$41,'TIPPA PROD TOTAL'!$L$41,'TIPPA PROD TOTAL'!$U$41,'TIPPA PROD TOTAL'!$C$52,'TIPPA PROD TOTAL'!$L$52,'TIPPA PROD TOTAL'!$U$52,'TIPPA PROD TOTAL'!$C$62,'TIPPA PROD TOTAL'!$L$62,'TIPPA PROD TOTAL'!$U$62,'TIPPA PROD TOTAL'!$C$73,'TIPPA PROD TOTAL'!$L$73)</c:f>
              <c:numCache>
                <c:formatCode>#,##0</c:formatCode>
                <c:ptCount val="20"/>
                <c:pt idx="0">
                  <c:v>10216</c:v>
                </c:pt>
                <c:pt idx="1">
                  <c:v>11832</c:v>
                </c:pt>
                <c:pt idx="2">
                  <c:v>11997</c:v>
                </c:pt>
                <c:pt idx="3">
                  <c:v>10920</c:v>
                </c:pt>
                <c:pt idx="4">
                  <c:v>10308</c:v>
                </c:pt>
                <c:pt idx="5">
                  <c:v>11862</c:v>
                </c:pt>
                <c:pt idx="6">
                  <c:v>13327</c:v>
                </c:pt>
                <c:pt idx="7">
                  <c:v>14597</c:v>
                </c:pt>
                <c:pt idx="8">
                  <c:v>15471</c:v>
                </c:pt>
                <c:pt idx="9">
                  <c:v>15982</c:v>
                </c:pt>
                <c:pt idx="10">
                  <c:v>16010</c:v>
                </c:pt>
                <c:pt idx="11">
                  <c:v>16334</c:v>
                </c:pt>
                <c:pt idx="12">
                  <c:v>16438</c:v>
                </c:pt>
                <c:pt idx="13">
                  <c:v>14716</c:v>
                </c:pt>
                <c:pt idx="14">
                  <c:v>14876</c:v>
                </c:pt>
                <c:pt idx="15">
                  <c:v>16051</c:v>
                </c:pt>
                <c:pt idx="16">
                  <c:v>14331</c:v>
                </c:pt>
                <c:pt idx="17">
                  <c:v>9860</c:v>
                </c:pt>
                <c:pt idx="18">
                  <c:v>13147</c:v>
                </c:pt>
                <c:pt idx="19">
                  <c:v>11491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B43A-42A5-A97F-F5135EB8CDA2}"/>
            </c:ext>
          </c:extLst>
        </c:ser>
        <c:ser>
          <c:idx val="2"/>
          <c:order val="2"/>
          <c:tx>
            <c:strRef>
              <c:f>'TIPPA PROD TOTAL'!$D$5</c:f>
              <c:strCache>
                <c:ptCount val="1"/>
                <c:pt idx="0">
                  <c:v>Preservación y difusión de la cultura</c:v>
                </c:pt>
              </c:strCache>
            </c:strRef>
          </c:tx>
          <c:spPr>
            <a:solidFill>
              <a:srgbClr val="CC9900"/>
            </a:solidFill>
            <a:ln>
              <a:noFill/>
            </a:ln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3.9643206975206657E-3"/>
                  <c:y val="-4.91339785442491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43A-42A5-A97F-F5135EB8CDA2}"/>
                </c:ext>
              </c:extLst>
            </c:dLbl>
            <c:dLbl>
              <c:idx val="1"/>
              <c:layout>
                <c:manualLayout>
                  <c:x val="6.60720116253444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43A-42A5-A97F-F5135EB8CDA2}"/>
                </c:ext>
              </c:extLst>
            </c:dLbl>
            <c:dLbl>
              <c:idx val="2"/>
              <c:layout>
                <c:manualLayout>
                  <c:x val="7.9286413950413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43A-42A5-A97F-F5135EB8CDA2}"/>
                </c:ext>
              </c:extLst>
            </c:dLbl>
            <c:dLbl>
              <c:idx val="3"/>
              <c:layout>
                <c:manualLayout>
                  <c:x val="7.9286413950413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43A-42A5-A97F-F5135EB8CDA2}"/>
                </c:ext>
              </c:extLst>
            </c:dLbl>
            <c:dLbl>
              <c:idx val="4"/>
              <c:layout>
                <c:manualLayout>
                  <c:x val="6.60720116253444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43A-42A5-A97F-F5135EB8CDA2}"/>
                </c:ext>
              </c:extLst>
            </c:dLbl>
            <c:dLbl>
              <c:idx val="5"/>
              <c:layout>
                <c:manualLayout>
                  <c:x val="7.9286413950413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43A-42A5-A97F-F5135EB8CDA2}"/>
                </c:ext>
              </c:extLst>
            </c:dLbl>
            <c:dLbl>
              <c:idx val="6"/>
              <c:layout>
                <c:manualLayout>
                  <c:x val="7.9286413950413314E-3"/>
                  <c:y val="4.91339785442491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43A-42A5-A97F-F5135EB8CDA2}"/>
                </c:ext>
              </c:extLst>
            </c:dLbl>
            <c:dLbl>
              <c:idx val="7"/>
              <c:layout>
                <c:manualLayout>
                  <c:x val="7.9286413950413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43A-42A5-A97F-F5135EB8CDA2}"/>
                </c:ext>
              </c:extLst>
            </c:dLbl>
            <c:dLbl>
              <c:idx val="8"/>
              <c:layout>
                <c:manualLayout>
                  <c:x val="1.189296209256190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43A-42A5-A97F-F5135EB8CDA2}"/>
                </c:ext>
              </c:extLst>
            </c:dLbl>
            <c:dLbl>
              <c:idx val="9"/>
              <c:layout>
                <c:manualLayout>
                  <c:x val="9.250081627548220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43A-42A5-A97F-F5135EB8CDA2}"/>
                </c:ext>
              </c:extLst>
            </c:dLbl>
            <c:dLbl>
              <c:idx val="10"/>
              <c:layout>
                <c:manualLayout>
                  <c:x val="6.60720116253444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43A-42A5-A97F-F5135EB8CDA2}"/>
                </c:ext>
              </c:extLst>
            </c:dLbl>
            <c:dLbl>
              <c:idx val="11"/>
              <c:layout>
                <c:manualLayout>
                  <c:x val="9.049506603391375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43A-42A5-A97F-F5135EB8CDA2}"/>
                </c:ext>
              </c:extLst>
            </c:dLbl>
            <c:dLbl>
              <c:idx val="12"/>
              <c:layout>
                <c:manualLayout>
                  <c:x val="7.078847585908596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43A-42A5-A97F-F5135EB8CD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'TIPPA PROD TOTAL'!$AC$80:$AC$99</c:f>
              <c:numCache>
                <c:formatCode>General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('TIPPA PROD TOTAL'!$D$10,'TIPPA PROD TOTAL'!$M$10,'TIPPA PROD TOTAL'!$V$10,'TIPPA PROD TOTAL'!$D$20,'TIPPA PROD TOTAL'!$M$20,'TIPPA PROD TOTAL'!$V$20,'TIPPA PROD TOTAL'!$D$30,'TIPPA PROD TOTAL'!$M$30,'TIPPA PROD TOTAL'!$V$30,'TIPPA PROD TOTAL'!$D$41,'TIPPA PROD TOTAL'!$M$41,'TIPPA PROD TOTAL'!$V$41,'TIPPA PROD TOTAL'!$D$52,'TIPPA PROD TOTAL'!$M$52,'TIPPA PROD TOTAL'!$V$52,'TIPPA PROD TOTAL'!$D$62,'TIPPA PROD TOTAL'!$M$62,'TIPPA PROD TOTAL'!$V$62,'TIPPA PROD TOTAL'!$D$73,'TIPPA PROD TOTAL'!$M$73)</c:f>
              <c:numCache>
                <c:formatCode>#,##0</c:formatCode>
                <c:ptCount val="20"/>
                <c:pt idx="0">
                  <c:v>8826</c:v>
                </c:pt>
                <c:pt idx="1">
                  <c:v>10048</c:v>
                </c:pt>
                <c:pt idx="2">
                  <c:v>10354</c:v>
                </c:pt>
                <c:pt idx="3">
                  <c:v>10494</c:v>
                </c:pt>
                <c:pt idx="4">
                  <c:v>10127</c:v>
                </c:pt>
                <c:pt idx="5">
                  <c:v>10210</c:v>
                </c:pt>
                <c:pt idx="6">
                  <c:v>10022</c:v>
                </c:pt>
                <c:pt idx="7">
                  <c:v>11380</c:v>
                </c:pt>
                <c:pt idx="8">
                  <c:v>11720</c:v>
                </c:pt>
                <c:pt idx="9">
                  <c:v>13888</c:v>
                </c:pt>
                <c:pt idx="10">
                  <c:v>12668</c:v>
                </c:pt>
                <c:pt idx="11">
                  <c:v>12500</c:v>
                </c:pt>
                <c:pt idx="12">
                  <c:v>13257</c:v>
                </c:pt>
                <c:pt idx="13">
                  <c:v>12190</c:v>
                </c:pt>
                <c:pt idx="14">
                  <c:v>11389</c:v>
                </c:pt>
                <c:pt idx="15">
                  <c:v>13896</c:v>
                </c:pt>
                <c:pt idx="16">
                  <c:v>11970</c:v>
                </c:pt>
                <c:pt idx="17">
                  <c:v>8170</c:v>
                </c:pt>
                <c:pt idx="18">
                  <c:v>12391</c:v>
                </c:pt>
                <c:pt idx="19">
                  <c:v>10940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B43A-42A5-A97F-F5135EB8CDA2}"/>
            </c:ext>
          </c:extLst>
        </c:ser>
        <c:ser>
          <c:idx val="3"/>
          <c:order val="3"/>
          <c:tx>
            <c:strRef>
              <c:f>'TIPPA PROD TOTAL'!$E$5</c:f>
              <c:strCache>
                <c:ptCount val="1"/>
                <c:pt idx="0">
                  <c:v>Dirección Académica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2.8571544967309077E-2"/>
                  <c:y val="-5.33074310825552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43A-42A5-A97F-F5135EB8CDA2}"/>
                </c:ext>
              </c:extLst>
            </c:dLbl>
            <c:dLbl>
              <c:idx val="1"/>
              <c:layout>
                <c:manualLayout>
                  <c:x val="3.0011210188465427E-2"/>
                  <c:y val="-3.72591386515494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43A-42A5-A97F-F5135EB8CDA2}"/>
                </c:ext>
              </c:extLst>
            </c:dLbl>
            <c:dLbl>
              <c:idx val="2"/>
              <c:layout>
                <c:manualLayout>
                  <c:x val="3.0265206242493257E-2"/>
                  <c:y val="-7.1227537321228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43A-42A5-A97F-F5135EB8CDA2}"/>
                </c:ext>
              </c:extLst>
            </c:dLbl>
            <c:dLbl>
              <c:idx val="3"/>
              <c:layout>
                <c:manualLayout>
                  <c:x val="2.8191702193346258E-2"/>
                  <c:y val="-1.80241973479780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43A-42A5-A97F-F5135EB8CDA2}"/>
                </c:ext>
              </c:extLst>
            </c:dLbl>
            <c:dLbl>
              <c:idx val="4"/>
              <c:layout>
                <c:manualLayout>
                  <c:x val="2.9047566163403732E-2"/>
                  <c:y val="-6.771035352262575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43A-42A5-A97F-F5135EB8CDA2}"/>
                </c:ext>
              </c:extLst>
            </c:dLbl>
            <c:dLbl>
              <c:idx val="5"/>
              <c:layout>
                <c:manualLayout>
                  <c:x val="2.8804906055999179E-2"/>
                  <c:y val="-5.50715014612935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43A-42A5-A97F-F5135EB8CDA2}"/>
                </c:ext>
              </c:extLst>
            </c:dLbl>
            <c:dLbl>
              <c:idx val="6"/>
              <c:layout>
                <c:manualLayout>
                  <c:x val="2.8972996889522522E-2"/>
                  <c:y val="-6.0451368268501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43A-42A5-A97F-F5135EB8CDA2}"/>
                </c:ext>
              </c:extLst>
            </c:dLbl>
            <c:dLbl>
              <c:idx val="7"/>
              <c:layout>
                <c:manualLayout>
                  <c:x val="2.8907682353314181E-2"/>
                  <c:y val="-8.985984588672111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0604133334112674E-2"/>
                      <c:h val="2.830620755548056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31-B43A-42A5-A97F-F5135EB8CDA2}"/>
                </c:ext>
              </c:extLst>
            </c:dLbl>
            <c:dLbl>
              <c:idx val="8"/>
              <c:layout>
                <c:manualLayout>
                  <c:x val="3.0040435675853565E-2"/>
                  <c:y val="-1.0145596069519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43A-42A5-A97F-F5135EB8CDA2}"/>
                </c:ext>
              </c:extLst>
            </c:dLbl>
            <c:dLbl>
              <c:idx val="9"/>
              <c:layout>
                <c:manualLayout>
                  <c:x val="3.1587261017433095E-2"/>
                  <c:y val="-1.015655302839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43A-42A5-A97F-F5135EB8CDA2}"/>
                </c:ext>
              </c:extLst>
            </c:dLbl>
            <c:dLbl>
              <c:idx val="10"/>
              <c:layout>
                <c:manualLayout>
                  <c:x val="3.0069129790743658E-2"/>
                  <c:y val="-1.12228477428299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43A-42A5-A97F-F5135EB8CDA2}"/>
                </c:ext>
              </c:extLst>
            </c:dLbl>
            <c:dLbl>
              <c:idx val="11"/>
              <c:layout>
                <c:manualLayout>
                  <c:x val="2.9281547186674878E-2"/>
                  <c:y val="-8.23324151401798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43A-42A5-A97F-F5135EB8CDA2}"/>
                </c:ext>
              </c:extLst>
            </c:dLbl>
            <c:dLbl>
              <c:idx val="12"/>
              <c:layout>
                <c:manualLayout>
                  <c:x val="3.1005408132160135E-2"/>
                  <c:y val="-6.778339991512030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43A-42A5-A97F-F5135EB8CDA2}"/>
                </c:ext>
              </c:extLst>
            </c:dLbl>
            <c:dLbl>
              <c:idx val="13"/>
              <c:layout>
                <c:manualLayout>
                  <c:x val="2.9605330162102265E-2"/>
                  <c:y val="-1.1371862383518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43A-42A5-A97F-F5135EB8CDA2}"/>
                </c:ext>
              </c:extLst>
            </c:dLbl>
            <c:dLbl>
              <c:idx val="14"/>
              <c:layout>
                <c:manualLayout>
                  <c:x val="2.9605330162102102E-2"/>
                  <c:y val="-6.82308090691481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43A-42A5-A97F-F5135EB8CDA2}"/>
                </c:ext>
              </c:extLst>
            </c:dLbl>
            <c:dLbl>
              <c:idx val="15"/>
              <c:layout>
                <c:manualLayout>
                  <c:x val="3.1854814136588513E-2"/>
                  <c:y val="-6.82316121177911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43A-42A5-A97F-F5135EB8CDA2}"/>
                </c:ext>
              </c:extLst>
            </c:dLbl>
            <c:dLbl>
              <c:idx val="16"/>
              <c:layout>
                <c:manualLayout>
                  <c:x val="3.1492676712795112E-2"/>
                  <c:y val="-2.31922296169520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43A-42A5-A97F-F5135EB8CDA2}"/>
                </c:ext>
              </c:extLst>
            </c:dLbl>
            <c:dLbl>
              <c:idx val="17"/>
              <c:layout>
                <c:manualLayout>
                  <c:x val="3.0221406648403351E-2"/>
                  <c:y val="-4.39580826799624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43A-42A5-A97F-F5135EB8CDA2}"/>
                </c:ext>
              </c:extLst>
            </c:dLbl>
            <c:dLbl>
              <c:idx val="18"/>
              <c:layout>
                <c:manualLayout>
                  <c:x val="2.6723529307700049E-2"/>
                  <c:y val="-6.82316121177910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93-41A2-9F26-5FBBDC110845}"/>
                </c:ext>
              </c:extLst>
            </c:dLbl>
            <c:dLbl>
              <c:idx val="19"/>
              <c:layout>
                <c:manualLayout>
                  <c:x val="2.6039505962910176E-2"/>
                  <c:y val="-9.097548282372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B8-48AB-B314-24A793E2A5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>
                        <a:lumMod val="65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'TIPPA PROD TOTAL'!$AC$80:$AC$99</c:f>
              <c:numCache>
                <c:formatCode>General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('TIPPA PROD TOTAL'!$E$10,'TIPPA PROD TOTAL'!$N$10,'TIPPA PROD TOTAL'!$W$10,'TIPPA PROD TOTAL'!$E$20,'TIPPA PROD TOTAL'!$N$20,'TIPPA PROD TOTAL'!$W$20,'TIPPA PROD TOTAL'!$E$30,'TIPPA PROD TOTAL'!$N$30,'TIPPA PROD TOTAL'!$W$30,'TIPPA PROD TOTAL'!$E$41,'TIPPA PROD TOTAL'!$N$41,'TIPPA PROD TOTAL'!$W$41,'TIPPA PROD TOTAL'!$E$52,'TIPPA PROD TOTAL'!$N$52,'TIPPA PROD TOTAL'!$W$52,'TIPPA PROD TOTAL'!$E$62,'TIPPA PROD TOTAL'!$N$62,'TIPPA PROD TOTAL'!$W$62,'TIPPA PROD TOTAL'!$E$73,'TIPPA PROD TOTAL'!$N$73)</c:f>
              <c:numCache>
                <c:formatCode>#,##0</c:formatCode>
                <c:ptCount val="20"/>
                <c:pt idx="0">
                  <c:v>415</c:v>
                </c:pt>
                <c:pt idx="1">
                  <c:v>406</c:v>
                </c:pt>
                <c:pt idx="2">
                  <c:v>367</c:v>
                </c:pt>
                <c:pt idx="3">
                  <c:v>341</c:v>
                </c:pt>
                <c:pt idx="4">
                  <c:v>441</c:v>
                </c:pt>
                <c:pt idx="5">
                  <c:v>403</c:v>
                </c:pt>
                <c:pt idx="6">
                  <c:v>437</c:v>
                </c:pt>
                <c:pt idx="7">
                  <c:v>463</c:v>
                </c:pt>
                <c:pt idx="8">
                  <c:v>502</c:v>
                </c:pt>
                <c:pt idx="9">
                  <c:v>399</c:v>
                </c:pt>
                <c:pt idx="10">
                  <c:v>376</c:v>
                </c:pt>
                <c:pt idx="11">
                  <c:v>341</c:v>
                </c:pt>
                <c:pt idx="12">
                  <c:v>411</c:v>
                </c:pt>
                <c:pt idx="13">
                  <c:v>350</c:v>
                </c:pt>
                <c:pt idx="14">
                  <c:v>387</c:v>
                </c:pt>
                <c:pt idx="15">
                  <c:v>395</c:v>
                </c:pt>
                <c:pt idx="16">
                  <c:v>390</c:v>
                </c:pt>
                <c:pt idx="17">
                  <c:v>276</c:v>
                </c:pt>
                <c:pt idx="18">
                  <c:v>484</c:v>
                </c:pt>
                <c:pt idx="19">
                  <c:v>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C-B43A-42A5-A97F-F5135EB8CDA2}"/>
            </c:ext>
          </c:extLst>
        </c:ser>
        <c:ser>
          <c:idx val="4"/>
          <c:order val="4"/>
          <c:tx>
            <c:strRef>
              <c:f>'TIPPA PROD TOTAL'!$F$5</c:f>
              <c:strCache>
                <c:ptCount val="1"/>
                <c:pt idx="0">
                  <c:v>Participación Universitaria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5930542676200902E-3"/>
                  <c:y val="-2.1438765342471342E-3"/>
                </c:manualLayout>
              </c:layout>
              <c:spPr/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43A-42A5-A97F-F5135EB8CDA2}"/>
                </c:ext>
              </c:extLst>
            </c:dLbl>
            <c:dLbl>
              <c:idx val="1"/>
              <c:layout>
                <c:manualLayout>
                  <c:x val="5.9151110465234906E-3"/>
                  <c:y val="-5.529619944571307E-3"/>
                </c:manualLayout>
              </c:layout>
              <c:spPr/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43A-42A5-A97F-F5135EB8CDA2}"/>
                </c:ext>
              </c:extLst>
            </c:dLbl>
            <c:dLbl>
              <c:idx val="2"/>
              <c:layout>
                <c:manualLayout>
                  <c:x val="7.2371678254268788E-3"/>
                  <c:y val="-3.5731275570785571E-3"/>
                </c:manualLayout>
              </c:layout>
              <c:spPr/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43A-42A5-A97F-F5135EB8CDA2}"/>
                </c:ext>
              </c:extLst>
            </c:dLbl>
            <c:dLbl>
              <c:idx val="3"/>
              <c:layout>
                <c:manualLayout>
                  <c:x val="4.9817256261389621E-3"/>
                  <c:y val="-3.5273469096621449E-3"/>
                </c:manualLayout>
              </c:layout>
              <c:spPr/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43A-42A5-A97F-F5135EB8CDA2}"/>
                </c:ext>
              </c:extLst>
            </c:dLbl>
            <c:dLbl>
              <c:idx val="4"/>
              <c:layout>
                <c:manualLayout>
                  <c:x val="6.6760825352840635E-3"/>
                  <c:y val="-4.2328162915945744E-3"/>
                </c:manualLayout>
              </c:layout>
              <c:spPr/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43A-42A5-A97F-F5135EB8CDA2}"/>
                </c:ext>
              </c:extLst>
            </c:dLbl>
            <c:dLbl>
              <c:idx val="5"/>
              <c:layout>
                <c:manualLayout>
                  <c:x val="7.9981312154885926E-3"/>
                  <c:y val="-4.2238195324523688E-3"/>
                </c:manualLayout>
              </c:layout>
              <c:spPr/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43A-42A5-A97F-F5135EB8CDA2}"/>
                </c:ext>
              </c:extLst>
            </c:dLbl>
            <c:dLbl>
              <c:idx val="6"/>
              <c:layout>
                <c:manualLayout>
                  <c:x val="7.2520015657506001E-3"/>
                  <c:y val="-4.2328162915945744E-3"/>
                </c:manualLayout>
              </c:layout>
              <c:spPr/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B43A-42A5-A97F-F5135EB8CDA2}"/>
                </c:ext>
              </c:extLst>
            </c:dLbl>
            <c:dLbl>
              <c:idx val="7"/>
              <c:layout>
                <c:manualLayout>
                  <c:x val="7.9975227677909037E-3"/>
                  <c:y val="-3.5273469096621449E-3"/>
                </c:manualLayout>
              </c:layout>
              <c:spPr/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B43A-42A5-A97F-F5135EB8CDA2}"/>
                </c:ext>
              </c:extLst>
            </c:dLbl>
            <c:dLbl>
              <c:idx val="8"/>
              <c:layout>
                <c:manualLayout>
                  <c:x val="9.3189630002977926E-3"/>
                  <c:y val="-4.2328162915945744E-3"/>
                </c:manualLayout>
              </c:layout>
              <c:spPr/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B43A-42A5-A97F-F5135EB8CDA2}"/>
                </c:ext>
              </c:extLst>
            </c:dLbl>
            <c:dLbl>
              <c:idx val="9"/>
              <c:layout>
                <c:manualLayout>
                  <c:x val="7.9975227677909037E-3"/>
                  <c:y val="-4.2328162915945744E-3"/>
                </c:manualLayout>
              </c:layout>
              <c:spPr/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B43A-42A5-A97F-F5135EB8CDA2}"/>
                </c:ext>
              </c:extLst>
            </c:dLbl>
            <c:dLbl>
              <c:idx val="10"/>
              <c:layout>
                <c:manualLayout>
                  <c:x val="9.3189630002977926E-3"/>
                  <c:y val="-7.6183518268449352E-3"/>
                </c:manualLayout>
              </c:layout>
              <c:spPr/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B43A-42A5-A97F-F5135EB8CDA2}"/>
                </c:ext>
              </c:extLst>
            </c:dLbl>
            <c:dLbl>
              <c:idx val="11"/>
              <c:layout>
                <c:manualLayout>
                  <c:x val="6.4639332881366975E-3"/>
                  <c:y val="-2.6381261576855783E-3"/>
                </c:manualLayout>
              </c:layout>
              <c:spPr/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B43A-42A5-A97F-F5135EB8CDA2}"/>
                </c:ext>
              </c:extLst>
            </c:dLbl>
            <c:dLbl>
              <c:idx val="12"/>
              <c:layout>
                <c:manualLayout>
                  <c:x val="8.2586555168933633E-3"/>
                  <c:y val="-6.82316121177910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B43A-42A5-A97F-F5135EB8CDA2}"/>
                </c:ext>
              </c:extLst>
            </c:dLbl>
            <c:dLbl>
              <c:idx val="13"/>
              <c:layout>
                <c:manualLayout>
                  <c:x val="4.7192317239388914E-3"/>
                  <c:y val="-6.82316121177912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B43A-42A5-A97F-F5135EB8CDA2}"/>
                </c:ext>
              </c:extLst>
            </c:dLbl>
            <c:dLbl>
              <c:idx val="14"/>
              <c:layout>
                <c:manualLayout>
                  <c:x val="4.7192317239390649E-3"/>
                  <c:y val="-6.82316121177908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B43A-42A5-A97F-F5135EB8CDA2}"/>
                </c:ext>
              </c:extLst>
            </c:dLbl>
            <c:dLbl>
              <c:idx val="15"/>
              <c:layout>
                <c:manualLayout>
                  <c:x val="7.0788475859085969E-3"/>
                  <c:y val="-6.82316121177910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B43A-42A5-A97F-F5135EB8CDA2}"/>
                </c:ext>
              </c:extLst>
            </c:dLbl>
            <c:dLbl>
              <c:idx val="16"/>
              <c:layout>
                <c:manualLayout>
                  <c:x val="4.4989538161135873E-3"/>
                  <c:y val="-2.31922296169522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B43A-42A5-A97F-F5135EB8CDA2}"/>
                </c:ext>
              </c:extLst>
            </c:dLbl>
            <c:dLbl>
              <c:idx val="17"/>
              <c:layout>
                <c:manualLayout>
                  <c:x val="4.31734380691478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B43A-42A5-A97F-F5135EB8CDA2}"/>
                </c:ext>
              </c:extLst>
            </c:dLbl>
            <c:dLbl>
              <c:idx val="18"/>
              <c:layout>
                <c:manualLayout>
                  <c:x val="4.9488017236481571E-3"/>
                  <c:y val="-4.548774141186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93-41A2-9F26-5FBBDC110845}"/>
                </c:ext>
              </c:extLst>
            </c:dLbl>
            <c:dLbl>
              <c:idx val="19"/>
              <c:layout>
                <c:manualLayout>
                  <c:x val="4.3399176604850291E-3"/>
                  <c:y val="-4.548774141186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B8-48AB-B314-24A793E2A5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'TIPPA PROD TOTAL'!$AC$80:$AC$99</c:f>
              <c:numCache>
                <c:formatCode>General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('TIPPA PROD TOTAL'!$F$10,'TIPPA PROD TOTAL'!$O$10,'TIPPA PROD TOTAL'!$X$10,'TIPPA PROD TOTAL'!$F$20,'TIPPA PROD TOTAL'!$O$20,'TIPPA PROD TOTAL'!$X$20,'TIPPA PROD TOTAL'!$F$30,'TIPPA PROD TOTAL'!$O$30,'TIPPA PROD TOTAL'!$X$30,'TIPPA PROD TOTAL'!$F$41,'TIPPA PROD TOTAL'!$O$41,'TIPPA PROD TOTAL'!$X$41,'TIPPA PROD TOTAL'!$F$52,'TIPPA PROD TOTAL'!$O$52,'TIPPA PROD TOTAL'!$X$52,'TIPPA PROD TOTAL'!$F$62,'TIPPA PROD TOTAL'!$O$62,'TIPPA PROD TOTAL'!$X$62,'TIPPA PROD TOTAL'!$F$73,'TIPPA PROD TOTAL'!$O$73)</c:f>
              <c:numCache>
                <c:formatCode>#,##0</c:formatCode>
                <c:ptCount val="20"/>
                <c:pt idx="0">
                  <c:v>1151</c:v>
                </c:pt>
                <c:pt idx="1">
                  <c:v>1408</c:v>
                </c:pt>
                <c:pt idx="2">
                  <c:v>1333</c:v>
                </c:pt>
                <c:pt idx="3">
                  <c:v>1429</c:v>
                </c:pt>
                <c:pt idx="4">
                  <c:v>1575</c:v>
                </c:pt>
                <c:pt idx="5">
                  <c:v>1571</c:v>
                </c:pt>
                <c:pt idx="6">
                  <c:v>1602</c:v>
                </c:pt>
                <c:pt idx="7">
                  <c:v>2174</c:v>
                </c:pt>
                <c:pt idx="8">
                  <c:v>2184</c:v>
                </c:pt>
                <c:pt idx="9">
                  <c:v>2353</c:v>
                </c:pt>
                <c:pt idx="10">
                  <c:v>2229</c:v>
                </c:pt>
                <c:pt idx="11">
                  <c:v>2230</c:v>
                </c:pt>
                <c:pt idx="12">
                  <c:v>2206</c:v>
                </c:pt>
                <c:pt idx="13">
                  <c:v>2095</c:v>
                </c:pt>
                <c:pt idx="14">
                  <c:v>2182</c:v>
                </c:pt>
                <c:pt idx="15">
                  <c:v>2489</c:v>
                </c:pt>
                <c:pt idx="16">
                  <c:v>2058</c:v>
                </c:pt>
                <c:pt idx="17">
                  <c:v>1208</c:v>
                </c:pt>
                <c:pt idx="18">
                  <c:v>1821</c:v>
                </c:pt>
                <c:pt idx="19">
                  <c:v>1678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F-B43A-42A5-A97F-F5135EB8CDA2}"/>
            </c:ext>
          </c:extLst>
        </c:ser>
        <c:ser>
          <c:idx val="5"/>
          <c:order val="5"/>
          <c:tx>
            <c:strRef>
              <c:f>'TIPPA PROD TOTAL'!$G$5</c:f>
              <c:strCache>
                <c:ptCount val="1"/>
                <c:pt idx="0">
                  <c:v>Creacion artística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1859956984388524E-3"/>
                  <c:y val="-9.151273961205045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B43A-42A5-A97F-F5135EB8CDA2}"/>
                </c:ext>
              </c:extLst>
            </c:dLbl>
            <c:dLbl>
              <c:idx val="1"/>
              <c:layout>
                <c:manualLayout>
                  <c:x val="1.533750310280196E-3"/>
                  <c:y val="-7.98811301447262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B43A-42A5-A97F-F5135EB8CDA2}"/>
                </c:ext>
              </c:extLst>
            </c:dLbl>
            <c:dLbl>
              <c:idx val="2"/>
              <c:layout>
                <c:manualLayout>
                  <c:x val="4.5587964249775717E-3"/>
                  <c:y val="-7.28269485139660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B43A-42A5-A97F-F5135EB8CDA2}"/>
                </c:ext>
              </c:extLst>
            </c:dLbl>
            <c:dLbl>
              <c:idx val="3"/>
              <c:layout>
                <c:manualLayout>
                  <c:x val="3.1478576174345514E-3"/>
                  <c:y val="-7.98811301447270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B43A-42A5-A97F-F5135EB8CDA2}"/>
                </c:ext>
              </c:extLst>
            </c:dLbl>
            <c:dLbl>
              <c:idx val="4"/>
              <c:layout>
                <c:manualLayout>
                  <c:x val="5.0825675005655496E-3"/>
                  <c:y val="-7.505929149262265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B43A-42A5-A97F-F5135EB8CDA2}"/>
                </c:ext>
              </c:extLst>
            </c:dLbl>
            <c:dLbl>
              <c:idx val="5"/>
              <c:layout>
                <c:manualLayout>
                  <c:x val="3.2374115422746114E-3"/>
                  <c:y val="-7.582663224880332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B43A-42A5-A97F-F5135EB8CDA2}"/>
                </c:ext>
              </c:extLst>
            </c:dLbl>
            <c:dLbl>
              <c:idx val="6"/>
              <c:layout>
                <c:manualLayout>
                  <c:x val="3.7516963222692743E-3"/>
                  <c:y val="-4.602499820018975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B43A-42A5-A97F-F5135EB8CDA2}"/>
                </c:ext>
              </c:extLst>
            </c:dLbl>
            <c:dLbl>
              <c:idx val="7"/>
              <c:layout>
                <c:manualLayout>
                  <c:x val="3.1478576174345514E-3"/>
                  <c:y val="-6.876886890611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B43A-42A5-A97F-F5135EB8CDA2}"/>
                </c:ext>
              </c:extLst>
            </c:dLbl>
            <c:dLbl>
              <c:idx val="8"/>
              <c:layout>
                <c:manualLayout>
                  <c:x val="3.9437405908675938E-3"/>
                  <c:y val="-1.00329997134071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B43A-42A5-A97F-F5135EB8CDA2}"/>
                </c:ext>
              </c:extLst>
            </c:dLbl>
            <c:dLbl>
              <c:idx val="9"/>
              <c:layout>
                <c:manualLayout>
                  <c:x val="3.2374129456063183E-3"/>
                  <c:y val="-1.1196158271249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B43A-42A5-A97F-F5135EB8CDA2}"/>
                </c:ext>
              </c:extLst>
            </c:dLbl>
            <c:dLbl>
              <c:idx val="10"/>
              <c:layout>
                <c:manualLayout>
                  <c:x val="3.3378676774916188E-3"/>
                  <c:y val="-9.70383328326036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B43A-42A5-A97F-F5135EB8CDA2}"/>
                </c:ext>
              </c:extLst>
            </c:dLbl>
            <c:dLbl>
              <c:idx val="11"/>
              <c:layout>
                <c:manualLayout>
                  <c:x val="4.5186782060994551E-3"/>
                  <c:y val="-5.92724556577169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B43A-42A5-A97F-F5135EB8CDA2}"/>
                </c:ext>
              </c:extLst>
            </c:dLbl>
            <c:dLbl>
              <c:idx val="12"/>
              <c:layout>
                <c:manualLayout>
                  <c:x val="3.7403665016953283E-3"/>
                  <c:y val="-6.82319436118175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B43A-42A5-A97F-F5135EB8CDA2}"/>
                </c:ext>
              </c:extLst>
            </c:dLbl>
            <c:dLbl>
              <c:idx val="13"/>
              <c:layout>
                <c:manualLayout>
                  <c:x val="4.6187929896535024E-3"/>
                  <c:y val="-1.1142508642782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B43A-42A5-A97F-F5135EB8CDA2}"/>
                </c:ext>
              </c:extLst>
            </c:dLbl>
            <c:dLbl>
              <c:idx val="14"/>
              <c:layout>
                <c:manualLayout>
                  <c:x val="4.7192317239390649E-3"/>
                  <c:y val="-6.82316121177910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B43A-42A5-A97F-F5135EB8CDA2}"/>
                </c:ext>
              </c:extLst>
            </c:dLbl>
            <c:dLbl>
              <c:idx val="15"/>
              <c:layout>
                <c:manualLayout>
                  <c:x val="3.5393836468696756E-3"/>
                  <c:y val="-1.37807497920003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B43A-42A5-A97F-F5135EB8CDA2}"/>
                </c:ext>
              </c:extLst>
            </c:dLbl>
            <c:dLbl>
              <c:idx val="16"/>
              <c:layout>
                <c:manualLayout>
                  <c:x val="3.3742153620851907E-3"/>
                  <c:y val="-1.1596114808476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B43A-42A5-A97F-F5135EB8CDA2}"/>
                </c:ext>
              </c:extLst>
            </c:dLbl>
            <c:dLbl>
              <c:idx val="17"/>
              <c:layout>
                <c:manualLayout>
                  <c:x val="3.0221406648403351E-2"/>
                  <c:y val="-8.791616535992323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accent6">
                          <a:lumMod val="75000"/>
                        </a:schemeClr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B43A-42A5-A97F-F5135EB8CDA2}"/>
                </c:ext>
              </c:extLst>
            </c:dLbl>
            <c:dLbl>
              <c:idx val="18"/>
              <c:layout>
                <c:manualLayout>
                  <c:x val="2.6723529307700049E-2"/>
                  <c:y val="-1.13719353529651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rgbClr val="57A519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93-41A2-9F26-5FBBDC110845}"/>
                </c:ext>
              </c:extLst>
            </c:dLbl>
            <c:dLbl>
              <c:idx val="19"/>
              <c:layout>
                <c:manualLayout>
                  <c:x val="2.7775473027104185E-2"/>
                  <c:y val="-1.137193535296521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accent6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B8-48AB-B314-24A793E2A5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'TIPPA PROD TOTAL'!$AC$80:$AC$99</c:f>
              <c:numCache>
                <c:formatCode>General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('TIPPA PROD TOTAL'!$G$10,'TIPPA PROD TOTAL'!$P$10,'TIPPA PROD TOTAL'!$Y$10,'TIPPA PROD TOTAL'!$G$20,'TIPPA PROD TOTAL'!$P$20,'TIPPA PROD TOTAL'!$Y$20,'TIPPA PROD TOTAL'!$G$30,'TIPPA PROD TOTAL'!$P$30,'TIPPA PROD TOTAL'!$Y$30,'TIPPA PROD TOTAL'!$G$41,'TIPPA PROD TOTAL'!$P$41,'TIPPA PROD TOTAL'!$Y$41,'TIPPA PROD TOTAL'!$G$52,'TIPPA PROD TOTAL'!$P$52,'TIPPA PROD TOTAL'!$Y$52,'TIPPA PROD TOTAL'!$G$62,'TIPPA PROD TOTAL'!$P$62,'TIPPA PROD TOTAL'!$Y$62,'TIPPA PROD TOTAL'!$G$73,'TIPPA PROD TOTAL'!$P$73)</c:f>
              <c:numCache>
                <c:formatCode>#,##0</c:formatCode>
                <c:ptCount val="20"/>
                <c:pt idx="0">
                  <c:v>413</c:v>
                </c:pt>
                <c:pt idx="1">
                  <c:v>418</c:v>
                </c:pt>
                <c:pt idx="2">
                  <c:v>337</c:v>
                </c:pt>
                <c:pt idx="3">
                  <c:v>415</c:v>
                </c:pt>
                <c:pt idx="4">
                  <c:v>422</c:v>
                </c:pt>
                <c:pt idx="5">
                  <c:v>332</c:v>
                </c:pt>
                <c:pt idx="6">
                  <c:v>527</c:v>
                </c:pt>
                <c:pt idx="7">
                  <c:v>449</c:v>
                </c:pt>
                <c:pt idx="8">
                  <c:v>473</c:v>
                </c:pt>
                <c:pt idx="9">
                  <c:v>542</c:v>
                </c:pt>
                <c:pt idx="10">
                  <c:v>604</c:v>
                </c:pt>
                <c:pt idx="11">
                  <c:v>618</c:v>
                </c:pt>
                <c:pt idx="12">
                  <c:v>703</c:v>
                </c:pt>
                <c:pt idx="13">
                  <c:v>691</c:v>
                </c:pt>
                <c:pt idx="14">
                  <c:v>693</c:v>
                </c:pt>
                <c:pt idx="15">
                  <c:v>474</c:v>
                </c:pt>
                <c:pt idx="16">
                  <c:v>466</c:v>
                </c:pt>
                <c:pt idx="17">
                  <c:v>335</c:v>
                </c:pt>
                <c:pt idx="18">
                  <c:v>545</c:v>
                </c:pt>
                <c:pt idx="19">
                  <c:v>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62-B43A-42A5-A97F-F5135EB8CDA2}"/>
            </c:ext>
          </c:extLst>
        </c:ser>
        <c:ser>
          <c:idx val="6"/>
          <c:order val="6"/>
          <c:tx>
            <c:strRef>
              <c:f>'TIPPA PROD TOTAL'!$Z$56</c:f>
              <c:strCache>
                <c:ptCount val="1"/>
                <c:pt idx="0">
                  <c:v>Vinculación Universitaria</c:v>
                </c:pt>
              </c:strCache>
            </c:strRef>
          </c:tx>
          <c:spPr>
            <a:solidFill>
              <a:schemeClr val="accent5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17"/>
              <c:layout>
                <c:manualLayout>
                  <c:x val="5.3966797586433258E-3"/>
                  <c:y val="-2.637484960797697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chemeClr val="accent5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B43A-42A5-A97F-F5135EB8CDA2}"/>
                </c:ext>
              </c:extLst>
            </c:dLbl>
            <c:dLbl>
              <c:idx val="18"/>
              <c:layout>
                <c:manualLayout>
                  <c:x val="3.9590413789185258E-3"/>
                  <c:y val="-3.184141898830248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accent5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93-41A2-9F26-5FBBDC110845}"/>
                </c:ext>
              </c:extLst>
            </c:dLbl>
            <c:dLbl>
              <c:idx val="19"/>
              <c:layout>
                <c:manualLayout>
                  <c:x val="1.7359670641938843E-3"/>
                  <c:y val="-4.093896727067464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accent5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B8-48AB-B314-24A793E2A55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'TIPPA PROD TOTAL'!$AC$80:$AC$99</c:f>
              <c:numCache>
                <c:formatCode>General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</c:numCache>
            </c:numRef>
          </c:cat>
          <c:val>
            <c:numRef>
              <c:f>('TIPPA PROD TOTAL'!$AB$80:$AB$96,'TIPPA PROD TOTAL'!$Z$62,'TIPPA PROD TOTAL'!$H$73,'TIPPA PROD TOTAL'!$Q$73)</c:f>
              <c:numCache>
                <c:formatCode>General</c:formatCode>
                <c:ptCount val="20"/>
                <c:pt idx="17" formatCode="#,##0">
                  <c:v>371</c:v>
                </c:pt>
                <c:pt idx="18" formatCode="#,##0">
                  <c:v>661</c:v>
                </c:pt>
                <c:pt idx="19" formatCode="#,##0">
                  <c:v>740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64-B43A-42A5-A97F-F5135EB8CD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50404096"/>
        <c:axId val="150434560"/>
        <c:axId val="0"/>
      </c:bar3DChart>
      <c:catAx>
        <c:axId val="150404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0434560"/>
        <c:crosses val="autoZero"/>
        <c:auto val="1"/>
        <c:lblAlgn val="ctr"/>
        <c:lblOffset val="100"/>
        <c:noMultiLvlLbl val="0"/>
      </c:catAx>
      <c:valAx>
        <c:axId val="150434560"/>
        <c:scaling>
          <c:orientation val="minMax"/>
        </c:scaling>
        <c:delete val="1"/>
        <c:axPos val="l"/>
        <c:majorGridlines>
          <c:spPr>
            <a:ln w="3175">
              <a:noFill/>
            </a:ln>
          </c:spPr>
        </c:majorGridlines>
        <c:numFmt formatCode="#,##0" sourceLinked="1"/>
        <c:majorTickMark val="out"/>
        <c:minorTickMark val="none"/>
        <c:tickLblPos val="nextTo"/>
        <c:crossAx val="1504040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795480114977324E-3"/>
          <c:y val="0.94706719979398546"/>
          <c:w val="0.99390217680814696"/>
          <c:h val="4.5064822596254356E-2"/>
        </c:manualLayout>
      </c:layout>
      <c:overlay val="0"/>
      <c:txPr>
        <a:bodyPr/>
        <a:lstStyle/>
        <a:p>
          <a:pPr>
            <a:defRPr sz="12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MX" sz="1200" b="0" i="1" baseline="0">
                <a:effectLst/>
              </a:rPr>
              <a:t>Actividades evaluadas por las comisiones dictaminadoras por Unidad</a:t>
            </a:r>
            <a:endParaRPr lang="x-none" sz="1200">
              <a:effectLst/>
            </a:endParaRPr>
          </a:p>
        </c:rich>
      </c:tx>
      <c:overlay val="1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'TIPPA PROD TOTAL'!$A$36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rgbClr val="CD032E"/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8357373201375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C63-4981-AE48-A98B365ED711}"/>
                </c:ext>
              </c:extLst>
            </c:dLbl>
            <c:dLbl>
              <c:idx val="1"/>
              <c:layout>
                <c:manualLayout>
                  <c:x val="7.294671650171901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63-4981-AE48-A98B365ED711}"/>
                </c:ext>
              </c:extLst>
            </c:dLbl>
            <c:dLbl>
              <c:idx val="2"/>
              <c:layout>
                <c:manualLayout>
                  <c:x val="7.294671650171901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63-4981-AE48-A98B365ED711}"/>
                </c:ext>
              </c:extLst>
            </c:dLbl>
            <c:dLbl>
              <c:idx val="3"/>
              <c:layout>
                <c:manualLayout>
                  <c:x val="7.294671650171901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63-4981-AE48-A98B365ED711}"/>
                </c:ext>
              </c:extLst>
            </c:dLbl>
            <c:dLbl>
              <c:idx val="4"/>
              <c:layout>
                <c:manualLayout>
                  <c:x val="7.2946716501719015E-3"/>
                  <c:y val="-2.97891025364365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63-4981-AE48-A98B365ED711}"/>
                </c:ext>
              </c:extLst>
            </c:dLbl>
            <c:dLbl>
              <c:idx val="5"/>
              <c:layout>
                <c:manualLayout>
                  <c:x val="7.294671650171847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63-4981-AE48-A98B365ED711}"/>
                </c:ext>
              </c:extLst>
            </c:dLbl>
            <c:dLbl>
              <c:idx val="6"/>
              <c:layout>
                <c:manualLayout>
                  <c:x val="8.7536059802062818E-3"/>
                  <c:y val="-2.97891025364365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63-4981-AE48-A98B365ED711}"/>
                </c:ext>
              </c:extLst>
            </c:dLbl>
            <c:dLbl>
              <c:idx val="7"/>
              <c:layout>
                <c:manualLayout>
                  <c:x val="7.294671650171901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63-4981-AE48-A98B365ED711}"/>
                </c:ext>
              </c:extLst>
            </c:dLbl>
            <c:dLbl>
              <c:idx val="8"/>
              <c:layout>
                <c:manualLayout>
                  <c:x val="5.8357373201375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63-4981-AE48-A98B365ED711}"/>
                </c:ext>
              </c:extLst>
            </c:dLbl>
            <c:dLbl>
              <c:idx val="9"/>
              <c:layout>
                <c:manualLayout>
                  <c:x val="5.8357373201375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63-4981-AE48-A98B365ED711}"/>
                </c:ext>
              </c:extLst>
            </c:dLbl>
            <c:dLbl>
              <c:idx val="10"/>
              <c:layout>
                <c:manualLayout>
                  <c:x val="5.8357373201375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63-4981-AE48-A98B365ED711}"/>
                </c:ext>
              </c:extLst>
            </c:dLbl>
            <c:dLbl>
              <c:idx val="11"/>
              <c:layout>
                <c:manualLayout>
                  <c:x val="6.424857947402571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63-4981-AE48-A98B365ED711}"/>
                </c:ext>
              </c:extLst>
            </c:dLbl>
            <c:dLbl>
              <c:idx val="12"/>
              <c:layout>
                <c:manualLayout>
                  <c:x val="7.0357778537165757E-3"/>
                  <c:y val="2.42303986568345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63-4981-AE48-A98B365ED711}"/>
                </c:ext>
              </c:extLst>
            </c:dLbl>
            <c:dLbl>
              <c:idx val="13"/>
              <c:layout>
                <c:manualLayout>
                  <c:x val="4.6905185691443838E-3"/>
                  <c:y val="-1.7768753748852462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63-4981-AE48-A98B365ED711}"/>
                </c:ext>
              </c:extLst>
            </c:dLbl>
            <c:dLbl>
              <c:idx val="14"/>
              <c:layout>
                <c:manualLayout>
                  <c:x val="7.035777853716404E-3"/>
                  <c:y val="-9.69215946273383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63-4981-AE48-A98B365ED711}"/>
                </c:ext>
              </c:extLst>
            </c:dLbl>
            <c:dLbl>
              <c:idx val="15"/>
              <c:layout>
                <c:manualLayout>
                  <c:x val="7.03577785371657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C63-4981-AE48-A98B365ED7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'TIPPA PROD TOTAL'!$AC$80:$AC$98</c:f>
              <c:numCache>
                <c:formatCode>General</c:formatCode>
                <c:ptCount val="19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</c:numCache>
            </c:numRef>
          </c:cat>
          <c:val>
            <c:numRef>
              <c:f>('TIPPA PROD TOTAL'!$H$6,'TIPPA PROD TOTAL'!$Q$6,'TIPPA PROD TOTAL'!$Z$6,'TIPPA PROD TOTAL'!$H$16,'TIPPA PROD TOTAL'!$Q$16,'TIPPA PROD TOTAL'!$Z$16,'TIPPA PROD TOTAL'!$H$26,'TIPPA PROD TOTAL'!$Q$26,'TIPPA PROD TOTAL'!$Z$26,'TIPPA PROD TOTAL'!$H$36,'TIPPA PROD TOTAL'!$Q$36,'TIPPA PROD TOTAL'!$Z$36,'TIPPA PROD TOTAL'!$H$47,'TIPPA PROD TOTAL'!$Q$47,'TIPPA PROD TOTAL'!$Z$47,'TIPPA PROD TOTAL'!$H$57,'TIPPA PROD TOTAL'!$Q$57,'TIPPA PROD TOTAL'!$AA$57,'TIPPA PROD TOTAL'!$I$68)</c:f>
              <c:numCache>
                <c:formatCode>#,##0</c:formatCode>
                <c:ptCount val="19"/>
                <c:pt idx="0">
                  <c:v>13272</c:v>
                </c:pt>
                <c:pt idx="1">
                  <c:v>16841</c:v>
                </c:pt>
                <c:pt idx="2">
                  <c:v>11620</c:v>
                </c:pt>
                <c:pt idx="3">
                  <c:v>11339</c:v>
                </c:pt>
                <c:pt idx="4">
                  <c:v>10501</c:v>
                </c:pt>
                <c:pt idx="5">
                  <c:v>11064</c:v>
                </c:pt>
                <c:pt idx="6">
                  <c:v>12830</c:v>
                </c:pt>
                <c:pt idx="7">
                  <c:v>13962</c:v>
                </c:pt>
                <c:pt idx="8">
                  <c:v>15267</c:v>
                </c:pt>
                <c:pt idx="9">
                  <c:v>14011</c:v>
                </c:pt>
                <c:pt idx="10">
                  <c:v>16553</c:v>
                </c:pt>
                <c:pt idx="11">
                  <c:v>15909</c:v>
                </c:pt>
                <c:pt idx="12">
                  <c:v>16011</c:v>
                </c:pt>
                <c:pt idx="13">
                  <c:v>16334</c:v>
                </c:pt>
                <c:pt idx="14">
                  <c:v>14803</c:v>
                </c:pt>
                <c:pt idx="15">
                  <c:v>16195</c:v>
                </c:pt>
                <c:pt idx="16">
                  <c:v>14686</c:v>
                </c:pt>
                <c:pt idx="17">
                  <c:v>9648</c:v>
                </c:pt>
                <c:pt idx="18">
                  <c:v>16745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C63-4981-AE48-A98B365ED711}"/>
            </c:ext>
          </c:extLst>
        </c:ser>
        <c:ser>
          <c:idx val="1"/>
          <c:order val="1"/>
          <c:tx>
            <c:strRef>
              <c:f>'TIPPA PROD TOTAL'!$A$37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4"/>
              <c:layout>
                <c:manualLayout>
                  <c:x val="2.917868660068760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C63-4981-AE48-A98B365ED711}"/>
                </c:ext>
              </c:extLst>
            </c:dLbl>
            <c:dLbl>
              <c:idx val="5"/>
              <c:layout>
                <c:manualLayout>
                  <c:x val="4.6630956554625748E-3"/>
                  <c:y val="-2.42303986568345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C63-4981-AE48-A98B365ED711}"/>
                </c:ext>
              </c:extLst>
            </c:dLbl>
            <c:dLbl>
              <c:idx val="6"/>
              <c:layout>
                <c:manualLayout>
                  <c:x val="5.8357373201375212E-3"/>
                  <c:y val="-2.97891025364365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C63-4981-AE48-A98B365ED711}"/>
                </c:ext>
              </c:extLst>
            </c:dLbl>
            <c:dLbl>
              <c:idx val="7"/>
              <c:layout>
                <c:manualLayout>
                  <c:x val="5.8357373201375212E-3"/>
                  <c:y val="-5.95782050728730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C63-4981-AE48-A98B365ED711}"/>
                </c:ext>
              </c:extLst>
            </c:dLbl>
            <c:dLbl>
              <c:idx val="8"/>
              <c:layout>
                <c:manualLayout>
                  <c:x val="5.8357373201375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C63-4981-AE48-A98B365ED711}"/>
                </c:ext>
              </c:extLst>
            </c:dLbl>
            <c:dLbl>
              <c:idx val="9"/>
              <c:layout>
                <c:manualLayout>
                  <c:x val="4.3768029901031409E-3"/>
                  <c:y val="-5.95782050728730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C63-4981-AE48-A98B365ED711}"/>
                </c:ext>
              </c:extLst>
            </c:dLbl>
            <c:dLbl>
              <c:idx val="10"/>
              <c:layout>
                <c:manualLayout>
                  <c:x val="8.753605980206281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C63-4981-AE48-A98B365ED711}"/>
                </c:ext>
              </c:extLst>
            </c:dLbl>
            <c:dLbl>
              <c:idx val="11"/>
              <c:layout>
                <c:manualLayout>
                  <c:x val="7.7098295368830862E-3"/>
                  <c:y val="-5.63073672869713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C63-4981-AE48-A98B365ED711}"/>
                </c:ext>
              </c:extLst>
            </c:dLbl>
            <c:dLbl>
              <c:idx val="12"/>
              <c:layout>
                <c:manualLayout>
                  <c:x val="4.69051856914421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C63-4981-AE48-A98B365ED711}"/>
                </c:ext>
              </c:extLst>
            </c:dLbl>
            <c:dLbl>
              <c:idx val="13"/>
              <c:layout>
                <c:manualLayout>
                  <c:x val="5.8631482114304802E-3"/>
                  <c:y val="-2.42303986568354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C63-4981-AE48-A98B365ED711}"/>
                </c:ext>
              </c:extLst>
            </c:dLbl>
            <c:dLbl>
              <c:idx val="14"/>
              <c:layout>
                <c:manualLayout>
                  <c:x val="5.8631482114303076E-3"/>
                  <c:y val="-4.84607973136691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C63-4981-AE48-A98B365ED711}"/>
                </c:ext>
              </c:extLst>
            </c:dLbl>
            <c:dLbl>
              <c:idx val="15"/>
              <c:layout>
                <c:manualLayout>
                  <c:x val="4.690518569144383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C63-4981-AE48-A98B365ED711}"/>
                </c:ext>
              </c:extLst>
            </c:dLbl>
            <c:dLbl>
              <c:idx val="16"/>
              <c:layout>
                <c:manualLayout>
                  <c:x val="5.5910639477718908E-3"/>
                  <c:y val="-9.059998780246884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C63-4981-AE48-A98B365ED7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'TIPPA PROD TOTAL'!$AC$80:$AC$98</c:f>
              <c:numCache>
                <c:formatCode>General</c:formatCode>
                <c:ptCount val="19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</c:numCache>
            </c:numRef>
          </c:cat>
          <c:val>
            <c:numRef>
              <c:f>('TIPPA PROD TOTAL'!$H$7,'TIPPA PROD TOTAL'!$Q$7,'TIPPA PROD TOTAL'!$Z$7,'TIPPA PROD TOTAL'!$H$17,'TIPPA PROD TOTAL'!$Q$17,'TIPPA PROD TOTAL'!$Z$17,'TIPPA PROD TOTAL'!$H$27,'TIPPA PROD TOTAL'!$Q$27,'TIPPA PROD TOTAL'!$Z$27,'TIPPA PROD TOTAL'!$H$37,'TIPPA PROD TOTAL'!$Q$37,'TIPPA PROD TOTAL'!$Z$37,'TIPPA PROD TOTAL'!$H$48,'TIPPA PROD TOTAL'!$Q$48,'TIPPA PROD TOTAL'!$Z$48,'TIPPA PROD TOTAL'!$H$58,'TIPPA PROD TOTAL'!$Q$58,'TIPPA PROD TOTAL'!$AA$58,'TIPPA PROD TOTAL'!$I$69)</c:f>
              <c:numCache>
                <c:formatCode>#,##0</c:formatCode>
                <c:ptCount val="19"/>
                <c:pt idx="3">
                  <c:v>18</c:v>
                </c:pt>
                <c:pt idx="4">
                  <c:v>845</c:v>
                </c:pt>
                <c:pt idx="5">
                  <c:v>1841</c:v>
                </c:pt>
                <c:pt idx="6">
                  <c:v>1656</c:v>
                </c:pt>
                <c:pt idx="7">
                  <c:v>2465</c:v>
                </c:pt>
                <c:pt idx="8">
                  <c:v>2577</c:v>
                </c:pt>
                <c:pt idx="9">
                  <c:v>2714</c:v>
                </c:pt>
                <c:pt idx="10">
                  <c:v>3834</c:v>
                </c:pt>
                <c:pt idx="11">
                  <c:v>2876</c:v>
                </c:pt>
                <c:pt idx="12">
                  <c:v>3917</c:v>
                </c:pt>
                <c:pt idx="13">
                  <c:v>3422</c:v>
                </c:pt>
                <c:pt idx="14">
                  <c:v>4560</c:v>
                </c:pt>
                <c:pt idx="15">
                  <c:v>4380</c:v>
                </c:pt>
                <c:pt idx="16">
                  <c:v>4859</c:v>
                </c:pt>
                <c:pt idx="17">
                  <c:v>3189</c:v>
                </c:pt>
                <c:pt idx="18">
                  <c:v>4853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EC63-4981-AE48-A98B365ED711}"/>
            </c:ext>
          </c:extLst>
        </c:ser>
        <c:ser>
          <c:idx val="2"/>
          <c:order val="2"/>
          <c:tx>
            <c:strRef>
              <c:f>'TIPPA PROD TOTAL'!$A$38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rgbClr val="57A519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3768029901031409E-3"/>
                  <c:y val="2.97891025364365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C63-4981-AE48-A98B365ED711}"/>
                </c:ext>
              </c:extLst>
            </c:dLbl>
            <c:dLbl>
              <c:idx val="1"/>
              <c:layout>
                <c:manualLayout>
                  <c:x val="2.917868660068760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C63-4981-AE48-A98B365ED711}"/>
                </c:ext>
              </c:extLst>
            </c:dLbl>
            <c:dLbl>
              <c:idx val="2"/>
              <c:layout>
                <c:manualLayout>
                  <c:x val="5.8357373201375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C63-4981-AE48-A98B365ED711}"/>
                </c:ext>
              </c:extLst>
            </c:dLbl>
            <c:dLbl>
              <c:idx val="3"/>
              <c:layout>
                <c:manualLayout>
                  <c:x val="5.8357373201375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C63-4981-AE48-A98B365ED711}"/>
                </c:ext>
              </c:extLst>
            </c:dLbl>
            <c:dLbl>
              <c:idx val="4"/>
              <c:layout>
                <c:manualLayout>
                  <c:x val="7.2946716501719015E-3"/>
                  <c:y val="-5.95782050728730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C63-4981-AE48-A98B365ED711}"/>
                </c:ext>
              </c:extLst>
            </c:dLbl>
            <c:dLbl>
              <c:idx val="5"/>
              <c:layout>
                <c:manualLayout>
                  <c:x val="5.83573732013746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C63-4981-AE48-A98B365ED711}"/>
                </c:ext>
              </c:extLst>
            </c:dLbl>
            <c:dLbl>
              <c:idx val="6"/>
              <c:layout>
                <c:manualLayout>
                  <c:x val="8.753605980206281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C63-4981-AE48-A98B365ED711}"/>
                </c:ext>
              </c:extLst>
            </c:dLbl>
            <c:dLbl>
              <c:idx val="7"/>
              <c:layout>
                <c:manualLayout>
                  <c:x val="5.8357373201375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C63-4981-AE48-A98B365ED711}"/>
                </c:ext>
              </c:extLst>
            </c:dLbl>
            <c:dLbl>
              <c:idx val="8"/>
              <c:layout>
                <c:manualLayout>
                  <c:x val="8.753605980206281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C63-4981-AE48-A98B365ED711}"/>
                </c:ext>
              </c:extLst>
            </c:dLbl>
            <c:dLbl>
              <c:idx val="9"/>
              <c:layout>
                <c:manualLayout>
                  <c:x val="5.8357373201375212E-3"/>
                  <c:y val="5.461272375928848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C63-4981-AE48-A98B365ED711}"/>
                </c:ext>
              </c:extLst>
            </c:dLbl>
            <c:dLbl>
              <c:idx val="10"/>
              <c:layout>
                <c:manualLayout>
                  <c:x val="8.753605980206281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C63-4981-AE48-A98B365ED711}"/>
                </c:ext>
              </c:extLst>
            </c:dLbl>
            <c:dLbl>
              <c:idx val="11"/>
              <c:layout>
                <c:manualLayout>
                  <c:x val="7.709829536883086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C63-4981-AE48-A98B365ED711}"/>
                </c:ext>
              </c:extLst>
            </c:dLbl>
            <c:dLbl>
              <c:idx val="12"/>
              <c:layout>
                <c:manualLayout>
                  <c:x val="7.03577785371657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C63-4981-AE48-A98B365ED711}"/>
                </c:ext>
              </c:extLst>
            </c:dLbl>
            <c:dLbl>
              <c:idx val="13"/>
              <c:layout>
                <c:manualLayout>
                  <c:x val="5.8631482114304802E-3"/>
                  <c:y val="-8.884376874426231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C63-4981-AE48-A98B365ED711}"/>
                </c:ext>
              </c:extLst>
            </c:dLbl>
            <c:dLbl>
              <c:idx val="14"/>
              <c:layout>
                <c:manualLayout>
                  <c:x val="7.0357778537164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C63-4981-AE48-A98B365ED711}"/>
                </c:ext>
              </c:extLst>
            </c:dLbl>
            <c:dLbl>
              <c:idx val="15"/>
              <c:layout>
                <c:manualLayout>
                  <c:x val="5.8631482114304802E-3"/>
                  <c:y val="-4.846079731367007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C63-4981-AE48-A98B365ED7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'TIPPA PROD TOTAL'!$AC$80:$AC$98</c:f>
              <c:numCache>
                <c:formatCode>General</c:formatCode>
                <c:ptCount val="19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</c:numCache>
            </c:numRef>
          </c:cat>
          <c:val>
            <c:numRef>
              <c:f>('TIPPA PROD TOTAL'!$H$8,'TIPPA PROD TOTAL'!$Q$8,'TIPPA PROD TOTAL'!$Z$8,'TIPPA PROD TOTAL'!$H$18,'TIPPA PROD TOTAL'!$Q$18,'TIPPA PROD TOTAL'!$Z$18,'TIPPA PROD TOTAL'!$H$28,'TIPPA PROD TOTAL'!$Q$28,'TIPPA PROD TOTAL'!$Z$28,'TIPPA PROD TOTAL'!$H$38,'TIPPA PROD TOTAL'!$Q$38,'TIPPA PROD TOTAL'!$Z$38,'TIPPA PROD TOTAL'!$H$49,'TIPPA PROD TOTAL'!$Q$49,'TIPPA PROD TOTAL'!$Z$49,'TIPPA PROD TOTAL'!$H$59,'TIPPA PROD TOTAL'!$Q$59,'TIPPA PROD TOTAL'!$AA$59,'TIPPA PROD TOTAL'!$I$70)</c:f>
              <c:numCache>
                <c:formatCode>#,##0</c:formatCode>
                <c:ptCount val="19"/>
                <c:pt idx="0">
                  <c:v>14427</c:v>
                </c:pt>
                <c:pt idx="1">
                  <c:v>14906</c:v>
                </c:pt>
                <c:pt idx="2">
                  <c:v>15771</c:v>
                </c:pt>
                <c:pt idx="3">
                  <c:v>14563</c:v>
                </c:pt>
                <c:pt idx="4">
                  <c:v>15942</c:v>
                </c:pt>
                <c:pt idx="5">
                  <c:v>15541</c:v>
                </c:pt>
                <c:pt idx="6">
                  <c:v>16033</c:v>
                </c:pt>
                <c:pt idx="7">
                  <c:v>17129</c:v>
                </c:pt>
                <c:pt idx="8">
                  <c:v>17999</c:v>
                </c:pt>
                <c:pt idx="9">
                  <c:v>18833</c:v>
                </c:pt>
                <c:pt idx="10">
                  <c:v>19984</c:v>
                </c:pt>
                <c:pt idx="11">
                  <c:v>17478</c:v>
                </c:pt>
                <c:pt idx="12">
                  <c:v>19123</c:v>
                </c:pt>
                <c:pt idx="13">
                  <c:v>17274</c:v>
                </c:pt>
                <c:pt idx="14">
                  <c:v>16786</c:v>
                </c:pt>
                <c:pt idx="15">
                  <c:v>19913</c:v>
                </c:pt>
                <c:pt idx="16">
                  <c:v>16026</c:v>
                </c:pt>
                <c:pt idx="17">
                  <c:v>11266</c:v>
                </c:pt>
                <c:pt idx="18">
                  <c:v>18527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F-EC63-4981-AE48-A98B365ED711}"/>
            </c:ext>
          </c:extLst>
        </c:ser>
        <c:ser>
          <c:idx val="3"/>
          <c:order val="3"/>
          <c:tx>
            <c:strRef>
              <c:f>'TIPPA PROD TOTAL'!$A$39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11"/>
              <c:layout>
                <c:manualLayout>
                  <c:x val="7.7098295368830862E-3"/>
                  <c:y val="-5.161449042472594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C63-4981-AE48-A98B365ED711}"/>
                </c:ext>
              </c:extLst>
            </c:dLbl>
            <c:dLbl>
              <c:idx val="12"/>
              <c:layout>
                <c:manualLayout>
                  <c:x val="7.03577785371657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EC63-4981-AE48-A98B365ED711}"/>
                </c:ext>
              </c:extLst>
            </c:dLbl>
            <c:dLbl>
              <c:idx val="13"/>
              <c:layout>
                <c:manualLayout>
                  <c:x val="4.690518569144383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EC63-4981-AE48-A98B365ED711}"/>
                </c:ext>
              </c:extLst>
            </c:dLbl>
            <c:dLbl>
              <c:idx val="14"/>
              <c:layout>
                <c:manualLayout>
                  <c:x val="4.6905185691442121E-3"/>
                  <c:y val="-4.84607973136696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EC63-4981-AE48-A98B365ED711}"/>
                </c:ext>
              </c:extLst>
            </c:dLbl>
            <c:dLbl>
              <c:idx val="15"/>
              <c:layout>
                <c:manualLayout>
                  <c:x val="2.3452592845721919E-3"/>
                  <c:y val="-2.42303986568345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C63-4981-AE48-A98B365ED711}"/>
                </c:ext>
              </c:extLst>
            </c:dLbl>
            <c:dLbl>
              <c:idx val="16"/>
              <c:layout>
                <c:manualLayout>
                  <c:x val="5.5910639477718908E-3"/>
                  <c:y val="-4.94187460479595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EC63-4981-AE48-A98B365ED7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'TIPPA PROD TOTAL'!$AC$80:$AC$98</c:f>
              <c:numCache>
                <c:formatCode>General</c:formatCode>
                <c:ptCount val="19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</c:numCache>
            </c:numRef>
          </c:cat>
          <c:val>
            <c:numRef>
              <c:f>('TIPPA PROD TOTAL'!$H$11,'TIPPA PROD TOTAL'!$Q$11,'TIPPA PROD TOTAL'!$Z$11,'TIPPA PROD TOTAL'!$H$21,'TIPPA PROD TOTAL'!$Q$21,'TIPPA PROD TOTAL'!$Z$21,'TIPPA PROD TOTAL'!$H$31,'TIPPA PROD TOTAL'!$Q$31,'TIPPA PROD TOTAL'!$Z$31,'TIPPA PROD TOTAL'!$H$39,'TIPPA PROD TOTAL'!$Q$39,'TIPPA PROD TOTAL'!$Z$39,'TIPPA PROD TOTAL'!$H$50,'TIPPA PROD TOTAL'!$Q$50,'TIPPA PROD TOTAL'!$Z$50,'TIPPA PROD TOTAL'!$H$60,'TIPPA PROD TOTAL'!$Q$60,'TIPPA PROD TOTAL'!$AA$60,'TIPPA PROD TOTAL'!$I$71)</c:f>
              <c:numCache>
                <c:formatCode>General</c:formatCode>
                <c:ptCount val="19"/>
                <c:pt idx="10" formatCode="#,##0">
                  <c:v>71</c:v>
                </c:pt>
                <c:pt idx="11" formatCode="#,##0">
                  <c:v>253</c:v>
                </c:pt>
                <c:pt idx="12" formatCode="#,##0">
                  <c:v>421</c:v>
                </c:pt>
                <c:pt idx="13" formatCode="#,##0">
                  <c:v>611</c:v>
                </c:pt>
                <c:pt idx="14" formatCode="#,##0">
                  <c:v>1570</c:v>
                </c:pt>
                <c:pt idx="15" formatCode="#,##0">
                  <c:v>1714</c:v>
                </c:pt>
                <c:pt idx="16" formatCode="#,##0">
                  <c:v>1369</c:v>
                </c:pt>
                <c:pt idx="17" formatCode="#,##0">
                  <c:v>831</c:v>
                </c:pt>
                <c:pt idx="18" formatCode="#,##0">
                  <c:v>1912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EC63-4981-AE48-A98B365ED711}"/>
            </c:ext>
          </c:extLst>
        </c:ser>
        <c:ser>
          <c:idx val="4"/>
          <c:order val="4"/>
          <c:tx>
            <c:strRef>
              <c:f>'TIPPA PROD TOTAL'!$A$40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rgbClr val="0072CE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7.294671650171901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EC63-4981-AE48-A98B365ED711}"/>
                </c:ext>
              </c:extLst>
            </c:dLbl>
            <c:dLbl>
              <c:idx val="1"/>
              <c:layout>
                <c:manualLayout>
                  <c:x val="5.8357373201375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EC63-4981-AE48-A98B365ED711}"/>
                </c:ext>
              </c:extLst>
            </c:dLbl>
            <c:dLbl>
              <c:idx val="2"/>
              <c:layout>
                <c:manualLayout>
                  <c:x val="5.8357373201375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EC63-4981-AE48-A98B365ED711}"/>
                </c:ext>
              </c:extLst>
            </c:dLbl>
            <c:dLbl>
              <c:idx val="3"/>
              <c:layout>
                <c:manualLayout>
                  <c:x val="5.8357373201375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EC63-4981-AE48-A98B365ED711}"/>
                </c:ext>
              </c:extLst>
            </c:dLbl>
            <c:dLbl>
              <c:idx val="4"/>
              <c:layout>
                <c:manualLayout>
                  <c:x val="5.8357373201375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EC63-4981-AE48-A98B365ED711}"/>
                </c:ext>
              </c:extLst>
            </c:dLbl>
            <c:dLbl>
              <c:idx val="5"/>
              <c:layout>
                <c:manualLayout>
                  <c:x val="5.8357373201374674E-3"/>
                  <c:y val="-2.97891025364365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EC63-4981-AE48-A98B365ED711}"/>
                </c:ext>
              </c:extLst>
            </c:dLbl>
            <c:dLbl>
              <c:idx val="6"/>
              <c:layout>
                <c:manualLayout>
                  <c:x val="7.2946716501719015E-3"/>
                  <c:y val="-2.97891025364365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EC63-4981-AE48-A98B365ED711}"/>
                </c:ext>
              </c:extLst>
            </c:dLbl>
            <c:dLbl>
              <c:idx val="7"/>
              <c:layout>
                <c:manualLayout>
                  <c:x val="7.294671650171901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EC63-4981-AE48-A98B365ED711}"/>
                </c:ext>
              </c:extLst>
            </c:dLbl>
            <c:dLbl>
              <c:idx val="8"/>
              <c:layout>
                <c:manualLayout>
                  <c:x val="8.753605980206281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EC63-4981-AE48-A98B365ED711}"/>
                </c:ext>
              </c:extLst>
            </c:dLbl>
            <c:dLbl>
              <c:idx val="9"/>
              <c:layout>
                <c:manualLayout>
                  <c:x val="5.8357373201375212E-3"/>
                  <c:y val="2.97891025364365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EC63-4981-AE48-A98B365ED711}"/>
                </c:ext>
              </c:extLst>
            </c:dLbl>
            <c:dLbl>
              <c:idx val="10"/>
              <c:layout>
                <c:manualLayout>
                  <c:x val="4.376802990103140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EC63-4981-AE48-A98B365ED711}"/>
                </c:ext>
              </c:extLst>
            </c:dLbl>
            <c:dLbl>
              <c:idx val="11"/>
              <c:layout>
                <c:manualLayout>
                  <c:x val="5.139886357922057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EC63-4981-AE48-A98B365ED711}"/>
                </c:ext>
              </c:extLst>
            </c:dLbl>
            <c:dLbl>
              <c:idx val="12"/>
              <c:layout>
                <c:manualLayout>
                  <c:x val="7.03577785371657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EC63-4981-AE48-A98B365ED711}"/>
                </c:ext>
              </c:extLst>
            </c:dLbl>
            <c:dLbl>
              <c:idx val="13"/>
              <c:layout>
                <c:manualLayout>
                  <c:x val="4.6905185691443838E-3"/>
                  <c:y val="4.84607973136691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EC63-4981-AE48-A98B365ED711}"/>
                </c:ext>
              </c:extLst>
            </c:dLbl>
            <c:dLbl>
              <c:idx val="14"/>
              <c:layout>
                <c:manualLayout>
                  <c:x val="4.690518569144383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EC63-4981-AE48-A98B365ED711}"/>
                </c:ext>
              </c:extLst>
            </c:dLbl>
            <c:dLbl>
              <c:idx val="15"/>
              <c:layout>
                <c:manualLayout>
                  <c:x val="5.8631482114304802E-3"/>
                  <c:y val="-2.42303986568345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EC63-4981-AE48-A98B365ED7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'TIPPA PROD TOTAL'!$AC$80:$AC$98</c:f>
              <c:numCache>
                <c:formatCode>General</c:formatCode>
                <c:ptCount val="19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</c:numCache>
            </c:numRef>
          </c:cat>
          <c:val>
            <c:numRef>
              <c:f>('TIPPA PROD TOTAL'!$H$9,'TIPPA PROD TOTAL'!$Q$9,'TIPPA PROD TOTAL'!$Z$9,'TIPPA PROD TOTAL'!$H$19,'TIPPA PROD TOTAL'!$Q$19,'TIPPA PROD TOTAL'!$Z$19,'TIPPA PROD TOTAL'!$H$29,'TIPPA PROD TOTAL'!$Q$29,'TIPPA PROD TOTAL'!$Z$29,'TIPPA PROD TOTAL'!$H$40,'TIPPA PROD TOTAL'!$Q$40,'TIPPA PROD TOTAL'!$Z$40,'TIPPA PROD TOTAL'!$H$51,'TIPPA PROD TOTAL'!$Q$51,'TIPPA PROD TOTAL'!$Z$51,'TIPPA PROD TOTAL'!$H$61,'TIPPA PROD TOTAL'!$Q$61,'TIPPA PROD TOTAL'!$AA$61,'TIPPA PROD TOTAL'!$I$72)</c:f>
              <c:numCache>
                <c:formatCode>#,##0</c:formatCode>
                <c:ptCount val="19"/>
                <c:pt idx="0">
                  <c:v>13173</c:v>
                </c:pt>
                <c:pt idx="1">
                  <c:v>16033</c:v>
                </c:pt>
                <c:pt idx="2">
                  <c:v>12718</c:v>
                </c:pt>
                <c:pt idx="3">
                  <c:v>12473</c:v>
                </c:pt>
                <c:pt idx="4">
                  <c:v>13130</c:v>
                </c:pt>
                <c:pt idx="5">
                  <c:v>12904</c:v>
                </c:pt>
                <c:pt idx="6">
                  <c:v>14605</c:v>
                </c:pt>
                <c:pt idx="7">
                  <c:v>16832</c:v>
                </c:pt>
                <c:pt idx="8">
                  <c:v>17291</c:v>
                </c:pt>
                <c:pt idx="9">
                  <c:v>21813</c:v>
                </c:pt>
                <c:pt idx="10">
                  <c:v>16879</c:v>
                </c:pt>
                <c:pt idx="11">
                  <c:v>19566</c:v>
                </c:pt>
                <c:pt idx="12">
                  <c:v>17706</c:v>
                </c:pt>
                <c:pt idx="13">
                  <c:v>16004</c:v>
                </c:pt>
                <c:pt idx="14">
                  <c:v>15287</c:v>
                </c:pt>
                <c:pt idx="15">
                  <c:v>17659</c:v>
                </c:pt>
                <c:pt idx="16">
                  <c:v>15564</c:v>
                </c:pt>
                <c:pt idx="17">
                  <c:v>9357</c:v>
                </c:pt>
                <c:pt idx="18">
                  <c:v>16574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EC63-4981-AE48-A98B365ED7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50497920"/>
        <c:axId val="150593920"/>
        <c:axId val="0"/>
      </c:bar3DChart>
      <c:catAx>
        <c:axId val="150497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0593920"/>
        <c:crosses val="autoZero"/>
        <c:auto val="1"/>
        <c:lblAlgn val="ctr"/>
        <c:lblOffset val="100"/>
        <c:noMultiLvlLbl val="0"/>
      </c:catAx>
      <c:valAx>
        <c:axId val="150593920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504979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6.6815329020949346E-2"/>
          <c:y val="0.93437339616701809"/>
          <c:w val="0.85801379745564588"/>
          <c:h val="5.4734502401589412E-2"/>
        </c:manualLayout>
      </c:layout>
      <c:overlay val="0"/>
      <c:txPr>
        <a:bodyPr/>
        <a:lstStyle/>
        <a:p>
          <a:pPr>
            <a:defRPr sz="12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/>
            </a:pPr>
            <a:r>
              <a:rPr lang="es-MX" sz="1400" b="0"/>
              <a:t>Personal Administrativo Definitivo por rangos de </a:t>
            </a:r>
            <a:r>
              <a:rPr lang="es-MX" sz="1400" b="1">
                <a:solidFill>
                  <a:sysClr val="windowText" lastClr="000000"/>
                </a:solidFill>
              </a:rPr>
              <a:t>edad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1.5389996502273523E-2"/>
          <c:y val="7.8955926852929861E-2"/>
          <c:w val="0.97182815421944235"/>
          <c:h val="0.799576936612636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'ADMI X EDAD'!$B$35</c:f>
              <c:strCache>
                <c:ptCount val="1"/>
                <c:pt idx="0">
                  <c:v>HASTA 30 AÑOS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E2-4997-A381-07DC534FB501}"/>
                </c:ext>
              </c:extLst>
            </c:dLbl>
            <c:dLbl>
              <c:idx val="1"/>
              <c:layout>
                <c:manualLayout>
                  <c:x val="8.501594048884139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E2-4997-A381-07DC534FB501}"/>
                </c:ext>
              </c:extLst>
            </c:dLbl>
            <c:dLbl>
              <c:idx val="2"/>
              <c:layout>
                <c:manualLayout>
                  <c:x val="3.7725914704621749E-3"/>
                  <c:y val="-3.10433223878832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E2-4997-A381-07DC534FB501}"/>
                </c:ext>
              </c:extLst>
            </c:dLbl>
            <c:dLbl>
              <c:idx val="3"/>
              <c:layout>
                <c:manualLayout>
                  <c:x val="2.3556314723204835E-3"/>
                  <c:y val="-2.06825198995969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E2-4997-A381-07DC534FB501}"/>
                </c:ext>
              </c:extLst>
            </c:dLbl>
            <c:dLbl>
              <c:idx val="4"/>
              <c:layout>
                <c:manualLayout>
                  <c:x val="4.26917364358274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E2-4997-A381-07DC534FB501}"/>
                </c:ext>
              </c:extLst>
            </c:dLbl>
            <c:dLbl>
              <c:idx val="5"/>
              <c:layout>
                <c:manualLayout>
                  <c:x val="4.2691736435828184E-3"/>
                  <c:y val="-1.5167006049156299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E2-4997-A381-07DC534FB501}"/>
                </c:ext>
              </c:extLst>
            </c:dLbl>
            <c:dLbl>
              <c:idx val="6"/>
              <c:layout>
                <c:manualLayout>
                  <c:x val="4.9684413079646283E-3"/>
                  <c:y val="-3.10433223878847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E2-4997-A381-07DC534FB501}"/>
                </c:ext>
              </c:extLst>
            </c:dLbl>
            <c:dLbl>
              <c:idx val="7"/>
              <c:layout>
                <c:manualLayout>
                  <c:x val="3.21106577540102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E2-4997-A381-07DC534FB501}"/>
                </c:ext>
              </c:extLst>
            </c:dLbl>
            <c:dLbl>
              <c:idx val="8"/>
              <c:layout>
                <c:manualLayout>
                  <c:x val="4.26917364358270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1E2-4997-A381-07DC534FB501}"/>
                </c:ext>
              </c:extLst>
            </c:dLbl>
            <c:dLbl>
              <c:idx val="9"/>
              <c:layout>
                <c:manualLayout>
                  <c:x val="4.5685265231400277E-3"/>
                  <c:y val="-2.58906064065978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E2-4997-A381-07DC534FB501}"/>
                </c:ext>
              </c:extLst>
            </c:dLbl>
            <c:dLbl>
              <c:idx val="10"/>
              <c:layout>
                <c:manualLayout>
                  <c:x val="6.1171965273732918E-3"/>
                  <c:y val="-2.58906064065978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1E2-4997-A381-07DC534FB501}"/>
                </c:ext>
              </c:extLst>
            </c:dLbl>
            <c:dLbl>
              <c:idx val="11"/>
              <c:layout>
                <c:manualLayout>
                  <c:x val="4.64576074332160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1E2-4997-A381-07DC534FB501}"/>
                </c:ext>
              </c:extLst>
            </c:dLbl>
            <c:dLbl>
              <c:idx val="12"/>
              <c:layout>
                <c:manualLayout>
                  <c:x val="2.923043814747141E-3"/>
                  <c:y val="-2.06825198995984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1E2-4997-A381-07DC534FB501}"/>
                </c:ext>
              </c:extLst>
            </c:dLbl>
            <c:dLbl>
              <c:idx val="13"/>
              <c:layout>
                <c:manualLayout>
                  <c:x val="3.670301253307941E-3"/>
                  <c:y val="-4.14073819659174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1E2-4997-A381-07DC534FB501}"/>
                </c:ext>
              </c:extLst>
            </c:dLbl>
            <c:dLbl>
              <c:idx val="14"/>
              <c:layout>
                <c:manualLayout>
                  <c:x val="3.4206044595329259E-3"/>
                  <c:y val="-1.5167006049156299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1E2-4997-A381-07DC534FB501}"/>
                </c:ext>
              </c:extLst>
            </c:dLbl>
            <c:dLbl>
              <c:idx val="15"/>
              <c:layout>
                <c:manualLayout>
                  <c:x val="4.9285362247410711E-3"/>
                  <c:y val="-2.12856499020105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1E2-4997-A381-07DC534FB501}"/>
                </c:ext>
              </c:extLst>
            </c:dLbl>
            <c:dLbl>
              <c:idx val="16"/>
              <c:layout>
                <c:manualLayout>
                  <c:x val="5.1813475730363981E-3"/>
                  <c:y val="-4.13650397991939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3A-4D93-A03E-6B5331912DC7}"/>
                </c:ext>
              </c:extLst>
            </c:dLbl>
            <c:dLbl>
              <c:idx val="17"/>
              <c:layout>
                <c:manualLayout>
                  <c:x val="6.348647209090529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09-4CA7-8FBA-C960346A9A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 X EDAD'!$D$34:$Q$34,'ADMI X EDAD'!$R$34,'ADMI X EDAD'!$S$34,'ADMI X EDAD'!$T$34,'ADMI X EDAD'!$U$34)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('ADMI X EDAD'!$D$35:$L$35,'ADMI X EDAD'!$M$35,'ADMI X EDAD'!$N$35,'ADMI X EDAD'!$O$35,'ADMI X EDAD'!$P$35,'ADMI X EDAD'!$Q$35,'ADMI X EDAD'!$R$35,'ADMI X EDAD'!$S$35,'ADMI X EDAD'!$T$35,'ADMI X EDAD'!$U$35)</c:f>
              <c:numCache>
                <c:formatCode>0.0%</c:formatCode>
                <c:ptCount val="18"/>
                <c:pt idx="0">
                  <c:v>3.1791907514450865E-2</c:v>
                </c:pt>
                <c:pt idx="1">
                  <c:v>4.3089975440946643E-2</c:v>
                </c:pt>
                <c:pt idx="2">
                  <c:v>7.0538495772140636E-2</c:v>
                </c:pt>
                <c:pt idx="3">
                  <c:v>7.5578855395369154E-2</c:v>
                </c:pt>
                <c:pt idx="4">
                  <c:v>8.116744780570942E-2</c:v>
                </c:pt>
                <c:pt idx="5">
                  <c:v>9.9023993493289955E-2</c:v>
                </c:pt>
                <c:pt idx="6">
                  <c:v>0.10187774670395526</c:v>
                </c:pt>
                <c:pt idx="7">
                  <c:v>0.11065170309115968</c:v>
                </c:pt>
                <c:pt idx="8">
                  <c:v>0.11241907004120071</c:v>
                </c:pt>
                <c:pt idx="9">
                  <c:v>0.10817634492134395</c:v>
                </c:pt>
                <c:pt idx="10">
                  <c:v>0.11076443057722309</c:v>
                </c:pt>
                <c:pt idx="11">
                  <c:v>0.11326178612495209</c:v>
                </c:pt>
                <c:pt idx="12">
                  <c:v>0.11234237676729079</c:v>
                </c:pt>
                <c:pt idx="13">
                  <c:v>0.10396323951751867</c:v>
                </c:pt>
                <c:pt idx="14">
                  <c:v>0.10028382213812677</c:v>
                </c:pt>
                <c:pt idx="15">
                  <c:v>9.7943008114738633E-2</c:v>
                </c:pt>
                <c:pt idx="16">
                  <c:v>8.2489975176627844E-2</c:v>
                </c:pt>
                <c:pt idx="17">
                  <c:v>8.0733598033654749E-2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E2-4997-A381-07DC534FB501}"/>
            </c:ext>
          </c:extLst>
        </c:ser>
        <c:ser>
          <c:idx val="1"/>
          <c:order val="1"/>
          <c:tx>
            <c:strRef>
              <c:f>'ADMI X EDAD'!$B$36</c:f>
              <c:strCache>
                <c:ptCount val="1"/>
                <c:pt idx="0">
                  <c:v>31 - 40 AÑOS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1E2-4997-A381-07DC534FB501}"/>
                </c:ext>
              </c:extLst>
            </c:dLbl>
            <c:dLbl>
              <c:idx val="1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1E2-4997-A381-07DC534FB501}"/>
                </c:ext>
              </c:extLst>
            </c:dLbl>
            <c:dLbl>
              <c:idx val="2"/>
              <c:layout>
                <c:manualLayout>
                  <c:x val="2.3556314723204835E-3"/>
                  <c:y val="-6.20882733206404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1E2-4997-A381-07DC534FB501}"/>
                </c:ext>
              </c:extLst>
            </c:dLbl>
            <c:dLbl>
              <c:idx val="3"/>
              <c:layout>
                <c:manualLayout>
                  <c:x val="3.072983602527234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3A-4D93-A03E-6B5331912DC7}"/>
                </c:ext>
              </c:extLst>
            </c:dLbl>
            <c:dLbl>
              <c:idx val="4"/>
              <c:layout>
                <c:manualLayout>
                  <c:x val="6.145967205054431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3A-4D93-A03E-6B5331912DC7}"/>
                </c:ext>
              </c:extLst>
            </c:dLbl>
            <c:dLbl>
              <c:idx val="5"/>
              <c:layout>
                <c:manualLayout>
                  <c:x val="3.3799593398294863E-3"/>
                  <c:y val="-3.10433223878832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1E2-4997-A381-07DC534FB501}"/>
                </c:ext>
              </c:extLst>
            </c:dLbl>
            <c:dLbl>
              <c:idx val="6"/>
              <c:layout>
                <c:manualLayout>
                  <c:x val="5.4286150748477178E-3"/>
                  <c:y val="-3.10433223878832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1E2-4997-A381-07DC534FB501}"/>
                </c:ext>
              </c:extLst>
            </c:dLbl>
            <c:dLbl>
              <c:idx val="7"/>
              <c:layout>
                <c:manualLayout>
                  <c:x val="5.4286150748477178E-3"/>
                  <c:y val="-7.24083621870778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1E2-4997-A381-07DC534FB501}"/>
                </c:ext>
              </c:extLst>
            </c:dLbl>
            <c:dLbl>
              <c:idx val="8"/>
              <c:layout>
                <c:manualLayout>
                  <c:x val="5.0359829442151042E-3"/>
                  <c:y val="-6.20882733206412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1E2-4997-A381-07DC534FB501}"/>
                </c:ext>
              </c:extLst>
            </c:dLbl>
            <c:dLbl>
              <c:idx val="9"/>
              <c:layout>
                <c:manualLayout>
                  <c:x val="5.4286150748477178E-3"/>
                  <c:y val="-3.10433223878832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1E2-4997-A381-07DC534FB501}"/>
                </c:ext>
              </c:extLst>
            </c:dLbl>
            <c:dLbl>
              <c:idx val="10"/>
              <c:layout>
                <c:manualLayout>
                  <c:x val="5.4286150748477178E-3"/>
                  <c:y val="-7.583503024578149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1E2-4997-A381-07DC534FB501}"/>
                </c:ext>
              </c:extLst>
            </c:dLbl>
            <c:dLbl>
              <c:idx val="11"/>
              <c:layout>
                <c:manualLayout>
                  <c:x val="6.1943476577621783E-3"/>
                  <c:y val="-9.49287847122267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1E2-4997-A381-07DC534FB501}"/>
                </c:ext>
              </c:extLst>
            </c:dLbl>
            <c:dLbl>
              <c:idx val="12"/>
              <c:layout>
                <c:manualLayout>
                  <c:x val="4.4608268793956372E-3"/>
                  <c:y val="-7.583503024578149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1E2-4997-A381-07DC534FB501}"/>
                </c:ext>
              </c:extLst>
            </c:dLbl>
            <c:dLbl>
              <c:idx val="13"/>
              <c:layout>
                <c:manualLayout>
                  <c:x val="6.84462696783005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1E2-4997-A381-07DC534FB501}"/>
                </c:ext>
              </c:extLst>
            </c:dLbl>
            <c:dLbl>
              <c:idx val="14"/>
              <c:layout>
                <c:manualLayout>
                  <c:x val="5.102040816326530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1E2-4997-A381-07DC534FB501}"/>
                </c:ext>
              </c:extLst>
            </c:dLbl>
            <c:dLbl>
              <c:idx val="15"/>
              <c:layout>
                <c:manualLayout>
                  <c:x val="7.392804337111877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1E2-4997-A381-07DC534FB501}"/>
                </c:ext>
              </c:extLst>
            </c:dLbl>
            <c:dLbl>
              <c:idx val="16"/>
              <c:layout>
                <c:manualLayout>
                  <c:x val="6.21761708764367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3A-4D93-A03E-6B5331912DC7}"/>
                </c:ext>
              </c:extLst>
            </c:dLbl>
            <c:dLbl>
              <c:idx val="17"/>
              <c:layout>
                <c:manualLayout>
                  <c:x val="4.2324314727270199E-3"/>
                  <c:y val="-1.5167006049156299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09-4CA7-8FBA-C960346A9A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 X EDAD'!$D$34:$Q$34,'ADMI X EDAD'!$R$34,'ADMI X EDAD'!$S$34,'ADMI X EDAD'!$T$34,'ADMI X EDAD'!$U$34)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('ADMI X EDAD'!$D$36:$L$36,'ADMI X EDAD'!$M$36,'ADMI X EDAD'!$N$36,'ADMI X EDAD'!$O$36,'ADMI X EDAD'!$P$36,'ADMI X EDAD'!$Q$36,'ADMI X EDAD'!$R$36,'ADMI X EDAD'!$S$36,'ADMI X EDAD'!$T$36,'ADMI X EDAD'!$U$36)</c:f>
              <c:numCache>
                <c:formatCode>0.0%</c:formatCode>
                <c:ptCount val="18"/>
                <c:pt idx="0">
                  <c:v>0.17407736771898621</c:v>
                </c:pt>
                <c:pt idx="1">
                  <c:v>0.18039741013619112</c:v>
                </c:pt>
                <c:pt idx="2">
                  <c:v>0.20716510903426791</c:v>
                </c:pt>
                <c:pt idx="3">
                  <c:v>0.20816950633464396</c:v>
                </c:pt>
                <c:pt idx="4">
                  <c:v>0.21154665530464423</c:v>
                </c:pt>
                <c:pt idx="5">
                  <c:v>0.20963806425376169</c:v>
                </c:pt>
                <c:pt idx="6">
                  <c:v>0.20455453455852976</c:v>
                </c:pt>
                <c:pt idx="7">
                  <c:v>0.20318960425280566</c:v>
                </c:pt>
                <c:pt idx="8">
                  <c:v>0.20953502060035314</c:v>
                </c:pt>
                <c:pt idx="9">
                  <c:v>0.21829481452709265</c:v>
                </c:pt>
                <c:pt idx="10">
                  <c:v>0.21938377535101405</c:v>
                </c:pt>
                <c:pt idx="11">
                  <c:v>0.22824837102338061</c:v>
                </c:pt>
                <c:pt idx="12">
                  <c:v>0.23251815055406955</c:v>
                </c:pt>
                <c:pt idx="13">
                  <c:v>0.23798583189737699</c:v>
                </c:pt>
                <c:pt idx="14">
                  <c:v>0.23197729422894986</c:v>
                </c:pt>
                <c:pt idx="15">
                  <c:v>0.23004340441592752</c:v>
                </c:pt>
                <c:pt idx="16">
                  <c:v>0.22875692190185221</c:v>
                </c:pt>
                <c:pt idx="17">
                  <c:v>0.22953299300434865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B1E2-4997-A381-07DC534FB501}"/>
            </c:ext>
          </c:extLst>
        </c:ser>
        <c:ser>
          <c:idx val="2"/>
          <c:order val="2"/>
          <c:tx>
            <c:strRef>
              <c:f>'ADMI X EDAD'!$B$37</c:f>
              <c:strCache>
                <c:ptCount val="1"/>
                <c:pt idx="0">
                  <c:v>41 -50 AÑOS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25079702444208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1E2-4997-A381-07DC534FB501}"/>
                </c:ext>
              </c:extLst>
            </c:dLbl>
            <c:dLbl>
              <c:idx val="1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1E2-4997-A381-07DC534FB501}"/>
                </c:ext>
              </c:extLst>
            </c:dLbl>
            <c:dLbl>
              <c:idx val="2"/>
              <c:layout>
                <c:manualLayout>
                  <c:x val="7.08466170740347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1E2-4997-A381-07DC534FB501}"/>
                </c:ext>
              </c:extLst>
            </c:dLbl>
            <c:dLbl>
              <c:idx val="3"/>
              <c:layout>
                <c:manualLayout>
                  <c:x val="7.0846617074034716E-3"/>
                  <c:y val="-6.2087691286310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1E2-4997-A381-07DC534FB501}"/>
                </c:ext>
              </c:extLst>
            </c:dLbl>
            <c:dLbl>
              <c:idx val="4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1E2-4997-A381-07DC534FB501}"/>
                </c:ext>
              </c:extLst>
            </c:dLbl>
            <c:dLbl>
              <c:idx val="5"/>
              <c:layout>
                <c:manualLayout>
                  <c:x val="5.327281511764495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1E2-4997-A381-07DC534FB501}"/>
                </c:ext>
              </c:extLst>
            </c:dLbl>
            <c:dLbl>
              <c:idx val="6"/>
              <c:layout>
                <c:manualLayout>
                  <c:x val="5.327281511764534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1E2-4997-A381-07DC534FB501}"/>
                </c:ext>
              </c:extLst>
            </c:dLbl>
            <c:dLbl>
              <c:idx val="7"/>
              <c:layout>
                <c:manualLayout>
                  <c:x val="4.26917364358270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1E2-4997-A381-07DC534FB501}"/>
                </c:ext>
              </c:extLst>
            </c:dLbl>
            <c:dLbl>
              <c:idx val="8"/>
              <c:layout>
                <c:manualLayout>
                  <c:x val="4.2691736435827021E-3"/>
                  <c:y val="-7.583503024578149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1E2-4997-A381-07DC534FB501}"/>
                </c:ext>
              </c:extLst>
            </c:dLbl>
            <c:dLbl>
              <c:idx val="9"/>
              <c:layout>
                <c:manualLayout>
                  <c:x val="7.0846617074033676E-3"/>
                  <c:y val="-6.2087691286310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1E2-4997-A381-07DC534FB501}"/>
                </c:ext>
              </c:extLst>
            </c:dLbl>
            <c:dLbl>
              <c:idx val="10"/>
              <c:layout>
                <c:manualLayout>
                  <c:x val="5.3272815117644569E-3"/>
                  <c:y val="-9.31315957085244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1E2-4997-A381-07DC534FB501}"/>
                </c:ext>
              </c:extLst>
            </c:dLbl>
            <c:dLbl>
              <c:idx val="11"/>
              <c:layout>
                <c:manualLayout>
                  <c:x val="6.1943476577621783E-3"/>
                  <c:y val="-9.49287847122267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1E2-4997-A381-07DC534FB501}"/>
                </c:ext>
              </c:extLst>
            </c:dLbl>
            <c:dLbl>
              <c:idx val="12"/>
              <c:layout>
                <c:manualLayout>
                  <c:x val="3.9811516829288962E-3"/>
                  <c:y val="-7.583503024578149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1E2-4997-A381-07DC534FB501}"/>
                </c:ext>
              </c:extLst>
            </c:dLbl>
            <c:dLbl>
              <c:idx val="13"/>
              <c:layout>
                <c:manualLayout>
                  <c:x val="5.0392595511104957E-3"/>
                  <c:y val="-6.20899018655152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1E2-4997-A381-07DC534FB501}"/>
                </c:ext>
              </c:extLst>
            </c:dLbl>
            <c:dLbl>
              <c:idx val="14"/>
              <c:layout>
                <c:manualLayout>
                  <c:x val="5.1020408163265302E-3"/>
                  <c:y val="-1.0351965186096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1E2-4997-A381-07DC534FB501}"/>
                </c:ext>
              </c:extLst>
            </c:dLbl>
            <c:dLbl>
              <c:idx val="15"/>
              <c:layout>
                <c:manualLayout>
                  <c:x val="4.9285362247410711E-3"/>
                  <c:y val="-2.12856499020105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1E2-4997-A381-07DC534FB501}"/>
                </c:ext>
              </c:extLst>
            </c:dLbl>
            <c:dLbl>
              <c:idx val="16"/>
              <c:layout>
                <c:manualLayout>
                  <c:x val="6.217617087643677E-3"/>
                  <c:y val="-2.06825198995969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3A-4D93-A03E-6B5331912DC7}"/>
                </c:ext>
              </c:extLst>
            </c:dLbl>
            <c:dLbl>
              <c:idx val="17"/>
              <c:layout>
                <c:manualLayout>
                  <c:x val="3.174323604545264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09-4CA7-8FBA-C960346A9A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 X EDAD'!$D$34:$Q$34,'ADMI X EDAD'!$R$34,'ADMI X EDAD'!$S$34,'ADMI X EDAD'!$T$34,'ADMI X EDAD'!$U$34)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('ADMI X EDAD'!$D$37:$L$37,'ADMI X EDAD'!$M$37,'ADMI X EDAD'!$N$37,'ADMI X EDAD'!$O$37,'ADMI X EDAD'!$P$37,'ADMI X EDAD'!$Q$37,'ADMI X EDAD'!$R$37,'ADMI X EDAD'!$S$37,'ADMI X EDAD'!$T$37,'ADMI X EDAD'!$U$37)</c:f>
              <c:numCache>
                <c:formatCode>0.0%</c:formatCode>
                <c:ptCount val="18"/>
                <c:pt idx="0">
                  <c:v>0.36082703423743884</c:v>
                </c:pt>
                <c:pt idx="1">
                  <c:v>0.3634739897298504</c:v>
                </c:pt>
                <c:pt idx="2">
                  <c:v>0.37383177570093457</c:v>
                </c:pt>
                <c:pt idx="3">
                  <c:v>0.36194844910441243</c:v>
                </c:pt>
                <c:pt idx="4">
                  <c:v>0.34490839369407755</c:v>
                </c:pt>
                <c:pt idx="5">
                  <c:v>0.32696217974786501</c:v>
                </c:pt>
                <c:pt idx="6">
                  <c:v>0.32121454254894127</c:v>
                </c:pt>
                <c:pt idx="7">
                  <c:v>0.31403819649537312</c:v>
                </c:pt>
                <c:pt idx="8">
                  <c:v>0.3046890327643712</c:v>
                </c:pt>
                <c:pt idx="9">
                  <c:v>0.297533501650806</c:v>
                </c:pt>
                <c:pt idx="10">
                  <c:v>0.28802652106084242</c:v>
                </c:pt>
                <c:pt idx="11">
                  <c:v>0.28229206592564199</c:v>
                </c:pt>
                <c:pt idx="12">
                  <c:v>0.28677875429881544</c:v>
                </c:pt>
                <c:pt idx="13">
                  <c:v>0.28087306145893165</c:v>
                </c:pt>
                <c:pt idx="14">
                  <c:v>0.28192999053926204</c:v>
                </c:pt>
                <c:pt idx="15">
                  <c:v>0.27816569163993204</c:v>
                </c:pt>
                <c:pt idx="16">
                  <c:v>0.27343899178919229</c:v>
                </c:pt>
                <c:pt idx="17">
                  <c:v>0.2739648326715825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0-B1E2-4997-A381-07DC534FB501}"/>
            </c:ext>
          </c:extLst>
        </c:ser>
        <c:ser>
          <c:idx val="3"/>
          <c:order val="3"/>
          <c:tx>
            <c:strRef>
              <c:f>'ADMI X EDAD'!$B$38</c:f>
              <c:strCache>
                <c:ptCount val="1"/>
                <c:pt idx="0">
                  <c:v>51 - 60 AÑOS</c:v>
                </c:pt>
              </c:strCache>
            </c:strRef>
          </c:tx>
          <c:spPr>
            <a:solidFill>
              <a:srgbClr val="CC9900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25079702444208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1E2-4997-A381-07DC534FB501}"/>
                </c:ext>
              </c:extLst>
            </c:dLbl>
            <c:dLbl>
              <c:idx val="1"/>
              <c:layout>
                <c:manualLayout>
                  <c:x val="7.0846617074034716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1E2-4997-A381-07DC534FB501}"/>
                </c:ext>
              </c:extLst>
            </c:dLbl>
            <c:dLbl>
              <c:idx val="2"/>
              <c:layout>
                <c:manualLayout>
                  <c:x val="5.4286150748477178E-3"/>
                  <c:y val="-3.791751512289074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1E2-4997-A381-07DC534FB501}"/>
                </c:ext>
              </c:extLst>
            </c:dLbl>
            <c:dLbl>
              <c:idx val="3"/>
              <c:layout>
                <c:manualLayout>
                  <c:x val="4.0116550767060263E-3"/>
                  <c:y val="-3.104332238788361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1E2-4997-A381-07DC534FB501}"/>
                </c:ext>
              </c:extLst>
            </c:dLbl>
            <c:dLbl>
              <c:idx val="4"/>
              <c:layout>
                <c:manualLayout>
                  <c:x val="3.379959339829561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1E2-4997-A381-07DC534FB501}"/>
                </c:ext>
              </c:extLst>
            </c:dLbl>
            <c:dLbl>
              <c:idx val="5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1E2-4997-A381-07DC534FB501}"/>
                </c:ext>
              </c:extLst>
            </c:dLbl>
            <c:dLbl>
              <c:idx val="6"/>
              <c:layout>
                <c:manualLayout>
                  <c:x val="7.08466170740347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1E2-4997-A381-07DC534FB501}"/>
                </c:ext>
              </c:extLst>
            </c:dLbl>
            <c:dLbl>
              <c:idx val="7"/>
              <c:layout>
                <c:manualLayout>
                  <c:x val="5.3272815117645349E-3"/>
                  <c:y val="-1.03608024882866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1E2-4997-A381-07DC534FB501}"/>
                </c:ext>
              </c:extLst>
            </c:dLbl>
            <c:dLbl>
              <c:idx val="8"/>
              <c:layout>
                <c:manualLayout>
                  <c:x val="3.9103334397828727E-3"/>
                  <c:y val="-3.10433223878832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1E2-4997-A381-07DC534FB501}"/>
                </c:ext>
              </c:extLst>
            </c:dLbl>
            <c:dLbl>
              <c:idx val="9"/>
              <c:layout>
                <c:manualLayout>
                  <c:x val="3.9103334397827955E-3"/>
                  <c:y val="-3.791751512289074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1E2-4997-A381-07DC534FB501}"/>
                </c:ext>
              </c:extLst>
            </c:dLbl>
            <c:dLbl>
              <c:idx val="10"/>
              <c:layout>
                <c:manualLayout>
                  <c:x val="5.3272815117644569E-3"/>
                  <c:y val="2.06825198995965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1E2-4997-A381-07DC534FB501}"/>
                </c:ext>
              </c:extLst>
            </c:dLbl>
            <c:dLbl>
              <c:idx val="11"/>
              <c:layout>
                <c:manualLayout>
                  <c:x val="4.0009807910097051E-3"/>
                  <c:y val="-1.04145444691281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1E2-4997-A381-07DC534FB501}"/>
                </c:ext>
              </c:extLst>
            </c:dLbl>
            <c:dLbl>
              <c:idx val="12"/>
              <c:layout>
                <c:manualLayout>
                  <c:x val="4.728409121489696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1E2-4997-A381-07DC534FB501}"/>
                </c:ext>
              </c:extLst>
            </c:dLbl>
            <c:dLbl>
              <c:idx val="13"/>
              <c:layout>
                <c:manualLayout>
                  <c:x val="5.0392595511104957E-3"/>
                  <c:y val="-4.14073819659178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1E2-4997-A381-07DC534FB501}"/>
                </c:ext>
              </c:extLst>
            </c:dLbl>
            <c:dLbl>
              <c:idx val="14"/>
              <c:layout>
                <c:manualLayout>
                  <c:x val="4.09731147003616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3A-4D93-A03E-6B5331912DC7}"/>
                </c:ext>
              </c:extLst>
            </c:dLbl>
            <c:dLbl>
              <c:idx val="15"/>
              <c:layout>
                <c:manualLayout>
                  <c:x val="5.4505885704186317E-3"/>
                  <c:y val="-2.12850815029710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1E2-4997-A381-07DC534FB501}"/>
                </c:ext>
              </c:extLst>
            </c:dLbl>
            <c:dLbl>
              <c:idx val="16"/>
              <c:layout>
                <c:manualLayout>
                  <c:x val="5.1813475730363981E-3"/>
                  <c:y val="-2.06825198995965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3A-4D93-A03E-6B5331912DC7}"/>
                </c:ext>
              </c:extLst>
            </c:dLbl>
            <c:dLbl>
              <c:idx val="17"/>
              <c:layout>
                <c:manualLayout>
                  <c:x val="4.2324314727270199E-3"/>
                  <c:y val="3.791751512289074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09-4CA7-8FBA-C960346A9A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 X EDAD'!$D$34:$Q$34,'ADMI X EDAD'!$R$34,'ADMI X EDAD'!$S$34,'ADMI X EDAD'!$T$34,'ADMI X EDAD'!$U$34)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('ADMI X EDAD'!$D$38:$L$38,'ADMI X EDAD'!$M$38,'ADMI X EDAD'!$N$38,'ADMI X EDAD'!$O$38,'ADMI X EDAD'!$P$38,'ADMI X EDAD'!$Q$38,'ADMI X EDAD'!$R$38,'ADMI X EDAD'!$S$38,'ADMI X EDAD'!$T$38,'ADMI X EDAD'!$U$38)</c:f>
              <c:numCache>
                <c:formatCode>0.0%</c:formatCode>
                <c:ptCount val="18"/>
                <c:pt idx="0">
                  <c:v>0.31458425967096487</c:v>
                </c:pt>
                <c:pt idx="1">
                  <c:v>0.30229962045099351</c:v>
                </c:pt>
                <c:pt idx="2">
                  <c:v>0.26479750778816197</c:v>
                </c:pt>
                <c:pt idx="3">
                  <c:v>0.26692878986456969</c:v>
                </c:pt>
                <c:pt idx="4">
                  <c:v>0.26906689390711547</c:v>
                </c:pt>
                <c:pt idx="5">
                  <c:v>0.2686051240341602</c:v>
                </c:pt>
                <c:pt idx="6">
                  <c:v>0.26987614862165399</c:v>
                </c:pt>
                <c:pt idx="7">
                  <c:v>0.26914746997440442</c:v>
                </c:pt>
                <c:pt idx="8">
                  <c:v>0.27251324308416713</c:v>
                </c:pt>
                <c:pt idx="9">
                  <c:v>0.27209166828510389</c:v>
                </c:pt>
                <c:pt idx="10">
                  <c:v>0.27730109204368175</c:v>
                </c:pt>
                <c:pt idx="11">
                  <c:v>0.27270985051743962</c:v>
                </c:pt>
                <c:pt idx="12">
                  <c:v>0.2623232709209018</c:v>
                </c:pt>
                <c:pt idx="13">
                  <c:v>0.27187440168485544</c:v>
                </c:pt>
                <c:pt idx="14">
                  <c:v>0.27246925260170296</c:v>
                </c:pt>
                <c:pt idx="15">
                  <c:v>0.27137195697301375</c:v>
                </c:pt>
                <c:pt idx="16">
                  <c:v>0.28298644261982053</c:v>
                </c:pt>
                <c:pt idx="17">
                  <c:v>0.28152769899792024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0-B1E2-4997-A381-07DC534FB501}"/>
            </c:ext>
          </c:extLst>
        </c:ser>
        <c:ser>
          <c:idx val="4"/>
          <c:order val="4"/>
          <c:tx>
            <c:strRef>
              <c:f>'ADMI X EDAD'!$B$39</c:f>
              <c:strCache>
                <c:ptCount val="1"/>
                <c:pt idx="0">
                  <c:v>61 - 70 AÑOS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6677293659227771E-3"/>
                  <c:y val="1.42282648869826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1E2-4997-A381-07DC534FB501}"/>
                </c:ext>
              </c:extLst>
            </c:dLbl>
            <c:dLbl>
              <c:idx val="1"/>
              <c:layout>
                <c:manualLayout>
                  <c:x val="4.2507993386874578E-3"/>
                  <c:y val="-6.2047559698790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1E2-4997-A381-07DC534FB501}"/>
                </c:ext>
              </c:extLst>
            </c:dLbl>
            <c:dLbl>
              <c:idx val="2"/>
              <c:layout>
                <c:manualLayout>
                  <c:x val="4.2507970244420826E-3"/>
                  <c:y val="-1.42282648869826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B1E2-4997-A381-07DC534FB501}"/>
                </c:ext>
              </c:extLst>
            </c:dLbl>
            <c:dLbl>
              <c:idx val="3"/>
              <c:layout>
                <c:manualLayout>
                  <c:x val="7.08466170740347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B1E2-4997-A381-07DC534FB501}"/>
                </c:ext>
              </c:extLst>
            </c:dLbl>
            <c:dLbl>
              <c:idx val="4"/>
              <c:layout>
                <c:manualLayout>
                  <c:x val="7.08466170740347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B1E2-4997-A381-07DC534FB501}"/>
                </c:ext>
              </c:extLst>
            </c:dLbl>
            <c:dLbl>
              <c:idx val="5"/>
              <c:layout>
                <c:manualLayout>
                  <c:x val="5.6677293659227771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B1E2-4997-A381-07DC534FB501}"/>
                </c:ext>
              </c:extLst>
            </c:dLbl>
            <c:dLbl>
              <c:idx val="6"/>
              <c:layout>
                <c:manualLayout>
                  <c:x val="7.0846617074034716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B1E2-4997-A381-07DC534FB501}"/>
                </c:ext>
              </c:extLst>
            </c:dLbl>
            <c:dLbl>
              <c:idx val="7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B1E2-4997-A381-07DC534FB501}"/>
                </c:ext>
              </c:extLst>
            </c:dLbl>
            <c:dLbl>
              <c:idx val="8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B1E2-4997-A381-07DC534FB501}"/>
                </c:ext>
              </c:extLst>
            </c:dLbl>
            <c:dLbl>
              <c:idx val="9"/>
              <c:layout>
                <c:manualLayout>
                  <c:x val="8.5015940488840612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B1E2-4997-A381-07DC534FB501}"/>
                </c:ext>
              </c:extLst>
            </c:dLbl>
            <c:dLbl>
              <c:idx val="10"/>
              <c:layout>
                <c:manualLayout>
                  <c:x val="9.9185263903648607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B1E2-4997-A381-07DC534FB501}"/>
                </c:ext>
              </c:extLst>
            </c:dLbl>
            <c:dLbl>
              <c:idx val="11"/>
              <c:layout>
                <c:manualLayout>
                  <c:x val="4.64576074332160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B1E2-4997-A381-07DC534FB501}"/>
                </c:ext>
              </c:extLst>
            </c:dLbl>
            <c:dLbl>
              <c:idx val="12"/>
              <c:layout>
                <c:manualLayout>
                  <c:x val="6.8446269678300526E-3"/>
                  <c:y val="-6.21117911165792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B1E2-4997-A381-07DC534FB501}"/>
                </c:ext>
              </c:extLst>
            </c:dLbl>
            <c:dLbl>
              <c:idx val="13"/>
              <c:layout>
                <c:manualLayout>
                  <c:x val="9.5824777549623538E-3"/>
                  <c:y val="-4.14078607443861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B1E2-4997-A381-07DC534FB501}"/>
                </c:ext>
              </c:extLst>
            </c:dLbl>
            <c:dLbl>
              <c:idx val="14"/>
              <c:layout>
                <c:manualLayout>
                  <c:x val="5.102040816326530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B1E2-4997-A381-07DC534FB501}"/>
                </c:ext>
              </c:extLst>
            </c:dLbl>
            <c:dLbl>
              <c:idx val="15"/>
              <c:layout>
                <c:manualLayout>
                  <c:x val="4.928536224741071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B1E2-4997-A381-07DC534FB501}"/>
                </c:ext>
              </c:extLst>
            </c:dLbl>
            <c:dLbl>
              <c:idx val="16"/>
              <c:layout>
                <c:manualLayout>
                  <c:x val="5.1813475730363981E-3"/>
                  <c:y val="-8.27300795983879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3A-4D93-A03E-6B5331912DC7}"/>
                </c:ext>
              </c:extLst>
            </c:dLbl>
            <c:dLbl>
              <c:idx val="17"/>
              <c:layout>
                <c:manualLayout>
                  <c:x val="5.290539340908774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09-4CA7-8FBA-C960346A9A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 X EDAD'!$D$34:$Q$34,'ADMI X EDAD'!$R$34,'ADMI X EDAD'!$S$34,'ADMI X EDAD'!$T$34,'ADMI X EDAD'!$U$34)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('ADMI X EDAD'!$D$39:$Q$39,'ADMI X EDAD'!$R$39,'ADMI X EDAD'!$S$39,'ADMI X EDAD'!$T$39,'ADMI X EDAD'!$U$39)</c:f>
              <c:numCache>
                <c:formatCode>0.0%</c:formatCode>
                <c:ptCount val="18"/>
                <c:pt idx="0">
                  <c:v>9.8932859048465979E-2</c:v>
                </c:pt>
                <c:pt idx="1">
                  <c:v>9.2431346282652371E-2</c:v>
                </c:pt>
                <c:pt idx="2">
                  <c:v>7.0761014686248333E-2</c:v>
                </c:pt>
                <c:pt idx="3">
                  <c:v>7.4705111402359109E-2</c:v>
                </c:pt>
                <c:pt idx="4">
                  <c:v>7.9889220281210052E-2</c:v>
                </c:pt>
                <c:pt idx="5">
                  <c:v>8.255388369255795E-2</c:v>
                </c:pt>
                <c:pt idx="6">
                  <c:v>8.8893328006392325E-2</c:v>
                </c:pt>
                <c:pt idx="7">
                  <c:v>8.8993896436306355E-2</c:v>
                </c:pt>
                <c:pt idx="8">
                  <c:v>8.7894840102020796E-2</c:v>
                </c:pt>
                <c:pt idx="9">
                  <c:v>9.0114585356379881E-2</c:v>
                </c:pt>
                <c:pt idx="10">
                  <c:v>9.1263650546021841E-2</c:v>
                </c:pt>
                <c:pt idx="11">
                  <c:v>8.8348026063625906E-2</c:v>
                </c:pt>
                <c:pt idx="12">
                  <c:v>9.1708062667176155E-2</c:v>
                </c:pt>
                <c:pt idx="13">
                  <c:v>9.0369519433275897E-2</c:v>
                </c:pt>
                <c:pt idx="14">
                  <c:v>9.5931882686849573E-2</c:v>
                </c:pt>
                <c:pt idx="15">
                  <c:v>0.10568031704095113</c:v>
                </c:pt>
                <c:pt idx="16">
                  <c:v>0.11227802176818789</c:v>
                </c:pt>
                <c:pt idx="17">
                  <c:v>0.11401020986954055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1-B1E2-4997-A381-07DC534FB501}"/>
            </c:ext>
          </c:extLst>
        </c:ser>
        <c:ser>
          <c:idx val="5"/>
          <c:order val="5"/>
          <c:tx>
            <c:strRef>
              <c:f>'ADMI X EDAD'!$B$40</c:f>
              <c:strCache>
                <c:ptCount val="1"/>
                <c:pt idx="0">
                  <c:v>MÁS DE 70 AÑOS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6313903660715802E-3"/>
                  <c:y val="-6.212735839761607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B1E2-4997-A381-07DC534FB501}"/>
                </c:ext>
              </c:extLst>
            </c:dLbl>
            <c:dLbl>
              <c:idx val="1"/>
              <c:layout>
                <c:manualLayout>
                  <c:x val="3.3092899766871998E-3"/>
                  <c:y val="-8.280987829721302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B1E2-4997-A381-07DC534FB501}"/>
                </c:ext>
              </c:extLst>
            </c:dLbl>
            <c:dLbl>
              <c:idx val="2"/>
              <c:layout>
                <c:manualLayout>
                  <c:x val="4.9173844328982445E-3"/>
                  <c:y val="-9.3131595708523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B1E2-4997-A381-07DC534FB501}"/>
                </c:ext>
              </c:extLst>
            </c:dLbl>
            <c:dLbl>
              <c:idx val="3"/>
              <c:layout>
                <c:manualLayout>
                  <c:x val="4.2617603738534021E-3"/>
                  <c:y val="-8.27707932202374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B1E2-4997-A381-07DC534FB501}"/>
                </c:ext>
              </c:extLst>
            </c:dLbl>
            <c:dLbl>
              <c:idx val="4"/>
              <c:layout>
                <c:manualLayout>
                  <c:x val="7.0846699718090794E-3"/>
                  <c:y val="-9.313153692946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B1E2-4997-A381-07DC534FB501}"/>
                </c:ext>
              </c:extLst>
            </c:dLbl>
            <c:dLbl>
              <c:idx val="5"/>
              <c:layout>
                <c:manualLayout>
                  <c:x val="7.0846699718090794E-3"/>
                  <c:y val="-9.313153692946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B1E2-4997-A381-07DC534FB501}"/>
                </c:ext>
              </c:extLst>
            </c:dLbl>
            <c:dLbl>
              <c:idx val="6"/>
              <c:layout>
                <c:manualLayout>
                  <c:x val="5.3928444692459337E-3"/>
                  <c:y val="-9.31315957085238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B1E2-4997-A381-07DC534FB501}"/>
                </c:ext>
              </c:extLst>
            </c:dLbl>
            <c:dLbl>
              <c:idx val="7"/>
              <c:layout>
                <c:manualLayout>
                  <c:x val="3.9758479030515201E-3"/>
                  <c:y val="-1.13814115608120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B1E2-4997-A381-07DC534FB501}"/>
                </c:ext>
              </c:extLst>
            </c:dLbl>
            <c:dLbl>
              <c:idx val="8"/>
              <c:layout>
                <c:manualLayout>
                  <c:x val="6.5128065888315689E-3"/>
                  <c:y val="-9.313153692946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B1E2-4997-A381-07DC534FB501}"/>
                </c:ext>
              </c:extLst>
            </c:dLbl>
            <c:dLbl>
              <c:idx val="9"/>
              <c:layout>
                <c:manualLayout>
                  <c:x val="6.4674641154962359E-3"/>
                  <c:y val="-7.76490195915578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B1E2-4997-A381-07DC534FB501}"/>
                </c:ext>
              </c:extLst>
            </c:dLbl>
            <c:dLbl>
              <c:idx val="10"/>
              <c:layout>
                <c:manualLayout>
                  <c:x val="3.7125375311115442E-3"/>
                  <c:y val="-9.83527105745164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B1E2-4997-A381-07DC534FB501}"/>
                </c:ext>
              </c:extLst>
            </c:dLbl>
            <c:dLbl>
              <c:idx val="11"/>
              <c:layout>
                <c:manualLayout>
                  <c:x val="4.1334098268865378E-3"/>
                  <c:y val="-1.19035230474113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B1E2-4997-A381-07DC534FB501}"/>
                </c:ext>
              </c:extLst>
            </c:dLbl>
            <c:dLbl>
              <c:idx val="12"/>
              <c:layout>
                <c:manualLayout>
                  <c:x val="5.1430790374182231E-3"/>
                  <c:y val="-6.211107294887623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B1E2-4997-A381-07DC534FB501}"/>
                </c:ext>
              </c:extLst>
            </c:dLbl>
            <c:dLbl>
              <c:idx val="13"/>
              <c:layout>
                <c:manualLayout>
                  <c:x val="5.4757015742642025E-3"/>
                  <c:y val="-6.21117911165793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B1E2-4997-A381-07DC534FB501}"/>
                </c:ext>
              </c:extLst>
            </c:dLbl>
            <c:dLbl>
              <c:idx val="14"/>
              <c:layout>
                <c:manualLayout>
                  <c:x val="3.8265306122448979E-3"/>
                  <c:y val="-8.28157214887724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B1E2-4997-A381-07DC534FB501}"/>
                </c:ext>
              </c:extLst>
            </c:dLbl>
            <c:dLbl>
              <c:idx val="15"/>
              <c:layout>
                <c:manualLayout>
                  <c:x val="6.1606702809263838E-3"/>
                  <c:y val="-8.51425996080423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B1E2-4997-A381-07DC534FB501}"/>
                </c:ext>
              </c:extLst>
            </c:dLbl>
            <c:dLbl>
              <c:idx val="16"/>
              <c:layout>
                <c:manualLayout>
                  <c:x val="4.1450780584289665E-3"/>
                  <c:y val="-6.204755969879104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3A-4D93-A03E-6B5331912DC7}"/>
                </c:ext>
              </c:extLst>
            </c:dLbl>
            <c:dLbl>
              <c:idx val="17"/>
              <c:layout>
                <c:manualLayout>
                  <c:x val="6.3486472090905294E-3"/>
                  <c:y val="-6.204755969879104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809-4CA7-8FBA-C960346A9A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 X EDAD'!$D$34:$Q$34,'ADMI X EDAD'!$R$34,'ADMI X EDAD'!$S$34,'ADMI X EDAD'!$T$34,'ADMI X EDAD'!$U$34)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('ADMI X EDAD'!$D$40:$O$40,'ADMI X EDAD'!$P$40,'ADMI X EDAD'!$Q$40,'ADMI X EDAD'!$R$40,'ADMI X EDAD'!$S$40,'ADMI X EDAD'!$T$40,'ADMI X EDAD'!$U$40)</c:f>
              <c:numCache>
                <c:formatCode>0.0%</c:formatCode>
                <c:ptCount val="18"/>
                <c:pt idx="0">
                  <c:v>1.9786571809693197E-2</c:v>
                </c:pt>
                <c:pt idx="1">
                  <c:v>1.8307657959365928E-2</c:v>
                </c:pt>
                <c:pt idx="2">
                  <c:v>1.290609701824655E-2</c:v>
                </c:pt>
                <c:pt idx="3">
                  <c:v>1.2669287898645697E-2</c:v>
                </c:pt>
                <c:pt idx="4">
                  <c:v>1.342138900724329E-2</c:v>
                </c:pt>
                <c:pt idx="5">
                  <c:v>1.3216754778365189E-2</c:v>
                </c:pt>
                <c:pt idx="6">
                  <c:v>1.3583699560527367E-2</c:v>
                </c:pt>
                <c:pt idx="7">
                  <c:v>1.3979129749950778E-2</c:v>
                </c:pt>
                <c:pt idx="8">
                  <c:v>1.2948793407886992E-2</c:v>
                </c:pt>
                <c:pt idx="9">
                  <c:v>1.3789085259273645E-2</c:v>
                </c:pt>
                <c:pt idx="10">
                  <c:v>1.3260530421216849E-2</c:v>
                </c:pt>
                <c:pt idx="11">
                  <c:v>1.5139900344959755E-2</c:v>
                </c:pt>
                <c:pt idx="12">
                  <c:v>1.4329384791746275E-2</c:v>
                </c:pt>
                <c:pt idx="13">
                  <c:v>1.4933946008041356E-2</c:v>
                </c:pt>
                <c:pt idx="14">
                  <c:v>1.7407757805108798E-2</c:v>
                </c:pt>
                <c:pt idx="15">
                  <c:v>1.6795621815436874E-2</c:v>
                </c:pt>
                <c:pt idx="16">
                  <c:v>2.0049646744319267E-2</c:v>
                </c:pt>
                <c:pt idx="17">
                  <c:v>2.0230667422953298E-2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62-B1E2-4997-A381-07DC534FB5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9"/>
        <c:shape val="cylinder"/>
        <c:axId val="150078208"/>
        <c:axId val="150079744"/>
        <c:axId val="0"/>
      </c:bar3DChart>
      <c:catAx>
        <c:axId val="150078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0"/>
            </a:pPr>
            <a:endParaRPr lang="es-MX"/>
          </a:p>
        </c:txPr>
        <c:crossAx val="150079744"/>
        <c:crosses val="autoZero"/>
        <c:auto val="1"/>
        <c:lblAlgn val="ctr"/>
        <c:lblOffset val="100"/>
        <c:noMultiLvlLbl val="0"/>
      </c:catAx>
      <c:valAx>
        <c:axId val="1500797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500782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4.9530374795104637E-2"/>
          <c:y val="0.93766209588006455"/>
          <c:w val="0.89828417789239767"/>
          <c:h val="5.613631719281504E-2"/>
        </c:manualLayout>
      </c:layout>
      <c:overlay val="0"/>
      <c:txPr>
        <a:bodyPr/>
        <a:lstStyle/>
        <a:p>
          <a:pPr>
            <a:defRPr sz="11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1.8014289849177703E-2"/>
          <c:y val="0.10608194381060532"/>
          <c:w val="0.96611474778590678"/>
          <c:h val="0.75680875570391837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'ADMI X ANTIG'!$B$25</c:f>
              <c:strCache>
                <c:ptCount val="1"/>
                <c:pt idx="0">
                  <c:v>HASTA 5 AÑOS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3456027111389676E-3"/>
                  <c:y val="4.29161416901762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2F-4AFE-9227-A0FD3508EFD5}"/>
                </c:ext>
              </c:extLst>
            </c:dLbl>
            <c:dLbl>
              <c:idx val="1"/>
              <c:layout>
                <c:manualLayout>
                  <c:x val="4.3456027111389772E-3"/>
                  <c:y val="-4.29161416901762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2F-4AFE-9227-A0FD3508EFD5}"/>
                </c:ext>
              </c:extLst>
            </c:dLbl>
            <c:dLbl>
              <c:idx val="2"/>
              <c:layout>
                <c:manualLayout>
                  <c:x val="4.345602711138957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2F-4AFE-9227-A0FD3508EFD5}"/>
                </c:ext>
              </c:extLst>
            </c:dLbl>
            <c:dLbl>
              <c:idx val="3"/>
              <c:layout>
                <c:manualLayout>
                  <c:x val="3.690855222242005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2F-4AFE-9227-A0FD3508EFD5}"/>
                </c:ext>
              </c:extLst>
            </c:dLbl>
            <c:dLbl>
              <c:idx val="4"/>
              <c:layout>
                <c:manualLayout>
                  <c:x val="4.345602711138977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2F-4AFE-9227-A0FD3508EFD5}"/>
                </c:ext>
              </c:extLst>
            </c:dLbl>
            <c:dLbl>
              <c:idx val="5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2F-4AFE-9227-A0FD3508EFD5}"/>
                </c:ext>
              </c:extLst>
            </c:dLbl>
            <c:dLbl>
              <c:idx val="6"/>
              <c:layout>
                <c:manualLayout>
                  <c:x val="4.762551717794465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2F-4AFE-9227-A0FD3508EFD5}"/>
                </c:ext>
              </c:extLst>
            </c:dLbl>
            <c:dLbl>
              <c:idx val="7"/>
              <c:layout>
                <c:manualLayout>
                  <c:x val="3.27390621558643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2F-4AFE-9227-A0FD3508EFD5}"/>
                </c:ext>
              </c:extLst>
            </c:dLbl>
            <c:dLbl>
              <c:idx val="8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2F-4AFE-9227-A0FD3508EFD5}"/>
                </c:ext>
              </c:extLst>
            </c:dLbl>
            <c:dLbl>
              <c:idx val="9"/>
              <c:layout>
                <c:manualLayout>
                  <c:x val="6.731260064461876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2F-4AFE-9227-A0FD3508EFD5}"/>
                </c:ext>
              </c:extLst>
            </c:dLbl>
            <c:dLbl>
              <c:idx val="10"/>
              <c:layout>
                <c:manualLayout>
                  <c:x val="4.620716211012706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62F-4AFE-9227-A0FD3508EFD5}"/>
                </c:ext>
              </c:extLst>
            </c:dLbl>
            <c:dLbl>
              <c:idx val="11"/>
              <c:layout>
                <c:manualLayout>
                  <c:x val="6.1609549480169425E-3"/>
                  <c:y val="-7.86627254094858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62F-4AFE-9227-A0FD3508EFD5}"/>
                </c:ext>
              </c:extLst>
            </c:dLbl>
            <c:dLbl>
              <c:idx val="12"/>
              <c:layout>
                <c:manualLayout>
                  <c:x val="4.5784051888592137E-3"/>
                  <c:y val="-5.24418169396566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62F-4AFE-9227-A0FD3508EFD5}"/>
                </c:ext>
              </c:extLst>
            </c:dLbl>
            <c:dLbl>
              <c:idx val="13"/>
              <c:layout>
                <c:manualLayout>
                  <c:x val="5.0172467858260938E-3"/>
                  <c:y val="-5.24418169396566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62F-4AFE-9227-A0FD3508EFD5}"/>
                </c:ext>
              </c:extLst>
            </c:dLbl>
            <c:dLbl>
              <c:idx val="14"/>
              <c:layout>
                <c:manualLayout>
                  <c:x val="7.516442217350270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62F-4AFE-9227-A0FD3508EFD5}"/>
                </c:ext>
              </c:extLst>
            </c:dLbl>
            <c:dLbl>
              <c:idx val="15"/>
              <c:layout>
                <c:manualLayout>
                  <c:x val="7.24812756704518E-3"/>
                  <c:y val="-8.535467150983451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62F-4AFE-9227-A0FD3508EFD5}"/>
                </c:ext>
              </c:extLst>
            </c:dLbl>
            <c:dLbl>
              <c:idx val="16"/>
              <c:layout>
                <c:manualLayout>
                  <c:x val="5.358482477762298E-3"/>
                  <c:y val="-1.5735736839156528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45-4125-9A4B-3234528CB45F}"/>
                </c:ext>
              </c:extLst>
            </c:dLbl>
            <c:dLbl>
              <c:idx val="17"/>
              <c:layout>
                <c:manualLayout>
                  <c:x val="3.2813781788351109E-3"/>
                  <c:y val="-1.5735736839156528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46-45BE-A3A0-E5CE2D3A6B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 X ANTIG'!$D$24:$Q$24,'ADMI X ANTIG'!$R$24,'ADMI X ANTIG'!$S$24,'ADMI X ANTIG'!$T$24,'ADMI X ANTIG'!$U$24)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('ADMI X ANTIG'!$D$25:$L$25,'ADMI X ANTIG'!$M$25,'ADMI X ANTIG'!$N$25,'ADMI X ANTIG'!$O$25,'ADMI X ANTIG'!$P$25,'ADMI X ANTIG'!$Q$25,'ADMI X ANTIG'!$R$25,'ADMI X ANTIG'!$S$25,'ADMI X ANTIG'!$T$25:$U$25)</c:f>
              <c:numCache>
                <c:formatCode>0.0%</c:formatCode>
                <c:ptCount val="18"/>
                <c:pt idx="0">
                  <c:v>0.11116051578479325</c:v>
                </c:pt>
                <c:pt idx="1">
                  <c:v>0.10716677829872739</c:v>
                </c:pt>
                <c:pt idx="2">
                  <c:v>0.14196706720071206</c:v>
                </c:pt>
                <c:pt idx="3">
                  <c:v>0.14591524683267804</c:v>
                </c:pt>
                <c:pt idx="4">
                  <c:v>0.18108223263740947</c:v>
                </c:pt>
                <c:pt idx="5">
                  <c:v>0.23037820252135013</c:v>
                </c:pt>
                <c:pt idx="6">
                  <c:v>0.25149820215741109</c:v>
                </c:pt>
                <c:pt idx="7">
                  <c:v>0.28017326245323881</c:v>
                </c:pt>
                <c:pt idx="8">
                  <c:v>0.28683539336864822</c:v>
                </c:pt>
                <c:pt idx="9">
                  <c:v>0.2913187026607108</c:v>
                </c:pt>
                <c:pt idx="10">
                  <c:v>0.28724648985959439</c:v>
                </c:pt>
                <c:pt idx="11">
                  <c:v>0.2753928708317363</c:v>
                </c:pt>
                <c:pt idx="12">
                  <c:v>0.26939243408482993</c:v>
                </c:pt>
                <c:pt idx="13">
                  <c:v>0.25043078690407811</c:v>
                </c:pt>
                <c:pt idx="14">
                  <c:v>0.23386944181646169</c:v>
                </c:pt>
                <c:pt idx="15">
                  <c:v>0.21249292319305529</c:v>
                </c:pt>
                <c:pt idx="16">
                  <c:v>0.18273820889822417</c:v>
                </c:pt>
                <c:pt idx="17">
                  <c:v>0.18075250519947059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62F-4AFE-9227-A0FD3508EFD5}"/>
            </c:ext>
          </c:extLst>
        </c:ser>
        <c:ser>
          <c:idx val="1"/>
          <c:order val="1"/>
          <c:tx>
            <c:strRef>
              <c:f>'ADMI X ANTIG'!$B$26</c:f>
              <c:strCache>
                <c:ptCount val="1"/>
                <c:pt idx="0">
                  <c:v>6 - 10 AÑOS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3456027111389772E-3"/>
                  <c:y val="4.29161416901746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62F-4AFE-9227-A0FD3508EFD5}"/>
                </c:ext>
              </c:extLst>
            </c:dLbl>
            <c:dLbl>
              <c:idx val="1"/>
              <c:layout>
                <c:manualLayout>
                  <c:x val="3.6908552222419864E-3"/>
                  <c:y val="1.5735736839156528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62F-4AFE-9227-A0FD3508EFD5}"/>
                </c:ext>
              </c:extLst>
            </c:dLbl>
            <c:dLbl>
              <c:idx val="2"/>
              <c:layout>
                <c:manualLayout>
                  <c:x val="3.690855222241986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62F-4AFE-9227-A0FD3508EFD5}"/>
                </c:ext>
              </c:extLst>
            </c:dLbl>
            <c:dLbl>
              <c:idx val="3"/>
              <c:layout>
                <c:manualLayout>
                  <c:x val="3.2739062155865174E-3"/>
                  <c:y val="-3.256051049257423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62F-4AFE-9227-A0FD3508EFD5}"/>
                </c:ext>
              </c:extLst>
            </c:dLbl>
            <c:dLbl>
              <c:idx val="4"/>
              <c:layout>
                <c:manualLayout>
                  <c:x val="4.762551717794465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62F-4AFE-9227-A0FD3508EFD5}"/>
                </c:ext>
              </c:extLst>
            </c:dLbl>
            <c:dLbl>
              <c:idx val="5"/>
              <c:layout>
                <c:manualLayout>
                  <c:x val="5.41729920669143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62F-4AFE-9227-A0FD3508EFD5}"/>
                </c:ext>
              </c:extLst>
            </c:dLbl>
            <c:dLbl>
              <c:idx val="6"/>
              <c:layout>
                <c:manualLayout>
                  <c:x val="4.345602711138977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62F-4AFE-9227-A0FD3508EFD5}"/>
                </c:ext>
              </c:extLst>
            </c:dLbl>
            <c:dLbl>
              <c:idx val="7"/>
              <c:layout>
                <c:manualLayout>
                  <c:x val="4.3456027111389772E-3"/>
                  <c:y val="-7.867868419578264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62F-4AFE-9227-A0FD3508EFD5}"/>
                </c:ext>
              </c:extLst>
            </c:dLbl>
            <c:dLbl>
              <c:idx val="8"/>
              <c:layout>
                <c:manualLayout>
                  <c:x val="5.417299206691437E-3"/>
                  <c:y val="-3.25605104925750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62F-4AFE-9227-A0FD3508EFD5}"/>
                </c:ext>
              </c:extLst>
            </c:dLbl>
            <c:dLbl>
              <c:idx val="9"/>
              <c:layout>
                <c:manualLayout>
                  <c:x val="4.481379062425899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62F-4AFE-9227-A0FD3508EFD5}"/>
                </c:ext>
              </c:extLst>
            </c:dLbl>
            <c:dLbl>
              <c:idx val="10"/>
              <c:layout>
                <c:manualLayout>
                  <c:x val="4.620716211012706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62F-4AFE-9227-A0FD3508EFD5}"/>
                </c:ext>
              </c:extLst>
            </c:dLbl>
            <c:dLbl>
              <c:idx val="11"/>
              <c:layout>
                <c:manualLayout>
                  <c:x val="6.1609549480169425E-3"/>
                  <c:y val="-9.614222041290276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62F-4AFE-9227-A0FD3508EFD5}"/>
                </c:ext>
              </c:extLst>
            </c:dLbl>
            <c:dLbl>
              <c:idx val="12"/>
              <c:layout>
                <c:manualLayout>
                  <c:x val="4.4155583327776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62F-4AFE-9227-A0FD3508EFD5}"/>
                </c:ext>
              </c:extLst>
            </c:dLbl>
            <c:dLbl>
              <c:idx val="13"/>
              <c:layout>
                <c:manualLayout>
                  <c:x val="4.310751478645814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62F-4AFE-9227-A0FD3508EFD5}"/>
                </c:ext>
              </c:extLst>
            </c:dLbl>
            <c:dLbl>
              <c:idx val="14"/>
              <c:layout>
                <c:manualLayout>
                  <c:x val="6.2637018477920449E-3"/>
                  <c:y val="-8.326138691132671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62F-4AFE-9227-A0FD3508EFD5}"/>
                </c:ext>
              </c:extLst>
            </c:dLbl>
            <c:dLbl>
              <c:idx val="15"/>
              <c:layout>
                <c:manualLayout>
                  <c:x val="7.24812756704518E-3"/>
                  <c:y val="-9.31152627646736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62F-4AFE-9227-A0FD3508EFD5}"/>
                </c:ext>
              </c:extLst>
            </c:dLbl>
            <c:dLbl>
              <c:idx val="16"/>
              <c:layout>
                <c:manualLayout>
                  <c:x val="5.358482477762298E-3"/>
                  <c:y val="-7.867868419578264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45-4125-9A4B-3234528CB45F}"/>
                </c:ext>
              </c:extLst>
            </c:dLbl>
            <c:dLbl>
              <c:idx val="17"/>
              <c:layout>
                <c:manualLayout>
                  <c:x val="3.2813781788351109E-3"/>
                  <c:y val="7.867868419578264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46-45BE-A3A0-E5CE2D3A6B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 X ANTIG'!$D$24:$Q$24,'ADMI X ANTIG'!$R$24,'ADMI X ANTIG'!$S$24,'ADMI X ANTIG'!$T$24,'ADMI X ANTIG'!$U$24)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('ADMI X ANTIG'!$D$26:$S$26,'ADMI X ANTIG'!$T$26:$U$26)</c:f>
              <c:numCache>
                <c:formatCode>0.0%</c:formatCode>
                <c:ptCount val="18"/>
                <c:pt idx="0">
                  <c:v>0.13939528679413071</c:v>
                </c:pt>
                <c:pt idx="1">
                  <c:v>0.14221924536726949</c:v>
                </c:pt>
                <c:pt idx="2">
                  <c:v>0.11927013796172675</c:v>
                </c:pt>
                <c:pt idx="3">
                  <c:v>0.12669287898645698</c:v>
                </c:pt>
                <c:pt idx="4">
                  <c:v>0.11717085641244142</c:v>
                </c:pt>
                <c:pt idx="5">
                  <c:v>9.7600650671004471E-2</c:v>
                </c:pt>
                <c:pt idx="6">
                  <c:v>8.6496204554534564E-2</c:v>
                </c:pt>
                <c:pt idx="7">
                  <c:v>8.7812561527859809E-2</c:v>
                </c:pt>
                <c:pt idx="8">
                  <c:v>0.10260937806552874</c:v>
                </c:pt>
                <c:pt idx="9">
                  <c:v>0.12837444163915324</c:v>
                </c:pt>
                <c:pt idx="10">
                  <c:v>0.16107644305772231</c:v>
                </c:pt>
                <c:pt idx="11">
                  <c:v>0.20199310080490609</c:v>
                </c:pt>
                <c:pt idx="12">
                  <c:v>0.22162781811234239</c:v>
                </c:pt>
                <c:pt idx="13">
                  <c:v>0.23587976258855065</c:v>
                </c:pt>
                <c:pt idx="14">
                  <c:v>0.24087038789025544</c:v>
                </c:pt>
                <c:pt idx="15">
                  <c:v>0.24646159652764674</c:v>
                </c:pt>
                <c:pt idx="16">
                  <c:v>0.23448539240022914</c:v>
                </c:pt>
                <c:pt idx="17">
                  <c:v>0.23142370958593306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462F-4AFE-9227-A0FD3508EFD5}"/>
            </c:ext>
          </c:extLst>
        </c:ser>
        <c:ser>
          <c:idx val="2"/>
          <c:order val="2"/>
          <c:tx>
            <c:strRef>
              <c:f>'ADMI X ANTIG'!$B$27</c:f>
              <c:strCache>
                <c:ptCount val="1"/>
                <c:pt idx="0">
                  <c:v>11 - 15 AÑOS</c:v>
                </c:pt>
              </c:strCache>
            </c:strRef>
          </c:tx>
          <c:spPr>
            <a:solidFill>
              <a:srgbClr val="CC9900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3.2739062155865079E-3"/>
                  <c:y val="-7.867868419578264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62F-4AFE-9227-A0FD3508EFD5}"/>
                </c:ext>
              </c:extLst>
            </c:dLbl>
            <c:dLbl>
              <c:idx val="1"/>
              <c:layout>
                <c:manualLayout>
                  <c:x val="3.9286537044834887E-3"/>
                  <c:y val="-2.14580708450881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62F-4AFE-9227-A0FD3508EFD5}"/>
                </c:ext>
              </c:extLst>
            </c:dLbl>
            <c:dLbl>
              <c:idx val="2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62F-4AFE-9227-A0FD3508EFD5}"/>
                </c:ext>
              </c:extLst>
            </c:dLbl>
            <c:dLbl>
              <c:idx val="3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62F-4AFE-9227-A0FD3508EFD5}"/>
                </c:ext>
              </c:extLst>
            </c:dLbl>
            <c:dLbl>
              <c:idx val="4"/>
              <c:layout>
                <c:manualLayout>
                  <c:x val="4.3456027111389772E-3"/>
                  <c:y val="-3.256051049257423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62F-4AFE-9227-A0FD3508EFD5}"/>
                </c:ext>
              </c:extLst>
            </c:dLbl>
            <c:dLbl>
              <c:idx val="5"/>
              <c:layout>
                <c:manualLayout>
                  <c:x val="4.345602711138977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62F-4AFE-9227-A0FD3508EFD5}"/>
                </c:ext>
              </c:extLst>
            </c:dLbl>
            <c:dLbl>
              <c:idx val="6"/>
              <c:layout>
                <c:manualLayout>
                  <c:x val="5.0003502000359485E-3"/>
                  <c:y val="-3.256051049257423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62F-4AFE-9227-A0FD3508EFD5}"/>
                </c:ext>
              </c:extLst>
            </c:dLbl>
            <c:dLbl>
              <c:idx val="7"/>
              <c:layout>
                <c:manualLayout>
                  <c:x val="3.9286537044834887E-3"/>
                  <c:y val="-3.256051049257423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62F-4AFE-9227-A0FD3508EFD5}"/>
                </c:ext>
              </c:extLst>
            </c:dLbl>
            <c:dLbl>
              <c:idx val="8"/>
              <c:layout>
                <c:manualLayout>
                  <c:x val="5.6551820744837507E-3"/>
                  <c:y val="-4.29161416901762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62F-4AFE-9227-A0FD3508EFD5}"/>
                </c:ext>
              </c:extLst>
            </c:dLbl>
            <c:dLbl>
              <c:idx val="9"/>
              <c:layout>
                <c:manualLayout>
                  <c:x val="6.490767798811266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62F-4AFE-9227-A0FD3508EFD5}"/>
                </c:ext>
              </c:extLst>
            </c:dLbl>
            <c:dLbl>
              <c:idx val="10"/>
              <c:layout>
                <c:manualLayout>
                  <c:x val="3.4144081577199697E-3"/>
                  <c:y val="-2.62210867279466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62F-4AFE-9227-A0FD3508EFD5}"/>
                </c:ext>
              </c:extLst>
            </c:dLbl>
            <c:dLbl>
              <c:idx val="11"/>
              <c:layout>
                <c:manualLayout>
                  <c:x val="4.6207162110125941E-3"/>
                  <c:y val="-9.614222041290276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62F-4AFE-9227-A0FD3508EFD5}"/>
                </c:ext>
              </c:extLst>
            </c:dLbl>
            <c:dLbl>
              <c:idx val="12"/>
              <c:layout>
                <c:manualLayout>
                  <c:x val="4.578405188859213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62F-4AFE-9227-A0FD3508EFD5}"/>
                </c:ext>
              </c:extLst>
            </c:dLbl>
            <c:dLbl>
              <c:idx val="13"/>
              <c:layout>
                <c:manualLayout>
                  <c:x val="6.2715584822828473E-3"/>
                  <c:y val="-2.62209084698283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62F-4AFE-9227-A0FD3508EFD5}"/>
                </c:ext>
              </c:extLst>
            </c:dLbl>
            <c:dLbl>
              <c:idx val="14"/>
              <c:layout>
                <c:manualLayout>
                  <c:x val="2.5054807391166342E-3"/>
                  <c:y val="-2.270791329653817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62F-4AFE-9227-A0FD3508EFD5}"/>
                </c:ext>
              </c:extLst>
            </c:dLbl>
            <c:dLbl>
              <c:idx val="15"/>
              <c:layout>
                <c:manualLayout>
                  <c:x val="4.832085044696786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62F-4AFE-9227-A0FD3508EFD5}"/>
                </c:ext>
              </c:extLst>
            </c:dLbl>
            <c:dLbl>
              <c:idx val="16"/>
              <c:layout>
                <c:manualLayout>
                  <c:x val="5.358482477762298E-3"/>
                  <c:y val="-1.0729035422544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45-4125-9A4B-3234528CB45F}"/>
                </c:ext>
              </c:extLst>
            </c:dLbl>
            <c:dLbl>
              <c:idx val="17"/>
              <c:layout>
                <c:manualLayout>
                  <c:x val="3.281378178835110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46-45BE-A3A0-E5CE2D3A6B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 X ANTIG'!$D$24:$Q$24,'ADMI X ANTIG'!$R$24,'ADMI X ANTIG'!$S$24,'ADMI X ANTIG'!$T$24,'ADMI X ANTIG'!$U$24)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('ADMI X ANTIG'!$D$27:$L$27,'ADMI X ANTIG'!$M$27,'ADMI X ANTIG'!$N$27,'ADMI X ANTIG'!$O$27,'ADMI X ANTIG'!$P$27,'ADMI X ANTIG'!$Q$27,'ADMI X ANTIG'!$R$27,'ADMI X ANTIG'!$S$27,'ADMI X ANTIG'!$T$27:$U$27)</c:f>
              <c:numCache>
                <c:formatCode>0.0%</c:formatCode>
                <c:ptCount val="18"/>
                <c:pt idx="0">
                  <c:v>0.19119608714984437</c:v>
                </c:pt>
                <c:pt idx="1">
                  <c:v>0.17369948649252065</c:v>
                </c:pt>
                <c:pt idx="2">
                  <c:v>0.14574988874054295</c:v>
                </c:pt>
                <c:pt idx="3">
                  <c:v>0.14001747487986019</c:v>
                </c:pt>
                <c:pt idx="4">
                  <c:v>0.12760971452918621</c:v>
                </c:pt>
                <c:pt idx="5">
                  <c:v>0.12159414396095974</c:v>
                </c:pt>
                <c:pt idx="6">
                  <c:v>0.12385137834598482</c:v>
                </c:pt>
                <c:pt idx="7">
                  <c:v>0.12010238235873204</c:v>
                </c:pt>
                <c:pt idx="8">
                  <c:v>0.10574847949774377</c:v>
                </c:pt>
                <c:pt idx="9">
                  <c:v>9.6717809283355993E-2</c:v>
                </c:pt>
                <c:pt idx="10">
                  <c:v>8.3853354134165364E-2</c:v>
                </c:pt>
                <c:pt idx="11">
                  <c:v>7.2633192794174017E-2</c:v>
                </c:pt>
                <c:pt idx="12">
                  <c:v>7.7569736339319836E-2</c:v>
                </c:pt>
                <c:pt idx="13">
                  <c:v>9.2667049588359182E-2</c:v>
                </c:pt>
                <c:pt idx="14">
                  <c:v>0.11485335856196784</c:v>
                </c:pt>
                <c:pt idx="15">
                  <c:v>0.14455557652387244</c:v>
                </c:pt>
                <c:pt idx="16">
                  <c:v>0.18655718923047546</c:v>
                </c:pt>
                <c:pt idx="17">
                  <c:v>0.20570996407638495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2-462F-4AFE-9227-A0FD3508EFD5}"/>
            </c:ext>
          </c:extLst>
        </c:ser>
        <c:ser>
          <c:idx val="3"/>
          <c:order val="3"/>
          <c:tx>
            <c:strRef>
              <c:f>'ADMI X ANTIG'!$B$28</c:f>
              <c:strCache>
                <c:ptCount val="1"/>
                <c:pt idx="0">
                  <c:v>16 - 20 AÑOS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762551717794465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462F-4AFE-9227-A0FD3508EFD5}"/>
                </c:ext>
              </c:extLst>
            </c:dLbl>
            <c:dLbl>
              <c:idx val="1"/>
              <c:layout>
                <c:manualLayout>
                  <c:x val="4.345602711138977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62F-4AFE-9227-A0FD3508EFD5}"/>
                </c:ext>
              </c:extLst>
            </c:dLbl>
            <c:dLbl>
              <c:idx val="2"/>
              <c:layout>
                <c:manualLayout>
                  <c:x val="2.619158726689526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462F-4AFE-9227-A0FD3508EFD5}"/>
                </c:ext>
              </c:extLst>
            </c:dLbl>
            <c:dLbl>
              <c:idx val="3"/>
              <c:layout>
                <c:manualLayout>
                  <c:x val="5.417299206691437E-3"/>
                  <c:y val="-2.14580708450881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62F-4AFE-9227-A0FD3508EFD5}"/>
                </c:ext>
              </c:extLst>
            </c:dLbl>
            <c:dLbl>
              <c:idx val="4"/>
              <c:layout>
                <c:manualLayout>
                  <c:x val="2.440092587826332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462F-4AFE-9227-A0FD3508EFD5}"/>
                </c:ext>
              </c:extLst>
            </c:dLbl>
            <c:dLbl>
              <c:idx val="5"/>
              <c:layout>
                <c:manualLayout>
                  <c:x val="5.417299206691437E-3"/>
                  <c:y val="-3.256051049257423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62F-4AFE-9227-A0FD3508EFD5}"/>
                </c:ext>
              </c:extLst>
            </c:dLbl>
            <c:dLbl>
              <c:idx val="6"/>
              <c:layout>
                <c:manualLayout>
                  <c:x val="5.41729920669135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462F-4AFE-9227-A0FD3508EFD5}"/>
                </c:ext>
              </c:extLst>
            </c:dLbl>
            <c:dLbl>
              <c:idx val="7"/>
              <c:layout>
                <c:manualLayout>
                  <c:x val="5.41729920669135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62F-4AFE-9227-A0FD3508EFD5}"/>
                </c:ext>
              </c:extLst>
            </c:dLbl>
            <c:dLbl>
              <c:idx val="8"/>
              <c:layout>
                <c:manualLayout>
                  <c:x val="3.2739062155864389E-3"/>
                  <c:y val="-3.256051049257423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462F-4AFE-9227-A0FD3508EFD5}"/>
                </c:ext>
              </c:extLst>
            </c:dLbl>
            <c:dLbl>
              <c:idx val="9"/>
              <c:layout>
                <c:manualLayout>
                  <c:x val="4.951069038350700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62F-4AFE-9227-A0FD3508EFD5}"/>
                </c:ext>
              </c:extLst>
            </c:dLbl>
            <c:dLbl>
              <c:idx val="10"/>
              <c:layout>
                <c:manualLayout>
                  <c:x val="6.0263097270380588E-3"/>
                  <c:y val="-5.24421734558940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462F-4AFE-9227-A0FD3508EFD5}"/>
                </c:ext>
              </c:extLst>
            </c:dLbl>
            <c:dLbl>
              <c:idx val="11"/>
              <c:layout>
                <c:manualLayout>
                  <c:x val="4.6207162110127068E-3"/>
                  <c:y val="4.807111020645138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62F-4AFE-9227-A0FD3508EFD5}"/>
                </c:ext>
              </c:extLst>
            </c:dLbl>
            <c:dLbl>
              <c:idx val="12"/>
              <c:layout>
                <c:manualLayout>
                  <c:x val="7.6306753147653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462F-4AFE-9227-A0FD3508EFD5}"/>
                </c:ext>
              </c:extLst>
            </c:dLbl>
            <c:dLbl>
              <c:idx val="13"/>
              <c:layout>
                <c:manualLayout>
                  <c:x val="3.7629350893695246E-3"/>
                  <c:y val="-2.62209084698283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62F-4AFE-9227-A0FD3508EFD5}"/>
                </c:ext>
              </c:extLst>
            </c:dLbl>
            <c:dLbl>
              <c:idx val="14"/>
              <c:layout>
                <c:manualLayout>
                  <c:x val="3.758221108675043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462F-4AFE-9227-A0FD3508EFD5}"/>
                </c:ext>
              </c:extLst>
            </c:dLbl>
            <c:dLbl>
              <c:idx val="15"/>
              <c:layout>
                <c:manualLayout>
                  <c:x val="6.040106305870983E-3"/>
                  <c:y val="4.26773357549172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62F-4AFE-9227-A0FD3508EFD5}"/>
                </c:ext>
              </c:extLst>
            </c:dLbl>
            <c:dLbl>
              <c:idx val="16"/>
              <c:layout>
                <c:manualLayout>
                  <c:x val="5.358482477762298E-3"/>
                  <c:y val="-6.43742125352643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45-4125-9A4B-3234528CB45F}"/>
                </c:ext>
              </c:extLst>
            </c:dLbl>
            <c:dLbl>
              <c:idx val="17"/>
              <c:layout>
                <c:manualLayout>
                  <c:x val="4.375170905113320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46-45BE-A3A0-E5CE2D3A6B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 X ANTIG'!$D$24:$Q$24,'ADMI X ANTIG'!$R$24,'ADMI X ANTIG'!$S$24,'ADMI X ANTIG'!$T$24,'ADMI X ANTIG'!$U$24)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('ADMI X ANTIG'!$D$28:$S$28,'ADMI X ANTIG'!$T$28:$U$28)</c:f>
              <c:numCache>
                <c:formatCode>0.0%</c:formatCode>
                <c:ptCount val="18"/>
                <c:pt idx="0">
                  <c:v>0.17274344152956869</c:v>
                </c:pt>
                <c:pt idx="1">
                  <c:v>0.17146684527796383</c:v>
                </c:pt>
                <c:pt idx="2">
                  <c:v>0.18513573653760571</c:v>
                </c:pt>
                <c:pt idx="3">
                  <c:v>0.18719965050240281</c:v>
                </c:pt>
                <c:pt idx="4">
                  <c:v>0.17703451214316149</c:v>
                </c:pt>
                <c:pt idx="5">
                  <c:v>0.16104107360715739</c:v>
                </c:pt>
                <c:pt idx="6">
                  <c:v>0.14362764682381143</c:v>
                </c:pt>
                <c:pt idx="7">
                  <c:v>0.11616459933057688</c:v>
                </c:pt>
                <c:pt idx="8">
                  <c:v>0.11457720227584854</c:v>
                </c:pt>
                <c:pt idx="9">
                  <c:v>0.10448630802097494</c:v>
                </c:pt>
                <c:pt idx="10">
                  <c:v>0.10218408736349453</c:v>
                </c:pt>
                <c:pt idx="11">
                  <c:v>0.10636259103104638</c:v>
                </c:pt>
                <c:pt idx="12">
                  <c:v>0.10450897974780282</c:v>
                </c:pt>
                <c:pt idx="13">
                  <c:v>9.3432892973386944E-2</c:v>
                </c:pt>
                <c:pt idx="14">
                  <c:v>8.6660359508041629E-2</c:v>
                </c:pt>
                <c:pt idx="15">
                  <c:v>7.3221362521230418E-2</c:v>
                </c:pt>
                <c:pt idx="16">
                  <c:v>6.3967920565209085E-2</c:v>
                </c:pt>
                <c:pt idx="17">
                  <c:v>6.7309510304405365E-2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3-462F-4AFE-9227-A0FD3508EFD5}"/>
            </c:ext>
          </c:extLst>
        </c:ser>
        <c:ser>
          <c:idx val="4"/>
          <c:order val="4"/>
          <c:tx>
            <c:strRef>
              <c:f>'ADMI X ANTIG'!$B$29</c:f>
              <c:strCache>
                <c:ptCount val="1"/>
                <c:pt idx="0">
                  <c:v>21 - 25 AÑOS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41729920669143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462F-4AFE-9227-A0FD3508EFD5}"/>
                </c:ext>
              </c:extLst>
            </c:dLbl>
            <c:dLbl>
              <c:idx val="1"/>
              <c:layout>
                <c:manualLayout>
                  <c:x val="4.3456027111389772E-3"/>
                  <c:y val="-3.933934209789132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462F-4AFE-9227-A0FD3508EFD5}"/>
                </c:ext>
              </c:extLst>
            </c:dLbl>
            <c:dLbl>
              <c:idx val="2"/>
              <c:layout>
                <c:manualLayout>
                  <c:x val="5.179429860323963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462F-4AFE-9227-A0FD3508EFD5}"/>
                </c:ext>
              </c:extLst>
            </c:dLbl>
            <c:dLbl>
              <c:idx val="3"/>
              <c:layout>
                <c:manualLayout>
                  <c:x val="3.690855222242005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462F-4AFE-9227-A0FD3508EFD5}"/>
                </c:ext>
              </c:extLst>
            </c:dLbl>
            <c:dLbl>
              <c:idx val="4"/>
              <c:layout>
                <c:manualLayout>
                  <c:x val="3.6908552222420059E-3"/>
                  <c:y val="-3.933934209789132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462F-4AFE-9227-A0FD3508EFD5}"/>
                </c:ext>
              </c:extLst>
            </c:dLbl>
            <c:dLbl>
              <c:idx val="5"/>
              <c:layout>
                <c:manualLayout>
                  <c:x val="5.5518936143763697E-3"/>
                  <c:y val="1.98824683909013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462F-4AFE-9227-A0FD3508EFD5}"/>
                </c:ext>
              </c:extLst>
            </c:dLbl>
            <c:dLbl>
              <c:idx val="6"/>
              <c:layout>
                <c:manualLayout>
                  <c:x val="5.738177606505386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462F-4AFE-9227-A0FD3508EFD5}"/>
                </c:ext>
              </c:extLst>
            </c:dLbl>
            <c:dLbl>
              <c:idx val="7"/>
              <c:layout>
                <c:manualLayout>
                  <c:x val="5.41729920669135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462F-4AFE-9227-A0FD3508EFD5}"/>
                </c:ext>
              </c:extLst>
            </c:dLbl>
            <c:dLbl>
              <c:idx val="8"/>
              <c:layout>
                <c:manualLayout>
                  <c:x val="3.9286537044834887E-3"/>
                  <c:y val="-3.256051049257463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462F-4AFE-9227-A0FD3508EFD5}"/>
                </c:ext>
              </c:extLst>
            </c:dLbl>
            <c:dLbl>
              <c:idx val="9"/>
              <c:layout>
                <c:manualLayout>
                  <c:x val="3.879372542798163E-3"/>
                  <c:y val="-3.933934209789132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462F-4AFE-9227-A0FD3508EFD5}"/>
                </c:ext>
              </c:extLst>
            </c:dLbl>
            <c:dLbl>
              <c:idx val="10"/>
              <c:layout>
                <c:manualLayout>
                  <c:x val="4.4861046532723506E-3"/>
                  <c:y val="-2.62210867279466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462F-4AFE-9227-A0FD3508EFD5}"/>
                </c:ext>
              </c:extLst>
            </c:dLbl>
            <c:dLbl>
              <c:idx val="11"/>
              <c:layout>
                <c:manualLayout>
                  <c:x val="6.026309727038058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462F-4AFE-9227-A0FD3508EFD5}"/>
                </c:ext>
              </c:extLst>
            </c:dLbl>
            <c:dLbl>
              <c:idx val="12"/>
              <c:layout>
                <c:manualLayout>
                  <c:x val="4.5784051888592137E-3"/>
                  <c:y val="-2.62209084698283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462F-4AFE-9227-A0FD3508EFD5}"/>
                </c:ext>
              </c:extLst>
            </c:dLbl>
            <c:dLbl>
              <c:idx val="13"/>
              <c:layout>
                <c:manualLayout>
                  <c:x val="6.271558482282847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462F-4AFE-9227-A0FD3508EFD5}"/>
                </c:ext>
              </c:extLst>
            </c:dLbl>
            <c:dLbl>
              <c:idx val="14"/>
              <c:layout>
                <c:manualLayout>
                  <c:x val="5.010961478233636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462F-4AFE-9227-A0FD3508EFD5}"/>
                </c:ext>
              </c:extLst>
            </c:dLbl>
            <c:dLbl>
              <c:idx val="15"/>
              <c:layout>
                <c:manualLayout>
                  <c:x val="4.832085044696786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462F-4AFE-9227-A0FD3508EFD5}"/>
                </c:ext>
              </c:extLst>
            </c:dLbl>
            <c:dLbl>
              <c:idx val="16"/>
              <c:layout>
                <c:manualLayout>
                  <c:x val="5.358482477762298E-3"/>
                  <c:y val="-3.933934209789132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45-4125-9A4B-3234528CB45F}"/>
                </c:ext>
              </c:extLst>
            </c:dLbl>
            <c:dLbl>
              <c:idx val="17"/>
              <c:layout>
                <c:manualLayout>
                  <c:x val="3.2813781788351109E-3"/>
                  <c:y val="-3.933934209789132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46-45BE-A3A0-E5CE2D3A6B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 X ANTIG'!$D$24:$Q$24,'ADMI X ANTIG'!$R$24,'ADMI X ANTIG'!$S$24,'ADMI X ANTIG'!$T$24,'ADMI X ANTIG'!$U$24)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('ADMI X ANTIG'!$D$29:$L$29,'ADMI X ANTIG'!$M$29,'ADMI X ANTIG'!$N$29,'ADMI X ANTIG'!$O$29,'ADMI X ANTIG'!$P$29,'ADMI X ANTIG'!$Q$29,'ADMI X ANTIG'!$R$29,'ADMI X ANTIG'!$S$29,'ADMI X ANTIG'!$T$29,'ADMI X ANTIG'!$U$29)</c:f>
              <c:numCache>
                <c:formatCode>0.0%</c:formatCode>
                <c:ptCount val="18"/>
                <c:pt idx="0">
                  <c:v>0.21987550022232102</c:v>
                </c:pt>
                <c:pt idx="1">
                  <c:v>0.22192453672694798</c:v>
                </c:pt>
                <c:pt idx="2">
                  <c:v>0.20850022251891412</c:v>
                </c:pt>
                <c:pt idx="3">
                  <c:v>0.17780690257754478</c:v>
                </c:pt>
                <c:pt idx="4">
                  <c:v>0.14870046868342565</c:v>
                </c:pt>
                <c:pt idx="5">
                  <c:v>0.1464009760065067</c:v>
                </c:pt>
                <c:pt idx="6">
                  <c:v>0.14342788653615662</c:v>
                </c:pt>
                <c:pt idx="7">
                  <c:v>0.15042331167552667</c:v>
                </c:pt>
                <c:pt idx="8">
                  <c:v>0.15224641946242887</c:v>
                </c:pt>
                <c:pt idx="9">
                  <c:v>0.14798990095164111</c:v>
                </c:pt>
                <c:pt idx="10">
                  <c:v>0.14021060842433697</c:v>
                </c:pt>
                <c:pt idx="11">
                  <c:v>0.12399386738213874</c:v>
                </c:pt>
                <c:pt idx="12">
                  <c:v>0.10106992739778373</c:v>
                </c:pt>
                <c:pt idx="13">
                  <c:v>9.8793796668581277E-2</c:v>
                </c:pt>
                <c:pt idx="14">
                  <c:v>8.968779564806055E-2</c:v>
                </c:pt>
                <c:pt idx="15">
                  <c:v>8.963955463294962E-2</c:v>
                </c:pt>
                <c:pt idx="16">
                  <c:v>9.5092610273057099E-2</c:v>
                </c:pt>
                <c:pt idx="17">
                  <c:v>9.2266969181319713E-2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4-462F-4AFE-9227-A0FD3508EFD5}"/>
            </c:ext>
          </c:extLst>
        </c:ser>
        <c:ser>
          <c:idx val="5"/>
          <c:order val="5"/>
          <c:tx>
            <c:strRef>
              <c:f>'ADMI X ANTIG'!$B$30</c:f>
              <c:strCache>
                <c:ptCount val="1"/>
                <c:pt idx="0">
                  <c:v>26 - 30 AÑOS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462F-4AFE-9227-A0FD3508EFD5}"/>
                </c:ext>
              </c:extLst>
            </c:dLbl>
            <c:dLbl>
              <c:idx val="1"/>
              <c:layout>
                <c:manualLayout>
                  <c:x val="2.2022097200340381E-3"/>
                  <c:y val="4.29161416901762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462F-4AFE-9227-A0FD3508EFD5}"/>
                </c:ext>
              </c:extLst>
            </c:dLbl>
            <c:dLbl>
              <c:idx val="2"/>
              <c:layout>
                <c:manualLayout>
                  <c:x val="3.690855222241986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462F-4AFE-9227-A0FD3508EFD5}"/>
                </c:ext>
              </c:extLst>
            </c:dLbl>
            <c:dLbl>
              <c:idx val="3"/>
              <c:layout>
                <c:manualLayout>
                  <c:x val="3.2739062155865174E-3"/>
                  <c:y val="-3.256051049257463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462F-4AFE-9227-A0FD3508EFD5}"/>
                </c:ext>
              </c:extLst>
            </c:dLbl>
            <c:dLbl>
              <c:idx val="4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462F-4AFE-9227-A0FD3508EFD5}"/>
                </c:ext>
              </c:extLst>
            </c:dLbl>
            <c:dLbl>
              <c:idx val="5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462F-4AFE-9227-A0FD3508EFD5}"/>
                </c:ext>
              </c:extLst>
            </c:dLbl>
            <c:dLbl>
              <c:idx val="6"/>
              <c:layout>
                <c:manualLayout>
                  <c:x val="5.417299206691358E-3"/>
                  <c:y val="-3.256051049257423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462F-4AFE-9227-A0FD3508EFD5}"/>
                </c:ext>
              </c:extLst>
            </c:dLbl>
            <c:dLbl>
              <c:idx val="7"/>
              <c:layout>
                <c:manualLayout>
                  <c:x val="5.7381776065053864E-3"/>
                  <c:y val="-4.807111020645138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462F-4AFE-9227-A0FD3508EFD5}"/>
                </c:ext>
              </c:extLst>
            </c:dLbl>
            <c:dLbl>
              <c:idx val="8"/>
              <c:layout>
                <c:manualLayout>
                  <c:x val="5.9243403199936932E-3"/>
                  <c:y val="-3.255934854875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462F-4AFE-9227-A0FD3508EFD5}"/>
                </c:ext>
              </c:extLst>
            </c:dLbl>
            <c:dLbl>
              <c:idx val="9"/>
              <c:layout>
                <c:manualLayout>
                  <c:x val="2.807676047245782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462F-4AFE-9227-A0FD3508EFD5}"/>
                </c:ext>
              </c:extLst>
            </c:dLbl>
            <c:dLbl>
              <c:idx val="10"/>
              <c:layout>
                <c:manualLayout>
                  <c:x val="4.486104653272350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462F-4AFE-9227-A0FD3508EFD5}"/>
                </c:ext>
              </c:extLst>
            </c:dLbl>
            <c:dLbl>
              <c:idx val="11"/>
              <c:layout>
                <c:manualLayout>
                  <c:x val="9.241432422025300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462F-4AFE-9227-A0FD3508EFD5}"/>
                </c:ext>
              </c:extLst>
            </c:dLbl>
            <c:dLbl>
              <c:idx val="12"/>
              <c:layout>
                <c:manualLayout>
                  <c:x val="6.1045402518122857E-3"/>
                  <c:y val="-2.6220908469828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462F-4AFE-9227-A0FD3508EFD5}"/>
                </c:ext>
              </c:extLst>
            </c:dLbl>
            <c:dLbl>
              <c:idx val="13"/>
              <c:layout>
                <c:manualLayout>
                  <c:x val="7.525870178739417E-3"/>
                  <c:y val="-2.6220908469828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462F-4AFE-9227-A0FD3508EFD5}"/>
                </c:ext>
              </c:extLst>
            </c:dLbl>
            <c:dLbl>
              <c:idx val="14"/>
              <c:layout>
                <c:manualLayout>
                  <c:x val="5.0109614782336363E-3"/>
                  <c:y val="-4.541582659307634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462F-4AFE-9227-A0FD3508EFD5}"/>
                </c:ext>
              </c:extLst>
            </c:dLbl>
            <c:dLbl>
              <c:idx val="15"/>
              <c:layout>
                <c:manualLayout>
                  <c:x val="6.04010630587098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462F-4AFE-9227-A0FD3508EFD5}"/>
                </c:ext>
              </c:extLst>
            </c:dLbl>
            <c:dLbl>
              <c:idx val="16"/>
              <c:layout>
                <c:manualLayout>
                  <c:x val="4.28678598220968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45-4125-9A4B-3234528CB45F}"/>
                </c:ext>
              </c:extLst>
            </c:dLbl>
            <c:dLbl>
              <c:idx val="17"/>
              <c:layout>
                <c:manualLayout>
                  <c:x val="3.281378178835110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46-45BE-A3A0-E5CE2D3A6B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anchor="b" anchorCtr="1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 X ANTIG'!$D$24:$Q$24,'ADMI X ANTIG'!$R$24,'ADMI X ANTIG'!$S$24,'ADMI X ANTIG'!$T$24,'ADMI X ANTIG'!$U$24)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('ADMI X ANTIG'!$D$30:$L$30,'ADMI X ANTIG'!$M$30,'ADMI X ANTIG'!$N$30,'ADMI X ANTIG'!$O$30,'ADMI X ANTIG'!$P$30,'ADMI X ANTIG'!$Q$30,'ADMI X ANTIG'!$R$30,'ADMI X ANTIG'!$S$30,'ADMI X ANTIG'!$T$30,'ADMI X ANTIG'!$U$30)</c:f>
              <c:numCache>
                <c:formatCode>0.0%</c:formatCode>
                <c:ptCount val="18"/>
                <c:pt idx="0">
                  <c:v>0.1462872387727879</c:v>
                </c:pt>
                <c:pt idx="1">
                  <c:v>0.14422862246037063</c:v>
                </c:pt>
                <c:pt idx="2">
                  <c:v>0.13840676457498888</c:v>
                </c:pt>
                <c:pt idx="3">
                  <c:v>0.16491917868064657</c:v>
                </c:pt>
                <c:pt idx="4">
                  <c:v>0.18768640818065616</c:v>
                </c:pt>
                <c:pt idx="5">
                  <c:v>0.16856445709638065</c:v>
                </c:pt>
                <c:pt idx="6">
                  <c:v>0.16380343587694765</c:v>
                </c:pt>
                <c:pt idx="7">
                  <c:v>0.15317975979523529</c:v>
                </c:pt>
                <c:pt idx="8">
                  <c:v>0.13125367863449089</c:v>
                </c:pt>
                <c:pt idx="9">
                  <c:v>0.11419693144299864</c:v>
                </c:pt>
                <c:pt idx="10">
                  <c:v>0.11154446177847113</c:v>
                </c:pt>
                <c:pt idx="11">
                  <c:v>0.11498658489842851</c:v>
                </c:pt>
                <c:pt idx="12">
                  <c:v>0.12208635842567826</c:v>
                </c:pt>
                <c:pt idx="13">
                  <c:v>0.12406662837449742</c:v>
                </c:pt>
                <c:pt idx="14">
                  <c:v>0.11977294228949859</c:v>
                </c:pt>
                <c:pt idx="15">
                  <c:v>0.11228533685601057</c:v>
                </c:pt>
                <c:pt idx="16">
                  <c:v>0.10101202978804659</c:v>
                </c:pt>
                <c:pt idx="17">
                  <c:v>8.451503119682359E-2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65-462F-4AFE-9227-A0FD3508EFD5}"/>
            </c:ext>
          </c:extLst>
        </c:ser>
        <c:ser>
          <c:idx val="6"/>
          <c:order val="6"/>
          <c:tx>
            <c:strRef>
              <c:f>'ADMI X ANTIG'!$B$31</c:f>
              <c:strCache>
                <c:ptCount val="1"/>
                <c:pt idx="0">
                  <c:v>MÁS DE 30 AÑOS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2.8438986141612116E-3"/>
                  <c:y val="-1.04883633879313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462F-4AFE-9227-A0FD3508EFD5}"/>
                </c:ext>
              </c:extLst>
            </c:dLbl>
            <c:dLbl>
              <c:idx val="1"/>
              <c:layout>
                <c:manualLayout>
                  <c:x val="2.6577001324969152E-3"/>
                  <c:y val="-2.6220908469828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462F-4AFE-9227-A0FD3508EFD5}"/>
                </c:ext>
              </c:extLst>
            </c:dLbl>
            <c:dLbl>
              <c:idx val="2"/>
              <c:layout>
                <c:manualLayout>
                  <c:x val="2.8438628459852224E-3"/>
                  <c:y val="-1.31104542349141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3654216403542547E-2"/>
                      <c:h val="3.08490020466761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68-462F-4AFE-9227-A0FD3508EFD5}"/>
                </c:ext>
              </c:extLst>
            </c:dLbl>
            <c:dLbl>
              <c:idx val="3"/>
              <c:layout>
                <c:manualLayout>
                  <c:x val="4.011654877372134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462F-4AFE-9227-A0FD3508EFD5}"/>
                </c:ext>
              </c:extLst>
            </c:dLbl>
            <c:dLbl>
              <c:idx val="4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462F-4AFE-9227-A0FD3508EFD5}"/>
                </c:ext>
              </c:extLst>
            </c:dLbl>
            <c:dLbl>
              <c:idx val="5"/>
              <c:layout>
                <c:manualLayout>
                  <c:x val="4.1979388695010944E-3"/>
                  <c:y val="-2.403555510322569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462F-4AFE-9227-A0FD3508EFD5}"/>
                </c:ext>
              </c:extLst>
            </c:dLbl>
            <c:dLbl>
              <c:idx val="6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462F-4AFE-9227-A0FD3508EFD5}"/>
                </c:ext>
              </c:extLst>
            </c:dLbl>
            <c:dLbl>
              <c:idx val="7"/>
              <c:layout>
                <c:manualLayout>
                  <c:x val="5.9243403199936932E-3"/>
                  <c:y val="-3.255934854875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462F-4AFE-9227-A0FD3508EFD5}"/>
                </c:ext>
              </c:extLst>
            </c:dLbl>
            <c:dLbl>
              <c:idx val="8"/>
              <c:layout>
                <c:manualLayout>
                  <c:x val="2.6577001324969152E-3"/>
                  <c:y val="-3.255934854875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462F-4AFE-9227-A0FD3508EFD5}"/>
                </c:ext>
              </c:extLst>
            </c:dLbl>
            <c:dLbl>
              <c:idx val="9"/>
              <c:layout>
                <c:manualLayout>
                  <c:x val="9.23787528868360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462F-4AFE-9227-A0FD3508EFD5}"/>
                </c:ext>
              </c:extLst>
            </c:dLbl>
            <c:dLbl>
              <c:idx val="10"/>
              <c:layout>
                <c:manualLayout>
                  <c:x val="9.241432422025413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462F-4AFE-9227-A0FD3508EFD5}"/>
                </c:ext>
              </c:extLst>
            </c:dLbl>
            <c:dLbl>
              <c:idx val="11"/>
              <c:layout>
                <c:manualLayout>
                  <c:x val="7.7011936850210653E-3"/>
                  <c:y val="-2.403555510322569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462F-4AFE-9227-A0FD3508EFD5}"/>
                </c:ext>
              </c:extLst>
            </c:dLbl>
            <c:dLbl>
              <c:idx val="12"/>
              <c:layout>
                <c:manualLayout>
                  <c:x val="6.10454025181228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462F-4AFE-9227-A0FD3508EFD5}"/>
                </c:ext>
              </c:extLst>
            </c:dLbl>
            <c:dLbl>
              <c:idx val="13"/>
              <c:layout>
                <c:manualLayout>
                  <c:x val="7.525870178739417E-3"/>
                  <c:y val="-2.62209084698283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462F-4AFE-9227-A0FD3508EFD5}"/>
                </c:ext>
              </c:extLst>
            </c:dLbl>
            <c:dLbl>
              <c:idx val="14"/>
              <c:layout>
                <c:manualLayout>
                  <c:x val="7.516442217350270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462F-4AFE-9227-A0FD3508EFD5}"/>
                </c:ext>
              </c:extLst>
            </c:dLbl>
            <c:dLbl>
              <c:idx val="15"/>
              <c:layout>
                <c:manualLayout>
                  <c:x val="4.832085044696786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462F-4AFE-9227-A0FD3508EFD5}"/>
                </c:ext>
              </c:extLst>
            </c:dLbl>
            <c:dLbl>
              <c:idx val="16"/>
              <c:layout>
                <c:manualLayout>
                  <c:x val="4.2867859822096812E-3"/>
                  <c:y val="-6.43742125352645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45-4125-9A4B-3234528CB45F}"/>
                </c:ext>
              </c:extLst>
            </c:dLbl>
            <c:dLbl>
              <c:idx val="17"/>
              <c:layout>
                <c:manualLayout>
                  <c:x val="5.4689636313918514E-3"/>
                  <c:y val="-1.96696710489456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46-45BE-A3A0-E5CE2D3A6B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anchor="b" anchorCtr="0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 X ANTIG'!$D$24:$Q$24,'ADMI X ANTIG'!$R$24,'ADMI X ANTIG'!$S$24,'ADMI X ANTIG'!$T$24,'ADMI X ANTIG'!$U$24)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('ADMI X ANTIG'!$D$31:$L$31,'ADMI X ANTIG'!$M$31,'ADMI X ANTIG'!$N$31,'ADMI X ANTIG'!$O$31,'ADMI X ANTIG'!$P$31,'ADMI X ANTIG'!$Q$31,'ADMI X ANTIG'!$R$31,'ADMI X ANTIG'!$S$31,'ADMI X ANTIG'!$T$31,'ADMI X ANTIG'!$U$31)</c:f>
              <c:numCache>
                <c:formatCode>0.0%</c:formatCode>
                <c:ptCount val="18"/>
                <c:pt idx="0">
                  <c:v>1.9341929746554024E-2</c:v>
                </c:pt>
                <c:pt idx="1">
                  <c:v>3.9294485376200047E-2</c:v>
                </c:pt>
                <c:pt idx="2">
                  <c:v>6.0970182465509566E-2</c:v>
                </c:pt>
                <c:pt idx="3">
                  <c:v>5.7448667540410663E-2</c:v>
                </c:pt>
                <c:pt idx="4">
                  <c:v>6.0715807413719645E-2</c:v>
                </c:pt>
                <c:pt idx="5">
                  <c:v>7.442049613664091E-2</c:v>
                </c:pt>
                <c:pt idx="6">
                  <c:v>8.7295245705153818E-2</c:v>
                </c:pt>
                <c:pt idx="7">
                  <c:v>9.2144122858830474E-2</c:v>
                </c:pt>
                <c:pt idx="8">
                  <c:v>0.10672944869531097</c:v>
                </c:pt>
                <c:pt idx="9">
                  <c:v>0.11691590600116528</c:v>
                </c:pt>
                <c:pt idx="10">
                  <c:v>0.11388455538221529</c:v>
                </c:pt>
                <c:pt idx="11">
                  <c:v>0.10463779225756994</c:v>
                </c:pt>
                <c:pt idx="12">
                  <c:v>0.10374474589224303</c:v>
                </c:pt>
                <c:pt idx="13">
                  <c:v>0.10472908290254643</c:v>
                </c:pt>
                <c:pt idx="14">
                  <c:v>0.11428571428571428</c:v>
                </c:pt>
                <c:pt idx="15">
                  <c:v>0.12134364974523495</c:v>
                </c:pt>
                <c:pt idx="16">
                  <c:v>0.13614664884475844</c:v>
                </c:pt>
                <c:pt idx="17">
                  <c:v>0.13802231045566268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462F-4AFE-9227-A0FD3508EF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9"/>
        <c:gapDepth val="99"/>
        <c:shape val="cylinder"/>
        <c:axId val="151698816"/>
        <c:axId val="151757952"/>
        <c:axId val="0"/>
      </c:bar3DChart>
      <c:catAx>
        <c:axId val="151698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0"/>
            </a:pPr>
            <a:endParaRPr lang="es-MX"/>
          </a:p>
        </c:txPr>
        <c:crossAx val="151757952"/>
        <c:crosses val="autoZero"/>
        <c:auto val="1"/>
        <c:lblAlgn val="ctr"/>
        <c:lblOffset val="100"/>
        <c:noMultiLvlLbl val="0"/>
      </c:catAx>
      <c:valAx>
        <c:axId val="151757952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516988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3.0431236526701013E-2"/>
          <c:y val="0.93862903463905867"/>
          <c:w val="0.93570996845130439"/>
          <c:h val="5.4945432468962857E-2"/>
        </c:manualLayout>
      </c:layout>
      <c:overlay val="0"/>
      <c:txPr>
        <a:bodyPr/>
        <a:lstStyle/>
        <a:p>
          <a:pPr>
            <a:defRPr sz="11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1"/>
            </a:pPr>
            <a:r>
              <a:rPr lang="es-MX" sz="1600" b="0" i="1"/>
              <a:t>Admitidos</a:t>
            </a:r>
            <a:r>
              <a:rPr lang="es-MX" sz="1600" b="0" i="1" baseline="0"/>
              <a:t> por género</a:t>
            </a:r>
            <a:endParaRPr lang="es-MX" sz="1600" b="0" i="1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5901007518001078E-2"/>
          <c:y val="1.8032643259786107E-2"/>
          <c:w val="0.96773011007104692"/>
          <c:h val="0.92100434026160272"/>
        </c:manualLayout>
      </c:layout>
      <c:lineChart>
        <c:grouping val="standard"/>
        <c:varyColors val="0"/>
        <c:ser>
          <c:idx val="0"/>
          <c:order val="0"/>
          <c:tx>
            <c:strRef>
              <c:f>'Admitidos x gen'!$C$4</c:f>
              <c:strCache>
                <c:ptCount val="1"/>
                <c:pt idx="0">
                  <c:v>Femenino</c:v>
                </c:pt>
              </c:strCache>
            </c:strRef>
          </c:tx>
          <c:spPr>
            <a:ln w="19050">
              <a:solidFill>
                <a:srgbClr val="AD25A8"/>
              </a:solidFill>
            </a:ln>
          </c:spPr>
          <c:marker>
            <c:symbol val="diamond"/>
            <c:size val="5"/>
            <c:spPr>
              <a:noFill/>
              <a:ln>
                <a:solidFill>
                  <a:srgbClr val="AD25A8"/>
                </a:solidFill>
              </a:ln>
            </c:spPr>
          </c:marker>
          <c:dPt>
            <c:idx val="7"/>
            <c:bubble3D val="0"/>
            <c:spPr>
              <a:ln w="19050">
                <a:solidFill>
                  <a:srgbClr val="AD25A8"/>
                </a:solidFill>
              </a:ln>
            </c:spPr>
            <c:extLst>
              <c:ext xmlns:c16="http://schemas.microsoft.com/office/drawing/2014/chart" uri="{C3380CC4-5D6E-409C-BE32-E72D297353CC}">
                <c16:uniqueId val="{00000000-80B9-4563-B253-6A042685EAED}"/>
              </c:ext>
            </c:extLst>
          </c:dPt>
          <c:dLbls>
            <c:dLbl>
              <c:idx val="12"/>
              <c:layout>
                <c:manualLayout>
                  <c:x val="-2.9049238211783096E-2"/>
                  <c:y val="-2.9009647212133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F5C-4384-B27F-2C02424984D0}"/>
                </c:ext>
              </c:extLst>
            </c:dLbl>
            <c:dLbl>
              <c:idx val="13"/>
              <c:layout>
                <c:manualLayout>
                  <c:x val="-2.5017236561713251E-2"/>
                  <c:y val="-3.183810418199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4F-469E-8F47-DB6841101154}"/>
                </c:ext>
              </c:extLst>
            </c:dLbl>
            <c:dLbl>
              <c:idx val="14"/>
              <c:layout>
                <c:manualLayout>
                  <c:x val="-2.5017236561713074E-2"/>
                  <c:y val="-3.183810418199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4F-469E-8F47-DB68411011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solidFill>
                      <a:srgbClr val="AD25A8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x gen'!$AB$42:$AB$56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('Admitidos x gen'!$C$37,'Admitidos x gen'!$F$37,'Admitidos x gen'!$I$37,'Admitidos x gen'!$L$37,'Admitidos x gen'!$O$37,'Admitidos x gen'!$R$37,'Admitidos x gen'!$U$37,'Admitidos x gen'!$X$37,'Admitidos x gen'!$AA$37,'Admitidos x gen'!$AD$37,'Admitidos x gen'!$AG$37,'Admitidos x gen'!$AJ$37,'Admitidos x gen'!$AM$37,'Admitidos x gen'!$AP$37,'Admitidos x gen'!$AS$37)</c:f>
              <c:numCache>
                <c:formatCode>#,##0</c:formatCode>
                <c:ptCount val="15"/>
                <c:pt idx="0">
                  <c:v>5343.5980516834088</c:v>
                </c:pt>
                <c:pt idx="1">
                  <c:v>5544.06258443759</c:v>
                </c:pt>
                <c:pt idx="2">
                  <c:v>5912</c:v>
                </c:pt>
                <c:pt idx="3">
                  <c:v>5878</c:v>
                </c:pt>
                <c:pt idx="4">
                  <c:v>5723</c:v>
                </c:pt>
                <c:pt idx="5">
                  <c:v>5871</c:v>
                </c:pt>
                <c:pt idx="6">
                  <c:v>5699</c:v>
                </c:pt>
                <c:pt idx="7">
                  <c:v>5845</c:v>
                </c:pt>
                <c:pt idx="8">
                  <c:v>6379</c:v>
                </c:pt>
                <c:pt idx="9">
                  <c:v>6375</c:v>
                </c:pt>
                <c:pt idx="10">
                  <c:v>6468</c:v>
                </c:pt>
                <c:pt idx="11">
                  <c:v>6590</c:v>
                </c:pt>
                <c:pt idx="12">
                  <c:v>5785</c:v>
                </c:pt>
                <c:pt idx="13">
                  <c:v>5708</c:v>
                </c:pt>
                <c:pt idx="14">
                  <c:v>5945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5C-4384-B27F-2C02424984D0}"/>
            </c:ext>
          </c:extLst>
        </c:ser>
        <c:ser>
          <c:idx val="1"/>
          <c:order val="1"/>
          <c:tx>
            <c:strRef>
              <c:f>'Admitidos x gen'!$D$4</c:f>
              <c:strCache>
                <c:ptCount val="1"/>
                <c:pt idx="0">
                  <c:v>Masculino</c:v>
                </c:pt>
              </c:strCache>
            </c:strRef>
          </c:tx>
          <c:spPr>
            <a:ln w="19050">
              <a:solidFill>
                <a:srgbClr val="00B050"/>
              </a:solidFill>
            </a:ln>
          </c:spPr>
          <c:marker>
            <c:symbol val="square"/>
            <c:size val="5"/>
            <c:spPr>
              <a:noFill/>
              <a:ln>
                <a:solidFill>
                  <a:srgbClr val="00B050"/>
                </a:solidFill>
              </a:ln>
            </c:spPr>
          </c:marker>
          <c:dLbls>
            <c:dLbl>
              <c:idx val="12"/>
              <c:layout>
                <c:manualLayout>
                  <c:x val="-2.9049238211783096E-2"/>
                  <c:y val="2.64392028890021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5C-4384-B27F-2C02424984D0}"/>
                </c:ext>
              </c:extLst>
            </c:dLbl>
            <c:dLbl>
              <c:idx val="13"/>
              <c:layout>
                <c:manualLayout>
                  <c:x val="-2.8587299085595482E-2"/>
                  <c:y val="3.4429940825069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4F-469E-8F47-DB6841101154}"/>
                </c:ext>
              </c:extLst>
            </c:dLbl>
            <c:dLbl>
              <c:idx val="14"/>
              <c:layout>
                <c:manualLayout>
                  <c:x val="-2.7397278244301347E-2"/>
                  <c:y val="3.44299408250696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4F-469E-8F47-DB68411011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solidFill>
                      <a:srgbClr val="00B050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x gen'!$AB$42:$AB$56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('Admitidos x gen'!$D$37,'Admitidos x gen'!$G$37,'Admitidos x gen'!$J$37,'Admitidos x gen'!$M$37,'Admitidos x gen'!$P$37,'Admitidos x gen'!$S$37,'Admitidos x gen'!$V$37,'Admitidos x gen'!$Y$37,'Admitidos x gen'!$AB$37,'Admitidos x gen'!$AE$37,'Admitidos x gen'!$AH$37,'Admitidos x gen'!$AK$37,'Admitidos x gen'!$AN$37,'Admitidos x gen'!$AQ$37,'Admitidos x gen'!$AT$37)</c:f>
              <c:numCache>
                <c:formatCode>#,##0</c:formatCode>
                <c:ptCount val="15"/>
                <c:pt idx="0">
                  <c:v>6360.4019483165912</c:v>
                </c:pt>
                <c:pt idx="1">
                  <c:v>6305.9374155624091</c:v>
                </c:pt>
                <c:pt idx="2">
                  <c:v>6735</c:v>
                </c:pt>
                <c:pt idx="3">
                  <c:v>6835</c:v>
                </c:pt>
                <c:pt idx="4">
                  <c:v>6504</c:v>
                </c:pt>
                <c:pt idx="5">
                  <c:v>6539</c:v>
                </c:pt>
                <c:pt idx="6">
                  <c:v>6212</c:v>
                </c:pt>
                <c:pt idx="7">
                  <c:v>6240</c:v>
                </c:pt>
                <c:pt idx="8">
                  <c:v>6567</c:v>
                </c:pt>
                <c:pt idx="9">
                  <c:v>6634</c:v>
                </c:pt>
                <c:pt idx="10">
                  <c:v>6787</c:v>
                </c:pt>
                <c:pt idx="11">
                  <c:v>6923</c:v>
                </c:pt>
                <c:pt idx="12">
                  <c:v>5579</c:v>
                </c:pt>
                <c:pt idx="13">
                  <c:v>5498</c:v>
                </c:pt>
                <c:pt idx="14">
                  <c:v>5926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F5C-4384-B27F-2C02424984D0}"/>
            </c:ext>
          </c:extLst>
        </c:ser>
        <c:ser>
          <c:idx val="2"/>
          <c:order val="2"/>
          <c:tx>
            <c:strRef>
              <c:f>'Admitidos x gen'!$E$4</c:f>
              <c:strCache>
                <c:ptCount val="1"/>
                <c:pt idx="0">
                  <c:v>Total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chemeClr val="tx1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/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x gen'!$AB$42:$AB$56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('Admitidos x gen'!$E$37,'Admitidos x gen'!$H$37,'Admitidos x gen'!$K$37,'Admitidos x gen'!$N$37,'Admitidos x gen'!$Q$37,'Admitidos x gen'!$T$37,'Admitidos x gen'!$W$37,'Admitidos x gen'!$Z$37,'Admitidos x gen'!$AC$37,'Admitidos x gen'!$AF$37,'Admitidos x gen'!$AI$37,'Admitidos x gen'!$AL$37,'Admitidos x gen'!$AO$37,'Admitidos x gen'!$AR$37,'Admitidos x gen'!$AU$37)</c:f>
              <c:numCache>
                <c:formatCode>#,##0</c:formatCode>
                <c:ptCount val="15"/>
                <c:pt idx="0">
                  <c:v>11704</c:v>
                </c:pt>
                <c:pt idx="1">
                  <c:v>11850</c:v>
                </c:pt>
                <c:pt idx="2">
                  <c:v>12647</c:v>
                </c:pt>
                <c:pt idx="3">
                  <c:v>12713</c:v>
                </c:pt>
                <c:pt idx="4">
                  <c:v>12227</c:v>
                </c:pt>
                <c:pt idx="5">
                  <c:v>12410</c:v>
                </c:pt>
                <c:pt idx="6">
                  <c:v>11911</c:v>
                </c:pt>
                <c:pt idx="7">
                  <c:v>12085</c:v>
                </c:pt>
                <c:pt idx="8">
                  <c:v>12946</c:v>
                </c:pt>
                <c:pt idx="9">
                  <c:v>13009</c:v>
                </c:pt>
                <c:pt idx="10">
                  <c:v>13255</c:v>
                </c:pt>
                <c:pt idx="11">
                  <c:v>13513</c:v>
                </c:pt>
                <c:pt idx="12">
                  <c:v>11364</c:v>
                </c:pt>
                <c:pt idx="13">
                  <c:v>11206</c:v>
                </c:pt>
                <c:pt idx="14">
                  <c:v>11871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F5C-4384-B27F-2C02424984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780032"/>
        <c:axId val="114781184"/>
      </c:lineChart>
      <c:catAx>
        <c:axId val="114780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s-MX"/>
          </a:p>
        </c:txPr>
        <c:crossAx val="114781184"/>
        <c:crosses val="autoZero"/>
        <c:auto val="1"/>
        <c:lblAlgn val="ctr"/>
        <c:lblOffset val="100"/>
        <c:noMultiLvlLbl val="0"/>
      </c:catAx>
      <c:valAx>
        <c:axId val="114781184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14780032"/>
        <c:crosses val="autoZero"/>
        <c:crossBetween val="between"/>
      </c:valAx>
      <c:spPr>
        <a:noFill/>
      </c:spPr>
    </c:plotArea>
    <c:legend>
      <c:legendPos val="l"/>
      <c:layout>
        <c:manualLayout>
          <c:xMode val="edge"/>
          <c:yMode val="edge"/>
          <c:x val="0.45444905925220885"/>
          <c:y val="0.72892136666135265"/>
          <c:w val="0.11768276780947967"/>
          <c:h val="0.13478085785211916"/>
        </c:manualLayout>
      </c:layout>
      <c:overlay val="1"/>
      <c:spPr>
        <a:noFill/>
        <a:effectLst>
          <a:outerShdw blurRad="50800" dist="38100" dir="2700000" algn="tl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sz="12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0804070543813605E-2"/>
          <c:y val="8.2958223972003503E-2"/>
          <c:w val="0.89605267762582308"/>
          <c:h val="0.7308628608923885"/>
        </c:manualLayout>
      </c:layout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explosion val="3"/>
          <c:dPt>
            <c:idx val="0"/>
            <c:bubble3D val="0"/>
            <c:spPr>
              <a:solidFill>
                <a:schemeClr val="bg2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1-B22A-4F97-9CEE-1CDF0B456046}"/>
              </c:ext>
            </c:extLst>
          </c:dPt>
          <c:dPt>
            <c:idx val="1"/>
            <c:bubble3D val="0"/>
            <c:spPr>
              <a:solidFill>
                <a:srgbClr val="CC9900"/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3-B22A-4F97-9CEE-1CDF0B456046}"/>
              </c:ext>
            </c:extLst>
          </c:dPt>
          <c:dPt>
            <c:idx val="2"/>
            <c:bubble3D val="0"/>
            <c:spPr>
              <a:solidFill>
                <a:schemeClr val="accent2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5-B22A-4F97-9CEE-1CDF0B456046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200" b="0">
                      <a:solidFill>
                        <a:schemeClr val="tx1"/>
                      </a:solidFill>
                    </a:defRPr>
                  </a:pPr>
                  <a:endParaRPr lang="es-MX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B22A-4F97-9CEE-1CDF0B4560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'RECURSOS EXT'!$D$259:$F$259</c:f>
              <c:strCache>
                <c:ptCount val="3"/>
                <c:pt idx="0">
                  <c:v>CONACyT</c:v>
                </c:pt>
                <c:pt idx="1">
                  <c:v>SEP</c:v>
                </c:pt>
                <c:pt idx="2">
                  <c:v>Convenios</c:v>
                </c:pt>
              </c:strCache>
            </c:strRef>
          </c:cat>
          <c:val>
            <c:numRef>
              <c:f>'RECURSOS EXT'!$D$255:$F$255</c:f>
              <c:numCache>
                <c:formatCode>#,##0.00</c:formatCode>
                <c:ptCount val="3"/>
                <c:pt idx="0">
                  <c:v>162654479.56</c:v>
                </c:pt>
                <c:pt idx="1">
                  <c:v>47851416.109999999</c:v>
                </c:pt>
                <c:pt idx="2">
                  <c:v>123763497.50000001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22A-4F97-9CEE-1CDF0B456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8.8728572270112105E-2"/>
          <c:y val="0.86998651210265388"/>
          <c:w val="0.84375334629305998"/>
          <c:h val="0.10223571011956839"/>
        </c:manualLayout>
      </c:layout>
      <c:overlay val="0"/>
      <c:txPr>
        <a:bodyPr/>
        <a:lstStyle/>
        <a:p>
          <a:pPr rtl="0">
            <a:defRPr sz="11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0804070543813605E-2"/>
          <c:y val="8.2958223972003503E-2"/>
          <c:w val="0.89605267762582308"/>
          <c:h val="0.7308628608923885"/>
        </c:manualLayout>
      </c:layout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explosion val="3"/>
          <c:dPt>
            <c:idx val="0"/>
            <c:bubble3D val="0"/>
            <c:spPr>
              <a:solidFill>
                <a:schemeClr val="bg2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1-F1DC-4FE3-A64D-8C1464E8D50D}"/>
              </c:ext>
            </c:extLst>
          </c:dPt>
          <c:dPt>
            <c:idx val="1"/>
            <c:bubble3D val="0"/>
            <c:spPr>
              <a:solidFill>
                <a:srgbClr val="CC9900"/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3-F1DC-4FE3-A64D-8C1464E8D50D}"/>
              </c:ext>
            </c:extLst>
          </c:dPt>
          <c:dPt>
            <c:idx val="2"/>
            <c:bubble3D val="0"/>
            <c:spPr>
              <a:solidFill>
                <a:schemeClr val="accent2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5-F1DC-4FE3-A64D-8C1464E8D50D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200" b="0">
                      <a:solidFill>
                        <a:schemeClr val="tx1"/>
                      </a:solidFill>
                    </a:defRPr>
                  </a:pPr>
                  <a:endParaRPr lang="es-MX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1DC-4FE3-A64D-8C1464E8D5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'RECURSOS EXT'!$D$259:$F$259</c:f>
              <c:strCache>
                <c:ptCount val="3"/>
                <c:pt idx="0">
                  <c:v>CONACyT</c:v>
                </c:pt>
                <c:pt idx="1">
                  <c:v>SEP</c:v>
                </c:pt>
                <c:pt idx="2">
                  <c:v>Convenios</c:v>
                </c:pt>
              </c:strCache>
            </c:strRef>
          </c:cat>
          <c:val>
            <c:numRef>
              <c:f>'RECURSOS EXT'!$D$285:$F$285</c:f>
              <c:numCache>
                <c:formatCode>#,##0.00</c:formatCode>
                <c:ptCount val="3"/>
                <c:pt idx="0">
                  <c:v>179510848.91999999</c:v>
                </c:pt>
                <c:pt idx="1">
                  <c:v>16369562.879999999</c:v>
                </c:pt>
                <c:pt idx="2">
                  <c:v>70559754.189999998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1DC-4FE3-A64D-8C1464E8D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20510433070866141"/>
          <c:y val="0.86998651210265388"/>
          <c:w val="0.65090223097112865"/>
          <c:h val="0.10223571011956839"/>
        </c:manualLayout>
      </c:layout>
      <c:overlay val="0"/>
      <c:txPr>
        <a:bodyPr/>
        <a:lstStyle/>
        <a:p>
          <a:pPr rtl="0">
            <a:defRPr sz="11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0804070543813605E-2"/>
          <c:y val="8.2958223972003503E-2"/>
          <c:w val="0.89605267762582308"/>
          <c:h val="0.7308628608923885"/>
        </c:manualLayout>
      </c:layout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explosion val="3"/>
          <c:dPt>
            <c:idx val="0"/>
            <c:bubble3D val="0"/>
            <c:spPr>
              <a:solidFill>
                <a:schemeClr val="bg2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1-7F02-4FFC-B334-1C82AB0B481E}"/>
              </c:ext>
            </c:extLst>
          </c:dPt>
          <c:dPt>
            <c:idx val="1"/>
            <c:bubble3D val="0"/>
            <c:spPr>
              <a:solidFill>
                <a:srgbClr val="CC9900"/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3-7F02-4FFC-B334-1C82AB0B481E}"/>
              </c:ext>
            </c:extLst>
          </c:dPt>
          <c:dPt>
            <c:idx val="2"/>
            <c:bubble3D val="0"/>
            <c:spPr>
              <a:solidFill>
                <a:schemeClr val="accent2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5-7F02-4FFC-B334-1C82AB0B481E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200" b="0">
                      <a:solidFill>
                        <a:schemeClr val="tx1"/>
                      </a:solidFill>
                    </a:defRPr>
                  </a:pPr>
                  <a:endParaRPr lang="es-MX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7F02-4FFC-B334-1C82AB0B48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'RECURSOS EXT'!$D$259:$F$259</c:f>
              <c:strCache>
                <c:ptCount val="3"/>
                <c:pt idx="0">
                  <c:v>CONACyT</c:v>
                </c:pt>
                <c:pt idx="1">
                  <c:v>SEP</c:v>
                </c:pt>
                <c:pt idx="2">
                  <c:v>Convenios</c:v>
                </c:pt>
              </c:strCache>
            </c:strRef>
          </c:cat>
          <c:val>
            <c:numRef>
              <c:f>'RECURSOS EXT'!$D$313:$F$313</c:f>
              <c:numCache>
                <c:formatCode>#,##0.00</c:formatCode>
                <c:ptCount val="3"/>
                <c:pt idx="0">
                  <c:v>92168755.070000008</c:v>
                </c:pt>
                <c:pt idx="1">
                  <c:v>49403744.32</c:v>
                </c:pt>
                <c:pt idx="2">
                  <c:v>71709453.480000004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02-4FFC-B334-1C82AB0B4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20510433070866141"/>
          <c:y val="0.86998651210265388"/>
          <c:w val="0.65090223097112865"/>
          <c:h val="0.10223571011956839"/>
        </c:manualLayout>
      </c:layout>
      <c:overlay val="0"/>
      <c:txPr>
        <a:bodyPr/>
        <a:lstStyle/>
        <a:p>
          <a:pPr rtl="0">
            <a:defRPr sz="11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0804070543813605E-2"/>
          <c:y val="8.2958223972003503E-2"/>
          <c:w val="0.89605267762582308"/>
          <c:h val="0.7308628608923885"/>
        </c:manualLayout>
      </c:layout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explosion val="3"/>
          <c:dPt>
            <c:idx val="0"/>
            <c:bubble3D val="0"/>
            <c:spPr>
              <a:solidFill>
                <a:schemeClr val="bg2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1-C357-411F-91D5-59147575E0CA}"/>
              </c:ext>
            </c:extLst>
          </c:dPt>
          <c:dPt>
            <c:idx val="1"/>
            <c:bubble3D val="0"/>
            <c:spPr>
              <a:solidFill>
                <a:srgbClr val="CC9900"/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3-C357-411F-91D5-59147575E0CA}"/>
              </c:ext>
            </c:extLst>
          </c:dPt>
          <c:dPt>
            <c:idx val="2"/>
            <c:bubble3D val="0"/>
            <c:spPr>
              <a:solidFill>
                <a:schemeClr val="accent2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5-C357-411F-91D5-59147575E0CA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200" b="0">
                      <a:solidFill>
                        <a:schemeClr val="tx1"/>
                      </a:solidFill>
                    </a:defRPr>
                  </a:pPr>
                  <a:endParaRPr lang="es-MX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C357-411F-91D5-59147575E0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'RECURSOS EXT'!$D$259:$F$259</c:f>
              <c:strCache>
                <c:ptCount val="3"/>
                <c:pt idx="0">
                  <c:v>CONACyT</c:v>
                </c:pt>
                <c:pt idx="1">
                  <c:v>SEP</c:v>
                </c:pt>
                <c:pt idx="2">
                  <c:v>Convenios</c:v>
                </c:pt>
              </c:strCache>
            </c:strRef>
          </c:cat>
          <c:val>
            <c:numRef>
              <c:f>'RECURSOS EXT'!$D$340:$F$340</c:f>
              <c:numCache>
                <c:formatCode>#,##0.00</c:formatCode>
                <c:ptCount val="3"/>
                <c:pt idx="0">
                  <c:v>187167814.91000003</c:v>
                </c:pt>
                <c:pt idx="1">
                  <c:v>79421127.200000003</c:v>
                </c:pt>
                <c:pt idx="2">
                  <c:v>217868511.91999996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357-411F-91D5-59147575E0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20510433070866141"/>
          <c:y val="0.86998651210265388"/>
          <c:w val="0.65090223097112865"/>
          <c:h val="0.10223571011956839"/>
        </c:manualLayout>
      </c:layout>
      <c:overlay val="0"/>
      <c:txPr>
        <a:bodyPr/>
        <a:lstStyle/>
        <a:p>
          <a:pPr rtl="0">
            <a:defRPr sz="11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0804070543813605E-2"/>
          <c:y val="8.2958223972003503E-2"/>
          <c:w val="0.89605267762582308"/>
          <c:h val="0.7308628608923885"/>
        </c:manualLayout>
      </c:layout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explosion val="3"/>
          <c:dPt>
            <c:idx val="0"/>
            <c:bubble3D val="0"/>
            <c:spPr>
              <a:solidFill>
                <a:schemeClr val="bg2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1-9AF8-4CA0-9034-DAE5C23F3483}"/>
              </c:ext>
            </c:extLst>
          </c:dPt>
          <c:dPt>
            <c:idx val="1"/>
            <c:bubble3D val="0"/>
            <c:spPr>
              <a:solidFill>
                <a:srgbClr val="CC9900"/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3-9AF8-4CA0-9034-DAE5C23F3483}"/>
              </c:ext>
            </c:extLst>
          </c:dPt>
          <c:dPt>
            <c:idx val="2"/>
            <c:bubble3D val="0"/>
            <c:spPr>
              <a:solidFill>
                <a:schemeClr val="accent2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5-9AF8-4CA0-9034-DAE5C23F3483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200" b="0">
                      <a:solidFill>
                        <a:schemeClr val="tx1"/>
                      </a:solidFill>
                    </a:defRPr>
                  </a:pPr>
                  <a:endParaRPr lang="es-MX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9AF8-4CA0-9034-DAE5C23F34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'RECURSOS EXT'!$D$259:$F$259</c:f>
              <c:strCache>
                <c:ptCount val="3"/>
                <c:pt idx="0">
                  <c:v>CONACyT</c:v>
                </c:pt>
                <c:pt idx="1">
                  <c:v>SEP</c:v>
                </c:pt>
                <c:pt idx="2">
                  <c:v>Convenios</c:v>
                </c:pt>
              </c:strCache>
            </c:strRef>
          </c:cat>
          <c:val>
            <c:numRef>
              <c:f>'RECURSOS EXT'!$D$365:$F$365</c:f>
              <c:numCache>
                <c:formatCode>#,##0.00</c:formatCode>
                <c:ptCount val="3"/>
                <c:pt idx="0">
                  <c:v>84484040.250000015</c:v>
                </c:pt>
                <c:pt idx="1">
                  <c:v>25246906.460000001</c:v>
                </c:pt>
                <c:pt idx="2">
                  <c:v>142612817.78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AF8-4CA0-9034-DAE5C23F34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20510433070866141"/>
          <c:y val="0.86998651210265388"/>
          <c:w val="0.65090223097112865"/>
          <c:h val="0.10223571011956839"/>
        </c:manualLayout>
      </c:layout>
      <c:overlay val="0"/>
      <c:txPr>
        <a:bodyPr/>
        <a:lstStyle/>
        <a:p>
          <a:pPr rtl="0">
            <a:defRPr sz="11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0804070543813605E-2"/>
          <c:y val="8.2958223972003503E-2"/>
          <c:w val="0.89605267762582308"/>
          <c:h val="0.7308628608923885"/>
        </c:manualLayout>
      </c:layout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explosion val="3"/>
          <c:dPt>
            <c:idx val="0"/>
            <c:bubble3D val="0"/>
            <c:spPr>
              <a:solidFill>
                <a:schemeClr val="bg2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1-4BCD-4EC2-B109-233AD26FA82F}"/>
              </c:ext>
            </c:extLst>
          </c:dPt>
          <c:dPt>
            <c:idx val="1"/>
            <c:bubble3D val="0"/>
            <c:spPr>
              <a:solidFill>
                <a:srgbClr val="CC9900"/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3-4BCD-4EC2-B109-233AD26FA82F}"/>
              </c:ext>
            </c:extLst>
          </c:dPt>
          <c:dPt>
            <c:idx val="2"/>
            <c:bubble3D val="0"/>
            <c:spPr>
              <a:solidFill>
                <a:schemeClr val="accent2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5-4BCD-4EC2-B109-233AD26FA82F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200" b="0">
                      <a:solidFill>
                        <a:schemeClr val="tx1"/>
                      </a:solidFill>
                    </a:defRPr>
                  </a:pPr>
                  <a:endParaRPr lang="es-MX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4BCD-4EC2-B109-233AD26FA8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'RECURSOS EXT'!$D$259:$F$259</c:f>
              <c:strCache>
                <c:ptCount val="3"/>
                <c:pt idx="0">
                  <c:v>CONACyT</c:v>
                </c:pt>
                <c:pt idx="1">
                  <c:v>SEP</c:v>
                </c:pt>
                <c:pt idx="2">
                  <c:v>Convenios</c:v>
                </c:pt>
              </c:strCache>
            </c:strRef>
          </c:cat>
          <c:val>
            <c:numRef>
              <c:f>'RECURSOS EXT'!$D$390:$F$390</c:f>
              <c:numCache>
                <c:formatCode>#,##0.00</c:formatCode>
                <c:ptCount val="3"/>
                <c:pt idx="0">
                  <c:v>92512439.519999996</c:v>
                </c:pt>
                <c:pt idx="1">
                  <c:v>70577844.950000003</c:v>
                </c:pt>
                <c:pt idx="2">
                  <c:v>158874723.85999998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BCD-4EC2-B109-233AD26FA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20510433070866141"/>
          <c:y val="0.86998651210265388"/>
          <c:w val="0.65090223097112865"/>
          <c:h val="0.10223571011956839"/>
        </c:manualLayout>
      </c:layout>
      <c:overlay val="0"/>
      <c:txPr>
        <a:bodyPr/>
        <a:lstStyle/>
        <a:p>
          <a:pPr rtl="0">
            <a:defRPr sz="11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0804070543813605E-2"/>
          <c:y val="8.2958223972003503E-2"/>
          <c:w val="0.89605267762582308"/>
          <c:h val="0.7308628608923885"/>
        </c:manualLayout>
      </c:layout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explosion val="3"/>
          <c:dPt>
            <c:idx val="0"/>
            <c:bubble3D val="0"/>
            <c:spPr>
              <a:solidFill>
                <a:schemeClr val="bg2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1-79EE-4628-B0E2-10EE18CFC74F}"/>
              </c:ext>
            </c:extLst>
          </c:dPt>
          <c:dPt>
            <c:idx val="1"/>
            <c:bubble3D val="0"/>
            <c:spPr>
              <a:solidFill>
                <a:srgbClr val="CC9900"/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3-79EE-4628-B0E2-10EE18CFC74F}"/>
              </c:ext>
            </c:extLst>
          </c:dPt>
          <c:dPt>
            <c:idx val="2"/>
            <c:bubble3D val="0"/>
            <c:spPr>
              <a:solidFill>
                <a:schemeClr val="accent2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5-79EE-4628-B0E2-10EE18CFC74F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200" b="0">
                      <a:solidFill>
                        <a:schemeClr val="tx1"/>
                      </a:solidFill>
                    </a:defRPr>
                  </a:pPr>
                  <a:endParaRPr lang="es-MX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79EE-4628-B0E2-10EE18CFC7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'RECURSOS EXT'!$D$196:$F$196</c:f>
              <c:strCache>
                <c:ptCount val="3"/>
                <c:pt idx="0">
                  <c:v>CONACyT</c:v>
                </c:pt>
                <c:pt idx="1">
                  <c:v>SEP</c:v>
                </c:pt>
                <c:pt idx="2">
                  <c:v>Convenios</c:v>
                </c:pt>
              </c:strCache>
            </c:strRef>
          </c:cat>
          <c:val>
            <c:numRef>
              <c:f>'RECURSOS EXT'!$D$225:$F$225</c:f>
              <c:numCache>
                <c:formatCode>#,##0.00</c:formatCode>
                <c:ptCount val="3"/>
                <c:pt idx="0">
                  <c:v>83680140.38000001</c:v>
                </c:pt>
                <c:pt idx="1">
                  <c:v>32517225.670000002</c:v>
                </c:pt>
                <c:pt idx="2">
                  <c:v>174517523.32999998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9EE-4628-B0E2-10EE18CFC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  <a:scene3d>
          <a:camera prst="orthographicFront"/>
          <a:lightRig rig="threePt" dir="t"/>
        </a:scene3d>
        <a:sp3d prstMaterial="metal"/>
      </c:spPr>
    </c:plotArea>
    <c:legend>
      <c:legendPos val="b"/>
      <c:layout>
        <c:manualLayout>
          <c:xMode val="edge"/>
          <c:yMode val="edge"/>
          <c:x val="8.8728572270112105E-2"/>
          <c:y val="0.86998651210265388"/>
          <c:w val="0.84375334629305998"/>
          <c:h val="0.10223571011956839"/>
        </c:manualLayout>
      </c:layout>
      <c:overlay val="0"/>
      <c:txPr>
        <a:bodyPr/>
        <a:lstStyle/>
        <a:p>
          <a:pPr rtl="0">
            <a:defRPr sz="11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0803961225545063E-2"/>
          <c:y val="0.1153656313794109"/>
          <c:w val="0.89605267762582308"/>
          <c:h val="0.7308628608923885"/>
        </c:manualLayout>
      </c:layout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explosion val="3"/>
          <c:dPt>
            <c:idx val="0"/>
            <c:bubble3D val="0"/>
            <c:spPr>
              <a:solidFill>
                <a:srgbClr val="0070C0"/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1-E39C-44C3-9B1C-C02F22826623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3-E39C-44C3-9B1C-C02F22826623}"/>
              </c:ext>
            </c:extLst>
          </c:dPt>
          <c:dPt>
            <c:idx val="2"/>
            <c:bubble3D val="0"/>
            <c:spPr>
              <a:solidFill>
                <a:schemeClr val="accent3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5-E39C-44C3-9B1C-C02F22826623}"/>
              </c:ext>
            </c:extLst>
          </c:dPt>
          <c:dLbls>
            <c:dLbl>
              <c:idx val="0"/>
              <c:layout>
                <c:manualLayout>
                  <c:x val="-0.15295095594347458"/>
                  <c:y val="4.9768518518518517E-2"/>
                </c:manualLayout>
              </c:layout>
              <c:spPr/>
              <c:txPr>
                <a:bodyPr/>
                <a:lstStyle/>
                <a:p>
                  <a:pPr>
                    <a:defRPr sz="1200" b="0">
                      <a:solidFill>
                        <a:sysClr val="windowText" lastClr="000000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8179551122194513"/>
                      <c:h val="0.1527777777777777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E39C-44C3-9B1C-C02F22826623}"/>
                </c:ext>
              </c:extLst>
            </c:dLbl>
            <c:dLbl>
              <c:idx val="1"/>
              <c:layout>
                <c:manualLayout>
                  <c:x val="-0.10137909131221622"/>
                  <c:y val="7.148188470010380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200" b="0">
                      <a:solidFill>
                        <a:sysClr val="windowText" lastClr="000000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8986133582617235"/>
                      <c:h val="0.2094906786169413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E39C-44C3-9B1C-C02F22826623}"/>
                </c:ext>
              </c:extLst>
            </c:dLbl>
            <c:dLbl>
              <c:idx val="2"/>
              <c:layout>
                <c:manualLayout>
                  <c:x val="0.26122664461462863"/>
                  <c:y val="-0.1589204243360255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802013446949268"/>
                      <c:h val="0.1863425914204454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E39C-44C3-9B1C-C02F228266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'RECURSOS EXT'!$D$163:$F$163</c:f>
              <c:strCache>
                <c:ptCount val="3"/>
                <c:pt idx="0">
                  <c:v>CONACYT</c:v>
                </c:pt>
                <c:pt idx="1">
                  <c:v>SEP</c:v>
                </c:pt>
                <c:pt idx="2">
                  <c:v>Convenios</c:v>
                </c:pt>
              </c:strCache>
            </c:strRef>
          </c:cat>
          <c:val>
            <c:numRef>
              <c:f>'RECURSOS EXT'!$D$192:$F$192</c:f>
              <c:numCache>
                <c:formatCode>#,##0.00</c:formatCode>
                <c:ptCount val="3"/>
                <c:pt idx="0">
                  <c:v>22144000</c:v>
                </c:pt>
                <c:pt idx="1">
                  <c:v>40660476.579999998</c:v>
                </c:pt>
                <c:pt idx="2">
                  <c:v>160476268.23000002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39C-44C3-9B1C-C02F228266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  <a:scene3d>
          <a:camera prst="orthographicFront"/>
          <a:lightRig rig="threePt" dir="t"/>
        </a:scene3d>
        <a:sp3d prstMaterial="metal"/>
      </c:spPr>
    </c:plotArea>
    <c:legend>
      <c:legendPos val="b"/>
      <c:layout>
        <c:manualLayout>
          <c:xMode val="edge"/>
          <c:yMode val="edge"/>
          <c:x val="8.8728572270112105E-2"/>
          <c:y val="0.86998651210265388"/>
          <c:w val="0.84375334629305998"/>
          <c:h val="0.10223571011956839"/>
        </c:manualLayout>
      </c:layout>
      <c:overlay val="0"/>
      <c:spPr>
        <a:ln>
          <a:noFill/>
        </a:ln>
      </c:spPr>
      <c:txPr>
        <a:bodyPr/>
        <a:lstStyle/>
        <a:p>
          <a:pPr rtl="0">
            <a:defRPr sz="14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0803961225545063E-2"/>
          <c:y val="0.1153656313794109"/>
          <c:w val="0.89605267762582308"/>
          <c:h val="0.7308628608923885"/>
        </c:manualLayout>
      </c:layout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explosion val="3"/>
          <c:dPt>
            <c:idx val="0"/>
            <c:bubble3D val="0"/>
            <c:spPr>
              <a:solidFill>
                <a:srgbClr val="FFC000"/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1-94EA-411C-96CE-BBD4659FFE81}"/>
              </c:ext>
            </c:extLst>
          </c:dPt>
          <c:dPt>
            <c:idx val="1"/>
            <c:bubble3D val="0"/>
            <c:spPr>
              <a:solidFill>
                <a:schemeClr val="accent5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3-94EA-411C-96CE-BBD4659FFE81}"/>
              </c:ext>
            </c:extLst>
          </c:dPt>
          <c:dPt>
            <c:idx val="2"/>
            <c:bubble3D val="0"/>
            <c:spPr>
              <a:solidFill>
                <a:schemeClr val="accent6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5-94EA-411C-96CE-BBD4659FFE81}"/>
              </c:ext>
            </c:extLst>
          </c:dPt>
          <c:dLbls>
            <c:dLbl>
              <c:idx val="0"/>
              <c:layout>
                <c:manualLayout>
                  <c:x val="-0.23057634918922812"/>
                  <c:y val="0.13337012937691467"/>
                </c:manualLayout>
              </c:layout>
              <c:spPr/>
              <c:txPr>
                <a:bodyPr/>
                <a:lstStyle/>
                <a:p>
                  <a:pPr>
                    <a:defRPr sz="1400" b="0">
                      <a:solidFill>
                        <a:sysClr val="windowText" lastClr="000000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875142319538826"/>
                      <c:h val="0.2085120388890295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94EA-411C-96CE-BBD4659FFE81}"/>
                </c:ext>
              </c:extLst>
            </c:dLbl>
            <c:dLbl>
              <c:idx val="1"/>
              <c:layout>
                <c:manualLayout>
                  <c:x val="-7.1237550785603967E-2"/>
                  <c:y val="-0.13001848241638606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534989633145164"/>
                      <c:h val="0.1751927150585276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94EA-411C-96CE-BBD4659FFE81}"/>
                </c:ext>
              </c:extLst>
            </c:dLbl>
            <c:dLbl>
              <c:idx val="2"/>
              <c:layout>
                <c:manualLayout>
                  <c:x val="8.2191780821917804E-2"/>
                  <c:y val="-0.23373927133706357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6149162861491629"/>
                      <c:h val="0.2518756698821007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94EA-411C-96CE-BBD4659FFE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'RECURSOS EXT'!$D$131:$F$131</c:f>
              <c:strCache>
                <c:ptCount val="3"/>
                <c:pt idx="0">
                  <c:v>CONACYT</c:v>
                </c:pt>
                <c:pt idx="1">
                  <c:v>SEP</c:v>
                </c:pt>
                <c:pt idx="2">
                  <c:v>Convenios</c:v>
                </c:pt>
              </c:strCache>
            </c:strRef>
          </c:cat>
          <c:val>
            <c:numRef>
              <c:f>'RECURSOS EXT'!$D$160:$F$160</c:f>
              <c:numCache>
                <c:formatCode>#,##0.00</c:formatCode>
                <c:ptCount val="3"/>
                <c:pt idx="0">
                  <c:v>39399188.630000003</c:v>
                </c:pt>
                <c:pt idx="1">
                  <c:v>23346860.109999999</c:v>
                </c:pt>
                <c:pt idx="2">
                  <c:v>124598896.90000001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4EA-411C-96CE-BBD4659FFE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  <a:scene3d>
          <a:camera prst="orthographicFront"/>
          <a:lightRig rig="threePt" dir="t"/>
        </a:scene3d>
        <a:sp3d prstMaterial="metal"/>
      </c:spPr>
    </c:plotArea>
    <c:legend>
      <c:legendPos val="b"/>
      <c:layout>
        <c:manualLayout>
          <c:xMode val="edge"/>
          <c:yMode val="edge"/>
          <c:x val="8.8728572270112105E-2"/>
          <c:y val="0.86998651210265388"/>
          <c:w val="0.84375334629305998"/>
          <c:h val="0.10223571011956839"/>
        </c:manualLayout>
      </c:layout>
      <c:overlay val="0"/>
      <c:spPr>
        <a:ln>
          <a:noFill/>
        </a:ln>
      </c:spPr>
      <c:txPr>
        <a:bodyPr/>
        <a:lstStyle/>
        <a:p>
          <a:pPr rtl="0">
            <a:defRPr sz="14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00"/>
            </a:pPr>
            <a:r>
              <a:rPr lang="es-419" sz="1400"/>
              <a:t>Ingresos por apoyos externos 2019</a:t>
            </a:r>
          </a:p>
          <a:p>
            <a:pPr algn="l">
              <a:defRPr sz="1400"/>
            </a:pPr>
            <a:r>
              <a:rPr lang="es-419" sz="1100" b="0"/>
              <a:t>miles de pesos</a:t>
            </a:r>
          </a:p>
        </c:rich>
      </c:tx>
      <c:layout>
        <c:manualLayout>
          <c:xMode val="edge"/>
          <c:yMode val="edge"/>
          <c:x val="1.0607902735562294E-2"/>
          <c:y val="1.3057671381936888E-2"/>
        </c:manualLayout>
      </c:layout>
      <c:overlay val="1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0803915468013307E-2"/>
          <c:y val="0.14148106894690393"/>
          <c:w val="0.89605267762582308"/>
          <c:h val="0.7308628608923885"/>
        </c:manualLayout>
      </c:layout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explosion val="3"/>
          <c:dPt>
            <c:idx val="0"/>
            <c:bubble3D val="0"/>
            <c:spPr>
              <a:solidFill>
                <a:srgbClr val="FFC000"/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1-4D39-44A5-A703-45F10E6BB2EC}"/>
              </c:ext>
            </c:extLst>
          </c:dPt>
          <c:dPt>
            <c:idx val="1"/>
            <c:bubble3D val="0"/>
            <c:spPr>
              <a:solidFill>
                <a:schemeClr val="accent5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3-4D39-44A5-A703-45F10E6BB2EC}"/>
              </c:ext>
            </c:extLst>
          </c:dPt>
          <c:dPt>
            <c:idx val="2"/>
            <c:bubble3D val="0"/>
            <c:spPr>
              <a:solidFill>
                <a:schemeClr val="accent6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5-4D39-44A5-A703-45F10E6BB2EC}"/>
              </c:ext>
            </c:extLst>
          </c:dPt>
          <c:dLbls>
            <c:dLbl>
              <c:idx val="0"/>
              <c:layout>
                <c:manualLayout>
                  <c:x val="-0.18194409209487111"/>
                  <c:y val="5.9376590439796768E-2"/>
                </c:manualLayout>
              </c:layout>
              <c:spPr/>
              <c:txPr>
                <a:bodyPr/>
                <a:lstStyle/>
                <a:p>
                  <a:pPr>
                    <a:defRPr sz="1400" b="0">
                      <a:solidFill>
                        <a:sysClr val="windowText" lastClr="000000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875142319538826"/>
                      <c:h val="0.2085120388890295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4D39-44A5-A703-45F10E6BB2EC}"/>
                </c:ext>
              </c:extLst>
            </c:dLbl>
            <c:dLbl>
              <c:idx val="1"/>
              <c:layout>
                <c:manualLayout>
                  <c:x val="-0.17762056338702342"/>
                  <c:y val="-0.30847343483587947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063853720412609"/>
                      <c:h val="0.1751928234215554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4D39-44A5-A703-45F10E6BB2EC}"/>
                </c:ext>
              </c:extLst>
            </c:dLbl>
            <c:dLbl>
              <c:idx val="2"/>
              <c:layout>
                <c:manualLayout>
                  <c:x val="0.14602146806117319"/>
                  <c:y val="-9.8810072571178909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206902328698266"/>
                      <c:h val="0.251875626536889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4D39-44A5-A703-45F10E6BB2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'RECURSOS EXT'!$D$99:$F$99</c:f>
              <c:strCache>
                <c:ptCount val="3"/>
                <c:pt idx="0">
                  <c:v>CONACYT</c:v>
                </c:pt>
                <c:pt idx="1">
                  <c:v>SEP</c:v>
                </c:pt>
                <c:pt idx="2">
                  <c:v>Convenios</c:v>
                </c:pt>
              </c:strCache>
            </c:strRef>
          </c:cat>
          <c:val>
            <c:numRef>
              <c:f>'RECURSOS EXT'!$D$128:$F$128</c:f>
              <c:numCache>
                <c:formatCode>#,##0.00</c:formatCode>
                <c:ptCount val="3"/>
                <c:pt idx="0">
                  <c:v>56677.409739999996</c:v>
                </c:pt>
                <c:pt idx="1">
                  <c:v>17233.8701</c:v>
                </c:pt>
                <c:pt idx="2">
                  <c:v>73120.657159999988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D39-44A5-A703-45F10E6BB2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  <a:scene3d>
          <a:camera prst="orthographicFront"/>
          <a:lightRig rig="threePt" dir="t"/>
        </a:scene3d>
        <a:sp3d prstMaterial="metal"/>
      </c:spPr>
    </c:plotArea>
    <c:legend>
      <c:legendPos val="b"/>
      <c:layout>
        <c:manualLayout>
          <c:xMode val="edge"/>
          <c:yMode val="edge"/>
          <c:x val="7.3531101165545801E-2"/>
          <c:y val="0.88304404822084925"/>
          <c:w val="0.84375334629305998"/>
          <c:h val="0.10223571011956839"/>
        </c:manualLayout>
      </c:layout>
      <c:overlay val="0"/>
      <c:spPr>
        <a:ln>
          <a:noFill/>
        </a:ln>
      </c:spPr>
      <c:txPr>
        <a:bodyPr/>
        <a:lstStyle/>
        <a:p>
          <a:pPr rtl="0">
            <a:defRPr sz="14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hyperlink" Target="#Indice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7" Type="http://schemas.openxmlformats.org/officeDocument/2006/relationships/hyperlink" Target="#Indice!B12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Indice!B13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7" Type="http://schemas.openxmlformats.org/officeDocument/2006/relationships/hyperlink" Target="#Indice!B14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chart" Target="../charts/chart19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hyperlink" Target="#Indice!B15"/><Relationship Id="rId1" Type="http://schemas.openxmlformats.org/officeDocument/2006/relationships/chart" Target="../charts/chart22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hyperlink" Target="#Indice!B16"/><Relationship Id="rId1" Type="http://schemas.openxmlformats.org/officeDocument/2006/relationships/chart" Target="../charts/chart23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Indice!B17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hyperlink" Target="#Indice!B18"/><Relationship Id="rId1" Type="http://schemas.openxmlformats.org/officeDocument/2006/relationships/chart" Target="../charts/chart24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Indice!B19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6" Type="http://schemas.openxmlformats.org/officeDocument/2006/relationships/hyperlink" Target="#Indice!B20"/><Relationship Id="rId5" Type="http://schemas.openxmlformats.org/officeDocument/2006/relationships/chart" Target="../charts/chart29.xml"/><Relationship Id="rId4" Type="http://schemas.openxmlformats.org/officeDocument/2006/relationships/chart" Target="../charts/chart28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hyperlink" Target="#Indice!B21"/><Relationship Id="rId1" Type="http://schemas.openxmlformats.org/officeDocument/2006/relationships/chart" Target="../charts/chart30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Indice!B22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hyperlink" Target="#Indice!B23"/><Relationship Id="rId1" Type="http://schemas.openxmlformats.org/officeDocument/2006/relationships/chart" Target="../charts/chart3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Indice!B24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hyperlink" Target="#Indice!B25"/><Relationship Id="rId1" Type="http://schemas.openxmlformats.org/officeDocument/2006/relationships/chart" Target="../charts/chart32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Indice!B26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Indice!B27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hyperlink" Target="#Indice!B28"/><Relationship Id="rId1" Type="http://schemas.openxmlformats.org/officeDocument/2006/relationships/chart" Target="../charts/chart3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hyperlink" Target="#Indice!B29"/><Relationship Id="rId1" Type="http://schemas.openxmlformats.org/officeDocument/2006/relationships/chart" Target="../charts/chart34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Indice!E5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Indice!E6"/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dice!B5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hyperlink" Target="#Indice!E7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Indice!E8"/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Indice!E9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hyperlink" Target="#Indice!E10"/><Relationship Id="rId2" Type="http://schemas.openxmlformats.org/officeDocument/2006/relationships/chart" Target="../charts/chart40.xml"/><Relationship Id="rId1" Type="http://schemas.openxmlformats.org/officeDocument/2006/relationships/chart" Target="../charts/chart39.xml"/><Relationship Id="rId4" Type="http://schemas.openxmlformats.org/officeDocument/2006/relationships/hyperlink" Target="#'Alumnos x PTC'!AT145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hyperlink" Target="#Indice!E1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hyperlink" Target="#Indice!E12"/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hyperlink" Target="#Indice!E13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hyperlink" Target="#Indice!E14"/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hyperlink" Target="#Indice!E15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hyperlink" Target="#Indice!E16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Indice!B6"/><Relationship Id="rId1" Type="http://schemas.openxmlformats.org/officeDocument/2006/relationships/chart" Target="../charts/chart1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hyperlink" Target="#Indice!E20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hyperlink" Target="#Indice!E21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hyperlink" Target="#Indice!E22"/><Relationship Id="rId1" Type="http://schemas.openxmlformats.org/officeDocument/2006/relationships/chart" Target="../charts/chart46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hyperlink" Target="#Indice!E23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hyperlink" Target="#Indice!E24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hyperlink" Target="#Indice!E26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hyperlink" Target="#Indice!E27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hyperlink" Target="#Indice!E29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hyperlink" Target="#Indice!E32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hyperlink" Target="#Indice!E35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Indice!B7"/><Relationship Id="rId1" Type="http://schemas.openxmlformats.org/officeDocument/2006/relationships/chart" Target="../charts/chart2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hyperlink" Target="#Indice!E37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hyperlink" Target="#Indice!H5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hyperlink" Target="#Indice!H7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hyperlink" Target="#Indice!H9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hyperlink" Target="#Indice!H11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hyperlink" Target="#Indice!H13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hyperlink" Target="#Indice!H15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hyperlink" Target="#Indice!H17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hyperlink" Target="#Indice!H20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hyperlink" Target="#Indice!H23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Indice!B8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hyperlink" Target="#Indice!H25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hyperlink" Target="#Indice!H27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hyperlink" Target="#Indice!H29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hyperlink" Target="#Indice!H31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hyperlink" Target="#Indice!H31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hyperlink" Target="#Indice!H33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hyperlink" Target="#Indice!H35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hyperlink" Target="#Indice!H37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Indice!K5"/><Relationship Id="rId2" Type="http://schemas.openxmlformats.org/officeDocument/2006/relationships/chart" Target="../charts/chart48.xml"/><Relationship Id="rId1" Type="http://schemas.openxmlformats.org/officeDocument/2006/relationships/chart" Target="../charts/chart47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hyperlink" Target="#Indice!K6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7" Type="http://schemas.openxmlformats.org/officeDocument/2006/relationships/hyperlink" Target="#Indice!B9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hyperlink" Target="#Indice!K7"/><Relationship Id="rId2" Type="http://schemas.openxmlformats.org/officeDocument/2006/relationships/chart" Target="../charts/chart53.xml"/><Relationship Id="rId1" Type="http://schemas.openxmlformats.org/officeDocument/2006/relationships/chart" Target="../charts/chart52.xml"/><Relationship Id="rId4" Type="http://schemas.openxmlformats.org/officeDocument/2006/relationships/chart" Target="../charts/chart54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Indice!K8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4" Type="http://schemas.openxmlformats.org/officeDocument/2006/relationships/chart" Target="../charts/chart57.xml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ACTIVOS-POS uni'!Q144"/><Relationship Id="rId2" Type="http://schemas.openxmlformats.org/officeDocument/2006/relationships/chart" Target="../charts/chart58.xml"/><Relationship Id="rId1" Type="http://schemas.openxmlformats.org/officeDocument/2006/relationships/hyperlink" Target="#Indice!K9"/><Relationship Id="rId5" Type="http://schemas.openxmlformats.org/officeDocument/2006/relationships/chart" Target="../charts/chart60.xml"/><Relationship Id="rId4" Type="http://schemas.openxmlformats.org/officeDocument/2006/relationships/chart" Target="../charts/chart59.xml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hyperlink" Target="#Indice!K10"/><Relationship Id="rId1" Type="http://schemas.openxmlformats.org/officeDocument/2006/relationships/chart" Target="../charts/chart61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hyperlink" Target="#Indice!K1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Indice!K12"/><Relationship Id="rId2" Type="http://schemas.openxmlformats.org/officeDocument/2006/relationships/chart" Target="../charts/chart63.xml"/><Relationship Id="rId1" Type="http://schemas.openxmlformats.org/officeDocument/2006/relationships/chart" Target="../charts/chart62.xml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hyperlink" Target="#Indice!K13"/><Relationship Id="rId1" Type="http://schemas.openxmlformats.org/officeDocument/2006/relationships/chart" Target="../charts/chart64.xml"/></Relationships>
</file>

<file path=xl/drawings/_rels/drawing7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.xml"/><Relationship Id="rId13" Type="http://schemas.openxmlformats.org/officeDocument/2006/relationships/chart" Target="../charts/chart77.xml"/><Relationship Id="rId18" Type="http://schemas.openxmlformats.org/officeDocument/2006/relationships/hyperlink" Target="#Indice!K14"/><Relationship Id="rId3" Type="http://schemas.openxmlformats.org/officeDocument/2006/relationships/chart" Target="../charts/chart67.xml"/><Relationship Id="rId7" Type="http://schemas.openxmlformats.org/officeDocument/2006/relationships/chart" Target="../charts/chart71.xml"/><Relationship Id="rId12" Type="http://schemas.openxmlformats.org/officeDocument/2006/relationships/chart" Target="../charts/chart76.xml"/><Relationship Id="rId17" Type="http://schemas.openxmlformats.org/officeDocument/2006/relationships/chart" Target="../charts/chart81.xml"/><Relationship Id="rId2" Type="http://schemas.openxmlformats.org/officeDocument/2006/relationships/chart" Target="../charts/chart66.xml"/><Relationship Id="rId16" Type="http://schemas.openxmlformats.org/officeDocument/2006/relationships/chart" Target="../charts/chart80.xml"/><Relationship Id="rId1" Type="http://schemas.openxmlformats.org/officeDocument/2006/relationships/chart" Target="../charts/chart65.xml"/><Relationship Id="rId6" Type="http://schemas.openxmlformats.org/officeDocument/2006/relationships/chart" Target="../charts/chart70.xml"/><Relationship Id="rId11" Type="http://schemas.openxmlformats.org/officeDocument/2006/relationships/chart" Target="../charts/chart75.xml"/><Relationship Id="rId5" Type="http://schemas.openxmlformats.org/officeDocument/2006/relationships/chart" Target="../charts/chart69.xml"/><Relationship Id="rId15" Type="http://schemas.openxmlformats.org/officeDocument/2006/relationships/chart" Target="../charts/chart79.xml"/><Relationship Id="rId10" Type="http://schemas.openxmlformats.org/officeDocument/2006/relationships/chart" Target="../charts/chart74.xml"/><Relationship Id="rId4" Type="http://schemas.openxmlformats.org/officeDocument/2006/relationships/chart" Target="../charts/chart68.xml"/><Relationship Id="rId9" Type="http://schemas.openxmlformats.org/officeDocument/2006/relationships/chart" Target="../charts/chart73.xml"/><Relationship Id="rId14" Type="http://schemas.openxmlformats.org/officeDocument/2006/relationships/chart" Target="../charts/chart78.xml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3.xml"/><Relationship Id="rId2" Type="http://schemas.openxmlformats.org/officeDocument/2006/relationships/chart" Target="../charts/chart82.xml"/><Relationship Id="rId1" Type="http://schemas.openxmlformats.org/officeDocument/2006/relationships/hyperlink" Target="#Indice!K15"/><Relationship Id="rId5" Type="http://schemas.openxmlformats.org/officeDocument/2006/relationships/chart" Target="../charts/chart85.xml"/><Relationship Id="rId4" Type="http://schemas.openxmlformats.org/officeDocument/2006/relationships/chart" Target="../charts/chart84.xml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Indice!K16"/><Relationship Id="rId2" Type="http://schemas.openxmlformats.org/officeDocument/2006/relationships/chart" Target="../charts/chart87.xml"/><Relationship Id="rId1" Type="http://schemas.openxmlformats.org/officeDocument/2006/relationships/chart" Target="../charts/chart86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Indice!B10"/><Relationship Id="rId1" Type="http://schemas.openxmlformats.org/officeDocument/2006/relationships/chart" Target="../charts/chart9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hyperlink" Target="#Indice!K20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hyperlink" Target="#Indice!K21"/><Relationship Id="rId1" Type="http://schemas.openxmlformats.org/officeDocument/2006/relationships/chart" Target="../charts/chart88.xml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hyperlink" Target="#Indice!K22"/><Relationship Id="rId1" Type="http://schemas.openxmlformats.org/officeDocument/2006/relationships/chart" Target="../charts/chart89.xml"/></Relationships>
</file>

<file path=xl/drawings/_rels/drawing8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6.xml"/><Relationship Id="rId13" Type="http://schemas.openxmlformats.org/officeDocument/2006/relationships/chart" Target="../charts/chart101.xml"/><Relationship Id="rId3" Type="http://schemas.openxmlformats.org/officeDocument/2006/relationships/chart" Target="../charts/chart91.xml"/><Relationship Id="rId7" Type="http://schemas.openxmlformats.org/officeDocument/2006/relationships/chart" Target="../charts/chart95.xml"/><Relationship Id="rId12" Type="http://schemas.openxmlformats.org/officeDocument/2006/relationships/chart" Target="../charts/chart100.xml"/><Relationship Id="rId2" Type="http://schemas.openxmlformats.org/officeDocument/2006/relationships/chart" Target="../charts/chart90.xml"/><Relationship Id="rId1" Type="http://schemas.openxmlformats.org/officeDocument/2006/relationships/hyperlink" Target="#Indice!K23"/><Relationship Id="rId6" Type="http://schemas.openxmlformats.org/officeDocument/2006/relationships/chart" Target="../charts/chart94.xml"/><Relationship Id="rId11" Type="http://schemas.openxmlformats.org/officeDocument/2006/relationships/chart" Target="../charts/chart99.xml"/><Relationship Id="rId5" Type="http://schemas.openxmlformats.org/officeDocument/2006/relationships/chart" Target="../charts/chart93.xml"/><Relationship Id="rId10" Type="http://schemas.openxmlformats.org/officeDocument/2006/relationships/chart" Target="../charts/chart98.xml"/><Relationship Id="rId4" Type="http://schemas.openxmlformats.org/officeDocument/2006/relationships/chart" Target="../charts/chart92.xml"/><Relationship Id="rId9" Type="http://schemas.openxmlformats.org/officeDocument/2006/relationships/chart" Target="../charts/chart97.xml"/><Relationship Id="rId14" Type="http://schemas.openxmlformats.org/officeDocument/2006/relationships/chart" Target="../charts/chart102.xml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5.xml"/><Relationship Id="rId2" Type="http://schemas.openxmlformats.org/officeDocument/2006/relationships/chart" Target="../charts/chart104.xml"/><Relationship Id="rId1" Type="http://schemas.openxmlformats.org/officeDocument/2006/relationships/chart" Target="../charts/chart103.xml"/><Relationship Id="rId4" Type="http://schemas.openxmlformats.org/officeDocument/2006/relationships/hyperlink" Target="#Indice!K24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6.xml"/><Relationship Id="rId1" Type="http://schemas.openxmlformats.org/officeDocument/2006/relationships/hyperlink" Target="#Indice!K25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dice!B1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398318</xdr:colOff>
      <xdr:row>0</xdr:row>
      <xdr:rowOff>8659</xdr:rowOff>
    </xdr:from>
    <xdr:to>
      <xdr:col>11</xdr:col>
      <xdr:colOff>517190</xdr:colOff>
      <xdr:row>46</xdr:row>
      <xdr:rowOff>101554</xdr:rowOff>
    </xdr:to>
    <xdr:pic>
      <xdr:nvPicPr>
        <xdr:cNvPr id="2" name="Imagen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0318" y="8659"/>
          <a:ext cx="7738872" cy="773887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47</xdr:col>
      <xdr:colOff>101599</xdr:colOff>
      <xdr:row>39</xdr:row>
      <xdr:rowOff>69849</xdr:rowOff>
    </xdr:from>
    <xdr:to>
      <xdr:col>62</xdr:col>
      <xdr:colOff>906</xdr:colOff>
      <xdr:row>66</xdr:row>
      <xdr:rowOff>85725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68</xdr:row>
      <xdr:rowOff>9525</xdr:rowOff>
    </xdr:from>
    <xdr:to>
      <xdr:col>13</xdr:col>
      <xdr:colOff>247650</xdr:colOff>
      <xdr:row>80</xdr:row>
      <xdr:rowOff>180975</xdr:rowOff>
    </xdr:to>
    <xdr:graphicFrame macro="">
      <xdr:nvGraphicFramePr>
        <xdr:cNvPr id="3" name="5 Gráfico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485775</xdr:colOff>
      <xdr:row>68</xdr:row>
      <xdr:rowOff>0</xdr:rowOff>
    </xdr:from>
    <xdr:to>
      <xdr:col>21</xdr:col>
      <xdr:colOff>152400</xdr:colOff>
      <xdr:row>80</xdr:row>
      <xdr:rowOff>171450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285750</xdr:colOff>
      <xdr:row>68</xdr:row>
      <xdr:rowOff>19050</xdr:rowOff>
    </xdr:from>
    <xdr:to>
      <xdr:col>28</xdr:col>
      <xdr:colOff>533400</xdr:colOff>
      <xdr:row>81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29</xdr:col>
      <xdr:colOff>47625</xdr:colOff>
      <xdr:row>68</xdr:row>
      <xdr:rowOff>38100</xdr:rowOff>
    </xdr:from>
    <xdr:to>
      <xdr:col>36</xdr:col>
      <xdr:colOff>295275</xdr:colOff>
      <xdr:row>81</xdr:row>
      <xdr:rowOff>19050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36</xdr:col>
      <xdr:colOff>323850</xdr:colOff>
      <xdr:row>68</xdr:row>
      <xdr:rowOff>19050</xdr:rowOff>
    </xdr:from>
    <xdr:to>
      <xdr:col>42</xdr:col>
      <xdr:colOff>428625</xdr:colOff>
      <xdr:row>81</xdr:row>
      <xdr:rowOff>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61</xdr:col>
      <xdr:colOff>184151</xdr:colOff>
      <xdr:row>0</xdr:row>
      <xdr:rowOff>223520</xdr:rowOff>
    </xdr:from>
    <xdr:to>
      <xdr:col>61</xdr:col>
      <xdr:colOff>450850</xdr:colOff>
      <xdr:row>0</xdr:row>
      <xdr:rowOff>501333</xdr:rowOff>
    </xdr:to>
    <xdr:sp macro="" textlink="">
      <xdr:nvSpPr>
        <xdr:cNvPr id="8" name="10 Botón de acción: Inici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SpPr/>
      </xdr:nvSpPr>
      <xdr:spPr>
        <a:xfrm>
          <a:off x="36541076" y="223520"/>
          <a:ext cx="266699" cy="277813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61</xdr:col>
      <xdr:colOff>188595</xdr:colOff>
      <xdr:row>0</xdr:row>
      <xdr:rowOff>377825</xdr:rowOff>
    </xdr:from>
    <xdr:to>
      <xdr:col>61</xdr:col>
      <xdr:colOff>474345</xdr:colOff>
      <xdr:row>1</xdr:row>
      <xdr:rowOff>101600</xdr:rowOff>
    </xdr:to>
    <xdr:sp macro="" textlink="">
      <xdr:nvSpPr>
        <xdr:cNvPr id="2" name="2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42184320" y="377825"/>
          <a:ext cx="285750" cy="285750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47</xdr:col>
      <xdr:colOff>19050</xdr:colOff>
      <xdr:row>39</xdr:row>
      <xdr:rowOff>99060</xdr:rowOff>
    </xdr:from>
    <xdr:to>
      <xdr:col>61</xdr:col>
      <xdr:colOff>552450</xdr:colOff>
      <xdr:row>68</xdr:row>
      <xdr:rowOff>68580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72</xdr:row>
      <xdr:rowOff>9525</xdr:rowOff>
    </xdr:from>
    <xdr:to>
      <xdr:col>13</xdr:col>
      <xdr:colOff>247650</xdr:colOff>
      <xdr:row>87</xdr:row>
      <xdr:rowOff>38100</xdr:rowOff>
    </xdr:to>
    <xdr:graphicFrame macro="">
      <xdr:nvGraphicFramePr>
        <xdr:cNvPr id="3" name="4 Gráfico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485775</xdr:colOff>
      <xdr:row>72</xdr:row>
      <xdr:rowOff>0</xdr:rowOff>
    </xdr:from>
    <xdr:to>
      <xdr:col>21</xdr:col>
      <xdr:colOff>152400</xdr:colOff>
      <xdr:row>87</xdr:row>
      <xdr:rowOff>28575</xdr:rowOff>
    </xdr:to>
    <xdr:graphicFrame macro="">
      <xdr:nvGraphicFramePr>
        <xdr:cNvPr id="4" name="5 Gráfico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285750</xdr:colOff>
      <xdr:row>72</xdr:row>
      <xdr:rowOff>19050</xdr:rowOff>
    </xdr:from>
    <xdr:to>
      <xdr:col>28</xdr:col>
      <xdr:colOff>533400</xdr:colOff>
      <xdr:row>87</xdr:row>
      <xdr:rowOff>47625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29</xdr:col>
      <xdr:colOff>47625</xdr:colOff>
      <xdr:row>72</xdr:row>
      <xdr:rowOff>38100</xdr:rowOff>
    </xdr:from>
    <xdr:to>
      <xdr:col>36</xdr:col>
      <xdr:colOff>295275</xdr:colOff>
      <xdr:row>87</xdr:row>
      <xdr:rowOff>66675</xdr:rowOff>
    </xdr:to>
    <xdr:graphicFrame macro="">
      <xdr:nvGraphicFramePr>
        <xdr:cNvPr id="6" name="7 Gráfico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36</xdr:col>
      <xdr:colOff>323850</xdr:colOff>
      <xdr:row>72</xdr:row>
      <xdr:rowOff>19050</xdr:rowOff>
    </xdr:from>
    <xdr:to>
      <xdr:col>42</xdr:col>
      <xdr:colOff>428625</xdr:colOff>
      <xdr:row>87</xdr:row>
      <xdr:rowOff>47625</xdr:rowOff>
    </xdr:to>
    <xdr:graphicFrame macro="">
      <xdr:nvGraphicFramePr>
        <xdr:cNvPr id="7" name="8 Gráfico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61</xdr:col>
      <xdr:colOff>209549</xdr:colOff>
      <xdr:row>0</xdr:row>
      <xdr:rowOff>495935</xdr:rowOff>
    </xdr:from>
    <xdr:to>
      <xdr:col>61</xdr:col>
      <xdr:colOff>485774</xdr:colOff>
      <xdr:row>0</xdr:row>
      <xdr:rowOff>822961</xdr:rowOff>
    </xdr:to>
    <xdr:sp macro="" textlink="">
      <xdr:nvSpPr>
        <xdr:cNvPr id="8" name="10 Botón de acción: Inici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SpPr/>
      </xdr:nvSpPr>
      <xdr:spPr>
        <a:xfrm>
          <a:off x="37776149" y="495935"/>
          <a:ext cx="276225" cy="327026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293370</xdr:colOff>
      <xdr:row>40</xdr:row>
      <xdr:rowOff>102869</xdr:rowOff>
    </xdr:from>
    <xdr:to>
      <xdr:col>21</xdr:col>
      <xdr:colOff>577849</xdr:colOff>
      <xdr:row>74</xdr:row>
      <xdr:rowOff>79374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250825</xdr:colOff>
      <xdr:row>0</xdr:row>
      <xdr:rowOff>149225</xdr:rowOff>
    </xdr:from>
    <xdr:to>
      <xdr:col>22</xdr:col>
      <xdr:colOff>517525</xdr:colOff>
      <xdr:row>0</xdr:row>
      <xdr:rowOff>450850</xdr:rowOff>
    </xdr:to>
    <xdr:sp macro="" textlink="">
      <xdr:nvSpPr>
        <xdr:cNvPr id="3" name="3 Botón de acción: Inici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13404850" y="149225"/>
          <a:ext cx="266700" cy="301625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327025</xdr:colOff>
      <xdr:row>39</xdr:row>
      <xdr:rowOff>14605</xdr:rowOff>
    </xdr:from>
    <xdr:to>
      <xdr:col>22</xdr:col>
      <xdr:colOff>25401</xdr:colOff>
      <xdr:row>73</xdr:row>
      <xdr:rowOff>107950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263525</xdr:colOff>
      <xdr:row>0</xdr:row>
      <xdr:rowOff>133350</xdr:rowOff>
    </xdr:from>
    <xdr:to>
      <xdr:col>21</xdr:col>
      <xdr:colOff>558800</xdr:colOff>
      <xdr:row>0</xdr:row>
      <xdr:rowOff>476250</xdr:rowOff>
    </xdr:to>
    <xdr:sp macro="" textlink="">
      <xdr:nvSpPr>
        <xdr:cNvPr id="3" name="3 Botón de acción: Inici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/>
      </xdr:nvSpPr>
      <xdr:spPr>
        <a:xfrm>
          <a:off x="14103350" y="133350"/>
          <a:ext cx="295275" cy="342900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219075</xdr:colOff>
      <xdr:row>0</xdr:row>
      <xdr:rowOff>161925</xdr:rowOff>
    </xdr:from>
    <xdr:to>
      <xdr:col>20</xdr:col>
      <xdr:colOff>466725</xdr:colOff>
      <xdr:row>0</xdr:row>
      <xdr:rowOff>476250</xdr:rowOff>
    </xdr:to>
    <xdr:sp macro="" textlink="">
      <xdr:nvSpPr>
        <xdr:cNvPr id="2" name="2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>
        <a:xfrm>
          <a:off x="15068550" y="161925"/>
          <a:ext cx="247650" cy="314325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8658</xdr:colOff>
      <xdr:row>45</xdr:row>
      <xdr:rowOff>43296</xdr:rowOff>
    </xdr:from>
    <xdr:to>
      <xdr:col>21</xdr:col>
      <xdr:colOff>710044</xdr:colOff>
      <xdr:row>72</xdr:row>
      <xdr:rowOff>31750</xdr:rowOff>
    </xdr:to>
    <xdr:graphicFrame macro="">
      <xdr:nvGraphicFramePr>
        <xdr:cNvPr id="2" name="4 Gráfico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305954</xdr:colOff>
      <xdr:row>0</xdr:row>
      <xdr:rowOff>159673</xdr:rowOff>
    </xdr:from>
    <xdr:to>
      <xdr:col>21</xdr:col>
      <xdr:colOff>613929</xdr:colOff>
      <xdr:row>0</xdr:row>
      <xdr:rowOff>460663</xdr:rowOff>
    </xdr:to>
    <xdr:sp macro="" textlink="">
      <xdr:nvSpPr>
        <xdr:cNvPr id="3" name="3 Botón de acción: Inici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/>
      </xdr:nvSpPr>
      <xdr:spPr>
        <a:xfrm>
          <a:off x="15623886" y="159673"/>
          <a:ext cx="307975" cy="300990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97</xdr:col>
      <xdr:colOff>85725</xdr:colOff>
      <xdr:row>0</xdr:row>
      <xdr:rowOff>231775</xdr:rowOff>
    </xdr:from>
    <xdr:to>
      <xdr:col>97</xdr:col>
      <xdr:colOff>361950</xdr:colOff>
      <xdr:row>0</xdr:row>
      <xdr:rowOff>523874</xdr:rowOff>
    </xdr:to>
    <xdr:sp macro="" textlink="">
      <xdr:nvSpPr>
        <xdr:cNvPr id="2" name="3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58607325" y="231775"/>
          <a:ext cx="276225" cy="292099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78</xdr:col>
      <xdr:colOff>40821</xdr:colOff>
      <xdr:row>39</xdr:row>
      <xdr:rowOff>158749</xdr:rowOff>
    </xdr:from>
    <xdr:to>
      <xdr:col>98</xdr:col>
      <xdr:colOff>4537</xdr:colOff>
      <xdr:row>69</xdr:row>
      <xdr:rowOff>136071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295275</xdr:colOff>
      <xdr:row>106</xdr:row>
      <xdr:rowOff>9525</xdr:rowOff>
    </xdr:from>
    <xdr:to>
      <xdr:col>40</xdr:col>
      <xdr:colOff>295275</xdr:colOff>
      <xdr:row>121</xdr:row>
      <xdr:rowOff>38100</xdr:rowOff>
    </xdr:to>
    <xdr:graphicFrame macro="">
      <xdr:nvGraphicFramePr>
        <xdr:cNvPr id="3" name="8 Gráfico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41</xdr:col>
      <xdr:colOff>19050</xdr:colOff>
      <xdr:row>106</xdr:row>
      <xdr:rowOff>0</xdr:rowOff>
    </xdr:from>
    <xdr:to>
      <xdr:col>49</xdr:col>
      <xdr:colOff>85725</xdr:colOff>
      <xdr:row>121</xdr:row>
      <xdr:rowOff>28575</xdr:rowOff>
    </xdr:to>
    <xdr:graphicFrame macro="">
      <xdr:nvGraphicFramePr>
        <xdr:cNvPr id="4" name="9 Gráfico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49</xdr:col>
      <xdr:colOff>219075</xdr:colOff>
      <xdr:row>106</xdr:row>
      <xdr:rowOff>19050</xdr:rowOff>
    </xdr:from>
    <xdr:to>
      <xdr:col>57</xdr:col>
      <xdr:colOff>285750</xdr:colOff>
      <xdr:row>121</xdr:row>
      <xdr:rowOff>47625</xdr:rowOff>
    </xdr:to>
    <xdr:graphicFrame macro="">
      <xdr:nvGraphicFramePr>
        <xdr:cNvPr id="5" name="10 Gráfico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57</xdr:col>
      <xdr:colOff>361950</xdr:colOff>
      <xdr:row>106</xdr:row>
      <xdr:rowOff>28575</xdr:rowOff>
    </xdr:from>
    <xdr:to>
      <xdr:col>66</xdr:col>
      <xdr:colOff>47625</xdr:colOff>
      <xdr:row>121</xdr:row>
      <xdr:rowOff>57150</xdr:rowOff>
    </xdr:to>
    <xdr:graphicFrame macro="">
      <xdr:nvGraphicFramePr>
        <xdr:cNvPr id="6" name="11 Gráfico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97</xdr:col>
      <xdr:colOff>148590</xdr:colOff>
      <xdr:row>0</xdr:row>
      <xdr:rowOff>188595</xdr:rowOff>
    </xdr:from>
    <xdr:to>
      <xdr:col>97</xdr:col>
      <xdr:colOff>434340</xdr:colOff>
      <xdr:row>0</xdr:row>
      <xdr:rowOff>453708</xdr:rowOff>
    </xdr:to>
    <xdr:sp macro="" textlink="">
      <xdr:nvSpPr>
        <xdr:cNvPr id="7" name="12 Botón de acción: Inici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SpPr/>
      </xdr:nvSpPr>
      <xdr:spPr>
        <a:xfrm>
          <a:off x="50678715" y="188595"/>
          <a:ext cx="285750" cy="265113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38</xdr:col>
      <xdr:colOff>82550</xdr:colOff>
      <xdr:row>39</xdr:row>
      <xdr:rowOff>52387</xdr:rowOff>
    </xdr:from>
    <xdr:to>
      <xdr:col>53</xdr:col>
      <xdr:colOff>11642</xdr:colOff>
      <xdr:row>68</xdr:row>
      <xdr:rowOff>21167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52</xdr:col>
      <xdr:colOff>279400</xdr:colOff>
      <xdr:row>0</xdr:row>
      <xdr:rowOff>260351</xdr:rowOff>
    </xdr:from>
    <xdr:to>
      <xdr:col>52</xdr:col>
      <xdr:colOff>565150</xdr:colOff>
      <xdr:row>0</xdr:row>
      <xdr:rowOff>560389</xdr:rowOff>
    </xdr:to>
    <xdr:sp macro="" textlink="">
      <xdr:nvSpPr>
        <xdr:cNvPr id="3" name="3 Botón de acción: Inici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/>
      </xdr:nvSpPr>
      <xdr:spPr>
        <a:xfrm>
          <a:off x="35017075" y="260351"/>
          <a:ext cx="285750" cy="300038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276225</xdr:colOff>
      <xdr:row>0</xdr:row>
      <xdr:rowOff>57151</xdr:rowOff>
    </xdr:from>
    <xdr:to>
      <xdr:col>1</xdr:col>
      <xdr:colOff>838200</xdr:colOff>
      <xdr:row>0</xdr:row>
      <xdr:rowOff>526813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57151"/>
          <a:ext cx="2124075" cy="469662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419100</xdr:colOff>
      <xdr:row>0</xdr:row>
      <xdr:rowOff>238126</xdr:rowOff>
    </xdr:from>
    <xdr:to>
      <xdr:col>20</xdr:col>
      <xdr:colOff>704850</xdr:colOff>
      <xdr:row>0</xdr:row>
      <xdr:rowOff>523876</xdr:rowOff>
    </xdr:to>
    <xdr:sp macro="" textlink="">
      <xdr:nvSpPr>
        <xdr:cNvPr id="2" name="2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>
          <a:off x="13382625" y="238126"/>
          <a:ext cx="285750" cy="285750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44</xdr:row>
      <xdr:rowOff>68035</xdr:rowOff>
    </xdr:from>
    <xdr:to>
      <xdr:col>21</xdr:col>
      <xdr:colOff>167</xdr:colOff>
      <xdr:row>71</xdr:row>
      <xdr:rowOff>57149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323850</xdr:colOff>
      <xdr:row>0</xdr:row>
      <xdr:rowOff>184149</xdr:rowOff>
    </xdr:from>
    <xdr:to>
      <xdr:col>20</xdr:col>
      <xdr:colOff>593725</xdr:colOff>
      <xdr:row>0</xdr:row>
      <xdr:rowOff>504825</xdr:rowOff>
    </xdr:to>
    <xdr:sp macro="" textlink="">
      <xdr:nvSpPr>
        <xdr:cNvPr id="3" name="4 Botón de acción: Inici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/>
      </xdr:nvSpPr>
      <xdr:spPr>
        <a:xfrm>
          <a:off x="11553825" y="184149"/>
          <a:ext cx="269875" cy="320676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285750</xdr:colOff>
      <xdr:row>0</xdr:row>
      <xdr:rowOff>104775</xdr:rowOff>
    </xdr:from>
    <xdr:to>
      <xdr:col>29</xdr:col>
      <xdr:colOff>571500</xdr:colOff>
      <xdr:row>1</xdr:row>
      <xdr:rowOff>177800</xdr:rowOff>
    </xdr:to>
    <xdr:sp macro="" textlink="">
      <xdr:nvSpPr>
        <xdr:cNvPr id="2" name="2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/>
      </xdr:nvSpPr>
      <xdr:spPr>
        <a:xfrm>
          <a:off x="18030825" y="104775"/>
          <a:ext cx="285750" cy="263525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/>
            <a:t> 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15874</xdr:colOff>
      <xdr:row>38</xdr:row>
      <xdr:rowOff>119803</xdr:rowOff>
    </xdr:from>
    <xdr:to>
      <xdr:col>25</xdr:col>
      <xdr:colOff>730249</xdr:colOff>
      <xdr:row>71</xdr:row>
      <xdr:rowOff>31750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396875</xdr:colOff>
      <xdr:row>0</xdr:row>
      <xdr:rowOff>119062</xdr:rowOff>
    </xdr:from>
    <xdr:to>
      <xdr:col>25</xdr:col>
      <xdr:colOff>661035</xdr:colOff>
      <xdr:row>1</xdr:row>
      <xdr:rowOff>19050</xdr:rowOff>
    </xdr:to>
    <xdr:sp macro="" textlink="">
      <xdr:nvSpPr>
        <xdr:cNvPr id="3" name="3 Botón de acción: Inici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/>
      </xdr:nvSpPr>
      <xdr:spPr>
        <a:xfrm>
          <a:off x="16884650" y="119062"/>
          <a:ext cx="264160" cy="271463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1762125</xdr:colOff>
      <xdr:row>0</xdr:row>
      <xdr:rowOff>85725</xdr:rowOff>
    </xdr:from>
    <xdr:to>
      <xdr:col>5</xdr:col>
      <xdr:colOff>2047875</xdr:colOff>
      <xdr:row>1</xdr:row>
      <xdr:rowOff>190500</xdr:rowOff>
    </xdr:to>
    <xdr:sp macro="" textlink="">
      <xdr:nvSpPr>
        <xdr:cNvPr id="2" name="2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/>
      </xdr:nvSpPr>
      <xdr:spPr>
        <a:xfrm>
          <a:off x="8269605" y="85725"/>
          <a:ext cx="285750" cy="272415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387129</xdr:colOff>
      <xdr:row>0</xdr:row>
      <xdr:rowOff>73004</xdr:rowOff>
    </xdr:from>
    <xdr:to>
      <xdr:col>9</xdr:col>
      <xdr:colOff>7328</xdr:colOff>
      <xdr:row>1</xdr:row>
      <xdr:rowOff>304800</xdr:rowOff>
    </xdr:to>
    <xdr:sp macro="" textlink="">
      <xdr:nvSpPr>
        <xdr:cNvPr id="2" name="2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/>
      </xdr:nvSpPr>
      <xdr:spPr>
        <a:xfrm>
          <a:off x="6464079" y="73004"/>
          <a:ext cx="277424" cy="393721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511174</xdr:colOff>
      <xdr:row>2</xdr:row>
      <xdr:rowOff>101600</xdr:rowOff>
    </xdr:from>
    <xdr:to>
      <xdr:col>21</xdr:col>
      <xdr:colOff>47625</xdr:colOff>
      <xdr:row>36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274637</xdr:colOff>
      <xdr:row>0</xdr:row>
      <xdr:rowOff>144462</xdr:rowOff>
    </xdr:from>
    <xdr:to>
      <xdr:col>20</xdr:col>
      <xdr:colOff>563562</xdr:colOff>
      <xdr:row>2</xdr:row>
      <xdr:rowOff>17462</xdr:rowOff>
    </xdr:to>
    <xdr:sp macro="" textlink="">
      <xdr:nvSpPr>
        <xdr:cNvPr id="3" name="4 Botón de acción: Inici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/>
      </xdr:nvSpPr>
      <xdr:spPr>
        <a:xfrm>
          <a:off x="9180512" y="144462"/>
          <a:ext cx="288925" cy="269875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433874</xdr:colOff>
      <xdr:row>0</xdr:row>
      <xdr:rowOff>0</xdr:rowOff>
    </xdr:from>
    <xdr:to>
      <xdr:col>22</xdr:col>
      <xdr:colOff>9524</xdr:colOff>
      <xdr:row>33</xdr:row>
      <xdr:rowOff>38100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274638</xdr:colOff>
      <xdr:row>0</xdr:row>
      <xdr:rowOff>146050</xdr:rowOff>
    </xdr:from>
    <xdr:to>
      <xdr:col>22</xdr:col>
      <xdr:colOff>4763</xdr:colOff>
      <xdr:row>2</xdr:row>
      <xdr:rowOff>95250</xdr:rowOff>
    </xdr:to>
    <xdr:sp macro="" textlink="">
      <xdr:nvSpPr>
        <xdr:cNvPr id="3" name="3 Botón de acción: Inici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/>
      </xdr:nvSpPr>
      <xdr:spPr>
        <a:xfrm>
          <a:off x="11628438" y="146050"/>
          <a:ext cx="254000" cy="273050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98</xdr:col>
      <xdr:colOff>154940</xdr:colOff>
      <xdr:row>0</xdr:row>
      <xdr:rowOff>85725</xdr:rowOff>
    </xdr:from>
    <xdr:to>
      <xdr:col>98</xdr:col>
      <xdr:colOff>431166</xdr:colOff>
      <xdr:row>1</xdr:row>
      <xdr:rowOff>85725</xdr:rowOff>
    </xdr:to>
    <xdr:sp macro="" textlink="">
      <xdr:nvSpPr>
        <xdr:cNvPr id="2" name="2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/>
      </xdr:nvSpPr>
      <xdr:spPr>
        <a:xfrm>
          <a:off x="56581040" y="85725"/>
          <a:ext cx="276226" cy="257175"/>
        </a:xfrm>
        <a:prstGeom prst="actionButtonHome">
          <a:avLst/>
        </a:prstGeom>
        <a:solidFill>
          <a:srgbClr val="57A519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77</xdr:col>
      <xdr:colOff>508001</xdr:colOff>
      <xdr:row>85</xdr:row>
      <xdr:rowOff>72376</xdr:rowOff>
    </xdr:from>
    <xdr:to>
      <xdr:col>98</xdr:col>
      <xdr:colOff>2</xdr:colOff>
      <xdr:row>115</xdr:row>
      <xdr:rowOff>95249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78</xdr:col>
      <xdr:colOff>15876</xdr:colOff>
      <xdr:row>116</xdr:row>
      <xdr:rowOff>140585</xdr:rowOff>
    </xdr:from>
    <xdr:to>
      <xdr:col>98</xdr:col>
      <xdr:colOff>17994</xdr:colOff>
      <xdr:row>148</xdr:row>
      <xdr:rowOff>79375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97</xdr:col>
      <xdr:colOff>161925</xdr:colOff>
      <xdr:row>0</xdr:row>
      <xdr:rowOff>153036</xdr:rowOff>
    </xdr:from>
    <xdr:to>
      <xdr:col>97</xdr:col>
      <xdr:colOff>454907</xdr:colOff>
      <xdr:row>0</xdr:row>
      <xdr:rowOff>476250</xdr:rowOff>
    </xdr:to>
    <xdr:sp macro="" textlink="">
      <xdr:nvSpPr>
        <xdr:cNvPr id="4" name="4 Botón de acción: Inici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SpPr/>
      </xdr:nvSpPr>
      <xdr:spPr>
        <a:xfrm>
          <a:off x="51530250" y="153036"/>
          <a:ext cx="292982" cy="323214"/>
        </a:xfrm>
        <a:prstGeom prst="actionButtonHome">
          <a:avLst/>
        </a:prstGeom>
        <a:solidFill>
          <a:srgbClr val="57A519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104775</xdr:colOff>
      <xdr:row>107</xdr:row>
      <xdr:rowOff>123825</xdr:rowOff>
    </xdr:from>
    <xdr:to>
      <xdr:col>8</xdr:col>
      <xdr:colOff>200025</xdr:colOff>
      <xdr:row>108</xdr:row>
      <xdr:rowOff>142874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>
          <a:spLocks noChangeArrowheads="1"/>
        </xdr:cNvSpPr>
      </xdr:nvSpPr>
      <xdr:spPr bwMode="auto">
        <a:xfrm>
          <a:off x="7625715" y="20918805"/>
          <a:ext cx="95250" cy="201929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>
    <xdr:from>
      <xdr:col>60</xdr:col>
      <xdr:colOff>310515</xdr:colOff>
      <xdr:row>0</xdr:row>
      <xdr:rowOff>236856</xdr:rowOff>
    </xdr:from>
    <xdr:to>
      <xdr:col>60</xdr:col>
      <xdr:colOff>596265</xdr:colOff>
      <xdr:row>1</xdr:row>
      <xdr:rowOff>93981</xdr:rowOff>
    </xdr:to>
    <xdr:sp macro="" textlink="">
      <xdr:nvSpPr>
        <xdr:cNvPr id="3" name="2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38877240" y="236856"/>
          <a:ext cx="285750" cy="266700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62</xdr:col>
      <xdr:colOff>93633</xdr:colOff>
      <xdr:row>0</xdr:row>
      <xdr:rowOff>166601</xdr:rowOff>
    </xdr:from>
    <xdr:to>
      <xdr:col>62</xdr:col>
      <xdr:colOff>379383</xdr:colOff>
      <xdr:row>1</xdr:row>
      <xdr:rowOff>21273</xdr:rowOff>
    </xdr:to>
    <xdr:sp macro="" textlink="">
      <xdr:nvSpPr>
        <xdr:cNvPr id="2" name="2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/>
      </xdr:nvSpPr>
      <xdr:spPr>
        <a:xfrm>
          <a:off x="37069683" y="166601"/>
          <a:ext cx="285750" cy="245197"/>
        </a:xfrm>
        <a:prstGeom prst="actionButtonHome">
          <a:avLst/>
        </a:prstGeom>
        <a:solidFill>
          <a:srgbClr val="57A519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47</xdr:col>
      <xdr:colOff>11906</xdr:colOff>
      <xdr:row>93</xdr:row>
      <xdr:rowOff>107156</xdr:rowOff>
    </xdr:from>
    <xdr:to>
      <xdr:col>61</xdr:col>
      <xdr:colOff>561975</xdr:colOff>
      <xdr:row>120</xdr:row>
      <xdr:rowOff>12364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46</xdr:col>
      <xdr:colOff>595311</xdr:colOff>
      <xdr:row>132</xdr:row>
      <xdr:rowOff>130968</xdr:rowOff>
    </xdr:from>
    <xdr:to>
      <xdr:col>62</xdr:col>
      <xdr:colOff>9523</xdr:colOff>
      <xdr:row>158</xdr:row>
      <xdr:rowOff>119539</xdr:rowOff>
    </xdr:to>
    <xdr:graphicFrame macro="">
      <xdr:nvGraphicFramePr>
        <xdr:cNvPr id="3" name="3 Gráfico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61</xdr:col>
      <xdr:colOff>296545</xdr:colOff>
      <xdr:row>0</xdr:row>
      <xdr:rowOff>313055</xdr:rowOff>
    </xdr:from>
    <xdr:to>
      <xdr:col>61</xdr:col>
      <xdr:colOff>542834</xdr:colOff>
      <xdr:row>0</xdr:row>
      <xdr:rowOff>601980</xdr:rowOff>
    </xdr:to>
    <xdr:sp macro="" textlink="">
      <xdr:nvSpPr>
        <xdr:cNvPr id="4" name="5 Botón de acción: Inici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SpPr/>
      </xdr:nvSpPr>
      <xdr:spPr>
        <a:xfrm>
          <a:off x="36081970" y="313055"/>
          <a:ext cx="246289" cy="288925"/>
        </a:xfrm>
        <a:prstGeom prst="actionButtonHome">
          <a:avLst/>
        </a:prstGeom>
        <a:solidFill>
          <a:srgbClr val="57A519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234315</xdr:colOff>
      <xdr:row>0</xdr:row>
      <xdr:rowOff>87630</xdr:rowOff>
    </xdr:from>
    <xdr:to>
      <xdr:col>21</xdr:col>
      <xdr:colOff>520065</xdr:colOff>
      <xdr:row>1</xdr:row>
      <xdr:rowOff>106679</xdr:rowOff>
    </xdr:to>
    <xdr:sp macro="" textlink="">
      <xdr:nvSpPr>
        <xdr:cNvPr id="2" name="2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/>
      </xdr:nvSpPr>
      <xdr:spPr>
        <a:xfrm>
          <a:off x="18846165" y="87630"/>
          <a:ext cx="285750" cy="228599"/>
        </a:xfrm>
        <a:prstGeom prst="actionButtonHome">
          <a:avLst/>
        </a:prstGeom>
        <a:solidFill>
          <a:srgbClr val="57A519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13607</xdr:colOff>
      <xdr:row>92</xdr:row>
      <xdr:rowOff>75221</xdr:rowOff>
    </xdr:from>
    <xdr:to>
      <xdr:col>23</xdr:col>
      <xdr:colOff>56028</xdr:colOff>
      <xdr:row>111</xdr:row>
      <xdr:rowOff>27214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653142</xdr:colOff>
      <xdr:row>119</xdr:row>
      <xdr:rowOff>13607</xdr:rowOff>
    </xdr:from>
    <xdr:to>
      <xdr:col>23</xdr:col>
      <xdr:colOff>18675</xdr:colOff>
      <xdr:row>143</xdr:row>
      <xdr:rowOff>31215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282286</xdr:colOff>
      <xdr:row>0</xdr:row>
      <xdr:rowOff>87590</xdr:rowOff>
    </xdr:from>
    <xdr:to>
      <xdr:col>21</xdr:col>
      <xdr:colOff>568036</xdr:colOff>
      <xdr:row>0</xdr:row>
      <xdr:rowOff>370916</xdr:rowOff>
    </xdr:to>
    <xdr:sp macro="" textlink="">
      <xdr:nvSpPr>
        <xdr:cNvPr id="4" name="4 Botón de acción: Inici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SpPr/>
      </xdr:nvSpPr>
      <xdr:spPr>
        <a:xfrm>
          <a:off x="14177580" y="87590"/>
          <a:ext cx="285750" cy="283326"/>
        </a:xfrm>
        <a:prstGeom prst="actionButtonHome">
          <a:avLst/>
        </a:prstGeom>
        <a:solidFill>
          <a:srgbClr val="57A519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>
    <xdr:from>
      <xdr:col>21</xdr:col>
      <xdr:colOff>276665</xdr:colOff>
      <xdr:row>157</xdr:row>
      <xdr:rowOff>93383</xdr:rowOff>
    </xdr:from>
    <xdr:to>
      <xdr:col>21</xdr:col>
      <xdr:colOff>562415</xdr:colOff>
      <xdr:row>159</xdr:row>
      <xdr:rowOff>73444</xdr:rowOff>
    </xdr:to>
    <xdr:sp macro="" textlink="">
      <xdr:nvSpPr>
        <xdr:cNvPr id="5" name="4 Botón de acción: Inici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/>
      </xdr:nvSpPr>
      <xdr:spPr>
        <a:xfrm>
          <a:off x="14171959" y="29088604"/>
          <a:ext cx="285750" cy="278884"/>
        </a:xfrm>
        <a:prstGeom prst="actionButtonHome">
          <a:avLst/>
        </a:prstGeom>
        <a:solidFill>
          <a:schemeClr val="tx2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98</xdr:col>
      <xdr:colOff>104775</xdr:colOff>
      <xdr:row>0</xdr:row>
      <xdr:rowOff>142874</xdr:rowOff>
    </xdr:from>
    <xdr:to>
      <xdr:col>98</xdr:col>
      <xdr:colOff>342900</xdr:colOff>
      <xdr:row>1</xdr:row>
      <xdr:rowOff>209550</xdr:rowOff>
    </xdr:to>
    <xdr:sp macro="" textlink="">
      <xdr:nvSpPr>
        <xdr:cNvPr id="2" name="2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/>
      </xdr:nvSpPr>
      <xdr:spPr>
        <a:xfrm>
          <a:off x="61217175" y="142874"/>
          <a:ext cx="238125" cy="266701"/>
        </a:xfrm>
        <a:prstGeom prst="actionButtonHome">
          <a:avLst/>
        </a:prstGeom>
        <a:solidFill>
          <a:srgbClr val="57A519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 b="0"/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78</xdr:col>
      <xdr:colOff>0</xdr:colOff>
      <xdr:row>86</xdr:row>
      <xdr:rowOff>174624</xdr:rowOff>
    </xdr:from>
    <xdr:to>
      <xdr:col>98</xdr:col>
      <xdr:colOff>4762</xdr:colOff>
      <xdr:row>118</xdr:row>
      <xdr:rowOff>126999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77</xdr:col>
      <xdr:colOff>571500</xdr:colOff>
      <xdr:row>119</xdr:row>
      <xdr:rowOff>34925</xdr:rowOff>
    </xdr:from>
    <xdr:to>
      <xdr:col>97</xdr:col>
      <xdr:colOff>505736</xdr:colOff>
      <xdr:row>151</xdr:row>
      <xdr:rowOff>47625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97</xdr:col>
      <xdr:colOff>63500</xdr:colOff>
      <xdr:row>0</xdr:row>
      <xdr:rowOff>285751</xdr:rowOff>
    </xdr:from>
    <xdr:to>
      <xdr:col>97</xdr:col>
      <xdr:colOff>349250</xdr:colOff>
      <xdr:row>0</xdr:row>
      <xdr:rowOff>604839</xdr:rowOff>
    </xdr:to>
    <xdr:sp macro="" textlink="">
      <xdr:nvSpPr>
        <xdr:cNvPr id="4" name="4 Botón de acción: Inici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SpPr/>
      </xdr:nvSpPr>
      <xdr:spPr>
        <a:xfrm>
          <a:off x="53660675" y="285751"/>
          <a:ext cx="285750" cy="319088"/>
        </a:xfrm>
        <a:prstGeom prst="actionButtonHome">
          <a:avLst/>
        </a:prstGeom>
        <a:solidFill>
          <a:srgbClr val="57A519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402590</xdr:colOff>
      <xdr:row>0</xdr:row>
      <xdr:rowOff>90486</xdr:rowOff>
    </xdr:from>
    <xdr:to>
      <xdr:col>16</xdr:col>
      <xdr:colOff>669290</xdr:colOff>
      <xdr:row>1</xdr:row>
      <xdr:rowOff>134937</xdr:rowOff>
    </xdr:to>
    <xdr:sp macro="" textlink="">
      <xdr:nvSpPr>
        <xdr:cNvPr id="2" name="2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/>
      </xdr:nvSpPr>
      <xdr:spPr>
        <a:xfrm>
          <a:off x="15575915" y="90486"/>
          <a:ext cx="266700" cy="254001"/>
        </a:xfrm>
        <a:prstGeom prst="actionButtonHome">
          <a:avLst/>
        </a:prstGeom>
        <a:solidFill>
          <a:srgbClr val="57A519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38</xdr:col>
      <xdr:colOff>57150</xdr:colOff>
      <xdr:row>38</xdr:row>
      <xdr:rowOff>50800</xdr:rowOff>
    </xdr:from>
    <xdr:to>
      <xdr:col>58</xdr:col>
      <xdr:colOff>33979</xdr:colOff>
      <xdr:row>69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38</xdr:col>
      <xdr:colOff>0</xdr:colOff>
      <xdr:row>71</xdr:row>
      <xdr:rowOff>57150</xdr:rowOff>
    </xdr:from>
    <xdr:to>
      <xdr:col>57</xdr:col>
      <xdr:colOff>539750</xdr:colOff>
      <xdr:row>99</xdr:row>
      <xdr:rowOff>118009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57</xdr:col>
      <xdr:colOff>109854</xdr:colOff>
      <xdr:row>0</xdr:row>
      <xdr:rowOff>220980</xdr:rowOff>
    </xdr:from>
    <xdr:to>
      <xdr:col>57</xdr:col>
      <xdr:colOff>367029</xdr:colOff>
      <xdr:row>0</xdr:row>
      <xdr:rowOff>491877</xdr:rowOff>
    </xdr:to>
    <xdr:sp macro="" textlink="">
      <xdr:nvSpPr>
        <xdr:cNvPr id="4" name="4 Botón de acción: Inici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SpPr/>
      </xdr:nvSpPr>
      <xdr:spPr>
        <a:xfrm>
          <a:off x="34199829" y="220980"/>
          <a:ext cx="257175" cy="270897"/>
        </a:xfrm>
        <a:prstGeom prst="actionButtonHome">
          <a:avLst/>
        </a:prstGeom>
        <a:solidFill>
          <a:srgbClr val="57A519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1292225</xdr:colOff>
      <xdr:row>0</xdr:row>
      <xdr:rowOff>47624</xdr:rowOff>
    </xdr:from>
    <xdr:to>
      <xdr:col>5</xdr:col>
      <xdr:colOff>1577975</xdr:colOff>
      <xdr:row>1</xdr:row>
      <xdr:rowOff>66674</xdr:rowOff>
    </xdr:to>
    <xdr:sp macro="" textlink="">
      <xdr:nvSpPr>
        <xdr:cNvPr id="2" name="2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/>
      </xdr:nvSpPr>
      <xdr:spPr>
        <a:xfrm>
          <a:off x="10314305" y="47624"/>
          <a:ext cx="285750" cy="247650"/>
        </a:xfrm>
        <a:prstGeom prst="actionButtonHome">
          <a:avLst/>
        </a:prstGeom>
        <a:solidFill>
          <a:srgbClr val="57A519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>
    <xdr:from>
      <xdr:col>3</xdr:col>
      <xdr:colOff>2267857</xdr:colOff>
      <xdr:row>8</xdr:row>
      <xdr:rowOff>1714</xdr:rowOff>
    </xdr:from>
    <xdr:to>
      <xdr:col>4</xdr:col>
      <xdr:colOff>0</xdr:colOff>
      <xdr:row>8</xdr:row>
      <xdr:rowOff>1714</xdr:rowOff>
    </xdr:to>
    <xdr:cxnSp macro="">
      <xdr:nvCxnSpPr>
        <xdr:cNvPr id="3" name="Conector recto 2">
          <a:extLst>
            <a:ext uri="{FF2B5EF4-FFF2-40B4-BE49-F238E27FC236}">
              <a16:creationId xmlns:a16="http://schemas.microsoft.com/office/drawing/2014/main" id="{059EF4A5-9F8F-4BD7-89A4-3BD03371757A}"/>
            </a:ext>
          </a:extLst>
        </xdr:cNvPr>
        <xdr:cNvCxnSpPr/>
      </xdr:nvCxnSpPr>
      <xdr:spPr>
        <a:xfrm flipH="1">
          <a:off x="4734832" y="1401889"/>
          <a:ext cx="2246993" cy="0"/>
        </a:xfrm>
        <a:prstGeom prst="line">
          <a:avLst/>
        </a:prstGeom>
        <a:ln w="3175">
          <a:solidFill>
            <a:schemeClr val="bg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2267857</xdr:colOff>
      <xdr:row>13</xdr:row>
      <xdr:rowOff>1714</xdr:rowOff>
    </xdr:from>
    <xdr:to>
      <xdr:col>4</xdr:col>
      <xdr:colOff>0</xdr:colOff>
      <xdr:row>13</xdr:row>
      <xdr:rowOff>1714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5A6F352B-7DA9-4E18-A607-CEE90C27522A}"/>
            </a:ext>
          </a:extLst>
        </xdr:cNvPr>
        <xdr:cNvCxnSpPr/>
      </xdr:nvCxnSpPr>
      <xdr:spPr>
        <a:xfrm flipH="1">
          <a:off x="4734832" y="2354389"/>
          <a:ext cx="2246993" cy="0"/>
        </a:xfrm>
        <a:prstGeom prst="line">
          <a:avLst/>
        </a:prstGeom>
        <a:ln w="3175">
          <a:solidFill>
            <a:schemeClr val="bg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309067</xdr:colOff>
      <xdr:row>0</xdr:row>
      <xdr:rowOff>56287</xdr:rowOff>
    </xdr:from>
    <xdr:to>
      <xdr:col>13</xdr:col>
      <xdr:colOff>577499</xdr:colOff>
      <xdr:row>1</xdr:row>
      <xdr:rowOff>129541</xdr:rowOff>
    </xdr:to>
    <xdr:sp macro="" textlink="">
      <xdr:nvSpPr>
        <xdr:cNvPr id="2" name="1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/>
      </xdr:nvSpPr>
      <xdr:spPr>
        <a:xfrm>
          <a:off x="9895027" y="56287"/>
          <a:ext cx="268432" cy="301854"/>
        </a:xfrm>
        <a:prstGeom prst="actionButtonHome">
          <a:avLst/>
        </a:prstGeom>
        <a:solidFill>
          <a:srgbClr val="57A519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>
    <xdr:from>
      <xdr:col>6</xdr:col>
      <xdr:colOff>609600</xdr:colOff>
      <xdr:row>440</xdr:row>
      <xdr:rowOff>147637</xdr:rowOff>
    </xdr:from>
    <xdr:to>
      <xdr:col>12</xdr:col>
      <xdr:colOff>28575</xdr:colOff>
      <xdr:row>441</xdr:row>
      <xdr:rowOff>0</xdr:rowOff>
    </xdr:to>
    <xdr:graphicFrame macro="">
      <xdr:nvGraphicFramePr>
        <xdr:cNvPr id="3" name="10 Gráfico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104775</xdr:colOff>
      <xdr:row>0</xdr:row>
      <xdr:rowOff>0</xdr:rowOff>
    </xdr:from>
    <xdr:to>
      <xdr:col>8</xdr:col>
      <xdr:colOff>200025</xdr:colOff>
      <xdr:row>0</xdr:row>
      <xdr:rowOff>207963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>
          <a:spLocks noChangeArrowheads="1"/>
        </xdr:cNvSpPr>
      </xdr:nvSpPr>
      <xdr:spPr bwMode="auto">
        <a:xfrm>
          <a:off x="6185535" y="0"/>
          <a:ext cx="95250" cy="20796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>
    <xdr:from>
      <xdr:col>46</xdr:col>
      <xdr:colOff>9525</xdr:colOff>
      <xdr:row>39</xdr:row>
      <xdr:rowOff>85726</xdr:rowOff>
    </xdr:from>
    <xdr:to>
      <xdr:col>60</xdr:col>
      <xdr:colOff>628650</xdr:colOff>
      <xdr:row>68</xdr:row>
      <xdr:rowOff>38101</xdr:rowOff>
    </xdr:to>
    <xdr:graphicFrame macro="">
      <xdr:nvGraphicFramePr>
        <xdr:cNvPr id="3" name="3 Gráfic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60</xdr:col>
      <xdr:colOff>214842</xdr:colOff>
      <xdr:row>0</xdr:row>
      <xdr:rowOff>270722</xdr:rowOff>
    </xdr:from>
    <xdr:to>
      <xdr:col>60</xdr:col>
      <xdr:colOff>492972</xdr:colOff>
      <xdr:row>0</xdr:row>
      <xdr:rowOff>545360</xdr:rowOff>
    </xdr:to>
    <xdr:sp macro="" textlink="">
      <xdr:nvSpPr>
        <xdr:cNvPr id="4" name="5 Botón de acción: Inici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9267342" y="270722"/>
          <a:ext cx="278130" cy="274638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347134</xdr:colOff>
      <xdr:row>0</xdr:row>
      <xdr:rowOff>101599</xdr:rowOff>
    </xdr:from>
    <xdr:to>
      <xdr:col>29</xdr:col>
      <xdr:colOff>613834</xdr:colOff>
      <xdr:row>1</xdr:row>
      <xdr:rowOff>149224</xdr:rowOff>
    </xdr:to>
    <xdr:sp macro="" textlink="">
      <xdr:nvSpPr>
        <xdr:cNvPr id="2" name="1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/>
      </xdr:nvSpPr>
      <xdr:spPr>
        <a:xfrm>
          <a:off x="25531234" y="101599"/>
          <a:ext cx="266700" cy="276225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371475</xdr:colOff>
      <xdr:row>0</xdr:row>
      <xdr:rowOff>73025</xdr:rowOff>
    </xdr:from>
    <xdr:to>
      <xdr:col>45</xdr:col>
      <xdr:colOff>647700</xdr:colOff>
      <xdr:row>1</xdr:row>
      <xdr:rowOff>111125</xdr:rowOff>
    </xdr:to>
    <xdr:sp macro="" textlink="">
      <xdr:nvSpPr>
        <xdr:cNvPr id="2" name="1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/>
      </xdr:nvSpPr>
      <xdr:spPr>
        <a:xfrm>
          <a:off x="32444055" y="73025"/>
          <a:ext cx="276225" cy="236220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199390</xdr:colOff>
      <xdr:row>38</xdr:row>
      <xdr:rowOff>68263</xdr:rowOff>
    </xdr:from>
    <xdr:to>
      <xdr:col>47</xdr:col>
      <xdr:colOff>490007</xdr:colOff>
      <xdr:row>67</xdr:row>
      <xdr:rowOff>120015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45</xdr:col>
      <xdr:colOff>358775</xdr:colOff>
      <xdr:row>0</xdr:row>
      <xdr:rowOff>68794</xdr:rowOff>
    </xdr:from>
    <xdr:to>
      <xdr:col>45</xdr:col>
      <xdr:colOff>615950</xdr:colOff>
      <xdr:row>0</xdr:row>
      <xdr:rowOff>354543</xdr:rowOff>
    </xdr:to>
    <xdr:sp macro="" textlink="">
      <xdr:nvSpPr>
        <xdr:cNvPr id="3" name="7 Botón de acción: Inici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SpPr/>
      </xdr:nvSpPr>
      <xdr:spPr>
        <a:xfrm>
          <a:off x="30495875" y="68794"/>
          <a:ext cx="257175" cy="285749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260350</xdr:colOff>
      <xdr:row>0</xdr:row>
      <xdr:rowOff>57150</xdr:rowOff>
    </xdr:from>
    <xdr:to>
      <xdr:col>25</xdr:col>
      <xdr:colOff>565150</xdr:colOff>
      <xdr:row>1</xdr:row>
      <xdr:rowOff>9525</xdr:rowOff>
    </xdr:to>
    <xdr:sp macro="" textlink="">
      <xdr:nvSpPr>
        <xdr:cNvPr id="2" name="3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/>
      </xdr:nvSpPr>
      <xdr:spPr>
        <a:xfrm>
          <a:off x="19129375" y="57150"/>
          <a:ext cx="304800" cy="257175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414337</xdr:colOff>
      <xdr:row>0</xdr:row>
      <xdr:rowOff>95251</xdr:rowOff>
    </xdr:from>
    <xdr:to>
      <xdr:col>28</xdr:col>
      <xdr:colOff>671512</xdr:colOff>
      <xdr:row>0</xdr:row>
      <xdr:rowOff>393700</xdr:rowOff>
    </xdr:to>
    <xdr:sp macro="" textlink="">
      <xdr:nvSpPr>
        <xdr:cNvPr id="2" name="2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/>
      </xdr:nvSpPr>
      <xdr:spPr>
        <a:xfrm>
          <a:off x="18488025" y="95251"/>
          <a:ext cx="257175" cy="298449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445771</xdr:colOff>
      <xdr:row>0</xdr:row>
      <xdr:rowOff>127637</xdr:rowOff>
    </xdr:from>
    <xdr:to>
      <xdr:col>37</xdr:col>
      <xdr:colOff>714376</xdr:colOff>
      <xdr:row>1</xdr:row>
      <xdr:rowOff>146686</xdr:rowOff>
    </xdr:to>
    <xdr:sp macro="" textlink="">
      <xdr:nvSpPr>
        <xdr:cNvPr id="2" name="1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/>
      </xdr:nvSpPr>
      <xdr:spPr>
        <a:xfrm>
          <a:off x="24658321" y="127637"/>
          <a:ext cx="268605" cy="257174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352425</xdr:colOff>
      <xdr:row>1</xdr:row>
      <xdr:rowOff>50801</xdr:rowOff>
    </xdr:from>
    <xdr:to>
      <xdr:col>16</xdr:col>
      <xdr:colOff>654050</xdr:colOff>
      <xdr:row>1</xdr:row>
      <xdr:rowOff>381000</xdr:rowOff>
    </xdr:to>
    <xdr:sp macro="" textlink="">
      <xdr:nvSpPr>
        <xdr:cNvPr id="2" name="1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/>
      </xdr:nvSpPr>
      <xdr:spPr>
        <a:xfrm>
          <a:off x="12420600" y="212726"/>
          <a:ext cx="301625" cy="330199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200977</xdr:colOff>
      <xdr:row>0</xdr:row>
      <xdr:rowOff>194310</xdr:rowOff>
    </xdr:from>
    <xdr:to>
      <xdr:col>25</xdr:col>
      <xdr:colOff>449262</xdr:colOff>
      <xdr:row>0</xdr:row>
      <xdr:rowOff>520700</xdr:rowOff>
    </xdr:to>
    <xdr:sp macro="" textlink="">
      <xdr:nvSpPr>
        <xdr:cNvPr id="2" name="1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/>
      </xdr:nvSpPr>
      <xdr:spPr>
        <a:xfrm>
          <a:off x="16909415" y="194310"/>
          <a:ext cx="248285" cy="326390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170729</xdr:colOff>
      <xdr:row>0</xdr:row>
      <xdr:rowOff>121631</xdr:rowOff>
    </xdr:from>
    <xdr:to>
      <xdr:col>18</xdr:col>
      <xdr:colOff>423141</xdr:colOff>
      <xdr:row>0</xdr:row>
      <xdr:rowOff>402936</xdr:rowOff>
    </xdr:to>
    <xdr:sp macro="" textlink="">
      <xdr:nvSpPr>
        <xdr:cNvPr id="2" name="1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/>
      </xdr:nvSpPr>
      <xdr:spPr>
        <a:xfrm>
          <a:off x="13756843" y="121631"/>
          <a:ext cx="252412" cy="281305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360787</xdr:colOff>
      <xdr:row>0</xdr:row>
      <xdr:rowOff>130599</xdr:rowOff>
    </xdr:from>
    <xdr:to>
      <xdr:col>13</xdr:col>
      <xdr:colOff>598912</xdr:colOff>
      <xdr:row>0</xdr:row>
      <xdr:rowOff>404707</xdr:rowOff>
    </xdr:to>
    <xdr:sp macro="" textlink="">
      <xdr:nvSpPr>
        <xdr:cNvPr id="2" name="1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/>
      </xdr:nvSpPr>
      <xdr:spPr>
        <a:xfrm>
          <a:off x="10619212" y="130599"/>
          <a:ext cx="238125" cy="274108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38</xdr:col>
      <xdr:colOff>193674</xdr:colOff>
      <xdr:row>39</xdr:row>
      <xdr:rowOff>180976</xdr:rowOff>
    </xdr:from>
    <xdr:to>
      <xdr:col>52</xdr:col>
      <xdr:colOff>647700</xdr:colOff>
      <xdr:row>63</xdr:row>
      <xdr:rowOff>142876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52</xdr:col>
      <xdr:colOff>312420</xdr:colOff>
      <xdr:row>0</xdr:row>
      <xdr:rowOff>158115</xdr:rowOff>
    </xdr:from>
    <xdr:to>
      <xdr:col>52</xdr:col>
      <xdr:colOff>598170</xdr:colOff>
      <xdr:row>1</xdr:row>
      <xdr:rowOff>35878</xdr:rowOff>
    </xdr:to>
    <xdr:sp macro="" textlink="">
      <xdr:nvSpPr>
        <xdr:cNvPr id="3" name="32 Botón de acción: Inici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33849945" y="158115"/>
          <a:ext cx="285750" cy="258763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120651</xdr:colOff>
      <xdr:row>0</xdr:row>
      <xdr:rowOff>187644</xdr:rowOff>
    </xdr:from>
    <xdr:to>
      <xdr:col>13</xdr:col>
      <xdr:colOff>447675</xdr:colOff>
      <xdr:row>0</xdr:row>
      <xdr:rowOff>514350</xdr:rowOff>
    </xdr:to>
    <xdr:sp macro="" textlink="">
      <xdr:nvSpPr>
        <xdr:cNvPr id="2" name="1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/>
      </xdr:nvSpPr>
      <xdr:spPr>
        <a:xfrm>
          <a:off x="11255376" y="187644"/>
          <a:ext cx="327024" cy="326706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209551</xdr:colOff>
      <xdr:row>0</xdr:row>
      <xdr:rowOff>76200</xdr:rowOff>
    </xdr:from>
    <xdr:to>
      <xdr:col>28</xdr:col>
      <xdr:colOff>469900</xdr:colOff>
      <xdr:row>0</xdr:row>
      <xdr:rowOff>374650</xdr:rowOff>
    </xdr:to>
    <xdr:sp macro="" textlink="">
      <xdr:nvSpPr>
        <xdr:cNvPr id="2" name="1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/>
      </xdr:nvSpPr>
      <xdr:spPr>
        <a:xfrm>
          <a:off x="17878426" y="76200"/>
          <a:ext cx="260349" cy="298450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161924</xdr:colOff>
      <xdr:row>0</xdr:row>
      <xdr:rowOff>95885</xdr:rowOff>
    </xdr:from>
    <xdr:to>
      <xdr:col>28</xdr:col>
      <xdr:colOff>429259</xdr:colOff>
      <xdr:row>0</xdr:row>
      <xdr:rowOff>390525</xdr:rowOff>
    </xdr:to>
    <xdr:sp macro="" textlink="">
      <xdr:nvSpPr>
        <xdr:cNvPr id="2" name="1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/>
      </xdr:nvSpPr>
      <xdr:spPr>
        <a:xfrm>
          <a:off x="17868899" y="95885"/>
          <a:ext cx="267335" cy="294640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106680</xdr:colOff>
      <xdr:row>0</xdr:row>
      <xdr:rowOff>213995</xdr:rowOff>
    </xdr:from>
    <xdr:to>
      <xdr:col>28</xdr:col>
      <xdr:colOff>379730</xdr:colOff>
      <xdr:row>0</xdr:row>
      <xdr:rowOff>533400</xdr:rowOff>
    </xdr:to>
    <xdr:sp macro="" textlink="">
      <xdr:nvSpPr>
        <xdr:cNvPr id="2" name="1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/>
      </xdr:nvSpPr>
      <xdr:spPr>
        <a:xfrm>
          <a:off x="18204180" y="213995"/>
          <a:ext cx="273050" cy="319405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287020</xdr:colOff>
      <xdr:row>0</xdr:row>
      <xdr:rowOff>154940</xdr:rowOff>
    </xdr:from>
    <xdr:to>
      <xdr:col>31</xdr:col>
      <xdr:colOff>531495</xdr:colOff>
      <xdr:row>1</xdr:row>
      <xdr:rowOff>37465</xdr:rowOff>
    </xdr:to>
    <xdr:sp macro="" textlink="">
      <xdr:nvSpPr>
        <xdr:cNvPr id="2" name="1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/>
      </xdr:nvSpPr>
      <xdr:spPr>
        <a:xfrm>
          <a:off x="21832570" y="154940"/>
          <a:ext cx="244475" cy="282575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145415</xdr:colOff>
      <xdr:row>0</xdr:row>
      <xdr:rowOff>140758</xdr:rowOff>
    </xdr:from>
    <xdr:to>
      <xdr:col>29</xdr:col>
      <xdr:colOff>424814</xdr:colOff>
      <xdr:row>0</xdr:row>
      <xdr:rowOff>429684</xdr:rowOff>
    </xdr:to>
    <xdr:sp macro="" textlink="">
      <xdr:nvSpPr>
        <xdr:cNvPr id="2" name="2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/>
      </xdr:nvSpPr>
      <xdr:spPr>
        <a:xfrm>
          <a:off x="21830665" y="140758"/>
          <a:ext cx="279399" cy="288926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96308</xdr:colOff>
      <xdr:row>0</xdr:row>
      <xdr:rowOff>112889</xdr:rowOff>
    </xdr:from>
    <xdr:to>
      <xdr:col>28</xdr:col>
      <xdr:colOff>397933</xdr:colOff>
      <xdr:row>0</xdr:row>
      <xdr:rowOff>437445</xdr:rowOff>
    </xdr:to>
    <xdr:sp macro="" textlink="">
      <xdr:nvSpPr>
        <xdr:cNvPr id="2" name="2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/>
      </xdr:nvSpPr>
      <xdr:spPr>
        <a:xfrm>
          <a:off x="18892308" y="112889"/>
          <a:ext cx="301625" cy="324556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82196</xdr:colOff>
      <xdr:row>0</xdr:row>
      <xdr:rowOff>154871</xdr:rowOff>
    </xdr:from>
    <xdr:to>
      <xdr:col>25</xdr:col>
      <xdr:colOff>400755</xdr:colOff>
      <xdr:row>0</xdr:row>
      <xdr:rowOff>428979</xdr:rowOff>
    </xdr:to>
    <xdr:sp macro="" textlink="">
      <xdr:nvSpPr>
        <xdr:cNvPr id="2" name="1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/>
      </xdr:nvSpPr>
      <xdr:spPr>
        <a:xfrm>
          <a:off x="17460029" y="154871"/>
          <a:ext cx="318559" cy="274108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228601</xdr:colOff>
      <xdr:row>1</xdr:row>
      <xdr:rowOff>66675</xdr:rowOff>
    </xdr:from>
    <xdr:to>
      <xdr:col>7</xdr:col>
      <xdr:colOff>450851</xdr:colOff>
      <xdr:row>1</xdr:row>
      <xdr:rowOff>340783</xdr:rowOff>
    </xdr:to>
    <xdr:sp macro="" textlink="">
      <xdr:nvSpPr>
        <xdr:cNvPr id="2" name="1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4082735-7FF3-4FD8-A3EA-C9A06CE8557A}"/>
            </a:ext>
          </a:extLst>
        </xdr:cNvPr>
        <xdr:cNvSpPr/>
      </xdr:nvSpPr>
      <xdr:spPr>
        <a:xfrm>
          <a:off x="6686551" y="228600"/>
          <a:ext cx="222250" cy="274108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120040</xdr:colOff>
      <xdr:row>0</xdr:row>
      <xdr:rowOff>71742</xdr:rowOff>
    </xdr:from>
    <xdr:to>
      <xdr:col>16</xdr:col>
      <xdr:colOff>411788</xdr:colOff>
      <xdr:row>0</xdr:row>
      <xdr:rowOff>379717</xdr:rowOff>
    </xdr:to>
    <xdr:sp macro="" textlink="">
      <xdr:nvSpPr>
        <xdr:cNvPr id="2" name="1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/>
      </xdr:nvSpPr>
      <xdr:spPr>
        <a:xfrm>
          <a:off x="12104222" y="236265"/>
          <a:ext cx="291748" cy="307975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61</xdr:col>
      <xdr:colOff>160655</xdr:colOff>
      <xdr:row>1</xdr:row>
      <xdr:rowOff>83820</xdr:rowOff>
    </xdr:from>
    <xdr:to>
      <xdr:col>61</xdr:col>
      <xdr:colOff>446405</xdr:colOff>
      <xdr:row>1</xdr:row>
      <xdr:rowOff>340995</xdr:rowOff>
    </xdr:to>
    <xdr:sp macro="" textlink="">
      <xdr:nvSpPr>
        <xdr:cNvPr id="2" name="2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39089330" y="283845"/>
          <a:ext cx="285750" cy="257175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152400</xdr:colOff>
      <xdr:row>0</xdr:row>
      <xdr:rowOff>66675</xdr:rowOff>
    </xdr:from>
    <xdr:to>
      <xdr:col>7</xdr:col>
      <xdr:colOff>447675</xdr:colOff>
      <xdr:row>0</xdr:row>
      <xdr:rowOff>390525</xdr:rowOff>
    </xdr:to>
    <xdr:sp macro="" textlink="">
      <xdr:nvSpPr>
        <xdr:cNvPr id="2" name="1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81F40A7-4C1E-4424-81CB-5484401D44C4}"/>
            </a:ext>
          </a:extLst>
        </xdr:cNvPr>
        <xdr:cNvSpPr/>
      </xdr:nvSpPr>
      <xdr:spPr>
        <a:xfrm>
          <a:off x="5448300" y="228600"/>
          <a:ext cx="295275" cy="323850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406400</xdr:colOff>
      <xdr:row>1</xdr:row>
      <xdr:rowOff>19050</xdr:rowOff>
    </xdr:from>
    <xdr:to>
      <xdr:col>22</xdr:col>
      <xdr:colOff>666750</xdr:colOff>
      <xdr:row>2</xdr:row>
      <xdr:rowOff>76200</xdr:rowOff>
    </xdr:to>
    <xdr:sp macro="" textlink="">
      <xdr:nvSpPr>
        <xdr:cNvPr id="2" name="1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/>
      </xdr:nvSpPr>
      <xdr:spPr>
        <a:xfrm>
          <a:off x="16141700" y="209550"/>
          <a:ext cx="260350" cy="295275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242888</xdr:colOff>
      <xdr:row>0</xdr:row>
      <xdr:rowOff>53975</xdr:rowOff>
    </xdr:from>
    <xdr:to>
      <xdr:col>23</xdr:col>
      <xdr:colOff>509588</xdr:colOff>
      <xdr:row>0</xdr:row>
      <xdr:rowOff>323850</xdr:rowOff>
    </xdr:to>
    <xdr:sp macro="" textlink="">
      <xdr:nvSpPr>
        <xdr:cNvPr id="2" name="1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/>
      </xdr:nvSpPr>
      <xdr:spPr>
        <a:xfrm>
          <a:off x="16435388" y="53975"/>
          <a:ext cx="266700" cy="269875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587375</xdr:colOff>
      <xdr:row>0</xdr:row>
      <xdr:rowOff>99061</xdr:rowOff>
    </xdr:from>
    <xdr:to>
      <xdr:col>6</xdr:col>
      <xdr:colOff>73659</xdr:colOff>
      <xdr:row>1</xdr:row>
      <xdr:rowOff>133350</xdr:rowOff>
    </xdr:to>
    <xdr:sp macro="" textlink="">
      <xdr:nvSpPr>
        <xdr:cNvPr id="2" name="1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107857E-C88D-4D74-B5EE-228F6327F4E5}"/>
            </a:ext>
          </a:extLst>
        </xdr:cNvPr>
        <xdr:cNvSpPr/>
      </xdr:nvSpPr>
      <xdr:spPr>
        <a:xfrm>
          <a:off x="6511925" y="99061"/>
          <a:ext cx="248284" cy="272414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338454</xdr:colOff>
      <xdr:row>0</xdr:row>
      <xdr:rowOff>56516</xdr:rowOff>
    </xdr:from>
    <xdr:to>
      <xdr:col>14</xdr:col>
      <xdr:colOff>594570</xdr:colOff>
      <xdr:row>1</xdr:row>
      <xdr:rowOff>120650</xdr:rowOff>
    </xdr:to>
    <xdr:sp macro="" textlink="">
      <xdr:nvSpPr>
        <xdr:cNvPr id="2" name="1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/>
      </xdr:nvSpPr>
      <xdr:spPr>
        <a:xfrm>
          <a:off x="11625579" y="56516"/>
          <a:ext cx="256116" cy="302259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263525</xdr:colOff>
      <xdr:row>0</xdr:row>
      <xdr:rowOff>60961</xdr:rowOff>
    </xdr:from>
    <xdr:to>
      <xdr:col>8</xdr:col>
      <xdr:colOff>511809</xdr:colOff>
      <xdr:row>1</xdr:row>
      <xdr:rowOff>95250</xdr:rowOff>
    </xdr:to>
    <xdr:sp macro="" textlink="">
      <xdr:nvSpPr>
        <xdr:cNvPr id="2" name="1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107857E-C88D-4D74-B5EE-228F6327F4E5}"/>
            </a:ext>
          </a:extLst>
        </xdr:cNvPr>
        <xdr:cNvSpPr/>
      </xdr:nvSpPr>
      <xdr:spPr>
        <a:xfrm>
          <a:off x="7235825" y="60961"/>
          <a:ext cx="248284" cy="272414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444499</xdr:colOff>
      <xdr:row>0</xdr:row>
      <xdr:rowOff>92711</xdr:rowOff>
    </xdr:from>
    <xdr:to>
      <xdr:col>8</xdr:col>
      <xdr:colOff>708659</xdr:colOff>
      <xdr:row>1</xdr:row>
      <xdr:rowOff>102237</xdr:rowOff>
    </xdr:to>
    <xdr:sp macro="" textlink="">
      <xdr:nvSpPr>
        <xdr:cNvPr id="2" name="1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EC175AB-9FFE-47E7-A37B-FFD743D62579}"/>
            </a:ext>
          </a:extLst>
        </xdr:cNvPr>
        <xdr:cNvSpPr/>
      </xdr:nvSpPr>
      <xdr:spPr>
        <a:xfrm>
          <a:off x="8245474" y="92711"/>
          <a:ext cx="264160" cy="247651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497416</xdr:colOff>
      <xdr:row>0</xdr:row>
      <xdr:rowOff>176319</xdr:rowOff>
    </xdr:from>
    <xdr:to>
      <xdr:col>10</xdr:col>
      <xdr:colOff>761576</xdr:colOff>
      <xdr:row>2</xdr:row>
      <xdr:rowOff>60113</xdr:rowOff>
    </xdr:to>
    <xdr:sp macro="" textlink="">
      <xdr:nvSpPr>
        <xdr:cNvPr id="2" name="1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/>
      </xdr:nvSpPr>
      <xdr:spPr>
        <a:xfrm>
          <a:off x="9050866" y="176319"/>
          <a:ext cx="264160" cy="264794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62</xdr:col>
      <xdr:colOff>133350</xdr:colOff>
      <xdr:row>141</xdr:row>
      <xdr:rowOff>111125</xdr:rowOff>
    </xdr:from>
    <xdr:to>
      <xdr:col>81</xdr:col>
      <xdr:colOff>412750</xdr:colOff>
      <xdr:row>175</xdr:row>
      <xdr:rowOff>149225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62</xdr:col>
      <xdr:colOff>136526</xdr:colOff>
      <xdr:row>181</xdr:row>
      <xdr:rowOff>41274</xdr:rowOff>
    </xdr:from>
    <xdr:to>
      <xdr:col>81</xdr:col>
      <xdr:colOff>447676</xdr:colOff>
      <xdr:row>216</xdr:row>
      <xdr:rowOff>79375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81</xdr:col>
      <xdr:colOff>81915</xdr:colOff>
      <xdr:row>0</xdr:row>
      <xdr:rowOff>133350</xdr:rowOff>
    </xdr:from>
    <xdr:to>
      <xdr:col>81</xdr:col>
      <xdr:colOff>365760</xdr:colOff>
      <xdr:row>0</xdr:row>
      <xdr:rowOff>377190</xdr:rowOff>
    </xdr:to>
    <xdr:sp macro="" textlink="">
      <xdr:nvSpPr>
        <xdr:cNvPr id="4" name="23 Botón de acción: Inici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F00-000004000000}"/>
            </a:ext>
          </a:extLst>
        </xdr:cNvPr>
        <xdr:cNvSpPr/>
      </xdr:nvSpPr>
      <xdr:spPr>
        <a:xfrm>
          <a:off x="46563915" y="133350"/>
          <a:ext cx="283845" cy="243840"/>
        </a:xfrm>
        <a:prstGeom prst="actionButtonHome">
          <a:avLst/>
        </a:prstGeom>
        <a:solidFill>
          <a:srgbClr val="CC9900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>
    <xdr:from>
      <xdr:col>55</xdr:col>
      <xdr:colOff>450850</xdr:colOff>
      <xdr:row>220</xdr:row>
      <xdr:rowOff>63499</xdr:rowOff>
    </xdr:from>
    <xdr:to>
      <xdr:col>63</xdr:col>
      <xdr:colOff>311151</xdr:colOff>
      <xdr:row>239</xdr:row>
      <xdr:rowOff>63500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00000000-0008-0000-3F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64</xdr:col>
      <xdr:colOff>161924</xdr:colOff>
      <xdr:row>220</xdr:row>
      <xdr:rowOff>101600</xdr:rowOff>
    </xdr:from>
    <xdr:to>
      <xdr:col>72</xdr:col>
      <xdr:colOff>55245</xdr:colOff>
      <xdr:row>239</xdr:row>
      <xdr:rowOff>44449</xdr:rowOff>
    </xdr:to>
    <xdr:graphicFrame macro="">
      <xdr:nvGraphicFramePr>
        <xdr:cNvPr id="6" name="2 Gráfico">
          <a:extLst>
            <a:ext uri="{FF2B5EF4-FFF2-40B4-BE49-F238E27FC236}">
              <a16:creationId xmlns:a16="http://schemas.microsoft.com/office/drawing/2014/main" id="{00000000-0008-0000-3F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55</xdr:col>
      <xdr:colOff>142874</xdr:colOff>
      <xdr:row>0</xdr:row>
      <xdr:rowOff>134618</xdr:rowOff>
    </xdr:from>
    <xdr:to>
      <xdr:col>55</xdr:col>
      <xdr:colOff>444499</xdr:colOff>
      <xdr:row>0</xdr:row>
      <xdr:rowOff>442595</xdr:rowOff>
    </xdr:to>
    <xdr:sp macro="" textlink="">
      <xdr:nvSpPr>
        <xdr:cNvPr id="2" name="3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/>
      </xdr:nvSpPr>
      <xdr:spPr>
        <a:xfrm>
          <a:off x="33470849" y="134618"/>
          <a:ext cx="301625" cy="307977"/>
        </a:xfrm>
        <a:prstGeom prst="actionButtonHome">
          <a:avLst/>
        </a:prstGeom>
        <a:solidFill>
          <a:srgbClr val="CC9900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>
    <xdr:from>
      <xdr:col>41</xdr:col>
      <xdr:colOff>69849</xdr:colOff>
      <xdr:row>149</xdr:row>
      <xdr:rowOff>152400</xdr:rowOff>
    </xdr:from>
    <xdr:to>
      <xdr:col>56</xdr:col>
      <xdr:colOff>41274</xdr:colOff>
      <xdr:row>178</xdr:row>
      <xdr:rowOff>137160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104775</xdr:colOff>
      <xdr:row>0</xdr:row>
      <xdr:rowOff>0</xdr:rowOff>
    </xdr:from>
    <xdr:to>
      <xdr:col>9</xdr:col>
      <xdr:colOff>200025</xdr:colOff>
      <xdr:row>0</xdr:row>
      <xdr:rowOff>207963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5713095" y="0"/>
          <a:ext cx="95250" cy="20796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>
    <xdr:from>
      <xdr:col>47</xdr:col>
      <xdr:colOff>40821</xdr:colOff>
      <xdr:row>39</xdr:row>
      <xdr:rowOff>144689</xdr:rowOff>
    </xdr:from>
    <xdr:to>
      <xdr:col>61</xdr:col>
      <xdr:colOff>542924</xdr:colOff>
      <xdr:row>65</xdr:row>
      <xdr:rowOff>54429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171450</xdr:colOff>
      <xdr:row>74</xdr:row>
      <xdr:rowOff>133350</xdr:rowOff>
    </xdr:from>
    <xdr:to>
      <xdr:col>13</xdr:col>
      <xdr:colOff>419100</xdr:colOff>
      <xdr:row>90</xdr:row>
      <xdr:rowOff>0</xdr:rowOff>
    </xdr:to>
    <xdr:graphicFrame macro="">
      <xdr:nvGraphicFramePr>
        <xdr:cNvPr id="4" name="5 Gráfico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76200</xdr:colOff>
      <xdr:row>74</xdr:row>
      <xdr:rowOff>123825</xdr:rowOff>
    </xdr:from>
    <xdr:to>
      <xdr:col>21</xdr:col>
      <xdr:colOff>323850</xdr:colOff>
      <xdr:row>89</xdr:row>
      <xdr:rowOff>152400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457200</xdr:colOff>
      <xdr:row>74</xdr:row>
      <xdr:rowOff>142875</xdr:rowOff>
    </xdr:from>
    <xdr:to>
      <xdr:col>29</xdr:col>
      <xdr:colOff>123825</xdr:colOff>
      <xdr:row>90</xdr:row>
      <xdr:rowOff>9525</xdr:rowOff>
    </xdr:to>
    <xdr:graphicFrame macro="">
      <xdr:nvGraphicFramePr>
        <xdr:cNvPr id="6" name="7 Gráfic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29</xdr:col>
      <xdr:colOff>219075</xdr:colOff>
      <xdr:row>75</xdr:row>
      <xdr:rowOff>0</xdr:rowOff>
    </xdr:from>
    <xdr:to>
      <xdr:col>36</xdr:col>
      <xdr:colOff>466725</xdr:colOff>
      <xdr:row>90</xdr:row>
      <xdr:rowOff>28575</xdr:rowOff>
    </xdr:to>
    <xdr:graphicFrame macro="">
      <xdr:nvGraphicFramePr>
        <xdr:cNvPr id="7" name="8 Gráfico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36</xdr:col>
      <xdr:colOff>495300</xdr:colOff>
      <xdr:row>74</xdr:row>
      <xdr:rowOff>142875</xdr:rowOff>
    </xdr:from>
    <xdr:to>
      <xdr:col>42</xdr:col>
      <xdr:colOff>600075</xdr:colOff>
      <xdr:row>90</xdr:row>
      <xdr:rowOff>9525</xdr:rowOff>
    </xdr:to>
    <xdr:graphicFrame macro="">
      <xdr:nvGraphicFramePr>
        <xdr:cNvPr id="8" name="9 Gráfico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61</xdr:col>
      <xdr:colOff>237490</xdr:colOff>
      <xdr:row>0</xdr:row>
      <xdr:rowOff>239396</xdr:rowOff>
    </xdr:from>
    <xdr:to>
      <xdr:col>61</xdr:col>
      <xdr:colOff>542290</xdr:colOff>
      <xdr:row>0</xdr:row>
      <xdr:rowOff>518796</xdr:rowOff>
    </xdr:to>
    <xdr:sp macro="" textlink="">
      <xdr:nvSpPr>
        <xdr:cNvPr id="9" name="10 Botón de acción: Inici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36584890" y="239396"/>
          <a:ext cx="304800" cy="279400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717550</xdr:colOff>
      <xdr:row>42</xdr:row>
      <xdr:rowOff>78317</xdr:rowOff>
    </xdr:from>
    <xdr:to>
      <xdr:col>21</xdr:col>
      <xdr:colOff>699558</xdr:colOff>
      <xdr:row>98</xdr:row>
      <xdr:rowOff>148167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38100</xdr:colOff>
      <xdr:row>66</xdr:row>
      <xdr:rowOff>19050</xdr:rowOff>
    </xdr:from>
    <xdr:to>
      <xdr:col>13</xdr:col>
      <xdr:colOff>723900</xdr:colOff>
      <xdr:row>89</xdr:row>
      <xdr:rowOff>57150</xdr:rowOff>
    </xdr:to>
    <xdr:graphicFrame macro="">
      <xdr:nvGraphicFramePr>
        <xdr:cNvPr id="3" name="3 Gráfico"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355600</xdr:colOff>
      <xdr:row>0</xdr:row>
      <xdr:rowOff>158750</xdr:rowOff>
    </xdr:from>
    <xdr:to>
      <xdr:col>20</xdr:col>
      <xdr:colOff>641350</xdr:colOff>
      <xdr:row>0</xdr:row>
      <xdr:rowOff>457200</xdr:rowOff>
    </xdr:to>
    <xdr:sp macro="" textlink="">
      <xdr:nvSpPr>
        <xdr:cNvPr id="4" name="4 Botón de acción: Inici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4100-000004000000}"/>
            </a:ext>
          </a:extLst>
        </xdr:cNvPr>
        <xdr:cNvSpPr/>
      </xdr:nvSpPr>
      <xdr:spPr>
        <a:xfrm>
          <a:off x="15138400" y="158750"/>
          <a:ext cx="285750" cy="298450"/>
        </a:xfrm>
        <a:prstGeom prst="actionButtonHome">
          <a:avLst/>
        </a:prstGeom>
        <a:solidFill>
          <a:srgbClr val="CC9900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>
    <xdr:from>
      <xdr:col>13</xdr:col>
      <xdr:colOff>329142</xdr:colOff>
      <xdr:row>105</xdr:row>
      <xdr:rowOff>14817</xdr:rowOff>
    </xdr:from>
    <xdr:to>
      <xdr:col>21</xdr:col>
      <xdr:colOff>597957</xdr:colOff>
      <xdr:row>126</xdr:row>
      <xdr:rowOff>59266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00000000-0008-0000-4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170656</xdr:colOff>
      <xdr:row>37</xdr:row>
      <xdr:rowOff>79375</xdr:rowOff>
    </xdr:from>
    <xdr:to>
      <xdr:col>22</xdr:col>
      <xdr:colOff>83344</xdr:colOff>
      <xdr:row>92</xdr:row>
      <xdr:rowOff>66675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409574</xdr:colOff>
      <xdr:row>62</xdr:row>
      <xdr:rowOff>133350</xdr:rowOff>
    </xdr:from>
    <xdr:to>
      <xdr:col>14</xdr:col>
      <xdr:colOff>28574</xdr:colOff>
      <xdr:row>86</xdr:row>
      <xdr:rowOff>66675</xdr:rowOff>
    </xdr:to>
    <xdr:graphicFrame macro="">
      <xdr:nvGraphicFramePr>
        <xdr:cNvPr id="3" name="3 Gráfico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206376</xdr:colOff>
      <xdr:row>0</xdr:row>
      <xdr:rowOff>112713</xdr:rowOff>
    </xdr:from>
    <xdr:to>
      <xdr:col>20</xdr:col>
      <xdr:colOff>530226</xdr:colOff>
      <xdr:row>0</xdr:row>
      <xdr:rowOff>466725</xdr:rowOff>
    </xdr:to>
    <xdr:sp macro="" textlink="">
      <xdr:nvSpPr>
        <xdr:cNvPr id="4" name="4 Botón de acción: Inici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4200-000004000000}"/>
            </a:ext>
          </a:extLst>
        </xdr:cNvPr>
        <xdr:cNvSpPr/>
      </xdr:nvSpPr>
      <xdr:spPr>
        <a:xfrm>
          <a:off x="15217776" y="112713"/>
          <a:ext cx="323850" cy="354012"/>
        </a:xfrm>
        <a:prstGeom prst="actionButtonHome">
          <a:avLst/>
        </a:prstGeom>
        <a:solidFill>
          <a:srgbClr val="CC9900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>
    <xdr:from>
      <xdr:col>12</xdr:col>
      <xdr:colOff>431799</xdr:colOff>
      <xdr:row>96</xdr:row>
      <xdr:rowOff>73024</xdr:rowOff>
    </xdr:from>
    <xdr:to>
      <xdr:col>21</xdr:col>
      <xdr:colOff>12699</xdr:colOff>
      <xdr:row>119</xdr:row>
      <xdr:rowOff>146049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00000000-0008-0000-4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360840</xdr:colOff>
      <xdr:row>0</xdr:row>
      <xdr:rowOff>114058</xdr:rowOff>
    </xdr:from>
    <xdr:to>
      <xdr:col>20</xdr:col>
      <xdr:colOff>646590</xdr:colOff>
      <xdr:row>2</xdr:row>
      <xdr:rowOff>28333</xdr:rowOff>
    </xdr:to>
    <xdr:sp macro="" textlink="">
      <xdr:nvSpPr>
        <xdr:cNvPr id="2" name="4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/>
      </xdr:nvSpPr>
      <xdr:spPr>
        <a:xfrm>
          <a:off x="14562615" y="114058"/>
          <a:ext cx="285750" cy="276225"/>
        </a:xfrm>
        <a:prstGeom prst="actionButtonHome">
          <a:avLst/>
        </a:prstGeom>
        <a:solidFill>
          <a:srgbClr val="CC9900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>
    <xdr:from>
      <xdr:col>1</xdr:col>
      <xdr:colOff>393699</xdr:colOff>
      <xdr:row>41</xdr:row>
      <xdr:rowOff>152400</xdr:rowOff>
    </xdr:from>
    <xdr:to>
      <xdr:col>19</xdr:col>
      <xdr:colOff>744681</xdr:colOff>
      <xdr:row>75</xdr:row>
      <xdr:rowOff>152400</xdr:rowOff>
    </xdr:to>
    <xdr:graphicFrame macro="">
      <xdr:nvGraphicFramePr>
        <xdr:cNvPr id="3" name="5 Gráfico"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52</xdr:col>
      <xdr:colOff>95250</xdr:colOff>
      <xdr:row>143</xdr:row>
      <xdr:rowOff>68580</xdr:rowOff>
    </xdr:from>
    <xdr:to>
      <xdr:col>52</xdr:col>
      <xdr:colOff>333375</xdr:colOff>
      <xdr:row>144</xdr:row>
      <xdr:rowOff>171450</xdr:rowOff>
    </xdr:to>
    <xdr:sp macro="" textlink="">
      <xdr:nvSpPr>
        <xdr:cNvPr id="4" name="4 Botón de acción: Inici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4300-000004000000}"/>
            </a:ext>
          </a:extLst>
        </xdr:cNvPr>
        <xdr:cNvSpPr/>
      </xdr:nvSpPr>
      <xdr:spPr>
        <a:xfrm>
          <a:off x="24174450" y="25281255"/>
          <a:ext cx="238125" cy="264795"/>
        </a:xfrm>
        <a:prstGeom prst="actionButtonHome">
          <a:avLst/>
        </a:prstGeom>
        <a:solidFill>
          <a:schemeClr val="accent1">
            <a:lumMod val="75000"/>
          </a:schemeClr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>
    <xdr:from>
      <xdr:col>1</xdr:col>
      <xdr:colOff>431800</xdr:colOff>
      <xdr:row>113</xdr:row>
      <xdr:rowOff>0</xdr:rowOff>
    </xdr:from>
    <xdr:to>
      <xdr:col>19</xdr:col>
      <xdr:colOff>710045</xdr:colOff>
      <xdr:row>141</xdr:row>
      <xdr:rowOff>90489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00000000-0008-0000-4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330201</xdr:colOff>
      <xdr:row>175</xdr:row>
      <xdr:rowOff>28575</xdr:rowOff>
    </xdr:from>
    <xdr:to>
      <xdr:col>20</xdr:col>
      <xdr:colOff>25977</xdr:colOff>
      <xdr:row>206</xdr:row>
      <xdr:rowOff>107950</xdr:rowOff>
    </xdr:to>
    <xdr:graphicFrame macro="">
      <xdr:nvGraphicFramePr>
        <xdr:cNvPr id="6" name="2 Gráfico">
          <a:extLst>
            <a:ext uri="{FF2B5EF4-FFF2-40B4-BE49-F238E27FC236}">
              <a16:creationId xmlns:a16="http://schemas.microsoft.com/office/drawing/2014/main" id="{00000000-0008-0000-4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21167</xdr:colOff>
      <xdr:row>12</xdr:row>
      <xdr:rowOff>63500</xdr:rowOff>
    </xdr:from>
    <xdr:to>
      <xdr:col>34</xdr:col>
      <xdr:colOff>19050</xdr:colOff>
      <xdr:row>48</xdr:row>
      <xdr:rowOff>47625</xdr:rowOff>
    </xdr:to>
    <xdr:graphicFrame macro="">
      <xdr:nvGraphicFramePr>
        <xdr:cNvPr id="2" name="3 Gráfico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188913</xdr:colOff>
      <xdr:row>0</xdr:row>
      <xdr:rowOff>160338</xdr:rowOff>
    </xdr:from>
    <xdr:to>
      <xdr:col>33</xdr:col>
      <xdr:colOff>474663</xdr:colOff>
      <xdr:row>1</xdr:row>
      <xdr:rowOff>306388</xdr:rowOff>
    </xdr:to>
    <xdr:sp macro="" textlink="">
      <xdr:nvSpPr>
        <xdr:cNvPr id="3" name="4 Botón de acción: Inici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SpPr/>
      </xdr:nvSpPr>
      <xdr:spPr>
        <a:xfrm>
          <a:off x="22477413" y="160338"/>
          <a:ext cx="285750" cy="307975"/>
        </a:xfrm>
        <a:prstGeom prst="actionButtonHome">
          <a:avLst/>
        </a:prstGeom>
        <a:solidFill>
          <a:srgbClr val="CC9900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212434</xdr:colOff>
      <xdr:row>0</xdr:row>
      <xdr:rowOff>167986</xdr:rowOff>
    </xdr:from>
    <xdr:to>
      <xdr:col>31</xdr:col>
      <xdr:colOff>478269</xdr:colOff>
      <xdr:row>1</xdr:row>
      <xdr:rowOff>20205</xdr:rowOff>
    </xdr:to>
    <xdr:sp macro="" textlink="">
      <xdr:nvSpPr>
        <xdr:cNvPr id="2" name="10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/>
      </xdr:nvSpPr>
      <xdr:spPr>
        <a:xfrm>
          <a:off x="23600639" y="167986"/>
          <a:ext cx="265835" cy="233219"/>
        </a:xfrm>
        <a:prstGeom prst="actionButtonHome">
          <a:avLst/>
        </a:prstGeom>
        <a:solidFill>
          <a:srgbClr val="CC9900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27215</xdr:colOff>
      <xdr:row>43</xdr:row>
      <xdr:rowOff>34109</xdr:rowOff>
    </xdr:from>
    <xdr:to>
      <xdr:col>22</xdr:col>
      <xdr:colOff>27214</xdr:colOff>
      <xdr:row>96</xdr:row>
      <xdr:rowOff>122464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504826</xdr:colOff>
      <xdr:row>70</xdr:row>
      <xdr:rowOff>114300</xdr:rowOff>
    </xdr:from>
    <xdr:to>
      <xdr:col>12</xdr:col>
      <xdr:colOff>476250</xdr:colOff>
      <xdr:row>93</xdr:row>
      <xdr:rowOff>85726</xdr:rowOff>
    </xdr:to>
    <xdr:graphicFrame macro="">
      <xdr:nvGraphicFramePr>
        <xdr:cNvPr id="3" name="3 Gráfico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342900</xdr:colOff>
      <xdr:row>0</xdr:row>
      <xdr:rowOff>194129</xdr:rowOff>
    </xdr:from>
    <xdr:to>
      <xdr:col>21</xdr:col>
      <xdr:colOff>688295</xdr:colOff>
      <xdr:row>0</xdr:row>
      <xdr:rowOff>542925</xdr:rowOff>
    </xdr:to>
    <xdr:sp macro="" textlink="">
      <xdr:nvSpPr>
        <xdr:cNvPr id="4" name="11 Botón de acción: Inici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4600-000004000000}"/>
            </a:ext>
          </a:extLst>
        </xdr:cNvPr>
        <xdr:cNvSpPr/>
      </xdr:nvSpPr>
      <xdr:spPr>
        <a:xfrm>
          <a:off x="15811500" y="194129"/>
          <a:ext cx="345395" cy="348796"/>
        </a:xfrm>
        <a:prstGeom prst="actionButtonHome">
          <a:avLst/>
        </a:prstGeom>
        <a:solidFill>
          <a:srgbClr val="CC9900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92</xdr:col>
      <xdr:colOff>57150</xdr:colOff>
      <xdr:row>44</xdr:row>
      <xdr:rowOff>32927</xdr:rowOff>
    </xdr:from>
    <xdr:to>
      <xdr:col>116</xdr:col>
      <xdr:colOff>323850</xdr:colOff>
      <xdr:row>77</xdr:row>
      <xdr:rowOff>152400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115</xdr:col>
      <xdr:colOff>292100</xdr:colOff>
      <xdr:row>0</xdr:row>
      <xdr:rowOff>159809</xdr:rowOff>
    </xdr:from>
    <xdr:to>
      <xdr:col>116</xdr:col>
      <xdr:colOff>187325</xdr:colOff>
      <xdr:row>1</xdr:row>
      <xdr:rowOff>66675</xdr:rowOff>
    </xdr:to>
    <xdr:sp macro="" textlink="">
      <xdr:nvSpPr>
        <xdr:cNvPr id="3" name="31 Botón de acción: Inici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SpPr/>
      </xdr:nvSpPr>
      <xdr:spPr>
        <a:xfrm>
          <a:off x="49164875" y="159809"/>
          <a:ext cx="295275" cy="306916"/>
        </a:xfrm>
        <a:prstGeom prst="actionButtonHome">
          <a:avLst/>
        </a:prstGeom>
        <a:solidFill>
          <a:srgbClr val="CC9900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61</xdr:col>
      <xdr:colOff>444500</xdr:colOff>
      <xdr:row>43</xdr:row>
      <xdr:rowOff>47625</xdr:rowOff>
    </xdr:from>
    <xdr:to>
      <xdr:col>81</xdr:col>
      <xdr:colOff>432859</xdr:colOff>
      <xdr:row>69</xdr:row>
      <xdr:rowOff>127000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152399</xdr:colOff>
      <xdr:row>70</xdr:row>
      <xdr:rowOff>76199</xdr:rowOff>
    </xdr:from>
    <xdr:to>
      <xdr:col>25</xdr:col>
      <xdr:colOff>371475</xdr:colOff>
      <xdr:row>82</xdr:row>
      <xdr:rowOff>161925</xdr:rowOff>
    </xdr:to>
    <xdr:graphicFrame macro="">
      <xdr:nvGraphicFramePr>
        <xdr:cNvPr id="3" name="4 Gráfico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0</xdr:colOff>
      <xdr:row>70</xdr:row>
      <xdr:rowOff>0</xdr:rowOff>
    </xdr:from>
    <xdr:to>
      <xdr:col>34</xdr:col>
      <xdr:colOff>314326</xdr:colOff>
      <xdr:row>82</xdr:row>
      <xdr:rowOff>85726</xdr:rowOff>
    </xdr:to>
    <xdr:graphicFrame macro="">
      <xdr:nvGraphicFramePr>
        <xdr:cNvPr id="4" name="9 Gráfico">
          <a:extLst>
            <a:ext uri="{FF2B5EF4-FFF2-40B4-BE49-F238E27FC236}">
              <a16:creationId xmlns:a16="http://schemas.microsoft.com/office/drawing/2014/main" id="{00000000-0008-0000-4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35</xdr:col>
      <xdr:colOff>0</xdr:colOff>
      <xdr:row>70</xdr:row>
      <xdr:rowOff>0</xdr:rowOff>
    </xdr:from>
    <xdr:to>
      <xdr:col>43</xdr:col>
      <xdr:colOff>428626</xdr:colOff>
      <xdr:row>82</xdr:row>
      <xdr:rowOff>85726</xdr:rowOff>
    </xdr:to>
    <xdr:graphicFrame macro="">
      <xdr:nvGraphicFramePr>
        <xdr:cNvPr id="5" name="10 Gráfico">
          <a:extLst>
            <a:ext uri="{FF2B5EF4-FFF2-40B4-BE49-F238E27FC236}">
              <a16:creationId xmlns:a16="http://schemas.microsoft.com/office/drawing/2014/main" id="{00000000-0008-0000-4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45</xdr:col>
      <xdr:colOff>0</xdr:colOff>
      <xdr:row>70</xdr:row>
      <xdr:rowOff>0</xdr:rowOff>
    </xdr:from>
    <xdr:to>
      <xdr:col>52</xdr:col>
      <xdr:colOff>314326</xdr:colOff>
      <xdr:row>82</xdr:row>
      <xdr:rowOff>85726</xdr:rowOff>
    </xdr:to>
    <xdr:graphicFrame macro="">
      <xdr:nvGraphicFramePr>
        <xdr:cNvPr id="6" name="11 Gráfico">
          <a:extLst>
            <a:ext uri="{FF2B5EF4-FFF2-40B4-BE49-F238E27FC236}">
              <a16:creationId xmlns:a16="http://schemas.microsoft.com/office/drawing/2014/main" id="{00000000-0008-0000-48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0</xdr:colOff>
      <xdr:row>84</xdr:row>
      <xdr:rowOff>0</xdr:rowOff>
    </xdr:from>
    <xdr:to>
      <xdr:col>25</xdr:col>
      <xdr:colOff>219076</xdr:colOff>
      <xdr:row>96</xdr:row>
      <xdr:rowOff>85726</xdr:rowOff>
    </xdr:to>
    <xdr:graphicFrame macro="">
      <xdr:nvGraphicFramePr>
        <xdr:cNvPr id="7" name="12 Gráfico">
          <a:extLst>
            <a:ext uri="{FF2B5EF4-FFF2-40B4-BE49-F238E27FC236}">
              <a16:creationId xmlns:a16="http://schemas.microsoft.com/office/drawing/2014/main" id="{00000000-0008-0000-48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0</xdr:colOff>
      <xdr:row>84</xdr:row>
      <xdr:rowOff>0</xdr:rowOff>
    </xdr:from>
    <xdr:to>
      <xdr:col>34</xdr:col>
      <xdr:colOff>314326</xdr:colOff>
      <xdr:row>96</xdr:row>
      <xdr:rowOff>85726</xdr:rowOff>
    </xdr:to>
    <xdr:graphicFrame macro="">
      <xdr:nvGraphicFramePr>
        <xdr:cNvPr id="8" name="14 Gráfico">
          <a:extLst>
            <a:ext uri="{FF2B5EF4-FFF2-40B4-BE49-F238E27FC236}">
              <a16:creationId xmlns:a16="http://schemas.microsoft.com/office/drawing/2014/main" id="{00000000-0008-0000-48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35</xdr:col>
      <xdr:colOff>0</xdr:colOff>
      <xdr:row>84</xdr:row>
      <xdr:rowOff>0</xdr:rowOff>
    </xdr:from>
    <xdr:to>
      <xdr:col>43</xdr:col>
      <xdr:colOff>428626</xdr:colOff>
      <xdr:row>96</xdr:row>
      <xdr:rowOff>85726</xdr:rowOff>
    </xdr:to>
    <xdr:graphicFrame macro="">
      <xdr:nvGraphicFramePr>
        <xdr:cNvPr id="9" name="15 Gráfico">
          <a:extLst>
            <a:ext uri="{FF2B5EF4-FFF2-40B4-BE49-F238E27FC236}">
              <a16:creationId xmlns:a16="http://schemas.microsoft.com/office/drawing/2014/main" id="{00000000-0008-0000-48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45</xdr:col>
      <xdr:colOff>0</xdr:colOff>
      <xdr:row>84</xdr:row>
      <xdr:rowOff>0</xdr:rowOff>
    </xdr:from>
    <xdr:to>
      <xdr:col>52</xdr:col>
      <xdr:colOff>314326</xdr:colOff>
      <xdr:row>96</xdr:row>
      <xdr:rowOff>85726</xdr:rowOff>
    </xdr:to>
    <xdr:graphicFrame macro="">
      <xdr:nvGraphicFramePr>
        <xdr:cNvPr id="10" name="16 Gráfico">
          <a:extLst>
            <a:ext uri="{FF2B5EF4-FFF2-40B4-BE49-F238E27FC236}">
              <a16:creationId xmlns:a16="http://schemas.microsoft.com/office/drawing/2014/main" id="{00000000-0008-0000-48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17</xdr:col>
      <xdr:colOff>0</xdr:colOff>
      <xdr:row>98</xdr:row>
      <xdr:rowOff>0</xdr:rowOff>
    </xdr:from>
    <xdr:to>
      <xdr:col>25</xdr:col>
      <xdr:colOff>219076</xdr:colOff>
      <xdr:row>110</xdr:row>
      <xdr:rowOff>85726</xdr:rowOff>
    </xdr:to>
    <xdr:graphicFrame macro="">
      <xdr:nvGraphicFramePr>
        <xdr:cNvPr id="11" name="17 Gráfico">
          <a:extLst>
            <a:ext uri="{FF2B5EF4-FFF2-40B4-BE49-F238E27FC236}">
              <a16:creationId xmlns:a16="http://schemas.microsoft.com/office/drawing/2014/main" id="{00000000-0008-0000-48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26</xdr:col>
      <xdr:colOff>0</xdr:colOff>
      <xdr:row>98</xdr:row>
      <xdr:rowOff>0</xdr:rowOff>
    </xdr:from>
    <xdr:to>
      <xdr:col>34</xdr:col>
      <xdr:colOff>314326</xdr:colOff>
      <xdr:row>110</xdr:row>
      <xdr:rowOff>85726</xdr:rowOff>
    </xdr:to>
    <xdr:graphicFrame macro="">
      <xdr:nvGraphicFramePr>
        <xdr:cNvPr id="12" name="18 Gráfico">
          <a:extLst>
            <a:ext uri="{FF2B5EF4-FFF2-40B4-BE49-F238E27FC236}">
              <a16:creationId xmlns:a16="http://schemas.microsoft.com/office/drawing/2014/main" id="{00000000-0008-0000-48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35</xdr:col>
      <xdr:colOff>0</xdr:colOff>
      <xdr:row>98</xdr:row>
      <xdr:rowOff>0</xdr:rowOff>
    </xdr:from>
    <xdr:to>
      <xdr:col>43</xdr:col>
      <xdr:colOff>428626</xdr:colOff>
      <xdr:row>110</xdr:row>
      <xdr:rowOff>85726</xdr:rowOff>
    </xdr:to>
    <xdr:graphicFrame macro="">
      <xdr:nvGraphicFramePr>
        <xdr:cNvPr id="13" name="19 Gráfico">
          <a:extLst>
            <a:ext uri="{FF2B5EF4-FFF2-40B4-BE49-F238E27FC236}">
              <a16:creationId xmlns:a16="http://schemas.microsoft.com/office/drawing/2014/main" id="{00000000-0008-0000-48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45</xdr:col>
      <xdr:colOff>0</xdr:colOff>
      <xdr:row>98</xdr:row>
      <xdr:rowOff>0</xdr:rowOff>
    </xdr:from>
    <xdr:to>
      <xdr:col>52</xdr:col>
      <xdr:colOff>314326</xdr:colOff>
      <xdr:row>110</xdr:row>
      <xdr:rowOff>85726</xdr:rowOff>
    </xdr:to>
    <xdr:graphicFrame macro="">
      <xdr:nvGraphicFramePr>
        <xdr:cNvPr id="14" name="20 Gráfico">
          <a:extLst>
            <a:ext uri="{FF2B5EF4-FFF2-40B4-BE49-F238E27FC236}">
              <a16:creationId xmlns:a16="http://schemas.microsoft.com/office/drawing/2014/main" id="{00000000-0008-0000-48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533400</xdr:colOff>
      <xdr:row>112</xdr:row>
      <xdr:rowOff>0</xdr:rowOff>
    </xdr:from>
    <xdr:to>
      <xdr:col>25</xdr:col>
      <xdr:colOff>209551</xdr:colOff>
      <xdr:row>124</xdr:row>
      <xdr:rowOff>85726</xdr:rowOff>
    </xdr:to>
    <xdr:graphicFrame macro="">
      <xdr:nvGraphicFramePr>
        <xdr:cNvPr id="15" name="21 Gráfico">
          <a:extLst>
            <a:ext uri="{FF2B5EF4-FFF2-40B4-BE49-F238E27FC236}">
              <a16:creationId xmlns:a16="http://schemas.microsoft.com/office/drawing/2014/main" id="{00000000-0008-0000-48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26</xdr:col>
      <xdr:colOff>0</xdr:colOff>
      <xdr:row>112</xdr:row>
      <xdr:rowOff>0</xdr:rowOff>
    </xdr:from>
    <xdr:to>
      <xdr:col>34</xdr:col>
      <xdr:colOff>314326</xdr:colOff>
      <xdr:row>124</xdr:row>
      <xdr:rowOff>85726</xdr:rowOff>
    </xdr:to>
    <xdr:graphicFrame macro="">
      <xdr:nvGraphicFramePr>
        <xdr:cNvPr id="16" name="22 Gráfico">
          <a:extLst>
            <a:ext uri="{FF2B5EF4-FFF2-40B4-BE49-F238E27FC236}">
              <a16:creationId xmlns:a16="http://schemas.microsoft.com/office/drawing/2014/main" id="{00000000-0008-0000-48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35</xdr:col>
      <xdr:colOff>0</xdr:colOff>
      <xdr:row>111</xdr:row>
      <xdr:rowOff>0</xdr:rowOff>
    </xdr:from>
    <xdr:to>
      <xdr:col>43</xdr:col>
      <xdr:colOff>428626</xdr:colOff>
      <xdr:row>123</xdr:row>
      <xdr:rowOff>85726</xdr:rowOff>
    </xdr:to>
    <xdr:graphicFrame macro="">
      <xdr:nvGraphicFramePr>
        <xdr:cNvPr id="17" name="23 Gráfico">
          <a:extLst>
            <a:ext uri="{FF2B5EF4-FFF2-40B4-BE49-F238E27FC236}">
              <a16:creationId xmlns:a16="http://schemas.microsoft.com/office/drawing/2014/main" id="{00000000-0008-0000-48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45</xdr:col>
      <xdr:colOff>0</xdr:colOff>
      <xdr:row>111</xdr:row>
      <xdr:rowOff>0</xdr:rowOff>
    </xdr:from>
    <xdr:to>
      <xdr:col>52</xdr:col>
      <xdr:colOff>314326</xdr:colOff>
      <xdr:row>123</xdr:row>
      <xdr:rowOff>85726</xdr:rowOff>
    </xdr:to>
    <xdr:graphicFrame macro="">
      <xdr:nvGraphicFramePr>
        <xdr:cNvPr id="18" name="24 Gráfico">
          <a:extLst>
            <a:ext uri="{FF2B5EF4-FFF2-40B4-BE49-F238E27FC236}">
              <a16:creationId xmlns:a16="http://schemas.microsoft.com/office/drawing/2014/main" id="{00000000-0008-0000-48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81</xdr:col>
      <xdr:colOff>38101</xdr:colOff>
      <xdr:row>0</xdr:row>
      <xdr:rowOff>180975</xdr:rowOff>
    </xdr:from>
    <xdr:to>
      <xdr:col>81</xdr:col>
      <xdr:colOff>361951</xdr:colOff>
      <xdr:row>0</xdr:row>
      <xdr:rowOff>542925</xdr:rowOff>
    </xdr:to>
    <xdr:sp macro="" textlink="">
      <xdr:nvSpPr>
        <xdr:cNvPr id="19" name="25 Botón de acción: Inicio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4800-000013000000}"/>
            </a:ext>
          </a:extLst>
        </xdr:cNvPr>
        <xdr:cNvSpPr/>
      </xdr:nvSpPr>
      <xdr:spPr>
        <a:xfrm>
          <a:off x="39195376" y="180975"/>
          <a:ext cx="323850" cy="361950"/>
        </a:xfrm>
        <a:prstGeom prst="actionButtonHome">
          <a:avLst/>
        </a:prstGeom>
        <a:solidFill>
          <a:srgbClr val="CC9900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266700</xdr:colOff>
      <xdr:row>0</xdr:row>
      <xdr:rowOff>66675</xdr:rowOff>
    </xdr:from>
    <xdr:to>
      <xdr:col>15</xdr:col>
      <xdr:colOff>561975</xdr:colOff>
      <xdr:row>1</xdr:row>
      <xdr:rowOff>104776</xdr:rowOff>
    </xdr:to>
    <xdr:sp macro="" textlink="">
      <xdr:nvSpPr>
        <xdr:cNvPr id="2" name="2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/>
      </xdr:nvSpPr>
      <xdr:spPr>
        <a:xfrm>
          <a:off x="13197840" y="66675"/>
          <a:ext cx="295275" cy="266701"/>
        </a:xfrm>
        <a:prstGeom prst="actionButtonHome">
          <a:avLst/>
        </a:prstGeom>
        <a:solidFill>
          <a:srgbClr val="CC9900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>
    <xdr:from>
      <xdr:col>17</xdr:col>
      <xdr:colOff>342900</xdr:colOff>
      <xdr:row>4</xdr:row>
      <xdr:rowOff>76205</xdr:rowOff>
    </xdr:from>
    <xdr:to>
      <xdr:col>24</xdr:col>
      <xdr:colOff>609606</xdr:colOff>
      <xdr:row>25</xdr:row>
      <xdr:rowOff>104780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342894</xdr:colOff>
      <xdr:row>27</xdr:row>
      <xdr:rowOff>9524</xdr:rowOff>
    </xdr:from>
    <xdr:to>
      <xdr:col>24</xdr:col>
      <xdr:colOff>609600</xdr:colOff>
      <xdr:row>48</xdr:row>
      <xdr:rowOff>38099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4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419094</xdr:colOff>
      <xdr:row>4</xdr:row>
      <xdr:rowOff>76199</xdr:rowOff>
    </xdr:from>
    <xdr:to>
      <xdr:col>32</xdr:col>
      <xdr:colOff>685800</xdr:colOff>
      <xdr:row>25</xdr:row>
      <xdr:rowOff>104774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4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25</xdr:col>
      <xdr:colOff>419094</xdr:colOff>
      <xdr:row>26</xdr:row>
      <xdr:rowOff>171449</xdr:rowOff>
    </xdr:from>
    <xdr:to>
      <xdr:col>32</xdr:col>
      <xdr:colOff>685800</xdr:colOff>
      <xdr:row>48</xdr:row>
      <xdr:rowOff>9524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49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69055</xdr:colOff>
      <xdr:row>76</xdr:row>
      <xdr:rowOff>16668</xdr:rowOff>
    </xdr:from>
    <xdr:to>
      <xdr:col>22</xdr:col>
      <xdr:colOff>375069</xdr:colOff>
      <xdr:row>110</xdr:row>
      <xdr:rowOff>95140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37665</xdr:colOff>
      <xdr:row>115</xdr:row>
      <xdr:rowOff>52169</xdr:rowOff>
    </xdr:from>
    <xdr:to>
      <xdr:col>22</xdr:col>
      <xdr:colOff>409574</xdr:colOff>
      <xdr:row>147</xdr:row>
      <xdr:rowOff>111919</xdr:rowOff>
    </xdr:to>
    <xdr:graphicFrame macro="">
      <xdr:nvGraphicFramePr>
        <xdr:cNvPr id="3" name="3 Gráfico"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165588</xdr:colOff>
      <xdr:row>0</xdr:row>
      <xdr:rowOff>152766</xdr:rowOff>
    </xdr:from>
    <xdr:to>
      <xdr:col>25</xdr:col>
      <xdr:colOff>448774</xdr:colOff>
      <xdr:row>2</xdr:row>
      <xdr:rowOff>47991</xdr:rowOff>
    </xdr:to>
    <xdr:sp macro="" textlink="">
      <xdr:nvSpPr>
        <xdr:cNvPr id="4" name="6 Botón de acción: Inici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4A00-000004000000}"/>
            </a:ext>
          </a:extLst>
        </xdr:cNvPr>
        <xdr:cNvSpPr/>
      </xdr:nvSpPr>
      <xdr:spPr>
        <a:xfrm>
          <a:off x="15344628" y="152766"/>
          <a:ext cx="283186" cy="260985"/>
        </a:xfrm>
        <a:prstGeom prst="actionButtonHome">
          <a:avLst/>
        </a:prstGeom>
        <a:solidFill>
          <a:srgbClr val="CC9900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>
    <xdr:from>
      <xdr:col>17</xdr:col>
      <xdr:colOff>285115</xdr:colOff>
      <xdr:row>63</xdr:row>
      <xdr:rowOff>118746</xdr:rowOff>
    </xdr:from>
    <xdr:to>
      <xdr:col>17</xdr:col>
      <xdr:colOff>568301</xdr:colOff>
      <xdr:row>65</xdr:row>
      <xdr:rowOff>19050</xdr:rowOff>
    </xdr:to>
    <xdr:sp macro="" textlink="">
      <xdr:nvSpPr>
        <xdr:cNvPr id="5" name="6 Botón de acción: Inici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4A00-000005000000}"/>
            </a:ext>
          </a:extLst>
        </xdr:cNvPr>
        <xdr:cNvSpPr/>
      </xdr:nvSpPr>
      <xdr:spPr>
        <a:xfrm>
          <a:off x="13000990" y="18930621"/>
          <a:ext cx="283186" cy="357504"/>
        </a:xfrm>
        <a:prstGeom prst="actionButtonHome">
          <a:avLst/>
        </a:prstGeom>
        <a:solidFill>
          <a:srgbClr val="CC9900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10583</xdr:colOff>
      <xdr:row>39</xdr:row>
      <xdr:rowOff>74840</xdr:rowOff>
    </xdr:from>
    <xdr:to>
      <xdr:col>47</xdr:col>
      <xdr:colOff>42183</xdr:colOff>
      <xdr:row>63</xdr:row>
      <xdr:rowOff>21168</xdr:rowOff>
    </xdr:to>
    <xdr:graphicFrame macro="">
      <xdr:nvGraphicFramePr>
        <xdr:cNvPr id="2" name="4 Gráfico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46</xdr:col>
      <xdr:colOff>283845</xdr:colOff>
      <xdr:row>0</xdr:row>
      <xdr:rowOff>118111</xdr:rowOff>
    </xdr:from>
    <xdr:to>
      <xdr:col>46</xdr:col>
      <xdr:colOff>565150</xdr:colOff>
      <xdr:row>1</xdr:row>
      <xdr:rowOff>1905</xdr:rowOff>
    </xdr:to>
    <xdr:sp macro="" textlink="">
      <xdr:nvSpPr>
        <xdr:cNvPr id="3" name="2 Botón de acción: Inici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28096845" y="118111"/>
          <a:ext cx="281305" cy="264794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261</xdr:row>
      <xdr:rowOff>0</xdr:rowOff>
    </xdr:from>
    <xdr:to>
      <xdr:col>3</xdr:col>
      <xdr:colOff>0</xdr:colOff>
      <xdr:row>270</xdr:row>
      <xdr:rowOff>0</xdr:rowOff>
    </xdr:to>
    <xdr:sp macro="" textlink="">
      <xdr:nvSpPr>
        <xdr:cNvPr id="2" name="Rectangle 107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>
          <a:spLocks noChangeArrowheads="1"/>
        </xdr:cNvSpPr>
      </xdr:nvSpPr>
      <xdr:spPr bwMode="auto">
        <a:xfrm>
          <a:off x="3002280" y="40606980"/>
          <a:ext cx="0" cy="1653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261</xdr:row>
      <xdr:rowOff>0</xdr:rowOff>
    </xdr:from>
    <xdr:to>
      <xdr:col>3</xdr:col>
      <xdr:colOff>0</xdr:colOff>
      <xdr:row>270</xdr:row>
      <xdr:rowOff>0</xdr:rowOff>
    </xdr:to>
    <xdr:sp macro="" textlink="">
      <xdr:nvSpPr>
        <xdr:cNvPr id="3" name="Rectangle 108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SpPr>
          <a:spLocks noChangeArrowheads="1"/>
        </xdr:cNvSpPr>
      </xdr:nvSpPr>
      <xdr:spPr bwMode="auto">
        <a:xfrm>
          <a:off x="3002280" y="40606980"/>
          <a:ext cx="0" cy="1653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261</xdr:row>
      <xdr:rowOff>0</xdr:rowOff>
    </xdr:from>
    <xdr:to>
      <xdr:col>7</xdr:col>
      <xdr:colOff>0</xdr:colOff>
      <xdr:row>283</xdr:row>
      <xdr:rowOff>0</xdr:rowOff>
    </xdr:to>
    <xdr:sp macro="" textlink="">
      <xdr:nvSpPr>
        <xdr:cNvPr id="4" name="Rectangle 107">
          <a:extLst>
            <a:ext uri="{FF2B5EF4-FFF2-40B4-BE49-F238E27FC236}">
              <a16:creationId xmlns:a16="http://schemas.microsoft.com/office/drawing/2014/main" id="{00000000-0008-0000-4B00-000004000000}"/>
            </a:ext>
          </a:extLst>
        </xdr:cNvPr>
        <xdr:cNvSpPr>
          <a:spLocks noChangeArrowheads="1"/>
        </xdr:cNvSpPr>
      </xdr:nvSpPr>
      <xdr:spPr bwMode="auto">
        <a:xfrm>
          <a:off x="7612380" y="40606980"/>
          <a:ext cx="0" cy="403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261</xdr:row>
      <xdr:rowOff>0</xdr:rowOff>
    </xdr:from>
    <xdr:to>
      <xdr:col>7</xdr:col>
      <xdr:colOff>0</xdr:colOff>
      <xdr:row>283</xdr:row>
      <xdr:rowOff>0</xdr:rowOff>
    </xdr:to>
    <xdr:sp macro="" textlink="">
      <xdr:nvSpPr>
        <xdr:cNvPr id="5" name="Rectangle 108">
          <a:extLst>
            <a:ext uri="{FF2B5EF4-FFF2-40B4-BE49-F238E27FC236}">
              <a16:creationId xmlns:a16="http://schemas.microsoft.com/office/drawing/2014/main" id="{00000000-0008-0000-4B00-000005000000}"/>
            </a:ext>
          </a:extLst>
        </xdr:cNvPr>
        <xdr:cNvSpPr>
          <a:spLocks noChangeArrowheads="1"/>
        </xdr:cNvSpPr>
      </xdr:nvSpPr>
      <xdr:spPr bwMode="auto">
        <a:xfrm>
          <a:off x="7612380" y="40606980"/>
          <a:ext cx="0" cy="403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13</xdr:col>
      <xdr:colOff>0</xdr:colOff>
      <xdr:row>267</xdr:row>
      <xdr:rowOff>0</xdr:rowOff>
    </xdr:from>
    <xdr:to>
      <xdr:col>13</xdr:col>
      <xdr:colOff>0</xdr:colOff>
      <xdr:row>281</xdr:row>
      <xdr:rowOff>0</xdr:rowOff>
    </xdr:to>
    <xdr:sp macro="" textlink="">
      <xdr:nvSpPr>
        <xdr:cNvPr id="6" name="Rectangle 107">
          <a:extLst>
            <a:ext uri="{FF2B5EF4-FFF2-40B4-BE49-F238E27FC236}">
              <a16:creationId xmlns:a16="http://schemas.microsoft.com/office/drawing/2014/main" id="{00000000-0008-0000-4B00-000006000000}"/>
            </a:ext>
          </a:extLst>
        </xdr:cNvPr>
        <xdr:cNvSpPr>
          <a:spLocks noChangeArrowheads="1"/>
        </xdr:cNvSpPr>
      </xdr:nvSpPr>
      <xdr:spPr bwMode="auto">
        <a:xfrm>
          <a:off x="12893040" y="41529000"/>
          <a:ext cx="0" cy="2560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13</xdr:col>
      <xdr:colOff>0</xdr:colOff>
      <xdr:row>267</xdr:row>
      <xdr:rowOff>0</xdr:rowOff>
    </xdr:from>
    <xdr:to>
      <xdr:col>13</xdr:col>
      <xdr:colOff>0</xdr:colOff>
      <xdr:row>281</xdr:row>
      <xdr:rowOff>0</xdr:rowOff>
    </xdr:to>
    <xdr:sp macro="" textlink="">
      <xdr:nvSpPr>
        <xdr:cNvPr id="7" name="Rectangle 108">
          <a:extLst>
            <a:ext uri="{FF2B5EF4-FFF2-40B4-BE49-F238E27FC236}">
              <a16:creationId xmlns:a16="http://schemas.microsoft.com/office/drawing/2014/main" id="{00000000-0008-0000-4B00-000007000000}"/>
            </a:ext>
          </a:extLst>
        </xdr:cNvPr>
        <xdr:cNvSpPr>
          <a:spLocks noChangeArrowheads="1"/>
        </xdr:cNvSpPr>
      </xdr:nvSpPr>
      <xdr:spPr bwMode="auto">
        <a:xfrm>
          <a:off x="12893040" y="41529000"/>
          <a:ext cx="0" cy="2560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13</xdr:col>
      <xdr:colOff>0</xdr:colOff>
      <xdr:row>279</xdr:row>
      <xdr:rowOff>0</xdr:rowOff>
    </xdr:from>
    <xdr:to>
      <xdr:col>13</xdr:col>
      <xdr:colOff>0</xdr:colOff>
      <xdr:row>281</xdr:row>
      <xdr:rowOff>0</xdr:rowOff>
    </xdr:to>
    <xdr:sp macro="" textlink="">
      <xdr:nvSpPr>
        <xdr:cNvPr id="8" name="Rectangle 107">
          <a:extLst>
            <a:ext uri="{FF2B5EF4-FFF2-40B4-BE49-F238E27FC236}">
              <a16:creationId xmlns:a16="http://schemas.microsoft.com/office/drawing/2014/main" id="{00000000-0008-0000-4B00-000008000000}"/>
            </a:ext>
          </a:extLst>
        </xdr:cNvPr>
        <xdr:cNvSpPr>
          <a:spLocks noChangeArrowheads="1"/>
        </xdr:cNvSpPr>
      </xdr:nvSpPr>
      <xdr:spPr bwMode="auto">
        <a:xfrm>
          <a:off x="12893040" y="4372356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13</xdr:col>
      <xdr:colOff>0</xdr:colOff>
      <xdr:row>279</xdr:row>
      <xdr:rowOff>0</xdr:rowOff>
    </xdr:from>
    <xdr:to>
      <xdr:col>13</xdr:col>
      <xdr:colOff>0</xdr:colOff>
      <xdr:row>281</xdr:row>
      <xdr:rowOff>0</xdr:rowOff>
    </xdr:to>
    <xdr:sp macro="" textlink="">
      <xdr:nvSpPr>
        <xdr:cNvPr id="9" name="Rectangle 108">
          <a:extLst>
            <a:ext uri="{FF2B5EF4-FFF2-40B4-BE49-F238E27FC236}">
              <a16:creationId xmlns:a16="http://schemas.microsoft.com/office/drawing/2014/main" id="{00000000-0008-0000-4B00-000009000000}"/>
            </a:ext>
          </a:extLst>
        </xdr:cNvPr>
        <xdr:cNvSpPr>
          <a:spLocks noChangeArrowheads="1"/>
        </xdr:cNvSpPr>
      </xdr:nvSpPr>
      <xdr:spPr bwMode="auto">
        <a:xfrm>
          <a:off x="12893040" y="4372356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297</xdr:row>
      <xdr:rowOff>0</xdr:rowOff>
    </xdr:from>
    <xdr:to>
      <xdr:col>3</xdr:col>
      <xdr:colOff>0</xdr:colOff>
      <xdr:row>316</xdr:row>
      <xdr:rowOff>0</xdr:rowOff>
    </xdr:to>
    <xdr:sp macro="" textlink="">
      <xdr:nvSpPr>
        <xdr:cNvPr id="10" name="Rectangle 107">
          <a:extLst>
            <a:ext uri="{FF2B5EF4-FFF2-40B4-BE49-F238E27FC236}">
              <a16:creationId xmlns:a16="http://schemas.microsoft.com/office/drawing/2014/main" id="{00000000-0008-0000-4B00-00000A000000}"/>
            </a:ext>
          </a:extLst>
        </xdr:cNvPr>
        <xdr:cNvSpPr>
          <a:spLocks noChangeArrowheads="1"/>
        </xdr:cNvSpPr>
      </xdr:nvSpPr>
      <xdr:spPr bwMode="auto">
        <a:xfrm>
          <a:off x="3002280" y="47221140"/>
          <a:ext cx="0" cy="347472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297</xdr:row>
      <xdr:rowOff>0</xdr:rowOff>
    </xdr:from>
    <xdr:to>
      <xdr:col>3</xdr:col>
      <xdr:colOff>0</xdr:colOff>
      <xdr:row>316</xdr:row>
      <xdr:rowOff>0</xdr:rowOff>
    </xdr:to>
    <xdr:sp macro="" textlink="">
      <xdr:nvSpPr>
        <xdr:cNvPr id="11" name="Rectangle 108">
          <a:extLst>
            <a:ext uri="{FF2B5EF4-FFF2-40B4-BE49-F238E27FC236}">
              <a16:creationId xmlns:a16="http://schemas.microsoft.com/office/drawing/2014/main" id="{00000000-0008-0000-4B00-00000B000000}"/>
            </a:ext>
          </a:extLst>
        </xdr:cNvPr>
        <xdr:cNvSpPr>
          <a:spLocks noChangeArrowheads="1"/>
        </xdr:cNvSpPr>
      </xdr:nvSpPr>
      <xdr:spPr bwMode="auto">
        <a:xfrm>
          <a:off x="3002280" y="47221140"/>
          <a:ext cx="0" cy="347472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7</xdr:col>
      <xdr:colOff>0</xdr:colOff>
      <xdr:row>297</xdr:row>
      <xdr:rowOff>0</xdr:rowOff>
    </xdr:from>
    <xdr:to>
      <xdr:col>7</xdr:col>
      <xdr:colOff>0</xdr:colOff>
      <xdr:row>330</xdr:row>
      <xdr:rowOff>0</xdr:rowOff>
    </xdr:to>
    <xdr:sp macro="" textlink="">
      <xdr:nvSpPr>
        <xdr:cNvPr id="12" name="Rectangle 107">
          <a:extLst>
            <a:ext uri="{FF2B5EF4-FFF2-40B4-BE49-F238E27FC236}">
              <a16:creationId xmlns:a16="http://schemas.microsoft.com/office/drawing/2014/main" id="{00000000-0008-0000-4B00-00000C000000}"/>
            </a:ext>
          </a:extLst>
        </xdr:cNvPr>
        <xdr:cNvSpPr>
          <a:spLocks noChangeArrowheads="1"/>
        </xdr:cNvSpPr>
      </xdr:nvSpPr>
      <xdr:spPr bwMode="auto">
        <a:xfrm>
          <a:off x="7612380" y="47221140"/>
          <a:ext cx="0" cy="603504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7</xdr:col>
      <xdr:colOff>0</xdr:colOff>
      <xdr:row>297</xdr:row>
      <xdr:rowOff>0</xdr:rowOff>
    </xdr:from>
    <xdr:to>
      <xdr:col>7</xdr:col>
      <xdr:colOff>0</xdr:colOff>
      <xdr:row>330</xdr:row>
      <xdr:rowOff>0</xdr:rowOff>
    </xdr:to>
    <xdr:sp macro="" textlink="">
      <xdr:nvSpPr>
        <xdr:cNvPr id="13" name="Rectangle 108">
          <a:extLst>
            <a:ext uri="{FF2B5EF4-FFF2-40B4-BE49-F238E27FC236}">
              <a16:creationId xmlns:a16="http://schemas.microsoft.com/office/drawing/2014/main" id="{00000000-0008-0000-4B00-00000D000000}"/>
            </a:ext>
          </a:extLst>
        </xdr:cNvPr>
        <xdr:cNvSpPr>
          <a:spLocks noChangeArrowheads="1"/>
        </xdr:cNvSpPr>
      </xdr:nvSpPr>
      <xdr:spPr bwMode="auto">
        <a:xfrm>
          <a:off x="7612380" y="47221140"/>
          <a:ext cx="0" cy="603504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298</xdr:row>
      <xdr:rowOff>0</xdr:rowOff>
    </xdr:from>
    <xdr:to>
      <xdr:col>13</xdr:col>
      <xdr:colOff>0</xdr:colOff>
      <xdr:row>318</xdr:row>
      <xdr:rowOff>0</xdr:rowOff>
    </xdr:to>
    <xdr:sp macro="" textlink="">
      <xdr:nvSpPr>
        <xdr:cNvPr id="14" name="Rectangle 107">
          <a:extLst>
            <a:ext uri="{FF2B5EF4-FFF2-40B4-BE49-F238E27FC236}">
              <a16:creationId xmlns:a16="http://schemas.microsoft.com/office/drawing/2014/main" id="{00000000-0008-0000-4B00-00000E000000}"/>
            </a:ext>
          </a:extLst>
        </xdr:cNvPr>
        <xdr:cNvSpPr>
          <a:spLocks noChangeArrowheads="1"/>
        </xdr:cNvSpPr>
      </xdr:nvSpPr>
      <xdr:spPr bwMode="auto">
        <a:xfrm>
          <a:off x="12893040" y="47221140"/>
          <a:ext cx="0" cy="36576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298</xdr:row>
      <xdr:rowOff>0</xdr:rowOff>
    </xdr:from>
    <xdr:to>
      <xdr:col>13</xdr:col>
      <xdr:colOff>0</xdr:colOff>
      <xdr:row>318</xdr:row>
      <xdr:rowOff>0</xdr:rowOff>
    </xdr:to>
    <xdr:sp macro="" textlink="">
      <xdr:nvSpPr>
        <xdr:cNvPr id="15" name="Rectangle 108">
          <a:extLst>
            <a:ext uri="{FF2B5EF4-FFF2-40B4-BE49-F238E27FC236}">
              <a16:creationId xmlns:a16="http://schemas.microsoft.com/office/drawing/2014/main" id="{00000000-0008-0000-4B00-00000F000000}"/>
            </a:ext>
          </a:extLst>
        </xdr:cNvPr>
        <xdr:cNvSpPr>
          <a:spLocks noChangeArrowheads="1"/>
        </xdr:cNvSpPr>
      </xdr:nvSpPr>
      <xdr:spPr bwMode="auto">
        <a:xfrm>
          <a:off x="12893040" y="47221140"/>
          <a:ext cx="0" cy="36576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300</xdr:row>
      <xdr:rowOff>0</xdr:rowOff>
    </xdr:from>
    <xdr:to>
      <xdr:col>13</xdr:col>
      <xdr:colOff>0</xdr:colOff>
      <xdr:row>322</xdr:row>
      <xdr:rowOff>0</xdr:rowOff>
    </xdr:to>
    <xdr:sp macro="" textlink="">
      <xdr:nvSpPr>
        <xdr:cNvPr id="16" name="Rectangle 107">
          <a:extLst>
            <a:ext uri="{FF2B5EF4-FFF2-40B4-BE49-F238E27FC236}">
              <a16:creationId xmlns:a16="http://schemas.microsoft.com/office/drawing/2014/main" id="{00000000-0008-0000-4B00-000010000000}"/>
            </a:ext>
          </a:extLst>
        </xdr:cNvPr>
        <xdr:cNvSpPr>
          <a:spLocks noChangeArrowheads="1"/>
        </xdr:cNvSpPr>
      </xdr:nvSpPr>
      <xdr:spPr bwMode="auto">
        <a:xfrm>
          <a:off x="12893040" y="47586900"/>
          <a:ext cx="0" cy="402336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300</xdr:row>
      <xdr:rowOff>0</xdr:rowOff>
    </xdr:from>
    <xdr:to>
      <xdr:col>13</xdr:col>
      <xdr:colOff>0</xdr:colOff>
      <xdr:row>322</xdr:row>
      <xdr:rowOff>0</xdr:rowOff>
    </xdr:to>
    <xdr:sp macro="" textlink="">
      <xdr:nvSpPr>
        <xdr:cNvPr id="17" name="Rectangle 108">
          <a:extLst>
            <a:ext uri="{FF2B5EF4-FFF2-40B4-BE49-F238E27FC236}">
              <a16:creationId xmlns:a16="http://schemas.microsoft.com/office/drawing/2014/main" id="{00000000-0008-0000-4B00-000011000000}"/>
            </a:ext>
          </a:extLst>
        </xdr:cNvPr>
        <xdr:cNvSpPr>
          <a:spLocks noChangeArrowheads="1"/>
        </xdr:cNvSpPr>
      </xdr:nvSpPr>
      <xdr:spPr bwMode="auto">
        <a:xfrm>
          <a:off x="12893040" y="47586900"/>
          <a:ext cx="0" cy="402336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340</xdr:row>
      <xdr:rowOff>0</xdr:rowOff>
    </xdr:from>
    <xdr:to>
      <xdr:col>3</xdr:col>
      <xdr:colOff>0</xdr:colOff>
      <xdr:row>364</xdr:row>
      <xdr:rowOff>0</xdr:rowOff>
    </xdr:to>
    <xdr:sp macro="" textlink="">
      <xdr:nvSpPr>
        <xdr:cNvPr id="18" name="Rectangle 107">
          <a:extLst>
            <a:ext uri="{FF2B5EF4-FFF2-40B4-BE49-F238E27FC236}">
              <a16:creationId xmlns:a16="http://schemas.microsoft.com/office/drawing/2014/main" id="{00000000-0008-0000-4B00-000012000000}"/>
            </a:ext>
          </a:extLst>
        </xdr:cNvPr>
        <xdr:cNvSpPr>
          <a:spLocks noChangeArrowheads="1"/>
        </xdr:cNvSpPr>
      </xdr:nvSpPr>
      <xdr:spPr bwMode="auto">
        <a:xfrm>
          <a:off x="3002280" y="55084980"/>
          <a:ext cx="0" cy="438912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340</xdr:row>
      <xdr:rowOff>0</xdr:rowOff>
    </xdr:from>
    <xdr:to>
      <xdr:col>3</xdr:col>
      <xdr:colOff>0</xdr:colOff>
      <xdr:row>364</xdr:row>
      <xdr:rowOff>0</xdr:rowOff>
    </xdr:to>
    <xdr:sp macro="" textlink="">
      <xdr:nvSpPr>
        <xdr:cNvPr id="19" name="Rectangle 108">
          <a:extLst>
            <a:ext uri="{FF2B5EF4-FFF2-40B4-BE49-F238E27FC236}">
              <a16:creationId xmlns:a16="http://schemas.microsoft.com/office/drawing/2014/main" id="{00000000-0008-0000-4B00-000013000000}"/>
            </a:ext>
          </a:extLst>
        </xdr:cNvPr>
        <xdr:cNvSpPr>
          <a:spLocks noChangeArrowheads="1"/>
        </xdr:cNvSpPr>
      </xdr:nvSpPr>
      <xdr:spPr bwMode="auto">
        <a:xfrm>
          <a:off x="3002280" y="55084980"/>
          <a:ext cx="0" cy="438912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7</xdr:col>
      <xdr:colOff>0</xdr:colOff>
      <xdr:row>340</xdr:row>
      <xdr:rowOff>0</xdr:rowOff>
    </xdr:from>
    <xdr:to>
      <xdr:col>7</xdr:col>
      <xdr:colOff>0</xdr:colOff>
      <xdr:row>367</xdr:row>
      <xdr:rowOff>0</xdr:rowOff>
    </xdr:to>
    <xdr:sp macro="" textlink="">
      <xdr:nvSpPr>
        <xdr:cNvPr id="20" name="Rectangle 107">
          <a:extLst>
            <a:ext uri="{FF2B5EF4-FFF2-40B4-BE49-F238E27FC236}">
              <a16:creationId xmlns:a16="http://schemas.microsoft.com/office/drawing/2014/main" id="{00000000-0008-0000-4B00-000014000000}"/>
            </a:ext>
          </a:extLst>
        </xdr:cNvPr>
        <xdr:cNvSpPr>
          <a:spLocks noChangeArrowheads="1"/>
        </xdr:cNvSpPr>
      </xdr:nvSpPr>
      <xdr:spPr bwMode="auto">
        <a:xfrm>
          <a:off x="7612380" y="55084980"/>
          <a:ext cx="0" cy="493776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7</xdr:col>
      <xdr:colOff>0</xdr:colOff>
      <xdr:row>340</xdr:row>
      <xdr:rowOff>0</xdr:rowOff>
    </xdr:from>
    <xdr:to>
      <xdr:col>7</xdr:col>
      <xdr:colOff>0</xdr:colOff>
      <xdr:row>367</xdr:row>
      <xdr:rowOff>0</xdr:rowOff>
    </xdr:to>
    <xdr:sp macro="" textlink="">
      <xdr:nvSpPr>
        <xdr:cNvPr id="21" name="Rectangle 108">
          <a:extLst>
            <a:ext uri="{FF2B5EF4-FFF2-40B4-BE49-F238E27FC236}">
              <a16:creationId xmlns:a16="http://schemas.microsoft.com/office/drawing/2014/main" id="{00000000-0008-0000-4B00-000015000000}"/>
            </a:ext>
          </a:extLst>
        </xdr:cNvPr>
        <xdr:cNvSpPr>
          <a:spLocks noChangeArrowheads="1"/>
        </xdr:cNvSpPr>
      </xdr:nvSpPr>
      <xdr:spPr bwMode="auto">
        <a:xfrm>
          <a:off x="7612380" y="55084980"/>
          <a:ext cx="0" cy="493776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341</xdr:row>
      <xdr:rowOff>0</xdr:rowOff>
    </xdr:from>
    <xdr:to>
      <xdr:col>13</xdr:col>
      <xdr:colOff>0</xdr:colOff>
      <xdr:row>365</xdr:row>
      <xdr:rowOff>0</xdr:rowOff>
    </xdr:to>
    <xdr:sp macro="" textlink="">
      <xdr:nvSpPr>
        <xdr:cNvPr id="22" name="Rectangle 107">
          <a:extLst>
            <a:ext uri="{FF2B5EF4-FFF2-40B4-BE49-F238E27FC236}">
              <a16:creationId xmlns:a16="http://schemas.microsoft.com/office/drawing/2014/main" id="{00000000-0008-0000-4B00-000016000000}"/>
            </a:ext>
          </a:extLst>
        </xdr:cNvPr>
        <xdr:cNvSpPr>
          <a:spLocks noChangeArrowheads="1"/>
        </xdr:cNvSpPr>
      </xdr:nvSpPr>
      <xdr:spPr bwMode="auto">
        <a:xfrm>
          <a:off x="12893040" y="55084980"/>
          <a:ext cx="0" cy="438912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341</xdr:row>
      <xdr:rowOff>0</xdr:rowOff>
    </xdr:from>
    <xdr:to>
      <xdr:col>13</xdr:col>
      <xdr:colOff>0</xdr:colOff>
      <xdr:row>365</xdr:row>
      <xdr:rowOff>0</xdr:rowOff>
    </xdr:to>
    <xdr:sp macro="" textlink="">
      <xdr:nvSpPr>
        <xdr:cNvPr id="23" name="Rectangle 108">
          <a:extLst>
            <a:ext uri="{FF2B5EF4-FFF2-40B4-BE49-F238E27FC236}">
              <a16:creationId xmlns:a16="http://schemas.microsoft.com/office/drawing/2014/main" id="{00000000-0008-0000-4B00-000017000000}"/>
            </a:ext>
          </a:extLst>
        </xdr:cNvPr>
        <xdr:cNvSpPr>
          <a:spLocks noChangeArrowheads="1"/>
        </xdr:cNvSpPr>
      </xdr:nvSpPr>
      <xdr:spPr bwMode="auto">
        <a:xfrm>
          <a:off x="12893040" y="55084980"/>
          <a:ext cx="0" cy="438912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343</xdr:row>
      <xdr:rowOff>0</xdr:rowOff>
    </xdr:from>
    <xdr:to>
      <xdr:col>13</xdr:col>
      <xdr:colOff>0</xdr:colOff>
      <xdr:row>367</xdr:row>
      <xdr:rowOff>0</xdr:rowOff>
    </xdr:to>
    <xdr:sp macro="" textlink="">
      <xdr:nvSpPr>
        <xdr:cNvPr id="24" name="Rectangle 107">
          <a:extLst>
            <a:ext uri="{FF2B5EF4-FFF2-40B4-BE49-F238E27FC236}">
              <a16:creationId xmlns:a16="http://schemas.microsoft.com/office/drawing/2014/main" id="{00000000-0008-0000-4B00-000018000000}"/>
            </a:ext>
          </a:extLst>
        </xdr:cNvPr>
        <xdr:cNvSpPr>
          <a:spLocks noChangeArrowheads="1"/>
        </xdr:cNvSpPr>
      </xdr:nvSpPr>
      <xdr:spPr bwMode="auto">
        <a:xfrm>
          <a:off x="12893040" y="55450740"/>
          <a:ext cx="0" cy="438912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343</xdr:row>
      <xdr:rowOff>0</xdr:rowOff>
    </xdr:from>
    <xdr:to>
      <xdr:col>13</xdr:col>
      <xdr:colOff>0</xdr:colOff>
      <xdr:row>367</xdr:row>
      <xdr:rowOff>0</xdr:rowOff>
    </xdr:to>
    <xdr:sp macro="" textlink="">
      <xdr:nvSpPr>
        <xdr:cNvPr id="25" name="Rectangle 108">
          <a:extLst>
            <a:ext uri="{FF2B5EF4-FFF2-40B4-BE49-F238E27FC236}">
              <a16:creationId xmlns:a16="http://schemas.microsoft.com/office/drawing/2014/main" id="{00000000-0008-0000-4B00-000019000000}"/>
            </a:ext>
          </a:extLst>
        </xdr:cNvPr>
        <xdr:cNvSpPr>
          <a:spLocks noChangeArrowheads="1"/>
        </xdr:cNvSpPr>
      </xdr:nvSpPr>
      <xdr:spPr bwMode="auto">
        <a:xfrm>
          <a:off x="12893040" y="55450740"/>
          <a:ext cx="0" cy="438912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378</xdr:row>
      <xdr:rowOff>0</xdr:rowOff>
    </xdr:from>
    <xdr:to>
      <xdr:col>3</xdr:col>
      <xdr:colOff>0</xdr:colOff>
      <xdr:row>396</xdr:row>
      <xdr:rowOff>0</xdr:rowOff>
    </xdr:to>
    <xdr:sp macro="" textlink="">
      <xdr:nvSpPr>
        <xdr:cNvPr id="26" name="Rectangle 107">
          <a:extLst>
            <a:ext uri="{FF2B5EF4-FFF2-40B4-BE49-F238E27FC236}">
              <a16:creationId xmlns:a16="http://schemas.microsoft.com/office/drawing/2014/main" id="{00000000-0008-0000-4B00-00001A000000}"/>
            </a:ext>
          </a:extLst>
        </xdr:cNvPr>
        <xdr:cNvSpPr>
          <a:spLocks noChangeArrowheads="1"/>
        </xdr:cNvSpPr>
      </xdr:nvSpPr>
      <xdr:spPr bwMode="auto">
        <a:xfrm>
          <a:off x="3002280" y="62034420"/>
          <a:ext cx="0" cy="345948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378</xdr:row>
      <xdr:rowOff>0</xdr:rowOff>
    </xdr:from>
    <xdr:to>
      <xdr:col>3</xdr:col>
      <xdr:colOff>0</xdr:colOff>
      <xdr:row>396</xdr:row>
      <xdr:rowOff>0</xdr:rowOff>
    </xdr:to>
    <xdr:sp macro="" textlink="">
      <xdr:nvSpPr>
        <xdr:cNvPr id="27" name="Rectangle 108">
          <a:extLst>
            <a:ext uri="{FF2B5EF4-FFF2-40B4-BE49-F238E27FC236}">
              <a16:creationId xmlns:a16="http://schemas.microsoft.com/office/drawing/2014/main" id="{00000000-0008-0000-4B00-00001B000000}"/>
            </a:ext>
          </a:extLst>
        </xdr:cNvPr>
        <xdr:cNvSpPr>
          <a:spLocks noChangeArrowheads="1"/>
        </xdr:cNvSpPr>
      </xdr:nvSpPr>
      <xdr:spPr bwMode="auto">
        <a:xfrm>
          <a:off x="3002280" y="62034420"/>
          <a:ext cx="0" cy="345948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7</xdr:col>
      <xdr:colOff>0</xdr:colOff>
      <xdr:row>379</xdr:row>
      <xdr:rowOff>0</xdr:rowOff>
    </xdr:from>
    <xdr:to>
      <xdr:col>7</xdr:col>
      <xdr:colOff>0</xdr:colOff>
      <xdr:row>398</xdr:row>
      <xdr:rowOff>0</xdr:rowOff>
    </xdr:to>
    <xdr:sp macro="" textlink="">
      <xdr:nvSpPr>
        <xdr:cNvPr id="28" name="Rectangle 107">
          <a:extLst>
            <a:ext uri="{FF2B5EF4-FFF2-40B4-BE49-F238E27FC236}">
              <a16:creationId xmlns:a16="http://schemas.microsoft.com/office/drawing/2014/main" id="{00000000-0008-0000-4B00-00001C000000}"/>
            </a:ext>
          </a:extLst>
        </xdr:cNvPr>
        <xdr:cNvSpPr>
          <a:spLocks noChangeArrowheads="1"/>
        </xdr:cNvSpPr>
      </xdr:nvSpPr>
      <xdr:spPr bwMode="auto">
        <a:xfrm>
          <a:off x="7612380" y="62217300"/>
          <a:ext cx="0" cy="364236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7</xdr:col>
      <xdr:colOff>0</xdr:colOff>
      <xdr:row>379</xdr:row>
      <xdr:rowOff>0</xdr:rowOff>
    </xdr:from>
    <xdr:to>
      <xdr:col>7</xdr:col>
      <xdr:colOff>0</xdr:colOff>
      <xdr:row>398</xdr:row>
      <xdr:rowOff>0</xdr:rowOff>
    </xdr:to>
    <xdr:sp macro="" textlink="">
      <xdr:nvSpPr>
        <xdr:cNvPr id="29" name="Rectangle 108">
          <a:extLst>
            <a:ext uri="{FF2B5EF4-FFF2-40B4-BE49-F238E27FC236}">
              <a16:creationId xmlns:a16="http://schemas.microsoft.com/office/drawing/2014/main" id="{00000000-0008-0000-4B00-00001D000000}"/>
            </a:ext>
          </a:extLst>
        </xdr:cNvPr>
        <xdr:cNvSpPr>
          <a:spLocks noChangeArrowheads="1"/>
        </xdr:cNvSpPr>
      </xdr:nvSpPr>
      <xdr:spPr bwMode="auto">
        <a:xfrm>
          <a:off x="7612380" y="62217300"/>
          <a:ext cx="0" cy="364236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380</xdr:row>
      <xdr:rowOff>0</xdr:rowOff>
    </xdr:from>
    <xdr:to>
      <xdr:col>13</xdr:col>
      <xdr:colOff>0</xdr:colOff>
      <xdr:row>385</xdr:row>
      <xdr:rowOff>0</xdr:rowOff>
    </xdr:to>
    <xdr:sp macro="" textlink="">
      <xdr:nvSpPr>
        <xdr:cNvPr id="30" name="Rectangle 107">
          <a:extLst>
            <a:ext uri="{FF2B5EF4-FFF2-40B4-BE49-F238E27FC236}">
              <a16:creationId xmlns:a16="http://schemas.microsoft.com/office/drawing/2014/main" id="{00000000-0008-0000-4B00-00001E000000}"/>
            </a:ext>
          </a:extLst>
        </xdr:cNvPr>
        <xdr:cNvSpPr>
          <a:spLocks noChangeArrowheads="1"/>
        </xdr:cNvSpPr>
      </xdr:nvSpPr>
      <xdr:spPr bwMode="auto">
        <a:xfrm>
          <a:off x="12893040" y="62217300"/>
          <a:ext cx="0" cy="108204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380</xdr:row>
      <xdr:rowOff>0</xdr:rowOff>
    </xdr:from>
    <xdr:to>
      <xdr:col>13</xdr:col>
      <xdr:colOff>0</xdr:colOff>
      <xdr:row>385</xdr:row>
      <xdr:rowOff>0</xdr:rowOff>
    </xdr:to>
    <xdr:sp macro="" textlink="">
      <xdr:nvSpPr>
        <xdr:cNvPr id="31" name="Rectangle 108">
          <a:extLst>
            <a:ext uri="{FF2B5EF4-FFF2-40B4-BE49-F238E27FC236}">
              <a16:creationId xmlns:a16="http://schemas.microsoft.com/office/drawing/2014/main" id="{00000000-0008-0000-4B00-00001F000000}"/>
            </a:ext>
          </a:extLst>
        </xdr:cNvPr>
        <xdr:cNvSpPr>
          <a:spLocks noChangeArrowheads="1"/>
        </xdr:cNvSpPr>
      </xdr:nvSpPr>
      <xdr:spPr bwMode="auto">
        <a:xfrm>
          <a:off x="12893040" y="62217300"/>
          <a:ext cx="0" cy="108204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381</xdr:row>
      <xdr:rowOff>0</xdr:rowOff>
    </xdr:from>
    <xdr:to>
      <xdr:col>13</xdr:col>
      <xdr:colOff>0</xdr:colOff>
      <xdr:row>385</xdr:row>
      <xdr:rowOff>0</xdr:rowOff>
    </xdr:to>
    <xdr:sp macro="" textlink="">
      <xdr:nvSpPr>
        <xdr:cNvPr id="32" name="Rectangle 107">
          <a:extLst>
            <a:ext uri="{FF2B5EF4-FFF2-40B4-BE49-F238E27FC236}">
              <a16:creationId xmlns:a16="http://schemas.microsoft.com/office/drawing/2014/main" id="{00000000-0008-0000-4B00-000020000000}"/>
            </a:ext>
          </a:extLst>
        </xdr:cNvPr>
        <xdr:cNvSpPr>
          <a:spLocks noChangeArrowheads="1"/>
        </xdr:cNvSpPr>
      </xdr:nvSpPr>
      <xdr:spPr bwMode="auto">
        <a:xfrm>
          <a:off x="12893040" y="62400180"/>
          <a:ext cx="0" cy="89916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381</xdr:row>
      <xdr:rowOff>0</xdr:rowOff>
    </xdr:from>
    <xdr:to>
      <xdr:col>13</xdr:col>
      <xdr:colOff>0</xdr:colOff>
      <xdr:row>385</xdr:row>
      <xdr:rowOff>0</xdr:rowOff>
    </xdr:to>
    <xdr:sp macro="" textlink="">
      <xdr:nvSpPr>
        <xdr:cNvPr id="33" name="Rectangle 108">
          <a:extLst>
            <a:ext uri="{FF2B5EF4-FFF2-40B4-BE49-F238E27FC236}">
              <a16:creationId xmlns:a16="http://schemas.microsoft.com/office/drawing/2014/main" id="{00000000-0008-0000-4B00-000021000000}"/>
            </a:ext>
          </a:extLst>
        </xdr:cNvPr>
        <xdr:cNvSpPr>
          <a:spLocks noChangeArrowheads="1"/>
        </xdr:cNvSpPr>
      </xdr:nvSpPr>
      <xdr:spPr bwMode="auto">
        <a:xfrm>
          <a:off x="12893040" y="62400180"/>
          <a:ext cx="0" cy="89916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412</xdr:row>
      <xdr:rowOff>0</xdr:rowOff>
    </xdr:from>
    <xdr:to>
      <xdr:col>3</xdr:col>
      <xdr:colOff>0</xdr:colOff>
      <xdr:row>430</xdr:row>
      <xdr:rowOff>0</xdr:rowOff>
    </xdr:to>
    <xdr:sp macro="" textlink="">
      <xdr:nvSpPr>
        <xdr:cNvPr id="34" name="Rectangle 107">
          <a:extLst>
            <a:ext uri="{FF2B5EF4-FFF2-40B4-BE49-F238E27FC236}">
              <a16:creationId xmlns:a16="http://schemas.microsoft.com/office/drawing/2014/main" id="{00000000-0008-0000-4B00-000022000000}"/>
            </a:ext>
          </a:extLst>
        </xdr:cNvPr>
        <xdr:cNvSpPr>
          <a:spLocks noChangeArrowheads="1"/>
        </xdr:cNvSpPr>
      </xdr:nvSpPr>
      <xdr:spPr bwMode="auto">
        <a:xfrm>
          <a:off x="3002280" y="68419980"/>
          <a:ext cx="0" cy="3291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412</xdr:row>
      <xdr:rowOff>0</xdr:rowOff>
    </xdr:from>
    <xdr:to>
      <xdr:col>3</xdr:col>
      <xdr:colOff>0</xdr:colOff>
      <xdr:row>430</xdr:row>
      <xdr:rowOff>0</xdr:rowOff>
    </xdr:to>
    <xdr:sp macro="" textlink="">
      <xdr:nvSpPr>
        <xdr:cNvPr id="35" name="Rectangle 108">
          <a:extLst>
            <a:ext uri="{FF2B5EF4-FFF2-40B4-BE49-F238E27FC236}">
              <a16:creationId xmlns:a16="http://schemas.microsoft.com/office/drawing/2014/main" id="{00000000-0008-0000-4B00-000023000000}"/>
            </a:ext>
          </a:extLst>
        </xdr:cNvPr>
        <xdr:cNvSpPr>
          <a:spLocks noChangeArrowheads="1"/>
        </xdr:cNvSpPr>
      </xdr:nvSpPr>
      <xdr:spPr bwMode="auto">
        <a:xfrm>
          <a:off x="3002280" y="68419980"/>
          <a:ext cx="0" cy="3291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13</xdr:col>
      <xdr:colOff>0</xdr:colOff>
      <xdr:row>413</xdr:row>
      <xdr:rowOff>0</xdr:rowOff>
    </xdr:from>
    <xdr:to>
      <xdr:col>13</xdr:col>
      <xdr:colOff>0</xdr:colOff>
      <xdr:row>417</xdr:row>
      <xdr:rowOff>0</xdr:rowOff>
    </xdr:to>
    <xdr:sp macro="" textlink="">
      <xdr:nvSpPr>
        <xdr:cNvPr id="36" name="Rectangle 107">
          <a:extLst>
            <a:ext uri="{FF2B5EF4-FFF2-40B4-BE49-F238E27FC236}">
              <a16:creationId xmlns:a16="http://schemas.microsoft.com/office/drawing/2014/main" id="{00000000-0008-0000-4B00-000024000000}"/>
            </a:ext>
          </a:extLst>
        </xdr:cNvPr>
        <xdr:cNvSpPr>
          <a:spLocks noChangeArrowheads="1"/>
        </xdr:cNvSpPr>
      </xdr:nvSpPr>
      <xdr:spPr bwMode="auto">
        <a:xfrm>
          <a:off x="12893040" y="68419980"/>
          <a:ext cx="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13</xdr:col>
      <xdr:colOff>0</xdr:colOff>
      <xdr:row>413</xdr:row>
      <xdr:rowOff>0</xdr:rowOff>
    </xdr:from>
    <xdr:to>
      <xdr:col>13</xdr:col>
      <xdr:colOff>0</xdr:colOff>
      <xdr:row>417</xdr:row>
      <xdr:rowOff>0</xdr:rowOff>
    </xdr:to>
    <xdr:sp macro="" textlink="">
      <xdr:nvSpPr>
        <xdr:cNvPr id="37" name="Rectangle 108">
          <a:extLst>
            <a:ext uri="{FF2B5EF4-FFF2-40B4-BE49-F238E27FC236}">
              <a16:creationId xmlns:a16="http://schemas.microsoft.com/office/drawing/2014/main" id="{00000000-0008-0000-4B00-000025000000}"/>
            </a:ext>
          </a:extLst>
        </xdr:cNvPr>
        <xdr:cNvSpPr>
          <a:spLocks noChangeArrowheads="1"/>
        </xdr:cNvSpPr>
      </xdr:nvSpPr>
      <xdr:spPr bwMode="auto">
        <a:xfrm>
          <a:off x="12893040" y="68419980"/>
          <a:ext cx="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412</xdr:row>
      <xdr:rowOff>0</xdr:rowOff>
    </xdr:from>
    <xdr:to>
      <xdr:col>7</xdr:col>
      <xdr:colOff>0</xdr:colOff>
      <xdr:row>430</xdr:row>
      <xdr:rowOff>0</xdr:rowOff>
    </xdr:to>
    <xdr:sp macro="" textlink="">
      <xdr:nvSpPr>
        <xdr:cNvPr id="38" name="Rectangle 107">
          <a:extLst>
            <a:ext uri="{FF2B5EF4-FFF2-40B4-BE49-F238E27FC236}">
              <a16:creationId xmlns:a16="http://schemas.microsoft.com/office/drawing/2014/main" id="{00000000-0008-0000-4B00-000026000000}"/>
            </a:ext>
          </a:extLst>
        </xdr:cNvPr>
        <xdr:cNvSpPr>
          <a:spLocks noChangeArrowheads="1"/>
        </xdr:cNvSpPr>
      </xdr:nvSpPr>
      <xdr:spPr bwMode="auto">
        <a:xfrm>
          <a:off x="7612380" y="68419980"/>
          <a:ext cx="0" cy="3291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412</xdr:row>
      <xdr:rowOff>0</xdr:rowOff>
    </xdr:from>
    <xdr:to>
      <xdr:col>7</xdr:col>
      <xdr:colOff>0</xdr:colOff>
      <xdr:row>430</xdr:row>
      <xdr:rowOff>0</xdr:rowOff>
    </xdr:to>
    <xdr:sp macro="" textlink="">
      <xdr:nvSpPr>
        <xdr:cNvPr id="39" name="Rectangle 108">
          <a:extLst>
            <a:ext uri="{FF2B5EF4-FFF2-40B4-BE49-F238E27FC236}">
              <a16:creationId xmlns:a16="http://schemas.microsoft.com/office/drawing/2014/main" id="{00000000-0008-0000-4B00-000027000000}"/>
            </a:ext>
          </a:extLst>
        </xdr:cNvPr>
        <xdr:cNvSpPr>
          <a:spLocks noChangeArrowheads="1"/>
        </xdr:cNvSpPr>
      </xdr:nvSpPr>
      <xdr:spPr bwMode="auto">
        <a:xfrm>
          <a:off x="7612380" y="68419980"/>
          <a:ext cx="0" cy="3291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13</xdr:col>
      <xdr:colOff>0</xdr:colOff>
      <xdr:row>414</xdr:row>
      <xdr:rowOff>0</xdr:rowOff>
    </xdr:from>
    <xdr:to>
      <xdr:col>13</xdr:col>
      <xdr:colOff>0</xdr:colOff>
      <xdr:row>417</xdr:row>
      <xdr:rowOff>0</xdr:rowOff>
    </xdr:to>
    <xdr:sp macro="" textlink="">
      <xdr:nvSpPr>
        <xdr:cNvPr id="40" name="Rectangle 107">
          <a:extLst>
            <a:ext uri="{FF2B5EF4-FFF2-40B4-BE49-F238E27FC236}">
              <a16:creationId xmlns:a16="http://schemas.microsoft.com/office/drawing/2014/main" id="{00000000-0008-0000-4B00-000028000000}"/>
            </a:ext>
          </a:extLst>
        </xdr:cNvPr>
        <xdr:cNvSpPr>
          <a:spLocks noChangeArrowheads="1"/>
        </xdr:cNvSpPr>
      </xdr:nvSpPr>
      <xdr:spPr bwMode="auto">
        <a:xfrm>
          <a:off x="12893040" y="68602860"/>
          <a:ext cx="0" cy="548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13</xdr:col>
      <xdr:colOff>0</xdr:colOff>
      <xdr:row>414</xdr:row>
      <xdr:rowOff>0</xdr:rowOff>
    </xdr:from>
    <xdr:to>
      <xdr:col>13</xdr:col>
      <xdr:colOff>0</xdr:colOff>
      <xdr:row>417</xdr:row>
      <xdr:rowOff>0</xdr:rowOff>
    </xdr:to>
    <xdr:sp macro="" textlink="">
      <xdr:nvSpPr>
        <xdr:cNvPr id="41" name="Rectangle 108">
          <a:extLst>
            <a:ext uri="{FF2B5EF4-FFF2-40B4-BE49-F238E27FC236}">
              <a16:creationId xmlns:a16="http://schemas.microsoft.com/office/drawing/2014/main" id="{00000000-0008-0000-4B00-000029000000}"/>
            </a:ext>
          </a:extLst>
        </xdr:cNvPr>
        <xdr:cNvSpPr>
          <a:spLocks noChangeArrowheads="1"/>
        </xdr:cNvSpPr>
      </xdr:nvSpPr>
      <xdr:spPr bwMode="auto">
        <a:xfrm>
          <a:off x="12893040" y="68602860"/>
          <a:ext cx="0" cy="548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468</xdr:row>
      <xdr:rowOff>0</xdr:rowOff>
    </xdr:from>
    <xdr:to>
      <xdr:col>14</xdr:col>
      <xdr:colOff>0</xdr:colOff>
      <xdr:row>474</xdr:row>
      <xdr:rowOff>0</xdr:rowOff>
    </xdr:to>
    <xdr:sp macro="" textlink="">
      <xdr:nvSpPr>
        <xdr:cNvPr id="42" name="Rectangle 1">
          <a:extLst>
            <a:ext uri="{FF2B5EF4-FFF2-40B4-BE49-F238E27FC236}">
              <a16:creationId xmlns:a16="http://schemas.microsoft.com/office/drawing/2014/main" id="{00000000-0008-0000-4B00-00002A000000}"/>
            </a:ext>
          </a:extLst>
        </xdr:cNvPr>
        <xdr:cNvSpPr>
          <a:spLocks noChangeArrowheads="1"/>
        </xdr:cNvSpPr>
      </xdr:nvSpPr>
      <xdr:spPr bwMode="auto">
        <a:xfrm>
          <a:off x="13769340" y="78844140"/>
          <a:ext cx="0" cy="109728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468</xdr:row>
      <xdr:rowOff>0</xdr:rowOff>
    </xdr:from>
    <xdr:to>
      <xdr:col>14</xdr:col>
      <xdr:colOff>0</xdr:colOff>
      <xdr:row>474</xdr:row>
      <xdr:rowOff>0</xdr:rowOff>
    </xdr:to>
    <xdr:sp macro="" textlink="">
      <xdr:nvSpPr>
        <xdr:cNvPr id="43" name="Rectangle 2">
          <a:extLst>
            <a:ext uri="{FF2B5EF4-FFF2-40B4-BE49-F238E27FC236}">
              <a16:creationId xmlns:a16="http://schemas.microsoft.com/office/drawing/2014/main" id="{00000000-0008-0000-4B00-00002B000000}"/>
            </a:ext>
          </a:extLst>
        </xdr:cNvPr>
        <xdr:cNvSpPr>
          <a:spLocks noChangeArrowheads="1"/>
        </xdr:cNvSpPr>
      </xdr:nvSpPr>
      <xdr:spPr bwMode="auto">
        <a:xfrm>
          <a:off x="13769340" y="78844140"/>
          <a:ext cx="0" cy="109728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462</xdr:row>
      <xdr:rowOff>0</xdr:rowOff>
    </xdr:from>
    <xdr:to>
      <xdr:col>14</xdr:col>
      <xdr:colOff>0</xdr:colOff>
      <xdr:row>466</xdr:row>
      <xdr:rowOff>0</xdr:rowOff>
    </xdr:to>
    <xdr:sp macro="" textlink="">
      <xdr:nvSpPr>
        <xdr:cNvPr id="44" name="Rectangle 1">
          <a:extLst>
            <a:ext uri="{FF2B5EF4-FFF2-40B4-BE49-F238E27FC236}">
              <a16:creationId xmlns:a16="http://schemas.microsoft.com/office/drawing/2014/main" id="{00000000-0008-0000-4B00-00002C000000}"/>
            </a:ext>
          </a:extLst>
        </xdr:cNvPr>
        <xdr:cNvSpPr>
          <a:spLocks noChangeArrowheads="1"/>
        </xdr:cNvSpPr>
      </xdr:nvSpPr>
      <xdr:spPr bwMode="auto">
        <a:xfrm>
          <a:off x="13769340" y="77746860"/>
          <a:ext cx="0" cy="73152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462</xdr:row>
      <xdr:rowOff>0</xdr:rowOff>
    </xdr:from>
    <xdr:to>
      <xdr:col>14</xdr:col>
      <xdr:colOff>0</xdr:colOff>
      <xdr:row>466</xdr:row>
      <xdr:rowOff>0</xdr:rowOff>
    </xdr:to>
    <xdr:sp macro="" textlink="">
      <xdr:nvSpPr>
        <xdr:cNvPr id="45" name="Rectangle 2">
          <a:extLst>
            <a:ext uri="{FF2B5EF4-FFF2-40B4-BE49-F238E27FC236}">
              <a16:creationId xmlns:a16="http://schemas.microsoft.com/office/drawing/2014/main" id="{00000000-0008-0000-4B00-00002D000000}"/>
            </a:ext>
          </a:extLst>
        </xdr:cNvPr>
        <xdr:cNvSpPr>
          <a:spLocks noChangeArrowheads="1"/>
        </xdr:cNvSpPr>
      </xdr:nvSpPr>
      <xdr:spPr bwMode="auto">
        <a:xfrm>
          <a:off x="13769340" y="77746860"/>
          <a:ext cx="0" cy="73152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478</xdr:row>
      <xdr:rowOff>0</xdr:rowOff>
    </xdr:from>
    <xdr:to>
      <xdr:col>14</xdr:col>
      <xdr:colOff>0</xdr:colOff>
      <xdr:row>485</xdr:row>
      <xdr:rowOff>0</xdr:rowOff>
    </xdr:to>
    <xdr:sp macro="" textlink="">
      <xdr:nvSpPr>
        <xdr:cNvPr id="46" name="Rectangle 107">
          <a:extLst>
            <a:ext uri="{FF2B5EF4-FFF2-40B4-BE49-F238E27FC236}">
              <a16:creationId xmlns:a16="http://schemas.microsoft.com/office/drawing/2014/main" id="{00000000-0008-0000-4B00-00002E000000}"/>
            </a:ext>
          </a:extLst>
        </xdr:cNvPr>
        <xdr:cNvSpPr>
          <a:spLocks noChangeArrowheads="1"/>
        </xdr:cNvSpPr>
      </xdr:nvSpPr>
      <xdr:spPr bwMode="auto">
        <a:xfrm>
          <a:off x="13769340" y="80672940"/>
          <a:ext cx="0" cy="128016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478</xdr:row>
      <xdr:rowOff>0</xdr:rowOff>
    </xdr:from>
    <xdr:to>
      <xdr:col>14</xdr:col>
      <xdr:colOff>0</xdr:colOff>
      <xdr:row>485</xdr:row>
      <xdr:rowOff>0</xdr:rowOff>
    </xdr:to>
    <xdr:sp macro="" textlink="">
      <xdr:nvSpPr>
        <xdr:cNvPr id="47" name="Rectangle 108">
          <a:extLst>
            <a:ext uri="{FF2B5EF4-FFF2-40B4-BE49-F238E27FC236}">
              <a16:creationId xmlns:a16="http://schemas.microsoft.com/office/drawing/2014/main" id="{00000000-0008-0000-4B00-00002F000000}"/>
            </a:ext>
          </a:extLst>
        </xdr:cNvPr>
        <xdr:cNvSpPr>
          <a:spLocks noChangeArrowheads="1"/>
        </xdr:cNvSpPr>
      </xdr:nvSpPr>
      <xdr:spPr bwMode="auto">
        <a:xfrm>
          <a:off x="13769340" y="80672940"/>
          <a:ext cx="0" cy="128016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443</xdr:row>
      <xdr:rowOff>0</xdr:rowOff>
    </xdr:from>
    <xdr:to>
      <xdr:col>13</xdr:col>
      <xdr:colOff>0</xdr:colOff>
      <xdr:row>447</xdr:row>
      <xdr:rowOff>0</xdr:rowOff>
    </xdr:to>
    <xdr:sp macro="" textlink="">
      <xdr:nvSpPr>
        <xdr:cNvPr id="48" name="Rectangle 107">
          <a:extLst>
            <a:ext uri="{FF2B5EF4-FFF2-40B4-BE49-F238E27FC236}">
              <a16:creationId xmlns:a16="http://schemas.microsoft.com/office/drawing/2014/main" id="{00000000-0008-0000-4B00-000030000000}"/>
            </a:ext>
          </a:extLst>
        </xdr:cNvPr>
        <xdr:cNvSpPr>
          <a:spLocks noChangeArrowheads="1"/>
        </xdr:cNvSpPr>
      </xdr:nvSpPr>
      <xdr:spPr bwMode="auto">
        <a:xfrm>
          <a:off x="12893040" y="73921620"/>
          <a:ext cx="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13</xdr:col>
      <xdr:colOff>0</xdr:colOff>
      <xdr:row>443</xdr:row>
      <xdr:rowOff>0</xdr:rowOff>
    </xdr:from>
    <xdr:to>
      <xdr:col>13</xdr:col>
      <xdr:colOff>0</xdr:colOff>
      <xdr:row>447</xdr:row>
      <xdr:rowOff>0</xdr:rowOff>
    </xdr:to>
    <xdr:sp macro="" textlink="">
      <xdr:nvSpPr>
        <xdr:cNvPr id="49" name="Rectangle 108">
          <a:extLst>
            <a:ext uri="{FF2B5EF4-FFF2-40B4-BE49-F238E27FC236}">
              <a16:creationId xmlns:a16="http://schemas.microsoft.com/office/drawing/2014/main" id="{00000000-0008-0000-4B00-000031000000}"/>
            </a:ext>
          </a:extLst>
        </xdr:cNvPr>
        <xdr:cNvSpPr>
          <a:spLocks noChangeArrowheads="1"/>
        </xdr:cNvSpPr>
      </xdr:nvSpPr>
      <xdr:spPr bwMode="auto">
        <a:xfrm>
          <a:off x="12893040" y="73921620"/>
          <a:ext cx="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13</xdr:col>
      <xdr:colOff>0</xdr:colOff>
      <xdr:row>444</xdr:row>
      <xdr:rowOff>0</xdr:rowOff>
    </xdr:from>
    <xdr:to>
      <xdr:col>13</xdr:col>
      <xdr:colOff>0</xdr:colOff>
      <xdr:row>447</xdr:row>
      <xdr:rowOff>0</xdr:rowOff>
    </xdr:to>
    <xdr:sp macro="" textlink="">
      <xdr:nvSpPr>
        <xdr:cNvPr id="50" name="Rectangle 107">
          <a:extLst>
            <a:ext uri="{FF2B5EF4-FFF2-40B4-BE49-F238E27FC236}">
              <a16:creationId xmlns:a16="http://schemas.microsoft.com/office/drawing/2014/main" id="{00000000-0008-0000-4B00-000032000000}"/>
            </a:ext>
          </a:extLst>
        </xdr:cNvPr>
        <xdr:cNvSpPr>
          <a:spLocks noChangeArrowheads="1"/>
        </xdr:cNvSpPr>
      </xdr:nvSpPr>
      <xdr:spPr bwMode="auto">
        <a:xfrm>
          <a:off x="12893040" y="74104500"/>
          <a:ext cx="0" cy="548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13</xdr:col>
      <xdr:colOff>0</xdr:colOff>
      <xdr:row>444</xdr:row>
      <xdr:rowOff>0</xdr:rowOff>
    </xdr:from>
    <xdr:to>
      <xdr:col>13</xdr:col>
      <xdr:colOff>0</xdr:colOff>
      <xdr:row>447</xdr:row>
      <xdr:rowOff>0</xdr:rowOff>
    </xdr:to>
    <xdr:sp macro="" textlink="">
      <xdr:nvSpPr>
        <xdr:cNvPr id="51" name="Rectangle 108">
          <a:extLst>
            <a:ext uri="{FF2B5EF4-FFF2-40B4-BE49-F238E27FC236}">
              <a16:creationId xmlns:a16="http://schemas.microsoft.com/office/drawing/2014/main" id="{00000000-0008-0000-4B00-000033000000}"/>
            </a:ext>
          </a:extLst>
        </xdr:cNvPr>
        <xdr:cNvSpPr>
          <a:spLocks noChangeArrowheads="1"/>
        </xdr:cNvSpPr>
      </xdr:nvSpPr>
      <xdr:spPr bwMode="auto">
        <a:xfrm>
          <a:off x="12893040" y="74104500"/>
          <a:ext cx="0" cy="548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526</xdr:row>
      <xdr:rowOff>0</xdr:rowOff>
    </xdr:from>
    <xdr:to>
      <xdr:col>14</xdr:col>
      <xdr:colOff>0</xdr:colOff>
      <xdr:row>532</xdr:row>
      <xdr:rowOff>0</xdr:rowOff>
    </xdr:to>
    <xdr:sp macro="" textlink="">
      <xdr:nvSpPr>
        <xdr:cNvPr id="52" name="Rectangle 1">
          <a:extLst>
            <a:ext uri="{FF2B5EF4-FFF2-40B4-BE49-F238E27FC236}">
              <a16:creationId xmlns:a16="http://schemas.microsoft.com/office/drawing/2014/main" id="{00000000-0008-0000-4B00-000034000000}"/>
            </a:ext>
          </a:extLst>
        </xdr:cNvPr>
        <xdr:cNvSpPr>
          <a:spLocks noChangeArrowheads="1"/>
        </xdr:cNvSpPr>
      </xdr:nvSpPr>
      <xdr:spPr bwMode="auto">
        <a:xfrm>
          <a:off x="13769340" y="89794080"/>
          <a:ext cx="0" cy="1097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526</xdr:row>
      <xdr:rowOff>0</xdr:rowOff>
    </xdr:from>
    <xdr:to>
      <xdr:col>14</xdr:col>
      <xdr:colOff>0</xdr:colOff>
      <xdr:row>532</xdr:row>
      <xdr:rowOff>0</xdr:rowOff>
    </xdr:to>
    <xdr:sp macro="" textlink="">
      <xdr:nvSpPr>
        <xdr:cNvPr id="53" name="Rectangle 2">
          <a:extLst>
            <a:ext uri="{FF2B5EF4-FFF2-40B4-BE49-F238E27FC236}">
              <a16:creationId xmlns:a16="http://schemas.microsoft.com/office/drawing/2014/main" id="{00000000-0008-0000-4B00-000035000000}"/>
            </a:ext>
          </a:extLst>
        </xdr:cNvPr>
        <xdr:cNvSpPr>
          <a:spLocks noChangeArrowheads="1"/>
        </xdr:cNvSpPr>
      </xdr:nvSpPr>
      <xdr:spPr bwMode="auto">
        <a:xfrm>
          <a:off x="13769340" y="89794080"/>
          <a:ext cx="0" cy="1097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520</xdr:row>
      <xdr:rowOff>0</xdr:rowOff>
    </xdr:from>
    <xdr:to>
      <xdr:col>14</xdr:col>
      <xdr:colOff>0</xdr:colOff>
      <xdr:row>525</xdr:row>
      <xdr:rowOff>0</xdr:rowOff>
    </xdr:to>
    <xdr:sp macro="" textlink="">
      <xdr:nvSpPr>
        <xdr:cNvPr id="54" name="Rectangle 1">
          <a:extLst>
            <a:ext uri="{FF2B5EF4-FFF2-40B4-BE49-F238E27FC236}">
              <a16:creationId xmlns:a16="http://schemas.microsoft.com/office/drawing/2014/main" id="{00000000-0008-0000-4B00-000036000000}"/>
            </a:ext>
          </a:extLst>
        </xdr:cNvPr>
        <xdr:cNvSpPr>
          <a:spLocks noChangeArrowheads="1"/>
        </xdr:cNvSpPr>
      </xdr:nvSpPr>
      <xdr:spPr bwMode="auto">
        <a:xfrm>
          <a:off x="13769340" y="88696800"/>
          <a:ext cx="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520</xdr:row>
      <xdr:rowOff>0</xdr:rowOff>
    </xdr:from>
    <xdr:to>
      <xdr:col>14</xdr:col>
      <xdr:colOff>0</xdr:colOff>
      <xdr:row>525</xdr:row>
      <xdr:rowOff>0</xdr:rowOff>
    </xdr:to>
    <xdr:sp macro="" textlink="">
      <xdr:nvSpPr>
        <xdr:cNvPr id="55" name="Rectangle 2">
          <a:extLst>
            <a:ext uri="{FF2B5EF4-FFF2-40B4-BE49-F238E27FC236}">
              <a16:creationId xmlns:a16="http://schemas.microsoft.com/office/drawing/2014/main" id="{00000000-0008-0000-4B00-000037000000}"/>
            </a:ext>
          </a:extLst>
        </xdr:cNvPr>
        <xdr:cNvSpPr>
          <a:spLocks noChangeArrowheads="1"/>
        </xdr:cNvSpPr>
      </xdr:nvSpPr>
      <xdr:spPr bwMode="auto">
        <a:xfrm>
          <a:off x="13769340" y="88696800"/>
          <a:ext cx="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13</xdr:col>
      <xdr:colOff>0</xdr:colOff>
      <xdr:row>502</xdr:row>
      <xdr:rowOff>0</xdr:rowOff>
    </xdr:from>
    <xdr:to>
      <xdr:col>13</xdr:col>
      <xdr:colOff>0</xdr:colOff>
      <xdr:row>506</xdr:row>
      <xdr:rowOff>0</xdr:rowOff>
    </xdr:to>
    <xdr:sp macro="" textlink="">
      <xdr:nvSpPr>
        <xdr:cNvPr id="56" name="Rectangle 107">
          <a:extLst>
            <a:ext uri="{FF2B5EF4-FFF2-40B4-BE49-F238E27FC236}">
              <a16:creationId xmlns:a16="http://schemas.microsoft.com/office/drawing/2014/main" id="{00000000-0008-0000-4B00-000038000000}"/>
            </a:ext>
          </a:extLst>
        </xdr:cNvPr>
        <xdr:cNvSpPr>
          <a:spLocks noChangeArrowheads="1"/>
        </xdr:cNvSpPr>
      </xdr:nvSpPr>
      <xdr:spPr bwMode="auto">
        <a:xfrm>
          <a:off x="12893040" y="85062060"/>
          <a:ext cx="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13</xdr:col>
      <xdr:colOff>0</xdr:colOff>
      <xdr:row>502</xdr:row>
      <xdr:rowOff>0</xdr:rowOff>
    </xdr:from>
    <xdr:to>
      <xdr:col>13</xdr:col>
      <xdr:colOff>0</xdr:colOff>
      <xdr:row>506</xdr:row>
      <xdr:rowOff>0</xdr:rowOff>
    </xdr:to>
    <xdr:sp macro="" textlink="">
      <xdr:nvSpPr>
        <xdr:cNvPr id="57" name="Rectangle 108">
          <a:extLst>
            <a:ext uri="{FF2B5EF4-FFF2-40B4-BE49-F238E27FC236}">
              <a16:creationId xmlns:a16="http://schemas.microsoft.com/office/drawing/2014/main" id="{00000000-0008-0000-4B00-000039000000}"/>
            </a:ext>
          </a:extLst>
        </xdr:cNvPr>
        <xdr:cNvSpPr>
          <a:spLocks noChangeArrowheads="1"/>
        </xdr:cNvSpPr>
      </xdr:nvSpPr>
      <xdr:spPr bwMode="auto">
        <a:xfrm>
          <a:off x="12893040" y="85062060"/>
          <a:ext cx="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13</xdr:col>
      <xdr:colOff>0</xdr:colOff>
      <xdr:row>503</xdr:row>
      <xdr:rowOff>0</xdr:rowOff>
    </xdr:from>
    <xdr:to>
      <xdr:col>13</xdr:col>
      <xdr:colOff>0</xdr:colOff>
      <xdr:row>506</xdr:row>
      <xdr:rowOff>0</xdr:rowOff>
    </xdr:to>
    <xdr:sp macro="" textlink="">
      <xdr:nvSpPr>
        <xdr:cNvPr id="58" name="Rectangle 107">
          <a:extLst>
            <a:ext uri="{FF2B5EF4-FFF2-40B4-BE49-F238E27FC236}">
              <a16:creationId xmlns:a16="http://schemas.microsoft.com/office/drawing/2014/main" id="{00000000-0008-0000-4B00-00003A000000}"/>
            </a:ext>
          </a:extLst>
        </xdr:cNvPr>
        <xdr:cNvSpPr>
          <a:spLocks noChangeArrowheads="1"/>
        </xdr:cNvSpPr>
      </xdr:nvSpPr>
      <xdr:spPr bwMode="auto">
        <a:xfrm>
          <a:off x="12893040" y="85244940"/>
          <a:ext cx="0" cy="548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13</xdr:col>
      <xdr:colOff>0</xdr:colOff>
      <xdr:row>503</xdr:row>
      <xdr:rowOff>0</xdr:rowOff>
    </xdr:from>
    <xdr:to>
      <xdr:col>13</xdr:col>
      <xdr:colOff>0</xdr:colOff>
      <xdr:row>506</xdr:row>
      <xdr:rowOff>0</xdr:rowOff>
    </xdr:to>
    <xdr:sp macro="" textlink="">
      <xdr:nvSpPr>
        <xdr:cNvPr id="59" name="Rectangle 108">
          <a:extLst>
            <a:ext uri="{FF2B5EF4-FFF2-40B4-BE49-F238E27FC236}">
              <a16:creationId xmlns:a16="http://schemas.microsoft.com/office/drawing/2014/main" id="{00000000-0008-0000-4B00-00003B000000}"/>
            </a:ext>
          </a:extLst>
        </xdr:cNvPr>
        <xdr:cNvSpPr>
          <a:spLocks noChangeArrowheads="1"/>
        </xdr:cNvSpPr>
      </xdr:nvSpPr>
      <xdr:spPr bwMode="auto">
        <a:xfrm>
          <a:off x="12893040" y="85244940"/>
          <a:ext cx="0" cy="548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1588</xdr:colOff>
      <xdr:row>0</xdr:row>
      <xdr:rowOff>55563</xdr:rowOff>
    </xdr:from>
    <xdr:to>
      <xdr:col>5</xdr:col>
      <xdr:colOff>39688</xdr:colOff>
      <xdr:row>1</xdr:row>
      <xdr:rowOff>101600</xdr:rowOff>
    </xdr:to>
    <xdr:sp macro="" textlink="">
      <xdr:nvSpPr>
        <xdr:cNvPr id="60" name="60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B00-00003C000000}"/>
            </a:ext>
          </a:extLst>
        </xdr:cNvPr>
        <xdr:cNvSpPr/>
      </xdr:nvSpPr>
      <xdr:spPr>
        <a:xfrm>
          <a:off x="4052888" y="55563"/>
          <a:ext cx="304800" cy="280987"/>
        </a:xfrm>
        <a:prstGeom prst="actionButtonHome">
          <a:avLst/>
        </a:prstGeom>
        <a:solidFill>
          <a:srgbClr val="AD25A8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>
    <xdr:from>
      <xdr:col>3</xdr:col>
      <xdr:colOff>0</xdr:colOff>
      <xdr:row>226</xdr:row>
      <xdr:rowOff>0</xdr:rowOff>
    </xdr:from>
    <xdr:to>
      <xdr:col>3</xdr:col>
      <xdr:colOff>0</xdr:colOff>
      <xdr:row>237</xdr:row>
      <xdr:rowOff>0</xdr:rowOff>
    </xdr:to>
    <xdr:sp macro="" textlink="">
      <xdr:nvSpPr>
        <xdr:cNvPr id="61" name="Rectangle 107">
          <a:extLst>
            <a:ext uri="{FF2B5EF4-FFF2-40B4-BE49-F238E27FC236}">
              <a16:creationId xmlns:a16="http://schemas.microsoft.com/office/drawing/2014/main" id="{00000000-0008-0000-4B00-00003D000000}"/>
            </a:ext>
          </a:extLst>
        </xdr:cNvPr>
        <xdr:cNvSpPr>
          <a:spLocks noChangeArrowheads="1"/>
        </xdr:cNvSpPr>
      </xdr:nvSpPr>
      <xdr:spPr bwMode="auto">
        <a:xfrm>
          <a:off x="3002280" y="34198560"/>
          <a:ext cx="0" cy="2011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226</xdr:row>
      <xdr:rowOff>0</xdr:rowOff>
    </xdr:from>
    <xdr:to>
      <xdr:col>3</xdr:col>
      <xdr:colOff>0</xdr:colOff>
      <xdr:row>237</xdr:row>
      <xdr:rowOff>0</xdr:rowOff>
    </xdr:to>
    <xdr:sp macro="" textlink="">
      <xdr:nvSpPr>
        <xdr:cNvPr id="62" name="Rectangle 108">
          <a:extLst>
            <a:ext uri="{FF2B5EF4-FFF2-40B4-BE49-F238E27FC236}">
              <a16:creationId xmlns:a16="http://schemas.microsoft.com/office/drawing/2014/main" id="{00000000-0008-0000-4B00-00003E000000}"/>
            </a:ext>
          </a:extLst>
        </xdr:cNvPr>
        <xdr:cNvSpPr>
          <a:spLocks noChangeArrowheads="1"/>
        </xdr:cNvSpPr>
      </xdr:nvSpPr>
      <xdr:spPr bwMode="auto">
        <a:xfrm>
          <a:off x="3002280" y="34198560"/>
          <a:ext cx="0" cy="2011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226</xdr:row>
      <xdr:rowOff>0</xdr:rowOff>
    </xdr:from>
    <xdr:to>
      <xdr:col>7</xdr:col>
      <xdr:colOff>0</xdr:colOff>
      <xdr:row>252</xdr:row>
      <xdr:rowOff>0</xdr:rowOff>
    </xdr:to>
    <xdr:sp macro="" textlink="">
      <xdr:nvSpPr>
        <xdr:cNvPr id="63" name="Rectangle 107">
          <a:extLst>
            <a:ext uri="{FF2B5EF4-FFF2-40B4-BE49-F238E27FC236}">
              <a16:creationId xmlns:a16="http://schemas.microsoft.com/office/drawing/2014/main" id="{00000000-0008-0000-4B00-00003F000000}"/>
            </a:ext>
          </a:extLst>
        </xdr:cNvPr>
        <xdr:cNvSpPr>
          <a:spLocks noChangeArrowheads="1"/>
        </xdr:cNvSpPr>
      </xdr:nvSpPr>
      <xdr:spPr bwMode="auto">
        <a:xfrm>
          <a:off x="7612380" y="34198560"/>
          <a:ext cx="0" cy="4754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226</xdr:row>
      <xdr:rowOff>0</xdr:rowOff>
    </xdr:from>
    <xdr:to>
      <xdr:col>7</xdr:col>
      <xdr:colOff>0</xdr:colOff>
      <xdr:row>252</xdr:row>
      <xdr:rowOff>0</xdr:rowOff>
    </xdr:to>
    <xdr:sp macro="" textlink="">
      <xdr:nvSpPr>
        <xdr:cNvPr id="64" name="Rectangle 108">
          <a:extLst>
            <a:ext uri="{FF2B5EF4-FFF2-40B4-BE49-F238E27FC236}">
              <a16:creationId xmlns:a16="http://schemas.microsoft.com/office/drawing/2014/main" id="{00000000-0008-0000-4B00-000040000000}"/>
            </a:ext>
          </a:extLst>
        </xdr:cNvPr>
        <xdr:cNvSpPr>
          <a:spLocks noChangeArrowheads="1"/>
        </xdr:cNvSpPr>
      </xdr:nvSpPr>
      <xdr:spPr bwMode="auto">
        <a:xfrm>
          <a:off x="7612380" y="34198560"/>
          <a:ext cx="0" cy="4754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13</xdr:col>
      <xdr:colOff>0</xdr:colOff>
      <xdr:row>227</xdr:row>
      <xdr:rowOff>0</xdr:rowOff>
    </xdr:from>
    <xdr:to>
      <xdr:col>13</xdr:col>
      <xdr:colOff>0</xdr:colOff>
      <xdr:row>236</xdr:row>
      <xdr:rowOff>0</xdr:rowOff>
    </xdr:to>
    <xdr:sp macro="" textlink="">
      <xdr:nvSpPr>
        <xdr:cNvPr id="65" name="Rectangle 107">
          <a:extLst>
            <a:ext uri="{FF2B5EF4-FFF2-40B4-BE49-F238E27FC236}">
              <a16:creationId xmlns:a16="http://schemas.microsoft.com/office/drawing/2014/main" id="{00000000-0008-0000-4B00-000041000000}"/>
            </a:ext>
          </a:extLst>
        </xdr:cNvPr>
        <xdr:cNvSpPr>
          <a:spLocks noChangeArrowheads="1"/>
        </xdr:cNvSpPr>
      </xdr:nvSpPr>
      <xdr:spPr bwMode="auto">
        <a:xfrm>
          <a:off x="12893040" y="34198560"/>
          <a:ext cx="0" cy="1645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13</xdr:col>
      <xdr:colOff>0</xdr:colOff>
      <xdr:row>227</xdr:row>
      <xdr:rowOff>0</xdr:rowOff>
    </xdr:from>
    <xdr:to>
      <xdr:col>13</xdr:col>
      <xdr:colOff>0</xdr:colOff>
      <xdr:row>236</xdr:row>
      <xdr:rowOff>0</xdr:rowOff>
    </xdr:to>
    <xdr:sp macro="" textlink="">
      <xdr:nvSpPr>
        <xdr:cNvPr id="66" name="Rectangle 108">
          <a:extLst>
            <a:ext uri="{FF2B5EF4-FFF2-40B4-BE49-F238E27FC236}">
              <a16:creationId xmlns:a16="http://schemas.microsoft.com/office/drawing/2014/main" id="{00000000-0008-0000-4B00-000042000000}"/>
            </a:ext>
          </a:extLst>
        </xdr:cNvPr>
        <xdr:cNvSpPr>
          <a:spLocks noChangeArrowheads="1"/>
        </xdr:cNvSpPr>
      </xdr:nvSpPr>
      <xdr:spPr bwMode="auto">
        <a:xfrm>
          <a:off x="12893040" y="34198560"/>
          <a:ext cx="0" cy="1645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13</xdr:col>
      <xdr:colOff>0</xdr:colOff>
      <xdr:row>234</xdr:row>
      <xdr:rowOff>0</xdr:rowOff>
    </xdr:from>
    <xdr:to>
      <xdr:col>13</xdr:col>
      <xdr:colOff>0</xdr:colOff>
      <xdr:row>236</xdr:row>
      <xdr:rowOff>0</xdr:rowOff>
    </xdr:to>
    <xdr:sp macro="" textlink="">
      <xdr:nvSpPr>
        <xdr:cNvPr id="67" name="Rectangle 107">
          <a:extLst>
            <a:ext uri="{FF2B5EF4-FFF2-40B4-BE49-F238E27FC236}">
              <a16:creationId xmlns:a16="http://schemas.microsoft.com/office/drawing/2014/main" id="{00000000-0008-0000-4B00-000043000000}"/>
            </a:ext>
          </a:extLst>
        </xdr:cNvPr>
        <xdr:cNvSpPr>
          <a:spLocks noChangeArrowheads="1"/>
        </xdr:cNvSpPr>
      </xdr:nvSpPr>
      <xdr:spPr bwMode="auto">
        <a:xfrm>
          <a:off x="12893040" y="3547872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13</xdr:col>
      <xdr:colOff>0</xdr:colOff>
      <xdr:row>234</xdr:row>
      <xdr:rowOff>0</xdr:rowOff>
    </xdr:from>
    <xdr:to>
      <xdr:col>13</xdr:col>
      <xdr:colOff>0</xdr:colOff>
      <xdr:row>236</xdr:row>
      <xdr:rowOff>0</xdr:rowOff>
    </xdr:to>
    <xdr:sp macro="" textlink="">
      <xdr:nvSpPr>
        <xdr:cNvPr id="68" name="Rectangle 108">
          <a:extLst>
            <a:ext uri="{FF2B5EF4-FFF2-40B4-BE49-F238E27FC236}">
              <a16:creationId xmlns:a16="http://schemas.microsoft.com/office/drawing/2014/main" id="{00000000-0008-0000-4B00-000044000000}"/>
            </a:ext>
          </a:extLst>
        </xdr:cNvPr>
        <xdr:cNvSpPr>
          <a:spLocks noChangeArrowheads="1"/>
        </xdr:cNvSpPr>
      </xdr:nvSpPr>
      <xdr:spPr bwMode="auto">
        <a:xfrm>
          <a:off x="12893040" y="35478720"/>
          <a:ext cx="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183</xdr:row>
      <xdr:rowOff>0</xdr:rowOff>
    </xdr:from>
    <xdr:to>
      <xdr:col>3</xdr:col>
      <xdr:colOff>0</xdr:colOff>
      <xdr:row>194</xdr:row>
      <xdr:rowOff>0</xdr:rowOff>
    </xdr:to>
    <xdr:sp macro="" textlink="">
      <xdr:nvSpPr>
        <xdr:cNvPr id="69" name="Rectangle 107">
          <a:extLst>
            <a:ext uri="{FF2B5EF4-FFF2-40B4-BE49-F238E27FC236}">
              <a16:creationId xmlns:a16="http://schemas.microsoft.com/office/drawing/2014/main" id="{00000000-0008-0000-4B00-000045000000}"/>
            </a:ext>
          </a:extLst>
        </xdr:cNvPr>
        <xdr:cNvSpPr>
          <a:spLocks noChangeArrowheads="1"/>
        </xdr:cNvSpPr>
      </xdr:nvSpPr>
      <xdr:spPr bwMode="auto">
        <a:xfrm>
          <a:off x="3002280" y="25984200"/>
          <a:ext cx="0" cy="209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183</xdr:row>
      <xdr:rowOff>0</xdr:rowOff>
    </xdr:from>
    <xdr:to>
      <xdr:col>3</xdr:col>
      <xdr:colOff>0</xdr:colOff>
      <xdr:row>194</xdr:row>
      <xdr:rowOff>0</xdr:rowOff>
    </xdr:to>
    <xdr:sp macro="" textlink="">
      <xdr:nvSpPr>
        <xdr:cNvPr id="70" name="Rectangle 108">
          <a:extLst>
            <a:ext uri="{FF2B5EF4-FFF2-40B4-BE49-F238E27FC236}">
              <a16:creationId xmlns:a16="http://schemas.microsoft.com/office/drawing/2014/main" id="{00000000-0008-0000-4B00-000046000000}"/>
            </a:ext>
          </a:extLst>
        </xdr:cNvPr>
        <xdr:cNvSpPr>
          <a:spLocks noChangeArrowheads="1"/>
        </xdr:cNvSpPr>
      </xdr:nvSpPr>
      <xdr:spPr bwMode="auto">
        <a:xfrm>
          <a:off x="3002280" y="25984200"/>
          <a:ext cx="0" cy="209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183</xdr:row>
      <xdr:rowOff>0</xdr:rowOff>
    </xdr:from>
    <xdr:to>
      <xdr:col>7</xdr:col>
      <xdr:colOff>0</xdr:colOff>
      <xdr:row>210</xdr:row>
      <xdr:rowOff>0</xdr:rowOff>
    </xdr:to>
    <xdr:sp macro="" textlink="">
      <xdr:nvSpPr>
        <xdr:cNvPr id="71" name="Rectangle 107">
          <a:extLst>
            <a:ext uri="{FF2B5EF4-FFF2-40B4-BE49-F238E27FC236}">
              <a16:creationId xmlns:a16="http://schemas.microsoft.com/office/drawing/2014/main" id="{00000000-0008-0000-4B00-000047000000}"/>
            </a:ext>
          </a:extLst>
        </xdr:cNvPr>
        <xdr:cNvSpPr>
          <a:spLocks noChangeArrowheads="1"/>
        </xdr:cNvSpPr>
      </xdr:nvSpPr>
      <xdr:spPr bwMode="auto">
        <a:xfrm>
          <a:off x="7612380" y="25984200"/>
          <a:ext cx="0" cy="514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183</xdr:row>
      <xdr:rowOff>0</xdr:rowOff>
    </xdr:from>
    <xdr:to>
      <xdr:col>7</xdr:col>
      <xdr:colOff>0</xdr:colOff>
      <xdr:row>210</xdr:row>
      <xdr:rowOff>0</xdr:rowOff>
    </xdr:to>
    <xdr:sp macro="" textlink="">
      <xdr:nvSpPr>
        <xdr:cNvPr id="72" name="Rectangle 108">
          <a:extLst>
            <a:ext uri="{FF2B5EF4-FFF2-40B4-BE49-F238E27FC236}">
              <a16:creationId xmlns:a16="http://schemas.microsoft.com/office/drawing/2014/main" id="{00000000-0008-0000-4B00-000048000000}"/>
            </a:ext>
          </a:extLst>
        </xdr:cNvPr>
        <xdr:cNvSpPr>
          <a:spLocks noChangeArrowheads="1"/>
        </xdr:cNvSpPr>
      </xdr:nvSpPr>
      <xdr:spPr bwMode="auto">
        <a:xfrm>
          <a:off x="7612380" y="25984200"/>
          <a:ext cx="0" cy="514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12</xdr:col>
      <xdr:colOff>1743075</xdr:colOff>
      <xdr:row>184</xdr:row>
      <xdr:rowOff>180975</xdr:rowOff>
    </xdr:from>
    <xdr:to>
      <xdr:col>12</xdr:col>
      <xdr:colOff>1743075</xdr:colOff>
      <xdr:row>187</xdr:row>
      <xdr:rowOff>0</xdr:rowOff>
    </xdr:to>
    <xdr:sp macro="" textlink="">
      <xdr:nvSpPr>
        <xdr:cNvPr id="73" name="Rectangle 107">
          <a:extLst>
            <a:ext uri="{FF2B5EF4-FFF2-40B4-BE49-F238E27FC236}">
              <a16:creationId xmlns:a16="http://schemas.microsoft.com/office/drawing/2014/main" id="{00000000-0008-0000-4B00-000049000000}"/>
            </a:ext>
          </a:extLst>
        </xdr:cNvPr>
        <xdr:cNvSpPr>
          <a:spLocks noChangeArrowheads="1"/>
        </xdr:cNvSpPr>
      </xdr:nvSpPr>
      <xdr:spPr bwMode="auto">
        <a:xfrm>
          <a:off x="12837795" y="26165175"/>
          <a:ext cx="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13</xdr:col>
      <xdr:colOff>0</xdr:colOff>
      <xdr:row>184</xdr:row>
      <xdr:rowOff>0</xdr:rowOff>
    </xdr:from>
    <xdr:to>
      <xdr:col>13</xdr:col>
      <xdr:colOff>0</xdr:colOff>
      <xdr:row>187</xdr:row>
      <xdr:rowOff>0</xdr:rowOff>
    </xdr:to>
    <xdr:sp macro="" textlink="">
      <xdr:nvSpPr>
        <xdr:cNvPr id="74" name="Rectangle 108">
          <a:extLst>
            <a:ext uri="{FF2B5EF4-FFF2-40B4-BE49-F238E27FC236}">
              <a16:creationId xmlns:a16="http://schemas.microsoft.com/office/drawing/2014/main" id="{00000000-0008-0000-4B00-00004A000000}"/>
            </a:ext>
          </a:extLst>
        </xdr:cNvPr>
        <xdr:cNvSpPr>
          <a:spLocks noChangeArrowheads="1"/>
        </xdr:cNvSpPr>
      </xdr:nvSpPr>
      <xdr:spPr bwMode="auto">
        <a:xfrm>
          <a:off x="12893040" y="25984200"/>
          <a:ext cx="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12</xdr:col>
      <xdr:colOff>1743075</xdr:colOff>
      <xdr:row>185</xdr:row>
      <xdr:rowOff>180975</xdr:rowOff>
    </xdr:from>
    <xdr:to>
      <xdr:col>12</xdr:col>
      <xdr:colOff>1743075</xdr:colOff>
      <xdr:row>188</xdr:row>
      <xdr:rowOff>0</xdr:rowOff>
    </xdr:to>
    <xdr:sp macro="" textlink="">
      <xdr:nvSpPr>
        <xdr:cNvPr id="75" name="Rectangle 107">
          <a:extLst>
            <a:ext uri="{FF2B5EF4-FFF2-40B4-BE49-F238E27FC236}">
              <a16:creationId xmlns:a16="http://schemas.microsoft.com/office/drawing/2014/main" id="{00000000-0008-0000-4B00-00004B000000}"/>
            </a:ext>
          </a:extLst>
        </xdr:cNvPr>
        <xdr:cNvSpPr>
          <a:spLocks noChangeArrowheads="1"/>
        </xdr:cNvSpPr>
      </xdr:nvSpPr>
      <xdr:spPr bwMode="auto">
        <a:xfrm>
          <a:off x="12837795" y="26355675"/>
          <a:ext cx="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151</xdr:row>
      <xdr:rowOff>0</xdr:rowOff>
    </xdr:from>
    <xdr:to>
      <xdr:col>3</xdr:col>
      <xdr:colOff>0</xdr:colOff>
      <xdr:row>162</xdr:row>
      <xdr:rowOff>0</xdr:rowOff>
    </xdr:to>
    <xdr:sp macro="" textlink="">
      <xdr:nvSpPr>
        <xdr:cNvPr id="76" name="Rectangle 107">
          <a:extLst>
            <a:ext uri="{FF2B5EF4-FFF2-40B4-BE49-F238E27FC236}">
              <a16:creationId xmlns:a16="http://schemas.microsoft.com/office/drawing/2014/main" id="{00000000-0008-0000-4B00-00004C000000}"/>
            </a:ext>
          </a:extLst>
        </xdr:cNvPr>
        <xdr:cNvSpPr>
          <a:spLocks noChangeArrowheads="1"/>
        </xdr:cNvSpPr>
      </xdr:nvSpPr>
      <xdr:spPr bwMode="auto">
        <a:xfrm>
          <a:off x="3002280" y="19819620"/>
          <a:ext cx="0" cy="2179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151</xdr:row>
      <xdr:rowOff>0</xdr:rowOff>
    </xdr:from>
    <xdr:to>
      <xdr:col>3</xdr:col>
      <xdr:colOff>0</xdr:colOff>
      <xdr:row>162</xdr:row>
      <xdr:rowOff>0</xdr:rowOff>
    </xdr:to>
    <xdr:sp macro="" textlink="">
      <xdr:nvSpPr>
        <xdr:cNvPr id="77" name="Rectangle 108">
          <a:extLst>
            <a:ext uri="{FF2B5EF4-FFF2-40B4-BE49-F238E27FC236}">
              <a16:creationId xmlns:a16="http://schemas.microsoft.com/office/drawing/2014/main" id="{00000000-0008-0000-4B00-00004D000000}"/>
            </a:ext>
          </a:extLst>
        </xdr:cNvPr>
        <xdr:cNvSpPr>
          <a:spLocks noChangeArrowheads="1"/>
        </xdr:cNvSpPr>
      </xdr:nvSpPr>
      <xdr:spPr bwMode="auto">
        <a:xfrm>
          <a:off x="3002280" y="19819620"/>
          <a:ext cx="0" cy="2179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151</xdr:row>
      <xdr:rowOff>0</xdr:rowOff>
    </xdr:from>
    <xdr:to>
      <xdr:col>7</xdr:col>
      <xdr:colOff>0</xdr:colOff>
      <xdr:row>176</xdr:row>
      <xdr:rowOff>0</xdr:rowOff>
    </xdr:to>
    <xdr:sp macro="" textlink="">
      <xdr:nvSpPr>
        <xdr:cNvPr id="78" name="Rectangle 107">
          <a:extLst>
            <a:ext uri="{FF2B5EF4-FFF2-40B4-BE49-F238E27FC236}">
              <a16:creationId xmlns:a16="http://schemas.microsoft.com/office/drawing/2014/main" id="{00000000-0008-0000-4B00-00004E000000}"/>
            </a:ext>
          </a:extLst>
        </xdr:cNvPr>
        <xdr:cNvSpPr>
          <a:spLocks noChangeArrowheads="1"/>
        </xdr:cNvSpPr>
      </xdr:nvSpPr>
      <xdr:spPr bwMode="auto">
        <a:xfrm>
          <a:off x="7612380" y="19819620"/>
          <a:ext cx="0" cy="4739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151</xdr:row>
      <xdr:rowOff>0</xdr:rowOff>
    </xdr:from>
    <xdr:to>
      <xdr:col>7</xdr:col>
      <xdr:colOff>0</xdr:colOff>
      <xdr:row>176</xdr:row>
      <xdr:rowOff>0</xdr:rowOff>
    </xdr:to>
    <xdr:sp macro="" textlink="">
      <xdr:nvSpPr>
        <xdr:cNvPr id="79" name="Rectangle 108">
          <a:extLst>
            <a:ext uri="{FF2B5EF4-FFF2-40B4-BE49-F238E27FC236}">
              <a16:creationId xmlns:a16="http://schemas.microsoft.com/office/drawing/2014/main" id="{00000000-0008-0000-4B00-00004F000000}"/>
            </a:ext>
          </a:extLst>
        </xdr:cNvPr>
        <xdr:cNvSpPr>
          <a:spLocks noChangeArrowheads="1"/>
        </xdr:cNvSpPr>
      </xdr:nvSpPr>
      <xdr:spPr bwMode="auto">
        <a:xfrm>
          <a:off x="7612380" y="19819620"/>
          <a:ext cx="0" cy="4739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12</xdr:col>
      <xdr:colOff>1743075</xdr:colOff>
      <xdr:row>152</xdr:row>
      <xdr:rowOff>180975</xdr:rowOff>
    </xdr:from>
    <xdr:to>
      <xdr:col>12</xdr:col>
      <xdr:colOff>1743075</xdr:colOff>
      <xdr:row>155</xdr:row>
      <xdr:rowOff>0</xdr:rowOff>
    </xdr:to>
    <xdr:sp macro="" textlink="">
      <xdr:nvSpPr>
        <xdr:cNvPr id="80" name="Rectangle 107">
          <a:extLst>
            <a:ext uri="{FF2B5EF4-FFF2-40B4-BE49-F238E27FC236}">
              <a16:creationId xmlns:a16="http://schemas.microsoft.com/office/drawing/2014/main" id="{00000000-0008-0000-4B00-000050000000}"/>
            </a:ext>
          </a:extLst>
        </xdr:cNvPr>
        <xdr:cNvSpPr>
          <a:spLocks noChangeArrowheads="1"/>
        </xdr:cNvSpPr>
      </xdr:nvSpPr>
      <xdr:spPr bwMode="auto">
        <a:xfrm>
          <a:off x="12837795" y="20000595"/>
          <a:ext cx="0" cy="5353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13</xdr:col>
      <xdr:colOff>0</xdr:colOff>
      <xdr:row>152</xdr:row>
      <xdr:rowOff>0</xdr:rowOff>
    </xdr:from>
    <xdr:to>
      <xdr:col>13</xdr:col>
      <xdr:colOff>0</xdr:colOff>
      <xdr:row>155</xdr:row>
      <xdr:rowOff>0</xdr:rowOff>
    </xdr:to>
    <xdr:sp macro="" textlink="">
      <xdr:nvSpPr>
        <xdr:cNvPr id="81" name="Rectangle 108">
          <a:extLst>
            <a:ext uri="{FF2B5EF4-FFF2-40B4-BE49-F238E27FC236}">
              <a16:creationId xmlns:a16="http://schemas.microsoft.com/office/drawing/2014/main" id="{00000000-0008-0000-4B00-000051000000}"/>
            </a:ext>
          </a:extLst>
        </xdr:cNvPr>
        <xdr:cNvSpPr>
          <a:spLocks noChangeArrowheads="1"/>
        </xdr:cNvSpPr>
      </xdr:nvSpPr>
      <xdr:spPr bwMode="auto">
        <a:xfrm>
          <a:off x="12893040" y="19819620"/>
          <a:ext cx="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12</xdr:col>
      <xdr:colOff>1743075</xdr:colOff>
      <xdr:row>153</xdr:row>
      <xdr:rowOff>180975</xdr:rowOff>
    </xdr:from>
    <xdr:to>
      <xdr:col>12</xdr:col>
      <xdr:colOff>1743075</xdr:colOff>
      <xdr:row>156</xdr:row>
      <xdr:rowOff>0</xdr:rowOff>
    </xdr:to>
    <xdr:sp macro="" textlink="">
      <xdr:nvSpPr>
        <xdr:cNvPr id="82" name="Rectangle 107">
          <a:extLst>
            <a:ext uri="{FF2B5EF4-FFF2-40B4-BE49-F238E27FC236}">
              <a16:creationId xmlns:a16="http://schemas.microsoft.com/office/drawing/2014/main" id="{00000000-0008-0000-4B00-000052000000}"/>
            </a:ext>
          </a:extLst>
        </xdr:cNvPr>
        <xdr:cNvSpPr>
          <a:spLocks noChangeArrowheads="1"/>
        </xdr:cNvSpPr>
      </xdr:nvSpPr>
      <xdr:spPr bwMode="auto">
        <a:xfrm>
          <a:off x="12837795" y="20351115"/>
          <a:ext cx="0" cy="367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119</xdr:row>
      <xdr:rowOff>0</xdr:rowOff>
    </xdr:from>
    <xdr:to>
      <xdr:col>3</xdr:col>
      <xdr:colOff>0</xdr:colOff>
      <xdr:row>130</xdr:row>
      <xdr:rowOff>0</xdr:rowOff>
    </xdr:to>
    <xdr:sp macro="" textlink="">
      <xdr:nvSpPr>
        <xdr:cNvPr id="83" name="Rectangle 107">
          <a:extLst>
            <a:ext uri="{FF2B5EF4-FFF2-40B4-BE49-F238E27FC236}">
              <a16:creationId xmlns:a16="http://schemas.microsoft.com/office/drawing/2014/main" id="{00000000-0008-0000-4B00-000053000000}"/>
            </a:ext>
          </a:extLst>
        </xdr:cNvPr>
        <xdr:cNvSpPr>
          <a:spLocks noChangeArrowheads="1"/>
        </xdr:cNvSpPr>
      </xdr:nvSpPr>
      <xdr:spPr bwMode="auto">
        <a:xfrm>
          <a:off x="3002280" y="13548360"/>
          <a:ext cx="0" cy="2240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119</xdr:row>
      <xdr:rowOff>0</xdr:rowOff>
    </xdr:from>
    <xdr:to>
      <xdr:col>3</xdr:col>
      <xdr:colOff>0</xdr:colOff>
      <xdr:row>130</xdr:row>
      <xdr:rowOff>0</xdr:rowOff>
    </xdr:to>
    <xdr:sp macro="" textlink="">
      <xdr:nvSpPr>
        <xdr:cNvPr id="84" name="Rectangle 108">
          <a:extLst>
            <a:ext uri="{FF2B5EF4-FFF2-40B4-BE49-F238E27FC236}">
              <a16:creationId xmlns:a16="http://schemas.microsoft.com/office/drawing/2014/main" id="{00000000-0008-0000-4B00-000054000000}"/>
            </a:ext>
          </a:extLst>
        </xdr:cNvPr>
        <xdr:cNvSpPr>
          <a:spLocks noChangeArrowheads="1"/>
        </xdr:cNvSpPr>
      </xdr:nvSpPr>
      <xdr:spPr bwMode="auto">
        <a:xfrm>
          <a:off x="3002280" y="13548360"/>
          <a:ext cx="0" cy="2240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119</xdr:row>
      <xdr:rowOff>0</xdr:rowOff>
    </xdr:from>
    <xdr:to>
      <xdr:col>7</xdr:col>
      <xdr:colOff>0</xdr:colOff>
      <xdr:row>144</xdr:row>
      <xdr:rowOff>0</xdr:rowOff>
    </xdr:to>
    <xdr:sp macro="" textlink="">
      <xdr:nvSpPr>
        <xdr:cNvPr id="85" name="Rectangle 107">
          <a:extLst>
            <a:ext uri="{FF2B5EF4-FFF2-40B4-BE49-F238E27FC236}">
              <a16:creationId xmlns:a16="http://schemas.microsoft.com/office/drawing/2014/main" id="{00000000-0008-0000-4B00-000055000000}"/>
            </a:ext>
          </a:extLst>
        </xdr:cNvPr>
        <xdr:cNvSpPr>
          <a:spLocks noChangeArrowheads="1"/>
        </xdr:cNvSpPr>
      </xdr:nvSpPr>
      <xdr:spPr bwMode="auto">
        <a:xfrm>
          <a:off x="7612380" y="13548360"/>
          <a:ext cx="0" cy="4846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119</xdr:row>
      <xdr:rowOff>0</xdr:rowOff>
    </xdr:from>
    <xdr:to>
      <xdr:col>7</xdr:col>
      <xdr:colOff>0</xdr:colOff>
      <xdr:row>144</xdr:row>
      <xdr:rowOff>0</xdr:rowOff>
    </xdr:to>
    <xdr:sp macro="" textlink="">
      <xdr:nvSpPr>
        <xdr:cNvPr id="86" name="Rectangle 108">
          <a:extLst>
            <a:ext uri="{FF2B5EF4-FFF2-40B4-BE49-F238E27FC236}">
              <a16:creationId xmlns:a16="http://schemas.microsoft.com/office/drawing/2014/main" id="{00000000-0008-0000-4B00-000056000000}"/>
            </a:ext>
          </a:extLst>
        </xdr:cNvPr>
        <xdr:cNvSpPr>
          <a:spLocks noChangeArrowheads="1"/>
        </xdr:cNvSpPr>
      </xdr:nvSpPr>
      <xdr:spPr bwMode="auto">
        <a:xfrm>
          <a:off x="7612380" y="13548360"/>
          <a:ext cx="0" cy="4846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12</xdr:col>
      <xdr:colOff>1743075</xdr:colOff>
      <xdr:row>121</xdr:row>
      <xdr:rowOff>180975</xdr:rowOff>
    </xdr:from>
    <xdr:to>
      <xdr:col>12</xdr:col>
      <xdr:colOff>1743075</xdr:colOff>
      <xdr:row>124</xdr:row>
      <xdr:rowOff>0</xdr:rowOff>
    </xdr:to>
    <xdr:sp macro="" textlink="">
      <xdr:nvSpPr>
        <xdr:cNvPr id="87" name="Rectangle 107">
          <a:extLst>
            <a:ext uri="{FF2B5EF4-FFF2-40B4-BE49-F238E27FC236}">
              <a16:creationId xmlns:a16="http://schemas.microsoft.com/office/drawing/2014/main" id="{00000000-0008-0000-4B00-000057000000}"/>
            </a:ext>
          </a:extLst>
        </xdr:cNvPr>
        <xdr:cNvSpPr>
          <a:spLocks noChangeArrowheads="1"/>
        </xdr:cNvSpPr>
      </xdr:nvSpPr>
      <xdr:spPr bwMode="auto">
        <a:xfrm>
          <a:off x="12837795" y="13973175"/>
          <a:ext cx="0" cy="5353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13</xdr:col>
      <xdr:colOff>0</xdr:colOff>
      <xdr:row>121</xdr:row>
      <xdr:rowOff>0</xdr:rowOff>
    </xdr:from>
    <xdr:to>
      <xdr:col>13</xdr:col>
      <xdr:colOff>0</xdr:colOff>
      <xdr:row>124</xdr:row>
      <xdr:rowOff>0</xdr:rowOff>
    </xdr:to>
    <xdr:sp macro="" textlink="">
      <xdr:nvSpPr>
        <xdr:cNvPr id="88" name="Rectangle 108">
          <a:extLst>
            <a:ext uri="{FF2B5EF4-FFF2-40B4-BE49-F238E27FC236}">
              <a16:creationId xmlns:a16="http://schemas.microsoft.com/office/drawing/2014/main" id="{00000000-0008-0000-4B00-000058000000}"/>
            </a:ext>
          </a:extLst>
        </xdr:cNvPr>
        <xdr:cNvSpPr>
          <a:spLocks noChangeArrowheads="1"/>
        </xdr:cNvSpPr>
      </xdr:nvSpPr>
      <xdr:spPr bwMode="auto">
        <a:xfrm>
          <a:off x="12893040" y="13792200"/>
          <a:ext cx="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12</xdr:col>
      <xdr:colOff>1743075</xdr:colOff>
      <xdr:row>122</xdr:row>
      <xdr:rowOff>180975</xdr:rowOff>
    </xdr:from>
    <xdr:to>
      <xdr:col>12</xdr:col>
      <xdr:colOff>1743075</xdr:colOff>
      <xdr:row>124</xdr:row>
      <xdr:rowOff>0</xdr:rowOff>
    </xdr:to>
    <xdr:sp macro="" textlink="">
      <xdr:nvSpPr>
        <xdr:cNvPr id="89" name="Rectangle 107">
          <a:extLst>
            <a:ext uri="{FF2B5EF4-FFF2-40B4-BE49-F238E27FC236}">
              <a16:creationId xmlns:a16="http://schemas.microsoft.com/office/drawing/2014/main" id="{00000000-0008-0000-4B00-000059000000}"/>
            </a:ext>
          </a:extLst>
        </xdr:cNvPr>
        <xdr:cNvSpPr>
          <a:spLocks noChangeArrowheads="1"/>
        </xdr:cNvSpPr>
      </xdr:nvSpPr>
      <xdr:spPr bwMode="auto">
        <a:xfrm>
          <a:off x="12837795" y="14323695"/>
          <a:ext cx="0" cy="184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90</xdr:row>
      <xdr:rowOff>0</xdr:rowOff>
    </xdr:from>
    <xdr:to>
      <xdr:col>3</xdr:col>
      <xdr:colOff>0</xdr:colOff>
      <xdr:row>101</xdr:row>
      <xdr:rowOff>0</xdr:rowOff>
    </xdr:to>
    <xdr:sp macro="" textlink="">
      <xdr:nvSpPr>
        <xdr:cNvPr id="90" name="Rectangle 107">
          <a:extLst>
            <a:ext uri="{FF2B5EF4-FFF2-40B4-BE49-F238E27FC236}">
              <a16:creationId xmlns:a16="http://schemas.microsoft.com/office/drawing/2014/main" id="{00000000-0008-0000-4B00-00005A000000}"/>
            </a:ext>
          </a:extLst>
        </xdr:cNvPr>
        <xdr:cNvSpPr>
          <a:spLocks noChangeArrowheads="1"/>
        </xdr:cNvSpPr>
      </xdr:nvSpPr>
      <xdr:spPr bwMode="auto">
        <a:xfrm>
          <a:off x="3002280" y="7802880"/>
          <a:ext cx="0" cy="209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90</xdr:row>
      <xdr:rowOff>0</xdr:rowOff>
    </xdr:from>
    <xdr:to>
      <xdr:col>3</xdr:col>
      <xdr:colOff>0</xdr:colOff>
      <xdr:row>101</xdr:row>
      <xdr:rowOff>0</xdr:rowOff>
    </xdr:to>
    <xdr:sp macro="" textlink="">
      <xdr:nvSpPr>
        <xdr:cNvPr id="91" name="Rectangle 108">
          <a:extLst>
            <a:ext uri="{FF2B5EF4-FFF2-40B4-BE49-F238E27FC236}">
              <a16:creationId xmlns:a16="http://schemas.microsoft.com/office/drawing/2014/main" id="{00000000-0008-0000-4B00-00005B000000}"/>
            </a:ext>
          </a:extLst>
        </xdr:cNvPr>
        <xdr:cNvSpPr>
          <a:spLocks noChangeArrowheads="1"/>
        </xdr:cNvSpPr>
      </xdr:nvSpPr>
      <xdr:spPr bwMode="auto">
        <a:xfrm>
          <a:off x="3002280" y="7802880"/>
          <a:ext cx="0" cy="209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90</xdr:row>
      <xdr:rowOff>0</xdr:rowOff>
    </xdr:from>
    <xdr:to>
      <xdr:col>7</xdr:col>
      <xdr:colOff>0</xdr:colOff>
      <xdr:row>115</xdr:row>
      <xdr:rowOff>0</xdr:rowOff>
    </xdr:to>
    <xdr:sp macro="" textlink="">
      <xdr:nvSpPr>
        <xdr:cNvPr id="92" name="Rectangle 107">
          <a:extLst>
            <a:ext uri="{FF2B5EF4-FFF2-40B4-BE49-F238E27FC236}">
              <a16:creationId xmlns:a16="http://schemas.microsoft.com/office/drawing/2014/main" id="{00000000-0008-0000-4B00-00005C000000}"/>
            </a:ext>
          </a:extLst>
        </xdr:cNvPr>
        <xdr:cNvSpPr>
          <a:spLocks noChangeArrowheads="1"/>
        </xdr:cNvSpPr>
      </xdr:nvSpPr>
      <xdr:spPr bwMode="auto">
        <a:xfrm>
          <a:off x="7612380" y="7802880"/>
          <a:ext cx="0" cy="476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90</xdr:row>
      <xdr:rowOff>0</xdr:rowOff>
    </xdr:from>
    <xdr:to>
      <xdr:col>7</xdr:col>
      <xdr:colOff>0</xdr:colOff>
      <xdr:row>115</xdr:row>
      <xdr:rowOff>0</xdr:rowOff>
    </xdr:to>
    <xdr:sp macro="" textlink="">
      <xdr:nvSpPr>
        <xdr:cNvPr id="93" name="Rectangle 108">
          <a:extLst>
            <a:ext uri="{FF2B5EF4-FFF2-40B4-BE49-F238E27FC236}">
              <a16:creationId xmlns:a16="http://schemas.microsoft.com/office/drawing/2014/main" id="{00000000-0008-0000-4B00-00005D000000}"/>
            </a:ext>
          </a:extLst>
        </xdr:cNvPr>
        <xdr:cNvSpPr>
          <a:spLocks noChangeArrowheads="1"/>
        </xdr:cNvSpPr>
      </xdr:nvSpPr>
      <xdr:spPr bwMode="auto">
        <a:xfrm>
          <a:off x="7612380" y="7802880"/>
          <a:ext cx="0" cy="476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12</xdr:col>
      <xdr:colOff>1743075</xdr:colOff>
      <xdr:row>91</xdr:row>
      <xdr:rowOff>180975</xdr:rowOff>
    </xdr:from>
    <xdr:to>
      <xdr:col>12</xdr:col>
      <xdr:colOff>1743075</xdr:colOff>
      <xdr:row>95</xdr:row>
      <xdr:rowOff>0</xdr:rowOff>
    </xdr:to>
    <xdr:sp macro="" textlink="">
      <xdr:nvSpPr>
        <xdr:cNvPr id="94" name="Rectangle 107">
          <a:extLst>
            <a:ext uri="{FF2B5EF4-FFF2-40B4-BE49-F238E27FC236}">
              <a16:creationId xmlns:a16="http://schemas.microsoft.com/office/drawing/2014/main" id="{00000000-0008-0000-4B00-00005E000000}"/>
            </a:ext>
          </a:extLst>
        </xdr:cNvPr>
        <xdr:cNvSpPr>
          <a:spLocks noChangeArrowheads="1"/>
        </xdr:cNvSpPr>
      </xdr:nvSpPr>
      <xdr:spPr bwMode="auto">
        <a:xfrm>
          <a:off x="12837795" y="7983855"/>
          <a:ext cx="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13</xdr:col>
      <xdr:colOff>0</xdr:colOff>
      <xdr:row>91</xdr:row>
      <xdr:rowOff>0</xdr:rowOff>
    </xdr:from>
    <xdr:to>
      <xdr:col>13</xdr:col>
      <xdr:colOff>0</xdr:colOff>
      <xdr:row>95</xdr:row>
      <xdr:rowOff>0</xdr:rowOff>
    </xdr:to>
    <xdr:sp macro="" textlink="">
      <xdr:nvSpPr>
        <xdr:cNvPr id="95" name="Rectangle 108">
          <a:extLst>
            <a:ext uri="{FF2B5EF4-FFF2-40B4-BE49-F238E27FC236}">
              <a16:creationId xmlns:a16="http://schemas.microsoft.com/office/drawing/2014/main" id="{00000000-0008-0000-4B00-00005F000000}"/>
            </a:ext>
          </a:extLst>
        </xdr:cNvPr>
        <xdr:cNvSpPr>
          <a:spLocks noChangeArrowheads="1"/>
        </xdr:cNvSpPr>
      </xdr:nvSpPr>
      <xdr:spPr bwMode="auto">
        <a:xfrm>
          <a:off x="12893040" y="780288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12</xdr:col>
      <xdr:colOff>1743075</xdr:colOff>
      <xdr:row>93</xdr:row>
      <xdr:rowOff>180975</xdr:rowOff>
    </xdr:from>
    <xdr:to>
      <xdr:col>12</xdr:col>
      <xdr:colOff>1743075</xdr:colOff>
      <xdr:row>95</xdr:row>
      <xdr:rowOff>0</xdr:rowOff>
    </xdr:to>
    <xdr:sp macro="" textlink="">
      <xdr:nvSpPr>
        <xdr:cNvPr id="96" name="Rectangle 107">
          <a:extLst>
            <a:ext uri="{FF2B5EF4-FFF2-40B4-BE49-F238E27FC236}">
              <a16:creationId xmlns:a16="http://schemas.microsoft.com/office/drawing/2014/main" id="{00000000-0008-0000-4B00-000060000000}"/>
            </a:ext>
          </a:extLst>
        </xdr:cNvPr>
        <xdr:cNvSpPr>
          <a:spLocks noChangeArrowheads="1"/>
        </xdr:cNvSpPr>
      </xdr:nvSpPr>
      <xdr:spPr bwMode="auto">
        <a:xfrm>
          <a:off x="12837795" y="836485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58</xdr:row>
      <xdr:rowOff>0</xdr:rowOff>
    </xdr:from>
    <xdr:to>
      <xdr:col>3</xdr:col>
      <xdr:colOff>0</xdr:colOff>
      <xdr:row>74</xdr:row>
      <xdr:rowOff>0</xdr:rowOff>
    </xdr:to>
    <xdr:sp macro="" textlink="">
      <xdr:nvSpPr>
        <xdr:cNvPr id="97" name="Rectangle 107">
          <a:extLst>
            <a:ext uri="{FF2B5EF4-FFF2-40B4-BE49-F238E27FC236}">
              <a16:creationId xmlns:a16="http://schemas.microsoft.com/office/drawing/2014/main" id="{00000000-0008-0000-4B00-000061000000}"/>
            </a:ext>
          </a:extLst>
        </xdr:cNvPr>
        <xdr:cNvSpPr>
          <a:spLocks noChangeArrowheads="1"/>
        </xdr:cNvSpPr>
      </xdr:nvSpPr>
      <xdr:spPr bwMode="auto">
        <a:xfrm>
          <a:off x="3002280" y="1226820"/>
          <a:ext cx="0" cy="3093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58</xdr:row>
      <xdr:rowOff>0</xdr:rowOff>
    </xdr:from>
    <xdr:to>
      <xdr:col>3</xdr:col>
      <xdr:colOff>0</xdr:colOff>
      <xdr:row>74</xdr:row>
      <xdr:rowOff>0</xdr:rowOff>
    </xdr:to>
    <xdr:sp macro="" textlink="">
      <xdr:nvSpPr>
        <xdr:cNvPr id="98" name="Rectangle 108">
          <a:extLst>
            <a:ext uri="{FF2B5EF4-FFF2-40B4-BE49-F238E27FC236}">
              <a16:creationId xmlns:a16="http://schemas.microsoft.com/office/drawing/2014/main" id="{00000000-0008-0000-4B00-000062000000}"/>
            </a:ext>
          </a:extLst>
        </xdr:cNvPr>
        <xdr:cNvSpPr>
          <a:spLocks noChangeArrowheads="1"/>
        </xdr:cNvSpPr>
      </xdr:nvSpPr>
      <xdr:spPr bwMode="auto">
        <a:xfrm>
          <a:off x="3002280" y="1226820"/>
          <a:ext cx="0" cy="3093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58</xdr:row>
      <xdr:rowOff>0</xdr:rowOff>
    </xdr:from>
    <xdr:to>
      <xdr:col>7</xdr:col>
      <xdr:colOff>0</xdr:colOff>
      <xdr:row>76</xdr:row>
      <xdr:rowOff>0</xdr:rowOff>
    </xdr:to>
    <xdr:sp macro="" textlink="">
      <xdr:nvSpPr>
        <xdr:cNvPr id="99" name="Rectangle 107">
          <a:extLst>
            <a:ext uri="{FF2B5EF4-FFF2-40B4-BE49-F238E27FC236}">
              <a16:creationId xmlns:a16="http://schemas.microsoft.com/office/drawing/2014/main" id="{00000000-0008-0000-4B00-000063000000}"/>
            </a:ext>
          </a:extLst>
        </xdr:cNvPr>
        <xdr:cNvSpPr>
          <a:spLocks noChangeArrowheads="1"/>
        </xdr:cNvSpPr>
      </xdr:nvSpPr>
      <xdr:spPr bwMode="auto">
        <a:xfrm>
          <a:off x="7612380" y="1226820"/>
          <a:ext cx="0" cy="3459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58</xdr:row>
      <xdr:rowOff>0</xdr:rowOff>
    </xdr:from>
    <xdr:to>
      <xdr:col>7</xdr:col>
      <xdr:colOff>0</xdr:colOff>
      <xdr:row>76</xdr:row>
      <xdr:rowOff>0</xdr:rowOff>
    </xdr:to>
    <xdr:sp macro="" textlink="">
      <xdr:nvSpPr>
        <xdr:cNvPr id="100" name="Rectangle 108">
          <a:extLst>
            <a:ext uri="{FF2B5EF4-FFF2-40B4-BE49-F238E27FC236}">
              <a16:creationId xmlns:a16="http://schemas.microsoft.com/office/drawing/2014/main" id="{00000000-0008-0000-4B00-000064000000}"/>
            </a:ext>
          </a:extLst>
        </xdr:cNvPr>
        <xdr:cNvSpPr>
          <a:spLocks noChangeArrowheads="1"/>
        </xdr:cNvSpPr>
      </xdr:nvSpPr>
      <xdr:spPr bwMode="auto">
        <a:xfrm>
          <a:off x="7612380" y="1226820"/>
          <a:ext cx="0" cy="3459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13</xdr:col>
      <xdr:colOff>0</xdr:colOff>
      <xdr:row>59</xdr:row>
      <xdr:rowOff>0</xdr:rowOff>
    </xdr:from>
    <xdr:to>
      <xdr:col>13</xdr:col>
      <xdr:colOff>0</xdr:colOff>
      <xdr:row>62</xdr:row>
      <xdr:rowOff>0</xdr:rowOff>
    </xdr:to>
    <xdr:sp macro="" textlink="">
      <xdr:nvSpPr>
        <xdr:cNvPr id="101" name="Rectangle 107">
          <a:extLst>
            <a:ext uri="{FF2B5EF4-FFF2-40B4-BE49-F238E27FC236}">
              <a16:creationId xmlns:a16="http://schemas.microsoft.com/office/drawing/2014/main" id="{00000000-0008-0000-4B00-000065000000}"/>
            </a:ext>
          </a:extLst>
        </xdr:cNvPr>
        <xdr:cNvSpPr>
          <a:spLocks noChangeArrowheads="1"/>
        </xdr:cNvSpPr>
      </xdr:nvSpPr>
      <xdr:spPr bwMode="auto">
        <a:xfrm>
          <a:off x="12893040" y="1226820"/>
          <a:ext cx="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13</xdr:col>
      <xdr:colOff>0</xdr:colOff>
      <xdr:row>59</xdr:row>
      <xdr:rowOff>0</xdr:rowOff>
    </xdr:from>
    <xdr:to>
      <xdr:col>13</xdr:col>
      <xdr:colOff>0</xdr:colOff>
      <xdr:row>62</xdr:row>
      <xdr:rowOff>0</xdr:rowOff>
    </xdr:to>
    <xdr:sp macro="" textlink="">
      <xdr:nvSpPr>
        <xdr:cNvPr id="102" name="Rectangle 108">
          <a:extLst>
            <a:ext uri="{FF2B5EF4-FFF2-40B4-BE49-F238E27FC236}">
              <a16:creationId xmlns:a16="http://schemas.microsoft.com/office/drawing/2014/main" id="{00000000-0008-0000-4B00-000066000000}"/>
            </a:ext>
          </a:extLst>
        </xdr:cNvPr>
        <xdr:cNvSpPr>
          <a:spLocks noChangeArrowheads="1"/>
        </xdr:cNvSpPr>
      </xdr:nvSpPr>
      <xdr:spPr bwMode="auto">
        <a:xfrm>
          <a:off x="12893040" y="1226820"/>
          <a:ext cx="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13</xdr:col>
      <xdr:colOff>0</xdr:colOff>
      <xdr:row>59</xdr:row>
      <xdr:rowOff>0</xdr:rowOff>
    </xdr:from>
    <xdr:to>
      <xdr:col>13</xdr:col>
      <xdr:colOff>0</xdr:colOff>
      <xdr:row>62</xdr:row>
      <xdr:rowOff>0</xdr:rowOff>
    </xdr:to>
    <xdr:sp macro="" textlink="">
      <xdr:nvSpPr>
        <xdr:cNvPr id="103" name="Rectangle 107">
          <a:extLst>
            <a:ext uri="{FF2B5EF4-FFF2-40B4-BE49-F238E27FC236}">
              <a16:creationId xmlns:a16="http://schemas.microsoft.com/office/drawing/2014/main" id="{00000000-0008-0000-4B00-000067000000}"/>
            </a:ext>
          </a:extLst>
        </xdr:cNvPr>
        <xdr:cNvSpPr>
          <a:spLocks noChangeArrowheads="1"/>
        </xdr:cNvSpPr>
      </xdr:nvSpPr>
      <xdr:spPr bwMode="auto">
        <a:xfrm>
          <a:off x="12893040" y="1226820"/>
          <a:ext cx="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13</xdr:col>
      <xdr:colOff>0</xdr:colOff>
      <xdr:row>59</xdr:row>
      <xdr:rowOff>0</xdr:rowOff>
    </xdr:from>
    <xdr:to>
      <xdr:col>13</xdr:col>
      <xdr:colOff>0</xdr:colOff>
      <xdr:row>62</xdr:row>
      <xdr:rowOff>0</xdr:rowOff>
    </xdr:to>
    <xdr:sp macro="" textlink="">
      <xdr:nvSpPr>
        <xdr:cNvPr id="104" name="Rectangle 108">
          <a:extLst>
            <a:ext uri="{FF2B5EF4-FFF2-40B4-BE49-F238E27FC236}">
              <a16:creationId xmlns:a16="http://schemas.microsoft.com/office/drawing/2014/main" id="{00000000-0008-0000-4B00-000068000000}"/>
            </a:ext>
          </a:extLst>
        </xdr:cNvPr>
        <xdr:cNvSpPr>
          <a:spLocks noChangeArrowheads="1"/>
        </xdr:cNvSpPr>
      </xdr:nvSpPr>
      <xdr:spPr bwMode="auto">
        <a:xfrm>
          <a:off x="12893040" y="1226820"/>
          <a:ext cx="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13</xdr:col>
      <xdr:colOff>-19050</xdr:colOff>
      <xdr:row>31</xdr:row>
      <xdr:rowOff>0</xdr:rowOff>
    </xdr:from>
    <xdr:ext cx="38100" cy="600075"/>
    <xdr:sp macro="" textlink="">
      <xdr:nvSpPr>
        <xdr:cNvPr id="105" name="Shape 5">
          <a:extLst>
            <a:ext uri="{FF2B5EF4-FFF2-40B4-BE49-F238E27FC236}">
              <a16:creationId xmlns:a16="http://schemas.microsoft.com/office/drawing/2014/main" id="{C5A22219-D8AB-4314-9CA2-0BF0FF1D7700}"/>
            </a:ext>
          </a:extLst>
        </xdr:cNvPr>
        <xdr:cNvSpPr/>
      </xdr:nvSpPr>
      <xdr:spPr>
        <a:xfrm>
          <a:off x="10617200" y="1485900"/>
          <a:ext cx="38100" cy="600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13</xdr:col>
      <xdr:colOff>-19050</xdr:colOff>
      <xdr:row>31</xdr:row>
      <xdr:rowOff>0</xdr:rowOff>
    </xdr:from>
    <xdr:ext cx="38100" cy="600075"/>
    <xdr:sp macro="" textlink="">
      <xdr:nvSpPr>
        <xdr:cNvPr id="106" name="Shape 5">
          <a:extLst>
            <a:ext uri="{FF2B5EF4-FFF2-40B4-BE49-F238E27FC236}">
              <a16:creationId xmlns:a16="http://schemas.microsoft.com/office/drawing/2014/main" id="{34CFFDB9-5FAA-402C-8FD9-B45AD391A609}"/>
            </a:ext>
          </a:extLst>
        </xdr:cNvPr>
        <xdr:cNvSpPr/>
      </xdr:nvSpPr>
      <xdr:spPr>
        <a:xfrm>
          <a:off x="10617200" y="1485900"/>
          <a:ext cx="38100" cy="600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13</xdr:col>
      <xdr:colOff>-19050</xdr:colOff>
      <xdr:row>31</xdr:row>
      <xdr:rowOff>0</xdr:rowOff>
    </xdr:from>
    <xdr:ext cx="38100" cy="600075"/>
    <xdr:sp macro="" textlink="">
      <xdr:nvSpPr>
        <xdr:cNvPr id="107" name="Shape 5">
          <a:extLst>
            <a:ext uri="{FF2B5EF4-FFF2-40B4-BE49-F238E27FC236}">
              <a16:creationId xmlns:a16="http://schemas.microsoft.com/office/drawing/2014/main" id="{FC47DCF8-AAFB-4E77-B0E9-A80161DD0B9F}"/>
            </a:ext>
          </a:extLst>
        </xdr:cNvPr>
        <xdr:cNvSpPr/>
      </xdr:nvSpPr>
      <xdr:spPr>
        <a:xfrm>
          <a:off x="10617200" y="1485900"/>
          <a:ext cx="38100" cy="600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13</xdr:col>
      <xdr:colOff>-19050</xdr:colOff>
      <xdr:row>31</xdr:row>
      <xdr:rowOff>0</xdr:rowOff>
    </xdr:from>
    <xdr:ext cx="38100" cy="600075"/>
    <xdr:sp macro="" textlink="">
      <xdr:nvSpPr>
        <xdr:cNvPr id="108" name="Shape 5">
          <a:extLst>
            <a:ext uri="{FF2B5EF4-FFF2-40B4-BE49-F238E27FC236}">
              <a16:creationId xmlns:a16="http://schemas.microsoft.com/office/drawing/2014/main" id="{081B0BBA-9AA3-4B92-B5F5-B54BE0CFFCB2}"/>
            </a:ext>
          </a:extLst>
        </xdr:cNvPr>
        <xdr:cNvSpPr/>
      </xdr:nvSpPr>
      <xdr:spPr>
        <a:xfrm>
          <a:off x="10617200" y="1485900"/>
          <a:ext cx="38100" cy="600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twoCellAnchor>
    <xdr:from>
      <xdr:col>3</xdr:col>
      <xdr:colOff>0</xdr:colOff>
      <xdr:row>6</xdr:row>
      <xdr:rowOff>0</xdr:rowOff>
    </xdr:from>
    <xdr:to>
      <xdr:col>3</xdr:col>
      <xdr:colOff>0</xdr:colOff>
      <xdr:row>15</xdr:row>
      <xdr:rowOff>0</xdr:rowOff>
    </xdr:to>
    <xdr:sp macro="" textlink="">
      <xdr:nvSpPr>
        <xdr:cNvPr id="109" name="Rectangle 107">
          <a:extLst>
            <a:ext uri="{FF2B5EF4-FFF2-40B4-BE49-F238E27FC236}">
              <a16:creationId xmlns:a16="http://schemas.microsoft.com/office/drawing/2014/main" id="{00000000-0008-0000-0000-000029200000}"/>
            </a:ext>
          </a:extLst>
        </xdr:cNvPr>
        <xdr:cNvSpPr>
          <a:spLocks noChangeArrowheads="1"/>
        </xdr:cNvSpPr>
      </xdr:nvSpPr>
      <xdr:spPr bwMode="auto">
        <a:xfrm>
          <a:off x="3429000" y="1400175"/>
          <a:ext cx="0" cy="184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6</xdr:row>
      <xdr:rowOff>0</xdr:rowOff>
    </xdr:from>
    <xdr:to>
      <xdr:col>3</xdr:col>
      <xdr:colOff>0</xdr:colOff>
      <xdr:row>15</xdr:row>
      <xdr:rowOff>0</xdr:rowOff>
    </xdr:to>
    <xdr:sp macro="" textlink="">
      <xdr:nvSpPr>
        <xdr:cNvPr id="110" name="Rectangle 108">
          <a:extLst>
            <a:ext uri="{FF2B5EF4-FFF2-40B4-BE49-F238E27FC236}">
              <a16:creationId xmlns:a16="http://schemas.microsoft.com/office/drawing/2014/main" id="{00000000-0008-0000-0000-00002A200000}"/>
            </a:ext>
          </a:extLst>
        </xdr:cNvPr>
        <xdr:cNvSpPr>
          <a:spLocks noChangeArrowheads="1"/>
        </xdr:cNvSpPr>
      </xdr:nvSpPr>
      <xdr:spPr bwMode="auto">
        <a:xfrm>
          <a:off x="3429000" y="1400175"/>
          <a:ext cx="0" cy="184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16</xdr:row>
      <xdr:rowOff>0</xdr:rowOff>
    </xdr:to>
    <xdr:sp macro="" textlink="">
      <xdr:nvSpPr>
        <xdr:cNvPr id="111" name="Rectangle 107">
          <a:extLst>
            <a:ext uri="{FF2B5EF4-FFF2-40B4-BE49-F238E27FC236}">
              <a16:creationId xmlns:a16="http://schemas.microsoft.com/office/drawing/2014/main" id="{00000000-0008-0000-0000-00002B200000}"/>
            </a:ext>
          </a:extLst>
        </xdr:cNvPr>
        <xdr:cNvSpPr>
          <a:spLocks noChangeArrowheads="1"/>
        </xdr:cNvSpPr>
      </xdr:nvSpPr>
      <xdr:spPr bwMode="auto">
        <a:xfrm>
          <a:off x="3429000" y="6391275"/>
          <a:ext cx="0" cy="2495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16</xdr:row>
      <xdr:rowOff>0</xdr:rowOff>
    </xdr:to>
    <xdr:sp macro="" textlink="">
      <xdr:nvSpPr>
        <xdr:cNvPr id="112" name="Rectangle 108">
          <a:extLst>
            <a:ext uri="{FF2B5EF4-FFF2-40B4-BE49-F238E27FC236}">
              <a16:creationId xmlns:a16="http://schemas.microsoft.com/office/drawing/2014/main" id="{00000000-0008-0000-0000-00002C200000}"/>
            </a:ext>
          </a:extLst>
        </xdr:cNvPr>
        <xdr:cNvSpPr>
          <a:spLocks noChangeArrowheads="1"/>
        </xdr:cNvSpPr>
      </xdr:nvSpPr>
      <xdr:spPr bwMode="auto">
        <a:xfrm>
          <a:off x="3429000" y="6391275"/>
          <a:ext cx="0" cy="2495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10</xdr:row>
      <xdr:rowOff>0</xdr:rowOff>
    </xdr:to>
    <xdr:sp macro="" textlink="">
      <xdr:nvSpPr>
        <xdr:cNvPr id="113" name="Rectangle 107">
          <a:extLst>
            <a:ext uri="{FF2B5EF4-FFF2-40B4-BE49-F238E27FC236}">
              <a16:creationId xmlns:a16="http://schemas.microsoft.com/office/drawing/2014/main" id="{00000000-0008-0000-0000-00002D200000}"/>
            </a:ext>
          </a:extLst>
        </xdr:cNvPr>
        <xdr:cNvSpPr>
          <a:spLocks noChangeArrowheads="1"/>
        </xdr:cNvSpPr>
      </xdr:nvSpPr>
      <xdr:spPr bwMode="auto">
        <a:xfrm>
          <a:off x="8639175" y="1209675"/>
          <a:ext cx="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10</xdr:row>
      <xdr:rowOff>0</xdr:rowOff>
    </xdr:to>
    <xdr:sp macro="" textlink="">
      <xdr:nvSpPr>
        <xdr:cNvPr id="114" name="Rectangle 108">
          <a:extLst>
            <a:ext uri="{FF2B5EF4-FFF2-40B4-BE49-F238E27FC236}">
              <a16:creationId xmlns:a16="http://schemas.microsoft.com/office/drawing/2014/main" id="{00000000-0008-0000-0000-00002E200000}"/>
            </a:ext>
          </a:extLst>
        </xdr:cNvPr>
        <xdr:cNvSpPr>
          <a:spLocks noChangeArrowheads="1"/>
        </xdr:cNvSpPr>
      </xdr:nvSpPr>
      <xdr:spPr bwMode="auto">
        <a:xfrm>
          <a:off x="8639175" y="1209675"/>
          <a:ext cx="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13</xdr:col>
      <xdr:colOff>0</xdr:colOff>
      <xdr:row>7</xdr:row>
      <xdr:rowOff>0</xdr:rowOff>
    </xdr:from>
    <xdr:to>
      <xdr:col>13</xdr:col>
      <xdr:colOff>0</xdr:colOff>
      <xdr:row>10</xdr:row>
      <xdr:rowOff>0</xdr:rowOff>
    </xdr:to>
    <xdr:sp macro="" textlink="">
      <xdr:nvSpPr>
        <xdr:cNvPr id="115" name="Rectangle 107">
          <a:extLst>
            <a:ext uri="{FF2B5EF4-FFF2-40B4-BE49-F238E27FC236}">
              <a16:creationId xmlns:a16="http://schemas.microsoft.com/office/drawing/2014/main" id="{00000000-0008-0000-0000-00002F200000}"/>
            </a:ext>
          </a:extLst>
        </xdr:cNvPr>
        <xdr:cNvSpPr>
          <a:spLocks noChangeArrowheads="1"/>
        </xdr:cNvSpPr>
      </xdr:nvSpPr>
      <xdr:spPr bwMode="auto">
        <a:xfrm>
          <a:off x="8639175" y="1400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13</xdr:col>
      <xdr:colOff>0</xdr:colOff>
      <xdr:row>7</xdr:row>
      <xdr:rowOff>0</xdr:rowOff>
    </xdr:from>
    <xdr:to>
      <xdr:col>13</xdr:col>
      <xdr:colOff>0</xdr:colOff>
      <xdr:row>10</xdr:row>
      <xdr:rowOff>0</xdr:rowOff>
    </xdr:to>
    <xdr:sp macro="" textlink="">
      <xdr:nvSpPr>
        <xdr:cNvPr id="116" name="Rectangle 108">
          <a:extLst>
            <a:ext uri="{FF2B5EF4-FFF2-40B4-BE49-F238E27FC236}">
              <a16:creationId xmlns:a16="http://schemas.microsoft.com/office/drawing/2014/main" id="{00000000-0008-0000-0000-000030200000}"/>
            </a:ext>
          </a:extLst>
        </xdr:cNvPr>
        <xdr:cNvSpPr>
          <a:spLocks noChangeArrowheads="1"/>
        </xdr:cNvSpPr>
      </xdr:nvSpPr>
      <xdr:spPr bwMode="auto">
        <a:xfrm>
          <a:off x="8639175" y="140017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107951</xdr:colOff>
      <xdr:row>44</xdr:row>
      <xdr:rowOff>101599</xdr:rowOff>
    </xdr:from>
    <xdr:to>
      <xdr:col>20</xdr:col>
      <xdr:colOff>680508</xdr:colOff>
      <xdr:row>76</xdr:row>
      <xdr:rowOff>69850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295275</xdr:colOff>
      <xdr:row>0</xdr:row>
      <xdr:rowOff>184786</xdr:rowOff>
    </xdr:from>
    <xdr:to>
      <xdr:col>19</xdr:col>
      <xdr:colOff>581025</xdr:colOff>
      <xdr:row>0</xdr:row>
      <xdr:rowOff>485776</xdr:rowOff>
    </xdr:to>
    <xdr:sp macro="" textlink="">
      <xdr:nvSpPr>
        <xdr:cNvPr id="3" name="5 Botón de acción: Inici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SpPr/>
      </xdr:nvSpPr>
      <xdr:spPr>
        <a:xfrm>
          <a:off x="13820775" y="184786"/>
          <a:ext cx="285750" cy="300990"/>
        </a:xfrm>
        <a:prstGeom prst="actionButtonHome">
          <a:avLst/>
        </a:prstGeom>
        <a:solidFill>
          <a:srgbClr val="AD25A8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31750</xdr:colOff>
      <xdr:row>34</xdr:row>
      <xdr:rowOff>33546</xdr:rowOff>
    </xdr:from>
    <xdr:to>
      <xdr:col>21</xdr:col>
      <xdr:colOff>6349</xdr:colOff>
      <xdr:row>64</xdr:row>
      <xdr:rowOff>160865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292100</xdr:colOff>
      <xdr:row>0</xdr:row>
      <xdr:rowOff>114300</xdr:rowOff>
    </xdr:from>
    <xdr:to>
      <xdr:col>19</xdr:col>
      <xdr:colOff>577850</xdr:colOff>
      <xdr:row>0</xdr:row>
      <xdr:rowOff>409576</xdr:rowOff>
    </xdr:to>
    <xdr:sp macro="" textlink="">
      <xdr:nvSpPr>
        <xdr:cNvPr id="3" name="4 Botón de acción: Inici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SpPr/>
      </xdr:nvSpPr>
      <xdr:spPr>
        <a:xfrm>
          <a:off x="13817600" y="114300"/>
          <a:ext cx="285750" cy="295276"/>
        </a:xfrm>
        <a:prstGeom prst="actionButtonHome">
          <a:avLst/>
        </a:prstGeom>
        <a:solidFill>
          <a:srgbClr val="AD25A8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765175</xdr:colOff>
      <xdr:row>0</xdr:row>
      <xdr:rowOff>69850</xdr:rowOff>
    </xdr:from>
    <xdr:to>
      <xdr:col>6</xdr:col>
      <xdr:colOff>1050925</xdr:colOff>
      <xdr:row>1</xdr:row>
      <xdr:rowOff>69850</xdr:rowOff>
    </xdr:to>
    <xdr:sp macro="" textlink="">
      <xdr:nvSpPr>
        <xdr:cNvPr id="2" name="5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/>
      </xdr:nvSpPr>
      <xdr:spPr>
        <a:xfrm>
          <a:off x="6548755" y="69850"/>
          <a:ext cx="285750" cy="228600"/>
        </a:xfrm>
        <a:prstGeom prst="actionButtonHome">
          <a:avLst/>
        </a:prstGeom>
        <a:solidFill>
          <a:srgbClr val="AD25A8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>
    <xdr:from>
      <xdr:col>7</xdr:col>
      <xdr:colOff>647700</xdr:colOff>
      <xdr:row>231</xdr:row>
      <xdr:rowOff>119062</xdr:rowOff>
    </xdr:from>
    <xdr:to>
      <xdr:col>13</xdr:col>
      <xdr:colOff>600075</xdr:colOff>
      <xdr:row>246</xdr:row>
      <xdr:rowOff>4762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00000000-0008-0000-4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261</xdr:row>
      <xdr:rowOff>0</xdr:rowOff>
    </xdr:from>
    <xdr:to>
      <xdr:col>13</xdr:col>
      <xdr:colOff>666750</xdr:colOff>
      <xdr:row>275</xdr:row>
      <xdr:rowOff>76200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4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290</xdr:row>
      <xdr:rowOff>0</xdr:rowOff>
    </xdr:from>
    <xdr:to>
      <xdr:col>13</xdr:col>
      <xdr:colOff>666750</xdr:colOff>
      <xdr:row>303</xdr:row>
      <xdr:rowOff>142875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4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316</xdr:row>
      <xdr:rowOff>0</xdr:rowOff>
    </xdr:from>
    <xdr:to>
      <xdr:col>13</xdr:col>
      <xdr:colOff>666750</xdr:colOff>
      <xdr:row>329</xdr:row>
      <xdr:rowOff>142875</xdr:rowOff>
    </xdr:to>
    <xdr:graphicFrame macro="">
      <xdr:nvGraphicFramePr>
        <xdr:cNvPr id="6" name="6 Gráfico">
          <a:extLst>
            <a:ext uri="{FF2B5EF4-FFF2-40B4-BE49-F238E27FC236}">
              <a16:creationId xmlns:a16="http://schemas.microsoft.com/office/drawing/2014/main" id="{00000000-0008-0000-4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343</xdr:row>
      <xdr:rowOff>0</xdr:rowOff>
    </xdr:from>
    <xdr:to>
      <xdr:col>13</xdr:col>
      <xdr:colOff>666750</xdr:colOff>
      <xdr:row>356</xdr:row>
      <xdr:rowOff>142875</xdr:rowOff>
    </xdr:to>
    <xdr:graphicFrame macro="">
      <xdr:nvGraphicFramePr>
        <xdr:cNvPr id="7" name="7 Gráfico">
          <a:extLst>
            <a:ext uri="{FF2B5EF4-FFF2-40B4-BE49-F238E27FC236}">
              <a16:creationId xmlns:a16="http://schemas.microsoft.com/office/drawing/2014/main" id="{00000000-0008-0000-4E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368</xdr:row>
      <xdr:rowOff>0</xdr:rowOff>
    </xdr:from>
    <xdr:to>
      <xdr:col>13</xdr:col>
      <xdr:colOff>666750</xdr:colOff>
      <xdr:row>381</xdr:row>
      <xdr:rowOff>142875</xdr:rowOff>
    </xdr:to>
    <xdr:graphicFrame macro="">
      <xdr:nvGraphicFramePr>
        <xdr:cNvPr id="8" name="8 Gráfico">
          <a:extLst>
            <a:ext uri="{FF2B5EF4-FFF2-40B4-BE49-F238E27FC236}">
              <a16:creationId xmlns:a16="http://schemas.microsoft.com/office/drawing/2014/main" id="{00000000-0008-0000-4E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196</xdr:row>
      <xdr:rowOff>0</xdr:rowOff>
    </xdr:from>
    <xdr:to>
      <xdr:col>13</xdr:col>
      <xdr:colOff>666750</xdr:colOff>
      <xdr:row>210</xdr:row>
      <xdr:rowOff>76200</xdr:rowOff>
    </xdr:to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00000000-0008-0000-4E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165</xdr:row>
      <xdr:rowOff>190499</xdr:rowOff>
    </xdr:from>
    <xdr:to>
      <xdr:col>14</xdr:col>
      <xdr:colOff>257175</xdr:colOff>
      <xdr:row>181</xdr:row>
      <xdr:rowOff>104774</xdr:rowOff>
    </xdr:to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00000000-0008-0000-4E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38100</xdr:colOff>
      <xdr:row>134</xdr:row>
      <xdr:rowOff>66675</xdr:rowOff>
    </xdr:from>
    <xdr:to>
      <xdr:col>14</xdr:col>
      <xdr:colOff>295275</xdr:colOff>
      <xdr:row>148</xdr:row>
      <xdr:rowOff>95250</xdr:rowOff>
    </xdr:to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00000000-0008-0000-4E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101</xdr:row>
      <xdr:rowOff>0</xdr:rowOff>
    </xdr:from>
    <xdr:to>
      <xdr:col>14</xdr:col>
      <xdr:colOff>257175</xdr:colOff>
      <xdr:row>113</xdr:row>
      <xdr:rowOff>60325</xdr:rowOff>
    </xdr:to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00000000-0008-0000-4E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67</xdr:row>
      <xdr:rowOff>0</xdr:rowOff>
    </xdr:from>
    <xdr:to>
      <xdr:col>14</xdr:col>
      <xdr:colOff>257175</xdr:colOff>
      <xdr:row>82</xdr:row>
      <xdr:rowOff>0</xdr:rowOff>
    </xdr:to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00000000-0008-0000-4E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36</xdr:row>
      <xdr:rowOff>0</xdr:rowOff>
    </xdr:from>
    <xdr:to>
      <xdr:col>14</xdr:col>
      <xdr:colOff>257175</xdr:colOff>
      <xdr:row>47</xdr:row>
      <xdr:rowOff>206376</xdr:rowOff>
    </xdr:to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C73C2187-A622-4E4D-8AB8-966A9768F9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714374</xdr:colOff>
      <xdr:row>5</xdr:row>
      <xdr:rowOff>0</xdr:rowOff>
    </xdr:from>
    <xdr:to>
      <xdr:col>14</xdr:col>
      <xdr:colOff>523874</xdr:colOff>
      <xdr:row>18</xdr:row>
      <xdr:rowOff>133350</xdr:rowOff>
    </xdr:to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C73C2187-A622-4E4D-8AB8-966A9768F9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63500</xdr:colOff>
      <xdr:row>23</xdr:row>
      <xdr:rowOff>127000</xdr:rowOff>
    </xdr:from>
    <xdr:to>
      <xdr:col>32</xdr:col>
      <xdr:colOff>19049</xdr:colOff>
      <xdr:row>52</xdr:row>
      <xdr:rowOff>19050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10584</xdr:colOff>
      <xdr:row>61</xdr:row>
      <xdr:rowOff>118268</xdr:rowOff>
    </xdr:from>
    <xdr:to>
      <xdr:col>32</xdr:col>
      <xdr:colOff>9526</xdr:colOff>
      <xdr:row>87</xdr:row>
      <xdr:rowOff>76200</xdr:rowOff>
    </xdr:to>
    <xdr:graphicFrame macro="">
      <xdr:nvGraphicFramePr>
        <xdr:cNvPr id="3" name="4 Gráfico"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31750</xdr:colOff>
      <xdr:row>105</xdr:row>
      <xdr:rowOff>0</xdr:rowOff>
    </xdr:from>
    <xdr:to>
      <xdr:col>32</xdr:col>
      <xdr:colOff>19050</xdr:colOff>
      <xdr:row>132</xdr:row>
      <xdr:rowOff>136524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4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411162</xdr:colOff>
      <xdr:row>0</xdr:row>
      <xdr:rowOff>87314</xdr:rowOff>
    </xdr:from>
    <xdr:to>
      <xdr:col>10</xdr:col>
      <xdr:colOff>650875</xdr:colOff>
      <xdr:row>1</xdr:row>
      <xdr:rowOff>82550</xdr:rowOff>
    </xdr:to>
    <xdr:sp macro="" textlink="">
      <xdr:nvSpPr>
        <xdr:cNvPr id="5" name="5 Botón de acción: Inici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4F00-000005000000}"/>
            </a:ext>
          </a:extLst>
        </xdr:cNvPr>
        <xdr:cNvSpPr/>
      </xdr:nvSpPr>
      <xdr:spPr>
        <a:xfrm>
          <a:off x="8069262" y="87314"/>
          <a:ext cx="239713" cy="216216"/>
        </a:xfrm>
        <a:prstGeom prst="actionButtonHome">
          <a:avLst/>
        </a:prstGeom>
        <a:solidFill>
          <a:srgbClr val="AD25A8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426026</xdr:colOff>
      <xdr:row>0</xdr:row>
      <xdr:rowOff>59171</xdr:rowOff>
    </xdr:from>
    <xdr:to>
      <xdr:col>18</xdr:col>
      <xdr:colOff>662420</xdr:colOff>
      <xdr:row>1</xdr:row>
      <xdr:rowOff>53975</xdr:rowOff>
    </xdr:to>
    <xdr:sp macro="" textlink="">
      <xdr:nvSpPr>
        <xdr:cNvPr id="2" name="5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/>
      </xdr:nvSpPr>
      <xdr:spPr>
        <a:xfrm>
          <a:off x="16599476" y="59171"/>
          <a:ext cx="236394" cy="232929"/>
        </a:xfrm>
        <a:prstGeom prst="actionButtonHome">
          <a:avLst/>
        </a:prstGeom>
        <a:solidFill>
          <a:srgbClr val="AD25A8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>
    <xdr:from>
      <xdr:col>8</xdr:col>
      <xdr:colOff>105228</xdr:colOff>
      <xdr:row>14</xdr:row>
      <xdr:rowOff>46990</xdr:rowOff>
    </xdr:from>
    <xdr:to>
      <xdr:col>18</xdr:col>
      <xdr:colOff>868044</xdr:colOff>
      <xdr:row>44</xdr:row>
      <xdr:rowOff>82550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5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58</xdr:col>
      <xdr:colOff>223519</xdr:colOff>
      <xdr:row>0</xdr:row>
      <xdr:rowOff>215265</xdr:rowOff>
    </xdr:from>
    <xdr:to>
      <xdr:col>58</xdr:col>
      <xdr:colOff>480694</xdr:colOff>
      <xdr:row>1</xdr:row>
      <xdr:rowOff>15240</xdr:rowOff>
    </xdr:to>
    <xdr:sp macro="" textlink="">
      <xdr:nvSpPr>
        <xdr:cNvPr id="2" name="2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37241479" y="215265"/>
          <a:ext cx="257175" cy="264795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017/MIR/SIPSE/TRIMESTRE%202/SOPORTE%20/S243/Vinculaci&#243;n%20/C/Users/cgarnica/Documents/ARCHIVOS%20DE%20TRABAJO/2017/MIR/SIPSE/TRIM%201/SOPORTE/C/CUENTA%20P&#218;BLICA/Macintosh%20HDUsers/mlmelendez/Documents/TF199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ZASXI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transparencia.uam.mx/inforganos/anuarios/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://www.transparencia.uam.mx/inforganos/anuarios/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://www.transparencia.uam.mx/inforganos/anuarios/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http://www.transparencia.uam.mx/inforganos/anuarios/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.xml"/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http://www.transparencia.uam.mx/inforganos/anuarios/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transparencia.uam.mx/inforganos/anuarios/" TargetMode="Externa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4.xml"/><Relationship Id="rId2" Type="http://schemas.openxmlformats.org/officeDocument/2006/relationships/printerSettings" Target="../printerSettings/printerSettings34.bin"/><Relationship Id="rId1" Type="http://schemas.openxmlformats.org/officeDocument/2006/relationships/hyperlink" Target="https://zacatlan.rec.uam.mx:8443/dti/ind/iiwbc000" TargetMode="Externa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transparencia.uam.mx/inforganos/anuarios/" TargetMode="External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transparencia.uam.mx/inforganos/anuarios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E6:N18"/>
  <sheetViews>
    <sheetView showGridLines="0" zoomScale="110" zoomScaleNormal="110" workbookViewId="0">
      <selection activeCell="O29" sqref="O29"/>
    </sheetView>
  </sheetViews>
  <sheetFormatPr baseColWidth="10" defaultRowHeight="13.2" x14ac:dyDescent="0.25"/>
  <sheetData>
    <row r="6" spans="5:14" ht="13.5" customHeight="1" x14ac:dyDescent="0.25">
      <c r="E6" s="5706"/>
      <c r="F6" s="5706"/>
      <c r="G6" s="5706"/>
      <c r="H6" s="5706"/>
      <c r="I6" s="5706"/>
      <c r="J6" s="5706"/>
      <c r="K6" s="5706"/>
    </row>
    <row r="9" spans="5:14" ht="12.75" customHeight="1" x14ac:dyDescent="0.25">
      <c r="G9" s="5707"/>
      <c r="H9" s="5707"/>
      <c r="I9" s="5707"/>
    </row>
    <row r="11" spans="5:14" ht="15.75" customHeight="1" x14ac:dyDescent="0.7">
      <c r="I11" s="1"/>
      <c r="J11" s="1"/>
      <c r="K11" s="1"/>
      <c r="L11" s="1"/>
      <c r="M11" s="1"/>
      <c r="N11" s="1"/>
    </row>
    <row r="14" spans="5:14" x14ac:dyDescent="0.25">
      <c r="H14" s="2"/>
    </row>
    <row r="17" spans="6:10" ht="13.8" x14ac:dyDescent="0.25">
      <c r="F17" s="3"/>
      <c r="G17" s="3"/>
      <c r="H17" s="3"/>
      <c r="I17" s="3"/>
      <c r="J17" s="3"/>
    </row>
    <row r="18" spans="6:10" ht="13.8" x14ac:dyDescent="0.25">
      <c r="G18" s="3"/>
      <c r="H18" s="3"/>
      <c r="I18" s="3"/>
    </row>
  </sheetData>
  <mergeCells count="2">
    <mergeCell ref="E6:K6"/>
    <mergeCell ref="G9:I9"/>
  </mergeCells>
  <printOptions horizontalCentered="1" verticalCentered="1"/>
  <pageMargins left="0.39370078740157483" right="0.39370078740157483" top="0.35433070866141736" bottom="0.35433070866141736" header="0" footer="0"/>
  <pageSetup scale="8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B1:BJ83"/>
  <sheetViews>
    <sheetView showGridLines="0" zoomScaleNormal="100" zoomScaleSheetLayoutView="70" workbookViewId="0">
      <pane xSplit="2" ySplit="5" topLeftCell="AQ12" activePane="bottomRight" state="frozen"/>
      <selection activeCell="Q31" sqref="Q31"/>
      <selection pane="topRight" activeCell="Q31" sqref="Q31"/>
      <selection pane="bottomLeft" activeCell="Q31" sqref="Q31"/>
      <selection pane="bottomRight" activeCell="Q31" sqref="Q31"/>
    </sheetView>
  </sheetViews>
  <sheetFormatPr baseColWidth="10" defaultColWidth="11.44140625" defaultRowHeight="15" x14ac:dyDescent="0.25"/>
  <cols>
    <col min="1" max="1" width="2.88671875" style="372" customWidth="1"/>
    <col min="2" max="2" width="19.88671875" style="372" customWidth="1"/>
    <col min="3" max="71" width="8.88671875" style="372" customWidth="1"/>
    <col min="72" max="255" width="11.44140625" style="372"/>
    <col min="256" max="256" width="2" style="372" customWidth="1"/>
    <col min="257" max="257" width="20.5546875" style="372" customWidth="1"/>
    <col min="258" max="258" width="15" style="372" customWidth="1"/>
    <col min="259" max="260" width="9.109375" style="372" bestFit="1" customWidth="1"/>
    <col min="261" max="261" width="10.88671875" style="372" customWidth="1"/>
    <col min="262" max="263" width="9.109375" style="372" bestFit="1" customWidth="1"/>
    <col min="264" max="264" width="10.88671875" style="372" customWidth="1"/>
    <col min="265" max="266" width="8.88671875" style="372" bestFit="1" customWidth="1"/>
    <col min="267" max="267" width="10.88671875" style="372" customWidth="1"/>
    <col min="268" max="269" width="8.88671875" style="372" bestFit="1" customWidth="1"/>
    <col min="270" max="270" width="10.88671875" style="372" customWidth="1"/>
    <col min="271" max="272" width="8.88671875" style="372" bestFit="1" customWidth="1"/>
    <col min="273" max="273" width="10.88671875" style="372" customWidth="1"/>
    <col min="274" max="275" width="9.109375" style="372" bestFit="1" customWidth="1"/>
    <col min="276" max="276" width="10.88671875" style="372" customWidth="1"/>
    <col min="277" max="278" width="7.88671875" style="372" bestFit="1" customWidth="1"/>
    <col min="279" max="279" width="9" style="372" bestFit="1" customWidth="1"/>
    <col min="280" max="280" width="7.88671875" style="372" bestFit="1" customWidth="1"/>
    <col min="281" max="281" width="6.109375" style="372" bestFit="1" customWidth="1"/>
    <col min="282" max="282" width="10.88671875" style="372" customWidth="1"/>
    <col min="283" max="511" width="11.44140625" style="372"/>
    <col min="512" max="512" width="2" style="372" customWidth="1"/>
    <col min="513" max="513" width="20.5546875" style="372" customWidth="1"/>
    <col min="514" max="514" width="15" style="372" customWidth="1"/>
    <col min="515" max="516" width="9.109375" style="372" bestFit="1" customWidth="1"/>
    <col min="517" max="517" width="10.88671875" style="372" customWidth="1"/>
    <col min="518" max="519" width="9.109375" style="372" bestFit="1" customWidth="1"/>
    <col min="520" max="520" width="10.88671875" style="372" customWidth="1"/>
    <col min="521" max="522" width="8.88671875" style="372" bestFit="1" customWidth="1"/>
    <col min="523" max="523" width="10.88671875" style="372" customWidth="1"/>
    <col min="524" max="525" width="8.88671875" style="372" bestFit="1" customWidth="1"/>
    <col min="526" max="526" width="10.88671875" style="372" customWidth="1"/>
    <col min="527" max="528" width="8.88671875" style="372" bestFit="1" customWidth="1"/>
    <col min="529" max="529" width="10.88671875" style="372" customWidth="1"/>
    <col min="530" max="531" width="9.109375" style="372" bestFit="1" customWidth="1"/>
    <col min="532" max="532" width="10.88671875" style="372" customWidth="1"/>
    <col min="533" max="534" width="7.88671875" style="372" bestFit="1" customWidth="1"/>
    <col min="535" max="535" width="9" style="372" bestFit="1" customWidth="1"/>
    <col min="536" max="536" width="7.88671875" style="372" bestFit="1" customWidth="1"/>
    <col min="537" max="537" width="6.109375" style="372" bestFit="1" customWidth="1"/>
    <col min="538" max="538" width="10.88671875" style="372" customWidth="1"/>
    <col min="539" max="767" width="11.44140625" style="372"/>
    <col min="768" max="768" width="2" style="372" customWidth="1"/>
    <col min="769" max="769" width="20.5546875" style="372" customWidth="1"/>
    <col min="770" max="770" width="15" style="372" customWidth="1"/>
    <col min="771" max="772" width="9.109375" style="372" bestFit="1" customWidth="1"/>
    <col min="773" max="773" width="10.88671875" style="372" customWidth="1"/>
    <col min="774" max="775" width="9.109375" style="372" bestFit="1" customWidth="1"/>
    <col min="776" max="776" width="10.88671875" style="372" customWidth="1"/>
    <col min="777" max="778" width="8.88671875" style="372" bestFit="1" customWidth="1"/>
    <col min="779" max="779" width="10.88671875" style="372" customWidth="1"/>
    <col min="780" max="781" width="8.88671875" style="372" bestFit="1" customWidth="1"/>
    <col min="782" max="782" width="10.88671875" style="372" customWidth="1"/>
    <col min="783" max="784" width="8.88671875" style="372" bestFit="1" customWidth="1"/>
    <col min="785" max="785" width="10.88671875" style="372" customWidth="1"/>
    <col min="786" max="787" width="9.109375" style="372" bestFit="1" customWidth="1"/>
    <col min="788" max="788" width="10.88671875" style="372" customWidth="1"/>
    <col min="789" max="790" width="7.88671875" style="372" bestFit="1" customWidth="1"/>
    <col min="791" max="791" width="9" style="372" bestFit="1" customWidth="1"/>
    <col min="792" max="792" width="7.88671875" style="372" bestFit="1" customWidth="1"/>
    <col min="793" max="793" width="6.109375" style="372" bestFit="1" customWidth="1"/>
    <col min="794" max="794" width="10.88671875" style="372" customWidth="1"/>
    <col min="795" max="1023" width="11.44140625" style="372"/>
    <col min="1024" max="1024" width="2" style="372" customWidth="1"/>
    <col min="1025" max="1025" width="20.5546875" style="372" customWidth="1"/>
    <col min="1026" max="1026" width="15" style="372" customWidth="1"/>
    <col min="1027" max="1028" width="9.109375" style="372" bestFit="1" customWidth="1"/>
    <col min="1029" max="1029" width="10.88671875" style="372" customWidth="1"/>
    <col min="1030" max="1031" width="9.109375" style="372" bestFit="1" customWidth="1"/>
    <col min="1032" max="1032" width="10.88671875" style="372" customWidth="1"/>
    <col min="1033" max="1034" width="8.88671875" style="372" bestFit="1" customWidth="1"/>
    <col min="1035" max="1035" width="10.88671875" style="372" customWidth="1"/>
    <col min="1036" max="1037" width="8.88671875" style="372" bestFit="1" customWidth="1"/>
    <col min="1038" max="1038" width="10.88671875" style="372" customWidth="1"/>
    <col min="1039" max="1040" width="8.88671875" style="372" bestFit="1" customWidth="1"/>
    <col min="1041" max="1041" width="10.88671875" style="372" customWidth="1"/>
    <col min="1042" max="1043" width="9.109375" style="372" bestFit="1" customWidth="1"/>
    <col min="1044" max="1044" width="10.88671875" style="372" customWidth="1"/>
    <col min="1045" max="1046" width="7.88671875" style="372" bestFit="1" customWidth="1"/>
    <col min="1047" max="1047" width="9" style="372" bestFit="1" customWidth="1"/>
    <col min="1048" max="1048" width="7.88671875" style="372" bestFit="1" customWidth="1"/>
    <col min="1049" max="1049" width="6.109375" style="372" bestFit="1" customWidth="1"/>
    <col min="1050" max="1050" width="10.88671875" style="372" customWidth="1"/>
    <col min="1051" max="1279" width="11.44140625" style="372"/>
    <col min="1280" max="1280" width="2" style="372" customWidth="1"/>
    <col min="1281" max="1281" width="20.5546875" style="372" customWidth="1"/>
    <col min="1282" max="1282" width="15" style="372" customWidth="1"/>
    <col min="1283" max="1284" width="9.109375" style="372" bestFit="1" customWidth="1"/>
    <col min="1285" max="1285" width="10.88671875" style="372" customWidth="1"/>
    <col min="1286" max="1287" width="9.109375" style="372" bestFit="1" customWidth="1"/>
    <col min="1288" max="1288" width="10.88671875" style="372" customWidth="1"/>
    <col min="1289" max="1290" width="8.88671875" style="372" bestFit="1" customWidth="1"/>
    <col min="1291" max="1291" width="10.88671875" style="372" customWidth="1"/>
    <col min="1292" max="1293" width="8.88671875" style="372" bestFit="1" customWidth="1"/>
    <col min="1294" max="1294" width="10.88671875" style="372" customWidth="1"/>
    <col min="1295" max="1296" width="8.88671875" style="372" bestFit="1" customWidth="1"/>
    <col min="1297" max="1297" width="10.88671875" style="372" customWidth="1"/>
    <col min="1298" max="1299" width="9.109375" style="372" bestFit="1" customWidth="1"/>
    <col min="1300" max="1300" width="10.88671875" style="372" customWidth="1"/>
    <col min="1301" max="1302" width="7.88671875" style="372" bestFit="1" customWidth="1"/>
    <col min="1303" max="1303" width="9" style="372" bestFit="1" customWidth="1"/>
    <col min="1304" max="1304" width="7.88671875" style="372" bestFit="1" customWidth="1"/>
    <col min="1305" max="1305" width="6.109375" style="372" bestFit="1" customWidth="1"/>
    <col min="1306" max="1306" width="10.88671875" style="372" customWidth="1"/>
    <col min="1307" max="1535" width="11.44140625" style="372"/>
    <col min="1536" max="1536" width="2" style="372" customWidth="1"/>
    <col min="1537" max="1537" width="20.5546875" style="372" customWidth="1"/>
    <col min="1538" max="1538" width="15" style="372" customWidth="1"/>
    <col min="1539" max="1540" width="9.109375" style="372" bestFit="1" customWidth="1"/>
    <col min="1541" max="1541" width="10.88671875" style="372" customWidth="1"/>
    <col min="1542" max="1543" width="9.109375" style="372" bestFit="1" customWidth="1"/>
    <col min="1544" max="1544" width="10.88671875" style="372" customWidth="1"/>
    <col min="1545" max="1546" width="8.88671875" style="372" bestFit="1" customWidth="1"/>
    <col min="1547" max="1547" width="10.88671875" style="372" customWidth="1"/>
    <col min="1548" max="1549" width="8.88671875" style="372" bestFit="1" customWidth="1"/>
    <col min="1550" max="1550" width="10.88671875" style="372" customWidth="1"/>
    <col min="1551" max="1552" width="8.88671875" style="372" bestFit="1" customWidth="1"/>
    <col min="1553" max="1553" width="10.88671875" style="372" customWidth="1"/>
    <col min="1554" max="1555" width="9.109375" style="372" bestFit="1" customWidth="1"/>
    <col min="1556" max="1556" width="10.88671875" style="372" customWidth="1"/>
    <col min="1557" max="1558" width="7.88671875" style="372" bestFit="1" customWidth="1"/>
    <col min="1559" max="1559" width="9" style="372" bestFit="1" customWidth="1"/>
    <col min="1560" max="1560" width="7.88671875" style="372" bestFit="1" customWidth="1"/>
    <col min="1561" max="1561" width="6.109375" style="372" bestFit="1" customWidth="1"/>
    <col min="1562" max="1562" width="10.88671875" style="372" customWidth="1"/>
    <col min="1563" max="1791" width="11.44140625" style="372"/>
    <col min="1792" max="1792" width="2" style="372" customWidth="1"/>
    <col min="1793" max="1793" width="20.5546875" style="372" customWidth="1"/>
    <col min="1794" max="1794" width="15" style="372" customWidth="1"/>
    <col min="1795" max="1796" width="9.109375" style="372" bestFit="1" customWidth="1"/>
    <col min="1797" max="1797" width="10.88671875" style="372" customWidth="1"/>
    <col min="1798" max="1799" width="9.109375" style="372" bestFit="1" customWidth="1"/>
    <col min="1800" max="1800" width="10.88671875" style="372" customWidth="1"/>
    <col min="1801" max="1802" width="8.88671875" style="372" bestFit="1" customWidth="1"/>
    <col min="1803" max="1803" width="10.88671875" style="372" customWidth="1"/>
    <col min="1804" max="1805" width="8.88671875" style="372" bestFit="1" customWidth="1"/>
    <col min="1806" max="1806" width="10.88671875" style="372" customWidth="1"/>
    <col min="1807" max="1808" width="8.88671875" style="372" bestFit="1" customWidth="1"/>
    <col min="1809" max="1809" width="10.88671875" style="372" customWidth="1"/>
    <col min="1810" max="1811" width="9.109375" style="372" bestFit="1" customWidth="1"/>
    <col min="1812" max="1812" width="10.88671875" style="372" customWidth="1"/>
    <col min="1813" max="1814" width="7.88671875" style="372" bestFit="1" customWidth="1"/>
    <col min="1815" max="1815" width="9" style="372" bestFit="1" customWidth="1"/>
    <col min="1816" max="1816" width="7.88671875" style="372" bestFit="1" customWidth="1"/>
    <col min="1817" max="1817" width="6.109375" style="372" bestFit="1" customWidth="1"/>
    <col min="1818" max="1818" width="10.88671875" style="372" customWidth="1"/>
    <col min="1819" max="2047" width="11.44140625" style="372"/>
    <col min="2048" max="2048" width="2" style="372" customWidth="1"/>
    <col min="2049" max="2049" width="20.5546875" style="372" customWidth="1"/>
    <col min="2050" max="2050" width="15" style="372" customWidth="1"/>
    <col min="2051" max="2052" width="9.109375" style="372" bestFit="1" customWidth="1"/>
    <col min="2053" max="2053" width="10.88671875" style="372" customWidth="1"/>
    <col min="2054" max="2055" width="9.109375" style="372" bestFit="1" customWidth="1"/>
    <col min="2056" max="2056" width="10.88671875" style="372" customWidth="1"/>
    <col min="2057" max="2058" width="8.88671875" style="372" bestFit="1" customWidth="1"/>
    <col min="2059" max="2059" width="10.88671875" style="372" customWidth="1"/>
    <col min="2060" max="2061" width="8.88671875" style="372" bestFit="1" customWidth="1"/>
    <col min="2062" max="2062" width="10.88671875" style="372" customWidth="1"/>
    <col min="2063" max="2064" width="8.88671875" style="372" bestFit="1" customWidth="1"/>
    <col min="2065" max="2065" width="10.88671875" style="372" customWidth="1"/>
    <col min="2066" max="2067" width="9.109375" style="372" bestFit="1" customWidth="1"/>
    <col min="2068" max="2068" width="10.88671875" style="372" customWidth="1"/>
    <col min="2069" max="2070" width="7.88671875" style="372" bestFit="1" customWidth="1"/>
    <col min="2071" max="2071" width="9" style="372" bestFit="1" customWidth="1"/>
    <col min="2072" max="2072" width="7.88671875" style="372" bestFit="1" customWidth="1"/>
    <col min="2073" max="2073" width="6.109375" style="372" bestFit="1" customWidth="1"/>
    <col min="2074" max="2074" width="10.88671875" style="372" customWidth="1"/>
    <col min="2075" max="2303" width="11.44140625" style="372"/>
    <col min="2304" max="2304" width="2" style="372" customWidth="1"/>
    <col min="2305" max="2305" width="20.5546875" style="372" customWidth="1"/>
    <col min="2306" max="2306" width="15" style="372" customWidth="1"/>
    <col min="2307" max="2308" width="9.109375" style="372" bestFit="1" customWidth="1"/>
    <col min="2309" max="2309" width="10.88671875" style="372" customWidth="1"/>
    <col min="2310" max="2311" width="9.109375" style="372" bestFit="1" customWidth="1"/>
    <col min="2312" max="2312" width="10.88671875" style="372" customWidth="1"/>
    <col min="2313" max="2314" width="8.88671875" style="372" bestFit="1" customWidth="1"/>
    <col min="2315" max="2315" width="10.88671875" style="372" customWidth="1"/>
    <col min="2316" max="2317" width="8.88671875" style="372" bestFit="1" customWidth="1"/>
    <col min="2318" max="2318" width="10.88671875" style="372" customWidth="1"/>
    <col min="2319" max="2320" width="8.88671875" style="372" bestFit="1" customWidth="1"/>
    <col min="2321" max="2321" width="10.88671875" style="372" customWidth="1"/>
    <col min="2322" max="2323" width="9.109375" style="372" bestFit="1" customWidth="1"/>
    <col min="2324" max="2324" width="10.88671875" style="372" customWidth="1"/>
    <col min="2325" max="2326" width="7.88671875" style="372" bestFit="1" customWidth="1"/>
    <col min="2327" max="2327" width="9" style="372" bestFit="1" customWidth="1"/>
    <col min="2328" max="2328" width="7.88671875" style="372" bestFit="1" customWidth="1"/>
    <col min="2329" max="2329" width="6.109375" style="372" bestFit="1" customWidth="1"/>
    <col min="2330" max="2330" width="10.88671875" style="372" customWidth="1"/>
    <col min="2331" max="2559" width="11.44140625" style="372"/>
    <col min="2560" max="2560" width="2" style="372" customWidth="1"/>
    <col min="2561" max="2561" width="20.5546875" style="372" customWidth="1"/>
    <col min="2562" max="2562" width="15" style="372" customWidth="1"/>
    <col min="2563" max="2564" width="9.109375" style="372" bestFit="1" customWidth="1"/>
    <col min="2565" max="2565" width="10.88671875" style="372" customWidth="1"/>
    <col min="2566" max="2567" width="9.109375" style="372" bestFit="1" customWidth="1"/>
    <col min="2568" max="2568" width="10.88671875" style="372" customWidth="1"/>
    <col min="2569" max="2570" width="8.88671875" style="372" bestFit="1" customWidth="1"/>
    <col min="2571" max="2571" width="10.88671875" style="372" customWidth="1"/>
    <col min="2572" max="2573" width="8.88671875" style="372" bestFit="1" customWidth="1"/>
    <col min="2574" max="2574" width="10.88671875" style="372" customWidth="1"/>
    <col min="2575" max="2576" width="8.88671875" style="372" bestFit="1" customWidth="1"/>
    <col min="2577" max="2577" width="10.88671875" style="372" customWidth="1"/>
    <col min="2578" max="2579" width="9.109375" style="372" bestFit="1" customWidth="1"/>
    <col min="2580" max="2580" width="10.88671875" style="372" customWidth="1"/>
    <col min="2581" max="2582" width="7.88671875" style="372" bestFit="1" customWidth="1"/>
    <col min="2583" max="2583" width="9" style="372" bestFit="1" customWidth="1"/>
    <col min="2584" max="2584" width="7.88671875" style="372" bestFit="1" customWidth="1"/>
    <col min="2585" max="2585" width="6.109375" style="372" bestFit="1" customWidth="1"/>
    <col min="2586" max="2586" width="10.88671875" style="372" customWidth="1"/>
    <col min="2587" max="2815" width="11.44140625" style="372"/>
    <col min="2816" max="2816" width="2" style="372" customWidth="1"/>
    <col min="2817" max="2817" width="20.5546875" style="372" customWidth="1"/>
    <col min="2818" max="2818" width="15" style="372" customWidth="1"/>
    <col min="2819" max="2820" width="9.109375" style="372" bestFit="1" customWidth="1"/>
    <col min="2821" max="2821" width="10.88671875" style="372" customWidth="1"/>
    <col min="2822" max="2823" width="9.109375" style="372" bestFit="1" customWidth="1"/>
    <col min="2824" max="2824" width="10.88671875" style="372" customWidth="1"/>
    <col min="2825" max="2826" width="8.88671875" style="372" bestFit="1" customWidth="1"/>
    <col min="2827" max="2827" width="10.88671875" style="372" customWidth="1"/>
    <col min="2828" max="2829" width="8.88671875" style="372" bestFit="1" customWidth="1"/>
    <col min="2830" max="2830" width="10.88671875" style="372" customWidth="1"/>
    <col min="2831" max="2832" width="8.88671875" style="372" bestFit="1" customWidth="1"/>
    <col min="2833" max="2833" width="10.88671875" style="372" customWidth="1"/>
    <col min="2834" max="2835" width="9.109375" style="372" bestFit="1" customWidth="1"/>
    <col min="2836" max="2836" width="10.88671875" style="372" customWidth="1"/>
    <col min="2837" max="2838" width="7.88671875" style="372" bestFit="1" customWidth="1"/>
    <col min="2839" max="2839" width="9" style="372" bestFit="1" customWidth="1"/>
    <col min="2840" max="2840" width="7.88671875" style="372" bestFit="1" customWidth="1"/>
    <col min="2841" max="2841" width="6.109375" style="372" bestFit="1" customWidth="1"/>
    <col min="2842" max="2842" width="10.88671875" style="372" customWidth="1"/>
    <col min="2843" max="3071" width="11.44140625" style="372"/>
    <col min="3072" max="3072" width="2" style="372" customWidth="1"/>
    <col min="3073" max="3073" width="20.5546875" style="372" customWidth="1"/>
    <col min="3074" max="3074" width="15" style="372" customWidth="1"/>
    <col min="3075" max="3076" width="9.109375" style="372" bestFit="1" customWidth="1"/>
    <col min="3077" max="3077" width="10.88671875" style="372" customWidth="1"/>
    <col min="3078" max="3079" width="9.109375" style="372" bestFit="1" customWidth="1"/>
    <col min="3080" max="3080" width="10.88671875" style="372" customWidth="1"/>
    <col min="3081" max="3082" width="8.88671875" style="372" bestFit="1" customWidth="1"/>
    <col min="3083" max="3083" width="10.88671875" style="372" customWidth="1"/>
    <col min="3084" max="3085" width="8.88671875" style="372" bestFit="1" customWidth="1"/>
    <col min="3086" max="3086" width="10.88671875" style="372" customWidth="1"/>
    <col min="3087" max="3088" width="8.88671875" style="372" bestFit="1" customWidth="1"/>
    <col min="3089" max="3089" width="10.88671875" style="372" customWidth="1"/>
    <col min="3090" max="3091" width="9.109375" style="372" bestFit="1" customWidth="1"/>
    <col min="3092" max="3092" width="10.88671875" style="372" customWidth="1"/>
    <col min="3093" max="3094" width="7.88671875" style="372" bestFit="1" customWidth="1"/>
    <col min="3095" max="3095" width="9" style="372" bestFit="1" customWidth="1"/>
    <col min="3096" max="3096" width="7.88671875" style="372" bestFit="1" customWidth="1"/>
    <col min="3097" max="3097" width="6.109375" style="372" bestFit="1" customWidth="1"/>
    <col min="3098" max="3098" width="10.88671875" style="372" customWidth="1"/>
    <col min="3099" max="3327" width="11.44140625" style="372"/>
    <col min="3328" max="3328" width="2" style="372" customWidth="1"/>
    <col min="3329" max="3329" width="20.5546875" style="372" customWidth="1"/>
    <col min="3330" max="3330" width="15" style="372" customWidth="1"/>
    <col min="3331" max="3332" width="9.109375" style="372" bestFit="1" customWidth="1"/>
    <col min="3333" max="3333" width="10.88671875" style="372" customWidth="1"/>
    <col min="3334" max="3335" width="9.109375" style="372" bestFit="1" customWidth="1"/>
    <col min="3336" max="3336" width="10.88671875" style="372" customWidth="1"/>
    <col min="3337" max="3338" width="8.88671875" style="372" bestFit="1" customWidth="1"/>
    <col min="3339" max="3339" width="10.88671875" style="372" customWidth="1"/>
    <col min="3340" max="3341" width="8.88671875" style="372" bestFit="1" customWidth="1"/>
    <col min="3342" max="3342" width="10.88671875" style="372" customWidth="1"/>
    <col min="3343" max="3344" width="8.88671875" style="372" bestFit="1" customWidth="1"/>
    <col min="3345" max="3345" width="10.88671875" style="372" customWidth="1"/>
    <col min="3346" max="3347" width="9.109375" style="372" bestFit="1" customWidth="1"/>
    <col min="3348" max="3348" width="10.88671875" style="372" customWidth="1"/>
    <col min="3349" max="3350" width="7.88671875" style="372" bestFit="1" customWidth="1"/>
    <col min="3351" max="3351" width="9" style="372" bestFit="1" customWidth="1"/>
    <col min="3352" max="3352" width="7.88671875" style="372" bestFit="1" customWidth="1"/>
    <col min="3353" max="3353" width="6.109375" style="372" bestFit="1" customWidth="1"/>
    <col min="3354" max="3354" width="10.88671875" style="372" customWidth="1"/>
    <col min="3355" max="3583" width="11.44140625" style="372"/>
    <col min="3584" max="3584" width="2" style="372" customWidth="1"/>
    <col min="3585" max="3585" width="20.5546875" style="372" customWidth="1"/>
    <col min="3586" max="3586" width="15" style="372" customWidth="1"/>
    <col min="3587" max="3588" width="9.109375" style="372" bestFit="1" customWidth="1"/>
    <col min="3589" max="3589" width="10.88671875" style="372" customWidth="1"/>
    <col min="3590" max="3591" width="9.109375" style="372" bestFit="1" customWidth="1"/>
    <col min="3592" max="3592" width="10.88671875" style="372" customWidth="1"/>
    <col min="3593" max="3594" width="8.88671875" style="372" bestFit="1" customWidth="1"/>
    <col min="3595" max="3595" width="10.88671875" style="372" customWidth="1"/>
    <col min="3596" max="3597" width="8.88671875" style="372" bestFit="1" customWidth="1"/>
    <col min="3598" max="3598" width="10.88671875" style="372" customWidth="1"/>
    <col min="3599" max="3600" width="8.88671875" style="372" bestFit="1" customWidth="1"/>
    <col min="3601" max="3601" width="10.88671875" style="372" customWidth="1"/>
    <col min="3602" max="3603" width="9.109375" style="372" bestFit="1" customWidth="1"/>
    <col min="3604" max="3604" width="10.88671875" style="372" customWidth="1"/>
    <col min="3605" max="3606" width="7.88671875" style="372" bestFit="1" customWidth="1"/>
    <col min="3607" max="3607" width="9" style="372" bestFit="1" customWidth="1"/>
    <col min="3608" max="3608" width="7.88671875" style="372" bestFit="1" customWidth="1"/>
    <col min="3609" max="3609" width="6.109375" style="372" bestFit="1" customWidth="1"/>
    <col min="3610" max="3610" width="10.88671875" style="372" customWidth="1"/>
    <col min="3611" max="3839" width="11.44140625" style="372"/>
    <col min="3840" max="3840" width="2" style="372" customWidth="1"/>
    <col min="3841" max="3841" width="20.5546875" style="372" customWidth="1"/>
    <col min="3842" max="3842" width="15" style="372" customWidth="1"/>
    <col min="3843" max="3844" width="9.109375" style="372" bestFit="1" customWidth="1"/>
    <col min="3845" max="3845" width="10.88671875" style="372" customWidth="1"/>
    <col min="3846" max="3847" width="9.109375" style="372" bestFit="1" customWidth="1"/>
    <col min="3848" max="3848" width="10.88671875" style="372" customWidth="1"/>
    <col min="3849" max="3850" width="8.88671875" style="372" bestFit="1" customWidth="1"/>
    <col min="3851" max="3851" width="10.88671875" style="372" customWidth="1"/>
    <col min="3852" max="3853" width="8.88671875" style="372" bestFit="1" customWidth="1"/>
    <col min="3854" max="3854" width="10.88671875" style="372" customWidth="1"/>
    <col min="3855" max="3856" width="8.88671875" style="372" bestFit="1" customWidth="1"/>
    <col min="3857" max="3857" width="10.88671875" style="372" customWidth="1"/>
    <col min="3858" max="3859" width="9.109375" style="372" bestFit="1" customWidth="1"/>
    <col min="3860" max="3860" width="10.88671875" style="372" customWidth="1"/>
    <col min="3861" max="3862" width="7.88671875" style="372" bestFit="1" customWidth="1"/>
    <col min="3863" max="3863" width="9" style="372" bestFit="1" customWidth="1"/>
    <col min="3864" max="3864" width="7.88671875" style="372" bestFit="1" customWidth="1"/>
    <col min="3865" max="3865" width="6.109375" style="372" bestFit="1" customWidth="1"/>
    <col min="3866" max="3866" width="10.88671875" style="372" customWidth="1"/>
    <col min="3867" max="4095" width="11.44140625" style="372"/>
    <col min="4096" max="4096" width="2" style="372" customWidth="1"/>
    <col min="4097" max="4097" width="20.5546875" style="372" customWidth="1"/>
    <col min="4098" max="4098" width="15" style="372" customWidth="1"/>
    <col min="4099" max="4100" width="9.109375" style="372" bestFit="1" customWidth="1"/>
    <col min="4101" max="4101" width="10.88671875" style="372" customWidth="1"/>
    <col min="4102" max="4103" width="9.109375" style="372" bestFit="1" customWidth="1"/>
    <col min="4104" max="4104" width="10.88671875" style="372" customWidth="1"/>
    <col min="4105" max="4106" width="8.88671875" style="372" bestFit="1" customWidth="1"/>
    <col min="4107" max="4107" width="10.88671875" style="372" customWidth="1"/>
    <col min="4108" max="4109" width="8.88671875" style="372" bestFit="1" customWidth="1"/>
    <col min="4110" max="4110" width="10.88671875" style="372" customWidth="1"/>
    <col min="4111" max="4112" width="8.88671875" style="372" bestFit="1" customWidth="1"/>
    <col min="4113" max="4113" width="10.88671875" style="372" customWidth="1"/>
    <col min="4114" max="4115" width="9.109375" style="372" bestFit="1" customWidth="1"/>
    <col min="4116" max="4116" width="10.88671875" style="372" customWidth="1"/>
    <col min="4117" max="4118" width="7.88671875" style="372" bestFit="1" customWidth="1"/>
    <col min="4119" max="4119" width="9" style="372" bestFit="1" customWidth="1"/>
    <col min="4120" max="4120" width="7.88671875" style="372" bestFit="1" customWidth="1"/>
    <col min="4121" max="4121" width="6.109375" style="372" bestFit="1" customWidth="1"/>
    <col min="4122" max="4122" width="10.88671875" style="372" customWidth="1"/>
    <col min="4123" max="4351" width="11.44140625" style="372"/>
    <col min="4352" max="4352" width="2" style="372" customWidth="1"/>
    <col min="4353" max="4353" width="20.5546875" style="372" customWidth="1"/>
    <col min="4354" max="4354" width="15" style="372" customWidth="1"/>
    <col min="4355" max="4356" width="9.109375" style="372" bestFit="1" customWidth="1"/>
    <col min="4357" max="4357" width="10.88671875" style="372" customWidth="1"/>
    <col min="4358" max="4359" width="9.109375" style="372" bestFit="1" customWidth="1"/>
    <col min="4360" max="4360" width="10.88671875" style="372" customWidth="1"/>
    <col min="4361" max="4362" width="8.88671875" style="372" bestFit="1" customWidth="1"/>
    <col min="4363" max="4363" width="10.88671875" style="372" customWidth="1"/>
    <col min="4364" max="4365" width="8.88671875" style="372" bestFit="1" customWidth="1"/>
    <col min="4366" max="4366" width="10.88671875" style="372" customWidth="1"/>
    <col min="4367" max="4368" width="8.88671875" style="372" bestFit="1" customWidth="1"/>
    <col min="4369" max="4369" width="10.88671875" style="372" customWidth="1"/>
    <col min="4370" max="4371" width="9.109375" style="372" bestFit="1" customWidth="1"/>
    <col min="4372" max="4372" width="10.88671875" style="372" customWidth="1"/>
    <col min="4373" max="4374" width="7.88671875" style="372" bestFit="1" customWidth="1"/>
    <col min="4375" max="4375" width="9" style="372" bestFit="1" customWidth="1"/>
    <col min="4376" max="4376" width="7.88671875" style="372" bestFit="1" customWidth="1"/>
    <col min="4377" max="4377" width="6.109375" style="372" bestFit="1" customWidth="1"/>
    <col min="4378" max="4378" width="10.88671875" style="372" customWidth="1"/>
    <col min="4379" max="4607" width="11.44140625" style="372"/>
    <col min="4608" max="4608" width="2" style="372" customWidth="1"/>
    <col min="4609" max="4609" width="20.5546875" style="372" customWidth="1"/>
    <col min="4610" max="4610" width="15" style="372" customWidth="1"/>
    <col min="4611" max="4612" width="9.109375" style="372" bestFit="1" customWidth="1"/>
    <col min="4613" max="4613" width="10.88671875" style="372" customWidth="1"/>
    <col min="4614" max="4615" width="9.109375" style="372" bestFit="1" customWidth="1"/>
    <col min="4616" max="4616" width="10.88671875" style="372" customWidth="1"/>
    <col min="4617" max="4618" width="8.88671875" style="372" bestFit="1" customWidth="1"/>
    <col min="4619" max="4619" width="10.88671875" style="372" customWidth="1"/>
    <col min="4620" max="4621" width="8.88671875" style="372" bestFit="1" customWidth="1"/>
    <col min="4622" max="4622" width="10.88671875" style="372" customWidth="1"/>
    <col min="4623" max="4624" width="8.88671875" style="372" bestFit="1" customWidth="1"/>
    <col min="4625" max="4625" width="10.88671875" style="372" customWidth="1"/>
    <col min="4626" max="4627" width="9.109375" style="372" bestFit="1" customWidth="1"/>
    <col min="4628" max="4628" width="10.88671875" style="372" customWidth="1"/>
    <col min="4629" max="4630" width="7.88671875" style="372" bestFit="1" customWidth="1"/>
    <col min="4631" max="4631" width="9" style="372" bestFit="1" customWidth="1"/>
    <col min="4632" max="4632" width="7.88671875" style="372" bestFit="1" customWidth="1"/>
    <col min="4633" max="4633" width="6.109375" style="372" bestFit="1" customWidth="1"/>
    <col min="4634" max="4634" width="10.88671875" style="372" customWidth="1"/>
    <col min="4635" max="4863" width="11.44140625" style="372"/>
    <col min="4864" max="4864" width="2" style="372" customWidth="1"/>
    <col min="4865" max="4865" width="20.5546875" style="372" customWidth="1"/>
    <col min="4866" max="4866" width="15" style="372" customWidth="1"/>
    <col min="4867" max="4868" width="9.109375" style="372" bestFit="1" customWidth="1"/>
    <col min="4869" max="4869" width="10.88671875" style="372" customWidth="1"/>
    <col min="4870" max="4871" width="9.109375" style="372" bestFit="1" customWidth="1"/>
    <col min="4872" max="4872" width="10.88671875" style="372" customWidth="1"/>
    <col min="4873" max="4874" width="8.88671875" style="372" bestFit="1" customWidth="1"/>
    <col min="4875" max="4875" width="10.88671875" style="372" customWidth="1"/>
    <col min="4876" max="4877" width="8.88671875" style="372" bestFit="1" customWidth="1"/>
    <col min="4878" max="4878" width="10.88671875" style="372" customWidth="1"/>
    <col min="4879" max="4880" width="8.88671875" style="372" bestFit="1" customWidth="1"/>
    <col min="4881" max="4881" width="10.88671875" style="372" customWidth="1"/>
    <col min="4882" max="4883" width="9.109375" style="372" bestFit="1" customWidth="1"/>
    <col min="4884" max="4884" width="10.88671875" style="372" customWidth="1"/>
    <col min="4885" max="4886" width="7.88671875" style="372" bestFit="1" customWidth="1"/>
    <col min="4887" max="4887" width="9" style="372" bestFit="1" customWidth="1"/>
    <col min="4888" max="4888" width="7.88671875" style="372" bestFit="1" customWidth="1"/>
    <col min="4889" max="4889" width="6.109375" style="372" bestFit="1" customWidth="1"/>
    <col min="4890" max="4890" width="10.88671875" style="372" customWidth="1"/>
    <col min="4891" max="5119" width="11.44140625" style="372"/>
    <col min="5120" max="5120" width="2" style="372" customWidth="1"/>
    <col min="5121" max="5121" width="20.5546875" style="372" customWidth="1"/>
    <col min="5122" max="5122" width="15" style="372" customWidth="1"/>
    <col min="5123" max="5124" width="9.109375" style="372" bestFit="1" customWidth="1"/>
    <col min="5125" max="5125" width="10.88671875" style="372" customWidth="1"/>
    <col min="5126" max="5127" width="9.109375" style="372" bestFit="1" customWidth="1"/>
    <col min="5128" max="5128" width="10.88671875" style="372" customWidth="1"/>
    <col min="5129" max="5130" width="8.88671875" style="372" bestFit="1" customWidth="1"/>
    <col min="5131" max="5131" width="10.88671875" style="372" customWidth="1"/>
    <col min="5132" max="5133" width="8.88671875" style="372" bestFit="1" customWidth="1"/>
    <col min="5134" max="5134" width="10.88671875" style="372" customWidth="1"/>
    <col min="5135" max="5136" width="8.88671875" style="372" bestFit="1" customWidth="1"/>
    <col min="5137" max="5137" width="10.88671875" style="372" customWidth="1"/>
    <col min="5138" max="5139" width="9.109375" style="372" bestFit="1" customWidth="1"/>
    <col min="5140" max="5140" width="10.88671875" style="372" customWidth="1"/>
    <col min="5141" max="5142" width="7.88671875" style="372" bestFit="1" customWidth="1"/>
    <col min="5143" max="5143" width="9" style="372" bestFit="1" customWidth="1"/>
    <col min="5144" max="5144" width="7.88671875" style="372" bestFit="1" customWidth="1"/>
    <col min="5145" max="5145" width="6.109375" style="372" bestFit="1" customWidth="1"/>
    <col min="5146" max="5146" width="10.88671875" style="372" customWidth="1"/>
    <col min="5147" max="5375" width="11.44140625" style="372"/>
    <col min="5376" max="5376" width="2" style="372" customWidth="1"/>
    <col min="5377" max="5377" width="20.5546875" style="372" customWidth="1"/>
    <col min="5378" max="5378" width="15" style="372" customWidth="1"/>
    <col min="5379" max="5380" width="9.109375" style="372" bestFit="1" customWidth="1"/>
    <col min="5381" max="5381" width="10.88671875" style="372" customWidth="1"/>
    <col min="5382" max="5383" width="9.109375" style="372" bestFit="1" customWidth="1"/>
    <col min="5384" max="5384" width="10.88671875" style="372" customWidth="1"/>
    <col min="5385" max="5386" width="8.88671875" style="372" bestFit="1" customWidth="1"/>
    <col min="5387" max="5387" width="10.88671875" style="372" customWidth="1"/>
    <col min="5388" max="5389" width="8.88671875" style="372" bestFit="1" customWidth="1"/>
    <col min="5390" max="5390" width="10.88671875" style="372" customWidth="1"/>
    <col min="5391" max="5392" width="8.88671875" style="372" bestFit="1" customWidth="1"/>
    <col min="5393" max="5393" width="10.88671875" style="372" customWidth="1"/>
    <col min="5394" max="5395" width="9.109375" style="372" bestFit="1" customWidth="1"/>
    <col min="5396" max="5396" width="10.88671875" style="372" customWidth="1"/>
    <col min="5397" max="5398" width="7.88671875" style="372" bestFit="1" customWidth="1"/>
    <col min="5399" max="5399" width="9" style="372" bestFit="1" customWidth="1"/>
    <col min="5400" max="5400" width="7.88671875" style="372" bestFit="1" customWidth="1"/>
    <col min="5401" max="5401" width="6.109375" style="372" bestFit="1" customWidth="1"/>
    <col min="5402" max="5402" width="10.88671875" style="372" customWidth="1"/>
    <col min="5403" max="5631" width="11.44140625" style="372"/>
    <col min="5632" max="5632" width="2" style="372" customWidth="1"/>
    <col min="5633" max="5633" width="20.5546875" style="372" customWidth="1"/>
    <col min="5634" max="5634" width="15" style="372" customWidth="1"/>
    <col min="5635" max="5636" width="9.109375" style="372" bestFit="1" customWidth="1"/>
    <col min="5637" max="5637" width="10.88671875" style="372" customWidth="1"/>
    <col min="5638" max="5639" width="9.109375" style="372" bestFit="1" customWidth="1"/>
    <col min="5640" max="5640" width="10.88671875" style="372" customWidth="1"/>
    <col min="5641" max="5642" width="8.88671875" style="372" bestFit="1" customWidth="1"/>
    <col min="5643" max="5643" width="10.88671875" style="372" customWidth="1"/>
    <col min="5644" max="5645" width="8.88671875" style="372" bestFit="1" customWidth="1"/>
    <col min="5646" max="5646" width="10.88671875" style="372" customWidth="1"/>
    <col min="5647" max="5648" width="8.88671875" style="372" bestFit="1" customWidth="1"/>
    <col min="5649" max="5649" width="10.88671875" style="372" customWidth="1"/>
    <col min="5650" max="5651" width="9.109375" style="372" bestFit="1" customWidth="1"/>
    <col min="5652" max="5652" width="10.88671875" style="372" customWidth="1"/>
    <col min="5653" max="5654" width="7.88671875" style="372" bestFit="1" customWidth="1"/>
    <col min="5655" max="5655" width="9" style="372" bestFit="1" customWidth="1"/>
    <col min="5656" max="5656" width="7.88671875" style="372" bestFit="1" customWidth="1"/>
    <col min="5657" max="5657" width="6.109375" style="372" bestFit="1" customWidth="1"/>
    <col min="5658" max="5658" width="10.88671875" style="372" customWidth="1"/>
    <col min="5659" max="5887" width="11.44140625" style="372"/>
    <col min="5888" max="5888" width="2" style="372" customWidth="1"/>
    <col min="5889" max="5889" width="20.5546875" style="372" customWidth="1"/>
    <col min="5890" max="5890" width="15" style="372" customWidth="1"/>
    <col min="5891" max="5892" width="9.109375" style="372" bestFit="1" customWidth="1"/>
    <col min="5893" max="5893" width="10.88671875" style="372" customWidth="1"/>
    <col min="5894" max="5895" width="9.109375" style="372" bestFit="1" customWidth="1"/>
    <col min="5896" max="5896" width="10.88671875" style="372" customWidth="1"/>
    <col min="5897" max="5898" width="8.88671875" style="372" bestFit="1" customWidth="1"/>
    <col min="5899" max="5899" width="10.88671875" style="372" customWidth="1"/>
    <col min="5900" max="5901" width="8.88671875" style="372" bestFit="1" customWidth="1"/>
    <col min="5902" max="5902" width="10.88671875" style="372" customWidth="1"/>
    <col min="5903" max="5904" width="8.88671875" style="372" bestFit="1" customWidth="1"/>
    <col min="5905" max="5905" width="10.88671875" style="372" customWidth="1"/>
    <col min="5906" max="5907" width="9.109375" style="372" bestFit="1" customWidth="1"/>
    <col min="5908" max="5908" width="10.88671875" style="372" customWidth="1"/>
    <col min="5909" max="5910" width="7.88671875" style="372" bestFit="1" customWidth="1"/>
    <col min="5911" max="5911" width="9" style="372" bestFit="1" customWidth="1"/>
    <col min="5912" max="5912" width="7.88671875" style="372" bestFit="1" customWidth="1"/>
    <col min="5913" max="5913" width="6.109375" style="372" bestFit="1" customWidth="1"/>
    <col min="5914" max="5914" width="10.88671875" style="372" customWidth="1"/>
    <col min="5915" max="6143" width="11.44140625" style="372"/>
    <col min="6144" max="6144" width="2" style="372" customWidth="1"/>
    <col min="6145" max="6145" width="20.5546875" style="372" customWidth="1"/>
    <col min="6146" max="6146" width="15" style="372" customWidth="1"/>
    <col min="6147" max="6148" width="9.109375" style="372" bestFit="1" customWidth="1"/>
    <col min="6149" max="6149" width="10.88671875" style="372" customWidth="1"/>
    <col min="6150" max="6151" width="9.109375" style="372" bestFit="1" customWidth="1"/>
    <col min="6152" max="6152" width="10.88671875" style="372" customWidth="1"/>
    <col min="6153" max="6154" width="8.88671875" style="372" bestFit="1" customWidth="1"/>
    <col min="6155" max="6155" width="10.88671875" style="372" customWidth="1"/>
    <col min="6156" max="6157" width="8.88671875" style="372" bestFit="1" customWidth="1"/>
    <col min="6158" max="6158" width="10.88671875" style="372" customWidth="1"/>
    <col min="6159" max="6160" width="8.88671875" style="372" bestFit="1" customWidth="1"/>
    <col min="6161" max="6161" width="10.88671875" style="372" customWidth="1"/>
    <col min="6162" max="6163" width="9.109375" style="372" bestFit="1" customWidth="1"/>
    <col min="6164" max="6164" width="10.88671875" style="372" customWidth="1"/>
    <col min="6165" max="6166" width="7.88671875" style="372" bestFit="1" customWidth="1"/>
    <col min="6167" max="6167" width="9" style="372" bestFit="1" customWidth="1"/>
    <col min="6168" max="6168" width="7.88671875" style="372" bestFit="1" customWidth="1"/>
    <col min="6169" max="6169" width="6.109375" style="372" bestFit="1" customWidth="1"/>
    <col min="6170" max="6170" width="10.88671875" style="372" customWidth="1"/>
    <col min="6171" max="6399" width="11.44140625" style="372"/>
    <col min="6400" max="6400" width="2" style="372" customWidth="1"/>
    <col min="6401" max="6401" width="20.5546875" style="372" customWidth="1"/>
    <col min="6402" max="6402" width="15" style="372" customWidth="1"/>
    <col min="6403" max="6404" width="9.109375" style="372" bestFit="1" customWidth="1"/>
    <col min="6405" max="6405" width="10.88671875" style="372" customWidth="1"/>
    <col min="6406" max="6407" width="9.109375" style="372" bestFit="1" customWidth="1"/>
    <col min="6408" max="6408" width="10.88671875" style="372" customWidth="1"/>
    <col min="6409" max="6410" width="8.88671875" style="372" bestFit="1" customWidth="1"/>
    <col min="6411" max="6411" width="10.88671875" style="372" customWidth="1"/>
    <col min="6412" max="6413" width="8.88671875" style="372" bestFit="1" customWidth="1"/>
    <col min="6414" max="6414" width="10.88671875" style="372" customWidth="1"/>
    <col min="6415" max="6416" width="8.88671875" style="372" bestFit="1" customWidth="1"/>
    <col min="6417" max="6417" width="10.88671875" style="372" customWidth="1"/>
    <col min="6418" max="6419" width="9.109375" style="372" bestFit="1" customWidth="1"/>
    <col min="6420" max="6420" width="10.88671875" style="372" customWidth="1"/>
    <col min="6421" max="6422" width="7.88671875" style="372" bestFit="1" customWidth="1"/>
    <col min="6423" max="6423" width="9" style="372" bestFit="1" customWidth="1"/>
    <col min="6424" max="6424" width="7.88671875" style="372" bestFit="1" customWidth="1"/>
    <col min="6425" max="6425" width="6.109375" style="372" bestFit="1" customWidth="1"/>
    <col min="6426" max="6426" width="10.88671875" style="372" customWidth="1"/>
    <col min="6427" max="6655" width="11.44140625" style="372"/>
    <col min="6656" max="6656" width="2" style="372" customWidth="1"/>
    <col min="6657" max="6657" width="20.5546875" style="372" customWidth="1"/>
    <col min="6658" max="6658" width="15" style="372" customWidth="1"/>
    <col min="6659" max="6660" width="9.109375" style="372" bestFit="1" customWidth="1"/>
    <col min="6661" max="6661" width="10.88671875" style="372" customWidth="1"/>
    <col min="6662" max="6663" width="9.109375" style="372" bestFit="1" customWidth="1"/>
    <col min="6664" max="6664" width="10.88671875" style="372" customWidth="1"/>
    <col min="6665" max="6666" width="8.88671875" style="372" bestFit="1" customWidth="1"/>
    <col min="6667" max="6667" width="10.88671875" style="372" customWidth="1"/>
    <col min="6668" max="6669" width="8.88671875" style="372" bestFit="1" customWidth="1"/>
    <col min="6670" max="6670" width="10.88671875" style="372" customWidth="1"/>
    <col min="6671" max="6672" width="8.88671875" style="372" bestFit="1" customWidth="1"/>
    <col min="6673" max="6673" width="10.88671875" style="372" customWidth="1"/>
    <col min="6674" max="6675" width="9.109375" style="372" bestFit="1" customWidth="1"/>
    <col min="6676" max="6676" width="10.88671875" style="372" customWidth="1"/>
    <col min="6677" max="6678" width="7.88671875" style="372" bestFit="1" customWidth="1"/>
    <col min="6679" max="6679" width="9" style="372" bestFit="1" customWidth="1"/>
    <col min="6680" max="6680" width="7.88671875" style="372" bestFit="1" customWidth="1"/>
    <col min="6681" max="6681" width="6.109375" style="372" bestFit="1" customWidth="1"/>
    <col min="6682" max="6682" width="10.88671875" style="372" customWidth="1"/>
    <col min="6683" max="6911" width="11.44140625" style="372"/>
    <col min="6912" max="6912" width="2" style="372" customWidth="1"/>
    <col min="6913" max="6913" width="20.5546875" style="372" customWidth="1"/>
    <col min="6914" max="6914" width="15" style="372" customWidth="1"/>
    <col min="6915" max="6916" width="9.109375" style="372" bestFit="1" customWidth="1"/>
    <col min="6917" max="6917" width="10.88671875" style="372" customWidth="1"/>
    <col min="6918" max="6919" width="9.109375" style="372" bestFit="1" customWidth="1"/>
    <col min="6920" max="6920" width="10.88671875" style="372" customWidth="1"/>
    <col min="6921" max="6922" width="8.88671875" style="372" bestFit="1" customWidth="1"/>
    <col min="6923" max="6923" width="10.88671875" style="372" customWidth="1"/>
    <col min="6924" max="6925" width="8.88671875" style="372" bestFit="1" customWidth="1"/>
    <col min="6926" max="6926" width="10.88671875" style="372" customWidth="1"/>
    <col min="6927" max="6928" width="8.88671875" style="372" bestFit="1" customWidth="1"/>
    <col min="6929" max="6929" width="10.88671875" style="372" customWidth="1"/>
    <col min="6930" max="6931" width="9.109375" style="372" bestFit="1" customWidth="1"/>
    <col min="6932" max="6932" width="10.88671875" style="372" customWidth="1"/>
    <col min="6933" max="6934" width="7.88671875" style="372" bestFit="1" customWidth="1"/>
    <col min="6935" max="6935" width="9" style="372" bestFit="1" customWidth="1"/>
    <col min="6936" max="6936" width="7.88671875" style="372" bestFit="1" customWidth="1"/>
    <col min="6937" max="6937" width="6.109375" style="372" bestFit="1" customWidth="1"/>
    <col min="6938" max="6938" width="10.88671875" style="372" customWidth="1"/>
    <col min="6939" max="7167" width="11.44140625" style="372"/>
    <col min="7168" max="7168" width="2" style="372" customWidth="1"/>
    <col min="7169" max="7169" width="20.5546875" style="372" customWidth="1"/>
    <col min="7170" max="7170" width="15" style="372" customWidth="1"/>
    <col min="7171" max="7172" width="9.109375" style="372" bestFit="1" customWidth="1"/>
    <col min="7173" max="7173" width="10.88671875" style="372" customWidth="1"/>
    <col min="7174" max="7175" width="9.109375" style="372" bestFit="1" customWidth="1"/>
    <col min="7176" max="7176" width="10.88671875" style="372" customWidth="1"/>
    <col min="7177" max="7178" width="8.88671875" style="372" bestFit="1" customWidth="1"/>
    <col min="7179" max="7179" width="10.88671875" style="372" customWidth="1"/>
    <col min="7180" max="7181" width="8.88671875" style="372" bestFit="1" customWidth="1"/>
    <col min="7182" max="7182" width="10.88671875" style="372" customWidth="1"/>
    <col min="7183" max="7184" width="8.88671875" style="372" bestFit="1" customWidth="1"/>
    <col min="7185" max="7185" width="10.88671875" style="372" customWidth="1"/>
    <col min="7186" max="7187" width="9.109375" style="372" bestFit="1" customWidth="1"/>
    <col min="7188" max="7188" width="10.88671875" style="372" customWidth="1"/>
    <col min="7189" max="7190" width="7.88671875" style="372" bestFit="1" customWidth="1"/>
    <col min="7191" max="7191" width="9" style="372" bestFit="1" customWidth="1"/>
    <col min="7192" max="7192" width="7.88671875" style="372" bestFit="1" customWidth="1"/>
    <col min="7193" max="7193" width="6.109375" style="372" bestFit="1" customWidth="1"/>
    <col min="7194" max="7194" width="10.88671875" style="372" customWidth="1"/>
    <col min="7195" max="7423" width="11.44140625" style="372"/>
    <col min="7424" max="7424" width="2" style="372" customWidth="1"/>
    <col min="7425" max="7425" width="20.5546875" style="372" customWidth="1"/>
    <col min="7426" max="7426" width="15" style="372" customWidth="1"/>
    <col min="7427" max="7428" width="9.109375" style="372" bestFit="1" customWidth="1"/>
    <col min="7429" max="7429" width="10.88671875" style="372" customWidth="1"/>
    <col min="7430" max="7431" width="9.109375" style="372" bestFit="1" customWidth="1"/>
    <col min="7432" max="7432" width="10.88671875" style="372" customWidth="1"/>
    <col min="7433" max="7434" width="8.88671875" style="372" bestFit="1" customWidth="1"/>
    <col min="7435" max="7435" width="10.88671875" style="372" customWidth="1"/>
    <col min="7436" max="7437" width="8.88671875" style="372" bestFit="1" customWidth="1"/>
    <col min="7438" max="7438" width="10.88671875" style="372" customWidth="1"/>
    <col min="7439" max="7440" width="8.88671875" style="372" bestFit="1" customWidth="1"/>
    <col min="7441" max="7441" width="10.88671875" style="372" customWidth="1"/>
    <col min="7442" max="7443" width="9.109375" style="372" bestFit="1" customWidth="1"/>
    <col min="7444" max="7444" width="10.88671875" style="372" customWidth="1"/>
    <col min="7445" max="7446" width="7.88671875" style="372" bestFit="1" customWidth="1"/>
    <col min="7447" max="7447" width="9" style="372" bestFit="1" customWidth="1"/>
    <col min="7448" max="7448" width="7.88671875" style="372" bestFit="1" customWidth="1"/>
    <col min="7449" max="7449" width="6.109375" style="372" bestFit="1" customWidth="1"/>
    <col min="7450" max="7450" width="10.88671875" style="372" customWidth="1"/>
    <col min="7451" max="7679" width="11.44140625" style="372"/>
    <col min="7680" max="7680" width="2" style="372" customWidth="1"/>
    <col min="7681" max="7681" width="20.5546875" style="372" customWidth="1"/>
    <col min="7682" max="7682" width="15" style="372" customWidth="1"/>
    <col min="7683" max="7684" width="9.109375" style="372" bestFit="1" customWidth="1"/>
    <col min="7685" max="7685" width="10.88671875" style="372" customWidth="1"/>
    <col min="7686" max="7687" width="9.109375" style="372" bestFit="1" customWidth="1"/>
    <col min="7688" max="7688" width="10.88671875" style="372" customWidth="1"/>
    <col min="7689" max="7690" width="8.88671875" style="372" bestFit="1" customWidth="1"/>
    <col min="7691" max="7691" width="10.88671875" style="372" customWidth="1"/>
    <col min="7692" max="7693" width="8.88671875" style="372" bestFit="1" customWidth="1"/>
    <col min="7694" max="7694" width="10.88671875" style="372" customWidth="1"/>
    <col min="7695" max="7696" width="8.88671875" style="372" bestFit="1" customWidth="1"/>
    <col min="7697" max="7697" width="10.88671875" style="372" customWidth="1"/>
    <col min="7698" max="7699" width="9.109375" style="372" bestFit="1" customWidth="1"/>
    <col min="7700" max="7700" width="10.88671875" style="372" customWidth="1"/>
    <col min="7701" max="7702" width="7.88671875" style="372" bestFit="1" customWidth="1"/>
    <col min="7703" max="7703" width="9" style="372" bestFit="1" customWidth="1"/>
    <col min="7704" max="7704" width="7.88671875" style="372" bestFit="1" customWidth="1"/>
    <col min="7705" max="7705" width="6.109375" style="372" bestFit="1" customWidth="1"/>
    <col min="7706" max="7706" width="10.88671875" style="372" customWidth="1"/>
    <col min="7707" max="7935" width="11.44140625" style="372"/>
    <col min="7936" max="7936" width="2" style="372" customWidth="1"/>
    <col min="7937" max="7937" width="20.5546875" style="372" customWidth="1"/>
    <col min="7938" max="7938" width="15" style="372" customWidth="1"/>
    <col min="7939" max="7940" width="9.109375" style="372" bestFit="1" customWidth="1"/>
    <col min="7941" max="7941" width="10.88671875" style="372" customWidth="1"/>
    <col min="7942" max="7943" width="9.109375" style="372" bestFit="1" customWidth="1"/>
    <col min="7944" max="7944" width="10.88671875" style="372" customWidth="1"/>
    <col min="7945" max="7946" width="8.88671875" style="372" bestFit="1" customWidth="1"/>
    <col min="7947" max="7947" width="10.88671875" style="372" customWidth="1"/>
    <col min="7948" max="7949" width="8.88671875" style="372" bestFit="1" customWidth="1"/>
    <col min="7950" max="7950" width="10.88671875" style="372" customWidth="1"/>
    <col min="7951" max="7952" width="8.88671875" style="372" bestFit="1" customWidth="1"/>
    <col min="7953" max="7953" width="10.88671875" style="372" customWidth="1"/>
    <col min="7954" max="7955" width="9.109375" style="372" bestFit="1" customWidth="1"/>
    <col min="7956" max="7956" width="10.88671875" style="372" customWidth="1"/>
    <col min="7957" max="7958" width="7.88671875" style="372" bestFit="1" customWidth="1"/>
    <col min="7959" max="7959" width="9" style="372" bestFit="1" customWidth="1"/>
    <col min="7960" max="7960" width="7.88671875" style="372" bestFit="1" customWidth="1"/>
    <col min="7961" max="7961" width="6.109375" style="372" bestFit="1" customWidth="1"/>
    <col min="7962" max="7962" width="10.88671875" style="372" customWidth="1"/>
    <col min="7963" max="8191" width="11.44140625" style="372"/>
    <col min="8192" max="8192" width="2" style="372" customWidth="1"/>
    <col min="8193" max="8193" width="20.5546875" style="372" customWidth="1"/>
    <col min="8194" max="8194" width="15" style="372" customWidth="1"/>
    <col min="8195" max="8196" width="9.109375" style="372" bestFit="1" customWidth="1"/>
    <col min="8197" max="8197" width="10.88671875" style="372" customWidth="1"/>
    <col min="8198" max="8199" width="9.109375" style="372" bestFit="1" customWidth="1"/>
    <col min="8200" max="8200" width="10.88671875" style="372" customWidth="1"/>
    <col min="8201" max="8202" width="8.88671875" style="372" bestFit="1" customWidth="1"/>
    <col min="8203" max="8203" width="10.88671875" style="372" customWidth="1"/>
    <col min="8204" max="8205" width="8.88671875" style="372" bestFit="1" customWidth="1"/>
    <col min="8206" max="8206" width="10.88671875" style="372" customWidth="1"/>
    <col min="8207" max="8208" width="8.88671875" style="372" bestFit="1" customWidth="1"/>
    <col min="8209" max="8209" width="10.88671875" style="372" customWidth="1"/>
    <col min="8210" max="8211" width="9.109375" style="372" bestFit="1" customWidth="1"/>
    <col min="8212" max="8212" width="10.88671875" style="372" customWidth="1"/>
    <col min="8213" max="8214" width="7.88671875" style="372" bestFit="1" customWidth="1"/>
    <col min="8215" max="8215" width="9" style="372" bestFit="1" customWidth="1"/>
    <col min="8216" max="8216" width="7.88671875" style="372" bestFit="1" customWidth="1"/>
    <col min="8217" max="8217" width="6.109375" style="372" bestFit="1" customWidth="1"/>
    <col min="8218" max="8218" width="10.88671875" style="372" customWidth="1"/>
    <col min="8219" max="8447" width="11.44140625" style="372"/>
    <col min="8448" max="8448" width="2" style="372" customWidth="1"/>
    <col min="8449" max="8449" width="20.5546875" style="372" customWidth="1"/>
    <col min="8450" max="8450" width="15" style="372" customWidth="1"/>
    <col min="8451" max="8452" width="9.109375" style="372" bestFit="1" customWidth="1"/>
    <col min="8453" max="8453" width="10.88671875" style="372" customWidth="1"/>
    <col min="8454" max="8455" width="9.109375" style="372" bestFit="1" customWidth="1"/>
    <col min="8456" max="8456" width="10.88671875" style="372" customWidth="1"/>
    <col min="8457" max="8458" width="8.88671875" style="372" bestFit="1" customWidth="1"/>
    <col min="8459" max="8459" width="10.88671875" style="372" customWidth="1"/>
    <col min="8460" max="8461" width="8.88671875" style="372" bestFit="1" customWidth="1"/>
    <col min="8462" max="8462" width="10.88671875" style="372" customWidth="1"/>
    <col min="8463" max="8464" width="8.88671875" style="372" bestFit="1" customWidth="1"/>
    <col min="8465" max="8465" width="10.88671875" style="372" customWidth="1"/>
    <col min="8466" max="8467" width="9.109375" style="372" bestFit="1" customWidth="1"/>
    <col min="8468" max="8468" width="10.88671875" style="372" customWidth="1"/>
    <col min="8469" max="8470" width="7.88671875" style="372" bestFit="1" customWidth="1"/>
    <col min="8471" max="8471" width="9" style="372" bestFit="1" customWidth="1"/>
    <col min="8472" max="8472" width="7.88671875" style="372" bestFit="1" customWidth="1"/>
    <col min="8473" max="8473" width="6.109375" style="372" bestFit="1" customWidth="1"/>
    <col min="8474" max="8474" width="10.88671875" style="372" customWidth="1"/>
    <col min="8475" max="8703" width="11.44140625" style="372"/>
    <col min="8704" max="8704" width="2" style="372" customWidth="1"/>
    <col min="8705" max="8705" width="20.5546875" style="372" customWidth="1"/>
    <col min="8706" max="8706" width="15" style="372" customWidth="1"/>
    <col min="8707" max="8708" width="9.109375" style="372" bestFit="1" customWidth="1"/>
    <col min="8709" max="8709" width="10.88671875" style="372" customWidth="1"/>
    <col min="8710" max="8711" width="9.109375" style="372" bestFit="1" customWidth="1"/>
    <col min="8712" max="8712" width="10.88671875" style="372" customWidth="1"/>
    <col min="8713" max="8714" width="8.88671875" style="372" bestFit="1" customWidth="1"/>
    <col min="8715" max="8715" width="10.88671875" style="372" customWidth="1"/>
    <col min="8716" max="8717" width="8.88671875" style="372" bestFit="1" customWidth="1"/>
    <col min="8718" max="8718" width="10.88671875" style="372" customWidth="1"/>
    <col min="8719" max="8720" width="8.88671875" style="372" bestFit="1" customWidth="1"/>
    <col min="8721" max="8721" width="10.88671875" style="372" customWidth="1"/>
    <col min="8722" max="8723" width="9.109375" style="372" bestFit="1" customWidth="1"/>
    <col min="8724" max="8724" width="10.88671875" style="372" customWidth="1"/>
    <col min="8725" max="8726" width="7.88671875" style="372" bestFit="1" customWidth="1"/>
    <col min="8727" max="8727" width="9" style="372" bestFit="1" customWidth="1"/>
    <col min="8728" max="8728" width="7.88671875" style="372" bestFit="1" customWidth="1"/>
    <col min="8729" max="8729" width="6.109375" style="372" bestFit="1" customWidth="1"/>
    <col min="8730" max="8730" width="10.88671875" style="372" customWidth="1"/>
    <col min="8731" max="8959" width="11.44140625" style="372"/>
    <col min="8960" max="8960" width="2" style="372" customWidth="1"/>
    <col min="8961" max="8961" width="20.5546875" style="372" customWidth="1"/>
    <col min="8962" max="8962" width="15" style="372" customWidth="1"/>
    <col min="8963" max="8964" width="9.109375" style="372" bestFit="1" customWidth="1"/>
    <col min="8965" max="8965" width="10.88671875" style="372" customWidth="1"/>
    <col min="8966" max="8967" width="9.109375" style="372" bestFit="1" customWidth="1"/>
    <col min="8968" max="8968" width="10.88671875" style="372" customWidth="1"/>
    <col min="8969" max="8970" width="8.88671875" style="372" bestFit="1" customWidth="1"/>
    <col min="8971" max="8971" width="10.88671875" style="372" customWidth="1"/>
    <col min="8972" max="8973" width="8.88671875" style="372" bestFit="1" customWidth="1"/>
    <col min="8974" max="8974" width="10.88671875" style="372" customWidth="1"/>
    <col min="8975" max="8976" width="8.88671875" style="372" bestFit="1" customWidth="1"/>
    <col min="8977" max="8977" width="10.88671875" style="372" customWidth="1"/>
    <col min="8978" max="8979" width="9.109375" style="372" bestFit="1" customWidth="1"/>
    <col min="8980" max="8980" width="10.88671875" style="372" customWidth="1"/>
    <col min="8981" max="8982" width="7.88671875" style="372" bestFit="1" customWidth="1"/>
    <col min="8983" max="8983" width="9" style="372" bestFit="1" customWidth="1"/>
    <col min="8984" max="8984" width="7.88671875" style="372" bestFit="1" customWidth="1"/>
    <col min="8985" max="8985" width="6.109375" style="372" bestFit="1" customWidth="1"/>
    <col min="8986" max="8986" width="10.88671875" style="372" customWidth="1"/>
    <col min="8987" max="9215" width="11.44140625" style="372"/>
    <col min="9216" max="9216" width="2" style="372" customWidth="1"/>
    <col min="9217" max="9217" width="20.5546875" style="372" customWidth="1"/>
    <col min="9218" max="9218" width="15" style="372" customWidth="1"/>
    <col min="9219" max="9220" width="9.109375" style="372" bestFit="1" customWidth="1"/>
    <col min="9221" max="9221" width="10.88671875" style="372" customWidth="1"/>
    <col min="9222" max="9223" width="9.109375" style="372" bestFit="1" customWidth="1"/>
    <col min="9224" max="9224" width="10.88671875" style="372" customWidth="1"/>
    <col min="9225" max="9226" width="8.88671875" style="372" bestFit="1" customWidth="1"/>
    <col min="9227" max="9227" width="10.88671875" style="372" customWidth="1"/>
    <col min="9228" max="9229" width="8.88671875" style="372" bestFit="1" customWidth="1"/>
    <col min="9230" max="9230" width="10.88671875" style="372" customWidth="1"/>
    <col min="9231" max="9232" width="8.88671875" style="372" bestFit="1" customWidth="1"/>
    <col min="9233" max="9233" width="10.88671875" style="372" customWidth="1"/>
    <col min="9234" max="9235" width="9.109375" style="372" bestFit="1" customWidth="1"/>
    <col min="9236" max="9236" width="10.88671875" style="372" customWidth="1"/>
    <col min="9237" max="9238" width="7.88671875" style="372" bestFit="1" customWidth="1"/>
    <col min="9239" max="9239" width="9" style="372" bestFit="1" customWidth="1"/>
    <col min="9240" max="9240" width="7.88671875" style="372" bestFit="1" customWidth="1"/>
    <col min="9241" max="9241" width="6.109375" style="372" bestFit="1" customWidth="1"/>
    <col min="9242" max="9242" width="10.88671875" style="372" customWidth="1"/>
    <col min="9243" max="9471" width="11.44140625" style="372"/>
    <col min="9472" max="9472" width="2" style="372" customWidth="1"/>
    <col min="9473" max="9473" width="20.5546875" style="372" customWidth="1"/>
    <col min="9474" max="9474" width="15" style="372" customWidth="1"/>
    <col min="9475" max="9476" width="9.109375" style="372" bestFit="1" customWidth="1"/>
    <col min="9477" max="9477" width="10.88671875" style="372" customWidth="1"/>
    <col min="9478" max="9479" width="9.109375" style="372" bestFit="1" customWidth="1"/>
    <col min="9480" max="9480" width="10.88671875" style="372" customWidth="1"/>
    <col min="9481" max="9482" width="8.88671875" style="372" bestFit="1" customWidth="1"/>
    <col min="9483" max="9483" width="10.88671875" style="372" customWidth="1"/>
    <col min="9484" max="9485" width="8.88671875" style="372" bestFit="1" customWidth="1"/>
    <col min="9486" max="9486" width="10.88671875" style="372" customWidth="1"/>
    <col min="9487" max="9488" width="8.88671875" style="372" bestFit="1" customWidth="1"/>
    <col min="9489" max="9489" width="10.88671875" style="372" customWidth="1"/>
    <col min="9490" max="9491" width="9.109375" style="372" bestFit="1" customWidth="1"/>
    <col min="9492" max="9492" width="10.88671875" style="372" customWidth="1"/>
    <col min="9493" max="9494" width="7.88671875" style="372" bestFit="1" customWidth="1"/>
    <col min="9495" max="9495" width="9" style="372" bestFit="1" customWidth="1"/>
    <col min="9496" max="9496" width="7.88671875" style="372" bestFit="1" customWidth="1"/>
    <col min="9497" max="9497" width="6.109375" style="372" bestFit="1" customWidth="1"/>
    <col min="9498" max="9498" width="10.88671875" style="372" customWidth="1"/>
    <col min="9499" max="9727" width="11.44140625" style="372"/>
    <col min="9728" max="9728" width="2" style="372" customWidth="1"/>
    <col min="9729" max="9729" width="20.5546875" style="372" customWidth="1"/>
    <col min="9730" max="9730" width="15" style="372" customWidth="1"/>
    <col min="9731" max="9732" width="9.109375" style="372" bestFit="1" customWidth="1"/>
    <col min="9733" max="9733" width="10.88671875" style="372" customWidth="1"/>
    <col min="9734" max="9735" width="9.109375" style="372" bestFit="1" customWidth="1"/>
    <col min="9736" max="9736" width="10.88671875" style="372" customWidth="1"/>
    <col min="9737" max="9738" width="8.88671875" style="372" bestFit="1" customWidth="1"/>
    <col min="9739" max="9739" width="10.88671875" style="372" customWidth="1"/>
    <col min="9740" max="9741" width="8.88671875" style="372" bestFit="1" customWidth="1"/>
    <col min="9742" max="9742" width="10.88671875" style="372" customWidth="1"/>
    <col min="9743" max="9744" width="8.88671875" style="372" bestFit="1" customWidth="1"/>
    <col min="9745" max="9745" width="10.88671875" style="372" customWidth="1"/>
    <col min="9746" max="9747" width="9.109375" style="372" bestFit="1" customWidth="1"/>
    <col min="9748" max="9748" width="10.88671875" style="372" customWidth="1"/>
    <col min="9749" max="9750" width="7.88671875" style="372" bestFit="1" customWidth="1"/>
    <col min="9751" max="9751" width="9" style="372" bestFit="1" customWidth="1"/>
    <col min="9752" max="9752" width="7.88671875" style="372" bestFit="1" customWidth="1"/>
    <col min="9753" max="9753" width="6.109375" style="372" bestFit="1" customWidth="1"/>
    <col min="9754" max="9754" width="10.88671875" style="372" customWidth="1"/>
    <col min="9755" max="9983" width="11.44140625" style="372"/>
    <col min="9984" max="9984" width="2" style="372" customWidth="1"/>
    <col min="9985" max="9985" width="20.5546875" style="372" customWidth="1"/>
    <col min="9986" max="9986" width="15" style="372" customWidth="1"/>
    <col min="9987" max="9988" width="9.109375" style="372" bestFit="1" customWidth="1"/>
    <col min="9989" max="9989" width="10.88671875" style="372" customWidth="1"/>
    <col min="9990" max="9991" width="9.109375" style="372" bestFit="1" customWidth="1"/>
    <col min="9992" max="9992" width="10.88671875" style="372" customWidth="1"/>
    <col min="9993" max="9994" width="8.88671875" style="372" bestFit="1" customWidth="1"/>
    <col min="9995" max="9995" width="10.88671875" style="372" customWidth="1"/>
    <col min="9996" max="9997" width="8.88671875" style="372" bestFit="1" customWidth="1"/>
    <col min="9998" max="9998" width="10.88671875" style="372" customWidth="1"/>
    <col min="9999" max="10000" width="8.88671875" style="372" bestFit="1" customWidth="1"/>
    <col min="10001" max="10001" width="10.88671875" style="372" customWidth="1"/>
    <col min="10002" max="10003" width="9.109375" style="372" bestFit="1" customWidth="1"/>
    <col min="10004" max="10004" width="10.88671875" style="372" customWidth="1"/>
    <col min="10005" max="10006" width="7.88671875" style="372" bestFit="1" customWidth="1"/>
    <col min="10007" max="10007" width="9" style="372" bestFit="1" customWidth="1"/>
    <col min="10008" max="10008" width="7.88671875" style="372" bestFit="1" customWidth="1"/>
    <col min="10009" max="10009" width="6.109375" style="372" bestFit="1" customWidth="1"/>
    <col min="10010" max="10010" width="10.88671875" style="372" customWidth="1"/>
    <col min="10011" max="10239" width="11.44140625" style="372"/>
    <col min="10240" max="10240" width="2" style="372" customWidth="1"/>
    <col min="10241" max="10241" width="20.5546875" style="372" customWidth="1"/>
    <col min="10242" max="10242" width="15" style="372" customWidth="1"/>
    <col min="10243" max="10244" width="9.109375" style="372" bestFit="1" customWidth="1"/>
    <col min="10245" max="10245" width="10.88671875" style="372" customWidth="1"/>
    <col min="10246" max="10247" width="9.109375" style="372" bestFit="1" customWidth="1"/>
    <col min="10248" max="10248" width="10.88671875" style="372" customWidth="1"/>
    <col min="10249" max="10250" width="8.88671875" style="372" bestFit="1" customWidth="1"/>
    <col min="10251" max="10251" width="10.88671875" style="372" customWidth="1"/>
    <col min="10252" max="10253" width="8.88671875" style="372" bestFit="1" customWidth="1"/>
    <col min="10254" max="10254" width="10.88671875" style="372" customWidth="1"/>
    <col min="10255" max="10256" width="8.88671875" style="372" bestFit="1" customWidth="1"/>
    <col min="10257" max="10257" width="10.88671875" style="372" customWidth="1"/>
    <col min="10258" max="10259" width="9.109375" style="372" bestFit="1" customWidth="1"/>
    <col min="10260" max="10260" width="10.88671875" style="372" customWidth="1"/>
    <col min="10261" max="10262" width="7.88671875" style="372" bestFit="1" customWidth="1"/>
    <col min="10263" max="10263" width="9" style="372" bestFit="1" customWidth="1"/>
    <col min="10264" max="10264" width="7.88671875" style="372" bestFit="1" customWidth="1"/>
    <col min="10265" max="10265" width="6.109375" style="372" bestFit="1" customWidth="1"/>
    <col min="10266" max="10266" width="10.88671875" style="372" customWidth="1"/>
    <col min="10267" max="10495" width="11.44140625" style="372"/>
    <col min="10496" max="10496" width="2" style="372" customWidth="1"/>
    <col min="10497" max="10497" width="20.5546875" style="372" customWidth="1"/>
    <col min="10498" max="10498" width="15" style="372" customWidth="1"/>
    <col min="10499" max="10500" width="9.109375" style="372" bestFit="1" customWidth="1"/>
    <col min="10501" max="10501" width="10.88671875" style="372" customWidth="1"/>
    <col min="10502" max="10503" width="9.109375" style="372" bestFit="1" customWidth="1"/>
    <col min="10504" max="10504" width="10.88671875" style="372" customWidth="1"/>
    <col min="10505" max="10506" width="8.88671875" style="372" bestFit="1" customWidth="1"/>
    <col min="10507" max="10507" width="10.88671875" style="372" customWidth="1"/>
    <col min="10508" max="10509" width="8.88671875" style="372" bestFit="1" customWidth="1"/>
    <col min="10510" max="10510" width="10.88671875" style="372" customWidth="1"/>
    <col min="10511" max="10512" width="8.88671875" style="372" bestFit="1" customWidth="1"/>
    <col min="10513" max="10513" width="10.88671875" style="372" customWidth="1"/>
    <col min="10514" max="10515" width="9.109375" style="372" bestFit="1" customWidth="1"/>
    <col min="10516" max="10516" width="10.88671875" style="372" customWidth="1"/>
    <col min="10517" max="10518" width="7.88671875" style="372" bestFit="1" customWidth="1"/>
    <col min="10519" max="10519" width="9" style="372" bestFit="1" customWidth="1"/>
    <col min="10520" max="10520" width="7.88671875" style="372" bestFit="1" customWidth="1"/>
    <col min="10521" max="10521" width="6.109375" style="372" bestFit="1" customWidth="1"/>
    <col min="10522" max="10522" width="10.88671875" style="372" customWidth="1"/>
    <col min="10523" max="10751" width="11.44140625" style="372"/>
    <col min="10752" max="10752" width="2" style="372" customWidth="1"/>
    <col min="10753" max="10753" width="20.5546875" style="372" customWidth="1"/>
    <col min="10754" max="10754" width="15" style="372" customWidth="1"/>
    <col min="10755" max="10756" width="9.109375" style="372" bestFit="1" customWidth="1"/>
    <col min="10757" max="10757" width="10.88671875" style="372" customWidth="1"/>
    <col min="10758" max="10759" width="9.109375" style="372" bestFit="1" customWidth="1"/>
    <col min="10760" max="10760" width="10.88671875" style="372" customWidth="1"/>
    <col min="10761" max="10762" width="8.88671875" style="372" bestFit="1" customWidth="1"/>
    <col min="10763" max="10763" width="10.88671875" style="372" customWidth="1"/>
    <col min="10764" max="10765" width="8.88671875" style="372" bestFit="1" customWidth="1"/>
    <col min="10766" max="10766" width="10.88671875" style="372" customWidth="1"/>
    <col min="10767" max="10768" width="8.88671875" style="372" bestFit="1" customWidth="1"/>
    <col min="10769" max="10769" width="10.88671875" style="372" customWidth="1"/>
    <col min="10770" max="10771" width="9.109375" style="372" bestFit="1" customWidth="1"/>
    <col min="10772" max="10772" width="10.88671875" style="372" customWidth="1"/>
    <col min="10773" max="10774" width="7.88671875" style="372" bestFit="1" customWidth="1"/>
    <col min="10775" max="10775" width="9" style="372" bestFit="1" customWidth="1"/>
    <col min="10776" max="10776" width="7.88671875" style="372" bestFit="1" customWidth="1"/>
    <col min="10777" max="10777" width="6.109375" style="372" bestFit="1" customWidth="1"/>
    <col min="10778" max="10778" width="10.88671875" style="372" customWidth="1"/>
    <col min="10779" max="11007" width="11.44140625" style="372"/>
    <col min="11008" max="11008" width="2" style="372" customWidth="1"/>
    <col min="11009" max="11009" width="20.5546875" style="372" customWidth="1"/>
    <col min="11010" max="11010" width="15" style="372" customWidth="1"/>
    <col min="11011" max="11012" width="9.109375" style="372" bestFit="1" customWidth="1"/>
    <col min="11013" max="11013" width="10.88671875" style="372" customWidth="1"/>
    <col min="11014" max="11015" width="9.109375" style="372" bestFit="1" customWidth="1"/>
    <col min="11016" max="11016" width="10.88671875" style="372" customWidth="1"/>
    <col min="11017" max="11018" width="8.88671875" style="372" bestFit="1" customWidth="1"/>
    <col min="11019" max="11019" width="10.88671875" style="372" customWidth="1"/>
    <col min="11020" max="11021" width="8.88671875" style="372" bestFit="1" customWidth="1"/>
    <col min="11022" max="11022" width="10.88671875" style="372" customWidth="1"/>
    <col min="11023" max="11024" width="8.88671875" style="372" bestFit="1" customWidth="1"/>
    <col min="11025" max="11025" width="10.88671875" style="372" customWidth="1"/>
    <col min="11026" max="11027" width="9.109375" style="372" bestFit="1" customWidth="1"/>
    <col min="11028" max="11028" width="10.88671875" style="372" customWidth="1"/>
    <col min="11029" max="11030" width="7.88671875" style="372" bestFit="1" customWidth="1"/>
    <col min="11031" max="11031" width="9" style="372" bestFit="1" customWidth="1"/>
    <col min="11032" max="11032" width="7.88671875" style="372" bestFit="1" customWidth="1"/>
    <col min="11033" max="11033" width="6.109375" style="372" bestFit="1" customWidth="1"/>
    <col min="11034" max="11034" width="10.88671875" style="372" customWidth="1"/>
    <col min="11035" max="11263" width="11.44140625" style="372"/>
    <col min="11264" max="11264" width="2" style="372" customWidth="1"/>
    <col min="11265" max="11265" width="20.5546875" style="372" customWidth="1"/>
    <col min="11266" max="11266" width="15" style="372" customWidth="1"/>
    <col min="11267" max="11268" width="9.109375" style="372" bestFit="1" customWidth="1"/>
    <col min="11269" max="11269" width="10.88671875" style="372" customWidth="1"/>
    <col min="11270" max="11271" width="9.109375" style="372" bestFit="1" customWidth="1"/>
    <col min="11272" max="11272" width="10.88671875" style="372" customWidth="1"/>
    <col min="11273" max="11274" width="8.88671875" style="372" bestFit="1" customWidth="1"/>
    <col min="11275" max="11275" width="10.88671875" style="372" customWidth="1"/>
    <col min="11276" max="11277" width="8.88671875" style="372" bestFit="1" customWidth="1"/>
    <col min="11278" max="11278" width="10.88671875" style="372" customWidth="1"/>
    <col min="11279" max="11280" width="8.88671875" style="372" bestFit="1" customWidth="1"/>
    <col min="11281" max="11281" width="10.88671875" style="372" customWidth="1"/>
    <col min="11282" max="11283" width="9.109375" style="372" bestFit="1" customWidth="1"/>
    <col min="11284" max="11284" width="10.88671875" style="372" customWidth="1"/>
    <col min="11285" max="11286" width="7.88671875" style="372" bestFit="1" customWidth="1"/>
    <col min="11287" max="11287" width="9" style="372" bestFit="1" customWidth="1"/>
    <col min="11288" max="11288" width="7.88671875" style="372" bestFit="1" customWidth="1"/>
    <col min="11289" max="11289" width="6.109375" style="372" bestFit="1" customWidth="1"/>
    <col min="11290" max="11290" width="10.88671875" style="372" customWidth="1"/>
    <col min="11291" max="11519" width="11.44140625" style="372"/>
    <col min="11520" max="11520" width="2" style="372" customWidth="1"/>
    <col min="11521" max="11521" width="20.5546875" style="372" customWidth="1"/>
    <col min="11522" max="11522" width="15" style="372" customWidth="1"/>
    <col min="11523" max="11524" width="9.109375" style="372" bestFit="1" customWidth="1"/>
    <col min="11525" max="11525" width="10.88671875" style="372" customWidth="1"/>
    <col min="11526" max="11527" width="9.109375" style="372" bestFit="1" customWidth="1"/>
    <col min="11528" max="11528" width="10.88671875" style="372" customWidth="1"/>
    <col min="11529" max="11530" width="8.88671875" style="372" bestFit="1" customWidth="1"/>
    <col min="11531" max="11531" width="10.88671875" style="372" customWidth="1"/>
    <col min="11532" max="11533" width="8.88671875" style="372" bestFit="1" customWidth="1"/>
    <col min="11534" max="11534" width="10.88671875" style="372" customWidth="1"/>
    <col min="11535" max="11536" width="8.88671875" style="372" bestFit="1" customWidth="1"/>
    <col min="11537" max="11537" width="10.88671875" style="372" customWidth="1"/>
    <col min="11538" max="11539" width="9.109375" style="372" bestFit="1" customWidth="1"/>
    <col min="11540" max="11540" width="10.88671875" style="372" customWidth="1"/>
    <col min="11541" max="11542" width="7.88671875" style="372" bestFit="1" customWidth="1"/>
    <col min="11543" max="11543" width="9" style="372" bestFit="1" customWidth="1"/>
    <col min="11544" max="11544" width="7.88671875" style="372" bestFit="1" customWidth="1"/>
    <col min="11545" max="11545" width="6.109375" style="372" bestFit="1" customWidth="1"/>
    <col min="11546" max="11546" width="10.88671875" style="372" customWidth="1"/>
    <col min="11547" max="11775" width="11.44140625" style="372"/>
    <col min="11776" max="11776" width="2" style="372" customWidth="1"/>
    <col min="11777" max="11777" width="20.5546875" style="372" customWidth="1"/>
    <col min="11778" max="11778" width="15" style="372" customWidth="1"/>
    <col min="11779" max="11780" width="9.109375" style="372" bestFit="1" customWidth="1"/>
    <col min="11781" max="11781" width="10.88671875" style="372" customWidth="1"/>
    <col min="11782" max="11783" width="9.109375" style="372" bestFit="1" customWidth="1"/>
    <col min="11784" max="11784" width="10.88671875" style="372" customWidth="1"/>
    <col min="11785" max="11786" width="8.88671875" style="372" bestFit="1" customWidth="1"/>
    <col min="11787" max="11787" width="10.88671875" style="372" customWidth="1"/>
    <col min="11788" max="11789" width="8.88671875" style="372" bestFit="1" customWidth="1"/>
    <col min="11790" max="11790" width="10.88671875" style="372" customWidth="1"/>
    <col min="11791" max="11792" width="8.88671875" style="372" bestFit="1" customWidth="1"/>
    <col min="11793" max="11793" width="10.88671875" style="372" customWidth="1"/>
    <col min="11794" max="11795" width="9.109375" style="372" bestFit="1" customWidth="1"/>
    <col min="11796" max="11796" width="10.88671875" style="372" customWidth="1"/>
    <col min="11797" max="11798" width="7.88671875" style="372" bestFit="1" customWidth="1"/>
    <col min="11799" max="11799" width="9" style="372" bestFit="1" customWidth="1"/>
    <col min="11800" max="11800" width="7.88671875" style="372" bestFit="1" customWidth="1"/>
    <col min="11801" max="11801" width="6.109375" style="372" bestFit="1" customWidth="1"/>
    <col min="11802" max="11802" width="10.88671875" style="372" customWidth="1"/>
    <col min="11803" max="12031" width="11.44140625" style="372"/>
    <col min="12032" max="12032" width="2" style="372" customWidth="1"/>
    <col min="12033" max="12033" width="20.5546875" style="372" customWidth="1"/>
    <col min="12034" max="12034" width="15" style="372" customWidth="1"/>
    <col min="12035" max="12036" width="9.109375" style="372" bestFit="1" customWidth="1"/>
    <col min="12037" max="12037" width="10.88671875" style="372" customWidth="1"/>
    <col min="12038" max="12039" width="9.109375" style="372" bestFit="1" customWidth="1"/>
    <col min="12040" max="12040" width="10.88671875" style="372" customWidth="1"/>
    <col min="12041" max="12042" width="8.88671875" style="372" bestFit="1" customWidth="1"/>
    <col min="12043" max="12043" width="10.88671875" style="372" customWidth="1"/>
    <col min="12044" max="12045" width="8.88671875" style="372" bestFit="1" customWidth="1"/>
    <col min="12046" max="12046" width="10.88671875" style="372" customWidth="1"/>
    <col min="12047" max="12048" width="8.88671875" style="372" bestFit="1" customWidth="1"/>
    <col min="12049" max="12049" width="10.88671875" style="372" customWidth="1"/>
    <col min="12050" max="12051" width="9.109375" style="372" bestFit="1" customWidth="1"/>
    <col min="12052" max="12052" width="10.88671875" style="372" customWidth="1"/>
    <col min="12053" max="12054" width="7.88671875" style="372" bestFit="1" customWidth="1"/>
    <col min="12055" max="12055" width="9" style="372" bestFit="1" customWidth="1"/>
    <col min="12056" max="12056" width="7.88671875" style="372" bestFit="1" customWidth="1"/>
    <col min="12057" max="12057" width="6.109375" style="372" bestFit="1" customWidth="1"/>
    <col min="12058" max="12058" width="10.88671875" style="372" customWidth="1"/>
    <col min="12059" max="12287" width="11.44140625" style="372"/>
    <col min="12288" max="12288" width="2" style="372" customWidth="1"/>
    <col min="12289" max="12289" width="20.5546875" style="372" customWidth="1"/>
    <col min="12290" max="12290" width="15" style="372" customWidth="1"/>
    <col min="12291" max="12292" width="9.109375" style="372" bestFit="1" customWidth="1"/>
    <col min="12293" max="12293" width="10.88671875" style="372" customWidth="1"/>
    <col min="12294" max="12295" width="9.109375" style="372" bestFit="1" customWidth="1"/>
    <col min="12296" max="12296" width="10.88671875" style="372" customWidth="1"/>
    <col min="12297" max="12298" width="8.88671875" style="372" bestFit="1" customWidth="1"/>
    <col min="12299" max="12299" width="10.88671875" style="372" customWidth="1"/>
    <col min="12300" max="12301" width="8.88671875" style="372" bestFit="1" customWidth="1"/>
    <col min="12302" max="12302" width="10.88671875" style="372" customWidth="1"/>
    <col min="12303" max="12304" width="8.88671875" style="372" bestFit="1" customWidth="1"/>
    <col min="12305" max="12305" width="10.88671875" style="372" customWidth="1"/>
    <col min="12306" max="12307" width="9.109375" style="372" bestFit="1" customWidth="1"/>
    <col min="12308" max="12308" width="10.88671875" style="372" customWidth="1"/>
    <col min="12309" max="12310" width="7.88671875" style="372" bestFit="1" customWidth="1"/>
    <col min="12311" max="12311" width="9" style="372" bestFit="1" customWidth="1"/>
    <col min="12312" max="12312" width="7.88671875" style="372" bestFit="1" customWidth="1"/>
    <col min="12313" max="12313" width="6.109375" style="372" bestFit="1" customWidth="1"/>
    <col min="12314" max="12314" width="10.88671875" style="372" customWidth="1"/>
    <col min="12315" max="12543" width="11.44140625" style="372"/>
    <col min="12544" max="12544" width="2" style="372" customWidth="1"/>
    <col min="12545" max="12545" width="20.5546875" style="372" customWidth="1"/>
    <col min="12546" max="12546" width="15" style="372" customWidth="1"/>
    <col min="12547" max="12548" width="9.109375" style="372" bestFit="1" customWidth="1"/>
    <col min="12549" max="12549" width="10.88671875" style="372" customWidth="1"/>
    <col min="12550" max="12551" width="9.109375" style="372" bestFit="1" customWidth="1"/>
    <col min="12552" max="12552" width="10.88671875" style="372" customWidth="1"/>
    <col min="12553" max="12554" width="8.88671875" style="372" bestFit="1" customWidth="1"/>
    <col min="12555" max="12555" width="10.88671875" style="372" customWidth="1"/>
    <col min="12556" max="12557" width="8.88671875" style="372" bestFit="1" customWidth="1"/>
    <col min="12558" max="12558" width="10.88671875" style="372" customWidth="1"/>
    <col min="12559" max="12560" width="8.88671875" style="372" bestFit="1" customWidth="1"/>
    <col min="12561" max="12561" width="10.88671875" style="372" customWidth="1"/>
    <col min="12562" max="12563" width="9.109375" style="372" bestFit="1" customWidth="1"/>
    <col min="12564" max="12564" width="10.88671875" style="372" customWidth="1"/>
    <col min="12565" max="12566" width="7.88671875" style="372" bestFit="1" customWidth="1"/>
    <col min="12567" max="12567" width="9" style="372" bestFit="1" customWidth="1"/>
    <col min="12568" max="12568" width="7.88671875" style="372" bestFit="1" customWidth="1"/>
    <col min="12569" max="12569" width="6.109375" style="372" bestFit="1" customWidth="1"/>
    <col min="12570" max="12570" width="10.88671875" style="372" customWidth="1"/>
    <col min="12571" max="12799" width="11.44140625" style="372"/>
    <col min="12800" max="12800" width="2" style="372" customWidth="1"/>
    <col min="12801" max="12801" width="20.5546875" style="372" customWidth="1"/>
    <col min="12802" max="12802" width="15" style="372" customWidth="1"/>
    <col min="12803" max="12804" width="9.109375" style="372" bestFit="1" customWidth="1"/>
    <col min="12805" max="12805" width="10.88671875" style="372" customWidth="1"/>
    <col min="12806" max="12807" width="9.109375" style="372" bestFit="1" customWidth="1"/>
    <col min="12808" max="12808" width="10.88671875" style="372" customWidth="1"/>
    <col min="12809" max="12810" width="8.88671875" style="372" bestFit="1" customWidth="1"/>
    <col min="12811" max="12811" width="10.88671875" style="372" customWidth="1"/>
    <col min="12812" max="12813" width="8.88671875" style="372" bestFit="1" customWidth="1"/>
    <col min="12814" max="12814" width="10.88671875" style="372" customWidth="1"/>
    <col min="12815" max="12816" width="8.88671875" style="372" bestFit="1" customWidth="1"/>
    <col min="12817" max="12817" width="10.88671875" style="372" customWidth="1"/>
    <col min="12818" max="12819" width="9.109375" style="372" bestFit="1" customWidth="1"/>
    <col min="12820" max="12820" width="10.88671875" style="372" customWidth="1"/>
    <col min="12821" max="12822" width="7.88671875" style="372" bestFit="1" customWidth="1"/>
    <col min="12823" max="12823" width="9" style="372" bestFit="1" customWidth="1"/>
    <col min="12824" max="12824" width="7.88671875" style="372" bestFit="1" customWidth="1"/>
    <col min="12825" max="12825" width="6.109375" style="372" bestFit="1" customWidth="1"/>
    <col min="12826" max="12826" width="10.88671875" style="372" customWidth="1"/>
    <col min="12827" max="13055" width="11.44140625" style="372"/>
    <col min="13056" max="13056" width="2" style="372" customWidth="1"/>
    <col min="13057" max="13057" width="20.5546875" style="372" customWidth="1"/>
    <col min="13058" max="13058" width="15" style="372" customWidth="1"/>
    <col min="13059" max="13060" width="9.109375" style="372" bestFit="1" customWidth="1"/>
    <col min="13061" max="13061" width="10.88671875" style="372" customWidth="1"/>
    <col min="13062" max="13063" width="9.109375" style="372" bestFit="1" customWidth="1"/>
    <col min="13064" max="13064" width="10.88671875" style="372" customWidth="1"/>
    <col min="13065" max="13066" width="8.88671875" style="372" bestFit="1" customWidth="1"/>
    <col min="13067" max="13067" width="10.88671875" style="372" customWidth="1"/>
    <col min="13068" max="13069" width="8.88671875" style="372" bestFit="1" customWidth="1"/>
    <col min="13070" max="13070" width="10.88671875" style="372" customWidth="1"/>
    <col min="13071" max="13072" width="8.88671875" style="372" bestFit="1" customWidth="1"/>
    <col min="13073" max="13073" width="10.88671875" style="372" customWidth="1"/>
    <col min="13074" max="13075" width="9.109375" style="372" bestFit="1" customWidth="1"/>
    <col min="13076" max="13076" width="10.88671875" style="372" customWidth="1"/>
    <col min="13077" max="13078" width="7.88671875" style="372" bestFit="1" customWidth="1"/>
    <col min="13079" max="13079" width="9" style="372" bestFit="1" customWidth="1"/>
    <col min="13080" max="13080" width="7.88671875" style="372" bestFit="1" customWidth="1"/>
    <col min="13081" max="13081" width="6.109375" style="372" bestFit="1" customWidth="1"/>
    <col min="13082" max="13082" width="10.88671875" style="372" customWidth="1"/>
    <col min="13083" max="13311" width="11.44140625" style="372"/>
    <col min="13312" max="13312" width="2" style="372" customWidth="1"/>
    <col min="13313" max="13313" width="20.5546875" style="372" customWidth="1"/>
    <col min="13314" max="13314" width="15" style="372" customWidth="1"/>
    <col min="13315" max="13316" width="9.109375" style="372" bestFit="1" customWidth="1"/>
    <col min="13317" max="13317" width="10.88671875" style="372" customWidth="1"/>
    <col min="13318" max="13319" width="9.109375" style="372" bestFit="1" customWidth="1"/>
    <col min="13320" max="13320" width="10.88671875" style="372" customWidth="1"/>
    <col min="13321" max="13322" width="8.88671875" style="372" bestFit="1" customWidth="1"/>
    <col min="13323" max="13323" width="10.88671875" style="372" customWidth="1"/>
    <col min="13324" max="13325" width="8.88671875" style="372" bestFit="1" customWidth="1"/>
    <col min="13326" max="13326" width="10.88671875" style="372" customWidth="1"/>
    <col min="13327" max="13328" width="8.88671875" style="372" bestFit="1" customWidth="1"/>
    <col min="13329" max="13329" width="10.88671875" style="372" customWidth="1"/>
    <col min="13330" max="13331" width="9.109375" style="372" bestFit="1" customWidth="1"/>
    <col min="13332" max="13332" width="10.88671875" style="372" customWidth="1"/>
    <col min="13333" max="13334" width="7.88671875" style="372" bestFit="1" customWidth="1"/>
    <col min="13335" max="13335" width="9" style="372" bestFit="1" customWidth="1"/>
    <col min="13336" max="13336" width="7.88671875" style="372" bestFit="1" customWidth="1"/>
    <col min="13337" max="13337" width="6.109375" style="372" bestFit="1" customWidth="1"/>
    <col min="13338" max="13338" width="10.88671875" style="372" customWidth="1"/>
    <col min="13339" max="13567" width="11.44140625" style="372"/>
    <col min="13568" max="13568" width="2" style="372" customWidth="1"/>
    <col min="13569" max="13569" width="20.5546875" style="372" customWidth="1"/>
    <col min="13570" max="13570" width="15" style="372" customWidth="1"/>
    <col min="13571" max="13572" width="9.109375" style="372" bestFit="1" customWidth="1"/>
    <col min="13573" max="13573" width="10.88671875" style="372" customWidth="1"/>
    <col min="13574" max="13575" width="9.109375" style="372" bestFit="1" customWidth="1"/>
    <col min="13576" max="13576" width="10.88671875" style="372" customWidth="1"/>
    <col min="13577" max="13578" width="8.88671875" style="372" bestFit="1" customWidth="1"/>
    <col min="13579" max="13579" width="10.88671875" style="372" customWidth="1"/>
    <col min="13580" max="13581" width="8.88671875" style="372" bestFit="1" customWidth="1"/>
    <col min="13582" max="13582" width="10.88671875" style="372" customWidth="1"/>
    <col min="13583" max="13584" width="8.88671875" style="372" bestFit="1" customWidth="1"/>
    <col min="13585" max="13585" width="10.88671875" style="372" customWidth="1"/>
    <col min="13586" max="13587" width="9.109375" style="372" bestFit="1" customWidth="1"/>
    <col min="13588" max="13588" width="10.88671875" style="372" customWidth="1"/>
    <col min="13589" max="13590" width="7.88671875" style="372" bestFit="1" customWidth="1"/>
    <col min="13591" max="13591" width="9" style="372" bestFit="1" customWidth="1"/>
    <col min="13592" max="13592" width="7.88671875" style="372" bestFit="1" customWidth="1"/>
    <col min="13593" max="13593" width="6.109375" style="372" bestFit="1" customWidth="1"/>
    <col min="13594" max="13594" width="10.88671875" style="372" customWidth="1"/>
    <col min="13595" max="13823" width="11.44140625" style="372"/>
    <col min="13824" max="13824" width="2" style="372" customWidth="1"/>
    <col min="13825" max="13825" width="20.5546875" style="372" customWidth="1"/>
    <col min="13826" max="13826" width="15" style="372" customWidth="1"/>
    <col min="13827" max="13828" width="9.109375" style="372" bestFit="1" customWidth="1"/>
    <col min="13829" max="13829" width="10.88671875" style="372" customWidth="1"/>
    <col min="13830" max="13831" width="9.109375" style="372" bestFit="1" customWidth="1"/>
    <col min="13832" max="13832" width="10.88671875" style="372" customWidth="1"/>
    <col min="13833" max="13834" width="8.88671875" style="372" bestFit="1" customWidth="1"/>
    <col min="13835" max="13835" width="10.88671875" style="372" customWidth="1"/>
    <col min="13836" max="13837" width="8.88671875" style="372" bestFit="1" customWidth="1"/>
    <col min="13838" max="13838" width="10.88671875" style="372" customWidth="1"/>
    <col min="13839" max="13840" width="8.88671875" style="372" bestFit="1" customWidth="1"/>
    <col min="13841" max="13841" width="10.88671875" style="372" customWidth="1"/>
    <col min="13842" max="13843" width="9.109375" style="372" bestFit="1" customWidth="1"/>
    <col min="13844" max="13844" width="10.88671875" style="372" customWidth="1"/>
    <col min="13845" max="13846" width="7.88671875" style="372" bestFit="1" customWidth="1"/>
    <col min="13847" max="13847" width="9" style="372" bestFit="1" customWidth="1"/>
    <col min="13848" max="13848" width="7.88671875" style="372" bestFit="1" customWidth="1"/>
    <col min="13849" max="13849" width="6.109375" style="372" bestFit="1" customWidth="1"/>
    <col min="13850" max="13850" width="10.88671875" style="372" customWidth="1"/>
    <col min="13851" max="14079" width="11.44140625" style="372"/>
    <col min="14080" max="14080" width="2" style="372" customWidth="1"/>
    <col min="14081" max="14081" width="20.5546875" style="372" customWidth="1"/>
    <col min="14082" max="14082" width="15" style="372" customWidth="1"/>
    <col min="14083" max="14084" width="9.109375" style="372" bestFit="1" customWidth="1"/>
    <col min="14085" max="14085" width="10.88671875" style="372" customWidth="1"/>
    <col min="14086" max="14087" width="9.109375" style="372" bestFit="1" customWidth="1"/>
    <col min="14088" max="14088" width="10.88671875" style="372" customWidth="1"/>
    <col min="14089" max="14090" width="8.88671875" style="372" bestFit="1" customWidth="1"/>
    <col min="14091" max="14091" width="10.88671875" style="372" customWidth="1"/>
    <col min="14092" max="14093" width="8.88671875" style="372" bestFit="1" customWidth="1"/>
    <col min="14094" max="14094" width="10.88671875" style="372" customWidth="1"/>
    <col min="14095" max="14096" width="8.88671875" style="372" bestFit="1" customWidth="1"/>
    <col min="14097" max="14097" width="10.88671875" style="372" customWidth="1"/>
    <col min="14098" max="14099" width="9.109375" style="372" bestFit="1" customWidth="1"/>
    <col min="14100" max="14100" width="10.88671875" style="372" customWidth="1"/>
    <col min="14101" max="14102" width="7.88671875" style="372" bestFit="1" customWidth="1"/>
    <col min="14103" max="14103" width="9" style="372" bestFit="1" customWidth="1"/>
    <col min="14104" max="14104" width="7.88671875" style="372" bestFit="1" customWidth="1"/>
    <col min="14105" max="14105" width="6.109375" style="372" bestFit="1" customWidth="1"/>
    <col min="14106" max="14106" width="10.88671875" style="372" customWidth="1"/>
    <col min="14107" max="14335" width="11.44140625" style="372"/>
    <col min="14336" max="14336" width="2" style="372" customWidth="1"/>
    <col min="14337" max="14337" width="20.5546875" style="372" customWidth="1"/>
    <col min="14338" max="14338" width="15" style="372" customWidth="1"/>
    <col min="14339" max="14340" width="9.109375" style="372" bestFit="1" customWidth="1"/>
    <col min="14341" max="14341" width="10.88671875" style="372" customWidth="1"/>
    <col min="14342" max="14343" width="9.109375" style="372" bestFit="1" customWidth="1"/>
    <col min="14344" max="14344" width="10.88671875" style="372" customWidth="1"/>
    <col min="14345" max="14346" width="8.88671875" style="372" bestFit="1" customWidth="1"/>
    <col min="14347" max="14347" width="10.88671875" style="372" customWidth="1"/>
    <col min="14348" max="14349" width="8.88671875" style="372" bestFit="1" customWidth="1"/>
    <col min="14350" max="14350" width="10.88671875" style="372" customWidth="1"/>
    <col min="14351" max="14352" width="8.88671875" style="372" bestFit="1" customWidth="1"/>
    <col min="14353" max="14353" width="10.88671875" style="372" customWidth="1"/>
    <col min="14354" max="14355" width="9.109375" style="372" bestFit="1" customWidth="1"/>
    <col min="14356" max="14356" width="10.88671875" style="372" customWidth="1"/>
    <col min="14357" max="14358" width="7.88671875" style="372" bestFit="1" customWidth="1"/>
    <col min="14359" max="14359" width="9" style="372" bestFit="1" customWidth="1"/>
    <col min="14360" max="14360" width="7.88671875" style="372" bestFit="1" customWidth="1"/>
    <col min="14361" max="14361" width="6.109375" style="372" bestFit="1" customWidth="1"/>
    <col min="14362" max="14362" width="10.88671875" style="372" customWidth="1"/>
    <col min="14363" max="14591" width="11.44140625" style="372"/>
    <col min="14592" max="14592" width="2" style="372" customWidth="1"/>
    <col min="14593" max="14593" width="20.5546875" style="372" customWidth="1"/>
    <col min="14594" max="14594" width="15" style="372" customWidth="1"/>
    <col min="14595" max="14596" width="9.109375" style="372" bestFit="1" customWidth="1"/>
    <col min="14597" max="14597" width="10.88671875" style="372" customWidth="1"/>
    <col min="14598" max="14599" width="9.109375" style="372" bestFit="1" customWidth="1"/>
    <col min="14600" max="14600" width="10.88671875" style="372" customWidth="1"/>
    <col min="14601" max="14602" width="8.88671875" style="372" bestFit="1" customWidth="1"/>
    <col min="14603" max="14603" width="10.88671875" style="372" customWidth="1"/>
    <col min="14604" max="14605" width="8.88671875" style="372" bestFit="1" customWidth="1"/>
    <col min="14606" max="14606" width="10.88671875" style="372" customWidth="1"/>
    <col min="14607" max="14608" width="8.88671875" style="372" bestFit="1" customWidth="1"/>
    <col min="14609" max="14609" width="10.88671875" style="372" customWidth="1"/>
    <col min="14610" max="14611" width="9.109375" style="372" bestFit="1" customWidth="1"/>
    <col min="14612" max="14612" width="10.88671875" style="372" customWidth="1"/>
    <col min="14613" max="14614" width="7.88671875" style="372" bestFit="1" customWidth="1"/>
    <col min="14615" max="14615" width="9" style="372" bestFit="1" customWidth="1"/>
    <col min="14616" max="14616" width="7.88671875" style="372" bestFit="1" customWidth="1"/>
    <col min="14617" max="14617" width="6.109375" style="372" bestFit="1" customWidth="1"/>
    <col min="14618" max="14618" width="10.88671875" style="372" customWidth="1"/>
    <col min="14619" max="14847" width="11.44140625" style="372"/>
    <col min="14848" max="14848" width="2" style="372" customWidth="1"/>
    <col min="14849" max="14849" width="20.5546875" style="372" customWidth="1"/>
    <col min="14850" max="14850" width="15" style="372" customWidth="1"/>
    <col min="14851" max="14852" width="9.109375" style="372" bestFit="1" customWidth="1"/>
    <col min="14853" max="14853" width="10.88671875" style="372" customWidth="1"/>
    <col min="14854" max="14855" width="9.109375" style="372" bestFit="1" customWidth="1"/>
    <col min="14856" max="14856" width="10.88671875" style="372" customWidth="1"/>
    <col min="14857" max="14858" width="8.88671875" style="372" bestFit="1" customWidth="1"/>
    <col min="14859" max="14859" width="10.88671875" style="372" customWidth="1"/>
    <col min="14860" max="14861" width="8.88671875" style="372" bestFit="1" customWidth="1"/>
    <col min="14862" max="14862" width="10.88671875" style="372" customWidth="1"/>
    <col min="14863" max="14864" width="8.88671875" style="372" bestFit="1" customWidth="1"/>
    <col min="14865" max="14865" width="10.88671875" style="372" customWidth="1"/>
    <col min="14866" max="14867" width="9.109375" style="372" bestFit="1" customWidth="1"/>
    <col min="14868" max="14868" width="10.88671875" style="372" customWidth="1"/>
    <col min="14869" max="14870" width="7.88671875" style="372" bestFit="1" customWidth="1"/>
    <col min="14871" max="14871" width="9" style="372" bestFit="1" customWidth="1"/>
    <col min="14872" max="14872" width="7.88671875" style="372" bestFit="1" customWidth="1"/>
    <col min="14873" max="14873" width="6.109375" style="372" bestFit="1" customWidth="1"/>
    <col min="14874" max="14874" width="10.88671875" style="372" customWidth="1"/>
    <col min="14875" max="15103" width="11.44140625" style="372"/>
    <col min="15104" max="15104" width="2" style="372" customWidth="1"/>
    <col min="15105" max="15105" width="20.5546875" style="372" customWidth="1"/>
    <col min="15106" max="15106" width="15" style="372" customWidth="1"/>
    <col min="15107" max="15108" width="9.109375" style="372" bestFit="1" customWidth="1"/>
    <col min="15109" max="15109" width="10.88671875" style="372" customWidth="1"/>
    <col min="15110" max="15111" width="9.109375" style="372" bestFit="1" customWidth="1"/>
    <col min="15112" max="15112" width="10.88671875" style="372" customWidth="1"/>
    <col min="15113" max="15114" width="8.88671875" style="372" bestFit="1" customWidth="1"/>
    <col min="15115" max="15115" width="10.88671875" style="372" customWidth="1"/>
    <col min="15116" max="15117" width="8.88671875" style="372" bestFit="1" customWidth="1"/>
    <col min="15118" max="15118" width="10.88671875" style="372" customWidth="1"/>
    <col min="15119" max="15120" width="8.88671875" style="372" bestFit="1" customWidth="1"/>
    <col min="15121" max="15121" width="10.88671875" style="372" customWidth="1"/>
    <col min="15122" max="15123" width="9.109375" style="372" bestFit="1" customWidth="1"/>
    <col min="15124" max="15124" width="10.88671875" style="372" customWidth="1"/>
    <col min="15125" max="15126" width="7.88671875" style="372" bestFit="1" customWidth="1"/>
    <col min="15127" max="15127" width="9" style="372" bestFit="1" customWidth="1"/>
    <col min="15128" max="15128" width="7.88671875" style="372" bestFit="1" customWidth="1"/>
    <col min="15129" max="15129" width="6.109375" style="372" bestFit="1" customWidth="1"/>
    <col min="15130" max="15130" width="10.88671875" style="372" customWidth="1"/>
    <col min="15131" max="15359" width="11.44140625" style="372"/>
    <col min="15360" max="15360" width="2" style="372" customWidth="1"/>
    <col min="15361" max="15361" width="20.5546875" style="372" customWidth="1"/>
    <col min="15362" max="15362" width="15" style="372" customWidth="1"/>
    <col min="15363" max="15364" width="9.109375" style="372" bestFit="1" customWidth="1"/>
    <col min="15365" max="15365" width="10.88671875" style="372" customWidth="1"/>
    <col min="15366" max="15367" width="9.109375" style="372" bestFit="1" customWidth="1"/>
    <col min="15368" max="15368" width="10.88671875" style="372" customWidth="1"/>
    <col min="15369" max="15370" width="8.88671875" style="372" bestFit="1" customWidth="1"/>
    <col min="15371" max="15371" width="10.88671875" style="372" customWidth="1"/>
    <col min="15372" max="15373" width="8.88671875" style="372" bestFit="1" customWidth="1"/>
    <col min="15374" max="15374" width="10.88671875" style="372" customWidth="1"/>
    <col min="15375" max="15376" width="8.88671875" style="372" bestFit="1" customWidth="1"/>
    <col min="15377" max="15377" width="10.88671875" style="372" customWidth="1"/>
    <col min="15378" max="15379" width="9.109375" style="372" bestFit="1" customWidth="1"/>
    <col min="15380" max="15380" width="10.88671875" style="372" customWidth="1"/>
    <col min="15381" max="15382" width="7.88671875" style="372" bestFit="1" customWidth="1"/>
    <col min="15383" max="15383" width="9" style="372" bestFit="1" customWidth="1"/>
    <col min="15384" max="15384" width="7.88671875" style="372" bestFit="1" customWidth="1"/>
    <col min="15385" max="15385" width="6.109375" style="372" bestFit="1" customWidth="1"/>
    <col min="15386" max="15386" width="10.88671875" style="372" customWidth="1"/>
    <col min="15387" max="15615" width="11.44140625" style="372"/>
    <col min="15616" max="15616" width="2" style="372" customWidth="1"/>
    <col min="15617" max="15617" width="20.5546875" style="372" customWidth="1"/>
    <col min="15618" max="15618" width="15" style="372" customWidth="1"/>
    <col min="15619" max="15620" width="9.109375" style="372" bestFit="1" customWidth="1"/>
    <col min="15621" max="15621" width="10.88671875" style="372" customWidth="1"/>
    <col min="15622" max="15623" width="9.109375" style="372" bestFit="1" customWidth="1"/>
    <col min="15624" max="15624" width="10.88671875" style="372" customWidth="1"/>
    <col min="15625" max="15626" width="8.88671875" style="372" bestFit="1" customWidth="1"/>
    <col min="15627" max="15627" width="10.88671875" style="372" customWidth="1"/>
    <col min="15628" max="15629" width="8.88671875" style="372" bestFit="1" customWidth="1"/>
    <col min="15630" max="15630" width="10.88671875" style="372" customWidth="1"/>
    <col min="15631" max="15632" width="8.88671875" style="372" bestFit="1" customWidth="1"/>
    <col min="15633" max="15633" width="10.88671875" style="372" customWidth="1"/>
    <col min="15634" max="15635" width="9.109375" style="372" bestFit="1" customWidth="1"/>
    <col min="15636" max="15636" width="10.88671875" style="372" customWidth="1"/>
    <col min="15637" max="15638" width="7.88671875" style="372" bestFit="1" customWidth="1"/>
    <col min="15639" max="15639" width="9" style="372" bestFit="1" customWidth="1"/>
    <col min="15640" max="15640" width="7.88671875" style="372" bestFit="1" customWidth="1"/>
    <col min="15641" max="15641" width="6.109375" style="372" bestFit="1" customWidth="1"/>
    <col min="15642" max="15642" width="10.88671875" style="372" customWidth="1"/>
    <col min="15643" max="15871" width="11.44140625" style="372"/>
    <col min="15872" max="15872" width="2" style="372" customWidth="1"/>
    <col min="15873" max="15873" width="20.5546875" style="372" customWidth="1"/>
    <col min="15874" max="15874" width="15" style="372" customWidth="1"/>
    <col min="15875" max="15876" width="9.109375" style="372" bestFit="1" customWidth="1"/>
    <col min="15877" max="15877" width="10.88671875" style="372" customWidth="1"/>
    <col min="15878" max="15879" width="9.109375" style="372" bestFit="1" customWidth="1"/>
    <col min="15880" max="15880" width="10.88671875" style="372" customWidth="1"/>
    <col min="15881" max="15882" width="8.88671875" style="372" bestFit="1" customWidth="1"/>
    <col min="15883" max="15883" width="10.88671875" style="372" customWidth="1"/>
    <col min="15884" max="15885" width="8.88671875" style="372" bestFit="1" customWidth="1"/>
    <col min="15886" max="15886" width="10.88671875" style="372" customWidth="1"/>
    <col min="15887" max="15888" width="8.88671875" style="372" bestFit="1" customWidth="1"/>
    <col min="15889" max="15889" width="10.88671875" style="372" customWidth="1"/>
    <col min="15890" max="15891" width="9.109375" style="372" bestFit="1" customWidth="1"/>
    <col min="15892" max="15892" width="10.88671875" style="372" customWidth="1"/>
    <col min="15893" max="15894" width="7.88671875" style="372" bestFit="1" customWidth="1"/>
    <col min="15895" max="15895" width="9" style="372" bestFit="1" customWidth="1"/>
    <col min="15896" max="15896" width="7.88671875" style="372" bestFit="1" customWidth="1"/>
    <col min="15897" max="15897" width="6.109375" style="372" bestFit="1" customWidth="1"/>
    <col min="15898" max="15898" width="10.88671875" style="372" customWidth="1"/>
    <col min="15899" max="16127" width="11.44140625" style="372"/>
    <col min="16128" max="16128" width="2" style="372" customWidth="1"/>
    <col min="16129" max="16129" width="20.5546875" style="372" customWidth="1"/>
    <col min="16130" max="16130" width="15" style="372" customWidth="1"/>
    <col min="16131" max="16132" width="9.109375" style="372" bestFit="1" customWidth="1"/>
    <col min="16133" max="16133" width="10.88671875" style="372" customWidth="1"/>
    <col min="16134" max="16135" width="9.109375" style="372" bestFit="1" customWidth="1"/>
    <col min="16136" max="16136" width="10.88671875" style="372" customWidth="1"/>
    <col min="16137" max="16138" width="8.88671875" style="372" bestFit="1" customWidth="1"/>
    <col min="16139" max="16139" width="10.88671875" style="372" customWidth="1"/>
    <col min="16140" max="16141" width="8.88671875" style="372" bestFit="1" customWidth="1"/>
    <col min="16142" max="16142" width="10.88671875" style="372" customWidth="1"/>
    <col min="16143" max="16144" width="8.88671875" style="372" bestFit="1" customWidth="1"/>
    <col min="16145" max="16145" width="10.88671875" style="372" customWidth="1"/>
    <col min="16146" max="16147" width="9.109375" style="372" bestFit="1" customWidth="1"/>
    <col min="16148" max="16148" width="10.88671875" style="372" customWidth="1"/>
    <col min="16149" max="16150" width="7.88671875" style="372" bestFit="1" customWidth="1"/>
    <col min="16151" max="16151" width="9" style="372" bestFit="1" customWidth="1"/>
    <col min="16152" max="16152" width="7.88671875" style="372" bestFit="1" customWidth="1"/>
    <col min="16153" max="16153" width="6.109375" style="372" bestFit="1" customWidth="1"/>
    <col min="16154" max="16154" width="10.88671875" style="372" customWidth="1"/>
    <col min="16155" max="16384" width="11.44140625" style="372"/>
  </cols>
  <sheetData>
    <row r="1" spans="2:62" s="38" customFormat="1" ht="55.2" x14ac:dyDescent="0.25">
      <c r="B1" s="394" t="s">
        <v>152</v>
      </c>
      <c r="C1" s="273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</row>
    <row r="2" spans="2:62" s="38" customFormat="1" ht="15.6" x14ac:dyDescent="0.25"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</row>
    <row r="3" spans="2:62" s="38" customFormat="1" ht="15" customHeight="1" x14ac:dyDescent="0.25">
      <c r="B3" s="5727" t="s">
        <v>132</v>
      </c>
      <c r="C3" s="5724">
        <v>2003</v>
      </c>
      <c r="D3" s="5725"/>
      <c r="E3" s="5726"/>
      <c r="F3" s="5724">
        <v>2004</v>
      </c>
      <c r="G3" s="5725"/>
      <c r="H3" s="5726"/>
      <c r="I3" s="5724">
        <v>2005</v>
      </c>
      <c r="J3" s="5725"/>
      <c r="K3" s="5726"/>
      <c r="L3" s="5724">
        <v>2006</v>
      </c>
      <c r="M3" s="5725"/>
      <c r="N3" s="5726"/>
      <c r="O3" s="5724">
        <v>2007</v>
      </c>
      <c r="P3" s="5725"/>
      <c r="Q3" s="5726"/>
      <c r="R3" s="5724">
        <v>2008</v>
      </c>
      <c r="S3" s="5725"/>
      <c r="T3" s="5726"/>
      <c r="U3" s="5724">
        <v>2009</v>
      </c>
      <c r="V3" s="5725"/>
      <c r="W3" s="5726"/>
      <c r="X3" s="5724">
        <v>2010</v>
      </c>
      <c r="Y3" s="5725"/>
      <c r="Z3" s="5726"/>
      <c r="AA3" s="5724">
        <v>2011</v>
      </c>
      <c r="AB3" s="5725"/>
      <c r="AC3" s="5726"/>
      <c r="AD3" s="5724">
        <v>2012</v>
      </c>
      <c r="AE3" s="5725"/>
      <c r="AF3" s="5726"/>
      <c r="AG3" s="5724">
        <v>2013</v>
      </c>
      <c r="AH3" s="5725"/>
      <c r="AI3" s="5726"/>
      <c r="AJ3" s="5724">
        <v>2014</v>
      </c>
      <c r="AK3" s="5725"/>
      <c r="AL3" s="5726"/>
      <c r="AM3" s="5724">
        <v>2015</v>
      </c>
      <c r="AN3" s="5725"/>
      <c r="AO3" s="5726"/>
      <c r="AP3" s="5724">
        <v>2016</v>
      </c>
      <c r="AQ3" s="5725"/>
      <c r="AR3" s="5726"/>
      <c r="AS3" s="5724">
        <v>2017</v>
      </c>
      <c r="AT3" s="5725"/>
      <c r="AU3" s="5726"/>
      <c r="AV3" s="5724">
        <v>2018</v>
      </c>
      <c r="AW3" s="5725"/>
      <c r="AX3" s="5726"/>
      <c r="AY3" s="5724">
        <v>2019</v>
      </c>
      <c r="AZ3" s="5725"/>
      <c r="BA3" s="5726"/>
      <c r="BB3" s="5724">
        <v>2020</v>
      </c>
      <c r="BC3" s="5725"/>
      <c r="BD3" s="5726"/>
      <c r="BE3" s="5724">
        <v>2021</v>
      </c>
      <c r="BF3" s="5725"/>
      <c r="BG3" s="5726"/>
      <c r="BH3" s="5724">
        <v>2022</v>
      </c>
      <c r="BI3" s="5725"/>
      <c r="BJ3" s="5726"/>
    </row>
    <row r="4" spans="2:62" s="31" customFormat="1" ht="15.6" x14ac:dyDescent="0.25">
      <c r="B4" s="5728"/>
      <c r="C4" s="28" t="s">
        <v>46</v>
      </c>
      <c r="D4" s="29" t="s">
        <v>47</v>
      </c>
      <c r="E4" s="30" t="s">
        <v>48</v>
      </c>
      <c r="F4" s="28" t="s">
        <v>46</v>
      </c>
      <c r="G4" s="29" t="s">
        <v>47</v>
      </c>
      <c r="H4" s="30" t="s">
        <v>48</v>
      </c>
      <c r="I4" s="28" t="s">
        <v>46</v>
      </c>
      <c r="J4" s="29" t="s">
        <v>47</v>
      </c>
      <c r="K4" s="30" t="s">
        <v>48</v>
      </c>
      <c r="L4" s="28" t="s">
        <v>46</v>
      </c>
      <c r="M4" s="29" t="s">
        <v>47</v>
      </c>
      <c r="N4" s="30" t="s">
        <v>48</v>
      </c>
      <c r="O4" s="28" t="s">
        <v>46</v>
      </c>
      <c r="P4" s="29" t="s">
        <v>47</v>
      </c>
      <c r="Q4" s="30" t="s">
        <v>48</v>
      </c>
      <c r="R4" s="28" t="s">
        <v>46</v>
      </c>
      <c r="S4" s="29" t="s">
        <v>47</v>
      </c>
      <c r="T4" s="30" t="s">
        <v>48</v>
      </c>
      <c r="U4" s="28" t="s">
        <v>46</v>
      </c>
      <c r="V4" s="29" t="s">
        <v>47</v>
      </c>
      <c r="W4" s="30" t="s">
        <v>48</v>
      </c>
      <c r="X4" s="28" t="s">
        <v>46</v>
      </c>
      <c r="Y4" s="29" t="s">
        <v>47</v>
      </c>
      <c r="Z4" s="30" t="s">
        <v>48</v>
      </c>
      <c r="AA4" s="28" t="s">
        <v>46</v>
      </c>
      <c r="AB4" s="29" t="s">
        <v>47</v>
      </c>
      <c r="AC4" s="30" t="s">
        <v>48</v>
      </c>
      <c r="AD4" s="28" t="s">
        <v>46</v>
      </c>
      <c r="AE4" s="29" t="s">
        <v>47</v>
      </c>
      <c r="AF4" s="30" t="s">
        <v>48</v>
      </c>
      <c r="AG4" s="28" t="s">
        <v>46</v>
      </c>
      <c r="AH4" s="29" t="s">
        <v>47</v>
      </c>
      <c r="AI4" s="30" t="s">
        <v>48</v>
      </c>
      <c r="AJ4" s="28" t="s">
        <v>46</v>
      </c>
      <c r="AK4" s="29" t="s">
        <v>47</v>
      </c>
      <c r="AL4" s="30" t="s">
        <v>48</v>
      </c>
      <c r="AM4" s="28" t="s">
        <v>46</v>
      </c>
      <c r="AN4" s="29" t="s">
        <v>47</v>
      </c>
      <c r="AO4" s="30" t="s">
        <v>48</v>
      </c>
      <c r="AP4" s="28" t="s">
        <v>46</v>
      </c>
      <c r="AQ4" s="29" t="s">
        <v>47</v>
      </c>
      <c r="AR4" s="30" t="s">
        <v>48</v>
      </c>
      <c r="AS4" s="28" t="s">
        <v>46</v>
      </c>
      <c r="AT4" s="29" t="s">
        <v>47</v>
      </c>
      <c r="AU4" s="30" t="s">
        <v>48</v>
      </c>
      <c r="AV4" s="28" t="s">
        <v>46</v>
      </c>
      <c r="AW4" s="29" t="s">
        <v>47</v>
      </c>
      <c r="AX4" s="30" t="s">
        <v>48</v>
      </c>
      <c r="AY4" s="28" t="s">
        <v>46</v>
      </c>
      <c r="AZ4" s="29" t="s">
        <v>47</v>
      </c>
      <c r="BA4" s="30" t="s">
        <v>48</v>
      </c>
      <c r="BB4" s="28" t="s">
        <v>46</v>
      </c>
      <c r="BC4" s="29" t="s">
        <v>47</v>
      </c>
      <c r="BD4" s="30" t="s">
        <v>48</v>
      </c>
      <c r="BE4" s="28" t="s">
        <v>46</v>
      </c>
      <c r="BF4" s="29" t="s">
        <v>47</v>
      </c>
      <c r="BG4" s="30" t="s">
        <v>48</v>
      </c>
      <c r="BH4" s="28" t="s">
        <v>46</v>
      </c>
      <c r="BI4" s="29" t="s">
        <v>47</v>
      </c>
      <c r="BJ4" s="30" t="s">
        <v>48</v>
      </c>
    </row>
    <row r="5" spans="2:62" s="38" customFormat="1" ht="14.4" x14ac:dyDescent="0.25">
      <c r="B5" s="149"/>
      <c r="C5" s="328"/>
      <c r="D5" s="328"/>
      <c r="E5" s="328"/>
      <c r="F5" s="328"/>
      <c r="G5" s="328"/>
      <c r="H5" s="328"/>
      <c r="I5" s="328"/>
      <c r="J5" s="328"/>
      <c r="K5" s="328"/>
      <c r="L5" s="328"/>
      <c r="M5" s="328"/>
      <c r="N5" s="328"/>
      <c r="O5" s="328"/>
      <c r="P5" s="328"/>
      <c r="Q5" s="328"/>
      <c r="R5" s="328"/>
      <c r="S5" s="328"/>
      <c r="T5" s="328"/>
      <c r="U5" s="328"/>
      <c r="V5" s="328"/>
      <c r="W5" s="328"/>
      <c r="X5" s="328"/>
      <c r="Y5" s="328"/>
      <c r="Z5" s="328"/>
      <c r="AA5" s="328"/>
      <c r="AB5" s="328"/>
      <c r="AC5" s="328"/>
      <c r="AD5" s="328"/>
      <c r="AE5" s="328"/>
      <c r="AF5" s="328"/>
      <c r="AG5" s="328"/>
      <c r="AH5" s="328"/>
      <c r="AI5" s="328"/>
      <c r="AJ5" s="328"/>
      <c r="AK5" s="328"/>
      <c r="AL5" s="328"/>
      <c r="AM5" s="328"/>
      <c r="AN5" s="328"/>
      <c r="AO5" s="328"/>
      <c r="AP5" s="328"/>
      <c r="AQ5" s="328"/>
      <c r="AR5" s="328"/>
      <c r="AS5" s="328"/>
      <c r="AT5" s="328"/>
      <c r="AU5" s="328"/>
      <c r="AV5" s="328"/>
      <c r="AW5" s="328"/>
      <c r="AX5" s="328"/>
      <c r="AY5" s="328"/>
      <c r="AZ5" s="328"/>
      <c r="BA5" s="328"/>
      <c r="BB5" s="328"/>
      <c r="BC5" s="328"/>
      <c r="BD5" s="328"/>
      <c r="BE5" s="328"/>
      <c r="BF5" s="328"/>
      <c r="BG5" s="328"/>
      <c r="BH5" s="328"/>
      <c r="BI5" s="328"/>
      <c r="BJ5" s="328"/>
    </row>
    <row r="6" spans="2:62" s="38" customFormat="1" ht="15" customHeight="1" x14ac:dyDescent="0.25">
      <c r="B6" s="150" t="s">
        <v>59</v>
      </c>
      <c r="C6" s="151">
        <v>397</v>
      </c>
      <c r="D6" s="152">
        <v>706</v>
      </c>
      <c r="E6" s="153">
        <v>1103</v>
      </c>
      <c r="F6" s="151">
        <v>697</v>
      </c>
      <c r="G6" s="152">
        <v>912</v>
      </c>
      <c r="H6" s="153">
        <v>1609</v>
      </c>
      <c r="I6" s="151">
        <v>663</v>
      </c>
      <c r="J6" s="152">
        <v>780</v>
      </c>
      <c r="K6" s="103">
        <v>1443</v>
      </c>
      <c r="L6" s="152">
        <v>721</v>
      </c>
      <c r="M6" s="152">
        <v>822</v>
      </c>
      <c r="N6" s="103">
        <v>1543</v>
      </c>
      <c r="O6" s="152">
        <v>654</v>
      </c>
      <c r="P6" s="152">
        <v>819</v>
      </c>
      <c r="Q6" s="103">
        <v>1473</v>
      </c>
      <c r="R6" s="152">
        <v>652</v>
      </c>
      <c r="S6" s="152">
        <v>908</v>
      </c>
      <c r="T6" s="103">
        <v>1560</v>
      </c>
      <c r="U6" s="151">
        <v>699</v>
      </c>
      <c r="V6" s="152">
        <v>766</v>
      </c>
      <c r="W6" s="395">
        <v>1465</v>
      </c>
      <c r="X6" s="151">
        <v>853</v>
      </c>
      <c r="Y6" s="152">
        <v>904</v>
      </c>
      <c r="Z6" s="103">
        <f>SUM(X6:Y6)</f>
        <v>1757</v>
      </c>
      <c r="AA6" s="151">
        <v>908</v>
      </c>
      <c r="AB6" s="152">
        <v>537</v>
      </c>
      <c r="AC6" s="103">
        <f>SUM(AA6:AB6)</f>
        <v>1445</v>
      </c>
      <c r="AD6" s="151">
        <f>SUM('Inscritos plan'!AD5:AD14)</f>
        <v>453</v>
      </c>
      <c r="AE6" s="152">
        <f>SUM('Inscritos plan'!AE5:AE14)</f>
        <v>507</v>
      </c>
      <c r="AF6" s="103">
        <f>SUM(AD6:AE6)</f>
        <v>960</v>
      </c>
      <c r="AG6" s="151">
        <f>SUM('Inscritos plan'!AG5:AG14)</f>
        <v>546</v>
      </c>
      <c r="AH6" s="152">
        <f>SUM('Inscritos plan'!AH5:AH14)</f>
        <v>531</v>
      </c>
      <c r="AI6" s="103">
        <f>SUM(AG6:AH6)</f>
        <v>1077</v>
      </c>
      <c r="AJ6" s="151">
        <f>SUM('Inscritos plan'!AJ5:AJ14)</f>
        <v>437</v>
      </c>
      <c r="AK6" s="152">
        <f>SUM('Inscritos plan'!AK5:AK14)</f>
        <v>624</v>
      </c>
      <c r="AL6" s="103">
        <f>SUM(AJ6:AK6)</f>
        <v>1061</v>
      </c>
      <c r="AM6" s="151">
        <f>SUM('Inscritos plan'!AM5:AM14)</f>
        <v>350</v>
      </c>
      <c r="AN6" s="152">
        <f>SUM('Inscritos plan'!AN5:AN14)</f>
        <v>610</v>
      </c>
      <c r="AO6" s="103">
        <f>SUM(AM6:AN6)</f>
        <v>960</v>
      </c>
      <c r="AP6" s="151">
        <f>SUM('Inscritos plan'!AP5:AP14)</f>
        <v>539</v>
      </c>
      <c r="AQ6" s="152">
        <f>SUM('Inscritos plan'!AQ5:AQ14)</f>
        <v>563</v>
      </c>
      <c r="AR6" s="103">
        <f>SUM(AP6:AQ6)</f>
        <v>1102</v>
      </c>
      <c r="AS6" s="151">
        <f>SUM('Inscritos plan'!AS5:AS14)</f>
        <v>526</v>
      </c>
      <c r="AT6" s="152">
        <f>SUM('Inscritos plan'!AT5:AT14)</f>
        <v>532</v>
      </c>
      <c r="AU6" s="103">
        <f>SUM(AS6:AT6)</f>
        <v>1058</v>
      </c>
      <c r="AV6" s="151">
        <f>SUM('Inscritos plan'!AV5:AV14)</f>
        <v>543</v>
      </c>
      <c r="AW6" s="152">
        <f>SUM('Inscritos plan'!AW5:AW14)</f>
        <v>607</v>
      </c>
      <c r="AX6" s="103">
        <f>SUM(AV6:AW6)</f>
        <v>1150</v>
      </c>
      <c r="AY6" s="151">
        <f>SUM('Inscritos plan'!AY5:AY14)</f>
        <v>684</v>
      </c>
      <c r="AZ6" s="152">
        <f>SUM('Inscritos plan'!AZ5:AZ14)</f>
        <v>860</v>
      </c>
      <c r="BA6" s="103">
        <f>SUM(AY6:AZ6)</f>
        <v>1544</v>
      </c>
      <c r="BB6" s="151">
        <f>SUM('Inscritos plan'!BB5:BB14)</f>
        <v>547</v>
      </c>
      <c r="BC6" s="152">
        <f>SUM('Inscritos plan'!BC5:BC14)</f>
        <v>689</v>
      </c>
      <c r="BD6" s="103">
        <f>SUM(BB6:BC6)</f>
        <v>1236</v>
      </c>
      <c r="BE6" s="151">
        <f>SUM('Inscritos plan'!BE5:BE14)</f>
        <v>682</v>
      </c>
      <c r="BF6" s="152">
        <f>SUM('Inscritos plan'!BF5:BF14)</f>
        <v>610</v>
      </c>
      <c r="BG6" s="103">
        <f>SUM(BE6:BF6)</f>
        <v>1292</v>
      </c>
      <c r="BH6" s="151">
        <f>SUM('Inscritos plan'!BH5:BH14)</f>
        <v>613</v>
      </c>
      <c r="BI6" s="152">
        <f>SUM('Inscritos plan'!BI5:BI14)</f>
        <v>701</v>
      </c>
      <c r="BJ6" s="103">
        <f>SUM(BH6:BI6)</f>
        <v>1314</v>
      </c>
    </row>
    <row r="7" spans="2:62" s="38" customFormat="1" ht="15" customHeight="1" x14ac:dyDescent="0.25">
      <c r="B7" s="154" t="s">
        <v>64</v>
      </c>
      <c r="C7" s="129">
        <v>467</v>
      </c>
      <c r="D7" s="130">
        <v>526</v>
      </c>
      <c r="E7" s="155">
        <v>993</v>
      </c>
      <c r="F7" s="129">
        <v>417</v>
      </c>
      <c r="G7" s="130">
        <v>617</v>
      </c>
      <c r="H7" s="155">
        <v>1034</v>
      </c>
      <c r="I7" s="129">
        <v>446</v>
      </c>
      <c r="J7" s="130">
        <v>476</v>
      </c>
      <c r="K7" s="110">
        <v>922</v>
      </c>
      <c r="L7" s="130">
        <v>383</v>
      </c>
      <c r="M7" s="130">
        <v>530</v>
      </c>
      <c r="N7" s="110">
        <v>913</v>
      </c>
      <c r="O7" s="130">
        <v>523</v>
      </c>
      <c r="P7" s="130">
        <v>421</v>
      </c>
      <c r="Q7" s="110">
        <v>944</v>
      </c>
      <c r="R7" s="130">
        <v>654</v>
      </c>
      <c r="S7" s="130">
        <v>556</v>
      </c>
      <c r="T7" s="110">
        <v>1210</v>
      </c>
      <c r="U7" s="129">
        <v>549</v>
      </c>
      <c r="V7" s="130">
        <v>576</v>
      </c>
      <c r="W7" s="396">
        <v>1125</v>
      </c>
      <c r="X7" s="129">
        <v>539</v>
      </c>
      <c r="Y7" s="130">
        <v>500</v>
      </c>
      <c r="Z7" s="110">
        <f>SUM(X7:Y7)</f>
        <v>1039</v>
      </c>
      <c r="AA7" s="129">
        <v>542</v>
      </c>
      <c r="AB7" s="130">
        <v>506</v>
      </c>
      <c r="AC7" s="110">
        <f>SUM(AA7:AB7)</f>
        <v>1048</v>
      </c>
      <c r="AD7" s="129">
        <f>SUM('Inscritos plan'!AD16:AD19)</f>
        <v>605</v>
      </c>
      <c r="AE7" s="130">
        <f>SUM('Inscritos plan'!AE16:AE19)</f>
        <v>600</v>
      </c>
      <c r="AF7" s="110">
        <f>SUM(AD7:AE7)</f>
        <v>1205</v>
      </c>
      <c r="AG7" s="129">
        <f>SUM('Inscritos plan'!AG16:AG19)</f>
        <v>611</v>
      </c>
      <c r="AH7" s="130">
        <f>SUM('Inscritos plan'!AH16:AH19)</f>
        <v>590</v>
      </c>
      <c r="AI7" s="110">
        <f>SUM(AG7:AH7)</f>
        <v>1201</v>
      </c>
      <c r="AJ7" s="129">
        <f>SUM('Inscritos plan'!AJ16:AJ19)</f>
        <v>611</v>
      </c>
      <c r="AK7" s="130">
        <f>SUM('Inscritos plan'!AK16:AK19)</f>
        <v>608</v>
      </c>
      <c r="AL7" s="110">
        <f>SUM(AJ7:AK7)</f>
        <v>1219</v>
      </c>
      <c r="AM7" s="129">
        <f>SUM('Inscritos plan'!AM16:AM19)</f>
        <v>600</v>
      </c>
      <c r="AN7" s="130">
        <f>SUM('Inscritos plan'!AN16:AN19)</f>
        <v>635</v>
      </c>
      <c r="AO7" s="110">
        <f>SUM(AM7:AN7)</f>
        <v>1235</v>
      </c>
      <c r="AP7" s="129">
        <f>SUM('Inscritos plan'!AP16:AP19)</f>
        <v>567</v>
      </c>
      <c r="AQ7" s="130">
        <f>SUM('Inscritos plan'!AQ16:AQ19)</f>
        <v>674</v>
      </c>
      <c r="AR7" s="110">
        <f>SUM(AP7:AQ7)</f>
        <v>1241</v>
      </c>
      <c r="AS7" s="129">
        <f>SUM('Inscritos plan'!AS16:AS19)</f>
        <v>572</v>
      </c>
      <c r="AT7" s="130">
        <f>SUM('Inscritos plan'!AT16:AT19)</f>
        <v>662</v>
      </c>
      <c r="AU7" s="110">
        <f>SUM(AS7:AT7)</f>
        <v>1234</v>
      </c>
      <c r="AV7" s="129">
        <f>SUM('Inscritos plan'!AV16:AV19)</f>
        <v>581</v>
      </c>
      <c r="AW7" s="130">
        <f>SUM('Inscritos plan'!AW16:AW19)</f>
        <v>611</v>
      </c>
      <c r="AX7" s="110">
        <f>SUM(AV7:AW7)</f>
        <v>1192</v>
      </c>
      <c r="AY7" s="129">
        <f>SUM('Inscritos plan'!AY16:AY19)</f>
        <v>663</v>
      </c>
      <c r="AZ7" s="130">
        <f>SUM('Inscritos plan'!AZ16:AZ19)</f>
        <v>762</v>
      </c>
      <c r="BA7" s="110">
        <f>SUM(AY7:AZ7)</f>
        <v>1425</v>
      </c>
      <c r="BB7" s="129">
        <f>SUM('Inscritos plan'!BB16:BB19)</f>
        <v>682</v>
      </c>
      <c r="BC7" s="130">
        <f>SUM('Inscritos plan'!BC16:BC19)</f>
        <v>624</v>
      </c>
      <c r="BD7" s="110">
        <f>SUM(BB7:BC7)</f>
        <v>1306</v>
      </c>
      <c r="BE7" s="129">
        <f>SUM('Inscritos plan'!BE16:BE19)</f>
        <v>636</v>
      </c>
      <c r="BF7" s="130">
        <f>SUM('Inscritos plan'!BF16:BF19)</f>
        <v>670</v>
      </c>
      <c r="BG7" s="110">
        <f>SUM(BE7:BF7)</f>
        <v>1306</v>
      </c>
      <c r="BH7" s="129">
        <f>SUM('Inscritos plan'!BH16:BH19)</f>
        <v>678</v>
      </c>
      <c r="BI7" s="130">
        <f>SUM('Inscritos plan'!BI16:BI19)</f>
        <v>630</v>
      </c>
      <c r="BJ7" s="110">
        <f>SUM(BH7:BI7)</f>
        <v>1308</v>
      </c>
    </row>
    <row r="8" spans="2:62" s="38" customFormat="1" ht="15" customHeight="1" x14ac:dyDescent="0.25">
      <c r="B8" s="154" t="s">
        <v>68</v>
      </c>
      <c r="C8" s="196">
        <v>329</v>
      </c>
      <c r="D8" s="197">
        <v>356</v>
      </c>
      <c r="E8" s="198">
        <v>685</v>
      </c>
      <c r="F8" s="196">
        <v>312</v>
      </c>
      <c r="G8" s="197">
        <v>324</v>
      </c>
      <c r="H8" s="198">
        <v>636</v>
      </c>
      <c r="I8" s="196">
        <v>298</v>
      </c>
      <c r="J8" s="197">
        <v>269</v>
      </c>
      <c r="K8" s="117">
        <v>567</v>
      </c>
      <c r="L8" s="197">
        <v>253</v>
      </c>
      <c r="M8" s="197">
        <v>247</v>
      </c>
      <c r="N8" s="117">
        <v>500</v>
      </c>
      <c r="O8" s="197">
        <v>267</v>
      </c>
      <c r="P8" s="197">
        <v>246</v>
      </c>
      <c r="Q8" s="117">
        <v>513</v>
      </c>
      <c r="R8" s="197">
        <v>274</v>
      </c>
      <c r="S8" s="197">
        <v>274</v>
      </c>
      <c r="T8" s="117">
        <v>548</v>
      </c>
      <c r="U8" s="196">
        <v>269</v>
      </c>
      <c r="V8" s="197">
        <v>256</v>
      </c>
      <c r="W8" s="397">
        <v>525</v>
      </c>
      <c r="X8" s="196">
        <v>267</v>
      </c>
      <c r="Y8" s="197">
        <v>266</v>
      </c>
      <c r="Z8" s="117">
        <f>SUM(X8:Y8)</f>
        <v>533</v>
      </c>
      <c r="AA8" s="196">
        <v>272</v>
      </c>
      <c r="AB8" s="197">
        <v>261</v>
      </c>
      <c r="AC8" s="117">
        <f>SUM(AA8:AB8)</f>
        <v>533</v>
      </c>
      <c r="AD8" s="196">
        <f>SUM('Inscritos plan'!AD21:AD23)</f>
        <v>273</v>
      </c>
      <c r="AE8" s="197">
        <f>SUM('Inscritos plan'!AE21:AE23)</f>
        <v>274</v>
      </c>
      <c r="AF8" s="117">
        <f>SUM(AD8:AE8)</f>
        <v>547</v>
      </c>
      <c r="AG8" s="196">
        <f>SUM('Inscritos plan'!AG21:AG23)</f>
        <v>300</v>
      </c>
      <c r="AH8" s="197">
        <f>SUM('Inscritos plan'!AH21:AH23)</f>
        <v>287</v>
      </c>
      <c r="AI8" s="117">
        <f>SUM(AG8:AH8)</f>
        <v>587</v>
      </c>
      <c r="AJ8" s="196">
        <f>SUM('Inscritos plan'!AJ21:AJ23)</f>
        <v>304</v>
      </c>
      <c r="AK8" s="197">
        <f>SUM('Inscritos plan'!AK21:AK23)</f>
        <v>292</v>
      </c>
      <c r="AL8" s="117">
        <f>SUM(AJ8:AK8)</f>
        <v>596</v>
      </c>
      <c r="AM8" s="196">
        <f>SUM('Inscritos plan'!AM21:AM23)</f>
        <v>299</v>
      </c>
      <c r="AN8" s="197">
        <f>SUM('Inscritos plan'!AN21:AN23)</f>
        <v>346</v>
      </c>
      <c r="AO8" s="117">
        <f>SUM(AM8:AN8)</f>
        <v>645</v>
      </c>
      <c r="AP8" s="196">
        <f>SUM('Inscritos plan'!AP21:AP23)</f>
        <v>280</v>
      </c>
      <c r="AQ8" s="197">
        <f>SUM('Inscritos plan'!AQ21:AQ23)</f>
        <v>344</v>
      </c>
      <c r="AR8" s="117">
        <f>SUM(AP8:AQ8)</f>
        <v>624</v>
      </c>
      <c r="AS8" s="196">
        <f>SUM('Inscritos plan'!AS21:AS23)</f>
        <v>359</v>
      </c>
      <c r="AT8" s="197">
        <f>SUM('Inscritos plan'!AT21:AT23)</f>
        <v>350</v>
      </c>
      <c r="AU8" s="117">
        <f>SUM(AS8:AT8)</f>
        <v>709</v>
      </c>
      <c r="AV8" s="196">
        <f>SUM('Inscritos plan'!AV21:AV23)</f>
        <v>357</v>
      </c>
      <c r="AW8" s="197">
        <f>SUM('Inscritos plan'!AW21:AW23)</f>
        <v>345</v>
      </c>
      <c r="AX8" s="117">
        <f>SUM(AV8:AW8)</f>
        <v>702</v>
      </c>
      <c r="AY8" s="196">
        <f>SUM('Inscritos plan'!AY21:AY23)</f>
        <v>353</v>
      </c>
      <c r="AZ8" s="197">
        <f>SUM('Inscritos plan'!AZ21:AZ23)</f>
        <v>374</v>
      </c>
      <c r="BA8" s="117">
        <f>SUM(AY8:AZ8)</f>
        <v>727</v>
      </c>
      <c r="BB8" s="196">
        <f>SUM('Inscritos plan'!BB21:BB23)</f>
        <v>362</v>
      </c>
      <c r="BC8" s="197">
        <f>SUM('Inscritos plan'!BC21:BC23)</f>
        <v>360</v>
      </c>
      <c r="BD8" s="117">
        <f>SUM(BB8:BC8)</f>
        <v>722</v>
      </c>
      <c r="BE8" s="196">
        <f>SUM('Inscritos plan'!BE21:BE23)</f>
        <v>360</v>
      </c>
      <c r="BF8" s="197">
        <f>SUM('Inscritos plan'!BF21:BF23)</f>
        <v>372</v>
      </c>
      <c r="BG8" s="117">
        <f>SUM(BE8:BF8)</f>
        <v>732</v>
      </c>
      <c r="BH8" s="196">
        <f>SUM('Inscritos plan'!BH21:BH23)</f>
        <v>382</v>
      </c>
      <c r="BI8" s="197">
        <f>SUM('Inscritos plan'!BI21:BI23)</f>
        <v>359</v>
      </c>
      <c r="BJ8" s="117">
        <f>SUM(BH8:BI8)</f>
        <v>741</v>
      </c>
    </row>
    <row r="9" spans="2:62" s="161" customFormat="1" ht="15" customHeight="1" x14ac:dyDescent="0.25">
      <c r="B9" s="157" t="s">
        <v>133</v>
      </c>
      <c r="C9" s="336">
        <v>1193</v>
      </c>
      <c r="D9" s="337">
        <v>1588</v>
      </c>
      <c r="E9" s="337">
        <v>2781</v>
      </c>
      <c r="F9" s="336">
        <v>1426</v>
      </c>
      <c r="G9" s="337">
        <v>1853</v>
      </c>
      <c r="H9" s="337">
        <v>3279</v>
      </c>
      <c r="I9" s="336">
        <v>1407</v>
      </c>
      <c r="J9" s="337">
        <v>1525</v>
      </c>
      <c r="K9" s="338">
        <v>2932</v>
      </c>
      <c r="L9" s="337">
        <v>1357</v>
      </c>
      <c r="M9" s="337">
        <v>1599</v>
      </c>
      <c r="N9" s="338">
        <v>2956</v>
      </c>
      <c r="O9" s="337">
        <v>1444</v>
      </c>
      <c r="P9" s="337">
        <v>1486</v>
      </c>
      <c r="Q9" s="338">
        <v>2930</v>
      </c>
      <c r="R9" s="337">
        <v>1580</v>
      </c>
      <c r="S9" s="337">
        <v>1738</v>
      </c>
      <c r="T9" s="338">
        <v>3318</v>
      </c>
      <c r="U9" s="336">
        <v>1517</v>
      </c>
      <c r="V9" s="337">
        <v>1598</v>
      </c>
      <c r="W9" s="338">
        <v>3115</v>
      </c>
      <c r="X9" s="336">
        <f>SUM(X6:X8)</f>
        <v>1659</v>
      </c>
      <c r="Y9" s="337">
        <v>1670</v>
      </c>
      <c r="Z9" s="338">
        <f>SUM(X9:Y9)</f>
        <v>3329</v>
      </c>
      <c r="AA9" s="336">
        <f>SUM(AA6:AA8)</f>
        <v>1722</v>
      </c>
      <c r="AB9" s="337">
        <f>SUM(AB6:AB8)</f>
        <v>1304</v>
      </c>
      <c r="AC9" s="338">
        <f>SUM(AA9:AB9)</f>
        <v>3026</v>
      </c>
      <c r="AD9" s="336">
        <f>SUM(AD6:AD8)</f>
        <v>1331</v>
      </c>
      <c r="AE9" s="337">
        <f>SUM(AE6:AE8)</f>
        <v>1381</v>
      </c>
      <c r="AF9" s="338">
        <f>SUM(AD9:AE9)</f>
        <v>2712</v>
      </c>
      <c r="AG9" s="336">
        <f>SUM(AG6:AG8)</f>
        <v>1457</v>
      </c>
      <c r="AH9" s="337">
        <f>SUM(AH6:AH8)</f>
        <v>1408</v>
      </c>
      <c r="AI9" s="338">
        <f>SUM(AG9:AH9)</f>
        <v>2865</v>
      </c>
      <c r="AJ9" s="336">
        <f>SUM(AJ6:AJ8)</f>
        <v>1352</v>
      </c>
      <c r="AK9" s="337">
        <f>SUM(AK6:AK8)</f>
        <v>1524</v>
      </c>
      <c r="AL9" s="338">
        <f>SUM(AJ9:AK9)</f>
        <v>2876</v>
      </c>
      <c r="AM9" s="336">
        <f>SUM(AM6:AM8)</f>
        <v>1249</v>
      </c>
      <c r="AN9" s="337">
        <f>SUM(AN6:AN8)</f>
        <v>1591</v>
      </c>
      <c r="AO9" s="338">
        <f>SUM(AM9:AN9)</f>
        <v>2840</v>
      </c>
      <c r="AP9" s="336">
        <f>SUM(AP6:AP8)</f>
        <v>1386</v>
      </c>
      <c r="AQ9" s="337">
        <f>SUM(AQ6:AQ8)</f>
        <v>1581</v>
      </c>
      <c r="AR9" s="338">
        <f>SUM(AP9:AQ9)</f>
        <v>2967</v>
      </c>
      <c r="AS9" s="336">
        <f>SUM(AS6:AS8)</f>
        <v>1457</v>
      </c>
      <c r="AT9" s="337">
        <f>SUM(AT6:AT8)</f>
        <v>1544</v>
      </c>
      <c r="AU9" s="338">
        <f>SUM(AS9:AT9)</f>
        <v>3001</v>
      </c>
      <c r="AV9" s="336">
        <f>SUM(AV6:AV8)</f>
        <v>1481</v>
      </c>
      <c r="AW9" s="337">
        <f>SUM(AW6:AW8)</f>
        <v>1563</v>
      </c>
      <c r="AX9" s="338">
        <f>SUM(AV9:AW9)</f>
        <v>3044</v>
      </c>
      <c r="AY9" s="336">
        <f>SUM(AY6:AY8)</f>
        <v>1700</v>
      </c>
      <c r="AZ9" s="337">
        <f>SUM(AZ6:AZ8)</f>
        <v>1996</v>
      </c>
      <c r="BA9" s="338">
        <f>SUM(AY9:AZ9)</f>
        <v>3696</v>
      </c>
      <c r="BB9" s="336">
        <f>SUM(BB6:BB8)</f>
        <v>1591</v>
      </c>
      <c r="BC9" s="337">
        <f>SUM(BC6:BC8)</f>
        <v>1673</v>
      </c>
      <c r="BD9" s="338">
        <f>SUM(BB9:BC9)</f>
        <v>3264</v>
      </c>
      <c r="BE9" s="336">
        <f>SUM(BE6:BE8)</f>
        <v>1678</v>
      </c>
      <c r="BF9" s="337">
        <f>SUM(BF6:BF8)</f>
        <v>1652</v>
      </c>
      <c r="BG9" s="338">
        <f>SUM(BE9:BF9)</f>
        <v>3330</v>
      </c>
      <c r="BH9" s="336">
        <f>SUM(BH6:BH8)</f>
        <v>1673</v>
      </c>
      <c r="BI9" s="337">
        <f>SUM(BI6:BI8)</f>
        <v>1690</v>
      </c>
      <c r="BJ9" s="338">
        <f>SUM(BH9:BI9)</f>
        <v>3363</v>
      </c>
    </row>
    <row r="10" spans="2:62" s="161" customFormat="1" ht="14.4" x14ac:dyDescent="0.25">
      <c r="B10" s="162"/>
      <c r="C10" s="163"/>
      <c r="D10" s="163"/>
      <c r="E10" s="163"/>
      <c r="F10" s="163"/>
      <c r="G10" s="163"/>
      <c r="H10" s="163"/>
      <c r="I10" s="163"/>
      <c r="J10" s="163"/>
      <c r="K10" s="163"/>
      <c r="L10" s="163"/>
      <c r="M10" s="163"/>
      <c r="N10" s="163"/>
      <c r="O10" s="163"/>
      <c r="P10" s="163"/>
      <c r="Q10" s="163"/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3"/>
      <c r="BB10" s="163"/>
      <c r="BC10" s="163"/>
      <c r="BD10" s="163"/>
      <c r="BE10" s="163"/>
      <c r="BF10" s="163"/>
      <c r="BG10" s="163"/>
      <c r="BH10" s="163"/>
      <c r="BI10" s="163"/>
      <c r="BJ10" s="163"/>
    </row>
    <row r="11" spans="2:62" s="161" customFormat="1" ht="15" customHeight="1" x14ac:dyDescent="0.25">
      <c r="B11" s="150" t="s">
        <v>64</v>
      </c>
      <c r="C11" s="151"/>
      <c r="D11" s="152"/>
      <c r="E11" s="153"/>
      <c r="F11" s="151"/>
      <c r="G11" s="152"/>
      <c r="H11" s="153"/>
      <c r="I11" s="151"/>
      <c r="J11" s="152">
        <v>111</v>
      </c>
      <c r="K11" s="103">
        <v>111</v>
      </c>
      <c r="L11" s="152"/>
      <c r="M11" s="152">
        <v>43</v>
      </c>
      <c r="N11" s="103">
        <v>43</v>
      </c>
      <c r="O11" s="152"/>
      <c r="P11" s="152">
        <v>121</v>
      </c>
      <c r="Q11" s="103">
        <v>121</v>
      </c>
      <c r="R11" s="152"/>
      <c r="S11" s="152">
        <v>116</v>
      </c>
      <c r="T11" s="103">
        <v>116</v>
      </c>
      <c r="U11" s="151"/>
      <c r="V11" s="152">
        <v>81</v>
      </c>
      <c r="W11" s="395">
        <v>81</v>
      </c>
      <c r="X11" s="151"/>
      <c r="Y11" s="152">
        <v>94</v>
      </c>
      <c r="Z11" s="103">
        <f>SUM(X11:Y11)</f>
        <v>94</v>
      </c>
      <c r="AA11" s="151"/>
      <c r="AB11" s="152">
        <v>87</v>
      </c>
      <c r="AC11" s="103">
        <f>SUM(AA11:AB11)</f>
        <v>87</v>
      </c>
      <c r="AD11" s="151"/>
      <c r="AE11" s="152">
        <f>SUM('Inscritos plan'!AE79:AE82)</f>
        <v>86</v>
      </c>
      <c r="AF11" s="103">
        <f>SUM(AD11:AE11)</f>
        <v>86</v>
      </c>
      <c r="AG11" s="151"/>
      <c r="AH11" s="152">
        <f>SUM('Inscritos plan'!AH79:AH82)</f>
        <v>94</v>
      </c>
      <c r="AI11" s="103">
        <f>SUM(AG11:AH11)</f>
        <v>94</v>
      </c>
      <c r="AJ11" s="151">
        <f>SUM('Inscritos plan'!AJ83)</f>
        <v>97</v>
      </c>
      <c r="AK11" s="152">
        <f>SUM('Inscritos plan'!AK79:AK82)</f>
        <v>99</v>
      </c>
      <c r="AL11" s="103">
        <f>SUM(AJ11:AK11)</f>
        <v>196</v>
      </c>
      <c r="AM11" s="151">
        <f>SUM('Inscritos plan'!AM83)</f>
        <v>97</v>
      </c>
      <c r="AN11" s="152">
        <f>SUM('Inscritos plan'!AN79:AN82)</f>
        <v>129</v>
      </c>
      <c r="AO11" s="103">
        <f>SUM(AM11:AN11)</f>
        <v>226</v>
      </c>
      <c r="AP11" s="151">
        <f>SUM('Inscritos plan'!AP83)</f>
        <v>97</v>
      </c>
      <c r="AQ11" s="152">
        <f>SUM('Inscritos plan'!AQ79:AQ82)</f>
        <v>135</v>
      </c>
      <c r="AR11" s="103">
        <f>SUM(AP11:AQ11)</f>
        <v>232</v>
      </c>
      <c r="AS11" s="151">
        <f>SUM('Inscritos plan'!AS83)</f>
        <v>98</v>
      </c>
      <c r="AT11" s="152">
        <f>SUM('Inscritos plan'!AT79:AT82)</f>
        <v>126</v>
      </c>
      <c r="AU11" s="103">
        <f>SUM(AS11:AT11)</f>
        <v>224</v>
      </c>
      <c r="AV11" s="151">
        <f>SUM('Inscritos plan'!AV83)</f>
        <v>92</v>
      </c>
      <c r="AW11" s="152">
        <f>SUM('Inscritos plan'!AW79:AW82)</f>
        <v>120</v>
      </c>
      <c r="AX11" s="103">
        <f>SUM(AV11:AW11)</f>
        <v>212</v>
      </c>
      <c r="AY11" s="151">
        <f>SUM('Inscritos plan'!AY83)</f>
        <v>103</v>
      </c>
      <c r="AZ11" s="152">
        <f>SUM('Inscritos plan'!AZ79:AZ82)</f>
        <v>131</v>
      </c>
      <c r="BA11" s="103">
        <f>SUM(AY11:AZ11)</f>
        <v>234</v>
      </c>
      <c r="BB11" s="151">
        <f>SUM('Inscritos plan'!BB83)</f>
        <v>99</v>
      </c>
      <c r="BC11" s="152">
        <f>SUM('Inscritos plan'!BC79:BC82)</f>
        <v>137</v>
      </c>
      <c r="BD11" s="103">
        <f>SUM(BB11:BC11)</f>
        <v>236</v>
      </c>
      <c r="BE11" s="151">
        <f>SUM('Inscritos plan'!BE83)</f>
        <v>89</v>
      </c>
      <c r="BF11" s="152">
        <f>SUM('Inscritos plan'!BF79:BF82)</f>
        <v>122</v>
      </c>
      <c r="BG11" s="103">
        <f>SUM(BE11:BF11)</f>
        <v>211</v>
      </c>
      <c r="BH11" s="151">
        <f>SUM('Inscritos plan'!BH83)</f>
        <v>87</v>
      </c>
      <c r="BI11" s="152">
        <f>SUM('Inscritos plan'!BI79:BI82)</f>
        <v>117</v>
      </c>
      <c r="BJ11" s="103">
        <f>SUM(BH11:BI11)</f>
        <v>204</v>
      </c>
    </row>
    <row r="12" spans="2:62" s="161" customFormat="1" ht="15" customHeight="1" x14ac:dyDescent="0.25">
      <c r="B12" s="154" t="s">
        <v>111</v>
      </c>
      <c r="C12" s="129"/>
      <c r="D12" s="130"/>
      <c r="E12" s="155"/>
      <c r="F12" s="129"/>
      <c r="G12" s="130"/>
      <c r="H12" s="155"/>
      <c r="I12" s="129"/>
      <c r="J12" s="130">
        <v>34</v>
      </c>
      <c r="K12" s="110">
        <v>34</v>
      </c>
      <c r="L12" s="130"/>
      <c r="M12" s="130">
        <v>30</v>
      </c>
      <c r="N12" s="110">
        <v>30</v>
      </c>
      <c r="O12" s="130"/>
      <c r="P12" s="130">
        <v>131</v>
      </c>
      <c r="Q12" s="110">
        <v>131</v>
      </c>
      <c r="R12" s="130"/>
      <c r="S12" s="130">
        <v>129</v>
      </c>
      <c r="T12" s="110">
        <v>129</v>
      </c>
      <c r="U12" s="129"/>
      <c r="V12" s="130">
        <v>96</v>
      </c>
      <c r="W12" s="396">
        <v>96</v>
      </c>
      <c r="X12" s="129"/>
      <c r="Y12" s="130">
        <v>117</v>
      </c>
      <c r="Z12" s="110">
        <f>SUM(X12:Y12)</f>
        <v>117</v>
      </c>
      <c r="AA12" s="129"/>
      <c r="AB12" s="130">
        <v>125</v>
      </c>
      <c r="AC12" s="110">
        <f>SUM(AA12:AB12)</f>
        <v>125</v>
      </c>
      <c r="AD12" s="129"/>
      <c r="AE12" s="130">
        <f>SUM('Inscritos plan'!AE84:AE86)</f>
        <v>134</v>
      </c>
      <c r="AF12" s="110">
        <f>SUM(AD12:AE12)</f>
        <v>134</v>
      </c>
      <c r="AG12" s="129"/>
      <c r="AH12" s="130">
        <f>SUM('Inscritos plan'!AH84:AH86)</f>
        <v>122</v>
      </c>
      <c r="AI12" s="110">
        <f>SUM(AG12:AH12)</f>
        <v>122</v>
      </c>
      <c r="AJ12" s="129"/>
      <c r="AK12" s="130">
        <f>SUM('Inscritos plan'!AK84:AK86)</f>
        <v>155</v>
      </c>
      <c r="AL12" s="110">
        <f>SUM(AJ12:AK12)</f>
        <v>155</v>
      </c>
      <c r="AM12" s="129"/>
      <c r="AN12" s="130">
        <f>SUM('Inscritos plan'!AN84:AN86)</f>
        <v>189</v>
      </c>
      <c r="AO12" s="110">
        <f>SUM(AM12:AN12)</f>
        <v>189</v>
      </c>
      <c r="AP12" s="129"/>
      <c r="AQ12" s="130">
        <f>SUM('Inscritos plan'!AQ84:AQ86)</f>
        <v>226</v>
      </c>
      <c r="AR12" s="110">
        <f>SUM(AP12:AQ12)</f>
        <v>226</v>
      </c>
      <c r="AS12" s="129"/>
      <c r="AT12" s="130">
        <f>SUM('Inscritos plan'!AT84:AT86)</f>
        <v>219</v>
      </c>
      <c r="AU12" s="110">
        <f>SUM(AS12:AT12)</f>
        <v>219</v>
      </c>
      <c r="AV12" s="129"/>
      <c r="AW12" s="130">
        <f>SUM('Inscritos plan'!AW84:AW86)</f>
        <v>223</v>
      </c>
      <c r="AX12" s="110">
        <f>SUM(AV12:AW12)</f>
        <v>223</v>
      </c>
      <c r="AY12" s="129"/>
      <c r="AZ12" s="130">
        <f>SUM('Inscritos plan'!AZ84:AZ86)</f>
        <v>227</v>
      </c>
      <c r="BA12" s="110">
        <f>SUM(AY12:AZ12)</f>
        <v>227</v>
      </c>
      <c r="BB12" s="129"/>
      <c r="BC12" s="130">
        <f>SUM('Inscritos plan'!BC84:BC86)</f>
        <v>228</v>
      </c>
      <c r="BD12" s="110">
        <f>SUM(BB12:BC12)</f>
        <v>228</v>
      </c>
      <c r="BE12" s="129"/>
      <c r="BF12" s="130">
        <f>SUM('Inscritos plan'!BF84:BF86)</f>
        <v>227</v>
      </c>
      <c r="BG12" s="110">
        <f>SUM(BE12:BF12)</f>
        <v>227</v>
      </c>
      <c r="BH12" s="129"/>
      <c r="BI12" s="130">
        <f>SUM('Inscritos plan'!BI84:BI86)</f>
        <v>223</v>
      </c>
      <c r="BJ12" s="110">
        <f>SUM(BH12:BI12)</f>
        <v>223</v>
      </c>
    </row>
    <row r="13" spans="2:62" s="161" customFormat="1" ht="15" customHeight="1" x14ac:dyDescent="0.25">
      <c r="B13" s="154" t="s">
        <v>115</v>
      </c>
      <c r="C13" s="196"/>
      <c r="D13" s="197"/>
      <c r="E13" s="198"/>
      <c r="F13" s="196"/>
      <c r="G13" s="197"/>
      <c r="H13" s="198"/>
      <c r="I13" s="196"/>
      <c r="J13" s="197">
        <v>58</v>
      </c>
      <c r="K13" s="117">
        <v>58</v>
      </c>
      <c r="L13" s="197"/>
      <c r="M13" s="197">
        <v>28</v>
      </c>
      <c r="N13" s="117">
        <v>28</v>
      </c>
      <c r="O13" s="197"/>
      <c r="P13" s="197">
        <v>64</v>
      </c>
      <c r="Q13" s="117">
        <v>64</v>
      </c>
      <c r="R13" s="197"/>
      <c r="S13" s="197">
        <v>110</v>
      </c>
      <c r="T13" s="117">
        <v>110</v>
      </c>
      <c r="U13" s="196"/>
      <c r="V13" s="197">
        <v>83</v>
      </c>
      <c r="W13" s="397">
        <v>83</v>
      </c>
      <c r="X13" s="196"/>
      <c r="Y13" s="197">
        <v>107</v>
      </c>
      <c r="Z13" s="117">
        <f>SUM(X13:Y13)</f>
        <v>107</v>
      </c>
      <c r="AA13" s="196"/>
      <c r="AB13" s="197">
        <v>110</v>
      </c>
      <c r="AC13" s="117">
        <f>SUM(AA13:AB13)</f>
        <v>110</v>
      </c>
      <c r="AD13" s="196"/>
      <c r="AE13" s="197">
        <f>SUM('Inscritos plan'!AE88:AE91)</f>
        <v>136</v>
      </c>
      <c r="AF13" s="117">
        <f>SUM(AD13:AE13)</f>
        <v>136</v>
      </c>
      <c r="AG13" s="196"/>
      <c r="AH13" s="197">
        <f>SUM('Inscritos plan'!AH88:AH91)</f>
        <v>145</v>
      </c>
      <c r="AI13" s="117">
        <f>SUM(AG13:AH13)</f>
        <v>145</v>
      </c>
      <c r="AJ13" s="196"/>
      <c r="AK13" s="197">
        <f>SUM('Inscritos plan'!AK88:AK91)</f>
        <v>229</v>
      </c>
      <c r="AL13" s="117">
        <f>SUM(AJ13:AK13)</f>
        <v>229</v>
      </c>
      <c r="AM13" s="196"/>
      <c r="AN13" s="197">
        <f>SUM('Inscritos plan'!AN88:AN91)</f>
        <v>193</v>
      </c>
      <c r="AO13" s="117">
        <f>SUM(AM13:AN13)</f>
        <v>193</v>
      </c>
      <c r="AP13" s="196"/>
      <c r="AQ13" s="197">
        <f>SUM('Inscritos plan'!AQ88:AQ91)</f>
        <v>236</v>
      </c>
      <c r="AR13" s="117">
        <f>SUM(AP13:AQ13)</f>
        <v>236</v>
      </c>
      <c r="AS13" s="196"/>
      <c r="AT13" s="197">
        <f>SUM('Inscritos plan'!AT88:AT91)</f>
        <v>216</v>
      </c>
      <c r="AU13" s="117">
        <f>SUM(AS13:AT13)</f>
        <v>216</v>
      </c>
      <c r="AV13" s="196"/>
      <c r="AW13" s="197">
        <f>SUM('Inscritos plan'!AW88:AW91)</f>
        <v>220</v>
      </c>
      <c r="AX13" s="117">
        <f>SUM(AV13:AW13)</f>
        <v>220</v>
      </c>
      <c r="AY13" s="196"/>
      <c r="AZ13" s="197">
        <f>SUM('Inscritos plan'!AZ88:AZ91)</f>
        <v>249</v>
      </c>
      <c r="BA13" s="117">
        <f>SUM(AY13:AZ13)</f>
        <v>249</v>
      </c>
      <c r="BB13" s="196"/>
      <c r="BC13" s="197">
        <f>SUM('Inscritos plan'!BC88:BC91)</f>
        <v>255</v>
      </c>
      <c r="BD13" s="117">
        <f>SUM(BB13:BC13)</f>
        <v>255</v>
      </c>
      <c r="BE13" s="196"/>
      <c r="BF13" s="197">
        <f>SUM('Inscritos plan'!BF88:BF91)</f>
        <v>224</v>
      </c>
      <c r="BG13" s="117">
        <f>SUM(BE13:BF13)</f>
        <v>224</v>
      </c>
      <c r="BH13" s="196"/>
      <c r="BI13" s="197">
        <f>SUM('Inscritos plan'!BI88:BI91)</f>
        <v>240</v>
      </c>
      <c r="BJ13" s="117">
        <f>SUM(BH13:BI13)</f>
        <v>240</v>
      </c>
    </row>
    <row r="14" spans="2:62" s="161" customFormat="1" ht="15" customHeight="1" x14ac:dyDescent="0.25">
      <c r="B14" s="166" t="s">
        <v>134</v>
      </c>
      <c r="C14" s="339"/>
      <c r="D14" s="340"/>
      <c r="E14" s="340"/>
      <c r="F14" s="339"/>
      <c r="G14" s="340"/>
      <c r="H14" s="340"/>
      <c r="I14" s="339"/>
      <c r="J14" s="340">
        <v>203</v>
      </c>
      <c r="K14" s="341">
        <v>203</v>
      </c>
      <c r="L14" s="340"/>
      <c r="M14" s="340">
        <v>101</v>
      </c>
      <c r="N14" s="341">
        <v>101</v>
      </c>
      <c r="O14" s="340"/>
      <c r="P14" s="340">
        <v>316</v>
      </c>
      <c r="Q14" s="341">
        <v>316</v>
      </c>
      <c r="R14" s="340"/>
      <c r="S14" s="340">
        <v>355</v>
      </c>
      <c r="T14" s="341">
        <v>355</v>
      </c>
      <c r="U14" s="339"/>
      <c r="V14" s="340">
        <v>260</v>
      </c>
      <c r="W14" s="341">
        <v>260</v>
      </c>
      <c r="X14" s="339"/>
      <c r="Y14" s="340">
        <f>SUM(Y11:Y13)</f>
        <v>318</v>
      </c>
      <c r="Z14" s="341">
        <f>SUM(X14:Y14)</f>
        <v>318</v>
      </c>
      <c r="AA14" s="339"/>
      <c r="AB14" s="340">
        <f>SUM(AB11:AB13)</f>
        <v>322</v>
      </c>
      <c r="AC14" s="341">
        <f>SUM(AA14:AB14)</f>
        <v>322</v>
      </c>
      <c r="AD14" s="339"/>
      <c r="AE14" s="340">
        <f>SUM(AE11:AE13)</f>
        <v>356</v>
      </c>
      <c r="AF14" s="341">
        <f>SUM(AD14:AE14)</f>
        <v>356</v>
      </c>
      <c r="AG14" s="339"/>
      <c r="AH14" s="340">
        <f>SUM(AH11:AH13)</f>
        <v>361</v>
      </c>
      <c r="AI14" s="341">
        <f>SUM(AG14:AH14)</f>
        <v>361</v>
      </c>
      <c r="AJ14" s="339">
        <f>SUM(AJ11:AJ13)</f>
        <v>97</v>
      </c>
      <c r="AK14" s="340">
        <f>SUM(AK11:AK13)</f>
        <v>483</v>
      </c>
      <c r="AL14" s="341">
        <f>SUM(AJ14:AK14)</f>
        <v>580</v>
      </c>
      <c r="AM14" s="339">
        <f>SUM(AM11:AM13)</f>
        <v>97</v>
      </c>
      <c r="AN14" s="340">
        <f>SUM(AN11:AN13)</f>
        <v>511</v>
      </c>
      <c r="AO14" s="341">
        <f>SUM(AM14:AN14)</f>
        <v>608</v>
      </c>
      <c r="AP14" s="339">
        <f>SUM(AP11:AP13)</f>
        <v>97</v>
      </c>
      <c r="AQ14" s="340">
        <f>SUM(AQ11:AQ13)</f>
        <v>597</v>
      </c>
      <c r="AR14" s="341">
        <f>SUM(AP14:AQ14)</f>
        <v>694</v>
      </c>
      <c r="AS14" s="339">
        <f>SUM(AS11:AS13)</f>
        <v>98</v>
      </c>
      <c r="AT14" s="340">
        <f>SUM(AT11:AT13)</f>
        <v>561</v>
      </c>
      <c r="AU14" s="341">
        <f>SUM(AS14:AT14)</f>
        <v>659</v>
      </c>
      <c r="AV14" s="339">
        <f>SUM(AV11:AV13)</f>
        <v>92</v>
      </c>
      <c r="AW14" s="340">
        <f>SUM(AW11:AW13)</f>
        <v>563</v>
      </c>
      <c r="AX14" s="341">
        <f>SUM(AV14:AW14)</f>
        <v>655</v>
      </c>
      <c r="AY14" s="339">
        <f>SUM(AY11:AY13)</f>
        <v>103</v>
      </c>
      <c r="AZ14" s="340">
        <f>SUM(AZ11:AZ13)</f>
        <v>607</v>
      </c>
      <c r="BA14" s="341">
        <f>SUM(AY14:AZ14)</f>
        <v>710</v>
      </c>
      <c r="BB14" s="339">
        <f>SUM(BB11:BB13)</f>
        <v>99</v>
      </c>
      <c r="BC14" s="340">
        <f>SUM(BC11:BC13)</f>
        <v>620</v>
      </c>
      <c r="BD14" s="341">
        <f>SUM(BB14:BC14)</f>
        <v>719</v>
      </c>
      <c r="BE14" s="339">
        <f>SUM(BE11:BE13)</f>
        <v>89</v>
      </c>
      <c r="BF14" s="340">
        <f>SUM(BF11:BF13)</f>
        <v>573</v>
      </c>
      <c r="BG14" s="341">
        <f>SUM(BE14:BF14)</f>
        <v>662</v>
      </c>
      <c r="BH14" s="339">
        <f>SUM(BH11:BH13)</f>
        <v>87</v>
      </c>
      <c r="BI14" s="340">
        <f>SUM(BI11:BI13)</f>
        <v>580</v>
      </c>
      <c r="BJ14" s="341">
        <f>SUM(BH14:BI14)</f>
        <v>667</v>
      </c>
    </row>
    <row r="15" spans="2:62" s="38" customFormat="1" ht="14.4" x14ac:dyDescent="0.25">
      <c r="B15" s="170"/>
      <c r="C15" s="342"/>
      <c r="D15" s="342"/>
      <c r="E15" s="342"/>
      <c r="F15" s="342"/>
      <c r="G15" s="342"/>
      <c r="H15" s="342"/>
      <c r="I15" s="342"/>
      <c r="J15" s="342"/>
      <c r="K15" s="342"/>
      <c r="L15" s="342"/>
      <c r="M15" s="342"/>
      <c r="N15" s="342"/>
      <c r="O15" s="342"/>
      <c r="P15" s="342"/>
      <c r="Q15" s="342"/>
      <c r="R15" s="342"/>
      <c r="S15" s="342"/>
      <c r="T15" s="342"/>
      <c r="U15" s="342"/>
      <c r="V15" s="342"/>
      <c r="W15" s="342"/>
      <c r="X15" s="342"/>
      <c r="Y15" s="342"/>
      <c r="Z15" s="342"/>
      <c r="AA15" s="342"/>
      <c r="AB15" s="342"/>
      <c r="AC15" s="342"/>
      <c r="AD15" s="342"/>
      <c r="AE15" s="342"/>
      <c r="AF15" s="342"/>
      <c r="AG15" s="342"/>
      <c r="AH15" s="342"/>
      <c r="AI15" s="342"/>
      <c r="AJ15" s="342"/>
      <c r="AK15" s="342"/>
      <c r="AL15" s="342"/>
      <c r="AM15" s="342"/>
      <c r="AN15" s="342"/>
      <c r="AO15" s="342"/>
      <c r="AP15" s="342"/>
      <c r="AQ15" s="342"/>
      <c r="AR15" s="342"/>
      <c r="AS15" s="342"/>
      <c r="AT15" s="342"/>
      <c r="AU15" s="342"/>
      <c r="AV15" s="342"/>
      <c r="AW15" s="342"/>
      <c r="AX15" s="342"/>
      <c r="AY15" s="342"/>
      <c r="AZ15" s="342"/>
      <c r="BA15" s="342"/>
      <c r="BB15" s="342"/>
      <c r="BC15" s="342"/>
      <c r="BD15" s="342"/>
      <c r="BE15" s="342"/>
      <c r="BF15" s="342"/>
      <c r="BG15" s="342"/>
      <c r="BH15" s="342"/>
      <c r="BI15" s="342"/>
      <c r="BJ15" s="342"/>
    </row>
    <row r="16" spans="2:62" s="38" customFormat="1" ht="15" customHeight="1" x14ac:dyDescent="0.25">
      <c r="B16" s="150" t="s">
        <v>59</v>
      </c>
      <c r="C16" s="151">
        <v>295</v>
      </c>
      <c r="D16" s="152">
        <v>362</v>
      </c>
      <c r="E16" s="153">
        <v>657</v>
      </c>
      <c r="F16" s="151">
        <v>264</v>
      </c>
      <c r="G16" s="152">
        <v>417</v>
      </c>
      <c r="H16" s="153">
        <v>681</v>
      </c>
      <c r="I16" s="151">
        <v>290</v>
      </c>
      <c r="J16" s="152">
        <v>437</v>
      </c>
      <c r="K16" s="103">
        <v>727</v>
      </c>
      <c r="L16" s="152">
        <v>357</v>
      </c>
      <c r="M16" s="152">
        <v>386</v>
      </c>
      <c r="N16" s="103">
        <v>743</v>
      </c>
      <c r="O16" s="152">
        <v>268</v>
      </c>
      <c r="P16" s="152">
        <v>355</v>
      </c>
      <c r="Q16" s="103">
        <v>623</v>
      </c>
      <c r="R16" s="152">
        <v>281</v>
      </c>
      <c r="S16" s="152">
        <v>499</v>
      </c>
      <c r="T16" s="103">
        <v>780</v>
      </c>
      <c r="U16" s="151">
        <v>220</v>
      </c>
      <c r="V16" s="152">
        <v>428</v>
      </c>
      <c r="W16" s="395">
        <v>648</v>
      </c>
      <c r="X16" s="151">
        <v>116</v>
      </c>
      <c r="Y16" s="152">
        <v>654</v>
      </c>
      <c r="Z16" s="103">
        <f>SUM(X16:Y16)</f>
        <v>770</v>
      </c>
      <c r="AA16" s="151">
        <v>186</v>
      </c>
      <c r="AB16" s="152">
        <v>622</v>
      </c>
      <c r="AC16" s="103">
        <f>SUM(AA16:AB16)</f>
        <v>808</v>
      </c>
      <c r="AD16" s="151">
        <f>SUM('Inscritos plan'!AD26:AD34)</f>
        <v>184</v>
      </c>
      <c r="AE16" s="152">
        <f>SUM('Inscritos plan'!AE26:AE34)</f>
        <v>654</v>
      </c>
      <c r="AF16" s="103">
        <f>SUM(AD16:AE16)</f>
        <v>838</v>
      </c>
      <c r="AG16" s="151">
        <f>SUM('Inscritos plan'!AG26:AG34)</f>
        <v>227</v>
      </c>
      <c r="AH16" s="152">
        <f>SUM('Inscritos plan'!AH26:AH34)</f>
        <v>754</v>
      </c>
      <c r="AI16" s="103">
        <f>SUM(AG16:AH16)</f>
        <v>981</v>
      </c>
      <c r="AJ16" s="151">
        <f>SUM('Inscritos plan'!AJ26:AJ34)</f>
        <v>180</v>
      </c>
      <c r="AK16" s="152">
        <f>SUM('Inscritos plan'!AK26:AK34)</f>
        <v>632</v>
      </c>
      <c r="AL16" s="103">
        <f>SUM(AJ16:AK16)</f>
        <v>812</v>
      </c>
      <c r="AM16" s="151">
        <f>SUM('Inscritos plan'!AM26:AM34)</f>
        <v>176</v>
      </c>
      <c r="AN16" s="152">
        <f>SUM('Inscritos plan'!AN26:AN34)</f>
        <v>626</v>
      </c>
      <c r="AO16" s="103">
        <f>SUM(AM16:AN16)</f>
        <v>802</v>
      </c>
      <c r="AP16" s="151">
        <f>SUM('Inscritos plan'!AP26:AP34)</f>
        <v>139</v>
      </c>
      <c r="AQ16" s="152">
        <f>SUM('Inscritos plan'!AQ26:AQ35)</f>
        <v>688</v>
      </c>
      <c r="AR16" s="103">
        <f>SUM(AP16:AQ16)</f>
        <v>827</v>
      </c>
      <c r="AS16" s="151">
        <f>SUM('Inscritos plan'!AS26:AS34)</f>
        <v>0</v>
      </c>
      <c r="AT16" s="152">
        <f>SUM('Inscritos plan'!AT26:AT35)</f>
        <v>626</v>
      </c>
      <c r="AU16" s="103">
        <f>SUM(AS16:AT16)</f>
        <v>626</v>
      </c>
      <c r="AV16" s="151">
        <f>SUM('Inscritos plan'!AV26:AV34)</f>
        <v>0</v>
      </c>
      <c r="AW16" s="152">
        <f>SUM('Inscritos plan'!AW26:AW35)</f>
        <v>651</v>
      </c>
      <c r="AX16" s="103">
        <f>SUM(AV16:AW16)</f>
        <v>651</v>
      </c>
      <c r="AY16" s="151">
        <f>SUM('Inscritos plan'!AY26:AY34)</f>
        <v>0</v>
      </c>
      <c r="AZ16" s="152">
        <f>SUM('Inscritos plan'!AZ26:AZ35)</f>
        <v>750</v>
      </c>
      <c r="BA16" s="103">
        <f>SUM(AY16:AZ16)</f>
        <v>750</v>
      </c>
      <c r="BB16" s="151">
        <f>SUM('Inscritos plan'!BB26:BB34)</f>
        <v>0</v>
      </c>
      <c r="BC16" s="152">
        <f>SUM('Inscritos plan'!BC26:BC35)</f>
        <v>687</v>
      </c>
      <c r="BD16" s="103">
        <f>SUM(BB16:BC16)</f>
        <v>687</v>
      </c>
      <c r="BE16" s="151">
        <f>SUM('Inscritos plan'!BE26:BE34)</f>
        <v>0</v>
      </c>
      <c r="BF16" s="152">
        <f>SUM('Inscritos plan'!BF26:BF35)</f>
        <v>510</v>
      </c>
      <c r="BG16" s="103">
        <f>SUM(BE16:BF16)</f>
        <v>510</v>
      </c>
      <c r="BH16" s="151">
        <f>SUM('Inscritos plan'!BH26:BH34)</f>
        <v>0</v>
      </c>
      <c r="BI16" s="152">
        <f>SUM('Inscritos plan'!BI26:BI35)</f>
        <v>663</v>
      </c>
      <c r="BJ16" s="103">
        <f>SUM(BH16:BI16)</f>
        <v>663</v>
      </c>
    </row>
    <row r="17" spans="2:62" s="38" customFormat="1" ht="15" customHeight="1" x14ac:dyDescent="0.25">
      <c r="B17" s="154" t="s">
        <v>64</v>
      </c>
      <c r="C17" s="129">
        <v>159</v>
      </c>
      <c r="D17" s="130">
        <v>708</v>
      </c>
      <c r="E17" s="155">
        <v>867</v>
      </c>
      <c r="F17" s="129">
        <v>185</v>
      </c>
      <c r="G17" s="130">
        <v>805</v>
      </c>
      <c r="H17" s="155">
        <v>990</v>
      </c>
      <c r="I17" s="129">
        <v>161</v>
      </c>
      <c r="J17" s="130">
        <v>861</v>
      </c>
      <c r="K17" s="110">
        <v>1022</v>
      </c>
      <c r="L17" s="130">
        <v>183</v>
      </c>
      <c r="M17" s="130">
        <v>852</v>
      </c>
      <c r="N17" s="110">
        <v>1035</v>
      </c>
      <c r="O17" s="130">
        <v>212</v>
      </c>
      <c r="P17" s="130">
        <v>957</v>
      </c>
      <c r="Q17" s="110">
        <v>1169</v>
      </c>
      <c r="R17" s="130">
        <v>201</v>
      </c>
      <c r="S17" s="130">
        <v>930</v>
      </c>
      <c r="T17" s="110">
        <v>1131</v>
      </c>
      <c r="U17" s="129">
        <v>182</v>
      </c>
      <c r="V17" s="130">
        <v>896</v>
      </c>
      <c r="W17" s="396">
        <v>1078</v>
      </c>
      <c r="X17" s="129">
        <v>163</v>
      </c>
      <c r="Y17" s="130">
        <v>940</v>
      </c>
      <c r="Z17" s="110">
        <f>SUM(X17:Y17)</f>
        <v>1103</v>
      </c>
      <c r="AA17" s="129">
        <v>158</v>
      </c>
      <c r="AB17" s="130">
        <v>917</v>
      </c>
      <c r="AC17" s="110">
        <f>SUM(AA17:AB17)</f>
        <v>1075</v>
      </c>
      <c r="AD17" s="129">
        <f>SUM('Inscritos plan'!AD37:AD47)</f>
        <v>171</v>
      </c>
      <c r="AE17" s="130">
        <f>SUM('Inscritos plan'!AE37:AE47)</f>
        <v>921</v>
      </c>
      <c r="AF17" s="110">
        <f>SUM(AD17:AE17)</f>
        <v>1092</v>
      </c>
      <c r="AG17" s="129">
        <f>SUM('Inscritos plan'!AG37:AG47)</f>
        <v>154</v>
      </c>
      <c r="AH17" s="130">
        <f>SUM('Inscritos plan'!AH37:AH47)</f>
        <v>941</v>
      </c>
      <c r="AI17" s="110">
        <f>SUM(AG17:AH17)</f>
        <v>1095</v>
      </c>
      <c r="AJ17" s="129">
        <f>SUM('Inscritos plan'!AJ37:AJ47)</f>
        <v>153</v>
      </c>
      <c r="AK17" s="130">
        <f>SUM('Inscritos plan'!AK37:AK47)</f>
        <v>917</v>
      </c>
      <c r="AL17" s="110">
        <f>SUM(AJ17:AK17)</f>
        <v>1070</v>
      </c>
      <c r="AM17" s="129">
        <f>SUM('Inscritos plan'!AM37:AM47)</f>
        <v>134</v>
      </c>
      <c r="AN17" s="130">
        <f>SUM('Inscritos plan'!AN37:AN47)</f>
        <v>932</v>
      </c>
      <c r="AO17" s="110">
        <f>SUM(AM17:AN17)</f>
        <v>1066</v>
      </c>
      <c r="AP17" s="129">
        <f>SUM('Inscritos plan'!AP37:AP47)</f>
        <v>141</v>
      </c>
      <c r="AQ17" s="130">
        <f>SUM('Inscritos plan'!AQ37:AQ47)</f>
        <v>987</v>
      </c>
      <c r="AR17" s="110">
        <f>SUM(AP17:AQ17)</f>
        <v>1128</v>
      </c>
      <c r="AS17" s="129">
        <f>SUM('Inscritos plan'!AS37:AS47)</f>
        <v>145</v>
      </c>
      <c r="AT17" s="130">
        <f>SUM('Inscritos plan'!AT37:AT47)</f>
        <v>966</v>
      </c>
      <c r="AU17" s="110">
        <f>SUM(AS17:AT17)</f>
        <v>1111</v>
      </c>
      <c r="AV17" s="129">
        <f>SUM('Inscritos plan'!AV37:AV47)</f>
        <v>143</v>
      </c>
      <c r="AW17" s="130">
        <f>SUM('Inscritos plan'!AW37:AW47)</f>
        <v>1010</v>
      </c>
      <c r="AX17" s="110">
        <f>SUM(AV17:AW17)</f>
        <v>1153</v>
      </c>
      <c r="AY17" s="129">
        <f>SUM('Inscritos plan'!AY37:AY47)</f>
        <v>146</v>
      </c>
      <c r="AZ17" s="130">
        <f>SUM('Inscritos plan'!AZ37:AZ47)</f>
        <v>941</v>
      </c>
      <c r="BA17" s="110">
        <f>SUM(AY17:AZ17)</f>
        <v>1087</v>
      </c>
      <c r="BB17" s="129">
        <f>SUM('Inscritos plan'!BB37:BB47)</f>
        <v>146</v>
      </c>
      <c r="BC17" s="130">
        <f>SUM('Inscritos plan'!BC37:BC47)</f>
        <v>927</v>
      </c>
      <c r="BD17" s="110">
        <f>SUM(BB17:BC17)</f>
        <v>1073</v>
      </c>
      <c r="BE17" s="129">
        <f>SUM('Inscritos plan'!BE37:BE47)</f>
        <v>161</v>
      </c>
      <c r="BF17" s="130">
        <f>SUM('Inscritos plan'!BF37:BF47)</f>
        <v>909</v>
      </c>
      <c r="BG17" s="110">
        <f>SUM(BE17:BF17)</f>
        <v>1070</v>
      </c>
      <c r="BH17" s="129">
        <f>SUM('Inscritos plan'!BH37:BH47)</f>
        <v>169</v>
      </c>
      <c r="BI17" s="130">
        <f>SUM('Inscritos plan'!BI37:BI47)</f>
        <v>840</v>
      </c>
      <c r="BJ17" s="110">
        <f>SUM(BH17:BI17)</f>
        <v>1009</v>
      </c>
    </row>
    <row r="18" spans="2:62" s="38" customFormat="1" ht="15" customHeight="1" x14ac:dyDescent="0.25">
      <c r="B18" s="154" t="s">
        <v>92</v>
      </c>
      <c r="C18" s="196">
        <v>158</v>
      </c>
      <c r="D18" s="197">
        <v>296</v>
      </c>
      <c r="E18" s="198">
        <v>454</v>
      </c>
      <c r="F18" s="196">
        <v>167</v>
      </c>
      <c r="G18" s="197">
        <v>354</v>
      </c>
      <c r="H18" s="198">
        <v>521</v>
      </c>
      <c r="I18" s="196">
        <v>178</v>
      </c>
      <c r="J18" s="197">
        <v>327</v>
      </c>
      <c r="K18" s="117">
        <v>505</v>
      </c>
      <c r="L18" s="197">
        <v>242</v>
      </c>
      <c r="M18" s="197">
        <v>366</v>
      </c>
      <c r="N18" s="117">
        <v>608</v>
      </c>
      <c r="O18" s="197">
        <v>201</v>
      </c>
      <c r="P18" s="197">
        <v>392</v>
      </c>
      <c r="Q18" s="117">
        <v>593</v>
      </c>
      <c r="R18" s="197">
        <v>255</v>
      </c>
      <c r="S18" s="197">
        <v>401</v>
      </c>
      <c r="T18" s="117">
        <v>656</v>
      </c>
      <c r="U18" s="196">
        <v>346</v>
      </c>
      <c r="V18" s="197">
        <v>407</v>
      </c>
      <c r="W18" s="397">
        <v>753</v>
      </c>
      <c r="X18" s="196">
        <v>373</v>
      </c>
      <c r="Y18" s="197">
        <v>430</v>
      </c>
      <c r="Z18" s="117">
        <f>SUM(X18:Y18)</f>
        <v>803</v>
      </c>
      <c r="AA18" s="196">
        <v>391</v>
      </c>
      <c r="AB18" s="197">
        <v>415</v>
      </c>
      <c r="AC18" s="117">
        <f>SUM(AA18:AB18)</f>
        <v>806</v>
      </c>
      <c r="AD18" s="196">
        <f>SUM('Inscritos plan'!AD49:AD54)</f>
        <v>399</v>
      </c>
      <c r="AE18" s="197">
        <f>SUM('Inscritos plan'!AE49:AE54)</f>
        <v>405</v>
      </c>
      <c r="AF18" s="117">
        <f>SUM(AD18:AE18)</f>
        <v>804</v>
      </c>
      <c r="AG18" s="196">
        <f>SUM('Inscritos plan'!AG49:AG54)</f>
        <v>382</v>
      </c>
      <c r="AH18" s="197">
        <f>SUM('Inscritos plan'!AH49:AH54)</f>
        <v>424</v>
      </c>
      <c r="AI18" s="117">
        <f>SUM(AG18:AH18)</f>
        <v>806</v>
      </c>
      <c r="AJ18" s="196">
        <f>SUM('Inscritos plan'!AJ49:AJ54)</f>
        <v>350</v>
      </c>
      <c r="AK18" s="197">
        <f>SUM('Inscritos plan'!AK49:AK54)</f>
        <v>385</v>
      </c>
      <c r="AL18" s="117">
        <f>SUM(AJ18:AK18)</f>
        <v>735</v>
      </c>
      <c r="AM18" s="196">
        <f>SUM('Inscritos plan'!AM49:AM54)</f>
        <v>298</v>
      </c>
      <c r="AN18" s="197">
        <f>SUM('Inscritos plan'!AN49:AN54)</f>
        <v>377</v>
      </c>
      <c r="AO18" s="117">
        <f>SUM(AM18:AN18)</f>
        <v>675</v>
      </c>
      <c r="AP18" s="196">
        <f>SUM('Inscritos plan'!AP49:AP54)</f>
        <v>279</v>
      </c>
      <c r="AQ18" s="197">
        <f>SUM('Inscritos plan'!AQ49:AQ54)</f>
        <v>384</v>
      </c>
      <c r="AR18" s="117">
        <f>SUM(AP18:AQ18)</f>
        <v>663</v>
      </c>
      <c r="AS18" s="196">
        <f>SUM('Inscritos plan'!AS49:AS54)</f>
        <v>286</v>
      </c>
      <c r="AT18" s="197">
        <f>SUM('Inscritos plan'!AT49:AT54)</f>
        <v>368</v>
      </c>
      <c r="AU18" s="117">
        <f>SUM(AS18:AT18)</f>
        <v>654</v>
      </c>
      <c r="AV18" s="196">
        <f>SUM('Inscritos plan'!AV49:AV54)</f>
        <v>225</v>
      </c>
      <c r="AW18" s="197">
        <f>SUM('Inscritos plan'!AW49:AW54)</f>
        <v>278</v>
      </c>
      <c r="AX18" s="117">
        <f>SUM(AV18:AW18)</f>
        <v>503</v>
      </c>
      <c r="AY18" s="196">
        <f>SUM('Inscritos plan'!AY49:AY54)</f>
        <v>229</v>
      </c>
      <c r="AZ18" s="197">
        <f>SUM('Inscritos plan'!AZ49:AZ54)</f>
        <v>289</v>
      </c>
      <c r="BA18" s="117">
        <f>SUM(AY18:AZ18)</f>
        <v>518</v>
      </c>
      <c r="BB18" s="196">
        <f>SUM('Inscritos plan'!BB49:BB54)</f>
        <v>313</v>
      </c>
      <c r="BC18" s="197">
        <f>SUM('Inscritos plan'!BC49:BC54)</f>
        <v>264</v>
      </c>
      <c r="BD18" s="117">
        <f>SUM(BB18:BC18)</f>
        <v>577</v>
      </c>
      <c r="BE18" s="196">
        <f>SUM('Inscritos plan'!BE49:BE54)</f>
        <v>315</v>
      </c>
      <c r="BF18" s="197">
        <f>SUM('Inscritos plan'!BF49:BF54)</f>
        <v>268</v>
      </c>
      <c r="BG18" s="117">
        <f>SUM(BE18:BF18)</f>
        <v>583</v>
      </c>
      <c r="BH18" s="196">
        <f>SUM('Inscritos plan'!BH49:BH54)</f>
        <v>319</v>
      </c>
      <c r="BI18" s="197">
        <f>SUM('Inscritos plan'!BI49:BI54)</f>
        <v>255</v>
      </c>
      <c r="BJ18" s="117">
        <f>SUM(BH18:BI18)</f>
        <v>574</v>
      </c>
    </row>
    <row r="19" spans="2:62" s="161" customFormat="1" ht="15" customHeight="1" x14ac:dyDescent="0.25">
      <c r="B19" s="174" t="s">
        <v>135</v>
      </c>
      <c r="C19" s="343">
        <v>612</v>
      </c>
      <c r="D19" s="344">
        <v>1366</v>
      </c>
      <c r="E19" s="344">
        <v>1978</v>
      </c>
      <c r="F19" s="343">
        <v>616</v>
      </c>
      <c r="G19" s="344">
        <v>1576</v>
      </c>
      <c r="H19" s="344">
        <v>2192</v>
      </c>
      <c r="I19" s="343">
        <v>629</v>
      </c>
      <c r="J19" s="344">
        <v>1625</v>
      </c>
      <c r="K19" s="345">
        <v>2254</v>
      </c>
      <c r="L19" s="344">
        <v>782</v>
      </c>
      <c r="M19" s="344">
        <v>1604</v>
      </c>
      <c r="N19" s="345">
        <v>2386</v>
      </c>
      <c r="O19" s="344">
        <v>681</v>
      </c>
      <c r="P19" s="344">
        <v>1704</v>
      </c>
      <c r="Q19" s="345">
        <v>2385</v>
      </c>
      <c r="R19" s="344">
        <v>737</v>
      </c>
      <c r="S19" s="344">
        <v>1830</v>
      </c>
      <c r="T19" s="345">
        <v>2567</v>
      </c>
      <c r="U19" s="343">
        <v>748</v>
      </c>
      <c r="V19" s="344">
        <v>1731</v>
      </c>
      <c r="W19" s="345">
        <v>2479</v>
      </c>
      <c r="X19" s="343">
        <f>SUM(X16:X18)</f>
        <v>652</v>
      </c>
      <c r="Y19" s="344">
        <f>SUM(Y16:Y18)</f>
        <v>2024</v>
      </c>
      <c r="Z19" s="345">
        <f>SUM(Z16:Z18)</f>
        <v>2676</v>
      </c>
      <c r="AA19" s="343">
        <f>SUM(AA16:AA18)</f>
        <v>735</v>
      </c>
      <c r="AB19" s="344">
        <f>SUM(AB16:AB18)</f>
        <v>1954</v>
      </c>
      <c r="AC19" s="345">
        <f>SUM(AA19:AB19)</f>
        <v>2689</v>
      </c>
      <c r="AD19" s="343">
        <f>SUM(AD16:AD18)</f>
        <v>754</v>
      </c>
      <c r="AE19" s="344">
        <f>SUM(AE16:AE18)</f>
        <v>1980</v>
      </c>
      <c r="AF19" s="345">
        <f>SUM(AD19:AE19)</f>
        <v>2734</v>
      </c>
      <c r="AG19" s="343">
        <f>SUM(AG16:AG18)</f>
        <v>763</v>
      </c>
      <c r="AH19" s="344">
        <f>SUM(AH16:AH18)</f>
        <v>2119</v>
      </c>
      <c r="AI19" s="345">
        <f>SUM(AG19:AH19)</f>
        <v>2882</v>
      </c>
      <c r="AJ19" s="343">
        <f>SUM(AJ16:AJ18)</f>
        <v>683</v>
      </c>
      <c r="AK19" s="344">
        <f>SUM(AK16:AK18)</f>
        <v>1934</v>
      </c>
      <c r="AL19" s="345">
        <f>SUM(AJ19:AK19)</f>
        <v>2617</v>
      </c>
      <c r="AM19" s="343">
        <f>SUM(AM16:AM18)</f>
        <v>608</v>
      </c>
      <c r="AN19" s="344">
        <f>SUM(AN16:AN18)</f>
        <v>1935</v>
      </c>
      <c r="AO19" s="345">
        <f>SUM(AM19:AN19)</f>
        <v>2543</v>
      </c>
      <c r="AP19" s="343">
        <f>SUM(AP16:AP18)</f>
        <v>559</v>
      </c>
      <c r="AQ19" s="344">
        <f>SUM(AQ16:AQ18)</f>
        <v>2059</v>
      </c>
      <c r="AR19" s="345">
        <f>SUM(AP19:AQ19)</f>
        <v>2618</v>
      </c>
      <c r="AS19" s="343">
        <f>SUM(AS16:AS18)</f>
        <v>431</v>
      </c>
      <c r="AT19" s="344">
        <f>SUM(AT16:AT18)</f>
        <v>1960</v>
      </c>
      <c r="AU19" s="345">
        <f>SUM(AS19:AT19)</f>
        <v>2391</v>
      </c>
      <c r="AV19" s="343">
        <f>SUM(AV16:AV18)</f>
        <v>368</v>
      </c>
      <c r="AW19" s="344">
        <f>SUM(AW16:AW18)</f>
        <v>1939</v>
      </c>
      <c r="AX19" s="345">
        <f>SUM(AV19:AW19)</f>
        <v>2307</v>
      </c>
      <c r="AY19" s="343">
        <f>SUM(AY16:AY18)</f>
        <v>375</v>
      </c>
      <c r="AZ19" s="344">
        <f>SUM(AZ16:AZ18)</f>
        <v>1980</v>
      </c>
      <c r="BA19" s="345">
        <f>SUM(AY19:AZ19)</f>
        <v>2355</v>
      </c>
      <c r="BB19" s="343">
        <f>SUM(BB16:BB18)</f>
        <v>459</v>
      </c>
      <c r="BC19" s="344">
        <f>SUM(BC16:BC18)</f>
        <v>1878</v>
      </c>
      <c r="BD19" s="345">
        <f>SUM(BB19:BC19)</f>
        <v>2337</v>
      </c>
      <c r="BE19" s="343">
        <f>SUM(BE16:BE18)</f>
        <v>476</v>
      </c>
      <c r="BF19" s="344">
        <f>SUM(BF16:BF18)</f>
        <v>1687</v>
      </c>
      <c r="BG19" s="345">
        <f>SUM(BE19:BF19)</f>
        <v>2163</v>
      </c>
      <c r="BH19" s="343">
        <f>SUM(BH16:BH18)</f>
        <v>488</v>
      </c>
      <c r="BI19" s="344">
        <f>SUM(BI16:BI18)</f>
        <v>1758</v>
      </c>
      <c r="BJ19" s="345">
        <f>SUM(BH19:BI19)</f>
        <v>2246</v>
      </c>
    </row>
    <row r="20" spans="2:62" s="38" customFormat="1" ht="14.4" x14ac:dyDescent="0.25">
      <c r="B20" s="162"/>
      <c r="C20" s="342"/>
      <c r="D20" s="342"/>
      <c r="E20" s="342"/>
      <c r="F20" s="342"/>
      <c r="G20" s="342"/>
      <c r="H20" s="342"/>
      <c r="I20" s="342"/>
      <c r="J20" s="342"/>
      <c r="K20" s="342"/>
      <c r="L20" s="342"/>
      <c r="M20" s="342"/>
      <c r="N20" s="342"/>
      <c r="O20" s="342"/>
      <c r="P20" s="342"/>
      <c r="Q20" s="342"/>
      <c r="R20" s="342"/>
      <c r="S20" s="342"/>
      <c r="T20" s="342"/>
      <c r="U20" s="342"/>
      <c r="V20" s="342"/>
      <c r="W20" s="342"/>
      <c r="X20" s="342"/>
      <c r="Y20" s="342"/>
      <c r="Z20" s="342"/>
      <c r="AA20" s="342"/>
      <c r="AB20" s="342"/>
      <c r="AC20" s="342"/>
      <c r="AD20" s="342"/>
      <c r="AE20" s="342"/>
      <c r="AF20" s="342"/>
      <c r="AG20" s="342"/>
      <c r="AH20" s="342"/>
      <c r="AI20" s="342"/>
      <c r="AJ20" s="342"/>
      <c r="AK20" s="342"/>
      <c r="AL20" s="342"/>
      <c r="AM20" s="342"/>
      <c r="AN20" s="342"/>
      <c r="AO20" s="342"/>
      <c r="AP20" s="342"/>
      <c r="AQ20" s="342"/>
      <c r="AR20" s="342"/>
      <c r="AS20" s="342"/>
      <c r="AT20" s="342"/>
      <c r="AU20" s="342"/>
      <c r="AV20" s="342"/>
      <c r="AW20" s="342"/>
      <c r="AX20" s="342"/>
      <c r="AY20" s="342"/>
      <c r="AZ20" s="342"/>
      <c r="BA20" s="342"/>
      <c r="BB20" s="342"/>
      <c r="BC20" s="342"/>
      <c r="BD20" s="342"/>
      <c r="BE20" s="342"/>
      <c r="BF20" s="342"/>
      <c r="BG20" s="342"/>
      <c r="BH20" s="342"/>
      <c r="BI20" s="342"/>
      <c r="BJ20" s="342"/>
    </row>
    <row r="21" spans="2:62" s="38" customFormat="1" ht="15" customHeight="1" x14ac:dyDescent="0.25">
      <c r="B21" s="150" t="s">
        <v>59</v>
      </c>
      <c r="C21" s="151"/>
      <c r="D21" s="152"/>
      <c r="E21" s="103"/>
      <c r="F21" s="152"/>
      <c r="G21" s="152"/>
      <c r="H21" s="153"/>
      <c r="I21" s="151"/>
      <c r="J21" s="152"/>
      <c r="K21" s="103"/>
      <c r="L21" s="151"/>
      <c r="M21" s="152"/>
      <c r="N21" s="103"/>
      <c r="O21" s="152"/>
      <c r="P21" s="152"/>
      <c r="Q21" s="153"/>
      <c r="R21" s="151"/>
      <c r="S21" s="152"/>
      <c r="T21" s="103"/>
      <c r="U21" s="152"/>
      <c r="V21" s="152"/>
      <c r="W21" s="152"/>
      <c r="X21" s="151"/>
      <c r="Y21" s="152"/>
      <c r="Z21" s="103"/>
      <c r="AA21" s="151">
        <v>26</v>
      </c>
      <c r="AB21" s="152">
        <v>33</v>
      </c>
      <c r="AC21" s="103">
        <f>SUM(AA21:AB21)</f>
        <v>59</v>
      </c>
      <c r="AD21" s="151"/>
      <c r="AE21" s="152">
        <f>SUM('Inscritos plan'!AE94)</f>
        <v>30</v>
      </c>
      <c r="AF21" s="103">
        <f>SUM(AD21:AE21)</f>
        <v>30</v>
      </c>
      <c r="AG21" s="151">
        <f>SUM('Inscritos plan'!AG94)</f>
        <v>26</v>
      </c>
      <c r="AH21" s="152">
        <f>SUM('Inscritos plan'!AH94)</f>
        <v>26</v>
      </c>
      <c r="AI21" s="103">
        <f>SUM(AG21:AH21)</f>
        <v>52</v>
      </c>
      <c r="AJ21" s="151">
        <f>SUM('Inscritos plan'!AJ94)</f>
        <v>21</v>
      </c>
      <c r="AK21" s="152">
        <f>SUM('Inscritos plan'!AK94)</f>
        <v>28</v>
      </c>
      <c r="AL21" s="103">
        <f>SUM(AJ21:AK21)</f>
        <v>49</v>
      </c>
      <c r="AM21" s="151">
        <f>SUM('Inscritos plan'!AM94)</f>
        <v>22</v>
      </c>
      <c r="AN21" s="152">
        <f>SUM('Inscritos plan'!AN94)</f>
        <v>46</v>
      </c>
      <c r="AO21" s="103">
        <f>SUM(AM21:AN21)</f>
        <v>68</v>
      </c>
      <c r="AP21" s="151">
        <f>SUM('Inscritos plan'!AP94)</f>
        <v>18</v>
      </c>
      <c r="AQ21" s="152">
        <f>SUM('Inscritos plan'!AQ94)</f>
        <v>34</v>
      </c>
      <c r="AR21" s="103">
        <f>SUM(AP21:AQ21)</f>
        <v>52</v>
      </c>
      <c r="AS21" s="151">
        <f>SUM('Inscritos plan'!AS94:AS95)</f>
        <v>53</v>
      </c>
      <c r="AT21" s="152">
        <f>SUM('Inscritos plan'!AT94:AT95)</f>
        <v>58</v>
      </c>
      <c r="AU21" s="103">
        <f>SUM(AS21:AT21)</f>
        <v>111</v>
      </c>
      <c r="AV21" s="151">
        <f>SUM('Inscritos plan'!AV94:AV95)</f>
        <v>0</v>
      </c>
      <c r="AW21" s="152">
        <f>SUM('Inscritos plan'!AW94:AW96)</f>
        <v>108</v>
      </c>
      <c r="AX21" s="103">
        <f>SUM(AV21:AW21)</f>
        <v>108</v>
      </c>
      <c r="AY21" s="151">
        <f>SUM('Inscritos plan'!AY94:AY95)</f>
        <v>0</v>
      </c>
      <c r="AZ21" s="152">
        <f>SUM('Inscritos plan'!AZ94:AZ96)</f>
        <v>143</v>
      </c>
      <c r="BA21" s="103">
        <f>SUM(AY21:AZ21)</f>
        <v>143</v>
      </c>
      <c r="BB21" s="151">
        <f>SUM('Inscritos plan'!BB94:BB95)</f>
        <v>0</v>
      </c>
      <c r="BC21" s="152">
        <f>SUM('Inscritos plan'!BC94:BC96)</f>
        <v>130</v>
      </c>
      <c r="BD21" s="103">
        <f>SUM(BB21:BC21)</f>
        <v>130</v>
      </c>
      <c r="BE21" s="151">
        <f>SUM('Inscritos plan'!BE94:BE95)</f>
        <v>0</v>
      </c>
      <c r="BF21" s="152">
        <f>SUM('Inscritos plan'!BF94:BF96)</f>
        <v>120</v>
      </c>
      <c r="BG21" s="103">
        <f>SUM(BE21:BF21)</f>
        <v>120</v>
      </c>
      <c r="BH21" s="151">
        <f>SUM('Inscritos plan'!BH94:BH95)</f>
        <v>0</v>
      </c>
      <c r="BI21" s="152">
        <f>SUM('Inscritos plan'!BI94:BI96)</f>
        <v>142</v>
      </c>
      <c r="BJ21" s="103">
        <f>SUM(BH21:BI21)</f>
        <v>142</v>
      </c>
    </row>
    <row r="22" spans="2:62" s="38" customFormat="1" ht="15" customHeight="1" x14ac:dyDescent="0.25">
      <c r="B22" s="154" t="s">
        <v>64</v>
      </c>
      <c r="C22" s="129"/>
      <c r="D22" s="130"/>
      <c r="E22" s="110"/>
      <c r="F22" s="130"/>
      <c r="G22" s="130"/>
      <c r="H22" s="155"/>
      <c r="I22" s="129"/>
      <c r="J22" s="130"/>
      <c r="K22" s="110"/>
      <c r="L22" s="129"/>
      <c r="M22" s="130"/>
      <c r="N22" s="110"/>
      <c r="O22" s="130"/>
      <c r="P22" s="130"/>
      <c r="Q22" s="155"/>
      <c r="R22" s="129"/>
      <c r="S22" s="130"/>
      <c r="T22" s="110"/>
      <c r="U22" s="130"/>
      <c r="V22" s="130"/>
      <c r="W22" s="130"/>
      <c r="X22" s="129"/>
      <c r="Y22" s="130"/>
      <c r="Z22" s="110"/>
      <c r="AA22" s="129">
        <v>29</v>
      </c>
      <c r="AB22" s="130">
        <v>29</v>
      </c>
      <c r="AC22" s="110">
        <f>SUM(AA22:AB22)</f>
        <v>58</v>
      </c>
      <c r="AD22" s="129"/>
      <c r="AE22" s="130">
        <f>SUM('Inscritos plan'!AE98)</f>
        <v>33</v>
      </c>
      <c r="AF22" s="110">
        <f>SUM(AD22:AE22)</f>
        <v>33</v>
      </c>
      <c r="AG22" s="129">
        <f>SUM('Inscritos plan'!AG98)</f>
        <v>22</v>
      </c>
      <c r="AH22" s="130">
        <f>SUM('Inscritos plan'!AH98:AH99)</f>
        <v>47</v>
      </c>
      <c r="AI22" s="110">
        <f>SUM(AG22:AH22)</f>
        <v>69</v>
      </c>
      <c r="AJ22" s="129">
        <f>SUM('Inscritos plan'!AJ98)</f>
        <v>0</v>
      </c>
      <c r="AK22" s="130">
        <f>SUM('Inscritos plan'!AK98:AK99)</f>
        <v>48</v>
      </c>
      <c r="AL22" s="110">
        <f>SUM(AJ22:AK22)</f>
        <v>48</v>
      </c>
      <c r="AM22" s="129">
        <f>SUM('Inscritos plan'!AM98)</f>
        <v>0</v>
      </c>
      <c r="AN22" s="130">
        <f>SUM('Inscritos plan'!AN98:AN99)</f>
        <v>55</v>
      </c>
      <c r="AO22" s="110">
        <f>SUM(AM22:AN22)</f>
        <v>55</v>
      </c>
      <c r="AP22" s="129">
        <f>SUM('Inscritos plan'!AP98)</f>
        <v>31</v>
      </c>
      <c r="AQ22" s="130">
        <f>SUM('Inscritos plan'!AQ98:AQ99)</f>
        <v>58</v>
      </c>
      <c r="AR22" s="110">
        <f>SUM(AP22:AQ22)</f>
        <v>89</v>
      </c>
      <c r="AS22" s="129">
        <f>SUM('Inscritos plan'!AS98)</f>
        <v>27</v>
      </c>
      <c r="AT22" s="130">
        <f>SUM('Inscritos plan'!AT98:AT99)</f>
        <v>69</v>
      </c>
      <c r="AU22" s="110">
        <f>SUM(AS22:AT22)</f>
        <v>96</v>
      </c>
      <c r="AV22" s="129">
        <f>SUM('Inscritos plan'!AV98:AV100)</f>
        <v>49</v>
      </c>
      <c r="AW22" s="130">
        <f>SUM('Inscritos plan'!AW98:AW100)</f>
        <v>86</v>
      </c>
      <c r="AX22" s="110">
        <f>SUM(AV22:AW22)</f>
        <v>135</v>
      </c>
      <c r="AY22" s="129">
        <f>SUM('Inscritos plan'!AY98:AY100)</f>
        <v>30</v>
      </c>
      <c r="AZ22" s="130">
        <f>SUM('Inscritos plan'!AZ98:AZ100)</f>
        <v>90</v>
      </c>
      <c r="BA22" s="110">
        <f>SUM(AY22:AZ22)</f>
        <v>120</v>
      </c>
      <c r="BB22" s="129">
        <f>SUM('Inscritos plan'!BB98:BB100)</f>
        <v>29</v>
      </c>
      <c r="BC22" s="130">
        <f>SUM('Inscritos plan'!BC98:BC100)</f>
        <v>105</v>
      </c>
      <c r="BD22" s="110">
        <f>SUM(BB22:BC22)</f>
        <v>134</v>
      </c>
      <c r="BE22" s="129">
        <f>SUM('Inscritos plan'!BE98:BE100)</f>
        <v>32</v>
      </c>
      <c r="BF22" s="130">
        <f>SUM('Inscritos plan'!BF98:BF100)</f>
        <v>97</v>
      </c>
      <c r="BG22" s="110">
        <f>SUM(BE22:BF22)</f>
        <v>129</v>
      </c>
      <c r="BH22" s="129">
        <f>SUM('Inscritos plan'!BH98:BH100)</f>
        <v>31</v>
      </c>
      <c r="BI22" s="130">
        <f>SUM('Inscritos plan'!BI98:BI100)</f>
        <v>86</v>
      </c>
      <c r="BJ22" s="110">
        <f>SUM(BH22:BI22)</f>
        <v>117</v>
      </c>
    </row>
    <row r="23" spans="2:62" s="38" customFormat="1" ht="15" customHeight="1" x14ac:dyDescent="0.25">
      <c r="B23" s="154" t="s">
        <v>92</v>
      </c>
      <c r="C23" s="196"/>
      <c r="D23" s="197"/>
      <c r="E23" s="117"/>
      <c r="F23" s="197"/>
      <c r="G23" s="197"/>
      <c r="H23" s="198"/>
      <c r="I23" s="196"/>
      <c r="J23" s="197"/>
      <c r="K23" s="117"/>
      <c r="L23" s="196"/>
      <c r="M23" s="197"/>
      <c r="N23" s="117"/>
      <c r="O23" s="197"/>
      <c r="P23" s="197"/>
      <c r="Q23" s="198"/>
      <c r="R23" s="196"/>
      <c r="S23" s="197"/>
      <c r="T23" s="117"/>
      <c r="U23" s="197"/>
      <c r="V23" s="197"/>
      <c r="W23" s="197"/>
      <c r="X23" s="196"/>
      <c r="Y23" s="197"/>
      <c r="Z23" s="117"/>
      <c r="AA23" s="196">
        <v>30</v>
      </c>
      <c r="AB23" s="197">
        <v>26</v>
      </c>
      <c r="AC23" s="117">
        <f>SUM(AA23:AB23)</f>
        <v>56</v>
      </c>
      <c r="AD23" s="196"/>
      <c r="AE23" s="197">
        <f>SUM('Inscritos plan'!AE102)</f>
        <v>26</v>
      </c>
      <c r="AF23" s="117">
        <f>SUM(AD23:AE23)</f>
        <v>26</v>
      </c>
      <c r="AG23" s="196">
        <f>SUM('Inscritos plan'!AG102)</f>
        <v>19</v>
      </c>
      <c r="AH23" s="197">
        <f>SUM('Inscritos plan'!AH102)</f>
        <v>36</v>
      </c>
      <c r="AI23" s="117">
        <f>SUM(AG23:AH23)</f>
        <v>55</v>
      </c>
      <c r="AJ23" s="196">
        <f>SUM('Inscritos plan'!AJ102)</f>
        <v>30</v>
      </c>
      <c r="AK23" s="197">
        <f>SUM('Inscritos plan'!AK102)</f>
        <v>17</v>
      </c>
      <c r="AL23" s="117">
        <f>SUM(AJ23:AK23)</f>
        <v>47</v>
      </c>
      <c r="AM23" s="196">
        <f>SUM('Inscritos plan'!AM102)</f>
        <v>37</v>
      </c>
      <c r="AN23" s="197">
        <f>SUM('Inscritos plan'!AN102)</f>
        <v>41</v>
      </c>
      <c r="AO23" s="117">
        <f>SUM(AM23:AN23)</f>
        <v>78</v>
      </c>
      <c r="AP23" s="196">
        <f>SUM('Inscritos plan'!AP102)</f>
        <v>31</v>
      </c>
      <c r="AQ23" s="197">
        <f>SUM('Inscritos plan'!AQ102)</f>
        <v>50</v>
      </c>
      <c r="AR23" s="117">
        <f>SUM(AP23:AQ23)</f>
        <v>81</v>
      </c>
      <c r="AS23" s="196">
        <f>SUM('Inscritos plan'!AS102:AS103)</f>
        <v>34</v>
      </c>
      <c r="AT23" s="197">
        <f>SUM('Inscritos plan'!AT102:AT103)</f>
        <v>61</v>
      </c>
      <c r="AU23" s="117">
        <f>SUM(AS23:AT23)</f>
        <v>95</v>
      </c>
      <c r="AV23" s="196">
        <f>SUM('Inscritos plan'!AV102:AV103)</f>
        <v>0</v>
      </c>
      <c r="AW23" s="197">
        <f>SUM('Inscritos plan'!AW102:AW104)</f>
        <v>102</v>
      </c>
      <c r="AX23" s="117">
        <f>SUM(AV23:AW23)</f>
        <v>102</v>
      </c>
      <c r="AY23" s="196">
        <f>SUM('Inscritos plan'!AY102:AY103)</f>
        <v>0</v>
      </c>
      <c r="AZ23" s="197">
        <f>SUM('Inscritos plan'!AZ102:AZ104)</f>
        <v>115</v>
      </c>
      <c r="BA23" s="117">
        <f>SUM(AY23:AZ23)</f>
        <v>115</v>
      </c>
      <c r="BB23" s="196">
        <f>SUM('Inscritos plan'!BB102:BB103)</f>
        <v>0</v>
      </c>
      <c r="BC23" s="197">
        <f>SUM('Inscritos plan'!BC102:BC104)</f>
        <v>118</v>
      </c>
      <c r="BD23" s="117">
        <f>SUM(BB23:BC23)</f>
        <v>118</v>
      </c>
      <c r="BE23" s="196">
        <f>SUM('Inscritos plan'!BE102:BE103)</f>
        <v>0</v>
      </c>
      <c r="BF23" s="197">
        <f>SUM('Inscritos plan'!BF102:BF104)</f>
        <v>122</v>
      </c>
      <c r="BG23" s="117">
        <f>SUM(BE23:BF23)</f>
        <v>122</v>
      </c>
      <c r="BH23" s="196">
        <f>SUM('Inscritos plan'!BH102:BH103)</f>
        <v>0</v>
      </c>
      <c r="BI23" s="197">
        <f>SUM('Inscritos plan'!BI102:BI104)</f>
        <v>119</v>
      </c>
      <c r="BJ23" s="117">
        <f>SUM(BH23:BI23)</f>
        <v>119</v>
      </c>
    </row>
    <row r="24" spans="2:62" s="161" customFormat="1" ht="15" customHeight="1" x14ac:dyDescent="0.25">
      <c r="B24" s="178" t="s">
        <v>136</v>
      </c>
      <c r="C24" s="179"/>
      <c r="D24" s="180"/>
      <c r="E24" s="181"/>
      <c r="F24" s="180"/>
      <c r="G24" s="180"/>
      <c r="H24" s="180"/>
      <c r="I24" s="179"/>
      <c r="J24" s="180"/>
      <c r="K24" s="181"/>
      <c r="L24" s="179"/>
      <c r="M24" s="180"/>
      <c r="N24" s="181"/>
      <c r="O24" s="180"/>
      <c r="P24" s="180"/>
      <c r="Q24" s="180"/>
      <c r="R24" s="179"/>
      <c r="S24" s="180"/>
      <c r="T24" s="181"/>
      <c r="U24" s="180"/>
      <c r="V24" s="180"/>
      <c r="W24" s="180"/>
      <c r="X24" s="179"/>
      <c r="Y24" s="180"/>
      <c r="Z24" s="181"/>
      <c r="AA24" s="179">
        <f>SUM(AA21:AA23)</f>
        <v>85</v>
      </c>
      <c r="AB24" s="180">
        <f>SUM(AB21:AB23)</f>
        <v>88</v>
      </c>
      <c r="AC24" s="181">
        <f>SUM(AA24:AB24)</f>
        <v>173</v>
      </c>
      <c r="AD24" s="179"/>
      <c r="AE24" s="180">
        <f>SUM(AE21:AE23)</f>
        <v>89</v>
      </c>
      <c r="AF24" s="181">
        <f>SUM(AD24:AE24)</f>
        <v>89</v>
      </c>
      <c r="AG24" s="179">
        <f>SUM(AG21:AG23)</f>
        <v>67</v>
      </c>
      <c r="AH24" s="180">
        <f>SUM(AH21:AH23)</f>
        <v>109</v>
      </c>
      <c r="AI24" s="181">
        <f>SUM(AG24:AH24)</f>
        <v>176</v>
      </c>
      <c r="AJ24" s="179">
        <f>SUM(AJ21:AJ23)</f>
        <v>51</v>
      </c>
      <c r="AK24" s="180">
        <f>SUM(AK21:AK23)</f>
        <v>93</v>
      </c>
      <c r="AL24" s="181">
        <f>SUM(AJ24:AK24)</f>
        <v>144</v>
      </c>
      <c r="AM24" s="179">
        <f>SUM(AM21:AM23)</f>
        <v>59</v>
      </c>
      <c r="AN24" s="180">
        <f>SUM(AN21:AN23)</f>
        <v>142</v>
      </c>
      <c r="AO24" s="181">
        <f>SUM(AM24:AN24)</f>
        <v>201</v>
      </c>
      <c r="AP24" s="179">
        <f>SUM(AP21:AP23)</f>
        <v>80</v>
      </c>
      <c r="AQ24" s="180">
        <f>SUM(AQ21:AQ23)</f>
        <v>142</v>
      </c>
      <c r="AR24" s="181">
        <f>SUM(AP24:AQ24)</f>
        <v>222</v>
      </c>
      <c r="AS24" s="179">
        <f>SUM(AS21:AS23)</f>
        <v>114</v>
      </c>
      <c r="AT24" s="180">
        <f>SUM(AT21:AT23)</f>
        <v>188</v>
      </c>
      <c r="AU24" s="181">
        <f>SUM(AS24:AT24)</f>
        <v>302</v>
      </c>
      <c r="AV24" s="179">
        <f>SUM(AV21:AV23)</f>
        <v>49</v>
      </c>
      <c r="AW24" s="180">
        <f>SUM(AW21:AW23)</f>
        <v>296</v>
      </c>
      <c r="AX24" s="181">
        <f>SUM(AV24:AW24)</f>
        <v>345</v>
      </c>
      <c r="AY24" s="179">
        <f>SUM(AY21:AY23)</f>
        <v>30</v>
      </c>
      <c r="AZ24" s="180">
        <f>SUM(AZ21:AZ23)</f>
        <v>348</v>
      </c>
      <c r="BA24" s="181">
        <f>SUM(AY24:AZ24)</f>
        <v>378</v>
      </c>
      <c r="BB24" s="179">
        <f>SUM(BB21:BB23)</f>
        <v>29</v>
      </c>
      <c r="BC24" s="180">
        <f>SUM(BC21:BC23)</f>
        <v>353</v>
      </c>
      <c r="BD24" s="181">
        <f>SUM(BB24:BC24)</f>
        <v>382</v>
      </c>
      <c r="BE24" s="179">
        <f>SUM(BE21:BE23)</f>
        <v>32</v>
      </c>
      <c r="BF24" s="180">
        <f>SUM(BF21:BF23)</f>
        <v>339</v>
      </c>
      <c r="BG24" s="181">
        <f>SUM(BE24:BF24)</f>
        <v>371</v>
      </c>
      <c r="BH24" s="179">
        <f>SUM(BH21:BH23)</f>
        <v>31</v>
      </c>
      <c r="BI24" s="180">
        <f>SUM(BI21:BI23)</f>
        <v>347</v>
      </c>
      <c r="BJ24" s="181">
        <f>SUM(BH24:BI24)</f>
        <v>378</v>
      </c>
    </row>
    <row r="25" spans="2:62" s="161" customFormat="1" ht="14.4" x14ac:dyDescent="0.25">
      <c r="B25" s="170"/>
      <c r="C25" s="171"/>
      <c r="D25" s="171"/>
      <c r="E25" s="171"/>
      <c r="F25" s="171"/>
      <c r="G25" s="171"/>
      <c r="H25" s="171"/>
      <c r="I25" s="171"/>
      <c r="J25" s="171"/>
      <c r="K25" s="171"/>
      <c r="L25" s="171"/>
      <c r="M25" s="171"/>
      <c r="N25" s="171"/>
      <c r="O25" s="171"/>
      <c r="P25" s="171"/>
      <c r="Q25" s="171"/>
      <c r="R25" s="171"/>
      <c r="S25" s="171"/>
      <c r="T25" s="171"/>
      <c r="U25" s="171"/>
      <c r="V25" s="171"/>
      <c r="W25" s="171"/>
      <c r="X25" s="171"/>
      <c r="Y25" s="171"/>
      <c r="Z25" s="171"/>
      <c r="AA25" s="171"/>
      <c r="AB25" s="171"/>
      <c r="AC25" s="171"/>
      <c r="AD25" s="171"/>
      <c r="AE25" s="171"/>
      <c r="AF25" s="171"/>
      <c r="AG25" s="171"/>
      <c r="AH25" s="171"/>
      <c r="AI25" s="171"/>
      <c r="AJ25" s="171"/>
      <c r="AK25" s="171"/>
      <c r="AL25" s="171"/>
      <c r="AM25" s="171"/>
      <c r="AN25" s="171"/>
      <c r="AO25" s="171"/>
      <c r="AP25" s="171"/>
      <c r="AQ25" s="171"/>
      <c r="AR25" s="171"/>
      <c r="AS25" s="171"/>
      <c r="AT25" s="171"/>
      <c r="AU25" s="171"/>
      <c r="AV25" s="171"/>
      <c r="AW25" s="171"/>
      <c r="AX25" s="171"/>
      <c r="AY25" s="171"/>
      <c r="AZ25" s="171"/>
      <c r="BA25" s="171"/>
      <c r="BB25" s="171"/>
      <c r="BC25" s="171"/>
      <c r="BD25" s="171"/>
      <c r="BE25" s="171"/>
      <c r="BF25" s="171"/>
      <c r="BG25" s="171"/>
      <c r="BH25" s="171"/>
      <c r="BI25" s="171"/>
      <c r="BJ25" s="171"/>
    </row>
    <row r="26" spans="2:62" s="161" customFormat="1" ht="15" customHeight="1" x14ac:dyDescent="0.25">
      <c r="B26" s="150" t="s">
        <v>64</v>
      </c>
      <c r="C26" s="151">
        <v>631</v>
      </c>
      <c r="D26" s="152">
        <v>675</v>
      </c>
      <c r="E26" s="153">
        <v>1306</v>
      </c>
      <c r="F26" s="151">
        <v>839</v>
      </c>
      <c r="G26" s="152">
        <v>734</v>
      </c>
      <c r="H26" s="153">
        <v>1573</v>
      </c>
      <c r="I26" s="151">
        <v>768</v>
      </c>
      <c r="J26" s="152">
        <v>684</v>
      </c>
      <c r="K26" s="103">
        <v>1452</v>
      </c>
      <c r="L26" s="152">
        <v>631</v>
      </c>
      <c r="M26" s="152">
        <v>647</v>
      </c>
      <c r="N26" s="103">
        <v>1278</v>
      </c>
      <c r="O26" s="152">
        <v>702</v>
      </c>
      <c r="P26" s="152">
        <v>653</v>
      </c>
      <c r="Q26" s="103">
        <v>1355</v>
      </c>
      <c r="R26" s="152">
        <v>695</v>
      </c>
      <c r="S26" s="152">
        <v>655</v>
      </c>
      <c r="T26" s="103">
        <v>1350</v>
      </c>
      <c r="U26" s="151">
        <v>643</v>
      </c>
      <c r="V26" s="152">
        <v>603</v>
      </c>
      <c r="W26" s="395">
        <v>1246</v>
      </c>
      <c r="X26" s="151">
        <v>654</v>
      </c>
      <c r="Y26" s="152">
        <v>652</v>
      </c>
      <c r="Z26" s="103">
        <f>SUM(X26:Y26)</f>
        <v>1306</v>
      </c>
      <c r="AA26" s="151">
        <v>650</v>
      </c>
      <c r="AB26" s="152">
        <v>612</v>
      </c>
      <c r="AC26" s="103">
        <f>SUM(AA26:AB26)</f>
        <v>1262</v>
      </c>
      <c r="AD26" s="151">
        <f>SUM('Inscritos plan'!AD57:AD62)</f>
        <v>646</v>
      </c>
      <c r="AE26" s="152">
        <f>SUM('Inscritos plan'!AE57:AE62)</f>
        <v>659</v>
      </c>
      <c r="AF26" s="103">
        <f>SUM(AD26:AE26)</f>
        <v>1305</v>
      </c>
      <c r="AG26" s="151">
        <f>SUM('Inscritos plan'!AG57:AG62)</f>
        <v>630</v>
      </c>
      <c r="AH26" s="152">
        <f>SUM('Inscritos plan'!AH57:AH62)</f>
        <v>649</v>
      </c>
      <c r="AI26" s="103">
        <f>SUM(AG26:AH26)</f>
        <v>1279</v>
      </c>
      <c r="AJ26" s="151">
        <f>SUM('Inscritos plan'!AJ57:AJ62)</f>
        <v>708</v>
      </c>
      <c r="AK26" s="152">
        <f>SUM('Inscritos plan'!AK57:AK62)</f>
        <v>649</v>
      </c>
      <c r="AL26" s="103">
        <f>SUM(AJ26:AK26)</f>
        <v>1357</v>
      </c>
      <c r="AM26" s="151">
        <f>SUM('Inscritos plan'!AM57:AM62)</f>
        <v>671</v>
      </c>
      <c r="AN26" s="152">
        <f>SUM('Inscritos plan'!AN57:AN62)</f>
        <v>649</v>
      </c>
      <c r="AO26" s="103">
        <f>SUM(AM26:AN26)</f>
        <v>1320</v>
      </c>
      <c r="AP26" s="151">
        <f>SUM('Inscritos plan'!AP57:AP62)</f>
        <v>660</v>
      </c>
      <c r="AQ26" s="152">
        <f>SUM('Inscritos plan'!AQ57:AQ62)</f>
        <v>728</v>
      </c>
      <c r="AR26" s="103">
        <f>SUM(AP26:AQ26)</f>
        <v>1388</v>
      </c>
      <c r="AS26" s="151">
        <f>SUM('Inscritos plan'!AS57:AS62)</f>
        <v>708</v>
      </c>
      <c r="AT26" s="152">
        <f>SUM('Inscritos plan'!AT57:AT62)</f>
        <v>679</v>
      </c>
      <c r="AU26" s="103">
        <f>SUM(AS26:AT26)</f>
        <v>1387</v>
      </c>
      <c r="AV26" s="151">
        <f>SUM('Inscritos plan'!AV57:AV62)</f>
        <v>681</v>
      </c>
      <c r="AW26" s="152">
        <f>SUM('Inscritos plan'!AW57:AW62)</f>
        <v>670</v>
      </c>
      <c r="AX26" s="103">
        <f>SUM(AV26:AW26)</f>
        <v>1351</v>
      </c>
      <c r="AY26" s="151">
        <f>SUM('Inscritos plan'!AY57:AY62)</f>
        <v>702</v>
      </c>
      <c r="AZ26" s="152">
        <f>SUM('Inscritos plan'!AZ57:AZ62)</f>
        <v>728</v>
      </c>
      <c r="BA26" s="103">
        <f>SUM(AY26:AZ26)</f>
        <v>1430</v>
      </c>
      <c r="BB26" s="151">
        <f>SUM('Inscritos plan'!BB57:BB62)</f>
        <v>690</v>
      </c>
      <c r="BC26" s="152">
        <f>SUM('Inscritos plan'!BC57:BC62)</f>
        <v>694</v>
      </c>
      <c r="BD26" s="103">
        <f>SUM(BB26:BC26)</f>
        <v>1384</v>
      </c>
      <c r="BE26" s="151">
        <f>SUM('Inscritos plan'!BE57:BE62)</f>
        <v>638</v>
      </c>
      <c r="BF26" s="152">
        <f>SUM('Inscritos plan'!BF57:BF62)</f>
        <v>640</v>
      </c>
      <c r="BG26" s="103">
        <f>SUM(BE26:BF26)</f>
        <v>1278</v>
      </c>
      <c r="BH26" s="151">
        <f>SUM('Inscritos plan'!BH57:BH62)</f>
        <v>644</v>
      </c>
      <c r="BI26" s="152">
        <f>SUM('Inscritos plan'!BI57:BI62)</f>
        <v>687</v>
      </c>
      <c r="BJ26" s="103">
        <f>SUM(BH26:BI26)</f>
        <v>1331</v>
      </c>
    </row>
    <row r="27" spans="2:62" s="161" customFormat="1" ht="15" customHeight="1" x14ac:dyDescent="0.25">
      <c r="B27" s="154" t="s">
        <v>92</v>
      </c>
      <c r="C27" s="129">
        <v>769</v>
      </c>
      <c r="D27" s="130">
        <v>776</v>
      </c>
      <c r="E27" s="155">
        <v>1545</v>
      </c>
      <c r="F27" s="129">
        <v>975</v>
      </c>
      <c r="G27" s="130">
        <v>943</v>
      </c>
      <c r="H27" s="155">
        <v>1918</v>
      </c>
      <c r="I27" s="129">
        <v>960</v>
      </c>
      <c r="J27" s="130">
        <v>912</v>
      </c>
      <c r="K27" s="110">
        <v>1872</v>
      </c>
      <c r="L27" s="130">
        <v>915</v>
      </c>
      <c r="M27" s="130">
        <v>880</v>
      </c>
      <c r="N27" s="110">
        <v>1795</v>
      </c>
      <c r="O27" s="130">
        <v>836</v>
      </c>
      <c r="P27" s="130">
        <v>747</v>
      </c>
      <c r="Q27" s="110">
        <v>1583</v>
      </c>
      <c r="R27" s="130">
        <v>859</v>
      </c>
      <c r="S27" s="130">
        <v>783</v>
      </c>
      <c r="T27" s="110">
        <v>1642</v>
      </c>
      <c r="U27" s="129">
        <v>790</v>
      </c>
      <c r="V27" s="130">
        <v>749</v>
      </c>
      <c r="W27" s="396">
        <v>1539</v>
      </c>
      <c r="X27" s="129">
        <v>813</v>
      </c>
      <c r="Y27" s="130">
        <v>823</v>
      </c>
      <c r="Z27" s="110">
        <f>SUM(X27:Y27)</f>
        <v>1636</v>
      </c>
      <c r="AA27" s="129">
        <v>815</v>
      </c>
      <c r="AB27" s="130">
        <v>764</v>
      </c>
      <c r="AC27" s="110">
        <f>SUM(AA27:AB27)</f>
        <v>1579</v>
      </c>
      <c r="AD27" s="129">
        <f>SUM('Inscritos plan'!AD64:AD71)</f>
        <v>795</v>
      </c>
      <c r="AE27" s="130">
        <f>SUM('Inscritos plan'!AE64:AE71)</f>
        <v>781</v>
      </c>
      <c r="AF27" s="110">
        <f>SUM(AD27:AE27)</f>
        <v>1576</v>
      </c>
      <c r="AG27" s="129">
        <f>SUM('Inscritos plan'!AG64:AG71)</f>
        <v>846</v>
      </c>
      <c r="AH27" s="130">
        <f>SUM('Inscritos plan'!AH64:AH71)</f>
        <v>814</v>
      </c>
      <c r="AI27" s="110">
        <f>SUM(AG27:AH27)</f>
        <v>1660</v>
      </c>
      <c r="AJ27" s="129">
        <f>SUM('Inscritos plan'!AJ64:AJ71)</f>
        <v>864</v>
      </c>
      <c r="AK27" s="130">
        <f>SUM('Inscritos plan'!AK64:AK71)</f>
        <v>810</v>
      </c>
      <c r="AL27" s="110">
        <f>SUM(AJ27:AK27)</f>
        <v>1674</v>
      </c>
      <c r="AM27" s="129">
        <f>SUM('Inscritos plan'!AM64:AM71)</f>
        <v>851</v>
      </c>
      <c r="AN27" s="130">
        <f>SUM('Inscritos plan'!AN64:AN71)</f>
        <v>833</v>
      </c>
      <c r="AO27" s="110">
        <f>SUM(AM27:AN27)</f>
        <v>1684</v>
      </c>
      <c r="AP27" s="129">
        <f>SUM('Inscritos plan'!AP64:AP71)</f>
        <v>864</v>
      </c>
      <c r="AQ27" s="130">
        <f>SUM('Inscritos plan'!AQ64:AQ71)</f>
        <v>896</v>
      </c>
      <c r="AR27" s="110">
        <f>SUM(AP27:AQ27)</f>
        <v>1760</v>
      </c>
      <c r="AS27" s="129">
        <f>SUM('Inscritos plan'!AS64:AS71)</f>
        <v>894</v>
      </c>
      <c r="AT27" s="130">
        <f>SUM('Inscritos plan'!AT64:AT71)</f>
        <v>866</v>
      </c>
      <c r="AU27" s="110">
        <f>SUM(AS27:AT27)</f>
        <v>1760</v>
      </c>
      <c r="AV27" s="129">
        <f>SUM('Inscritos plan'!AV64:AV71)</f>
        <v>880</v>
      </c>
      <c r="AW27" s="130">
        <f>SUM('Inscritos plan'!AW64:AW71)</f>
        <v>858</v>
      </c>
      <c r="AX27" s="110">
        <f>SUM(AV27:AW27)</f>
        <v>1738</v>
      </c>
      <c r="AY27" s="129">
        <f>SUM('Inscritos plan'!AY64:AY71)</f>
        <v>824</v>
      </c>
      <c r="AZ27" s="130">
        <f>SUM('Inscritos plan'!AZ64:AZ71)</f>
        <v>861</v>
      </c>
      <c r="BA27" s="110">
        <f>SUM(AY27:AZ27)</f>
        <v>1685</v>
      </c>
      <c r="BB27" s="129">
        <f>SUM('Inscritos plan'!BB64:BB71)</f>
        <v>838</v>
      </c>
      <c r="BC27" s="130">
        <f>SUM('Inscritos plan'!BC64:BC71)</f>
        <v>858</v>
      </c>
      <c r="BD27" s="110">
        <f>SUM(BB27:BC27)</f>
        <v>1696</v>
      </c>
      <c r="BE27" s="129">
        <f>SUM('Inscritos plan'!BE64:BE71)</f>
        <v>826</v>
      </c>
      <c r="BF27" s="130">
        <f>SUM('Inscritos plan'!BF64:BF71)</f>
        <v>838</v>
      </c>
      <c r="BG27" s="110">
        <f>SUM(BE27:BF27)</f>
        <v>1664</v>
      </c>
      <c r="BH27" s="129">
        <f>SUM('Inscritos plan'!BH64:BH71)</f>
        <v>871</v>
      </c>
      <c r="BI27" s="130">
        <f>SUM('Inscritos plan'!BI64:BI71)</f>
        <v>837</v>
      </c>
      <c r="BJ27" s="110">
        <f>SUM(BH27:BI27)</f>
        <v>1708</v>
      </c>
    </row>
    <row r="28" spans="2:62" s="161" customFormat="1" ht="15" customHeight="1" x14ac:dyDescent="0.25">
      <c r="B28" s="154" t="s">
        <v>68</v>
      </c>
      <c r="C28" s="196">
        <v>350</v>
      </c>
      <c r="D28" s="197">
        <v>357</v>
      </c>
      <c r="E28" s="198">
        <v>707</v>
      </c>
      <c r="F28" s="196">
        <v>366</v>
      </c>
      <c r="G28" s="197">
        <v>384</v>
      </c>
      <c r="H28" s="198">
        <v>750</v>
      </c>
      <c r="I28" s="196">
        <v>373</v>
      </c>
      <c r="J28" s="197">
        <v>367</v>
      </c>
      <c r="K28" s="117">
        <v>740</v>
      </c>
      <c r="L28" s="197">
        <v>334</v>
      </c>
      <c r="M28" s="197">
        <v>332</v>
      </c>
      <c r="N28" s="117">
        <v>666</v>
      </c>
      <c r="O28" s="197">
        <v>350</v>
      </c>
      <c r="P28" s="197">
        <v>345</v>
      </c>
      <c r="Q28" s="117">
        <v>695</v>
      </c>
      <c r="R28" s="197">
        <v>356</v>
      </c>
      <c r="S28" s="197">
        <v>347</v>
      </c>
      <c r="T28" s="117">
        <v>703</v>
      </c>
      <c r="U28" s="196">
        <v>306</v>
      </c>
      <c r="V28" s="197">
        <v>308</v>
      </c>
      <c r="W28" s="397">
        <v>614</v>
      </c>
      <c r="X28" s="196">
        <v>313</v>
      </c>
      <c r="Y28" s="197">
        <v>308</v>
      </c>
      <c r="Z28" s="117">
        <f>SUM(X28:Y28)</f>
        <v>621</v>
      </c>
      <c r="AA28" s="196">
        <v>329</v>
      </c>
      <c r="AB28" s="197">
        <v>312</v>
      </c>
      <c r="AC28" s="117">
        <f>SUM(AA28:AB28)</f>
        <v>641</v>
      </c>
      <c r="AD28" s="196">
        <f>SUM('Inscritos plan'!AD73:AD76)</f>
        <v>313</v>
      </c>
      <c r="AE28" s="197">
        <f>SUM('Inscritos plan'!AE73:AE76)</f>
        <v>318</v>
      </c>
      <c r="AF28" s="117">
        <f>SUM(AD28:AE28)</f>
        <v>631</v>
      </c>
      <c r="AG28" s="196">
        <f>SUM('Inscritos plan'!AG73:AG76)</f>
        <v>316</v>
      </c>
      <c r="AH28" s="197">
        <f>SUM('Inscritos plan'!AH73:AH76)</f>
        <v>319</v>
      </c>
      <c r="AI28" s="117">
        <f>SUM(AG28:AH28)</f>
        <v>635</v>
      </c>
      <c r="AJ28" s="196">
        <f>SUM('Inscritos plan'!AJ73:AJ76)</f>
        <v>320</v>
      </c>
      <c r="AK28" s="197">
        <f>SUM('Inscritos plan'!AK73:AK76)</f>
        <v>305</v>
      </c>
      <c r="AL28" s="117">
        <f>SUM(AJ28:AK28)</f>
        <v>625</v>
      </c>
      <c r="AM28" s="196">
        <f>SUM('Inscritos plan'!AM73:AM76)</f>
        <v>330</v>
      </c>
      <c r="AN28" s="197">
        <f>SUM('Inscritos plan'!AN73:AN76)</f>
        <v>323</v>
      </c>
      <c r="AO28" s="117">
        <f>SUM(AM28:AN28)</f>
        <v>653</v>
      </c>
      <c r="AP28" s="196">
        <f>SUM('Inscritos plan'!AP73:AP76)</f>
        <v>323</v>
      </c>
      <c r="AQ28" s="197">
        <f>SUM('Inscritos plan'!AQ73:AQ76)</f>
        <v>344</v>
      </c>
      <c r="AR28" s="117">
        <f>SUM(AP28:AQ28)</f>
        <v>667</v>
      </c>
      <c r="AS28" s="196">
        <f>SUM('Inscritos plan'!AS73:AS76)</f>
        <v>322</v>
      </c>
      <c r="AT28" s="197">
        <f>SUM('Inscritos plan'!AT73:AT76)</f>
        <v>339</v>
      </c>
      <c r="AU28" s="117">
        <f>SUM(AS28:AT28)</f>
        <v>661</v>
      </c>
      <c r="AV28" s="196">
        <f>SUM('Inscritos plan'!AV73:AV76)</f>
        <v>331</v>
      </c>
      <c r="AW28" s="197">
        <f>SUM('Inscritos plan'!AW73:AW76)</f>
        <v>315</v>
      </c>
      <c r="AX28" s="117">
        <f>SUM(AV28:AW28)</f>
        <v>646</v>
      </c>
      <c r="AY28" s="196">
        <f>SUM('Inscritos plan'!AY73:AY76)</f>
        <v>329</v>
      </c>
      <c r="AZ28" s="197">
        <f>SUM('Inscritos plan'!AZ73:AZ76)</f>
        <v>337</v>
      </c>
      <c r="BA28" s="117">
        <f>SUM(AY28:AZ28)</f>
        <v>666</v>
      </c>
      <c r="BB28" s="196">
        <f>SUM('Inscritos plan'!BB73:BB76)</f>
        <v>329</v>
      </c>
      <c r="BC28" s="197">
        <f>SUM('Inscritos plan'!BC73:BC76)</f>
        <v>325</v>
      </c>
      <c r="BD28" s="117">
        <f>SUM(BB28:BC28)</f>
        <v>654</v>
      </c>
      <c r="BE28" s="196">
        <f>SUM('Inscritos plan'!BE73:BE76)</f>
        <v>299</v>
      </c>
      <c r="BF28" s="197">
        <f>SUM('Inscritos plan'!BF73:BF76)</f>
        <v>320</v>
      </c>
      <c r="BG28" s="117">
        <f>SUM(BE28:BF28)</f>
        <v>619</v>
      </c>
      <c r="BH28" s="196">
        <f>SUM('Inscritos plan'!BH73:BH76)</f>
        <v>316</v>
      </c>
      <c r="BI28" s="197">
        <f>SUM('Inscritos plan'!BI73:BI76)</f>
        <v>333</v>
      </c>
      <c r="BJ28" s="117">
        <f>SUM(BH28:BI28)</f>
        <v>649</v>
      </c>
    </row>
    <row r="29" spans="2:62" s="161" customFormat="1" ht="15" customHeight="1" x14ac:dyDescent="0.25">
      <c r="B29" s="188" t="s">
        <v>137</v>
      </c>
      <c r="C29" s="351">
        <v>1750</v>
      </c>
      <c r="D29" s="352">
        <v>1808</v>
      </c>
      <c r="E29" s="352">
        <v>3558</v>
      </c>
      <c r="F29" s="351">
        <v>2180</v>
      </c>
      <c r="G29" s="352">
        <v>2061</v>
      </c>
      <c r="H29" s="352">
        <v>4241</v>
      </c>
      <c r="I29" s="351">
        <v>2101</v>
      </c>
      <c r="J29" s="352">
        <v>1963</v>
      </c>
      <c r="K29" s="353">
        <v>4064</v>
      </c>
      <c r="L29" s="352">
        <v>1880</v>
      </c>
      <c r="M29" s="352">
        <v>1859</v>
      </c>
      <c r="N29" s="353">
        <v>3739</v>
      </c>
      <c r="O29" s="352">
        <v>1888</v>
      </c>
      <c r="P29" s="352">
        <v>1745</v>
      </c>
      <c r="Q29" s="353">
        <v>3633</v>
      </c>
      <c r="R29" s="352">
        <v>1910</v>
      </c>
      <c r="S29" s="352">
        <v>1785</v>
      </c>
      <c r="T29" s="353">
        <v>3695</v>
      </c>
      <c r="U29" s="351">
        <v>1739</v>
      </c>
      <c r="V29" s="352">
        <v>1660</v>
      </c>
      <c r="W29" s="353">
        <v>3399</v>
      </c>
      <c r="X29" s="351">
        <f>SUM(X26:X28)</f>
        <v>1780</v>
      </c>
      <c r="Y29" s="352">
        <v>1783</v>
      </c>
      <c r="Z29" s="353">
        <f>SUM(X29:Y29)</f>
        <v>3563</v>
      </c>
      <c r="AA29" s="351">
        <f>SUM(AA26:AA28)</f>
        <v>1794</v>
      </c>
      <c r="AB29" s="352">
        <f>SUM(AB26:AB28)</f>
        <v>1688</v>
      </c>
      <c r="AC29" s="353">
        <f>SUM(AA29:AB29)</f>
        <v>3482</v>
      </c>
      <c r="AD29" s="351">
        <f>SUM(AD26:AD28)</f>
        <v>1754</v>
      </c>
      <c r="AE29" s="352">
        <f>SUM(AE26:AE28)</f>
        <v>1758</v>
      </c>
      <c r="AF29" s="353">
        <f>SUM(AD29:AE29)</f>
        <v>3512</v>
      </c>
      <c r="AG29" s="351">
        <f>SUM(AG26:AG28)</f>
        <v>1792</v>
      </c>
      <c r="AH29" s="352">
        <f>SUM(AH26:AH28)</f>
        <v>1782</v>
      </c>
      <c r="AI29" s="353">
        <f>SUM(AG29:AH29)</f>
        <v>3574</v>
      </c>
      <c r="AJ29" s="351">
        <f>SUM(AJ26:AJ28)</f>
        <v>1892</v>
      </c>
      <c r="AK29" s="352">
        <f>SUM(AK26:AK28)</f>
        <v>1764</v>
      </c>
      <c r="AL29" s="353">
        <f>SUM(AJ29:AK29)</f>
        <v>3656</v>
      </c>
      <c r="AM29" s="351">
        <f>SUM(AM26:AM28)</f>
        <v>1852</v>
      </c>
      <c r="AN29" s="352">
        <f>SUM(AN26:AN28)</f>
        <v>1805</v>
      </c>
      <c r="AO29" s="353">
        <f>SUM(AM29:AN29)</f>
        <v>3657</v>
      </c>
      <c r="AP29" s="351">
        <f>SUM(AP26:AP28)</f>
        <v>1847</v>
      </c>
      <c r="AQ29" s="352">
        <f>SUM(AQ26:AQ28)</f>
        <v>1968</v>
      </c>
      <c r="AR29" s="353">
        <f>SUM(AP29:AQ29)</f>
        <v>3815</v>
      </c>
      <c r="AS29" s="351">
        <f>SUM(AS26:AS28)</f>
        <v>1924</v>
      </c>
      <c r="AT29" s="352">
        <f>SUM(AT26:AT28)</f>
        <v>1884</v>
      </c>
      <c r="AU29" s="353">
        <f>SUM(AS29:AT29)</f>
        <v>3808</v>
      </c>
      <c r="AV29" s="351">
        <f>SUM(AV26:AV28)</f>
        <v>1892</v>
      </c>
      <c r="AW29" s="352">
        <f>SUM(AW26:AW28)</f>
        <v>1843</v>
      </c>
      <c r="AX29" s="353">
        <f>SUM(AV29:AW29)</f>
        <v>3735</v>
      </c>
      <c r="AY29" s="351">
        <f>SUM(AY26:AY28)</f>
        <v>1855</v>
      </c>
      <c r="AZ29" s="352">
        <f>SUM(AZ26:AZ28)</f>
        <v>1926</v>
      </c>
      <c r="BA29" s="353">
        <f>SUM(AY29:AZ29)</f>
        <v>3781</v>
      </c>
      <c r="BB29" s="351">
        <f>SUM(BB26:BB28)</f>
        <v>1857</v>
      </c>
      <c r="BC29" s="352">
        <f>SUM(BC26:BC28)</f>
        <v>1877</v>
      </c>
      <c r="BD29" s="353">
        <f>SUM(BB29:BC29)</f>
        <v>3734</v>
      </c>
      <c r="BE29" s="351">
        <f>SUM(BE26:BE28)</f>
        <v>1763</v>
      </c>
      <c r="BF29" s="352">
        <f>SUM(BF26:BF28)</f>
        <v>1798</v>
      </c>
      <c r="BG29" s="353">
        <f>SUM(BE29:BF29)</f>
        <v>3561</v>
      </c>
      <c r="BH29" s="351">
        <f>SUM(BH26:BH28)</f>
        <v>1831</v>
      </c>
      <c r="BI29" s="352">
        <f>SUM(BI26:BI28)</f>
        <v>1857</v>
      </c>
      <c r="BJ29" s="353">
        <f>SUM(BH29:BI29)</f>
        <v>3688</v>
      </c>
    </row>
    <row r="30" spans="2:62" s="38" customFormat="1" ht="14.4" x14ac:dyDescent="0.25">
      <c r="B30" s="3"/>
      <c r="C30" s="342"/>
      <c r="D30" s="342"/>
      <c r="E30" s="342"/>
      <c r="F30" s="342"/>
      <c r="G30" s="342"/>
      <c r="H30" s="342"/>
      <c r="I30" s="342"/>
      <c r="J30" s="342"/>
      <c r="K30" s="342"/>
      <c r="L30" s="342"/>
      <c r="M30" s="342"/>
      <c r="N30" s="342"/>
      <c r="O30" s="342"/>
      <c r="P30" s="342"/>
      <c r="Q30" s="342"/>
      <c r="R30" s="342"/>
      <c r="S30" s="342"/>
      <c r="T30" s="342"/>
      <c r="U30" s="342"/>
      <c r="V30" s="342"/>
      <c r="W30" s="342"/>
      <c r="X30" s="342"/>
      <c r="Y30" s="342"/>
      <c r="Z30" s="342"/>
      <c r="AA30" s="342"/>
      <c r="AB30" s="342"/>
      <c r="AC30" s="342"/>
      <c r="AD30" s="342"/>
      <c r="AE30" s="342"/>
      <c r="AF30" s="342"/>
      <c r="AG30" s="342"/>
      <c r="AH30" s="342"/>
      <c r="AI30" s="342"/>
      <c r="AJ30" s="342"/>
      <c r="AK30" s="342"/>
      <c r="AL30" s="342"/>
      <c r="AM30" s="342"/>
      <c r="AN30" s="342"/>
      <c r="AO30" s="342"/>
      <c r="AP30" s="342"/>
      <c r="AQ30" s="342"/>
      <c r="AR30" s="342"/>
      <c r="AS30" s="342"/>
      <c r="AT30" s="342"/>
      <c r="AU30" s="342"/>
      <c r="AV30" s="342"/>
      <c r="AW30" s="342"/>
      <c r="AX30" s="342"/>
      <c r="AY30" s="342"/>
      <c r="AZ30" s="342"/>
      <c r="BA30" s="342"/>
      <c r="BB30" s="342"/>
      <c r="BC30" s="342"/>
      <c r="BD30" s="342"/>
      <c r="BE30" s="342"/>
      <c r="BF30" s="342"/>
      <c r="BG30" s="342"/>
      <c r="BH30" s="342"/>
      <c r="BI30" s="342"/>
      <c r="BJ30" s="342"/>
    </row>
    <row r="31" spans="2:62" s="38" customFormat="1" ht="14.4" x14ac:dyDescent="0.25">
      <c r="B31" s="150" t="s">
        <v>59</v>
      </c>
      <c r="C31" s="151">
        <v>692</v>
      </c>
      <c r="D31" s="152">
        <v>1068</v>
      </c>
      <c r="E31" s="153">
        <v>1760</v>
      </c>
      <c r="F31" s="151">
        <v>961</v>
      </c>
      <c r="G31" s="152">
        <v>1329</v>
      </c>
      <c r="H31" s="153">
        <v>2290</v>
      </c>
      <c r="I31" s="151">
        <v>953</v>
      </c>
      <c r="J31" s="152">
        <v>1217</v>
      </c>
      <c r="K31" s="103">
        <v>2170</v>
      </c>
      <c r="L31" s="152">
        <v>1078</v>
      </c>
      <c r="M31" s="152">
        <v>1208</v>
      </c>
      <c r="N31" s="103">
        <v>2286</v>
      </c>
      <c r="O31" s="152">
        <v>922</v>
      </c>
      <c r="P31" s="152">
        <v>1174</v>
      </c>
      <c r="Q31" s="103">
        <v>2096</v>
      </c>
      <c r="R31" s="152">
        <v>933</v>
      </c>
      <c r="S31" s="152">
        <v>1407</v>
      </c>
      <c r="T31" s="103">
        <v>2340</v>
      </c>
      <c r="U31" s="151">
        <v>919</v>
      </c>
      <c r="V31" s="152">
        <v>1194</v>
      </c>
      <c r="W31" s="395">
        <v>2113</v>
      </c>
      <c r="X31" s="151">
        <f>X6+X16</f>
        <v>969</v>
      </c>
      <c r="Y31" s="152">
        <v>1557</v>
      </c>
      <c r="Z31" s="103">
        <f t="shared" ref="Z31:Z37" si="0">SUM(X31:Y31)</f>
        <v>2526</v>
      </c>
      <c r="AA31" s="151">
        <f>SUM(AA6,AA16,AA21)</f>
        <v>1120</v>
      </c>
      <c r="AB31" s="152">
        <f>SUM(AB6,AB16,AB21)</f>
        <v>1192</v>
      </c>
      <c r="AC31" s="103">
        <f t="shared" ref="AC31:AC36" si="1">SUM(AA31:AB31)</f>
        <v>2312</v>
      </c>
      <c r="AD31" s="151">
        <f>SUM(AD6,AD16,AD21)</f>
        <v>637</v>
      </c>
      <c r="AE31" s="152">
        <f>SUM(AE6,AE16,AE21)</f>
        <v>1191</v>
      </c>
      <c r="AF31" s="103">
        <f t="shared" ref="AF31:AF36" si="2">SUM(AD31:AE31)</f>
        <v>1828</v>
      </c>
      <c r="AG31" s="151">
        <f>SUM(AG6,AG16,AG21)</f>
        <v>799</v>
      </c>
      <c r="AH31" s="152">
        <f>SUM(AH6,AH16,AH21)</f>
        <v>1311</v>
      </c>
      <c r="AI31" s="103">
        <f t="shared" ref="AI31:AI36" si="3">SUM(AG31:AH31)</f>
        <v>2110</v>
      </c>
      <c r="AJ31" s="151">
        <f>SUM(AJ6,AJ16,AJ21)</f>
        <v>638</v>
      </c>
      <c r="AK31" s="152">
        <f>SUM(AK6,AK16,AK21)</f>
        <v>1284</v>
      </c>
      <c r="AL31" s="103">
        <f t="shared" ref="AL31:AL36" si="4">SUM(AJ31:AK31)</f>
        <v>1922</v>
      </c>
      <c r="AM31" s="151">
        <f>SUM(AM6,AM16,AM21)</f>
        <v>548</v>
      </c>
      <c r="AN31" s="152">
        <f>SUM(AN6,AN16,AN21)</f>
        <v>1282</v>
      </c>
      <c r="AO31" s="103">
        <f t="shared" ref="AO31:AO36" si="5">SUM(AM31:AN31)</f>
        <v>1830</v>
      </c>
      <c r="AP31" s="151">
        <f>SUM(AP6,AP16,AP21)</f>
        <v>696</v>
      </c>
      <c r="AQ31" s="152">
        <f>SUM(AQ6,AQ16,AQ21)</f>
        <v>1285</v>
      </c>
      <c r="AR31" s="103">
        <f t="shared" ref="AR31:AR36" si="6">SUM(AP31:AQ31)</f>
        <v>1981</v>
      </c>
      <c r="AS31" s="151">
        <f>SUM(AS6,AS16,AS21)</f>
        <v>579</v>
      </c>
      <c r="AT31" s="152">
        <f>SUM(AT6,AT16,AT21)</f>
        <v>1216</v>
      </c>
      <c r="AU31" s="103">
        <f t="shared" ref="AU31:AU36" si="7">SUM(AS31:AT31)</f>
        <v>1795</v>
      </c>
      <c r="AV31" s="151">
        <f>SUM(AV6,AV16,AV21)</f>
        <v>543</v>
      </c>
      <c r="AW31" s="152">
        <f>SUM(AW6,AW16,AW21)</f>
        <v>1366</v>
      </c>
      <c r="AX31" s="103">
        <f t="shared" ref="AX31:AX36" si="8">SUM(AV31:AW31)</f>
        <v>1909</v>
      </c>
      <c r="AY31" s="151">
        <f>SUM(AY6,AY16,AY21)</f>
        <v>684</v>
      </c>
      <c r="AZ31" s="152">
        <f>SUM(AZ6,AZ16,AZ21)</f>
        <v>1753</v>
      </c>
      <c r="BA31" s="103">
        <f t="shared" ref="BA31:BA36" si="9">SUM(AY31:AZ31)</f>
        <v>2437</v>
      </c>
      <c r="BB31" s="151">
        <f>SUM(BB6,BB16,BB21)</f>
        <v>547</v>
      </c>
      <c r="BC31" s="152">
        <f>SUM(BC6,BC16,BC21)</f>
        <v>1506</v>
      </c>
      <c r="BD31" s="103">
        <f t="shared" ref="BD31:BD36" si="10">SUM(BB31:BC31)</f>
        <v>2053</v>
      </c>
      <c r="BE31" s="151">
        <f>SUM(BE6,BE16,BE21)</f>
        <v>682</v>
      </c>
      <c r="BF31" s="152">
        <f>SUM(BF6,BF16,BF21)</f>
        <v>1240</v>
      </c>
      <c r="BG31" s="103">
        <f t="shared" ref="BG31:BG36" si="11">SUM(BE31:BF31)</f>
        <v>1922</v>
      </c>
      <c r="BH31" s="151">
        <f>SUM(BH6,BH16,BH21)</f>
        <v>613</v>
      </c>
      <c r="BI31" s="152">
        <f>SUM(BI6,BI16,BI21)</f>
        <v>1506</v>
      </c>
      <c r="BJ31" s="103">
        <f t="shared" ref="BJ31:BJ36" si="12">SUM(BH31:BI31)</f>
        <v>2119</v>
      </c>
    </row>
    <row r="32" spans="2:62" s="38" customFormat="1" ht="14.4" x14ac:dyDescent="0.25">
      <c r="B32" s="154" t="s">
        <v>64</v>
      </c>
      <c r="C32" s="129">
        <v>1257</v>
      </c>
      <c r="D32" s="130">
        <v>1909</v>
      </c>
      <c r="E32" s="155">
        <v>3166</v>
      </c>
      <c r="F32" s="129">
        <v>1441</v>
      </c>
      <c r="G32" s="130">
        <v>2156</v>
      </c>
      <c r="H32" s="155">
        <v>3597</v>
      </c>
      <c r="I32" s="129">
        <v>1375</v>
      </c>
      <c r="J32" s="130">
        <v>2132</v>
      </c>
      <c r="K32" s="110">
        <v>3507</v>
      </c>
      <c r="L32" s="130">
        <v>1197</v>
      </c>
      <c r="M32" s="130">
        <v>2072</v>
      </c>
      <c r="N32" s="110">
        <v>3269</v>
      </c>
      <c r="O32" s="130">
        <v>1437</v>
      </c>
      <c r="P32" s="130">
        <v>2152</v>
      </c>
      <c r="Q32" s="110">
        <v>3589</v>
      </c>
      <c r="R32" s="130">
        <v>1550</v>
      </c>
      <c r="S32" s="130">
        <v>2257</v>
      </c>
      <c r="T32" s="110">
        <v>3807</v>
      </c>
      <c r="U32" s="129">
        <v>1374</v>
      </c>
      <c r="V32" s="130">
        <v>2156</v>
      </c>
      <c r="W32" s="396">
        <v>3530</v>
      </c>
      <c r="X32" s="129">
        <f>X7+X11+X17+X26</f>
        <v>1356</v>
      </c>
      <c r="Y32" s="130">
        <v>2186</v>
      </c>
      <c r="Z32" s="110">
        <f t="shared" si="0"/>
        <v>3542</v>
      </c>
      <c r="AA32" s="129">
        <f>SUM(AA7,AA11,AA17,AA26,AA22)</f>
        <v>1379</v>
      </c>
      <c r="AB32" s="130">
        <f>SUM(AB7,AB11,AB17,AB26,AB22)</f>
        <v>2151</v>
      </c>
      <c r="AC32" s="110">
        <f t="shared" si="1"/>
        <v>3530</v>
      </c>
      <c r="AD32" s="129">
        <f>SUM(AD7,AD11,AD17,AD26,AD22)</f>
        <v>1422</v>
      </c>
      <c r="AE32" s="130">
        <f>SUM(AE7,AE11,AE17,AE26,AE22)</f>
        <v>2299</v>
      </c>
      <c r="AF32" s="110">
        <f t="shared" si="2"/>
        <v>3721</v>
      </c>
      <c r="AG32" s="129">
        <f>SUM(AG7,AG11,AG17,AG26,AG22)</f>
        <v>1417</v>
      </c>
      <c r="AH32" s="130">
        <f>SUM(AH7,AH11,AH17,AH26,AH22)</f>
        <v>2321</v>
      </c>
      <c r="AI32" s="110">
        <f t="shared" si="3"/>
        <v>3738</v>
      </c>
      <c r="AJ32" s="129">
        <f>SUM(AJ7,AJ11,AJ17,AJ26,AJ22)</f>
        <v>1569</v>
      </c>
      <c r="AK32" s="130">
        <f>SUM(AK7,AK11,AK17,AK26,AK22)</f>
        <v>2321</v>
      </c>
      <c r="AL32" s="110">
        <f t="shared" si="4"/>
        <v>3890</v>
      </c>
      <c r="AM32" s="129">
        <f>SUM(AM7,AM11,AM17,AM26,AM22)</f>
        <v>1502</v>
      </c>
      <c r="AN32" s="130">
        <f>SUM(AN7,AN11,AN17,AN26,AN22)</f>
        <v>2400</v>
      </c>
      <c r="AO32" s="110">
        <f t="shared" si="5"/>
        <v>3902</v>
      </c>
      <c r="AP32" s="129">
        <f>SUM(AP7,AP11,AP17,AP26,AP22)</f>
        <v>1496</v>
      </c>
      <c r="AQ32" s="130">
        <f>SUM(AQ7,AQ11,AQ17,AQ26,AQ22)</f>
        <v>2582</v>
      </c>
      <c r="AR32" s="110">
        <f t="shared" si="6"/>
        <v>4078</v>
      </c>
      <c r="AS32" s="129">
        <f>SUM(AS7,AS11,AS17,AS26,AS22)</f>
        <v>1550</v>
      </c>
      <c r="AT32" s="130">
        <f>SUM(AT7,AT11,AT17,AT26,AT22)</f>
        <v>2502</v>
      </c>
      <c r="AU32" s="110">
        <f t="shared" si="7"/>
        <v>4052</v>
      </c>
      <c r="AV32" s="129">
        <f>SUM(AV7,AV11,AV17,AV26,AV22)</f>
        <v>1546</v>
      </c>
      <c r="AW32" s="130">
        <f>SUM(AW7,AW11,AW17,AW26,AW22)</f>
        <v>2497</v>
      </c>
      <c r="AX32" s="110">
        <f t="shared" si="8"/>
        <v>4043</v>
      </c>
      <c r="AY32" s="129">
        <f>SUM(AY7,AY11,AY17,AY26,AY22)</f>
        <v>1644</v>
      </c>
      <c r="AZ32" s="130">
        <f>SUM(AZ7,AZ11,AZ17,AZ26,AZ22)</f>
        <v>2652</v>
      </c>
      <c r="BA32" s="110">
        <f t="shared" si="9"/>
        <v>4296</v>
      </c>
      <c r="BB32" s="129">
        <f>SUM(BB7,BB11,BB17,BB26,BB22)</f>
        <v>1646</v>
      </c>
      <c r="BC32" s="130">
        <f>SUM(BC7,BC11,BC17,BC26,BC22)</f>
        <v>2487</v>
      </c>
      <c r="BD32" s="110">
        <f t="shared" si="10"/>
        <v>4133</v>
      </c>
      <c r="BE32" s="129">
        <f>SUM(BE7,BE11,BE17,BE26,BE22)</f>
        <v>1556</v>
      </c>
      <c r="BF32" s="130">
        <f>SUM(BF7,BF11,BF17,BF26,BF22)</f>
        <v>2438</v>
      </c>
      <c r="BG32" s="110">
        <f t="shared" si="11"/>
        <v>3994</v>
      </c>
      <c r="BH32" s="129">
        <f>SUM(BH7,BH11,BH17,BH26,BH22)</f>
        <v>1609</v>
      </c>
      <c r="BI32" s="130">
        <f>SUM(BI7,BI11,BI17,BI26,BI22)</f>
        <v>2360</v>
      </c>
      <c r="BJ32" s="110">
        <f t="shared" si="12"/>
        <v>3969</v>
      </c>
    </row>
    <row r="33" spans="2:62" s="38" customFormat="1" ht="14.4" x14ac:dyDescent="0.25">
      <c r="B33" s="154" t="s">
        <v>92</v>
      </c>
      <c r="C33" s="129">
        <v>927</v>
      </c>
      <c r="D33" s="130">
        <v>1072</v>
      </c>
      <c r="E33" s="155">
        <v>1999</v>
      </c>
      <c r="F33" s="129">
        <v>1142</v>
      </c>
      <c r="G33" s="130">
        <v>1297</v>
      </c>
      <c r="H33" s="155">
        <v>2439</v>
      </c>
      <c r="I33" s="129">
        <v>1138</v>
      </c>
      <c r="J33" s="130">
        <v>1239</v>
      </c>
      <c r="K33" s="110">
        <v>2377</v>
      </c>
      <c r="L33" s="130">
        <v>1157</v>
      </c>
      <c r="M33" s="130">
        <v>1246</v>
      </c>
      <c r="N33" s="110">
        <v>2403</v>
      </c>
      <c r="O33" s="130">
        <v>1037</v>
      </c>
      <c r="P33" s="130">
        <v>1139</v>
      </c>
      <c r="Q33" s="110">
        <v>2176</v>
      </c>
      <c r="R33" s="130">
        <v>1114</v>
      </c>
      <c r="S33" s="130">
        <v>1184</v>
      </c>
      <c r="T33" s="110">
        <v>2298</v>
      </c>
      <c r="U33" s="129">
        <v>1136</v>
      </c>
      <c r="V33" s="130">
        <v>1156</v>
      </c>
      <c r="W33" s="396">
        <v>2292</v>
      </c>
      <c r="X33" s="129">
        <f>X18+X27</f>
        <v>1186</v>
      </c>
      <c r="Y33" s="130">
        <v>1253</v>
      </c>
      <c r="Z33" s="110">
        <f t="shared" si="0"/>
        <v>2439</v>
      </c>
      <c r="AA33" s="129">
        <f>SUM(AA18,AA27,AA23)</f>
        <v>1236</v>
      </c>
      <c r="AB33" s="130">
        <f>SUM(AB18,AB27,AB23)</f>
        <v>1205</v>
      </c>
      <c r="AC33" s="110">
        <f t="shared" si="1"/>
        <v>2441</v>
      </c>
      <c r="AD33" s="129">
        <f>SUM(AD18,AD27,AD23)</f>
        <v>1194</v>
      </c>
      <c r="AE33" s="130">
        <f>SUM(AE18,AE27,AE23)</f>
        <v>1212</v>
      </c>
      <c r="AF33" s="110">
        <f t="shared" si="2"/>
        <v>2406</v>
      </c>
      <c r="AG33" s="129">
        <f>SUM(AG18,AG27,AG23)</f>
        <v>1247</v>
      </c>
      <c r="AH33" s="130">
        <f>SUM(AH18,AH27,AH23)</f>
        <v>1274</v>
      </c>
      <c r="AI33" s="110">
        <f t="shared" si="3"/>
        <v>2521</v>
      </c>
      <c r="AJ33" s="129">
        <f>SUM(AJ18,AJ27,AJ23)</f>
        <v>1244</v>
      </c>
      <c r="AK33" s="130">
        <f>SUM(AK18,AK27,AK23)</f>
        <v>1212</v>
      </c>
      <c r="AL33" s="110">
        <f t="shared" si="4"/>
        <v>2456</v>
      </c>
      <c r="AM33" s="129">
        <f>SUM(AM18,AM27,AM23)</f>
        <v>1186</v>
      </c>
      <c r="AN33" s="130">
        <f>SUM(AN18,AN27,AN23)</f>
        <v>1251</v>
      </c>
      <c r="AO33" s="110">
        <f t="shared" si="5"/>
        <v>2437</v>
      </c>
      <c r="AP33" s="129">
        <f>SUM(AP18,AP27,AP23)</f>
        <v>1174</v>
      </c>
      <c r="AQ33" s="130">
        <f>SUM(AQ18,AQ27,AQ23)</f>
        <v>1330</v>
      </c>
      <c r="AR33" s="110">
        <f t="shared" si="6"/>
        <v>2504</v>
      </c>
      <c r="AS33" s="129">
        <f>SUM(AS18,AS27,AS23)</f>
        <v>1214</v>
      </c>
      <c r="AT33" s="130">
        <f>SUM(AT18,AT27,AT23)</f>
        <v>1295</v>
      </c>
      <c r="AU33" s="110">
        <f t="shared" si="7"/>
        <v>2509</v>
      </c>
      <c r="AV33" s="129">
        <f>SUM(AV18,AV27,AV23)</f>
        <v>1105</v>
      </c>
      <c r="AW33" s="130">
        <f>SUM(AW18,AW27,AW23)</f>
        <v>1238</v>
      </c>
      <c r="AX33" s="110">
        <f t="shared" si="8"/>
        <v>2343</v>
      </c>
      <c r="AY33" s="129">
        <f>SUM(AY18,AY27,AY23)</f>
        <v>1053</v>
      </c>
      <c r="AZ33" s="130">
        <f>SUM(AZ18,AZ27,AZ23)</f>
        <v>1265</v>
      </c>
      <c r="BA33" s="110">
        <f t="shared" si="9"/>
        <v>2318</v>
      </c>
      <c r="BB33" s="129">
        <f>SUM(BB18,BB27,BB23)</f>
        <v>1151</v>
      </c>
      <c r="BC33" s="130">
        <f>SUM(BC18,BC27,BC23)</f>
        <v>1240</v>
      </c>
      <c r="BD33" s="110">
        <f t="shared" si="10"/>
        <v>2391</v>
      </c>
      <c r="BE33" s="129">
        <f>SUM(BE18,BE27,BE23)</f>
        <v>1141</v>
      </c>
      <c r="BF33" s="130">
        <f>SUM(BF18,BF27,BF23)</f>
        <v>1228</v>
      </c>
      <c r="BG33" s="110">
        <f t="shared" si="11"/>
        <v>2369</v>
      </c>
      <c r="BH33" s="129">
        <f>SUM(BH18,BH27,BH23)</f>
        <v>1190</v>
      </c>
      <c r="BI33" s="130">
        <f>SUM(BI18,BI27,BI23)</f>
        <v>1211</v>
      </c>
      <c r="BJ33" s="110">
        <f t="shared" si="12"/>
        <v>2401</v>
      </c>
    </row>
    <row r="34" spans="2:62" s="38" customFormat="1" ht="14.4" x14ac:dyDescent="0.25">
      <c r="B34" s="154" t="s">
        <v>68</v>
      </c>
      <c r="C34" s="129">
        <v>679</v>
      </c>
      <c r="D34" s="130">
        <v>713</v>
      </c>
      <c r="E34" s="155">
        <v>1392</v>
      </c>
      <c r="F34" s="129">
        <v>678</v>
      </c>
      <c r="G34" s="130">
        <v>708</v>
      </c>
      <c r="H34" s="155">
        <v>1386</v>
      </c>
      <c r="I34" s="129">
        <v>671</v>
      </c>
      <c r="J34" s="130">
        <v>636</v>
      </c>
      <c r="K34" s="110">
        <v>1307</v>
      </c>
      <c r="L34" s="130">
        <v>587</v>
      </c>
      <c r="M34" s="130">
        <v>579</v>
      </c>
      <c r="N34" s="110">
        <v>1166</v>
      </c>
      <c r="O34" s="130">
        <v>617</v>
      </c>
      <c r="P34" s="130">
        <v>591</v>
      </c>
      <c r="Q34" s="110">
        <v>1208</v>
      </c>
      <c r="R34" s="130">
        <v>630</v>
      </c>
      <c r="S34" s="130">
        <v>621</v>
      </c>
      <c r="T34" s="110">
        <v>1251</v>
      </c>
      <c r="U34" s="129">
        <v>575</v>
      </c>
      <c r="V34" s="130">
        <v>564</v>
      </c>
      <c r="W34" s="396">
        <v>1139</v>
      </c>
      <c r="X34" s="129">
        <f>X8+X28</f>
        <v>580</v>
      </c>
      <c r="Y34" s="130">
        <v>574</v>
      </c>
      <c r="Z34" s="110">
        <f t="shared" si="0"/>
        <v>1154</v>
      </c>
      <c r="AA34" s="129">
        <f>SUM(AA8,AA28)</f>
        <v>601</v>
      </c>
      <c r="AB34" s="130">
        <f>SUM(AB8,AB28)</f>
        <v>573</v>
      </c>
      <c r="AC34" s="110">
        <f t="shared" si="1"/>
        <v>1174</v>
      </c>
      <c r="AD34" s="129">
        <f>SUM(AD8,AD28)</f>
        <v>586</v>
      </c>
      <c r="AE34" s="130">
        <f>SUM(AE8,AE28)</f>
        <v>592</v>
      </c>
      <c r="AF34" s="110">
        <f t="shared" si="2"/>
        <v>1178</v>
      </c>
      <c r="AG34" s="129">
        <f>SUM(AG8,AG28)</f>
        <v>616</v>
      </c>
      <c r="AH34" s="130">
        <f>SUM(AH8,AH28)</f>
        <v>606</v>
      </c>
      <c r="AI34" s="110">
        <f t="shared" si="3"/>
        <v>1222</v>
      </c>
      <c r="AJ34" s="129">
        <f>SUM(AJ8,AJ28)</f>
        <v>624</v>
      </c>
      <c r="AK34" s="130">
        <f>SUM(AK8,AK28)</f>
        <v>597</v>
      </c>
      <c r="AL34" s="110">
        <f t="shared" si="4"/>
        <v>1221</v>
      </c>
      <c r="AM34" s="129">
        <f>SUM(AM8,AM28)</f>
        <v>629</v>
      </c>
      <c r="AN34" s="130">
        <f>SUM(AN8,AN28)</f>
        <v>669</v>
      </c>
      <c r="AO34" s="110">
        <f t="shared" si="5"/>
        <v>1298</v>
      </c>
      <c r="AP34" s="129">
        <f>SUM(AP8,AP28)</f>
        <v>603</v>
      </c>
      <c r="AQ34" s="130">
        <f>SUM(AQ8,AQ28)</f>
        <v>688</v>
      </c>
      <c r="AR34" s="110">
        <f t="shared" si="6"/>
        <v>1291</v>
      </c>
      <c r="AS34" s="129">
        <f>SUM(AS8,AS28)</f>
        <v>681</v>
      </c>
      <c r="AT34" s="130">
        <f>SUM(AT8,AT28)</f>
        <v>689</v>
      </c>
      <c r="AU34" s="110">
        <f t="shared" si="7"/>
        <v>1370</v>
      </c>
      <c r="AV34" s="129">
        <f>SUM(AV8,AV28)</f>
        <v>688</v>
      </c>
      <c r="AW34" s="130">
        <f>SUM(AW8,AW28)</f>
        <v>660</v>
      </c>
      <c r="AX34" s="110">
        <f t="shared" si="8"/>
        <v>1348</v>
      </c>
      <c r="AY34" s="129">
        <f>SUM(AY8,AY28)</f>
        <v>682</v>
      </c>
      <c r="AZ34" s="130">
        <f>SUM(AZ8,AZ28)</f>
        <v>711</v>
      </c>
      <c r="BA34" s="110">
        <f t="shared" si="9"/>
        <v>1393</v>
      </c>
      <c r="BB34" s="129">
        <f>SUM(BB8,BB28)</f>
        <v>691</v>
      </c>
      <c r="BC34" s="130">
        <f>SUM(BC8,BC28)</f>
        <v>685</v>
      </c>
      <c r="BD34" s="110">
        <f t="shared" si="10"/>
        <v>1376</v>
      </c>
      <c r="BE34" s="129">
        <f>SUM(BE8,BE28)</f>
        <v>659</v>
      </c>
      <c r="BF34" s="130">
        <f>SUM(BF8,BF28)</f>
        <v>692</v>
      </c>
      <c r="BG34" s="110">
        <f t="shared" si="11"/>
        <v>1351</v>
      </c>
      <c r="BH34" s="129">
        <f>SUM(BH8,BH28)</f>
        <v>698</v>
      </c>
      <c r="BI34" s="130">
        <f>SUM(BI8,BI28)</f>
        <v>692</v>
      </c>
      <c r="BJ34" s="110">
        <f t="shared" si="12"/>
        <v>1390</v>
      </c>
    </row>
    <row r="35" spans="2:62" s="38" customFormat="1" ht="14.4" x14ac:dyDescent="0.25">
      <c r="B35" s="154" t="s">
        <v>111</v>
      </c>
      <c r="C35" s="129"/>
      <c r="D35" s="130"/>
      <c r="E35" s="155"/>
      <c r="F35" s="129"/>
      <c r="G35" s="130"/>
      <c r="H35" s="155"/>
      <c r="I35" s="129"/>
      <c r="J35" s="130">
        <v>34</v>
      </c>
      <c r="K35" s="110">
        <v>34</v>
      </c>
      <c r="L35" s="130"/>
      <c r="M35" s="130">
        <v>30</v>
      </c>
      <c r="N35" s="110">
        <v>30</v>
      </c>
      <c r="O35" s="130"/>
      <c r="P35" s="130">
        <v>131</v>
      </c>
      <c r="Q35" s="110">
        <v>131</v>
      </c>
      <c r="R35" s="130"/>
      <c r="S35" s="130">
        <v>129</v>
      </c>
      <c r="T35" s="110">
        <v>129</v>
      </c>
      <c r="U35" s="129"/>
      <c r="V35" s="130">
        <v>96</v>
      </c>
      <c r="W35" s="396">
        <v>96</v>
      </c>
      <c r="X35" s="129"/>
      <c r="Y35" s="130">
        <v>118</v>
      </c>
      <c r="Z35" s="110">
        <f t="shared" si="0"/>
        <v>118</v>
      </c>
      <c r="AA35" s="129"/>
      <c r="AB35" s="130">
        <f>SUM(AB12)</f>
        <v>125</v>
      </c>
      <c r="AC35" s="110">
        <f t="shared" si="1"/>
        <v>125</v>
      </c>
      <c r="AD35" s="129"/>
      <c r="AE35" s="130">
        <f>SUM(AE12)</f>
        <v>134</v>
      </c>
      <c r="AF35" s="110">
        <f t="shared" si="2"/>
        <v>134</v>
      </c>
      <c r="AG35" s="129"/>
      <c r="AH35" s="130">
        <f>SUM(AH12)</f>
        <v>122</v>
      </c>
      <c r="AI35" s="110">
        <f t="shared" si="3"/>
        <v>122</v>
      </c>
      <c r="AJ35" s="129"/>
      <c r="AK35" s="130">
        <f>SUM(AK12)</f>
        <v>155</v>
      </c>
      <c r="AL35" s="110">
        <f t="shared" si="4"/>
        <v>155</v>
      </c>
      <c r="AM35" s="129"/>
      <c r="AN35" s="130">
        <f>SUM(AN12)</f>
        <v>189</v>
      </c>
      <c r="AO35" s="110">
        <f t="shared" si="5"/>
        <v>189</v>
      </c>
      <c r="AP35" s="129"/>
      <c r="AQ35" s="130">
        <f>SUM(AQ12)</f>
        <v>226</v>
      </c>
      <c r="AR35" s="110">
        <f t="shared" si="6"/>
        <v>226</v>
      </c>
      <c r="AS35" s="129"/>
      <c r="AT35" s="130">
        <f>SUM(AT12)</f>
        <v>219</v>
      </c>
      <c r="AU35" s="110">
        <f t="shared" si="7"/>
        <v>219</v>
      </c>
      <c r="AV35" s="129"/>
      <c r="AW35" s="130">
        <f>SUM(AW12)</f>
        <v>223</v>
      </c>
      <c r="AX35" s="110">
        <f t="shared" si="8"/>
        <v>223</v>
      </c>
      <c r="AY35" s="129"/>
      <c r="AZ35" s="130">
        <f>SUM(AZ12)</f>
        <v>227</v>
      </c>
      <c r="BA35" s="110">
        <f t="shared" si="9"/>
        <v>227</v>
      </c>
      <c r="BB35" s="129"/>
      <c r="BC35" s="130">
        <f>SUM(BC12)</f>
        <v>228</v>
      </c>
      <c r="BD35" s="110">
        <f t="shared" si="10"/>
        <v>228</v>
      </c>
      <c r="BE35" s="129"/>
      <c r="BF35" s="130">
        <f>SUM(BF12)</f>
        <v>227</v>
      </c>
      <c r="BG35" s="110">
        <f t="shared" si="11"/>
        <v>227</v>
      </c>
      <c r="BH35" s="129"/>
      <c r="BI35" s="130">
        <f>SUM(BI12)</f>
        <v>223</v>
      </c>
      <c r="BJ35" s="110">
        <f t="shared" si="12"/>
        <v>223</v>
      </c>
    </row>
    <row r="36" spans="2:62" s="38" customFormat="1" ht="14.4" x14ac:dyDescent="0.25">
      <c r="B36" s="263" t="s">
        <v>115</v>
      </c>
      <c r="C36" s="196"/>
      <c r="D36" s="197"/>
      <c r="E36" s="198"/>
      <c r="F36" s="196"/>
      <c r="G36" s="197"/>
      <c r="H36" s="198"/>
      <c r="I36" s="196"/>
      <c r="J36" s="197">
        <v>58</v>
      </c>
      <c r="K36" s="117">
        <v>58</v>
      </c>
      <c r="L36" s="197"/>
      <c r="M36" s="197">
        <v>28</v>
      </c>
      <c r="N36" s="117">
        <v>28</v>
      </c>
      <c r="O36" s="197"/>
      <c r="P36" s="197">
        <v>64</v>
      </c>
      <c r="Q36" s="117">
        <v>64</v>
      </c>
      <c r="R36" s="197"/>
      <c r="S36" s="197">
        <v>110</v>
      </c>
      <c r="T36" s="117">
        <v>110</v>
      </c>
      <c r="U36" s="196"/>
      <c r="V36" s="197">
        <v>83</v>
      </c>
      <c r="W36" s="397">
        <v>83</v>
      </c>
      <c r="X36" s="196"/>
      <c r="Y36" s="197">
        <v>107</v>
      </c>
      <c r="Z36" s="117">
        <f t="shared" si="0"/>
        <v>107</v>
      </c>
      <c r="AA36" s="196"/>
      <c r="AB36" s="197">
        <f>SUM(AB13)</f>
        <v>110</v>
      </c>
      <c r="AC36" s="117">
        <f t="shared" si="1"/>
        <v>110</v>
      </c>
      <c r="AD36" s="196"/>
      <c r="AE36" s="197">
        <f>SUM(AE13)</f>
        <v>136</v>
      </c>
      <c r="AF36" s="117">
        <f t="shared" si="2"/>
        <v>136</v>
      </c>
      <c r="AG36" s="196"/>
      <c r="AH36" s="197">
        <f>SUM(AH13)</f>
        <v>145</v>
      </c>
      <c r="AI36" s="117">
        <f t="shared" si="3"/>
        <v>145</v>
      </c>
      <c r="AJ36" s="196"/>
      <c r="AK36" s="197">
        <f>SUM(AK13)</f>
        <v>229</v>
      </c>
      <c r="AL36" s="117">
        <f t="shared" si="4"/>
        <v>229</v>
      </c>
      <c r="AM36" s="196"/>
      <c r="AN36" s="197">
        <f>SUM(AN13)</f>
        <v>193</v>
      </c>
      <c r="AO36" s="117">
        <f t="shared" si="5"/>
        <v>193</v>
      </c>
      <c r="AP36" s="196"/>
      <c r="AQ36" s="197">
        <f>SUM(AQ13)</f>
        <v>236</v>
      </c>
      <c r="AR36" s="117">
        <f t="shared" si="6"/>
        <v>236</v>
      </c>
      <c r="AS36" s="196"/>
      <c r="AT36" s="197">
        <f>SUM(AT13)</f>
        <v>216</v>
      </c>
      <c r="AU36" s="117">
        <f t="shared" si="7"/>
        <v>216</v>
      </c>
      <c r="AV36" s="196"/>
      <c r="AW36" s="197">
        <f>SUM(AW13)</f>
        <v>220</v>
      </c>
      <c r="AX36" s="117">
        <f t="shared" si="8"/>
        <v>220</v>
      </c>
      <c r="AY36" s="196"/>
      <c r="AZ36" s="197">
        <f>SUM(AZ13)</f>
        <v>249</v>
      </c>
      <c r="BA36" s="117">
        <f t="shared" si="9"/>
        <v>249</v>
      </c>
      <c r="BB36" s="196"/>
      <c r="BC36" s="197">
        <f>SUM(BC13)</f>
        <v>255</v>
      </c>
      <c r="BD36" s="117">
        <f t="shared" si="10"/>
        <v>255</v>
      </c>
      <c r="BE36" s="196"/>
      <c r="BF36" s="197">
        <f>SUM(BF13)</f>
        <v>224</v>
      </c>
      <c r="BG36" s="117">
        <f t="shared" si="11"/>
        <v>224</v>
      </c>
      <c r="BH36" s="196"/>
      <c r="BI36" s="197">
        <f>SUM(BI13)</f>
        <v>240</v>
      </c>
      <c r="BJ36" s="117">
        <f t="shared" si="12"/>
        <v>240</v>
      </c>
    </row>
    <row r="37" spans="2:62" s="147" customFormat="1" ht="15.6" x14ac:dyDescent="0.25">
      <c r="B37" s="267" t="s">
        <v>128</v>
      </c>
      <c r="C37" s="398">
        <v>3555</v>
      </c>
      <c r="D37" s="399">
        <v>4762</v>
      </c>
      <c r="E37" s="399">
        <v>8317</v>
      </c>
      <c r="F37" s="398">
        <v>4222</v>
      </c>
      <c r="G37" s="399">
        <v>5490</v>
      </c>
      <c r="H37" s="399">
        <v>9712</v>
      </c>
      <c r="I37" s="398">
        <v>4137</v>
      </c>
      <c r="J37" s="399">
        <v>5316</v>
      </c>
      <c r="K37" s="400">
        <v>9453</v>
      </c>
      <c r="L37" s="399">
        <v>4019</v>
      </c>
      <c r="M37" s="399">
        <v>5163</v>
      </c>
      <c r="N37" s="400">
        <v>9182</v>
      </c>
      <c r="O37" s="399">
        <v>4013</v>
      </c>
      <c r="P37" s="399">
        <v>5251</v>
      </c>
      <c r="Q37" s="400">
        <v>9264</v>
      </c>
      <c r="R37" s="399">
        <v>4227</v>
      </c>
      <c r="S37" s="399">
        <v>5708</v>
      </c>
      <c r="T37" s="400">
        <v>9935</v>
      </c>
      <c r="U37" s="398">
        <v>4004</v>
      </c>
      <c r="V37" s="399">
        <v>5249</v>
      </c>
      <c r="W37" s="400">
        <v>9253</v>
      </c>
      <c r="X37" s="398">
        <f>SUM(X31:X36)</f>
        <v>4091</v>
      </c>
      <c r="Y37" s="399">
        <v>5795</v>
      </c>
      <c r="Z37" s="400">
        <f t="shared" si="0"/>
        <v>9886</v>
      </c>
      <c r="AA37" s="398">
        <f t="shared" ref="AA37:BD37" si="13">SUM(AA31:AA36)</f>
        <v>4336</v>
      </c>
      <c r="AB37" s="399">
        <f t="shared" si="13"/>
        <v>5356</v>
      </c>
      <c r="AC37" s="400">
        <f t="shared" si="13"/>
        <v>9692</v>
      </c>
      <c r="AD37" s="398">
        <f t="shared" si="13"/>
        <v>3839</v>
      </c>
      <c r="AE37" s="399">
        <f t="shared" si="13"/>
        <v>5564</v>
      </c>
      <c r="AF37" s="400">
        <f t="shared" si="13"/>
        <v>9403</v>
      </c>
      <c r="AG37" s="398">
        <f t="shared" si="13"/>
        <v>4079</v>
      </c>
      <c r="AH37" s="399">
        <f t="shared" si="13"/>
        <v>5779</v>
      </c>
      <c r="AI37" s="400">
        <f t="shared" si="13"/>
        <v>9858</v>
      </c>
      <c r="AJ37" s="398">
        <f t="shared" si="13"/>
        <v>4075</v>
      </c>
      <c r="AK37" s="399">
        <f t="shared" si="13"/>
        <v>5798</v>
      </c>
      <c r="AL37" s="400">
        <f t="shared" si="13"/>
        <v>9873</v>
      </c>
      <c r="AM37" s="398">
        <f t="shared" si="13"/>
        <v>3865</v>
      </c>
      <c r="AN37" s="399">
        <f t="shared" si="13"/>
        <v>5984</v>
      </c>
      <c r="AO37" s="400">
        <f t="shared" si="13"/>
        <v>9849</v>
      </c>
      <c r="AP37" s="398">
        <f t="shared" si="13"/>
        <v>3969</v>
      </c>
      <c r="AQ37" s="399">
        <f t="shared" si="13"/>
        <v>6347</v>
      </c>
      <c r="AR37" s="400">
        <f t="shared" si="13"/>
        <v>10316</v>
      </c>
      <c r="AS37" s="398">
        <f t="shared" si="13"/>
        <v>4024</v>
      </c>
      <c r="AT37" s="399">
        <f t="shared" si="13"/>
        <v>6137</v>
      </c>
      <c r="AU37" s="400">
        <f t="shared" si="13"/>
        <v>10161</v>
      </c>
      <c r="AV37" s="398">
        <f t="shared" si="13"/>
        <v>3882</v>
      </c>
      <c r="AW37" s="399">
        <f t="shared" si="13"/>
        <v>6204</v>
      </c>
      <c r="AX37" s="400">
        <f t="shared" si="13"/>
        <v>10086</v>
      </c>
      <c r="AY37" s="398">
        <f t="shared" si="13"/>
        <v>4063</v>
      </c>
      <c r="AZ37" s="399">
        <f t="shared" si="13"/>
        <v>6857</v>
      </c>
      <c r="BA37" s="400">
        <f t="shared" si="13"/>
        <v>10920</v>
      </c>
      <c r="BB37" s="398">
        <f t="shared" si="13"/>
        <v>4035</v>
      </c>
      <c r="BC37" s="399">
        <f t="shared" si="13"/>
        <v>6401</v>
      </c>
      <c r="BD37" s="400">
        <f t="shared" si="13"/>
        <v>10436</v>
      </c>
      <c r="BE37" s="398">
        <f t="shared" ref="BE37:BG37" si="14">SUM(BE31:BE36)</f>
        <v>4038</v>
      </c>
      <c r="BF37" s="399">
        <f t="shared" si="14"/>
        <v>6049</v>
      </c>
      <c r="BG37" s="400">
        <f t="shared" si="14"/>
        <v>10087</v>
      </c>
      <c r="BH37" s="398">
        <f t="shared" ref="BH37:BJ37" si="15">SUM(BH31:BH36)</f>
        <v>4110</v>
      </c>
      <c r="BI37" s="399">
        <f t="shared" si="15"/>
        <v>6232</v>
      </c>
      <c r="BJ37" s="400">
        <f t="shared" si="15"/>
        <v>10342</v>
      </c>
    </row>
    <row r="38" spans="2:62" x14ac:dyDescent="0.25">
      <c r="B38" s="401"/>
      <c r="C38" s="402"/>
      <c r="D38" s="402"/>
      <c r="E38" s="402"/>
      <c r="X38" s="403"/>
    </row>
    <row r="39" spans="2:62" x14ac:dyDescent="0.25">
      <c r="B39" s="404"/>
      <c r="C39" s="404"/>
      <c r="D39" s="404"/>
      <c r="E39" s="404"/>
      <c r="T39" s="403"/>
      <c r="W39" s="403"/>
      <c r="X39" s="403"/>
      <c r="AF39" s="403"/>
    </row>
    <row r="40" spans="2:62" x14ac:dyDescent="0.25">
      <c r="B40" s="404"/>
      <c r="AE40" s="403"/>
    </row>
    <row r="41" spans="2:62" x14ac:dyDescent="0.25">
      <c r="AL41" s="405">
        <v>2003</v>
      </c>
    </row>
    <row r="42" spans="2:62" x14ac:dyDescent="0.25">
      <c r="AL42" s="405">
        <v>2004</v>
      </c>
    </row>
    <row r="43" spans="2:62" x14ac:dyDescent="0.25">
      <c r="AL43" s="405">
        <v>2005</v>
      </c>
    </row>
    <row r="44" spans="2:62" x14ac:dyDescent="0.25">
      <c r="AL44" s="405">
        <v>2006</v>
      </c>
    </row>
    <row r="45" spans="2:62" x14ac:dyDescent="0.25">
      <c r="AL45" s="405">
        <v>2007</v>
      </c>
    </row>
    <row r="46" spans="2:62" x14ac:dyDescent="0.25">
      <c r="AL46" s="405">
        <v>2008</v>
      </c>
    </row>
    <row r="47" spans="2:62" x14ac:dyDescent="0.25">
      <c r="AL47" s="405">
        <v>2009</v>
      </c>
    </row>
    <row r="48" spans="2:62" x14ac:dyDescent="0.25">
      <c r="AL48" s="405">
        <v>2010</v>
      </c>
    </row>
    <row r="49" spans="38:40" x14ac:dyDescent="0.25">
      <c r="AL49" s="405">
        <v>2011</v>
      </c>
    </row>
    <row r="50" spans="38:40" x14ac:dyDescent="0.25">
      <c r="AL50" s="405">
        <v>2012</v>
      </c>
    </row>
    <row r="51" spans="38:40" x14ac:dyDescent="0.25">
      <c r="AL51" s="405">
        <v>2013</v>
      </c>
    </row>
    <row r="52" spans="38:40" x14ac:dyDescent="0.25">
      <c r="AL52" s="405">
        <v>2014</v>
      </c>
    </row>
    <row r="53" spans="38:40" x14ac:dyDescent="0.25">
      <c r="AL53" s="405">
        <v>2015</v>
      </c>
    </row>
    <row r="54" spans="38:40" x14ac:dyDescent="0.25">
      <c r="AL54" s="405">
        <v>2016</v>
      </c>
    </row>
    <row r="55" spans="38:40" x14ac:dyDescent="0.25">
      <c r="AL55" s="405">
        <v>2017</v>
      </c>
    </row>
    <row r="56" spans="38:40" x14ac:dyDescent="0.25">
      <c r="AL56" s="405">
        <v>2018</v>
      </c>
      <c r="AN56" s="405" t="s">
        <v>138</v>
      </c>
    </row>
    <row r="57" spans="38:40" x14ac:dyDescent="0.25">
      <c r="AL57" s="405">
        <v>2019</v>
      </c>
      <c r="AN57" s="405" t="s">
        <v>134</v>
      </c>
    </row>
    <row r="58" spans="38:40" x14ac:dyDescent="0.25">
      <c r="AL58" s="405">
        <v>2020</v>
      </c>
      <c r="AN58" s="405" t="s">
        <v>135</v>
      </c>
    </row>
    <row r="59" spans="38:40" x14ac:dyDescent="0.25">
      <c r="AL59" s="405">
        <v>2021</v>
      </c>
      <c r="AN59" s="405" t="s">
        <v>136</v>
      </c>
    </row>
    <row r="60" spans="38:40" x14ac:dyDescent="0.25">
      <c r="AL60" s="405">
        <v>2022</v>
      </c>
      <c r="AN60" s="405" t="s">
        <v>137</v>
      </c>
    </row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</sheetData>
  <mergeCells count="21">
    <mergeCell ref="BH3:BJ3"/>
    <mergeCell ref="AJ3:AL3"/>
    <mergeCell ref="AM3:AO3"/>
    <mergeCell ref="AG3:AI3"/>
    <mergeCell ref="B3:B4"/>
    <mergeCell ref="C3:E3"/>
    <mergeCell ref="F3:H3"/>
    <mergeCell ref="I3:K3"/>
    <mergeCell ref="L3:N3"/>
    <mergeCell ref="O3:Q3"/>
    <mergeCell ref="R3:T3"/>
    <mergeCell ref="U3:W3"/>
    <mergeCell ref="X3:Z3"/>
    <mergeCell ref="AA3:AC3"/>
    <mergeCell ref="AD3:AF3"/>
    <mergeCell ref="AP3:AR3"/>
    <mergeCell ref="AS3:AU3"/>
    <mergeCell ref="AV3:AX3"/>
    <mergeCell ref="AY3:BA3"/>
    <mergeCell ref="BE3:BG3"/>
    <mergeCell ref="BB3:BD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75" firstPageNumber="15" pageOrder="overThenDown" orientation="landscape" useFirstPageNumber="1" r:id="rId1"/>
  <headerFooter scaleWithDoc="0" alignWithMargins="0">
    <oddFooter xml:space="preserve">&amp;R&amp;P
</oddFooter>
  </headerFooter>
  <rowBreaks count="1" manualBreakCount="1">
    <brk id="39" max="16383" man="1"/>
  </rowBreaks>
  <colBreaks count="2" manualBreakCount="2">
    <brk id="20" max="38" man="1"/>
    <brk id="38" max="38" man="1"/>
  </colBreaks>
  <ignoredErrors>
    <ignoredError sqref="C9:BD37" formula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1:BJ113"/>
  <sheetViews>
    <sheetView showGridLines="0" zoomScaleNormal="100" zoomScaleSheetLayoutView="74" workbookViewId="0">
      <pane xSplit="2" ySplit="4" topLeftCell="AR5" activePane="bottomRight" state="frozen"/>
      <selection activeCell="Q31" sqref="Q31"/>
      <selection pane="topRight" activeCell="Q31" sqref="Q31"/>
      <selection pane="bottomLeft" activeCell="Q31" sqref="Q31"/>
      <selection pane="bottomRight"/>
    </sheetView>
  </sheetViews>
  <sheetFormatPr baseColWidth="10" defaultColWidth="11.44140625" defaultRowHeight="13.2" x14ac:dyDescent="0.25"/>
  <cols>
    <col min="1" max="1" width="2.88671875" style="497" customWidth="1"/>
    <col min="2" max="2" width="45.44140625" style="497" bestFit="1" customWidth="1"/>
    <col min="3" max="4" width="9.88671875" style="497" customWidth="1"/>
    <col min="5" max="5" width="9.88671875" style="498" customWidth="1"/>
    <col min="6" max="7" width="9.88671875" style="497" customWidth="1"/>
    <col min="8" max="8" width="9.88671875" style="498" customWidth="1"/>
    <col min="9" max="10" width="9.88671875" style="497" customWidth="1"/>
    <col min="11" max="11" width="9.88671875" style="498" customWidth="1"/>
    <col min="12" max="13" width="9.88671875" style="497" customWidth="1"/>
    <col min="14" max="14" width="9.88671875" style="498" customWidth="1"/>
    <col min="15" max="16" width="9.88671875" style="497" customWidth="1"/>
    <col min="17" max="17" width="9.88671875" style="498" customWidth="1"/>
    <col min="18" max="62" width="9.88671875" style="497" customWidth="1"/>
    <col min="63" max="254" width="11.44140625" style="497"/>
    <col min="255" max="255" width="1.88671875" style="497" customWidth="1"/>
    <col min="256" max="256" width="17.88671875" style="497" bestFit="1" customWidth="1"/>
    <col min="257" max="257" width="5.88671875" style="497" bestFit="1" customWidth="1"/>
    <col min="258" max="258" width="36.88671875" style="497" bestFit="1" customWidth="1"/>
    <col min="259" max="273" width="9.88671875" style="497" customWidth="1"/>
    <col min="274" max="279" width="11.44140625" style="497" customWidth="1"/>
    <col min="280" max="510" width="11.44140625" style="497"/>
    <col min="511" max="511" width="1.88671875" style="497" customWidth="1"/>
    <col min="512" max="512" width="17.88671875" style="497" bestFit="1" customWidth="1"/>
    <col min="513" max="513" width="5.88671875" style="497" bestFit="1" customWidth="1"/>
    <col min="514" max="514" width="36.88671875" style="497" bestFit="1" customWidth="1"/>
    <col min="515" max="529" width="9.88671875" style="497" customWidth="1"/>
    <col min="530" max="535" width="11.44140625" style="497" customWidth="1"/>
    <col min="536" max="766" width="11.44140625" style="497"/>
    <col min="767" max="767" width="1.88671875" style="497" customWidth="1"/>
    <col min="768" max="768" width="17.88671875" style="497" bestFit="1" customWidth="1"/>
    <col min="769" max="769" width="5.88671875" style="497" bestFit="1" customWidth="1"/>
    <col min="770" max="770" width="36.88671875" style="497" bestFit="1" customWidth="1"/>
    <col min="771" max="785" width="9.88671875" style="497" customWidth="1"/>
    <col min="786" max="791" width="11.44140625" style="497" customWidth="1"/>
    <col min="792" max="1022" width="11.44140625" style="497"/>
    <col min="1023" max="1023" width="1.88671875" style="497" customWidth="1"/>
    <col min="1024" max="1024" width="17.88671875" style="497" bestFit="1" customWidth="1"/>
    <col min="1025" max="1025" width="5.88671875" style="497" bestFit="1" customWidth="1"/>
    <col min="1026" max="1026" width="36.88671875" style="497" bestFit="1" customWidth="1"/>
    <col min="1027" max="1041" width="9.88671875" style="497" customWidth="1"/>
    <col min="1042" max="1047" width="11.44140625" style="497" customWidth="1"/>
    <col min="1048" max="1278" width="11.44140625" style="497"/>
    <col min="1279" max="1279" width="1.88671875" style="497" customWidth="1"/>
    <col min="1280" max="1280" width="17.88671875" style="497" bestFit="1" customWidth="1"/>
    <col min="1281" max="1281" width="5.88671875" style="497" bestFit="1" customWidth="1"/>
    <col min="1282" max="1282" width="36.88671875" style="497" bestFit="1" customWidth="1"/>
    <col min="1283" max="1297" width="9.88671875" style="497" customWidth="1"/>
    <col min="1298" max="1303" width="11.44140625" style="497" customWidth="1"/>
    <col min="1304" max="1534" width="11.44140625" style="497"/>
    <col min="1535" max="1535" width="1.88671875" style="497" customWidth="1"/>
    <col min="1536" max="1536" width="17.88671875" style="497" bestFit="1" customWidth="1"/>
    <col min="1537" max="1537" width="5.88671875" style="497" bestFit="1" customWidth="1"/>
    <col min="1538" max="1538" width="36.88671875" style="497" bestFit="1" customWidth="1"/>
    <col min="1539" max="1553" width="9.88671875" style="497" customWidth="1"/>
    <col min="1554" max="1559" width="11.44140625" style="497" customWidth="1"/>
    <col min="1560" max="1790" width="11.44140625" style="497"/>
    <col min="1791" max="1791" width="1.88671875" style="497" customWidth="1"/>
    <col min="1792" max="1792" width="17.88671875" style="497" bestFit="1" customWidth="1"/>
    <col min="1793" max="1793" width="5.88671875" style="497" bestFit="1" customWidth="1"/>
    <col min="1794" max="1794" width="36.88671875" style="497" bestFit="1" customWidth="1"/>
    <col min="1795" max="1809" width="9.88671875" style="497" customWidth="1"/>
    <col min="1810" max="1815" width="11.44140625" style="497" customWidth="1"/>
    <col min="1816" max="2046" width="11.44140625" style="497"/>
    <col min="2047" max="2047" width="1.88671875" style="497" customWidth="1"/>
    <col min="2048" max="2048" width="17.88671875" style="497" bestFit="1" customWidth="1"/>
    <col min="2049" max="2049" width="5.88671875" style="497" bestFit="1" customWidth="1"/>
    <col min="2050" max="2050" width="36.88671875" style="497" bestFit="1" customWidth="1"/>
    <col min="2051" max="2065" width="9.88671875" style="497" customWidth="1"/>
    <col min="2066" max="2071" width="11.44140625" style="497" customWidth="1"/>
    <col min="2072" max="2302" width="11.44140625" style="497"/>
    <col min="2303" max="2303" width="1.88671875" style="497" customWidth="1"/>
    <col min="2304" max="2304" width="17.88671875" style="497" bestFit="1" customWidth="1"/>
    <col min="2305" max="2305" width="5.88671875" style="497" bestFit="1" customWidth="1"/>
    <col min="2306" max="2306" width="36.88671875" style="497" bestFit="1" customWidth="1"/>
    <col min="2307" max="2321" width="9.88671875" style="497" customWidth="1"/>
    <col min="2322" max="2327" width="11.44140625" style="497" customWidth="1"/>
    <col min="2328" max="2558" width="11.44140625" style="497"/>
    <col min="2559" max="2559" width="1.88671875" style="497" customWidth="1"/>
    <col min="2560" max="2560" width="17.88671875" style="497" bestFit="1" customWidth="1"/>
    <col min="2561" max="2561" width="5.88671875" style="497" bestFit="1" customWidth="1"/>
    <col min="2562" max="2562" width="36.88671875" style="497" bestFit="1" customWidth="1"/>
    <col min="2563" max="2577" width="9.88671875" style="497" customWidth="1"/>
    <col min="2578" max="2583" width="11.44140625" style="497" customWidth="1"/>
    <col min="2584" max="2814" width="11.44140625" style="497"/>
    <col min="2815" max="2815" width="1.88671875" style="497" customWidth="1"/>
    <col min="2816" max="2816" width="17.88671875" style="497" bestFit="1" customWidth="1"/>
    <col min="2817" max="2817" width="5.88671875" style="497" bestFit="1" customWidth="1"/>
    <col min="2818" max="2818" width="36.88671875" style="497" bestFit="1" customWidth="1"/>
    <col min="2819" max="2833" width="9.88671875" style="497" customWidth="1"/>
    <col min="2834" max="2839" width="11.44140625" style="497" customWidth="1"/>
    <col min="2840" max="3070" width="11.44140625" style="497"/>
    <col min="3071" max="3071" width="1.88671875" style="497" customWidth="1"/>
    <col min="3072" max="3072" width="17.88671875" style="497" bestFit="1" customWidth="1"/>
    <col min="3073" max="3073" width="5.88671875" style="497" bestFit="1" customWidth="1"/>
    <col min="3074" max="3074" width="36.88671875" style="497" bestFit="1" customWidth="1"/>
    <col min="3075" max="3089" width="9.88671875" style="497" customWidth="1"/>
    <col min="3090" max="3095" width="11.44140625" style="497" customWidth="1"/>
    <col min="3096" max="3326" width="11.44140625" style="497"/>
    <col min="3327" max="3327" width="1.88671875" style="497" customWidth="1"/>
    <col min="3328" max="3328" width="17.88671875" style="497" bestFit="1" customWidth="1"/>
    <col min="3329" max="3329" width="5.88671875" style="497" bestFit="1" customWidth="1"/>
    <col min="3330" max="3330" width="36.88671875" style="497" bestFit="1" customWidth="1"/>
    <col min="3331" max="3345" width="9.88671875" style="497" customWidth="1"/>
    <col min="3346" max="3351" width="11.44140625" style="497" customWidth="1"/>
    <col min="3352" max="3582" width="11.44140625" style="497"/>
    <col min="3583" max="3583" width="1.88671875" style="497" customWidth="1"/>
    <col min="3584" max="3584" width="17.88671875" style="497" bestFit="1" customWidth="1"/>
    <col min="3585" max="3585" width="5.88671875" style="497" bestFit="1" customWidth="1"/>
    <col min="3586" max="3586" width="36.88671875" style="497" bestFit="1" customWidth="1"/>
    <col min="3587" max="3601" width="9.88671875" style="497" customWidth="1"/>
    <col min="3602" max="3607" width="11.44140625" style="497" customWidth="1"/>
    <col min="3608" max="3838" width="11.44140625" style="497"/>
    <col min="3839" max="3839" width="1.88671875" style="497" customWidth="1"/>
    <col min="3840" max="3840" width="17.88671875" style="497" bestFit="1" customWidth="1"/>
    <col min="3841" max="3841" width="5.88671875" style="497" bestFit="1" customWidth="1"/>
    <col min="3842" max="3842" width="36.88671875" style="497" bestFit="1" customWidth="1"/>
    <col min="3843" max="3857" width="9.88671875" style="497" customWidth="1"/>
    <col min="3858" max="3863" width="11.44140625" style="497" customWidth="1"/>
    <col min="3864" max="4094" width="11.44140625" style="497"/>
    <col min="4095" max="4095" width="1.88671875" style="497" customWidth="1"/>
    <col min="4096" max="4096" width="17.88671875" style="497" bestFit="1" customWidth="1"/>
    <col min="4097" max="4097" width="5.88671875" style="497" bestFit="1" customWidth="1"/>
    <col min="4098" max="4098" width="36.88671875" style="497" bestFit="1" customWidth="1"/>
    <col min="4099" max="4113" width="9.88671875" style="497" customWidth="1"/>
    <col min="4114" max="4119" width="11.44140625" style="497" customWidth="1"/>
    <col min="4120" max="4350" width="11.44140625" style="497"/>
    <col min="4351" max="4351" width="1.88671875" style="497" customWidth="1"/>
    <col min="4352" max="4352" width="17.88671875" style="497" bestFit="1" customWidth="1"/>
    <col min="4353" max="4353" width="5.88671875" style="497" bestFit="1" customWidth="1"/>
    <col min="4354" max="4354" width="36.88671875" style="497" bestFit="1" customWidth="1"/>
    <col min="4355" max="4369" width="9.88671875" style="497" customWidth="1"/>
    <col min="4370" max="4375" width="11.44140625" style="497" customWidth="1"/>
    <col min="4376" max="4606" width="11.44140625" style="497"/>
    <col min="4607" max="4607" width="1.88671875" style="497" customWidth="1"/>
    <col min="4608" max="4608" width="17.88671875" style="497" bestFit="1" customWidth="1"/>
    <col min="4609" max="4609" width="5.88671875" style="497" bestFit="1" customWidth="1"/>
    <col min="4610" max="4610" width="36.88671875" style="497" bestFit="1" customWidth="1"/>
    <col min="4611" max="4625" width="9.88671875" style="497" customWidth="1"/>
    <col min="4626" max="4631" width="11.44140625" style="497" customWidth="1"/>
    <col min="4632" max="4862" width="11.44140625" style="497"/>
    <col min="4863" max="4863" width="1.88671875" style="497" customWidth="1"/>
    <col min="4864" max="4864" width="17.88671875" style="497" bestFit="1" customWidth="1"/>
    <col min="4865" max="4865" width="5.88671875" style="497" bestFit="1" customWidth="1"/>
    <col min="4866" max="4866" width="36.88671875" style="497" bestFit="1" customWidth="1"/>
    <col min="4867" max="4881" width="9.88671875" style="497" customWidth="1"/>
    <col min="4882" max="4887" width="11.44140625" style="497" customWidth="1"/>
    <col min="4888" max="5118" width="11.44140625" style="497"/>
    <col min="5119" max="5119" width="1.88671875" style="497" customWidth="1"/>
    <col min="5120" max="5120" width="17.88671875" style="497" bestFit="1" customWidth="1"/>
    <col min="5121" max="5121" width="5.88671875" style="497" bestFit="1" customWidth="1"/>
    <col min="5122" max="5122" width="36.88671875" style="497" bestFit="1" customWidth="1"/>
    <col min="5123" max="5137" width="9.88671875" style="497" customWidth="1"/>
    <col min="5138" max="5143" width="11.44140625" style="497" customWidth="1"/>
    <col min="5144" max="5374" width="11.44140625" style="497"/>
    <col min="5375" max="5375" width="1.88671875" style="497" customWidth="1"/>
    <col min="5376" max="5376" width="17.88671875" style="497" bestFit="1" customWidth="1"/>
    <col min="5377" max="5377" width="5.88671875" style="497" bestFit="1" customWidth="1"/>
    <col min="5378" max="5378" width="36.88671875" style="497" bestFit="1" customWidth="1"/>
    <col min="5379" max="5393" width="9.88671875" style="497" customWidth="1"/>
    <col min="5394" max="5399" width="11.44140625" style="497" customWidth="1"/>
    <col min="5400" max="5630" width="11.44140625" style="497"/>
    <col min="5631" max="5631" width="1.88671875" style="497" customWidth="1"/>
    <col min="5632" max="5632" width="17.88671875" style="497" bestFit="1" customWidth="1"/>
    <col min="5633" max="5633" width="5.88671875" style="497" bestFit="1" customWidth="1"/>
    <col min="5634" max="5634" width="36.88671875" style="497" bestFit="1" customWidth="1"/>
    <col min="5635" max="5649" width="9.88671875" style="497" customWidth="1"/>
    <col min="5650" max="5655" width="11.44140625" style="497" customWidth="1"/>
    <col min="5656" max="5886" width="11.44140625" style="497"/>
    <col min="5887" max="5887" width="1.88671875" style="497" customWidth="1"/>
    <col min="5888" max="5888" width="17.88671875" style="497" bestFit="1" customWidth="1"/>
    <col min="5889" max="5889" width="5.88671875" style="497" bestFit="1" customWidth="1"/>
    <col min="5890" max="5890" width="36.88671875" style="497" bestFit="1" customWidth="1"/>
    <col min="5891" max="5905" width="9.88671875" style="497" customWidth="1"/>
    <col min="5906" max="5911" width="11.44140625" style="497" customWidth="1"/>
    <col min="5912" max="6142" width="11.44140625" style="497"/>
    <col min="6143" max="6143" width="1.88671875" style="497" customWidth="1"/>
    <col min="6144" max="6144" width="17.88671875" style="497" bestFit="1" customWidth="1"/>
    <col min="6145" max="6145" width="5.88671875" style="497" bestFit="1" customWidth="1"/>
    <col min="6146" max="6146" width="36.88671875" style="497" bestFit="1" customWidth="1"/>
    <col min="6147" max="6161" width="9.88671875" style="497" customWidth="1"/>
    <col min="6162" max="6167" width="11.44140625" style="497" customWidth="1"/>
    <col min="6168" max="6398" width="11.44140625" style="497"/>
    <col min="6399" max="6399" width="1.88671875" style="497" customWidth="1"/>
    <col min="6400" max="6400" width="17.88671875" style="497" bestFit="1" customWidth="1"/>
    <col min="6401" max="6401" width="5.88671875" style="497" bestFit="1" customWidth="1"/>
    <col min="6402" max="6402" width="36.88671875" style="497" bestFit="1" customWidth="1"/>
    <col min="6403" max="6417" width="9.88671875" style="497" customWidth="1"/>
    <col min="6418" max="6423" width="11.44140625" style="497" customWidth="1"/>
    <col min="6424" max="6654" width="11.44140625" style="497"/>
    <col min="6655" max="6655" width="1.88671875" style="497" customWidth="1"/>
    <col min="6656" max="6656" width="17.88671875" style="497" bestFit="1" customWidth="1"/>
    <col min="6657" max="6657" width="5.88671875" style="497" bestFit="1" customWidth="1"/>
    <col min="6658" max="6658" width="36.88671875" style="497" bestFit="1" customWidth="1"/>
    <col min="6659" max="6673" width="9.88671875" style="497" customWidth="1"/>
    <col min="6674" max="6679" width="11.44140625" style="497" customWidth="1"/>
    <col min="6680" max="6910" width="11.44140625" style="497"/>
    <col min="6911" max="6911" width="1.88671875" style="497" customWidth="1"/>
    <col min="6912" max="6912" width="17.88671875" style="497" bestFit="1" customWidth="1"/>
    <col min="6913" max="6913" width="5.88671875" style="497" bestFit="1" customWidth="1"/>
    <col min="6914" max="6914" width="36.88671875" style="497" bestFit="1" customWidth="1"/>
    <col min="6915" max="6929" width="9.88671875" style="497" customWidth="1"/>
    <col min="6930" max="6935" width="11.44140625" style="497" customWidth="1"/>
    <col min="6936" max="7166" width="11.44140625" style="497"/>
    <col min="7167" max="7167" width="1.88671875" style="497" customWidth="1"/>
    <col min="7168" max="7168" width="17.88671875" style="497" bestFit="1" customWidth="1"/>
    <col min="7169" max="7169" width="5.88671875" style="497" bestFit="1" customWidth="1"/>
    <col min="7170" max="7170" width="36.88671875" style="497" bestFit="1" customWidth="1"/>
    <col min="7171" max="7185" width="9.88671875" style="497" customWidth="1"/>
    <col min="7186" max="7191" width="11.44140625" style="497" customWidth="1"/>
    <col min="7192" max="7422" width="11.44140625" style="497"/>
    <col min="7423" max="7423" width="1.88671875" style="497" customWidth="1"/>
    <col min="7424" max="7424" width="17.88671875" style="497" bestFit="1" customWidth="1"/>
    <col min="7425" max="7425" width="5.88671875" style="497" bestFit="1" customWidth="1"/>
    <col min="7426" max="7426" width="36.88671875" style="497" bestFit="1" customWidth="1"/>
    <col min="7427" max="7441" width="9.88671875" style="497" customWidth="1"/>
    <col min="7442" max="7447" width="11.44140625" style="497" customWidth="1"/>
    <col min="7448" max="7678" width="11.44140625" style="497"/>
    <col min="7679" max="7679" width="1.88671875" style="497" customWidth="1"/>
    <col min="7680" max="7680" width="17.88671875" style="497" bestFit="1" customWidth="1"/>
    <col min="7681" max="7681" width="5.88671875" style="497" bestFit="1" customWidth="1"/>
    <col min="7682" max="7682" width="36.88671875" style="497" bestFit="1" customWidth="1"/>
    <col min="7683" max="7697" width="9.88671875" style="497" customWidth="1"/>
    <col min="7698" max="7703" width="11.44140625" style="497" customWidth="1"/>
    <col min="7704" max="7934" width="11.44140625" style="497"/>
    <col min="7935" max="7935" width="1.88671875" style="497" customWidth="1"/>
    <col min="7936" max="7936" width="17.88671875" style="497" bestFit="1" customWidth="1"/>
    <col min="7937" max="7937" width="5.88671875" style="497" bestFit="1" customWidth="1"/>
    <col min="7938" max="7938" width="36.88671875" style="497" bestFit="1" customWidth="1"/>
    <col min="7939" max="7953" width="9.88671875" style="497" customWidth="1"/>
    <col min="7954" max="7959" width="11.44140625" style="497" customWidth="1"/>
    <col min="7960" max="8190" width="11.44140625" style="497"/>
    <col min="8191" max="8191" width="1.88671875" style="497" customWidth="1"/>
    <col min="8192" max="8192" width="17.88671875" style="497" bestFit="1" customWidth="1"/>
    <col min="8193" max="8193" width="5.88671875" style="497" bestFit="1" customWidth="1"/>
    <col min="8194" max="8194" width="36.88671875" style="497" bestFit="1" customWidth="1"/>
    <col min="8195" max="8209" width="9.88671875" style="497" customWidth="1"/>
    <col min="8210" max="8215" width="11.44140625" style="497" customWidth="1"/>
    <col min="8216" max="8446" width="11.44140625" style="497"/>
    <col min="8447" max="8447" width="1.88671875" style="497" customWidth="1"/>
    <col min="8448" max="8448" width="17.88671875" style="497" bestFit="1" customWidth="1"/>
    <col min="8449" max="8449" width="5.88671875" style="497" bestFit="1" customWidth="1"/>
    <col min="8450" max="8450" width="36.88671875" style="497" bestFit="1" customWidth="1"/>
    <col min="8451" max="8465" width="9.88671875" style="497" customWidth="1"/>
    <col min="8466" max="8471" width="11.44140625" style="497" customWidth="1"/>
    <col min="8472" max="8702" width="11.44140625" style="497"/>
    <col min="8703" max="8703" width="1.88671875" style="497" customWidth="1"/>
    <col min="8704" max="8704" width="17.88671875" style="497" bestFit="1" customWidth="1"/>
    <col min="8705" max="8705" width="5.88671875" style="497" bestFit="1" customWidth="1"/>
    <col min="8706" max="8706" width="36.88671875" style="497" bestFit="1" customWidth="1"/>
    <col min="8707" max="8721" width="9.88671875" style="497" customWidth="1"/>
    <col min="8722" max="8727" width="11.44140625" style="497" customWidth="1"/>
    <col min="8728" max="8958" width="11.44140625" style="497"/>
    <col min="8959" max="8959" width="1.88671875" style="497" customWidth="1"/>
    <col min="8960" max="8960" width="17.88671875" style="497" bestFit="1" customWidth="1"/>
    <col min="8961" max="8961" width="5.88671875" style="497" bestFit="1" customWidth="1"/>
    <col min="8962" max="8962" width="36.88671875" style="497" bestFit="1" customWidth="1"/>
    <col min="8963" max="8977" width="9.88671875" style="497" customWidth="1"/>
    <col min="8978" max="8983" width="11.44140625" style="497" customWidth="1"/>
    <col min="8984" max="9214" width="11.44140625" style="497"/>
    <col min="9215" max="9215" width="1.88671875" style="497" customWidth="1"/>
    <col min="9216" max="9216" width="17.88671875" style="497" bestFit="1" customWidth="1"/>
    <col min="9217" max="9217" width="5.88671875" style="497" bestFit="1" customWidth="1"/>
    <col min="9218" max="9218" width="36.88671875" style="497" bestFit="1" customWidth="1"/>
    <col min="9219" max="9233" width="9.88671875" style="497" customWidth="1"/>
    <col min="9234" max="9239" width="11.44140625" style="497" customWidth="1"/>
    <col min="9240" max="9470" width="11.44140625" style="497"/>
    <col min="9471" max="9471" width="1.88671875" style="497" customWidth="1"/>
    <col min="9472" max="9472" width="17.88671875" style="497" bestFit="1" customWidth="1"/>
    <col min="9473" max="9473" width="5.88671875" style="497" bestFit="1" customWidth="1"/>
    <col min="9474" max="9474" width="36.88671875" style="497" bestFit="1" customWidth="1"/>
    <col min="9475" max="9489" width="9.88671875" style="497" customWidth="1"/>
    <col min="9490" max="9495" width="11.44140625" style="497" customWidth="1"/>
    <col min="9496" max="9726" width="11.44140625" style="497"/>
    <col min="9727" max="9727" width="1.88671875" style="497" customWidth="1"/>
    <col min="9728" max="9728" width="17.88671875" style="497" bestFit="1" customWidth="1"/>
    <col min="9729" max="9729" width="5.88671875" style="497" bestFit="1" customWidth="1"/>
    <col min="9730" max="9730" width="36.88671875" style="497" bestFit="1" customWidth="1"/>
    <col min="9731" max="9745" width="9.88671875" style="497" customWidth="1"/>
    <col min="9746" max="9751" width="11.44140625" style="497" customWidth="1"/>
    <col min="9752" max="9982" width="11.44140625" style="497"/>
    <col min="9983" max="9983" width="1.88671875" style="497" customWidth="1"/>
    <col min="9984" max="9984" width="17.88671875" style="497" bestFit="1" customWidth="1"/>
    <col min="9985" max="9985" width="5.88671875" style="497" bestFit="1" customWidth="1"/>
    <col min="9986" max="9986" width="36.88671875" style="497" bestFit="1" customWidth="1"/>
    <col min="9987" max="10001" width="9.88671875" style="497" customWidth="1"/>
    <col min="10002" max="10007" width="11.44140625" style="497" customWidth="1"/>
    <col min="10008" max="10238" width="11.44140625" style="497"/>
    <col min="10239" max="10239" width="1.88671875" style="497" customWidth="1"/>
    <col min="10240" max="10240" width="17.88671875" style="497" bestFit="1" customWidth="1"/>
    <col min="10241" max="10241" width="5.88671875" style="497" bestFit="1" customWidth="1"/>
    <col min="10242" max="10242" width="36.88671875" style="497" bestFit="1" customWidth="1"/>
    <col min="10243" max="10257" width="9.88671875" style="497" customWidth="1"/>
    <col min="10258" max="10263" width="11.44140625" style="497" customWidth="1"/>
    <col min="10264" max="10494" width="11.44140625" style="497"/>
    <col min="10495" max="10495" width="1.88671875" style="497" customWidth="1"/>
    <col min="10496" max="10496" width="17.88671875" style="497" bestFit="1" customWidth="1"/>
    <col min="10497" max="10497" width="5.88671875" style="497" bestFit="1" customWidth="1"/>
    <col min="10498" max="10498" width="36.88671875" style="497" bestFit="1" customWidth="1"/>
    <col min="10499" max="10513" width="9.88671875" style="497" customWidth="1"/>
    <col min="10514" max="10519" width="11.44140625" style="497" customWidth="1"/>
    <col min="10520" max="10750" width="11.44140625" style="497"/>
    <col min="10751" max="10751" width="1.88671875" style="497" customWidth="1"/>
    <col min="10752" max="10752" width="17.88671875" style="497" bestFit="1" customWidth="1"/>
    <col min="10753" max="10753" width="5.88671875" style="497" bestFit="1" customWidth="1"/>
    <col min="10754" max="10754" width="36.88671875" style="497" bestFit="1" customWidth="1"/>
    <col min="10755" max="10769" width="9.88671875" style="497" customWidth="1"/>
    <col min="10770" max="10775" width="11.44140625" style="497" customWidth="1"/>
    <col min="10776" max="11006" width="11.44140625" style="497"/>
    <col min="11007" max="11007" width="1.88671875" style="497" customWidth="1"/>
    <col min="11008" max="11008" width="17.88671875" style="497" bestFit="1" customWidth="1"/>
    <col min="11009" max="11009" width="5.88671875" style="497" bestFit="1" customWidth="1"/>
    <col min="11010" max="11010" width="36.88671875" style="497" bestFit="1" customWidth="1"/>
    <col min="11011" max="11025" width="9.88671875" style="497" customWidth="1"/>
    <col min="11026" max="11031" width="11.44140625" style="497" customWidth="1"/>
    <col min="11032" max="11262" width="11.44140625" style="497"/>
    <col min="11263" max="11263" width="1.88671875" style="497" customWidth="1"/>
    <col min="11264" max="11264" width="17.88671875" style="497" bestFit="1" customWidth="1"/>
    <col min="11265" max="11265" width="5.88671875" style="497" bestFit="1" customWidth="1"/>
    <col min="11266" max="11266" width="36.88671875" style="497" bestFit="1" customWidth="1"/>
    <col min="11267" max="11281" width="9.88671875" style="497" customWidth="1"/>
    <col min="11282" max="11287" width="11.44140625" style="497" customWidth="1"/>
    <col min="11288" max="11518" width="11.44140625" style="497"/>
    <col min="11519" max="11519" width="1.88671875" style="497" customWidth="1"/>
    <col min="11520" max="11520" width="17.88671875" style="497" bestFit="1" customWidth="1"/>
    <col min="11521" max="11521" width="5.88671875" style="497" bestFit="1" customWidth="1"/>
    <col min="11522" max="11522" width="36.88671875" style="497" bestFit="1" customWidth="1"/>
    <col min="11523" max="11537" width="9.88671875" style="497" customWidth="1"/>
    <col min="11538" max="11543" width="11.44140625" style="497" customWidth="1"/>
    <col min="11544" max="11774" width="11.44140625" style="497"/>
    <col min="11775" max="11775" width="1.88671875" style="497" customWidth="1"/>
    <col min="11776" max="11776" width="17.88671875" style="497" bestFit="1" customWidth="1"/>
    <col min="11777" max="11777" width="5.88671875" style="497" bestFit="1" customWidth="1"/>
    <col min="11778" max="11778" width="36.88671875" style="497" bestFit="1" customWidth="1"/>
    <col min="11779" max="11793" width="9.88671875" style="497" customWidth="1"/>
    <col min="11794" max="11799" width="11.44140625" style="497" customWidth="1"/>
    <col min="11800" max="12030" width="11.44140625" style="497"/>
    <col min="12031" max="12031" width="1.88671875" style="497" customWidth="1"/>
    <col min="12032" max="12032" width="17.88671875" style="497" bestFit="1" customWidth="1"/>
    <col min="12033" max="12033" width="5.88671875" style="497" bestFit="1" customWidth="1"/>
    <col min="12034" max="12034" width="36.88671875" style="497" bestFit="1" customWidth="1"/>
    <col min="12035" max="12049" width="9.88671875" style="497" customWidth="1"/>
    <col min="12050" max="12055" width="11.44140625" style="497" customWidth="1"/>
    <col min="12056" max="12286" width="11.44140625" style="497"/>
    <col min="12287" max="12287" width="1.88671875" style="497" customWidth="1"/>
    <col min="12288" max="12288" width="17.88671875" style="497" bestFit="1" customWidth="1"/>
    <col min="12289" max="12289" width="5.88671875" style="497" bestFit="1" customWidth="1"/>
    <col min="12290" max="12290" width="36.88671875" style="497" bestFit="1" customWidth="1"/>
    <col min="12291" max="12305" width="9.88671875" style="497" customWidth="1"/>
    <col min="12306" max="12311" width="11.44140625" style="497" customWidth="1"/>
    <col min="12312" max="12542" width="11.44140625" style="497"/>
    <col min="12543" max="12543" width="1.88671875" style="497" customWidth="1"/>
    <col min="12544" max="12544" width="17.88671875" style="497" bestFit="1" customWidth="1"/>
    <col min="12545" max="12545" width="5.88671875" style="497" bestFit="1" customWidth="1"/>
    <col min="12546" max="12546" width="36.88671875" style="497" bestFit="1" customWidth="1"/>
    <col min="12547" max="12561" width="9.88671875" style="497" customWidth="1"/>
    <col min="12562" max="12567" width="11.44140625" style="497" customWidth="1"/>
    <col min="12568" max="12798" width="11.44140625" style="497"/>
    <col min="12799" max="12799" width="1.88671875" style="497" customWidth="1"/>
    <col min="12800" max="12800" width="17.88671875" style="497" bestFit="1" customWidth="1"/>
    <col min="12801" max="12801" width="5.88671875" style="497" bestFit="1" customWidth="1"/>
    <col min="12802" max="12802" width="36.88671875" style="497" bestFit="1" customWidth="1"/>
    <col min="12803" max="12817" width="9.88671875" style="497" customWidth="1"/>
    <col min="12818" max="12823" width="11.44140625" style="497" customWidth="1"/>
    <col min="12824" max="13054" width="11.44140625" style="497"/>
    <col min="13055" max="13055" width="1.88671875" style="497" customWidth="1"/>
    <col min="13056" max="13056" width="17.88671875" style="497" bestFit="1" customWidth="1"/>
    <col min="13057" max="13057" width="5.88671875" style="497" bestFit="1" customWidth="1"/>
    <col min="13058" max="13058" width="36.88671875" style="497" bestFit="1" customWidth="1"/>
    <col min="13059" max="13073" width="9.88671875" style="497" customWidth="1"/>
    <col min="13074" max="13079" width="11.44140625" style="497" customWidth="1"/>
    <col min="13080" max="13310" width="11.44140625" style="497"/>
    <col min="13311" max="13311" width="1.88671875" style="497" customWidth="1"/>
    <col min="13312" max="13312" width="17.88671875" style="497" bestFit="1" customWidth="1"/>
    <col min="13313" max="13313" width="5.88671875" style="497" bestFit="1" customWidth="1"/>
    <col min="13314" max="13314" width="36.88671875" style="497" bestFit="1" customWidth="1"/>
    <col min="13315" max="13329" width="9.88671875" style="497" customWidth="1"/>
    <col min="13330" max="13335" width="11.44140625" style="497" customWidth="1"/>
    <col min="13336" max="13566" width="11.44140625" style="497"/>
    <col min="13567" max="13567" width="1.88671875" style="497" customWidth="1"/>
    <col min="13568" max="13568" width="17.88671875" style="497" bestFit="1" customWidth="1"/>
    <col min="13569" max="13569" width="5.88671875" style="497" bestFit="1" customWidth="1"/>
    <col min="13570" max="13570" width="36.88671875" style="497" bestFit="1" customWidth="1"/>
    <col min="13571" max="13585" width="9.88671875" style="497" customWidth="1"/>
    <col min="13586" max="13591" width="11.44140625" style="497" customWidth="1"/>
    <col min="13592" max="13822" width="11.44140625" style="497"/>
    <col min="13823" max="13823" width="1.88671875" style="497" customWidth="1"/>
    <col min="13824" max="13824" width="17.88671875" style="497" bestFit="1" customWidth="1"/>
    <col min="13825" max="13825" width="5.88671875" style="497" bestFit="1" customWidth="1"/>
    <col min="13826" max="13826" width="36.88671875" style="497" bestFit="1" customWidth="1"/>
    <col min="13827" max="13841" width="9.88671875" style="497" customWidth="1"/>
    <col min="13842" max="13847" width="11.44140625" style="497" customWidth="1"/>
    <col min="13848" max="14078" width="11.44140625" style="497"/>
    <col min="14079" max="14079" width="1.88671875" style="497" customWidth="1"/>
    <col min="14080" max="14080" width="17.88671875" style="497" bestFit="1" customWidth="1"/>
    <col min="14081" max="14081" width="5.88671875" style="497" bestFit="1" customWidth="1"/>
    <col min="14082" max="14082" width="36.88671875" style="497" bestFit="1" customWidth="1"/>
    <col min="14083" max="14097" width="9.88671875" style="497" customWidth="1"/>
    <col min="14098" max="14103" width="11.44140625" style="497" customWidth="1"/>
    <col min="14104" max="14334" width="11.44140625" style="497"/>
    <col min="14335" max="14335" width="1.88671875" style="497" customWidth="1"/>
    <col min="14336" max="14336" width="17.88671875" style="497" bestFit="1" customWidth="1"/>
    <col min="14337" max="14337" width="5.88671875" style="497" bestFit="1" customWidth="1"/>
    <col min="14338" max="14338" width="36.88671875" style="497" bestFit="1" customWidth="1"/>
    <col min="14339" max="14353" width="9.88671875" style="497" customWidth="1"/>
    <col min="14354" max="14359" width="11.44140625" style="497" customWidth="1"/>
    <col min="14360" max="14590" width="11.44140625" style="497"/>
    <col min="14591" max="14591" width="1.88671875" style="497" customWidth="1"/>
    <col min="14592" max="14592" width="17.88671875" style="497" bestFit="1" customWidth="1"/>
    <col min="14593" max="14593" width="5.88671875" style="497" bestFit="1" customWidth="1"/>
    <col min="14594" max="14594" width="36.88671875" style="497" bestFit="1" customWidth="1"/>
    <col min="14595" max="14609" width="9.88671875" style="497" customWidth="1"/>
    <col min="14610" max="14615" width="11.44140625" style="497" customWidth="1"/>
    <col min="14616" max="14846" width="11.44140625" style="497"/>
    <col min="14847" max="14847" width="1.88671875" style="497" customWidth="1"/>
    <col min="14848" max="14848" width="17.88671875" style="497" bestFit="1" customWidth="1"/>
    <col min="14849" max="14849" width="5.88671875" style="497" bestFit="1" customWidth="1"/>
    <col min="14850" max="14850" width="36.88671875" style="497" bestFit="1" customWidth="1"/>
    <col min="14851" max="14865" width="9.88671875" style="497" customWidth="1"/>
    <col min="14866" max="14871" width="11.44140625" style="497" customWidth="1"/>
    <col min="14872" max="15102" width="11.44140625" style="497"/>
    <col min="15103" max="15103" width="1.88671875" style="497" customWidth="1"/>
    <col min="15104" max="15104" width="17.88671875" style="497" bestFit="1" customWidth="1"/>
    <col min="15105" max="15105" width="5.88671875" style="497" bestFit="1" customWidth="1"/>
    <col min="15106" max="15106" width="36.88671875" style="497" bestFit="1" customWidth="1"/>
    <col min="15107" max="15121" width="9.88671875" style="497" customWidth="1"/>
    <col min="15122" max="15127" width="11.44140625" style="497" customWidth="1"/>
    <col min="15128" max="15358" width="11.44140625" style="497"/>
    <col min="15359" max="15359" width="1.88671875" style="497" customWidth="1"/>
    <col min="15360" max="15360" width="17.88671875" style="497" bestFit="1" customWidth="1"/>
    <col min="15361" max="15361" width="5.88671875" style="497" bestFit="1" customWidth="1"/>
    <col min="15362" max="15362" width="36.88671875" style="497" bestFit="1" customWidth="1"/>
    <col min="15363" max="15377" width="9.88671875" style="497" customWidth="1"/>
    <col min="15378" max="15383" width="11.44140625" style="497" customWidth="1"/>
    <col min="15384" max="15614" width="11.44140625" style="497"/>
    <col min="15615" max="15615" width="1.88671875" style="497" customWidth="1"/>
    <col min="15616" max="15616" width="17.88671875" style="497" bestFit="1" customWidth="1"/>
    <col min="15617" max="15617" width="5.88671875" style="497" bestFit="1" customWidth="1"/>
    <col min="15618" max="15618" width="36.88671875" style="497" bestFit="1" customWidth="1"/>
    <col min="15619" max="15633" width="9.88671875" style="497" customWidth="1"/>
    <col min="15634" max="15639" width="11.44140625" style="497" customWidth="1"/>
    <col min="15640" max="15870" width="11.44140625" style="497"/>
    <col min="15871" max="15871" width="1.88671875" style="497" customWidth="1"/>
    <col min="15872" max="15872" width="17.88671875" style="497" bestFit="1" customWidth="1"/>
    <col min="15873" max="15873" width="5.88671875" style="497" bestFit="1" customWidth="1"/>
    <col min="15874" max="15874" width="36.88671875" style="497" bestFit="1" customWidth="1"/>
    <col min="15875" max="15889" width="9.88671875" style="497" customWidth="1"/>
    <col min="15890" max="15895" width="11.44140625" style="497" customWidth="1"/>
    <col min="15896" max="16126" width="11.44140625" style="497"/>
    <col min="16127" max="16127" width="1.88671875" style="497" customWidth="1"/>
    <col min="16128" max="16128" width="17.88671875" style="497" bestFit="1" customWidth="1"/>
    <col min="16129" max="16129" width="5.88671875" style="497" bestFit="1" customWidth="1"/>
    <col min="16130" max="16130" width="36.88671875" style="497" bestFit="1" customWidth="1"/>
    <col min="16131" max="16145" width="9.88671875" style="497" customWidth="1"/>
    <col min="16146" max="16151" width="11.44140625" style="497" customWidth="1"/>
    <col min="16152" max="16384" width="11.44140625" style="497"/>
  </cols>
  <sheetData>
    <row r="1" spans="1:62" s="406" customFormat="1" ht="44.25" customHeight="1" x14ac:dyDescent="0.3">
      <c r="B1" s="407" t="s">
        <v>153</v>
      </c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408"/>
      <c r="U1" s="408"/>
      <c r="V1" s="408"/>
      <c r="W1" s="408"/>
    </row>
    <row r="2" spans="1:62" s="406" customFormat="1" ht="42.75" customHeight="1" x14ac:dyDescent="0.3">
      <c r="A2" s="408"/>
      <c r="B2" s="27" t="s">
        <v>154</v>
      </c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408"/>
      <c r="W2" s="408"/>
    </row>
    <row r="3" spans="1:62" s="406" customFormat="1" ht="15" customHeight="1" x14ac:dyDescent="0.3">
      <c r="A3" s="408"/>
      <c r="B3" s="5733" t="s">
        <v>45</v>
      </c>
      <c r="C3" s="5737">
        <v>2003</v>
      </c>
      <c r="D3" s="5737"/>
      <c r="E3" s="5737"/>
      <c r="F3" s="5737">
        <v>2004</v>
      </c>
      <c r="G3" s="5737"/>
      <c r="H3" s="5737"/>
      <c r="I3" s="5737">
        <v>2005</v>
      </c>
      <c r="J3" s="5737"/>
      <c r="K3" s="5737"/>
      <c r="L3" s="5737">
        <v>2006</v>
      </c>
      <c r="M3" s="5737"/>
      <c r="N3" s="5737"/>
      <c r="O3" s="5737">
        <v>2007</v>
      </c>
      <c r="P3" s="5737"/>
      <c r="Q3" s="5737"/>
      <c r="R3" s="5737">
        <v>2008</v>
      </c>
      <c r="S3" s="5737"/>
      <c r="T3" s="5737"/>
      <c r="U3" s="5737">
        <v>2009</v>
      </c>
      <c r="V3" s="5737"/>
      <c r="W3" s="5737"/>
      <c r="X3" s="5737">
        <v>2010</v>
      </c>
      <c r="Y3" s="5737"/>
      <c r="Z3" s="5737"/>
      <c r="AA3" s="5737">
        <v>2011</v>
      </c>
      <c r="AB3" s="5737"/>
      <c r="AC3" s="5737"/>
      <c r="AD3" s="5737">
        <v>2012</v>
      </c>
      <c r="AE3" s="5737"/>
      <c r="AF3" s="5737"/>
      <c r="AG3" s="5737">
        <v>2013</v>
      </c>
      <c r="AH3" s="5737"/>
      <c r="AI3" s="5737"/>
      <c r="AJ3" s="5737">
        <v>2014</v>
      </c>
      <c r="AK3" s="5737"/>
      <c r="AL3" s="5737"/>
      <c r="AM3" s="5737">
        <v>2015</v>
      </c>
      <c r="AN3" s="5737"/>
      <c r="AO3" s="5737"/>
      <c r="AP3" s="5737">
        <v>2016</v>
      </c>
      <c r="AQ3" s="5737"/>
      <c r="AR3" s="5737"/>
      <c r="AS3" s="5737">
        <v>2017</v>
      </c>
      <c r="AT3" s="5737"/>
      <c r="AU3" s="5737"/>
      <c r="AV3" s="5737">
        <v>2018</v>
      </c>
      <c r="AW3" s="5737"/>
      <c r="AX3" s="5737"/>
      <c r="AY3" s="5737">
        <v>2019</v>
      </c>
      <c r="AZ3" s="5737"/>
      <c r="BA3" s="5737"/>
      <c r="BB3" s="5737">
        <v>2020</v>
      </c>
      <c r="BC3" s="5737"/>
      <c r="BD3" s="5737"/>
      <c r="BE3" s="5737">
        <v>2021</v>
      </c>
      <c r="BF3" s="5737"/>
      <c r="BG3" s="5737"/>
      <c r="BH3" s="5737">
        <v>2022</v>
      </c>
      <c r="BI3" s="5737"/>
      <c r="BJ3" s="5737"/>
    </row>
    <row r="4" spans="1:62" s="413" customFormat="1" ht="15.6" x14ac:dyDescent="0.3">
      <c r="A4" s="408"/>
      <c r="B4" s="5733"/>
      <c r="C4" s="409" t="s">
        <v>1529</v>
      </c>
      <c r="D4" s="410" t="s">
        <v>1530</v>
      </c>
      <c r="E4" s="410" t="s">
        <v>1531</v>
      </c>
      <c r="F4" s="409" t="s">
        <v>1529</v>
      </c>
      <c r="G4" s="410" t="s">
        <v>1530</v>
      </c>
      <c r="H4" s="410" t="s">
        <v>1531</v>
      </c>
      <c r="I4" s="409" t="s">
        <v>1529</v>
      </c>
      <c r="J4" s="410" t="s">
        <v>1530</v>
      </c>
      <c r="K4" s="410" t="s">
        <v>1531</v>
      </c>
      <c r="L4" s="409" t="s">
        <v>1529</v>
      </c>
      <c r="M4" s="410" t="s">
        <v>1530</v>
      </c>
      <c r="N4" s="410" t="s">
        <v>1531</v>
      </c>
      <c r="O4" s="409" t="s">
        <v>1529</v>
      </c>
      <c r="P4" s="410" t="s">
        <v>1530</v>
      </c>
      <c r="Q4" s="410" t="s">
        <v>1531</v>
      </c>
      <c r="R4" s="409" t="s">
        <v>1529</v>
      </c>
      <c r="S4" s="410" t="s">
        <v>1530</v>
      </c>
      <c r="T4" s="410" t="s">
        <v>1531</v>
      </c>
      <c r="U4" s="409" t="s">
        <v>1529</v>
      </c>
      <c r="V4" s="410" t="s">
        <v>1530</v>
      </c>
      <c r="W4" s="410" t="s">
        <v>1531</v>
      </c>
      <c r="X4" s="409" t="s">
        <v>1529</v>
      </c>
      <c r="Y4" s="410" t="s">
        <v>1530</v>
      </c>
      <c r="Z4" s="410" t="s">
        <v>1531</v>
      </c>
      <c r="AA4" s="409" t="s">
        <v>1529</v>
      </c>
      <c r="AB4" s="410" t="s">
        <v>1530</v>
      </c>
      <c r="AC4" s="410" t="s">
        <v>1531</v>
      </c>
      <c r="AD4" s="409" t="s">
        <v>1529</v>
      </c>
      <c r="AE4" s="410" t="s">
        <v>1530</v>
      </c>
      <c r="AF4" s="410" t="s">
        <v>1531</v>
      </c>
      <c r="AG4" s="409" t="s">
        <v>1529</v>
      </c>
      <c r="AH4" s="410" t="s">
        <v>1530</v>
      </c>
      <c r="AI4" s="410" t="s">
        <v>1531</v>
      </c>
      <c r="AJ4" s="409" t="s">
        <v>1529</v>
      </c>
      <c r="AK4" s="410" t="s">
        <v>1530</v>
      </c>
      <c r="AL4" s="410" t="s">
        <v>1531</v>
      </c>
      <c r="AM4" s="409" t="s">
        <v>1529</v>
      </c>
      <c r="AN4" s="410" t="s">
        <v>1530</v>
      </c>
      <c r="AO4" s="410" t="s">
        <v>1531</v>
      </c>
      <c r="AP4" s="409" t="s">
        <v>1529</v>
      </c>
      <c r="AQ4" s="410" t="s">
        <v>1530</v>
      </c>
      <c r="AR4" s="410" t="s">
        <v>1531</v>
      </c>
      <c r="AS4" s="409" t="s">
        <v>1529</v>
      </c>
      <c r="AT4" s="410" t="s">
        <v>1530</v>
      </c>
      <c r="AU4" s="410" t="s">
        <v>1531</v>
      </c>
      <c r="AV4" s="409" t="s">
        <v>1529</v>
      </c>
      <c r="AW4" s="410" t="s">
        <v>1530</v>
      </c>
      <c r="AX4" s="410" t="s">
        <v>1531</v>
      </c>
      <c r="AY4" s="409" t="s">
        <v>1529</v>
      </c>
      <c r="AZ4" s="410" t="s">
        <v>1530</v>
      </c>
      <c r="BA4" s="410" t="s">
        <v>1531</v>
      </c>
      <c r="BB4" s="409" t="s">
        <v>1529</v>
      </c>
      <c r="BC4" s="410" t="s">
        <v>1530</v>
      </c>
      <c r="BD4" s="410" t="s">
        <v>1531</v>
      </c>
      <c r="BE4" s="409" t="s">
        <v>1529</v>
      </c>
      <c r="BF4" s="410" t="s">
        <v>1530</v>
      </c>
      <c r="BG4" s="410" t="s">
        <v>1531</v>
      </c>
      <c r="BH4" s="409" t="s">
        <v>1529</v>
      </c>
      <c r="BI4" s="410" t="s">
        <v>1530</v>
      </c>
      <c r="BJ4" s="4976" t="s">
        <v>1531</v>
      </c>
    </row>
    <row r="5" spans="1:62" s="424" customFormat="1" ht="15" customHeight="1" x14ac:dyDescent="0.3">
      <c r="A5" s="408"/>
      <c r="B5" s="32" t="s">
        <v>49</v>
      </c>
      <c r="C5" s="414">
        <v>264</v>
      </c>
      <c r="D5" s="415">
        <v>283</v>
      </c>
      <c r="E5" s="416">
        <v>307</v>
      </c>
      <c r="F5" s="414">
        <v>279</v>
      </c>
      <c r="G5" s="415">
        <v>285</v>
      </c>
      <c r="H5" s="417">
        <v>327</v>
      </c>
      <c r="I5" s="418">
        <v>299</v>
      </c>
      <c r="J5" s="419">
        <v>293</v>
      </c>
      <c r="K5" s="417">
        <v>317</v>
      </c>
      <c r="L5" s="418">
        <v>292</v>
      </c>
      <c r="M5" s="415">
        <v>314</v>
      </c>
      <c r="N5" s="416">
        <v>339</v>
      </c>
      <c r="O5" s="418">
        <v>315</v>
      </c>
      <c r="P5" s="420">
        <v>336</v>
      </c>
      <c r="Q5" s="416">
        <v>381</v>
      </c>
      <c r="R5" s="418">
        <v>362</v>
      </c>
      <c r="S5" s="420">
        <v>398</v>
      </c>
      <c r="T5" s="416">
        <v>468</v>
      </c>
      <c r="U5" s="418">
        <v>457</v>
      </c>
      <c r="V5" s="420">
        <v>501</v>
      </c>
      <c r="W5" s="416">
        <v>559</v>
      </c>
      <c r="X5" s="421">
        <v>542</v>
      </c>
      <c r="Y5" s="422">
        <v>602</v>
      </c>
      <c r="Z5" s="423">
        <v>688</v>
      </c>
      <c r="AA5" s="421">
        <v>644</v>
      </c>
      <c r="AB5" s="422">
        <v>724</v>
      </c>
      <c r="AC5" s="423">
        <v>727</v>
      </c>
      <c r="AD5" s="421">
        <v>700</v>
      </c>
      <c r="AE5" s="422">
        <v>732</v>
      </c>
      <c r="AF5" s="423">
        <v>761</v>
      </c>
      <c r="AG5" s="421">
        <v>696</v>
      </c>
      <c r="AH5" s="422">
        <v>718</v>
      </c>
      <c r="AI5" s="423">
        <v>734</v>
      </c>
      <c r="AJ5" s="421">
        <v>670</v>
      </c>
      <c r="AK5" s="422">
        <v>688</v>
      </c>
      <c r="AL5" s="423">
        <v>724</v>
      </c>
      <c r="AM5" s="421">
        <v>683</v>
      </c>
      <c r="AN5" s="422">
        <v>685</v>
      </c>
      <c r="AO5" s="423">
        <v>710</v>
      </c>
      <c r="AP5" s="421">
        <v>638</v>
      </c>
      <c r="AQ5" s="422">
        <v>642</v>
      </c>
      <c r="AR5" s="423">
        <v>664</v>
      </c>
      <c r="AS5" s="421">
        <v>601</v>
      </c>
      <c r="AT5" s="422">
        <v>604</v>
      </c>
      <c r="AU5" s="423">
        <v>614</v>
      </c>
      <c r="AV5" s="421">
        <v>563</v>
      </c>
      <c r="AW5" s="422">
        <v>565</v>
      </c>
      <c r="AX5" s="423">
        <v>605</v>
      </c>
      <c r="AY5" s="421">
        <v>545</v>
      </c>
      <c r="AZ5" s="422">
        <v>571</v>
      </c>
      <c r="BA5" s="423">
        <v>624</v>
      </c>
      <c r="BB5" s="421">
        <v>579</v>
      </c>
      <c r="BC5" s="422">
        <v>608</v>
      </c>
      <c r="BD5" s="423">
        <v>651</v>
      </c>
      <c r="BE5" s="421">
        <v>629</v>
      </c>
      <c r="BF5" s="422">
        <v>673</v>
      </c>
      <c r="BG5" s="423">
        <v>681</v>
      </c>
      <c r="BH5" s="421">
        <v>632</v>
      </c>
      <c r="BI5" s="422">
        <v>662</v>
      </c>
      <c r="BJ5" s="423">
        <v>645</v>
      </c>
    </row>
    <row r="6" spans="1:62" s="424" customFormat="1" ht="15" customHeight="1" x14ac:dyDescent="0.3">
      <c r="A6" s="408"/>
      <c r="B6" s="39" t="s">
        <v>50</v>
      </c>
      <c r="C6" s="425">
        <v>485</v>
      </c>
      <c r="D6" s="426">
        <v>475</v>
      </c>
      <c r="E6" s="427">
        <v>508</v>
      </c>
      <c r="F6" s="425">
        <v>450</v>
      </c>
      <c r="G6" s="426">
        <v>447</v>
      </c>
      <c r="H6" s="428">
        <v>479</v>
      </c>
      <c r="I6" s="429">
        <v>440</v>
      </c>
      <c r="J6" s="430">
        <v>458</v>
      </c>
      <c r="K6" s="428">
        <v>466</v>
      </c>
      <c r="L6" s="429">
        <v>432</v>
      </c>
      <c r="M6" s="426">
        <v>449</v>
      </c>
      <c r="N6" s="427">
        <v>480</v>
      </c>
      <c r="O6" s="429">
        <v>440</v>
      </c>
      <c r="P6" s="431">
        <v>463</v>
      </c>
      <c r="Q6" s="427">
        <v>494</v>
      </c>
      <c r="R6" s="429">
        <v>457</v>
      </c>
      <c r="S6" s="431">
        <v>493</v>
      </c>
      <c r="T6" s="427">
        <v>552</v>
      </c>
      <c r="U6" s="429">
        <v>525</v>
      </c>
      <c r="V6" s="431">
        <v>592</v>
      </c>
      <c r="W6" s="427">
        <v>626</v>
      </c>
      <c r="X6" s="432">
        <v>599</v>
      </c>
      <c r="Y6" s="433">
        <v>677</v>
      </c>
      <c r="Z6" s="434">
        <v>756</v>
      </c>
      <c r="AA6" s="432">
        <v>719</v>
      </c>
      <c r="AB6" s="433">
        <v>800</v>
      </c>
      <c r="AC6" s="434">
        <v>771</v>
      </c>
      <c r="AD6" s="432">
        <v>747</v>
      </c>
      <c r="AE6" s="433">
        <v>785</v>
      </c>
      <c r="AF6" s="434">
        <v>774</v>
      </c>
      <c r="AG6" s="432">
        <v>756</v>
      </c>
      <c r="AH6" s="433">
        <v>786</v>
      </c>
      <c r="AI6" s="434">
        <v>799</v>
      </c>
      <c r="AJ6" s="432">
        <v>745</v>
      </c>
      <c r="AK6" s="433">
        <v>778</v>
      </c>
      <c r="AL6" s="434">
        <v>800</v>
      </c>
      <c r="AM6" s="432">
        <v>725</v>
      </c>
      <c r="AN6" s="433">
        <v>741</v>
      </c>
      <c r="AO6" s="434">
        <v>746</v>
      </c>
      <c r="AP6" s="432">
        <v>676</v>
      </c>
      <c r="AQ6" s="433">
        <v>711</v>
      </c>
      <c r="AR6" s="434">
        <v>718</v>
      </c>
      <c r="AS6" s="432">
        <v>633</v>
      </c>
      <c r="AT6" s="433">
        <v>653</v>
      </c>
      <c r="AU6" s="434">
        <v>664</v>
      </c>
      <c r="AV6" s="432">
        <v>597</v>
      </c>
      <c r="AW6" s="433">
        <v>645</v>
      </c>
      <c r="AX6" s="434">
        <v>646</v>
      </c>
      <c r="AY6" s="432">
        <v>593</v>
      </c>
      <c r="AZ6" s="433">
        <v>598</v>
      </c>
      <c r="BA6" s="434">
        <v>653</v>
      </c>
      <c r="BB6" s="432">
        <v>617</v>
      </c>
      <c r="BC6" s="433">
        <v>625</v>
      </c>
      <c r="BD6" s="434">
        <v>660</v>
      </c>
      <c r="BE6" s="432">
        <v>625</v>
      </c>
      <c r="BF6" s="433">
        <v>667</v>
      </c>
      <c r="BG6" s="434">
        <v>678</v>
      </c>
      <c r="BH6" s="432">
        <v>654</v>
      </c>
      <c r="BI6" s="433">
        <v>687</v>
      </c>
      <c r="BJ6" s="434">
        <v>683</v>
      </c>
    </row>
    <row r="7" spans="1:62" s="424" customFormat="1" ht="15" customHeight="1" x14ac:dyDescent="0.3">
      <c r="A7" s="408"/>
      <c r="B7" s="39" t="s">
        <v>51</v>
      </c>
      <c r="C7" s="425">
        <v>320</v>
      </c>
      <c r="D7" s="426">
        <v>312</v>
      </c>
      <c r="E7" s="427">
        <v>334</v>
      </c>
      <c r="F7" s="425">
        <v>305</v>
      </c>
      <c r="G7" s="426">
        <v>317</v>
      </c>
      <c r="H7" s="428">
        <v>332</v>
      </c>
      <c r="I7" s="429">
        <v>304</v>
      </c>
      <c r="J7" s="430">
        <v>301</v>
      </c>
      <c r="K7" s="428">
        <v>300</v>
      </c>
      <c r="L7" s="429">
        <v>275</v>
      </c>
      <c r="M7" s="426">
        <v>269</v>
      </c>
      <c r="N7" s="427">
        <v>281</v>
      </c>
      <c r="O7" s="429">
        <v>265</v>
      </c>
      <c r="P7" s="431">
        <v>271</v>
      </c>
      <c r="Q7" s="427">
        <v>293</v>
      </c>
      <c r="R7" s="429">
        <v>259</v>
      </c>
      <c r="S7" s="431">
        <v>255</v>
      </c>
      <c r="T7" s="427">
        <v>298</v>
      </c>
      <c r="U7" s="429">
        <v>277</v>
      </c>
      <c r="V7" s="431">
        <v>305</v>
      </c>
      <c r="W7" s="427">
        <v>329</v>
      </c>
      <c r="X7" s="432">
        <v>312</v>
      </c>
      <c r="Y7" s="433">
        <v>321</v>
      </c>
      <c r="Z7" s="434">
        <v>342</v>
      </c>
      <c r="AA7" s="432">
        <v>315</v>
      </c>
      <c r="AB7" s="433">
        <v>393</v>
      </c>
      <c r="AC7" s="434">
        <v>415</v>
      </c>
      <c r="AD7" s="432">
        <v>397</v>
      </c>
      <c r="AE7" s="433">
        <v>436</v>
      </c>
      <c r="AF7" s="434">
        <v>459</v>
      </c>
      <c r="AG7" s="432">
        <v>433</v>
      </c>
      <c r="AH7" s="433">
        <v>464</v>
      </c>
      <c r="AI7" s="434">
        <v>480</v>
      </c>
      <c r="AJ7" s="432">
        <v>445</v>
      </c>
      <c r="AK7" s="433">
        <v>450</v>
      </c>
      <c r="AL7" s="434">
        <v>497</v>
      </c>
      <c r="AM7" s="432">
        <v>448</v>
      </c>
      <c r="AN7" s="433">
        <v>470</v>
      </c>
      <c r="AO7" s="434">
        <v>490</v>
      </c>
      <c r="AP7" s="432">
        <v>447</v>
      </c>
      <c r="AQ7" s="433">
        <v>447</v>
      </c>
      <c r="AR7" s="434">
        <v>446</v>
      </c>
      <c r="AS7" s="432">
        <v>412</v>
      </c>
      <c r="AT7" s="433">
        <v>422</v>
      </c>
      <c r="AU7" s="434">
        <v>434</v>
      </c>
      <c r="AV7" s="432">
        <v>387</v>
      </c>
      <c r="AW7" s="433">
        <v>398</v>
      </c>
      <c r="AX7" s="434">
        <v>402</v>
      </c>
      <c r="AY7" s="432">
        <v>358</v>
      </c>
      <c r="AZ7" s="433">
        <v>336</v>
      </c>
      <c r="BA7" s="434">
        <v>353</v>
      </c>
      <c r="BB7" s="432">
        <v>325</v>
      </c>
      <c r="BC7" s="433">
        <v>339</v>
      </c>
      <c r="BD7" s="434">
        <v>358</v>
      </c>
      <c r="BE7" s="432">
        <v>335</v>
      </c>
      <c r="BF7" s="433">
        <v>360</v>
      </c>
      <c r="BG7" s="434">
        <v>361</v>
      </c>
      <c r="BH7" s="432">
        <v>347</v>
      </c>
      <c r="BI7" s="433">
        <v>370</v>
      </c>
      <c r="BJ7" s="434">
        <v>369</v>
      </c>
    </row>
    <row r="8" spans="1:62" s="424" customFormat="1" ht="15" customHeight="1" x14ac:dyDescent="0.3">
      <c r="A8" s="408"/>
      <c r="B8" s="39" t="s">
        <v>52</v>
      </c>
      <c r="C8" s="425">
        <v>198</v>
      </c>
      <c r="D8" s="426">
        <v>206</v>
      </c>
      <c r="E8" s="427">
        <v>224</v>
      </c>
      <c r="F8" s="425">
        <v>204</v>
      </c>
      <c r="G8" s="426">
        <v>199</v>
      </c>
      <c r="H8" s="428">
        <v>221</v>
      </c>
      <c r="I8" s="429">
        <v>205</v>
      </c>
      <c r="J8" s="430">
        <v>219</v>
      </c>
      <c r="K8" s="428">
        <v>239</v>
      </c>
      <c r="L8" s="429">
        <v>216</v>
      </c>
      <c r="M8" s="426">
        <v>213</v>
      </c>
      <c r="N8" s="427">
        <v>224</v>
      </c>
      <c r="O8" s="429">
        <v>213</v>
      </c>
      <c r="P8" s="431">
        <v>207</v>
      </c>
      <c r="Q8" s="427">
        <v>230</v>
      </c>
      <c r="R8" s="429">
        <v>216</v>
      </c>
      <c r="S8" s="431">
        <v>224</v>
      </c>
      <c r="T8" s="427">
        <v>249</v>
      </c>
      <c r="U8" s="429">
        <v>239</v>
      </c>
      <c r="V8" s="431">
        <v>259</v>
      </c>
      <c r="W8" s="427">
        <v>283</v>
      </c>
      <c r="X8" s="432">
        <v>266</v>
      </c>
      <c r="Y8" s="433">
        <v>284</v>
      </c>
      <c r="Z8" s="434">
        <v>317</v>
      </c>
      <c r="AA8" s="432">
        <v>291</v>
      </c>
      <c r="AB8" s="433">
        <v>367</v>
      </c>
      <c r="AC8" s="434">
        <v>376</v>
      </c>
      <c r="AD8" s="432">
        <v>370</v>
      </c>
      <c r="AE8" s="433">
        <v>401</v>
      </c>
      <c r="AF8" s="434">
        <v>415</v>
      </c>
      <c r="AG8" s="432">
        <v>372</v>
      </c>
      <c r="AH8" s="433">
        <v>434</v>
      </c>
      <c r="AI8" s="434">
        <v>442</v>
      </c>
      <c r="AJ8" s="432">
        <v>407</v>
      </c>
      <c r="AK8" s="433">
        <v>442</v>
      </c>
      <c r="AL8" s="434">
        <v>458</v>
      </c>
      <c r="AM8" s="432">
        <v>417</v>
      </c>
      <c r="AN8" s="433">
        <v>433</v>
      </c>
      <c r="AO8" s="434">
        <v>489</v>
      </c>
      <c r="AP8" s="432">
        <v>438</v>
      </c>
      <c r="AQ8" s="433">
        <v>457</v>
      </c>
      <c r="AR8" s="434">
        <v>492</v>
      </c>
      <c r="AS8" s="432">
        <v>450</v>
      </c>
      <c r="AT8" s="433">
        <v>486</v>
      </c>
      <c r="AU8" s="434">
        <v>514</v>
      </c>
      <c r="AV8" s="432">
        <v>477</v>
      </c>
      <c r="AW8" s="433">
        <v>508</v>
      </c>
      <c r="AX8" s="434">
        <v>557</v>
      </c>
      <c r="AY8" s="432">
        <v>518</v>
      </c>
      <c r="AZ8" s="433">
        <v>528</v>
      </c>
      <c r="BA8" s="434">
        <v>573</v>
      </c>
      <c r="BB8" s="432">
        <v>541</v>
      </c>
      <c r="BC8" s="433">
        <v>565</v>
      </c>
      <c r="BD8" s="434">
        <v>608</v>
      </c>
      <c r="BE8" s="432">
        <v>597</v>
      </c>
      <c r="BF8" s="433">
        <v>628</v>
      </c>
      <c r="BG8" s="434">
        <v>629</v>
      </c>
      <c r="BH8" s="432">
        <v>592</v>
      </c>
      <c r="BI8" s="433">
        <v>621</v>
      </c>
      <c r="BJ8" s="434">
        <v>626</v>
      </c>
    </row>
    <row r="9" spans="1:62" s="424" customFormat="1" ht="15" customHeight="1" x14ac:dyDescent="0.3">
      <c r="A9" s="408"/>
      <c r="B9" s="39" t="s">
        <v>53</v>
      </c>
      <c r="C9" s="425">
        <v>920</v>
      </c>
      <c r="D9" s="426">
        <v>917</v>
      </c>
      <c r="E9" s="427">
        <v>978</v>
      </c>
      <c r="F9" s="425">
        <v>898</v>
      </c>
      <c r="G9" s="426">
        <v>942</v>
      </c>
      <c r="H9" s="428">
        <v>1024</v>
      </c>
      <c r="I9" s="429">
        <v>934</v>
      </c>
      <c r="J9" s="430">
        <v>978</v>
      </c>
      <c r="K9" s="428">
        <v>1022</v>
      </c>
      <c r="L9" s="429">
        <v>922</v>
      </c>
      <c r="M9" s="426">
        <v>948</v>
      </c>
      <c r="N9" s="427">
        <v>1048</v>
      </c>
      <c r="O9" s="429">
        <v>975</v>
      </c>
      <c r="P9" s="431">
        <v>1009</v>
      </c>
      <c r="Q9" s="427">
        <v>1060</v>
      </c>
      <c r="R9" s="429">
        <v>1002</v>
      </c>
      <c r="S9" s="431">
        <v>974</v>
      </c>
      <c r="T9" s="427">
        <v>1017</v>
      </c>
      <c r="U9" s="429">
        <v>972</v>
      </c>
      <c r="V9" s="431">
        <v>978</v>
      </c>
      <c r="W9" s="427">
        <v>989</v>
      </c>
      <c r="X9" s="432">
        <v>924</v>
      </c>
      <c r="Y9" s="433">
        <v>969</v>
      </c>
      <c r="Z9" s="434">
        <v>991</v>
      </c>
      <c r="AA9" s="432">
        <v>911</v>
      </c>
      <c r="AB9" s="433">
        <v>985</v>
      </c>
      <c r="AC9" s="434">
        <v>948</v>
      </c>
      <c r="AD9" s="432">
        <v>887</v>
      </c>
      <c r="AE9" s="433">
        <v>926</v>
      </c>
      <c r="AF9" s="434">
        <v>894</v>
      </c>
      <c r="AG9" s="432">
        <v>840</v>
      </c>
      <c r="AH9" s="433">
        <v>853</v>
      </c>
      <c r="AI9" s="434">
        <v>826</v>
      </c>
      <c r="AJ9" s="432">
        <v>750</v>
      </c>
      <c r="AK9" s="433">
        <v>750</v>
      </c>
      <c r="AL9" s="434">
        <v>776</v>
      </c>
      <c r="AM9" s="432">
        <v>708</v>
      </c>
      <c r="AN9" s="433">
        <v>722</v>
      </c>
      <c r="AO9" s="434">
        <v>721</v>
      </c>
      <c r="AP9" s="432">
        <v>658</v>
      </c>
      <c r="AQ9" s="433">
        <v>658</v>
      </c>
      <c r="AR9" s="434">
        <v>656</v>
      </c>
      <c r="AS9" s="432">
        <v>565</v>
      </c>
      <c r="AT9" s="433">
        <v>595</v>
      </c>
      <c r="AU9" s="434">
        <v>601</v>
      </c>
      <c r="AV9" s="432">
        <v>556</v>
      </c>
      <c r="AW9" s="433">
        <v>574</v>
      </c>
      <c r="AX9" s="434">
        <v>621</v>
      </c>
      <c r="AY9" s="432">
        <v>573</v>
      </c>
      <c r="AZ9" s="433">
        <v>585</v>
      </c>
      <c r="BA9" s="434">
        <v>618</v>
      </c>
      <c r="BB9" s="432">
        <v>562</v>
      </c>
      <c r="BC9" s="433">
        <v>607</v>
      </c>
      <c r="BD9" s="434">
        <v>656</v>
      </c>
      <c r="BE9" s="432">
        <v>611</v>
      </c>
      <c r="BF9" s="433">
        <v>664</v>
      </c>
      <c r="BG9" s="434">
        <v>692</v>
      </c>
      <c r="BH9" s="432">
        <v>650</v>
      </c>
      <c r="BI9" s="433">
        <v>678</v>
      </c>
      <c r="BJ9" s="434">
        <v>696</v>
      </c>
    </row>
    <row r="10" spans="1:62" s="424" customFormat="1" ht="15" customHeight="1" x14ac:dyDescent="0.3">
      <c r="A10" s="408"/>
      <c r="B10" s="39" t="s">
        <v>54</v>
      </c>
      <c r="C10" s="425">
        <v>663</v>
      </c>
      <c r="D10" s="426">
        <v>666</v>
      </c>
      <c r="E10" s="427">
        <v>699</v>
      </c>
      <c r="F10" s="425">
        <v>631</v>
      </c>
      <c r="G10" s="426">
        <v>640</v>
      </c>
      <c r="H10" s="428">
        <v>686</v>
      </c>
      <c r="I10" s="429">
        <v>630</v>
      </c>
      <c r="J10" s="430">
        <v>661</v>
      </c>
      <c r="K10" s="428">
        <v>698</v>
      </c>
      <c r="L10" s="429">
        <v>645</v>
      </c>
      <c r="M10" s="426">
        <v>681</v>
      </c>
      <c r="N10" s="427">
        <v>698</v>
      </c>
      <c r="O10" s="429">
        <v>645</v>
      </c>
      <c r="P10" s="431">
        <v>631</v>
      </c>
      <c r="Q10" s="427">
        <v>678</v>
      </c>
      <c r="R10" s="429">
        <v>624</v>
      </c>
      <c r="S10" s="431">
        <v>627</v>
      </c>
      <c r="T10" s="427">
        <v>663</v>
      </c>
      <c r="U10" s="429">
        <v>613</v>
      </c>
      <c r="V10" s="431">
        <v>672</v>
      </c>
      <c r="W10" s="427">
        <v>692</v>
      </c>
      <c r="X10" s="432">
        <v>636</v>
      </c>
      <c r="Y10" s="433">
        <v>707</v>
      </c>
      <c r="Z10" s="434">
        <v>766</v>
      </c>
      <c r="AA10" s="432">
        <v>709</v>
      </c>
      <c r="AB10" s="433">
        <v>773</v>
      </c>
      <c r="AC10" s="434">
        <v>745</v>
      </c>
      <c r="AD10" s="432">
        <v>731</v>
      </c>
      <c r="AE10" s="433">
        <v>756</v>
      </c>
      <c r="AF10" s="434">
        <v>714</v>
      </c>
      <c r="AG10" s="432">
        <v>685</v>
      </c>
      <c r="AH10" s="433">
        <v>727</v>
      </c>
      <c r="AI10" s="434">
        <v>722</v>
      </c>
      <c r="AJ10" s="432">
        <v>656</v>
      </c>
      <c r="AK10" s="433">
        <v>670</v>
      </c>
      <c r="AL10" s="434">
        <v>704</v>
      </c>
      <c r="AM10" s="432">
        <v>643</v>
      </c>
      <c r="AN10" s="433">
        <v>654</v>
      </c>
      <c r="AO10" s="434">
        <v>675</v>
      </c>
      <c r="AP10" s="432">
        <v>593</v>
      </c>
      <c r="AQ10" s="433">
        <v>639</v>
      </c>
      <c r="AR10" s="434">
        <v>626</v>
      </c>
      <c r="AS10" s="432">
        <v>537</v>
      </c>
      <c r="AT10" s="433">
        <v>595</v>
      </c>
      <c r="AU10" s="434">
        <v>604</v>
      </c>
      <c r="AV10" s="432">
        <v>546</v>
      </c>
      <c r="AW10" s="433">
        <v>585</v>
      </c>
      <c r="AX10" s="434">
        <v>610</v>
      </c>
      <c r="AY10" s="432">
        <v>562</v>
      </c>
      <c r="AZ10" s="433">
        <v>598</v>
      </c>
      <c r="BA10" s="434">
        <v>635</v>
      </c>
      <c r="BB10" s="432">
        <v>601</v>
      </c>
      <c r="BC10" s="433">
        <v>631</v>
      </c>
      <c r="BD10" s="434">
        <v>663</v>
      </c>
      <c r="BE10" s="432">
        <v>630</v>
      </c>
      <c r="BF10" s="433">
        <v>687</v>
      </c>
      <c r="BG10" s="434">
        <v>691</v>
      </c>
      <c r="BH10" s="432">
        <v>669</v>
      </c>
      <c r="BI10" s="433">
        <v>701</v>
      </c>
      <c r="BJ10" s="434">
        <v>719</v>
      </c>
    </row>
    <row r="11" spans="1:62" s="424" customFormat="1" ht="15" customHeight="1" x14ac:dyDescent="0.3">
      <c r="A11" s="408"/>
      <c r="B11" s="39" t="s">
        <v>55</v>
      </c>
      <c r="C11" s="425">
        <v>85</v>
      </c>
      <c r="D11" s="426">
        <v>79</v>
      </c>
      <c r="E11" s="427">
        <v>79</v>
      </c>
      <c r="F11" s="425">
        <v>73</v>
      </c>
      <c r="G11" s="426">
        <v>69</v>
      </c>
      <c r="H11" s="428">
        <v>81</v>
      </c>
      <c r="I11" s="429">
        <v>71</v>
      </c>
      <c r="J11" s="430">
        <v>74</v>
      </c>
      <c r="K11" s="428">
        <v>83</v>
      </c>
      <c r="L11" s="429">
        <v>75</v>
      </c>
      <c r="M11" s="426">
        <v>69</v>
      </c>
      <c r="N11" s="427">
        <v>97</v>
      </c>
      <c r="O11" s="429">
        <v>87</v>
      </c>
      <c r="P11" s="431">
        <v>97</v>
      </c>
      <c r="Q11" s="427">
        <v>104</v>
      </c>
      <c r="R11" s="429">
        <v>102</v>
      </c>
      <c r="S11" s="431">
        <v>104</v>
      </c>
      <c r="T11" s="427">
        <v>130</v>
      </c>
      <c r="U11" s="429">
        <v>124</v>
      </c>
      <c r="V11" s="431">
        <v>128</v>
      </c>
      <c r="W11" s="427">
        <v>157</v>
      </c>
      <c r="X11" s="432">
        <v>147</v>
      </c>
      <c r="Y11" s="433">
        <v>151</v>
      </c>
      <c r="Z11" s="434">
        <v>190</v>
      </c>
      <c r="AA11" s="432">
        <v>180</v>
      </c>
      <c r="AB11" s="433">
        <v>238</v>
      </c>
      <c r="AC11" s="434">
        <v>242</v>
      </c>
      <c r="AD11" s="432">
        <v>237</v>
      </c>
      <c r="AE11" s="433">
        <v>286</v>
      </c>
      <c r="AF11" s="434">
        <v>302</v>
      </c>
      <c r="AG11" s="432">
        <v>303</v>
      </c>
      <c r="AH11" s="433">
        <v>349</v>
      </c>
      <c r="AI11" s="434">
        <v>367</v>
      </c>
      <c r="AJ11" s="432">
        <v>342</v>
      </c>
      <c r="AK11" s="433">
        <v>366</v>
      </c>
      <c r="AL11" s="434">
        <v>414</v>
      </c>
      <c r="AM11" s="432">
        <v>385</v>
      </c>
      <c r="AN11" s="433">
        <v>402</v>
      </c>
      <c r="AO11" s="434">
        <v>456</v>
      </c>
      <c r="AP11" s="432">
        <v>405</v>
      </c>
      <c r="AQ11" s="433">
        <v>433</v>
      </c>
      <c r="AR11" s="434">
        <v>428</v>
      </c>
      <c r="AS11" s="432">
        <v>392</v>
      </c>
      <c r="AT11" s="433">
        <v>404</v>
      </c>
      <c r="AU11" s="434">
        <v>409</v>
      </c>
      <c r="AV11" s="432">
        <v>403</v>
      </c>
      <c r="AW11" s="433">
        <v>420</v>
      </c>
      <c r="AX11" s="434">
        <v>438</v>
      </c>
      <c r="AY11" s="432">
        <v>410</v>
      </c>
      <c r="AZ11" s="433">
        <v>409</v>
      </c>
      <c r="BA11" s="434">
        <v>427</v>
      </c>
      <c r="BB11" s="432">
        <v>394</v>
      </c>
      <c r="BC11" s="433">
        <v>414</v>
      </c>
      <c r="BD11" s="434">
        <v>423</v>
      </c>
      <c r="BE11" s="432">
        <v>418</v>
      </c>
      <c r="BF11" s="433">
        <v>439</v>
      </c>
      <c r="BG11" s="434">
        <v>438</v>
      </c>
      <c r="BH11" s="432">
        <v>429</v>
      </c>
      <c r="BI11" s="433">
        <v>439</v>
      </c>
      <c r="BJ11" s="434">
        <v>425</v>
      </c>
    </row>
    <row r="12" spans="1:62" s="424" customFormat="1" ht="15" customHeight="1" x14ac:dyDescent="0.3">
      <c r="A12" s="408"/>
      <c r="B12" s="39" t="s">
        <v>56</v>
      </c>
      <c r="C12" s="425">
        <v>560</v>
      </c>
      <c r="D12" s="426">
        <v>545</v>
      </c>
      <c r="E12" s="427">
        <v>598</v>
      </c>
      <c r="F12" s="425">
        <v>550</v>
      </c>
      <c r="G12" s="426">
        <v>545</v>
      </c>
      <c r="H12" s="428">
        <v>601</v>
      </c>
      <c r="I12" s="429">
        <v>544</v>
      </c>
      <c r="J12" s="430">
        <v>557</v>
      </c>
      <c r="K12" s="428">
        <v>583</v>
      </c>
      <c r="L12" s="429">
        <v>537</v>
      </c>
      <c r="M12" s="426">
        <v>568</v>
      </c>
      <c r="N12" s="427">
        <v>582</v>
      </c>
      <c r="O12" s="429">
        <v>554</v>
      </c>
      <c r="P12" s="431">
        <v>554</v>
      </c>
      <c r="Q12" s="427">
        <v>611</v>
      </c>
      <c r="R12" s="429">
        <v>564</v>
      </c>
      <c r="S12" s="431">
        <v>586</v>
      </c>
      <c r="T12" s="427">
        <v>635</v>
      </c>
      <c r="U12" s="429">
        <v>585</v>
      </c>
      <c r="V12" s="431">
        <v>628</v>
      </c>
      <c r="W12" s="427">
        <v>643</v>
      </c>
      <c r="X12" s="432">
        <v>614</v>
      </c>
      <c r="Y12" s="433">
        <v>698</v>
      </c>
      <c r="Z12" s="434">
        <v>733</v>
      </c>
      <c r="AA12" s="432">
        <v>671</v>
      </c>
      <c r="AB12" s="433">
        <v>749</v>
      </c>
      <c r="AC12" s="434">
        <v>715</v>
      </c>
      <c r="AD12" s="432">
        <v>706</v>
      </c>
      <c r="AE12" s="433">
        <v>747</v>
      </c>
      <c r="AF12" s="434">
        <v>734</v>
      </c>
      <c r="AG12" s="432">
        <v>708</v>
      </c>
      <c r="AH12" s="433">
        <v>740</v>
      </c>
      <c r="AI12" s="434">
        <v>760</v>
      </c>
      <c r="AJ12" s="432">
        <v>694</v>
      </c>
      <c r="AK12" s="433">
        <v>688</v>
      </c>
      <c r="AL12" s="434">
        <v>693</v>
      </c>
      <c r="AM12" s="432">
        <v>645</v>
      </c>
      <c r="AN12" s="433">
        <v>651</v>
      </c>
      <c r="AO12" s="434">
        <v>654</v>
      </c>
      <c r="AP12" s="432">
        <v>587</v>
      </c>
      <c r="AQ12" s="433">
        <v>618</v>
      </c>
      <c r="AR12" s="434">
        <v>660</v>
      </c>
      <c r="AS12" s="432">
        <v>590</v>
      </c>
      <c r="AT12" s="433">
        <v>609</v>
      </c>
      <c r="AU12" s="434">
        <v>631</v>
      </c>
      <c r="AV12" s="432">
        <v>589</v>
      </c>
      <c r="AW12" s="433">
        <v>609</v>
      </c>
      <c r="AX12" s="434">
        <v>649</v>
      </c>
      <c r="AY12" s="432">
        <v>599</v>
      </c>
      <c r="AZ12" s="433">
        <v>641</v>
      </c>
      <c r="BA12" s="434">
        <v>700</v>
      </c>
      <c r="BB12" s="432">
        <v>668</v>
      </c>
      <c r="BC12" s="433">
        <v>708</v>
      </c>
      <c r="BD12" s="434">
        <v>759</v>
      </c>
      <c r="BE12" s="432">
        <v>730</v>
      </c>
      <c r="BF12" s="433">
        <v>780</v>
      </c>
      <c r="BG12" s="434">
        <v>806</v>
      </c>
      <c r="BH12" s="432">
        <v>764</v>
      </c>
      <c r="BI12" s="433">
        <v>762</v>
      </c>
      <c r="BJ12" s="434">
        <v>759</v>
      </c>
    </row>
    <row r="13" spans="1:62" s="424" customFormat="1" ht="15" customHeight="1" x14ac:dyDescent="0.3">
      <c r="A13" s="408"/>
      <c r="B13" s="39" t="s">
        <v>57</v>
      </c>
      <c r="C13" s="425">
        <v>1267</v>
      </c>
      <c r="D13" s="426">
        <v>1290</v>
      </c>
      <c r="E13" s="427">
        <v>1335</v>
      </c>
      <c r="F13" s="425">
        <v>1227</v>
      </c>
      <c r="G13" s="426">
        <v>1259</v>
      </c>
      <c r="H13" s="428">
        <v>1361</v>
      </c>
      <c r="I13" s="429">
        <v>1253</v>
      </c>
      <c r="J13" s="430">
        <v>1314</v>
      </c>
      <c r="K13" s="428">
        <v>1351</v>
      </c>
      <c r="L13" s="429">
        <v>1199</v>
      </c>
      <c r="M13" s="426">
        <v>1271</v>
      </c>
      <c r="N13" s="427">
        <v>1296</v>
      </c>
      <c r="O13" s="429">
        <v>1195</v>
      </c>
      <c r="P13" s="431">
        <v>1227</v>
      </c>
      <c r="Q13" s="427">
        <v>1246</v>
      </c>
      <c r="R13" s="429">
        <v>1172</v>
      </c>
      <c r="S13" s="431">
        <v>1093</v>
      </c>
      <c r="T13" s="427">
        <v>1107</v>
      </c>
      <c r="U13" s="429">
        <v>1044</v>
      </c>
      <c r="V13" s="431">
        <v>1048</v>
      </c>
      <c r="W13" s="427">
        <v>1052</v>
      </c>
      <c r="X13" s="432">
        <v>1015</v>
      </c>
      <c r="Y13" s="433">
        <v>1060</v>
      </c>
      <c r="Z13" s="434">
        <v>1096</v>
      </c>
      <c r="AA13" s="432">
        <v>1030</v>
      </c>
      <c r="AB13" s="433">
        <v>1114</v>
      </c>
      <c r="AC13" s="434">
        <v>1049</v>
      </c>
      <c r="AD13" s="432">
        <v>1019</v>
      </c>
      <c r="AE13" s="433">
        <v>1018</v>
      </c>
      <c r="AF13" s="434">
        <v>967</v>
      </c>
      <c r="AG13" s="432">
        <v>927</v>
      </c>
      <c r="AH13" s="433">
        <v>945</v>
      </c>
      <c r="AI13" s="434">
        <v>931</v>
      </c>
      <c r="AJ13" s="432">
        <v>863</v>
      </c>
      <c r="AK13" s="433">
        <v>842</v>
      </c>
      <c r="AL13" s="434">
        <v>867</v>
      </c>
      <c r="AM13" s="432">
        <v>781</v>
      </c>
      <c r="AN13" s="433">
        <v>790</v>
      </c>
      <c r="AO13" s="434">
        <v>825</v>
      </c>
      <c r="AP13" s="432">
        <v>730</v>
      </c>
      <c r="AQ13" s="433">
        <v>729</v>
      </c>
      <c r="AR13" s="434">
        <v>737</v>
      </c>
      <c r="AS13" s="432">
        <v>659</v>
      </c>
      <c r="AT13" s="433">
        <v>678</v>
      </c>
      <c r="AU13" s="434">
        <v>681</v>
      </c>
      <c r="AV13" s="432">
        <v>619</v>
      </c>
      <c r="AW13" s="433">
        <v>625</v>
      </c>
      <c r="AX13" s="434">
        <v>641</v>
      </c>
      <c r="AY13" s="432">
        <v>577</v>
      </c>
      <c r="AZ13" s="433">
        <v>585</v>
      </c>
      <c r="BA13" s="434">
        <v>578</v>
      </c>
      <c r="BB13" s="432">
        <v>528</v>
      </c>
      <c r="BC13" s="433">
        <v>546</v>
      </c>
      <c r="BD13" s="434">
        <v>594</v>
      </c>
      <c r="BE13" s="432">
        <v>550</v>
      </c>
      <c r="BF13" s="433">
        <v>603</v>
      </c>
      <c r="BG13" s="434">
        <v>601</v>
      </c>
      <c r="BH13" s="432">
        <v>572</v>
      </c>
      <c r="BI13" s="433">
        <v>599</v>
      </c>
      <c r="BJ13" s="434">
        <v>631</v>
      </c>
    </row>
    <row r="14" spans="1:62" s="424" customFormat="1" ht="15" customHeight="1" x14ac:dyDescent="0.3">
      <c r="A14" s="408"/>
      <c r="B14" s="39" t="s">
        <v>156</v>
      </c>
      <c r="C14" s="40"/>
      <c r="D14" s="281"/>
      <c r="E14" s="332">
        <v>98</v>
      </c>
      <c r="F14" s="280">
        <v>86</v>
      </c>
      <c r="G14" s="281">
        <v>296</v>
      </c>
      <c r="H14" s="332">
        <v>466</v>
      </c>
      <c r="I14" s="40">
        <v>429</v>
      </c>
      <c r="J14" s="41">
        <v>605</v>
      </c>
      <c r="K14" s="332">
        <v>744</v>
      </c>
      <c r="L14" s="40">
        <v>701</v>
      </c>
      <c r="M14" s="41">
        <v>873</v>
      </c>
      <c r="N14" s="332">
        <v>1044</v>
      </c>
      <c r="O14" s="40">
        <v>965</v>
      </c>
      <c r="P14" s="41">
        <v>1073</v>
      </c>
      <c r="Q14" s="332">
        <v>1170</v>
      </c>
      <c r="R14" s="40">
        <v>1100</v>
      </c>
      <c r="S14" s="41">
        <v>1178</v>
      </c>
      <c r="T14" s="332">
        <v>1276</v>
      </c>
      <c r="U14" s="40">
        <v>1233</v>
      </c>
      <c r="V14" s="41">
        <v>1321</v>
      </c>
      <c r="W14" s="332">
        <v>1350</v>
      </c>
      <c r="X14" s="40">
        <v>1265</v>
      </c>
      <c r="Y14" s="41">
        <v>1354</v>
      </c>
      <c r="Z14" s="332">
        <v>1393</v>
      </c>
      <c r="AA14" s="435">
        <v>1281</v>
      </c>
      <c r="AB14" s="41">
        <v>1330</v>
      </c>
      <c r="AC14" s="332">
        <v>1273</v>
      </c>
      <c r="AD14" s="435">
        <v>1205</v>
      </c>
      <c r="AE14" s="41">
        <v>1232</v>
      </c>
      <c r="AF14" s="332">
        <v>1180</v>
      </c>
      <c r="AG14" s="435">
        <v>1101</v>
      </c>
      <c r="AH14" s="41">
        <v>1116</v>
      </c>
      <c r="AI14" s="332">
        <v>1097</v>
      </c>
      <c r="AJ14" s="435">
        <v>1028</v>
      </c>
      <c r="AK14" s="41">
        <v>974</v>
      </c>
      <c r="AL14" s="332">
        <v>985</v>
      </c>
      <c r="AM14" s="435">
        <v>879</v>
      </c>
      <c r="AN14" s="41">
        <v>866</v>
      </c>
      <c r="AO14" s="332">
        <v>877</v>
      </c>
      <c r="AP14" s="435">
        <v>787</v>
      </c>
      <c r="AQ14" s="41">
        <v>778</v>
      </c>
      <c r="AR14" s="332">
        <v>807</v>
      </c>
      <c r="AS14" s="435">
        <v>704</v>
      </c>
      <c r="AT14" s="41">
        <v>734</v>
      </c>
      <c r="AU14" s="332">
        <v>719</v>
      </c>
      <c r="AV14" s="435">
        <v>674</v>
      </c>
      <c r="AW14" s="41">
        <v>691</v>
      </c>
      <c r="AX14" s="332">
        <v>736</v>
      </c>
      <c r="AY14" s="435">
        <v>678</v>
      </c>
      <c r="AZ14" s="41">
        <v>677</v>
      </c>
      <c r="BA14" s="332">
        <v>749</v>
      </c>
      <c r="BB14" s="435">
        <v>694</v>
      </c>
      <c r="BC14" s="41">
        <v>762</v>
      </c>
      <c r="BD14" s="332">
        <v>805</v>
      </c>
      <c r="BE14" s="435">
        <v>761</v>
      </c>
      <c r="BF14" s="41">
        <v>828</v>
      </c>
      <c r="BG14" s="332">
        <v>853</v>
      </c>
      <c r="BH14" s="435">
        <v>814</v>
      </c>
      <c r="BI14" s="41">
        <v>847</v>
      </c>
      <c r="BJ14" s="332">
        <v>852</v>
      </c>
    </row>
    <row r="15" spans="1:62" s="424" customFormat="1" ht="15" customHeight="1" x14ac:dyDescent="0.3">
      <c r="A15" s="408"/>
      <c r="B15" s="436" t="s">
        <v>59</v>
      </c>
      <c r="C15" s="437">
        <f>SUM(C5:C14)</f>
        <v>4762</v>
      </c>
      <c r="D15" s="438">
        <f t="shared" ref="D15:AU15" si="0">SUM(D5:D14)</f>
        <v>4773</v>
      </c>
      <c r="E15" s="439">
        <f t="shared" si="0"/>
        <v>5160</v>
      </c>
      <c r="F15" s="437">
        <f t="shared" si="0"/>
        <v>4703</v>
      </c>
      <c r="G15" s="438">
        <f t="shared" si="0"/>
        <v>4999</v>
      </c>
      <c r="H15" s="439">
        <f t="shared" si="0"/>
        <v>5578</v>
      </c>
      <c r="I15" s="437">
        <f t="shared" si="0"/>
        <v>5109</v>
      </c>
      <c r="J15" s="438">
        <f t="shared" si="0"/>
        <v>5460</v>
      </c>
      <c r="K15" s="439">
        <f t="shared" si="0"/>
        <v>5803</v>
      </c>
      <c r="L15" s="437">
        <f t="shared" si="0"/>
        <v>5294</v>
      </c>
      <c r="M15" s="438">
        <f t="shared" si="0"/>
        <v>5655</v>
      </c>
      <c r="N15" s="439">
        <f t="shared" si="0"/>
        <v>6089</v>
      </c>
      <c r="O15" s="437">
        <f t="shared" si="0"/>
        <v>5654</v>
      </c>
      <c r="P15" s="438">
        <f t="shared" si="0"/>
        <v>5868</v>
      </c>
      <c r="Q15" s="439">
        <f t="shared" si="0"/>
        <v>6267</v>
      </c>
      <c r="R15" s="437">
        <f t="shared" si="0"/>
        <v>5858</v>
      </c>
      <c r="S15" s="438">
        <f t="shared" si="0"/>
        <v>5932</v>
      </c>
      <c r="T15" s="439">
        <f t="shared" si="0"/>
        <v>6395</v>
      </c>
      <c r="U15" s="437">
        <f t="shared" si="0"/>
        <v>6069</v>
      </c>
      <c r="V15" s="438">
        <f t="shared" si="0"/>
        <v>6432</v>
      </c>
      <c r="W15" s="439">
        <f t="shared" si="0"/>
        <v>6680</v>
      </c>
      <c r="X15" s="437">
        <f t="shared" si="0"/>
        <v>6320</v>
      </c>
      <c r="Y15" s="438">
        <f t="shared" si="0"/>
        <v>6823</v>
      </c>
      <c r="Z15" s="439">
        <f t="shared" si="0"/>
        <v>7272</v>
      </c>
      <c r="AA15" s="437">
        <f t="shared" si="0"/>
        <v>6751</v>
      </c>
      <c r="AB15" s="438">
        <f t="shared" si="0"/>
        <v>7473</v>
      </c>
      <c r="AC15" s="439">
        <f t="shared" si="0"/>
        <v>7261</v>
      </c>
      <c r="AD15" s="437">
        <f t="shared" si="0"/>
        <v>6999</v>
      </c>
      <c r="AE15" s="438">
        <f t="shared" si="0"/>
        <v>7319</v>
      </c>
      <c r="AF15" s="439">
        <f t="shared" si="0"/>
        <v>7200</v>
      </c>
      <c r="AG15" s="437">
        <f t="shared" si="0"/>
        <v>6821</v>
      </c>
      <c r="AH15" s="438">
        <f t="shared" si="0"/>
        <v>7132</v>
      </c>
      <c r="AI15" s="439">
        <f t="shared" si="0"/>
        <v>7158</v>
      </c>
      <c r="AJ15" s="437">
        <f t="shared" si="0"/>
        <v>6600</v>
      </c>
      <c r="AK15" s="438">
        <f t="shared" si="0"/>
        <v>6648</v>
      </c>
      <c r="AL15" s="439">
        <f t="shared" si="0"/>
        <v>6918</v>
      </c>
      <c r="AM15" s="437">
        <f t="shared" si="0"/>
        <v>6314</v>
      </c>
      <c r="AN15" s="438">
        <f t="shared" si="0"/>
        <v>6414</v>
      </c>
      <c r="AO15" s="439">
        <f t="shared" si="0"/>
        <v>6643</v>
      </c>
      <c r="AP15" s="437">
        <f t="shared" si="0"/>
        <v>5959</v>
      </c>
      <c r="AQ15" s="438">
        <f t="shared" si="0"/>
        <v>6112</v>
      </c>
      <c r="AR15" s="439">
        <f t="shared" si="0"/>
        <v>6234</v>
      </c>
      <c r="AS15" s="437">
        <f t="shared" si="0"/>
        <v>5543</v>
      </c>
      <c r="AT15" s="438">
        <f t="shared" si="0"/>
        <v>5780</v>
      </c>
      <c r="AU15" s="439">
        <f t="shared" si="0"/>
        <v>5871</v>
      </c>
      <c r="AV15" s="437">
        <v>5411</v>
      </c>
      <c r="AW15" s="438">
        <f t="shared" ref="AW15:BC15" si="1">SUM(AW5:AW14)</f>
        <v>5620</v>
      </c>
      <c r="AX15" s="439">
        <f t="shared" si="1"/>
        <v>5905</v>
      </c>
      <c r="AY15" s="437">
        <f t="shared" si="1"/>
        <v>5413</v>
      </c>
      <c r="AZ15" s="438">
        <f t="shared" si="1"/>
        <v>5528</v>
      </c>
      <c r="BA15" s="439">
        <f t="shared" si="1"/>
        <v>5910</v>
      </c>
      <c r="BB15" s="437">
        <f t="shared" si="1"/>
        <v>5509</v>
      </c>
      <c r="BC15" s="438">
        <f t="shared" si="1"/>
        <v>5805</v>
      </c>
      <c r="BD15" s="439">
        <f t="shared" ref="BD15:BG15" si="2">SUM(BD5:BD14)</f>
        <v>6177</v>
      </c>
      <c r="BE15" s="437">
        <f t="shared" si="2"/>
        <v>5886</v>
      </c>
      <c r="BF15" s="438">
        <f t="shared" si="2"/>
        <v>6329</v>
      </c>
      <c r="BG15" s="439">
        <f t="shared" si="2"/>
        <v>6430</v>
      </c>
      <c r="BH15" s="437">
        <f>SUM(BH5:BH14)</f>
        <v>6123</v>
      </c>
      <c r="BI15" s="438">
        <f>SUM(BI5:BI14)</f>
        <v>6366</v>
      </c>
      <c r="BJ15" s="439">
        <f>SUM(BJ5:BJ14)</f>
        <v>6405</v>
      </c>
    </row>
    <row r="16" spans="1:62" s="424" customFormat="1" ht="15" customHeight="1" x14ac:dyDescent="0.3">
      <c r="A16" s="408"/>
      <c r="B16" s="74" t="s">
        <v>60</v>
      </c>
      <c r="C16" s="440">
        <v>1064</v>
      </c>
      <c r="D16" s="441">
        <v>1082</v>
      </c>
      <c r="E16" s="442">
        <v>1124</v>
      </c>
      <c r="F16" s="440">
        <v>1038</v>
      </c>
      <c r="G16" s="441">
        <v>1036</v>
      </c>
      <c r="H16" s="443">
        <v>1123</v>
      </c>
      <c r="I16" s="444">
        <v>1035</v>
      </c>
      <c r="J16" s="445">
        <v>1045</v>
      </c>
      <c r="K16" s="443">
        <v>1120</v>
      </c>
      <c r="L16" s="444">
        <v>1025</v>
      </c>
      <c r="M16" s="441">
        <v>1043</v>
      </c>
      <c r="N16" s="442">
        <v>1113</v>
      </c>
      <c r="O16" s="444">
        <v>1052</v>
      </c>
      <c r="P16" s="446">
        <v>1152</v>
      </c>
      <c r="Q16" s="442">
        <v>1145</v>
      </c>
      <c r="R16" s="444">
        <v>1050</v>
      </c>
      <c r="S16" s="446">
        <v>1077</v>
      </c>
      <c r="T16" s="442">
        <v>1119</v>
      </c>
      <c r="U16" s="444">
        <v>1062</v>
      </c>
      <c r="V16" s="446">
        <v>1102</v>
      </c>
      <c r="W16" s="442">
        <v>1146</v>
      </c>
      <c r="X16" s="447">
        <v>1088</v>
      </c>
      <c r="Y16" s="448">
        <v>1141</v>
      </c>
      <c r="Z16" s="449">
        <v>1178</v>
      </c>
      <c r="AA16" s="447">
        <v>1098</v>
      </c>
      <c r="AB16" s="448">
        <v>1161</v>
      </c>
      <c r="AC16" s="449">
        <v>1161</v>
      </c>
      <c r="AD16" s="447">
        <v>1107</v>
      </c>
      <c r="AE16" s="448">
        <v>1182</v>
      </c>
      <c r="AF16" s="449">
        <v>1202</v>
      </c>
      <c r="AG16" s="447">
        <v>1106</v>
      </c>
      <c r="AH16" s="448">
        <v>1199</v>
      </c>
      <c r="AI16" s="449">
        <v>1229</v>
      </c>
      <c r="AJ16" s="447">
        <v>1110</v>
      </c>
      <c r="AK16" s="448">
        <v>1188</v>
      </c>
      <c r="AL16" s="449">
        <v>1246</v>
      </c>
      <c r="AM16" s="447">
        <v>1135</v>
      </c>
      <c r="AN16" s="448">
        <v>1217</v>
      </c>
      <c r="AO16" s="449">
        <v>1251</v>
      </c>
      <c r="AP16" s="447">
        <v>1144</v>
      </c>
      <c r="AQ16" s="448">
        <v>1219</v>
      </c>
      <c r="AR16" s="449">
        <v>1295</v>
      </c>
      <c r="AS16" s="447">
        <v>742</v>
      </c>
      <c r="AT16" s="448">
        <v>1225</v>
      </c>
      <c r="AU16" s="449">
        <v>1275</v>
      </c>
      <c r="AV16" s="447">
        <v>1160</v>
      </c>
      <c r="AW16" s="448">
        <v>1258</v>
      </c>
      <c r="AX16" s="449">
        <v>1288</v>
      </c>
      <c r="AY16" s="447">
        <v>1148</v>
      </c>
      <c r="AZ16" s="448">
        <v>1183</v>
      </c>
      <c r="BA16" s="449">
        <v>1247</v>
      </c>
      <c r="BB16" s="447">
        <v>1162</v>
      </c>
      <c r="BC16" s="448">
        <v>1272</v>
      </c>
      <c r="BD16" s="449">
        <v>1345</v>
      </c>
      <c r="BE16" s="447">
        <v>1278</v>
      </c>
      <c r="BF16" s="448">
        <v>1386</v>
      </c>
      <c r="BG16" s="449">
        <v>1431</v>
      </c>
      <c r="BH16" s="447">
        <v>1377</v>
      </c>
      <c r="BI16" s="448">
        <v>1461</v>
      </c>
      <c r="BJ16" s="449">
        <v>1501</v>
      </c>
    </row>
    <row r="17" spans="1:62" s="424" customFormat="1" ht="15" customHeight="1" x14ac:dyDescent="0.3">
      <c r="A17" s="408"/>
      <c r="B17" s="39" t="s">
        <v>61</v>
      </c>
      <c r="C17" s="425">
        <v>1581</v>
      </c>
      <c r="D17" s="426">
        <v>1631</v>
      </c>
      <c r="E17" s="427">
        <v>1701</v>
      </c>
      <c r="F17" s="425">
        <v>1572</v>
      </c>
      <c r="G17" s="426">
        <v>1595</v>
      </c>
      <c r="H17" s="428">
        <v>1664</v>
      </c>
      <c r="I17" s="429">
        <v>1554</v>
      </c>
      <c r="J17" s="430">
        <v>1572</v>
      </c>
      <c r="K17" s="428">
        <v>1656</v>
      </c>
      <c r="L17" s="429">
        <v>1505</v>
      </c>
      <c r="M17" s="426">
        <v>1521</v>
      </c>
      <c r="N17" s="427">
        <v>1641</v>
      </c>
      <c r="O17" s="429">
        <v>1530</v>
      </c>
      <c r="P17" s="431">
        <v>1582</v>
      </c>
      <c r="Q17" s="427">
        <v>1624</v>
      </c>
      <c r="R17" s="429">
        <v>1497</v>
      </c>
      <c r="S17" s="431">
        <v>1552</v>
      </c>
      <c r="T17" s="427">
        <v>1635</v>
      </c>
      <c r="U17" s="429">
        <v>1544</v>
      </c>
      <c r="V17" s="431">
        <v>1634</v>
      </c>
      <c r="W17" s="427">
        <v>1664</v>
      </c>
      <c r="X17" s="432">
        <v>1568</v>
      </c>
      <c r="Y17" s="433">
        <v>1704</v>
      </c>
      <c r="Z17" s="434">
        <v>1753</v>
      </c>
      <c r="AA17" s="432">
        <v>1639</v>
      </c>
      <c r="AB17" s="433">
        <v>1797</v>
      </c>
      <c r="AC17" s="434">
        <v>1835</v>
      </c>
      <c r="AD17" s="432">
        <v>1758</v>
      </c>
      <c r="AE17" s="433">
        <v>1917</v>
      </c>
      <c r="AF17" s="434">
        <v>1995</v>
      </c>
      <c r="AG17" s="432">
        <v>1860</v>
      </c>
      <c r="AH17" s="433">
        <v>1976</v>
      </c>
      <c r="AI17" s="434">
        <v>2020</v>
      </c>
      <c r="AJ17" s="432">
        <v>1851</v>
      </c>
      <c r="AK17" s="433">
        <v>1956</v>
      </c>
      <c r="AL17" s="434">
        <v>2077</v>
      </c>
      <c r="AM17" s="432">
        <v>1905</v>
      </c>
      <c r="AN17" s="433">
        <v>2065</v>
      </c>
      <c r="AO17" s="434">
        <v>2152</v>
      </c>
      <c r="AP17" s="432">
        <v>1994</v>
      </c>
      <c r="AQ17" s="433">
        <v>2086</v>
      </c>
      <c r="AR17" s="434">
        <v>2204</v>
      </c>
      <c r="AS17" s="432">
        <v>1496</v>
      </c>
      <c r="AT17" s="433">
        <v>2114</v>
      </c>
      <c r="AU17" s="434">
        <v>2179</v>
      </c>
      <c r="AV17" s="432">
        <v>2003</v>
      </c>
      <c r="AW17" s="433">
        <v>2102</v>
      </c>
      <c r="AX17" s="434">
        <v>2103</v>
      </c>
      <c r="AY17" s="432">
        <v>1944</v>
      </c>
      <c r="AZ17" s="433">
        <v>2027</v>
      </c>
      <c r="BA17" s="434">
        <v>2089</v>
      </c>
      <c r="BB17" s="432">
        <v>1994</v>
      </c>
      <c r="BC17" s="433">
        <v>2111</v>
      </c>
      <c r="BD17" s="434">
        <v>2137</v>
      </c>
      <c r="BE17" s="432">
        <v>1992</v>
      </c>
      <c r="BF17" s="433">
        <v>2160</v>
      </c>
      <c r="BG17" s="434">
        <v>2097</v>
      </c>
      <c r="BH17" s="432">
        <v>2005</v>
      </c>
      <c r="BI17" s="433">
        <v>2176</v>
      </c>
      <c r="BJ17" s="434">
        <v>2185</v>
      </c>
    </row>
    <row r="18" spans="1:62" s="424" customFormat="1" ht="15" customHeight="1" x14ac:dyDescent="0.3">
      <c r="A18" s="408"/>
      <c r="B18" s="39" t="s">
        <v>62</v>
      </c>
      <c r="C18" s="425">
        <v>767</v>
      </c>
      <c r="D18" s="426">
        <v>809</v>
      </c>
      <c r="E18" s="427">
        <v>812</v>
      </c>
      <c r="F18" s="425">
        <v>718</v>
      </c>
      <c r="G18" s="426">
        <v>737</v>
      </c>
      <c r="H18" s="428">
        <v>788</v>
      </c>
      <c r="I18" s="429">
        <v>730</v>
      </c>
      <c r="J18" s="430">
        <v>759</v>
      </c>
      <c r="K18" s="428">
        <v>761</v>
      </c>
      <c r="L18" s="429">
        <v>684</v>
      </c>
      <c r="M18" s="426">
        <v>724</v>
      </c>
      <c r="N18" s="427">
        <v>769</v>
      </c>
      <c r="O18" s="429">
        <v>702</v>
      </c>
      <c r="P18" s="431">
        <v>718</v>
      </c>
      <c r="Q18" s="427">
        <v>751</v>
      </c>
      <c r="R18" s="429">
        <v>694</v>
      </c>
      <c r="S18" s="431">
        <v>756</v>
      </c>
      <c r="T18" s="427">
        <v>791</v>
      </c>
      <c r="U18" s="429">
        <v>768</v>
      </c>
      <c r="V18" s="431">
        <v>822</v>
      </c>
      <c r="W18" s="427">
        <v>842</v>
      </c>
      <c r="X18" s="432">
        <v>807</v>
      </c>
      <c r="Y18" s="433">
        <v>868</v>
      </c>
      <c r="Z18" s="434">
        <v>892</v>
      </c>
      <c r="AA18" s="432">
        <v>822</v>
      </c>
      <c r="AB18" s="433">
        <v>887</v>
      </c>
      <c r="AC18" s="434">
        <v>917</v>
      </c>
      <c r="AD18" s="432">
        <v>851</v>
      </c>
      <c r="AE18" s="433">
        <v>930</v>
      </c>
      <c r="AF18" s="434">
        <v>965</v>
      </c>
      <c r="AG18" s="432">
        <v>890</v>
      </c>
      <c r="AH18" s="433">
        <v>974</v>
      </c>
      <c r="AI18" s="434">
        <v>997</v>
      </c>
      <c r="AJ18" s="432">
        <v>882</v>
      </c>
      <c r="AK18" s="433">
        <v>954</v>
      </c>
      <c r="AL18" s="434">
        <v>1027</v>
      </c>
      <c r="AM18" s="432">
        <v>926</v>
      </c>
      <c r="AN18" s="433">
        <v>1000</v>
      </c>
      <c r="AO18" s="434">
        <v>1026</v>
      </c>
      <c r="AP18" s="432">
        <v>929</v>
      </c>
      <c r="AQ18" s="433">
        <v>1008</v>
      </c>
      <c r="AR18" s="434">
        <v>1098</v>
      </c>
      <c r="AS18" s="432">
        <v>778</v>
      </c>
      <c r="AT18" s="433">
        <v>1091</v>
      </c>
      <c r="AU18" s="434">
        <v>1175</v>
      </c>
      <c r="AV18" s="432">
        <v>1078</v>
      </c>
      <c r="AW18" s="433">
        <v>1178</v>
      </c>
      <c r="AX18" s="434">
        <v>1263</v>
      </c>
      <c r="AY18" s="432">
        <v>1184</v>
      </c>
      <c r="AZ18" s="433">
        <v>1239</v>
      </c>
      <c r="BA18" s="434">
        <v>1302</v>
      </c>
      <c r="BB18" s="432">
        <v>1244</v>
      </c>
      <c r="BC18" s="433">
        <v>1282</v>
      </c>
      <c r="BD18" s="434">
        <v>1338</v>
      </c>
      <c r="BE18" s="432">
        <v>1263</v>
      </c>
      <c r="BF18" s="433">
        <v>1341</v>
      </c>
      <c r="BG18" s="434">
        <v>1325</v>
      </c>
      <c r="BH18" s="432">
        <v>1303</v>
      </c>
      <c r="BI18" s="433">
        <v>1349</v>
      </c>
      <c r="BJ18" s="434">
        <v>1348</v>
      </c>
    </row>
    <row r="19" spans="1:62" s="424" customFormat="1" ht="15" customHeight="1" x14ac:dyDescent="0.3">
      <c r="A19" s="408"/>
      <c r="B19" s="39" t="s">
        <v>63</v>
      </c>
      <c r="C19" s="40">
        <v>736</v>
      </c>
      <c r="D19" s="281">
        <v>778</v>
      </c>
      <c r="E19" s="332">
        <v>834</v>
      </c>
      <c r="F19" s="280">
        <v>754</v>
      </c>
      <c r="G19" s="281">
        <v>774</v>
      </c>
      <c r="H19" s="332">
        <v>828</v>
      </c>
      <c r="I19" s="40">
        <v>780</v>
      </c>
      <c r="J19" s="41">
        <v>847</v>
      </c>
      <c r="K19" s="332">
        <v>861</v>
      </c>
      <c r="L19" s="40">
        <v>762</v>
      </c>
      <c r="M19" s="41">
        <v>788</v>
      </c>
      <c r="N19" s="332">
        <v>859</v>
      </c>
      <c r="O19" s="40">
        <v>790</v>
      </c>
      <c r="P19" s="41">
        <v>805</v>
      </c>
      <c r="Q19" s="332">
        <v>842</v>
      </c>
      <c r="R19" s="40">
        <v>809</v>
      </c>
      <c r="S19" s="41">
        <v>845</v>
      </c>
      <c r="T19" s="332">
        <v>898</v>
      </c>
      <c r="U19" s="40">
        <v>851</v>
      </c>
      <c r="V19" s="41">
        <v>876</v>
      </c>
      <c r="W19" s="332">
        <v>917</v>
      </c>
      <c r="X19" s="40">
        <v>873</v>
      </c>
      <c r="Y19" s="41">
        <v>936</v>
      </c>
      <c r="Z19" s="332">
        <v>962</v>
      </c>
      <c r="AA19" s="435">
        <v>890</v>
      </c>
      <c r="AB19" s="41">
        <v>923</v>
      </c>
      <c r="AC19" s="332">
        <v>927</v>
      </c>
      <c r="AD19" s="435">
        <v>908</v>
      </c>
      <c r="AE19" s="41">
        <v>986</v>
      </c>
      <c r="AF19" s="332">
        <v>1039</v>
      </c>
      <c r="AG19" s="435">
        <v>950</v>
      </c>
      <c r="AH19" s="41">
        <v>1008</v>
      </c>
      <c r="AI19" s="332">
        <v>1051</v>
      </c>
      <c r="AJ19" s="435">
        <v>972</v>
      </c>
      <c r="AK19" s="41">
        <v>1023</v>
      </c>
      <c r="AL19" s="332">
        <v>1102</v>
      </c>
      <c r="AM19" s="435">
        <v>1004</v>
      </c>
      <c r="AN19" s="41">
        <v>1064</v>
      </c>
      <c r="AO19" s="332">
        <v>1117</v>
      </c>
      <c r="AP19" s="435">
        <v>1046</v>
      </c>
      <c r="AQ19" s="41">
        <v>1044</v>
      </c>
      <c r="AR19" s="332">
        <v>1130</v>
      </c>
      <c r="AS19" s="435">
        <v>827</v>
      </c>
      <c r="AT19" s="41">
        <v>1056</v>
      </c>
      <c r="AU19" s="332">
        <v>1103</v>
      </c>
      <c r="AV19" s="435">
        <v>1008</v>
      </c>
      <c r="AW19" s="41">
        <v>1090</v>
      </c>
      <c r="AX19" s="332">
        <v>1171</v>
      </c>
      <c r="AY19" s="435">
        <v>1054</v>
      </c>
      <c r="AZ19" s="41">
        <v>1078</v>
      </c>
      <c r="BA19" s="332">
        <v>1135</v>
      </c>
      <c r="BB19" s="435">
        <v>1057</v>
      </c>
      <c r="BC19" s="41">
        <v>1066</v>
      </c>
      <c r="BD19" s="332">
        <v>1118</v>
      </c>
      <c r="BE19" s="435">
        <v>1059</v>
      </c>
      <c r="BF19" s="41">
        <v>1091</v>
      </c>
      <c r="BG19" s="332">
        <v>1073</v>
      </c>
      <c r="BH19" s="435">
        <v>1044</v>
      </c>
      <c r="BI19" s="41">
        <v>1096</v>
      </c>
      <c r="BJ19" s="332">
        <v>1083</v>
      </c>
    </row>
    <row r="20" spans="1:62" s="424" customFormat="1" ht="15" customHeight="1" x14ac:dyDescent="0.3">
      <c r="A20" s="408"/>
      <c r="B20" s="436" t="s">
        <v>64</v>
      </c>
      <c r="C20" s="437">
        <f>SUM(C16:C19)</f>
        <v>4148</v>
      </c>
      <c r="D20" s="438">
        <f t="shared" ref="D20:AU20" si="3">SUM(D16:D19)</f>
        <v>4300</v>
      </c>
      <c r="E20" s="439">
        <f t="shared" si="3"/>
        <v>4471</v>
      </c>
      <c r="F20" s="437">
        <f t="shared" si="3"/>
        <v>4082</v>
      </c>
      <c r="G20" s="438">
        <f t="shared" si="3"/>
        <v>4142</v>
      </c>
      <c r="H20" s="439">
        <f t="shared" si="3"/>
        <v>4403</v>
      </c>
      <c r="I20" s="437">
        <f t="shared" si="3"/>
        <v>4099</v>
      </c>
      <c r="J20" s="438">
        <f t="shared" si="3"/>
        <v>4223</v>
      </c>
      <c r="K20" s="439">
        <f t="shared" si="3"/>
        <v>4398</v>
      </c>
      <c r="L20" s="437">
        <f t="shared" si="3"/>
        <v>3976</v>
      </c>
      <c r="M20" s="438">
        <f t="shared" si="3"/>
        <v>4076</v>
      </c>
      <c r="N20" s="439">
        <f t="shared" si="3"/>
        <v>4382</v>
      </c>
      <c r="O20" s="437">
        <f t="shared" si="3"/>
        <v>4074</v>
      </c>
      <c r="P20" s="438">
        <f t="shared" si="3"/>
        <v>4257</v>
      </c>
      <c r="Q20" s="439">
        <f t="shared" si="3"/>
        <v>4362</v>
      </c>
      <c r="R20" s="437">
        <f t="shared" si="3"/>
        <v>4050</v>
      </c>
      <c r="S20" s="438">
        <f t="shared" si="3"/>
        <v>4230</v>
      </c>
      <c r="T20" s="439">
        <f t="shared" si="3"/>
        <v>4443</v>
      </c>
      <c r="U20" s="437">
        <f t="shared" si="3"/>
        <v>4225</v>
      </c>
      <c r="V20" s="438">
        <f t="shared" si="3"/>
        <v>4434</v>
      </c>
      <c r="W20" s="439">
        <f t="shared" si="3"/>
        <v>4569</v>
      </c>
      <c r="X20" s="437">
        <f t="shared" si="3"/>
        <v>4336</v>
      </c>
      <c r="Y20" s="438">
        <f t="shared" si="3"/>
        <v>4649</v>
      </c>
      <c r="Z20" s="439">
        <f t="shared" si="3"/>
        <v>4785</v>
      </c>
      <c r="AA20" s="437">
        <f t="shared" si="3"/>
        <v>4449</v>
      </c>
      <c r="AB20" s="438">
        <f t="shared" si="3"/>
        <v>4768</v>
      </c>
      <c r="AC20" s="439">
        <f t="shared" si="3"/>
        <v>4840</v>
      </c>
      <c r="AD20" s="437">
        <f t="shared" si="3"/>
        <v>4624</v>
      </c>
      <c r="AE20" s="438">
        <f t="shared" si="3"/>
        <v>5015</v>
      </c>
      <c r="AF20" s="439">
        <f t="shared" si="3"/>
        <v>5201</v>
      </c>
      <c r="AG20" s="437">
        <f t="shared" si="3"/>
        <v>4806</v>
      </c>
      <c r="AH20" s="438">
        <f t="shared" si="3"/>
        <v>5157</v>
      </c>
      <c r="AI20" s="439">
        <f t="shared" si="3"/>
        <v>5297</v>
      </c>
      <c r="AJ20" s="437">
        <f t="shared" si="3"/>
        <v>4815</v>
      </c>
      <c r="AK20" s="438">
        <f t="shared" si="3"/>
        <v>5121</v>
      </c>
      <c r="AL20" s="439">
        <f t="shared" si="3"/>
        <v>5452</v>
      </c>
      <c r="AM20" s="437">
        <f t="shared" si="3"/>
        <v>4970</v>
      </c>
      <c r="AN20" s="438">
        <f t="shared" si="3"/>
        <v>5346</v>
      </c>
      <c r="AO20" s="439">
        <f t="shared" si="3"/>
        <v>5546</v>
      </c>
      <c r="AP20" s="437">
        <f t="shared" si="3"/>
        <v>5113</v>
      </c>
      <c r="AQ20" s="438">
        <f t="shared" si="3"/>
        <v>5357</v>
      </c>
      <c r="AR20" s="439">
        <f t="shared" si="3"/>
        <v>5727</v>
      </c>
      <c r="AS20" s="437">
        <f t="shared" si="3"/>
        <v>3843</v>
      </c>
      <c r="AT20" s="438">
        <f t="shared" si="3"/>
        <v>5486</v>
      </c>
      <c r="AU20" s="439">
        <f t="shared" si="3"/>
        <v>5732</v>
      </c>
      <c r="AV20" s="437">
        <v>5249</v>
      </c>
      <c r="AW20" s="438">
        <f t="shared" ref="AW20:BC20" si="4">SUM(AW16:AW19)</f>
        <v>5628</v>
      </c>
      <c r="AX20" s="439">
        <f t="shared" si="4"/>
        <v>5825</v>
      </c>
      <c r="AY20" s="437">
        <f t="shared" si="4"/>
        <v>5330</v>
      </c>
      <c r="AZ20" s="438">
        <f t="shared" si="4"/>
        <v>5527</v>
      </c>
      <c r="BA20" s="439">
        <f t="shared" si="4"/>
        <v>5773</v>
      </c>
      <c r="BB20" s="437">
        <f t="shared" si="4"/>
        <v>5457</v>
      </c>
      <c r="BC20" s="438">
        <f t="shared" si="4"/>
        <v>5731</v>
      </c>
      <c r="BD20" s="439">
        <f t="shared" ref="BD20:BG20" si="5">SUM(BD16:BD19)</f>
        <v>5938</v>
      </c>
      <c r="BE20" s="437">
        <f t="shared" si="5"/>
        <v>5592</v>
      </c>
      <c r="BF20" s="438">
        <f t="shared" si="5"/>
        <v>5978</v>
      </c>
      <c r="BG20" s="439">
        <f t="shared" si="5"/>
        <v>5926</v>
      </c>
      <c r="BH20" s="437">
        <f>SUM(BH16:BH19)</f>
        <v>5729</v>
      </c>
      <c r="BI20" s="438">
        <f>SUM(BI16:BI19)</f>
        <v>6082</v>
      </c>
      <c r="BJ20" s="439">
        <f>SUM(BJ16:BJ19)</f>
        <v>6117</v>
      </c>
    </row>
    <row r="21" spans="1:62" s="424" customFormat="1" ht="15" customHeight="1" x14ac:dyDescent="0.3">
      <c r="A21" s="408"/>
      <c r="B21" s="39" t="s">
        <v>65</v>
      </c>
      <c r="C21" s="425">
        <v>1014</v>
      </c>
      <c r="D21" s="426">
        <v>1082</v>
      </c>
      <c r="E21" s="427">
        <v>1134</v>
      </c>
      <c r="F21" s="425">
        <v>1023</v>
      </c>
      <c r="G21" s="426">
        <v>1072</v>
      </c>
      <c r="H21" s="428">
        <v>1160</v>
      </c>
      <c r="I21" s="429">
        <v>1074</v>
      </c>
      <c r="J21" s="430">
        <v>1145</v>
      </c>
      <c r="K21" s="428">
        <v>1145</v>
      </c>
      <c r="L21" s="429">
        <v>1074</v>
      </c>
      <c r="M21" s="426">
        <v>1113</v>
      </c>
      <c r="N21" s="427">
        <v>1175</v>
      </c>
      <c r="O21" s="429">
        <v>1077</v>
      </c>
      <c r="P21" s="431">
        <v>1114</v>
      </c>
      <c r="Q21" s="427">
        <v>1155</v>
      </c>
      <c r="R21" s="429">
        <v>1049</v>
      </c>
      <c r="S21" s="431">
        <v>1104</v>
      </c>
      <c r="T21" s="427">
        <v>1136</v>
      </c>
      <c r="U21" s="429">
        <v>1067</v>
      </c>
      <c r="V21" s="431">
        <v>1085</v>
      </c>
      <c r="W21" s="427">
        <v>1074</v>
      </c>
      <c r="X21" s="432">
        <v>1006</v>
      </c>
      <c r="Y21" s="433">
        <v>1062</v>
      </c>
      <c r="Z21" s="434">
        <v>1119</v>
      </c>
      <c r="AA21" s="432">
        <v>1023</v>
      </c>
      <c r="AB21" s="433">
        <v>1088</v>
      </c>
      <c r="AC21" s="434">
        <v>1051</v>
      </c>
      <c r="AD21" s="432">
        <v>1026</v>
      </c>
      <c r="AE21" s="433">
        <v>1094</v>
      </c>
      <c r="AF21" s="434">
        <v>1076</v>
      </c>
      <c r="AG21" s="432">
        <v>1049</v>
      </c>
      <c r="AH21" s="433">
        <v>1102</v>
      </c>
      <c r="AI21" s="434">
        <v>1079</v>
      </c>
      <c r="AJ21" s="432">
        <v>1013</v>
      </c>
      <c r="AK21" s="433">
        <v>1056</v>
      </c>
      <c r="AL21" s="434">
        <v>1056</v>
      </c>
      <c r="AM21" s="432">
        <v>977</v>
      </c>
      <c r="AN21" s="433">
        <v>1017</v>
      </c>
      <c r="AO21" s="434">
        <v>1045</v>
      </c>
      <c r="AP21" s="432">
        <v>949</v>
      </c>
      <c r="AQ21" s="433">
        <v>972</v>
      </c>
      <c r="AR21" s="434">
        <v>975</v>
      </c>
      <c r="AS21" s="432">
        <v>878</v>
      </c>
      <c r="AT21" s="433">
        <v>984</v>
      </c>
      <c r="AU21" s="434">
        <v>1026</v>
      </c>
      <c r="AV21" s="432">
        <v>948</v>
      </c>
      <c r="AW21" s="433">
        <v>1048</v>
      </c>
      <c r="AX21" s="434">
        <v>1130</v>
      </c>
      <c r="AY21" s="432">
        <v>1056</v>
      </c>
      <c r="AZ21" s="433">
        <v>1121</v>
      </c>
      <c r="BA21" s="434">
        <v>1169</v>
      </c>
      <c r="BB21" s="432">
        <v>1109</v>
      </c>
      <c r="BC21" s="433">
        <v>1215</v>
      </c>
      <c r="BD21" s="434">
        <v>1287</v>
      </c>
      <c r="BE21" s="432">
        <v>1225</v>
      </c>
      <c r="BF21" s="433">
        <v>1321</v>
      </c>
      <c r="BG21" s="434">
        <v>1362</v>
      </c>
      <c r="BH21" s="432">
        <v>1310</v>
      </c>
      <c r="BI21" s="433">
        <v>1375</v>
      </c>
      <c r="BJ21" s="434">
        <v>1384</v>
      </c>
    </row>
    <row r="22" spans="1:62" s="424" customFormat="1" ht="15" customHeight="1" x14ac:dyDescent="0.3">
      <c r="A22" s="408"/>
      <c r="B22" s="39" t="s">
        <v>66</v>
      </c>
      <c r="C22" s="425">
        <v>889</v>
      </c>
      <c r="D22" s="426">
        <v>945</v>
      </c>
      <c r="E22" s="427">
        <v>997</v>
      </c>
      <c r="F22" s="425">
        <v>898</v>
      </c>
      <c r="G22" s="426">
        <v>951</v>
      </c>
      <c r="H22" s="428">
        <v>995</v>
      </c>
      <c r="I22" s="429">
        <v>935</v>
      </c>
      <c r="J22" s="430">
        <v>969</v>
      </c>
      <c r="K22" s="428">
        <v>1031</v>
      </c>
      <c r="L22" s="429">
        <v>959</v>
      </c>
      <c r="M22" s="426">
        <v>954</v>
      </c>
      <c r="N22" s="427">
        <v>962</v>
      </c>
      <c r="O22" s="429">
        <v>888</v>
      </c>
      <c r="P22" s="431">
        <v>878</v>
      </c>
      <c r="Q22" s="427">
        <v>866</v>
      </c>
      <c r="R22" s="429">
        <v>813</v>
      </c>
      <c r="S22" s="431">
        <v>813</v>
      </c>
      <c r="T22" s="427">
        <v>835</v>
      </c>
      <c r="U22" s="429">
        <v>802</v>
      </c>
      <c r="V22" s="431">
        <v>800</v>
      </c>
      <c r="W22" s="427">
        <v>786</v>
      </c>
      <c r="X22" s="432">
        <v>753</v>
      </c>
      <c r="Y22" s="433">
        <v>771</v>
      </c>
      <c r="Z22" s="434">
        <v>807</v>
      </c>
      <c r="AA22" s="432">
        <v>754</v>
      </c>
      <c r="AB22" s="433">
        <v>820</v>
      </c>
      <c r="AC22" s="434">
        <v>824</v>
      </c>
      <c r="AD22" s="432">
        <v>792</v>
      </c>
      <c r="AE22" s="433">
        <v>854</v>
      </c>
      <c r="AF22" s="434">
        <v>861</v>
      </c>
      <c r="AG22" s="432">
        <v>848</v>
      </c>
      <c r="AH22" s="433">
        <v>927</v>
      </c>
      <c r="AI22" s="434">
        <v>966</v>
      </c>
      <c r="AJ22" s="432">
        <v>939</v>
      </c>
      <c r="AK22" s="433">
        <v>973</v>
      </c>
      <c r="AL22" s="434">
        <v>1011</v>
      </c>
      <c r="AM22" s="432">
        <v>934</v>
      </c>
      <c r="AN22" s="433">
        <v>1020</v>
      </c>
      <c r="AO22" s="434">
        <v>1099</v>
      </c>
      <c r="AP22" s="432">
        <v>1036</v>
      </c>
      <c r="AQ22" s="433">
        <v>1082</v>
      </c>
      <c r="AR22" s="434">
        <v>1158</v>
      </c>
      <c r="AS22" s="432">
        <v>1065</v>
      </c>
      <c r="AT22" s="433">
        <v>1111</v>
      </c>
      <c r="AU22" s="434">
        <v>1111</v>
      </c>
      <c r="AV22" s="432">
        <v>1052</v>
      </c>
      <c r="AW22" s="433">
        <v>1110</v>
      </c>
      <c r="AX22" s="434">
        <v>1143</v>
      </c>
      <c r="AY22" s="432">
        <v>1089</v>
      </c>
      <c r="AZ22" s="433">
        <v>1091</v>
      </c>
      <c r="BA22" s="434">
        <v>1132</v>
      </c>
      <c r="BB22" s="432">
        <v>1086</v>
      </c>
      <c r="BC22" s="433">
        <v>1119</v>
      </c>
      <c r="BD22" s="434">
        <v>1114</v>
      </c>
      <c r="BE22" s="432">
        <v>1073</v>
      </c>
      <c r="BF22" s="433">
        <v>1091</v>
      </c>
      <c r="BG22" s="434">
        <v>1133</v>
      </c>
      <c r="BH22" s="432">
        <v>1098</v>
      </c>
      <c r="BI22" s="433">
        <v>1137</v>
      </c>
      <c r="BJ22" s="434">
        <v>1129</v>
      </c>
    </row>
    <row r="23" spans="1:62" s="424" customFormat="1" ht="15" customHeight="1" x14ac:dyDescent="0.3">
      <c r="A23" s="408"/>
      <c r="B23" s="39" t="s">
        <v>67</v>
      </c>
      <c r="C23" s="40">
        <v>541</v>
      </c>
      <c r="D23" s="281">
        <v>536</v>
      </c>
      <c r="E23" s="332">
        <v>567</v>
      </c>
      <c r="F23" s="280">
        <v>513</v>
      </c>
      <c r="G23" s="281">
        <v>530</v>
      </c>
      <c r="H23" s="332">
        <v>554</v>
      </c>
      <c r="I23" s="40">
        <v>520</v>
      </c>
      <c r="J23" s="41">
        <v>547</v>
      </c>
      <c r="K23" s="332">
        <v>579</v>
      </c>
      <c r="L23" s="40">
        <v>552</v>
      </c>
      <c r="M23" s="41">
        <v>561</v>
      </c>
      <c r="N23" s="332">
        <v>606</v>
      </c>
      <c r="O23" s="40">
        <v>564</v>
      </c>
      <c r="P23" s="41">
        <v>596</v>
      </c>
      <c r="Q23" s="332">
        <v>621</v>
      </c>
      <c r="R23" s="40">
        <v>595</v>
      </c>
      <c r="S23" s="41">
        <v>619</v>
      </c>
      <c r="T23" s="332">
        <v>617</v>
      </c>
      <c r="U23" s="40">
        <v>589</v>
      </c>
      <c r="V23" s="41">
        <v>626</v>
      </c>
      <c r="W23" s="332">
        <v>656</v>
      </c>
      <c r="X23" s="40">
        <v>626</v>
      </c>
      <c r="Y23" s="41">
        <v>685</v>
      </c>
      <c r="Z23" s="332">
        <v>721</v>
      </c>
      <c r="AA23" s="435">
        <v>635</v>
      </c>
      <c r="AB23" s="41">
        <v>686</v>
      </c>
      <c r="AC23" s="332">
        <v>672</v>
      </c>
      <c r="AD23" s="435">
        <v>672</v>
      </c>
      <c r="AE23" s="41">
        <v>724</v>
      </c>
      <c r="AF23" s="332">
        <v>737</v>
      </c>
      <c r="AG23" s="435">
        <v>717</v>
      </c>
      <c r="AH23" s="41">
        <v>748</v>
      </c>
      <c r="AI23" s="332">
        <v>757</v>
      </c>
      <c r="AJ23" s="435">
        <v>731</v>
      </c>
      <c r="AK23" s="41">
        <v>756</v>
      </c>
      <c r="AL23" s="332">
        <v>771</v>
      </c>
      <c r="AM23" s="435">
        <v>711</v>
      </c>
      <c r="AN23" s="41">
        <v>756</v>
      </c>
      <c r="AO23" s="332">
        <v>787</v>
      </c>
      <c r="AP23" s="435">
        <v>731</v>
      </c>
      <c r="AQ23" s="41">
        <v>761</v>
      </c>
      <c r="AR23" s="332">
        <v>829</v>
      </c>
      <c r="AS23" s="435">
        <v>730</v>
      </c>
      <c r="AT23" s="41">
        <v>780</v>
      </c>
      <c r="AU23" s="332">
        <v>785</v>
      </c>
      <c r="AV23" s="435">
        <v>736</v>
      </c>
      <c r="AW23" s="41">
        <v>812</v>
      </c>
      <c r="AX23" s="332">
        <v>827</v>
      </c>
      <c r="AY23" s="435">
        <v>776</v>
      </c>
      <c r="AZ23" s="41">
        <v>775</v>
      </c>
      <c r="BA23" s="332">
        <v>802</v>
      </c>
      <c r="BB23" s="435">
        <v>760</v>
      </c>
      <c r="BC23" s="41">
        <v>810</v>
      </c>
      <c r="BD23" s="332">
        <v>820</v>
      </c>
      <c r="BE23" s="435">
        <v>749</v>
      </c>
      <c r="BF23" s="41">
        <v>792</v>
      </c>
      <c r="BG23" s="332">
        <v>797</v>
      </c>
      <c r="BH23" s="435">
        <v>748</v>
      </c>
      <c r="BI23" s="41">
        <v>779</v>
      </c>
      <c r="BJ23" s="332">
        <v>805</v>
      </c>
    </row>
    <row r="24" spans="1:62" s="424" customFormat="1" ht="15" customHeight="1" x14ac:dyDescent="0.3">
      <c r="A24" s="408"/>
      <c r="B24" s="436" t="s">
        <v>68</v>
      </c>
      <c r="C24" s="437">
        <f>SUM(C21:C23)</f>
        <v>2444</v>
      </c>
      <c r="D24" s="438">
        <f t="shared" ref="D24:BD24" si="6">SUM(D21:D23)</f>
        <v>2563</v>
      </c>
      <c r="E24" s="439">
        <f t="shared" si="6"/>
        <v>2698</v>
      </c>
      <c r="F24" s="437">
        <f t="shared" si="6"/>
        <v>2434</v>
      </c>
      <c r="G24" s="438">
        <f t="shared" si="6"/>
        <v>2553</v>
      </c>
      <c r="H24" s="439">
        <f t="shared" si="6"/>
        <v>2709</v>
      </c>
      <c r="I24" s="437">
        <f t="shared" si="6"/>
        <v>2529</v>
      </c>
      <c r="J24" s="438">
        <f t="shared" si="6"/>
        <v>2661</v>
      </c>
      <c r="K24" s="439">
        <f t="shared" si="6"/>
        <v>2755</v>
      </c>
      <c r="L24" s="437">
        <f t="shared" si="6"/>
        <v>2585</v>
      </c>
      <c r="M24" s="438">
        <f t="shared" si="6"/>
        <v>2628</v>
      </c>
      <c r="N24" s="439">
        <f t="shared" si="6"/>
        <v>2743</v>
      </c>
      <c r="O24" s="437">
        <f t="shared" si="6"/>
        <v>2529</v>
      </c>
      <c r="P24" s="438">
        <f t="shared" si="6"/>
        <v>2588</v>
      </c>
      <c r="Q24" s="439">
        <f t="shared" si="6"/>
        <v>2642</v>
      </c>
      <c r="R24" s="437">
        <f t="shared" si="6"/>
        <v>2457</v>
      </c>
      <c r="S24" s="438">
        <f t="shared" si="6"/>
        <v>2536</v>
      </c>
      <c r="T24" s="439">
        <f t="shared" si="6"/>
        <v>2588</v>
      </c>
      <c r="U24" s="437">
        <f t="shared" si="6"/>
        <v>2458</v>
      </c>
      <c r="V24" s="438">
        <f t="shared" si="6"/>
        <v>2511</v>
      </c>
      <c r="W24" s="439">
        <f t="shared" si="6"/>
        <v>2516</v>
      </c>
      <c r="X24" s="437">
        <f t="shared" si="6"/>
        <v>2385</v>
      </c>
      <c r="Y24" s="438">
        <f t="shared" si="6"/>
        <v>2518</v>
      </c>
      <c r="Z24" s="439">
        <f t="shared" si="6"/>
        <v>2647</v>
      </c>
      <c r="AA24" s="437">
        <f t="shared" si="6"/>
        <v>2412</v>
      </c>
      <c r="AB24" s="438">
        <f t="shared" si="6"/>
        <v>2594</v>
      </c>
      <c r="AC24" s="439">
        <f t="shared" si="6"/>
        <v>2547</v>
      </c>
      <c r="AD24" s="437">
        <f t="shared" si="6"/>
        <v>2490</v>
      </c>
      <c r="AE24" s="438">
        <f t="shared" si="6"/>
        <v>2672</v>
      </c>
      <c r="AF24" s="439">
        <f t="shared" si="6"/>
        <v>2674</v>
      </c>
      <c r="AG24" s="437">
        <f t="shared" si="6"/>
        <v>2614</v>
      </c>
      <c r="AH24" s="438">
        <f t="shared" si="6"/>
        <v>2777</v>
      </c>
      <c r="AI24" s="439">
        <f t="shared" si="6"/>
        <v>2802</v>
      </c>
      <c r="AJ24" s="437">
        <f t="shared" si="6"/>
        <v>2683</v>
      </c>
      <c r="AK24" s="438">
        <f t="shared" si="6"/>
        <v>2785</v>
      </c>
      <c r="AL24" s="439">
        <f t="shared" si="6"/>
        <v>2838</v>
      </c>
      <c r="AM24" s="437">
        <f t="shared" si="6"/>
        <v>2622</v>
      </c>
      <c r="AN24" s="438">
        <f t="shared" si="6"/>
        <v>2793</v>
      </c>
      <c r="AO24" s="439">
        <f t="shared" si="6"/>
        <v>2931</v>
      </c>
      <c r="AP24" s="437">
        <f t="shared" si="6"/>
        <v>2716</v>
      </c>
      <c r="AQ24" s="438">
        <f t="shared" si="6"/>
        <v>2815</v>
      </c>
      <c r="AR24" s="439">
        <f t="shared" si="6"/>
        <v>2962</v>
      </c>
      <c r="AS24" s="437">
        <f t="shared" si="6"/>
        <v>2673</v>
      </c>
      <c r="AT24" s="438">
        <f t="shared" si="6"/>
        <v>2875</v>
      </c>
      <c r="AU24" s="439">
        <f t="shared" si="6"/>
        <v>2922</v>
      </c>
      <c r="AV24" s="437">
        <f t="shared" si="6"/>
        <v>2736</v>
      </c>
      <c r="AW24" s="438">
        <f t="shared" si="6"/>
        <v>2970</v>
      </c>
      <c r="AX24" s="439">
        <f t="shared" si="6"/>
        <v>3100</v>
      </c>
      <c r="AY24" s="437">
        <f t="shared" si="6"/>
        <v>2921</v>
      </c>
      <c r="AZ24" s="438">
        <f t="shared" si="6"/>
        <v>2987</v>
      </c>
      <c r="BA24" s="439">
        <f t="shared" si="6"/>
        <v>3103</v>
      </c>
      <c r="BB24" s="437">
        <f t="shared" si="6"/>
        <v>2955</v>
      </c>
      <c r="BC24" s="438">
        <f t="shared" si="6"/>
        <v>3144</v>
      </c>
      <c r="BD24" s="439">
        <f t="shared" si="6"/>
        <v>3221</v>
      </c>
      <c r="BE24" s="437">
        <f t="shared" ref="BE24:BG24" si="7">SUM(BE21:BE23)</f>
        <v>3047</v>
      </c>
      <c r="BF24" s="438">
        <f t="shared" si="7"/>
        <v>3204</v>
      </c>
      <c r="BG24" s="439">
        <f t="shared" si="7"/>
        <v>3292</v>
      </c>
      <c r="BH24" s="437">
        <f t="shared" ref="BH24:BJ24" si="8">SUM(BH21:BH23)</f>
        <v>3156</v>
      </c>
      <c r="BI24" s="438">
        <f t="shared" si="8"/>
        <v>3291</v>
      </c>
      <c r="BJ24" s="439">
        <f t="shared" si="8"/>
        <v>3318</v>
      </c>
    </row>
    <row r="25" spans="1:62" s="424" customFormat="1" ht="15" customHeight="1" x14ac:dyDescent="0.3">
      <c r="A25" s="408"/>
      <c r="B25" s="450" t="s">
        <v>69</v>
      </c>
      <c r="C25" s="451">
        <f>SUM(C24,C20,C15)</f>
        <v>11354</v>
      </c>
      <c r="D25" s="452">
        <f t="shared" ref="D25:BD25" si="9">SUM(D24,D20,D15)</f>
        <v>11636</v>
      </c>
      <c r="E25" s="453">
        <f t="shared" si="9"/>
        <v>12329</v>
      </c>
      <c r="F25" s="451">
        <f t="shared" si="9"/>
        <v>11219</v>
      </c>
      <c r="G25" s="452">
        <f t="shared" si="9"/>
        <v>11694</v>
      </c>
      <c r="H25" s="453">
        <f t="shared" si="9"/>
        <v>12690</v>
      </c>
      <c r="I25" s="451">
        <f t="shared" si="9"/>
        <v>11737</v>
      </c>
      <c r="J25" s="452">
        <f t="shared" si="9"/>
        <v>12344</v>
      </c>
      <c r="K25" s="453">
        <f t="shared" si="9"/>
        <v>12956</v>
      </c>
      <c r="L25" s="451">
        <f t="shared" si="9"/>
        <v>11855</v>
      </c>
      <c r="M25" s="452">
        <f t="shared" si="9"/>
        <v>12359</v>
      </c>
      <c r="N25" s="453">
        <f t="shared" si="9"/>
        <v>13214</v>
      </c>
      <c r="O25" s="451">
        <f t="shared" si="9"/>
        <v>12257</v>
      </c>
      <c r="P25" s="452">
        <f t="shared" si="9"/>
        <v>12713</v>
      </c>
      <c r="Q25" s="453">
        <f t="shared" si="9"/>
        <v>13271</v>
      </c>
      <c r="R25" s="451">
        <f t="shared" si="9"/>
        <v>12365</v>
      </c>
      <c r="S25" s="452">
        <f t="shared" si="9"/>
        <v>12698</v>
      </c>
      <c r="T25" s="453">
        <f t="shared" si="9"/>
        <v>13426</v>
      </c>
      <c r="U25" s="451">
        <f t="shared" si="9"/>
        <v>12752</v>
      </c>
      <c r="V25" s="452">
        <f t="shared" si="9"/>
        <v>13377</v>
      </c>
      <c r="W25" s="453">
        <f t="shared" si="9"/>
        <v>13765</v>
      </c>
      <c r="X25" s="451">
        <f t="shared" si="9"/>
        <v>13041</v>
      </c>
      <c r="Y25" s="452">
        <f t="shared" si="9"/>
        <v>13990</v>
      </c>
      <c r="Z25" s="453">
        <f t="shared" si="9"/>
        <v>14704</v>
      </c>
      <c r="AA25" s="451">
        <f t="shared" si="9"/>
        <v>13612</v>
      </c>
      <c r="AB25" s="452">
        <f t="shared" si="9"/>
        <v>14835</v>
      </c>
      <c r="AC25" s="453">
        <f t="shared" si="9"/>
        <v>14648</v>
      </c>
      <c r="AD25" s="451">
        <f t="shared" si="9"/>
        <v>14113</v>
      </c>
      <c r="AE25" s="452">
        <f t="shared" si="9"/>
        <v>15006</v>
      </c>
      <c r="AF25" s="453">
        <f t="shared" si="9"/>
        <v>15075</v>
      </c>
      <c r="AG25" s="451">
        <f t="shared" si="9"/>
        <v>14241</v>
      </c>
      <c r="AH25" s="452">
        <f t="shared" si="9"/>
        <v>15066</v>
      </c>
      <c r="AI25" s="453">
        <f t="shared" si="9"/>
        <v>15257</v>
      </c>
      <c r="AJ25" s="451">
        <f t="shared" si="9"/>
        <v>14098</v>
      </c>
      <c r="AK25" s="452">
        <f t="shared" si="9"/>
        <v>14554</v>
      </c>
      <c r="AL25" s="453">
        <f t="shared" si="9"/>
        <v>15208</v>
      </c>
      <c r="AM25" s="451">
        <f t="shared" si="9"/>
        <v>13906</v>
      </c>
      <c r="AN25" s="452">
        <f t="shared" si="9"/>
        <v>14553</v>
      </c>
      <c r="AO25" s="453">
        <f t="shared" si="9"/>
        <v>15120</v>
      </c>
      <c r="AP25" s="451">
        <f t="shared" si="9"/>
        <v>13788</v>
      </c>
      <c r="AQ25" s="452">
        <f t="shared" si="9"/>
        <v>14284</v>
      </c>
      <c r="AR25" s="453">
        <f t="shared" si="9"/>
        <v>14923</v>
      </c>
      <c r="AS25" s="451">
        <f t="shared" si="9"/>
        <v>12059</v>
      </c>
      <c r="AT25" s="452">
        <f t="shared" si="9"/>
        <v>14141</v>
      </c>
      <c r="AU25" s="453">
        <f t="shared" si="9"/>
        <v>14525</v>
      </c>
      <c r="AV25" s="451">
        <f t="shared" si="9"/>
        <v>13396</v>
      </c>
      <c r="AW25" s="452">
        <f t="shared" si="9"/>
        <v>14218</v>
      </c>
      <c r="AX25" s="453">
        <f t="shared" si="9"/>
        <v>14830</v>
      </c>
      <c r="AY25" s="451">
        <f t="shared" si="9"/>
        <v>13664</v>
      </c>
      <c r="AZ25" s="452">
        <f t="shared" si="9"/>
        <v>14042</v>
      </c>
      <c r="BA25" s="453">
        <f t="shared" si="9"/>
        <v>14786</v>
      </c>
      <c r="BB25" s="451">
        <f t="shared" si="9"/>
        <v>13921</v>
      </c>
      <c r="BC25" s="452">
        <f t="shared" si="9"/>
        <v>14680</v>
      </c>
      <c r="BD25" s="453">
        <f t="shared" si="9"/>
        <v>15336</v>
      </c>
      <c r="BE25" s="451">
        <f t="shared" ref="BE25:BG25" si="10">SUM(BE24,BE20,BE15)</f>
        <v>14525</v>
      </c>
      <c r="BF25" s="452">
        <f t="shared" si="10"/>
        <v>15511</v>
      </c>
      <c r="BG25" s="453">
        <f t="shared" si="10"/>
        <v>15648</v>
      </c>
      <c r="BH25" s="451">
        <f t="shared" ref="BH25:BJ25" si="11">SUM(BH24,BH20,BH15)</f>
        <v>15008</v>
      </c>
      <c r="BI25" s="452">
        <f t="shared" si="11"/>
        <v>15739</v>
      </c>
      <c r="BJ25" s="453">
        <f t="shared" si="11"/>
        <v>15840</v>
      </c>
    </row>
    <row r="26" spans="1:62" s="424" customFormat="1" ht="15" customHeight="1" x14ac:dyDescent="0.3">
      <c r="A26" s="408"/>
      <c r="B26" s="39" t="s">
        <v>60</v>
      </c>
      <c r="C26" s="435"/>
      <c r="D26" s="454"/>
      <c r="E26" s="455"/>
      <c r="F26" s="435"/>
      <c r="G26" s="456"/>
      <c r="H26" s="455"/>
      <c r="I26" s="435"/>
      <c r="J26" s="456"/>
      <c r="K26" s="428">
        <v>57</v>
      </c>
      <c r="L26" s="429">
        <v>52</v>
      </c>
      <c r="M26" s="426">
        <v>48</v>
      </c>
      <c r="N26" s="427">
        <v>90</v>
      </c>
      <c r="O26" s="429">
        <v>87</v>
      </c>
      <c r="P26" s="431">
        <v>87</v>
      </c>
      <c r="Q26" s="427">
        <v>155</v>
      </c>
      <c r="R26" s="429">
        <v>149</v>
      </c>
      <c r="S26" s="431">
        <v>144</v>
      </c>
      <c r="T26" s="427">
        <v>204</v>
      </c>
      <c r="U26" s="429">
        <v>198</v>
      </c>
      <c r="V26" s="431">
        <v>195</v>
      </c>
      <c r="W26" s="427">
        <v>225</v>
      </c>
      <c r="X26" s="432">
        <v>186</v>
      </c>
      <c r="Y26" s="433">
        <v>190</v>
      </c>
      <c r="Z26" s="434">
        <v>212</v>
      </c>
      <c r="AA26" s="432">
        <v>183</v>
      </c>
      <c r="AB26" s="433">
        <v>178</v>
      </c>
      <c r="AC26" s="434">
        <v>171</v>
      </c>
      <c r="AD26" s="432">
        <v>163</v>
      </c>
      <c r="AE26" s="433">
        <v>156</v>
      </c>
      <c r="AF26" s="434">
        <v>166</v>
      </c>
      <c r="AG26" s="432">
        <v>155</v>
      </c>
      <c r="AH26" s="433">
        <v>143</v>
      </c>
      <c r="AI26" s="434">
        <v>156</v>
      </c>
      <c r="AJ26" s="432">
        <v>148</v>
      </c>
      <c r="AK26" s="433">
        <v>170</v>
      </c>
      <c r="AL26" s="434">
        <v>175</v>
      </c>
      <c r="AM26" s="432">
        <v>169</v>
      </c>
      <c r="AN26" s="433">
        <v>196</v>
      </c>
      <c r="AO26" s="434">
        <v>210</v>
      </c>
      <c r="AP26" s="432">
        <v>187</v>
      </c>
      <c r="AQ26" s="433">
        <v>229</v>
      </c>
      <c r="AR26" s="434">
        <v>225</v>
      </c>
      <c r="AS26" s="432">
        <v>213</v>
      </c>
      <c r="AT26" s="433">
        <v>243</v>
      </c>
      <c r="AU26" s="434">
        <v>251</v>
      </c>
      <c r="AV26" s="432">
        <v>227</v>
      </c>
      <c r="AW26" s="433">
        <v>249</v>
      </c>
      <c r="AX26" s="434">
        <v>254</v>
      </c>
      <c r="AY26" s="432">
        <v>248</v>
      </c>
      <c r="AZ26" s="433">
        <v>251</v>
      </c>
      <c r="BA26" s="434">
        <v>255</v>
      </c>
      <c r="BB26" s="432">
        <v>246</v>
      </c>
      <c r="BC26" s="433">
        <v>276</v>
      </c>
      <c r="BD26" s="434">
        <v>292</v>
      </c>
      <c r="BE26" s="432">
        <v>276</v>
      </c>
      <c r="BF26" s="433">
        <v>302</v>
      </c>
      <c r="BG26" s="434">
        <v>297</v>
      </c>
      <c r="BH26" s="432">
        <v>293</v>
      </c>
      <c r="BI26" s="433">
        <v>293</v>
      </c>
      <c r="BJ26" s="434">
        <v>314</v>
      </c>
    </row>
    <row r="27" spans="1:62" s="424" customFormat="1" ht="15" customHeight="1" x14ac:dyDescent="0.3">
      <c r="A27" s="408"/>
      <c r="B27" s="39" t="s">
        <v>61</v>
      </c>
      <c r="C27" s="435"/>
      <c r="D27" s="454"/>
      <c r="E27" s="455"/>
      <c r="F27" s="435"/>
      <c r="G27" s="456"/>
      <c r="H27" s="455"/>
      <c r="I27" s="435"/>
      <c r="J27" s="456"/>
      <c r="K27" s="428">
        <v>54</v>
      </c>
      <c r="L27" s="429">
        <v>51</v>
      </c>
      <c r="M27" s="426">
        <v>47</v>
      </c>
      <c r="N27" s="427">
        <v>46</v>
      </c>
      <c r="O27" s="429">
        <v>30</v>
      </c>
      <c r="P27" s="431">
        <v>29</v>
      </c>
      <c r="Q27" s="427">
        <v>30</v>
      </c>
      <c r="R27" s="429">
        <v>30</v>
      </c>
      <c r="S27" s="431">
        <v>27</v>
      </c>
      <c r="T27" s="427">
        <v>27</v>
      </c>
      <c r="U27" s="429">
        <v>27</v>
      </c>
      <c r="V27" s="431">
        <v>26</v>
      </c>
      <c r="W27" s="427">
        <v>10</v>
      </c>
      <c r="X27" s="432">
        <v>5</v>
      </c>
      <c r="Y27" s="433">
        <v>6</v>
      </c>
      <c r="Z27" s="434">
        <v>6</v>
      </c>
      <c r="AA27" s="432">
        <v>3</v>
      </c>
      <c r="AB27" s="433">
        <v>2</v>
      </c>
      <c r="AC27" s="434">
        <v>1</v>
      </c>
      <c r="AD27" s="432"/>
      <c r="AE27" s="433"/>
      <c r="AF27" s="434"/>
      <c r="AG27" s="432"/>
      <c r="AH27" s="433"/>
      <c r="AI27" s="434"/>
      <c r="AJ27" s="432"/>
      <c r="AK27" s="433"/>
      <c r="AL27" s="434"/>
      <c r="AM27" s="432"/>
      <c r="AN27" s="433"/>
      <c r="AO27" s="434">
        <v>36</v>
      </c>
      <c r="AP27" s="432">
        <v>36</v>
      </c>
      <c r="AQ27" s="433">
        <v>35</v>
      </c>
      <c r="AR27" s="434">
        <v>68</v>
      </c>
      <c r="AS27" s="432">
        <v>68</v>
      </c>
      <c r="AT27" s="433">
        <v>65</v>
      </c>
      <c r="AU27" s="434">
        <v>96</v>
      </c>
      <c r="AV27" s="432">
        <v>89</v>
      </c>
      <c r="AW27" s="433">
        <v>95</v>
      </c>
      <c r="AX27" s="434">
        <v>123</v>
      </c>
      <c r="AY27" s="432">
        <v>123</v>
      </c>
      <c r="AZ27" s="433">
        <v>125</v>
      </c>
      <c r="BA27" s="434">
        <v>141</v>
      </c>
      <c r="BB27" s="432">
        <v>129</v>
      </c>
      <c r="BC27" s="433">
        <v>138</v>
      </c>
      <c r="BD27" s="434">
        <v>152</v>
      </c>
      <c r="BE27" s="432">
        <v>147</v>
      </c>
      <c r="BF27" s="433">
        <v>145</v>
      </c>
      <c r="BG27" s="434">
        <v>162</v>
      </c>
      <c r="BH27" s="432">
        <v>166</v>
      </c>
      <c r="BI27" s="433">
        <v>144</v>
      </c>
      <c r="BJ27" s="434">
        <v>187</v>
      </c>
    </row>
    <row r="28" spans="1:62" s="424" customFormat="1" ht="15" customHeight="1" x14ac:dyDescent="0.3">
      <c r="A28" s="408"/>
      <c r="B28" s="39" t="s">
        <v>106</v>
      </c>
      <c r="C28" s="457"/>
      <c r="D28" s="454"/>
      <c r="E28" s="455"/>
      <c r="F28" s="457"/>
      <c r="G28" s="454"/>
      <c r="H28" s="458"/>
      <c r="I28" s="457"/>
      <c r="J28" s="454"/>
      <c r="K28" s="428"/>
      <c r="L28" s="429"/>
      <c r="M28" s="426"/>
      <c r="N28" s="427"/>
      <c r="O28" s="429"/>
      <c r="P28" s="456"/>
      <c r="Q28" s="427">
        <v>22</v>
      </c>
      <c r="R28" s="429">
        <v>22</v>
      </c>
      <c r="S28" s="456">
        <v>22</v>
      </c>
      <c r="T28" s="427">
        <v>42</v>
      </c>
      <c r="U28" s="429">
        <v>37</v>
      </c>
      <c r="V28" s="456">
        <v>38</v>
      </c>
      <c r="W28" s="427">
        <v>60</v>
      </c>
      <c r="X28" s="432">
        <v>52</v>
      </c>
      <c r="Y28" s="433">
        <v>49</v>
      </c>
      <c r="Z28" s="434">
        <v>88</v>
      </c>
      <c r="AA28" s="432">
        <v>74</v>
      </c>
      <c r="AB28" s="433">
        <v>69</v>
      </c>
      <c r="AC28" s="434">
        <v>85</v>
      </c>
      <c r="AD28" s="432">
        <v>79</v>
      </c>
      <c r="AE28" s="433">
        <v>72</v>
      </c>
      <c r="AF28" s="434">
        <v>86</v>
      </c>
      <c r="AG28" s="432">
        <v>80</v>
      </c>
      <c r="AH28" s="433">
        <v>72</v>
      </c>
      <c r="AI28" s="434">
        <v>100</v>
      </c>
      <c r="AJ28" s="432">
        <v>92</v>
      </c>
      <c r="AK28" s="433">
        <v>116</v>
      </c>
      <c r="AL28" s="434">
        <v>141</v>
      </c>
      <c r="AM28" s="432">
        <v>125</v>
      </c>
      <c r="AN28" s="433">
        <v>153</v>
      </c>
      <c r="AO28" s="434">
        <v>181</v>
      </c>
      <c r="AP28" s="432">
        <v>159</v>
      </c>
      <c r="AQ28" s="433">
        <v>193</v>
      </c>
      <c r="AR28" s="434">
        <v>214</v>
      </c>
      <c r="AS28" s="432">
        <v>205</v>
      </c>
      <c r="AT28" s="433">
        <v>232</v>
      </c>
      <c r="AU28" s="434">
        <v>249</v>
      </c>
      <c r="AV28" s="432">
        <v>219</v>
      </c>
      <c r="AW28" s="433">
        <v>259</v>
      </c>
      <c r="AX28" s="434">
        <v>281</v>
      </c>
      <c r="AY28" s="432">
        <v>271</v>
      </c>
      <c r="AZ28" s="433">
        <v>279</v>
      </c>
      <c r="BA28" s="434">
        <v>292</v>
      </c>
      <c r="BB28" s="432">
        <v>271</v>
      </c>
      <c r="BC28" s="433">
        <v>292</v>
      </c>
      <c r="BD28" s="434">
        <v>292</v>
      </c>
      <c r="BE28" s="432">
        <v>274</v>
      </c>
      <c r="BF28" s="433">
        <v>295</v>
      </c>
      <c r="BG28" s="434">
        <v>273</v>
      </c>
      <c r="BH28" s="432">
        <v>261</v>
      </c>
      <c r="BI28" s="433">
        <v>242</v>
      </c>
      <c r="BJ28" s="434">
        <v>259</v>
      </c>
    </row>
    <row r="29" spans="1:62" s="424" customFormat="1" ht="15" customHeight="1" x14ac:dyDescent="0.3">
      <c r="A29" s="408"/>
      <c r="B29" s="39" t="s">
        <v>107</v>
      </c>
      <c r="C29" s="40"/>
      <c r="D29" s="281"/>
      <c r="E29" s="42"/>
      <c r="F29" s="280"/>
      <c r="G29" s="281"/>
      <c r="H29" s="42"/>
      <c r="I29" s="40"/>
      <c r="J29" s="41"/>
      <c r="K29" s="42"/>
      <c r="L29" s="40"/>
      <c r="M29" s="41"/>
      <c r="N29" s="42"/>
      <c r="O29" s="40"/>
      <c r="P29" s="41"/>
      <c r="Q29" s="42">
        <v>32</v>
      </c>
      <c r="R29" s="40">
        <v>29</v>
      </c>
      <c r="S29" s="41">
        <v>24</v>
      </c>
      <c r="T29" s="42">
        <v>55</v>
      </c>
      <c r="U29" s="40">
        <v>49</v>
      </c>
      <c r="V29" s="41">
        <v>47</v>
      </c>
      <c r="W29" s="42">
        <v>76</v>
      </c>
      <c r="X29" s="40">
        <v>70</v>
      </c>
      <c r="Y29" s="41">
        <v>68</v>
      </c>
      <c r="Z29" s="42">
        <v>99</v>
      </c>
      <c r="AA29" s="435">
        <v>95</v>
      </c>
      <c r="AB29" s="41">
        <v>86</v>
      </c>
      <c r="AC29" s="42">
        <v>116</v>
      </c>
      <c r="AD29" s="435">
        <v>108</v>
      </c>
      <c r="AE29" s="41">
        <v>103</v>
      </c>
      <c r="AF29" s="332">
        <v>126</v>
      </c>
      <c r="AG29" s="435">
        <v>118</v>
      </c>
      <c r="AH29" s="41">
        <v>111</v>
      </c>
      <c r="AI29" s="332">
        <v>133</v>
      </c>
      <c r="AJ29" s="435">
        <v>121</v>
      </c>
      <c r="AK29" s="41">
        <v>145</v>
      </c>
      <c r="AL29" s="332">
        <v>172</v>
      </c>
      <c r="AM29" s="435">
        <v>160</v>
      </c>
      <c r="AN29" s="41">
        <v>182</v>
      </c>
      <c r="AO29" s="332">
        <v>198</v>
      </c>
      <c r="AP29" s="435">
        <v>161</v>
      </c>
      <c r="AQ29" s="41">
        <v>202</v>
      </c>
      <c r="AR29" s="332">
        <v>210</v>
      </c>
      <c r="AS29" s="435">
        <v>212</v>
      </c>
      <c r="AT29" s="41">
        <v>237</v>
      </c>
      <c r="AU29" s="332">
        <v>260</v>
      </c>
      <c r="AV29" s="435">
        <v>219</v>
      </c>
      <c r="AW29" s="41">
        <v>268</v>
      </c>
      <c r="AX29" s="332">
        <v>281</v>
      </c>
      <c r="AY29" s="435">
        <v>257</v>
      </c>
      <c r="AZ29" s="41">
        <v>287</v>
      </c>
      <c r="BA29" s="332">
        <v>291</v>
      </c>
      <c r="BB29" s="435">
        <v>259</v>
      </c>
      <c r="BC29" s="41">
        <v>286</v>
      </c>
      <c r="BD29" s="332">
        <v>290</v>
      </c>
      <c r="BE29" s="435">
        <v>285</v>
      </c>
      <c r="BF29" s="41">
        <v>307</v>
      </c>
      <c r="BG29" s="332">
        <v>313</v>
      </c>
      <c r="BH29" s="435">
        <v>303</v>
      </c>
      <c r="BI29" s="41">
        <v>311</v>
      </c>
      <c r="BJ29" s="332">
        <v>326</v>
      </c>
    </row>
    <row r="30" spans="1:62" s="424" customFormat="1" ht="15" customHeight="1" x14ac:dyDescent="0.3">
      <c r="A30" s="408"/>
      <c r="B30" s="436" t="s">
        <v>64</v>
      </c>
      <c r="C30" s="437"/>
      <c r="D30" s="438"/>
      <c r="E30" s="439"/>
      <c r="F30" s="437"/>
      <c r="G30" s="438"/>
      <c r="H30" s="439"/>
      <c r="I30" s="437"/>
      <c r="J30" s="438"/>
      <c r="K30" s="439">
        <f>SUM(K26:K29)</f>
        <v>111</v>
      </c>
      <c r="L30" s="437">
        <f t="shared" ref="L30:AU30" si="12">SUM(L26:L29)</f>
        <v>103</v>
      </c>
      <c r="M30" s="438">
        <f t="shared" si="12"/>
        <v>95</v>
      </c>
      <c r="N30" s="439">
        <f t="shared" si="12"/>
        <v>136</v>
      </c>
      <c r="O30" s="437">
        <f t="shared" si="12"/>
        <v>117</v>
      </c>
      <c r="P30" s="438">
        <f t="shared" si="12"/>
        <v>116</v>
      </c>
      <c r="Q30" s="439">
        <f t="shared" si="12"/>
        <v>239</v>
      </c>
      <c r="R30" s="437">
        <f t="shared" si="12"/>
        <v>230</v>
      </c>
      <c r="S30" s="438">
        <f t="shared" si="12"/>
        <v>217</v>
      </c>
      <c r="T30" s="439">
        <f t="shared" si="12"/>
        <v>328</v>
      </c>
      <c r="U30" s="437">
        <f t="shared" si="12"/>
        <v>311</v>
      </c>
      <c r="V30" s="438">
        <f t="shared" si="12"/>
        <v>306</v>
      </c>
      <c r="W30" s="439">
        <f t="shared" si="12"/>
        <v>371</v>
      </c>
      <c r="X30" s="437">
        <f t="shared" si="12"/>
        <v>313</v>
      </c>
      <c r="Y30" s="438">
        <f t="shared" si="12"/>
        <v>313</v>
      </c>
      <c r="Z30" s="439">
        <f t="shared" si="12"/>
        <v>405</v>
      </c>
      <c r="AA30" s="437">
        <f t="shared" si="12"/>
        <v>355</v>
      </c>
      <c r="AB30" s="438">
        <f t="shared" si="12"/>
        <v>335</v>
      </c>
      <c r="AC30" s="439">
        <f t="shared" si="12"/>
        <v>373</v>
      </c>
      <c r="AD30" s="437">
        <f t="shared" si="12"/>
        <v>350</v>
      </c>
      <c r="AE30" s="438">
        <f t="shared" si="12"/>
        <v>331</v>
      </c>
      <c r="AF30" s="439">
        <f t="shared" si="12"/>
        <v>378</v>
      </c>
      <c r="AG30" s="437">
        <f t="shared" si="12"/>
        <v>353</v>
      </c>
      <c r="AH30" s="438">
        <f t="shared" si="12"/>
        <v>326</v>
      </c>
      <c r="AI30" s="439">
        <f t="shared" si="12"/>
        <v>389</v>
      </c>
      <c r="AJ30" s="437">
        <f t="shared" si="12"/>
        <v>361</v>
      </c>
      <c r="AK30" s="438">
        <f t="shared" si="12"/>
        <v>431</v>
      </c>
      <c r="AL30" s="439">
        <f t="shared" si="12"/>
        <v>488</v>
      </c>
      <c r="AM30" s="437">
        <f t="shared" si="12"/>
        <v>454</v>
      </c>
      <c r="AN30" s="438">
        <f t="shared" si="12"/>
        <v>531</v>
      </c>
      <c r="AO30" s="439">
        <f t="shared" si="12"/>
        <v>625</v>
      </c>
      <c r="AP30" s="437">
        <f t="shared" si="12"/>
        <v>543</v>
      </c>
      <c r="AQ30" s="438">
        <f t="shared" si="12"/>
        <v>659</v>
      </c>
      <c r="AR30" s="439">
        <f t="shared" si="12"/>
        <v>717</v>
      </c>
      <c r="AS30" s="437">
        <f t="shared" si="12"/>
        <v>698</v>
      </c>
      <c r="AT30" s="438">
        <f t="shared" si="12"/>
        <v>777</v>
      </c>
      <c r="AU30" s="439">
        <f t="shared" si="12"/>
        <v>856</v>
      </c>
      <c r="AV30" s="437">
        <v>754</v>
      </c>
      <c r="AW30" s="438">
        <v>871</v>
      </c>
      <c r="AX30" s="439">
        <f t="shared" ref="AX30:BC30" si="13">SUM(AX26:AX29)</f>
        <v>939</v>
      </c>
      <c r="AY30" s="437">
        <f t="shared" si="13"/>
        <v>899</v>
      </c>
      <c r="AZ30" s="438">
        <f t="shared" si="13"/>
        <v>942</v>
      </c>
      <c r="BA30" s="439">
        <f t="shared" si="13"/>
        <v>979</v>
      </c>
      <c r="BB30" s="437">
        <f t="shared" si="13"/>
        <v>905</v>
      </c>
      <c r="BC30" s="438">
        <f t="shared" si="13"/>
        <v>992</v>
      </c>
      <c r="BD30" s="439">
        <f t="shared" ref="BD30:BG30" si="14">SUM(BD26:BD29)</f>
        <v>1026</v>
      </c>
      <c r="BE30" s="437">
        <f t="shared" si="14"/>
        <v>982</v>
      </c>
      <c r="BF30" s="438">
        <f t="shared" si="14"/>
        <v>1049</v>
      </c>
      <c r="BG30" s="439">
        <f t="shared" si="14"/>
        <v>1045</v>
      </c>
      <c r="BH30" s="437">
        <f>SUM(BH26:BH29)</f>
        <v>1023</v>
      </c>
      <c r="BI30" s="438">
        <f>SUM(BI26:BI29)</f>
        <v>990</v>
      </c>
      <c r="BJ30" s="439">
        <f>SUM(BJ26:BJ29)</f>
        <v>1086</v>
      </c>
    </row>
    <row r="31" spans="1:62" s="424" customFormat="1" ht="15" customHeight="1" x14ac:dyDescent="0.3">
      <c r="A31" s="408"/>
      <c r="B31" s="39" t="s">
        <v>108</v>
      </c>
      <c r="C31" s="457"/>
      <c r="D31" s="454"/>
      <c r="E31" s="455"/>
      <c r="F31" s="435"/>
      <c r="G31" s="456"/>
      <c r="H31" s="455"/>
      <c r="I31" s="435"/>
      <c r="J31" s="456"/>
      <c r="K31" s="428">
        <v>34</v>
      </c>
      <c r="L31" s="429">
        <v>29</v>
      </c>
      <c r="M31" s="426">
        <v>29</v>
      </c>
      <c r="N31" s="427">
        <v>61</v>
      </c>
      <c r="O31" s="429">
        <v>60</v>
      </c>
      <c r="P31" s="431">
        <v>59</v>
      </c>
      <c r="Q31" s="427">
        <v>113</v>
      </c>
      <c r="R31" s="429">
        <v>108</v>
      </c>
      <c r="S31" s="431">
        <v>100</v>
      </c>
      <c r="T31" s="427">
        <v>154</v>
      </c>
      <c r="U31" s="429">
        <v>149</v>
      </c>
      <c r="V31" s="431">
        <v>146</v>
      </c>
      <c r="W31" s="427">
        <v>175</v>
      </c>
      <c r="X31" s="432">
        <v>159</v>
      </c>
      <c r="Y31" s="433">
        <v>145</v>
      </c>
      <c r="Z31" s="434">
        <v>180</v>
      </c>
      <c r="AA31" s="432">
        <v>151</v>
      </c>
      <c r="AB31" s="433">
        <v>147</v>
      </c>
      <c r="AC31" s="434">
        <v>182</v>
      </c>
      <c r="AD31" s="432">
        <v>156</v>
      </c>
      <c r="AE31" s="433">
        <v>152</v>
      </c>
      <c r="AF31" s="434">
        <v>183</v>
      </c>
      <c r="AG31" s="432">
        <v>170</v>
      </c>
      <c r="AH31" s="433">
        <v>163</v>
      </c>
      <c r="AI31" s="434">
        <v>197</v>
      </c>
      <c r="AJ31" s="432">
        <v>183</v>
      </c>
      <c r="AK31" s="433">
        <v>178</v>
      </c>
      <c r="AL31" s="434">
        <v>232</v>
      </c>
      <c r="AM31" s="432">
        <v>208</v>
      </c>
      <c r="AN31" s="433">
        <v>201</v>
      </c>
      <c r="AO31" s="434">
        <v>248</v>
      </c>
      <c r="AP31" s="432">
        <v>219</v>
      </c>
      <c r="AQ31" s="433">
        <v>217</v>
      </c>
      <c r="AR31" s="434">
        <v>269</v>
      </c>
      <c r="AS31" s="432">
        <v>257</v>
      </c>
      <c r="AT31" s="433">
        <v>239</v>
      </c>
      <c r="AU31" s="434">
        <v>309</v>
      </c>
      <c r="AV31" s="432">
        <v>264</v>
      </c>
      <c r="AW31" s="433">
        <v>252</v>
      </c>
      <c r="AX31" s="434">
        <v>312</v>
      </c>
      <c r="AY31" s="432">
        <v>300</v>
      </c>
      <c r="AZ31" s="433">
        <v>268</v>
      </c>
      <c r="BA31" s="434">
        <v>317</v>
      </c>
      <c r="BB31" s="432">
        <v>309</v>
      </c>
      <c r="BC31" s="433">
        <v>291</v>
      </c>
      <c r="BD31" s="434">
        <v>347</v>
      </c>
      <c r="BE31" s="432">
        <v>328</v>
      </c>
      <c r="BF31" s="433">
        <v>312</v>
      </c>
      <c r="BG31" s="434">
        <v>366</v>
      </c>
      <c r="BH31" s="432">
        <v>347</v>
      </c>
      <c r="BI31" s="433">
        <v>327</v>
      </c>
      <c r="BJ31" s="434">
        <v>384</v>
      </c>
    </row>
    <row r="32" spans="1:62" s="424" customFormat="1" ht="15" customHeight="1" x14ac:dyDescent="0.3">
      <c r="A32" s="408"/>
      <c r="B32" s="39" t="s">
        <v>109</v>
      </c>
      <c r="C32" s="457"/>
      <c r="D32" s="454"/>
      <c r="E32" s="458"/>
      <c r="F32" s="457"/>
      <c r="G32" s="454"/>
      <c r="H32" s="458"/>
      <c r="I32" s="457"/>
      <c r="J32" s="454"/>
      <c r="K32" s="455"/>
      <c r="L32" s="435"/>
      <c r="M32" s="456"/>
      <c r="N32" s="455"/>
      <c r="O32" s="435"/>
      <c r="P32" s="431"/>
      <c r="Q32" s="427">
        <v>25</v>
      </c>
      <c r="R32" s="435">
        <v>21</v>
      </c>
      <c r="S32" s="431">
        <v>20</v>
      </c>
      <c r="T32" s="427">
        <v>46</v>
      </c>
      <c r="U32" s="435">
        <v>35</v>
      </c>
      <c r="V32" s="431">
        <v>33</v>
      </c>
      <c r="W32" s="427">
        <v>75</v>
      </c>
      <c r="X32" s="432">
        <v>63</v>
      </c>
      <c r="Y32" s="433">
        <v>63</v>
      </c>
      <c r="Z32" s="434">
        <v>101</v>
      </c>
      <c r="AA32" s="432">
        <v>95</v>
      </c>
      <c r="AB32" s="433">
        <v>86</v>
      </c>
      <c r="AC32" s="434">
        <v>128</v>
      </c>
      <c r="AD32" s="432">
        <v>120</v>
      </c>
      <c r="AE32" s="433">
        <v>107</v>
      </c>
      <c r="AF32" s="434">
        <v>143</v>
      </c>
      <c r="AG32" s="432">
        <v>134</v>
      </c>
      <c r="AH32" s="433">
        <v>121</v>
      </c>
      <c r="AI32" s="434">
        <v>156</v>
      </c>
      <c r="AJ32" s="432">
        <v>144</v>
      </c>
      <c r="AK32" s="433">
        <v>137</v>
      </c>
      <c r="AL32" s="434">
        <v>170</v>
      </c>
      <c r="AM32" s="432">
        <v>158</v>
      </c>
      <c r="AN32" s="433">
        <v>145</v>
      </c>
      <c r="AO32" s="434">
        <v>189</v>
      </c>
      <c r="AP32" s="432">
        <v>163</v>
      </c>
      <c r="AQ32" s="433">
        <v>171</v>
      </c>
      <c r="AR32" s="434">
        <v>207</v>
      </c>
      <c r="AS32" s="432">
        <v>209</v>
      </c>
      <c r="AT32" s="433">
        <v>197</v>
      </c>
      <c r="AU32" s="434">
        <v>249</v>
      </c>
      <c r="AV32" s="432">
        <v>213</v>
      </c>
      <c r="AW32" s="433">
        <v>221</v>
      </c>
      <c r="AX32" s="434">
        <v>278</v>
      </c>
      <c r="AY32" s="432">
        <v>266</v>
      </c>
      <c r="AZ32" s="433">
        <v>248</v>
      </c>
      <c r="BA32" s="434">
        <v>279</v>
      </c>
      <c r="BB32" s="432">
        <v>267</v>
      </c>
      <c r="BC32" s="433">
        <v>256</v>
      </c>
      <c r="BD32" s="434">
        <v>296</v>
      </c>
      <c r="BE32" s="432">
        <v>283</v>
      </c>
      <c r="BF32" s="433">
        <v>277</v>
      </c>
      <c r="BG32" s="434">
        <v>299</v>
      </c>
      <c r="BH32" s="432">
        <v>298</v>
      </c>
      <c r="BI32" s="433">
        <v>279</v>
      </c>
      <c r="BJ32" s="434">
        <v>327</v>
      </c>
    </row>
    <row r="33" spans="1:62" s="424" customFormat="1" ht="15" customHeight="1" x14ac:dyDescent="0.3">
      <c r="A33" s="408"/>
      <c r="B33" s="39" t="s">
        <v>110</v>
      </c>
      <c r="C33" s="40"/>
      <c r="D33" s="281"/>
      <c r="E33" s="42"/>
      <c r="F33" s="280"/>
      <c r="G33" s="281"/>
      <c r="H33" s="42"/>
      <c r="I33" s="40"/>
      <c r="J33" s="41"/>
      <c r="K33" s="42"/>
      <c r="L33" s="40"/>
      <c r="M33" s="41"/>
      <c r="N33" s="42"/>
      <c r="O33" s="40"/>
      <c r="P33" s="41"/>
      <c r="Q33" s="42">
        <v>49</v>
      </c>
      <c r="R33" s="40">
        <v>45</v>
      </c>
      <c r="S33" s="41">
        <v>47</v>
      </c>
      <c r="T33" s="42">
        <v>92</v>
      </c>
      <c r="U33" s="40">
        <v>88</v>
      </c>
      <c r="V33" s="41">
        <v>84</v>
      </c>
      <c r="W33" s="42">
        <v>110</v>
      </c>
      <c r="X33" s="40">
        <v>106</v>
      </c>
      <c r="Y33" s="41">
        <v>105</v>
      </c>
      <c r="Z33" s="42">
        <v>142</v>
      </c>
      <c r="AA33" s="435">
        <v>150</v>
      </c>
      <c r="AB33" s="41">
        <v>152</v>
      </c>
      <c r="AC33" s="42">
        <v>188</v>
      </c>
      <c r="AD33" s="435">
        <v>176</v>
      </c>
      <c r="AE33" s="41">
        <v>170</v>
      </c>
      <c r="AF33" s="332">
        <v>194</v>
      </c>
      <c r="AG33" s="435">
        <v>185</v>
      </c>
      <c r="AH33" s="41">
        <v>187</v>
      </c>
      <c r="AI33" s="332">
        <v>223</v>
      </c>
      <c r="AJ33" s="435">
        <v>201</v>
      </c>
      <c r="AK33" s="41">
        <v>200</v>
      </c>
      <c r="AL33" s="332">
        <v>242</v>
      </c>
      <c r="AM33" s="435">
        <v>223</v>
      </c>
      <c r="AN33" s="41">
        <v>219</v>
      </c>
      <c r="AO33" s="332">
        <v>289</v>
      </c>
      <c r="AP33" s="435">
        <v>265</v>
      </c>
      <c r="AQ33" s="41">
        <v>263</v>
      </c>
      <c r="AR33" s="332">
        <v>307</v>
      </c>
      <c r="AS33" s="435">
        <v>321</v>
      </c>
      <c r="AT33" s="41">
        <v>304</v>
      </c>
      <c r="AU33" s="332">
        <v>368</v>
      </c>
      <c r="AV33" s="435">
        <v>324</v>
      </c>
      <c r="AW33" s="41">
        <v>328</v>
      </c>
      <c r="AX33" s="332">
        <v>391</v>
      </c>
      <c r="AY33" s="435">
        <v>365</v>
      </c>
      <c r="AZ33" s="41">
        <v>359</v>
      </c>
      <c r="BA33" s="332">
        <v>395</v>
      </c>
      <c r="BB33" s="435">
        <v>377</v>
      </c>
      <c r="BC33" s="41">
        <v>360</v>
      </c>
      <c r="BD33" s="332">
        <v>407</v>
      </c>
      <c r="BE33" s="435">
        <v>389</v>
      </c>
      <c r="BF33" s="41">
        <v>387</v>
      </c>
      <c r="BG33" s="332">
        <v>420</v>
      </c>
      <c r="BH33" s="435">
        <v>399</v>
      </c>
      <c r="BI33" s="41">
        <v>356</v>
      </c>
      <c r="BJ33" s="332">
        <v>420</v>
      </c>
    </row>
    <row r="34" spans="1:62" s="424" customFormat="1" ht="15" customHeight="1" x14ac:dyDescent="0.3">
      <c r="A34" s="408"/>
      <c r="B34" s="436" t="s">
        <v>111</v>
      </c>
      <c r="C34" s="437"/>
      <c r="D34" s="438"/>
      <c r="E34" s="439"/>
      <c r="F34" s="437"/>
      <c r="G34" s="438"/>
      <c r="H34" s="439"/>
      <c r="I34" s="437"/>
      <c r="J34" s="438"/>
      <c r="K34" s="439">
        <f>SUM(K31:K33)</f>
        <v>34</v>
      </c>
      <c r="L34" s="437">
        <f t="shared" ref="L34:AU34" si="15">SUM(L31:L33)</f>
        <v>29</v>
      </c>
      <c r="M34" s="438">
        <f t="shared" si="15"/>
        <v>29</v>
      </c>
      <c r="N34" s="439">
        <f t="shared" si="15"/>
        <v>61</v>
      </c>
      <c r="O34" s="437">
        <f t="shared" si="15"/>
        <v>60</v>
      </c>
      <c r="P34" s="438">
        <f t="shared" si="15"/>
        <v>59</v>
      </c>
      <c r="Q34" s="439">
        <f t="shared" si="15"/>
        <v>187</v>
      </c>
      <c r="R34" s="437">
        <f t="shared" si="15"/>
        <v>174</v>
      </c>
      <c r="S34" s="438">
        <f t="shared" si="15"/>
        <v>167</v>
      </c>
      <c r="T34" s="439">
        <f t="shared" si="15"/>
        <v>292</v>
      </c>
      <c r="U34" s="437">
        <f t="shared" si="15"/>
        <v>272</v>
      </c>
      <c r="V34" s="438">
        <f t="shared" si="15"/>
        <v>263</v>
      </c>
      <c r="W34" s="439">
        <f t="shared" si="15"/>
        <v>360</v>
      </c>
      <c r="X34" s="437">
        <f t="shared" si="15"/>
        <v>328</v>
      </c>
      <c r="Y34" s="438">
        <f t="shared" si="15"/>
        <v>313</v>
      </c>
      <c r="Z34" s="439">
        <f t="shared" si="15"/>
        <v>423</v>
      </c>
      <c r="AA34" s="437">
        <f t="shared" si="15"/>
        <v>396</v>
      </c>
      <c r="AB34" s="438">
        <f t="shared" si="15"/>
        <v>385</v>
      </c>
      <c r="AC34" s="439">
        <f t="shared" si="15"/>
        <v>498</v>
      </c>
      <c r="AD34" s="437">
        <f t="shared" si="15"/>
        <v>452</v>
      </c>
      <c r="AE34" s="438">
        <f t="shared" si="15"/>
        <v>429</v>
      </c>
      <c r="AF34" s="439">
        <f t="shared" si="15"/>
        <v>520</v>
      </c>
      <c r="AG34" s="437">
        <f t="shared" si="15"/>
        <v>489</v>
      </c>
      <c r="AH34" s="438">
        <f t="shared" si="15"/>
        <v>471</v>
      </c>
      <c r="AI34" s="439">
        <f t="shared" si="15"/>
        <v>576</v>
      </c>
      <c r="AJ34" s="437">
        <f t="shared" si="15"/>
        <v>528</v>
      </c>
      <c r="AK34" s="438">
        <f t="shared" si="15"/>
        <v>515</v>
      </c>
      <c r="AL34" s="439">
        <f t="shared" si="15"/>
        <v>644</v>
      </c>
      <c r="AM34" s="437">
        <f t="shared" si="15"/>
        <v>589</v>
      </c>
      <c r="AN34" s="438">
        <f t="shared" si="15"/>
        <v>565</v>
      </c>
      <c r="AO34" s="439">
        <f t="shared" si="15"/>
        <v>726</v>
      </c>
      <c r="AP34" s="437">
        <f t="shared" si="15"/>
        <v>647</v>
      </c>
      <c r="AQ34" s="438">
        <f t="shared" si="15"/>
        <v>651</v>
      </c>
      <c r="AR34" s="439">
        <f t="shared" si="15"/>
        <v>783</v>
      </c>
      <c r="AS34" s="437">
        <f t="shared" si="15"/>
        <v>787</v>
      </c>
      <c r="AT34" s="438">
        <f t="shared" si="15"/>
        <v>740</v>
      </c>
      <c r="AU34" s="439">
        <f t="shared" si="15"/>
        <v>926</v>
      </c>
      <c r="AV34" s="437">
        <v>801</v>
      </c>
      <c r="AW34" s="438">
        <v>801</v>
      </c>
      <c r="AX34" s="439">
        <f t="shared" ref="AX34:BC34" si="16">SUM(AX31:AX33)</f>
        <v>981</v>
      </c>
      <c r="AY34" s="437">
        <f t="shared" si="16"/>
        <v>931</v>
      </c>
      <c r="AZ34" s="438">
        <f t="shared" si="16"/>
        <v>875</v>
      </c>
      <c r="BA34" s="439">
        <f t="shared" si="16"/>
        <v>991</v>
      </c>
      <c r="BB34" s="437">
        <f t="shared" si="16"/>
        <v>953</v>
      </c>
      <c r="BC34" s="438">
        <f t="shared" si="16"/>
        <v>907</v>
      </c>
      <c r="BD34" s="439">
        <f t="shared" ref="BD34:BG34" si="17">SUM(BD31:BD33)</f>
        <v>1050</v>
      </c>
      <c r="BE34" s="437">
        <f t="shared" si="17"/>
        <v>1000</v>
      </c>
      <c r="BF34" s="438">
        <f t="shared" si="17"/>
        <v>976</v>
      </c>
      <c r="BG34" s="439">
        <f t="shared" si="17"/>
        <v>1085</v>
      </c>
      <c r="BH34" s="437">
        <f>SUM(BH31:BH33)</f>
        <v>1044</v>
      </c>
      <c r="BI34" s="438">
        <f>SUM(BI31:BI33)</f>
        <v>962</v>
      </c>
      <c r="BJ34" s="439">
        <f>SUM(BJ31:BJ33)</f>
        <v>1131</v>
      </c>
    </row>
    <row r="35" spans="1:62" s="424" customFormat="1" ht="15" customHeight="1" x14ac:dyDescent="0.3">
      <c r="A35" s="408"/>
      <c r="B35" s="39" t="s">
        <v>58</v>
      </c>
      <c r="C35" s="457"/>
      <c r="D35" s="454"/>
      <c r="E35" s="455"/>
      <c r="F35" s="457"/>
      <c r="G35" s="454"/>
      <c r="H35" s="458"/>
      <c r="I35" s="435"/>
      <c r="J35" s="454"/>
      <c r="K35" s="428">
        <v>46</v>
      </c>
      <c r="L35" s="429">
        <v>40</v>
      </c>
      <c r="M35" s="426">
        <v>36</v>
      </c>
      <c r="N35" s="427">
        <v>58</v>
      </c>
      <c r="O35" s="429">
        <v>53</v>
      </c>
      <c r="P35" s="431">
        <v>50</v>
      </c>
      <c r="Q35" s="427">
        <v>91</v>
      </c>
      <c r="R35" s="429">
        <v>80</v>
      </c>
      <c r="S35" s="431">
        <v>75</v>
      </c>
      <c r="T35" s="427">
        <v>135</v>
      </c>
      <c r="U35" s="429">
        <v>127</v>
      </c>
      <c r="V35" s="431">
        <v>110</v>
      </c>
      <c r="W35" s="427">
        <v>133</v>
      </c>
      <c r="X35" s="432">
        <v>117</v>
      </c>
      <c r="Y35" s="433">
        <v>113</v>
      </c>
      <c r="Z35" s="434">
        <v>135</v>
      </c>
      <c r="AA35" s="432">
        <v>126</v>
      </c>
      <c r="AB35" s="433">
        <v>114</v>
      </c>
      <c r="AC35" s="434">
        <v>129</v>
      </c>
      <c r="AD35" s="432">
        <v>123</v>
      </c>
      <c r="AE35" s="433">
        <v>120</v>
      </c>
      <c r="AF35" s="434">
        <v>151</v>
      </c>
      <c r="AG35" s="432">
        <v>133</v>
      </c>
      <c r="AH35" s="433">
        <v>124</v>
      </c>
      <c r="AI35" s="434">
        <v>161</v>
      </c>
      <c r="AJ35" s="432">
        <v>145</v>
      </c>
      <c r="AK35" s="433">
        <v>139</v>
      </c>
      <c r="AL35" s="434">
        <v>202</v>
      </c>
      <c r="AM35" s="432">
        <v>172</v>
      </c>
      <c r="AN35" s="433">
        <v>169</v>
      </c>
      <c r="AO35" s="434">
        <v>211</v>
      </c>
      <c r="AP35" s="432">
        <v>181</v>
      </c>
      <c r="AQ35" s="433">
        <v>176</v>
      </c>
      <c r="AR35" s="434">
        <v>232</v>
      </c>
      <c r="AS35" s="432">
        <v>222</v>
      </c>
      <c r="AT35" s="433">
        <v>218</v>
      </c>
      <c r="AU35" s="434">
        <v>272</v>
      </c>
      <c r="AV35" s="432">
        <v>251</v>
      </c>
      <c r="AW35" s="433">
        <v>245</v>
      </c>
      <c r="AX35" s="434">
        <v>290</v>
      </c>
      <c r="AY35" s="432">
        <v>269</v>
      </c>
      <c r="AZ35" s="433">
        <v>252</v>
      </c>
      <c r="BA35" s="434">
        <v>299</v>
      </c>
      <c r="BB35" s="432">
        <v>275</v>
      </c>
      <c r="BC35" s="433">
        <v>262</v>
      </c>
      <c r="BD35" s="434">
        <v>323</v>
      </c>
      <c r="BE35" s="432">
        <v>320</v>
      </c>
      <c r="BF35" s="433">
        <v>307</v>
      </c>
      <c r="BG35" s="434">
        <v>348</v>
      </c>
      <c r="BH35" s="432">
        <v>346</v>
      </c>
      <c r="BI35" s="433">
        <v>308</v>
      </c>
      <c r="BJ35" s="434">
        <v>374</v>
      </c>
    </row>
    <row r="36" spans="1:62" s="424" customFormat="1" ht="15" customHeight="1" x14ac:dyDescent="0.3">
      <c r="A36" s="408"/>
      <c r="B36" s="39" t="s">
        <v>112</v>
      </c>
      <c r="C36" s="457"/>
      <c r="D36" s="454"/>
      <c r="E36" s="455"/>
      <c r="F36" s="457"/>
      <c r="G36" s="454"/>
      <c r="H36" s="458"/>
      <c r="I36" s="457"/>
      <c r="J36" s="454"/>
      <c r="K36" s="428">
        <v>12</v>
      </c>
      <c r="L36" s="429">
        <v>10</v>
      </c>
      <c r="M36" s="426">
        <v>8</v>
      </c>
      <c r="N36" s="427">
        <v>10</v>
      </c>
      <c r="O36" s="429">
        <v>10</v>
      </c>
      <c r="P36" s="431">
        <v>6</v>
      </c>
      <c r="Q36" s="427">
        <v>29</v>
      </c>
      <c r="R36" s="429">
        <v>24</v>
      </c>
      <c r="S36" s="431">
        <v>20</v>
      </c>
      <c r="T36" s="427">
        <v>51</v>
      </c>
      <c r="U36" s="429">
        <v>43</v>
      </c>
      <c r="V36" s="431">
        <v>42</v>
      </c>
      <c r="W36" s="427">
        <v>65</v>
      </c>
      <c r="X36" s="432">
        <v>53</v>
      </c>
      <c r="Y36" s="433">
        <v>49</v>
      </c>
      <c r="Z36" s="434">
        <v>70</v>
      </c>
      <c r="AA36" s="432">
        <v>66</v>
      </c>
      <c r="AB36" s="433">
        <v>63</v>
      </c>
      <c r="AC36" s="434">
        <v>90</v>
      </c>
      <c r="AD36" s="432">
        <v>87</v>
      </c>
      <c r="AE36" s="433">
        <v>81</v>
      </c>
      <c r="AF36" s="434">
        <v>103</v>
      </c>
      <c r="AG36" s="432">
        <v>100</v>
      </c>
      <c r="AH36" s="433">
        <v>86</v>
      </c>
      <c r="AI36" s="434">
        <v>112</v>
      </c>
      <c r="AJ36" s="432">
        <v>104</v>
      </c>
      <c r="AK36" s="433">
        <v>93</v>
      </c>
      <c r="AL36" s="434">
        <v>118</v>
      </c>
      <c r="AM36" s="432">
        <v>109</v>
      </c>
      <c r="AN36" s="433">
        <v>102</v>
      </c>
      <c r="AO36" s="434">
        <v>131</v>
      </c>
      <c r="AP36" s="432">
        <v>99</v>
      </c>
      <c r="AQ36" s="433">
        <v>103</v>
      </c>
      <c r="AR36" s="434">
        <v>117</v>
      </c>
      <c r="AS36" s="432">
        <v>111</v>
      </c>
      <c r="AT36" s="433">
        <v>104</v>
      </c>
      <c r="AU36" s="434">
        <v>129</v>
      </c>
      <c r="AV36" s="432">
        <v>113</v>
      </c>
      <c r="AW36" s="433">
        <v>106</v>
      </c>
      <c r="AX36" s="434">
        <v>136</v>
      </c>
      <c r="AY36" s="432">
        <v>126</v>
      </c>
      <c r="AZ36" s="433">
        <v>118</v>
      </c>
      <c r="BA36" s="434">
        <v>137</v>
      </c>
      <c r="BB36" s="432">
        <v>132</v>
      </c>
      <c r="BC36" s="433">
        <v>135</v>
      </c>
      <c r="BD36" s="434">
        <v>157</v>
      </c>
      <c r="BE36" s="432">
        <v>145</v>
      </c>
      <c r="BF36" s="433">
        <v>146</v>
      </c>
      <c r="BG36" s="434">
        <v>159</v>
      </c>
      <c r="BH36" s="432">
        <v>139</v>
      </c>
      <c r="BI36" s="433">
        <v>130</v>
      </c>
      <c r="BJ36" s="434">
        <v>161</v>
      </c>
    </row>
    <row r="37" spans="1:62" s="424" customFormat="1" ht="15" customHeight="1" x14ac:dyDescent="0.3">
      <c r="A37" s="408"/>
      <c r="B37" s="39" t="s">
        <v>113</v>
      </c>
      <c r="C37" s="457"/>
      <c r="D37" s="454"/>
      <c r="E37" s="455"/>
      <c r="F37" s="457"/>
      <c r="G37" s="454"/>
      <c r="H37" s="458"/>
      <c r="I37" s="457"/>
      <c r="J37" s="454"/>
      <c r="K37" s="428"/>
      <c r="L37" s="429"/>
      <c r="M37" s="426"/>
      <c r="N37" s="427"/>
      <c r="O37" s="429"/>
      <c r="P37" s="431"/>
      <c r="Q37" s="427"/>
      <c r="R37" s="429" t="s">
        <v>122</v>
      </c>
      <c r="S37" s="431" t="s">
        <v>122</v>
      </c>
      <c r="T37" s="427">
        <v>19</v>
      </c>
      <c r="U37" s="429">
        <v>19</v>
      </c>
      <c r="V37" s="431">
        <v>17</v>
      </c>
      <c r="W37" s="427">
        <v>40</v>
      </c>
      <c r="X37" s="432">
        <v>39</v>
      </c>
      <c r="Y37" s="433">
        <v>39</v>
      </c>
      <c r="Z37" s="434">
        <v>64</v>
      </c>
      <c r="AA37" s="432">
        <v>61</v>
      </c>
      <c r="AB37" s="433">
        <v>60</v>
      </c>
      <c r="AC37" s="434">
        <v>70</v>
      </c>
      <c r="AD37" s="432">
        <v>68</v>
      </c>
      <c r="AE37" s="433">
        <v>63</v>
      </c>
      <c r="AF37" s="434">
        <v>79</v>
      </c>
      <c r="AG37" s="432">
        <v>72</v>
      </c>
      <c r="AH37" s="433">
        <v>67</v>
      </c>
      <c r="AI37" s="434">
        <v>99</v>
      </c>
      <c r="AJ37" s="432">
        <v>89</v>
      </c>
      <c r="AK37" s="433">
        <v>80</v>
      </c>
      <c r="AL37" s="434">
        <v>134</v>
      </c>
      <c r="AM37" s="432">
        <v>124</v>
      </c>
      <c r="AN37" s="433">
        <v>117</v>
      </c>
      <c r="AO37" s="434">
        <v>165</v>
      </c>
      <c r="AP37" s="432">
        <v>145</v>
      </c>
      <c r="AQ37" s="433">
        <v>142</v>
      </c>
      <c r="AR37" s="434">
        <v>192</v>
      </c>
      <c r="AS37" s="432">
        <v>179</v>
      </c>
      <c r="AT37" s="433">
        <v>180</v>
      </c>
      <c r="AU37" s="434">
        <v>234</v>
      </c>
      <c r="AV37" s="432">
        <v>217</v>
      </c>
      <c r="AW37" s="433">
        <v>210</v>
      </c>
      <c r="AX37" s="434">
        <v>265</v>
      </c>
      <c r="AY37" s="432">
        <v>247</v>
      </c>
      <c r="AZ37" s="433">
        <v>230</v>
      </c>
      <c r="BA37" s="434">
        <v>278</v>
      </c>
      <c r="BB37" s="432">
        <v>255</v>
      </c>
      <c r="BC37" s="433">
        <v>244</v>
      </c>
      <c r="BD37" s="434">
        <v>295</v>
      </c>
      <c r="BE37" s="432">
        <v>279</v>
      </c>
      <c r="BF37" s="433">
        <v>264</v>
      </c>
      <c r="BG37" s="434">
        <v>290</v>
      </c>
      <c r="BH37" s="432">
        <v>272</v>
      </c>
      <c r="BI37" s="433">
        <v>261</v>
      </c>
      <c r="BJ37" s="434">
        <v>316</v>
      </c>
    </row>
    <row r="38" spans="1:62" s="424" customFormat="1" ht="15" customHeight="1" x14ac:dyDescent="0.3">
      <c r="A38" s="408"/>
      <c r="B38" s="39" t="s">
        <v>114</v>
      </c>
      <c r="C38" s="40"/>
      <c r="D38" s="281"/>
      <c r="E38" s="42"/>
      <c r="F38" s="280"/>
      <c r="G38" s="281"/>
      <c r="H38" s="42"/>
      <c r="I38" s="40"/>
      <c r="J38" s="41"/>
      <c r="K38" s="42"/>
      <c r="L38" s="40"/>
      <c r="M38" s="41"/>
      <c r="N38" s="42"/>
      <c r="O38" s="40"/>
      <c r="P38" s="41"/>
      <c r="Q38" s="42"/>
      <c r="R38" s="40"/>
      <c r="S38" s="41"/>
      <c r="T38" s="42"/>
      <c r="U38" s="40"/>
      <c r="V38" s="41"/>
      <c r="W38" s="42"/>
      <c r="X38" s="40">
        <v>0</v>
      </c>
      <c r="Y38" s="41">
        <v>0</v>
      </c>
      <c r="Z38" s="42">
        <v>27</v>
      </c>
      <c r="AA38" s="435">
        <v>23</v>
      </c>
      <c r="AB38" s="41">
        <v>24</v>
      </c>
      <c r="AC38" s="42">
        <v>67</v>
      </c>
      <c r="AD38" s="435">
        <v>63</v>
      </c>
      <c r="AE38" s="41">
        <v>57</v>
      </c>
      <c r="AF38" s="332">
        <v>116</v>
      </c>
      <c r="AG38" s="435">
        <v>108</v>
      </c>
      <c r="AH38" s="41">
        <v>105</v>
      </c>
      <c r="AI38" s="332">
        <v>153</v>
      </c>
      <c r="AJ38" s="435">
        <v>144</v>
      </c>
      <c r="AK38" s="41">
        <v>138</v>
      </c>
      <c r="AL38" s="332">
        <v>196</v>
      </c>
      <c r="AM38" s="435">
        <v>185</v>
      </c>
      <c r="AN38" s="41">
        <v>172</v>
      </c>
      <c r="AO38" s="332">
        <v>231</v>
      </c>
      <c r="AP38" s="435">
        <v>209</v>
      </c>
      <c r="AQ38" s="41">
        <v>209</v>
      </c>
      <c r="AR38" s="332">
        <v>260</v>
      </c>
      <c r="AS38" s="435">
        <v>236</v>
      </c>
      <c r="AT38" s="41">
        <v>230</v>
      </c>
      <c r="AU38" s="332">
        <v>274</v>
      </c>
      <c r="AV38" s="435">
        <v>233</v>
      </c>
      <c r="AW38" s="41">
        <v>240</v>
      </c>
      <c r="AX38" s="332">
        <v>298</v>
      </c>
      <c r="AY38" s="435">
        <v>267</v>
      </c>
      <c r="AZ38" s="41">
        <v>250</v>
      </c>
      <c r="BA38" s="332">
        <v>303</v>
      </c>
      <c r="BB38" s="435">
        <v>272</v>
      </c>
      <c r="BC38" s="41">
        <v>272</v>
      </c>
      <c r="BD38" s="332">
        <v>318</v>
      </c>
      <c r="BE38" s="435">
        <v>311</v>
      </c>
      <c r="BF38" s="41">
        <v>281</v>
      </c>
      <c r="BG38" s="332">
        <v>327</v>
      </c>
      <c r="BH38" s="435">
        <v>309</v>
      </c>
      <c r="BI38" s="41">
        <v>287</v>
      </c>
      <c r="BJ38" s="332">
        <v>330</v>
      </c>
    </row>
    <row r="39" spans="1:62" s="424" customFormat="1" ht="15" customHeight="1" x14ac:dyDescent="0.3">
      <c r="A39" s="408"/>
      <c r="B39" s="436" t="s">
        <v>115</v>
      </c>
      <c r="C39" s="437"/>
      <c r="D39" s="438"/>
      <c r="E39" s="439"/>
      <c r="F39" s="437"/>
      <c r="G39" s="438"/>
      <c r="H39" s="439"/>
      <c r="I39" s="437"/>
      <c r="J39" s="438"/>
      <c r="K39" s="439">
        <f>SUM(K35:K38)</f>
        <v>58</v>
      </c>
      <c r="L39" s="437">
        <f t="shared" ref="L39:BD39" si="18">SUM(L35:L38)</f>
        <v>50</v>
      </c>
      <c r="M39" s="438">
        <f t="shared" si="18"/>
        <v>44</v>
      </c>
      <c r="N39" s="439">
        <f t="shared" si="18"/>
        <v>68</v>
      </c>
      <c r="O39" s="437">
        <f t="shared" si="18"/>
        <v>63</v>
      </c>
      <c r="P39" s="438">
        <f t="shared" si="18"/>
        <v>56</v>
      </c>
      <c r="Q39" s="439">
        <f t="shared" si="18"/>
        <v>120</v>
      </c>
      <c r="R39" s="437">
        <f t="shared" si="18"/>
        <v>104</v>
      </c>
      <c r="S39" s="438">
        <f t="shared" si="18"/>
        <v>95</v>
      </c>
      <c r="T39" s="439">
        <f t="shared" si="18"/>
        <v>205</v>
      </c>
      <c r="U39" s="437">
        <f t="shared" si="18"/>
        <v>189</v>
      </c>
      <c r="V39" s="438">
        <f t="shared" si="18"/>
        <v>169</v>
      </c>
      <c r="W39" s="439">
        <f t="shared" si="18"/>
        <v>238</v>
      </c>
      <c r="X39" s="437">
        <f t="shared" si="18"/>
        <v>209</v>
      </c>
      <c r="Y39" s="438">
        <f t="shared" si="18"/>
        <v>201</v>
      </c>
      <c r="Z39" s="439">
        <f t="shared" si="18"/>
        <v>296</v>
      </c>
      <c r="AA39" s="437">
        <f t="shared" si="18"/>
        <v>276</v>
      </c>
      <c r="AB39" s="438">
        <f t="shared" si="18"/>
        <v>261</v>
      </c>
      <c r="AC39" s="439">
        <f t="shared" si="18"/>
        <v>356</v>
      </c>
      <c r="AD39" s="437">
        <f t="shared" si="18"/>
        <v>341</v>
      </c>
      <c r="AE39" s="438">
        <f t="shared" si="18"/>
        <v>321</v>
      </c>
      <c r="AF39" s="439">
        <f t="shared" si="18"/>
        <v>449</v>
      </c>
      <c r="AG39" s="437">
        <f t="shared" si="18"/>
        <v>413</v>
      </c>
      <c r="AH39" s="438">
        <f t="shared" si="18"/>
        <v>382</v>
      </c>
      <c r="AI39" s="439">
        <f t="shared" si="18"/>
        <v>525</v>
      </c>
      <c r="AJ39" s="437">
        <f t="shared" si="18"/>
        <v>482</v>
      </c>
      <c r="AK39" s="438">
        <f t="shared" si="18"/>
        <v>450</v>
      </c>
      <c r="AL39" s="439">
        <f t="shared" si="18"/>
        <v>650</v>
      </c>
      <c r="AM39" s="437">
        <f t="shared" si="18"/>
        <v>590</v>
      </c>
      <c r="AN39" s="438">
        <f t="shared" si="18"/>
        <v>560</v>
      </c>
      <c r="AO39" s="439">
        <f t="shared" si="18"/>
        <v>738</v>
      </c>
      <c r="AP39" s="437">
        <f t="shared" si="18"/>
        <v>634</v>
      </c>
      <c r="AQ39" s="438">
        <f t="shared" si="18"/>
        <v>630</v>
      </c>
      <c r="AR39" s="439">
        <f t="shared" si="18"/>
        <v>801</v>
      </c>
      <c r="AS39" s="437">
        <f t="shared" si="18"/>
        <v>748</v>
      </c>
      <c r="AT39" s="438">
        <f t="shared" si="18"/>
        <v>732</v>
      </c>
      <c r="AU39" s="439">
        <f t="shared" si="18"/>
        <v>909</v>
      </c>
      <c r="AV39" s="437">
        <f t="shared" si="18"/>
        <v>814</v>
      </c>
      <c r="AW39" s="438">
        <f t="shared" si="18"/>
        <v>801</v>
      </c>
      <c r="AX39" s="439">
        <f t="shared" si="18"/>
        <v>989</v>
      </c>
      <c r="AY39" s="437">
        <f t="shared" si="18"/>
        <v>909</v>
      </c>
      <c r="AZ39" s="438">
        <f t="shared" si="18"/>
        <v>850</v>
      </c>
      <c r="BA39" s="439">
        <f t="shared" si="18"/>
        <v>1017</v>
      </c>
      <c r="BB39" s="437">
        <f t="shared" si="18"/>
        <v>934</v>
      </c>
      <c r="BC39" s="438">
        <f t="shared" si="18"/>
        <v>913</v>
      </c>
      <c r="BD39" s="439">
        <f t="shared" si="18"/>
        <v>1093</v>
      </c>
      <c r="BE39" s="437">
        <f t="shared" ref="BE39:BG39" si="19">SUM(BE35:BE38)</f>
        <v>1055</v>
      </c>
      <c r="BF39" s="438">
        <f t="shared" si="19"/>
        <v>998</v>
      </c>
      <c r="BG39" s="439">
        <f t="shared" si="19"/>
        <v>1124</v>
      </c>
      <c r="BH39" s="437">
        <f t="shared" ref="BH39:BJ39" si="20">SUM(BH35:BH38)</f>
        <v>1066</v>
      </c>
      <c r="BI39" s="438">
        <f t="shared" si="20"/>
        <v>986</v>
      </c>
      <c r="BJ39" s="439">
        <f t="shared" si="20"/>
        <v>1181</v>
      </c>
    </row>
    <row r="40" spans="1:62" s="424" customFormat="1" ht="15" customHeight="1" x14ac:dyDescent="0.3">
      <c r="A40" s="408"/>
      <c r="B40" s="459" t="s">
        <v>116</v>
      </c>
      <c r="C40" s="460"/>
      <c r="D40" s="461"/>
      <c r="E40" s="462"/>
      <c r="F40" s="460"/>
      <c r="G40" s="461"/>
      <c r="H40" s="462"/>
      <c r="I40" s="460"/>
      <c r="J40" s="461"/>
      <c r="K40" s="462">
        <f>SUM(K39,K34,K30)</f>
        <v>203</v>
      </c>
      <c r="L40" s="460">
        <f t="shared" ref="L40:BD40" si="21">SUM(L39,L34,L30)</f>
        <v>182</v>
      </c>
      <c r="M40" s="461">
        <f t="shared" si="21"/>
        <v>168</v>
      </c>
      <c r="N40" s="462">
        <f t="shared" si="21"/>
        <v>265</v>
      </c>
      <c r="O40" s="460">
        <f t="shared" si="21"/>
        <v>240</v>
      </c>
      <c r="P40" s="461">
        <f t="shared" si="21"/>
        <v>231</v>
      </c>
      <c r="Q40" s="462">
        <f t="shared" si="21"/>
        <v>546</v>
      </c>
      <c r="R40" s="460">
        <f t="shared" si="21"/>
        <v>508</v>
      </c>
      <c r="S40" s="461">
        <f t="shared" si="21"/>
        <v>479</v>
      </c>
      <c r="T40" s="462">
        <f t="shared" si="21"/>
        <v>825</v>
      </c>
      <c r="U40" s="460">
        <f t="shared" si="21"/>
        <v>772</v>
      </c>
      <c r="V40" s="461">
        <f t="shared" si="21"/>
        <v>738</v>
      </c>
      <c r="W40" s="462">
        <f t="shared" si="21"/>
        <v>969</v>
      </c>
      <c r="X40" s="460">
        <f t="shared" si="21"/>
        <v>850</v>
      </c>
      <c r="Y40" s="461">
        <f t="shared" si="21"/>
        <v>827</v>
      </c>
      <c r="Z40" s="462">
        <f t="shared" si="21"/>
        <v>1124</v>
      </c>
      <c r="AA40" s="460">
        <f t="shared" si="21"/>
        <v>1027</v>
      </c>
      <c r="AB40" s="461">
        <f t="shared" si="21"/>
        <v>981</v>
      </c>
      <c r="AC40" s="462">
        <f t="shared" si="21"/>
        <v>1227</v>
      </c>
      <c r="AD40" s="460">
        <f t="shared" si="21"/>
        <v>1143</v>
      </c>
      <c r="AE40" s="461">
        <f t="shared" si="21"/>
        <v>1081</v>
      </c>
      <c r="AF40" s="462">
        <f t="shared" si="21"/>
        <v>1347</v>
      </c>
      <c r="AG40" s="460">
        <f t="shared" si="21"/>
        <v>1255</v>
      </c>
      <c r="AH40" s="461">
        <f t="shared" si="21"/>
        <v>1179</v>
      </c>
      <c r="AI40" s="462">
        <f t="shared" si="21"/>
        <v>1490</v>
      </c>
      <c r="AJ40" s="460">
        <f t="shared" si="21"/>
        <v>1371</v>
      </c>
      <c r="AK40" s="461">
        <f t="shared" si="21"/>
        <v>1396</v>
      </c>
      <c r="AL40" s="462">
        <f t="shared" si="21"/>
        <v>1782</v>
      </c>
      <c r="AM40" s="460">
        <f t="shared" si="21"/>
        <v>1633</v>
      </c>
      <c r="AN40" s="461">
        <f t="shared" si="21"/>
        <v>1656</v>
      </c>
      <c r="AO40" s="462">
        <f t="shared" si="21"/>
        <v>2089</v>
      </c>
      <c r="AP40" s="460">
        <f t="shared" si="21"/>
        <v>1824</v>
      </c>
      <c r="AQ40" s="461">
        <f t="shared" si="21"/>
        <v>1940</v>
      </c>
      <c r="AR40" s="462">
        <f t="shared" si="21"/>
        <v>2301</v>
      </c>
      <c r="AS40" s="460">
        <f t="shared" si="21"/>
        <v>2233</v>
      </c>
      <c r="AT40" s="461">
        <f t="shared" si="21"/>
        <v>2249</v>
      </c>
      <c r="AU40" s="462">
        <f t="shared" si="21"/>
        <v>2691</v>
      </c>
      <c r="AV40" s="460">
        <f t="shared" si="21"/>
        <v>2369</v>
      </c>
      <c r="AW40" s="461">
        <f t="shared" si="21"/>
        <v>2473</v>
      </c>
      <c r="AX40" s="462">
        <f t="shared" si="21"/>
        <v>2909</v>
      </c>
      <c r="AY40" s="460">
        <f t="shared" si="21"/>
        <v>2739</v>
      </c>
      <c r="AZ40" s="461">
        <f t="shared" si="21"/>
        <v>2667</v>
      </c>
      <c r="BA40" s="462">
        <f t="shared" si="21"/>
        <v>2987</v>
      </c>
      <c r="BB40" s="460">
        <f t="shared" si="21"/>
        <v>2792</v>
      </c>
      <c r="BC40" s="461">
        <f t="shared" si="21"/>
        <v>2812</v>
      </c>
      <c r="BD40" s="462">
        <f t="shared" si="21"/>
        <v>3169</v>
      </c>
      <c r="BE40" s="460">
        <f t="shared" ref="BE40:BG40" si="22">SUM(BE39,BE34,BE30)</f>
        <v>3037</v>
      </c>
      <c r="BF40" s="461">
        <f t="shared" si="22"/>
        <v>3023</v>
      </c>
      <c r="BG40" s="462">
        <f t="shared" si="22"/>
        <v>3254</v>
      </c>
      <c r="BH40" s="460">
        <f t="shared" ref="BH40:BJ40" si="23">SUM(BH39,BH34,BH30)</f>
        <v>3133</v>
      </c>
      <c r="BI40" s="461">
        <f t="shared" si="23"/>
        <v>2938</v>
      </c>
      <c r="BJ40" s="462">
        <f t="shared" si="23"/>
        <v>3398</v>
      </c>
    </row>
    <row r="41" spans="1:62" s="424" customFormat="1" ht="15" customHeight="1" x14ac:dyDescent="0.3">
      <c r="A41" s="408"/>
      <c r="B41" s="39" t="s">
        <v>70</v>
      </c>
      <c r="C41" s="425">
        <v>374</v>
      </c>
      <c r="D41" s="426">
        <v>387</v>
      </c>
      <c r="E41" s="427">
        <v>424</v>
      </c>
      <c r="F41" s="425">
        <v>393</v>
      </c>
      <c r="G41" s="426">
        <v>375</v>
      </c>
      <c r="H41" s="428">
        <v>410</v>
      </c>
      <c r="I41" s="429">
        <v>389</v>
      </c>
      <c r="J41" s="430">
        <v>408</v>
      </c>
      <c r="K41" s="428">
        <v>436</v>
      </c>
      <c r="L41" s="429">
        <v>416</v>
      </c>
      <c r="M41" s="426">
        <v>444</v>
      </c>
      <c r="N41" s="427">
        <v>452</v>
      </c>
      <c r="O41" s="429">
        <v>420</v>
      </c>
      <c r="P41" s="431">
        <v>426</v>
      </c>
      <c r="Q41" s="427">
        <v>431</v>
      </c>
      <c r="R41" s="429">
        <v>406</v>
      </c>
      <c r="S41" s="431">
        <v>393</v>
      </c>
      <c r="T41" s="427">
        <v>429</v>
      </c>
      <c r="U41" s="429">
        <v>403</v>
      </c>
      <c r="V41" s="431">
        <v>400</v>
      </c>
      <c r="W41" s="427">
        <v>445</v>
      </c>
      <c r="X41" s="432">
        <v>431</v>
      </c>
      <c r="Y41" s="433">
        <v>382</v>
      </c>
      <c r="Z41" s="434">
        <v>456</v>
      </c>
      <c r="AA41" s="432">
        <v>402</v>
      </c>
      <c r="AB41" s="433">
        <v>380</v>
      </c>
      <c r="AC41" s="434">
        <v>450</v>
      </c>
      <c r="AD41" s="432">
        <v>407</v>
      </c>
      <c r="AE41" s="433">
        <v>388</v>
      </c>
      <c r="AF41" s="434">
        <v>461</v>
      </c>
      <c r="AG41" s="432">
        <v>444</v>
      </c>
      <c r="AH41" s="433">
        <v>415</v>
      </c>
      <c r="AI41" s="434">
        <v>535</v>
      </c>
      <c r="AJ41" s="432">
        <v>476</v>
      </c>
      <c r="AK41" s="433">
        <v>451</v>
      </c>
      <c r="AL41" s="434">
        <v>542</v>
      </c>
      <c r="AM41" s="432">
        <v>499</v>
      </c>
      <c r="AN41" s="433">
        <v>463</v>
      </c>
      <c r="AO41" s="434">
        <v>585</v>
      </c>
      <c r="AP41" s="432">
        <v>532</v>
      </c>
      <c r="AQ41" s="433">
        <v>514</v>
      </c>
      <c r="AR41" s="434">
        <v>593</v>
      </c>
      <c r="AS41" s="432">
        <v>547</v>
      </c>
      <c r="AT41" s="433">
        <v>519</v>
      </c>
      <c r="AU41" s="434">
        <v>577</v>
      </c>
      <c r="AV41" s="432">
        <v>535</v>
      </c>
      <c r="AW41" s="433">
        <v>504</v>
      </c>
      <c r="AX41" s="434">
        <v>565</v>
      </c>
      <c r="AY41" s="432">
        <v>509</v>
      </c>
      <c r="AZ41" s="433">
        <v>456</v>
      </c>
      <c r="BA41" s="434">
        <v>538</v>
      </c>
      <c r="BB41" s="432">
        <v>490</v>
      </c>
      <c r="BC41" s="433">
        <v>473</v>
      </c>
      <c r="BD41" s="434">
        <v>559</v>
      </c>
      <c r="BE41" s="432">
        <v>526</v>
      </c>
      <c r="BF41" s="433">
        <v>512</v>
      </c>
      <c r="BG41" s="434">
        <v>529</v>
      </c>
      <c r="BH41" s="432">
        <v>485</v>
      </c>
      <c r="BI41" s="433">
        <v>459</v>
      </c>
      <c r="BJ41" s="434">
        <v>555</v>
      </c>
    </row>
    <row r="42" spans="1:62" s="424" customFormat="1" ht="15" customHeight="1" x14ac:dyDescent="0.3">
      <c r="A42" s="408"/>
      <c r="B42" s="39" t="s">
        <v>71</v>
      </c>
      <c r="C42" s="425">
        <v>53</v>
      </c>
      <c r="D42" s="426">
        <v>61</v>
      </c>
      <c r="E42" s="427">
        <v>59</v>
      </c>
      <c r="F42" s="425">
        <v>53</v>
      </c>
      <c r="G42" s="426">
        <v>53</v>
      </c>
      <c r="H42" s="428">
        <v>56</v>
      </c>
      <c r="I42" s="429">
        <v>53</v>
      </c>
      <c r="J42" s="430">
        <v>57</v>
      </c>
      <c r="K42" s="428">
        <v>64</v>
      </c>
      <c r="L42" s="429">
        <v>54</v>
      </c>
      <c r="M42" s="426">
        <v>55</v>
      </c>
      <c r="N42" s="427">
        <v>53</v>
      </c>
      <c r="O42" s="429">
        <v>43</v>
      </c>
      <c r="P42" s="431">
        <v>53</v>
      </c>
      <c r="Q42" s="427">
        <v>66</v>
      </c>
      <c r="R42" s="429">
        <v>61</v>
      </c>
      <c r="S42" s="431">
        <v>58</v>
      </c>
      <c r="T42" s="427">
        <v>82</v>
      </c>
      <c r="U42" s="429">
        <v>76</v>
      </c>
      <c r="V42" s="431">
        <v>70</v>
      </c>
      <c r="W42" s="427">
        <v>79</v>
      </c>
      <c r="X42" s="432">
        <v>74</v>
      </c>
      <c r="Y42" s="433">
        <v>68</v>
      </c>
      <c r="Z42" s="434">
        <v>80</v>
      </c>
      <c r="AA42" s="432">
        <v>71</v>
      </c>
      <c r="AB42" s="433">
        <v>64</v>
      </c>
      <c r="AC42" s="434">
        <v>93</v>
      </c>
      <c r="AD42" s="432">
        <v>85</v>
      </c>
      <c r="AE42" s="433">
        <v>79</v>
      </c>
      <c r="AF42" s="434">
        <v>109</v>
      </c>
      <c r="AG42" s="432">
        <v>99</v>
      </c>
      <c r="AH42" s="433">
        <v>99</v>
      </c>
      <c r="AI42" s="434">
        <v>133</v>
      </c>
      <c r="AJ42" s="432">
        <v>122</v>
      </c>
      <c r="AK42" s="433">
        <v>120</v>
      </c>
      <c r="AL42" s="434">
        <v>133</v>
      </c>
      <c r="AM42" s="432">
        <v>127</v>
      </c>
      <c r="AN42" s="433">
        <v>112</v>
      </c>
      <c r="AO42" s="434">
        <v>137</v>
      </c>
      <c r="AP42" s="432">
        <v>124</v>
      </c>
      <c r="AQ42" s="433">
        <v>111</v>
      </c>
      <c r="AR42" s="434">
        <v>130</v>
      </c>
      <c r="AS42" s="432">
        <v>115</v>
      </c>
      <c r="AT42" s="433">
        <v>111</v>
      </c>
      <c r="AU42" s="434">
        <v>123</v>
      </c>
      <c r="AV42" s="432">
        <v>116</v>
      </c>
      <c r="AW42" s="433">
        <v>112</v>
      </c>
      <c r="AX42" s="434">
        <v>125</v>
      </c>
      <c r="AY42" s="432">
        <v>121</v>
      </c>
      <c r="AZ42" s="433">
        <v>116</v>
      </c>
      <c r="BA42" s="434">
        <v>130</v>
      </c>
      <c r="BB42" s="432">
        <v>120</v>
      </c>
      <c r="BC42" s="433">
        <v>107</v>
      </c>
      <c r="BD42" s="434">
        <v>122</v>
      </c>
      <c r="BE42" s="432">
        <v>113</v>
      </c>
      <c r="BF42" s="433">
        <v>109</v>
      </c>
      <c r="BG42" s="434">
        <v>112</v>
      </c>
      <c r="BH42" s="432">
        <v>103</v>
      </c>
      <c r="BI42" s="433">
        <v>91</v>
      </c>
      <c r="BJ42" s="434">
        <v>97</v>
      </c>
    </row>
    <row r="43" spans="1:62" s="424" customFormat="1" ht="15" customHeight="1" x14ac:dyDescent="0.3">
      <c r="A43" s="408"/>
      <c r="B43" s="39" t="s">
        <v>56</v>
      </c>
      <c r="C43" s="425">
        <v>265</v>
      </c>
      <c r="D43" s="426">
        <v>263</v>
      </c>
      <c r="E43" s="427">
        <v>266</v>
      </c>
      <c r="F43" s="425">
        <v>239</v>
      </c>
      <c r="G43" s="426">
        <v>247</v>
      </c>
      <c r="H43" s="428">
        <v>255</v>
      </c>
      <c r="I43" s="429">
        <v>223</v>
      </c>
      <c r="J43" s="430">
        <v>217</v>
      </c>
      <c r="K43" s="428">
        <v>245</v>
      </c>
      <c r="L43" s="429">
        <v>220</v>
      </c>
      <c r="M43" s="426">
        <v>237</v>
      </c>
      <c r="N43" s="427">
        <v>263</v>
      </c>
      <c r="O43" s="429">
        <v>235</v>
      </c>
      <c r="P43" s="431">
        <v>240</v>
      </c>
      <c r="Q43" s="427">
        <v>249</v>
      </c>
      <c r="R43" s="429">
        <v>233</v>
      </c>
      <c r="S43" s="431">
        <v>220</v>
      </c>
      <c r="T43" s="427">
        <v>244</v>
      </c>
      <c r="U43" s="429">
        <v>242</v>
      </c>
      <c r="V43" s="431">
        <v>247</v>
      </c>
      <c r="W43" s="427">
        <v>260</v>
      </c>
      <c r="X43" s="432">
        <v>241</v>
      </c>
      <c r="Y43" s="433">
        <v>275</v>
      </c>
      <c r="Z43" s="434">
        <v>318</v>
      </c>
      <c r="AA43" s="432">
        <v>302</v>
      </c>
      <c r="AB43" s="433">
        <v>315</v>
      </c>
      <c r="AC43" s="434">
        <v>359</v>
      </c>
      <c r="AD43" s="432">
        <v>329</v>
      </c>
      <c r="AE43" s="433">
        <v>365</v>
      </c>
      <c r="AF43" s="434">
        <v>402</v>
      </c>
      <c r="AG43" s="432">
        <v>366</v>
      </c>
      <c r="AH43" s="433">
        <v>418</v>
      </c>
      <c r="AI43" s="434">
        <v>480</v>
      </c>
      <c r="AJ43" s="432">
        <v>437</v>
      </c>
      <c r="AK43" s="433">
        <v>476</v>
      </c>
      <c r="AL43" s="434">
        <v>508</v>
      </c>
      <c r="AM43" s="432">
        <v>474</v>
      </c>
      <c r="AN43" s="433">
        <v>494</v>
      </c>
      <c r="AO43" s="434">
        <v>522</v>
      </c>
      <c r="AP43" s="432">
        <v>487</v>
      </c>
      <c r="AQ43" s="433">
        <v>514</v>
      </c>
      <c r="AR43" s="434">
        <v>543</v>
      </c>
      <c r="AS43" s="432">
        <v>502</v>
      </c>
      <c r="AT43" s="433">
        <v>473</v>
      </c>
      <c r="AU43" s="434">
        <v>525</v>
      </c>
      <c r="AV43" s="432">
        <v>481</v>
      </c>
      <c r="AW43" s="433">
        <v>452</v>
      </c>
      <c r="AX43" s="434">
        <v>490</v>
      </c>
      <c r="AY43" s="432">
        <v>460</v>
      </c>
      <c r="AZ43" s="433">
        <v>396</v>
      </c>
      <c r="BA43" s="434">
        <v>440</v>
      </c>
      <c r="BB43" s="432">
        <v>410</v>
      </c>
      <c r="BC43" s="433">
        <v>396</v>
      </c>
      <c r="BD43" s="434">
        <v>459</v>
      </c>
      <c r="BE43" s="432">
        <v>427</v>
      </c>
      <c r="BF43" s="433">
        <v>401</v>
      </c>
      <c r="BG43" s="434">
        <v>433</v>
      </c>
      <c r="BH43" s="432">
        <v>402</v>
      </c>
      <c r="BI43" s="433">
        <v>374</v>
      </c>
      <c r="BJ43" s="434">
        <v>410</v>
      </c>
    </row>
    <row r="44" spans="1:62" s="424" customFormat="1" ht="15" customHeight="1" x14ac:dyDescent="0.3">
      <c r="A44" s="408"/>
      <c r="B44" s="39" t="s">
        <v>72</v>
      </c>
      <c r="C44" s="425">
        <v>165</v>
      </c>
      <c r="D44" s="426">
        <v>176</v>
      </c>
      <c r="E44" s="427">
        <v>195</v>
      </c>
      <c r="F44" s="425">
        <v>175</v>
      </c>
      <c r="G44" s="426">
        <v>173</v>
      </c>
      <c r="H44" s="428">
        <v>180</v>
      </c>
      <c r="I44" s="429">
        <v>166</v>
      </c>
      <c r="J44" s="430">
        <v>187</v>
      </c>
      <c r="K44" s="428">
        <v>204</v>
      </c>
      <c r="L44" s="429">
        <v>173</v>
      </c>
      <c r="M44" s="426">
        <v>184</v>
      </c>
      <c r="N44" s="427">
        <v>180</v>
      </c>
      <c r="O44" s="429">
        <v>163</v>
      </c>
      <c r="P44" s="431">
        <v>157</v>
      </c>
      <c r="Q44" s="427">
        <v>182</v>
      </c>
      <c r="R44" s="429">
        <v>168</v>
      </c>
      <c r="S44" s="431">
        <v>173</v>
      </c>
      <c r="T44" s="427">
        <v>209</v>
      </c>
      <c r="U44" s="429">
        <v>188</v>
      </c>
      <c r="V44" s="431">
        <v>203</v>
      </c>
      <c r="W44" s="427">
        <v>226</v>
      </c>
      <c r="X44" s="432">
        <v>213</v>
      </c>
      <c r="Y44" s="433">
        <v>232</v>
      </c>
      <c r="Z44" s="434">
        <v>275</v>
      </c>
      <c r="AA44" s="432">
        <v>244</v>
      </c>
      <c r="AB44" s="433">
        <v>303</v>
      </c>
      <c r="AC44" s="434">
        <v>319</v>
      </c>
      <c r="AD44" s="432">
        <v>290</v>
      </c>
      <c r="AE44" s="433">
        <v>321</v>
      </c>
      <c r="AF44" s="434">
        <v>327</v>
      </c>
      <c r="AG44" s="432">
        <v>321</v>
      </c>
      <c r="AH44" s="433">
        <v>389</v>
      </c>
      <c r="AI44" s="434">
        <v>414</v>
      </c>
      <c r="AJ44" s="432">
        <v>377</v>
      </c>
      <c r="AK44" s="433">
        <v>401</v>
      </c>
      <c r="AL44" s="434">
        <v>454</v>
      </c>
      <c r="AM44" s="432">
        <v>423</v>
      </c>
      <c r="AN44" s="433">
        <v>458</v>
      </c>
      <c r="AO44" s="434">
        <v>470</v>
      </c>
      <c r="AP44" s="432">
        <v>432</v>
      </c>
      <c r="AQ44" s="433">
        <v>452</v>
      </c>
      <c r="AR44" s="434">
        <v>479</v>
      </c>
      <c r="AS44" s="432">
        <v>429</v>
      </c>
      <c r="AT44" s="433">
        <v>409</v>
      </c>
      <c r="AU44" s="434">
        <v>442</v>
      </c>
      <c r="AV44" s="432">
        <v>397</v>
      </c>
      <c r="AW44" s="433">
        <v>382</v>
      </c>
      <c r="AX44" s="434">
        <v>402</v>
      </c>
      <c r="AY44" s="432">
        <v>369</v>
      </c>
      <c r="AZ44" s="433">
        <v>327</v>
      </c>
      <c r="BA44" s="434">
        <v>360</v>
      </c>
      <c r="BB44" s="432">
        <v>328</v>
      </c>
      <c r="BC44" s="433">
        <v>317</v>
      </c>
      <c r="BD44" s="434">
        <v>329</v>
      </c>
      <c r="BE44" s="432">
        <v>311</v>
      </c>
      <c r="BF44" s="433">
        <v>282</v>
      </c>
      <c r="BG44" s="434">
        <v>298</v>
      </c>
      <c r="BH44" s="432">
        <v>288</v>
      </c>
      <c r="BI44" s="433">
        <v>267</v>
      </c>
      <c r="BJ44" s="434">
        <v>254</v>
      </c>
    </row>
    <row r="45" spans="1:62" s="424" customFormat="1" ht="15" customHeight="1" x14ac:dyDescent="0.3">
      <c r="A45" s="408"/>
      <c r="B45" s="39" t="s">
        <v>73</v>
      </c>
      <c r="C45" s="425">
        <v>148</v>
      </c>
      <c r="D45" s="426">
        <v>142</v>
      </c>
      <c r="E45" s="427">
        <v>152</v>
      </c>
      <c r="F45" s="425">
        <v>147</v>
      </c>
      <c r="G45" s="426">
        <v>136</v>
      </c>
      <c r="H45" s="428">
        <v>147</v>
      </c>
      <c r="I45" s="429">
        <v>123</v>
      </c>
      <c r="J45" s="430">
        <v>130</v>
      </c>
      <c r="K45" s="428">
        <v>152</v>
      </c>
      <c r="L45" s="429">
        <v>143</v>
      </c>
      <c r="M45" s="426">
        <v>141</v>
      </c>
      <c r="N45" s="427">
        <v>142</v>
      </c>
      <c r="O45" s="429">
        <v>136</v>
      </c>
      <c r="P45" s="431">
        <v>142</v>
      </c>
      <c r="Q45" s="427">
        <v>162</v>
      </c>
      <c r="R45" s="429">
        <v>145</v>
      </c>
      <c r="S45" s="431">
        <v>141</v>
      </c>
      <c r="T45" s="427">
        <v>156</v>
      </c>
      <c r="U45" s="429">
        <v>152</v>
      </c>
      <c r="V45" s="431">
        <v>156</v>
      </c>
      <c r="W45" s="427">
        <v>175</v>
      </c>
      <c r="X45" s="432">
        <v>167</v>
      </c>
      <c r="Y45" s="433">
        <v>179</v>
      </c>
      <c r="Z45" s="434">
        <v>225</v>
      </c>
      <c r="AA45" s="432">
        <v>201</v>
      </c>
      <c r="AB45" s="433">
        <v>232</v>
      </c>
      <c r="AC45" s="434">
        <v>286</v>
      </c>
      <c r="AD45" s="432">
        <v>259</v>
      </c>
      <c r="AE45" s="433">
        <v>315</v>
      </c>
      <c r="AF45" s="434">
        <v>344</v>
      </c>
      <c r="AG45" s="432">
        <v>335</v>
      </c>
      <c r="AH45" s="433">
        <v>381</v>
      </c>
      <c r="AI45" s="434">
        <v>420</v>
      </c>
      <c r="AJ45" s="432">
        <v>387</v>
      </c>
      <c r="AK45" s="433">
        <v>416</v>
      </c>
      <c r="AL45" s="434">
        <v>449</v>
      </c>
      <c r="AM45" s="432">
        <v>406</v>
      </c>
      <c r="AN45" s="433">
        <v>429</v>
      </c>
      <c r="AO45" s="434">
        <v>467</v>
      </c>
      <c r="AP45" s="432">
        <v>405</v>
      </c>
      <c r="AQ45" s="433">
        <v>383</v>
      </c>
      <c r="AR45" s="434">
        <v>477</v>
      </c>
      <c r="AS45" s="432">
        <v>428</v>
      </c>
      <c r="AT45" s="433">
        <v>410</v>
      </c>
      <c r="AU45" s="434">
        <v>477</v>
      </c>
      <c r="AV45" s="432">
        <v>433</v>
      </c>
      <c r="AW45" s="433">
        <v>415</v>
      </c>
      <c r="AX45" s="434">
        <v>477</v>
      </c>
      <c r="AY45" s="432">
        <v>453</v>
      </c>
      <c r="AZ45" s="433">
        <v>406</v>
      </c>
      <c r="BA45" s="434">
        <v>474</v>
      </c>
      <c r="BB45" s="432">
        <v>447</v>
      </c>
      <c r="BC45" s="433">
        <v>429</v>
      </c>
      <c r="BD45" s="434">
        <v>517</v>
      </c>
      <c r="BE45" s="432">
        <v>478</v>
      </c>
      <c r="BF45" s="433">
        <v>465</v>
      </c>
      <c r="BG45" s="434">
        <v>496</v>
      </c>
      <c r="BH45" s="432">
        <v>447</v>
      </c>
      <c r="BI45" s="433">
        <v>424</v>
      </c>
      <c r="BJ45" s="434">
        <v>515</v>
      </c>
    </row>
    <row r="46" spans="1:62" s="424" customFormat="1" ht="15" customHeight="1" x14ac:dyDescent="0.3">
      <c r="A46" s="408"/>
      <c r="B46" s="39" t="s">
        <v>57</v>
      </c>
      <c r="C46" s="425">
        <v>579</v>
      </c>
      <c r="D46" s="426">
        <v>579</v>
      </c>
      <c r="E46" s="427">
        <v>575</v>
      </c>
      <c r="F46" s="425">
        <v>526</v>
      </c>
      <c r="G46" s="426">
        <v>507</v>
      </c>
      <c r="H46" s="428">
        <v>531</v>
      </c>
      <c r="I46" s="429">
        <v>481</v>
      </c>
      <c r="J46" s="430">
        <v>492</v>
      </c>
      <c r="K46" s="428">
        <v>530</v>
      </c>
      <c r="L46" s="429">
        <v>475</v>
      </c>
      <c r="M46" s="426">
        <v>495</v>
      </c>
      <c r="N46" s="427">
        <v>527</v>
      </c>
      <c r="O46" s="429">
        <v>475</v>
      </c>
      <c r="P46" s="431">
        <v>491</v>
      </c>
      <c r="Q46" s="427">
        <v>499</v>
      </c>
      <c r="R46" s="429">
        <v>465</v>
      </c>
      <c r="S46" s="431">
        <v>457</v>
      </c>
      <c r="T46" s="427">
        <v>482</v>
      </c>
      <c r="U46" s="429">
        <v>446</v>
      </c>
      <c r="V46" s="431">
        <v>452</v>
      </c>
      <c r="W46" s="427">
        <v>465</v>
      </c>
      <c r="X46" s="432">
        <v>434</v>
      </c>
      <c r="Y46" s="433">
        <v>392</v>
      </c>
      <c r="Z46" s="434">
        <v>440</v>
      </c>
      <c r="AA46" s="432">
        <v>396</v>
      </c>
      <c r="AB46" s="433">
        <v>380</v>
      </c>
      <c r="AC46" s="434">
        <v>441</v>
      </c>
      <c r="AD46" s="432">
        <v>394</v>
      </c>
      <c r="AE46" s="433">
        <v>374</v>
      </c>
      <c r="AF46" s="434">
        <v>414</v>
      </c>
      <c r="AG46" s="432">
        <v>389</v>
      </c>
      <c r="AH46" s="433">
        <v>377</v>
      </c>
      <c r="AI46" s="434">
        <v>470</v>
      </c>
      <c r="AJ46" s="432">
        <v>422</v>
      </c>
      <c r="AK46" s="433">
        <v>410</v>
      </c>
      <c r="AL46" s="434">
        <v>473</v>
      </c>
      <c r="AM46" s="432">
        <v>431</v>
      </c>
      <c r="AN46" s="433">
        <v>407</v>
      </c>
      <c r="AO46" s="434">
        <v>446</v>
      </c>
      <c r="AP46" s="432">
        <v>397</v>
      </c>
      <c r="AQ46" s="433">
        <v>373</v>
      </c>
      <c r="AR46" s="434">
        <v>435</v>
      </c>
      <c r="AS46" s="432">
        <v>385</v>
      </c>
      <c r="AT46" s="433">
        <v>363</v>
      </c>
      <c r="AU46" s="434">
        <v>400</v>
      </c>
      <c r="AV46" s="432">
        <v>368</v>
      </c>
      <c r="AW46" s="433">
        <v>363</v>
      </c>
      <c r="AX46" s="434">
        <v>379</v>
      </c>
      <c r="AY46" s="432">
        <v>343</v>
      </c>
      <c r="AZ46" s="433">
        <v>298</v>
      </c>
      <c r="BA46" s="434">
        <v>344</v>
      </c>
      <c r="BB46" s="432">
        <v>317</v>
      </c>
      <c r="BC46" s="433">
        <v>294</v>
      </c>
      <c r="BD46" s="434">
        <v>350</v>
      </c>
      <c r="BE46" s="432">
        <v>318</v>
      </c>
      <c r="BF46" s="433">
        <v>309</v>
      </c>
      <c r="BG46" s="434">
        <v>339</v>
      </c>
      <c r="BH46" s="432">
        <v>328</v>
      </c>
      <c r="BI46" s="433">
        <v>309</v>
      </c>
      <c r="BJ46" s="434">
        <v>350</v>
      </c>
    </row>
    <row r="47" spans="1:62" s="424" customFormat="1" ht="15" customHeight="1" x14ac:dyDescent="0.3">
      <c r="A47" s="408"/>
      <c r="B47" s="39" t="s">
        <v>74</v>
      </c>
      <c r="C47" s="425">
        <v>249</v>
      </c>
      <c r="D47" s="426">
        <v>278</v>
      </c>
      <c r="E47" s="427">
        <v>319</v>
      </c>
      <c r="F47" s="425">
        <v>291</v>
      </c>
      <c r="G47" s="426">
        <v>302</v>
      </c>
      <c r="H47" s="428">
        <v>336</v>
      </c>
      <c r="I47" s="429">
        <v>307</v>
      </c>
      <c r="J47" s="430">
        <v>293</v>
      </c>
      <c r="K47" s="428">
        <v>323</v>
      </c>
      <c r="L47" s="429">
        <v>283</v>
      </c>
      <c r="M47" s="426">
        <v>303</v>
      </c>
      <c r="N47" s="427">
        <v>325</v>
      </c>
      <c r="O47" s="429">
        <v>293</v>
      </c>
      <c r="P47" s="431">
        <v>283</v>
      </c>
      <c r="Q47" s="427">
        <v>286</v>
      </c>
      <c r="R47" s="429">
        <v>255</v>
      </c>
      <c r="S47" s="431">
        <v>271</v>
      </c>
      <c r="T47" s="427">
        <v>315</v>
      </c>
      <c r="U47" s="429">
        <v>293</v>
      </c>
      <c r="V47" s="431">
        <v>296</v>
      </c>
      <c r="W47" s="427">
        <v>321</v>
      </c>
      <c r="X47" s="432">
        <v>297</v>
      </c>
      <c r="Y47" s="433">
        <v>267</v>
      </c>
      <c r="Z47" s="434">
        <v>316</v>
      </c>
      <c r="AA47" s="432">
        <v>291</v>
      </c>
      <c r="AB47" s="433">
        <v>278</v>
      </c>
      <c r="AC47" s="434">
        <v>306</v>
      </c>
      <c r="AD47" s="432">
        <v>275</v>
      </c>
      <c r="AE47" s="433">
        <v>266</v>
      </c>
      <c r="AF47" s="434">
        <v>293</v>
      </c>
      <c r="AG47" s="432">
        <v>270</v>
      </c>
      <c r="AH47" s="433">
        <v>255</v>
      </c>
      <c r="AI47" s="434">
        <v>313</v>
      </c>
      <c r="AJ47" s="432">
        <v>287</v>
      </c>
      <c r="AK47" s="433">
        <v>264</v>
      </c>
      <c r="AL47" s="434">
        <v>331</v>
      </c>
      <c r="AM47" s="432">
        <v>298</v>
      </c>
      <c r="AN47" s="433">
        <v>294</v>
      </c>
      <c r="AO47" s="434">
        <v>371</v>
      </c>
      <c r="AP47" s="432">
        <v>328</v>
      </c>
      <c r="AQ47" s="433">
        <v>308</v>
      </c>
      <c r="AR47" s="434">
        <v>394</v>
      </c>
      <c r="AS47" s="432">
        <v>352</v>
      </c>
      <c r="AT47" s="433">
        <v>331</v>
      </c>
      <c r="AU47" s="434">
        <v>389</v>
      </c>
      <c r="AV47" s="432">
        <v>357</v>
      </c>
      <c r="AW47" s="433">
        <v>330</v>
      </c>
      <c r="AX47" s="434">
        <v>395</v>
      </c>
      <c r="AY47" s="432">
        <v>369</v>
      </c>
      <c r="AZ47" s="433">
        <v>298</v>
      </c>
      <c r="BA47" s="434">
        <v>348</v>
      </c>
      <c r="BB47" s="432">
        <v>319</v>
      </c>
      <c r="BC47" s="433">
        <v>305</v>
      </c>
      <c r="BD47" s="434">
        <v>361</v>
      </c>
      <c r="BE47" s="432">
        <v>343</v>
      </c>
      <c r="BF47" s="433">
        <v>317</v>
      </c>
      <c r="BG47" s="434">
        <v>368</v>
      </c>
      <c r="BH47" s="432">
        <v>357</v>
      </c>
      <c r="BI47" s="433">
        <v>324</v>
      </c>
      <c r="BJ47" s="434">
        <v>342</v>
      </c>
    </row>
    <row r="48" spans="1:62" s="424" customFormat="1" ht="15" customHeight="1" x14ac:dyDescent="0.3">
      <c r="A48" s="408"/>
      <c r="B48" s="39" t="s">
        <v>75</v>
      </c>
      <c r="C48" s="425">
        <v>68</v>
      </c>
      <c r="D48" s="426">
        <v>67</v>
      </c>
      <c r="E48" s="427">
        <v>71</v>
      </c>
      <c r="F48" s="425">
        <v>66</v>
      </c>
      <c r="G48" s="426">
        <v>59</v>
      </c>
      <c r="H48" s="428">
        <v>61</v>
      </c>
      <c r="I48" s="429">
        <v>55</v>
      </c>
      <c r="J48" s="430">
        <v>53</v>
      </c>
      <c r="K48" s="428">
        <v>70</v>
      </c>
      <c r="L48" s="429">
        <v>64</v>
      </c>
      <c r="M48" s="426">
        <v>66</v>
      </c>
      <c r="N48" s="427">
        <v>66</v>
      </c>
      <c r="O48" s="429">
        <v>64</v>
      </c>
      <c r="P48" s="431">
        <v>80</v>
      </c>
      <c r="Q48" s="427">
        <v>82</v>
      </c>
      <c r="R48" s="429">
        <v>77</v>
      </c>
      <c r="S48" s="431">
        <v>81</v>
      </c>
      <c r="T48" s="427">
        <v>109</v>
      </c>
      <c r="U48" s="429">
        <v>103</v>
      </c>
      <c r="V48" s="431">
        <v>101</v>
      </c>
      <c r="W48" s="427">
        <v>118</v>
      </c>
      <c r="X48" s="432">
        <v>110</v>
      </c>
      <c r="Y48" s="433">
        <v>110</v>
      </c>
      <c r="Z48" s="434">
        <v>140</v>
      </c>
      <c r="AA48" s="432">
        <v>133</v>
      </c>
      <c r="AB48" s="433">
        <v>159</v>
      </c>
      <c r="AC48" s="434">
        <v>168</v>
      </c>
      <c r="AD48" s="432">
        <v>159</v>
      </c>
      <c r="AE48" s="433">
        <v>178</v>
      </c>
      <c r="AF48" s="434">
        <v>205</v>
      </c>
      <c r="AG48" s="432">
        <v>184</v>
      </c>
      <c r="AH48" s="433">
        <v>215</v>
      </c>
      <c r="AI48" s="434">
        <v>254</v>
      </c>
      <c r="AJ48" s="432">
        <v>236</v>
      </c>
      <c r="AK48" s="433">
        <v>254</v>
      </c>
      <c r="AL48" s="434">
        <v>278</v>
      </c>
      <c r="AM48" s="432">
        <v>252</v>
      </c>
      <c r="AN48" s="433">
        <v>258</v>
      </c>
      <c r="AO48" s="434">
        <v>289</v>
      </c>
      <c r="AP48" s="432">
        <v>269</v>
      </c>
      <c r="AQ48" s="433">
        <v>291</v>
      </c>
      <c r="AR48" s="434">
        <v>318</v>
      </c>
      <c r="AS48" s="432">
        <v>280</v>
      </c>
      <c r="AT48" s="433">
        <v>260</v>
      </c>
      <c r="AU48" s="434">
        <v>306</v>
      </c>
      <c r="AV48" s="432">
        <v>294</v>
      </c>
      <c r="AW48" s="433">
        <v>286</v>
      </c>
      <c r="AX48" s="434">
        <v>348</v>
      </c>
      <c r="AY48" s="432">
        <v>314</v>
      </c>
      <c r="AZ48" s="433">
        <v>294</v>
      </c>
      <c r="BA48" s="434">
        <v>357</v>
      </c>
      <c r="BB48" s="432">
        <v>336</v>
      </c>
      <c r="BC48" s="433">
        <v>326</v>
      </c>
      <c r="BD48" s="434">
        <v>379</v>
      </c>
      <c r="BE48" s="432">
        <v>372</v>
      </c>
      <c r="BF48" s="433">
        <v>358</v>
      </c>
      <c r="BG48" s="434">
        <v>399</v>
      </c>
      <c r="BH48" s="432">
        <v>380</v>
      </c>
      <c r="BI48" s="433">
        <v>358</v>
      </c>
      <c r="BJ48" s="434">
        <v>396</v>
      </c>
    </row>
    <row r="49" spans="1:62" s="424" customFormat="1" ht="15" customHeight="1" x14ac:dyDescent="0.3">
      <c r="A49" s="408"/>
      <c r="B49" s="39" t="s">
        <v>76</v>
      </c>
      <c r="C49" s="40">
        <v>686</v>
      </c>
      <c r="D49" s="281">
        <v>714</v>
      </c>
      <c r="E49" s="332">
        <v>737</v>
      </c>
      <c r="F49" s="280">
        <v>694</v>
      </c>
      <c r="G49" s="281">
        <v>712</v>
      </c>
      <c r="H49" s="332">
        <v>757</v>
      </c>
      <c r="I49" s="40">
        <v>673</v>
      </c>
      <c r="J49" s="41">
        <v>715</v>
      </c>
      <c r="K49" s="332">
        <v>741</v>
      </c>
      <c r="L49" s="40">
        <v>653</v>
      </c>
      <c r="M49" s="41">
        <v>674</v>
      </c>
      <c r="N49" s="332">
        <v>684</v>
      </c>
      <c r="O49" s="40">
        <v>636</v>
      </c>
      <c r="P49" s="41">
        <v>658</v>
      </c>
      <c r="Q49" s="332">
        <v>697</v>
      </c>
      <c r="R49" s="40">
        <v>622</v>
      </c>
      <c r="S49" s="41">
        <v>613</v>
      </c>
      <c r="T49" s="332">
        <v>643</v>
      </c>
      <c r="U49" s="40">
        <v>599</v>
      </c>
      <c r="V49" s="41">
        <v>600</v>
      </c>
      <c r="W49" s="332">
        <v>602</v>
      </c>
      <c r="X49" s="40">
        <v>574</v>
      </c>
      <c r="Y49" s="41">
        <v>531</v>
      </c>
      <c r="Z49" s="332">
        <v>618</v>
      </c>
      <c r="AA49" s="435">
        <v>547</v>
      </c>
      <c r="AB49" s="41">
        <v>505</v>
      </c>
      <c r="AC49" s="332">
        <v>594</v>
      </c>
      <c r="AD49" s="435">
        <v>546</v>
      </c>
      <c r="AE49" s="41">
        <v>489</v>
      </c>
      <c r="AF49" s="332">
        <v>559</v>
      </c>
      <c r="AG49" s="435">
        <v>520</v>
      </c>
      <c r="AH49" s="41">
        <v>504</v>
      </c>
      <c r="AI49" s="332">
        <v>604</v>
      </c>
      <c r="AJ49" s="435">
        <v>554</v>
      </c>
      <c r="AK49" s="41">
        <v>517</v>
      </c>
      <c r="AL49" s="332">
        <v>582</v>
      </c>
      <c r="AM49" s="435">
        <v>550</v>
      </c>
      <c r="AN49" s="41">
        <v>501</v>
      </c>
      <c r="AO49" s="332">
        <v>558</v>
      </c>
      <c r="AP49" s="435">
        <v>512</v>
      </c>
      <c r="AQ49" s="41">
        <v>487</v>
      </c>
      <c r="AR49" s="332">
        <v>545</v>
      </c>
      <c r="AS49" s="435">
        <v>478</v>
      </c>
      <c r="AT49" s="41">
        <v>453</v>
      </c>
      <c r="AU49" s="332">
        <v>492</v>
      </c>
      <c r="AV49" s="435">
        <v>460</v>
      </c>
      <c r="AW49" s="41">
        <v>424</v>
      </c>
      <c r="AX49" s="332">
        <v>442</v>
      </c>
      <c r="AY49" s="435">
        <v>405</v>
      </c>
      <c r="AZ49" s="41">
        <v>352</v>
      </c>
      <c r="BA49" s="332">
        <v>422</v>
      </c>
      <c r="BB49" s="435">
        <v>395</v>
      </c>
      <c r="BC49" s="41">
        <v>370</v>
      </c>
      <c r="BD49" s="332">
        <v>464</v>
      </c>
      <c r="BE49" s="435">
        <v>441</v>
      </c>
      <c r="BF49" s="41">
        <v>413</v>
      </c>
      <c r="BG49" s="332">
        <v>469</v>
      </c>
      <c r="BH49" s="435">
        <v>446</v>
      </c>
      <c r="BI49" s="41">
        <v>420</v>
      </c>
      <c r="BJ49" s="332">
        <v>534</v>
      </c>
    </row>
    <row r="50" spans="1:62" s="424" customFormat="1" ht="15" customHeight="1" x14ac:dyDescent="0.3">
      <c r="A50" s="408"/>
      <c r="B50" s="39" t="s">
        <v>77</v>
      </c>
      <c r="C50" s="46"/>
      <c r="D50" s="282"/>
      <c r="E50" s="335"/>
      <c r="F50" s="283"/>
      <c r="G50" s="282"/>
      <c r="H50" s="335"/>
      <c r="I50" s="46"/>
      <c r="J50" s="50"/>
      <c r="K50" s="335"/>
      <c r="L50" s="46"/>
      <c r="M50" s="50"/>
      <c r="N50" s="335"/>
      <c r="O50" s="46"/>
      <c r="P50" s="50"/>
      <c r="Q50" s="335"/>
      <c r="R50" s="46"/>
      <c r="S50" s="50"/>
      <c r="T50" s="335"/>
      <c r="U50" s="46"/>
      <c r="V50" s="50"/>
      <c r="W50" s="335"/>
      <c r="X50" s="46"/>
      <c r="Y50" s="50"/>
      <c r="Z50" s="335"/>
      <c r="AA50" s="463"/>
      <c r="AB50" s="50"/>
      <c r="AC50" s="335"/>
      <c r="AD50" s="463"/>
      <c r="AE50" s="50"/>
      <c r="AF50" s="335"/>
      <c r="AG50" s="463"/>
      <c r="AH50" s="50"/>
      <c r="AI50" s="335"/>
      <c r="AJ50" s="463"/>
      <c r="AK50" s="50"/>
      <c r="AL50" s="335"/>
      <c r="AM50" s="463"/>
      <c r="AN50" s="50"/>
      <c r="AO50" s="335"/>
      <c r="AP50" s="463"/>
      <c r="AQ50" s="50"/>
      <c r="AR50" s="335">
        <v>31</v>
      </c>
      <c r="AS50" s="463">
        <v>28</v>
      </c>
      <c r="AT50" s="50">
        <v>25</v>
      </c>
      <c r="AU50" s="335">
        <v>48</v>
      </c>
      <c r="AV50" s="463">
        <v>47</v>
      </c>
      <c r="AW50" s="50">
        <v>45</v>
      </c>
      <c r="AX50" s="335">
        <v>62</v>
      </c>
      <c r="AY50" s="463">
        <v>57</v>
      </c>
      <c r="AZ50" s="50">
        <v>50</v>
      </c>
      <c r="BA50" s="335">
        <v>78</v>
      </c>
      <c r="BB50" s="463">
        <v>70</v>
      </c>
      <c r="BC50" s="50">
        <v>66</v>
      </c>
      <c r="BD50" s="335">
        <v>73</v>
      </c>
      <c r="BE50" s="463">
        <v>70</v>
      </c>
      <c r="BF50" s="50">
        <v>66</v>
      </c>
      <c r="BG50" s="335">
        <v>67</v>
      </c>
      <c r="BH50" s="463">
        <v>65</v>
      </c>
      <c r="BI50" s="50">
        <v>63</v>
      </c>
      <c r="BJ50" s="335">
        <v>76</v>
      </c>
    </row>
    <row r="51" spans="1:62" s="424" customFormat="1" ht="15" customHeight="1" x14ac:dyDescent="0.3">
      <c r="A51" s="408"/>
      <c r="B51" s="436" t="s">
        <v>59</v>
      </c>
      <c r="C51" s="437">
        <f>SUM(C41:C49)</f>
        <v>2587</v>
      </c>
      <c r="D51" s="438">
        <f t="shared" ref="D51:AL51" si="24">SUM(D41:D49)</f>
        <v>2667</v>
      </c>
      <c r="E51" s="439">
        <f t="shared" si="24"/>
        <v>2798</v>
      </c>
      <c r="F51" s="437">
        <f t="shared" si="24"/>
        <v>2584</v>
      </c>
      <c r="G51" s="438">
        <f t="shared" si="24"/>
        <v>2564</v>
      </c>
      <c r="H51" s="439">
        <f t="shared" si="24"/>
        <v>2733</v>
      </c>
      <c r="I51" s="437">
        <f t="shared" si="24"/>
        <v>2470</v>
      </c>
      <c r="J51" s="438">
        <f t="shared" si="24"/>
        <v>2552</v>
      </c>
      <c r="K51" s="439">
        <f t="shared" si="24"/>
        <v>2765</v>
      </c>
      <c r="L51" s="437">
        <f t="shared" si="24"/>
        <v>2481</v>
      </c>
      <c r="M51" s="438">
        <f t="shared" si="24"/>
        <v>2599</v>
      </c>
      <c r="N51" s="439">
        <f t="shared" si="24"/>
        <v>2692</v>
      </c>
      <c r="O51" s="437">
        <f t="shared" si="24"/>
        <v>2465</v>
      </c>
      <c r="P51" s="438">
        <f t="shared" si="24"/>
        <v>2530</v>
      </c>
      <c r="Q51" s="439">
        <f t="shared" si="24"/>
        <v>2654</v>
      </c>
      <c r="R51" s="437">
        <f t="shared" si="24"/>
        <v>2432</v>
      </c>
      <c r="S51" s="438">
        <f t="shared" si="24"/>
        <v>2407</v>
      </c>
      <c r="T51" s="439">
        <f t="shared" si="24"/>
        <v>2669</v>
      </c>
      <c r="U51" s="437">
        <f t="shared" si="24"/>
        <v>2502</v>
      </c>
      <c r="V51" s="438">
        <f t="shared" si="24"/>
        <v>2525</v>
      </c>
      <c r="W51" s="439">
        <f t="shared" si="24"/>
        <v>2691</v>
      </c>
      <c r="X51" s="437">
        <f t="shared" si="24"/>
        <v>2541</v>
      </c>
      <c r="Y51" s="438">
        <f t="shared" si="24"/>
        <v>2436</v>
      </c>
      <c r="Z51" s="439">
        <f t="shared" si="24"/>
        <v>2868</v>
      </c>
      <c r="AA51" s="437">
        <f t="shared" si="24"/>
        <v>2587</v>
      </c>
      <c r="AB51" s="438">
        <f t="shared" si="24"/>
        <v>2616</v>
      </c>
      <c r="AC51" s="439">
        <f t="shared" si="24"/>
        <v>3016</v>
      </c>
      <c r="AD51" s="437">
        <f t="shared" si="24"/>
        <v>2744</v>
      </c>
      <c r="AE51" s="438">
        <f t="shared" si="24"/>
        <v>2775</v>
      </c>
      <c r="AF51" s="439">
        <f t="shared" si="24"/>
        <v>3114</v>
      </c>
      <c r="AG51" s="437">
        <f t="shared" si="24"/>
        <v>2928</v>
      </c>
      <c r="AH51" s="438">
        <f t="shared" si="24"/>
        <v>3053</v>
      </c>
      <c r="AI51" s="439">
        <f t="shared" si="24"/>
        <v>3623</v>
      </c>
      <c r="AJ51" s="437">
        <f t="shared" si="24"/>
        <v>3298</v>
      </c>
      <c r="AK51" s="438">
        <f t="shared" si="24"/>
        <v>3309</v>
      </c>
      <c r="AL51" s="439">
        <f t="shared" si="24"/>
        <v>3750</v>
      </c>
      <c r="AM51" s="437">
        <f>SUM(AM41:AM49)</f>
        <v>3460</v>
      </c>
      <c r="AN51" s="438">
        <f>SUM(AN41:AN49)</f>
        <v>3416</v>
      </c>
      <c r="AO51" s="439">
        <f>SUM(AO41:AO49)</f>
        <v>3845</v>
      </c>
      <c r="AP51" s="437">
        <f t="shared" ref="AP51:AU51" si="25">SUM(AP41:AP50)</f>
        <v>3486</v>
      </c>
      <c r="AQ51" s="438">
        <f t="shared" si="25"/>
        <v>3433</v>
      </c>
      <c r="AR51" s="439">
        <f t="shared" si="25"/>
        <v>3945</v>
      </c>
      <c r="AS51" s="437">
        <f t="shared" si="25"/>
        <v>3544</v>
      </c>
      <c r="AT51" s="438">
        <f t="shared" si="25"/>
        <v>3354</v>
      </c>
      <c r="AU51" s="439">
        <f t="shared" si="25"/>
        <v>3779</v>
      </c>
      <c r="AV51" s="437">
        <v>3488</v>
      </c>
      <c r="AW51" s="438">
        <v>3313</v>
      </c>
      <c r="AX51" s="439">
        <f t="shared" ref="AX51:BC51" si="26">SUM(AX41:AX50)</f>
        <v>3685</v>
      </c>
      <c r="AY51" s="437">
        <f t="shared" si="26"/>
        <v>3400</v>
      </c>
      <c r="AZ51" s="438">
        <f t="shared" si="26"/>
        <v>2993</v>
      </c>
      <c r="BA51" s="439">
        <f t="shared" si="26"/>
        <v>3491</v>
      </c>
      <c r="BB51" s="437">
        <f t="shared" si="26"/>
        <v>3232</v>
      </c>
      <c r="BC51" s="438">
        <f t="shared" si="26"/>
        <v>3083</v>
      </c>
      <c r="BD51" s="439">
        <f t="shared" ref="BD51:BG51" si="27">SUM(BD41:BD50)</f>
        <v>3613</v>
      </c>
      <c r="BE51" s="437">
        <f t="shared" si="27"/>
        <v>3399</v>
      </c>
      <c r="BF51" s="438">
        <f t="shared" si="27"/>
        <v>3232</v>
      </c>
      <c r="BG51" s="439">
        <f t="shared" si="27"/>
        <v>3510</v>
      </c>
      <c r="BH51" s="437">
        <f>SUM(BH41:BH50)</f>
        <v>3301</v>
      </c>
      <c r="BI51" s="438">
        <f>SUM(BI41:BI50)</f>
        <v>3089</v>
      </c>
      <c r="BJ51" s="439">
        <f>SUM(BJ41:BJ50)</f>
        <v>3529</v>
      </c>
    </row>
    <row r="52" spans="1:62" s="424" customFormat="1" ht="15" customHeight="1" x14ac:dyDescent="0.3">
      <c r="A52" s="408"/>
      <c r="B52" s="39" t="s">
        <v>60</v>
      </c>
      <c r="C52" s="425">
        <v>909</v>
      </c>
      <c r="D52" s="426">
        <v>945</v>
      </c>
      <c r="E52" s="427">
        <v>979</v>
      </c>
      <c r="F52" s="425">
        <v>926</v>
      </c>
      <c r="G52" s="426">
        <v>946</v>
      </c>
      <c r="H52" s="428">
        <v>986</v>
      </c>
      <c r="I52" s="429">
        <v>877</v>
      </c>
      <c r="J52" s="430">
        <v>884</v>
      </c>
      <c r="K52" s="428">
        <v>964</v>
      </c>
      <c r="L52" s="429">
        <v>882</v>
      </c>
      <c r="M52" s="426">
        <v>944</v>
      </c>
      <c r="N52" s="427">
        <v>972</v>
      </c>
      <c r="O52" s="429">
        <v>897</v>
      </c>
      <c r="P52" s="431">
        <v>948</v>
      </c>
      <c r="Q52" s="427">
        <v>1023</v>
      </c>
      <c r="R52" s="429">
        <v>967</v>
      </c>
      <c r="S52" s="431">
        <v>965</v>
      </c>
      <c r="T52" s="427">
        <v>1013</v>
      </c>
      <c r="U52" s="429">
        <v>985</v>
      </c>
      <c r="V52" s="431">
        <v>1019</v>
      </c>
      <c r="W52" s="427">
        <v>1058</v>
      </c>
      <c r="X52" s="432">
        <v>1015</v>
      </c>
      <c r="Y52" s="433">
        <v>1041</v>
      </c>
      <c r="Z52" s="434">
        <v>1067</v>
      </c>
      <c r="AA52" s="432">
        <v>984</v>
      </c>
      <c r="AB52" s="433">
        <v>1022</v>
      </c>
      <c r="AC52" s="434">
        <v>1078</v>
      </c>
      <c r="AD52" s="432">
        <v>1000</v>
      </c>
      <c r="AE52" s="433">
        <v>1080</v>
      </c>
      <c r="AF52" s="434">
        <v>1080</v>
      </c>
      <c r="AG52" s="432">
        <v>1030</v>
      </c>
      <c r="AH52" s="433">
        <v>1021</v>
      </c>
      <c r="AI52" s="434">
        <v>1047</v>
      </c>
      <c r="AJ52" s="432">
        <v>959</v>
      </c>
      <c r="AK52" s="433">
        <v>985</v>
      </c>
      <c r="AL52" s="434">
        <v>1031</v>
      </c>
      <c r="AM52" s="432">
        <v>958</v>
      </c>
      <c r="AN52" s="433">
        <v>937</v>
      </c>
      <c r="AO52" s="434">
        <v>977</v>
      </c>
      <c r="AP52" s="432">
        <v>897</v>
      </c>
      <c r="AQ52" s="433">
        <v>953</v>
      </c>
      <c r="AR52" s="434">
        <v>977</v>
      </c>
      <c r="AS52" s="432">
        <v>861</v>
      </c>
      <c r="AT52" s="433">
        <v>916</v>
      </c>
      <c r="AU52" s="434">
        <v>979</v>
      </c>
      <c r="AV52" s="432">
        <v>863</v>
      </c>
      <c r="AW52" s="433">
        <v>925</v>
      </c>
      <c r="AX52" s="434">
        <v>944</v>
      </c>
      <c r="AY52" s="432">
        <v>865</v>
      </c>
      <c r="AZ52" s="433">
        <v>877</v>
      </c>
      <c r="BA52" s="434">
        <v>919</v>
      </c>
      <c r="BB52" s="432">
        <v>859</v>
      </c>
      <c r="BC52" s="433">
        <v>919</v>
      </c>
      <c r="BD52" s="434">
        <v>948</v>
      </c>
      <c r="BE52" s="432">
        <v>883</v>
      </c>
      <c r="BF52" s="433">
        <v>948</v>
      </c>
      <c r="BG52" s="434">
        <v>972</v>
      </c>
      <c r="BH52" s="432">
        <v>909</v>
      </c>
      <c r="BI52" s="433">
        <v>946</v>
      </c>
      <c r="BJ52" s="434">
        <v>975</v>
      </c>
    </row>
    <row r="53" spans="1:62" s="424" customFormat="1" ht="15" customHeight="1" x14ac:dyDescent="0.3">
      <c r="A53" s="408"/>
      <c r="B53" s="39" t="s">
        <v>78</v>
      </c>
      <c r="C53" s="425">
        <v>244</v>
      </c>
      <c r="D53" s="426">
        <v>223</v>
      </c>
      <c r="E53" s="427">
        <v>256</v>
      </c>
      <c r="F53" s="425">
        <v>222</v>
      </c>
      <c r="G53" s="426">
        <v>183</v>
      </c>
      <c r="H53" s="428">
        <v>237</v>
      </c>
      <c r="I53" s="429">
        <v>205</v>
      </c>
      <c r="J53" s="430">
        <v>188</v>
      </c>
      <c r="K53" s="428">
        <v>246</v>
      </c>
      <c r="L53" s="429">
        <v>228</v>
      </c>
      <c r="M53" s="426">
        <v>205</v>
      </c>
      <c r="N53" s="427">
        <v>259</v>
      </c>
      <c r="O53" s="429">
        <v>248</v>
      </c>
      <c r="P53" s="431">
        <v>236</v>
      </c>
      <c r="Q53" s="427">
        <v>297</v>
      </c>
      <c r="R53" s="429">
        <v>265</v>
      </c>
      <c r="S53" s="431">
        <v>243</v>
      </c>
      <c r="T53" s="427">
        <v>294</v>
      </c>
      <c r="U53" s="429">
        <v>276</v>
      </c>
      <c r="V53" s="431">
        <v>264</v>
      </c>
      <c r="W53" s="427">
        <v>318</v>
      </c>
      <c r="X53" s="432">
        <v>290</v>
      </c>
      <c r="Y53" s="433">
        <v>270</v>
      </c>
      <c r="Z53" s="434">
        <v>333</v>
      </c>
      <c r="AA53" s="432">
        <v>287</v>
      </c>
      <c r="AB53" s="433">
        <v>274</v>
      </c>
      <c r="AC53" s="434">
        <v>324</v>
      </c>
      <c r="AD53" s="432">
        <v>307</v>
      </c>
      <c r="AE53" s="433">
        <v>297</v>
      </c>
      <c r="AF53" s="434">
        <v>330</v>
      </c>
      <c r="AG53" s="432">
        <v>312</v>
      </c>
      <c r="AH53" s="433">
        <v>283</v>
      </c>
      <c r="AI53" s="434">
        <v>345</v>
      </c>
      <c r="AJ53" s="432">
        <v>309</v>
      </c>
      <c r="AK53" s="433">
        <v>287</v>
      </c>
      <c r="AL53" s="434">
        <v>321</v>
      </c>
      <c r="AM53" s="432">
        <v>299</v>
      </c>
      <c r="AN53" s="433">
        <v>289</v>
      </c>
      <c r="AO53" s="434">
        <v>327</v>
      </c>
      <c r="AP53" s="432">
        <v>302</v>
      </c>
      <c r="AQ53" s="433">
        <v>288</v>
      </c>
      <c r="AR53" s="434">
        <v>338</v>
      </c>
      <c r="AS53" s="432">
        <v>275</v>
      </c>
      <c r="AT53" s="433">
        <v>265</v>
      </c>
      <c r="AU53" s="434">
        <v>315</v>
      </c>
      <c r="AV53" s="432">
        <v>268</v>
      </c>
      <c r="AW53" s="433">
        <v>272</v>
      </c>
      <c r="AX53" s="434">
        <v>323</v>
      </c>
      <c r="AY53" s="432">
        <v>281</v>
      </c>
      <c r="AZ53" s="433">
        <v>278</v>
      </c>
      <c r="BA53" s="434">
        <v>315</v>
      </c>
      <c r="BB53" s="432">
        <v>293</v>
      </c>
      <c r="BC53" s="433">
        <v>283</v>
      </c>
      <c r="BD53" s="434">
        <v>337</v>
      </c>
      <c r="BE53" s="432">
        <v>310</v>
      </c>
      <c r="BF53" s="433">
        <v>293</v>
      </c>
      <c r="BG53" s="434">
        <v>329</v>
      </c>
      <c r="BH53" s="432">
        <v>314</v>
      </c>
      <c r="BI53" s="433">
        <v>304</v>
      </c>
      <c r="BJ53" s="434">
        <v>318</v>
      </c>
    </row>
    <row r="54" spans="1:62" s="424" customFormat="1" ht="15" customHeight="1" x14ac:dyDescent="0.3">
      <c r="A54" s="408"/>
      <c r="B54" s="39" t="s">
        <v>79</v>
      </c>
      <c r="C54" s="425">
        <v>272</v>
      </c>
      <c r="D54" s="426">
        <v>258</v>
      </c>
      <c r="E54" s="427">
        <v>294</v>
      </c>
      <c r="F54" s="425">
        <v>278</v>
      </c>
      <c r="G54" s="426">
        <v>261</v>
      </c>
      <c r="H54" s="428">
        <v>300</v>
      </c>
      <c r="I54" s="429">
        <v>275</v>
      </c>
      <c r="J54" s="430">
        <v>264</v>
      </c>
      <c r="K54" s="428">
        <v>305</v>
      </c>
      <c r="L54" s="429">
        <v>270</v>
      </c>
      <c r="M54" s="426">
        <v>256</v>
      </c>
      <c r="N54" s="427">
        <v>305</v>
      </c>
      <c r="O54" s="429">
        <v>278</v>
      </c>
      <c r="P54" s="431">
        <v>265</v>
      </c>
      <c r="Q54" s="427">
        <v>313</v>
      </c>
      <c r="R54" s="429">
        <v>297</v>
      </c>
      <c r="S54" s="431">
        <v>286</v>
      </c>
      <c r="T54" s="427">
        <v>337</v>
      </c>
      <c r="U54" s="429">
        <v>317</v>
      </c>
      <c r="V54" s="431">
        <v>301</v>
      </c>
      <c r="W54" s="427">
        <v>338</v>
      </c>
      <c r="X54" s="432">
        <v>322</v>
      </c>
      <c r="Y54" s="433">
        <v>295</v>
      </c>
      <c r="Z54" s="434">
        <v>358</v>
      </c>
      <c r="AA54" s="432">
        <v>313</v>
      </c>
      <c r="AB54" s="433">
        <v>304</v>
      </c>
      <c r="AC54" s="434">
        <v>351</v>
      </c>
      <c r="AD54" s="432">
        <v>329</v>
      </c>
      <c r="AE54" s="433">
        <v>307</v>
      </c>
      <c r="AF54" s="434">
        <v>331</v>
      </c>
      <c r="AG54" s="432">
        <v>311</v>
      </c>
      <c r="AH54" s="433">
        <v>299</v>
      </c>
      <c r="AI54" s="434">
        <v>338</v>
      </c>
      <c r="AJ54" s="432">
        <v>308</v>
      </c>
      <c r="AK54" s="433">
        <v>296</v>
      </c>
      <c r="AL54" s="434">
        <v>356</v>
      </c>
      <c r="AM54" s="432">
        <v>327</v>
      </c>
      <c r="AN54" s="433">
        <v>307</v>
      </c>
      <c r="AO54" s="434">
        <v>350</v>
      </c>
      <c r="AP54" s="432">
        <v>329</v>
      </c>
      <c r="AQ54" s="433">
        <v>308</v>
      </c>
      <c r="AR54" s="434">
        <v>377</v>
      </c>
      <c r="AS54" s="432">
        <v>342</v>
      </c>
      <c r="AT54" s="433">
        <v>331</v>
      </c>
      <c r="AU54" s="434">
        <v>366</v>
      </c>
      <c r="AV54" s="432">
        <v>344</v>
      </c>
      <c r="AW54" s="433">
        <v>325</v>
      </c>
      <c r="AX54" s="434">
        <v>377</v>
      </c>
      <c r="AY54" s="432">
        <v>336</v>
      </c>
      <c r="AZ54" s="433">
        <v>306</v>
      </c>
      <c r="BA54" s="434">
        <v>341</v>
      </c>
      <c r="BB54" s="432">
        <v>324</v>
      </c>
      <c r="BC54" s="433">
        <v>310</v>
      </c>
      <c r="BD54" s="434">
        <v>351</v>
      </c>
      <c r="BE54" s="432">
        <v>340</v>
      </c>
      <c r="BF54" s="433">
        <v>335</v>
      </c>
      <c r="BG54" s="434">
        <v>383</v>
      </c>
      <c r="BH54" s="432">
        <v>363</v>
      </c>
      <c r="BI54" s="433">
        <v>354</v>
      </c>
      <c r="BJ54" s="434">
        <v>392</v>
      </c>
    </row>
    <row r="55" spans="1:62" s="424" customFormat="1" ht="15" customHeight="1" x14ac:dyDescent="0.3">
      <c r="A55" s="408"/>
      <c r="B55" s="39" t="s">
        <v>80</v>
      </c>
      <c r="C55" s="425">
        <v>240</v>
      </c>
      <c r="D55" s="426">
        <v>225</v>
      </c>
      <c r="E55" s="427">
        <v>260</v>
      </c>
      <c r="F55" s="425">
        <v>240</v>
      </c>
      <c r="G55" s="426">
        <v>212</v>
      </c>
      <c r="H55" s="428">
        <v>263</v>
      </c>
      <c r="I55" s="429">
        <v>250</v>
      </c>
      <c r="J55" s="430">
        <v>236</v>
      </c>
      <c r="K55" s="428">
        <v>311</v>
      </c>
      <c r="L55" s="429">
        <v>292</v>
      </c>
      <c r="M55" s="426">
        <v>279</v>
      </c>
      <c r="N55" s="427">
        <v>330</v>
      </c>
      <c r="O55" s="429">
        <v>300</v>
      </c>
      <c r="P55" s="431">
        <v>272</v>
      </c>
      <c r="Q55" s="427">
        <v>334</v>
      </c>
      <c r="R55" s="429">
        <v>303</v>
      </c>
      <c r="S55" s="431">
        <v>281</v>
      </c>
      <c r="T55" s="427">
        <v>351</v>
      </c>
      <c r="U55" s="429">
        <v>348</v>
      </c>
      <c r="V55" s="431">
        <v>330</v>
      </c>
      <c r="W55" s="427">
        <v>370</v>
      </c>
      <c r="X55" s="432">
        <v>343</v>
      </c>
      <c r="Y55" s="433">
        <v>322</v>
      </c>
      <c r="Z55" s="434">
        <v>389</v>
      </c>
      <c r="AA55" s="432">
        <v>338</v>
      </c>
      <c r="AB55" s="433">
        <v>342</v>
      </c>
      <c r="AC55" s="434">
        <v>389</v>
      </c>
      <c r="AD55" s="432">
        <v>358</v>
      </c>
      <c r="AE55" s="433">
        <v>342</v>
      </c>
      <c r="AF55" s="434">
        <v>378</v>
      </c>
      <c r="AG55" s="432">
        <v>377</v>
      </c>
      <c r="AH55" s="433">
        <v>355</v>
      </c>
      <c r="AI55" s="434">
        <v>409</v>
      </c>
      <c r="AJ55" s="432">
        <v>379</v>
      </c>
      <c r="AK55" s="433">
        <v>372</v>
      </c>
      <c r="AL55" s="434">
        <v>418</v>
      </c>
      <c r="AM55" s="432">
        <v>382</v>
      </c>
      <c r="AN55" s="433">
        <v>349</v>
      </c>
      <c r="AO55" s="434">
        <v>420</v>
      </c>
      <c r="AP55" s="432">
        <v>370</v>
      </c>
      <c r="AQ55" s="433">
        <v>364</v>
      </c>
      <c r="AR55" s="434">
        <v>425</v>
      </c>
      <c r="AS55" s="432">
        <v>383</v>
      </c>
      <c r="AT55" s="433">
        <v>369</v>
      </c>
      <c r="AU55" s="434">
        <v>431</v>
      </c>
      <c r="AV55" s="432">
        <v>387</v>
      </c>
      <c r="AW55" s="433">
        <v>386</v>
      </c>
      <c r="AX55" s="434">
        <v>442</v>
      </c>
      <c r="AY55" s="432">
        <v>399</v>
      </c>
      <c r="AZ55" s="433">
        <v>351</v>
      </c>
      <c r="BA55" s="434">
        <v>395</v>
      </c>
      <c r="BB55" s="432">
        <v>381</v>
      </c>
      <c r="BC55" s="433">
        <v>371</v>
      </c>
      <c r="BD55" s="434">
        <v>423</v>
      </c>
      <c r="BE55" s="432">
        <v>391</v>
      </c>
      <c r="BF55" s="433">
        <v>378</v>
      </c>
      <c r="BG55" s="434">
        <v>429</v>
      </c>
      <c r="BH55" s="432">
        <v>416</v>
      </c>
      <c r="BI55" s="433">
        <v>403</v>
      </c>
      <c r="BJ55" s="434">
        <v>453</v>
      </c>
    </row>
    <row r="56" spans="1:62" s="424" customFormat="1" ht="15" customHeight="1" x14ac:dyDescent="0.3">
      <c r="A56" s="408"/>
      <c r="B56" s="39" t="s">
        <v>62</v>
      </c>
      <c r="C56" s="425">
        <v>408</v>
      </c>
      <c r="D56" s="426">
        <v>377</v>
      </c>
      <c r="E56" s="427">
        <v>414</v>
      </c>
      <c r="F56" s="425">
        <v>379</v>
      </c>
      <c r="G56" s="426">
        <v>344</v>
      </c>
      <c r="H56" s="428">
        <v>392</v>
      </c>
      <c r="I56" s="429">
        <v>364</v>
      </c>
      <c r="J56" s="430">
        <v>339</v>
      </c>
      <c r="K56" s="428">
        <v>405</v>
      </c>
      <c r="L56" s="429">
        <v>386</v>
      </c>
      <c r="M56" s="426">
        <v>346</v>
      </c>
      <c r="N56" s="427">
        <v>412</v>
      </c>
      <c r="O56" s="429">
        <v>373</v>
      </c>
      <c r="P56" s="431">
        <v>351</v>
      </c>
      <c r="Q56" s="427">
        <v>406</v>
      </c>
      <c r="R56" s="429">
        <v>373</v>
      </c>
      <c r="S56" s="431">
        <v>340</v>
      </c>
      <c r="T56" s="427">
        <v>435</v>
      </c>
      <c r="U56" s="429">
        <v>400</v>
      </c>
      <c r="V56" s="431">
        <v>375</v>
      </c>
      <c r="W56" s="427">
        <v>440</v>
      </c>
      <c r="X56" s="432">
        <v>418</v>
      </c>
      <c r="Y56" s="433">
        <v>398</v>
      </c>
      <c r="Z56" s="434">
        <v>472</v>
      </c>
      <c r="AA56" s="432">
        <v>419</v>
      </c>
      <c r="AB56" s="433">
        <v>407</v>
      </c>
      <c r="AC56" s="434">
        <v>482</v>
      </c>
      <c r="AD56" s="432">
        <v>457</v>
      </c>
      <c r="AE56" s="433">
        <v>451</v>
      </c>
      <c r="AF56" s="434">
        <v>514</v>
      </c>
      <c r="AG56" s="432">
        <v>472</v>
      </c>
      <c r="AH56" s="433">
        <v>467</v>
      </c>
      <c r="AI56" s="434">
        <v>529</v>
      </c>
      <c r="AJ56" s="432">
        <v>482</v>
      </c>
      <c r="AK56" s="433">
        <v>470</v>
      </c>
      <c r="AL56" s="434">
        <v>550</v>
      </c>
      <c r="AM56" s="432">
        <v>500</v>
      </c>
      <c r="AN56" s="433">
        <v>459</v>
      </c>
      <c r="AO56" s="434">
        <v>552</v>
      </c>
      <c r="AP56" s="432">
        <v>499</v>
      </c>
      <c r="AQ56" s="433">
        <v>475</v>
      </c>
      <c r="AR56" s="434">
        <v>579</v>
      </c>
      <c r="AS56" s="432">
        <v>503</v>
      </c>
      <c r="AT56" s="433">
        <v>495</v>
      </c>
      <c r="AU56" s="434">
        <v>568</v>
      </c>
      <c r="AV56" s="432">
        <v>502</v>
      </c>
      <c r="AW56" s="433">
        <v>509</v>
      </c>
      <c r="AX56" s="434">
        <v>579</v>
      </c>
      <c r="AY56" s="432">
        <v>534</v>
      </c>
      <c r="AZ56" s="433">
        <v>503</v>
      </c>
      <c r="BA56" s="434">
        <v>588</v>
      </c>
      <c r="BB56" s="432">
        <v>557</v>
      </c>
      <c r="BC56" s="433">
        <v>543</v>
      </c>
      <c r="BD56" s="434">
        <v>610</v>
      </c>
      <c r="BE56" s="432">
        <v>560</v>
      </c>
      <c r="BF56" s="433">
        <v>548</v>
      </c>
      <c r="BG56" s="434">
        <v>631</v>
      </c>
      <c r="BH56" s="432">
        <v>583</v>
      </c>
      <c r="BI56" s="433">
        <v>571</v>
      </c>
      <c r="BJ56" s="434">
        <v>657</v>
      </c>
    </row>
    <row r="57" spans="1:62" s="424" customFormat="1" ht="15" customHeight="1" x14ac:dyDescent="0.3">
      <c r="A57" s="408"/>
      <c r="B57" s="39" t="s">
        <v>63</v>
      </c>
      <c r="C57" s="425">
        <v>396</v>
      </c>
      <c r="D57" s="426">
        <v>371</v>
      </c>
      <c r="E57" s="427">
        <v>407</v>
      </c>
      <c r="F57" s="425">
        <v>385</v>
      </c>
      <c r="G57" s="426">
        <v>344</v>
      </c>
      <c r="H57" s="428">
        <v>399</v>
      </c>
      <c r="I57" s="429">
        <v>368</v>
      </c>
      <c r="J57" s="430">
        <v>327</v>
      </c>
      <c r="K57" s="428">
        <v>402</v>
      </c>
      <c r="L57" s="429">
        <v>357</v>
      </c>
      <c r="M57" s="426">
        <v>344</v>
      </c>
      <c r="N57" s="427">
        <v>405</v>
      </c>
      <c r="O57" s="429">
        <v>373</v>
      </c>
      <c r="P57" s="431">
        <v>339</v>
      </c>
      <c r="Q57" s="427">
        <v>390</v>
      </c>
      <c r="R57" s="429">
        <v>372</v>
      </c>
      <c r="S57" s="431">
        <v>341</v>
      </c>
      <c r="T57" s="427">
        <v>425</v>
      </c>
      <c r="U57" s="429">
        <v>399</v>
      </c>
      <c r="V57" s="431">
        <v>388</v>
      </c>
      <c r="W57" s="427">
        <v>448</v>
      </c>
      <c r="X57" s="432">
        <v>400</v>
      </c>
      <c r="Y57" s="433">
        <v>387</v>
      </c>
      <c r="Z57" s="434">
        <v>457</v>
      </c>
      <c r="AA57" s="432">
        <v>403</v>
      </c>
      <c r="AB57" s="433">
        <v>398</v>
      </c>
      <c r="AC57" s="434">
        <v>466</v>
      </c>
      <c r="AD57" s="432">
        <v>416</v>
      </c>
      <c r="AE57" s="433">
        <v>416</v>
      </c>
      <c r="AF57" s="434">
        <v>494</v>
      </c>
      <c r="AG57" s="432">
        <v>470</v>
      </c>
      <c r="AH57" s="433">
        <v>439</v>
      </c>
      <c r="AI57" s="434">
        <v>514</v>
      </c>
      <c r="AJ57" s="432">
        <v>468</v>
      </c>
      <c r="AK57" s="433">
        <v>458</v>
      </c>
      <c r="AL57" s="434">
        <v>520</v>
      </c>
      <c r="AM57" s="432">
        <v>477</v>
      </c>
      <c r="AN57" s="433">
        <v>460</v>
      </c>
      <c r="AO57" s="434">
        <v>513</v>
      </c>
      <c r="AP57" s="432">
        <v>467</v>
      </c>
      <c r="AQ57" s="433">
        <v>444</v>
      </c>
      <c r="AR57" s="434">
        <v>539</v>
      </c>
      <c r="AS57" s="432">
        <v>465</v>
      </c>
      <c r="AT57" s="433">
        <v>454</v>
      </c>
      <c r="AU57" s="434">
        <v>494</v>
      </c>
      <c r="AV57" s="432">
        <v>439</v>
      </c>
      <c r="AW57" s="433">
        <v>417</v>
      </c>
      <c r="AX57" s="434">
        <v>511</v>
      </c>
      <c r="AY57" s="432">
        <v>459</v>
      </c>
      <c r="AZ57" s="433">
        <v>414</v>
      </c>
      <c r="BA57" s="434">
        <v>476</v>
      </c>
      <c r="BB57" s="432">
        <v>439</v>
      </c>
      <c r="BC57" s="433">
        <v>414</v>
      </c>
      <c r="BD57" s="434">
        <v>448</v>
      </c>
      <c r="BE57" s="432">
        <v>405</v>
      </c>
      <c r="BF57" s="433">
        <v>410</v>
      </c>
      <c r="BG57" s="434">
        <v>459</v>
      </c>
      <c r="BH57" s="432">
        <v>414</v>
      </c>
      <c r="BI57" s="433">
        <v>404</v>
      </c>
      <c r="BJ57" s="434">
        <v>426</v>
      </c>
    </row>
    <row r="58" spans="1:62" s="424" customFormat="1" ht="15" customHeight="1" x14ac:dyDescent="0.3">
      <c r="A58" s="408"/>
      <c r="B58" s="39" t="s">
        <v>81</v>
      </c>
      <c r="C58" s="425">
        <v>355</v>
      </c>
      <c r="D58" s="426">
        <v>322</v>
      </c>
      <c r="E58" s="427">
        <v>379</v>
      </c>
      <c r="F58" s="425">
        <v>358</v>
      </c>
      <c r="G58" s="426">
        <v>339</v>
      </c>
      <c r="H58" s="428">
        <v>397</v>
      </c>
      <c r="I58" s="429">
        <v>350</v>
      </c>
      <c r="J58" s="430">
        <v>330</v>
      </c>
      <c r="K58" s="428">
        <v>394</v>
      </c>
      <c r="L58" s="429">
        <v>363</v>
      </c>
      <c r="M58" s="426">
        <v>340</v>
      </c>
      <c r="N58" s="427">
        <v>401</v>
      </c>
      <c r="O58" s="429">
        <v>387</v>
      </c>
      <c r="P58" s="431">
        <v>364</v>
      </c>
      <c r="Q58" s="427">
        <v>429</v>
      </c>
      <c r="R58" s="429">
        <v>385</v>
      </c>
      <c r="S58" s="431">
        <v>342</v>
      </c>
      <c r="T58" s="427">
        <v>412</v>
      </c>
      <c r="U58" s="429">
        <v>378</v>
      </c>
      <c r="V58" s="431">
        <v>358</v>
      </c>
      <c r="W58" s="427">
        <v>399</v>
      </c>
      <c r="X58" s="432">
        <v>377</v>
      </c>
      <c r="Y58" s="433">
        <v>355</v>
      </c>
      <c r="Z58" s="434">
        <v>405</v>
      </c>
      <c r="AA58" s="432">
        <v>362</v>
      </c>
      <c r="AB58" s="433">
        <v>365</v>
      </c>
      <c r="AC58" s="434">
        <v>404</v>
      </c>
      <c r="AD58" s="432">
        <v>382</v>
      </c>
      <c r="AE58" s="433">
        <v>366</v>
      </c>
      <c r="AF58" s="434">
        <v>405</v>
      </c>
      <c r="AG58" s="432">
        <v>371</v>
      </c>
      <c r="AH58" s="433">
        <v>367</v>
      </c>
      <c r="AI58" s="434">
        <v>425</v>
      </c>
      <c r="AJ58" s="432">
        <v>395</v>
      </c>
      <c r="AK58" s="433">
        <v>376</v>
      </c>
      <c r="AL58" s="434">
        <v>448</v>
      </c>
      <c r="AM58" s="432">
        <v>405</v>
      </c>
      <c r="AN58" s="433">
        <v>382</v>
      </c>
      <c r="AO58" s="434">
        <v>442</v>
      </c>
      <c r="AP58" s="432">
        <v>401</v>
      </c>
      <c r="AQ58" s="433">
        <v>384</v>
      </c>
      <c r="AR58" s="434">
        <v>467</v>
      </c>
      <c r="AS58" s="432">
        <v>402</v>
      </c>
      <c r="AT58" s="433">
        <v>378</v>
      </c>
      <c r="AU58" s="434">
        <v>451</v>
      </c>
      <c r="AV58" s="432">
        <v>405</v>
      </c>
      <c r="AW58" s="433">
        <v>402</v>
      </c>
      <c r="AX58" s="434">
        <v>463</v>
      </c>
      <c r="AY58" s="432">
        <v>438</v>
      </c>
      <c r="AZ58" s="433">
        <v>407</v>
      </c>
      <c r="BA58" s="434">
        <v>445</v>
      </c>
      <c r="BB58" s="432">
        <v>434</v>
      </c>
      <c r="BC58" s="433">
        <v>425</v>
      </c>
      <c r="BD58" s="434">
        <v>488</v>
      </c>
      <c r="BE58" s="432">
        <v>461</v>
      </c>
      <c r="BF58" s="433">
        <v>447</v>
      </c>
      <c r="BG58" s="434">
        <v>489</v>
      </c>
      <c r="BH58" s="432">
        <v>458</v>
      </c>
      <c r="BI58" s="433">
        <v>446</v>
      </c>
      <c r="BJ58" s="434">
        <v>514</v>
      </c>
    </row>
    <row r="59" spans="1:62" s="424" customFormat="1" ht="15" customHeight="1" x14ac:dyDescent="0.3">
      <c r="A59" s="408"/>
      <c r="B59" s="39" t="s">
        <v>82</v>
      </c>
      <c r="C59" s="425">
        <v>97</v>
      </c>
      <c r="D59" s="426">
        <v>89</v>
      </c>
      <c r="E59" s="427">
        <v>116</v>
      </c>
      <c r="F59" s="425">
        <v>101</v>
      </c>
      <c r="G59" s="426">
        <v>97</v>
      </c>
      <c r="H59" s="428">
        <v>123</v>
      </c>
      <c r="I59" s="429">
        <v>103</v>
      </c>
      <c r="J59" s="430">
        <v>102</v>
      </c>
      <c r="K59" s="428">
        <v>123</v>
      </c>
      <c r="L59" s="429">
        <v>119</v>
      </c>
      <c r="M59" s="426">
        <v>116</v>
      </c>
      <c r="N59" s="427">
        <v>141</v>
      </c>
      <c r="O59" s="429">
        <v>125</v>
      </c>
      <c r="P59" s="431">
        <v>119</v>
      </c>
      <c r="Q59" s="427">
        <v>148</v>
      </c>
      <c r="R59" s="429">
        <v>137</v>
      </c>
      <c r="S59" s="431">
        <v>122</v>
      </c>
      <c r="T59" s="427">
        <v>156</v>
      </c>
      <c r="U59" s="429">
        <v>134</v>
      </c>
      <c r="V59" s="431">
        <v>128</v>
      </c>
      <c r="W59" s="427">
        <v>154</v>
      </c>
      <c r="X59" s="432">
        <v>144</v>
      </c>
      <c r="Y59" s="433">
        <v>134</v>
      </c>
      <c r="Z59" s="434">
        <v>182</v>
      </c>
      <c r="AA59" s="432">
        <v>166</v>
      </c>
      <c r="AB59" s="433">
        <v>157</v>
      </c>
      <c r="AC59" s="434">
        <v>205</v>
      </c>
      <c r="AD59" s="432">
        <v>184</v>
      </c>
      <c r="AE59" s="433">
        <v>182</v>
      </c>
      <c r="AF59" s="434">
        <v>218</v>
      </c>
      <c r="AG59" s="432">
        <v>201</v>
      </c>
      <c r="AH59" s="433">
        <v>191</v>
      </c>
      <c r="AI59" s="434">
        <v>236</v>
      </c>
      <c r="AJ59" s="432">
        <v>210</v>
      </c>
      <c r="AK59" s="433">
        <v>193</v>
      </c>
      <c r="AL59" s="434">
        <v>236</v>
      </c>
      <c r="AM59" s="432">
        <v>206</v>
      </c>
      <c r="AN59" s="433">
        <v>189</v>
      </c>
      <c r="AO59" s="434">
        <v>240</v>
      </c>
      <c r="AP59" s="432">
        <v>214</v>
      </c>
      <c r="AQ59" s="433">
        <v>197</v>
      </c>
      <c r="AR59" s="434">
        <v>242</v>
      </c>
      <c r="AS59" s="432">
        <v>209</v>
      </c>
      <c r="AT59" s="433">
        <v>197</v>
      </c>
      <c r="AU59" s="434">
        <v>246</v>
      </c>
      <c r="AV59" s="432">
        <v>215</v>
      </c>
      <c r="AW59" s="433">
        <v>212</v>
      </c>
      <c r="AX59" s="434">
        <v>264</v>
      </c>
      <c r="AY59" s="432">
        <v>230</v>
      </c>
      <c r="AZ59" s="433">
        <v>200</v>
      </c>
      <c r="BA59" s="434">
        <v>246</v>
      </c>
      <c r="BB59" s="432">
        <v>238</v>
      </c>
      <c r="BC59" s="433">
        <v>223</v>
      </c>
      <c r="BD59" s="434">
        <v>266</v>
      </c>
      <c r="BE59" s="432">
        <v>252</v>
      </c>
      <c r="BF59" s="433">
        <v>238</v>
      </c>
      <c r="BG59" s="434">
        <v>283</v>
      </c>
      <c r="BH59" s="432">
        <v>262</v>
      </c>
      <c r="BI59" s="433">
        <v>233</v>
      </c>
      <c r="BJ59" s="434">
        <v>281</v>
      </c>
    </row>
    <row r="60" spans="1:62" s="424" customFormat="1" ht="15" customHeight="1" x14ac:dyDescent="0.3">
      <c r="A60" s="408"/>
      <c r="B60" s="39" t="s">
        <v>83</v>
      </c>
      <c r="C60" s="425">
        <v>462</v>
      </c>
      <c r="D60" s="426">
        <v>397</v>
      </c>
      <c r="E60" s="427">
        <v>466</v>
      </c>
      <c r="F60" s="425">
        <v>422</v>
      </c>
      <c r="G60" s="426">
        <v>371</v>
      </c>
      <c r="H60" s="428">
        <v>423</v>
      </c>
      <c r="I60" s="429">
        <v>377</v>
      </c>
      <c r="J60" s="430">
        <v>354</v>
      </c>
      <c r="K60" s="428">
        <v>421</v>
      </c>
      <c r="L60" s="429">
        <v>382</v>
      </c>
      <c r="M60" s="426">
        <v>340</v>
      </c>
      <c r="N60" s="427">
        <v>429</v>
      </c>
      <c r="O60" s="429">
        <v>424</v>
      </c>
      <c r="P60" s="431">
        <v>400</v>
      </c>
      <c r="Q60" s="427">
        <v>506</v>
      </c>
      <c r="R60" s="429">
        <v>474</v>
      </c>
      <c r="S60" s="431">
        <v>415</v>
      </c>
      <c r="T60" s="427">
        <v>503</v>
      </c>
      <c r="U60" s="429">
        <v>493</v>
      </c>
      <c r="V60" s="431">
        <v>464</v>
      </c>
      <c r="W60" s="427">
        <v>551</v>
      </c>
      <c r="X60" s="432">
        <v>522</v>
      </c>
      <c r="Y60" s="433">
        <v>494</v>
      </c>
      <c r="Z60" s="434">
        <v>549</v>
      </c>
      <c r="AA60" s="432">
        <v>498</v>
      </c>
      <c r="AB60" s="433">
        <v>496</v>
      </c>
      <c r="AC60" s="434">
        <v>552</v>
      </c>
      <c r="AD60" s="432">
        <v>509</v>
      </c>
      <c r="AE60" s="433">
        <v>514</v>
      </c>
      <c r="AF60" s="434">
        <v>568</v>
      </c>
      <c r="AG60" s="432">
        <v>541</v>
      </c>
      <c r="AH60" s="433">
        <v>512</v>
      </c>
      <c r="AI60" s="434">
        <v>573</v>
      </c>
      <c r="AJ60" s="432">
        <v>522</v>
      </c>
      <c r="AK60" s="433">
        <v>503</v>
      </c>
      <c r="AL60" s="434">
        <v>573</v>
      </c>
      <c r="AM60" s="432">
        <v>521</v>
      </c>
      <c r="AN60" s="433">
        <v>499</v>
      </c>
      <c r="AO60" s="434">
        <v>578</v>
      </c>
      <c r="AP60" s="432">
        <v>516</v>
      </c>
      <c r="AQ60" s="433">
        <v>508</v>
      </c>
      <c r="AR60" s="434">
        <v>588</v>
      </c>
      <c r="AS60" s="432">
        <v>518</v>
      </c>
      <c r="AT60" s="433">
        <v>487</v>
      </c>
      <c r="AU60" s="434">
        <v>558</v>
      </c>
      <c r="AV60" s="432">
        <v>520</v>
      </c>
      <c r="AW60" s="433">
        <v>493</v>
      </c>
      <c r="AX60" s="434">
        <v>550</v>
      </c>
      <c r="AY60" s="432">
        <v>517</v>
      </c>
      <c r="AZ60" s="433">
        <v>476</v>
      </c>
      <c r="BA60" s="434">
        <v>511</v>
      </c>
      <c r="BB60" s="432">
        <v>516</v>
      </c>
      <c r="BC60" s="433">
        <v>484</v>
      </c>
      <c r="BD60" s="434">
        <v>554</v>
      </c>
      <c r="BE60" s="432">
        <v>526</v>
      </c>
      <c r="BF60" s="433">
        <v>518</v>
      </c>
      <c r="BG60" s="434">
        <v>580</v>
      </c>
      <c r="BH60" s="432">
        <v>544</v>
      </c>
      <c r="BI60" s="433">
        <v>509</v>
      </c>
      <c r="BJ60" s="434">
        <v>542</v>
      </c>
    </row>
    <row r="61" spans="1:62" s="424" customFormat="1" ht="15" customHeight="1" x14ac:dyDescent="0.3">
      <c r="A61" s="408"/>
      <c r="B61" s="39" t="s">
        <v>84</v>
      </c>
      <c r="C61" s="425">
        <v>649</v>
      </c>
      <c r="D61" s="426">
        <v>661</v>
      </c>
      <c r="E61" s="427">
        <v>705</v>
      </c>
      <c r="F61" s="425">
        <v>666</v>
      </c>
      <c r="G61" s="426">
        <v>674</v>
      </c>
      <c r="H61" s="428">
        <v>732</v>
      </c>
      <c r="I61" s="429">
        <v>696</v>
      </c>
      <c r="J61" s="430">
        <v>692</v>
      </c>
      <c r="K61" s="428">
        <v>758</v>
      </c>
      <c r="L61" s="429">
        <v>715</v>
      </c>
      <c r="M61" s="426">
        <v>727</v>
      </c>
      <c r="N61" s="427">
        <v>789</v>
      </c>
      <c r="O61" s="429">
        <v>747</v>
      </c>
      <c r="P61" s="431">
        <v>754</v>
      </c>
      <c r="Q61" s="427">
        <v>834</v>
      </c>
      <c r="R61" s="429">
        <v>812</v>
      </c>
      <c r="S61" s="431">
        <v>817</v>
      </c>
      <c r="T61" s="427">
        <v>848</v>
      </c>
      <c r="U61" s="429">
        <v>848</v>
      </c>
      <c r="V61" s="431">
        <v>827</v>
      </c>
      <c r="W61" s="427">
        <v>848</v>
      </c>
      <c r="X61" s="432">
        <v>817</v>
      </c>
      <c r="Y61" s="433">
        <v>815</v>
      </c>
      <c r="Z61" s="434">
        <v>905</v>
      </c>
      <c r="AA61" s="432">
        <v>844</v>
      </c>
      <c r="AB61" s="433">
        <v>841</v>
      </c>
      <c r="AC61" s="434">
        <v>880</v>
      </c>
      <c r="AD61" s="432">
        <v>834</v>
      </c>
      <c r="AE61" s="433">
        <v>820</v>
      </c>
      <c r="AF61" s="434">
        <v>830</v>
      </c>
      <c r="AG61" s="432">
        <v>802</v>
      </c>
      <c r="AH61" s="433">
        <v>803</v>
      </c>
      <c r="AI61" s="434">
        <v>832</v>
      </c>
      <c r="AJ61" s="432">
        <v>780</v>
      </c>
      <c r="AK61" s="433">
        <v>755</v>
      </c>
      <c r="AL61" s="434">
        <v>801</v>
      </c>
      <c r="AM61" s="432">
        <v>770</v>
      </c>
      <c r="AN61" s="433">
        <v>762</v>
      </c>
      <c r="AO61" s="434">
        <v>821</v>
      </c>
      <c r="AP61" s="432">
        <v>793</v>
      </c>
      <c r="AQ61" s="433">
        <v>819</v>
      </c>
      <c r="AR61" s="434">
        <v>828</v>
      </c>
      <c r="AS61" s="432">
        <v>751</v>
      </c>
      <c r="AT61" s="433">
        <v>770</v>
      </c>
      <c r="AU61" s="434">
        <v>815</v>
      </c>
      <c r="AV61" s="432">
        <v>781</v>
      </c>
      <c r="AW61" s="433">
        <v>801</v>
      </c>
      <c r="AX61" s="434">
        <v>855</v>
      </c>
      <c r="AY61" s="432">
        <v>815</v>
      </c>
      <c r="AZ61" s="433">
        <v>789</v>
      </c>
      <c r="BA61" s="434">
        <v>808</v>
      </c>
      <c r="BB61" s="432">
        <v>787</v>
      </c>
      <c r="BC61" s="433">
        <v>804</v>
      </c>
      <c r="BD61" s="434">
        <v>881</v>
      </c>
      <c r="BE61" s="432">
        <v>850</v>
      </c>
      <c r="BF61" s="433">
        <v>824</v>
      </c>
      <c r="BG61" s="434">
        <v>870</v>
      </c>
      <c r="BH61" s="432">
        <v>855</v>
      </c>
      <c r="BI61" s="433">
        <v>870</v>
      </c>
      <c r="BJ61" s="434">
        <v>932</v>
      </c>
    </row>
    <row r="62" spans="1:62" s="424" customFormat="1" ht="15" customHeight="1" x14ac:dyDescent="0.3">
      <c r="A62" s="408"/>
      <c r="B62" s="39" t="s">
        <v>85</v>
      </c>
      <c r="C62" s="40">
        <v>33</v>
      </c>
      <c r="D62" s="281">
        <v>32</v>
      </c>
      <c r="E62" s="332">
        <v>69</v>
      </c>
      <c r="F62" s="280">
        <v>57</v>
      </c>
      <c r="G62" s="281">
        <v>57</v>
      </c>
      <c r="H62" s="332">
        <v>95</v>
      </c>
      <c r="I62" s="40">
        <v>91</v>
      </c>
      <c r="J62" s="41">
        <v>88</v>
      </c>
      <c r="K62" s="332">
        <v>116</v>
      </c>
      <c r="L62" s="40">
        <v>104</v>
      </c>
      <c r="M62" s="41">
        <v>102</v>
      </c>
      <c r="N62" s="332">
        <v>134</v>
      </c>
      <c r="O62" s="40">
        <v>120</v>
      </c>
      <c r="P62" s="41">
        <v>113</v>
      </c>
      <c r="Q62" s="332">
        <v>148</v>
      </c>
      <c r="R62" s="40">
        <v>136</v>
      </c>
      <c r="S62" s="41">
        <v>120</v>
      </c>
      <c r="T62" s="332">
        <v>160</v>
      </c>
      <c r="U62" s="40">
        <v>139</v>
      </c>
      <c r="V62" s="41">
        <v>132</v>
      </c>
      <c r="W62" s="332">
        <v>160</v>
      </c>
      <c r="X62" s="40">
        <v>150</v>
      </c>
      <c r="Y62" s="41">
        <v>133</v>
      </c>
      <c r="Z62" s="332">
        <v>172</v>
      </c>
      <c r="AA62" s="435">
        <v>155</v>
      </c>
      <c r="AB62" s="41">
        <v>142</v>
      </c>
      <c r="AC62" s="332">
        <v>187</v>
      </c>
      <c r="AD62" s="435">
        <v>178</v>
      </c>
      <c r="AE62" s="41">
        <v>178</v>
      </c>
      <c r="AF62" s="332">
        <v>214</v>
      </c>
      <c r="AG62" s="435">
        <v>209</v>
      </c>
      <c r="AH62" s="41">
        <v>213</v>
      </c>
      <c r="AI62" s="332">
        <v>244</v>
      </c>
      <c r="AJ62" s="435">
        <v>229</v>
      </c>
      <c r="AK62" s="41">
        <v>220</v>
      </c>
      <c r="AL62" s="332">
        <v>256</v>
      </c>
      <c r="AM62" s="435">
        <v>235</v>
      </c>
      <c r="AN62" s="41">
        <v>224</v>
      </c>
      <c r="AO62" s="332">
        <v>262</v>
      </c>
      <c r="AP62" s="435">
        <v>233</v>
      </c>
      <c r="AQ62" s="41">
        <v>226</v>
      </c>
      <c r="AR62" s="332">
        <v>253</v>
      </c>
      <c r="AS62" s="435">
        <v>227</v>
      </c>
      <c r="AT62" s="41">
        <v>224</v>
      </c>
      <c r="AU62" s="332">
        <v>249</v>
      </c>
      <c r="AV62" s="435">
        <v>226</v>
      </c>
      <c r="AW62" s="41">
        <v>222</v>
      </c>
      <c r="AX62" s="332">
        <v>250</v>
      </c>
      <c r="AY62" s="435">
        <v>225</v>
      </c>
      <c r="AZ62" s="41">
        <v>216</v>
      </c>
      <c r="BA62" s="332">
        <v>236</v>
      </c>
      <c r="BB62" s="435">
        <v>220</v>
      </c>
      <c r="BC62" s="41">
        <v>209</v>
      </c>
      <c r="BD62" s="332">
        <v>245</v>
      </c>
      <c r="BE62" s="435">
        <v>215</v>
      </c>
      <c r="BF62" s="41">
        <v>212</v>
      </c>
      <c r="BG62" s="332">
        <v>241</v>
      </c>
      <c r="BH62" s="435">
        <v>217</v>
      </c>
      <c r="BI62" s="41">
        <v>221</v>
      </c>
      <c r="BJ62" s="332">
        <v>211</v>
      </c>
    </row>
    <row r="63" spans="1:62" s="424" customFormat="1" ht="15" customHeight="1" x14ac:dyDescent="0.3">
      <c r="A63" s="408"/>
      <c r="B63" s="436" t="s">
        <v>64</v>
      </c>
      <c r="C63" s="437">
        <f>SUM(C52:C62)</f>
        <v>4065</v>
      </c>
      <c r="D63" s="438">
        <f t="shared" ref="D63:AU63" si="28">SUM(D52:D62)</f>
        <v>3900</v>
      </c>
      <c r="E63" s="439">
        <f t="shared" si="28"/>
        <v>4345</v>
      </c>
      <c r="F63" s="437">
        <f t="shared" si="28"/>
        <v>4034</v>
      </c>
      <c r="G63" s="438">
        <f t="shared" si="28"/>
        <v>3828</v>
      </c>
      <c r="H63" s="439">
        <f t="shared" si="28"/>
        <v>4347</v>
      </c>
      <c r="I63" s="437">
        <f t="shared" si="28"/>
        <v>3956</v>
      </c>
      <c r="J63" s="438">
        <f t="shared" si="28"/>
        <v>3804</v>
      </c>
      <c r="K63" s="439">
        <f t="shared" si="28"/>
        <v>4445</v>
      </c>
      <c r="L63" s="437">
        <f t="shared" si="28"/>
        <v>4098</v>
      </c>
      <c r="M63" s="438">
        <f t="shared" si="28"/>
        <v>3999</v>
      </c>
      <c r="N63" s="439">
        <f t="shared" si="28"/>
        <v>4577</v>
      </c>
      <c r="O63" s="437">
        <f t="shared" si="28"/>
        <v>4272</v>
      </c>
      <c r="P63" s="438">
        <f t="shared" si="28"/>
        <v>4161</v>
      </c>
      <c r="Q63" s="439">
        <f t="shared" si="28"/>
        <v>4828</v>
      </c>
      <c r="R63" s="437">
        <f t="shared" si="28"/>
        <v>4521</v>
      </c>
      <c r="S63" s="438">
        <f t="shared" si="28"/>
        <v>4272</v>
      </c>
      <c r="T63" s="439">
        <f t="shared" si="28"/>
        <v>4934</v>
      </c>
      <c r="U63" s="437">
        <f t="shared" si="28"/>
        <v>4717</v>
      </c>
      <c r="V63" s="438">
        <f t="shared" si="28"/>
        <v>4586</v>
      </c>
      <c r="W63" s="439">
        <f t="shared" si="28"/>
        <v>5084</v>
      </c>
      <c r="X63" s="437">
        <f t="shared" si="28"/>
        <v>4798</v>
      </c>
      <c r="Y63" s="438">
        <f t="shared" si="28"/>
        <v>4644</v>
      </c>
      <c r="Z63" s="439">
        <f t="shared" si="28"/>
        <v>5289</v>
      </c>
      <c r="AA63" s="437">
        <f t="shared" si="28"/>
        <v>4769</v>
      </c>
      <c r="AB63" s="438">
        <f t="shared" si="28"/>
        <v>4748</v>
      </c>
      <c r="AC63" s="439">
        <f t="shared" si="28"/>
        <v>5318</v>
      </c>
      <c r="AD63" s="437">
        <f t="shared" si="28"/>
        <v>4954</v>
      </c>
      <c r="AE63" s="438">
        <f t="shared" si="28"/>
        <v>4953</v>
      </c>
      <c r="AF63" s="439">
        <f t="shared" si="28"/>
        <v>5362</v>
      </c>
      <c r="AG63" s="437">
        <f t="shared" si="28"/>
        <v>5096</v>
      </c>
      <c r="AH63" s="438">
        <f t="shared" si="28"/>
        <v>4950</v>
      </c>
      <c r="AI63" s="439">
        <f t="shared" si="28"/>
        <v>5492</v>
      </c>
      <c r="AJ63" s="437">
        <f t="shared" si="28"/>
        <v>5041</v>
      </c>
      <c r="AK63" s="438">
        <f t="shared" si="28"/>
        <v>4915</v>
      </c>
      <c r="AL63" s="439">
        <f t="shared" si="28"/>
        <v>5510</v>
      </c>
      <c r="AM63" s="437">
        <f t="shared" si="28"/>
        <v>5080</v>
      </c>
      <c r="AN63" s="438">
        <f t="shared" si="28"/>
        <v>4857</v>
      </c>
      <c r="AO63" s="439">
        <f t="shared" si="28"/>
        <v>5482</v>
      </c>
      <c r="AP63" s="437">
        <f t="shared" si="28"/>
        <v>5021</v>
      </c>
      <c r="AQ63" s="438">
        <f t="shared" si="28"/>
        <v>4966</v>
      </c>
      <c r="AR63" s="439">
        <f t="shared" si="28"/>
        <v>5613</v>
      </c>
      <c r="AS63" s="437">
        <f t="shared" si="28"/>
        <v>4936</v>
      </c>
      <c r="AT63" s="438">
        <f t="shared" si="28"/>
        <v>4886</v>
      </c>
      <c r="AU63" s="439">
        <f t="shared" si="28"/>
        <v>5472</v>
      </c>
      <c r="AV63" s="437">
        <v>4950</v>
      </c>
      <c r="AW63" s="438">
        <v>4964</v>
      </c>
      <c r="AX63" s="439">
        <f t="shared" ref="AX63:BC63" si="29">SUM(AX52:AX62)</f>
        <v>5558</v>
      </c>
      <c r="AY63" s="437">
        <f t="shared" si="29"/>
        <v>5099</v>
      </c>
      <c r="AZ63" s="438">
        <f t="shared" si="29"/>
        <v>4817</v>
      </c>
      <c r="BA63" s="439">
        <f t="shared" si="29"/>
        <v>5280</v>
      </c>
      <c r="BB63" s="437">
        <f t="shared" si="29"/>
        <v>5048</v>
      </c>
      <c r="BC63" s="438">
        <f t="shared" si="29"/>
        <v>4985</v>
      </c>
      <c r="BD63" s="439">
        <f t="shared" ref="BD63:BG63" si="30">SUM(BD52:BD62)</f>
        <v>5551</v>
      </c>
      <c r="BE63" s="437">
        <f t="shared" si="30"/>
        <v>5193</v>
      </c>
      <c r="BF63" s="438">
        <f t="shared" si="30"/>
        <v>5151</v>
      </c>
      <c r="BG63" s="439">
        <f t="shared" si="30"/>
        <v>5666</v>
      </c>
      <c r="BH63" s="437">
        <f>SUM(BH52:BH62)</f>
        <v>5335</v>
      </c>
      <c r="BI63" s="438">
        <f>SUM(BI52:BI62)</f>
        <v>5261</v>
      </c>
      <c r="BJ63" s="439">
        <f>SUM(BJ52:BJ62)</f>
        <v>5701</v>
      </c>
    </row>
    <row r="64" spans="1:62" s="424" customFormat="1" ht="15" customHeight="1" x14ac:dyDescent="0.3">
      <c r="A64" s="408"/>
      <c r="B64" s="39" t="s">
        <v>86</v>
      </c>
      <c r="C64" s="425">
        <v>486</v>
      </c>
      <c r="D64" s="426">
        <v>472</v>
      </c>
      <c r="E64" s="427">
        <v>488</v>
      </c>
      <c r="F64" s="425">
        <v>444</v>
      </c>
      <c r="G64" s="426">
        <v>422</v>
      </c>
      <c r="H64" s="428">
        <v>450</v>
      </c>
      <c r="I64" s="429">
        <v>413</v>
      </c>
      <c r="J64" s="430">
        <v>426</v>
      </c>
      <c r="K64" s="428">
        <v>486</v>
      </c>
      <c r="L64" s="429">
        <v>424</v>
      </c>
      <c r="M64" s="426">
        <v>464</v>
      </c>
      <c r="N64" s="427">
        <v>485</v>
      </c>
      <c r="O64" s="429">
        <v>457</v>
      </c>
      <c r="P64" s="431">
        <v>476</v>
      </c>
      <c r="Q64" s="427">
        <v>514</v>
      </c>
      <c r="R64" s="429">
        <v>483</v>
      </c>
      <c r="S64" s="431">
        <v>510</v>
      </c>
      <c r="T64" s="427">
        <v>544</v>
      </c>
      <c r="U64" s="429">
        <v>523</v>
      </c>
      <c r="V64" s="431">
        <v>576</v>
      </c>
      <c r="W64" s="427">
        <v>608</v>
      </c>
      <c r="X64" s="432">
        <v>570</v>
      </c>
      <c r="Y64" s="433">
        <v>601</v>
      </c>
      <c r="Z64" s="434">
        <v>651</v>
      </c>
      <c r="AA64" s="432">
        <v>609</v>
      </c>
      <c r="AB64" s="433">
        <v>666</v>
      </c>
      <c r="AC64" s="434">
        <v>691</v>
      </c>
      <c r="AD64" s="432">
        <v>663</v>
      </c>
      <c r="AE64" s="433">
        <v>704</v>
      </c>
      <c r="AF64" s="434">
        <v>700</v>
      </c>
      <c r="AG64" s="432">
        <v>693</v>
      </c>
      <c r="AH64" s="433">
        <v>735</v>
      </c>
      <c r="AI64" s="434">
        <v>765</v>
      </c>
      <c r="AJ64" s="432">
        <v>700</v>
      </c>
      <c r="AK64" s="433">
        <v>723</v>
      </c>
      <c r="AL64" s="434">
        <v>760</v>
      </c>
      <c r="AM64" s="432">
        <v>699</v>
      </c>
      <c r="AN64" s="433">
        <v>726</v>
      </c>
      <c r="AO64" s="434">
        <v>734</v>
      </c>
      <c r="AP64" s="432">
        <v>680</v>
      </c>
      <c r="AQ64" s="433">
        <v>706</v>
      </c>
      <c r="AR64" s="434">
        <v>737</v>
      </c>
      <c r="AS64" s="432">
        <v>662</v>
      </c>
      <c r="AT64" s="433">
        <v>692</v>
      </c>
      <c r="AU64" s="434">
        <v>701</v>
      </c>
      <c r="AV64" s="432">
        <v>634</v>
      </c>
      <c r="AW64" s="433">
        <v>631</v>
      </c>
      <c r="AX64" s="434">
        <v>640</v>
      </c>
      <c r="AY64" s="432">
        <v>597</v>
      </c>
      <c r="AZ64" s="433">
        <v>549</v>
      </c>
      <c r="BA64" s="434">
        <v>538</v>
      </c>
      <c r="BB64" s="432">
        <v>493</v>
      </c>
      <c r="BC64" s="433">
        <v>542</v>
      </c>
      <c r="BD64" s="434">
        <v>551</v>
      </c>
      <c r="BE64" s="432">
        <v>496</v>
      </c>
      <c r="BF64" s="433">
        <v>527</v>
      </c>
      <c r="BG64" s="434">
        <v>526</v>
      </c>
      <c r="BH64" s="432">
        <v>511</v>
      </c>
      <c r="BI64" s="433">
        <v>534</v>
      </c>
      <c r="BJ64" s="434">
        <v>516</v>
      </c>
    </row>
    <row r="65" spans="1:62" s="424" customFormat="1" ht="15" customHeight="1" x14ac:dyDescent="0.3">
      <c r="A65" s="408"/>
      <c r="B65" s="39" t="s">
        <v>87</v>
      </c>
      <c r="C65" s="425">
        <v>428</v>
      </c>
      <c r="D65" s="426">
        <v>442</v>
      </c>
      <c r="E65" s="427">
        <v>476</v>
      </c>
      <c r="F65" s="425">
        <v>451</v>
      </c>
      <c r="G65" s="426">
        <v>484</v>
      </c>
      <c r="H65" s="428">
        <v>497</v>
      </c>
      <c r="I65" s="429">
        <v>470</v>
      </c>
      <c r="J65" s="430">
        <v>480</v>
      </c>
      <c r="K65" s="428">
        <v>484</v>
      </c>
      <c r="L65" s="429">
        <v>471</v>
      </c>
      <c r="M65" s="426">
        <v>477</v>
      </c>
      <c r="N65" s="427">
        <v>501</v>
      </c>
      <c r="O65" s="429">
        <v>468</v>
      </c>
      <c r="P65" s="431">
        <v>470</v>
      </c>
      <c r="Q65" s="427">
        <v>503</v>
      </c>
      <c r="R65" s="429">
        <v>479</v>
      </c>
      <c r="S65" s="431">
        <v>473</v>
      </c>
      <c r="T65" s="427">
        <v>481</v>
      </c>
      <c r="U65" s="429">
        <v>462</v>
      </c>
      <c r="V65" s="431">
        <v>480</v>
      </c>
      <c r="W65" s="427">
        <v>484</v>
      </c>
      <c r="X65" s="432">
        <v>456</v>
      </c>
      <c r="Y65" s="433">
        <v>458</v>
      </c>
      <c r="Z65" s="434">
        <v>469</v>
      </c>
      <c r="AA65" s="432">
        <v>429</v>
      </c>
      <c r="AB65" s="433">
        <v>456</v>
      </c>
      <c r="AC65" s="434">
        <v>475</v>
      </c>
      <c r="AD65" s="432">
        <v>453</v>
      </c>
      <c r="AE65" s="433">
        <v>483</v>
      </c>
      <c r="AF65" s="434">
        <v>503</v>
      </c>
      <c r="AG65" s="432">
        <v>507</v>
      </c>
      <c r="AH65" s="433">
        <v>556</v>
      </c>
      <c r="AI65" s="434">
        <v>579</v>
      </c>
      <c r="AJ65" s="432">
        <v>547</v>
      </c>
      <c r="AK65" s="433">
        <v>585</v>
      </c>
      <c r="AL65" s="434">
        <v>611</v>
      </c>
      <c r="AM65" s="432">
        <v>572</v>
      </c>
      <c r="AN65" s="433">
        <v>575</v>
      </c>
      <c r="AO65" s="434">
        <v>606</v>
      </c>
      <c r="AP65" s="432">
        <v>566</v>
      </c>
      <c r="AQ65" s="433">
        <v>598</v>
      </c>
      <c r="AR65" s="434">
        <v>637</v>
      </c>
      <c r="AS65" s="432">
        <v>564</v>
      </c>
      <c r="AT65" s="433">
        <v>598</v>
      </c>
      <c r="AU65" s="434">
        <v>619</v>
      </c>
      <c r="AV65" s="432">
        <v>572</v>
      </c>
      <c r="AW65" s="433">
        <v>566</v>
      </c>
      <c r="AX65" s="434">
        <v>560</v>
      </c>
      <c r="AY65" s="432">
        <v>526</v>
      </c>
      <c r="AZ65" s="433">
        <v>513</v>
      </c>
      <c r="BA65" s="434">
        <v>521</v>
      </c>
      <c r="BB65" s="432">
        <v>492</v>
      </c>
      <c r="BC65" s="433">
        <v>548</v>
      </c>
      <c r="BD65" s="434">
        <v>543</v>
      </c>
      <c r="BE65" s="432">
        <v>510</v>
      </c>
      <c r="BF65" s="433">
        <v>551</v>
      </c>
      <c r="BG65" s="434">
        <v>555</v>
      </c>
      <c r="BH65" s="432">
        <v>522</v>
      </c>
      <c r="BI65" s="433">
        <v>565</v>
      </c>
      <c r="BJ65" s="434">
        <v>557</v>
      </c>
    </row>
    <row r="66" spans="1:62" s="424" customFormat="1" ht="15" customHeight="1" x14ac:dyDescent="0.3">
      <c r="A66" s="408"/>
      <c r="B66" s="39" t="s">
        <v>88</v>
      </c>
      <c r="C66" s="425">
        <v>200</v>
      </c>
      <c r="D66" s="426">
        <v>181</v>
      </c>
      <c r="E66" s="427">
        <v>214</v>
      </c>
      <c r="F66" s="425">
        <v>202</v>
      </c>
      <c r="G66" s="426">
        <v>196</v>
      </c>
      <c r="H66" s="428">
        <v>206</v>
      </c>
      <c r="I66" s="429">
        <v>179</v>
      </c>
      <c r="J66" s="430">
        <v>170</v>
      </c>
      <c r="K66" s="428">
        <v>206</v>
      </c>
      <c r="L66" s="429">
        <v>189</v>
      </c>
      <c r="M66" s="426">
        <v>178</v>
      </c>
      <c r="N66" s="427">
        <v>216</v>
      </c>
      <c r="O66" s="429">
        <v>201</v>
      </c>
      <c r="P66" s="431">
        <v>181</v>
      </c>
      <c r="Q66" s="427">
        <v>209</v>
      </c>
      <c r="R66" s="429">
        <v>195</v>
      </c>
      <c r="S66" s="431">
        <v>176</v>
      </c>
      <c r="T66" s="427">
        <v>213</v>
      </c>
      <c r="U66" s="429">
        <v>192</v>
      </c>
      <c r="V66" s="431">
        <v>178</v>
      </c>
      <c r="W66" s="427">
        <v>248</v>
      </c>
      <c r="X66" s="432">
        <v>240</v>
      </c>
      <c r="Y66" s="433">
        <v>274</v>
      </c>
      <c r="Z66" s="434">
        <v>304</v>
      </c>
      <c r="AA66" s="432">
        <v>286</v>
      </c>
      <c r="AB66" s="433">
        <v>320</v>
      </c>
      <c r="AC66" s="434">
        <v>365</v>
      </c>
      <c r="AD66" s="432">
        <v>350</v>
      </c>
      <c r="AE66" s="433">
        <v>394</v>
      </c>
      <c r="AF66" s="434">
        <v>414</v>
      </c>
      <c r="AG66" s="432">
        <v>407</v>
      </c>
      <c r="AH66" s="433">
        <v>434</v>
      </c>
      <c r="AI66" s="434">
        <v>466</v>
      </c>
      <c r="AJ66" s="432">
        <v>438</v>
      </c>
      <c r="AK66" s="433">
        <v>462</v>
      </c>
      <c r="AL66" s="434">
        <v>480</v>
      </c>
      <c r="AM66" s="432">
        <v>458</v>
      </c>
      <c r="AN66" s="433">
        <v>471</v>
      </c>
      <c r="AO66" s="434">
        <v>498</v>
      </c>
      <c r="AP66" s="432">
        <v>457</v>
      </c>
      <c r="AQ66" s="433">
        <v>480</v>
      </c>
      <c r="AR66" s="434">
        <v>498</v>
      </c>
      <c r="AS66" s="432">
        <v>471</v>
      </c>
      <c r="AT66" s="433">
        <v>467</v>
      </c>
      <c r="AU66" s="434">
        <v>467</v>
      </c>
      <c r="AV66" s="432">
        <v>429</v>
      </c>
      <c r="AW66" s="433">
        <v>420</v>
      </c>
      <c r="AX66" s="434">
        <v>419</v>
      </c>
      <c r="AY66" s="432">
        <v>399</v>
      </c>
      <c r="AZ66" s="433">
        <v>380</v>
      </c>
      <c r="BA66" s="434">
        <v>373</v>
      </c>
      <c r="BB66" s="432">
        <v>361</v>
      </c>
      <c r="BC66" s="433">
        <v>370</v>
      </c>
      <c r="BD66" s="434">
        <v>377</v>
      </c>
      <c r="BE66" s="432">
        <v>339</v>
      </c>
      <c r="BF66" s="433">
        <v>330</v>
      </c>
      <c r="BG66" s="434">
        <v>313</v>
      </c>
      <c r="BH66" s="432">
        <v>298</v>
      </c>
      <c r="BI66" s="433">
        <v>307</v>
      </c>
      <c r="BJ66" s="434">
        <v>301</v>
      </c>
    </row>
    <row r="67" spans="1:62" s="424" customFormat="1" ht="15" customHeight="1" x14ac:dyDescent="0.3">
      <c r="A67" s="408"/>
      <c r="B67" s="39" t="s">
        <v>89</v>
      </c>
      <c r="C67" s="425">
        <v>120</v>
      </c>
      <c r="D67" s="426">
        <v>111</v>
      </c>
      <c r="E67" s="427">
        <v>117</v>
      </c>
      <c r="F67" s="425">
        <v>107</v>
      </c>
      <c r="G67" s="426">
        <v>90</v>
      </c>
      <c r="H67" s="428">
        <v>105</v>
      </c>
      <c r="I67" s="429">
        <v>92</v>
      </c>
      <c r="J67" s="430">
        <v>79</v>
      </c>
      <c r="K67" s="428">
        <v>94</v>
      </c>
      <c r="L67" s="429">
        <v>82</v>
      </c>
      <c r="M67" s="426">
        <v>70</v>
      </c>
      <c r="N67" s="427">
        <v>83</v>
      </c>
      <c r="O67" s="429">
        <v>76</v>
      </c>
      <c r="P67" s="431">
        <v>73</v>
      </c>
      <c r="Q67" s="427">
        <v>93</v>
      </c>
      <c r="R67" s="429">
        <v>90</v>
      </c>
      <c r="S67" s="431">
        <v>75</v>
      </c>
      <c r="T67" s="427">
        <v>102</v>
      </c>
      <c r="U67" s="429">
        <v>93</v>
      </c>
      <c r="V67" s="431">
        <v>94</v>
      </c>
      <c r="W67" s="427">
        <v>132</v>
      </c>
      <c r="X67" s="432">
        <v>116</v>
      </c>
      <c r="Y67" s="433">
        <v>144</v>
      </c>
      <c r="Z67" s="434">
        <v>184</v>
      </c>
      <c r="AA67" s="432">
        <v>168</v>
      </c>
      <c r="AB67" s="433">
        <v>193</v>
      </c>
      <c r="AC67" s="434">
        <v>209</v>
      </c>
      <c r="AD67" s="432">
        <v>193</v>
      </c>
      <c r="AE67" s="433">
        <v>221</v>
      </c>
      <c r="AF67" s="434">
        <v>242</v>
      </c>
      <c r="AG67" s="432">
        <v>226</v>
      </c>
      <c r="AH67" s="433">
        <v>263</v>
      </c>
      <c r="AI67" s="434">
        <v>294</v>
      </c>
      <c r="AJ67" s="432">
        <v>275</v>
      </c>
      <c r="AK67" s="433">
        <v>297</v>
      </c>
      <c r="AL67" s="434">
        <v>316</v>
      </c>
      <c r="AM67" s="432">
        <v>307</v>
      </c>
      <c r="AN67" s="433">
        <v>322</v>
      </c>
      <c r="AO67" s="434">
        <v>314</v>
      </c>
      <c r="AP67" s="432">
        <v>300</v>
      </c>
      <c r="AQ67" s="433">
        <v>310</v>
      </c>
      <c r="AR67" s="434">
        <v>315</v>
      </c>
      <c r="AS67" s="432">
        <v>285</v>
      </c>
      <c r="AT67" s="433">
        <v>286</v>
      </c>
      <c r="AU67" s="434">
        <v>286</v>
      </c>
      <c r="AV67" s="432">
        <v>257</v>
      </c>
      <c r="AW67" s="433">
        <v>262</v>
      </c>
      <c r="AX67" s="434">
        <v>251</v>
      </c>
      <c r="AY67" s="432">
        <v>245</v>
      </c>
      <c r="AZ67" s="433">
        <v>203</v>
      </c>
      <c r="BA67" s="434">
        <v>213</v>
      </c>
      <c r="BB67" s="432">
        <v>178</v>
      </c>
      <c r="BC67" s="433">
        <v>186</v>
      </c>
      <c r="BD67" s="434">
        <v>190</v>
      </c>
      <c r="BE67" s="432">
        <v>166</v>
      </c>
      <c r="BF67" s="433">
        <v>174</v>
      </c>
      <c r="BG67" s="434">
        <v>170</v>
      </c>
      <c r="BH67" s="432">
        <v>151</v>
      </c>
      <c r="BI67" s="433">
        <v>146</v>
      </c>
      <c r="BJ67" s="434">
        <v>157</v>
      </c>
    </row>
    <row r="68" spans="1:62" s="424" customFormat="1" ht="15" customHeight="1" x14ac:dyDescent="0.3">
      <c r="A68" s="408"/>
      <c r="B68" s="39" t="s">
        <v>90</v>
      </c>
      <c r="C68" s="425">
        <v>752</v>
      </c>
      <c r="D68" s="426">
        <v>747</v>
      </c>
      <c r="E68" s="427">
        <v>757</v>
      </c>
      <c r="F68" s="425">
        <v>712</v>
      </c>
      <c r="G68" s="426">
        <v>696</v>
      </c>
      <c r="H68" s="428">
        <v>726</v>
      </c>
      <c r="I68" s="429">
        <v>678</v>
      </c>
      <c r="J68" s="430">
        <v>654</v>
      </c>
      <c r="K68" s="428">
        <v>667</v>
      </c>
      <c r="L68" s="429">
        <v>626</v>
      </c>
      <c r="M68" s="426">
        <v>619</v>
      </c>
      <c r="N68" s="427">
        <v>669</v>
      </c>
      <c r="O68" s="429">
        <v>618</v>
      </c>
      <c r="P68" s="431">
        <v>606</v>
      </c>
      <c r="Q68" s="427">
        <v>643</v>
      </c>
      <c r="R68" s="429">
        <v>601</v>
      </c>
      <c r="S68" s="431">
        <v>607</v>
      </c>
      <c r="T68" s="427">
        <v>639</v>
      </c>
      <c r="U68" s="429">
        <v>607</v>
      </c>
      <c r="V68" s="431">
        <v>674</v>
      </c>
      <c r="W68" s="427">
        <v>739</v>
      </c>
      <c r="X68" s="432">
        <v>714</v>
      </c>
      <c r="Y68" s="433">
        <v>739</v>
      </c>
      <c r="Z68" s="434">
        <v>775</v>
      </c>
      <c r="AA68" s="432">
        <v>709</v>
      </c>
      <c r="AB68" s="433">
        <v>762</v>
      </c>
      <c r="AC68" s="434">
        <v>813</v>
      </c>
      <c r="AD68" s="432">
        <v>775</v>
      </c>
      <c r="AE68" s="433">
        <v>839</v>
      </c>
      <c r="AF68" s="434">
        <v>894</v>
      </c>
      <c r="AG68" s="432">
        <v>878</v>
      </c>
      <c r="AH68" s="433">
        <v>921</v>
      </c>
      <c r="AI68" s="434">
        <v>968</v>
      </c>
      <c r="AJ68" s="432">
        <v>897</v>
      </c>
      <c r="AK68" s="433">
        <v>920</v>
      </c>
      <c r="AL68" s="434">
        <v>938</v>
      </c>
      <c r="AM68" s="432">
        <v>899</v>
      </c>
      <c r="AN68" s="433">
        <v>909</v>
      </c>
      <c r="AO68" s="434">
        <v>967</v>
      </c>
      <c r="AP68" s="432">
        <v>893</v>
      </c>
      <c r="AQ68" s="433">
        <v>918</v>
      </c>
      <c r="AR68" s="434">
        <v>969</v>
      </c>
      <c r="AS68" s="432">
        <v>867</v>
      </c>
      <c r="AT68" s="433">
        <v>929</v>
      </c>
      <c r="AU68" s="434">
        <v>963</v>
      </c>
      <c r="AV68" s="432">
        <v>887</v>
      </c>
      <c r="AW68" s="433">
        <v>926</v>
      </c>
      <c r="AX68" s="434">
        <v>921</v>
      </c>
      <c r="AY68" s="432">
        <v>843</v>
      </c>
      <c r="AZ68" s="433">
        <v>831</v>
      </c>
      <c r="BA68" s="434">
        <v>843</v>
      </c>
      <c r="BB68" s="432">
        <v>768</v>
      </c>
      <c r="BC68" s="433">
        <v>846</v>
      </c>
      <c r="BD68" s="434">
        <v>860</v>
      </c>
      <c r="BE68" s="432">
        <v>808</v>
      </c>
      <c r="BF68" s="433">
        <v>866</v>
      </c>
      <c r="BG68" s="434">
        <v>865</v>
      </c>
      <c r="BH68" s="432">
        <v>812</v>
      </c>
      <c r="BI68" s="433">
        <v>832</v>
      </c>
      <c r="BJ68" s="434">
        <v>828</v>
      </c>
    </row>
    <row r="69" spans="1:62" s="424" customFormat="1" ht="15.75" customHeight="1" x14ac:dyDescent="0.3">
      <c r="A69" s="408"/>
      <c r="B69" s="39" t="s">
        <v>91</v>
      </c>
      <c r="C69" s="40">
        <v>945</v>
      </c>
      <c r="D69" s="281">
        <v>917</v>
      </c>
      <c r="E69" s="332">
        <v>926</v>
      </c>
      <c r="F69" s="280">
        <v>851</v>
      </c>
      <c r="G69" s="281">
        <v>864</v>
      </c>
      <c r="H69" s="332">
        <v>897</v>
      </c>
      <c r="I69" s="40">
        <v>820</v>
      </c>
      <c r="J69" s="41">
        <v>801</v>
      </c>
      <c r="K69" s="332">
        <v>827</v>
      </c>
      <c r="L69" s="40">
        <v>768</v>
      </c>
      <c r="M69" s="41">
        <v>766</v>
      </c>
      <c r="N69" s="332">
        <v>816</v>
      </c>
      <c r="O69" s="40">
        <v>738</v>
      </c>
      <c r="P69" s="41">
        <v>762</v>
      </c>
      <c r="Q69" s="332">
        <v>799</v>
      </c>
      <c r="R69" s="40">
        <v>747</v>
      </c>
      <c r="S69" s="41">
        <v>750</v>
      </c>
      <c r="T69" s="332">
        <v>787</v>
      </c>
      <c r="U69" s="40">
        <v>716</v>
      </c>
      <c r="V69" s="41">
        <v>770</v>
      </c>
      <c r="W69" s="332">
        <v>803</v>
      </c>
      <c r="X69" s="40">
        <v>763</v>
      </c>
      <c r="Y69" s="41">
        <v>814</v>
      </c>
      <c r="Z69" s="332">
        <v>859</v>
      </c>
      <c r="AA69" s="435">
        <v>766</v>
      </c>
      <c r="AB69" s="41">
        <v>805</v>
      </c>
      <c r="AC69" s="332">
        <v>856</v>
      </c>
      <c r="AD69" s="435">
        <v>798</v>
      </c>
      <c r="AE69" s="41">
        <v>873</v>
      </c>
      <c r="AF69" s="332">
        <v>939</v>
      </c>
      <c r="AG69" s="435">
        <v>900</v>
      </c>
      <c r="AH69" s="41">
        <v>951</v>
      </c>
      <c r="AI69" s="332">
        <v>989</v>
      </c>
      <c r="AJ69" s="435">
        <v>907</v>
      </c>
      <c r="AK69" s="41">
        <v>926</v>
      </c>
      <c r="AL69" s="332">
        <v>963</v>
      </c>
      <c r="AM69" s="435">
        <v>902</v>
      </c>
      <c r="AN69" s="41">
        <v>918</v>
      </c>
      <c r="AO69" s="332">
        <v>938</v>
      </c>
      <c r="AP69" s="435">
        <v>862</v>
      </c>
      <c r="AQ69" s="41">
        <v>853</v>
      </c>
      <c r="AR69" s="332">
        <v>888</v>
      </c>
      <c r="AS69" s="435">
        <v>813</v>
      </c>
      <c r="AT69" s="41">
        <v>812</v>
      </c>
      <c r="AU69" s="332">
        <v>867</v>
      </c>
      <c r="AV69" s="435">
        <v>816</v>
      </c>
      <c r="AW69" s="41">
        <v>821</v>
      </c>
      <c r="AX69" s="332">
        <v>837</v>
      </c>
      <c r="AY69" s="435">
        <v>769</v>
      </c>
      <c r="AZ69" s="41">
        <v>747</v>
      </c>
      <c r="BA69" s="332">
        <v>770</v>
      </c>
      <c r="BB69" s="435">
        <v>665</v>
      </c>
      <c r="BC69" s="41">
        <v>713</v>
      </c>
      <c r="BD69" s="332">
        <v>703</v>
      </c>
      <c r="BE69" s="435">
        <v>652</v>
      </c>
      <c r="BF69" s="41">
        <v>682</v>
      </c>
      <c r="BG69" s="332">
        <v>683</v>
      </c>
      <c r="BH69" s="435">
        <v>651</v>
      </c>
      <c r="BI69" s="41">
        <v>680</v>
      </c>
      <c r="BJ69" s="332">
        <v>689</v>
      </c>
    </row>
    <row r="70" spans="1:62" s="424" customFormat="1" ht="15.75" customHeight="1" x14ac:dyDescent="0.3">
      <c r="A70" s="408"/>
      <c r="B70" s="436" t="s">
        <v>92</v>
      </c>
      <c r="C70" s="437">
        <f>SUM(C64:C69)</f>
        <v>2931</v>
      </c>
      <c r="D70" s="438">
        <f t="shared" ref="D70:BD70" si="31">SUM(D64:D69)</f>
        <v>2870</v>
      </c>
      <c r="E70" s="439">
        <f t="shared" si="31"/>
        <v>2978</v>
      </c>
      <c r="F70" s="437">
        <f t="shared" si="31"/>
        <v>2767</v>
      </c>
      <c r="G70" s="438">
        <f t="shared" si="31"/>
        <v>2752</v>
      </c>
      <c r="H70" s="439">
        <f t="shared" si="31"/>
        <v>2881</v>
      </c>
      <c r="I70" s="437">
        <f t="shared" si="31"/>
        <v>2652</v>
      </c>
      <c r="J70" s="438">
        <f t="shared" si="31"/>
        <v>2610</v>
      </c>
      <c r="K70" s="439">
        <f t="shared" si="31"/>
        <v>2764</v>
      </c>
      <c r="L70" s="437">
        <f t="shared" si="31"/>
        <v>2560</v>
      </c>
      <c r="M70" s="438">
        <f t="shared" si="31"/>
        <v>2574</v>
      </c>
      <c r="N70" s="439">
        <f t="shared" si="31"/>
        <v>2770</v>
      </c>
      <c r="O70" s="437">
        <f t="shared" si="31"/>
        <v>2558</v>
      </c>
      <c r="P70" s="438">
        <f t="shared" si="31"/>
        <v>2568</v>
      </c>
      <c r="Q70" s="439">
        <f t="shared" si="31"/>
        <v>2761</v>
      </c>
      <c r="R70" s="437">
        <f t="shared" si="31"/>
        <v>2595</v>
      </c>
      <c r="S70" s="438">
        <f t="shared" si="31"/>
        <v>2591</v>
      </c>
      <c r="T70" s="439">
        <f t="shared" si="31"/>
        <v>2766</v>
      </c>
      <c r="U70" s="437">
        <f t="shared" si="31"/>
        <v>2593</v>
      </c>
      <c r="V70" s="438">
        <f t="shared" si="31"/>
        <v>2772</v>
      </c>
      <c r="W70" s="439">
        <f t="shared" si="31"/>
        <v>3014</v>
      </c>
      <c r="X70" s="437">
        <f t="shared" si="31"/>
        <v>2859</v>
      </c>
      <c r="Y70" s="438">
        <f t="shared" si="31"/>
        <v>3030</v>
      </c>
      <c r="Z70" s="439">
        <f t="shared" si="31"/>
        <v>3242</v>
      </c>
      <c r="AA70" s="437">
        <f t="shared" si="31"/>
        <v>2967</v>
      </c>
      <c r="AB70" s="438">
        <f t="shared" si="31"/>
        <v>3202</v>
      </c>
      <c r="AC70" s="439">
        <f t="shared" si="31"/>
        <v>3409</v>
      </c>
      <c r="AD70" s="437">
        <f t="shared" si="31"/>
        <v>3232</v>
      </c>
      <c r="AE70" s="438">
        <f t="shared" si="31"/>
        <v>3514</v>
      </c>
      <c r="AF70" s="439">
        <f t="shared" si="31"/>
        <v>3692</v>
      </c>
      <c r="AG70" s="437">
        <f t="shared" si="31"/>
        <v>3611</v>
      </c>
      <c r="AH70" s="438">
        <f t="shared" si="31"/>
        <v>3860</v>
      </c>
      <c r="AI70" s="439">
        <f t="shared" si="31"/>
        <v>4061</v>
      </c>
      <c r="AJ70" s="437">
        <f t="shared" si="31"/>
        <v>3764</v>
      </c>
      <c r="AK70" s="438">
        <f t="shared" si="31"/>
        <v>3913</v>
      </c>
      <c r="AL70" s="439">
        <f t="shared" si="31"/>
        <v>4068</v>
      </c>
      <c r="AM70" s="437">
        <f t="shared" si="31"/>
        <v>3837</v>
      </c>
      <c r="AN70" s="438">
        <f t="shared" si="31"/>
        <v>3921</v>
      </c>
      <c r="AO70" s="439">
        <f t="shared" si="31"/>
        <v>4057</v>
      </c>
      <c r="AP70" s="437">
        <f t="shared" si="31"/>
        <v>3758</v>
      </c>
      <c r="AQ70" s="438">
        <f t="shared" si="31"/>
        <v>3865</v>
      </c>
      <c r="AR70" s="439">
        <f t="shared" si="31"/>
        <v>4044</v>
      </c>
      <c r="AS70" s="437">
        <f t="shared" si="31"/>
        <v>3662</v>
      </c>
      <c r="AT70" s="438">
        <f t="shared" si="31"/>
        <v>3784</v>
      </c>
      <c r="AU70" s="439">
        <f t="shared" si="31"/>
        <v>3903</v>
      </c>
      <c r="AV70" s="437">
        <f t="shared" si="31"/>
        <v>3595</v>
      </c>
      <c r="AW70" s="438">
        <f t="shared" si="31"/>
        <v>3626</v>
      </c>
      <c r="AX70" s="439">
        <f t="shared" si="31"/>
        <v>3628</v>
      </c>
      <c r="AY70" s="437">
        <f t="shared" si="31"/>
        <v>3379</v>
      </c>
      <c r="AZ70" s="438">
        <f t="shared" si="31"/>
        <v>3223</v>
      </c>
      <c r="BA70" s="439">
        <f t="shared" si="31"/>
        <v>3258</v>
      </c>
      <c r="BB70" s="437">
        <f t="shared" si="31"/>
        <v>2957</v>
      </c>
      <c r="BC70" s="438">
        <f t="shared" si="31"/>
        <v>3205</v>
      </c>
      <c r="BD70" s="439">
        <f t="shared" si="31"/>
        <v>3224</v>
      </c>
      <c r="BE70" s="437">
        <f t="shared" ref="BE70:BG70" si="32">SUM(BE64:BE69)</f>
        <v>2971</v>
      </c>
      <c r="BF70" s="438">
        <f t="shared" si="32"/>
        <v>3130</v>
      </c>
      <c r="BG70" s="439">
        <f t="shared" si="32"/>
        <v>3112</v>
      </c>
      <c r="BH70" s="437">
        <f t="shared" ref="BH70:BJ70" si="33">SUM(BH64:BH69)</f>
        <v>2945</v>
      </c>
      <c r="BI70" s="438">
        <f t="shared" si="33"/>
        <v>3064</v>
      </c>
      <c r="BJ70" s="439">
        <f t="shared" si="33"/>
        <v>3048</v>
      </c>
    </row>
    <row r="71" spans="1:62" s="424" customFormat="1" ht="15.75" customHeight="1" x14ac:dyDescent="0.3">
      <c r="A71" s="408"/>
      <c r="B71" s="464" t="s">
        <v>93</v>
      </c>
      <c r="C71" s="465">
        <f>SUM(C70,C63,C51)</f>
        <v>9583</v>
      </c>
      <c r="D71" s="466">
        <f t="shared" ref="D71:BD71" si="34">SUM(D70,D63,D51)</f>
        <v>9437</v>
      </c>
      <c r="E71" s="467">
        <f t="shared" si="34"/>
        <v>10121</v>
      </c>
      <c r="F71" s="465">
        <f t="shared" si="34"/>
        <v>9385</v>
      </c>
      <c r="G71" s="466">
        <f t="shared" si="34"/>
        <v>9144</v>
      </c>
      <c r="H71" s="467">
        <f t="shared" si="34"/>
        <v>9961</v>
      </c>
      <c r="I71" s="465">
        <f t="shared" si="34"/>
        <v>9078</v>
      </c>
      <c r="J71" s="466">
        <f t="shared" si="34"/>
        <v>8966</v>
      </c>
      <c r="K71" s="467">
        <f t="shared" si="34"/>
        <v>9974</v>
      </c>
      <c r="L71" s="465">
        <f t="shared" si="34"/>
        <v>9139</v>
      </c>
      <c r="M71" s="466">
        <f t="shared" si="34"/>
        <v>9172</v>
      </c>
      <c r="N71" s="467">
        <f t="shared" si="34"/>
        <v>10039</v>
      </c>
      <c r="O71" s="465">
        <f t="shared" si="34"/>
        <v>9295</v>
      </c>
      <c r="P71" s="466">
        <f t="shared" si="34"/>
        <v>9259</v>
      </c>
      <c r="Q71" s="467">
        <f t="shared" si="34"/>
        <v>10243</v>
      </c>
      <c r="R71" s="465">
        <f t="shared" si="34"/>
        <v>9548</v>
      </c>
      <c r="S71" s="466">
        <f t="shared" si="34"/>
        <v>9270</v>
      </c>
      <c r="T71" s="467">
        <f t="shared" si="34"/>
        <v>10369</v>
      </c>
      <c r="U71" s="465">
        <f t="shared" si="34"/>
        <v>9812</v>
      </c>
      <c r="V71" s="466">
        <f t="shared" si="34"/>
        <v>9883</v>
      </c>
      <c r="W71" s="467">
        <f t="shared" si="34"/>
        <v>10789</v>
      </c>
      <c r="X71" s="465">
        <f t="shared" si="34"/>
        <v>10198</v>
      </c>
      <c r="Y71" s="466">
        <f t="shared" si="34"/>
        <v>10110</v>
      </c>
      <c r="Z71" s="467">
        <f t="shared" si="34"/>
        <v>11399</v>
      </c>
      <c r="AA71" s="465">
        <f t="shared" si="34"/>
        <v>10323</v>
      </c>
      <c r="AB71" s="466">
        <f t="shared" si="34"/>
        <v>10566</v>
      </c>
      <c r="AC71" s="467">
        <f t="shared" si="34"/>
        <v>11743</v>
      </c>
      <c r="AD71" s="465">
        <f t="shared" si="34"/>
        <v>10930</v>
      </c>
      <c r="AE71" s="466">
        <f t="shared" si="34"/>
        <v>11242</v>
      </c>
      <c r="AF71" s="467">
        <f t="shared" si="34"/>
        <v>12168</v>
      </c>
      <c r="AG71" s="465">
        <f t="shared" si="34"/>
        <v>11635</v>
      </c>
      <c r="AH71" s="466">
        <f t="shared" si="34"/>
        <v>11863</v>
      </c>
      <c r="AI71" s="467">
        <f t="shared" si="34"/>
        <v>13176</v>
      </c>
      <c r="AJ71" s="465">
        <f t="shared" si="34"/>
        <v>12103</v>
      </c>
      <c r="AK71" s="466">
        <f t="shared" si="34"/>
        <v>12137</v>
      </c>
      <c r="AL71" s="467">
        <f t="shared" si="34"/>
        <v>13328</v>
      </c>
      <c r="AM71" s="465">
        <f t="shared" si="34"/>
        <v>12377</v>
      </c>
      <c r="AN71" s="466">
        <f t="shared" si="34"/>
        <v>12194</v>
      </c>
      <c r="AO71" s="467">
        <f t="shared" si="34"/>
        <v>13384</v>
      </c>
      <c r="AP71" s="465">
        <f t="shared" si="34"/>
        <v>12265</v>
      </c>
      <c r="AQ71" s="466">
        <f t="shared" si="34"/>
        <v>12264</v>
      </c>
      <c r="AR71" s="467">
        <f t="shared" si="34"/>
        <v>13602</v>
      </c>
      <c r="AS71" s="465">
        <f t="shared" si="34"/>
        <v>12142</v>
      </c>
      <c r="AT71" s="466">
        <f t="shared" si="34"/>
        <v>12024</v>
      </c>
      <c r="AU71" s="467">
        <f t="shared" si="34"/>
        <v>13154</v>
      </c>
      <c r="AV71" s="465">
        <f t="shared" si="34"/>
        <v>12033</v>
      </c>
      <c r="AW71" s="466">
        <f t="shared" si="34"/>
        <v>11903</v>
      </c>
      <c r="AX71" s="467">
        <f t="shared" si="34"/>
        <v>12871</v>
      </c>
      <c r="AY71" s="465">
        <f t="shared" si="34"/>
        <v>11878</v>
      </c>
      <c r="AZ71" s="466">
        <f t="shared" si="34"/>
        <v>11033</v>
      </c>
      <c r="BA71" s="467">
        <f t="shared" si="34"/>
        <v>12029</v>
      </c>
      <c r="BB71" s="465">
        <f t="shared" si="34"/>
        <v>11237</v>
      </c>
      <c r="BC71" s="466">
        <f t="shared" si="34"/>
        <v>11273</v>
      </c>
      <c r="BD71" s="467">
        <f t="shared" si="34"/>
        <v>12388</v>
      </c>
      <c r="BE71" s="465">
        <f t="shared" ref="BE71:BG71" si="35">SUM(BE70,BE63,BE51)</f>
        <v>11563</v>
      </c>
      <c r="BF71" s="466">
        <f t="shared" si="35"/>
        <v>11513</v>
      </c>
      <c r="BG71" s="467">
        <f t="shared" si="35"/>
        <v>12288</v>
      </c>
      <c r="BH71" s="465">
        <f t="shared" ref="BH71:BJ71" si="36">SUM(BH70,BH63,BH51)</f>
        <v>11581</v>
      </c>
      <c r="BI71" s="466">
        <f t="shared" si="36"/>
        <v>11414</v>
      </c>
      <c r="BJ71" s="467">
        <f t="shared" si="36"/>
        <v>12278</v>
      </c>
    </row>
    <row r="72" spans="1:62" s="424" customFormat="1" ht="15.75" customHeight="1" x14ac:dyDescent="0.3">
      <c r="A72" s="408"/>
      <c r="B72" s="39" t="s">
        <v>117</v>
      </c>
      <c r="C72" s="40"/>
      <c r="D72" s="281"/>
      <c r="E72" s="332"/>
      <c r="F72" s="280"/>
      <c r="G72" s="281"/>
      <c r="H72" s="332"/>
      <c r="I72" s="40"/>
      <c r="J72" s="41"/>
      <c r="K72" s="332"/>
      <c r="L72" s="40"/>
      <c r="M72" s="41"/>
      <c r="N72" s="332"/>
      <c r="O72" s="40"/>
      <c r="P72" s="41"/>
      <c r="Q72" s="332"/>
      <c r="R72" s="40"/>
      <c r="S72" s="41"/>
      <c r="T72" s="332"/>
      <c r="U72" s="40"/>
      <c r="V72" s="41"/>
      <c r="W72" s="332"/>
      <c r="X72" s="40"/>
      <c r="Y72" s="41"/>
      <c r="Z72" s="332"/>
      <c r="AA72" s="435"/>
      <c r="AB72" s="41">
        <v>26</v>
      </c>
      <c r="AC72" s="332">
        <v>57</v>
      </c>
      <c r="AD72" s="435">
        <v>50</v>
      </c>
      <c r="AE72" s="41">
        <v>46</v>
      </c>
      <c r="AF72" s="332">
        <v>78</v>
      </c>
      <c r="AG72" s="435">
        <v>72</v>
      </c>
      <c r="AH72" s="41">
        <v>90</v>
      </c>
      <c r="AI72" s="332">
        <v>106</v>
      </c>
      <c r="AJ72" s="435">
        <v>89</v>
      </c>
      <c r="AK72" s="41">
        <v>100</v>
      </c>
      <c r="AL72" s="332">
        <v>118</v>
      </c>
      <c r="AM72" s="435">
        <v>99</v>
      </c>
      <c r="AN72" s="41">
        <v>113</v>
      </c>
      <c r="AO72" s="332">
        <v>146</v>
      </c>
      <c r="AP72" s="435">
        <v>125</v>
      </c>
      <c r="AQ72" s="41">
        <v>141</v>
      </c>
      <c r="AR72" s="332">
        <v>161</v>
      </c>
      <c r="AS72" s="435">
        <v>150</v>
      </c>
      <c r="AT72" s="41">
        <v>167</v>
      </c>
      <c r="AU72" s="332">
        <v>182</v>
      </c>
      <c r="AV72" s="435">
        <v>172</v>
      </c>
      <c r="AW72" s="41">
        <v>160</v>
      </c>
      <c r="AX72" s="332">
        <v>195</v>
      </c>
      <c r="AY72" s="435">
        <v>179</v>
      </c>
      <c r="AZ72" s="41">
        <v>155</v>
      </c>
      <c r="BA72" s="332">
        <v>187</v>
      </c>
      <c r="BB72" s="435">
        <v>176</v>
      </c>
      <c r="BC72" s="41">
        <v>164</v>
      </c>
      <c r="BD72" s="332">
        <v>186</v>
      </c>
      <c r="BE72" s="435">
        <v>173</v>
      </c>
      <c r="BF72" s="41">
        <v>160</v>
      </c>
      <c r="BG72" s="332">
        <v>172</v>
      </c>
      <c r="BH72" s="435">
        <v>165</v>
      </c>
      <c r="BI72" s="41">
        <v>147</v>
      </c>
      <c r="BJ72" s="332">
        <v>155</v>
      </c>
    </row>
    <row r="73" spans="1:62" s="424" customFormat="1" ht="15.75" customHeight="1" x14ac:dyDescent="0.3">
      <c r="A73" s="408"/>
      <c r="B73" s="45" t="s">
        <v>118</v>
      </c>
      <c r="C73" s="46"/>
      <c r="D73" s="282"/>
      <c r="E73" s="335"/>
      <c r="F73" s="283"/>
      <c r="G73" s="282"/>
      <c r="H73" s="335"/>
      <c r="I73" s="46"/>
      <c r="J73" s="50"/>
      <c r="K73" s="335"/>
      <c r="L73" s="46"/>
      <c r="M73" s="50"/>
      <c r="N73" s="335"/>
      <c r="O73" s="46"/>
      <c r="P73" s="50"/>
      <c r="Q73" s="335"/>
      <c r="R73" s="46"/>
      <c r="S73" s="50"/>
      <c r="T73" s="335"/>
      <c r="U73" s="46"/>
      <c r="V73" s="50"/>
      <c r="W73" s="335"/>
      <c r="X73" s="46"/>
      <c r="Y73" s="50"/>
      <c r="Z73" s="335"/>
      <c r="AA73" s="463"/>
      <c r="AB73" s="50"/>
      <c r="AC73" s="335"/>
      <c r="AD73" s="463"/>
      <c r="AE73" s="50"/>
      <c r="AF73" s="335"/>
      <c r="AG73" s="463"/>
      <c r="AH73" s="50"/>
      <c r="AI73" s="335"/>
      <c r="AJ73" s="463"/>
      <c r="AK73" s="50"/>
      <c r="AL73" s="335"/>
      <c r="AM73" s="463"/>
      <c r="AN73" s="50"/>
      <c r="AO73" s="335"/>
      <c r="AP73" s="463"/>
      <c r="AQ73" s="50"/>
      <c r="AR73" s="335"/>
      <c r="AS73" s="463"/>
      <c r="AT73" s="50">
        <v>32</v>
      </c>
      <c r="AU73" s="335">
        <v>55</v>
      </c>
      <c r="AV73" s="463">
        <v>48</v>
      </c>
      <c r="AW73" s="50">
        <v>43</v>
      </c>
      <c r="AX73" s="335">
        <v>86</v>
      </c>
      <c r="AY73" s="463">
        <v>79</v>
      </c>
      <c r="AZ73" s="50">
        <v>73</v>
      </c>
      <c r="BA73" s="335">
        <v>116</v>
      </c>
      <c r="BB73" s="463">
        <v>107</v>
      </c>
      <c r="BC73" s="50">
        <v>106</v>
      </c>
      <c r="BD73" s="335">
        <v>147</v>
      </c>
      <c r="BE73" s="463">
        <v>136</v>
      </c>
      <c r="BF73" s="50">
        <v>129</v>
      </c>
      <c r="BG73" s="335">
        <v>184</v>
      </c>
      <c r="BH73" s="463">
        <v>171</v>
      </c>
      <c r="BI73" s="50">
        <v>164</v>
      </c>
      <c r="BJ73" s="335">
        <v>210</v>
      </c>
    </row>
    <row r="74" spans="1:62" s="424" customFormat="1" ht="15.75" customHeight="1" x14ac:dyDescent="0.3">
      <c r="A74" s="408"/>
      <c r="B74" s="45" t="s">
        <v>119</v>
      </c>
      <c r="C74" s="46"/>
      <c r="D74" s="282"/>
      <c r="E74" s="335"/>
      <c r="F74" s="283"/>
      <c r="G74" s="282"/>
      <c r="H74" s="335"/>
      <c r="I74" s="46"/>
      <c r="J74" s="50"/>
      <c r="K74" s="335"/>
      <c r="L74" s="46"/>
      <c r="M74" s="50"/>
      <c r="N74" s="335"/>
      <c r="O74" s="46"/>
      <c r="P74" s="50"/>
      <c r="Q74" s="335"/>
      <c r="R74" s="46"/>
      <c r="S74" s="50"/>
      <c r="T74" s="335"/>
      <c r="U74" s="46"/>
      <c r="V74" s="50"/>
      <c r="W74" s="335"/>
      <c r="X74" s="46"/>
      <c r="Y74" s="50"/>
      <c r="Z74" s="335"/>
      <c r="AA74" s="463"/>
      <c r="AB74" s="50"/>
      <c r="AC74" s="335"/>
      <c r="AD74" s="463"/>
      <c r="AE74" s="50"/>
      <c r="AF74" s="335"/>
      <c r="AG74" s="463"/>
      <c r="AH74" s="50"/>
      <c r="AI74" s="335"/>
      <c r="AJ74" s="463"/>
      <c r="AK74" s="50"/>
      <c r="AL74" s="335"/>
      <c r="AM74" s="463"/>
      <c r="AN74" s="50"/>
      <c r="AO74" s="335"/>
      <c r="AP74" s="463"/>
      <c r="AQ74" s="50"/>
      <c r="AR74" s="335"/>
      <c r="AS74" s="463"/>
      <c r="AT74" s="50"/>
      <c r="AU74" s="335"/>
      <c r="AV74" s="463"/>
      <c r="AW74" s="50"/>
      <c r="AX74" s="335">
        <v>28</v>
      </c>
      <c r="AY74" s="463">
        <v>21</v>
      </c>
      <c r="AZ74" s="50">
        <v>21</v>
      </c>
      <c r="BA74" s="335">
        <v>71</v>
      </c>
      <c r="BB74" s="463">
        <v>66</v>
      </c>
      <c r="BC74" s="50">
        <v>65</v>
      </c>
      <c r="BD74" s="335">
        <v>109</v>
      </c>
      <c r="BE74" s="463">
        <v>99</v>
      </c>
      <c r="BF74" s="50">
        <v>98</v>
      </c>
      <c r="BG74" s="335">
        <v>144</v>
      </c>
      <c r="BH74" s="463">
        <v>138</v>
      </c>
      <c r="BI74" s="50">
        <v>131</v>
      </c>
      <c r="BJ74" s="335">
        <v>201</v>
      </c>
    </row>
    <row r="75" spans="1:62" s="424" customFormat="1" ht="15.75" customHeight="1" x14ac:dyDescent="0.3">
      <c r="A75" s="408"/>
      <c r="B75" s="436" t="s">
        <v>59</v>
      </c>
      <c r="C75" s="437"/>
      <c r="D75" s="438"/>
      <c r="E75" s="439"/>
      <c r="F75" s="437"/>
      <c r="G75" s="438"/>
      <c r="H75" s="439"/>
      <c r="I75" s="437"/>
      <c r="J75" s="438"/>
      <c r="K75" s="439"/>
      <c r="L75" s="437"/>
      <c r="M75" s="438"/>
      <c r="N75" s="439"/>
      <c r="O75" s="437"/>
      <c r="P75" s="438"/>
      <c r="Q75" s="439"/>
      <c r="R75" s="437"/>
      <c r="S75" s="438"/>
      <c r="T75" s="439"/>
      <c r="U75" s="437"/>
      <c r="V75" s="438"/>
      <c r="W75" s="439"/>
      <c r="X75" s="437"/>
      <c r="Y75" s="438"/>
      <c r="Z75" s="439"/>
      <c r="AA75" s="437"/>
      <c r="AB75" s="438">
        <f>SUM(AB72)</f>
        <v>26</v>
      </c>
      <c r="AC75" s="439">
        <f t="shared" ref="AC75:AO75" si="37">SUM(AC72)</f>
        <v>57</v>
      </c>
      <c r="AD75" s="437">
        <f t="shared" si="37"/>
        <v>50</v>
      </c>
      <c r="AE75" s="438">
        <f t="shared" si="37"/>
        <v>46</v>
      </c>
      <c r="AF75" s="439">
        <f t="shared" si="37"/>
        <v>78</v>
      </c>
      <c r="AG75" s="437">
        <f t="shared" si="37"/>
        <v>72</v>
      </c>
      <c r="AH75" s="438">
        <f t="shared" si="37"/>
        <v>90</v>
      </c>
      <c r="AI75" s="439">
        <f t="shared" si="37"/>
        <v>106</v>
      </c>
      <c r="AJ75" s="437">
        <f t="shared" si="37"/>
        <v>89</v>
      </c>
      <c r="AK75" s="438">
        <f t="shared" si="37"/>
        <v>100</v>
      </c>
      <c r="AL75" s="439">
        <f t="shared" si="37"/>
        <v>118</v>
      </c>
      <c r="AM75" s="437">
        <f t="shared" si="37"/>
        <v>99</v>
      </c>
      <c r="AN75" s="438">
        <f t="shared" si="37"/>
        <v>113</v>
      </c>
      <c r="AO75" s="439">
        <f t="shared" si="37"/>
        <v>146</v>
      </c>
      <c r="AP75" s="437">
        <f>SUM(AP72)</f>
        <v>125</v>
      </c>
      <c r="AQ75" s="438">
        <f>SUM(AQ72)</f>
        <v>141</v>
      </c>
      <c r="AR75" s="439">
        <f>SUM(AR72)</f>
        <v>161</v>
      </c>
      <c r="AS75" s="437">
        <f>SUM(AS72:AS73)</f>
        <v>150</v>
      </c>
      <c r="AT75" s="438">
        <f>SUM(AT72:AT73)</f>
        <v>199</v>
      </c>
      <c r="AU75" s="439">
        <f>SUM(AU72:AU73)</f>
        <v>237</v>
      </c>
      <c r="AV75" s="437">
        <v>220</v>
      </c>
      <c r="AW75" s="438">
        <v>203</v>
      </c>
      <c r="AX75" s="439">
        <f t="shared" ref="AX75:BC75" si="38">SUM(AX72:AX74)</f>
        <v>309</v>
      </c>
      <c r="AY75" s="437">
        <f t="shared" si="38"/>
        <v>279</v>
      </c>
      <c r="AZ75" s="438">
        <f t="shared" si="38"/>
        <v>249</v>
      </c>
      <c r="BA75" s="439">
        <f t="shared" si="38"/>
        <v>374</v>
      </c>
      <c r="BB75" s="437">
        <f t="shared" si="38"/>
        <v>349</v>
      </c>
      <c r="BC75" s="438">
        <f t="shared" si="38"/>
        <v>335</v>
      </c>
      <c r="BD75" s="439">
        <f t="shared" ref="BD75:BG75" si="39">SUM(BD72:BD74)</f>
        <v>442</v>
      </c>
      <c r="BE75" s="437">
        <f t="shared" si="39"/>
        <v>408</v>
      </c>
      <c r="BF75" s="438">
        <f t="shared" si="39"/>
        <v>387</v>
      </c>
      <c r="BG75" s="439">
        <f t="shared" si="39"/>
        <v>500</v>
      </c>
      <c r="BH75" s="437">
        <f>SUM(BH72:BH74)</f>
        <v>474</v>
      </c>
      <c r="BI75" s="438">
        <f>SUM(BI72:BI74)</f>
        <v>442</v>
      </c>
      <c r="BJ75" s="439">
        <f>SUM(BJ72:BJ74)</f>
        <v>566</v>
      </c>
    </row>
    <row r="76" spans="1:62" s="424" customFormat="1" ht="15.75" customHeight="1" x14ac:dyDescent="0.3">
      <c r="A76" s="408"/>
      <c r="B76" s="32" t="s">
        <v>120</v>
      </c>
      <c r="C76" s="468"/>
      <c r="D76" s="469"/>
      <c r="E76" s="470"/>
      <c r="F76" s="469"/>
      <c r="G76" s="469"/>
      <c r="H76" s="469"/>
      <c r="I76" s="469"/>
      <c r="J76" s="469"/>
      <c r="K76" s="419"/>
      <c r="L76" s="419"/>
      <c r="M76" s="415"/>
      <c r="N76" s="415"/>
      <c r="O76" s="419"/>
      <c r="P76" s="420"/>
      <c r="Q76" s="415"/>
      <c r="R76" s="419"/>
      <c r="S76" s="420"/>
      <c r="T76" s="415"/>
      <c r="U76" s="419"/>
      <c r="V76" s="420"/>
      <c r="W76" s="415"/>
      <c r="X76" s="422"/>
      <c r="Y76" s="422"/>
      <c r="Z76" s="423"/>
      <c r="AA76" s="421"/>
      <c r="AB76" s="422">
        <v>29</v>
      </c>
      <c r="AC76" s="423">
        <v>51</v>
      </c>
      <c r="AD76" s="421">
        <v>45</v>
      </c>
      <c r="AE76" s="422">
        <v>41</v>
      </c>
      <c r="AF76" s="423">
        <v>76</v>
      </c>
      <c r="AG76" s="421">
        <v>69</v>
      </c>
      <c r="AH76" s="422">
        <v>90</v>
      </c>
      <c r="AI76" s="423">
        <v>114</v>
      </c>
      <c r="AJ76" s="421">
        <v>113</v>
      </c>
      <c r="AK76" s="422">
        <v>104</v>
      </c>
      <c r="AL76" s="423">
        <v>132</v>
      </c>
      <c r="AM76" s="421">
        <v>125</v>
      </c>
      <c r="AN76" s="422">
        <v>114</v>
      </c>
      <c r="AO76" s="423">
        <v>128</v>
      </c>
      <c r="AP76" s="421">
        <v>112</v>
      </c>
      <c r="AQ76" s="422">
        <v>145</v>
      </c>
      <c r="AR76" s="423">
        <v>151</v>
      </c>
      <c r="AS76" s="421">
        <v>144</v>
      </c>
      <c r="AT76" s="422">
        <v>162</v>
      </c>
      <c r="AU76" s="423">
        <v>161</v>
      </c>
      <c r="AV76" s="421">
        <v>155</v>
      </c>
      <c r="AW76" s="422">
        <v>155</v>
      </c>
      <c r="AX76" s="423">
        <v>165</v>
      </c>
      <c r="AY76" s="421">
        <v>152</v>
      </c>
      <c r="AZ76" s="422">
        <v>166</v>
      </c>
      <c r="BA76" s="423">
        <v>190</v>
      </c>
      <c r="BB76" s="421">
        <v>186</v>
      </c>
      <c r="BC76" s="422">
        <v>199</v>
      </c>
      <c r="BD76" s="423">
        <v>200</v>
      </c>
      <c r="BE76" s="421">
        <v>188</v>
      </c>
      <c r="BF76" s="422">
        <v>199</v>
      </c>
      <c r="BG76" s="423">
        <v>201</v>
      </c>
      <c r="BH76" s="421">
        <v>189</v>
      </c>
      <c r="BI76" s="422">
        <v>196</v>
      </c>
      <c r="BJ76" s="423">
        <v>183</v>
      </c>
    </row>
    <row r="77" spans="1:62" s="424" customFormat="1" ht="15.75" customHeight="1" x14ac:dyDescent="0.3">
      <c r="A77" s="408"/>
      <c r="B77" s="39" t="s">
        <v>121</v>
      </c>
      <c r="C77" s="457"/>
      <c r="D77" s="454"/>
      <c r="E77" s="456"/>
      <c r="F77" s="454"/>
      <c r="G77" s="454"/>
      <c r="H77" s="454"/>
      <c r="I77" s="454"/>
      <c r="J77" s="454"/>
      <c r="K77" s="430"/>
      <c r="L77" s="430"/>
      <c r="M77" s="426"/>
      <c r="N77" s="426"/>
      <c r="O77" s="430"/>
      <c r="P77" s="431"/>
      <c r="Q77" s="426"/>
      <c r="R77" s="430"/>
      <c r="S77" s="431"/>
      <c r="T77" s="426"/>
      <c r="U77" s="430"/>
      <c r="V77" s="431"/>
      <c r="W77" s="426"/>
      <c r="X77" s="433"/>
      <c r="Y77" s="433"/>
      <c r="Z77" s="434"/>
      <c r="AA77" s="432"/>
      <c r="AB77" s="433"/>
      <c r="AC77" s="434"/>
      <c r="AD77" s="432"/>
      <c r="AE77" s="433"/>
      <c r="AF77" s="434"/>
      <c r="AG77" s="432"/>
      <c r="AH77" s="433"/>
      <c r="AI77" s="434">
        <v>18</v>
      </c>
      <c r="AJ77" s="432">
        <v>15</v>
      </c>
      <c r="AK77" s="433">
        <v>15</v>
      </c>
      <c r="AL77" s="434">
        <v>31</v>
      </c>
      <c r="AM77" s="432">
        <v>29</v>
      </c>
      <c r="AN77" s="433">
        <v>28</v>
      </c>
      <c r="AO77" s="434">
        <v>46</v>
      </c>
      <c r="AP77" s="432">
        <v>43</v>
      </c>
      <c r="AQ77" s="433">
        <v>42</v>
      </c>
      <c r="AR77" s="434">
        <v>66</v>
      </c>
      <c r="AS77" s="432">
        <v>58</v>
      </c>
      <c r="AT77" s="433">
        <v>54</v>
      </c>
      <c r="AU77" s="434">
        <v>87</v>
      </c>
      <c r="AV77" s="432">
        <v>76</v>
      </c>
      <c r="AW77" s="433">
        <v>71</v>
      </c>
      <c r="AX77" s="434">
        <v>99</v>
      </c>
      <c r="AY77" s="432">
        <v>88</v>
      </c>
      <c r="AZ77" s="433">
        <v>85</v>
      </c>
      <c r="BA77" s="434">
        <v>104</v>
      </c>
      <c r="BB77" s="432">
        <v>103</v>
      </c>
      <c r="BC77" s="433">
        <v>100</v>
      </c>
      <c r="BD77" s="434">
        <v>111</v>
      </c>
      <c r="BE77" s="432">
        <v>100</v>
      </c>
      <c r="BF77" s="433">
        <v>94</v>
      </c>
      <c r="BG77" s="434">
        <v>116</v>
      </c>
      <c r="BH77" s="432">
        <v>108</v>
      </c>
      <c r="BI77" s="433">
        <v>100</v>
      </c>
      <c r="BJ77" s="434">
        <v>118</v>
      </c>
    </row>
    <row r="78" spans="1:62" s="424" customFormat="1" ht="15.75" customHeight="1" x14ac:dyDescent="0.3">
      <c r="A78" s="408"/>
      <c r="B78" s="45" t="s">
        <v>123</v>
      </c>
      <c r="C78" s="471"/>
      <c r="D78" s="472"/>
      <c r="E78" s="473"/>
      <c r="F78" s="472"/>
      <c r="G78" s="472"/>
      <c r="H78" s="472"/>
      <c r="I78" s="472"/>
      <c r="J78" s="472"/>
      <c r="K78" s="474"/>
      <c r="L78" s="474"/>
      <c r="M78" s="475"/>
      <c r="N78" s="475"/>
      <c r="O78" s="474"/>
      <c r="P78" s="476"/>
      <c r="Q78" s="475"/>
      <c r="R78" s="474"/>
      <c r="S78" s="476"/>
      <c r="T78" s="475"/>
      <c r="U78" s="474"/>
      <c r="V78" s="476"/>
      <c r="W78" s="475"/>
      <c r="X78" s="477"/>
      <c r="Y78" s="477"/>
      <c r="Z78" s="478"/>
      <c r="AA78" s="479"/>
      <c r="AB78" s="477"/>
      <c r="AC78" s="478"/>
      <c r="AD78" s="479"/>
      <c r="AE78" s="477"/>
      <c r="AF78" s="478"/>
      <c r="AG78" s="479"/>
      <c r="AH78" s="477"/>
      <c r="AI78" s="478"/>
      <c r="AJ78" s="479"/>
      <c r="AK78" s="477"/>
      <c r="AL78" s="478"/>
      <c r="AM78" s="479"/>
      <c r="AN78" s="477"/>
      <c r="AO78" s="478"/>
      <c r="AP78" s="479"/>
      <c r="AQ78" s="477"/>
      <c r="AR78" s="478"/>
      <c r="AS78" s="479"/>
      <c r="AT78" s="477"/>
      <c r="AU78" s="478"/>
      <c r="AV78" s="479"/>
      <c r="AW78" s="477">
        <v>31</v>
      </c>
      <c r="AX78" s="478">
        <v>48</v>
      </c>
      <c r="AY78" s="479">
        <v>43</v>
      </c>
      <c r="AZ78" s="477">
        <v>39</v>
      </c>
      <c r="BA78" s="478">
        <v>71</v>
      </c>
      <c r="BB78" s="479">
        <v>70</v>
      </c>
      <c r="BC78" s="477">
        <v>67</v>
      </c>
      <c r="BD78" s="478">
        <v>108</v>
      </c>
      <c r="BE78" s="479">
        <v>100</v>
      </c>
      <c r="BF78" s="477">
        <v>98</v>
      </c>
      <c r="BG78" s="478">
        <v>132</v>
      </c>
      <c r="BH78" s="479">
        <v>124</v>
      </c>
      <c r="BI78" s="477">
        <v>117</v>
      </c>
      <c r="BJ78" s="478">
        <v>137</v>
      </c>
    </row>
    <row r="79" spans="1:62" s="424" customFormat="1" ht="15.75" customHeight="1" x14ac:dyDescent="0.3">
      <c r="A79" s="408"/>
      <c r="B79" s="436" t="s">
        <v>64</v>
      </c>
      <c r="C79" s="437"/>
      <c r="D79" s="438"/>
      <c r="E79" s="438"/>
      <c r="F79" s="438"/>
      <c r="G79" s="438"/>
      <c r="H79" s="438"/>
      <c r="I79" s="438"/>
      <c r="J79" s="438"/>
      <c r="K79" s="438"/>
      <c r="L79" s="438"/>
      <c r="M79" s="438"/>
      <c r="N79" s="438"/>
      <c r="O79" s="438"/>
      <c r="P79" s="438"/>
      <c r="Q79" s="438"/>
      <c r="R79" s="438"/>
      <c r="S79" s="438"/>
      <c r="T79" s="438"/>
      <c r="U79" s="438"/>
      <c r="V79" s="438"/>
      <c r="W79" s="438"/>
      <c r="X79" s="438"/>
      <c r="Y79" s="438"/>
      <c r="Z79" s="439"/>
      <c r="AA79" s="437"/>
      <c r="AB79" s="438">
        <f t="shared" ref="AB79:AU79" si="40">SUM(AB76:AB77)</f>
        <v>29</v>
      </c>
      <c r="AC79" s="439">
        <f t="shared" si="40"/>
        <v>51</v>
      </c>
      <c r="AD79" s="437">
        <f t="shared" si="40"/>
        <v>45</v>
      </c>
      <c r="AE79" s="438">
        <f t="shared" si="40"/>
        <v>41</v>
      </c>
      <c r="AF79" s="439">
        <f t="shared" si="40"/>
        <v>76</v>
      </c>
      <c r="AG79" s="437">
        <f>SUM(AG76:AG77)</f>
        <v>69</v>
      </c>
      <c r="AH79" s="438">
        <f t="shared" si="40"/>
        <v>90</v>
      </c>
      <c r="AI79" s="439">
        <f t="shared" si="40"/>
        <v>132</v>
      </c>
      <c r="AJ79" s="437">
        <f t="shared" si="40"/>
        <v>128</v>
      </c>
      <c r="AK79" s="438">
        <f t="shared" si="40"/>
        <v>119</v>
      </c>
      <c r="AL79" s="439">
        <f t="shared" si="40"/>
        <v>163</v>
      </c>
      <c r="AM79" s="437">
        <f t="shared" si="40"/>
        <v>154</v>
      </c>
      <c r="AN79" s="438">
        <f t="shared" si="40"/>
        <v>142</v>
      </c>
      <c r="AO79" s="439">
        <f t="shared" si="40"/>
        <v>174</v>
      </c>
      <c r="AP79" s="437">
        <f t="shared" si="40"/>
        <v>155</v>
      </c>
      <c r="AQ79" s="438">
        <f t="shared" si="40"/>
        <v>187</v>
      </c>
      <c r="AR79" s="439">
        <f t="shared" si="40"/>
        <v>217</v>
      </c>
      <c r="AS79" s="437">
        <f t="shared" si="40"/>
        <v>202</v>
      </c>
      <c r="AT79" s="438">
        <f t="shared" si="40"/>
        <v>216</v>
      </c>
      <c r="AU79" s="439">
        <f t="shared" si="40"/>
        <v>248</v>
      </c>
      <c r="AV79" s="437">
        <v>231</v>
      </c>
      <c r="AW79" s="438">
        <v>257</v>
      </c>
      <c r="AX79" s="439">
        <f t="shared" ref="AX79:BC79" si="41">SUM(AX76:AX78)</f>
        <v>312</v>
      </c>
      <c r="AY79" s="437">
        <f t="shared" si="41"/>
        <v>283</v>
      </c>
      <c r="AZ79" s="438">
        <f t="shared" si="41"/>
        <v>290</v>
      </c>
      <c r="BA79" s="439">
        <f t="shared" si="41"/>
        <v>365</v>
      </c>
      <c r="BB79" s="437">
        <f t="shared" si="41"/>
        <v>359</v>
      </c>
      <c r="BC79" s="438">
        <f t="shared" si="41"/>
        <v>366</v>
      </c>
      <c r="BD79" s="439">
        <f t="shared" ref="BD79:BG79" si="42">SUM(BD76:BD78)</f>
        <v>419</v>
      </c>
      <c r="BE79" s="437">
        <f t="shared" si="42"/>
        <v>388</v>
      </c>
      <c r="BF79" s="438">
        <f t="shared" si="42"/>
        <v>391</v>
      </c>
      <c r="BG79" s="439">
        <f t="shared" si="42"/>
        <v>449</v>
      </c>
      <c r="BH79" s="437">
        <f>SUM(BH76:BH78)</f>
        <v>421</v>
      </c>
      <c r="BI79" s="438">
        <f>SUM(BI76:BI78)</f>
        <v>413</v>
      </c>
      <c r="BJ79" s="439">
        <f>SUM(BJ76:BJ78)</f>
        <v>438</v>
      </c>
    </row>
    <row r="80" spans="1:62" s="424" customFormat="1" ht="15.75" customHeight="1" x14ac:dyDescent="0.3">
      <c r="A80" s="408"/>
      <c r="B80" s="39" t="s">
        <v>124</v>
      </c>
      <c r="C80" s="40"/>
      <c r="D80" s="281"/>
      <c r="E80" s="332"/>
      <c r="F80" s="280"/>
      <c r="G80" s="281"/>
      <c r="H80" s="332"/>
      <c r="I80" s="40"/>
      <c r="J80" s="41"/>
      <c r="K80" s="332"/>
      <c r="L80" s="40"/>
      <c r="M80" s="41"/>
      <c r="N80" s="332"/>
      <c r="O80" s="40"/>
      <c r="P80" s="41"/>
      <c r="Q80" s="332"/>
      <c r="R80" s="40"/>
      <c r="S80" s="41"/>
      <c r="T80" s="332"/>
      <c r="U80" s="40"/>
      <c r="V80" s="41"/>
      <c r="W80" s="332"/>
      <c r="X80" s="40"/>
      <c r="Y80" s="41"/>
      <c r="Z80" s="332"/>
      <c r="AA80" s="435"/>
      <c r="AB80" s="41">
        <v>30</v>
      </c>
      <c r="AC80" s="332">
        <v>53</v>
      </c>
      <c r="AD80" s="435">
        <v>46</v>
      </c>
      <c r="AE80" s="41">
        <v>39</v>
      </c>
      <c r="AF80" s="332">
        <v>66</v>
      </c>
      <c r="AG80" s="435">
        <v>59</v>
      </c>
      <c r="AH80" s="41">
        <v>76</v>
      </c>
      <c r="AI80" s="332">
        <v>110</v>
      </c>
      <c r="AJ80" s="435">
        <v>98</v>
      </c>
      <c r="AK80" s="41">
        <v>125</v>
      </c>
      <c r="AL80" s="332">
        <v>135</v>
      </c>
      <c r="AM80" s="435">
        <v>127</v>
      </c>
      <c r="AN80" s="41">
        <v>154</v>
      </c>
      <c r="AO80" s="332">
        <v>175</v>
      </c>
      <c r="AP80" s="435">
        <v>166</v>
      </c>
      <c r="AQ80" s="41">
        <v>186</v>
      </c>
      <c r="AR80" s="332">
        <v>220</v>
      </c>
      <c r="AS80" s="435">
        <v>195</v>
      </c>
      <c r="AT80" s="41">
        <v>220</v>
      </c>
      <c r="AU80" s="332">
        <v>222</v>
      </c>
      <c r="AV80" s="435">
        <v>207</v>
      </c>
      <c r="AW80" s="41">
        <v>193</v>
      </c>
      <c r="AX80" s="332">
        <v>221</v>
      </c>
      <c r="AY80" s="435">
        <v>198</v>
      </c>
      <c r="AZ80" s="41">
        <v>196</v>
      </c>
      <c r="BA80" s="332">
        <v>224</v>
      </c>
      <c r="BB80" s="435">
        <v>218</v>
      </c>
      <c r="BC80" s="41">
        <v>176</v>
      </c>
      <c r="BD80" s="332">
        <v>228</v>
      </c>
      <c r="BE80" s="435">
        <v>213</v>
      </c>
      <c r="BF80" s="41">
        <v>196</v>
      </c>
      <c r="BG80" s="332">
        <v>202</v>
      </c>
      <c r="BH80" s="435">
        <v>216</v>
      </c>
      <c r="BI80" s="41">
        <v>198</v>
      </c>
      <c r="BJ80" s="332">
        <v>212</v>
      </c>
    </row>
    <row r="81" spans="1:62" s="424" customFormat="1" ht="15.75" customHeight="1" x14ac:dyDescent="0.3">
      <c r="A81" s="408"/>
      <c r="B81" s="45" t="s">
        <v>125</v>
      </c>
      <c r="C81" s="46"/>
      <c r="D81" s="282"/>
      <c r="E81" s="335"/>
      <c r="F81" s="283"/>
      <c r="G81" s="282"/>
      <c r="H81" s="335"/>
      <c r="I81" s="46"/>
      <c r="J81" s="50"/>
      <c r="K81" s="335"/>
      <c r="L81" s="46"/>
      <c r="M81" s="50"/>
      <c r="N81" s="335"/>
      <c r="O81" s="46"/>
      <c r="P81" s="50"/>
      <c r="Q81" s="335"/>
      <c r="R81" s="46"/>
      <c r="S81" s="50"/>
      <c r="T81" s="335"/>
      <c r="U81" s="46"/>
      <c r="V81" s="50"/>
      <c r="W81" s="335"/>
      <c r="X81" s="46"/>
      <c r="Y81" s="50"/>
      <c r="Z81" s="335"/>
      <c r="AA81" s="463"/>
      <c r="AB81" s="50"/>
      <c r="AC81" s="335"/>
      <c r="AD81" s="463"/>
      <c r="AE81" s="50"/>
      <c r="AF81" s="335"/>
      <c r="AG81" s="463"/>
      <c r="AH81" s="50"/>
      <c r="AI81" s="335"/>
      <c r="AJ81" s="463"/>
      <c r="AK81" s="50"/>
      <c r="AL81" s="335"/>
      <c r="AM81" s="463"/>
      <c r="AN81" s="50"/>
      <c r="AO81" s="335"/>
      <c r="AP81" s="463"/>
      <c r="AQ81" s="50"/>
      <c r="AR81" s="335"/>
      <c r="AS81" s="463"/>
      <c r="AT81" s="50"/>
      <c r="AU81" s="335">
        <v>31</v>
      </c>
      <c r="AV81" s="463">
        <v>25</v>
      </c>
      <c r="AW81" s="50">
        <v>25</v>
      </c>
      <c r="AX81" s="335">
        <v>63</v>
      </c>
      <c r="AY81" s="463">
        <v>61</v>
      </c>
      <c r="AZ81" s="50">
        <v>53</v>
      </c>
      <c r="BA81" s="335">
        <v>89</v>
      </c>
      <c r="BB81" s="463">
        <v>90</v>
      </c>
      <c r="BC81" s="50">
        <v>71</v>
      </c>
      <c r="BD81" s="335">
        <v>124</v>
      </c>
      <c r="BE81" s="463">
        <v>116</v>
      </c>
      <c r="BF81" s="50">
        <v>117</v>
      </c>
      <c r="BG81" s="335">
        <v>134</v>
      </c>
      <c r="BH81" s="463">
        <v>142</v>
      </c>
      <c r="BI81" s="50">
        <v>137</v>
      </c>
      <c r="BJ81" s="335">
        <v>177</v>
      </c>
    </row>
    <row r="82" spans="1:62" s="424" customFormat="1" ht="15.75" customHeight="1" x14ac:dyDescent="0.3">
      <c r="A82" s="408"/>
      <c r="B82" s="45" t="s">
        <v>126</v>
      </c>
      <c r="C82" s="46"/>
      <c r="D82" s="282"/>
      <c r="E82" s="335"/>
      <c r="F82" s="283"/>
      <c r="G82" s="282"/>
      <c r="H82" s="335"/>
      <c r="I82" s="46"/>
      <c r="J82" s="50"/>
      <c r="K82" s="335"/>
      <c r="L82" s="46"/>
      <c r="M82" s="50"/>
      <c r="N82" s="335"/>
      <c r="O82" s="46"/>
      <c r="P82" s="50"/>
      <c r="Q82" s="335"/>
      <c r="R82" s="46"/>
      <c r="S82" s="50"/>
      <c r="T82" s="335"/>
      <c r="U82" s="46"/>
      <c r="V82" s="50"/>
      <c r="W82" s="335"/>
      <c r="X82" s="46"/>
      <c r="Y82" s="50"/>
      <c r="Z82" s="335"/>
      <c r="AA82" s="463"/>
      <c r="AB82" s="50"/>
      <c r="AC82" s="335"/>
      <c r="AD82" s="463"/>
      <c r="AE82" s="50"/>
      <c r="AF82" s="335"/>
      <c r="AG82" s="463"/>
      <c r="AH82" s="50"/>
      <c r="AI82" s="335"/>
      <c r="AJ82" s="463"/>
      <c r="AK82" s="50"/>
      <c r="AL82" s="335"/>
      <c r="AM82" s="463"/>
      <c r="AN82" s="50"/>
      <c r="AO82" s="335"/>
      <c r="AP82" s="463"/>
      <c r="AQ82" s="50"/>
      <c r="AR82" s="335"/>
      <c r="AS82" s="463"/>
      <c r="AT82" s="50"/>
      <c r="AU82" s="335"/>
      <c r="AV82" s="463"/>
      <c r="AW82" s="50"/>
      <c r="AX82" s="335">
        <v>28</v>
      </c>
      <c r="AY82" s="463">
        <v>30</v>
      </c>
      <c r="AZ82" s="50">
        <v>29</v>
      </c>
      <c r="BA82" s="335">
        <v>67</v>
      </c>
      <c r="BB82" s="463">
        <v>58</v>
      </c>
      <c r="BC82" s="50">
        <v>46</v>
      </c>
      <c r="BD82" s="335">
        <v>98</v>
      </c>
      <c r="BE82" s="463">
        <v>91</v>
      </c>
      <c r="BF82" s="50">
        <v>87</v>
      </c>
      <c r="BG82" s="335">
        <v>110</v>
      </c>
      <c r="BH82" s="463">
        <v>118</v>
      </c>
      <c r="BI82" s="50">
        <v>116</v>
      </c>
      <c r="BJ82" s="335">
        <v>151</v>
      </c>
    </row>
    <row r="83" spans="1:62" s="424" customFormat="1" ht="15.75" customHeight="1" x14ac:dyDescent="0.3">
      <c r="A83" s="408"/>
      <c r="B83" s="436" t="s">
        <v>92</v>
      </c>
      <c r="C83" s="437"/>
      <c r="D83" s="438"/>
      <c r="E83" s="439"/>
      <c r="F83" s="437"/>
      <c r="G83" s="438"/>
      <c r="H83" s="439"/>
      <c r="I83" s="437"/>
      <c r="J83" s="438"/>
      <c r="K83" s="439"/>
      <c r="L83" s="437"/>
      <c r="M83" s="438"/>
      <c r="N83" s="439"/>
      <c r="O83" s="437"/>
      <c r="P83" s="438"/>
      <c r="Q83" s="439"/>
      <c r="R83" s="437"/>
      <c r="S83" s="438"/>
      <c r="T83" s="439"/>
      <c r="U83" s="437"/>
      <c r="V83" s="438"/>
      <c r="W83" s="439"/>
      <c r="X83" s="437"/>
      <c r="Y83" s="438"/>
      <c r="Z83" s="439"/>
      <c r="AA83" s="437"/>
      <c r="AB83" s="438">
        <f>SUM(AB80)</f>
        <v>30</v>
      </c>
      <c r="AC83" s="439">
        <f t="shared" ref="AC83:AO83" si="43">SUM(AC80)</f>
        <v>53</v>
      </c>
      <c r="AD83" s="437">
        <f t="shared" si="43"/>
        <v>46</v>
      </c>
      <c r="AE83" s="438">
        <f t="shared" si="43"/>
        <v>39</v>
      </c>
      <c r="AF83" s="439">
        <f t="shared" si="43"/>
        <v>66</v>
      </c>
      <c r="AG83" s="437">
        <f t="shared" si="43"/>
        <v>59</v>
      </c>
      <c r="AH83" s="438">
        <f t="shared" si="43"/>
        <v>76</v>
      </c>
      <c r="AI83" s="439">
        <f t="shared" si="43"/>
        <v>110</v>
      </c>
      <c r="AJ83" s="437">
        <f t="shared" si="43"/>
        <v>98</v>
      </c>
      <c r="AK83" s="438">
        <f t="shared" si="43"/>
        <v>125</v>
      </c>
      <c r="AL83" s="439">
        <f t="shared" si="43"/>
        <v>135</v>
      </c>
      <c r="AM83" s="437">
        <f t="shared" si="43"/>
        <v>127</v>
      </c>
      <c r="AN83" s="438">
        <f t="shared" si="43"/>
        <v>154</v>
      </c>
      <c r="AO83" s="439">
        <f t="shared" si="43"/>
        <v>175</v>
      </c>
      <c r="AP83" s="437">
        <f>SUM(AP80)</f>
        <v>166</v>
      </c>
      <c r="AQ83" s="438">
        <f>SUM(AQ80)</f>
        <v>186</v>
      </c>
      <c r="AR83" s="439">
        <f>SUM(AR80)</f>
        <v>220</v>
      </c>
      <c r="AS83" s="437">
        <f>SUM(AS80)</f>
        <v>195</v>
      </c>
      <c r="AT83" s="438">
        <f>SUM(AT80)</f>
        <v>220</v>
      </c>
      <c r="AU83" s="439">
        <f>SUM(AU80:AU81)</f>
        <v>253</v>
      </c>
      <c r="AV83" s="437">
        <f>SUM(AV80:AV81)</f>
        <v>232</v>
      </c>
      <c r="AW83" s="438">
        <f>SUM(AW80:AW81)</f>
        <v>218</v>
      </c>
      <c r="AX83" s="439">
        <f t="shared" ref="AX83:BD83" si="44">SUM(AX80:AX82)</f>
        <v>312</v>
      </c>
      <c r="AY83" s="437">
        <f t="shared" si="44"/>
        <v>289</v>
      </c>
      <c r="AZ83" s="438">
        <f t="shared" si="44"/>
        <v>278</v>
      </c>
      <c r="BA83" s="439">
        <f t="shared" si="44"/>
        <v>380</v>
      </c>
      <c r="BB83" s="437">
        <f t="shared" si="44"/>
        <v>366</v>
      </c>
      <c r="BC83" s="438">
        <f t="shared" si="44"/>
        <v>293</v>
      </c>
      <c r="BD83" s="439">
        <f t="shared" si="44"/>
        <v>450</v>
      </c>
      <c r="BE83" s="437">
        <f t="shared" ref="BE83:BG83" si="45">SUM(BE80:BE82)</f>
        <v>420</v>
      </c>
      <c r="BF83" s="438">
        <f t="shared" si="45"/>
        <v>400</v>
      </c>
      <c r="BG83" s="439">
        <f t="shared" si="45"/>
        <v>446</v>
      </c>
      <c r="BH83" s="437">
        <f t="shared" ref="BH83:BJ83" si="46">SUM(BH80:BH82)</f>
        <v>476</v>
      </c>
      <c r="BI83" s="438">
        <f t="shared" si="46"/>
        <v>451</v>
      </c>
      <c r="BJ83" s="439">
        <f t="shared" si="46"/>
        <v>540</v>
      </c>
    </row>
    <row r="84" spans="1:62" s="424" customFormat="1" ht="15.75" customHeight="1" x14ac:dyDescent="0.3">
      <c r="A84" s="408"/>
      <c r="B84" s="480" t="s">
        <v>127</v>
      </c>
      <c r="C84" s="481"/>
      <c r="D84" s="482"/>
      <c r="E84" s="483"/>
      <c r="F84" s="481"/>
      <c r="G84" s="482"/>
      <c r="H84" s="483"/>
      <c r="I84" s="481"/>
      <c r="J84" s="482"/>
      <c r="K84" s="483"/>
      <c r="L84" s="481"/>
      <c r="M84" s="482"/>
      <c r="N84" s="483"/>
      <c r="O84" s="481"/>
      <c r="P84" s="482"/>
      <c r="Q84" s="483"/>
      <c r="R84" s="481"/>
      <c r="S84" s="482"/>
      <c r="T84" s="483"/>
      <c r="U84" s="481"/>
      <c r="V84" s="482"/>
      <c r="W84" s="483"/>
      <c r="X84" s="481"/>
      <c r="Y84" s="482"/>
      <c r="Z84" s="483"/>
      <c r="AA84" s="481"/>
      <c r="AB84" s="482">
        <f>SUM(AB83,AB79,AB75)</f>
        <v>85</v>
      </c>
      <c r="AC84" s="483">
        <f t="shared" ref="AC84:BD84" si="47">SUM(AC83,AC79,AC75)</f>
        <v>161</v>
      </c>
      <c r="AD84" s="481">
        <f t="shared" si="47"/>
        <v>141</v>
      </c>
      <c r="AE84" s="482">
        <f t="shared" si="47"/>
        <v>126</v>
      </c>
      <c r="AF84" s="483">
        <f t="shared" si="47"/>
        <v>220</v>
      </c>
      <c r="AG84" s="481">
        <f t="shared" si="47"/>
        <v>200</v>
      </c>
      <c r="AH84" s="482">
        <f t="shared" si="47"/>
        <v>256</v>
      </c>
      <c r="AI84" s="483">
        <f t="shared" si="47"/>
        <v>348</v>
      </c>
      <c r="AJ84" s="481">
        <f t="shared" si="47"/>
        <v>315</v>
      </c>
      <c r="AK84" s="482">
        <f t="shared" si="47"/>
        <v>344</v>
      </c>
      <c r="AL84" s="483">
        <f t="shared" si="47"/>
        <v>416</v>
      </c>
      <c r="AM84" s="481">
        <f t="shared" si="47"/>
        <v>380</v>
      </c>
      <c r="AN84" s="482">
        <f t="shared" si="47"/>
        <v>409</v>
      </c>
      <c r="AO84" s="483">
        <f t="shared" si="47"/>
        <v>495</v>
      </c>
      <c r="AP84" s="481">
        <f t="shared" si="47"/>
        <v>446</v>
      </c>
      <c r="AQ84" s="482">
        <f t="shared" si="47"/>
        <v>514</v>
      </c>
      <c r="AR84" s="483">
        <f t="shared" si="47"/>
        <v>598</v>
      </c>
      <c r="AS84" s="481">
        <f t="shared" si="47"/>
        <v>547</v>
      </c>
      <c r="AT84" s="482">
        <f t="shared" si="47"/>
        <v>635</v>
      </c>
      <c r="AU84" s="483">
        <f t="shared" si="47"/>
        <v>738</v>
      </c>
      <c r="AV84" s="481">
        <f t="shared" si="47"/>
        <v>683</v>
      </c>
      <c r="AW84" s="482">
        <f t="shared" si="47"/>
        <v>678</v>
      </c>
      <c r="AX84" s="483">
        <f t="shared" si="47"/>
        <v>933</v>
      </c>
      <c r="AY84" s="481">
        <f t="shared" si="47"/>
        <v>851</v>
      </c>
      <c r="AZ84" s="482">
        <f t="shared" si="47"/>
        <v>817</v>
      </c>
      <c r="BA84" s="483">
        <f t="shared" si="47"/>
        <v>1119</v>
      </c>
      <c r="BB84" s="481">
        <f t="shared" si="47"/>
        <v>1074</v>
      </c>
      <c r="BC84" s="482">
        <f t="shared" si="47"/>
        <v>994</v>
      </c>
      <c r="BD84" s="483">
        <f t="shared" si="47"/>
        <v>1311</v>
      </c>
      <c r="BE84" s="481">
        <f t="shared" ref="BE84:BG84" si="48">SUM(BE83,BE79,BE75)</f>
        <v>1216</v>
      </c>
      <c r="BF84" s="482">
        <f t="shared" si="48"/>
        <v>1178</v>
      </c>
      <c r="BG84" s="483">
        <f t="shared" si="48"/>
        <v>1395</v>
      </c>
      <c r="BH84" s="481">
        <f t="shared" ref="BH84:BJ84" si="49">SUM(BH83,BH79,BH75)</f>
        <v>1371</v>
      </c>
      <c r="BI84" s="482">
        <f t="shared" si="49"/>
        <v>1306</v>
      </c>
      <c r="BJ84" s="483">
        <f t="shared" si="49"/>
        <v>1544</v>
      </c>
    </row>
    <row r="85" spans="1:62" s="424" customFormat="1" ht="15" customHeight="1" x14ac:dyDescent="0.3">
      <c r="A85" s="408"/>
      <c r="B85" s="39" t="s">
        <v>60</v>
      </c>
      <c r="C85" s="425">
        <v>585</v>
      </c>
      <c r="D85" s="426">
        <v>598</v>
      </c>
      <c r="E85" s="427">
        <v>605</v>
      </c>
      <c r="F85" s="425">
        <v>597</v>
      </c>
      <c r="G85" s="426">
        <v>630</v>
      </c>
      <c r="H85" s="428">
        <v>623</v>
      </c>
      <c r="I85" s="429">
        <v>644</v>
      </c>
      <c r="J85" s="430">
        <v>692</v>
      </c>
      <c r="K85" s="428">
        <v>723</v>
      </c>
      <c r="L85" s="429">
        <v>669</v>
      </c>
      <c r="M85" s="426">
        <v>712</v>
      </c>
      <c r="N85" s="427">
        <v>715</v>
      </c>
      <c r="O85" s="429">
        <v>673</v>
      </c>
      <c r="P85" s="431">
        <v>749</v>
      </c>
      <c r="Q85" s="427">
        <v>747</v>
      </c>
      <c r="R85" s="429">
        <v>719</v>
      </c>
      <c r="S85" s="431">
        <v>721</v>
      </c>
      <c r="T85" s="427">
        <v>710</v>
      </c>
      <c r="U85" s="429">
        <v>687</v>
      </c>
      <c r="V85" s="431">
        <v>723</v>
      </c>
      <c r="W85" s="427">
        <v>732</v>
      </c>
      <c r="X85" s="432">
        <v>712</v>
      </c>
      <c r="Y85" s="433">
        <v>758</v>
      </c>
      <c r="Z85" s="434">
        <v>772</v>
      </c>
      <c r="AA85" s="432">
        <v>730</v>
      </c>
      <c r="AB85" s="433">
        <v>760</v>
      </c>
      <c r="AC85" s="434">
        <v>770</v>
      </c>
      <c r="AD85" s="432">
        <v>731</v>
      </c>
      <c r="AE85" s="433">
        <v>769</v>
      </c>
      <c r="AF85" s="434">
        <v>777</v>
      </c>
      <c r="AG85" s="432">
        <v>743</v>
      </c>
      <c r="AH85" s="433">
        <v>780</v>
      </c>
      <c r="AI85" s="434">
        <v>763</v>
      </c>
      <c r="AJ85" s="432">
        <v>682</v>
      </c>
      <c r="AK85" s="433">
        <v>783</v>
      </c>
      <c r="AL85" s="434">
        <v>782</v>
      </c>
      <c r="AM85" s="432">
        <v>744</v>
      </c>
      <c r="AN85" s="433">
        <v>761</v>
      </c>
      <c r="AO85" s="434">
        <v>805</v>
      </c>
      <c r="AP85" s="432">
        <v>763</v>
      </c>
      <c r="AQ85" s="433">
        <v>799</v>
      </c>
      <c r="AR85" s="434">
        <v>803</v>
      </c>
      <c r="AS85" s="432">
        <v>773</v>
      </c>
      <c r="AT85" s="433">
        <v>805</v>
      </c>
      <c r="AU85" s="434">
        <v>814</v>
      </c>
      <c r="AV85" s="432">
        <v>790</v>
      </c>
      <c r="AW85" s="433">
        <v>810</v>
      </c>
      <c r="AX85" s="434">
        <v>828</v>
      </c>
      <c r="AY85" s="432">
        <v>781</v>
      </c>
      <c r="AZ85" s="433">
        <v>786</v>
      </c>
      <c r="BA85" s="434">
        <v>796</v>
      </c>
      <c r="BB85" s="432">
        <v>794</v>
      </c>
      <c r="BC85" s="433">
        <v>824</v>
      </c>
      <c r="BD85" s="434">
        <v>824</v>
      </c>
      <c r="BE85" s="432">
        <v>822</v>
      </c>
      <c r="BF85" s="433">
        <v>857</v>
      </c>
      <c r="BG85" s="434">
        <v>812</v>
      </c>
      <c r="BH85" s="432">
        <v>801</v>
      </c>
      <c r="BI85" s="433">
        <v>848</v>
      </c>
      <c r="BJ85" s="434">
        <v>842</v>
      </c>
    </row>
    <row r="86" spans="1:62" s="424" customFormat="1" ht="15" customHeight="1" x14ac:dyDescent="0.3">
      <c r="A86" s="408"/>
      <c r="B86" s="39" t="s">
        <v>94</v>
      </c>
      <c r="C86" s="425">
        <v>746</v>
      </c>
      <c r="D86" s="426">
        <v>774</v>
      </c>
      <c r="E86" s="427">
        <v>759</v>
      </c>
      <c r="F86" s="425">
        <v>725</v>
      </c>
      <c r="G86" s="426">
        <v>820</v>
      </c>
      <c r="H86" s="428">
        <v>850</v>
      </c>
      <c r="I86" s="429">
        <v>824</v>
      </c>
      <c r="J86" s="430">
        <v>896</v>
      </c>
      <c r="K86" s="428">
        <v>937</v>
      </c>
      <c r="L86" s="429">
        <v>896</v>
      </c>
      <c r="M86" s="426">
        <v>924</v>
      </c>
      <c r="N86" s="427">
        <v>954</v>
      </c>
      <c r="O86" s="429">
        <v>920</v>
      </c>
      <c r="P86" s="431">
        <v>945</v>
      </c>
      <c r="Q86" s="427">
        <v>927</v>
      </c>
      <c r="R86" s="429">
        <v>893</v>
      </c>
      <c r="S86" s="431">
        <v>884</v>
      </c>
      <c r="T86" s="427">
        <v>881</v>
      </c>
      <c r="U86" s="429">
        <v>839</v>
      </c>
      <c r="V86" s="431">
        <v>887</v>
      </c>
      <c r="W86" s="427">
        <v>859</v>
      </c>
      <c r="X86" s="432">
        <v>829</v>
      </c>
      <c r="Y86" s="433">
        <v>853</v>
      </c>
      <c r="Z86" s="434">
        <v>876</v>
      </c>
      <c r="AA86" s="432">
        <v>828</v>
      </c>
      <c r="AB86" s="433">
        <v>856</v>
      </c>
      <c r="AC86" s="434">
        <v>837</v>
      </c>
      <c r="AD86" s="432">
        <v>794</v>
      </c>
      <c r="AE86" s="433">
        <v>810</v>
      </c>
      <c r="AF86" s="434">
        <v>851</v>
      </c>
      <c r="AG86" s="432">
        <v>817</v>
      </c>
      <c r="AH86" s="433">
        <v>849</v>
      </c>
      <c r="AI86" s="434">
        <v>837</v>
      </c>
      <c r="AJ86" s="432">
        <v>776</v>
      </c>
      <c r="AK86" s="433">
        <v>827</v>
      </c>
      <c r="AL86" s="434">
        <v>851</v>
      </c>
      <c r="AM86" s="432">
        <v>796</v>
      </c>
      <c r="AN86" s="433">
        <v>848</v>
      </c>
      <c r="AO86" s="434">
        <v>857</v>
      </c>
      <c r="AP86" s="432">
        <v>804</v>
      </c>
      <c r="AQ86" s="433">
        <v>818</v>
      </c>
      <c r="AR86" s="434">
        <v>834</v>
      </c>
      <c r="AS86" s="432">
        <v>809</v>
      </c>
      <c r="AT86" s="433">
        <v>844</v>
      </c>
      <c r="AU86" s="434">
        <v>855</v>
      </c>
      <c r="AV86" s="432">
        <v>818</v>
      </c>
      <c r="AW86" s="433">
        <v>847</v>
      </c>
      <c r="AX86" s="434">
        <v>891</v>
      </c>
      <c r="AY86" s="432">
        <v>861</v>
      </c>
      <c r="AZ86" s="433">
        <v>874</v>
      </c>
      <c r="BA86" s="434">
        <v>899</v>
      </c>
      <c r="BB86" s="432">
        <v>891</v>
      </c>
      <c r="BC86" s="433">
        <v>951</v>
      </c>
      <c r="BD86" s="434">
        <v>943</v>
      </c>
      <c r="BE86" s="432">
        <v>906</v>
      </c>
      <c r="BF86" s="433">
        <v>941</v>
      </c>
      <c r="BG86" s="434">
        <v>921</v>
      </c>
      <c r="BH86" s="432">
        <v>917</v>
      </c>
      <c r="BI86" s="433">
        <v>928</v>
      </c>
      <c r="BJ86" s="434">
        <v>922</v>
      </c>
    </row>
    <row r="87" spans="1:62" s="424" customFormat="1" ht="15" customHeight="1" x14ac:dyDescent="0.3">
      <c r="A87" s="408"/>
      <c r="B87" s="39" t="s">
        <v>62</v>
      </c>
      <c r="C87" s="425">
        <v>505</v>
      </c>
      <c r="D87" s="426">
        <v>507</v>
      </c>
      <c r="E87" s="427">
        <v>498</v>
      </c>
      <c r="F87" s="425">
        <v>466</v>
      </c>
      <c r="G87" s="426">
        <v>529</v>
      </c>
      <c r="H87" s="428">
        <v>559</v>
      </c>
      <c r="I87" s="429">
        <v>518</v>
      </c>
      <c r="J87" s="430">
        <v>563</v>
      </c>
      <c r="K87" s="428">
        <v>605</v>
      </c>
      <c r="L87" s="429">
        <v>515</v>
      </c>
      <c r="M87" s="426">
        <v>592</v>
      </c>
      <c r="N87" s="427">
        <v>635</v>
      </c>
      <c r="O87" s="429">
        <v>592</v>
      </c>
      <c r="P87" s="431">
        <v>619</v>
      </c>
      <c r="Q87" s="427">
        <v>699</v>
      </c>
      <c r="R87" s="429">
        <v>623</v>
      </c>
      <c r="S87" s="431">
        <v>702</v>
      </c>
      <c r="T87" s="427">
        <v>722</v>
      </c>
      <c r="U87" s="429">
        <v>664</v>
      </c>
      <c r="V87" s="431">
        <v>716</v>
      </c>
      <c r="W87" s="427">
        <v>733</v>
      </c>
      <c r="X87" s="432">
        <v>686</v>
      </c>
      <c r="Y87" s="433">
        <v>687</v>
      </c>
      <c r="Z87" s="434">
        <v>699</v>
      </c>
      <c r="AA87" s="432">
        <v>621</v>
      </c>
      <c r="AB87" s="433">
        <v>645</v>
      </c>
      <c r="AC87" s="434">
        <v>708</v>
      </c>
      <c r="AD87" s="432">
        <v>636</v>
      </c>
      <c r="AE87" s="433">
        <v>668</v>
      </c>
      <c r="AF87" s="434">
        <v>742</v>
      </c>
      <c r="AG87" s="432">
        <v>668</v>
      </c>
      <c r="AH87" s="433">
        <v>750</v>
      </c>
      <c r="AI87" s="434">
        <v>776</v>
      </c>
      <c r="AJ87" s="432">
        <v>665</v>
      </c>
      <c r="AK87" s="433">
        <v>756</v>
      </c>
      <c r="AL87" s="434">
        <v>772</v>
      </c>
      <c r="AM87" s="432">
        <v>707</v>
      </c>
      <c r="AN87" s="433">
        <v>742</v>
      </c>
      <c r="AO87" s="434">
        <v>770</v>
      </c>
      <c r="AP87" s="432">
        <v>706</v>
      </c>
      <c r="AQ87" s="433">
        <v>734</v>
      </c>
      <c r="AR87" s="434">
        <v>772</v>
      </c>
      <c r="AS87" s="432">
        <v>717</v>
      </c>
      <c r="AT87" s="433">
        <v>750</v>
      </c>
      <c r="AU87" s="434">
        <v>832</v>
      </c>
      <c r="AV87" s="432">
        <v>754</v>
      </c>
      <c r="AW87" s="433">
        <v>821</v>
      </c>
      <c r="AX87" s="434">
        <v>838</v>
      </c>
      <c r="AY87" s="432">
        <v>755</v>
      </c>
      <c r="AZ87" s="433">
        <v>798</v>
      </c>
      <c r="BA87" s="434">
        <v>830</v>
      </c>
      <c r="BB87" s="432">
        <v>816</v>
      </c>
      <c r="BC87" s="433">
        <v>842</v>
      </c>
      <c r="BD87" s="434">
        <v>830</v>
      </c>
      <c r="BE87" s="432">
        <v>798</v>
      </c>
      <c r="BF87" s="433">
        <v>851</v>
      </c>
      <c r="BG87" s="434">
        <v>850</v>
      </c>
      <c r="BH87" s="432">
        <v>837</v>
      </c>
      <c r="BI87" s="433">
        <v>807</v>
      </c>
      <c r="BJ87" s="434">
        <v>819</v>
      </c>
    </row>
    <row r="88" spans="1:62" s="424" customFormat="1" ht="15" customHeight="1" x14ac:dyDescent="0.3">
      <c r="A88" s="408"/>
      <c r="B88" s="39" t="s">
        <v>95</v>
      </c>
      <c r="C88" s="425">
        <v>1364</v>
      </c>
      <c r="D88" s="426">
        <v>1364</v>
      </c>
      <c r="E88" s="427">
        <v>1405</v>
      </c>
      <c r="F88" s="425">
        <v>1350</v>
      </c>
      <c r="G88" s="426">
        <v>1429</v>
      </c>
      <c r="H88" s="428">
        <v>1506</v>
      </c>
      <c r="I88" s="429">
        <v>1447</v>
      </c>
      <c r="J88" s="430">
        <v>1556</v>
      </c>
      <c r="K88" s="428">
        <v>1630</v>
      </c>
      <c r="L88" s="429">
        <v>1585</v>
      </c>
      <c r="M88" s="426">
        <v>1589</v>
      </c>
      <c r="N88" s="427">
        <v>1609</v>
      </c>
      <c r="O88" s="429">
        <v>1556</v>
      </c>
      <c r="P88" s="431">
        <v>1592</v>
      </c>
      <c r="Q88" s="427">
        <v>1607</v>
      </c>
      <c r="R88" s="429">
        <v>1544</v>
      </c>
      <c r="S88" s="431">
        <v>1499</v>
      </c>
      <c r="T88" s="427">
        <v>1489</v>
      </c>
      <c r="U88" s="429">
        <v>1464</v>
      </c>
      <c r="V88" s="431">
        <v>1454</v>
      </c>
      <c r="W88" s="427">
        <v>1403</v>
      </c>
      <c r="X88" s="432">
        <v>1371</v>
      </c>
      <c r="Y88" s="433">
        <v>1420</v>
      </c>
      <c r="Z88" s="434">
        <v>1426</v>
      </c>
      <c r="AA88" s="432">
        <v>1363</v>
      </c>
      <c r="AB88" s="433">
        <v>1376</v>
      </c>
      <c r="AC88" s="434">
        <v>1427</v>
      </c>
      <c r="AD88" s="432">
        <v>1363</v>
      </c>
      <c r="AE88" s="433">
        <v>1423</v>
      </c>
      <c r="AF88" s="434">
        <v>1472</v>
      </c>
      <c r="AG88" s="432">
        <v>1424</v>
      </c>
      <c r="AH88" s="433">
        <v>1421</v>
      </c>
      <c r="AI88" s="434">
        <v>1408</v>
      </c>
      <c r="AJ88" s="432">
        <v>1303</v>
      </c>
      <c r="AK88" s="433">
        <v>1368</v>
      </c>
      <c r="AL88" s="434">
        <v>1375</v>
      </c>
      <c r="AM88" s="432">
        <v>1325</v>
      </c>
      <c r="AN88" s="433">
        <v>1327</v>
      </c>
      <c r="AO88" s="434">
        <v>1330</v>
      </c>
      <c r="AP88" s="432">
        <v>1288</v>
      </c>
      <c r="AQ88" s="433">
        <v>1268</v>
      </c>
      <c r="AR88" s="434">
        <v>1273</v>
      </c>
      <c r="AS88" s="432">
        <v>1238</v>
      </c>
      <c r="AT88" s="433">
        <v>1304</v>
      </c>
      <c r="AU88" s="434">
        <v>1301</v>
      </c>
      <c r="AV88" s="432">
        <v>1236</v>
      </c>
      <c r="AW88" s="433">
        <v>1272</v>
      </c>
      <c r="AX88" s="434">
        <v>1314</v>
      </c>
      <c r="AY88" s="432">
        <v>1280</v>
      </c>
      <c r="AZ88" s="433">
        <v>1313</v>
      </c>
      <c r="BA88" s="434">
        <v>1315</v>
      </c>
      <c r="BB88" s="432">
        <v>1314</v>
      </c>
      <c r="BC88" s="433">
        <v>1325</v>
      </c>
      <c r="BD88" s="434">
        <v>1314</v>
      </c>
      <c r="BE88" s="432">
        <v>1276</v>
      </c>
      <c r="BF88" s="433">
        <v>1307</v>
      </c>
      <c r="BG88" s="434">
        <v>1242</v>
      </c>
      <c r="BH88" s="432">
        <v>1216</v>
      </c>
      <c r="BI88" s="433">
        <v>1255</v>
      </c>
      <c r="BJ88" s="434">
        <v>1267</v>
      </c>
    </row>
    <row r="89" spans="1:62" s="424" customFormat="1" ht="15" customHeight="1" x14ac:dyDescent="0.3">
      <c r="A89" s="408"/>
      <c r="B89" s="39" t="s">
        <v>63</v>
      </c>
      <c r="C89" s="425">
        <v>650</v>
      </c>
      <c r="D89" s="426">
        <v>663</v>
      </c>
      <c r="E89" s="427">
        <v>704</v>
      </c>
      <c r="F89" s="425">
        <v>687</v>
      </c>
      <c r="G89" s="426">
        <v>732</v>
      </c>
      <c r="H89" s="428">
        <v>780</v>
      </c>
      <c r="I89" s="429">
        <v>727</v>
      </c>
      <c r="J89" s="430">
        <v>727</v>
      </c>
      <c r="K89" s="428">
        <v>747</v>
      </c>
      <c r="L89" s="429">
        <v>724</v>
      </c>
      <c r="M89" s="426">
        <v>735</v>
      </c>
      <c r="N89" s="427">
        <v>740</v>
      </c>
      <c r="O89" s="429">
        <v>686</v>
      </c>
      <c r="P89" s="431">
        <v>745</v>
      </c>
      <c r="Q89" s="427">
        <v>744</v>
      </c>
      <c r="R89" s="429">
        <v>715</v>
      </c>
      <c r="S89" s="431">
        <v>721</v>
      </c>
      <c r="T89" s="427">
        <v>707</v>
      </c>
      <c r="U89" s="429">
        <v>681</v>
      </c>
      <c r="V89" s="431">
        <v>707</v>
      </c>
      <c r="W89" s="427">
        <v>687</v>
      </c>
      <c r="X89" s="432">
        <v>661</v>
      </c>
      <c r="Y89" s="433">
        <v>698</v>
      </c>
      <c r="Z89" s="434">
        <v>698</v>
      </c>
      <c r="AA89" s="432">
        <v>651</v>
      </c>
      <c r="AB89" s="433">
        <v>696</v>
      </c>
      <c r="AC89" s="434">
        <v>724</v>
      </c>
      <c r="AD89" s="432">
        <v>683</v>
      </c>
      <c r="AE89" s="433">
        <v>676</v>
      </c>
      <c r="AF89" s="434">
        <v>729</v>
      </c>
      <c r="AG89" s="432">
        <v>694</v>
      </c>
      <c r="AH89" s="433">
        <v>685</v>
      </c>
      <c r="AI89" s="434">
        <v>703</v>
      </c>
      <c r="AJ89" s="432">
        <v>630</v>
      </c>
      <c r="AK89" s="433">
        <v>693</v>
      </c>
      <c r="AL89" s="434">
        <v>698</v>
      </c>
      <c r="AM89" s="432">
        <v>680</v>
      </c>
      <c r="AN89" s="433">
        <v>676</v>
      </c>
      <c r="AO89" s="434">
        <v>662</v>
      </c>
      <c r="AP89" s="432">
        <v>640</v>
      </c>
      <c r="AQ89" s="433">
        <v>658</v>
      </c>
      <c r="AR89" s="434">
        <v>652</v>
      </c>
      <c r="AS89" s="432">
        <v>620</v>
      </c>
      <c r="AT89" s="433">
        <v>647</v>
      </c>
      <c r="AU89" s="434">
        <v>702</v>
      </c>
      <c r="AV89" s="432">
        <v>638</v>
      </c>
      <c r="AW89" s="433">
        <v>683</v>
      </c>
      <c r="AX89" s="434">
        <v>710</v>
      </c>
      <c r="AY89" s="432">
        <v>680</v>
      </c>
      <c r="AZ89" s="433">
        <v>723</v>
      </c>
      <c r="BA89" s="434">
        <v>733</v>
      </c>
      <c r="BB89" s="432">
        <v>735</v>
      </c>
      <c r="BC89" s="433">
        <v>785</v>
      </c>
      <c r="BD89" s="434">
        <v>769</v>
      </c>
      <c r="BE89" s="432">
        <v>738</v>
      </c>
      <c r="BF89" s="433">
        <v>766</v>
      </c>
      <c r="BG89" s="434">
        <v>723</v>
      </c>
      <c r="BH89" s="432">
        <v>732</v>
      </c>
      <c r="BI89" s="433">
        <v>715</v>
      </c>
      <c r="BJ89" s="434">
        <v>700</v>
      </c>
    </row>
    <row r="90" spans="1:62" s="424" customFormat="1" ht="15" customHeight="1" x14ac:dyDescent="0.3">
      <c r="A90" s="408"/>
      <c r="B90" s="39" t="s">
        <v>96</v>
      </c>
      <c r="C90" s="40">
        <v>190</v>
      </c>
      <c r="D90" s="281">
        <v>194</v>
      </c>
      <c r="E90" s="332">
        <v>202</v>
      </c>
      <c r="F90" s="280">
        <v>195</v>
      </c>
      <c r="G90" s="281">
        <v>219</v>
      </c>
      <c r="H90" s="332">
        <v>232</v>
      </c>
      <c r="I90" s="40">
        <v>221</v>
      </c>
      <c r="J90" s="41">
        <v>236</v>
      </c>
      <c r="K90" s="332">
        <v>225</v>
      </c>
      <c r="L90" s="40">
        <v>217</v>
      </c>
      <c r="M90" s="41">
        <v>232</v>
      </c>
      <c r="N90" s="332">
        <v>262</v>
      </c>
      <c r="O90" s="40">
        <v>255</v>
      </c>
      <c r="P90" s="41">
        <v>268</v>
      </c>
      <c r="Q90" s="332">
        <v>282</v>
      </c>
      <c r="R90" s="40">
        <v>253</v>
      </c>
      <c r="S90" s="41">
        <v>274</v>
      </c>
      <c r="T90" s="332">
        <v>284</v>
      </c>
      <c r="U90" s="40">
        <v>258</v>
      </c>
      <c r="V90" s="41">
        <v>271</v>
      </c>
      <c r="W90" s="332">
        <v>276</v>
      </c>
      <c r="X90" s="40">
        <v>265</v>
      </c>
      <c r="Y90" s="41">
        <v>278</v>
      </c>
      <c r="Z90" s="332">
        <v>275</v>
      </c>
      <c r="AA90" s="435">
        <v>267</v>
      </c>
      <c r="AB90" s="41">
        <v>265</v>
      </c>
      <c r="AC90" s="332">
        <v>267</v>
      </c>
      <c r="AD90" s="435">
        <v>253</v>
      </c>
      <c r="AE90" s="41">
        <v>265</v>
      </c>
      <c r="AF90" s="332">
        <v>270</v>
      </c>
      <c r="AG90" s="435">
        <v>265</v>
      </c>
      <c r="AH90" s="41">
        <v>268</v>
      </c>
      <c r="AI90" s="332">
        <v>266</v>
      </c>
      <c r="AJ90" s="435">
        <v>247</v>
      </c>
      <c r="AK90" s="41">
        <v>276</v>
      </c>
      <c r="AL90" s="332">
        <v>304</v>
      </c>
      <c r="AM90" s="435">
        <v>293</v>
      </c>
      <c r="AN90" s="41">
        <v>324</v>
      </c>
      <c r="AO90" s="332">
        <v>357</v>
      </c>
      <c r="AP90" s="435">
        <v>334</v>
      </c>
      <c r="AQ90" s="41">
        <v>360</v>
      </c>
      <c r="AR90" s="332">
        <v>395</v>
      </c>
      <c r="AS90" s="435">
        <v>374</v>
      </c>
      <c r="AT90" s="41">
        <v>401</v>
      </c>
      <c r="AU90" s="332">
        <v>424</v>
      </c>
      <c r="AV90" s="435">
        <v>407</v>
      </c>
      <c r="AW90" s="41">
        <v>425</v>
      </c>
      <c r="AX90" s="332">
        <v>451</v>
      </c>
      <c r="AY90" s="435">
        <v>445</v>
      </c>
      <c r="AZ90" s="41">
        <v>442</v>
      </c>
      <c r="BA90" s="332">
        <v>459</v>
      </c>
      <c r="BB90" s="435">
        <v>462</v>
      </c>
      <c r="BC90" s="41">
        <v>514</v>
      </c>
      <c r="BD90" s="332">
        <v>498</v>
      </c>
      <c r="BE90" s="435">
        <v>486</v>
      </c>
      <c r="BF90" s="41">
        <v>526</v>
      </c>
      <c r="BG90" s="332">
        <v>492</v>
      </c>
      <c r="BH90" s="435">
        <v>482</v>
      </c>
      <c r="BI90" s="41">
        <v>518</v>
      </c>
      <c r="BJ90" s="332">
        <v>473</v>
      </c>
    </row>
    <row r="91" spans="1:62" s="424" customFormat="1" ht="15" customHeight="1" x14ac:dyDescent="0.3">
      <c r="A91" s="408"/>
      <c r="B91" s="436" t="s">
        <v>64</v>
      </c>
      <c r="C91" s="437">
        <f>SUM(C85:C90)</f>
        <v>4040</v>
      </c>
      <c r="D91" s="438">
        <f t="shared" ref="D91:AU91" si="50">SUM(D85:D90)</f>
        <v>4100</v>
      </c>
      <c r="E91" s="439">
        <f t="shared" si="50"/>
        <v>4173</v>
      </c>
      <c r="F91" s="437">
        <f t="shared" si="50"/>
        <v>4020</v>
      </c>
      <c r="G91" s="438">
        <f t="shared" si="50"/>
        <v>4359</v>
      </c>
      <c r="H91" s="439">
        <f t="shared" si="50"/>
        <v>4550</v>
      </c>
      <c r="I91" s="437">
        <f t="shared" si="50"/>
        <v>4381</v>
      </c>
      <c r="J91" s="438">
        <f t="shared" si="50"/>
        <v>4670</v>
      </c>
      <c r="K91" s="439">
        <f t="shared" si="50"/>
        <v>4867</v>
      </c>
      <c r="L91" s="437">
        <f t="shared" si="50"/>
        <v>4606</v>
      </c>
      <c r="M91" s="438">
        <f t="shared" si="50"/>
        <v>4784</v>
      </c>
      <c r="N91" s="439">
        <f t="shared" si="50"/>
        <v>4915</v>
      </c>
      <c r="O91" s="437">
        <f t="shared" si="50"/>
        <v>4682</v>
      </c>
      <c r="P91" s="438">
        <f t="shared" si="50"/>
        <v>4918</v>
      </c>
      <c r="Q91" s="439">
        <f t="shared" si="50"/>
        <v>5006</v>
      </c>
      <c r="R91" s="437">
        <f t="shared" si="50"/>
        <v>4747</v>
      </c>
      <c r="S91" s="438">
        <f t="shared" si="50"/>
        <v>4801</v>
      </c>
      <c r="T91" s="439">
        <f t="shared" si="50"/>
        <v>4793</v>
      </c>
      <c r="U91" s="437">
        <f t="shared" si="50"/>
        <v>4593</v>
      </c>
      <c r="V91" s="438">
        <f t="shared" si="50"/>
        <v>4758</v>
      </c>
      <c r="W91" s="439">
        <f t="shared" si="50"/>
        <v>4690</v>
      </c>
      <c r="X91" s="437">
        <f t="shared" si="50"/>
        <v>4524</v>
      </c>
      <c r="Y91" s="438">
        <f t="shared" si="50"/>
        <v>4694</v>
      </c>
      <c r="Z91" s="439">
        <f t="shared" si="50"/>
        <v>4746</v>
      </c>
      <c r="AA91" s="437">
        <f t="shared" si="50"/>
        <v>4460</v>
      </c>
      <c r="AB91" s="438">
        <f t="shared" si="50"/>
        <v>4598</v>
      </c>
      <c r="AC91" s="439">
        <f t="shared" si="50"/>
        <v>4733</v>
      </c>
      <c r="AD91" s="437">
        <f t="shared" si="50"/>
        <v>4460</v>
      </c>
      <c r="AE91" s="438">
        <f t="shared" si="50"/>
        <v>4611</v>
      </c>
      <c r="AF91" s="439">
        <f t="shared" si="50"/>
        <v>4841</v>
      </c>
      <c r="AG91" s="437">
        <f t="shared" si="50"/>
        <v>4611</v>
      </c>
      <c r="AH91" s="438">
        <f t="shared" si="50"/>
        <v>4753</v>
      </c>
      <c r="AI91" s="439">
        <f t="shared" si="50"/>
        <v>4753</v>
      </c>
      <c r="AJ91" s="437">
        <f t="shared" si="50"/>
        <v>4303</v>
      </c>
      <c r="AK91" s="438">
        <f t="shared" si="50"/>
        <v>4703</v>
      </c>
      <c r="AL91" s="439">
        <f t="shared" si="50"/>
        <v>4782</v>
      </c>
      <c r="AM91" s="437">
        <f t="shared" si="50"/>
        <v>4545</v>
      </c>
      <c r="AN91" s="438">
        <f t="shared" si="50"/>
        <v>4678</v>
      </c>
      <c r="AO91" s="439">
        <f t="shared" si="50"/>
        <v>4781</v>
      </c>
      <c r="AP91" s="437">
        <f t="shared" si="50"/>
        <v>4535</v>
      </c>
      <c r="AQ91" s="438">
        <f t="shared" si="50"/>
        <v>4637</v>
      </c>
      <c r="AR91" s="439">
        <f t="shared" si="50"/>
        <v>4729</v>
      </c>
      <c r="AS91" s="437">
        <f t="shared" si="50"/>
        <v>4531</v>
      </c>
      <c r="AT91" s="438">
        <f t="shared" si="50"/>
        <v>4751</v>
      </c>
      <c r="AU91" s="439">
        <f t="shared" si="50"/>
        <v>4928</v>
      </c>
      <c r="AV91" s="437">
        <v>4643</v>
      </c>
      <c r="AW91" s="438">
        <v>4858</v>
      </c>
      <c r="AX91" s="439">
        <f t="shared" ref="AX91:BC91" si="51">SUM(AX85:AX90)</f>
        <v>5032</v>
      </c>
      <c r="AY91" s="437">
        <f t="shared" si="51"/>
        <v>4802</v>
      </c>
      <c r="AZ91" s="438">
        <f t="shared" si="51"/>
        <v>4936</v>
      </c>
      <c r="BA91" s="439">
        <f t="shared" si="51"/>
        <v>5032</v>
      </c>
      <c r="BB91" s="437">
        <f t="shared" si="51"/>
        <v>5012</v>
      </c>
      <c r="BC91" s="438">
        <f t="shared" si="51"/>
        <v>5241</v>
      </c>
      <c r="BD91" s="439">
        <f t="shared" ref="BD91:BG91" si="52">SUM(BD85:BD90)</f>
        <v>5178</v>
      </c>
      <c r="BE91" s="437">
        <f t="shared" si="52"/>
        <v>5026</v>
      </c>
      <c r="BF91" s="438">
        <f t="shared" si="52"/>
        <v>5248</v>
      </c>
      <c r="BG91" s="439">
        <f t="shared" si="52"/>
        <v>5040</v>
      </c>
      <c r="BH91" s="437">
        <f>SUM(BH85:BH90)</f>
        <v>4985</v>
      </c>
      <c r="BI91" s="438">
        <f>SUM(BI85:BI90)</f>
        <v>5071</v>
      </c>
      <c r="BJ91" s="439">
        <f>SUM(BJ85:BJ90)</f>
        <v>5023</v>
      </c>
    </row>
    <row r="92" spans="1:62" s="424" customFormat="1" ht="15" customHeight="1" x14ac:dyDescent="0.3">
      <c r="A92" s="408"/>
      <c r="B92" s="39" t="s">
        <v>86</v>
      </c>
      <c r="C92" s="425">
        <v>542</v>
      </c>
      <c r="D92" s="426">
        <v>576</v>
      </c>
      <c r="E92" s="427">
        <v>596</v>
      </c>
      <c r="F92" s="425">
        <v>544</v>
      </c>
      <c r="G92" s="426">
        <v>571</v>
      </c>
      <c r="H92" s="428">
        <v>630</v>
      </c>
      <c r="I92" s="429">
        <v>558</v>
      </c>
      <c r="J92" s="430">
        <v>645</v>
      </c>
      <c r="K92" s="428">
        <v>733</v>
      </c>
      <c r="L92" s="429">
        <v>670</v>
      </c>
      <c r="M92" s="426">
        <v>727</v>
      </c>
      <c r="N92" s="427">
        <v>793</v>
      </c>
      <c r="O92" s="429">
        <v>713</v>
      </c>
      <c r="P92" s="431">
        <v>768</v>
      </c>
      <c r="Q92" s="427">
        <v>796</v>
      </c>
      <c r="R92" s="429">
        <v>741</v>
      </c>
      <c r="S92" s="431">
        <v>779</v>
      </c>
      <c r="T92" s="427">
        <v>805</v>
      </c>
      <c r="U92" s="429">
        <v>735</v>
      </c>
      <c r="V92" s="431">
        <v>808</v>
      </c>
      <c r="W92" s="427">
        <v>781</v>
      </c>
      <c r="X92" s="432">
        <v>706</v>
      </c>
      <c r="Y92" s="433">
        <v>743</v>
      </c>
      <c r="Z92" s="434">
        <v>771</v>
      </c>
      <c r="AA92" s="432">
        <v>698</v>
      </c>
      <c r="AB92" s="433">
        <v>725</v>
      </c>
      <c r="AC92" s="434">
        <v>751</v>
      </c>
      <c r="AD92" s="432">
        <v>682</v>
      </c>
      <c r="AE92" s="433">
        <v>725</v>
      </c>
      <c r="AF92" s="434">
        <v>752</v>
      </c>
      <c r="AG92" s="432">
        <v>692</v>
      </c>
      <c r="AH92" s="433">
        <v>728</v>
      </c>
      <c r="AI92" s="434">
        <v>769</v>
      </c>
      <c r="AJ92" s="432">
        <v>655</v>
      </c>
      <c r="AK92" s="433">
        <v>744</v>
      </c>
      <c r="AL92" s="434">
        <v>782</v>
      </c>
      <c r="AM92" s="432">
        <v>693</v>
      </c>
      <c r="AN92" s="433">
        <v>748</v>
      </c>
      <c r="AO92" s="434">
        <v>785</v>
      </c>
      <c r="AP92" s="432">
        <v>711</v>
      </c>
      <c r="AQ92" s="433">
        <v>760</v>
      </c>
      <c r="AR92" s="434">
        <v>807</v>
      </c>
      <c r="AS92" s="432">
        <v>739</v>
      </c>
      <c r="AT92" s="433">
        <v>796</v>
      </c>
      <c r="AU92" s="434">
        <v>834</v>
      </c>
      <c r="AV92" s="432">
        <v>743</v>
      </c>
      <c r="AW92" s="433">
        <v>761</v>
      </c>
      <c r="AX92" s="434">
        <v>830</v>
      </c>
      <c r="AY92" s="432">
        <v>748</v>
      </c>
      <c r="AZ92" s="433">
        <v>802</v>
      </c>
      <c r="BA92" s="434">
        <v>832</v>
      </c>
      <c r="BB92" s="432">
        <v>801</v>
      </c>
      <c r="BC92" s="433">
        <v>853</v>
      </c>
      <c r="BD92" s="434">
        <v>863</v>
      </c>
      <c r="BE92" s="432">
        <v>800</v>
      </c>
      <c r="BF92" s="433">
        <v>860</v>
      </c>
      <c r="BG92" s="434">
        <v>885</v>
      </c>
      <c r="BH92" s="432">
        <v>803</v>
      </c>
      <c r="BI92" s="433">
        <v>857</v>
      </c>
      <c r="BJ92" s="434">
        <v>839</v>
      </c>
    </row>
    <row r="93" spans="1:62" s="424" customFormat="1" ht="15" customHeight="1" x14ac:dyDescent="0.3">
      <c r="A93" s="408"/>
      <c r="B93" s="39" t="s">
        <v>97</v>
      </c>
      <c r="C93" s="425">
        <v>310</v>
      </c>
      <c r="D93" s="426">
        <v>343</v>
      </c>
      <c r="E93" s="427">
        <v>359</v>
      </c>
      <c r="F93" s="425">
        <v>323</v>
      </c>
      <c r="G93" s="426">
        <v>382</v>
      </c>
      <c r="H93" s="428">
        <v>421</v>
      </c>
      <c r="I93" s="429">
        <v>385</v>
      </c>
      <c r="J93" s="430">
        <v>446</v>
      </c>
      <c r="K93" s="428">
        <v>491</v>
      </c>
      <c r="L93" s="429">
        <v>459</v>
      </c>
      <c r="M93" s="426">
        <v>497</v>
      </c>
      <c r="N93" s="427">
        <v>539</v>
      </c>
      <c r="O93" s="429">
        <v>500</v>
      </c>
      <c r="P93" s="431">
        <v>523</v>
      </c>
      <c r="Q93" s="427">
        <v>538</v>
      </c>
      <c r="R93" s="429">
        <v>503</v>
      </c>
      <c r="S93" s="431">
        <v>535</v>
      </c>
      <c r="T93" s="427">
        <v>541</v>
      </c>
      <c r="U93" s="429">
        <v>497</v>
      </c>
      <c r="V93" s="431">
        <v>531</v>
      </c>
      <c r="W93" s="427">
        <v>545</v>
      </c>
      <c r="X93" s="432">
        <v>533</v>
      </c>
      <c r="Y93" s="433">
        <v>564</v>
      </c>
      <c r="Z93" s="434">
        <v>580</v>
      </c>
      <c r="AA93" s="432">
        <v>540</v>
      </c>
      <c r="AB93" s="433">
        <v>553</v>
      </c>
      <c r="AC93" s="434">
        <v>580</v>
      </c>
      <c r="AD93" s="432">
        <v>535</v>
      </c>
      <c r="AE93" s="433">
        <v>544</v>
      </c>
      <c r="AF93" s="434">
        <v>554</v>
      </c>
      <c r="AG93" s="432">
        <v>509</v>
      </c>
      <c r="AH93" s="433">
        <v>527</v>
      </c>
      <c r="AI93" s="434">
        <v>505</v>
      </c>
      <c r="AJ93" s="432">
        <v>450</v>
      </c>
      <c r="AK93" s="433">
        <v>514</v>
      </c>
      <c r="AL93" s="434">
        <v>483</v>
      </c>
      <c r="AM93" s="432">
        <v>446</v>
      </c>
      <c r="AN93" s="433">
        <v>478</v>
      </c>
      <c r="AO93" s="434">
        <v>484</v>
      </c>
      <c r="AP93" s="432">
        <v>430</v>
      </c>
      <c r="AQ93" s="433">
        <v>467</v>
      </c>
      <c r="AR93" s="434">
        <v>476</v>
      </c>
      <c r="AS93" s="432">
        <v>443</v>
      </c>
      <c r="AT93" s="433">
        <v>469</v>
      </c>
      <c r="AU93" s="434">
        <v>476</v>
      </c>
      <c r="AV93" s="432">
        <v>449</v>
      </c>
      <c r="AW93" s="433">
        <v>501</v>
      </c>
      <c r="AX93" s="434">
        <v>498</v>
      </c>
      <c r="AY93" s="432">
        <v>475</v>
      </c>
      <c r="AZ93" s="433">
        <v>503</v>
      </c>
      <c r="BA93" s="434">
        <v>498</v>
      </c>
      <c r="BB93" s="432">
        <v>467</v>
      </c>
      <c r="BC93" s="433">
        <v>505</v>
      </c>
      <c r="BD93" s="434">
        <v>497</v>
      </c>
      <c r="BE93" s="432">
        <v>478</v>
      </c>
      <c r="BF93" s="433">
        <v>502</v>
      </c>
      <c r="BG93" s="434">
        <v>523</v>
      </c>
      <c r="BH93" s="432">
        <v>490</v>
      </c>
      <c r="BI93" s="433">
        <v>505</v>
      </c>
      <c r="BJ93" s="434">
        <v>527</v>
      </c>
    </row>
    <row r="94" spans="1:62" s="424" customFormat="1" ht="15" customHeight="1" x14ac:dyDescent="0.3">
      <c r="A94" s="408"/>
      <c r="B94" s="39" t="s">
        <v>98</v>
      </c>
      <c r="C94" s="425">
        <v>681</v>
      </c>
      <c r="D94" s="426">
        <v>697</v>
      </c>
      <c r="E94" s="427">
        <v>726</v>
      </c>
      <c r="F94" s="425">
        <v>666</v>
      </c>
      <c r="G94" s="426">
        <v>770</v>
      </c>
      <c r="H94" s="428">
        <v>844</v>
      </c>
      <c r="I94" s="429">
        <v>816</v>
      </c>
      <c r="J94" s="430">
        <v>922</v>
      </c>
      <c r="K94" s="428">
        <v>955</v>
      </c>
      <c r="L94" s="429">
        <v>930</v>
      </c>
      <c r="M94" s="426">
        <v>992</v>
      </c>
      <c r="N94" s="427">
        <v>1020</v>
      </c>
      <c r="O94" s="429">
        <v>997</v>
      </c>
      <c r="P94" s="431">
        <v>1026</v>
      </c>
      <c r="Q94" s="427">
        <v>1013</v>
      </c>
      <c r="R94" s="429">
        <v>945</v>
      </c>
      <c r="S94" s="431">
        <v>919</v>
      </c>
      <c r="T94" s="427">
        <v>869</v>
      </c>
      <c r="U94" s="429">
        <v>799</v>
      </c>
      <c r="V94" s="431">
        <v>784</v>
      </c>
      <c r="W94" s="427">
        <v>761</v>
      </c>
      <c r="X94" s="432">
        <v>698</v>
      </c>
      <c r="Y94" s="433">
        <v>706</v>
      </c>
      <c r="Z94" s="434">
        <v>719</v>
      </c>
      <c r="AA94" s="432">
        <v>656</v>
      </c>
      <c r="AB94" s="433">
        <v>674</v>
      </c>
      <c r="AC94" s="434">
        <v>692</v>
      </c>
      <c r="AD94" s="432">
        <v>640</v>
      </c>
      <c r="AE94" s="433">
        <v>668</v>
      </c>
      <c r="AF94" s="434">
        <v>675</v>
      </c>
      <c r="AG94" s="432">
        <v>633</v>
      </c>
      <c r="AH94" s="433">
        <v>680</v>
      </c>
      <c r="AI94" s="434">
        <v>691</v>
      </c>
      <c r="AJ94" s="432">
        <v>627</v>
      </c>
      <c r="AK94" s="433">
        <v>701</v>
      </c>
      <c r="AL94" s="434">
        <v>708</v>
      </c>
      <c r="AM94" s="432">
        <v>674</v>
      </c>
      <c r="AN94" s="433">
        <v>700</v>
      </c>
      <c r="AO94" s="434">
        <v>728</v>
      </c>
      <c r="AP94" s="432">
        <v>674</v>
      </c>
      <c r="AQ94" s="433">
        <v>701</v>
      </c>
      <c r="AR94" s="434">
        <v>747</v>
      </c>
      <c r="AS94" s="432">
        <v>716</v>
      </c>
      <c r="AT94" s="433">
        <v>762</v>
      </c>
      <c r="AU94" s="434">
        <v>795</v>
      </c>
      <c r="AV94" s="432">
        <v>747</v>
      </c>
      <c r="AW94" s="433">
        <v>775</v>
      </c>
      <c r="AX94" s="434">
        <v>798</v>
      </c>
      <c r="AY94" s="432">
        <v>745</v>
      </c>
      <c r="AZ94" s="433">
        <v>775</v>
      </c>
      <c r="BA94" s="434">
        <v>790</v>
      </c>
      <c r="BB94" s="432">
        <v>761</v>
      </c>
      <c r="BC94" s="433">
        <v>798</v>
      </c>
      <c r="BD94" s="434">
        <v>783</v>
      </c>
      <c r="BE94" s="432">
        <v>716</v>
      </c>
      <c r="BF94" s="433">
        <v>764</v>
      </c>
      <c r="BG94" s="434">
        <v>762</v>
      </c>
      <c r="BH94" s="432">
        <v>747</v>
      </c>
      <c r="BI94" s="433">
        <v>808</v>
      </c>
      <c r="BJ94" s="434">
        <v>837</v>
      </c>
    </row>
    <row r="95" spans="1:62" s="424" customFormat="1" ht="15" customHeight="1" x14ac:dyDescent="0.3">
      <c r="A95" s="408"/>
      <c r="B95" s="39" t="s">
        <v>99</v>
      </c>
      <c r="C95" s="425">
        <v>866</v>
      </c>
      <c r="D95" s="426">
        <v>943</v>
      </c>
      <c r="E95" s="427">
        <v>1002</v>
      </c>
      <c r="F95" s="425">
        <v>907</v>
      </c>
      <c r="G95" s="426">
        <v>1027</v>
      </c>
      <c r="H95" s="428">
        <v>1088</v>
      </c>
      <c r="I95" s="429">
        <v>977</v>
      </c>
      <c r="J95" s="430">
        <v>1113</v>
      </c>
      <c r="K95" s="428">
        <v>1163</v>
      </c>
      <c r="L95" s="429">
        <v>1051</v>
      </c>
      <c r="M95" s="426">
        <v>1134</v>
      </c>
      <c r="N95" s="427">
        <v>1192</v>
      </c>
      <c r="O95" s="429">
        <v>1058</v>
      </c>
      <c r="P95" s="431">
        <v>1110</v>
      </c>
      <c r="Q95" s="427">
        <v>1140</v>
      </c>
      <c r="R95" s="429">
        <v>999</v>
      </c>
      <c r="S95" s="431">
        <v>1055</v>
      </c>
      <c r="T95" s="427">
        <v>1067</v>
      </c>
      <c r="U95" s="429">
        <v>968</v>
      </c>
      <c r="V95" s="431">
        <v>1031</v>
      </c>
      <c r="W95" s="427">
        <v>1043</v>
      </c>
      <c r="X95" s="432">
        <v>993</v>
      </c>
      <c r="Y95" s="433">
        <v>1052</v>
      </c>
      <c r="Z95" s="434">
        <v>1090</v>
      </c>
      <c r="AA95" s="432">
        <v>973</v>
      </c>
      <c r="AB95" s="433">
        <v>1035</v>
      </c>
      <c r="AC95" s="434">
        <v>1057</v>
      </c>
      <c r="AD95" s="432">
        <v>952</v>
      </c>
      <c r="AE95" s="433">
        <v>1000</v>
      </c>
      <c r="AF95" s="434">
        <v>1015</v>
      </c>
      <c r="AG95" s="432">
        <v>915</v>
      </c>
      <c r="AH95" s="433">
        <v>959</v>
      </c>
      <c r="AI95" s="434">
        <v>1009</v>
      </c>
      <c r="AJ95" s="432">
        <v>871</v>
      </c>
      <c r="AK95" s="433">
        <v>991</v>
      </c>
      <c r="AL95" s="434">
        <v>1070</v>
      </c>
      <c r="AM95" s="432">
        <v>973</v>
      </c>
      <c r="AN95" s="433">
        <v>1067</v>
      </c>
      <c r="AO95" s="434">
        <v>1139</v>
      </c>
      <c r="AP95" s="432">
        <v>1007</v>
      </c>
      <c r="AQ95" s="433">
        <v>1115</v>
      </c>
      <c r="AR95" s="434">
        <v>1195</v>
      </c>
      <c r="AS95" s="432">
        <v>1093</v>
      </c>
      <c r="AT95" s="433">
        <v>1193</v>
      </c>
      <c r="AU95" s="434">
        <v>1255</v>
      </c>
      <c r="AV95" s="432">
        <v>1106</v>
      </c>
      <c r="AW95" s="433">
        <v>1213</v>
      </c>
      <c r="AX95" s="434">
        <v>1275</v>
      </c>
      <c r="AY95" s="432">
        <v>1154</v>
      </c>
      <c r="AZ95" s="433">
        <v>1203</v>
      </c>
      <c r="BA95" s="434">
        <v>1241</v>
      </c>
      <c r="BB95" s="432">
        <v>1184</v>
      </c>
      <c r="BC95" s="433">
        <v>1271</v>
      </c>
      <c r="BD95" s="434">
        <v>1309</v>
      </c>
      <c r="BE95" s="432">
        <v>1204</v>
      </c>
      <c r="BF95" s="433">
        <v>1279</v>
      </c>
      <c r="BG95" s="434">
        <v>1257</v>
      </c>
      <c r="BH95" s="432">
        <v>1155</v>
      </c>
      <c r="BI95" s="433">
        <v>1247</v>
      </c>
      <c r="BJ95" s="434">
        <v>1230</v>
      </c>
    </row>
    <row r="96" spans="1:62" s="424" customFormat="1" ht="15" customHeight="1" x14ac:dyDescent="0.3">
      <c r="A96" s="408"/>
      <c r="B96" s="39" t="s">
        <v>100</v>
      </c>
      <c r="C96" s="425">
        <v>816</v>
      </c>
      <c r="D96" s="426">
        <v>895</v>
      </c>
      <c r="E96" s="427">
        <v>966</v>
      </c>
      <c r="F96" s="425">
        <v>865</v>
      </c>
      <c r="G96" s="426">
        <v>970</v>
      </c>
      <c r="H96" s="428">
        <v>1075</v>
      </c>
      <c r="I96" s="429">
        <v>1014</v>
      </c>
      <c r="J96" s="430">
        <v>1116</v>
      </c>
      <c r="K96" s="428">
        <v>1182</v>
      </c>
      <c r="L96" s="429">
        <v>1063</v>
      </c>
      <c r="M96" s="426">
        <v>1171</v>
      </c>
      <c r="N96" s="427">
        <v>1231</v>
      </c>
      <c r="O96" s="429">
        <v>1117</v>
      </c>
      <c r="P96" s="431">
        <v>1190</v>
      </c>
      <c r="Q96" s="427">
        <v>1221</v>
      </c>
      <c r="R96" s="429">
        <v>1113</v>
      </c>
      <c r="S96" s="431">
        <v>1123</v>
      </c>
      <c r="T96" s="427">
        <v>1110</v>
      </c>
      <c r="U96" s="429">
        <v>993</v>
      </c>
      <c r="V96" s="431">
        <v>1029</v>
      </c>
      <c r="W96" s="427">
        <v>1049</v>
      </c>
      <c r="X96" s="432">
        <v>934</v>
      </c>
      <c r="Y96" s="433">
        <v>990</v>
      </c>
      <c r="Z96" s="434">
        <v>1018</v>
      </c>
      <c r="AA96" s="432">
        <v>891</v>
      </c>
      <c r="AB96" s="433">
        <v>924</v>
      </c>
      <c r="AC96" s="434">
        <v>962</v>
      </c>
      <c r="AD96" s="432">
        <v>830</v>
      </c>
      <c r="AE96" s="433">
        <v>906</v>
      </c>
      <c r="AF96" s="434">
        <v>950</v>
      </c>
      <c r="AG96" s="432">
        <v>877</v>
      </c>
      <c r="AH96" s="433">
        <v>950</v>
      </c>
      <c r="AI96" s="434">
        <v>1009</v>
      </c>
      <c r="AJ96" s="432">
        <v>885</v>
      </c>
      <c r="AK96" s="433">
        <v>1001</v>
      </c>
      <c r="AL96" s="434">
        <v>1040</v>
      </c>
      <c r="AM96" s="432">
        <v>937</v>
      </c>
      <c r="AN96" s="433">
        <v>975</v>
      </c>
      <c r="AO96" s="434">
        <v>1054</v>
      </c>
      <c r="AP96" s="432">
        <v>953</v>
      </c>
      <c r="AQ96" s="433">
        <v>1042</v>
      </c>
      <c r="AR96" s="434">
        <v>1082</v>
      </c>
      <c r="AS96" s="432">
        <v>978</v>
      </c>
      <c r="AT96" s="433">
        <v>1042</v>
      </c>
      <c r="AU96" s="434">
        <v>1131</v>
      </c>
      <c r="AV96" s="432">
        <v>1058</v>
      </c>
      <c r="AW96" s="433">
        <v>1153</v>
      </c>
      <c r="AX96" s="434">
        <v>1237</v>
      </c>
      <c r="AY96" s="432">
        <v>1170</v>
      </c>
      <c r="AZ96" s="433">
        <v>1199</v>
      </c>
      <c r="BA96" s="434">
        <v>1233</v>
      </c>
      <c r="BB96" s="432">
        <v>1184</v>
      </c>
      <c r="BC96" s="433">
        <v>1250</v>
      </c>
      <c r="BD96" s="434">
        <v>1282</v>
      </c>
      <c r="BE96" s="432">
        <v>1195</v>
      </c>
      <c r="BF96" s="433">
        <v>1279</v>
      </c>
      <c r="BG96" s="434">
        <v>1306</v>
      </c>
      <c r="BH96" s="432">
        <v>1226</v>
      </c>
      <c r="BI96" s="433">
        <v>1288</v>
      </c>
      <c r="BJ96" s="434">
        <v>1321</v>
      </c>
    </row>
    <row r="97" spans="1:62" s="424" customFormat="1" ht="15" customHeight="1" x14ac:dyDescent="0.3">
      <c r="A97" s="408"/>
      <c r="B97" s="39" t="s">
        <v>101</v>
      </c>
      <c r="C97" s="425">
        <v>358</v>
      </c>
      <c r="D97" s="426">
        <v>386</v>
      </c>
      <c r="E97" s="427">
        <v>416</v>
      </c>
      <c r="F97" s="425">
        <v>354</v>
      </c>
      <c r="G97" s="426">
        <v>382</v>
      </c>
      <c r="H97" s="428">
        <v>394</v>
      </c>
      <c r="I97" s="429">
        <v>338</v>
      </c>
      <c r="J97" s="430">
        <v>352</v>
      </c>
      <c r="K97" s="428">
        <v>379</v>
      </c>
      <c r="L97" s="429">
        <v>331</v>
      </c>
      <c r="M97" s="426">
        <v>399</v>
      </c>
      <c r="N97" s="427">
        <v>387</v>
      </c>
      <c r="O97" s="429">
        <v>347</v>
      </c>
      <c r="P97" s="431">
        <v>373</v>
      </c>
      <c r="Q97" s="427">
        <v>436</v>
      </c>
      <c r="R97" s="429">
        <v>387</v>
      </c>
      <c r="S97" s="431">
        <v>445</v>
      </c>
      <c r="T97" s="427">
        <v>503</v>
      </c>
      <c r="U97" s="429">
        <v>455</v>
      </c>
      <c r="V97" s="431">
        <v>534</v>
      </c>
      <c r="W97" s="427">
        <v>580</v>
      </c>
      <c r="X97" s="432">
        <v>522</v>
      </c>
      <c r="Y97" s="433">
        <v>597</v>
      </c>
      <c r="Z97" s="434">
        <v>661</v>
      </c>
      <c r="AA97" s="432">
        <v>600</v>
      </c>
      <c r="AB97" s="433">
        <v>663</v>
      </c>
      <c r="AC97" s="434">
        <v>708</v>
      </c>
      <c r="AD97" s="432">
        <v>633</v>
      </c>
      <c r="AE97" s="433">
        <v>682</v>
      </c>
      <c r="AF97" s="434">
        <v>690</v>
      </c>
      <c r="AG97" s="432">
        <v>625</v>
      </c>
      <c r="AH97" s="433">
        <v>673</v>
      </c>
      <c r="AI97" s="434">
        <v>710</v>
      </c>
      <c r="AJ97" s="432">
        <v>604</v>
      </c>
      <c r="AK97" s="433">
        <v>663</v>
      </c>
      <c r="AL97" s="434">
        <v>675</v>
      </c>
      <c r="AM97" s="432">
        <v>613</v>
      </c>
      <c r="AN97" s="433">
        <v>628</v>
      </c>
      <c r="AO97" s="434">
        <v>636</v>
      </c>
      <c r="AP97" s="432">
        <v>571</v>
      </c>
      <c r="AQ97" s="433">
        <v>597</v>
      </c>
      <c r="AR97" s="434">
        <v>643</v>
      </c>
      <c r="AS97" s="432">
        <v>564</v>
      </c>
      <c r="AT97" s="433">
        <v>603</v>
      </c>
      <c r="AU97" s="434">
        <v>664</v>
      </c>
      <c r="AV97" s="432">
        <v>580</v>
      </c>
      <c r="AW97" s="433">
        <v>622</v>
      </c>
      <c r="AX97" s="434">
        <v>698</v>
      </c>
      <c r="AY97" s="432">
        <v>635</v>
      </c>
      <c r="AZ97" s="433">
        <v>645</v>
      </c>
      <c r="BA97" s="434">
        <v>664</v>
      </c>
      <c r="BB97" s="432">
        <v>631</v>
      </c>
      <c r="BC97" s="433">
        <v>683</v>
      </c>
      <c r="BD97" s="434">
        <v>711</v>
      </c>
      <c r="BE97" s="432">
        <v>637</v>
      </c>
      <c r="BF97" s="433">
        <v>690</v>
      </c>
      <c r="BG97" s="434">
        <v>687</v>
      </c>
      <c r="BH97" s="432">
        <v>638</v>
      </c>
      <c r="BI97" s="433">
        <v>700</v>
      </c>
      <c r="BJ97" s="434">
        <v>714</v>
      </c>
    </row>
    <row r="98" spans="1:62" s="424" customFormat="1" ht="15" customHeight="1" x14ac:dyDescent="0.3">
      <c r="A98" s="408"/>
      <c r="B98" s="39" t="s">
        <v>102</v>
      </c>
      <c r="C98" s="425">
        <v>815</v>
      </c>
      <c r="D98" s="426">
        <v>797</v>
      </c>
      <c r="E98" s="427">
        <v>816</v>
      </c>
      <c r="F98" s="425">
        <v>803</v>
      </c>
      <c r="G98" s="426">
        <v>896</v>
      </c>
      <c r="H98" s="428">
        <v>966</v>
      </c>
      <c r="I98" s="429">
        <v>827</v>
      </c>
      <c r="J98" s="430">
        <v>950</v>
      </c>
      <c r="K98" s="428">
        <v>988</v>
      </c>
      <c r="L98" s="429">
        <v>882</v>
      </c>
      <c r="M98" s="426">
        <v>982</v>
      </c>
      <c r="N98" s="427">
        <v>995</v>
      </c>
      <c r="O98" s="429">
        <v>916</v>
      </c>
      <c r="P98" s="431">
        <v>973</v>
      </c>
      <c r="Q98" s="427">
        <v>981</v>
      </c>
      <c r="R98" s="429">
        <v>893</v>
      </c>
      <c r="S98" s="431">
        <v>869</v>
      </c>
      <c r="T98" s="427">
        <v>994</v>
      </c>
      <c r="U98" s="429">
        <v>930</v>
      </c>
      <c r="V98" s="431">
        <v>1035</v>
      </c>
      <c r="W98" s="427">
        <v>1007</v>
      </c>
      <c r="X98" s="432">
        <v>921</v>
      </c>
      <c r="Y98" s="433">
        <v>1021</v>
      </c>
      <c r="Z98" s="434">
        <v>982</v>
      </c>
      <c r="AA98" s="432">
        <v>922</v>
      </c>
      <c r="AB98" s="433">
        <v>999</v>
      </c>
      <c r="AC98" s="434">
        <v>1004</v>
      </c>
      <c r="AD98" s="432">
        <v>872</v>
      </c>
      <c r="AE98" s="433">
        <v>967</v>
      </c>
      <c r="AF98" s="434">
        <v>988</v>
      </c>
      <c r="AG98" s="432">
        <v>900</v>
      </c>
      <c r="AH98" s="433">
        <v>997</v>
      </c>
      <c r="AI98" s="434">
        <v>1014</v>
      </c>
      <c r="AJ98" s="432">
        <v>819</v>
      </c>
      <c r="AK98" s="433">
        <v>955</v>
      </c>
      <c r="AL98" s="434">
        <v>976</v>
      </c>
      <c r="AM98" s="432">
        <v>836</v>
      </c>
      <c r="AN98" s="433">
        <v>930</v>
      </c>
      <c r="AO98" s="434">
        <v>946</v>
      </c>
      <c r="AP98" s="432">
        <v>783</v>
      </c>
      <c r="AQ98" s="433">
        <v>882</v>
      </c>
      <c r="AR98" s="434">
        <v>923</v>
      </c>
      <c r="AS98" s="432">
        <v>808</v>
      </c>
      <c r="AT98" s="433">
        <v>911</v>
      </c>
      <c r="AU98" s="434">
        <v>908</v>
      </c>
      <c r="AV98" s="432">
        <v>773</v>
      </c>
      <c r="AW98" s="433">
        <v>877</v>
      </c>
      <c r="AX98" s="434">
        <v>921</v>
      </c>
      <c r="AY98" s="432">
        <v>816</v>
      </c>
      <c r="AZ98" s="433">
        <v>866</v>
      </c>
      <c r="BA98" s="434">
        <v>849</v>
      </c>
      <c r="BB98" s="432">
        <v>836</v>
      </c>
      <c r="BC98" s="433">
        <v>870</v>
      </c>
      <c r="BD98" s="434">
        <v>888</v>
      </c>
      <c r="BE98" s="432">
        <v>848</v>
      </c>
      <c r="BF98" s="433">
        <v>955</v>
      </c>
      <c r="BG98" s="434">
        <v>920</v>
      </c>
      <c r="BH98" s="432">
        <v>893</v>
      </c>
      <c r="BI98" s="433">
        <v>917</v>
      </c>
      <c r="BJ98" s="434">
        <v>988</v>
      </c>
    </row>
    <row r="99" spans="1:62" s="424" customFormat="1" ht="15" customHeight="1" x14ac:dyDescent="0.3">
      <c r="A99" s="408"/>
      <c r="B99" s="39" t="s">
        <v>103</v>
      </c>
      <c r="C99" s="40">
        <v>402</v>
      </c>
      <c r="D99" s="281">
        <v>434</v>
      </c>
      <c r="E99" s="332">
        <v>455</v>
      </c>
      <c r="F99" s="280">
        <v>423</v>
      </c>
      <c r="G99" s="281">
        <v>475</v>
      </c>
      <c r="H99" s="332">
        <v>485</v>
      </c>
      <c r="I99" s="40">
        <v>462</v>
      </c>
      <c r="J99" s="41">
        <v>522</v>
      </c>
      <c r="K99" s="332">
        <v>555</v>
      </c>
      <c r="L99" s="40">
        <v>520</v>
      </c>
      <c r="M99" s="41">
        <v>565</v>
      </c>
      <c r="N99" s="332">
        <v>600</v>
      </c>
      <c r="O99" s="40">
        <v>580</v>
      </c>
      <c r="P99" s="41">
        <v>580</v>
      </c>
      <c r="Q99" s="332">
        <v>588</v>
      </c>
      <c r="R99" s="40">
        <v>559</v>
      </c>
      <c r="S99" s="41">
        <v>549</v>
      </c>
      <c r="T99" s="332">
        <v>555</v>
      </c>
      <c r="U99" s="40">
        <v>546</v>
      </c>
      <c r="V99" s="41">
        <v>532</v>
      </c>
      <c r="W99" s="332">
        <v>504</v>
      </c>
      <c r="X99" s="40">
        <v>445</v>
      </c>
      <c r="Y99" s="41">
        <v>450</v>
      </c>
      <c r="Z99" s="332">
        <v>518</v>
      </c>
      <c r="AA99" s="435">
        <v>487</v>
      </c>
      <c r="AB99" s="41">
        <v>504</v>
      </c>
      <c r="AC99" s="332">
        <v>540</v>
      </c>
      <c r="AD99" s="435">
        <v>499</v>
      </c>
      <c r="AE99" s="41">
        <v>525</v>
      </c>
      <c r="AF99" s="332">
        <v>537</v>
      </c>
      <c r="AG99" s="435">
        <v>519</v>
      </c>
      <c r="AH99" s="41">
        <v>544</v>
      </c>
      <c r="AI99" s="332">
        <v>577</v>
      </c>
      <c r="AJ99" s="435">
        <v>515</v>
      </c>
      <c r="AK99" s="41">
        <v>585</v>
      </c>
      <c r="AL99" s="332">
        <v>628</v>
      </c>
      <c r="AM99" s="435">
        <v>577</v>
      </c>
      <c r="AN99" s="41">
        <v>602</v>
      </c>
      <c r="AO99" s="332">
        <v>612</v>
      </c>
      <c r="AP99" s="435">
        <v>566</v>
      </c>
      <c r="AQ99" s="41">
        <v>587</v>
      </c>
      <c r="AR99" s="332">
        <v>605</v>
      </c>
      <c r="AS99" s="435">
        <v>578</v>
      </c>
      <c r="AT99" s="41">
        <v>607</v>
      </c>
      <c r="AU99" s="332">
        <v>619</v>
      </c>
      <c r="AV99" s="435">
        <v>554</v>
      </c>
      <c r="AW99" s="41">
        <v>598</v>
      </c>
      <c r="AX99" s="332">
        <v>607</v>
      </c>
      <c r="AY99" s="435">
        <v>568</v>
      </c>
      <c r="AZ99" s="41">
        <v>589</v>
      </c>
      <c r="BA99" s="332">
        <v>578</v>
      </c>
      <c r="BB99" s="435">
        <v>558</v>
      </c>
      <c r="BC99" s="41">
        <v>588</v>
      </c>
      <c r="BD99" s="332">
        <v>592</v>
      </c>
      <c r="BE99" s="435">
        <v>561</v>
      </c>
      <c r="BF99" s="41">
        <v>588</v>
      </c>
      <c r="BG99" s="332">
        <v>597</v>
      </c>
      <c r="BH99" s="435">
        <v>569</v>
      </c>
      <c r="BI99" s="41">
        <v>608</v>
      </c>
      <c r="BJ99" s="332">
        <v>610</v>
      </c>
    </row>
    <row r="100" spans="1:62" s="424" customFormat="1" ht="15" customHeight="1" x14ac:dyDescent="0.3">
      <c r="A100" s="408"/>
      <c r="B100" s="436" t="s">
        <v>92</v>
      </c>
      <c r="C100" s="437">
        <f>SUM(C92:C99)</f>
        <v>4790</v>
      </c>
      <c r="D100" s="438">
        <f t="shared" ref="D100:AU100" si="53">SUM(D92:D99)</f>
        <v>5071</v>
      </c>
      <c r="E100" s="439">
        <f t="shared" si="53"/>
        <v>5336</v>
      </c>
      <c r="F100" s="437">
        <f t="shared" si="53"/>
        <v>4885</v>
      </c>
      <c r="G100" s="438">
        <f t="shared" si="53"/>
        <v>5473</v>
      </c>
      <c r="H100" s="439">
        <f t="shared" si="53"/>
        <v>5903</v>
      </c>
      <c r="I100" s="437">
        <f t="shared" si="53"/>
        <v>5377</v>
      </c>
      <c r="J100" s="438">
        <f t="shared" si="53"/>
        <v>6066</v>
      </c>
      <c r="K100" s="439">
        <f t="shared" si="53"/>
        <v>6446</v>
      </c>
      <c r="L100" s="437">
        <f t="shared" si="53"/>
        <v>5906</v>
      </c>
      <c r="M100" s="438">
        <f t="shared" si="53"/>
        <v>6467</v>
      </c>
      <c r="N100" s="439">
        <f t="shared" si="53"/>
        <v>6757</v>
      </c>
      <c r="O100" s="437">
        <f t="shared" si="53"/>
        <v>6228</v>
      </c>
      <c r="P100" s="438">
        <f t="shared" si="53"/>
        <v>6543</v>
      </c>
      <c r="Q100" s="439">
        <f t="shared" si="53"/>
        <v>6713</v>
      </c>
      <c r="R100" s="437">
        <f t="shared" si="53"/>
        <v>6140</v>
      </c>
      <c r="S100" s="438">
        <f t="shared" si="53"/>
        <v>6274</v>
      </c>
      <c r="T100" s="439">
        <f t="shared" si="53"/>
        <v>6444</v>
      </c>
      <c r="U100" s="437">
        <f t="shared" si="53"/>
        <v>5923</v>
      </c>
      <c r="V100" s="438">
        <f t="shared" si="53"/>
        <v>6284</v>
      </c>
      <c r="W100" s="439">
        <f t="shared" si="53"/>
        <v>6270</v>
      </c>
      <c r="X100" s="437">
        <f t="shared" si="53"/>
        <v>5752</v>
      </c>
      <c r="Y100" s="438">
        <f t="shared" si="53"/>
        <v>6123</v>
      </c>
      <c r="Z100" s="439">
        <f t="shared" si="53"/>
        <v>6339</v>
      </c>
      <c r="AA100" s="437">
        <f t="shared" si="53"/>
        <v>5767</v>
      </c>
      <c r="AB100" s="438">
        <f t="shared" si="53"/>
        <v>6077</v>
      </c>
      <c r="AC100" s="439">
        <f t="shared" si="53"/>
        <v>6294</v>
      </c>
      <c r="AD100" s="437">
        <f t="shared" si="53"/>
        <v>5643</v>
      </c>
      <c r="AE100" s="438">
        <f t="shared" si="53"/>
        <v>6017</v>
      </c>
      <c r="AF100" s="439">
        <f t="shared" si="53"/>
        <v>6161</v>
      </c>
      <c r="AG100" s="437">
        <f t="shared" si="53"/>
        <v>5670</v>
      </c>
      <c r="AH100" s="438">
        <f t="shared" si="53"/>
        <v>6058</v>
      </c>
      <c r="AI100" s="439">
        <f t="shared" si="53"/>
        <v>6284</v>
      </c>
      <c r="AJ100" s="437">
        <f t="shared" si="53"/>
        <v>5426</v>
      </c>
      <c r="AK100" s="438">
        <f t="shared" si="53"/>
        <v>6154</v>
      </c>
      <c r="AL100" s="439">
        <f t="shared" si="53"/>
        <v>6362</v>
      </c>
      <c r="AM100" s="437">
        <f t="shared" si="53"/>
        <v>5749</v>
      </c>
      <c r="AN100" s="438">
        <f t="shared" si="53"/>
        <v>6128</v>
      </c>
      <c r="AO100" s="439">
        <f t="shared" si="53"/>
        <v>6384</v>
      </c>
      <c r="AP100" s="437">
        <f t="shared" si="53"/>
        <v>5695</v>
      </c>
      <c r="AQ100" s="438">
        <f t="shared" si="53"/>
        <v>6151</v>
      </c>
      <c r="AR100" s="439">
        <f t="shared" si="53"/>
        <v>6478</v>
      </c>
      <c r="AS100" s="437">
        <f t="shared" si="53"/>
        <v>5919</v>
      </c>
      <c r="AT100" s="438">
        <f t="shared" si="53"/>
        <v>6383</v>
      </c>
      <c r="AU100" s="439">
        <f t="shared" si="53"/>
        <v>6682</v>
      </c>
      <c r="AV100" s="437">
        <v>6010</v>
      </c>
      <c r="AW100" s="438">
        <v>6500</v>
      </c>
      <c r="AX100" s="439">
        <f t="shared" ref="AX100:BC100" si="54">SUM(AX92:AX99)</f>
        <v>6864</v>
      </c>
      <c r="AY100" s="437">
        <f t="shared" si="54"/>
        <v>6311</v>
      </c>
      <c r="AZ100" s="438">
        <f t="shared" si="54"/>
        <v>6582</v>
      </c>
      <c r="BA100" s="439">
        <f t="shared" si="54"/>
        <v>6685</v>
      </c>
      <c r="BB100" s="437">
        <f t="shared" si="54"/>
        <v>6422</v>
      </c>
      <c r="BC100" s="438">
        <f t="shared" si="54"/>
        <v>6818</v>
      </c>
      <c r="BD100" s="439">
        <f t="shared" ref="BD100:BG100" si="55">SUM(BD92:BD99)</f>
        <v>6925</v>
      </c>
      <c r="BE100" s="437">
        <f t="shared" si="55"/>
        <v>6439</v>
      </c>
      <c r="BF100" s="438">
        <f t="shared" si="55"/>
        <v>6917</v>
      </c>
      <c r="BG100" s="439">
        <f t="shared" si="55"/>
        <v>6937</v>
      </c>
      <c r="BH100" s="437">
        <f>SUM(BH92:BH99)</f>
        <v>6521</v>
      </c>
      <c r="BI100" s="438">
        <f>SUM(BI92:BI99)</f>
        <v>6930</v>
      </c>
      <c r="BJ100" s="439">
        <f>SUM(BJ92:BJ99)</f>
        <v>7066</v>
      </c>
    </row>
    <row r="101" spans="1:62" s="424" customFormat="1" ht="15" customHeight="1" x14ac:dyDescent="0.3">
      <c r="A101" s="408"/>
      <c r="B101" s="39" t="s">
        <v>65</v>
      </c>
      <c r="C101" s="425">
        <v>874</v>
      </c>
      <c r="D101" s="426">
        <v>926</v>
      </c>
      <c r="E101" s="427">
        <v>1039</v>
      </c>
      <c r="F101" s="425">
        <v>909</v>
      </c>
      <c r="G101" s="426">
        <v>1027</v>
      </c>
      <c r="H101" s="428">
        <v>1067</v>
      </c>
      <c r="I101" s="429">
        <v>1012</v>
      </c>
      <c r="J101" s="430">
        <v>1105</v>
      </c>
      <c r="K101" s="428">
        <v>1126</v>
      </c>
      <c r="L101" s="429">
        <v>1075</v>
      </c>
      <c r="M101" s="426">
        <v>1155</v>
      </c>
      <c r="N101" s="427">
        <v>1110</v>
      </c>
      <c r="O101" s="429">
        <v>1047</v>
      </c>
      <c r="P101" s="431">
        <v>1148</v>
      </c>
      <c r="Q101" s="427">
        <v>1206</v>
      </c>
      <c r="R101" s="429">
        <v>1142</v>
      </c>
      <c r="S101" s="431">
        <v>1178</v>
      </c>
      <c r="T101" s="427">
        <v>1189</v>
      </c>
      <c r="U101" s="429">
        <v>1132</v>
      </c>
      <c r="V101" s="431">
        <v>1213</v>
      </c>
      <c r="W101" s="427">
        <v>1139</v>
      </c>
      <c r="X101" s="432">
        <v>1111</v>
      </c>
      <c r="Y101" s="433">
        <v>1112</v>
      </c>
      <c r="Z101" s="427">
        <v>1108</v>
      </c>
      <c r="AA101" s="432">
        <v>1000</v>
      </c>
      <c r="AB101" s="433">
        <v>1045</v>
      </c>
      <c r="AC101" s="427">
        <v>1074</v>
      </c>
      <c r="AD101" s="432">
        <v>974</v>
      </c>
      <c r="AE101" s="433">
        <v>1003</v>
      </c>
      <c r="AF101" s="427">
        <v>1048</v>
      </c>
      <c r="AG101" s="432">
        <v>960</v>
      </c>
      <c r="AH101" s="433">
        <v>1012</v>
      </c>
      <c r="AI101" s="427">
        <v>1055</v>
      </c>
      <c r="AJ101" s="432">
        <v>950</v>
      </c>
      <c r="AK101" s="433">
        <v>1006</v>
      </c>
      <c r="AL101" s="427">
        <v>1035</v>
      </c>
      <c r="AM101" s="432">
        <v>970</v>
      </c>
      <c r="AN101" s="433">
        <v>962</v>
      </c>
      <c r="AO101" s="427">
        <v>1041</v>
      </c>
      <c r="AP101" s="432">
        <v>934</v>
      </c>
      <c r="AQ101" s="433">
        <v>1001</v>
      </c>
      <c r="AR101" s="427">
        <v>1085</v>
      </c>
      <c r="AS101" s="432">
        <v>997</v>
      </c>
      <c r="AT101" s="433">
        <v>1037</v>
      </c>
      <c r="AU101" s="427">
        <v>1083</v>
      </c>
      <c r="AV101" s="432">
        <v>1002</v>
      </c>
      <c r="AW101" s="433">
        <v>1035</v>
      </c>
      <c r="AX101" s="427">
        <v>1104</v>
      </c>
      <c r="AY101" s="432">
        <v>1046</v>
      </c>
      <c r="AZ101" s="433">
        <v>1119</v>
      </c>
      <c r="BA101" s="427">
        <v>1120</v>
      </c>
      <c r="BB101" s="432">
        <v>1104</v>
      </c>
      <c r="BC101" s="433">
        <v>1119</v>
      </c>
      <c r="BD101" s="427">
        <v>1167</v>
      </c>
      <c r="BE101" s="432">
        <v>1125</v>
      </c>
      <c r="BF101" s="433">
        <v>1122</v>
      </c>
      <c r="BG101" s="427">
        <v>1143</v>
      </c>
      <c r="BH101" s="432">
        <v>1117</v>
      </c>
      <c r="BI101" s="433">
        <v>1149</v>
      </c>
      <c r="BJ101" s="427">
        <v>1107</v>
      </c>
    </row>
    <row r="102" spans="1:62" s="424" customFormat="1" ht="15" customHeight="1" x14ac:dyDescent="0.3">
      <c r="A102" s="408"/>
      <c r="B102" s="39" t="s">
        <v>66</v>
      </c>
      <c r="C102" s="425">
        <v>472</v>
      </c>
      <c r="D102" s="426">
        <v>507</v>
      </c>
      <c r="E102" s="427">
        <v>559</v>
      </c>
      <c r="F102" s="425">
        <v>517</v>
      </c>
      <c r="G102" s="426">
        <v>561</v>
      </c>
      <c r="H102" s="428">
        <v>557</v>
      </c>
      <c r="I102" s="429">
        <v>539</v>
      </c>
      <c r="J102" s="430">
        <v>565</v>
      </c>
      <c r="K102" s="428">
        <v>577</v>
      </c>
      <c r="L102" s="429">
        <v>556</v>
      </c>
      <c r="M102" s="426">
        <v>570</v>
      </c>
      <c r="N102" s="427">
        <v>575</v>
      </c>
      <c r="O102" s="429">
        <v>560</v>
      </c>
      <c r="P102" s="431">
        <v>553</v>
      </c>
      <c r="Q102" s="427">
        <v>536</v>
      </c>
      <c r="R102" s="429">
        <v>528</v>
      </c>
      <c r="S102" s="431">
        <v>519</v>
      </c>
      <c r="T102" s="427">
        <v>477</v>
      </c>
      <c r="U102" s="429">
        <v>466</v>
      </c>
      <c r="V102" s="431">
        <v>475</v>
      </c>
      <c r="W102" s="427">
        <v>480</v>
      </c>
      <c r="X102" s="432">
        <v>467</v>
      </c>
      <c r="Y102" s="433">
        <v>463</v>
      </c>
      <c r="Z102" s="427">
        <v>482</v>
      </c>
      <c r="AA102" s="432">
        <v>447</v>
      </c>
      <c r="AB102" s="433">
        <v>472</v>
      </c>
      <c r="AC102" s="427">
        <v>507</v>
      </c>
      <c r="AD102" s="432">
        <v>491</v>
      </c>
      <c r="AE102" s="433">
        <v>507</v>
      </c>
      <c r="AF102" s="427">
        <v>513</v>
      </c>
      <c r="AG102" s="432">
        <v>497</v>
      </c>
      <c r="AH102" s="433">
        <v>504</v>
      </c>
      <c r="AI102" s="427">
        <v>514</v>
      </c>
      <c r="AJ102" s="432">
        <v>453</v>
      </c>
      <c r="AK102" s="433">
        <v>490</v>
      </c>
      <c r="AL102" s="427">
        <v>496</v>
      </c>
      <c r="AM102" s="432">
        <v>472</v>
      </c>
      <c r="AN102" s="433">
        <v>482</v>
      </c>
      <c r="AO102" s="427">
        <v>492</v>
      </c>
      <c r="AP102" s="432">
        <v>480</v>
      </c>
      <c r="AQ102" s="433">
        <v>478</v>
      </c>
      <c r="AR102" s="427">
        <v>461</v>
      </c>
      <c r="AS102" s="432">
        <v>453</v>
      </c>
      <c r="AT102" s="433">
        <v>492</v>
      </c>
      <c r="AU102" s="427">
        <v>478</v>
      </c>
      <c r="AV102" s="432">
        <v>456</v>
      </c>
      <c r="AW102" s="433">
        <v>477</v>
      </c>
      <c r="AX102" s="427">
        <v>490</v>
      </c>
      <c r="AY102" s="432">
        <v>465</v>
      </c>
      <c r="AZ102" s="433">
        <v>489</v>
      </c>
      <c r="BA102" s="427">
        <v>486</v>
      </c>
      <c r="BB102" s="432">
        <v>493</v>
      </c>
      <c r="BC102" s="433">
        <v>500</v>
      </c>
      <c r="BD102" s="427">
        <v>498</v>
      </c>
      <c r="BE102" s="432">
        <v>472</v>
      </c>
      <c r="BF102" s="433">
        <v>495</v>
      </c>
      <c r="BG102" s="427">
        <v>487</v>
      </c>
      <c r="BH102" s="432">
        <v>482</v>
      </c>
      <c r="BI102" s="433">
        <v>490</v>
      </c>
      <c r="BJ102" s="427">
        <v>500</v>
      </c>
    </row>
    <row r="103" spans="1:62" s="424" customFormat="1" ht="15" customHeight="1" x14ac:dyDescent="0.3">
      <c r="A103" s="408"/>
      <c r="B103" s="39" t="s">
        <v>67</v>
      </c>
      <c r="C103" s="425">
        <v>468</v>
      </c>
      <c r="D103" s="426">
        <v>483</v>
      </c>
      <c r="E103" s="427">
        <v>491</v>
      </c>
      <c r="F103" s="425">
        <v>488</v>
      </c>
      <c r="G103" s="426">
        <v>517</v>
      </c>
      <c r="H103" s="428">
        <v>553</v>
      </c>
      <c r="I103" s="429">
        <v>527</v>
      </c>
      <c r="J103" s="430">
        <v>541</v>
      </c>
      <c r="K103" s="428">
        <v>554</v>
      </c>
      <c r="L103" s="429">
        <v>525</v>
      </c>
      <c r="M103" s="426">
        <v>528</v>
      </c>
      <c r="N103" s="427">
        <v>551</v>
      </c>
      <c r="O103" s="429">
        <v>514</v>
      </c>
      <c r="P103" s="431">
        <v>560</v>
      </c>
      <c r="Q103" s="427">
        <v>539</v>
      </c>
      <c r="R103" s="429">
        <v>488</v>
      </c>
      <c r="S103" s="431">
        <v>515</v>
      </c>
      <c r="T103" s="427">
        <v>489</v>
      </c>
      <c r="U103" s="429">
        <v>441</v>
      </c>
      <c r="V103" s="431">
        <v>449</v>
      </c>
      <c r="W103" s="427">
        <v>426</v>
      </c>
      <c r="X103" s="432">
        <v>409</v>
      </c>
      <c r="Y103" s="433">
        <v>439</v>
      </c>
      <c r="Z103" s="427">
        <v>433</v>
      </c>
      <c r="AA103" s="432">
        <v>392</v>
      </c>
      <c r="AB103" s="433">
        <v>417</v>
      </c>
      <c r="AC103" s="427">
        <v>447</v>
      </c>
      <c r="AD103" s="432">
        <v>386</v>
      </c>
      <c r="AE103" s="433">
        <v>433</v>
      </c>
      <c r="AF103" s="427">
        <v>458</v>
      </c>
      <c r="AG103" s="432">
        <v>433</v>
      </c>
      <c r="AH103" s="433">
        <v>436</v>
      </c>
      <c r="AI103" s="427">
        <v>483</v>
      </c>
      <c r="AJ103" s="432">
        <v>424</v>
      </c>
      <c r="AK103" s="433">
        <v>462</v>
      </c>
      <c r="AL103" s="427">
        <v>495</v>
      </c>
      <c r="AM103" s="432">
        <v>475</v>
      </c>
      <c r="AN103" s="433">
        <v>502</v>
      </c>
      <c r="AO103" s="427">
        <v>528</v>
      </c>
      <c r="AP103" s="432">
        <v>497</v>
      </c>
      <c r="AQ103" s="433">
        <v>521</v>
      </c>
      <c r="AR103" s="427">
        <v>519</v>
      </c>
      <c r="AS103" s="432">
        <v>491</v>
      </c>
      <c r="AT103" s="433">
        <v>485</v>
      </c>
      <c r="AU103" s="427">
        <v>525</v>
      </c>
      <c r="AV103" s="432">
        <v>474</v>
      </c>
      <c r="AW103" s="433">
        <v>464</v>
      </c>
      <c r="AX103" s="427">
        <v>541</v>
      </c>
      <c r="AY103" s="432">
        <v>490</v>
      </c>
      <c r="AZ103" s="433">
        <v>499</v>
      </c>
      <c r="BA103" s="427">
        <v>492</v>
      </c>
      <c r="BB103" s="432">
        <v>474</v>
      </c>
      <c r="BC103" s="433">
        <v>515</v>
      </c>
      <c r="BD103" s="427">
        <v>497</v>
      </c>
      <c r="BE103" s="432">
        <v>476</v>
      </c>
      <c r="BF103" s="433">
        <v>505</v>
      </c>
      <c r="BG103" s="427">
        <v>524</v>
      </c>
      <c r="BH103" s="432">
        <v>504</v>
      </c>
      <c r="BI103" s="433">
        <v>561</v>
      </c>
      <c r="BJ103" s="427">
        <v>553</v>
      </c>
    </row>
    <row r="104" spans="1:62" s="424" customFormat="1" ht="15" customHeight="1" x14ac:dyDescent="0.3">
      <c r="A104" s="408"/>
      <c r="B104" s="39" t="s">
        <v>104</v>
      </c>
      <c r="C104" s="40">
        <v>220</v>
      </c>
      <c r="D104" s="281">
        <v>234</v>
      </c>
      <c r="E104" s="332">
        <v>261</v>
      </c>
      <c r="F104" s="280">
        <v>227</v>
      </c>
      <c r="G104" s="281">
        <v>247</v>
      </c>
      <c r="H104" s="332">
        <v>286</v>
      </c>
      <c r="I104" s="40">
        <v>264</v>
      </c>
      <c r="J104" s="41">
        <v>288</v>
      </c>
      <c r="K104" s="332">
        <v>305</v>
      </c>
      <c r="L104" s="40">
        <v>281</v>
      </c>
      <c r="M104" s="41">
        <v>284</v>
      </c>
      <c r="N104" s="332">
        <v>319</v>
      </c>
      <c r="O104" s="40">
        <v>284</v>
      </c>
      <c r="P104" s="41">
        <v>327</v>
      </c>
      <c r="Q104" s="332">
        <v>343</v>
      </c>
      <c r="R104" s="40">
        <v>318</v>
      </c>
      <c r="S104" s="41">
        <v>344</v>
      </c>
      <c r="T104" s="332">
        <v>353</v>
      </c>
      <c r="U104" s="40">
        <v>321</v>
      </c>
      <c r="V104" s="41">
        <v>366</v>
      </c>
      <c r="W104" s="332">
        <v>382</v>
      </c>
      <c r="X104" s="40">
        <v>357</v>
      </c>
      <c r="Y104" s="41">
        <v>369</v>
      </c>
      <c r="Z104" s="332">
        <v>377</v>
      </c>
      <c r="AA104" s="435">
        <v>353</v>
      </c>
      <c r="AB104" s="41">
        <v>360</v>
      </c>
      <c r="AC104" s="332">
        <v>401</v>
      </c>
      <c r="AD104" s="435">
        <v>371</v>
      </c>
      <c r="AE104" s="41">
        <v>399</v>
      </c>
      <c r="AF104" s="332">
        <v>411</v>
      </c>
      <c r="AG104" s="435">
        <v>384</v>
      </c>
      <c r="AH104" s="41">
        <v>403</v>
      </c>
      <c r="AI104" s="332">
        <v>402</v>
      </c>
      <c r="AJ104" s="435">
        <v>362</v>
      </c>
      <c r="AK104" s="41">
        <v>403</v>
      </c>
      <c r="AL104" s="332">
        <v>397</v>
      </c>
      <c r="AM104" s="435">
        <v>382</v>
      </c>
      <c r="AN104" s="41">
        <v>362</v>
      </c>
      <c r="AO104" s="332">
        <v>398</v>
      </c>
      <c r="AP104" s="435">
        <v>376</v>
      </c>
      <c r="AQ104" s="41">
        <v>366</v>
      </c>
      <c r="AR104" s="332">
        <v>382</v>
      </c>
      <c r="AS104" s="435">
        <v>357</v>
      </c>
      <c r="AT104" s="41">
        <v>374</v>
      </c>
      <c r="AU104" s="332">
        <v>403</v>
      </c>
      <c r="AV104" s="435">
        <v>380</v>
      </c>
      <c r="AW104" s="41">
        <v>354</v>
      </c>
      <c r="AX104" s="332">
        <v>362</v>
      </c>
      <c r="AY104" s="435">
        <v>341</v>
      </c>
      <c r="AZ104" s="41">
        <v>350</v>
      </c>
      <c r="BA104" s="332">
        <v>352</v>
      </c>
      <c r="BB104" s="435">
        <v>352</v>
      </c>
      <c r="BC104" s="41">
        <v>368</v>
      </c>
      <c r="BD104" s="332">
        <v>358</v>
      </c>
      <c r="BE104" s="435">
        <v>333</v>
      </c>
      <c r="BF104" s="41">
        <v>344</v>
      </c>
      <c r="BG104" s="332">
        <v>334</v>
      </c>
      <c r="BH104" s="435">
        <v>324</v>
      </c>
      <c r="BI104" s="41">
        <v>323</v>
      </c>
      <c r="BJ104" s="332">
        <v>332</v>
      </c>
    </row>
    <row r="105" spans="1:62" s="424" customFormat="1" ht="15" customHeight="1" x14ac:dyDescent="0.3">
      <c r="A105" s="408"/>
      <c r="B105" s="436" t="s">
        <v>68</v>
      </c>
      <c r="C105" s="437">
        <f>SUM(C101:C104)</f>
        <v>2034</v>
      </c>
      <c r="D105" s="438">
        <f t="shared" ref="D105:BD105" si="56">SUM(D101:D104)</f>
        <v>2150</v>
      </c>
      <c r="E105" s="439">
        <f t="shared" si="56"/>
        <v>2350</v>
      </c>
      <c r="F105" s="437">
        <f t="shared" si="56"/>
        <v>2141</v>
      </c>
      <c r="G105" s="438">
        <f t="shared" si="56"/>
        <v>2352</v>
      </c>
      <c r="H105" s="439">
        <f t="shared" si="56"/>
        <v>2463</v>
      </c>
      <c r="I105" s="437">
        <f t="shared" si="56"/>
        <v>2342</v>
      </c>
      <c r="J105" s="438">
        <f t="shared" si="56"/>
        <v>2499</v>
      </c>
      <c r="K105" s="439">
        <f t="shared" si="56"/>
        <v>2562</v>
      </c>
      <c r="L105" s="437">
        <f t="shared" si="56"/>
        <v>2437</v>
      </c>
      <c r="M105" s="438">
        <f t="shared" si="56"/>
        <v>2537</v>
      </c>
      <c r="N105" s="439">
        <f t="shared" si="56"/>
        <v>2555</v>
      </c>
      <c r="O105" s="437">
        <f t="shared" si="56"/>
        <v>2405</v>
      </c>
      <c r="P105" s="438">
        <f t="shared" si="56"/>
        <v>2588</v>
      </c>
      <c r="Q105" s="439">
        <f t="shared" si="56"/>
        <v>2624</v>
      </c>
      <c r="R105" s="437">
        <f t="shared" si="56"/>
        <v>2476</v>
      </c>
      <c r="S105" s="438">
        <f t="shared" si="56"/>
        <v>2556</v>
      </c>
      <c r="T105" s="439">
        <f t="shared" si="56"/>
        <v>2508</v>
      </c>
      <c r="U105" s="437">
        <f t="shared" si="56"/>
        <v>2360</v>
      </c>
      <c r="V105" s="438">
        <f t="shared" si="56"/>
        <v>2503</v>
      </c>
      <c r="W105" s="439">
        <f t="shared" si="56"/>
        <v>2427</v>
      </c>
      <c r="X105" s="437">
        <f t="shared" si="56"/>
        <v>2344</v>
      </c>
      <c r="Y105" s="438">
        <f t="shared" si="56"/>
        <v>2383</v>
      </c>
      <c r="Z105" s="439">
        <f t="shared" si="56"/>
        <v>2400</v>
      </c>
      <c r="AA105" s="437">
        <f t="shared" si="56"/>
        <v>2192</v>
      </c>
      <c r="AB105" s="438">
        <f t="shared" si="56"/>
        <v>2294</v>
      </c>
      <c r="AC105" s="439">
        <f t="shared" si="56"/>
        <v>2429</v>
      </c>
      <c r="AD105" s="437">
        <f t="shared" si="56"/>
        <v>2222</v>
      </c>
      <c r="AE105" s="438">
        <f t="shared" si="56"/>
        <v>2342</v>
      </c>
      <c r="AF105" s="439">
        <f t="shared" si="56"/>
        <v>2430</v>
      </c>
      <c r="AG105" s="437">
        <f t="shared" si="56"/>
        <v>2274</v>
      </c>
      <c r="AH105" s="438">
        <f t="shared" si="56"/>
        <v>2355</v>
      </c>
      <c r="AI105" s="439">
        <f t="shared" si="56"/>
        <v>2454</v>
      </c>
      <c r="AJ105" s="437">
        <f t="shared" si="56"/>
        <v>2189</v>
      </c>
      <c r="AK105" s="438">
        <f t="shared" si="56"/>
        <v>2361</v>
      </c>
      <c r="AL105" s="439">
        <f t="shared" si="56"/>
        <v>2423</v>
      </c>
      <c r="AM105" s="437">
        <f t="shared" si="56"/>
        <v>2299</v>
      </c>
      <c r="AN105" s="438">
        <f t="shared" si="56"/>
        <v>2308</v>
      </c>
      <c r="AO105" s="439">
        <f t="shared" si="56"/>
        <v>2459</v>
      </c>
      <c r="AP105" s="437">
        <f t="shared" si="56"/>
        <v>2287</v>
      </c>
      <c r="AQ105" s="438">
        <f t="shared" si="56"/>
        <v>2366</v>
      </c>
      <c r="AR105" s="439">
        <f t="shared" si="56"/>
        <v>2447</v>
      </c>
      <c r="AS105" s="437">
        <f t="shared" si="56"/>
        <v>2298</v>
      </c>
      <c r="AT105" s="438">
        <f t="shared" si="56"/>
        <v>2388</v>
      </c>
      <c r="AU105" s="439">
        <f t="shared" si="56"/>
        <v>2489</v>
      </c>
      <c r="AV105" s="437">
        <f t="shared" si="56"/>
        <v>2312</v>
      </c>
      <c r="AW105" s="438">
        <f t="shared" si="56"/>
        <v>2330</v>
      </c>
      <c r="AX105" s="439">
        <f t="shared" si="56"/>
        <v>2497</v>
      </c>
      <c r="AY105" s="437">
        <f t="shared" si="56"/>
        <v>2342</v>
      </c>
      <c r="AZ105" s="438">
        <f t="shared" si="56"/>
        <v>2457</v>
      </c>
      <c r="BA105" s="439">
        <f t="shared" si="56"/>
        <v>2450</v>
      </c>
      <c r="BB105" s="437">
        <f t="shared" si="56"/>
        <v>2423</v>
      </c>
      <c r="BC105" s="438">
        <f t="shared" si="56"/>
        <v>2502</v>
      </c>
      <c r="BD105" s="439">
        <f t="shared" si="56"/>
        <v>2520</v>
      </c>
      <c r="BE105" s="437">
        <f t="shared" ref="BE105:BG105" si="57">SUM(BE101:BE104)</f>
        <v>2406</v>
      </c>
      <c r="BF105" s="438">
        <f t="shared" si="57"/>
        <v>2466</v>
      </c>
      <c r="BG105" s="439">
        <f t="shared" si="57"/>
        <v>2488</v>
      </c>
      <c r="BH105" s="437">
        <f t="shared" ref="BH105:BJ105" si="58">SUM(BH101:BH104)</f>
        <v>2427</v>
      </c>
      <c r="BI105" s="438">
        <f>SUM(BI101:BI104)</f>
        <v>2523</v>
      </c>
      <c r="BJ105" s="439">
        <f t="shared" si="58"/>
        <v>2492</v>
      </c>
    </row>
    <row r="106" spans="1:62" s="424" customFormat="1" ht="15" customHeight="1" x14ac:dyDescent="0.3">
      <c r="A106" s="408"/>
      <c r="B106" s="484" t="s">
        <v>105</v>
      </c>
      <c r="C106" s="485">
        <f>SUM(C105,C100,C91)</f>
        <v>10864</v>
      </c>
      <c r="D106" s="486">
        <f t="shared" ref="D106:BD106" si="59">SUM(D105,D100,D91)</f>
        <v>11321</v>
      </c>
      <c r="E106" s="487">
        <f t="shared" si="59"/>
        <v>11859</v>
      </c>
      <c r="F106" s="485">
        <f t="shared" si="59"/>
        <v>11046</v>
      </c>
      <c r="G106" s="486">
        <f t="shared" si="59"/>
        <v>12184</v>
      </c>
      <c r="H106" s="487">
        <f t="shared" si="59"/>
        <v>12916</v>
      </c>
      <c r="I106" s="485">
        <f t="shared" si="59"/>
        <v>12100</v>
      </c>
      <c r="J106" s="486">
        <f t="shared" si="59"/>
        <v>13235</v>
      </c>
      <c r="K106" s="487">
        <f t="shared" si="59"/>
        <v>13875</v>
      </c>
      <c r="L106" s="485">
        <f t="shared" si="59"/>
        <v>12949</v>
      </c>
      <c r="M106" s="486">
        <f t="shared" si="59"/>
        <v>13788</v>
      </c>
      <c r="N106" s="487">
        <f t="shared" si="59"/>
        <v>14227</v>
      </c>
      <c r="O106" s="485">
        <f t="shared" si="59"/>
        <v>13315</v>
      </c>
      <c r="P106" s="486">
        <f t="shared" si="59"/>
        <v>14049</v>
      </c>
      <c r="Q106" s="487">
        <f t="shared" si="59"/>
        <v>14343</v>
      </c>
      <c r="R106" s="485">
        <f t="shared" si="59"/>
        <v>13363</v>
      </c>
      <c r="S106" s="486">
        <f t="shared" si="59"/>
        <v>13631</v>
      </c>
      <c r="T106" s="487">
        <f t="shared" si="59"/>
        <v>13745</v>
      </c>
      <c r="U106" s="485">
        <f t="shared" si="59"/>
        <v>12876</v>
      </c>
      <c r="V106" s="486">
        <f t="shared" si="59"/>
        <v>13545</v>
      </c>
      <c r="W106" s="487">
        <f t="shared" si="59"/>
        <v>13387</v>
      </c>
      <c r="X106" s="485">
        <f t="shared" si="59"/>
        <v>12620</v>
      </c>
      <c r="Y106" s="486">
        <f t="shared" si="59"/>
        <v>13200</v>
      </c>
      <c r="Z106" s="487">
        <f t="shared" si="59"/>
        <v>13485</v>
      </c>
      <c r="AA106" s="485">
        <f t="shared" si="59"/>
        <v>12419</v>
      </c>
      <c r="AB106" s="486">
        <f t="shared" si="59"/>
        <v>12969</v>
      </c>
      <c r="AC106" s="487">
        <f t="shared" si="59"/>
        <v>13456</v>
      </c>
      <c r="AD106" s="485">
        <f t="shared" si="59"/>
        <v>12325</v>
      </c>
      <c r="AE106" s="486">
        <f t="shared" si="59"/>
        <v>12970</v>
      </c>
      <c r="AF106" s="487">
        <f t="shared" si="59"/>
        <v>13432</v>
      </c>
      <c r="AG106" s="485">
        <f t="shared" si="59"/>
        <v>12555</v>
      </c>
      <c r="AH106" s="486">
        <f t="shared" si="59"/>
        <v>13166</v>
      </c>
      <c r="AI106" s="487">
        <f t="shared" si="59"/>
        <v>13491</v>
      </c>
      <c r="AJ106" s="485">
        <f t="shared" si="59"/>
        <v>11918</v>
      </c>
      <c r="AK106" s="486">
        <f t="shared" si="59"/>
        <v>13218</v>
      </c>
      <c r="AL106" s="487">
        <f t="shared" si="59"/>
        <v>13567</v>
      </c>
      <c r="AM106" s="485">
        <f t="shared" si="59"/>
        <v>12593</v>
      </c>
      <c r="AN106" s="486">
        <f t="shared" si="59"/>
        <v>13114</v>
      </c>
      <c r="AO106" s="487">
        <f t="shared" si="59"/>
        <v>13624</v>
      </c>
      <c r="AP106" s="485">
        <f t="shared" si="59"/>
        <v>12517</v>
      </c>
      <c r="AQ106" s="486">
        <f t="shared" si="59"/>
        <v>13154</v>
      </c>
      <c r="AR106" s="487">
        <f t="shared" si="59"/>
        <v>13654</v>
      </c>
      <c r="AS106" s="485">
        <f t="shared" si="59"/>
        <v>12748</v>
      </c>
      <c r="AT106" s="486">
        <f t="shared" si="59"/>
        <v>13522</v>
      </c>
      <c r="AU106" s="487">
        <f t="shared" si="59"/>
        <v>14099</v>
      </c>
      <c r="AV106" s="485">
        <f t="shared" si="59"/>
        <v>12965</v>
      </c>
      <c r="AW106" s="486">
        <f t="shared" si="59"/>
        <v>13688</v>
      </c>
      <c r="AX106" s="487">
        <f t="shared" si="59"/>
        <v>14393</v>
      </c>
      <c r="AY106" s="485">
        <f t="shared" si="59"/>
        <v>13455</v>
      </c>
      <c r="AZ106" s="486">
        <f t="shared" si="59"/>
        <v>13975</v>
      </c>
      <c r="BA106" s="487">
        <f t="shared" si="59"/>
        <v>14167</v>
      </c>
      <c r="BB106" s="485">
        <f t="shared" si="59"/>
        <v>13857</v>
      </c>
      <c r="BC106" s="486">
        <f t="shared" si="59"/>
        <v>14561</v>
      </c>
      <c r="BD106" s="487">
        <f t="shared" si="59"/>
        <v>14623</v>
      </c>
      <c r="BE106" s="485">
        <f t="shared" ref="BE106:BG106" si="60">SUM(BE105,BE100,BE91)</f>
        <v>13871</v>
      </c>
      <c r="BF106" s="486">
        <f t="shared" si="60"/>
        <v>14631</v>
      </c>
      <c r="BG106" s="487">
        <f t="shared" si="60"/>
        <v>14465</v>
      </c>
      <c r="BH106" s="485">
        <f t="shared" ref="BH106:BJ106" si="61">SUM(BH105,BH100,BH91)</f>
        <v>13933</v>
      </c>
      <c r="BI106" s="486">
        <f t="shared" si="61"/>
        <v>14524</v>
      </c>
      <c r="BJ106" s="487">
        <f t="shared" si="61"/>
        <v>14581</v>
      </c>
    </row>
    <row r="107" spans="1:62" s="424" customFormat="1" ht="15" customHeight="1" x14ac:dyDescent="0.3">
      <c r="A107" s="408"/>
      <c r="C107" s="488"/>
      <c r="D107" s="488"/>
      <c r="E107" s="488"/>
      <c r="F107" s="488"/>
      <c r="G107" s="488"/>
      <c r="H107" s="488"/>
      <c r="I107" s="488"/>
      <c r="J107" s="488"/>
      <c r="K107" s="488"/>
      <c r="L107" s="488"/>
      <c r="M107" s="488"/>
      <c r="N107" s="488"/>
      <c r="O107" s="488"/>
      <c r="P107" s="488"/>
      <c r="Q107" s="488"/>
      <c r="R107" s="488"/>
      <c r="S107" s="488"/>
      <c r="T107" s="488"/>
      <c r="U107" s="488"/>
      <c r="V107" s="488"/>
      <c r="W107" s="488"/>
      <c r="X107" s="488"/>
      <c r="Y107" s="488"/>
      <c r="Z107" s="488"/>
      <c r="AA107" s="488"/>
      <c r="AB107" s="488"/>
      <c r="AC107" s="488"/>
      <c r="AD107" s="488"/>
      <c r="AE107" s="488"/>
      <c r="AF107" s="488"/>
      <c r="AG107" s="488"/>
      <c r="AH107" s="488"/>
      <c r="AI107" s="488"/>
      <c r="AJ107" s="488"/>
      <c r="AK107" s="488"/>
      <c r="AL107" s="488"/>
      <c r="AM107" s="488"/>
      <c r="AN107" s="488"/>
      <c r="AO107" s="488"/>
      <c r="AP107" s="488"/>
      <c r="AQ107" s="488"/>
      <c r="AR107" s="488"/>
      <c r="AS107" s="488"/>
      <c r="AT107" s="488"/>
      <c r="AU107" s="488"/>
      <c r="AV107" s="488"/>
      <c r="AW107" s="488"/>
      <c r="AX107" s="488"/>
      <c r="AY107" s="488"/>
      <c r="AZ107" s="488"/>
      <c r="BA107" s="488"/>
      <c r="BB107" s="488"/>
      <c r="BC107" s="488"/>
      <c r="BD107" s="488"/>
      <c r="BE107" s="488"/>
      <c r="BF107" s="488"/>
      <c r="BG107" s="488"/>
      <c r="BH107" s="488"/>
      <c r="BI107" s="488"/>
      <c r="BJ107" s="488"/>
    </row>
    <row r="108" spans="1:62" s="489" customFormat="1" ht="14.4" x14ac:dyDescent="0.3">
      <c r="B108" s="490" t="s">
        <v>128</v>
      </c>
      <c r="C108" s="491">
        <f>SUM(C25,C40,C71,C84,C106)</f>
        <v>31801</v>
      </c>
      <c r="D108" s="492">
        <f t="shared" ref="D108:BD108" si="62">SUM(D25,D40,D71,D84,D106)</f>
        <v>32394</v>
      </c>
      <c r="E108" s="493">
        <f t="shared" si="62"/>
        <v>34309</v>
      </c>
      <c r="F108" s="491">
        <f t="shared" si="62"/>
        <v>31650</v>
      </c>
      <c r="G108" s="492">
        <f t="shared" si="62"/>
        <v>33022</v>
      </c>
      <c r="H108" s="493">
        <f t="shared" si="62"/>
        <v>35567</v>
      </c>
      <c r="I108" s="491">
        <f t="shared" si="62"/>
        <v>32915</v>
      </c>
      <c r="J108" s="492">
        <f t="shared" si="62"/>
        <v>34545</v>
      </c>
      <c r="K108" s="493">
        <f t="shared" si="62"/>
        <v>37008</v>
      </c>
      <c r="L108" s="491">
        <f t="shared" si="62"/>
        <v>34125</v>
      </c>
      <c r="M108" s="492">
        <f t="shared" si="62"/>
        <v>35487</v>
      </c>
      <c r="N108" s="493">
        <f t="shared" si="62"/>
        <v>37745</v>
      </c>
      <c r="O108" s="491">
        <f t="shared" si="62"/>
        <v>35107</v>
      </c>
      <c r="P108" s="492">
        <f t="shared" si="62"/>
        <v>36252</v>
      </c>
      <c r="Q108" s="493">
        <f t="shared" si="62"/>
        <v>38403</v>
      </c>
      <c r="R108" s="491">
        <f t="shared" si="62"/>
        <v>35784</v>
      </c>
      <c r="S108" s="492">
        <f t="shared" si="62"/>
        <v>36078</v>
      </c>
      <c r="T108" s="493">
        <f t="shared" si="62"/>
        <v>38365</v>
      </c>
      <c r="U108" s="491">
        <f t="shared" si="62"/>
        <v>36212</v>
      </c>
      <c r="V108" s="492">
        <f t="shared" si="62"/>
        <v>37543</v>
      </c>
      <c r="W108" s="493">
        <f t="shared" si="62"/>
        <v>38910</v>
      </c>
      <c r="X108" s="491">
        <f t="shared" si="62"/>
        <v>36709</v>
      </c>
      <c r="Y108" s="492">
        <f t="shared" si="62"/>
        <v>38127</v>
      </c>
      <c r="Z108" s="493">
        <f t="shared" si="62"/>
        <v>40712</v>
      </c>
      <c r="AA108" s="491">
        <f t="shared" si="62"/>
        <v>37381</v>
      </c>
      <c r="AB108" s="492">
        <f t="shared" si="62"/>
        <v>39436</v>
      </c>
      <c r="AC108" s="493">
        <f t="shared" si="62"/>
        <v>41235</v>
      </c>
      <c r="AD108" s="491">
        <f t="shared" si="62"/>
        <v>38652</v>
      </c>
      <c r="AE108" s="492">
        <f t="shared" si="62"/>
        <v>40425</v>
      </c>
      <c r="AF108" s="493">
        <f t="shared" si="62"/>
        <v>42242</v>
      </c>
      <c r="AG108" s="491">
        <f t="shared" si="62"/>
        <v>39886</v>
      </c>
      <c r="AH108" s="492">
        <f t="shared" si="62"/>
        <v>41530</v>
      </c>
      <c r="AI108" s="493">
        <f t="shared" si="62"/>
        <v>43762</v>
      </c>
      <c r="AJ108" s="491">
        <f t="shared" si="62"/>
        <v>39805</v>
      </c>
      <c r="AK108" s="492">
        <f t="shared" si="62"/>
        <v>41649</v>
      </c>
      <c r="AL108" s="493">
        <f t="shared" si="62"/>
        <v>44301</v>
      </c>
      <c r="AM108" s="491">
        <f t="shared" si="62"/>
        <v>40889</v>
      </c>
      <c r="AN108" s="492">
        <f t="shared" si="62"/>
        <v>41926</v>
      </c>
      <c r="AO108" s="493">
        <f t="shared" si="62"/>
        <v>44712</v>
      </c>
      <c r="AP108" s="491">
        <f t="shared" si="62"/>
        <v>40840</v>
      </c>
      <c r="AQ108" s="492">
        <f t="shared" si="62"/>
        <v>42156</v>
      </c>
      <c r="AR108" s="493">
        <f t="shared" si="62"/>
        <v>45078</v>
      </c>
      <c r="AS108" s="491">
        <f t="shared" si="62"/>
        <v>39729</v>
      </c>
      <c r="AT108" s="492">
        <f t="shared" si="62"/>
        <v>42571</v>
      </c>
      <c r="AU108" s="493">
        <f t="shared" si="62"/>
        <v>45207</v>
      </c>
      <c r="AV108" s="491">
        <f t="shared" si="62"/>
        <v>41446</v>
      </c>
      <c r="AW108" s="492">
        <f t="shared" si="62"/>
        <v>42960</v>
      </c>
      <c r="AX108" s="493">
        <f t="shared" si="62"/>
        <v>45936</v>
      </c>
      <c r="AY108" s="491">
        <f t="shared" si="62"/>
        <v>42587</v>
      </c>
      <c r="AZ108" s="492">
        <f t="shared" si="62"/>
        <v>42534</v>
      </c>
      <c r="BA108" s="493">
        <f t="shared" si="62"/>
        <v>45088</v>
      </c>
      <c r="BB108" s="491">
        <f t="shared" si="62"/>
        <v>42881</v>
      </c>
      <c r="BC108" s="492">
        <f t="shared" si="62"/>
        <v>44320</v>
      </c>
      <c r="BD108" s="493">
        <f t="shared" si="62"/>
        <v>46827</v>
      </c>
      <c r="BE108" s="491">
        <f t="shared" ref="BE108:BG108" si="63">SUM(BE25,BE40,BE71,BE84,BE106)</f>
        <v>44212</v>
      </c>
      <c r="BF108" s="492">
        <f t="shared" si="63"/>
        <v>45856</v>
      </c>
      <c r="BG108" s="493">
        <f t="shared" si="63"/>
        <v>47050</v>
      </c>
      <c r="BH108" s="491">
        <f t="shared" ref="BH108:BJ108" si="64">SUM(BH25,BH40,BH71,BH84,BH106)</f>
        <v>45026</v>
      </c>
      <c r="BI108" s="492">
        <f t="shared" si="64"/>
        <v>45921</v>
      </c>
      <c r="BJ108" s="493">
        <f t="shared" si="64"/>
        <v>47641</v>
      </c>
    </row>
    <row r="109" spans="1:62" s="494" customFormat="1" ht="13.8" x14ac:dyDescent="0.25">
      <c r="B109" s="495"/>
      <c r="C109" s="495"/>
      <c r="D109" s="495"/>
      <c r="E109" s="489"/>
      <c r="H109" s="489"/>
      <c r="K109" s="489"/>
      <c r="N109" s="489"/>
      <c r="Q109" s="489"/>
    </row>
    <row r="110" spans="1:62" s="494" customFormat="1" ht="13.8" x14ac:dyDescent="0.25">
      <c r="B110" s="393" t="s">
        <v>151</v>
      </c>
      <c r="E110" s="489"/>
      <c r="H110" s="489"/>
      <c r="K110" s="489"/>
      <c r="N110" s="489"/>
      <c r="Q110" s="489"/>
    </row>
    <row r="113" spans="24:26" x14ac:dyDescent="0.25">
      <c r="X113" s="496"/>
      <c r="Y113" s="496"/>
      <c r="Z113" s="496"/>
    </row>
  </sheetData>
  <mergeCells count="21">
    <mergeCell ref="AG3:AI3"/>
    <mergeCell ref="B3:B4"/>
    <mergeCell ref="C3:E3"/>
    <mergeCell ref="F3:H3"/>
    <mergeCell ref="I3:K3"/>
    <mergeCell ref="L3:N3"/>
    <mergeCell ref="O3:Q3"/>
    <mergeCell ref="R3:T3"/>
    <mergeCell ref="U3:W3"/>
    <mergeCell ref="X3:Z3"/>
    <mergeCell ref="AA3:AC3"/>
    <mergeCell ref="AD3:AF3"/>
    <mergeCell ref="BH3:BJ3"/>
    <mergeCell ref="BE3:BG3"/>
    <mergeCell ref="BB3:BD3"/>
    <mergeCell ref="AJ3:AL3"/>
    <mergeCell ref="AM3:AO3"/>
    <mergeCell ref="AP3:AR3"/>
    <mergeCell ref="AS3:AU3"/>
    <mergeCell ref="AV3:AX3"/>
    <mergeCell ref="AY3:BA3"/>
  </mergeCells>
  <hyperlinks>
    <hyperlink ref="B2" r:id="rId1" display="http://www.transparencia.uam.mx/inforganos/anuarios/_x000a_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scale="60" firstPageNumber="17" pageOrder="overThenDown" orientation="landscape" useFirstPageNumber="1" r:id="rId2"/>
  <headerFooter scaleWithDoc="0" alignWithMargins="0">
    <oddFooter>&amp;R&amp;P</oddFooter>
  </headerFooter>
  <rowBreaks count="2" manualBreakCount="2">
    <brk id="40" min="47" max="61" man="1"/>
    <brk id="71" min="47" max="61" man="1"/>
  </rowBreaks>
  <colBreaks count="2" manualBreakCount="2">
    <brk id="20" max="101" man="1"/>
    <brk id="38" max="1048575" man="1"/>
  </colBreaks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B1:BJ90"/>
  <sheetViews>
    <sheetView showGridLines="0" zoomScaleNormal="100" zoomScaleSheetLayoutView="50" workbookViewId="0">
      <pane xSplit="2" ySplit="5" topLeftCell="AP15" activePane="bottomRight" state="frozen"/>
      <selection activeCell="Q31" sqref="Q31"/>
      <selection pane="topRight" activeCell="Q31" sqref="Q31"/>
      <selection pane="bottomLeft" activeCell="Q31" sqref="Q31"/>
      <selection pane="bottomRight" activeCell="BH6" sqref="BH6:BI8"/>
    </sheetView>
  </sheetViews>
  <sheetFormatPr baseColWidth="10" defaultColWidth="11.44140625" defaultRowHeight="13.2" x14ac:dyDescent="0.25"/>
  <cols>
    <col min="1" max="1" width="2.88671875" style="497" customWidth="1"/>
    <col min="2" max="2" width="18.88671875" style="497" customWidth="1"/>
    <col min="3" max="41" width="8.88671875" style="497" customWidth="1"/>
    <col min="42" max="53" width="9.88671875" style="497" customWidth="1"/>
    <col min="54" max="56" width="9.5546875" style="497" customWidth="1"/>
    <col min="57" max="71" width="9.88671875" style="497" customWidth="1"/>
    <col min="72" max="255" width="11.44140625" style="497"/>
    <col min="256" max="256" width="1.88671875" style="497" customWidth="1"/>
    <col min="257" max="257" width="18.88671875" style="497" customWidth="1"/>
    <col min="258" max="258" width="16.109375" style="497" customWidth="1"/>
    <col min="259" max="279" width="12.88671875" style="497" customWidth="1"/>
    <col min="280" max="511" width="11.44140625" style="497"/>
    <col min="512" max="512" width="1.88671875" style="497" customWidth="1"/>
    <col min="513" max="513" width="18.88671875" style="497" customWidth="1"/>
    <col min="514" max="514" width="16.109375" style="497" customWidth="1"/>
    <col min="515" max="535" width="12.88671875" style="497" customWidth="1"/>
    <col min="536" max="767" width="11.44140625" style="497"/>
    <col min="768" max="768" width="1.88671875" style="497" customWidth="1"/>
    <col min="769" max="769" width="18.88671875" style="497" customWidth="1"/>
    <col min="770" max="770" width="16.109375" style="497" customWidth="1"/>
    <col min="771" max="791" width="12.88671875" style="497" customWidth="1"/>
    <col min="792" max="1023" width="11.44140625" style="497"/>
    <col min="1024" max="1024" width="1.88671875" style="497" customWidth="1"/>
    <col min="1025" max="1025" width="18.88671875" style="497" customWidth="1"/>
    <col min="1026" max="1026" width="16.109375" style="497" customWidth="1"/>
    <col min="1027" max="1047" width="12.88671875" style="497" customWidth="1"/>
    <col min="1048" max="1279" width="11.44140625" style="497"/>
    <col min="1280" max="1280" width="1.88671875" style="497" customWidth="1"/>
    <col min="1281" max="1281" width="18.88671875" style="497" customWidth="1"/>
    <col min="1282" max="1282" width="16.109375" style="497" customWidth="1"/>
    <col min="1283" max="1303" width="12.88671875" style="497" customWidth="1"/>
    <col min="1304" max="1535" width="11.44140625" style="497"/>
    <col min="1536" max="1536" width="1.88671875" style="497" customWidth="1"/>
    <col min="1537" max="1537" width="18.88671875" style="497" customWidth="1"/>
    <col min="1538" max="1538" width="16.109375" style="497" customWidth="1"/>
    <col min="1539" max="1559" width="12.88671875" style="497" customWidth="1"/>
    <col min="1560" max="1791" width="11.44140625" style="497"/>
    <col min="1792" max="1792" width="1.88671875" style="497" customWidth="1"/>
    <col min="1793" max="1793" width="18.88671875" style="497" customWidth="1"/>
    <col min="1794" max="1794" width="16.109375" style="497" customWidth="1"/>
    <col min="1795" max="1815" width="12.88671875" style="497" customWidth="1"/>
    <col min="1816" max="2047" width="11.44140625" style="497"/>
    <col min="2048" max="2048" width="1.88671875" style="497" customWidth="1"/>
    <col min="2049" max="2049" width="18.88671875" style="497" customWidth="1"/>
    <col min="2050" max="2050" width="16.109375" style="497" customWidth="1"/>
    <col min="2051" max="2071" width="12.88671875" style="497" customWidth="1"/>
    <col min="2072" max="2303" width="11.44140625" style="497"/>
    <col min="2304" max="2304" width="1.88671875" style="497" customWidth="1"/>
    <col min="2305" max="2305" width="18.88671875" style="497" customWidth="1"/>
    <col min="2306" max="2306" width="16.109375" style="497" customWidth="1"/>
    <col min="2307" max="2327" width="12.88671875" style="497" customWidth="1"/>
    <col min="2328" max="2559" width="11.44140625" style="497"/>
    <col min="2560" max="2560" width="1.88671875" style="497" customWidth="1"/>
    <col min="2561" max="2561" width="18.88671875" style="497" customWidth="1"/>
    <col min="2562" max="2562" width="16.109375" style="497" customWidth="1"/>
    <col min="2563" max="2583" width="12.88671875" style="497" customWidth="1"/>
    <col min="2584" max="2815" width="11.44140625" style="497"/>
    <col min="2816" max="2816" width="1.88671875" style="497" customWidth="1"/>
    <col min="2817" max="2817" width="18.88671875" style="497" customWidth="1"/>
    <col min="2818" max="2818" width="16.109375" style="497" customWidth="1"/>
    <col min="2819" max="2839" width="12.88671875" style="497" customWidth="1"/>
    <col min="2840" max="3071" width="11.44140625" style="497"/>
    <col min="3072" max="3072" width="1.88671875" style="497" customWidth="1"/>
    <col min="3073" max="3073" width="18.88671875" style="497" customWidth="1"/>
    <col min="3074" max="3074" width="16.109375" style="497" customWidth="1"/>
    <col min="3075" max="3095" width="12.88671875" style="497" customWidth="1"/>
    <col min="3096" max="3327" width="11.44140625" style="497"/>
    <col min="3328" max="3328" width="1.88671875" style="497" customWidth="1"/>
    <col min="3329" max="3329" width="18.88671875" style="497" customWidth="1"/>
    <col min="3330" max="3330" width="16.109375" style="497" customWidth="1"/>
    <col min="3331" max="3351" width="12.88671875" style="497" customWidth="1"/>
    <col min="3352" max="3583" width="11.44140625" style="497"/>
    <col min="3584" max="3584" width="1.88671875" style="497" customWidth="1"/>
    <col min="3585" max="3585" width="18.88671875" style="497" customWidth="1"/>
    <col min="3586" max="3586" width="16.109375" style="497" customWidth="1"/>
    <col min="3587" max="3607" width="12.88671875" style="497" customWidth="1"/>
    <col min="3608" max="3839" width="11.44140625" style="497"/>
    <col min="3840" max="3840" width="1.88671875" style="497" customWidth="1"/>
    <col min="3841" max="3841" width="18.88671875" style="497" customWidth="1"/>
    <col min="3842" max="3842" width="16.109375" style="497" customWidth="1"/>
    <col min="3843" max="3863" width="12.88671875" style="497" customWidth="1"/>
    <col min="3864" max="4095" width="11.44140625" style="497"/>
    <col min="4096" max="4096" width="1.88671875" style="497" customWidth="1"/>
    <col min="4097" max="4097" width="18.88671875" style="497" customWidth="1"/>
    <col min="4098" max="4098" width="16.109375" style="497" customWidth="1"/>
    <col min="4099" max="4119" width="12.88671875" style="497" customWidth="1"/>
    <col min="4120" max="4351" width="11.44140625" style="497"/>
    <col min="4352" max="4352" width="1.88671875" style="497" customWidth="1"/>
    <col min="4353" max="4353" width="18.88671875" style="497" customWidth="1"/>
    <col min="4354" max="4354" width="16.109375" style="497" customWidth="1"/>
    <col min="4355" max="4375" width="12.88671875" style="497" customWidth="1"/>
    <col min="4376" max="4607" width="11.44140625" style="497"/>
    <col min="4608" max="4608" width="1.88671875" style="497" customWidth="1"/>
    <col min="4609" max="4609" width="18.88671875" style="497" customWidth="1"/>
    <col min="4610" max="4610" width="16.109375" style="497" customWidth="1"/>
    <col min="4611" max="4631" width="12.88671875" style="497" customWidth="1"/>
    <col min="4632" max="4863" width="11.44140625" style="497"/>
    <col min="4864" max="4864" width="1.88671875" style="497" customWidth="1"/>
    <col min="4865" max="4865" width="18.88671875" style="497" customWidth="1"/>
    <col min="4866" max="4866" width="16.109375" style="497" customWidth="1"/>
    <col min="4867" max="4887" width="12.88671875" style="497" customWidth="1"/>
    <col min="4888" max="5119" width="11.44140625" style="497"/>
    <col min="5120" max="5120" width="1.88671875" style="497" customWidth="1"/>
    <col min="5121" max="5121" width="18.88671875" style="497" customWidth="1"/>
    <col min="5122" max="5122" width="16.109375" style="497" customWidth="1"/>
    <col min="5123" max="5143" width="12.88671875" style="497" customWidth="1"/>
    <col min="5144" max="5375" width="11.44140625" style="497"/>
    <col min="5376" max="5376" width="1.88671875" style="497" customWidth="1"/>
    <col min="5377" max="5377" width="18.88671875" style="497" customWidth="1"/>
    <col min="5378" max="5378" width="16.109375" style="497" customWidth="1"/>
    <col min="5379" max="5399" width="12.88671875" style="497" customWidth="1"/>
    <col min="5400" max="5631" width="11.44140625" style="497"/>
    <col min="5632" max="5632" width="1.88671875" style="497" customWidth="1"/>
    <col min="5633" max="5633" width="18.88671875" style="497" customWidth="1"/>
    <col min="5634" max="5634" width="16.109375" style="497" customWidth="1"/>
    <col min="5635" max="5655" width="12.88671875" style="497" customWidth="1"/>
    <col min="5656" max="5887" width="11.44140625" style="497"/>
    <col min="5888" max="5888" width="1.88671875" style="497" customWidth="1"/>
    <col min="5889" max="5889" width="18.88671875" style="497" customWidth="1"/>
    <col min="5890" max="5890" width="16.109375" style="497" customWidth="1"/>
    <col min="5891" max="5911" width="12.88671875" style="497" customWidth="1"/>
    <col min="5912" max="6143" width="11.44140625" style="497"/>
    <col min="6144" max="6144" width="1.88671875" style="497" customWidth="1"/>
    <col min="6145" max="6145" width="18.88671875" style="497" customWidth="1"/>
    <col min="6146" max="6146" width="16.109375" style="497" customWidth="1"/>
    <col min="6147" max="6167" width="12.88671875" style="497" customWidth="1"/>
    <col min="6168" max="6399" width="11.44140625" style="497"/>
    <col min="6400" max="6400" width="1.88671875" style="497" customWidth="1"/>
    <col min="6401" max="6401" width="18.88671875" style="497" customWidth="1"/>
    <col min="6402" max="6402" width="16.109375" style="497" customWidth="1"/>
    <col min="6403" max="6423" width="12.88671875" style="497" customWidth="1"/>
    <col min="6424" max="6655" width="11.44140625" style="497"/>
    <col min="6656" max="6656" width="1.88671875" style="497" customWidth="1"/>
    <col min="6657" max="6657" width="18.88671875" style="497" customWidth="1"/>
    <col min="6658" max="6658" width="16.109375" style="497" customWidth="1"/>
    <col min="6659" max="6679" width="12.88671875" style="497" customWidth="1"/>
    <col min="6680" max="6911" width="11.44140625" style="497"/>
    <col min="6912" max="6912" width="1.88671875" style="497" customWidth="1"/>
    <col min="6913" max="6913" width="18.88671875" style="497" customWidth="1"/>
    <col min="6914" max="6914" width="16.109375" style="497" customWidth="1"/>
    <col min="6915" max="6935" width="12.88671875" style="497" customWidth="1"/>
    <col min="6936" max="7167" width="11.44140625" style="497"/>
    <col min="7168" max="7168" width="1.88671875" style="497" customWidth="1"/>
    <col min="7169" max="7169" width="18.88671875" style="497" customWidth="1"/>
    <col min="7170" max="7170" width="16.109375" style="497" customWidth="1"/>
    <col min="7171" max="7191" width="12.88671875" style="497" customWidth="1"/>
    <col min="7192" max="7423" width="11.44140625" style="497"/>
    <col min="7424" max="7424" width="1.88671875" style="497" customWidth="1"/>
    <col min="7425" max="7425" width="18.88671875" style="497" customWidth="1"/>
    <col min="7426" max="7426" width="16.109375" style="497" customWidth="1"/>
    <col min="7427" max="7447" width="12.88671875" style="497" customWidth="1"/>
    <col min="7448" max="7679" width="11.44140625" style="497"/>
    <col min="7680" max="7680" width="1.88671875" style="497" customWidth="1"/>
    <col min="7681" max="7681" width="18.88671875" style="497" customWidth="1"/>
    <col min="7682" max="7682" width="16.109375" style="497" customWidth="1"/>
    <col min="7683" max="7703" width="12.88671875" style="497" customWidth="1"/>
    <col min="7704" max="7935" width="11.44140625" style="497"/>
    <col min="7936" max="7936" width="1.88671875" style="497" customWidth="1"/>
    <col min="7937" max="7937" width="18.88671875" style="497" customWidth="1"/>
    <col min="7938" max="7938" width="16.109375" style="497" customWidth="1"/>
    <col min="7939" max="7959" width="12.88671875" style="497" customWidth="1"/>
    <col min="7960" max="8191" width="11.44140625" style="497"/>
    <col min="8192" max="8192" width="1.88671875" style="497" customWidth="1"/>
    <col min="8193" max="8193" width="18.88671875" style="497" customWidth="1"/>
    <col min="8194" max="8194" width="16.109375" style="497" customWidth="1"/>
    <col min="8195" max="8215" width="12.88671875" style="497" customWidth="1"/>
    <col min="8216" max="8447" width="11.44140625" style="497"/>
    <col min="8448" max="8448" width="1.88671875" style="497" customWidth="1"/>
    <col min="8449" max="8449" width="18.88671875" style="497" customWidth="1"/>
    <col min="8450" max="8450" width="16.109375" style="497" customWidth="1"/>
    <col min="8451" max="8471" width="12.88671875" style="497" customWidth="1"/>
    <col min="8472" max="8703" width="11.44140625" style="497"/>
    <col min="8704" max="8704" width="1.88671875" style="497" customWidth="1"/>
    <col min="8705" max="8705" width="18.88671875" style="497" customWidth="1"/>
    <col min="8706" max="8706" width="16.109375" style="497" customWidth="1"/>
    <col min="8707" max="8727" width="12.88671875" style="497" customWidth="1"/>
    <col min="8728" max="8959" width="11.44140625" style="497"/>
    <col min="8960" max="8960" width="1.88671875" style="497" customWidth="1"/>
    <col min="8961" max="8961" width="18.88671875" style="497" customWidth="1"/>
    <col min="8962" max="8962" width="16.109375" style="497" customWidth="1"/>
    <col min="8963" max="8983" width="12.88671875" style="497" customWidth="1"/>
    <col min="8984" max="9215" width="11.44140625" style="497"/>
    <col min="9216" max="9216" width="1.88671875" style="497" customWidth="1"/>
    <col min="9217" max="9217" width="18.88671875" style="497" customWidth="1"/>
    <col min="9218" max="9218" width="16.109375" style="497" customWidth="1"/>
    <col min="9219" max="9239" width="12.88671875" style="497" customWidth="1"/>
    <col min="9240" max="9471" width="11.44140625" style="497"/>
    <col min="9472" max="9472" width="1.88671875" style="497" customWidth="1"/>
    <col min="9473" max="9473" width="18.88671875" style="497" customWidth="1"/>
    <col min="9474" max="9474" width="16.109375" style="497" customWidth="1"/>
    <col min="9475" max="9495" width="12.88671875" style="497" customWidth="1"/>
    <col min="9496" max="9727" width="11.44140625" style="497"/>
    <col min="9728" max="9728" width="1.88671875" style="497" customWidth="1"/>
    <col min="9729" max="9729" width="18.88671875" style="497" customWidth="1"/>
    <col min="9730" max="9730" width="16.109375" style="497" customWidth="1"/>
    <col min="9731" max="9751" width="12.88671875" style="497" customWidth="1"/>
    <col min="9752" max="9983" width="11.44140625" style="497"/>
    <col min="9984" max="9984" width="1.88671875" style="497" customWidth="1"/>
    <col min="9985" max="9985" width="18.88671875" style="497" customWidth="1"/>
    <col min="9986" max="9986" width="16.109375" style="497" customWidth="1"/>
    <col min="9987" max="10007" width="12.88671875" style="497" customWidth="1"/>
    <col min="10008" max="10239" width="11.44140625" style="497"/>
    <col min="10240" max="10240" width="1.88671875" style="497" customWidth="1"/>
    <col min="10241" max="10241" width="18.88671875" style="497" customWidth="1"/>
    <col min="10242" max="10242" width="16.109375" style="497" customWidth="1"/>
    <col min="10243" max="10263" width="12.88671875" style="497" customWidth="1"/>
    <col min="10264" max="10495" width="11.44140625" style="497"/>
    <col min="10496" max="10496" width="1.88671875" style="497" customWidth="1"/>
    <col min="10497" max="10497" width="18.88671875" style="497" customWidth="1"/>
    <col min="10498" max="10498" width="16.109375" style="497" customWidth="1"/>
    <col min="10499" max="10519" width="12.88671875" style="497" customWidth="1"/>
    <col min="10520" max="10751" width="11.44140625" style="497"/>
    <col min="10752" max="10752" width="1.88671875" style="497" customWidth="1"/>
    <col min="10753" max="10753" width="18.88671875" style="497" customWidth="1"/>
    <col min="10754" max="10754" width="16.109375" style="497" customWidth="1"/>
    <col min="10755" max="10775" width="12.88671875" style="497" customWidth="1"/>
    <col min="10776" max="11007" width="11.44140625" style="497"/>
    <col min="11008" max="11008" width="1.88671875" style="497" customWidth="1"/>
    <col min="11009" max="11009" width="18.88671875" style="497" customWidth="1"/>
    <col min="11010" max="11010" width="16.109375" style="497" customWidth="1"/>
    <col min="11011" max="11031" width="12.88671875" style="497" customWidth="1"/>
    <col min="11032" max="11263" width="11.44140625" style="497"/>
    <col min="11264" max="11264" width="1.88671875" style="497" customWidth="1"/>
    <col min="11265" max="11265" width="18.88671875" style="497" customWidth="1"/>
    <col min="11266" max="11266" width="16.109375" style="497" customWidth="1"/>
    <col min="11267" max="11287" width="12.88671875" style="497" customWidth="1"/>
    <col min="11288" max="11519" width="11.44140625" style="497"/>
    <col min="11520" max="11520" width="1.88671875" style="497" customWidth="1"/>
    <col min="11521" max="11521" width="18.88671875" style="497" customWidth="1"/>
    <col min="11522" max="11522" width="16.109375" style="497" customWidth="1"/>
    <col min="11523" max="11543" width="12.88671875" style="497" customWidth="1"/>
    <col min="11544" max="11775" width="11.44140625" style="497"/>
    <col min="11776" max="11776" width="1.88671875" style="497" customWidth="1"/>
    <col min="11777" max="11777" width="18.88671875" style="497" customWidth="1"/>
    <col min="11778" max="11778" width="16.109375" style="497" customWidth="1"/>
    <col min="11779" max="11799" width="12.88671875" style="497" customWidth="1"/>
    <col min="11800" max="12031" width="11.44140625" style="497"/>
    <col min="12032" max="12032" width="1.88671875" style="497" customWidth="1"/>
    <col min="12033" max="12033" width="18.88671875" style="497" customWidth="1"/>
    <col min="12034" max="12034" width="16.109375" style="497" customWidth="1"/>
    <col min="12035" max="12055" width="12.88671875" style="497" customWidth="1"/>
    <col min="12056" max="12287" width="11.44140625" style="497"/>
    <col min="12288" max="12288" width="1.88671875" style="497" customWidth="1"/>
    <col min="12289" max="12289" width="18.88671875" style="497" customWidth="1"/>
    <col min="12290" max="12290" width="16.109375" style="497" customWidth="1"/>
    <col min="12291" max="12311" width="12.88671875" style="497" customWidth="1"/>
    <col min="12312" max="12543" width="11.44140625" style="497"/>
    <col min="12544" max="12544" width="1.88671875" style="497" customWidth="1"/>
    <col min="12545" max="12545" width="18.88671875" style="497" customWidth="1"/>
    <col min="12546" max="12546" width="16.109375" style="497" customWidth="1"/>
    <col min="12547" max="12567" width="12.88671875" style="497" customWidth="1"/>
    <col min="12568" max="12799" width="11.44140625" style="497"/>
    <col min="12800" max="12800" width="1.88671875" style="497" customWidth="1"/>
    <col min="12801" max="12801" width="18.88671875" style="497" customWidth="1"/>
    <col min="12802" max="12802" width="16.109375" style="497" customWidth="1"/>
    <col min="12803" max="12823" width="12.88671875" style="497" customWidth="1"/>
    <col min="12824" max="13055" width="11.44140625" style="497"/>
    <col min="13056" max="13056" width="1.88671875" style="497" customWidth="1"/>
    <col min="13057" max="13057" width="18.88671875" style="497" customWidth="1"/>
    <col min="13058" max="13058" width="16.109375" style="497" customWidth="1"/>
    <col min="13059" max="13079" width="12.88671875" style="497" customWidth="1"/>
    <col min="13080" max="13311" width="11.44140625" style="497"/>
    <col min="13312" max="13312" width="1.88671875" style="497" customWidth="1"/>
    <col min="13313" max="13313" width="18.88671875" style="497" customWidth="1"/>
    <col min="13314" max="13314" width="16.109375" style="497" customWidth="1"/>
    <col min="13315" max="13335" width="12.88671875" style="497" customWidth="1"/>
    <col min="13336" max="13567" width="11.44140625" style="497"/>
    <col min="13568" max="13568" width="1.88671875" style="497" customWidth="1"/>
    <col min="13569" max="13569" width="18.88671875" style="497" customWidth="1"/>
    <col min="13570" max="13570" width="16.109375" style="497" customWidth="1"/>
    <col min="13571" max="13591" width="12.88671875" style="497" customWidth="1"/>
    <col min="13592" max="13823" width="11.44140625" style="497"/>
    <col min="13824" max="13824" width="1.88671875" style="497" customWidth="1"/>
    <col min="13825" max="13825" width="18.88671875" style="497" customWidth="1"/>
    <col min="13826" max="13826" width="16.109375" style="497" customWidth="1"/>
    <col min="13827" max="13847" width="12.88671875" style="497" customWidth="1"/>
    <col min="13848" max="14079" width="11.44140625" style="497"/>
    <col min="14080" max="14080" width="1.88671875" style="497" customWidth="1"/>
    <col min="14081" max="14081" width="18.88671875" style="497" customWidth="1"/>
    <col min="14082" max="14082" width="16.109375" style="497" customWidth="1"/>
    <col min="14083" max="14103" width="12.88671875" style="497" customWidth="1"/>
    <col min="14104" max="14335" width="11.44140625" style="497"/>
    <col min="14336" max="14336" width="1.88671875" style="497" customWidth="1"/>
    <col min="14337" max="14337" width="18.88671875" style="497" customWidth="1"/>
    <col min="14338" max="14338" width="16.109375" style="497" customWidth="1"/>
    <col min="14339" max="14359" width="12.88671875" style="497" customWidth="1"/>
    <col min="14360" max="14591" width="11.44140625" style="497"/>
    <col min="14592" max="14592" width="1.88671875" style="497" customWidth="1"/>
    <col min="14593" max="14593" width="18.88671875" style="497" customWidth="1"/>
    <col min="14594" max="14594" width="16.109375" style="497" customWidth="1"/>
    <col min="14595" max="14615" width="12.88671875" style="497" customWidth="1"/>
    <col min="14616" max="14847" width="11.44140625" style="497"/>
    <col min="14848" max="14848" width="1.88671875" style="497" customWidth="1"/>
    <col min="14849" max="14849" width="18.88671875" style="497" customWidth="1"/>
    <col min="14850" max="14850" width="16.109375" style="497" customWidth="1"/>
    <col min="14851" max="14871" width="12.88671875" style="497" customWidth="1"/>
    <col min="14872" max="15103" width="11.44140625" style="497"/>
    <col min="15104" max="15104" width="1.88671875" style="497" customWidth="1"/>
    <col min="15105" max="15105" width="18.88671875" style="497" customWidth="1"/>
    <col min="15106" max="15106" width="16.109375" style="497" customWidth="1"/>
    <col min="15107" max="15127" width="12.88671875" style="497" customWidth="1"/>
    <col min="15128" max="15359" width="11.44140625" style="497"/>
    <col min="15360" max="15360" width="1.88671875" style="497" customWidth="1"/>
    <col min="15361" max="15361" width="18.88671875" style="497" customWidth="1"/>
    <col min="15362" max="15362" width="16.109375" style="497" customWidth="1"/>
    <col min="15363" max="15383" width="12.88671875" style="497" customWidth="1"/>
    <col min="15384" max="15615" width="11.44140625" style="497"/>
    <col min="15616" max="15616" width="1.88671875" style="497" customWidth="1"/>
    <col min="15617" max="15617" width="18.88671875" style="497" customWidth="1"/>
    <col min="15618" max="15618" width="16.109375" style="497" customWidth="1"/>
    <col min="15619" max="15639" width="12.88671875" style="497" customWidth="1"/>
    <col min="15640" max="15871" width="11.44140625" style="497"/>
    <col min="15872" max="15872" width="1.88671875" style="497" customWidth="1"/>
    <col min="15873" max="15873" width="18.88671875" style="497" customWidth="1"/>
    <col min="15874" max="15874" width="16.109375" style="497" customWidth="1"/>
    <col min="15875" max="15895" width="12.88671875" style="497" customWidth="1"/>
    <col min="15896" max="16127" width="11.44140625" style="497"/>
    <col min="16128" max="16128" width="1.88671875" style="497" customWidth="1"/>
    <col min="16129" max="16129" width="18.88671875" style="497" customWidth="1"/>
    <col min="16130" max="16130" width="16.109375" style="497" customWidth="1"/>
    <col min="16131" max="16151" width="12.88671875" style="497" customWidth="1"/>
    <col min="16152" max="16384" width="11.44140625" style="497"/>
  </cols>
  <sheetData>
    <row r="1" spans="2:62" s="406" customFormat="1" ht="68.400000000000006" x14ac:dyDescent="0.3">
      <c r="B1" s="407" t="s">
        <v>157</v>
      </c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408"/>
      <c r="U1" s="408"/>
      <c r="V1" s="408"/>
      <c r="W1" s="408"/>
    </row>
    <row r="2" spans="2:62" s="406" customFormat="1" ht="15.6" x14ac:dyDescent="0.3">
      <c r="B2" s="499"/>
      <c r="C2" s="499"/>
      <c r="D2" s="499"/>
      <c r="E2" s="499"/>
      <c r="F2" s="499"/>
      <c r="G2" s="499"/>
      <c r="H2" s="499"/>
      <c r="I2" s="499"/>
      <c r="J2" s="499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408"/>
      <c r="W2" s="408"/>
    </row>
    <row r="3" spans="2:62" s="494" customFormat="1" ht="15" customHeight="1" x14ac:dyDescent="0.25">
      <c r="B3" s="5727" t="s">
        <v>132</v>
      </c>
      <c r="C3" s="5737">
        <v>2003</v>
      </c>
      <c r="D3" s="5737"/>
      <c r="E3" s="5737"/>
      <c r="F3" s="5737">
        <v>2004</v>
      </c>
      <c r="G3" s="5737"/>
      <c r="H3" s="5737"/>
      <c r="I3" s="5737">
        <v>2005</v>
      </c>
      <c r="J3" s="5737"/>
      <c r="K3" s="5737"/>
      <c r="L3" s="5737">
        <v>2006</v>
      </c>
      <c r="M3" s="5737"/>
      <c r="N3" s="5737"/>
      <c r="O3" s="5737">
        <v>2007</v>
      </c>
      <c r="P3" s="5737"/>
      <c r="Q3" s="5737"/>
      <c r="R3" s="5737">
        <v>2008</v>
      </c>
      <c r="S3" s="5737"/>
      <c r="T3" s="5737"/>
      <c r="U3" s="5737">
        <v>2009</v>
      </c>
      <c r="V3" s="5737"/>
      <c r="W3" s="5737"/>
      <c r="X3" s="5737">
        <v>2010</v>
      </c>
      <c r="Y3" s="5737"/>
      <c r="Z3" s="5737"/>
      <c r="AA3" s="5737">
        <v>2011</v>
      </c>
      <c r="AB3" s="5737"/>
      <c r="AC3" s="5737"/>
      <c r="AD3" s="5737">
        <v>2012</v>
      </c>
      <c r="AE3" s="5737"/>
      <c r="AF3" s="5737"/>
      <c r="AG3" s="5737">
        <v>2013</v>
      </c>
      <c r="AH3" s="5737"/>
      <c r="AI3" s="5737"/>
      <c r="AJ3" s="5737">
        <v>2014</v>
      </c>
      <c r="AK3" s="5737"/>
      <c r="AL3" s="5737"/>
      <c r="AM3" s="5737">
        <v>2015</v>
      </c>
      <c r="AN3" s="5737"/>
      <c r="AO3" s="5737"/>
      <c r="AP3" s="5737">
        <v>2016</v>
      </c>
      <c r="AQ3" s="5737"/>
      <c r="AR3" s="5737"/>
      <c r="AS3" s="5737">
        <v>2017</v>
      </c>
      <c r="AT3" s="5737"/>
      <c r="AU3" s="5737"/>
      <c r="AV3" s="5737">
        <v>2018</v>
      </c>
      <c r="AW3" s="5737"/>
      <c r="AX3" s="5737"/>
      <c r="AY3" s="5737">
        <v>2019</v>
      </c>
      <c r="AZ3" s="5737"/>
      <c r="BA3" s="5737"/>
      <c r="BB3" s="5737">
        <v>2020</v>
      </c>
      <c r="BC3" s="5737"/>
      <c r="BD3" s="5737"/>
      <c r="BE3" s="5737">
        <v>2021</v>
      </c>
      <c r="BF3" s="5737"/>
      <c r="BG3" s="5737"/>
      <c r="BH3" s="5737">
        <v>2022</v>
      </c>
      <c r="BI3" s="5737"/>
      <c r="BJ3" s="5737"/>
    </row>
    <row r="4" spans="2:62" s="413" customFormat="1" ht="15.6" x14ac:dyDescent="0.3">
      <c r="B4" s="5728"/>
      <c r="C4" s="409" t="s">
        <v>1529</v>
      </c>
      <c r="D4" s="410" t="s">
        <v>1530</v>
      </c>
      <c r="E4" s="410" t="s">
        <v>1531</v>
      </c>
      <c r="F4" s="409" t="s">
        <v>1529</v>
      </c>
      <c r="G4" s="410" t="s">
        <v>1530</v>
      </c>
      <c r="H4" s="410" t="s">
        <v>1531</v>
      </c>
      <c r="I4" s="409" t="s">
        <v>1529</v>
      </c>
      <c r="J4" s="410" t="s">
        <v>1530</v>
      </c>
      <c r="K4" s="410" t="s">
        <v>1531</v>
      </c>
      <c r="L4" s="409" t="s">
        <v>1529</v>
      </c>
      <c r="M4" s="410" t="s">
        <v>1530</v>
      </c>
      <c r="N4" s="410" t="s">
        <v>1531</v>
      </c>
      <c r="O4" s="409" t="s">
        <v>1529</v>
      </c>
      <c r="P4" s="410" t="s">
        <v>1530</v>
      </c>
      <c r="Q4" s="410" t="s">
        <v>1531</v>
      </c>
      <c r="R4" s="409" t="s">
        <v>1529</v>
      </c>
      <c r="S4" s="410" t="s">
        <v>1530</v>
      </c>
      <c r="T4" s="410" t="s">
        <v>1531</v>
      </c>
      <c r="U4" s="409" t="s">
        <v>1529</v>
      </c>
      <c r="V4" s="410" t="s">
        <v>1530</v>
      </c>
      <c r="W4" s="410" t="s">
        <v>1531</v>
      </c>
      <c r="X4" s="409" t="s">
        <v>1529</v>
      </c>
      <c r="Y4" s="410" t="s">
        <v>1530</v>
      </c>
      <c r="Z4" s="410" t="s">
        <v>1531</v>
      </c>
      <c r="AA4" s="409" t="s">
        <v>1529</v>
      </c>
      <c r="AB4" s="410" t="s">
        <v>1530</v>
      </c>
      <c r="AC4" s="410" t="s">
        <v>1531</v>
      </c>
      <c r="AD4" s="409" t="s">
        <v>1529</v>
      </c>
      <c r="AE4" s="410" t="s">
        <v>1530</v>
      </c>
      <c r="AF4" s="410" t="s">
        <v>1531</v>
      </c>
      <c r="AG4" s="409" t="s">
        <v>1529</v>
      </c>
      <c r="AH4" s="410" t="s">
        <v>1530</v>
      </c>
      <c r="AI4" s="410" t="s">
        <v>1531</v>
      </c>
      <c r="AJ4" s="409" t="s">
        <v>1529</v>
      </c>
      <c r="AK4" s="410" t="s">
        <v>1530</v>
      </c>
      <c r="AL4" s="410" t="s">
        <v>1531</v>
      </c>
      <c r="AM4" s="409" t="s">
        <v>1529</v>
      </c>
      <c r="AN4" s="410" t="s">
        <v>1530</v>
      </c>
      <c r="AO4" s="410" t="s">
        <v>1531</v>
      </c>
      <c r="AP4" s="409" t="s">
        <v>1529</v>
      </c>
      <c r="AQ4" s="410" t="s">
        <v>1530</v>
      </c>
      <c r="AR4" s="410" t="s">
        <v>1531</v>
      </c>
      <c r="AS4" s="409" t="s">
        <v>1529</v>
      </c>
      <c r="AT4" s="410" t="s">
        <v>1530</v>
      </c>
      <c r="AU4" s="410" t="s">
        <v>1531</v>
      </c>
      <c r="AV4" s="409" t="s">
        <v>1529</v>
      </c>
      <c r="AW4" s="410" t="s">
        <v>1530</v>
      </c>
      <c r="AX4" s="410" t="s">
        <v>1531</v>
      </c>
      <c r="AY4" s="409" t="s">
        <v>1529</v>
      </c>
      <c r="AZ4" s="410" t="s">
        <v>1530</v>
      </c>
      <c r="BA4" s="410" t="s">
        <v>1531</v>
      </c>
      <c r="BB4" s="409" t="s">
        <v>1529</v>
      </c>
      <c r="BC4" s="410" t="s">
        <v>1530</v>
      </c>
      <c r="BD4" s="410" t="s">
        <v>1531</v>
      </c>
      <c r="BE4" s="409" t="s">
        <v>1529</v>
      </c>
      <c r="BF4" s="410" t="s">
        <v>1530</v>
      </c>
      <c r="BG4" s="410" t="s">
        <v>1531</v>
      </c>
      <c r="BH4" s="409" t="s">
        <v>1529</v>
      </c>
      <c r="BI4" s="410" t="s">
        <v>1530</v>
      </c>
      <c r="BJ4" s="4976" t="s">
        <v>1531</v>
      </c>
    </row>
    <row r="5" spans="2:62" s="494" customFormat="1" ht="14.4" x14ac:dyDescent="0.3">
      <c r="B5" s="149"/>
      <c r="C5" s="500"/>
      <c r="D5" s="500"/>
      <c r="E5" s="500"/>
      <c r="F5" s="500"/>
      <c r="G5" s="500"/>
      <c r="H5" s="500"/>
      <c r="I5" s="500"/>
      <c r="J5" s="500"/>
      <c r="K5" s="500"/>
      <c r="L5" s="500"/>
      <c r="M5" s="500"/>
      <c r="N5" s="500"/>
      <c r="O5" s="500"/>
      <c r="P5" s="500"/>
      <c r="Q5" s="500"/>
      <c r="R5" s="500"/>
      <c r="S5" s="500"/>
      <c r="T5" s="500"/>
      <c r="U5" s="500"/>
      <c r="V5" s="500"/>
      <c r="W5" s="500"/>
      <c r="X5" s="500"/>
      <c r="Y5" s="500"/>
      <c r="Z5" s="500"/>
      <c r="AA5" s="500"/>
      <c r="AB5" s="500"/>
      <c r="AC5" s="500"/>
      <c r="AD5" s="500"/>
      <c r="AE5" s="500"/>
      <c r="AF5" s="500"/>
      <c r="AG5" s="500"/>
      <c r="AH5" s="500"/>
      <c r="AI5" s="500"/>
      <c r="AJ5" s="500"/>
      <c r="AK5" s="500"/>
      <c r="AL5" s="500"/>
      <c r="AM5" s="500"/>
      <c r="AN5" s="500"/>
      <c r="AO5" s="500"/>
      <c r="AP5" s="500"/>
      <c r="AQ5" s="500"/>
      <c r="AR5" s="500"/>
      <c r="AS5" s="500"/>
      <c r="AT5" s="500"/>
      <c r="AU5" s="500"/>
      <c r="AV5" s="500"/>
      <c r="AW5" s="500"/>
      <c r="AX5" s="500"/>
      <c r="AY5" s="500"/>
      <c r="AZ5" s="500"/>
      <c r="BA5" s="500"/>
      <c r="BB5" s="500"/>
      <c r="BC5" s="500"/>
      <c r="BD5" s="500"/>
      <c r="BE5" s="500"/>
      <c r="BF5" s="500"/>
      <c r="BG5" s="500"/>
      <c r="BH5" s="500"/>
      <c r="BI5" s="500"/>
      <c r="BJ5" s="500"/>
    </row>
    <row r="6" spans="2:62" s="494" customFormat="1" ht="15" customHeight="1" x14ac:dyDescent="0.3">
      <c r="B6" s="150" t="s">
        <v>59</v>
      </c>
      <c r="C6" s="501">
        <v>4762</v>
      </c>
      <c r="D6" s="502">
        <v>4773</v>
      </c>
      <c r="E6" s="503">
        <v>5160</v>
      </c>
      <c r="F6" s="501">
        <v>4703</v>
      </c>
      <c r="G6" s="502">
        <v>4999</v>
      </c>
      <c r="H6" s="502">
        <v>5578</v>
      </c>
      <c r="I6" s="501">
        <v>5109</v>
      </c>
      <c r="J6" s="502">
        <v>5460</v>
      </c>
      <c r="K6" s="503">
        <v>5803</v>
      </c>
      <c r="L6" s="501">
        <v>5294</v>
      </c>
      <c r="M6" s="502">
        <v>5655</v>
      </c>
      <c r="N6" s="503">
        <v>6089</v>
      </c>
      <c r="O6" s="502">
        <v>5654</v>
      </c>
      <c r="P6" s="502">
        <v>5868</v>
      </c>
      <c r="Q6" s="503">
        <v>6267</v>
      </c>
      <c r="R6" s="502">
        <v>5858</v>
      </c>
      <c r="S6" s="502">
        <v>5932</v>
      </c>
      <c r="T6" s="503">
        <v>6395</v>
      </c>
      <c r="U6" s="501">
        <v>6069</v>
      </c>
      <c r="V6" s="502">
        <v>6432</v>
      </c>
      <c r="W6" s="503">
        <v>6680</v>
      </c>
      <c r="X6" s="501">
        <v>6320</v>
      </c>
      <c r="Y6" s="502">
        <v>6823</v>
      </c>
      <c r="Z6" s="503">
        <v>7272</v>
      </c>
      <c r="AA6" s="501">
        <f>SUM('Matrícula plan'!AA5:AA14)</f>
        <v>6751</v>
      </c>
      <c r="AB6" s="502">
        <f>SUM('Matrícula plan'!AB5:AB14)</f>
        <v>7473</v>
      </c>
      <c r="AC6" s="503">
        <f>SUM('Matrícula plan'!AC5:AC14)</f>
        <v>7261</v>
      </c>
      <c r="AD6" s="501">
        <f>SUM('Matrícula plan'!AD5:AD14)</f>
        <v>6999</v>
      </c>
      <c r="AE6" s="502">
        <f>SUM('Matrícula plan'!AE5:AE14)</f>
        <v>7319</v>
      </c>
      <c r="AF6" s="503">
        <f>SUM('Matrícula plan'!AF5:AF14)</f>
        <v>7200</v>
      </c>
      <c r="AG6" s="501">
        <f>SUM('Matrícula plan'!AG5:AG14)</f>
        <v>6821</v>
      </c>
      <c r="AH6" s="502">
        <f>SUM('Matrícula plan'!AH5:AH14)</f>
        <v>7132</v>
      </c>
      <c r="AI6" s="503">
        <f>SUM('Matrícula plan'!AI5:AI14)</f>
        <v>7158</v>
      </c>
      <c r="AJ6" s="501">
        <f>SUM('Matrícula plan'!AJ5:AJ14)</f>
        <v>6600</v>
      </c>
      <c r="AK6" s="502">
        <f>SUM('Matrícula plan'!AK5:AK14)</f>
        <v>6648</v>
      </c>
      <c r="AL6" s="503">
        <f>SUM('Matrícula plan'!AL5:AL14)</f>
        <v>6918</v>
      </c>
      <c r="AM6" s="501">
        <f>SUM('Matrícula plan'!AM5:AM14)</f>
        <v>6314</v>
      </c>
      <c r="AN6" s="502">
        <f>SUM('Matrícula plan'!AN5:AN14)</f>
        <v>6414</v>
      </c>
      <c r="AO6" s="503">
        <f>SUM('Matrícula plan'!AO5:AO14)</f>
        <v>6643</v>
      </c>
      <c r="AP6" s="501">
        <f>SUM('Matrícula plan'!AP5:AP14)</f>
        <v>5959</v>
      </c>
      <c r="AQ6" s="502">
        <f>SUM('Matrícula plan'!AQ5:AQ14)</f>
        <v>6112</v>
      </c>
      <c r="AR6" s="503">
        <f>SUM('Matrícula plan'!AR5:AR14)</f>
        <v>6234</v>
      </c>
      <c r="AS6" s="501">
        <f>SUM('Matrícula plan'!AS5:AS14)</f>
        <v>5543</v>
      </c>
      <c r="AT6" s="502">
        <f>SUM('Matrícula plan'!AT5:AT14)</f>
        <v>5780</v>
      </c>
      <c r="AU6" s="503">
        <f>SUM('Matrícula plan'!AU5:AU14)</f>
        <v>5871</v>
      </c>
      <c r="AV6" s="501">
        <f>SUM('Matrícula plan'!AV5:AV14)</f>
        <v>5411</v>
      </c>
      <c r="AW6" s="502">
        <f>SUM('Matrícula plan'!AW5:AW14)</f>
        <v>5620</v>
      </c>
      <c r="AX6" s="503">
        <f>SUM('Matrícula plan'!AX5:AX14)</f>
        <v>5905</v>
      </c>
      <c r="AY6" s="501">
        <f>SUM('Matrícula plan'!AY5:AY14)</f>
        <v>5413</v>
      </c>
      <c r="AZ6" s="502">
        <f>SUM('Matrícula plan'!AZ5:AZ14)</f>
        <v>5528</v>
      </c>
      <c r="BA6" s="503">
        <f>SUM('Matrícula plan'!BA5:BA14)</f>
        <v>5910</v>
      </c>
      <c r="BB6" s="501">
        <f>SUM('Matrícula plan'!BB5:BB14)</f>
        <v>5509</v>
      </c>
      <c r="BC6" s="502">
        <f>SUM('Matrícula plan'!BC5:BC14)</f>
        <v>5805</v>
      </c>
      <c r="BD6" s="503">
        <f>SUM('Matrícula plan'!BD5:BD14)</f>
        <v>6177</v>
      </c>
      <c r="BE6" s="501">
        <f>SUM('Matrícula plan'!BE5:BE14)</f>
        <v>5886</v>
      </c>
      <c r="BF6" s="502">
        <f>SUM('Matrícula plan'!BF5:BF14)</f>
        <v>6329</v>
      </c>
      <c r="BG6" s="503">
        <f>SUM('Matrícula plan'!BG5:BG14)</f>
        <v>6430</v>
      </c>
      <c r="BH6" s="501">
        <f>SUM('Matrícula plan'!BH5:BH14)</f>
        <v>6123</v>
      </c>
      <c r="BI6" s="502">
        <f>SUM('Matrícula plan'!BI5:BI14)</f>
        <v>6366</v>
      </c>
      <c r="BJ6" s="503">
        <f>SUM('Matrícula plan'!BJ5:BJ14)</f>
        <v>6405</v>
      </c>
    </row>
    <row r="7" spans="2:62" s="494" customFormat="1" ht="15" customHeight="1" x14ac:dyDescent="0.3">
      <c r="B7" s="154" t="s">
        <v>64</v>
      </c>
      <c r="C7" s="504">
        <v>4148</v>
      </c>
      <c r="D7" s="505">
        <v>4300</v>
      </c>
      <c r="E7" s="506">
        <v>4471</v>
      </c>
      <c r="F7" s="504">
        <v>4082</v>
      </c>
      <c r="G7" s="505">
        <v>4142</v>
      </c>
      <c r="H7" s="505">
        <v>4403</v>
      </c>
      <c r="I7" s="504">
        <v>4099</v>
      </c>
      <c r="J7" s="505">
        <v>4223</v>
      </c>
      <c r="K7" s="506">
        <v>4398</v>
      </c>
      <c r="L7" s="504">
        <v>3976</v>
      </c>
      <c r="M7" s="505">
        <v>4076</v>
      </c>
      <c r="N7" s="506">
        <v>4382</v>
      </c>
      <c r="O7" s="505">
        <v>4074</v>
      </c>
      <c r="P7" s="505">
        <v>4257</v>
      </c>
      <c r="Q7" s="506">
        <v>4362</v>
      </c>
      <c r="R7" s="505">
        <v>4050</v>
      </c>
      <c r="S7" s="505">
        <v>4230</v>
      </c>
      <c r="T7" s="506">
        <v>4443</v>
      </c>
      <c r="U7" s="504">
        <v>4225</v>
      </c>
      <c r="V7" s="505">
        <v>4434</v>
      </c>
      <c r="W7" s="506">
        <v>4569</v>
      </c>
      <c r="X7" s="504">
        <v>4336</v>
      </c>
      <c r="Y7" s="505">
        <v>4649</v>
      </c>
      <c r="Z7" s="506">
        <v>4785</v>
      </c>
      <c r="AA7" s="504">
        <f>SUM('Matrícula plan'!AA16:AA19)</f>
        <v>4449</v>
      </c>
      <c r="AB7" s="505">
        <f>SUM('Matrícula plan'!AB16:AB19)</f>
        <v>4768</v>
      </c>
      <c r="AC7" s="506">
        <f>SUM('Matrícula plan'!AC16:AC19)</f>
        <v>4840</v>
      </c>
      <c r="AD7" s="504">
        <f>SUM('Matrícula plan'!AD16:AD19)</f>
        <v>4624</v>
      </c>
      <c r="AE7" s="505">
        <f>SUM('Matrícula plan'!AE16:AE19)</f>
        <v>5015</v>
      </c>
      <c r="AF7" s="506">
        <f>SUM('Matrícula plan'!AF16:AF19)</f>
        <v>5201</v>
      </c>
      <c r="AG7" s="504">
        <f>SUM('Matrícula plan'!AG16:AG19)</f>
        <v>4806</v>
      </c>
      <c r="AH7" s="505">
        <f>SUM('Matrícula plan'!AH16:AH19)</f>
        <v>5157</v>
      </c>
      <c r="AI7" s="506">
        <f>SUM('Matrícula plan'!AI16:AI19)</f>
        <v>5297</v>
      </c>
      <c r="AJ7" s="504">
        <f>SUM('Matrícula plan'!AJ16:AJ19)</f>
        <v>4815</v>
      </c>
      <c r="AK7" s="505">
        <f>SUM('Matrícula plan'!AK16:AK19)</f>
        <v>5121</v>
      </c>
      <c r="AL7" s="506">
        <f>SUM('Matrícula plan'!AL16:AL19)</f>
        <v>5452</v>
      </c>
      <c r="AM7" s="504">
        <f>SUM('Matrícula plan'!AM16:AM19)</f>
        <v>4970</v>
      </c>
      <c r="AN7" s="505">
        <f>SUM('Matrícula plan'!AN16:AN19)</f>
        <v>5346</v>
      </c>
      <c r="AO7" s="506">
        <f>SUM('Matrícula plan'!AO16:AO19)</f>
        <v>5546</v>
      </c>
      <c r="AP7" s="504">
        <f>SUM('Matrícula plan'!AP16:AP19)</f>
        <v>5113</v>
      </c>
      <c r="AQ7" s="505">
        <f>SUM('Matrícula plan'!AQ16:AQ19)</f>
        <v>5357</v>
      </c>
      <c r="AR7" s="506">
        <f>SUM('Matrícula plan'!AR16:AR19)</f>
        <v>5727</v>
      </c>
      <c r="AS7" s="504">
        <f>SUM('Matrícula plan'!AS16:AS19)</f>
        <v>3843</v>
      </c>
      <c r="AT7" s="505">
        <f>SUM('Matrícula plan'!AT16:AT19)</f>
        <v>5486</v>
      </c>
      <c r="AU7" s="506">
        <f>SUM('Matrícula plan'!AU16:AU19)</f>
        <v>5732</v>
      </c>
      <c r="AV7" s="504">
        <f>SUM('Matrícula plan'!AV16:AV19)</f>
        <v>5249</v>
      </c>
      <c r="AW7" s="505">
        <f>SUM('Matrícula plan'!AW16:AW19)</f>
        <v>5628</v>
      </c>
      <c r="AX7" s="506">
        <f>SUM('Matrícula plan'!AX16:AX19)</f>
        <v>5825</v>
      </c>
      <c r="AY7" s="504">
        <f>SUM('Matrícula plan'!AY16:AY19)</f>
        <v>5330</v>
      </c>
      <c r="AZ7" s="505">
        <f>SUM('Matrícula plan'!AZ16:AZ19)</f>
        <v>5527</v>
      </c>
      <c r="BA7" s="506">
        <f>SUM('Matrícula plan'!BA16:BA19)</f>
        <v>5773</v>
      </c>
      <c r="BB7" s="504">
        <f>SUM('Matrícula plan'!BB16:BB19)</f>
        <v>5457</v>
      </c>
      <c r="BC7" s="505">
        <f>SUM('Matrícula plan'!BC16:BC19)</f>
        <v>5731</v>
      </c>
      <c r="BD7" s="506">
        <f>SUM('Matrícula plan'!BD16:BD19)</f>
        <v>5938</v>
      </c>
      <c r="BE7" s="504">
        <f>SUM('Matrícula plan'!BE16:BE19)</f>
        <v>5592</v>
      </c>
      <c r="BF7" s="505">
        <f>SUM('Matrícula plan'!BF16:BF19)</f>
        <v>5978</v>
      </c>
      <c r="BG7" s="506">
        <f>SUM('Matrícula plan'!BG16:BG19)</f>
        <v>5926</v>
      </c>
      <c r="BH7" s="504">
        <f>SUM('Matrícula plan'!BH16:BH19)</f>
        <v>5729</v>
      </c>
      <c r="BI7" s="505">
        <f>SUM('Matrícula plan'!BI16:BI19)</f>
        <v>6082</v>
      </c>
      <c r="BJ7" s="506">
        <f>SUM('Matrícula plan'!BJ16:BJ19)</f>
        <v>6117</v>
      </c>
    </row>
    <row r="8" spans="2:62" s="494" customFormat="1" ht="15" customHeight="1" x14ac:dyDescent="0.3">
      <c r="B8" s="154" t="s">
        <v>68</v>
      </c>
      <c r="C8" s="504">
        <v>2444</v>
      </c>
      <c r="D8" s="505">
        <v>2563</v>
      </c>
      <c r="E8" s="506">
        <v>2698</v>
      </c>
      <c r="F8" s="504">
        <v>2434</v>
      </c>
      <c r="G8" s="505">
        <v>2553</v>
      </c>
      <c r="H8" s="505">
        <v>2709</v>
      </c>
      <c r="I8" s="504">
        <v>2529</v>
      </c>
      <c r="J8" s="505">
        <v>2661</v>
      </c>
      <c r="K8" s="506">
        <v>2755</v>
      </c>
      <c r="L8" s="504">
        <v>2585</v>
      </c>
      <c r="M8" s="505">
        <v>2628</v>
      </c>
      <c r="N8" s="506">
        <v>2743</v>
      </c>
      <c r="O8" s="505">
        <v>2529</v>
      </c>
      <c r="P8" s="505">
        <v>2588</v>
      </c>
      <c r="Q8" s="506">
        <v>2642</v>
      </c>
      <c r="R8" s="505">
        <v>2457</v>
      </c>
      <c r="S8" s="505">
        <v>2536</v>
      </c>
      <c r="T8" s="506">
        <v>2588</v>
      </c>
      <c r="U8" s="504">
        <v>2458</v>
      </c>
      <c r="V8" s="505">
        <v>2511</v>
      </c>
      <c r="W8" s="506">
        <v>2516</v>
      </c>
      <c r="X8" s="504">
        <v>2385</v>
      </c>
      <c r="Y8" s="505">
        <v>2518</v>
      </c>
      <c r="Z8" s="506">
        <v>2647</v>
      </c>
      <c r="AA8" s="504">
        <f>SUM('Matrícula plan'!AA21:AA23)</f>
        <v>2412</v>
      </c>
      <c r="AB8" s="505">
        <f>SUM('Matrícula plan'!AB21:AB23)</f>
        <v>2594</v>
      </c>
      <c r="AC8" s="506">
        <f>SUM('Matrícula plan'!AC21:AC23)</f>
        <v>2547</v>
      </c>
      <c r="AD8" s="504">
        <f>SUM('Matrícula plan'!AD21:AD23)</f>
        <v>2490</v>
      </c>
      <c r="AE8" s="505">
        <f>SUM('Matrícula plan'!AE21:AE23)</f>
        <v>2672</v>
      </c>
      <c r="AF8" s="506">
        <f>SUM('Matrícula plan'!AF21:AF23)</f>
        <v>2674</v>
      </c>
      <c r="AG8" s="504">
        <f>SUM('Matrícula plan'!AG21:AG23)</f>
        <v>2614</v>
      </c>
      <c r="AH8" s="505">
        <f>SUM('Matrícula plan'!AH21:AH23)</f>
        <v>2777</v>
      </c>
      <c r="AI8" s="506">
        <f>SUM('Matrícula plan'!AI21:AI23)</f>
        <v>2802</v>
      </c>
      <c r="AJ8" s="504">
        <f>SUM('Matrícula plan'!AJ21:AJ23)</f>
        <v>2683</v>
      </c>
      <c r="AK8" s="505">
        <f>SUM('Matrícula plan'!AK21:AK23)</f>
        <v>2785</v>
      </c>
      <c r="AL8" s="506">
        <f>SUM('Matrícula plan'!AL21:AL23)</f>
        <v>2838</v>
      </c>
      <c r="AM8" s="504">
        <f>SUM('Matrícula plan'!AM21:AM23)</f>
        <v>2622</v>
      </c>
      <c r="AN8" s="505">
        <f>SUM('Matrícula plan'!AN21:AN23)</f>
        <v>2793</v>
      </c>
      <c r="AO8" s="506">
        <f>SUM('Matrícula plan'!AO21:AO23)</f>
        <v>2931</v>
      </c>
      <c r="AP8" s="504">
        <f>SUM('Matrícula plan'!AP21:AP23)</f>
        <v>2716</v>
      </c>
      <c r="AQ8" s="505">
        <f>SUM('Matrícula plan'!AQ21:AQ23)</f>
        <v>2815</v>
      </c>
      <c r="AR8" s="506">
        <f>SUM('Matrícula plan'!AR21:AR23)</f>
        <v>2962</v>
      </c>
      <c r="AS8" s="504">
        <f>SUM('Matrícula plan'!AS21:AS23)</f>
        <v>2673</v>
      </c>
      <c r="AT8" s="505">
        <f>SUM('Matrícula plan'!AT21:AT23)</f>
        <v>2875</v>
      </c>
      <c r="AU8" s="506">
        <f>SUM('Matrícula plan'!AU21:AU23)</f>
        <v>2922</v>
      </c>
      <c r="AV8" s="504">
        <f>SUM('Matrícula plan'!AV21:AV23)</f>
        <v>2736</v>
      </c>
      <c r="AW8" s="505">
        <f>SUM('Matrícula plan'!AW21:AW23)</f>
        <v>2970</v>
      </c>
      <c r="AX8" s="506">
        <f>SUM('Matrícula plan'!AX21:AX23)</f>
        <v>3100</v>
      </c>
      <c r="AY8" s="504">
        <f>SUM('Matrícula plan'!AY21:AY23)</f>
        <v>2921</v>
      </c>
      <c r="AZ8" s="505">
        <f>SUM('Matrícula plan'!AZ21:AZ23)</f>
        <v>2987</v>
      </c>
      <c r="BA8" s="506">
        <f>SUM('Matrícula plan'!BA21:BA23)</f>
        <v>3103</v>
      </c>
      <c r="BB8" s="504">
        <f>SUM('Matrícula plan'!BB21:BB23)</f>
        <v>2955</v>
      </c>
      <c r="BC8" s="505">
        <f>SUM('Matrícula plan'!BC21:BC23)</f>
        <v>3144</v>
      </c>
      <c r="BD8" s="506">
        <f>SUM('Matrícula plan'!BD21:BD23)</f>
        <v>3221</v>
      </c>
      <c r="BE8" s="504">
        <f>SUM('Matrícula plan'!BE21:BE23)</f>
        <v>3047</v>
      </c>
      <c r="BF8" s="505">
        <f>SUM('Matrícula plan'!BF21:BF23)</f>
        <v>3204</v>
      </c>
      <c r="BG8" s="506">
        <f>SUM('Matrícula plan'!BG21:BG23)</f>
        <v>3292</v>
      </c>
      <c r="BH8" s="504">
        <f>SUM('Matrícula plan'!BH21:BH23)</f>
        <v>3156</v>
      </c>
      <c r="BI8" s="505">
        <f>SUM('Matrícula plan'!BI21:BI23)</f>
        <v>3291</v>
      </c>
      <c r="BJ8" s="506">
        <f>SUM('Matrícula plan'!BJ21:BJ23)</f>
        <v>3318</v>
      </c>
    </row>
    <row r="9" spans="2:62" s="489" customFormat="1" ht="15" customHeight="1" x14ac:dyDescent="0.3">
      <c r="B9" s="157" t="s">
        <v>138</v>
      </c>
      <c r="C9" s="507">
        <v>11354</v>
      </c>
      <c r="D9" s="508">
        <v>11636</v>
      </c>
      <c r="E9" s="509">
        <v>12329</v>
      </c>
      <c r="F9" s="507">
        <v>11219</v>
      </c>
      <c r="G9" s="508">
        <v>11694</v>
      </c>
      <c r="H9" s="508">
        <v>12690</v>
      </c>
      <c r="I9" s="507">
        <v>11737</v>
      </c>
      <c r="J9" s="508">
        <v>12344</v>
      </c>
      <c r="K9" s="509">
        <v>12956</v>
      </c>
      <c r="L9" s="507">
        <v>11855</v>
      </c>
      <c r="M9" s="508">
        <v>12359</v>
      </c>
      <c r="N9" s="509">
        <v>13214</v>
      </c>
      <c r="O9" s="508">
        <v>12257</v>
      </c>
      <c r="P9" s="508">
        <v>12713</v>
      </c>
      <c r="Q9" s="509">
        <v>13271</v>
      </c>
      <c r="R9" s="508">
        <v>12365</v>
      </c>
      <c r="S9" s="508">
        <v>12698</v>
      </c>
      <c r="T9" s="509">
        <v>13426</v>
      </c>
      <c r="U9" s="507">
        <v>12752</v>
      </c>
      <c r="V9" s="508">
        <v>13377</v>
      </c>
      <c r="W9" s="509">
        <v>13765</v>
      </c>
      <c r="X9" s="507">
        <f t="shared" ref="X9:AC9" si="0">SUM(X6:X8)</f>
        <v>13041</v>
      </c>
      <c r="Y9" s="508">
        <f t="shared" si="0"/>
        <v>13990</v>
      </c>
      <c r="Z9" s="509">
        <f t="shared" si="0"/>
        <v>14704</v>
      </c>
      <c r="AA9" s="507">
        <f t="shared" si="0"/>
        <v>13612</v>
      </c>
      <c r="AB9" s="508">
        <f t="shared" si="0"/>
        <v>14835</v>
      </c>
      <c r="AC9" s="509">
        <f t="shared" si="0"/>
        <v>14648</v>
      </c>
      <c r="AD9" s="507">
        <f t="shared" ref="AD9:BD9" si="1">SUM(AD6:AD8)</f>
        <v>14113</v>
      </c>
      <c r="AE9" s="508">
        <f t="shared" si="1"/>
        <v>15006</v>
      </c>
      <c r="AF9" s="509">
        <f t="shared" si="1"/>
        <v>15075</v>
      </c>
      <c r="AG9" s="507">
        <f>SUM(AG6:AG8)</f>
        <v>14241</v>
      </c>
      <c r="AH9" s="508">
        <f t="shared" si="1"/>
        <v>15066</v>
      </c>
      <c r="AI9" s="509">
        <f t="shared" si="1"/>
        <v>15257</v>
      </c>
      <c r="AJ9" s="507">
        <f t="shared" si="1"/>
        <v>14098</v>
      </c>
      <c r="AK9" s="508">
        <f t="shared" si="1"/>
        <v>14554</v>
      </c>
      <c r="AL9" s="509">
        <f t="shared" si="1"/>
        <v>15208</v>
      </c>
      <c r="AM9" s="507">
        <f t="shared" si="1"/>
        <v>13906</v>
      </c>
      <c r="AN9" s="508">
        <f t="shared" si="1"/>
        <v>14553</v>
      </c>
      <c r="AO9" s="509">
        <f t="shared" si="1"/>
        <v>15120</v>
      </c>
      <c r="AP9" s="507">
        <f t="shared" si="1"/>
        <v>13788</v>
      </c>
      <c r="AQ9" s="508">
        <f t="shared" si="1"/>
        <v>14284</v>
      </c>
      <c r="AR9" s="509">
        <f t="shared" si="1"/>
        <v>14923</v>
      </c>
      <c r="AS9" s="507">
        <f t="shared" si="1"/>
        <v>12059</v>
      </c>
      <c r="AT9" s="508">
        <f t="shared" si="1"/>
        <v>14141</v>
      </c>
      <c r="AU9" s="509">
        <f t="shared" si="1"/>
        <v>14525</v>
      </c>
      <c r="AV9" s="507">
        <f t="shared" si="1"/>
        <v>13396</v>
      </c>
      <c r="AW9" s="508">
        <f t="shared" si="1"/>
        <v>14218</v>
      </c>
      <c r="AX9" s="509">
        <f t="shared" si="1"/>
        <v>14830</v>
      </c>
      <c r="AY9" s="507">
        <f t="shared" si="1"/>
        <v>13664</v>
      </c>
      <c r="AZ9" s="508">
        <f t="shared" si="1"/>
        <v>14042</v>
      </c>
      <c r="BA9" s="509">
        <f t="shared" si="1"/>
        <v>14786</v>
      </c>
      <c r="BB9" s="507">
        <f t="shared" si="1"/>
        <v>13921</v>
      </c>
      <c r="BC9" s="508">
        <f t="shared" si="1"/>
        <v>14680</v>
      </c>
      <c r="BD9" s="509">
        <f t="shared" si="1"/>
        <v>15336</v>
      </c>
      <c r="BE9" s="507">
        <f t="shared" ref="BE9:BG9" si="2">SUM(BE6:BE8)</f>
        <v>14525</v>
      </c>
      <c r="BF9" s="508">
        <f t="shared" si="2"/>
        <v>15511</v>
      </c>
      <c r="BG9" s="509">
        <f t="shared" si="2"/>
        <v>15648</v>
      </c>
      <c r="BH9" s="507">
        <f t="shared" ref="BH9:BJ9" si="3">SUM(BH6:BH8)</f>
        <v>15008</v>
      </c>
      <c r="BI9" s="508">
        <f t="shared" si="3"/>
        <v>15739</v>
      </c>
      <c r="BJ9" s="509">
        <f t="shared" si="3"/>
        <v>15840</v>
      </c>
    </row>
    <row r="10" spans="2:62" s="489" customFormat="1" ht="14.4" x14ac:dyDescent="0.25">
      <c r="B10" s="162"/>
      <c r="C10" s="510"/>
      <c r="D10" s="510"/>
      <c r="E10" s="510"/>
      <c r="F10" s="510"/>
      <c r="G10" s="510"/>
      <c r="H10" s="510"/>
      <c r="I10" s="510"/>
      <c r="J10" s="510"/>
      <c r="K10" s="510"/>
      <c r="L10" s="510"/>
      <c r="M10" s="510"/>
      <c r="N10" s="510"/>
      <c r="O10" s="510"/>
      <c r="P10" s="510"/>
      <c r="Q10" s="510"/>
      <c r="R10" s="510"/>
      <c r="S10" s="510"/>
      <c r="T10" s="510"/>
      <c r="U10" s="510"/>
      <c r="V10" s="510"/>
      <c r="W10" s="510"/>
      <c r="X10" s="510"/>
      <c r="Y10" s="510"/>
      <c r="Z10" s="510"/>
      <c r="AA10" s="510"/>
      <c r="AB10" s="510"/>
      <c r="AC10" s="510"/>
      <c r="AD10" s="510"/>
      <c r="AE10" s="510"/>
      <c r="AF10" s="510"/>
      <c r="AG10" s="510"/>
      <c r="AH10" s="510"/>
      <c r="AI10" s="510"/>
      <c r="AJ10" s="510"/>
      <c r="AK10" s="510"/>
      <c r="AL10" s="510"/>
      <c r="AM10" s="510"/>
      <c r="AN10" s="510"/>
      <c r="AO10" s="510"/>
      <c r="AP10" s="510"/>
      <c r="AQ10" s="510"/>
      <c r="AR10" s="510"/>
      <c r="AS10" s="510"/>
      <c r="AT10" s="510"/>
      <c r="AU10" s="510"/>
      <c r="AV10" s="510"/>
      <c r="AW10" s="510"/>
      <c r="AX10" s="510"/>
      <c r="AY10" s="510"/>
      <c r="AZ10" s="510"/>
      <c r="BA10" s="510"/>
      <c r="BB10" s="510"/>
      <c r="BC10" s="510"/>
      <c r="BD10" s="510"/>
      <c r="BE10" s="510"/>
      <c r="BF10" s="510"/>
      <c r="BG10" s="510"/>
      <c r="BH10" s="510"/>
      <c r="BI10" s="510"/>
      <c r="BJ10" s="510"/>
    </row>
    <row r="11" spans="2:62" s="489" customFormat="1" ht="15" customHeight="1" x14ac:dyDescent="0.3">
      <c r="B11" s="150" t="s">
        <v>64</v>
      </c>
      <c r="C11" s="501"/>
      <c r="D11" s="502"/>
      <c r="E11" s="503"/>
      <c r="F11" s="501"/>
      <c r="G11" s="502"/>
      <c r="H11" s="502"/>
      <c r="I11" s="501"/>
      <c r="J11" s="502"/>
      <c r="K11" s="503">
        <v>111</v>
      </c>
      <c r="L11" s="501">
        <v>103</v>
      </c>
      <c r="M11" s="502">
        <v>95</v>
      </c>
      <c r="N11" s="503">
        <v>136</v>
      </c>
      <c r="O11" s="502">
        <v>117</v>
      </c>
      <c r="P11" s="502">
        <v>116</v>
      </c>
      <c r="Q11" s="503">
        <v>239</v>
      </c>
      <c r="R11" s="502">
        <v>230</v>
      </c>
      <c r="S11" s="502">
        <v>217</v>
      </c>
      <c r="T11" s="503">
        <v>328</v>
      </c>
      <c r="U11" s="501">
        <v>311</v>
      </c>
      <c r="V11" s="502">
        <v>306</v>
      </c>
      <c r="W11" s="503">
        <v>371</v>
      </c>
      <c r="X11" s="501">
        <v>313</v>
      </c>
      <c r="Y11" s="502">
        <v>313</v>
      </c>
      <c r="Z11" s="503">
        <v>405</v>
      </c>
      <c r="AA11" s="501">
        <f>SUM('Matrícula plan'!AA26:AA29)</f>
        <v>355</v>
      </c>
      <c r="AB11" s="502">
        <f>SUM('Matrícula plan'!AB26:AB29)</f>
        <v>335</v>
      </c>
      <c r="AC11" s="503">
        <f>SUM('Matrícula plan'!AC26:AC29)</f>
        <v>373</v>
      </c>
      <c r="AD11" s="501">
        <f>SUM('Matrícula plan'!AD26:AD29)</f>
        <v>350</v>
      </c>
      <c r="AE11" s="502">
        <f>SUM('Matrícula plan'!AE26:AE29)</f>
        <v>331</v>
      </c>
      <c r="AF11" s="503">
        <f>SUM('Matrícula plan'!AF26:AF29)</f>
        <v>378</v>
      </c>
      <c r="AG11" s="501">
        <f>SUM('Matrícula plan'!AG26:AG29)</f>
        <v>353</v>
      </c>
      <c r="AH11" s="502">
        <f>SUM('Matrícula plan'!AH26:AH29)</f>
        <v>326</v>
      </c>
      <c r="AI11" s="503">
        <f>SUM('Matrícula plan'!AI26:AI29)</f>
        <v>389</v>
      </c>
      <c r="AJ11" s="501">
        <f>SUM('Matrícula plan'!AJ26:AJ29)</f>
        <v>361</v>
      </c>
      <c r="AK11" s="502">
        <f>SUM('Matrícula plan'!AK26:AK29)</f>
        <v>431</v>
      </c>
      <c r="AL11" s="503">
        <f>SUM('Matrícula plan'!AL26:AL29)</f>
        <v>488</v>
      </c>
      <c r="AM11" s="501">
        <f>SUM('Matrícula plan'!AM26:AM29)</f>
        <v>454</v>
      </c>
      <c r="AN11" s="502">
        <f>SUM('Matrícula plan'!AN26:AN29)</f>
        <v>531</v>
      </c>
      <c r="AO11" s="503">
        <f>SUM('Matrícula plan'!AO26:AO29)</f>
        <v>625</v>
      </c>
      <c r="AP11" s="501">
        <f>SUM('Matrícula plan'!AP26:AP29)</f>
        <v>543</v>
      </c>
      <c r="AQ11" s="502">
        <f>SUM('Matrícula plan'!AQ26:AQ29)</f>
        <v>659</v>
      </c>
      <c r="AR11" s="503">
        <f>SUM('Matrícula plan'!AR26:AR29)</f>
        <v>717</v>
      </c>
      <c r="AS11" s="501">
        <f>SUM('Matrícula plan'!AS26:AS29)</f>
        <v>698</v>
      </c>
      <c r="AT11" s="502">
        <f>SUM('Matrícula plan'!AT26:AT29)</f>
        <v>777</v>
      </c>
      <c r="AU11" s="503">
        <f>SUM('Matrícula plan'!AU26:AU29)</f>
        <v>856</v>
      </c>
      <c r="AV11" s="501">
        <f>SUM('Matrícula plan'!AV26:AV29)</f>
        <v>754</v>
      </c>
      <c r="AW11" s="502">
        <f>SUM('Matrícula plan'!AW26:AW29)</f>
        <v>871</v>
      </c>
      <c r="AX11" s="503">
        <f>SUM('Matrícula plan'!AX26:AX29)</f>
        <v>939</v>
      </c>
      <c r="AY11" s="501">
        <f>SUM('Matrícula plan'!AY26:AY29)</f>
        <v>899</v>
      </c>
      <c r="AZ11" s="502">
        <f>SUM('Matrícula plan'!AZ26:AZ29)</f>
        <v>942</v>
      </c>
      <c r="BA11" s="503">
        <f>SUM('Matrícula plan'!BA26:BA29)</f>
        <v>979</v>
      </c>
      <c r="BB11" s="501">
        <f>SUM('Matrícula plan'!BB26:BB29)</f>
        <v>905</v>
      </c>
      <c r="BC11" s="502">
        <f>SUM('Matrícula plan'!BC26:BC29)</f>
        <v>992</v>
      </c>
      <c r="BD11" s="503">
        <f>SUM('Matrícula plan'!BD26:BD29)</f>
        <v>1026</v>
      </c>
      <c r="BE11" s="501">
        <f>SUM('Matrícula plan'!BE26:BE29)</f>
        <v>982</v>
      </c>
      <c r="BF11" s="502">
        <f>SUM('Matrícula plan'!BF26:BF29)</f>
        <v>1049</v>
      </c>
      <c r="BG11" s="503">
        <f>SUM('Matrícula plan'!BG26:BG29)</f>
        <v>1045</v>
      </c>
      <c r="BH11" s="501">
        <f>SUM('Matrícula plan'!BH26:BH29)</f>
        <v>1023</v>
      </c>
      <c r="BI11" s="502">
        <f>SUM('Matrícula plan'!BI26:BI29)</f>
        <v>990</v>
      </c>
      <c r="BJ11" s="503">
        <f>SUM('Matrícula plan'!BJ26:BJ29)</f>
        <v>1086</v>
      </c>
    </row>
    <row r="12" spans="2:62" s="489" customFormat="1" ht="15" customHeight="1" x14ac:dyDescent="0.3">
      <c r="B12" s="154" t="s">
        <v>111</v>
      </c>
      <c r="C12" s="504"/>
      <c r="D12" s="505"/>
      <c r="E12" s="506"/>
      <c r="F12" s="504"/>
      <c r="G12" s="505"/>
      <c r="H12" s="505"/>
      <c r="I12" s="504"/>
      <c r="J12" s="505"/>
      <c r="K12" s="506">
        <v>34</v>
      </c>
      <c r="L12" s="504">
        <v>29</v>
      </c>
      <c r="M12" s="505">
        <v>29</v>
      </c>
      <c r="N12" s="506">
        <v>61</v>
      </c>
      <c r="O12" s="505">
        <v>60</v>
      </c>
      <c r="P12" s="505">
        <v>59</v>
      </c>
      <c r="Q12" s="506">
        <v>187</v>
      </c>
      <c r="R12" s="505">
        <v>174</v>
      </c>
      <c r="S12" s="505">
        <v>167</v>
      </c>
      <c r="T12" s="506">
        <v>292</v>
      </c>
      <c r="U12" s="504">
        <v>272</v>
      </c>
      <c r="V12" s="505">
        <v>263</v>
      </c>
      <c r="W12" s="506">
        <v>360</v>
      </c>
      <c r="X12" s="504">
        <v>328</v>
      </c>
      <c r="Y12" s="505">
        <v>313</v>
      </c>
      <c r="Z12" s="506">
        <v>423</v>
      </c>
      <c r="AA12" s="504">
        <f>SUM('Matrícula plan'!AA31:AA33)</f>
        <v>396</v>
      </c>
      <c r="AB12" s="505">
        <f>SUM('Matrícula plan'!AB31:AB33)</f>
        <v>385</v>
      </c>
      <c r="AC12" s="506">
        <f>SUM('Matrícula plan'!AC31:AC33)</f>
        <v>498</v>
      </c>
      <c r="AD12" s="504">
        <f>SUM('Matrícula plan'!AD31:AD33)</f>
        <v>452</v>
      </c>
      <c r="AE12" s="505">
        <f>SUM('Matrícula plan'!AE31:AE33)</f>
        <v>429</v>
      </c>
      <c r="AF12" s="506">
        <f>SUM('Matrícula plan'!AF31:AF33)</f>
        <v>520</v>
      </c>
      <c r="AG12" s="504">
        <f>SUM('Matrícula plan'!AG31:AG33)</f>
        <v>489</v>
      </c>
      <c r="AH12" s="505">
        <f>SUM('Matrícula plan'!AH31:AH33)</f>
        <v>471</v>
      </c>
      <c r="AI12" s="506">
        <f>SUM('Matrícula plan'!AI31:AI33)</f>
        <v>576</v>
      </c>
      <c r="AJ12" s="504">
        <f>SUM('Matrícula plan'!AJ31:AJ33)</f>
        <v>528</v>
      </c>
      <c r="AK12" s="505">
        <f>SUM('Matrícula plan'!AK31:AK33)</f>
        <v>515</v>
      </c>
      <c r="AL12" s="506">
        <f>SUM('Matrícula plan'!AL31:AL33)</f>
        <v>644</v>
      </c>
      <c r="AM12" s="504">
        <f>SUM('Matrícula plan'!AM31:AM33)</f>
        <v>589</v>
      </c>
      <c r="AN12" s="505">
        <f>SUM('Matrícula plan'!AN31:AN33)</f>
        <v>565</v>
      </c>
      <c r="AO12" s="506">
        <f>SUM('Matrícula plan'!AO31:AO33)</f>
        <v>726</v>
      </c>
      <c r="AP12" s="504">
        <f>SUM('Matrícula plan'!AP31:AP33)</f>
        <v>647</v>
      </c>
      <c r="AQ12" s="505">
        <f>SUM('Matrícula plan'!AQ31:AQ33)</f>
        <v>651</v>
      </c>
      <c r="AR12" s="506">
        <f>SUM('Matrícula plan'!AR31:AR33)</f>
        <v>783</v>
      </c>
      <c r="AS12" s="504">
        <f>SUM('Matrícula plan'!AS31:AS33)</f>
        <v>787</v>
      </c>
      <c r="AT12" s="505">
        <f>SUM('Matrícula plan'!AT31:AT33)</f>
        <v>740</v>
      </c>
      <c r="AU12" s="506">
        <f>SUM('Matrícula plan'!AU31:AU33)</f>
        <v>926</v>
      </c>
      <c r="AV12" s="504">
        <f>SUM('Matrícula plan'!AV31:AV33)</f>
        <v>801</v>
      </c>
      <c r="AW12" s="505">
        <f>SUM('Matrícula plan'!AW31:AW33)</f>
        <v>801</v>
      </c>
      <c r="AX12" s="506">
        <f>SUM('Matrícula plan'!AX31:AX33)</f>
        <v>981</v>
      </c>
      <c r="AY12" s="504">
        <f>SUM('Matrícula plan'!AY31:AY33)</f>
        <v>931</v>
      </c>
      <c r="AZ12" s="505">
        <f>SUM('Matrícula plan'!AZ31:AZ33)</f>
        <v>875</v>
      </c>
      <c r="BA12" s="506">
        <f>SUM('Matrícula plan'!BA31:BA33)</f>
        <v>991</v>
      </c>
      <c r="BB12" s="504">
        <f>SUM('Matrícula plan'!BB31:BB33)</f>
        <v>953</v>
      </c>
      <c r="BC12" s="505">
        <f>SUM('Matrícula plan'!BC31:BC33)</f>
        <v>907</v>
      </c>
      <c r="BD12" s="506">
        <f>SUM('Matrícula plan'!BD31:BD33)</f>
        <v>1050</v>
      </c>
      <c r="BE12" s="504">
        <f>SUM('Matrícula plan'!BE31:BE33)</f>
        <v>1000</v>
      </c>
      <c r="BF12" s="505">
        <f>SUM('Matrícula plan'!BF31:BF33)</f>
        <v>976</v>
      </c>
      <c r="BG12" s="506">
        <f>SUM('Matrícula plan'!BG31:BG33)</f>
        <v>1085</v>
      </c>
      <c r="BH12" s="504">
        <f>SUM('Matrícula plan'!BH31:BH33)</f>
        <v>1044</v>
      </c>
      <c r="BI12" s="505">
        <f>SUM('Matrícula plan'!BI31:BI33)</f>
        <v>962</v>
      </c>
      <c r="BJ12" s="506">
        <f>SUM('Matrícula plan'!BJ31:BJ33)</f>
        <v>1131</v>
      </c>
    </row>
    <row r="13" spans="2:62" s="489" customFormat="1" ht="15" customHeight="1" x14ac:dyDescent="0.3">
      <c r="B13" s="154" t="s">
        <v>115</v>
      </c>
      <c r="C13" s="504"/>
      <c r="D13" s="505"/>
      <c r="E13" s="506"/>
      <c r="F13" s="504"/>
      <c r="G13" s="505"/>
      <c r="H13" s="505"/>
      <c r="I13" s="504"/>
      <c r="J13" s="505"/>
      <c r="K13" s="506">
        <v>58</v>
      </c>
      <c r="L13" s="504">
        <v>50</v>
      </c>
      <c r="M13" s="505">
        <v>44</v>
      </c>
      <c r="N13" s="506">
        <v>68</v>
      </c>
      <c r="O13" s="505">
        <v>63</v>
      </c>
      <c r="P13" s="505">
        <v>56</v>
      </c>
      <c r="Q13" s="506">
        <v>120</v>
      </c>
      <c r="R13" s="505">
        <v>104</v>
      </c>
      <c r="S13" s="505">
        <v>95</v>
      </c>
      <c r="T13" s="506">
        <v>205</v>
      </c>
      <c r="U13" s="504">
        <v>189</v>
      </c>
      <c r="V13" s="505">
        <v>169</v>
      </c>
      <c r="W13" s="506">
        <v>238</v>
      </c>
      <c r="X13" s="504">
        <v>209</v>
      </c>
      <c r="Y13" s="505">
        <v>201</v>
      </c>
      <c r="Z13" s="506">
        <v>296</v>
      </c>
      <c r="AA13" s="504">
        <f>SUM('Matrícula plan'!AA35:AA38)</f>
        <v>276</v>
      </c>
      <c r="AB13" s="505">
        <f>SUM('Matrícula plan'!AB35:AB38)</f>
        <v>261</v>
      </c>
      <c r="AC13" s="506">
        <f>SUM('Matrícula plan'!AC35:AC38)</f>
        <v>356</v>
      </c>
      <c r="AD13" s="504">
        <f>SUM('Matrícula plan'!AD35:AD38)</f>
        <v>341</v>
      </c>
      <c r="AE13" s="505">
        <f>SUM('Matrícula plan'!AE35:AE38)</f>
        <v>321</v>
      </c>
      <c r="AF13" s="506">
        <f>SUM('Matrícula plan'!AF35:AF38)</f>
        <v>449</v>
      </c>
      <c r="AG13" s="504">
        <f>SUM('Matrícula plan'!AG35:AG38)</f>
        <v>413</v>
      </c>
      <c r="AH13" s="505">
        <f>SUM('Matrícula plan'!AH35:AH38)</f>
        <v>382</v>
      </c>
      <c r="AI13" s="506">
        <f>SUM('Matrícula plan'!AI35:AI38)</f>
        <v>525</v>
      </c>
      <c r="AJ13" s="504">
        <f>SUM('Matrícula plan'!AJ35:AJ38)</f>
        <v>482</v>
      </c>
      <c r="AK13" s="505">
        <f>SUM('Matrícula plan'!AK35:AK38)</f>
        <v>450</v>
      </c>
      <c r="AL13" s="506">
        <f>SUM('Matrícula plan'!AL35:AL38)</f>
        <v>650</v>
      </c>
      <c r="AM13" s="504">
        <f>SUM('Matrícula plan'!AM35:AM38)</f>
        <v>590</v>
      </c>
      <c r="AN13" s="505">
        <f>SUM('Matrícula plan'!AN35:AN38)</f>
        <v>560</v>
      </c>
      <c r="AO13" s="506">
        <f>SUM('Matrícula plan'!AO35:AO38)</f>
        <v>738</v>
      </c>
      <c r="AP13" s="504">
        <f>SUM('Matrícula plan'!AP35:AP38)</f>
        <v>634</v>
      </c>
      <c r="AQ13" s="505">
        <f>SUM('Matrícula plan'!AQ35:AQ38)</f>
        <v>630</v>
      </c>
      <c r="AR13" s="506">
        <f>SUM('Matrícula plan'!AR35:AR38)</f>
        <v>801</v>
      </c>
      <c r="AS13" s="504">
        <f>SUM('Matrícula plan'!AS35:AS38)</f>
        <v>748</v>
      </c>
      <c r="AT13" s="505">
        <f>SUM('Matrícula plan'!AT35:AT38)</f>
        <v>732</v>
      </c>
      <c r="AU13" s="506">
        <f>SUM('Matrícula plan'!AU35:AU38)</f>
        <v>909</v>
      </c>
      <c r="AV13" s="504">
        <f>SUM('Matrícula plan'!AV35:AV38)</f>
        <v>814</v>
      </c>
      <c r="AW13" s="505">
        <f>SUM('Matrícula plan'!AW35:AW38)</f>
        <v>801</v>
      </c>
      <c r="AX13" s="506">
        <f>SUM('Matrícula plan'!AX35:AX38)</f>
        <v>989</v>
      </c>
      <c r="AY13" s="504">
        <f>SUM('Matrícula plan'!AY35:AY38)</f>
        <v>909</v>
      </c>
      <c r="AZ13" s="505">
        <f>SUM('Matrícula plan'!AZ35:AZ38)</f>
        <v>850</v>
      </c>
      <c r="BA13" s="506">
        <f>SUM('Matrícula plan'!BA35:BA38)</f>
        <v>1017</v>
      </c>
      <c r="BB13" s="504">
        <f>SUM('Matrícula plan'!BB35:BB38)</f>
        <v>934</v>
      </c>
      <c r="BC13" s="505">
        <f>SUM('Matrícula plan'!BC35:BC38)</f>
        <v>913</v>
      </c>
      <c r="BD13" s="506">
        <f>SUM('Matrícula plan'!BD35:BD38)</f>
        <v>1093</v>
      </c>
      <c r="BE13" s="504">
        <f>SUM('Matrícula plan'!BE35:BE38)</f>
        <v>1055</v>
      </c>
      <c r="BF13" s="505">
        <f>SUM('Matrícula plan'!BF35:BF38)</f>
        <v>998</v>
      </c>
      <c r="BG13" s="506">
        <f>SUM('Matrícula plan'!BG35:BG38)</f>
        <v>1124</v>
      </c>
      <c r="BH13" s="504">
        <f>SUM('Matrícula plan'!BH35:BH38)</f>
        <v>1066</v>
      </c>
      <c r="BI13" s="505">
        <f>SUM('Matrícula plan'!BI35:BI38)</f>
        <v>986</v>
      </c>
      <c r="BJ13" s="506">
        <f>SUM('Matrícula plan'!BJ35:BJ38)</f>
        <v>1181</v>
      </c>
    </row>
    <row r="14" spans="2:62" s="489" customFormat="1" ht="15" customHeight="1" x14ac:dyDescent="0.3">
      <c r="B14" s="166" t="s">
        <v>134</v>
      </c>
      <c r="C14" s="511"/>
      <c r="D14" s="512"/>
      <c r="E14" s="513"/>
      <c r="F14" s="511"/>
      <c r="G14" s="512"/>
      <c r="H14" s="512"/>
      <c r="I14" s="511"/>
      <c r="J14" s="512"/>
      <c r="K14" s="513">
        <v>203</v>
      </c>
      <c r="L14" s="511">
        <v>182</v>
      </c>
      <c r="M14" s="512">
        <v>168</v>
      </c>
      <c r="N14" s="513">
        <v>265</v>
      </c>
      <c r="O14" s="512">
        <v>240</v>
      </c>
      <c r="P14" s="512">
        <v>231</v>
      </c>
      <c r="Q14" s="513">
        <v>546</v>
      </c>
      <c r="R14" s="512">
        <v>508</v>
      </c>
      <c r="S14" s="512">
        <v>479</v>
      </c>
      <c r="T14" s="513">
        <v>825</v>
      </c>
      <c r="U14" s="511">
        <v>772</v>
      </c>
      <c r="V14" s="512">
        <v>738</v>
      </c>
      <c r="W14" s="513">
        <v>969</v>
      </c>
      <c r="X14" s="511">
        <f t="shared" ref="X14:AC14" si="4">SUM(X11:X13)</f>
        <v>850</v>
      </c>
      <c r="Y14" s="512">
        <f t="shared" si="4"/>
        <v>827</v>
      </c>
      <c r="Z14" s="513">
        <f t="shared" si="4"/>
        <v>1124</v>
      </c>
      <c r="AA14" s="511">
        <f t="shared" si="4"/>
        <v>1027</v>
      </c>
      <c r="AB14" s="512">
        <f t="shared" si="4"/>
        <v>981</v>
      </c>
      <c r="AC14" s="513">
        <f t="shared" si="4"/>
        <v>1227</v>
      </c>
      <c r="AD14" s="511">
        <f t="shared" ref="AD14:BD14" si="5">SUM(AD11:AD13)</f>
        <v>1143</v>
      </c>
      <c r="AE14" s="512">
        <f t="shared" si="5"/>
        <v>1081</v>
      </c>
      <c r="AF14" s="513">
        <f t="shared" si="5"/>
        <v>1347</v>
      </c>
      <c r="AG14" s="511">
        <f t="shared" si="5"/>
        <v>1255</v>
      </c>
      <c r="AH14" s="512">
        <f t="shared" si="5"/>
        <v>1179</v>
      </c>
      <c r="AI14" s="513">
        <f t="shared" si="5"/>
        <v>1490</v>
      </c>
      <c r="AJ14" s="511">
        <f t="shared" si="5"/>
        <v>1371</v>
      </c>
      <c r="AK14" s="512">
        <f t="shared" si="5"/>
        <v>1396</v>
      </c>
      <c r="AL14" s="513">
        <f t="shared" si="5"/>
        <v>1782</v>
      </c>
      <c r="AM14" s="511">
        <f t="shared" si="5"/>
        <v>1633</v>
      </c>
      <c r="AN14" s="512">
        <f t="shared" si="5"/>
        <v>1656</v>
      </c>
      <c r="AO14" s="513">
        <f t="shared" si="5"/>
        <v>2089</v>
      </c>
      <c r="AP14" s="511">
        <f t="shared" si="5"/>
        <v>1824</v>
      </c>
      <c r="AQ14" s="512">
        <f t="shared" si="5"/>
        <v>1940</v>
      </c>
      <c r="AR14" s="513">
        <f t="shared" si="5"/>
        <v>2301</v>
      </c>
      <c r="AS14" s="511">
        <f t="shared" si="5"/>
        <v>2233</v>
      </c>
      <c r="AT14" s="512">
        <f t="shared" si="5"/>
        <v>2249</v>
      </c>
      <c r="AU14" s="513">
        <f t="shared" si="5"/>
        <v>2691</v>
      </c>
      <c r="AV14" s="511">
        <f t="shared" si="5"/>
        <v>2369</v>
      </c>
      <c r="AW14" s="512">
        <f t="shared" si="5"/>
        <v>2473</v>
      </c>
      <c r="AX14" s="513">
        <f t="shared" si="5"/>
        <v>2909</v>
      </c>
      <c r="AY14" s="511">
        <f t="shared" si="5"/>
        <v>2739</v>
      </c>
      <c r="AZ14" s="512">
        <f t="shared" si="5"/>
        <v>2667</v>
      </c>
      <c r="BA14" s="513">
        <f t="shared" si="5"/>
        <v>2987</v>
      </c>
      <c r="BB14" s="511">
        <f t="shared" si="5"/>
        <v>2792</v>
      </c>
      <c r="BC14" s="512">
        <f t="shared" si="5"/>
        <v>2812</v>
      </c>
      <c r="BD14" s="513">
        <f t="shared" si="5"/>
        <v>3169</v>
      </c>
      <c r="BE14" s="511">
        <f t="shared" ref="BE14:BG14" si="6">SUM(BE11:BE13)</f>
        <v>3037</v>
      </c>
      <c r="BF14" s="512">
        <f t="shared" si="6"/>
        <v>3023</v>
      </c>
      <c r="BG14" s="513">
        <f t="shared" si="6"/>
        <v>3254</v>
      </c>
      <c r="BH14" s="511">
        <f t="shared" ref="BH14:BJ14" si="7">SUM(BH11:BH13)</f>
        <v>3133</v>
      </c>
      <c r="BI14" s="512">
        <f t="shared" si="7"/>
        <v>2938</v>
      </c>
      <c r="BJ14" s="513">
        <f t="shared" si="7"/>
        <v>3398</v>
      </c>
    </row>
    <row r="15" spans="2:62" s="494" customFormat="1" ht="14.4" x14ac:dyDescent="0.25">
      <c r="B15" s="170"/>
      <c r="C15" s="514"/>
      <c r="D15" s="514"/>
      <c r="E15" s="514"/>
      <c r="F15" s="514"/>
      <c r="G15" s="514"/>
      <c r="H15" s="514"/>
      <c r="I15" s="514"/>
      <c r="J15" s="514"/>
      <c r="K15" s="514"/>
      <c r="L15" s="514"/>
      <c r="M15" s="514"/>
      <c r="N15" s="514"/>
      <c r="O15" s="514"/>
      <c r="P15" s="514"/>
      <c r="Q15" s="514"/>
      <c r="R15" s="514"/>
      <c r="S15" s="514"/>
      <c r="T15" s="514"/>
      <c r="U15" s="514"/>
      <c r="V15" s="514"/>
      <c r="W15" s="514"/>
      <c r="X15" s="514"/>
      <c r="Y15" s="514"/>
      <c r="Z15" s="514"/>
      <c r="AA15" s="514"/>
      <c r="AB15" s="514"/>
      <c r="AC15" s="514"/>
      <c r="AD15" s="514"/>
      <c r="AE15" s="514"/>
      <c r="AF15" s="514"/>
      <c r="AG15" s="514"/>
      <c r="AH15" s="514"/>
      <c r="AI15" s="514"/>
      <c r="AJ15" s="514"/>
      <c r="AK15" s="514"/>
      <c r="AL15" s="514"/>
      <c r="AM15" s="514"/>
      <c r="AN15" s="514"/>
      <c r="AO15" s="514"/>
      <c r="AP15" s="514"/>
      <c r="AQ15" s="514"/>
      <c r="AR15" s="514"/>
      <c r="AS15" s="514"/>
      <c r="AT15" s="514"/>
      <c r="AU15" s="514"/>
      <c r="AV15" s="514"/>
      <c r="AW15" s="514"/>
      <c r="AX15" s="514"/>
      <c r="AY15" s="514"/>
      <c r="AZ15" s="514"/>
      <c r="BA15" s="514"/>
      <c r="BB15" s="514"/>
      <c r="BC15" s="514"/>
      <c r="BD15" s="514"/>
      <c r="BE15" s="514"/>
      <c r="BF15" s="514"/>
      <c r="BG15" s="514"/>
      <c r="BH15" s="514"/>
      <c r="BI15" s="514"/>
      <c r="BJ15" s="514"/>
    </row>
    <row r="16" spans="2:62" s="494" customFormat="1" ht="15" customHeight="1" x14ac:dyDescent="0.3">
      <c r="B16" s="150" t="s">
        <v>59</v>
      </c>
      <c r="C16" s="501">
        <v>2587</v>
      </c>
      <c r="D16" s="502">
        <v>2667</v>
      </c>
      <c r="E16" s="503">
        <v>2798</v>
      </c>
      <c r="F16" s="501">
        <v>2584</v>
      </c>
      <c r="G16" s="502">
        <v>2564</v>
      </c>
      <c r="H16" s="502">
        <v>2733</v>
      </c>
      <c r="I16" s="501">
        <v>2470</v>
      </c>
      <c r="J16" s="502">
        <v>2552</v>
      </c>
      <c r="K16" s="503">
        <v>2765</v>
      </c>
      <c r="L16" s="501">
        <v>2481</v>
      </c>
      <c r="M16" s="502">
        <v>2599</v>
      </c>
      <c r="N16" s="503">
        <v>2692</v>
      </c>
      <c r="O16" s="502">
        <v>2465</v>
      </c>
      <c r="P16" s="502">
        <v>2530</v>
      </c>
      <c r="Q16" s="503">
        <v>2654</v>
      </c>
      <c r="R16" s="502">
        <v>2432</v>
      </c>
      <c r="S16" s="502">
        <v>2407</v>
      </c>
      <c r="T16" s="503">
        <v>2669</v>
      </c>
      <c r="U16" s="501">
        <v>2502</v>
      </c>
      <c r="V16" s="502">
        <v>2525</v>
      </c>
      <c r="W16" s="503">
        <v>2691</v>
      </c>
      <c r="X16" s="501">
        <v>2541</v>
      </c>
      <c r="Y16" s="502">
        <v>2436</v>
      </c>
      <c r="Z16" s="503">
        <v>2868</v>
      </c>
      <c r="AA16" s="501">
        <f>SUM('Matrícula plan'!AA41:AA49)</f>
        <v>2587</v>
      </c>
      <c r="AB16" s="502">
        <f>SUM('Matrícula plan'!AB41:AB49)</f>
        <v>2616</v>
      </c>
      <c r="AC16" s="503">
        <f>SUM('Matrícula plan'!AC41:AC49)</f>
        <v>3016</v>
      </c>
      <c r="AD16" s="501">
        <f>SUM('Matrícula plan'!AD41:AD49)</f>
        <v>2744</v>
      </c>
      <c r="AE16" s="502">
        <f>SUM('Matrícula plan'!AE41:AE49)</f>
        <v>2775</v>
      </c>
      <c r="AF16" s="503">
        <f>SUM('Matrícula plan'!AF41:AF49)</f>
        <v>3114</v>
      </c>
      <c r="AG16" s="501">
        <f>SUM('Matrícula plan'!AG41:AG49)</f>
        <v>2928</v>
      </c>
      <c r="AH16" s="502">
        <f>SUM('Matrícula plan'!AH41:AH49)</f>
        <v>3053</v>
      </c>
      <c r="AI16" s="503">
        <f>SUM('Matrícula plan'!AI41:AI49)</f>
        <v>3623</v>
      </c>
      <c r="AJ16" s="501">
        <f>SUM('Matrícula plan'!AJ41:AJ49)</f>
        <v>3298</v>
      </c>
      <c r="AK16" s="502">
        <f>SUM('Matrícula plan'!AK41:AK49)</f>
        <v>3309</v>
      </c>
      <c r="AL16" s="503">
        <f>SUM('Matrícula plan'!AL41:AL49)</f>
        <v>3750</v>
      </c>
      <c r="AM16" s="501">
        <f>SUM('Matrícula plan'!AM41:AM49)</f>
        <v>3460</v>
      </c>
      <c r="AN16" s="502">
        <f>SUM('Matrícula plan'!AN41:AN49)</f>
        <v>3416</v>
      </c>
      <c r="AO16" s="503">
        <f>SUM('Matrícula plan'!AO41:AO49)</f>
        <v>3845</v>
      </c>
      <c r="AP16" s="501">
        <f>SUM('Matrícula plan'!AP41:AP49)</f>
        <v>3486</v>
      </c>
      <c r="AQ16" s="502">
        <f>SUM('Matrícula plan'!AQ41:AQ49)</f>
        <v>3433</v>
      </c>
      <c r="AR16" s="503">
        <f>SUM('Matrícula plan'!AR41:AR50)</f>
        <v>3945</v>
      </c>
      <c r="AS16" s="501">
        <f>SUM('Matrícula plan'!AS41:AS49)</f>
        <v>3516</v>
      </c>
      <c r="AT16" s="502">
        <f>SUM('Matrícula plan'!AT41:AT50)</f>
        <v>3354</v>
      </c>
      <c r="AU16" s="503">
        <f>SUM('Matrícula plan'!AU41:AU50)</f>
        <v>3779</v>
      </c>
      <c r="AV16" s="501">
        <f>SUM('Matrícula plan'!AV41:AV50)</f>
        <v>3488</v>
      </c>
      <c r="AW16" s="502">
        <f>SUM('Matrícula plan'!AW41:AW50)</f>
        <v>3313</v>
      </c>
      <c r="AX16" s="503">
        <f>SUM('Matrícula plan'!AX41:AX50)</f>
        <v>3685</v>
      </c>
      <c r="AY16" s="501">
        <f>SUM('Matrícula plan'!AY41:AY50)</f>
        <v>3400</v>
      </c>
      <c r="AZ16" s="502">
        <f>SUM('Matrícula plan'!AZ41:AZ50)</f>
        <v>2993</v>
      </c>
      <c r="BA16" s="503">
        <f>SUM('Matrícula plan'!BA41:BA50)</f>
        <v>3491</v>
      </c>
      <c r="BB16" s="501">
        <f>SUM('Matrícula plan'!BB41:BB50)</f>
        <v>3232</v>
      </c>
      <c r="BC16" s="502">
        <f>SUM('Matrícula plan'!BC41:BC50)</f>
        <v>3083</v>
      </c>
      <c r="BD16" s="503">
        <f>SUM('Matrícula plan'!BD41:BD50)</f>
        <v>3613</v>
      </c>
      <c r="BE16" s="501">
        <f>SUM('Matrícula plan'!BE41:BE50)</f>
        <v>3399</v>
      </c>
      <c r="BF16" s="502">
        <f>SUM('Matrícula plan'!BF41:BF50)</f>
        <v>3232</v>
      </c>
      <c r="BG16" s="503">
        <f>SUM('Matrícula plan'!BG41:BG50)</f>
        <v>3510</v>
      </c>
      <c r="BH16" s="501">
        <f>SUM('Matrícula plan'!BH41:BH50)</f>
        <v>3301</v>
      </c>
      <c r="BI16" s="502">
        <f>SUM('Matrícula plan'!BI41:BI50)</f>
        <v>3089</v>
      </c>
      <c r="BJ16" s="503">
        <f>SUM('Matrícula plan'!BJ41:BJ50)</f>
        <v>3529</v>
      </c>
    </row>
    <row r="17" spans="2:62" s="494" customFormat="1" ht="15" customHeight="1" x14ac:dyDescent="0.3">
      <c r="B17" s="154" t="s">
        <v>64</v>
      </c>
      <c r="C17" s="504">
        <v>4065</v>
      </c>
      <c r="D17" s="505">
        <v>3900</v>
      </c>
      <c r="E17" s="506">
        <v>4345</v>
      </c>
      <c r="F17" s="504">
        <v>4034</v>
      </c>
      <c r="G17" s="505">
        <v>3828</v>
      </c>
      <c r="H17" s="505">
        <v>4347</v>
      </c>
      <c r="I17" s="504">
        <v>3956</v>
      </c>
      <c r="J17" s="505">
        <v>3804</v>
      </c>
      <c r="K17" s="506">
        <v>4445</v>
      </c>
      <c r="L17" s="504">
        <v>4098</v>
      </c>
      <c r="M17" s="505">
        <v>3999</v>
      </c>
      <c r="N17" s="506">
        <v>4577</v>
      </c>
      <c r="O17" s="505">
        <v>4272</v>
      </c>
      <c r="P17" s="505">
        <v>4161</v>
      </c>
      <c r="Q17" s="506">
        <v>4828</v>
      </c>
      <c r="R17" s="505">
        <v>4521</v>
      </c>
      <c r="S17" s="505">
        <v>4272</v>
      </c>
      <c r="T17" s="506">
        <v>4934</v>
      </c>
      <c r="U17" s="504">
        <v>4717</v>
      </c>
      <c r="V17" s="505">
        <v>4586</v>
      </c>
      <c r="W17" s="506">
        <v>5084</v>
      </c>
      <c r="X17" s="504">
        <v>4798</v>
      </c>
      <c r="Y17" s="505">
        <v>4644</v>
      </c>
      <c r="Z17" s="506">
        <v>5289</v>
      </c>
      <c r="AA17" s="504">
        <f>SUM('Matrícula plan'!AA52:AA62)</f>
        <v>4769</v>
      </c>
      <c r="AB17" s="505">
        <f>SUM('Matrícula plan'!AB52:AB62)</f>
        <v>4748</v>
      </c>
      <c r="AC17" s="506">
        <f>SUM('Matrícula plan'!AC52:AC62)</f>
        <v>5318</v>
      </c>
      <c r="AD17" s="504">
        <f>SUM('Matrícula plan'!AD52:AD62)</f>
        <v>4954</v>
      </c>
      <c r="AE17" s="505">
        <f>SUM('Matrícula plan'!AE52:AE62)</f>
        <v>4953</v>
      </c>
      <c r="AF17" s="506">
        <f>SUM('Matrícula plan'!AF52:AF62)</f>
        <v>5362</v>
      </c>
      <c r="AG17" s="504">
        <f>SUM('Matrícula plan'!AG52:AG62)</f>
        <v>5096</v>
      </c>
      <c r="AH17" s="505">
        <f>SUM('Matrícula plan'!AH52:AH62)</f>
        <v>4950</v>
      </c>
      <c r="AI17" s="506">
        <f>SUM('Matrícula plan'!AI52:AI62)</f>
        <v>5492</v>
      </c>
      <c r="AJ17" s="504">
        <f>SUM('Matrícula plan'!AJ52:AJ62)</f>
        <v>5041</v>
      </c>
      <c r="AK17" s="505">
        <f>SUM('Matrícula plan'!AK52:AK62)</f>
        <v>4915</v>
      </c>
      <c r="AL17" s="506">
        <f>SUM('Matrícula plan'!AL52:AL62)</f>
        <v>5510</v>
      </c>
      <c r="AM17" s="504">
        <f>SUM('Matrícula plan'!AM52:AM62)</f>
        <v>5080</v>
      </c>
      <c r="AN17" s="505">
        <f>SUM('Matrícula plan'!AN52:AN62)</f>
        <v>4857</v>
      </c>
      <c r="AO17" s="506">
        <f>SUM('Matrícula plan'!AO52:AO62)</f>
        <v>5482</v>
      </c>
      <c r="AP17" s="504">
        <f>SUM('Matrícula plan'!AP52:AP62)</f>
        <v>5021</v>
      </c>
      <c r="AQ17" s="505">
        <f>SUM('Matrícula plan'!AQ52:AQ62)</f>
        <v>4966</v>
      </c>
      <c r="AR17" s="506">
        <f>SUM('Matrícula plan'!AR52:AR62)</f>
        <v>5613</v>
      </c>
      <c r="AS17" s="504">
        <f>SUM('Matrícula plan'!AS52:AS62)</f>
        <v>4936</v>
      </c>
      <c r="AT17" s="505">
        <f>SUM('Matrícula plan'!AT52:AT62)</f>
        <v>4886</v>
      </c>
      <c r="AU17" s="506">
        <f>SUM('Matrícula plan'!AU52:AU62)</f>
        <v>5472</v>
      </c>
      <c r="AV17" s="504">
        <f>SUM('Matrícula plan'!AV52:AV62)</f>
        <v>4950</v>
      </c>
      <c r="AW17" s="505">
        <f>SUM('Matrícula plan'!AW52:AW62)</f>
        <v>4964</v>
      </c>
      <c r="AX17" s="506">
        <f>SUM('Matrícula plan'!AX52:AX62)</f>
        <v>5558</v>
      </c>
      <c r="AY17" s="504">
        <f>SUM('Matrícula plan'!AY52:AY62)</f>
        <v>5099</v>
      </c>
      <c r="AZ17" s="505">
        <f>SUM('Matrícula plan'!AZ52:AZ62)</f>
        <v>4817</v>
      </c>
      <c r="BA17" s="506">
        <f>SUM('Matrícula plan'!BA52:BA62)</f>
        <v>5280</v>
      </c>
      <c r="BB17" s="504">
        <f>SUM('Matrícula plan'!BB52:BB62)</f>
        <v>5048</v>
      </c>
      <c r="BC17" s="505">
        <f>SUM('Matrícula plan'!BC52:BC62)</f>
        <v>4985</v>
      </c>
      <c r="BD17" s="506">
        <f>SUM('Matrícula plan'!BD52:BD62)</f>
        <v>5551</v>
      </c>
      <c r="BE17" s="504">
        <f>SUM('Matrícula plan'!BE52:BE62)</f>
        <v>5193</v>
      </c>
      <c r="BF17" s="505">
        <f>SUM('Matrícula plan'!BF52:BF62)</f>
        <v>5151</v>
      </c>
      <c r="BG17" s="506">
        <f>SUM('Matrícula plan'!BG52:BG62)</f>
        <v>5666</v>
      </c>
      <c r="BH17" s="504">
        <f>SUM('Matrícula plan'!BH52:BH62)</f>
        <v>5335</v>
      </c>
      <c r="BI17" s="505">
        <f>SUM('Matrícula plan'!BI52:BI62)</f>
        <v>5261</v>
      </c>
      <c r="BJ17" s="506">
        <f>SUM('Matrícula plan'!BJ52:BJ62)</f>
        <v>5701</v>
      </c>
    </row>
    <row r="18" spans="2:62" s="494" customFormat="1" ht="15" customHeight="1" x14ac:dyDescent="0.3">
      <c r="B18" s="154" t="s">
        <v>92</v>
      </c>
      <c r="C18" s="504">
        <v>2931</v>
      </c>
      <c r="D18" s="505">
        <v>2870</v>
      </c>
      <c r="E18" s="506">
        <v>2978</v>
      </c>
      <c r="F18" s="504">
        <v>2767</v>
      </c>
      <c r="G18" s="505">
        <v>2752</v>
      </c>
      <c r="H18" s="505">
        <v>2881</v>
      </c>
      <c r="I18" s="504">
        <v>2652</v>
      </c>
      <c r="J18" s="505">
        <v>2610</v>
      </c>
      <c r="K18" s="506">
        <v>2764</v>
      </c>
      <c r="L18" s="504">
        <v>2560</v>
      </c>
      <c r="M18" s="505">
        <v>2574</v>
      </c>
      <c r="N18" s="506">
        <v>2770</v>
      </c>
      <c r="O18" s="505">
        <v>2558</v>
      </c>
      <c r="P18" s="505">
        <v>2568</v>
      </c>
      <c r="Q18" s="506">
        <v>2761</v>
      </c>
      <c r="R18" s="505">
        <v>2595</v>
      </c>
      <c r="S18" s="505">
        <v>2591</v>
      </c>
      <c r="T18" s="506">
        <v>2766</v>
      </c>
      <c r="U18" s="504">
        <v>2593</v>
      </c>
      <c r="V18" s="505">
        <v>2772</v>
      </c>
      <c r="W18" s="506">
        <v>3014</v>
      </c>
      <c r="X18" s="504">
        <v>2859</v>
      </c>
      <c r="Y18" s="505">
        <v>3030</v>
      </c>
      <c r="Z18" s="506">
        <v>3242</v>
      </c>
      <c r="AA18" s="504">
        <f>SUM('Matrícula plan'!AA64:AA69)</f>
        <v>2967</v>
      </c>
      <c r="AB18" s="505">
        <f>SUM('Matrícula plan'!AB64:AB69)</f>
        <v>3202</v>
      </c>
      <c r="AC18" s="506">
        <f>SUM('Matrícula plan'!AC64:AC69)</f>
        <v>3409</v>
      </c>
      <c r="AD18" s="504">
        <f>SUM('Matrícula plan'!AD64:AD69)</f>
        <v>3232</v>
      </c>
      <c r="AE18" s="505">
        <f>SUM('Matrícula plan'!AE64:AE69)</f>
        <v>3514</v>
      </c>
      <c r="AF18" s="506">
        <f>SUM('Matrícula plan'!AF64:AF69)</f>
        <v>3692</v>
      </c>
      <c r="AG18" s="504">
        <f>SUM('Matrícula plan'!AG64:AG69)</f>
        <v>3611</v>
      </c>
      <c r="AH18" s="505">
        <f>SUM('Matrícula plan'!AH64:AH69)</f>
        <v>3860</v>
      </c>
      <c r="AI18" s="506">
        <f>SUM('Matrícula plan'!AI64:AI69)</f>
        <v>4061</v>
      </c>
      <c r="AJ18" s="504">
        <f>SUM('Matrícula plan'!AJ64:AJ69)</f>
        <v>3764</v>
      </c>
      <c r="AK18" s="505">
        <f>SUM('Matrícula plan'!AK64:AK69)</f>
        <v>3913</v>
      </c>
      <c r="AL18" s="506">
        <f>SUM('Matrícula plan'!AL64:AL69)</f>
        <v>4068</v>
      </c>
      <c r="AM18" s="504">
        <f>SUM('Matrícula plan'!AM64:AM69)</f>
        <v>3837</v>
      </c>
      <c r="AN18" s="505">
        <f>SUM('Matrícula plan'!AN64:AN69)</f>
        <v>3921</v>
      </c>
      <c r="AO18" s="506">
        <f>SUM('Matrícula plan'!AO64:AO69)</f>
        <v>4057</v>
      </c>
      <c r="AP18" s="504">
        <f>SUM('Matrícula plan'!AP64:AP69)</f>
        <v>3758</v>
      </c>
      <c r="AQ18" s="505">
        <f>SUM('Matrícula plan'!AQ64:AQ69)</f>
        <v>3865</v>
      </c>
      <c r="AR18" s="506">
        <f>SUM('Matrícula plan'!AR64:AR69)</f>
        <v>4044</v>
      </c>
      <c r="AS18" s="504">
        <f>SUM('Matrícula plan'!AS64:AS69)</f>
        <v>3662</v>
      </c>
      <c r="AT18" s="505">
        <f>SUM('Matrícula plan'!AT64:AT69)</f>
        <v>3784</v>
      </c>
      <c r="AU18" s="506">
        <f>SUM('Matrícula plan'!AU64:AU69)</f>
        <v>3903</v>
      </c>
      <c r="AV18" s="504">
        <f>SUM('Matrícula plan'!AV64:AV69)</f>
        <v>3595</v>
      </c>
      <c r="AW18" s="505">
        <f>SUM('Matrícula plan'!AW64:AW69)</f>
        <v>3626</v>
      </c>
      <c r="AX18" s="506">
        <f>SUM('Matrícula plan'!AX64:AX69)</f>
        <v>3628</v>
      </c>
      <c r="AY18" s="504">
        <f>SUM('Matrícula plan'!AY64:AY69)</f>
        <v>3379</v>
      </c>
      <c r="AZ18" s="505">
        <f>SUM('Matrícula plan'!AZ64:AZ69)</f>
        <v>3223</v>
      </c>
      <c r="BA18" s="506">
        <f>SUM('Matrícula plan'!BA64:BA69)</f>
        <v>3258</v>
      </c>
      <c r="BB18" s="504">
        <f>SUM('Matrícula plan'!BB64:BB69)</f>
        <v>2957</v>
      </c>
      <c r="BC18" s="505">
        <f>SUM('Matrícula plan'!BC64:BC69)</f>
        <v>3205</v>
      </c>
      <c r="BD18" s="506">
        <f>SUM('Matrícula plan'!BD64:BD69)</f>
        <v>3224</v>
      </c>
      <c r="BE18" s="504">
        <f>SUM('Matrícula plan'!BE64:BE69)</f>
        <v>2971</v>
      </c>
      <c r="BF18" s="505">
        <f>SUM('Matrícula plan'!BF64:BF69)</f>
        <v>3130</v>
      </c>
      <c r="BG18" s="506">
        <f>SUM('Matrícula plan'!BG64:BG69)</f>
        <v>3112</v>
      </c>
      <c r="BH18" s="504">
        <f>SUM('Matrícula plan'!BH64:BH69)</f>
        <v>2945</v>
      </c>
      <c r="BI18" s="505">
        <f>SUM('Matrícula plan'!BI64:BI69)</f>
        <v>3064</v>
      </c>
      <c r="BJ18" s="506">
        <f>SUM('Matrícula plan'!BJ64:BJ69)</f>
        <v>3048</v>
      </c>
    </row>
    <row r="19" spans="2:62" s="489" customFormat="1" ht="15" customHeight="1" x14ac:dyDescent="0.3">
      <c r="B19" s="174" t="s">
        <v>135</v>
      </c>
      <c r="C19" s="515">
        <v>9583</v>
      </c>
      <c r="D19" s="516">
        <v>9437</v>
      </c>
      <c r="E19" s="517">
        <v>10121</v>
      </c>
      <c r="F19" s="515">
        <v>9385</v>
      </c>
      <c r="G19" s="516">
        <v>9144</v>
      </c>
      <c r="H19" s="516">
        <v>9961</v>
      </c>
      <c r="I19" s="515">
        <v>9078</v>
      </c>
      <c r="J19" s="516">
        <v>8966</v>
      </c>
      <c r="K19" s="517">
        <v>9974</v>
      </c>
      <c r="L19" s="515">
        <v>9139</v>
      </c>
      <c r="M19" s="516">
        <v>9172</v>
      </c>
      <c r="N19" s="517">
        <v>10039</v>
      </c>
      <c r="O19" s="516">
        <v>9295</v>
      </c>
      <c r="P19" s="516">
        <v>9259</v>
      </c>
      <c r="Q19" s="517">
        <v>10243</v>
      </c>
      <c r="R19" s="516">
        <v>9548</v>
      </c>
      <c r="S19" s="516">
        <v>9270</v>
      </c>
      <c r="T19" s="517">
        <v>10369</v>
      </c>
      <c r="U19" s="515">
        <v>9812</v>
      </c>
      <c r="V19" s="516">
        <v>9883</v>
      </c>
      <c r="W19" s="517">
        <v>10789</v>
      </c>
      <c r="X19" s="515">
        <f t="shared" ref="X19:AC19" si="8">SUM(X16:X18)</f>
        <v>10198</v>
      </c>
      <c r="Y19" s="516">
        <f t="shared" si="8"/>
        <v>10110</v>
      </c>
      <c r="Z19" s="517">
        <f t="shared" si="8"/>
        <v>11399</v>
      </c>
      <c r="AA19" s="515">
        <f t="shared" si="8"/>
        <v>10323</v>
      </c>
      <c r="AB19" s="516">
        <f t="shared" si="8"/>
        <v>10566</v>
      </c>
      <c r="AC19" s="517">
        <f t="shared" si="8"/>
        <v>11743</v>
      </c>
      <c r="AD19" s="515">
        <f t="shared" ref="AD19:BD19" si="9">SUM(AD16:AD18)</f>
        <v>10930</v>
      </c>
      <c r="AE19" s="516">
        <f t="shared" si="9"/>
        <v>11242</v>
      </c>
      <c r="AF19" s="517">
        <f t="shared" si="9"/>
        <v>12168</v>
      </c>
      <c r="AG19" s="515">
        <f t="shared" si="9"/>
        <v>11635</v>
      </c>
      <c r="AH19" s="516">
        <f t="shared" si="9"/>
        <v>11863</v>
      </c>
      <c r="AI19" s="517">
        <f t="shared" si="9"/>
        <v>13176</v>
      </c>
      <c r="AJ19" s="515">
        <f t="shared" si="9"/>
        <v>12103</v>
      </c>
      <c r="AK19" s="516">
        <f t="shared" si="9"/>
        <v>12137</v>
      </c>
      <c r="AL19" s="517">
        <f t="shared" si="9"/>
        <v>13328</v>
      </c>
      <c r="AM19" s="515">
        <f t="shared" si="9"/>
        <v>12377</v>
      </c>
      <c r="AN19" s="516">
        <f t="shared" si="9"/>
        <v>12194</v>
      </c>
      <c r="AO19" s="517">
        <f t="shared" si="9"/>
        <v>13384</v>
      </c>
      <c r="AP19" s="515">
        <f t="shared" si="9"/>
        <v>12265</v>
      </c>
      <c r="AQ19" s="516">
        <f t="shared" si="9"/>
        <v>12264</v>
      </c>
      <c r="AR19" s="517">
        <f t="shared" si="9"/>
        <v>13602</v>
      </c>
      <c r="AS19" s="515">
        <f t="shared" si="9"/>
        <v>12114</v>
      </c>
      <c r="AT19" s="516">
        <f t="shared" si="9"/>
        <v>12024</v>
      </c>
      <c r="AU19" s="517">
        <f t="shared" si="9"/>
        <v>13154</v>
      </c>
      <c r="AV19" s="515">
        <f t="shared" si="9"/>
        <v>12033</v>
      </c>
      <c r="AW19" s="516">
        <f t="shared" si="9"/>
        <v>11903</v>
      </c>
      <c r="AX19" s="517">
        <f t="shared" si="9"/>
        <v>12871</v>
      </c>
      <c r="AY19" s="515">
        <f t="shared" si="9"/>
        <v>11878</v>
      </c>
      <c r="AZ19" s="516">
        <f t="shared" si="9"/>
        <v>11033</v>
      </c>
      <c r="BA19" s="517">
        <f t="shared" si="9"/>
        <v>12029</v>
      </c>
      <c r="BB19" s="515">
        <f t="shared" si="9"/>
        <v>11237</v>
      </c>
      <c r="BC19" s="516">
        <f t="shared" si="9"/>
        <v>11273</v>
      </c>
      <c r="BD19" s="517">
        <f t="shared" si="9"/>
        <v>12388</v>
      </c>
      <c r="BE19" s="515">
        <f t="shared" ref="BE19:BG19" si="10">SUM(BE16:BE18)</f>
        <v>11563</v>
      </c>
      <c r="BF19" s="516">
        <f t="shared" si="10"/>
        <v>11513</v>
      </c>
      <c r="BG19" s="517">
        <f t="shared" si="10"/>
        <v>12288</v>
      </c>
      <c r="BH19" s="515">
        <f t="shared" ref="BH19:BJ19" si="11">SUM(BH16:BH18)</f>
        <v>11581</v>
      </c>
      <c r="BI19" s="516">
        <f t="shared" si="11"/>
        <v>11414</v>
      </c>
      <c r="BJ19" s="517">
        <f t="shared" si="11"/>
        <v>12278</v>
      </c>
    </row>
    <row r="20" spans="2:62" s="494" customFormat="1" ht="14.4" x14ac:dyDescent="0.25">
      <c r="B20" s="162"/>
      <c r="C20" s="514"/>
      <c r="D20" s="514"/>
      <c r="E20" s="514"/>
      <c r="F20" s="514"/>
      <c r="G20" s="514"/>
      <c r="H20" s="514"/>
      <c r="I20" s="514"/>
      <c r="J20" s="514"/>
      <c r="K20" s="514"/>
      <c r="L20" s="514"/>
      <c r="M20" s="514"/>
      <c r="N20" s="514"/>
      <c r="O20" s="514"/>
      <c r="P20" s="514"/>
      <c r="Q20" s="514"/>
      <c r="R20" s="514"/>
      <c r="S20" s="514"/>
      <c r="T20" s="514"/>
      <c r="U20" s="514"/>
      <c r="V20" s="514"/>
      <c r="W20" s="514"/>
      <c r="X20" s="514"/>
      <c r="Y20" s="514"/>
      <c r="Z20" s="514"/>
      <c r="AA20" s="514"/>
      <c r="AB20" s="514"/>
      <c r="AC20" s="514"/>
      <c r="AD20" s="514"/>
      <c r="AE20" s="514"/>
      <c r="AF20" s="514"/>
      <c r="AG20" s="514"/>
      <c r="AH20" s="514"/>
      <c r="AI20" s="514"/>
      <c r="AJ20" s="514"/>
      <c r="AK20" s="514"/>
      <c r="AL20" s="514"/>
      <c r="AM20" s="514"/>
      <c r="AN20" s="514"/>
      <c r="AO20" s="514"/>
      <c r="AP20" s="514"/>
      <c r="AQ20" s="514"/>
      <c r="AR20" s="514"/>
      <c r="AS20" s="514"/>
      <c r="AT20" s="514"/>
      <c r="AU20" s="514"/>
      <c r="AV20" s="514"/>
      <c r="AW20" s="514"/>
      <c r="AX20" s="514"/>
      <c r="AY20" s="514"/>
      <c r="AZ20" s="514"/>
      <c r="BA20" s="514"/>
      <c r="BB20" s="514"/>
      <c r="BC20" s="514"/>
      <c r="BD20" s="514"/>
      <c r="BE20" s="514"/>
      <c r="BF20" s="514"/>
      <c r="BG20" s="514"/>
      <c r="BH20" s="514"/>
      <c r="BI20" s="514"/>
      <c r="BJ20" s="514"/>
    </row>
    <row r="21" spans="2:62" s="494" customFormat="1" ht="15" customHeight="1" x14ac:dyDescent="0.3">
      <c r="B21" s="150" t="s">
        <v>59</v>
      </c>
      <c r="C21" s="518"/>
      <c r="D21" s="519"/>
      <c r="E21" s="519"/>
      <c r="F21" s="519"/>
      <c r="G21" s="519"/>
      <c r="H21" s="519"/>
      <c r="I21" s="519"/>
      <c r="J21" s="519"/>
      <c r="K21" s="519"/>
      <c r="L21" s="519"/>
      <c r="M21" s="519"/>
      <c r="N21" s="519"/>
      <c r="O21" s="519"/>
      <c r="P21" s="519"/>
      <c r="Q21" s="519"/>
      <c r="R21" s="519"/>
      <c r="S21" s="519"/>
      <c r="T21" s="519"/>
      <c r="U21" s="519"/>
      <c r="V21" s="519"/>
      <c r="W21" s="519"/>
      <c r="X21" s="519"/>
      <c r="Y21" s="519"/>
      <c r="Z21" s="520"/>
      <c r="AA21" s="501">
        <f>SUM('Matrícula plan'!AA72)</f>
        <v>0</v>
      </c>
      <c r="AB21" s="502">
        <f>SUM('Matrícula plan'!AB72)</f>
        <v>26</v>
      </c>
      <c r="AC21" s="503">
        <f>SUM('Matrícula plan'!AC72)</f>
        <v>57</v>
      </c>
      <c r="AD21" s="501">
        <f>SUM('Matrícula plan'!AD72)</f>
        <v>50</v>
      </c>
      <c r="AE21" s="502">
        <f>SUM('Matrícula plan'!AE72)</f>
        <v>46</v>
      </c>
      <c r="AF21" s="503">
        <f>SUM('Matrícula plan'!AF72)</f>
        <v>78</v>
      </c>
      <c r="AG21" s="501">
        <f>SUM('Matrícula plan'!AG72)</f>
        <v>72</v>
      </c>
      <c r="AH21" s="502">
        <f>SUM('Matrícula plan'!AH72)</f>
        <v>90</v>
      </c>
      <c r="AI21" s="503">
        <f>SUM('Matrícula plan'!AI72)</f>
        <v>106</v>
      </c>
      <c r="AJ21" s="501">
        <f>SUM('Matrícula plan'!AJ72)</f>
        <v>89</v>
      </c>
      <c r="AK21" s="502">
        <f>SUM('Matrícula plan'!AK72)</f>
        <v>100</v>
      </c>
      <c r="AL21" s="503">
        <f>SUM('Matrícula plan'!AL72)</f>
        <v>118</v>
      </c>
      <c r="AM21" s="501">
        <f>SUM('Matrícula plan'!AM72)</f>
        <v>99</v>
      </c>
      <c r="AN21" s="502">
        <f>SUM('Matrícula plan'!AN72)</f>
        <v>113</v>
      </c>
      <c r="AO21" s="503">
        <f>SUM('Matrícula plan'!AO72)</f>
        <v>146</v>
      </c>
      <c r="AP21" s="501">
        <f>SUM('Matrícula plan'!AP72)</f>
        <v>125</v>
      </c>
      <c r="AQ21" s="502">
        <f>SUM('Matrícula plan'!AQ72)</f>
        <v>141</v>
      </c>
      <c r="AR21" s="503">
        <f>SUM('Matrícula plan'!AR72)</f>
        <v>161</v>
      </c>
      <c r="AS21" s="501">
        <f>SUM('Matrícula plan'!AS72)</f>
        <v>150</v>
      </c>
      <c r="AT21" s="502">
        <f>SUM('Matrícula plan'!AT72:AT73)</f>
        <v>199</v>
      </c>
      <c r="AU21" s="503">
        <f>SUM('Matrícula plan'!AU72:AU73)</f>
        <v>237</v>
      </c>
      <c r="AV21" s="501">
        <f>SUM('Matrícula plan'!AV72:AV73)</f>
        <v>220</v>
      </c>
      <c r="AW21" s="502">
        <f>SUM('Matrícula plan'!AW72:AW73)</f>
        <v>203</v>
      </c>
      <c r="AX21" s="503">
        <f>SUM('Matrícula plan'!AX72:AX74)</f>
        <v>309</v>
      </c>
      <c r="AY21" s="501">
        <f>SUM('Matrícula plan'!AY72:AY74)</f>
        <v>279</v>
      </c>
      <c r="AZ21" s="502">
        <f>SUM('Matrícula plan'!AZ72:AZ74)</f>
        <v>249</v>
      </c>
      <c r="BA21" s="503">
        <f>SUM('Matrícula plan'!BA72:BA74)</f>
        <v>374</v>
      </c>
      <c r="BB21" s="501">
        <f>SUM('Matrícula plan'!BB72:BB74)</f>
        <v>349</v>
      </c>
      <c r="BC21" s="502">
        <f>SUM('Matrícula plan'!BC72:BC74)</f>
        <v>335</v>
      </c>
      <c r="BD21" s="503">
        <f>SUM('Matrícula plan'!BD72:BD74)</f>
        <v>442</v>
      </c>
      <c r="BE21" s="501">
        <f>SUM('Matrícula plan'!BE72:BE74)</f>
        <v>408</v>
      </c>
      <c r="BF21" s="502">
        <f>SUM('Matrícula plan'!BF72:BF74)</f>
        <v>387</v>
      </c>
      <c r="BG21" s="503">
        <f>SUM('Matrícula plan'!BG72:BG74)</f>
        <v>500</v>
      </c>
      <c r="BH21" s="501">
        <f>SUM('Matrícula plan'!BH72:BH74)</f>
        <v>474</v>
      </c>
      <c r="BI21" s="502">
        <f>SUM('Matrícula plan'!BI72:BI74)</f>
        <v>442</v>
      </c>
      <c r="BJ21" s="503">
        <f>SUM('Matrícula plan'!BJ72:BJ74)</f>
        <v>566</v>
      </c>
    </row>
    <row r="22" spans="2:62" s="494" customFormat="1" ht="15" customHeight="1" x14ac:dyDescent="0.3">
      <c r="B22" s="154" t="s">
        <v>64</v>
      </c>
      <c r="C22" s="521"/>
      <c r="D22" s="522"/>
      <c r="E22" s="522"/>
      <c r="F22" s="522"/>
      <c r="G22" s="522"/>
      <c r="H22" s="522"/>
      <c r="I22" s="522"/>
      <c r="J22" s="522"/>
      <c r="K22" s="522"/>
      <c r="L22" s="522"/>
      <c r="M22" s="522"/>
      <c r="N22" s="522"/>
      <c r="O22" s="522"/>
      <c r="P22" s="522"/>
      <c r="Q22" s="522"/>
      <c r="R22" s="522"/>
      <c r="S22" s="522"/>
      <c r="T22" s="522"/>
      <c r="U22" s="522"/>
      <c r="V22" s="522"/>
      <c r="W22" s="522"/>
      <c r="X22" s="522"/>
      <c r="Y22" s="522"/>
      <c r="Z22" s="523"/>
      <c r="AA22" s="504">
        <f>SUM('Matrícula plan'!AA76)</f>
        <v>0</v>
      </c>
      <c r="AB22" s="505">
        <f>SUM('Matrícula plan'!AB76)</f>
        <v>29</v>
      </c>
      <c r="AC22" s="506">
        <f>SUM('Matrícula plan'!AC76)</f>
        <v>51</v>
      </c>
      <c r="AD22" s="504">
        <f>SUM('Matrícula plan'!AD76)</f>
        <v>45</v>
      </c>
      <c r="AE22" s="505">
        <f>SUM('Matrícula plan'!AE76)</f>
        <v>41</v>
      </c>
      <c r="AF22" s="506">
        <f>SUM('Matrícula plan'!AF76)</f>
        <v>76</v>
      </c>
      <c r="AG22" s="504">
        <f>SUM('Matrícula plan'!AG76)</f>
        <v>69</v>
      </c>
      <c r="AH22" s="505">
        <f>SUM('Matrícula plan'!AH76)</f>
        <v>90</v>
      </c>
      <c r="AI22" s="506">
        <f>SUM('Matrícula plan'!AI76:AI77)</f>
        <v>132</v>
      </c>
      <c r="AJ22" s="504">
        <f>SUM('Matrícula plan'!AJ76:AJ77)</f>
        <v>128</v>
      </c>
      <c r="AK22" s="505">
        <f>SUM('Matrícula plan'!AK76:AK77)</f>
        <v>119</v>
      </c>
      <c r="AL22" s="506">
        <f>SUM('Matrícula plan'!AL76:AL77)</f>
        <v>163</v>
      </c>
      <c r="AM22" s="504">
        <f>SUM('Matrícula plan'!AM76:AM77)</f>
        <v>154</v>
      </c>
      <c r="AN22" s="505">
        <f>SUM('Matrícula plan'!AN76:AN77)</f>
        <v>142</v>
      </c>
      <c r="AO22" s="506">
        <f>SUM('Matrícula plan'!AO76:AO77)</f>
        <v>174</v>
      </c>
      <c r="AP22" s="504">
        <f>SUM('Matrícula plan'!AP76:AP77)</f>
        <v>155</v>
      </c>
      <c r="AQ22" s="505">
        <f>SUM('Matrícula plan'!AQ76:AQ77)</f>
        <v>187</v>
      </c>
      <c r="AR22" s="506">
        <f>SUM('Matrícula plan'!AR76:AR77)</f>
        <v>217</v>
      </c>
      <c r="AS22" s="504">
        <f>SUM('Matrícula plan'!AS76:AS77)</f>
        <v>202</v>
      </c>
      <c r="AT22" s="505">
        <f>SUM('Matrícula plan'!AT76:AT77)</f>
        <v>216</v>
      </c>
      <c r="AU22" s="506">
        <f>SUM('Matrícula plan'!AU76:AU77)</f>
        <v>248</v>
      </c>
      <c r="AV22" s="504">
        <f>SUM('Matrícula plan'!AV76:AV77)</f>
        <v>231</v>
      </c>
      <c r="AW22" s="505">
        <f>SUM('Matrícula plan'!AW76:AW78)</f>
        <v>257</v>
      </c>
      <c r="AX22" s="506">
        <f>SUM('Matrícula plan'!AX76:AX78)</f>
        <v>312</v>
      </c>
      <c r="AY22" s="504">
        <f>SUM('Matrícula plan'!AY76:AY78)</f>
        <v>283</v>
      </c>
      <c r="AZ22" s="505">
        <f>SUM('Matrícula plan'!AZ76:AZ78)</f>
        <v>290</v>
      </c>
      <c r="BA22" s="506">
        <f>SUM('Matrícula plan'!BA76:BA78)</f>
        <v>365</v>
      </c>
      <c r="BB22" s="504">
        <f>SUM('Matrícula plan'!BB76:BB78)</f>
        <v>359</v>
      </c>
      <c r="BC22" s="505">
        <f>SUM('Matrícula plan'!BC76:BC78)</f>
        <v>366</v>
      </c>
      <c r="BD22" s="506">
        <f>SUM('Matrícula plan'!BD76:BD78)</f>
        <v>419</v>
      </c>
      <c r="BE22" s="504">
        <f>SUM('Matrícula plan'!BE76:BE78)</f>
        <v>388</v>
      </c>
      <c r="BF22" s="505">
        <f>SUM('Matrícula plan'!BF76:BF78)</f>
        <v>391</v>
      </c>
      <c r="BG22" s="506">
        <f>SUM('Matrícula plan'!BG76:BG78)</f>
        <v>449</v>
      </c>
      <c r="BH22" s="504">
        <f>SUM('Matrícula plan'!BH76:BH78)</f>
        <v>421</v>
      </c>
      <c r="BI22" s="505">
        <f>SUM('Matrícula plan'!BI76:BI78)</f>
        <v>413</v>
      </c>
      <c r="BJ22" s="506">
        <f>SUM('Matrícula plan'!BJ76:BJ78)</f>
        <v>438</v>
      </c>
    </row>
    <row r="23" spans="2:62" s="494" customFormat="1" ht="15" customHeight="1" x14ac:dyDescent="0.3">
      <c r="B23" s="154" t="s">
        <v>92</v>
      </c>
      <c r="C23" s="521"/>
      <c r="D23" s="522"/>
      <c r="E23" s="522"/>
      <c r="F23" s="522"/>
      <c r="G23" s="522"/>
      <c r="H23" s="522"/>
      <c r="I23" s="522"/>
      <c r="J23" s="522"/>
      <c r="K23" s="522"/>
      <c r="L23" s="522"/>
      <c r="M23" s="522"/>
      <c r="N23" s="522"/>
      <c r="O23" s="522"/>
      <c r="P23" s="522"/>
      <c r="Q23" s="522"/>
      <c r="R23" s="522"/>
      <c r="S23" s="522"/>
      <c r="T23" s="522"/>
      <c r="U23" s="522"/>
      <c r="V23" s="522"/>
      <c r="W23" s="522"/>
      <c r="X23" s="522"/>
      <c r="Y23" s="522"/>
      <c r="Z23" s="523"/>
      <c r="AA23" s="504">
        <f>SUM('Matrícula plan'!AA80)</f>
        <v>0</v>
      </c>
      <c r="AB23" s="505">
        <f>SUM('Matrícula plan'!AB80)</f>
        <v>30</v>
      </c>
      <c r="AC23" s="506">
        <f>SUM('Matrícula plan'!AC80)</f>
        <v>53</v>
      </c>
      <c r="AD23" s="504">
        <f>SUM('Matrícula plan'!AD80)</f>
        <v>46</v>
      </c>
      <c r="AE23" s="505">
        <f>SUM('Matrícula plan'!AE80)</f>
        <v>39</v>
      </c>
      <c r="AF23" s="506">
        <f>SUM('Matrícula plan'!AF80)</f>
        <v>66</v>
      </c>
      <c r="AG23" s="504">
        <f>SUM('Matrícula plan'!AG80)</f>
        <v>59</v>
      </c>
      <c r="AH23" s="505">
        <f>SUM('Matrícula plan'!AH80)</f>
        <v>76</v>
      </c>
      <c r="AI23" s="506">
        <f>SUM('Matrícula plan'!AI80)</f>
        <v>110</v>
      </c>
      <c r="AJ23" s="504">
        <f>SUM('Matrícula plan'!AJ80)</f>
        <v>98</v>
      </c>
      <c r="AK23" s="505">
        <f>SUM('Matrícula plan'!AK80)</f>
        <v>125</v>
      </c>
      <c r="AL23" s="506">
        <f>SUM('Matrícula plan'!AL80)</f>
        <v>135</v>
      </c>
      <c r="AM23" s="504">
        <f>SUM('Matrícula plan'!AM80)</f>
        <v>127</v>
      </c>
      <c r="AN23" s="505">
        <f>SUM('Matrícula plan'!AN80)</f>
        <v>154</v>
      </c>
      <c r="AO23" s="506">
        <f>SUM('Matrícula plan'!AO80)</f>
        <v>175</v>
      </c>
      <c r="AP23" s="504">
        <f>SUM('Matrícula plan'!AP80)</f>
        <v>166</v>
      </c>
      <c r="AQ23" s="505">
        <f>SUM('Matrícula plan'!AQ80)</f>
        <v>186</v>
      </c>
      <c r="AR23" s="506">
        <f>SUM('Matrícula plan'!AR80)</f>
        <v>220</v>
      </c>
      <c r="AS23" s="504">
        <f>SUM('Matrícula plan'!AS80)</f>
        <v>195</v>
      </c>
      <c r="AT23" s="505">
        <f>SUM('Matrícula plan'!AT80)</f>
        <v>220</v>
      </c>
      <c r="AU23" s="506">
        <f>SUM('Matrícula plan'!AU80:AU81)</f>
        <v>253</v>
      </c>
      <c r="AV23" s="504">
        <f>SUM('Matrícula plan'!AV80:AV81)</f>
        <v>232</v>
      </c>
      <c r="AW23" s="505">
        <f>SUM('Matrícula plan'!AW80:AW81)</f>
        <v>218</v>
      </c>
      <c r="AX23" s="506">
        <f>SUM('Matrícula plan'!AX80:AX82)</f>
        <v>312</v>
      </c>
      <c r="AY23" s="504">
        <f>SUM('Matrícula plan'!AY80:AY82)</f>
        <v>289</v>
      </c>
      <c r="AZ23" s="505">
        <f>SUM('Matrícula plan'!AZ80:AZ82)</f>
        <v>278</v>
      </c>
      <c r="BA23" s="506">
        <f>SUM('Matrícula plan'!BA80:BA82)</f>
        <v>380</v>
      </c>
      <c r="BB23" s="504">
        <f>SUM('Matrícula plan'!BB80:BB82)</f>
        <v>366</v>
      </c>
      <c r="BC23" s="505">
        <f>SUM('Matrícula plan'!BC80:BC82)</f>
        <v>293</v>
      </c>
      <c r="BD23" s="506">
        <f>SUM('Matrícula plan'!BD80:BD82)</f>
        <v>450</v>
      </c>
      <c r="BE23" s="504">
        <f>SUM('Matrícula plan'!BE80:BE82)</f>
        <v>420</v>
      </c>
      <c r="BF23" s="505">
        <f>SUM('Matrícula plan'!BF80:BF82)</f>
        <v>400</v>
      </c>
      <c r="BG23" s="506">
        <f>SUM('Matrícula plan'!BG80:BG82)</f>
        <v>446</v>
      </c>
      <c r="BH23" s="504">
        <f>SUM('Matrícula plan'!BH80:BH82)</f>
        <v>476</v>
      </c>
      <c r="BI23" s="505">
        <f>SUM('Matrícula plan'!BI80:BI82)</f>
        <v>451</v>
      </c>
      <c r="BJ23" s="506">
        <f>SUM('Matrícula plan'!BJ80:BJ82)</f>
        <v>540</v>
      </c>
    </row>
    <row r="24" spans="2:62" s="489" customFormat="1" ht="15" customHeight="1" x14ac:dyDescent="0.3">
      <c r="B24" s="178" t="s">
        <v>136</v>
      </c>
      <c r="C24" s="524"/>
      <c r="D24" s="525"/>
      <c r="E24" s="525"/>
      <c r="F24" s="525"/>
      <c r="G24" s="525"/>
      <c r="H24" s="525"/>
      <c r="I24" s="525"/>
      <c r="J24" s="525"/>
      <c r="K24" s="525"/>
      <c r="L24" s="525"/>
      <c r="M24" s="525"/>
      <c r="N24" s="525"/>
      <c r="O24" s="525"/>
      <c r="P24" s="525"/>
      <c r="Q24" s="525"/>
      <c r="R24" s="525"/>
      <c r="S24" s="525"/>
      <c r="T24" s="525"/>
      <c r="U24" s="525"/>
      <c r="V24" s="525"/>
      <c r="W24" s="525"/>
      <c r="X24" s="525"/>
      <c r="Y24" s="525"/>
      <c r="Z24" s="526"/>
      <c r="AA24" s="527">
        <f t="shared" ref="AA24:AF24" si="12">SUM(AA21:AA23)</f>
        <v>0</v>
      </c>
      <c r="AB24" s="528">
        <f t="shared" si="12"/>
        <v>85</v>
      </c>
      <c r="AC24" s="529">
        <f t="shared" si="12"/>
        <v>161</v>
      </c>
      <c r="AD24" s="527">
        <f t="shared" si="12"/>
        <v>141</v>
      </c>
      <c r="AE24" s="528">
        <f t="shared" si="12"/>
        <v>126</v>
      </c>
      <c r="AF24" s="529">
        <f t="shared" si="12"/>
        <v>220</v>
      </c>
      <c r="AG24" s="527">
        <f t="shared" ref="AG24:BD24" si="13">SUM(AG21:AG23)</f>
        <v>200</v>
      </c>
      <c r="AH24" s="528">
        <f t="shared" si="13"/>
        <v>256</v>
      </c>
      <c r="AI24" s="529">
        <f t="shared" si="13"/>
        <v>348</v>
      </c>
      <c r="AJ24" s="527">
        <f t="shared" si="13"/>
        <v>315</v>
      </c>
      <c r="AK24" s="528">
        <f t="shared" si="13"/>
        <v>344</v>
      </c>
      <c r="AL24" s="529">
        <f t="shared" si="13"/>
        <v>416</v>
      </c>
      <c r="AM24" s="527">
        <f t="shared" si="13"/>
        <v>380</v>
      </c>
      <c r="AN24" s="528">
        <f t="shared" si="13"/>
        <v>409</v>
      </c>
      <c r="AO24" s="529">
        <f t="shared" si="13"/>
        <v>495</v>
      </c>
      <c r="AP24" s="527">
        <f t="shared" si="13"/>
        <v>446</v>
      </c>
      <c r="AQ24" s="528">
        <f t="shared" si="13"/>
        <v>514</v>
      </c>
      <c r="AR24" s="529">
        <f t="shared" si="13"/>
        <v>598</v>
      </c>
      <c r="AS24" s="527">
        <f t="shared" si="13"/>
        <v>547</v>
      </c>
      <c r="AT24" s="528">
        <f t="shared" si="13"/>
        <v>635</v>
      </c>
      <c r="AU24" s="529">
        <f t="shared" si="13"/>
        <v>738</v>
      </c>
      <c r="AV24" s="527">
        <f t="shared" si="13"/>
        <v>683</v>
      </c>
      <c r="AW24" s="528">
        <f t="shared" si="13"/>
        <v>678</v>
      </c>
      <c r="AX24" s="529">
        <f t="shared" si="13"/>
        <v>933</v>
      </c>
      <c r="AY24" s="527">
        <f t="shared" si="13"/>
        <v>851</v>
      </c>
      <c r="AZ24" s="528">
        <f t="shared" si="13"/>
        <v>817</v>
      </c>
      <c r="BA24" s="529">
        <f t="shared" si="13"/>
        <v>1119</v>
      </c>
      <c r="BB24" s="527">
        <f t="shared" si="13"/>
        <v>1074</v>
      </c>
      <c r="BC24" s="528">
        <f t="shared" si="13"/>
        <v>994</v>
      </c>
      <c r="BD24" s="529">
        <f t="shared" si="13"/>
        <v>1311</v>
      </c>
      <c r="BE24" s="527">
        <f t="shared" ref="BE24:BG24" si="14">SUM(BE21:BE23)</f>
        <v>1216</v>
      </c>
      <c r="BF24" s="528">
        <f t="shared" si="14"/>
        <v>1178</v>
      </c>
      <c r="BG24" s="529">
        <f t="shared" si="14"/>
        <v>1395</v>
      </c>
      <c r="BH24" s="527">
        <f t="shared" ref="BH24:BJ24" si="15">SUM(BH21:BH23)</f>
        <v>1371</v>
      </c>
      <c r="BI24" s="528">
        <f t="shared" si="15"/>
        <v>1306</v>
      </c>
      <c r="BJ24" s="529">
        <f t="shared" si="15"/>
        <v>1544</v>
      </c>
    </row>
    <row r="25" spans="2:62" s="489" customFormat="1" ht="14.4" x14ac:dyDescent="0.25">
      <c r="B25" s="170"/>
      <c r="C25" s="530"/>
      <c r="D25" s="530"/>
      <c r="E25" s="530"/>
      <c r="F25" s="530"/>
      <c r="G25" s="530"/>
      <c r="H25" s="530"/>
      <c r="I25" s="530"/>
      <c r="J25" s="530"/>
      <c r="K25" s="530"/>
      <c r="L25" s="530"/>
      <c r="M25" s="530"/>
      <c r="N25" s="530"/>
      <c r="O25" s="530"/>
      <c r="P25" s="530"/>
      <c r="Q25" s="530"/>
      <c r="R25" s="530"/>
      <c r="S25" s="530"/>
      <c r="T25" s="530"/>
      <c r="U25" s="530"/>
      <c r="V25" s="530"/>
      <c r="W25" s="530"/>
      <c r="X25" s="530"/>
      <c r="Y25" s="530"/>
      <c r="Z25" s="530"/>
      <c r="AA25" s="530"/>
      <c r="AB25" s="530"/>
      <c r="AC25" s="530"/>
      <c r="AD25" s="530"/>
      <c r="AE25" s="530"/>
      <c r="AF25" s="530"/>
      <c r="AG25" s="530"/>
      <c r="AH25" s="530"/>
      <c r="AI25" s="530"/>
      <c r="AJ25" s="530"/>
      <c r="AK25" s="530"/>
      <c r="AL25" s="530"/>
      <c r="AM25" s="530"/>
      <c r="AN25" s="530"/>
      <c r="AO25" s="530"/>
      <c r="AP25" s="530"/>
      <c r="AQ25" s="530"/>
      <c r="AR25" s="530"/>
      <c r="AS25" s="530"/>
      <c r="AT25" s="530"/>
      <c r="AU25" s="530"/>
      <c r="AV25" s="530"/>
      <c r="AW25" s="530"/>
      <c r="AX25" s="530"/>
      <c r="AY25" s="530"/>
      <c r="AZ25" s="530"/>
      <c r="BA25" s="530"/>
      <c r="BB25" s="530"/>
      <c r="BC25" s="530"/>
      <c r="BD25" s="530"/>
      <c r="BE25" s="530"/>
      <c r="BF25" s="530"/>
      <c r="BG25" s="530"/>
      <c r="BH25" s="530"/>
      <c r="BI25" s="530"/>
      <c r="BJ25" s="530"/>
    </row>
    <row r="26" spans="2:62" s="489" customFormat="1" ht="15" customHeight="1" x14ac:dyDescent="0.3">
      <c r="B26" s="150" t="s">
        <v>64</v>
      </c>
      <c r="C26" s="501">
        <v>4040</v>
      </c>
      <c r="D26" s="502">
        <v>4100</v>
      </c>
      <c r="E26" s="503">
        <v>4173</v>
      </c>
      <c r="F26" s="501">
        <v>4020</v>
      </c>
      <c r="G26" s="502">
        <v>4359</v>
      </c>
      <c r="H26" s="502">
        <v>4550</v>
      </c>
      <c r="I26" s="501">
        <v>4381</v>
      </c>
      <c r="J26" s="502">
        <v>4670</v>
      </c>
      <c r="K26" s="503">
        <v>4867</v>
      </c>
      <c r="L26" s="501">
        <v>4606</v>
      </c>
      <c r="M26" s="502">
        <v>4784</v>
      </c>
      <c r="N26" s="503">
        <v>4915</v>
      </c>
      <c r="O26" s="502">
        <v>4682</v>
      </c>
      <c r="P26" s="502">
        <v>4918</v>
      </c>
      <c r="Q26" s="503">
        <v>5006</v>
      </c>
      <c r="R26" s="502">
        <v>4747</v>
      </c>
      <c r="S26" s="502">
        <v>4801</v>
      </c>
      <c r="T26" s="503">
        <v>4793</v>
      </c>
      <c r="U26" s="501">
        <v>4593</v>
      </c>
      <c r="V26" s="502">
        <v>4758</v>
      </c>
      <c r="W26" s="503">
        <v>4690</v>
      </c>
      <c r="X26" s="501">
        <v>4524</v>
      </c>
      <c r="Y26" s="502">
        <v>4694</v>
      </c>
      <c r="Z26" s="503">
        <v>4746</v>
      </c>
      <c r="AA26" s="501">
        <f>SUM('Matrícula plan'!AA85:AA90)</f>
        <v>4460</v>
      </c>
      <c r="AB26" s="502">
        <f>SUM('Matrícula plan'!AB85:AB90)</f>
        <v>4598</v>
      </c>
      <c r="AC26" s="503">
        <f>SUM('Matrícula plan'!AC85:AC90)</f>
        <v>4733</v>
      </c>
      <c r="AD26" s="501">
        <f>SUM('Matrícula plan'!AD85:AD90)</f>
        <v>4460</v>
      </c>
      <c r="AE26" s="502">
        <f>SUM('Matrícula plan'!AE85:AE90)</f>
        <v>4611</v>
      </c>
      <c r="AF26" s="503">
        <f>SUM('Matrícula plan'!AF85:AF90)</f>
        <v>4841</v>
      </c>
      <c r="AG26" s="501">
        <f>SUM('Matrícula plan'!AG85:AG90)</f>
        <v>4611</v>
      </c>
      <c r="AH26" s="502">
        <f>SUM('Matrícula plan'!AH85:AH90)</f>
        <v>4753</v>
      </c>
      <c r="AI26" s="503">
        <f>SUM('Matrícula plan'!AI85:AI90)</f>
        <v>4753</v>
      </c>
      <c r="AJ26" s="501">
        <f>SUM('Matrícula plan'!AJ85:AJ90)</f>
        <v>4303</v>
      </c>
      <c r="AK26" s="502">
        <f>SUM('Matrícula plan'!AK85:AK90)</f>
        <v>4703</v>
      </c>
      <c r="AL26" s="503">
        <f>SUM('Matrícula plan'!AL85:AL90)</f>
        <v>4782</v>
      </c>
      <c r="AM26" s="501">
        <f>SUM('Matrícula plan'!AM85:AM90)</f>
        <v>4545</v>
      </c>
      <c r="AN26" s="502">
        <f>SUM('Matrícula plan'!AN85:AN90)</f>
        <v>4678</v>
      </c>
      <c r="AO26" s="503">
        <f>SUM('Matrícula plan'!AO85:AO90)</f>
        <v>4781</v>
      </c>
      <c r="AP26" s="501">
        <f>SUM('Matrícula plan'!AP85:AP90)</f>
        <v>4535</v>
      </c>
      <c r="AQ26" s="502">
        <f>SUM('Matrícula plan'!AQ85:AQ90)</f>
        <v>4637</v>
      </c>
      <c r="AR26" s="503">
        <f>SUM('Matrícula plan'!AR85:AR90)</f>
        <v>4729</v>
      </c>
      <c r="AS26" s="501">
        <f>SUM('Matrícula plan'!AS85:AS90)</f>
        <v>4531</v>
      </c>
      <c r="AT26" s="502">
        <f>SUM('Matrícula plan'!AT85:AT90)</f>
        <v>4751</v>
      </c>
      <c r="AU26" s="503">
        <f>SUM('Matrícula plan'!AU85:AU90)</f>
        <v>4928</v>
      </c>
      <c r="AV26" s="501">
        <f>SUM('Matrícula plan'!AV85:AV90)</f>
        <v>4643</v>
      </c>
      <c r="AW26" s="502">
        <f>SUM('Matrícula plan'!AW85:AW90)</f>
        <v>4858</v>
      </c>
      <c r="AX26" s="503">
        <f>SUM('Matrícula plan'!AX85:AX90)</f>
        <v>5032</v>
      </c>
      <c r="AY26" s="501">
        <f>SUM('Matrícula plan'!AY85:AY90)</f>
        <v>4802</v>
      </c>
      <c r="AZ26" s="502">
        <f>SUM('Matrícula plan'!AZ85:AZ90)</f>
        <v>4936</v>
      </c>
      <c r="BA26" s="503">
        <f>SUM('Matrícula plan'!BA85:BA90)</f>
        <v>5032</v>
      </c>
      <c r="BB26" s="501">
        <f>SUM('Matrícula plan'!BB85:BB90)</f>
        <v>5012</v>
      </c>
      <c r="BC26" s="502">
        <f>SUM('Matrícula plan'!BC85:BC90)</f>
        <v>5241</v>
      </c>
      <c r="BD26" s="503">
        <f>SUM('Matrícula plan'!BD85:BD90)</f>
        <v>5178</v>
      </c>
      <c r="BE26" s="501">
        <f>SUM('Matrícula plan'!BE85:BE90)</f>
        <v>5026</v>
      </c>
      <c r="BF26" s="502">
        <f>SUM('Matrícula plan'!BF85:BF90)</f>
        <v>5248</v>
      </c>
      <c r="BG26" s="503">
        <f>SUM('Matrícula plan'!BG85:BG90)</f>
        <v>5040</v>
      </c>
      <c r="BH26" s="501">
        <f>SUM('Matrícula plan'!BH85:BH90)</f>
        <v>4985</v>
      </c>
      <c r="BI26" s="502">
        <f>SUM('Matrícula plan'!BI85:BI90)</f>
        <v>5071</v>
      </c>
      <c r="BJ26" s="503">
        <f>SUM('Matrícula plan'!BJ85:BJ90)</f>
        <v>5023</v>
      </c>
    </row>
    <row r="27" spans="2:62" s="489" customFormat="1" ht="15" customHeight="1" x14ac:dyDescent="0.3">
      <c r="B27" s="154" t="s">
        <v>92</v>
      </c>
      <c r="C27" s="504">
        <v>4790</v>
      </c>
      <c r="D27" s="505">
        <v>5071</v>
      </c>
      <c r="E27" s="506">
        <v>5336</v>
      </c>
      <c r="F27" s="504">
        <v>4885</v>
      </c>
      <c r="G27" s="505">
        <v>5473</v>
      </c>
      <c r="H27" s="505">
        <v>5903</v>
      </c>
      <c r="I27" s="504">
        <v>5377</v>
      </c>
      <c r="J27" s="505">
        <v>6066</v>
      </c>
      <c r="K27" s="506">
        <v>6446</v>
      </c>
      <c r="L27" s="504">
        <v>5906</v>
      </c>
      <c r="M27" s="505">
        <v>6467</v>
      </c>
      <c r="N27" s="506">
        <v>6757</v>
      </c>
      <c r="O27" s="505">
        <v>6228</v>
      </c>
      <c r="P27" s="505">
        <v>6543</v>
      </c>
      <c r="Q27" s="506">
        <v>6713</v>
      </c>
      <c r="R27" s="505">
        <v>6140</v>
      </c>
      <c r="S27" s="505">
        <v>6274</v>
      </c>
      <c r="T27" s="506">
        <v>6444</v>
      </c>
      <c r="U27" s="504">
        <v>5923</v>
      </c>
      <c r="V27" s="505">
        <v>6284</v>
      </c>
      <c r="W27" s="506">
        <v>6270</v>
      </c>
      <c r="X27" s="504">
        <v>5752</v>
      </c>
      <c r="Y27" s="505">
        <v>6123</v>
      </c>
      <c r="Z27" s="506">
        <v>6339</v>
      </c>
      <c r="AA27" s="504">
        <f>SUM('Matrícula plan'!AA92:AA99)</f>
        <v>5767</v>
      </c>
      <c r="AB27" s="505">
        <f>SUM('Matrícula plan'!AB92:AB99)</f>
        <v>6077</v>
      </c>
      <c r="AC27" s="506">
        <f>SUM('Matrícula plan'!AC92:AC99)</f>
        <v>6294</v>
      </c>
      <c r="AD27" s="504">
        <f>SUM('Matrícula plan'!AD92:AD99)</f>
        <v>5643</v>
      </c>
      <c r="AE27" s="505">
        <f>SUM('Matrícula plan'!AE92:AE99)</f>
        <v>6017</v>
      </c>
      <c r="AF27" s="506">
        <f>SUM('Matrícula plan'!AF92:AF99)</f>
        <v>6161</v>
      </c>
      <c r="AG27" s="504">
        <f>SUM('Matrícula plan'!AG92:AG99)</f>
        <v>5670</v>
      </c>
      <c r="AH27" s="505">
        <f>SUM('Matrícula plan'!AH92:AH99)</f>
        <v>6058</v>
      </c>
      <c r="AI27" s="506">
        <f>SUM('Matrícula plan'!AI92:AI99)</f>
        <v>6284</v>
      </c>
      <c r="AJ27" s="504">
        <f>SUM('Matrícula plan'!AJ92:AJ99)</f>
        <v>5426</v>
      </c>
      <c r="AK27" s="505">
        <f>SUM('Matrícula plan'!AK92:AK99)</f>
        <v>6154</v>
      </c>
      <c r="AL27" s="506">
        <f>SUM('Matrícula plan'!AL92:AL99)</f>
        <v>6362</v>
      </c>
      <c r="AM27" s="504">
        <f>SUM('Matrícula plan'!AM92:AM99)</f>
        <v>5749</v>
      </c>
      <c r="AN27" s="505">
        <f>SUM('Matrícula plan'!AN92:AN99)</f>
        <v>6128</v>
      </c>
      <c r="AO27" s="506">
        <f>SUM('Matrícula plan'!AO92:AO99)</f>
        <v>6384</v>
      </c>
      <c r="AP27" s="504">
        <f>SUM('Matrícula plan'!AP92:AP99)</f>
        <v>5695</v>
      </c>
      <c r="AQ27" s="505">
        <f>SUM('Matrícula plan'!AQ92:AQ99)</f>
        <v>6151</v>
      </c>
      <c r="AR27" s="506">
        <f>SUM('Matrícula plan'!AR92:AR99)</f>
        <v>6478</v>
      </c>
      <c r="AS27" s="504">
        <f>SUM('Matrícula plan'!AS92:AS99)</f>
        <v>5919</v>
      </c>
      <c r="AT27" s="505">
        <f>SUM('Matrícula plan'!AT92:AT99)</f>
        <v>6383</v>
      </c>
      <c r="AU27" s="506">
        <f>SUM('Matrícula plan'!AU92:AU99)</f>
        <v>6682</v>
      </c>
      <c r="AV27" s="504">
        <f>SUM('Matrícula plan'!AV92:AV99)</f>
        <v>6010</v>
      </c>
      <c r="AW27" s="505">
        <f>SUM('Matrícula plan'!AW92:AW99)</f>
        <v>6500</v>
      </c>
      <c r="AX27" s="506">
        <f>SUM('Matrícula plan'!AX92:AX99)</f>
        <v>6864</v>
      </c>
      <c r="AY27" s="504">
        <f>SUM('Matrícula plan'!AY92:AY99)</f>
        <v>6311</v>
      </c>
      <c r="AZ27" s="505">
        <f>SUM('Matrícula plan'!AZ92:AZ99)</f>
        <v>6582</v>
      </c>
      <c r="BA27" s="506">
        <f>SUM('Matrícula plan'!BA92:BA99)</f>
        <v>6685</v>
      </c>
      <c r="BB27" s="504">
        <f>SUM('Matrícula plan'!BB92:BB99)</f>
        <v>6422</v>
      </c>
      <c r="BC27" s="505">
        <f>SUM('Matrícula plan'!BC92:BC99)</f>
        <v>6818</v>
      </c>
      <c r="BD27" s="506">
        <f>SUM('Matrícula plan'!BD92:BD99)</f>
        <v>6925</v>
      </c>
      <c r="BE27" s="504">
        <f>SUM('Matrícula plan'!BE92:BE99)</f>
        <v>6439</v>
      </c>
      <c r="BF27" s="505">
        <f>SUM('Matrícula plan'!BF92:BF99)</f>
        <v>6917</v>
      </c>
      <c r="BG27" s="506">
        <f>SUM('Matrícula plan'!BG92:BG99)</f>
        <v>6937</v>
      </c>
      <c r="BH27" s="504">
        <f>SUM('Matrícula plan'!BH92:BH99)</f>
        <v>6521</v>
      </c>
      <c r="BI27" s="505">
        <f>SUM('Matrícula plan'!BI92:BI99)</f>
        <v>6930</v>
      </c>
      <c r="BJ27" s="506">
        <f>SUM('Matrícula plan'!BJ92:BJ99)</f>
        <v>7066</v>
      </c>
    </row>
    <row r="28" spans="2:62" s="489" customFormat="1" ht="15" customHeight="1" x14ac:dyDescent="0.3">
      <c r="B28" s="154" t="s">
        <v>68</v>
      </c>
      <c r="C28" s="504">
        <v>2034</v>
      </c>
      <c r="D28" s="505">
        <v>2150</v>
      </c>
      <c r="E28" s="506">
        <v>2350</v>
      </c>
      <c r="F28" s="504">
        <v>2141</v>
      </c>
      <c r="G28" s="505">
        <v>2352</v>
      </c>
      <c r="H28" s="505">
        <v>2463</v>
      </c>
      <c r="I28" s="504">
        <v>2342</v>
      </c>
      <c r="J28" s="505">
        <v>2499</v>
      </c>
      <c r="K28" s="506">
        <v>2562</v>
      </c>
      <c r="L28" s="504">
        <v>2437</v>
      </c>
      <c r="M28" s="505">
        <v>2537</v>
      </c>
      <c r="N28" s="506">
        <v>2555</v>
      </c>
      <c r="O28" s="505">
        <v>2405</v>
      </c>
      <c r="P28" s="505">
        <v>2588</v>
      </c>
      <c r="Q28" s="506">
        <v>2624</v>
      </c>
      <c r="R28" s="505">
        <v>2476</v>
      </c>
      <c r="S28" s="505">
        <v>2556</v>
      </c>
      <c r="T28" s="506">
        <v>2508</v>
      </c>
      <c r="U28" s="504">
        <v>2360</v>
      </c>
      <c r="V28" s="505">
        <v>2503</v>
      </c>
      <c r="W28" s="506">
        <v>2427</v>
      </c>
      <c r="X28" s="504">
        <v>2344</v>
      </c>
      <c r="Y28" s="505">
        <v>2383</v>
      </c>
      <c r="Z28" s="506">
        <v>2400</v>
      </c>
      <c r="AA28" s="504">
        <f>SUM('Matrícula plan'!AA101:AA104)</f>
        <v>2192</v>
      </c>
      <c r="AB28" s="505">
        <f>SUM('Matrícula plan'!AB101:AB104)</f>
        <v>2294</v>
      </c>
      <c r="AC28" s="506">
        <f>SUM('Matrícula plan'!AC101:AC104)</f>
        <v>2429</v>
      </c>
      <c r="AD28" s="504">
        <f>SUM('Matrícula plan'!AD101:AD104)</f>
        <v>2222</v>
      </c>
      <c r="AE28" s="505">
        <f>SUM('Matrícula plan'!AE101:AE104)</f>
        <v>2342</v>
      </c>
      <c r="AF28" s="506">
        <f>SUM('Matrícula plan'!AF101:AF104)</f>
        <v>2430</v>
      </c>
      <c r="AG28" s="504">
        <f>SUM('Matrícula plan'!AG101:AG104)</f>
        <v>2274</v>
      </c>
      <c r="AH28" s="505">
        <f>SUM('Matrícula plan'!AH101:AH104)</f>
        <v>2355</v>
      </c>
      <c r="AI28" s="506">
        <f>SUM('Matrícula plan'!AI101:AI104)</f>
        <v>2454</v>
      </c>
      <c r="AJ28" s="504">
        <f>SUM('Matrícula plan'!AJ101:AJ104)</f>
        <v>2189</v>
      </c>
      <c r="AK28" s="505">
        <f>SUM('Matrícula plan'!AK101:AK104)</f>
        <v>2361</v>
      </c>
      <c r="AL28" s="506">
        <f>SUM('Matrícula plan'!AL101:AL104)</f>
        <v>2423</v>
      </c>
      <c r="AM28" s="504">
        <f>SUM('Matrícula plan'!AM101:AM104)</f>
        <v>2299</v>
      </c>
      <c r="AN28" s="505">
        <f>SUM('Matrícula plan'!AN101:AN104)</f>
        <v>2308</v>
      </c>
      <c r="AO28" s="506">
        <f>SUM('Matrícula plan'!AO101:AO104)</f>
        <v>2459</v>
      </c>
      <c r="AP28" s="504">
        <f>SUM('Matrícula plan'!AP101:AP104)</f>
        <v>2287</v>
      </c>
      <c r="AQ28" s="505">
        <f>SUM('Matrícula plan'!AQ101:AQ104)</f>
        <v>2366</v>
      </c>
      <c r="AR28" s="506">
        <f>SUM('Matrícula plan'!AR101:AR104)</f>
        <v>2447</v>
      </c>
      <c r="AS28" s="504">
        <f>SUM('Matrícula plan'!AS101:AS104)</f>
        <v>2298</v>
      </c>
      <c r="AT28" s="505">
        <f>SUM('Matrícula plan'!AT101:AT104)</f>
        <v>2388</v>
      </c>
      <c r="AU28" s="506">
        <f>SUM('Matrícula plan'!AU101:AU104)</f>
        <v>2489</v>
      </c>
      <c r="AV28" s="504">
        <f>SUM('Matrícula plan'!AV101:AV104)</f>
        <v>2312</v>
      </c>
      <c r="AW28" s="505">
        <f>SUM('Matrícula plan'!AW101:AW104)</f>
        <v>2330</v>
      </c>
      <c r="AX28" s="506">
        <f>SUM('Matrícula plan'!AX101:AX104)</f>
        <v>2497</v>
      </c>
      <c r="AY28" s="504">
        <f>SUM('Matrícula plan'!AY101:AY104)</f>
        <v>2342</v>
      </c>
      <c r="AZ28" s="505">
        <f>SUM('Matrícula plan'!AZ101:AZ104)</f>
        <v>2457</v>
      </c>
      <c r="BA28" s="506">
        <f>SUM('Matrícula plan'!BA101:BA104)</f>
        <v>2450</v>
      </c>
      <c r="BB28" s="504">
        <f>SUM('Matrícula plan'!BB101:BB104)</f>
        <v>2423</v>
      </c>
      <c r="BC28" s="505">
        <f>SUM('Matrícula plan'!BC101:BC104)</f>
        <v>2502</v>
      </c>
      <c r="BD28" s="506">
        <f>SUM('Matrícula plan'!BD101:BD104)</f>
        <v>2520</v>
      </c>
      <c r="BE28" s="504">
        <f>SUM('Matrícula plan'!BE101:BE104)</f>
        <v>2406</v>
      </c>
      <c r="BF28" s="505">
        <f>SUM('Matrícula plan'!BF101:BF104)</f>
        <v>2466</v>
      </c>
      <c r="BG28" s="506">
        <f>SUM('Matrícula plan'!BG101:BG104)</f>
        <v>2488</v>
      </c>
      <c r="BH28" s="504">
        <f>SUM('Matrícula plan'!BH101:BH104)</f>
        <v>2427</v>
      </c>
      <c r="BI28" s="505">
        <f>SUM('Matrícula plan'!BI101:BI104)</f>
        <v>2523</v>
      </c>
      <c r="BJ28" s="506">
        <f>SUM('Matrícula plan'!BJ101:BJ104)</f>
        <v>2492</v>
      </c>
    </row>
    <row r="29" spans="2:62" s="489" customFormat="1" ht="15" customHeight="1" x14ac:dyDescent="0.3">
      <c r="B29" s="188" t="s">
        <v>137</v>
      </c>
      <c r="C29" s="531">
        <v>10864</v>
      </c>
      <c r="D29" s="532">
        <v>11321</v>
      </c>
      <c r="E29" s="533">
        <v>11859</v>
      </c>
      <c r="F29" s="531">
        <v>11046</v>
      </c>
      <c r="G29" s="532">
        <v>12184</v>
      </c>
      <c r="H29" s="532">
        <v>12916</v>
      </c>
      <c r="I29" s="531">
        <v>12100</v>
      </c>
      <c r="J29" s="532">
        <v>13235</v>
      </c>
      <c r="K29" s="533">
        <v>13875</v>
      </c>
      <c r="L29" s="531">
        <v>12949</v>
      </c>
      <c r="M29" s="532">
        <v>13788</v>
      </c>
      <c r="N29" s="533">
        <v>14227</v>
      </c>
      <c r="O29" s="532">
        <v>13315</v>
      </c>
      <c r="P29" s="532">
        <v>14049</v>
      </c>
      <c r="Q29" s="533">
        <v>14343</v>
      </c>
      <c r="R29" s="532">
        <v>13363</v>
      </c>
      <c r="S29" s="532">
        <v>13631</v>
      </c>
      <c r="T29" s="533">
        <v>13745</v>
      </c>
      <c r="U29" s="531">
        <v>12876</v>
      </c>
      <c r="V29" s="532">
        <v>13545</v>
      </c>
      <c r="W29" s="533">
        <v>13387</v>
      </c>
      <c r="X29" s="531">
        <f t="shared" ref="X29:AC29" si="16">SUM(X26:X28)</f>
        <v>12620</v>
      </c>
      <c r="Y29" s="532">
        <f t="shared" si="16"/>
        <v>13200</v>
      </c>
      <c r="Z29" s="533">
        <f t="shared" si="16"/>
        <v>13485</v>
      </c>
      <c r="AA29" s="531">
        <f t="shared" si="16"/>
        <v>12419</v>
      </c>
      <c r="AB29" s="532">
        <f t="shared" si="16"/>
        <v>12969</v>
      </c>
      <c r="AC29" s="533">
        <f t="shared" si="16"/>
        <v>13456</v>
      </c>
      <c r="AD29" s="531">
        <f t="shared" ref="AD29:BD29" si="17">SUM(AD26:AD28)</f>
        <v>12325</v>
      </c>
      <c r="AE29" s="532">
        <f t="shared" si="17"/>
        <v>12970</v>
      </c>
      <c r="AF29" s="533">
        <f t="shared" si="17"/>
        <v>13432</v>
      </c>
      <c r="AG29" s="531">
        <f t="shared" si="17"/>
        <v>12555</v>
      </c>
      <c r="AH29" s="532">
        <f t="shared" si="17"/>
        <v>13166</v>
      </c>
      <c r="AI29" s="533">
        <f t="shared" si="17"/>
        <v>13491</v>
      </c>
      <c r="AJ29" s="531">
        <f t="shared" si="17"/>
        <v>11918</v>
      </c>
      <c r="AK29" s="532">
        <f t="shared" si="17"/>
        <v>13218</v>
      </c>
      <c r="AL29" s="533">
        <f t="shared" si="17"/>
        <v>13567</v>
      </c>
      <c r="AM29" s="531">
        <f t="shared" si="17"/>
        <v>12593</v>
      </c>
      <c r="AN29" s="532">
        <f t="shared" si="17"/>
        <v>13114</v>
      </c>
      <c r="AO29" s="533">
        <f t="shared" si="17"/>
        <v>13624</v>
      </c>
      <c r="AP29" s="531">
        <f t="shared" si="17"/>
        <v>12517</v>
      </c>
      <c r="AQ29" s="532">
        <f t="shared" si="17"/>
        <v>13154</v>
      </c>
      <c r="AR29" s="533">
        <f t="shared" si="17"/>
        <v>13654</v>
      </c>
      <c r="AS29" s="531">
        <f t="shared" si="17"/>
        <v>12748</v>
      </c>
      <c r="AT29" s="532">
        <f t="shared" si="17"/>
        <v>13522</v>
      </c>
      <c r="AU29" s="533">
        <f t="shared" si="17"/>
        <v>14099</v>
      </c>
      <c r="AV29" s="531">
        <f t="shared" si="17"/>
        <v>12965</v>
      </c>
      <c r="AW29" s="532">
        <f t="shared" si="17"/>
        <v>13688</v>
      </c>
      <c r="AX29" s="533">
        <f t="shared" si="17"/>
        <v>14393</v>
      </c>
      <c r="AY29" s="531">
        <f t="shared" si="17"/>
        <v>13455</v>
      </c>
      <c r="AZ29" s="532">
        <f t="shared" si="17"/>
        <v>13975</v>
      </c>
      <c r="BA29" s="533">
        <f t="shared" si="17"/>
        <v>14167</v>
      </c>
      <c r="BB29" s="531">
        <f t="shared" si="17"/>
        <v>13857</v>
      </c>
      <c r="BC29" s="532">
        <f t="shared" si="17"/>
        <v>14561</v>
      </c>
      <c r="BD29" s="533">
        <f t="shared" si="17"/>
        <v>14623</v>
      </c>
      <c r="BE29" s="531">
        <f t="shared" ref="BE29:BG29" si="18">SUM(BE26:BE28)</f>
        <v>13871</v>
      </c>
      <c r="BF29" s="532">
        <f t="shared" si="18"/>
        <v>14631</v>
      </c>
      <c r="BG29" s="533">
        <f t="shared" si="18"/>
        <v>14465</v>
      </c>
      <c r="BH29" s="531">
        <f t="shared" ref="BH29:BJ29" si="19">SUM(BH26:BH28)</f>
        <v>13933</v>
      </c>
      <c r="BI29" s="532">
        <f t="shared" si="19"/>
        <v>14524</v>
      </c>
      <c r="BJ29" s="533">
        <f t="shared" si="19"/>
        <v>14581</v>
      </c>
    </row>
    <row r="30" spans="2:62" s="494" customFormat="1" ht="14.4" x14ac:dyDescent="0.25">
      <c r="B30" s="3"/>
      <c r="C30" s="514"/>
      <c r="D30" s="514"/>
      <c r="E30" s="514"/>
      <c r="F30" s="514"/>
      <c r="G30" s="514"/>
      <c r="H30" s="514"/>
      <c r="I30" s="514"/>
      <c r="J30" s="514"/>
      <c r="K30" s="514"/>
      <c r="L30" s="514"/>
      <c r="M30" s="514"/>
      <c r="N30" s="514"/>
      <c r="O30" s="514"/>
      <c r="P30" s="514"/>
      <c r="Q30" s="514"/>
      <c r="R30" s="514"/>
      <c r="S30" s="514"/>
      <c r="T30" s="514"/>
      <c r="U30" s="514"/>
      <c r="V30" s="514"/>
      <c r="W30" s="514"/>
      <c r="X30" s="514"/>
      <c r="Y30" s="514"/>
      <c r="Z30" s="514"/>
      <c r="AA30" s="514"/>
      <c r="AB30" s="514"/>
      <c r="AC30" s="514"/>
      <c r="AD30" s="514"/>
      <c r="AE30" s="514"/>
      <c r="AF30" s="514"/>
      <c r="AG30" s="514"/>
      <c r="AH30" s="514"/>
      <c r="AI30" s="514"/>
      <c r="AJ30" s="514"/>
      <c r="AK30" s="514"/>
      <c r="AL30" s="514"/>
      <c r="AM30" s="514"/>
      <c r="AN30" s="514"/>
      <c r="AO30" s="514"/>
      <c r="AP30" s="514"/>
      <c r="AQ30" s="514"/>
      <c r="AR30" s="514"/>
      <c r="AS30" s="514"/>
      <c r="AT30" s="514"/>
      <c r="AU30" s="514"/>
      <c r="AV30" s="514"/>
      <c r="AW30" s="514"/>
      <c r="AX30" s="514"/>
      <c r="AY30" s="514"/>
      <c r="AZ30" s="514"/>
      <c r="BA30" s="514"/>
      <c r="BB30" s="514"/>
      <c r="BC30" s="514"/>
      <c r="BD30" s="514"/>
      <c r="BE30" s="514"/>
      <c r="BF30" s="514"/>
      <c r="BG30" s="514"/>
      <c r="BH30" s="514"/>
      <c r="BI30" s="514"/>
      <c r="BJ30" s="514"/>
    </row>
    <row r="31" spans="2:62" s="494" customFormat="1" ht="14.4" x14ac:dyDescent="0.3">
      <c r="B31" s="150" t="s">
        <v>59</v>
      </c>
      <c r="C31" s="501">
        <v>7349</v>
      </c>
      <c r="D31" s="502">
        <v>7440</v>
      </c>
      <c r="E31" s="503">
        <v>7958</v>
      </c>
      <c r="F31" s="501">
        <v>7287</v>
      </c>
      <c r="G31" s="502">
        <v>7563</v>
      </c>
      <c r="H31" s="502">
        <v>8311</v>
      </c>
      <c r="I31" s="501">
        <v>7579</v>
      </c>
      <c r="J31" s="502">
        <v>8012</v>
      </c>
      <c r="K31" s="503">
        <v>8568</v>
      </c>
      <c r="L31" s="501">
        <v>7775</v>
      </c>
      <c r="M31" s="502">
        <v>8254</v>
      </c>
      <c r="N31" s="503">
        <v>8781</v>
      </c>
      <c r="O31" s="502">
        <v>8119</v>
      </c>
      <c r="P31" s="502">
        <v>8398</v>
      </c>
      <c r="Q31" s="503">
        <v>8921</v>
      </c>
      <c r="R31" s="502">
        <v>8290</v>
      </c>
      <c r="S31" s="502">
        <v>8339</v>
      </c>
      <c r="T31" s="503">
        <v>9064</v>
      </c>
      <c r="U31" s="501">
        <v>8571</v>
      </c>
      <c r="V31" s="502">
        <v>8957</v>
      </c>
      <c r="W31" s="503">
        <v>9371</v>
      </c>
      <c r="X31" s="501">
        <f>SUM(X6,X16)</f>
        <v>8861</v>
      </c>
      <c r="Y31" s="502">
        <f>SUM(Y6,Y16)</f>
        <v>9259</v>
      </c>
      <c r="Z31" s="503">
        <f>SUM(Z6,Z16)</f>
        <v>10140</v>
      </c>
      <c r="AA31" s="501">
        <f t="shared" ref="AA31:BD31" si="20">SUM(AA6,AA16,AA21)</f>
        <v>9338</v>
      </c>
      <c r="AB31" s="502">
        <f t="shared" si="20"/>
        <v>10115</v>
      </c>
      <c r="AC31" s="503">
        <f t="shared" si="20"/>
        <v>10334</v>
      </c>
      <c r="AD31" s="501">
        <f t="shared" si="20"/>
        <v>9793</v>
      </c>
      <c r="AE31" s="502">
        <f t="shared" si="20"/>
        <v>10140</v>
      </c>
      <c r="AF31" s="503">
        <f t="shared" si="20"/>
        <v>10392</v>
      </c>
      <c r="AG31" s="501">
        <f t="shared" si="20"/>
        <v>9821</v>
      </c>
      <c r="AH31" s="502">
        <f t="shared" si="20"/>
        <v>10275</v>
      </c>
      <c r="AI31" s="503">
        <f t="shared" si="20"/>
        <v>10887</v>
      </c>
      <c r="AJ31" s="501">
        <f t="shared" si="20"/>
        <v>9987</v>
      </c>
      <c r="AK31" s="502">
        <f t="shared" si="20"/>
        <v>10057</v>
      </c>
      <c r="AL31" s="503">
        <f t="shared" si="20"/>
        <v>10786</v>
      </c>
      <c r="AM31" s="501">
        <f t="shared" si="20"/>
        <v>9873</v>
      </c>
      <c r="AN31" s="502">
        <f t="shared" si="20"/>
        <v>9943</v>
      </c>
      <c r="AO31" s="503">
        <f t="shared" si="20"/>
        <v>10634</v>
      </c>
      <c r="AP31" s="501">
        <f t="shared" si="20"/>
        <v>9570</v>
      </c>
      <c r="AQ31" s="502">
        <f t="shared" si="20"/>
        <v>9686</v>
      </c>
      <c r="AR31" s="503">
        <f t="shared" si="20"/>
        <v>10340</v>
      </c>
      <c r="AS31" s="501">
        <f t="shared" si="20"/>
        <v>9209</v>
      </c>
      <c r="AT31" s="502">
        <f t="shared" si="20"/>
        <v>9333</v>
      </c>
      <c r="AU31" s="503">
        <f t="shared" si="20"/>
        <v>9887</v>
      </c>
      <c r="AV31" s="501">
        <f t="shared" si="20"/>
        <v>9119</v>
      </c>
      <c r="AW31" s="502">
        <f t="shared" si="20"/>
        <v>9136</v>
      </c>
      <c r="AX31" s="503">
        <f t="shared" si="20"/>
        <v>9899</v>
      </c>
      <c r="AY31" s="501">
        <f t="shared" si="20"/>
        <v>9092</v>
      </c>
      <c r="AZ31" s="502">
        <f t="shared" si="20"/>
        <v>8770</v>
      </c>
      <c r="BA31" s="503">
        <f t="shared" si="20"/>
        <v>9775</v>
      </c>
      <c r="BB31" s="501">
        <f t="shared" si="20"/>
        <v>9090</v>
      </c>
      <c r="BC31" s="502">
        <f t="shared" si="20"/>
        <v>9223</v>
      </c>
      <c r="BD31" s="503">
        <f t="shared" si="20"/>
        <v>10232</v>
      </c>
      <c r="BE31" s="501">
        <f t="shared" ref="BE31:BG31" si="21">SUM(BE6,BE16,BE21)</f>
        <v>9693</v>
      </c>
      <c r="BF31" s="502">
        <f t="shared" si="21"/>
        <v>9948</v>
      </c>
      <c r="BG31" s="503">
        <f t="shared" si="21"/>
        <v>10440</v>
      </c>
      <c r="BH31" s="501">
        <f t="shared" ref="BH31:BJ31" si="22">SUM(BH6,BH16,BH21)</f>
        <v>9898</v>
      </c>
      <c r="BI31" s="502">
        <f t="shared" si="22"/>
        <v>9897</v>
      </c>
      <c r="BJ31" s="503">
        <f t="shared" si="22"/>
        <v>10500</v>
      </c>
    </row>
    <row r="32" spans="2:62" s="494" customFormat="1" ht="14.4" x14ac:dyDescent="0.3">
      <c r="B32" s="154" t="s">
        <v>64</v>
      </c>
      <c r="C32" s="504">
        <v>12253</v>
      </c>
      <c r="D32" s="505">
        <v>12300</v>
      </c>
      <c r="E32" s="506">
        <v>12989</v>
      </c>
      <c r="F32" s="504">
        <v>12136</v>
      </c>
      <c r="G32" s="505">
        <v>12329</v>
      </c>
      <c r="H32" s="505">
        <v>13300</v>
      </c>
      <c r="I32" s="504">
        <v>12436</v>
      </c>
      <c r="J32" s="505">
        <v>12697</v>
      </c>
      <c r="K32" s="506">
        <v>13821</v>
      </c>
      <c r="L32" s="504">
        <v>12783</v>
      </c>
      <c r="M32" s="505">
        <v>12954</v>
      </c>
      <c r="N32" s="506">
        <v>14010</v>
      </c>
      <c r="O32" s="505">
        <v>13145</v>
      </c>
      <c r="P32" s="505">
        <v>13452</v>
      </c>
      <c r="Q32" s="506">
        <v>14435</v>
      </c>
      <c r="R32" s="505">
        <v>13548</v>
      </c>
      <c r="S32" s="505">
        <v>13520</v>
      </c>
      <c r="T32" s="506">
        <v>14498</v>
      </c>
      <c r="U32" s="504">
        <v>13846</v>
      </c>
      <c r="V32" s="505">
        <v>14084</v>
      </c>
      <c r="W32" s="506">
        <v>14714</v>
      </c>
      <c r="X32" s="504">
        <f>SUM(X7,X11,X17,X26)</f>
        <v>13971</v>
      </c>
      <c r="Y32" s="505">
        <f>SUM(Y7,Y11,Y17,Y26)</f>
        <v>14300</v>
      </c>
      <c r="Z32" s="506">
        <f>SUM(Z7,Z11,Z17,Z26)</f>
        <v>15225</v>
      </c>
      <c r="AA32" s="504">
        <f t="shared" ref="AA32:BD32" si="23">SUM(AA7,AA17,AA26,AA11,AA22)</f>
        <v>14033</v>
      </c>
      <c r="AB32" s="505">
        <f t="shared" si="23"/>
        <v>14478</v>
      </c>
      <c r="AC32" s="506">
        <f t="shared" si="23"/>
        <v>15315</v>
      </c>
      <c r="AD32" s="504">
        <f t="shared" si="23"/>
        <v>14433</v>
      </c>
      <c r="AE32" s="505">
        <f t="shared" si="23"/>
        <v>14951</v>
      </c>
      <c r="AF32" s="506">
        <f t="shared" si="23"/>
        <v>15858</v>
      </c>
      <c r="AG32" s="504">
        <f t="shared" si="23"/>
        <v>14935</v>
      </c>
      <c r="AH32" s="505">
        <f t="shared" si="23"/>
        <v>15276</v>
      </c>
      <c r="AI32" s="506">
        <f t="shared" si="23"/>
        <v>16063</v>
      </c>
      <c r="AJ32" s="504">
        <f t="shared" si="23"/>
        <v>14648</v>
      </c>
      <c r="AK32" s="505">
        <f t="shared" si="23"/>
        <v>15289</v>
      </c>
      <c r="AL32" s="506">
        <f t="shared" si="23"/>
        <v>16395</v>
      </c>
      <c r="AM32" s="504">
        <f t="shared" si="23"/>
        <v>15203</v>
      </c>
      <c r="AN32" s="505">
        <f t="shared" si="23"/>
        <v>15554</v>
      </c>
      <c r="AO32" s="506">
        <f t="shared" si="23"/>
        <v>16608</v>
      </c>
      <c r="AP32" s="504">
        <f t="shared" si="23"/>
        <v>15367</v>
      </c>
      <c r="AQ32" s="505">
        <f t="shared" si="23"/>
        <v>15806</v>
      </c>
      <c r="AR32" s="506">
        <f t="shared" si="23"/>
        <v>17003</v>
      </c>
      <c r="AS32" s="504">
        <f t="shared" si="23"/>
        <v>14210</v>
      </c>
      <c r="AT32" s="505">
        <f t="shared" si="23"/>
        <v>16116</v>
      </c>
      <c r="AU32" s="506">
        <f t="shared" si="23"/>
        <v>17236</v>
      </c>
      <c r="AV32" s="504">
        <f t="shared" si="23"/>
        <v>15827</v>
      </c>
      <c r="AW32" s="505">
        <f t="shared" si="23"/>
        <v>16578</v>
      </c>
      <c r="AX32" s="506">
        <f t="shared" si="23"/>
        <v>17666</v>
      </c>
      <c r="AY32" s="504">
        <f t="shared" si="23"/>
        <v>16413</v>
      </c>
      <c r="AZ32" s="505">
        <f t="shared" si="23"/>
        <v>16512</v>
      </c>
      <c r="BA32" s="506">
        <f t="shared" si="23"/>
        <v>17429</v>
      </c>
      <c r="BB32" s="504">
        <f t="shared" si="23"/>
        <v>16781</v>
      </c>
      <c r="BC32" s="505">
        <f t="shared" si="23"/>
        <v>17315</v>
      </c>
      <c r="BD32" s="506">
        <f t="shared" si="23"/>
        <v>18112</v>
      </c>
      <c r="BE32" s="504">
        <f t="shared" ref="BE32:BG32" si="24">SUM(BE7,BE17,BE26,BE11,BE22)</f>
        <v>17181</v>
      </c>
      <c r="BF32" s="505">
        <f t="shared" si="24"/>
        <v>17817</v>
      </c>
      <c r="BG32" s="506">
        <f t="shared" si="24"/>
        <v>18126</v>
      </c>
      <c r="BH32" s="504">
        <f t="shared" ref="BH32:BJ32" si="25">SUM(BH7,BH17,BH26,BH11,BH22)</f>
        <v>17493</v>
      </c>
      <c r="BI32" s="505">
        <f t="shared" si="25"/>
        <v>17817</v>
      </c>
      <c r="BJ32" s="506">
        <f t="shared" si="25"/>
        <v>18365</v>
      </c>
    </row>
    <row r="33" spans="2:62" s="494" customFormat="1" ht="14.4" x14ac:dyDescent="0.3">
      <c r="B33" s="154" t="s">
        <v>92</v>
      </c>
      <c r="C33" s="504">
        <v>7721</v>
      </c>
      <c r="D33" s="505">
        <v>7941</v>
      </c>
      <c r="E33" s="506">
        <v>8314</v>
      </c>
      <c r="F33" s="504">
        <v>7652</v>
      </c>
      <c r="G33" s="505">
        <v>8225</v>
      </c>
      <c r="H33" s="505">
        <v>8784</v>
      </c>
      <c r="I33" s="504">
        <v>8029</v>
      </c>
      <c r="J33" s="505">
        <v>8676</v>
      </c>
      <c r="K33" s="506">
        <v>9210</v>
      </c>
      <c r="L33" s="504">
        <v>8466</v>
      </c>
      <c r="M33" s="505">
        <v>9041</v>
      </c>
      <c r="N33" s="506">
        <v>9527</v>
      </c>
      <c r="O33" s="505">
        <v>8786</v>
      </c>
      <c r="P33" s="505">
        <v>9111</v>
      </c>
      <c r="Q33" s="506">
        <v>9474</v>
      </c>
      <c r="R33" s="505">
        <v>8735</v>
      </c>
      <c r="S33" s="505">
        <v>8865</v>
      </c>
      <c r="T33" s="506">
        <v>9210</v>
      </c>
      <c r="U33" s="504">
        <v>8516</v>
      </c>
      <c r="V33" s="505">
        <v>9056</v>
      </c>
      <c r="W33" s="506">
        <v>9284</v>
      </c>
      <c r="X33" s="504">
        <f>SUM(X18,X27)</f>
        <v>8611</v>
      </c>
      <c r="Y33" s="505">
        <f>SUM(Y18,Y27)</f>
        <v>9153</v>
      </c>
      <c r="Z33" s="506">
        <f>SUM(Z18,Z27)</f>
        <v>9581</v>
      </c>
      <c r="AA33" s="504">
        <f t="shared" ref="AA33:BD33" si="26">SUM(AA18,AA27,AA23)</f>
        <v>8734</v>
      </c>
      <c r="AB33" s="505">
        <f t="shared" si="26"/>
        <v>9309</v>
      </c>
      <c r="AC33" s="506">
        <f t="shared" si="26"/>
        <v>9756</v>
      </c>
      <c r="AD33" s="504">
        <f t="shared" si="26"/>
        <v>8921</v>
      </c>
      <c r="AE33" s="505">
        <f t="shared" si="26"/>
        <v>9570</v>
      </c>
      <c r="AF33" s="506">
        <f t="shared" si="26"/>
        <v>9919</v>
      </c>
      <c r="AG33" s="504">
        <f t="shared" si="26"/>
        <v>9340</v>
      </c>
      <c r="AH33" s="505">
        <f t="shared" si="26"/>
        <v>9994</v>
      </c>
      <c r="AI33" s="506">
        <f t="shared" si="26"/>
        <v>10455</v>
      </c>
      <c r="AJ33" s="504">
        <f t="shared" si="26"/>
        <v>9288</v>
      </c>
      <c r="AK33" s="505">
        <f t="shared" si="26"/>
        <v>10192</v>
      </c>
      <c r="AL33" s="506">
        <f t="shared" si="26"/>
        <v>10565</v>
      </c>
      <c r="AM33" s="504">
        <f t="shared" si="26"/>
        <v>9713</v>
      </c>
      <c r="AN33" s="505">
        <f t="shared" si="26"/>
        <v>10203</v>
      </c>
      <c r="AO33" s="506">
        <f t="shared" si="26"/>
        <v>10616</v>
      </c>
      <c r="AP33" s="504">
        <f t="shared" si="26"/>
        <v>9619</v>
      </c>
      <c r="AQ33" s="505">
        <f t="shared" si="26"/>
        <v>10202</v>
      </c>
      <c r="AR33" s="506">
        <f t="shared" si="26"/>
        <v>10742</v>
      </c>
      <c r="AS33" s="504">
        <f t="shared" si="26"/>
        <v>9776</v>
      </c>
      <c r="AT33" s="505">
        <f t="shared" si="26"/>
        <v>10387</v>
      </c>
      <c r="AU33" s="506">
        <f t="shared" si="26"/>
        <v>10838</v>
      </c>
      <c r="AV33" s="504">
        <f t="shared" si="26"/>
        <v>9837</v>
      </c>
      <c r="AW33" s="505">
        <f t="shared" si="26"/>
        <v>10344</v>
      </c>
      <c r="AX33" s="506">
        <f t="shared" si="26"/>
        <v>10804</v>
      </c>
      <c r="AY33" s="504">
        <f t="shared" si="26"/>
        <v>9979</v>
      </c>
      <c r="AZ33" s="505">
        <f t="shared" si="26"/>
        <v>10083</v>
      </c>
      <c r="BA33" s="506">
        <f t="shared" si="26"/>
        <v>10323</v>
      </c>
      <c r="BB33" s="504">
        <f t="shared" si="26"/>
        <v>9745</v>
      </c>
      <c r="BC33" s="505">
        <f t="shared" si="26"/>
        <v>10316</v>
      </c>
      <c r="BD33" s="506">
        <f t="shared" si="26"/>
        <v>10599</v>
      </c>
      <c r="BE33" s="504">
        <f t="shared" ref="BE33:BG33" si="27">SUM(BE18,BE27,BE23)</f>
        <v>9830</v>
      </c>
      <c r="BF33" s="505">
        <f t="shared" si="27"/>
        <v>10447</v>
      </c>
      <c r="BG33" s="506">
        <f t="shared" si="27"/>
        <v>10495</v>
      </c>
      <c r="BH33" s="504">
        <f t="shared" ref="BH33:BJ33" si="28">SUM(BH18,BH27,BH23)</f>
        <v>9942</v>
      </c>
      <c r="BI33" s="505">
        <f t="shared" si="28"/>
        <v>10445</v>
      </c>
      <c r="BJ33" s="506">
        <f t="shared" si="28"/>
        <v>10654</v>
      </c>
    </row>
    <row r="34" spans="2:62" s="494" customFormat="1" ht="14.4" x14ac:dyDescent="0.3">
      <c r="B34" s="154" t="s">
        <v>68</v>
      </c>
      <c r="C34" s="504">
        <v>4478</v>
      </c>
      <c r="D34" s="505">
        <v>4713</v>
      </c>
      <c r="E34" s="506">
        <v>5048</v>
      </c>
      <c r="F34" s="504">
        <v>4575</v>
      </c>
      <c r="G34" s="505">
        <v>4905</v>
      </c>
      <c r="H34" s="505">
        <v>5172</v>
      </c>
      <c r="I34" s="504">
        <v>4871</v>
      </c>
      <c r="J34" s="505">
        <v>5160</v>
      </c>
      <c r="K34" s="506">
        <v>5317</v>
      </c>
      <c r="L34" s="504">
        <v>5022</v>
      </c>
      <c r="M34" s="505">
        <v>5165</v>
      </c>
      <c r="N34" s="506">
        <v>5298</v>
      </c>
      <c r="O34" s="505">
        <v>4934</v>
      </c>
      <c r="P34" s="505">
        <v>5176</v>
      </c>
      <c r="Q34" s="506">
        <v>5266</v>
      </c>
      <c r="R34" s="505">
        <v>4933</v>
      </c>
      <c r="S34" s="505">
        <v>5092</v>
      </c>
      <c r="T34" s="506">
        <v>5096</v>
      </c>
      <c r="U34" s="504">
        <v>4818</v>
      </c>
      <c r="V34" s="505">
        <v>5014</v>
      </c>
      <c r="W34" s="506">
        <v>4943</v>
      </c>
      <c r="X34" s="504">
        <f t="shared" ref="X34:BD34" si="29">SUM(X8,X28)</f>
        <v>4729</v>
      </c>
      <c r="Y34" s="505">
        <f t="shared" si="29"/>
        <v>4901</v>
      </c>
      <c r="Z34" s="506">
        <f t="shared" si="29"/>
        <v>5047</v>
      </c>
      <c r="AA34" s="504">
        <f t="shared" si="29"/>
        <v>4604</v>
      </c>
      <c r="AB34" s="505">
        <f t="shared" si="29"/>
        <v>4888</v>
      </c>
      <c r="AC34" s="506">
        <f t="shared" si="29"/>
        <v>4976</v>
      </c>
      <c r="AD34" s="504">
        <f t="shared" si="29"/>
        <v>4712</v>
      </c>
      <c r="AE34" s="505">
        <f t="shared" si="29"/>
        <v>5014</v>
      </c>
      <c r="AF34" s="506">
        <f t="shared" si="29"/>
        <v>5104</v>
      </c>
      <c r="AG34" s="504">
        <f t="shared" si="29"/>
        <v>4888</v>
      </c>
      <c r="AH34" s="505">
        <f t="shared" si="29"/>
        <v>5132</v>
      </c>
      <c r="AI34" s="506">
        <f t="shared" si="29"/>
        <v>5256</v>
      </c>
      <c r="AJ34" s="504">
        <f t="shared" si="29"/>
        <v>4872</v>
      </c>
      <c r="AK34" s="505">
        <f t="shared" si="29"/>
        <v>5146</v>
      </c>
      <c r="AL34" s="506">
        <f t="shared" si="29"/>
        <v>5261</v>
      </c>
      <c r="AM34" s="504">
        <f t="shared" si="29"/>
        <v>4921</v>
      </c>
      <c r="AN34" s="505">
        <f t="shared" si="29"/>
        <v>5101</v>
      </c>
      <c r="AO34" s="506">
        <f t="shared" si="29"/>
        <v>5390</v>
      </c>
      <c r="AP34" s="504">
        <f t="shared" si="29"/>
        <v>5003</v>
      </c>
      <c r="AQ34" s="505">
        <f t="shared" si="29"/>
        <v>5181</v>
      </c>
      <c r="AR34" s="506">
        <f t="shared" si="29"/>
        <v>5409</v>
      </c>
      <c r="AS34" s="504">
        <f t="shared" si="29"/>
        <v>4971</v>
      </c>
      <c r="AT34" s="505">
        <f t="shared" si="29"/>
        <v>5263</v>
      </c>
      <c r="AU34" s="506">
        <f t="shared" si="29"/>
        <v>5411</v>
      </c>
      <c r="AV34" s="504">
        <f t="shared" si="29"/>
        <v>5048</v>
      </c>
      <c r="AW34" s="505">
        <f t="shared" si="29"/>
        <v>5300</v>
      </c>
      <c r="AX34" s="506">
        <f t="shared" si="29"/>
        <v>5597</v>
      </c>
      <c r="AY34" s="504">
        <f t="shared" si="29"/>
        <v>5263</v>
      </c>
      <c r="AZ34" s="505">
        <f t="shared" si="29"/>
        <v>5444</v>
      </c>
      <c r="BA34" s="506">
        <f t="shared" si="29"/>
        <v>5553</v>
      </c>
      <c r="BB34" s="504">
        <f t="shared" si="29"/>
        <v>5378</v>
      </c>
      <c r="BC34" s="505">
        <f t="shared" si="29"/>
        <v>5646</v>
      </c>
      <c r="BD34" s="506">
        <f t="shared" si="29"/>
        <v>5741</v>
      </c>
      <c r="BE34" s="504">
        <f t="shared" ref="BE34:BG34" si="30">SUM(BE8,BE28)</f>
        <v>5453</v>
      </c>
      <c r="BF34" s="505">
        <f t="shared" si="30"/>
        <v>5670</v>
      </c>
      <c r="BG34" s="506">
        <f t="shared" si="30"/>
        <v>5780</v>
      </c>
      <c r="BH34" s="504">
        <f t="shared" ref="BH34:BJ34" si="31">SUM(BH8,BH28)</f>
        <v>5583</v>
      </c>
      <c r="BI34" s="505">
        <f t="shared" si="31"/>
        <v>5814</v>
      </c>
      <c r="BJ34" s="506">
        <f t="shared" si="31"/>
        <v>5810</v>
      </c>
    </row>
    <row r="35" spans="2:62" s="494" customFormat="1" ht="14.4" x14ac:dyDescent="0.3">
      <c r="B35" s="154" t="s">
        <v>111</v>
      </c>
      <c r="C35" s="504"/>
      <c r="D35" s="505"/>
      <c r="E35" s="506"/>
      <c r="F35" s="504"/>
      <c r="G35" s="505"/>
      <c r="H35" s="505"/>
      <c r="I35" s="504"/>
      <c r="J35" s="505"/>
      <c r="K35" s="506">
        <v>34</v>
      </c>
      <c r="L35" s="504">
        <v>29</v>
      </c>
      <c r="M35" s="505">
        <v>29</v>
      </c>
      <c r="N35" s="506">
        <v>61</v>
      </c>
      <c r="O35" s="505">
        <v>60</v>
      </c>
      <c r="P35" s="505">
        <v>59</v>
      </c>
      <c r="Q35" s="506">
        <v>187</v>
      </c>
      <c r="R35" s="505">
        <v>174</v>
      </c>
      <c r="S35" s="505">
        <v>167</v>
      </c>
      <c r="T35" s="506">
        <v>292</v>
      </c>
      <c r="U35" s="504">
        <v>272</v>
      </c>
      <c r="V35" s="505">
        <v>263</v>
      </c>
      <c r="W35" s="506">
        <v>360</v>
      </c>
      <c r="X35" s="504">
        <f t="shared" ref="X35:AC36" si="32">SUM(X12)</f>
        <v>328</v>
      </c>
      <c r="Y35" s="505">
        <f t="shared" si="32"/>
        <v>313</v>
      </c>
      <c r="Z35" s="506">
        <f t="shared" si="32"/>
        <v>423</v>
      </c>
      <c r="AA35" s="504">
        <f t="shared" si="32"/>
        <v>396</v>
      </c>
      <c r="AB35" s="505">
        <f t="shared" si="32"/>
        <v>385</v>
      </c>
      <c r="AC35" s="506">
        <f t="shared" si="32"/>
        <v>498</v>
      </c>
      <c r="AD35" s="504">
        <f t="shared" ref="AD35:BD36" si="33">SUM(AD12)</f>
        <v>452</v>
      </c>
      <c r="AE35" s="505">
        <f t="shared" si="33"/>
        <v>429</v>
      </c>
      <c r="AF35" s="506">
        <f t="shared" si="33"/>
        <v>520</v>
      </c>
      <c r="AG35" s="504">
        <f t="shared" si="33"/>
        <v>489</v>
      </c>
      <c r="AH35" s="505">
        <f t="shared" si="33"/>
        <v>471</v>
      </c>
      <c r="AI35" s="506">
        <f t="shared" si="33"/>
        <v>576</v>
      </c>
      <c r="AJ35" s="504">
        <f t="shared" si="33"/>
        <v>528</v>
      </c>
      <c r="AK35" s="505">
        <f t="shared" si="33"/>
        <v>515</v>
      </c>
      <c r="AL35" s="506">
        <f t="shared" si="33"/>
        <v>644</v>
      </c>
      <c r="AM35" s="504">
        <f t="shared" si="33"/>
        <v>589</v>
      </c>
      <c r="AN35" s="505">
        <f t="shared" si="33"/>
        <v>565</v>
      </c>
      <c r="AO35" s="506">
        <f t="shared" si="33"/>
        <v>726</v>
      </c>
      <c r="AP35" s="504">
        <f t="shared" si="33"/>
        <v>647</v>
      </c>
      <c r="AQ35" s="505">
        <f t="shared" si="33"/>
        <v>651</v>
      </c>
      <c r="AR35" s="506">
        <f t="shared" si="33"/>
        <v>783</v>
      </c>
      <c r="AS35" s="504">
        <f t="shared" si="33"/>
        <v>787</v>
      </c>
      <c r="AT35" s="505">
        <f t="shared" si="33"/>
        <v>740</v>
      </c>
      <c r="AU35" s="506">
        <f t="shared" si="33"/>
        <v>926</v>
      </c>
      <c r="AV35" s="504">
        <f t="shared" si="33"/>
        <v>801</v>
      </c>
      <c r="AW35" s="505">
        <f t="shared" si="33"/>
        <v>801</v>
      </c>
      <c r="AX35" s="506">
        <f t="shared" si="33"/>
        <v>981</v>
      </c>
      <c r="AY35" s="504">
        <f t="shared" si="33"/>
        <v>931</v>
      </c>
      <c r="AZ35" s="505">
        <f t="shared" si="33"/>
        <v>875</v>
      </c>
      <c r="BA35" s="506">
        <f t="shared" si="33"/>
        <v>991</v>
      </c>
      <c r="BB35" s="504">
        <f t="shared" si="33"/>
        <v>953</v>
      </c>
      <c r="BC35" s="505">
        <f t="shared" si="33"/>
        <v>907</v>
      </c>
      <c r="BD35" s="506">
        <f t="shared" si="33"/>
        <v>1050</v>
      </c>
      <c r="BE35" s="504">
        <f t="shared" ref="BE35:BG35" si="34">SUM(BE12)</f>
        <v>1000</v>
      </c>
      <c r="BF35" s="505">
        <f t="shared" si="34"/>
        <v>976</v>
      </c>
      <c r="BG35" s="506">
        <f t="shared" si="34"/>
        <v>1085</v>
      </c>
      <c r="BH35" s="504">
        <f t="shared" ref="BH35:BJ35" si="35">SUM(BH12)</f>
        <v>1044</v>
      </c>
      <c r="BI35" s="505">
        <f t="shared" si="35"/>
        <v>962</v>
      </c>
      <c r="BJ35" s="506">
        <f t="shared" si="35"/>
        <v>1131</v>
      </c>
    </row>
    <row r="36" spans="2:62" s="494" customFormat="1" ht="14.4" x14ac:dyDescent="0.3">
      <c r="B36" s="263" t="s">
        <v>115</v>
      </c>
      <c r="C36" s="534"/>
      <c r="D36" s="535"/>
      <c r="E36" s="536"/>
      <c r="F36" s="534"/>
      <c r="G36" s="535"/>
      <c r="H36" s="535"/>
      <c r="I36" s="534"/>
      <c r="J36" s="535"/>
      <c r="K36" s="536">
        <v>58</v>
      </c>
      <c r="L36" s="534">
        <v>50</v>
      </c>
      <c r="M36" s="535">
        <v>44</v>
      </c>
      <c r="N36" s="536">
        <v>68</v>
      </c>
      <c r="O36" s="535">
        <v>63</v>
      </c>
      <c r="P36" s="535">
        <v>56</v>
      </c>
      <c r="Q36" s="536">
        <v>120</v>
      </c>
      <c r="R36" s="535">
        <v>104</v>
      </c>
      <c r="S36" s="535">
        <v>95</v>
      </c>
      <c r="T36" s="536">
        <v>205</v>
      </c>
      <c r="U36" s="534">
        <v>189</v>
      </c>
      <c r="V36" s="535">
        <v>169</v>
      </c>
      <c r="W36" s="536">
        <v>238</v>
      </c>
      <c r="X36" s="534">
        <f t="shared" si="32"/>
        <v>209</v>
      </c>
      <c r="Y36" s="535">
        <f t="shared" si="32"/>
        <v>201</v>
      </c>
      <c r="Z36" s="536">
        <f t="shared" si="32"/>
        <v>296</v>
      </c>
      <c r="AA36" s="537">
        <f t="shared" si="32"/>
        <v>276</v>
      </c>
      <c r="AB36" s="538">
        <f t="shared" si="32"/>
        <v>261</v>
      </c>
      <c r="AC36" s="539">
        <f t="shared" si="32"/>
        <v>356</v>
      </c>
      <c r="AD36" s="537">
        <f t="shared" si="33"/>
        <v>341</v>
      </c>
      <c r="AE36" s="538">
        <f t="shared" si="33"/>
        <v>321</v>
      </c>
      <c r="AF36" s="539">
        <f t="shared" si="33"/>
        <v>449</v>
      </c>
      <c r="AG36" s="537">
        <f t="shared" si="33"/>
        <v>413</v>
      </c>
      <c r="AH36" s="538">
        <f t="shared" si="33"/>
        <v>382</v>
      </c>
      <c r="AI36" s="539">
        <f t="shared" si="33"/>
        <v>525</v>
      </c>
      <c r="AJ36" s="537">
        <f t="shared" si="33"/>
        <v>482</v>
      </c>
      <c r="AK36" s="538">
        <f t="shared" si="33"/>
        <v>450</v>
      </c>
      <c r="AL36" s="539">
        <f t="shared" si="33"/>
        <v>650</v>
      </c>
      <c r="AM36" s="537">
        <f t="shared" si="33"/>
        <v>590</v>
      </c>
      <c r="AN36" s="538">
        <f t="shared" si="33"/>
        <v>560</v>
      </c>
      <c r="AO36" s="539">
        <f t="shared" si="33"/>
        <v>738</v>
      </c>
      <c r="AP36" s="537">
        <f t="shared" si="33"/>
        <v>634</v>
      </c>
      <c r="AQ36" s="538">
        <f t="shared" si="33"/>
        <v>630</v>
      </c>
      <c r="AR36" s="539">
        <f t="shared" si="33"/>
        <v>801</v>
      </c>
      <c r="AS36" s="537">
        <f t="shared" si="33"/>
        <v>748</v>
      </c>
      <c r="AT36" s="538">
        <f t="shared" si="33"/>
        <v>732</v>
      </c>
      <c r="AU36" s="539">
        <f t="shared" si="33"/>
        <v>909</v>
      </c>
      <c r="AV36" s="537">
        <f t="shared" si="33"/>
        <v>814</v>
      </c>
      <c r="AW36" s="538">
        <f t="shared" si="33"/>
        <v>801</v>
      </c>
      <c r="AX36" s="539">
        <f t="shared" si="33"/>
        <v>989</v>
      </c>
      <c r="AY36" s="537">
        <f t="shared" si="33"/>
        <v>909</v>
      </c>
      <c r="AZ36" s="538">
        <f t="shared" si="33"/>
        <v>850</v>
      </c>
      <c r="BA36" s="539">
        <f t="shared" si="33"/>
        <v>1017</v>
      </c>
      <c r="BB36" s="537">
        <f t="shared" si="33"/>
        <v>934</v>
      </c>
      <c r="BC36" s="538">
        <f t="shared" si="33"/>
        <v>913</v>
      </c>
      <c r="BD36" s="539">
        <f t="shared" si="33"/>
        <v>1093</v>
      </c>
      <c r="BE36" s="537">
        <f t="shared" ref="BE36:BG36" si="36">SUM(BE13)</f>
        <v>1055</v>
      </c>
      <c r="BF36" s="538">
        <f t="shared" si="36"/>
        <v>998</v>
      </c>
      <c r="BG36" s="539">
        <f t="shared" si="36"/>
        <v>1124</v>
      </c>
      <c r="BH36" s="537">
        <f t="shared" ref="BH36:BJ36" si="37">SUM(BH13)</f>
        <v>1066</v>
      </c>
      <c r="BI36" s="538">
        <f t="shared" si="37"/>
        <v>986</v>
      </c>
      <c r="BJ36" s="539">
        <f t="shared" si="37"/>
        <v>1181</v>
      </c>
    </row>
    <row r="37" spans="2:62" s="543" customFormat="1" ht="14.4" x14ac:dyDescent="0.25">
      <c r="B37" s="267" t="s">
        <v>128</v>
      </c>
      <c r="C37" s="540">
        <f>SUM(C31:C36)</f>
        <v>31801</v>
      </c>
      <c r="D37" s="541">
        <f>SUM(D31:D36)</f>
        <v>32394</v>
      </c>
      <c r="E37" s="541">
        <f>SUM(E31:E36)</f>
        <v>34309</v>
      </c>
      <c r="F37" s="540">
        <f t="shared" ref="F37:Q37" si="38">SUM(F31:F36)</f>
        <v>31650</v>
      </c>
      <c r="G37" s="541">
        <f t="shared" si="38"/>
        <v>33022</v>
      </c>
      <c r="H37" s="541">
        <f t="shared" si="38"/>
        <v>35567</v>
      </c>
      <c r="I37" s="540">
        <f t="shared" si="38"/>
        <v>32915</v>
      </c>
      <c r="J37" s="541">
        <f t="shared" si="38"/>
        <v>34545</v>
      </c>
      <c r="K37" s="542">
        <f t="shared" si="38"/>
        <v>37008</v>
      </c>
      <c r="L37" s="541">
        <f t="shared" si="38"/>
        <v>34125</v>
      </c>
      <c r="M37" s="541">
        <f t="shared" si="38"/>
        <v>35487</v>
      </c>
      <c r="N37" s="542">
        <f t="shared" si="38"/>
        <v>37745</v>
      </c>
      <c r="O37" s="541">
        <f t="shared" si="38"/>
        <v>35107</v>
      </c>
      <c r="P37" s="541">
        <f t="shared" si="38"/>
        <v>36252</v>
      </c>
      <c r="Q37" s="542">
        <f t="shared" si="38"/>
        <v>38403</v>
      </c>
      <c r="R37" s="541">
        <v>35784</v>
      </c>
      <c r="S37" s="541">
        <v>36078</v>
      </c>
      <c r="T37" s="542">
        <v>38365</v>
      </c>
      <c r="U37" s="540">
        <f t="shared" ref="U37:BD37" si="39">SUM(U31:U36)</f>
        <v>36212</v>
      </c>
      <c r="V37" s="541">
        <f t="shared" si="39"/>
        <v>37543</v>
      </c>
      <c r="W37" s="542">
        <f t="shared" si="39"/>
        <v>38910</v>
      </c>
      <c r="X37" s="540">
        <f t="shared" si="39"/>
        <v>36709</v>
      </c>
      <c r="Y37" s="541">
        <f t="shared" si="39"/>
        <v>38127</v>
      </c>
      <c r="Z37" s="542">
        <f t="shared" si="39"/>
        <v>40712</v>
      </c>
      <c r="AA37" s="540">
        <f t="shared" si="39"/>
        <v>37381</v>
      </c>
      <c r="AB37" s="541">
        <f t="shared" si="39"/>
        <v>39436</v>
      </c>
      <c r="AC37" s="542">
        <f t="shared" si="39"/>
        <v>41235</v>
      </c>
      <c r="AD37" s="540">
        <f t="shared" si="39"/>
        <v>38652</v>
      </c>
      <c r="AE37" s="541">
        <f t="shared" si="39"/>
        <v>40425</v>
      </c>
      <c r="AF37" s="542">
        <f t="shared" si="39"/>
        <v>42242</v>
      </c>
      <c r="AG37" s="540">
        <f t="shared" si="39"/>
        <v>39886</v>
      </c>
      <c r="AH37" s="541">
        <f t="shared" si="39"/>
        <v>41530</v>
      </c>
      <c r="AI37" s="542">
        <f t="shared" si="39"/>
        <v>43762</v>
      </c>
      <c r="AJ37" s="540">
        <f t="shared" si="39"/>
        <v>39805</v>
      </c>
      <c r="AK37" s="541">
        <f t="shared" si="39"/>
        <v>41649</v>
      </c>
      <c r="AL37" s="542">
        <f t="shared" si="39"/>
        <v>44301</v>
      </c>
      <c r="AM37" s="540">
        <f t="shared" si="39"/>
        <v>40889</v>
      </c>
      <c r="AN37" s="541">
        <f t="shared" si="39"/>
        <v>41926</v>
      </c>
      <c r="AO37" s="542">
        <f t="shared" si="39"/>
        <v>44712</v>
      </c>
      <c r="AP37" s="540">
        <f t="shared" si="39"/>
        <v>40840</v>
      </c>
      <c r="AQ37" s="541">
        <f t="shared" si="39"/>
        <v>42156</v>
      </c>
      <c r="AR37" s="542">
        <f t="shared" si="39"/>
        <v>45078</v>
      </c>
      <c r="AS37" s="540">
        <f t="shared" si="39"/>
        <v>39701</v>
      </c>
      <c r="AT37" s="541">
        <f t="shared" si="39"/>
        <v>42571</v>
      </c>
      <c r="AU37" s="542">
        <f t="shared" si="39"/>
        <v>45207</v>
      </c>
      <c r="AV37" s="540">
        <f t="shared" si="39"/>
        <v>41446</v>
      </c>
      <c r="AW37" s="541">
        <f t="shared" si="39"/>
        <v>42960</v>
      </c>
      <c r="AX37" s="542">
        <f t="shared" si="39"/>
        <v>45936</v>
      </c>
      <c r="AY37" s="540">
        <f t="shared" si="39"/>
        <v>42587</v>
      </c>
      <c r="AZ37" s="541">
        <f t="shared" si="39"/>
        <v>42534</v>
      </c>
      <c r="BA37" s="542">
        <f t="shared" si="39"/>
        <v>45088</v>
      </c>
      <c r="BB37" s="540">
        <f t="shared" si="39"/>
        <v>42881</v>
      </c>
      <c r="BC37" s="541">
        <f t="shared" si="39"/>
        <v>44320</v>
      </c>
      <c r="BD37" s="542">
        <f t="shared" si="39"/>
        <v>46827</v>
      </c>
      <c r="BE37" s="540">
        <f t="shared" ref="BE37:BG37" si="40">SUM(BE31:BE36)</f>
        <v>44212</v>
      </c>
      <c r="BF37" s="541">
        <f t="shared" si="40"/>
        <v>45856</v>
      </c>
      <c r="BG37" s="542">
        <f t="shared" si="40"/>
        <v>47050</v>
      </c>
      <c r="BH37" s="540">
        <f t="shared" ref="BH37:BJ37" si="41">SUM(BH31:BH36)</f>
        <v>45026</v>
      </c>
      <c r="BI37" s="541">
        <f t="shared" si="41"/>
        <v>45921</v>
      </c>
      <c r="BJ37" s="542">
        <f t="shared" si="41"/>
        <v>47641</v>
      </c>
    </row>
    <row r="38" spans="2:62" s="406" customFormat="1" ht="15" x14ac:dyDescent="0.25">
      <c r="B38" s="5738"/>
      <c r="C38" s="5738"/>
      <c r="D38" s="5738"/>
      <c r="E38" s="5738"/>
      <c r="U38" s="544"/>
      <c r="V38" s="544"/>
      <c r="W38" s="544"/>
    </row>
    <row r="39" spans="2:62" s="406" customFormat="1" ht="15" x14ac:dyDescent="0.25">
      <c r="B39" s="545"/>
      <c r="C39" s="545"/>
      <c r="D39" s="494"/>
      <c r="E39" s="494"/>
      <c r="AJ39" s="544"/>
    </row>
    <row r="43" spans="2:62" x14ac:dyDescent="0.25">
      <c r="F43" s="496"/>
      <c r="G43" s="496"/>
      <c r="H43" s="496"/>
      <c r="I43" s="496"/>
      <c r="L43" s="496"/>
      <c r="M43" s="496"/>
      <c r="N43" s="496"/>
      <c r="O43" s="496"/>
      <c r="Q43" s="496"/>
    </row>
    <row r="47" spans="2:62" x14ac:dyDescent="0.25">
      <c r="AM47" s="546" t="s">
        <v>138</v>
      </c>
      <c r="AN47" s="546">
        <v>2003</v>
      </c>
    </row>
    <row r="48" spans="2:62" x14ac:dyDescent="0.25">
      <c r="AM48" s="546" t="s">
        <v>134</v>
      </c>
      <c r="AN48" s="546">
        <v>2004</v>
      </c>
    </row>
    <row r="49" spans="39:40" x14ac:dyDescent="0.25">
      <c r="AM49" s="547" t="s">
        <v>135</v>
      </c>
      <c r="AN49" s="546">
        <v>2005</v>
      </c>
    </row>
    <row r="50" spans="39:40" x14ac:dyDescent="0.25">
      <c r="AM50" s="546" t="s">
        <v>136</v>
      </c>
      <c r="AN50" s="546">
        <v>2006</v>
      </c>
    </row>
    <row r="51" spans="39:40" x14ac:dyDescent="0.25">
      <c r="AM51" s="546" t="s">
        <v>137</v>
      </c>
      <c r="AN51" s="546">
        <v>2007</v>
      </c>
    </row>
    <row r="52" spans="39:40" x14ac:dyDescent="0.25">
      <c r="AN52" s="546">
        <v>2008</v>
      </c>
    </row>
    <row r="53" spans="39:40" x14ac:dyDescent="0.25">
      <c r="AN53" s="546">
        <v>2009</v>
      </c>
    </row>
    <row r="54" spans="39:40" x14ac:dyDescent="0.25">
      <c r="AN54" s="546">
        <v>2010</v>
      </c>
    </row>
    <row r="55" spans="39:40" x14ac:dyDescent="0.25">
      <c r="AN55" s="546">
        <v>2011</v>
      </c>
    </row>
    <row r="56" spans="39:40" x14ac:dyDescent="0.25">
      <c r="AN56" s="546">
        <v>2012</v>
      </c>
    </row>
    <row r="57" spans="39:40" x14ac:dyDescent="0.25">
      <c r="AN57" s="546">
        <v>2013</v>
      </c>
    </row>
    <row r="58" spans="39:40" x14ac:dyDescent="0.25">
      <c r="AN58" s="546">
        <v>2014</v>
      </c>
    </row>
    <row r="59" spans="39:40" x14ac:dyDescent="0.25">
      <c r="AN59" s="546">
        <v>2015</v>
      </c>
    </row>
    <row r="60" spans="39:40" x14ac:dyDescent="0.25">
      <c r="AN60" s="546">
        <v>2016</v>
      </c>
    </row>
    <row r="61" spans="39:40" x14ac:dyDescent="0.25">
      <c r="AN61" s="546">
        <v>2017</v>
      </c>
    </row>
    <row r="62" spans="39:40" x14ac:dyDescent="0.25">
      <c r="AN62" s="546">
        <v>2018</v>
      </c>
    </row>
    <row r="63" spans="39:40" x14ac:dyDescent="0.25">
      <c r="AN63" s="546">
        <v>2019</v>
      </c>
    </row>
    <row r="64" spans="39:40" x14ac:dyDescent="0.25">
      <c r="AN64" s="546">
        <v>2020</v>
      </c>
    </row>
    <row r="65" spans="40:40" x14ac:dyDescent="0.25">
      <c r="AN65" s="546">
        <v>2021</v>
      </c>
    </row>
    <row r="66" spans="40:40" x14ac:dyDescent="0.25">
      <c r="AN66" s="546">
        <v>2022</v>
      </c>
    </row>
    <row r="72" spans="40:40" hidden="1" x14ac:dyDescent="0.25"/>
    <row r="73" spans="40:40" hidden="1" x14ac:dyDescent="0.25"/>
    <row r="74" spans="40:40" hidden="1" x14ac:dyDescent="0.25"/>
    <row r="75" spans="40:40" hidden="1" x14ac:dyDescent="0.25"/>
    <row r="76" spans="40:40" hidden="1" x14ac:dyDescent="0.25"/>
    <row r="77" spans="40:40" hidden="1" x14ac:dyDescent="0.25"/>
    <row r="78" spans="40:40" hidden="1" x14ac:dyDescent="0.25"/>
    <row r="79" spans="40:40" hidden="1" x14ac:dyDescent="0.25"/>
    <row r="80" spans="40:4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</sheetData>
  <mergeCells count="22">
    <mergeCell ref="I3:K3"/>
    <mergeCell ref="L3:N3"/>
    <mergeCell ref="O3:Q3"/>
    <mergeCell ref="BB3:BD3"/>
    <mergeCell ref="AV3:AX3"/>
    <mergeCell ref="AY3:BA3"/>
    <mergeCell ref="BH3:BJ3"/>
    <mergeCell ref="BE3:BG3"/>
    <mergeCell ref="B38:E38"/>
    <mergeCell ref="AJ3:AL3"/>
    <mergeCell ref="AM3:AO3"/>
    <mergeCell ref="AP3:AR3"/>
    <mergeCell ref="AS3:AU3"/>
    <mergeCell ref="R3:T3"/>
    <mergeCell ref="U3:W3"/>
    <mergeCell ref="X3:Z3"/>
    <mergeCell ref="AA3:AC3"/>
    <mergeCell ref="AD3:AF3"/>
    <mergeCell ref="AG3:AI3"/>
    <mergeCell ref="B3:B4"/>
    <mergeCell ref="C3:E3"/>
    <mergeCell ref="F3:H3"/>
  </mergeCells>
  <printOptions horizontalCentered="1" verticalCentered="1"/>
  <pageMargins left="0.27559055118110237" right="0.27559055118110237" top="0.19685039370078741" bottom="0.19685039370078741" header="0" footer="0.31496062992125984"/>
  <pageSetup scale="75" firstPageNumber="20" pageOrder="overThenDown" orientation="landscape" useFirstPageNumber="1" r:id="rId1"/>
  <headerFooter scaleWithDoc="0" alignWithMargins="0">
    <oddFooter>&amp;R&amp;P</oddFooter>
  </headerFooter>
  <rowBreaks count="1" manualBreakCount="1">
    <brk id="39" max="16383" man="1"/>
  </rowBreaks>
  <colBreaks count="2" manualBreakCount="2">
    <brk id="20" max="38" man="1"/>
    <brk id="38" max="38" man="1"/>
  </colBreaks>
  <ignoredErrors>
    <ignoredError sqref="AV11:AW37 AV6:AV8 AS16" formulaRange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B1:W38"/>
  <sheetViews>
    <sheetView showGridLines="0" zoomScaleNormal="100" zoomScaleSheetLayoutView="50" workbookViewId="0">
      <pane xSplit="2" ySplit="4" topLeftCell="C5" activePane="bottomRight" state="frozen"/>
      <selection activeCell="Q31" sqref="Q31"/>
      <selection pane="topRight" activeCell="Q31" sqref="Q31"/>
      <selection pane="bottomLeft" activeCell="Q31" sqref="Q31"/>
      <selection pane="bottomRight" activeCell="Q31" sqref="Q31"/>
    </sheetView>
  </sheetViews>
  <sheetFormatPr baseColWidth="10" defaultRowHeight="13.2" x14ac:dyDescent="0.25"/>
  <cols>
    <col min="1" max="1" width="1.5546875" customWidth="1"/>
    <col min="2" max="2" width="18.5546875" customWidth="1"/>
    <col min="3" max="23" width="7.6640625" customWidth="1"/>
    <col min="257" max="257" width="1.88671875" customWidth="1"/>
    <col min="258" max="258" width="20.88671875" customWidth="1"/>
    <col min="259" max="264" width="12.88671875" customWidth="1"/>
    <col min="265" max="265" width="11.44140625" customWidth="1"/>
    <col min="267" max="267" width="2.88671875" customWidth="1"/>
    <col min="513" max="513" width="1.88671875" customWidth="1"/>
    <col min="514" max="514" width="20.88671875" customWidth="1"/>
    <col min="515" max="520" width="12.88671875" customWidth="1"/>
    <col min="521" max="521" width="11.44140625" customWidth="1"/>
    <col min="523" max="523" width="2.88671875" customWidth="1"/>
    <col min="769" max="769" width="1.88671875" customWidth="1"/>
    <col min="770" max="770" width="20.88671875" customWidth="1"/>
    <col min="771" max="776" width="12.88671875" customWidth="1"/>
    <col min="777" max="777" width="11.44140625" customWidth="1"/>
    <col min="779" max="779" width="2.88671875" customWidth="1"/>
    <col min="1025" max="1025" width="1.88671875" customWidth="1"/>
    <col min="1026" max="1026" width="20.88671875" customWidth="1"/>
    <col min="1027" max="1032" width="12.88671875" customWidth="1"/>
    <col min="1033" max="1033" width="11.44140625" customWidth="1"/>
    <col min="1035" max="1035" width="2.88671875" customWidth="1"/>
    <col min="1281" max="1281" width="1.88671875" customWidth="1"/>
    <col min="1282" max="1282" width="20.88671875" customWidth="1"/>
    <col min="1283" max="1288" width="12.88671875" customWidth="1"/>
    <col min="1289" max="1289" width="11.44140625" customWidth="1"/>
    <col min="1291" max="1291" width="2.88671875" customWidth="1"/>
    <col min="1537" max="1537" width="1.88671875" customWidth="1"/>
    <col min="1538" max="1538" width="20.88671875" customWidth="1"/>
    <col min="1539" max="1544" width="12.88671875" customWidth="1"/>
    <col min="1545" max="1545" width="11.44140625" customWidth="1"/>
    <col min="1547" max="1547" width="2.88671875" customWidth="1"/>
    <col min="1793" max="1793" width="1.88671875" customWidth="1"/>
    <col min="1794" max="1794" width="20.88671875" customWidth="1"/>
    <col min="1795" max="1800" width="12.88671875" customWidth="1"/>
    <col min="1801" max="1801" width="11.44140625" customWidth="1"/>
    <col min="1803" max="1803" width="2.88671875" customWidth="1"/>
    <col min="2049" max="2049" width="1.88671875" customWidth="1"/>
    <col min="2050" max="2050" width="20.88671875" customWidth="1"/>
    <col min="2051" max="2056" width="12.88671875" customWidth="1"/>
    <col min="2057" max="2057" width="11.44140625" customWidth="1"/>
    <col min="2059" max="2059" width="2.88671875" customWidth="1"/>
    <col min="2305" max="2305" width="1.88671875" customWidth="1"/>
    <col min="2306" max="2306" width="20.88671875" customWidth="1"/>
    <col min="2307" max="2312" width="12.88671875" customWidth="1"/>
    <col min="2313" max="2313" width="11.44140625" customWidth="1"/>
    <col min="2315" max="2315" width="2.88671875" customWidth="1"/>
    <col min="2561" max="2561" width="1.88671875" customWidth="1"/>
    <col min="2562" max="2562" width="20.88671875" customWidth="1"/>
    <col min="2563" max="2568" width="12.88671875" customWidth="1"/>
    <col min="2569" max="2569" width="11.44140625" customWidth="1"/>
    <col min="2571" max="2571" width="2.88671875" customWidth="1"/>
    <col min="2817" max="2817" width="1.88671875" customWidth="1"/>
    <col min="2818" max="2818" width="20.88671875" customWidth="1"/>
    <col min="2819" max="2824" width="12.88671875" customWidth="1"/>
    <col min="2825" max="2825" width="11.44140625" customWidth="1"/>
    <col min="2827" max="2827" width="2.88671875" customWidth="1"/>
    <col min="3073" max="3073" width="1.88671875" customWidth="1"/>
    <col min="3074" max="3074" width="20.88671875" customWidth="1"/>
    <col min="3075" max="3080" width="12.88671875" customWidth="1"/>
    <col min="3081" max="3081" width="11.44140625" customWidth="1"/>
    <col min="3083" max="3083" width="2.88671875" customWidth="1"/>
    <col min="3329" max="3329" width="1.88671875" customWidth="1"/>
    <col min="3330" max="3330" width="20.88671875" customWidth="1"/>
    <col min="3331" max="3336" width="12.88671875" customWidth="1"/>
    <col min="3337" max="3337" width="11.44140625" customWidth="1"/>
    <col min="3339" max="3339" width="2.88671875" customWidth="1"/>
    <col min="3585" max="3585" width="1.88671875" customWidth="1"/>
    <col min="3586" max="3586" width="20.88671875" customWidth="1"/>
    <col min="3587" max="3592" width="12.88671875" customWidth="1"/>
    <col min="3593" max="3593" width="11.44140625" customWidth="1"/>
    <col min="3595" max="3595" width="2.88671875" customWidth="1"/>
    <col min="3841" max="3841" width="1.88671875" customWidth="1"/>
    <col min="3842" max="3842" width="20.88671875" customWidth="1"/>
    <col min="3843" max="3848" width="12.88671875" customWidth="1"/>
    <col min="3849" max="3849" width="11.44140625" customWidth="1"/>
    <col min="3851" max="3851" width="2.88671875" customWidth="1"/>
    <col min="4097" max="4097" width="1.88671875" customWidth="1"/>
    <col min="4098" max="4098" width="20.88671875" customWidth="1"/>
    <col min="4099" max="4104" width="12.88671875" customWidth="1"/>
    <col min="4105" max="4105" width="11.44140625" customWidth="1"/>
    <col min="4107" max="4107" width="2.88671875" customWidth="1"/>
    <col min="4353" max="4353" width="1.88671875" customWidth="1"/>
    <col min="4354" max="4354" width="20.88671875" customWidth="1"/>
    <col min="4355" max="4360" width="12.88671875" customWidth="1"/>
    <col min="4361" max="4361" width="11.44140625" customWidth="1"/>
    <col min="4363" max="4363" width="2.88671875" customWidth="1"/>
    <col min="4609" max="4609" width="1.88671875" customWidth="1"/>
    <col min="4610" max="4610" width="20.88671875" customWidth="1"/>
    <col min="4611" max="4616" width="12.88671875" customWidth="1"/>
    <col min="4617" max="4617" width="11.44140625" customWidth="1"/>
    <col min="4619" max="4619" width="2.88671875" customWidth="1"/>
    <col min="4865" max="4865" width="1.88671875" customWidth="1"/>
    <col min="4866" max="4866" width="20.88671875" customWidth="1"/>
    <col min="4867" max="4872" width="12.88671875" customWidth="1"/>
    <col min="4873" max="4873" width="11.44140625" customWidth="1"/>
    <col min="4875" max="4875" width="2.88671875" customWidth="1"/>
    <col min="5121" max="5121" width="1.88671875" customWidth="1"/>
    <col min="5122" max="5122" width="20.88671875" customWidth="1"/>
    <col min="5123" max="5128" width="12.88671875" customWidth="1"/>
    <col min="5129" max="5129" width="11.44140625" customWidth="1"/>
    <col min="5131" max="5131" width="2.88671875" customWidth="1"/>
    <col min="5377" max="5377" width="1.88671875" customWidth="1"/>
    <col min="5378" max="5378" width="20.88671875" customWidth="1"/>
    <col min="5379" max="5384" width="12.88671875" customWidth="1"/>
    <col min="5385" max="5385" width="11.44140625" customWidth="1"/>
    <col min="5387" max="5387" width="2.88671875" customWidth="1"/>
    <col min="5633" max="5633" width="1.88671875" customWidth="1"/>
    <col min="5634" max="5634" width="20.88671875" customWidth="1"/>
    <col min="5635" max="5640" width="12.88671875" customWidth="1"/>
    <col min="5641" max="5641" width="11.44140625" customWidth="1"/>
    <col min="5643" max="5643" width="2.88671875" customWidth="1"/>
    <col min="5889" max="5889" width="1.88671875" customWidth="1"/>
    <col min="5890" max="5890" width="20.88671875" customWidth="1"/>
    <col min="5891" max="5896" width="12.88671875" customWidth="1"/>
    <col min="5897" max="5897" width="11.44140625" customWidth="1"/>
    <col min="5899" max="5899" width="2.88671875" customWidth="1"/>
    <col min="6145" max="6145" width="1.88671875" customWidth="1"/>
    <col min="6146" max="6146" width="20.88671875" customWidth="1"/>
    <col min="6147" max="6152" width="12.88671875" customWidth="1"/>
    <col min="6153" max="6153" width="11.44140625" customWidth="1"/>
    <col min="6155" max="6155" width="2.88671875" customWidth="1"/>
    <col min="6401" max="6401" width="1.88671875" customWidth="1"/>
    <col min="6402" max="6402" width="20.88671875" customWidth="1"/>
    <col min="6403" max="6408" width="12.88671875" customWidth="1"/>
    <col min="6409" max="6409" width="11.44140625" customWidth="1"/>
    <col min="6411" max="6411" width="2.88671875" customWidth="1"/>
    <col min="6657" max="6657" width="1.88671875" customWidth="1"/>
    <col min="6658" max="6658" width="20.88671875" customWidth="1"/>
    <col min="6659" max="6664" width="12.88671875" customWidth="1"/>
    <col min="6665" max="6665" width="11.44140625" customWidth="1"/>
    <col min="6667" max="6667" width="2.88671875" customWidth="1"/>
    <col min="6913" max="6913" width="1.88671875" customWidth="1"/>
    <col min="6914" max="6914" width="20.88671875" customWidth="1"/>
    <col min="6915" max="6920" width="12.88671875" customWidth="1"/>
    <col min="6921" max="6921" width="11.44140625" customWidth="1"/>
    <col min="6923" max="6923" width="2.88671875" customWidth="1"/>
    <col min="7169" max="7169" width="1.88671875" customWidth="1"/>
    <col min="7170" max="7170" width="20.88671875" customWidth="1"/>
    <col min="7171" max="7176" width="12.88671875" customWidth="1"/>
    <col min="7177" max="7177" width="11.44140625" customWidth="1"/>
    <col min="7179" max="7179" width="2.88671875" customWidth="1"/>
    <col min="7425" max="7425" width="1.88671875" customWidth="1"/>
    <col min="7426" max="7426" width="20.88671875" customWidth="1"/>
    <col min="7427" max="7432" width="12.88671875" customWidth="1"/>
    <col min="7433" max="7433" width="11.44140625" customWidth="1"/>
    <col min="7435" max="7435" width="2.88671875" customWidth="1"/>
    <col min="7681" max="7681" width="1.88671875" customWidth="1"/>
    <col min="7682" max="7682" width="20.88671875" customWidth="1"/>
    <col min="7683" max="7688" width="12.88671875" customWidth="1"/>
    <col min="7689" max="7689" width="11.44140625" customWidth="1"/>
    <col min="7691" max="7691" width="2.88671875" customWidth="1"/>
    <col min="7937" max="7937" width="1.88671875" customWidth="1"/>
    <col min="7938" max="7938" width="20.88671875" customWidth="1"/>
    <col min="7939" max="7944" width="12.88671875" customWidth="1"/>
    <col min="7945" max="7945" width="11.44140625" customWidth="1"/>
    <col min="7947" max="7947" width="2.88671875" customWidth="1"/>
    <col min="8193" max="8193" width="1.88671875" customWidth="1"/>
    <col min="8194" max="8194" width="20.88671875" customWidth="1"/>
    <col min="8195" max="8200" width="12.88671875" customWidth="1"/>
    <col min="8201" max="8201" width="11.44140625" customWidth="1"/>
    <col min="8203" max="8203" width="2.88671875" customWidth="1"/>
    <col min="8449" max="8449" width="1.88671875" customWidth="1"/>
    <col min="8450" max="8450" width="20.88671875" customWidth="1"/>
    <col min="8451" max="8456" width="12.88671875" customWidth="1"/>
    <col min="8457" max="8457" width="11.44140625" customWidth="1"/>
    <col min="8459" max="8459" width="2.88671875" customWidth="1"/>
    <col min="8705" max="8705" width="1.88671875" customWidth="1"/>
    <col min="8706" max="8706" width="20.88671875" customWidth="1"/>
    <col min="8707" max="8712" width="12.88671875" customWidth="1"/>
    <col min="8713" max="8713" width="11.44140625" customWidth="1"/>
    <col min="8715" max="8715" width="2.88671875" customWidth="1"/>
    <col min="8961" max="8961" width="1.88671875" customWidth="1"/>
    <col min="8962" max="8962" width="20.88671875" customWidth="1"/>
    <col min="8963" max="8968" width="12.88671875" customWidth="1"/>
    <col min="8969" max="8969" width="11.44140625" customWidth="1"/>
    <col min="8971" max="8971" width="2.88671875" customWidth="1"/>
    <col min="9217" max="9217" width="1.88671875" customWidth="1"/>
    <col min="9218" max="9218" width="20.88671875" customWidth="1"/>
    <col min="9219" max="9224" width="12.88671875" customWidth="1"/>
    <col min="9225" max="9225" width="11.44140625" customWidth="1"/>
    <col min="9227" max="9227" width="2.88671875" customWidth="1"/>
    <col min="9473" max="9473" width="1.88671875" customWidth="1"/>
    <col min="9474" max="9474" width="20.88671875" customWidth="1"/>
    <col min="9475" max="9480" width="12.88671875" customWidth="1"/>
    <col min="9481" max="9481" width="11.44140625" customWidth="1"/>
    <col min="9483" max="9483" width="2.88671875" customWidth="1"/>
    <col min="9729" max="9729" width="1.88671875" customWidth="1"/>
    <col min="9730" max="9730" width="20.88671875" customWidth="1"/>
    <col min="9731" max="9736" width="12.88671875" customWidth="1"/>
    <col min="9737" max="9737" width="11.44140625" customWidth="1"/>
    <col min="9739" max="9739" width="2.88671875" customWidth="1"/>
    <col min="9985" max="9985" width="1.88671875" customWidth="1"/>
    <col min="9986" max="9986" width="20.88671875" customWidth="1"/>
    <col min="9987" max="9992" width="12.88671875" customWidth="1"/>
    <col min="9993" max="9993" width="11.44140625" customWidth="1"/>
    <col min="9995" max="9995" width="2.88671875" customWidth="1"/>
    <col min="10241" max="10241" width="1.88671875" customWidth="1"/>
    <col min="10242" max="10242" width="20.88671875" customWidth="1"/>
    <col min="10243" max="10248" width="12.88671875" customWidth="1"/>
    <col min="10249" max="10249" width="11.44140625" customWidth="1"/>
    <col min="10251" max="10251" width="2.88671875" customWidth="1"/>
    <col min="10497" max="10497" width="1.88671875" customWidth="1"/>
    <col min="10498" max="10498" width="20.88671875" customWidth="1"/>
    <col min="10499" max="10504" width="12.88671875" customWidth="1"/>
    <col min="10505" max="10505" width="11.44140625" customWidth="1"/>
    <col min="10507" max="10507" width="2.88671875" customWidth="1"/>
    <col min="10753" max="10753" width="1.88671875" customWidth="1"/>
    <col min="10754" max="10754" width="20.88671875" customWidth="1"/>
    <col min="10755" max="10760" width="12.88671875" customWidth="1"/>
    <col min="10761" max="10761" width="11.44140625" customWidth="1"/>
    <col min="10763" max="10763" width="2.88671875" customWidth="1"/>
    <col min="11009" max="11009" width="1.88671875" customWidth="1"/>
    <col min="11010" max="11010" width="20.88671875" customWidth="1"/>
    <col min="11011" max="11016" width="12.88671875" customWidth="1"/>
    <col min="11017" max="11017" width="11.44140625" customWidth="1"/>
    <col min="11019" max="11019" width="2.88671875" customWidth="1"/>
    <col min="11265" max="11265" width="1.88671875" customWidth="1"/>
    <col min="11266" max="11266" width="20.88671875" customWidth="1"/>
    <col min="11267" max="11272" width="12.88671875" customWidth="1"/>
    <col min="11273" max="11273" width="11.44140625" customWidth="1"/>
    <col min="11275" max="11275" width="2.88671875" customWidth="1"/>
    <col min="11521" max="11521" width="1.88671875" customWidth="1"/>
    <col min="11522" max="11522" width="20.88671875" customWidth="1"/>
    <col min="11523" max="11528" width="12.88671875" customWidth="1"/>
    <col min="11529" max="11529" width="11.44140625" customWidth="1"/>
    <col min="11531" max="11531" width="2.88671875" customWidth="1"/>
    <col min="11777" max="11777" width="1.88671875" customWidth="1"/>
    <col min="11778" max="11778" width="20.88671875" customWidth="1"/>
    <col min="11779" max="11784" width="12.88671875" customWidth="1"/>
    <col min="11785" max="11785" width="11.44140625" customWidth="1"/>
    <col min="11787" max="11787" width="2.88671875" customWidth="1"/>
    <col min="12033" max="12033" width="1.88671875" customWidth="1"/>
    <col min="12034" max="12034" width="20.88671875" customWidth="1"/>
    <col min="12035" max="12040" width="12.88671875" customWidth="1"/>
    <col min="12041" max="12041" width="11.44140625" customWidth="1"/>
    <col min="12043" max="12043" width="2.88671875" customWidth="1"/>
    <col min="12289" max="12289" width="1.88671875" customWidth="1"/>
    <col min="12290" max="12290" width="20.88671875" customWidth="1"/>
    <col min="12291" max="12296" width="12.88671875" customWidth="1"/>
    <col min="12297" max="12297" width="11.44140625" customWidth="1"/>
    <col min="12299" max="12299" width="2.88671875" customWidth="1"/>
    <col min="12545" max="12545" width="1.88671875" customWidth="1"/>
    <col min="12546" max="12546" width="20.88671875" customWidth="1"/>
    <col min="12547" max="12552" width="12.88671875" customWidth="1"/>
    <col min="12553" max="12553" width="11.44140625" customWidth="1"/>
    <col min="12555" max="12555" width="2.88671875" customWidth="1"/>
    <col min="12801" max="12801" width="1.88671875" customWidth="1"/>
    <col min="12802" max="12802" width="20.88671875" customWidth="1"/>
    <col min="12803" max="12808" width="12.88671875" customWidth="1"/>
    <col min="12809" max="12809" width="11.44140625" customWidth="1"/>
    <col min="12811" max="12811" width="2.88671875" customWidth="1"/>
    <col min="13057" max="13057" width="1.88671875" customWidth="1"/>
    <col min="13058" max="13058" width="20.88671875" customWidth="1"/>
    <col min="13059" max="13064" width="12.88671875" customWidth="1"/>
    <col min="13065" max="13065" width="11.44140625" customWidth="1"/>
    <col min="13067" max="13067" width="2.88671875" customWidth="1"/>
    <col min="13313" max="13313" width="1.88671875" customWidth="1"/>
    <col min="13314" max="13314" width="20.88671875" customWidth="1"/>
    <col min="13315" max="13320" width="12.88671875" customWidth="1"/>
    <col min="13321" max="13321" width="11.44140625" customWidth="1"/>
    <col min="13323" max="13323" width="2.88671875" customWidth="1"/>
    <col min="13569" max="13569" width="1.88671875" customWidth="1"/>
    <col min="13570" max="13570" width="20.88671875" customWidth="1"/>
    <col min="13571" max="13576" width="12.88671875" customWidth="1"/>
    <col min="13577" max="13577" width="11.44140625" customWidth="1"/>
    <col min="13579" max="13579" width="2.88671875" customWidth="1"/>
    <col min="13825" max="13825" width="1.88671875" customWidth="1"/>
    <col min="13826" max="13826" width="20.88671875" customWidth="1"/>
    <col min="13827" max="13832" width="12.88671875" customWidth="1"/>
    <col min="13833" max="13833" width="11.44140625" customWidth="1"/>
    <col min="13835" max="13835" width="2.88671875" customWidth="1"/>
    <col min="14081" max="14081" width="1.88671875" customWidth="1"/>
    <col min="14082" max="14082" width="20.88671875" customWidth="1"/>
    <col min="14083" max="14088" width="12.88671875" customWidth="1"/>
    <col min="14089" max="14089" width="11.44140625" customWidth="1"/>
    <col min="14091" max="14091" width="2.88671875" customWidth="1"/>
    <col min="14337" max="14337" width="1.88671875" customWidth="1"/>
    <col min="14338" max="14338" width="20.88671875" customWidth="1"/>
    <col min="14339" max="14344" width="12.88671875" customWidth="1"/>
    <col min="14345" max="14345" width="11.44140625" customWidth="1"/>
    <col min="14347" max="14347" width="2.88671875" customWidth="1"/>
    <col min="14593" max="14593" width="1.88671875" customWidth="1"/>
    <col min="14594" max="14594" width="20.88671875" customWidth="1"/>
    <col min="14595" max="14600" width="12.88671875" customWidth="1"/>
    <col min="14601" max="14601" width="11.44140625" customWidth="1"/>
    <col min="14603" max="14603" width="2.88671875" customWidth="1"/>
    <col min="14849" max="14849" width="1.88671875" customWidth="1"/>
    <col min="14850" max="14850" width="20.88671875" customWidth="1"/>
    <col min="14851" max="14856" width="12.88671875" customWidth="1"/>
    <col min="14857" max="14857" width="11.44140625" customWidth="1"/>
    <col min="14859" max="14859" width="2.88671875" customWidth="1"/>
    <col min="15105" max="15105" width="1.88671875" customWidth="1"/>
    <col min="15106" max="15106" width="20.88671875" customWidth="1"/>
    <col min="15107" max="15112" width="12.88671875" customWidth="1"/>
    <col min="15113" max="15113" width="11.44140625" customWidth="1"/>
    <col min="15115" max="15115" width="2.88671875" customWidth="1"/>
    <col min="15361" max="15361" width="1.88671875" customWidth="1"/>
    <col min="15362" max="15362" width="20.88671875" customWidth="1"/>
    <col min="15363" max="15368" width="12.88671875" customWidth="1"/>
    <col min="15369" max="15369" width="11.44140625" customWidth="1"/>
    <col min="15371" max="15371" width="2.88671875" customWidth="1"/>
    <col min="15617" max="15617" width="1.88671875" customWidth="1"/>
    <col min="15618" max="15618" width="20.88671875" customWidth="1"/>
    <col min="15619" max="15624" width="12.88671875" customWidth="1"/>
    <col min="15625" max="15625" width="11.44140625" customWidth="1"/>
    <col min="15627" max="15627" width="2.88671875" customWidth="1"/>
    <col min="15873" max="15873" width="1.88671875" customWidth="1"/>
    <col min="15874" max="15874" width="20.88671875" customWidth="1"/>
    <col min="15875" max="15880" width="12.88671875" customWidth="1"/>
    <col min="15881" max="15881" width="11.44140625" customWidth="1"/>
    <col min="15883" max="15883" width="2.88671875" customWidth="1"/>
    <col min="16129" max="16129" width="1.88671875" customWidth="1"/>
    <col min="16130" max="16130" width="20.88671875" customWidth="1"/>
    <col min="16131" max="16136" width="12.88671875" customWidth="1"/>
    <col min="16137" max="16137" width="11.44140625" customWidth="1"/>
    <col min="16139" max="16139" width="2.88671875" customWidth="1"/>
  </cols>
  <sheetData>
    <row r="1" spans="2:23" ht="55.2" x14ac:dyDescent="0.3">
      <c r="B1" s="750" t="s">
        <v>158</v>
      </c>
      <c r="C1" s="548"/>
      <c r="D1" s="548"/>
      <c r="E1" s="548"/>
      <c r="F1" s="548"/>
      <c r="G1" s="548"/>
      <c r="H1" s="548"/>
      <c r="I1" s="548"/>
      <c r="J1" s="548"/>
    </row>
    <row r="2" spans="2:23" ht="13.8" x14ac:dyDescent="0.25">
      <c r="B2" s="549" t="s">
        <v>159</v>
      </c>
      <c r="C2" s="549"/>
      <c r="D2" s="3"/>
      <c r="E2" s="3"/>
      <c r="F2" s="3"/>
      <c r="G2" s="3"/>
      <c r="H2" s="3"/>
      <c r="I2" s="3"/>
      <c r="J2" s="3"/>
      <c r="K2" s="3"/>
      <c r="L2" s="3"/>
      <c r="M2" s="3"/>
      <c r="N2" s="3"/>
    </row>
    <row r="3" spans="2:23" ht="15" x14ac:dyDescent="0.25">
      <c r="B3" s="550"/>
      <c r="C3" s="551"/>
      <c r="D3" s="551"/>
      <c r="E3" s="551"/>
      <c r="F3" s="551"/>
      <c r="G3" s="551"/>
      <c r="H3" s="551"/>
    </row>
    <row r="4" spans="2:23" ht="14.4" x14ac:dyDescent="0.25">
      <c r="B4" s="552" t="s">
        <v>160</v>
      </c>
      <c r="C4" s="553">
        <v>2002</v>
      </c>
      <c r="D4" s="554">
        <v>2003</v>
      </c>
      <c r="E4" s="554">
        <v>2004</v>
      </c>
      <c r="F4" s="555">
        <v>2005</v>
      </c>
      <c r="G4" s="556">
        <v>2006</v>
      </c>
      <c r="H4" s="556">
        <v>2007</v>
      </c>
      <c r="I4" s="556">
        <v>2008</v>
      </c>
      <c r="J4" s="556">
        <v>2009</v>
      </c>
      <c r="K4" s="556">
        <v>2010</v>
      </c>
      <c r="L4" s="556">
        <v>2011</v>
      </c>
      <c r="M4" s="556">
        <v>2012</v>
      </c>
      <c r="N4" s="556">
        <v>2013</v>
      </c>
      <c r="O4" s="556">
        <v>2014</v>
      </c>
      <c r="P4" s="556">
        <v>2015</v>
      </c>
      <c r="Q4" s="556">
        <v>2016</v>
      </c>
      <c r="R4" s="556">
        <v>2017</v>
      </c>
      <c r="S4" s="556">
        <v>2018</v>
      </c>
      <c r="T4" s="556">
        <v>2019</v>
      </c>
      <c r="U4" s="556">
        <v>2020</v>
      </c>
      <c r="V4" s="4784">
        <v>2021</v>
      </c>
      <c r="W4" s="4998">
        <v>2022</v>
      </c>
    </row>
    <row r="5" spans="2:23" ht="14.4" x14ac:dyDescent="0.3">
      <c r="B5" s="557"/>
      <c r="C5" s="558"/>
      <c r="D5" s="558"/>
      <c r="E5" s="558"/>
      <c r="F5" s="558"/>
      <c r="G5" s="558"/>
      <c r="H5" s="558"/>
      <c r="I5" s="558"/>
      <c r="J5" s="558"/>
      <c r="K5" s="558"/>
      <c r="L5" s="558"/>
      <c r="M5" s="558"/>
      <c r="N5" s="558"/>
      <c r="O5" s="558"/>
      <c r="P5" s="558"/>
      <c r="Q5" s="558"/>
      <c r="R5" s="558"/>
      <c r="S5" s="558"/>
      <c r="T5" s="558"/>
      <c r="U5" s="558"/>
      <c r="V5" s="558"/>
      <c r="W5" s="558"/>
    </row>
    <row r="6" spans="2:23" ht="15" customHeight="1" x14ac:dyDescent="0.25">
      <c r="B6" s="559" t="s">
        <v>59</v>
      </c>
      <c r="C6" s="560">
        <v>186</v>
      </c>
      <c r="D6" s="560">
        <v>175</v>
      </c>
      <c r="E6" s="560">
        <v>140</v>
      </c>
      <c r="F6" s="560">
        <v>131</v>
      </c>
      <c r="G6" s="560">
        <v>150</v>
      </c>
      <c r="H6" s="560">
        <v>140</v>
      </c>
      <c r="I6" s="560">
        <v>134</v>
      </c>
      <c r="J6" s="560">
        <v>129</v>
      </c>
      <c r="K6" s="560">
        <v>125</v>
      </c>
      <c r="L6" s="560">
        <v>123</v>
      </c>
      <c r="M6" s="560">
        <v>112</v>
      </c>
      <c r="N6" s="560">
        <v>128</v>
      </c>
      <c r="O6" s="560">
        <v>87</v>
      </c>
      <c r="P6" s="560">
        <v>130</v>
      </c>
      <c r="Q6" s="560">
        <v>66</v>
      </c>
      <c r="R6" s="561">
        <v>63</v>
      </c>
      <c r="S6" s="561">
        <v>72</v>
      </c>
      <c r="T6" s="561">
        <v>66</v>
      </c>
      <c r="U6" s="561">
        <v>44</v>
      </c>
      <c r="V6" s="561">
        <v>1</v>
      </c>
      <c r="W6" s="561">
        <v>92</v>
      </c>
    </row>
    <row r="7" spans="2:23" ht="15" customHeight="1" x14ac:dyDescent="0.25">
      <c r="B7" s="562" t="s">
        <v>64</v>
      </c>
      <c r="C7" s="563">
        <v>70</v>
      </c>
      <c r="D7" s="563">
        <v>70</v>
      </c>
      <c r="E7" s="563">
        <v>61</v>
      </c>
      <c r="F7" s="563">
        <v>48</v>
      </c>
      <c r="G7" s="563">
        <v>44</v>
      </c>
      <c r="H7" s="563">
        <v>66</v>
      </c>
      <c r="I7" s="563">
        <v>56</v>
      </c>
      <c r="J7" s="563">
        <v>66</v>
      </c>
      <c r="K7" s="563">
        <v>51</v>
      </c>
      <c r="L7" s="563">
        <v>49</v>
      </c>
      <c r="M7" s="563">
        <v>57</v>
      </c>
      <c r="N7" s="563">
        <v>74</v>
      </c>
      <c r="O7" s="563">
        <v>57</v>
      </c>
      <c r="P7" s="563">
        <v>76</v>
      </c>
      <c r="Q7" s="563">
        <v>55</v>
      </c>
      <c r="R7" s="564">
        <v>48</v>
      </c>
      <c r="S7" s="564">
        <v>60</v>
      </c>
      <c r="T7" s="564">
        <v>67</v>
      </c>
      <c r="U7" s="564">
        <v>28</v>
      </c>
      <c r="V7" s="564">
        <v>1</v>
      </c>
      <c r="W7" s="564">
        <v>66</v>
      </c>
    </row>
    <row r="8" spans="2:23" ht="15" customHeight="1" x14ac:dyDescent="0.25">
      <c r="B8" s="565" t="s">
        <v>68</v>
      </c>
      <c r="C8" s="563">
        <v>41</v>
      </c>
      <c r="D8" s="563">
        <v>55</v>
      </c>
      <c r="E8" s="563">
        <v>50</v>
      </c>
      <c r="F8" s="563">
        <v>26</v>
      </c>
      <c r="G8" s="563">
        <v>24</v>
      </c>
      <c r="H8" s="563">
        <v>25</v>
      </c>
      <c r="I8" s="563">
        <v>31</v>
      </c>
      <c r="J8" s="563">
        <v>27</v>
      </c>
      <c r="K8" s="563">
        <v>28</v>
      </c>
      <c r="L8" s="563">
        <v>25</v>
      </c>
      <c r="M8" s="563">
        <v>32</v>
      </c>
      <c r="N8" s="563">
        <v>25</v>
      </c>
      <c r="O8" s="563">
        <v>24</v>
      </c>
      <c r="P8" s="563">
        <v>36</v>
      </c>
      <c r="Q8" s="563">
        <v>30</v>
      </c>
      <c r="R8" s="564">
        <v>23</v>
      </c>
      <c r="S8" s="564">
        <v>30</v>
      </c>
      <c r="T8" s="564">
        <v>32</v>
      </c>
      <c r="U8" s="564">
        <v>9</v>
      </c>
      <c r="V8" s="564"/>
      <c r="W8" s="564">
        <v>25</v>
      </c>
    </row>
    <row r="9" spans="2:23" ht="14.4" x14ac:dyDescent="0.25">
      <c r="B9" s="566" t="s">
        <v>138</v>
      </c>
      <c r="C9" s="567">
        <f t="shared" ref="C9:O9" si="0">SUM(C6:C8)</f>
        <v>297</v>
      </c>
      <c r="D9" s="567">
        <f t="shared" si="0"/>
        <v>300</v>
      </c>
      <c r="E9" s="567">
        <f t="shared" si="0"/>
        <v>251</v>
      </c>
      <c r="F9" s="567">
        <f t="shared" si="0"/>
        <v>205</v>
      </c>
      <c r="G9" s="567">
        <f t="shared" si="0"/>
        <v>218</v>
      </c>
      <c r="H9" s="567">
        <f t="shared" si="0"/>
        <v>231</v>
      </c>
      <c r="I9" s="567">
        <f t="shared" si="0"/>
        <v>221</v>
      </c>
      <c r="J9" s="567">
        <f t="shared" si="0"/>
        <v>222</v>
      </c>
      <c r="K9" s="567">
        <f t="shared" si="0"/>
        <v>204</v>
      </c>
      <c r="L9" s="567">
        <f t="shared" si="0"/>
        <v>197</v>
      </c>
      <c r="M9" s="567">
        <f t="shared" si="0"/>
        <v>201</v>
      </c>
      <c r="N9" s="567">
        <f t="shared" si="0"/>
        <v>227</v>
      </c>
      <c r="O9" s="567">
        <f t="shared" si="0"/>
        <v>168</v>
      </c>
      <c r="P9" s="567">
        <f>SUM(P6:P8)</f>
        <v>242</v>
      </c>
      <c r="Q9" s="567">
        <f>SUM(Q6:Q8)</f>
        <v>151</v>
      </c>
      <c r="R9" s="568">
        <f>SUM(R6:R8)</f>
        <v>134</v>
      </c>
      <c r="S9" s="568">
        <f>SUM(S6:S8)</f>
        <v>162</v>
      </c>
      <c r="T9" s="568">
        <v>165</v>
      </c>
      <c r="U9" s="568">
        <f>SUM(U6:U8)</f>
        <v>81</v>
      </c>
      <c r="V9" s="568">
        <f>SUM(V6:V8)</f>
        <v>2</v>
      </c>
      <c r="W9" s="568">
        <f>SUM(W6:W8)</f>
        <v>183</v>
      </c>
    </row>
    <row r="10" spans="2:23" ht="14.4" x14ac:dyDescent="0.3">
      <c r="B10" s="569"/>
      <c r="C10" s="570"/>
      <c r="D10" s="570"/>
      <c r="E10" s="570"/>
      <c r="F10" s="570"/>
      <c r="G10" s="570"/>
      <c r="H10" s="570"/>
      <c r="I10" s="570"/>
      <c r="J10" s="570"/>
      <c r="K10" s="570"/>
      <c r="L10" s="570"/>
      <c r="M10" s="570"/>
      <c r="N10" s="570"/>
      <c r="O10" s="570"/>
      <c r="P10" s="570"/>
      <c r="Q10" s="570"/>
      <c r="R10" s="571"/>
      <c r="S10" s="571"/>
      <c r="T10" s="571"/>
      <c r="U10" s="571"/>
      <c r="V10" s="571"/>
      <c r="W10" s="571"/>
    </row>
    <row r="11" spans="2:23" ht="15" customHeight="1" x14ac:dyDescent="0.25">
      <c r="B11" s="559" t="s">
        <v>64</v>
      </c>
      <c r="C11" s="560"/>
      <c r="D11" s="560"/>
      <c r="E11" s="560"/>
      <c r="F11" s="560"/>
      <c r="G11" s="560">
        <v>1</v>
      </c>
      <c r="H11" s="560">
        <v>1</v>
      </c>
      <c r="I11" s="560">
        <v>4</v>
      </c>
      <c r="J11" s="560">
        <v>4</v>
      </c>
      <c r="K11" s="560">
        <v>2</v>
      </c>
      <c r="L11" s="560">
        <v>7</v>
      </c>
      <c r="M11" s="560">
        <v>8</v>
      </c>
      <c r="N11" s="560">
        <v>4</v>
      </c>
      <c r="O11" s="560">
        <v>6</v>
      </c>
      <c r="P11" s="560">
        <v>7</v>
      </c>
      <c r="Q11" s="560">
        <v>14</v>
      </c>
      <c r="R11" s="561">
        <v>13</v>
      </c>
      <c r="S11" s="561">
        <v>9</v>
      </c>
      <c r="T11" s="561">
        <v>6</v>
      </c>
      <c r="U11" s="561">
        <v>4</v>
      </c>
      <c r="V11" s="561">
        <v>1</v>
      </c>
      <c r="W11" s="561">
        <v>10</v>
      </c>
    </row>
    <row r="12" spans="2:23" ht="14.4" x14ac:dyDescent="0.25">
      <c r="B12" s="562" t="s">
        <v>111</v>
      </c>
      <c r="C12" s="563"/>
      <c r="D12" s="563"/>
      <c r="E12" s="563"/>
      <c r="F12" s="563"/>
      <c r="G12" s="563">
        <v>0</v>
      </c>
      <c r="H12" s="563">
        <v>2</v>
      </c>
      <c r="I12" s="563">
        <v>6</v>
      </c>
      <c r="J12" s="563">
        <v>5</v>
      </c>
      <c r="K12" s="563">
        <v>4</v>
      </c>
      <c r="L12" s="563">
        <v>4</v>
      </c>
      <c r="M12" s="563">
        <v>9</v>
      </c>
      <c r="N12" s="563">
        <v>9</v>
      </c>
      <c r="O12" s="563">
        <v>5</v>
      </c>
      <c r="P12" s="563">
        <v>5</v>
      </c>
      <c r="Q12" s="563">
        <v>12</v>
      </c>
      <c r="R12" s="564">
        <v>12</v>
      </c>
      <c r="S12" s="564">
        <v>14</v>
      </c>
      <c r="T12" s="564">
        <v>14</v>
      </c>
      <c r="U12" s="564">
        <v>4</v>
      </c>
      <c r="V12" s="564">
        <v>1</v>
      </c>
      <c r="W12" s="564">
        <v>5</v>
      </c>
    </row>
    <row r="13" spans="2:23" ht="15" customHeight="1" x14ac:dyDescent="0.25">
      <c r="B13" s="565" t="s">
        <v>115</v>
      </c>
      <c r="C13" s="563"/>
      <c r="D13" s="563"/>
      <c r="E13" s="563"/>
      <c r="F13" s="563"/>
      <c r="G13" s="563">
        <v>0</v>
      </c>
      <c r="H13" s="563">
        <v>0</v>
      </c>
      <c r="I13" s="563">
        <v>2</v>
      </c>
      <c r="J13" s="563">
        <v>8</v>
      </c>
      <c r="K13" s="563">
        <v>6</v>
      </c>
      <c r="L13" s="563">
        <v>5</v>
      </c>
      <c r="M13" s="563">
        <v>6</v>
      </c>
      <c r="N13" s="563">
        <v>14</v>
      </c>
      <c r="O13" s="563">
        <v>8</v>
      </c>
      <c r="P13" s="563">
        <v>20</v>
      </c>
      <c r="Q13" s="563">
        <v>15</v>
      </c>
      <c r="R13" s="564">
        <v>19</v>
      </c>
      <c r="S13" s="564">
        <v>24</v>
      </c>
      <c r="T13" s="564">
        <v>13</v>
      </c>
      <c r="U13" s="564"/>
      <c r="V13" s="564">
        <v>1</v>
      </c>
      <c r="W13" s="564">
        <v>6</v>
      </c>
    </row>
    <row r="14" spans="2:23" ht="14.4" x14ac:dyDescent="0.25">
      <c r="B14" s="572" t="s">
        <v>134</v>
      </c>
      <c r="C14" s="567"/>
      <c r="D14" s="567"/>
      <c r="E14" s="567"/>
      <c r="F14" s="567"/>
      <c r="G14" s="567">
        <f t="shared" ref="G14:O14" si="1">SUM(G11:G13)</f>
        <v>1</v>
      </c>
      <c r="H14" s="567">
        <f t="shared" si="1"/>
        <v>3</v>
      </c>
      <c r="I14" s="567">
        <f t="shared" si="1"/>
        <v>12</v>
      </c>
      <c r="J14" s="567">
        <f t="shared" si="1"/>
        <v>17</v>
      </c>
      <c r="K14" s="567">
        <f t="shared" si="1"/>
        <v>12</v>
      </c>
      <c r="L14" s="567">
        <f t="shared" si="1"/>
        <v>16</v>
      </c>
      <c r="M14" s="567">
        <f t="shared" si="1"/>
        <v>23</v>
      </c>
      <c r="N14" s="567">
        <f t="shared" si="1"/>
        <v>27</v>
      </c>
      <c r="O14" s="567">
        <f t="shared" si="1"/>
        <v>19</v>
      </c>
      <c r="P14" s="567">
        <f>SUM(P11:P13)</f>
        <v>32</v>
      </c>
      <c r="Q14" s="567">
        <f>SUM(Q11:Q13)</f>
        <v>41</v>
      </c>
      <c r="R14" s="568">
        <f>SUM(R11:R13)</f>
        <v>44</v>
      </c>
      <c r="S14" s="568">
        <f>SUM(S11:S13)</f>
        <v>47</v>
      </c>
      <c r="T14" s="568">
        <v>33</v>
      </c>
      <c r="U14" s="568">
        <f>SUM(U11:U13)</f>
        <v>8</v>
      </c>
      <c r="V14" s="568">
        <f>SUM(V11:V13)</f>
        <v>3</v>
      </c>
      <c r="W14" s="568">
        <f>SUM(W11:W13)</f>
        <v>21</v>
      </c>
    </row>
    <row r="15" spans="2:23" ht="14.4" x14ac:dyDescent="0.3">
      <c r="B15" s="557"/>
      <c r="C15" s="570"/>
      <c r="D15" s="570"/>
      <c r="E15" s="570"/>
      <c r="F15" s="570"/>
      <c r="G15" s="570"/>
      <c r="H15" s="570"/>
      <c r="I15" s="570"/>
      <c r="J15" s="570"/>
      <c r="K15" s="570"/>
      <c r="L15" s="570"/>
      <c r="M15" s="570"/>
      <c r="N15" s="570"/>
      <c r="O15" s="570"/>
      <c r="P15" s="570"/>
      <c r="Q15" s="570"/>
      <c r="R15" s="571"/>
      <c r="S15" s="571"/>
      <c r="T15" s="571"/>
      <c r="U15" s="571"/>
      <c r="V15" s="571"/>
      <c r="W15" s="571"/>
    </row>
    <row r="16" spans="2:23" ht="15" customHeight="1" x14ac:dyDescent="0.25">
      <c r="B16" s="559" t="s">
        <v>59</v>
      </c>
      <c r="C16" s="560">
        <v>156</v>
      </c>
      <c r="D16" s="560">
        <v>159</v>
      </c>
      <c r="E16" s="560">
        <v>138</v>
      </c>
      <c r="F16" s="560">
        <v>118</v>
      </c>
      <c r="G16" s="560">
        <v>131</v>
      </c>
      <c r="H16" s="560">
        <v>136</v>
      </c>
      <c r="I16" s="560">
        <v>140</v>
      </c>
      <c r="J16" s="560">
        <v>157</v>
      </c>
      <c r="K16" s="560">
        <v>111</v>
      </c>
      <c r="L16" s="560">
        <v>121</v>
      </c>
      <c r="M16" s="560">
        <v>131</v>
      </c>
      <c r="N16" s="560">
        <v>104</v>
      </c>
      <c r="O16" s="560">
        <v>100</v>
      </c>
      <c r="P16" s="560">
        <v>132</v>
      </c>
      <c r="Q16" s="560">
        <v>109</v>
      </c>
      <c r="R16" s="561">
        <v>93</v>
      </c>
      <c r="S16" s="561">
        <v>96</v>
      </c>
      <c r="T16" s="561">
        <v>85</v>
      </c>
      <c r="U16" s="561">
        <v>18</v>
      </c>
      <c r="V16" s="561"/>
      <c r="W16" s="561">
        <v>42</v>
      </c>
    </row>
    <row r="17" spans="2:23" ht="15" customHeight="1" x14ac:dyDescent="0.25">
      <c r="B17" s="562" t="s">
        <v>64</v>
      </c>
      <c r="C17" s="563">
        <v>65</v>
      </c>
      <c r="D17" s="563">
        <v>88</v>
      </c>
      <c r="E17" s="563">
        <v>74</v>
      </c>
      <c r="F17" s="563">
        <v>61</v>
      </c>
      <c r="G17" s="563">
        <v>72</v>
      </c>
      <c r="H17" s="563">
        <v>77</v>
      </c>
      <c r="I17" s="563">
        <v>84</v>
      </c>
      <c r="J17" s="563">
        <v>69</v>
      </c>
      <c r="K17" s="563">
        <v>58</v>
      </c>
      <c r="L17" s="563">
        <v>66</v>
      </c>
      <c r="M17" s="563">
        <v>79</v>
      </c>
      <c r="N17" s="563">
        <v>68</v>
      </c>
      <c r="O17" s="563">
        <v>49</v>
      </c>
      <c r="P17" s="563">
        <v>82</v>
      </c>
      <c r="Q17" s="563">
        <v>68</v>
      </c>
      <c r="R17" s="564">
        <v>56</v>
      </c>
      <c r="S17" s="564">
        <v>54</v>
      </c>
      <c r="T17" s="564">
        <v>65</v>
      </c>
      <c r="U17" s="564">
        <v>14</v>
      </c>
      <c r="V17" s="564">
        <v>3</v>
      </c>
      <c r="W17" s="564">
        <v>49</v>
      </c>
    </row>
    <row r="18" spans="2:23" ht="15" customHeight="1" x14ac:dyDescent="0.25">
      <c r="B18" s="565" t="s">
        <v>92</v>
      </c>
      <c r="C18" s="563">
        <v>98</v>
      </c>
      <c r="D18" s="563">
        <v>90</v>
      </c>
      <c r="E18" s="563">
        <v>90</v>
      </c>
      <c r="F18" s="563">
        <v>66</v>
      </c>
      <c r="G18" s="563">
        <v>59</v>
      </c>
      <c r="H18" s="563">
        <v>80</v>
      </c>
      <c r="I18" s="563">
        <v>71</v>
      </c>
      <c r="J18" s="563">
        <v>59</v>
      </c>
      <c r="K18" s="563">
        <v>60</v>
      </c>
      <c r="L18" s="563">
        <v>66</v>
      </c>
      <c r="M18" s="563">
        <v>59</v>
      </c>
      <c r="N18" s="563">
        <v>62</v>
      </c>
      <c r="O18" s="563">
        <v>43</v>
      </c>
      <c r="P18" s="563">
        <v>42</v>
      </c>
      <c r="Q18" s="563">
        <v>34</v>
      </c>
      <c r="R18" s="564">
        <v>41</v>
      </c>
      <c r="S18" s="564">
        <v>43</v>
      </c>
      <c r="T18" s="564">
        <v>41</v>
      </c>
      <c r="U18" s="564">
        <v>20</v>
      </c>
      <c r="V18" s="564">
        <v>1</v>
      </c>
      <c r="W18" s="564">
        <v>33</v>
      </c>
    </row>
    <row r="19" spans="2:23" ht="14.4" x14ac:dyDescent="0.25">
      <c r="B19" s="573" t="s">
        <v>135</v>
      </c>
      <c r="C19" s="567">
        <f t="shared" ref="C19:O19" si="2">SUM(C16:C18)</f>
        <v>319</v>
      </c>
      <c r="D19" s="567">
        <f t="shared" si="2"/>
        <v>337</v>
      </c>
      <c r="E19" s="567">
        <f t="shared" si="2"/>
        <v>302</v>
      </c>
      <c r="F19" s="567">
        <f t="shared" si="2"/>
        <v>245</v>
      </c>
      <c r="G19" s="567">
        <f t="shared" si="2"/>
        <v>262</v>
      </c>
      <c r="H19" s="567">
        <f t="shared" si="2"/>
        <v>293</v>
      </c>
      <c r="I19" s="567">
        <f t="shared" si="2"/>
        <v>295</v>
      </c>
      <c r="J19" s="567">
        <f t="shared" si="2"/>
        <v>285</v>
      </c>
      <c r="K19" s="567">
        <f t="shared" si="2"/>
        <v>229</v>
      </c>
      <c r="L19" s="567">
        <f t="shared" si="2"/>
        <v>253</v>
      </c>
      <c r="M19" s="567">
        <f t="shared" si="2"/>
        <v>269</v>
      </c>
      <c r="N19" s="567">
        <f t="shared" si="2"/>
        <v>234</v>
      </c>
      <c r="O19" s="567">
        <f t="shared" si="2"/>
        <v>192</v>
      </c>
      <c r="P19" s="567">
        <f>SUM(P16:P18)</f>
        <v>256</v>
      </c>
      <c r="Q19" s="567">
        <f>SUM(Q16:Q18)</f>
        <v>211</v>
      </c>
      <c r="R19" s="568">
        <f>SUM(R16:R18)</f>
        <v>190</v>
      </c>
      <c r="S19" s="568">
        <f>SUM(S16:S18)</f>
        <v>193</v>
      </c>
      <c r="T19" s="568">
        <v>191</v>
      </c>
      <c r="U19" s="568">
        <f>SUM(U16:U18)</f>
        <v>52</v>
      </c>
      <c r="V19" s="568">
        <f>SUM(V16:V18)</f>
        <v>4</v>
      </c>
      <c r="W19" s="568">
        <f>SUM(W16:W18)</f>
        <v>124</v>
      </c>
    </row>
    <row r="20" spans="2:23" ht="14.4" x14ac:dyDescent="0.3">
      <c r="B20" s="569"/>
      <c r="C20" s="570"/>
      <c r="D20" s="570"/>
      <c r="E20" s="570"/>
      <c r="F20" s="570"/>
      <c r="G20" s="570"/>
      <c r="H20" s="570"/>
      <c r="I20" s="570"/>
      <c r="J20" s="570"/>
      <c r="K20" s="570"/>
      <c r="L20" s="570"/>
      <c r="M20" s="570"/>
      <c r="N20" s="570"/>
      <c r="O20" s="570"/>
      <c r="P20" s="570"/>
      <c r="Q20" s="570"/>
      <c r="R20" s="570"/>
      <c r="S20" s="570"/>
      <c r="T20" s="570"/>
      <c r="U20" s="570"/>
      <c r="V20" s="570"/>
      <c r="W20" s="570"/>
    </row>
    <row r="21" spans="2:23" ht="14.4" x14ac:dyDescent="0.25">
      <c r="B21" s="559" t="s">
        <v>59</v>
      </c>
      <c r="C21" s="560"/>
      <c r="D21" s="560"/>
      <c r="E21" s="560"/>
      <c r="F21" s="560"/>
      <c r="G21" s="560"/>
      <c r="H21" s="560"/>
      <c r="I21" s="560"/>
      <c r="J21" s="560"/>
      <c r="K21" s="560"/>
      <c r="L21" s="560"/>
      <c r="M21" s="560"/>
      <c r="N21" s="560">
        <v>4</v>
      </c>
      <c r="O21" s="560">
        <v>11</v>
      </c>
      <c r="P21" s="560">
        <v>11</v>
      </c>
      <c r="Q21" s="560">
        <v>7</v>
      </c>
      <c r="R21" s="561">
        <v>3</v>
      </c>
      <c r="S21" s="561">
        <v>3</v>
      </c>
      <c r="T21" s="561">
        <v>10</v>
      </c>
      <c r="U21" s="561">
        <v>3</v>
      </c>
      <c r="V21" s="561"/>
      <c r="W21" s="561">
        <v>9</v>
      </c>
    </row>
    <row r="22" spans="2:23" ht="14.4" x14ac:dyDescent="0.25">
      <c r="B22" s="562" t="s">
        <v>64</v>
      </c>
      <c r="C22" s="563"/>
      <c r="D22" s="563"/>
      <c r="E22" s="563"/>
      <c r="F22" s="563"/>
      <c r="G22" s="563"/>
      <c r="H22" s="563"/>
      <c r="I22" s="563"/>
      <c r="J22" s="563"/>
      <c r="K22" s="563"/>
      <c r="L22" s="563"/>
      <c r="M22" s="563"/>
      <c r="N22" s="563">
        <v>1</v>
      </c>
      <c r="O22" s="563">
        <v>2</v>
      </c>
      <c r="P22" s="563">
        <v>5</v>
      </c>
      <c r="Q22" s="563">
        <v>5</v>
      </c>
      <c r="R22" s="564">
        <v>10</v>
      </c>
      <c r="S22" s="564">
        <v>9</v>
      </c>
      <c r="T22" s="564">
        <v>5</v>
      </c>
      <c r="U22" s="564">
        <v>1</v>
      </c>
      <c r="V22" s="564"/>
      <c r="W22" s="564">
        <v>10</v>
      </c>
    </row>
    <row r="23" spans="2:23" ht="14.4" x14ac:dyDescent="0.25">
      <c r="B23" s="565" t="s">
        <v>92</v>
      </c>
      <c r="C23" s="563"/>
      <c r="D23" s="563"/>
      <c r="E23" s="563"/>
      <c r="F23" s="563"/>
      <c r="G23" s="563"/>
      <c r="H23" s="563"/>
      <c r="I23" s="563"/>
      <c r="J23" s="563"/>
      <c r="K23" s="563"/>
      <c r="L23" s="563">
        <v>1</v>
      </c>
      <c r="M23" s="563">
        <v>2</v>
      </c>
      <c r="N23" s="563">
        <v>4</v>
      </c>
      <c r="O23" s="563">
        <v>1</v>
      </c>
      <c r="P23" s="563"/>
      <c r="Q23" s="563">
        <v>10</v>
      </c>
      <c r="R23" s="564">
        <v>9</v>
      </c>
      <c r="S23" s="564">
        <v>9</v>
      </c>
      <c r="T23" s="564">
        <v>8</v>
      </c>
      <c r="U23" s="564">
        <v>1</v>
      </c>
      <c r="V23" s="564"/>
      <c r="W23" s="564">
        <v>9</v>
      </c>
    </row>
    <row r="24" spans="2:23" ht="14.4" x14ac:dyDescent="0.25">
      <c r="B24" s="574" t="s">
        <v>136</v>
      </c>
      <c r="C24" s="567"/>
      <c r="D24" s="567"/>
      <c r="E24" s="567"/>
      <c r="F24" s="567"/>
      <c r="G24" s="567"/>
      <c r="H24" s="567"/>
      <c r="I24" s="567"/>
      <c r="J24" s="567"/>
      <c r="K24" s="567"/>
      <c r="L24" s="567">
        <f t="shared" ref="L24:Q24" si="3">SUM(L21:L23)</f>
        <v>1</v>
      </c>
      <c r="M24" s="567">
        <f t="shared" si="3"/>
        <v>2</v>
      </c>
      <c r="N24" s="567">
        <f t="shared" si="3"/>
        <v>9</v>
      </c>
      <c r="O24" s="567">
        <f t="shared" si="3"/>
        <v>14</v>
      </c>
      <c r="P24" s="567">
        <f t="shared" si="3"/>
        <v>16</v>
      </c>
      <c r="Q24" s="567">
        <f t="shared" si="3"/>
        <v>22</v>
      </c>
      <c r="R24" s="568">
        <f>SUM(R21:R23)</f>
        <v>22</v>
      </c>
      <c r="S24" s="568">
        <f>SUM(S21:S23)</f>
        <v>21</v>
      </c>
      <c r="T24" s="568">
        <v>23</v>
      </c>
      <c r="U24" s="568">
        <f>SUM(U21:U23)</f>
        <v>5</v>
      </c>
      <c r="V24" s="568">
        <f>SUM(V21:V23)</f>
        <v>0</v>
      </c>
      <c r="W24" s="568">
        <f>SUM(W21:W23)</f>
        <v>28</v>
      </c>
    </row>
    <row r="25" spans="2:23" ht="14.4" x14ac:dyDescent="0.3">
      <c r="B25" s="557"/>
      <c r="C25" s="570"/>
      <c r="D25" s="570"/>
      <c r="E25" s="570"/>
      <c r="F25" s="570"/>
      <c r="G25" s="570"/>
      <c r="H25" s="570"/>
      <c r="I25" s="570"/>
      <c r="J25" s="570"/>
      <c r="K25" s="570"/>
      <c r="L25" s="570"/>
      <c r="M25" s="570"/>
      <c r="N25" s="570"/>
      <c r="O25" s="570"/>
      <c r="P25" s="570"/>
      <c r="Q25" s="570"/>
      <c r="R25" s="571"/>
      <c r="S25" s="571"/>
      <c r="T25" s="571"/>
      <c r="U25" s="571"/>
      <c r="V25" s="571"/>
      <c r="W25" s="571"/>
    </row>
    <row r="26" spans="2:23" ht="15" customHeight="1" x14ac:dyDescent="0.25">
      <c r="B26" s="559" t="s">
        <v>64</v>
      </c>
      <c r="C26" s="560">
        <v>70</v>
      </c>
      <c r="D26" s="560">
        <v>85</v>
      </c>
      <c r="E26" s="560">
        <v>85</v>
      </c>
      <c r="F26" s="560">
        <v>70</v>
      </c>
      <c r="G26" s="560">
        <v>74</v>
      </c>
      <c r="H26" s="560">
        <v>84</v>
      </c>
      <c r="I26" s="560">
        <v>64</v>
      </c>
      <c r="J26" s="560">
        <v>68</v>
      </c>
      <c r="K26" s="560">
        <v>66</v>
      </c>
      <c r="L26" s="560">
        <v>71</v>
      </c>
      <c r="M26" s="560">
        <v>66</v>
      </c>
      <c r="N26" s="560">
        <v>86</v>
      </c>
      <c r="O26" s="560">
        <v>52</v>
      </c>
      <c r="P26" s="560">
        <v>80</v>
      </c>
      <c r="Q26" s="560">
        <v>54</v>
      </c>
      <c r="R26" s="561">
        <v>48</v>
      </c>
      <c r="S26" s="561">
        <v>57</v>
      </c>
      <c r="T26" s="561">
        <v>56</v>
      </c>
      <c r="U26" s="561">
        <v>18</v>
      </c>
      <c r="V26" s="561">
        <v>2</v>
      </c>
      <c r="W26" s="561">
        <v>56</v>
      </c>
    </row>
    <row r="27" spans="2:23" ht="15" customHeight="1" x14ac:dyDescent="0.25">
      <c r="B27" s="562" t="s">
        <v>92</v>
      </c>
      <c r="C27" s="563">
        <v>94</v>
      </c>
      <c r="D27" s="563">
        <v>88</v>
      </c>
      <c r="E27" s="563">
        <v>103</v>
      </c>
      <c r="F27" s="563">
        <v>89</v>
      </c>
      <c r="G27" s="563">
        <v>79</v>
      </c>
      <c r="H27" s="563">
        <v>107</v>
      </c>
      <c r="I27" s="563">
        <v>99</v>
      </c>
      <c r="J27" s="563">
        <v>87</v>
      </c>
      <c r="K27" s="563">
        <v>99</v>
      </c>
      <c r="L27" s="563">
        <v>109</v>
      </c>
      <c r="M27" s="563">
        <v>123</v>
      </c>
      <c r="N27" s="563">
        <v>110</v>
      </c>
      <c r="O27" s="563">
        <v>123</v>
      </c>
      <c r="P27" s="563">
        <v>112</v>
      </c>
      <c r="Q27" s="563">
        <v>77</v>
      </c>
      <c r="R27" s="564">
        <v>62</v>
      </c>
      <c r="S27" s="564">
        <v>103</v>
      </c>
      <c r="T27" s="564">
        <v>111</v>
      </c>
      <c r="U27" s="564">
        <v>36</v>
      </c>
      <c r="V27" s="564"/>
      <c r="W27" s="564">
        <v>77</v>
      </c>
    </row>
    <row r="28" spans="2:23" ht="15" customHeight="1" x14ac:dyDescent="0.25">
      <c r="B28" s="565" t="s">
        <v>68</v>
      </c>
      <c r="C28" s="563">
        <v>37</v>
      </c>
      <c r="D28" s="563">
        <v>32</v>
      </c>
      <c r="E28" s="563">
        <v>52</v>
      </c>
      <c r="F28" s="563">
        <v>55</v>
      </c>
      <c r="G28" s="563">
        <v>24</v>
      </c>
      <c r="H28" s="563">
        <v>51</v>
      </c>
      <c r="I28" s="563">
        <v>44</v>
      </c>
      <c r="J28" s="563">
        <v>49</v>
      </c>
      <c r="K28" s="563">
        <v>63</v>
      </c>
      <c r="L28" s="563">
        <v>46</v>
      </c>
      <c r="M28" s="563">
        <v>48</v>
      </c>
      <c r="N28" s="563">
        <v>42</v>
      </c>
      <c r="O28" s="563">
        <v>34</v>
      </c>
      <c r="P28" s="563">
        <v>27</v>
      </c>
      <c r="Q28" s="563">
        <v>21</v>
      </c>
      <c r="R28" s="564">
        <v>30</v>
      </c>
      <c r="S28" s="564">
        <v>14</v>
      </c>
      <c r="T28" s="564">
        <v>25</v>
      </c>
      <c r="U28" s="564">
        <v>5</v>
      </c>
      <c r="V28" s="564"/>
      <c r="W28" s="564">
        <v>25</v>
      </c>
    </row>
    <row r="29" spans="2:23" ht="14.4" x14ac:dyDescent="0.25">
      <c r="B29" s="575" t="s">
        <v>137</v>
      </c>
      <c r="C29" s="567">
        <f t="shared" ref="C29:O29" si="4">SUM(C26:C28)</f>
        <v>201</v>
      </c>
      <c r="D29" s="567">
        <f t="shared" si="4"/>
        <v>205</v>
      </c>
      <c r="E29" s="567">
        <f t="shared" si="4"/>
        <v>240</v>
      </c>
      <c r="F29" s="567">
        <f t="shared" si="4"/>
        <v>214</v>
      </c>
      <c r="G29" s="567">
        <f t="shared" si="4"/>
        <v>177</v>
      </c>
      <c r="H29" s="567">
        <f t="shared" si="4"/>
        <v>242</v>
      </c>
      <c r="I29" s="567">
        <f t="shared" si="4"/>
        <v>207</v>
      </c>
      <c r="J29" s="567">
        <f t="shared" si="4"/>
        <v>204</v>
      </c>
      <c r="K29" s="567">
        <f t="shared" si="4"/>
        <v>228</v>
      </c>
      <c r="L29" s="567">
        <f t="shared" si="4"/>
        <v>226</v>
      </c>
      <c r="M29" s="567">
        <f t="shared" si="4"/>
        <v>237</v>
      </c>
      <c r="N29" s="567">
        <f t="shared" si="4"/>
        <v>238</v>
      </c>
      <c r="O29" s="567">
        <f t="shared" si="4"/>
        <v>209</v>
      </c>
      <c r="P29" s="567">
        <f>SUM(P26:P28)</f>
        <v>219</v>
      </c>
      <c r="Q29" s="567">
        <f>SUM(Q26:Q28)</f>
        <v>152</v>
      </c>
      <c r="R29" s="568">
        <f>SUM(R26:R28)</f>
        <v>140</v>
      </c>
      <c r="S29" s="568">
        <f>SUM(S26:S28)</f>
        <v>174</v>
      </c>
      <c r="T29" s="568">
        <v>192</v>
      </c>
      <c r="U29" s="568">
        <f>SUM(U26:U28)</f>
        <v>59</v>
      </c>
      <c r="V29" s="568">
        <f>SUM(V26:V28)</f>
        <v>2</v>
      </c>
      <c r="W29" s="568">
        <f>SUM(W26:W28)</f>
        <v>158</v>
      </c>
    </row>
    <row r="30" spans="2:23" ht="14.4" x14ac:dyDescent="0.25">
      <c r="B30" s="557"/>
      <c r="C30" s="576"/>
      <c r="D30" s="576"/>
      <c r="E30" s="576"/>
      <c r="F30" s="576"/>
      <c r="G30" s="576"/>
      <c r="H30" s="576"/>
      <c r="I30" s="576"/>
      <c r="J30" s="576"/>
      <c r="K30" s="576"/>
      <c r="L30" s="576"/>
      <c r="M30" s="576"/>
      <c r="N30" s="576"/>
      <c r="O30" s="576"/>
      <c r="P30" s="576"/>
      <c r="Q30" s="576"/>
      <c r="R30" s="577"/>
      <c r="S30" s="577"/>
      <c r="T30" s="577"/>
      <c r="U30" s="577"/>
      <c r="V30" s="577"/>
      <c r="W30" s="577"/>
    </row>
    <row r="31" spans="2:23" ht="15" customHeight="1" x14ac:dyDescent="0.25">
      <c r="B31" s="559" t="s">
        <v>59</v>
      </c>
      <c r="C31" s="561">
        <f t="shared" ref="C31:I31" si="5">SUM(C6,C16)</f>
        <v>342</v>
      </c>
      <c r="D31" s="561">
        <f t="shared" si="5"/>
        <v>334</v>
      </c>
      <c r="E31" s="561">
        <f t="shared" si="5"/>
        <v>278</v>
      </c>
      <c r="F31" s="561">
        <f t="shared" si="5"/>
        <v>249</v>
      </c>
      <c r="G31" s="561">
        <f t="shared" si="5"/>
        <v>281</v>
      </c>
      <c r="H31" s="561">
        <f t="shared" si="5"/>
        <v>276</v>
      </c>
      <c r="I31" s="561">
        <f t="shared" si="5"/>
        <v>274</v>
      </c>
      <c r="J31" s="561">
        <f>SUM(J6,J16)</f>
        <v>286</v>
      </c>
      <c r="K31" s="561">
        <f>SUM(K6,K16)</f>
        <v>236</v>
      </c>
      <c r="L31" s="561">
        <f t="shared" ref="L31:R31" si="6">SUM(L6,L16,L21)</f>
        <v>244</v>
      </c>
      <c r="M31" s="561">
        <f t="shared" si="6"/>
        <v>243</v>
      </c>
      <c r="N31" s="561">
        <f t="shared" si="6"/>
        <v>236</v>
      </c>
      <c r="O31" s="561">
        <f t="shared" si="6"/>
        <v>198</v>
      </c>
      <c r="P31" s="561">
        <f t="shared" si="6"/>
        <v>273</v>
      </c>
      <c r="Q31" s="561">
        <f t="shared" si="6"/>
        <v>182</v>
      </c>
      <c r="R31" s="561">
        <f t="shared" si="6"/>
        <v>159</v>
      </c>
      <c r="S31" s="561">
        <f>SUM(S6,S16,S21)</f>
        <v>171</v>
      </c>
      <c r="T31" s="561">
        <f>SUM(T6,T16,T21)</f>
        <v>161</v>
      </c>
      <c r="U31" s="561">
        <f>SUM(U6,U16,U21)</f>
        <v>65</v>
      </c>
      <c r="V31" s="561">
        <f>SUM(V6,V16,V21)</f>
        <v>1</v>
      </c>
      <c r="W31" s="561">
        <f>SUM(W6,W16,W21)</f>
        <v>143</v>
      </c>
    </row>
    <row r="32" spans="2:23" ht="14.4" x14ac:dyDescent="0.25">
      <c r="B32" s="562" t="s">
        <v>64</v>
      </c>
      <c r="C32" s="564">
        <f t="shared" ref="C32:I32" si="7">SUM(C7,C11,C17,C26)</f>
        <v>205</v>
      </c>
      <c r="D32" s="564">
        <f t="shared" si="7"/>
        <v>243</v>
      </c>
      <c r="E32" s="564">
        <f t="shared" si="7"/>
        <v>220</v>
      </c>
      <c r="F32" s="564">
        <f t="shared" si="7"/>
        <v>179</v>
      </c>
      <c r="G32" s="564">
        <f t="shared" si="7"/>
        <v>191</v>
      </c>
      <c r="H32" s="564">
        <f t="shared" si="7"/>
        <v>228</v>
      </c>
      <c r="I32" s="564">
        <f t="shared" si="7"/>
        <v>208</v>
      </c>
      <c r="J32" s="564">
        <f>SUM(J7,J11,J17,J26)</f>
        <v>207</v>
      </c>
      <c r="K32" s="564">
        <f>SUM(K7,K11,K17,K26)</f>
        <v>177</v>
      </c>
      <c r="L32" s="564">
        <f t="shared" ref="L32:R32" si="8">SUM(L7,L11,L17,L22,L26)</f>
        <v>193</v>
      </c>
      <c r="M32" s="564">
        <f t="shared" si="8"/>
        <v>210</v>
      </c>
      <c r="N32" s="564">
        <f t="shared" si="8"/>
        <v>233</v>
      </c>
      <c r="O32" s="564">
        <f t="shared" si="8"/>
        <v>166</v>
      </c>
      <c r="P32" s="564">
        <f t="shared" si="8"/>
        <v>250</v>
      </c>
      <c r="Q32" s="564">
        <f t="shared" si="8"/>
        <v>196</v>
      </c>
      <c r="R32" s="564">
        <f t="shared" si="8"/>
        <v>175</v>
      </c>
      <c r="S32" s="564">
        <f>SUM(S7,S11,S17,S22,S26)</f>
        <v>189</v>
      </c>
      <c r="T32" s="564">
        <f>SUM(T7,T11,T17,T22,T26)</f>
        <v>199</v>
      </c>
      <c r="U32" s="564">
        <f>SUM(U7,U11,U17,U22,U26)</f>
        <v>65</v>
      </c>
      <c r="V32" s="564">
        <f>SUM(V7,V11,V17,V22,V26)</f>
        <v>7</v>
      </c>
      <c r="W32" s="564">
        <f>SUM(W7,W11,W17,W22,W26)</f>
        <v>191</v>
      </c>
    </row>
    <row r="33" spans="2:23" ht="14.4" x14ac:dyDescent="0.25">
      <c r="B33" s="562" t="s">
        <v>92</v>
      </c>
      <c r="C33" s="564">
        <f t="shared" ref="C33:I33" si="9">SUM(C18,C27)</f>
        <v>192</v>
      </c>
      <c r="D33" s="564">
        <f t="shared" si="9"/>
        <v>178</v>
      </c>
      <c r="E33" s="564">
        <f t="shared" si="9"/>
        <v>193</v>
      </c>
      <c r="F33" s="564">
        <f t="shared" si="9"/>
        <v>155</v>
      </c>
      <c r="G33" s="564">
        <f t="shared" si="9"/>
        <v>138</v>
      </c>
      <c r="H33" s="564">
        <f t="shared" si="9"/>
        <v>187</v>
      </c>
      <c r="I33" s="564">
        <f t="shared" si="9"/>
        <v>170</v>
      </c>
      <c r="J33" s="564">
        <f>SUM(J18,J27)</f>
        <v>146</v>
      </c>
      <c r="K33" s="564">
        <f>SUM(K18,K27)</f>
        <v>159</v>
      </c>
      <c r="L33" s="564">
        <f t="shared" ref="L33:R33" si="10">SUM(L18,L23,L27)</f>
        <v>176</v>
      </c>
      <c r="M33" s="564">
        <f t="shared" si="10"/>
        <v>184</v>
      </c>
      <c r="N33" s="564">
        <f t="shared" si="10"/>
        <v>176</v>
      </c>
      <c r="O33" s="564">
        <f t="shared" si="10"/>
        <v>167</v>
      </c>
      <c r="P33" s="564">
        <f t="shared" si="10"/>
        <v>154</v>
      </c>
      <c r="Q33" s="564">
        <f t="shared" si="10"/>
        <v>121</v>
      </c>
      <c r="R33" s="564">
        <f t="shared" si="10"/>
        <v>112</v>
      </c>
      <c r="S33" s="564">
        <f>SUM(S18,S23,S27)</f>
        <v>155</v>
      </c>
      <c r="T33" s="564">
        <f>SUM(T18,T23,T27)</f>
        <v>160</v>
      </c>
      <c r="U33" s="564">
        <f>SUM(U18,U23,U27)</f>
        <v>57</v>
      </c>
      <c r="V33" s="564">
        <f>SUM(V18,V23,V27)</f>
        <v>1</v>
      </c>
      <c r="W33" s="564">
        <f>SUM(W18,W23,W27)</f>
        <v>119</v>
      </c>
    </row>
    <row r="34" spans="2:23" ht="14.4" x14ac:dyDescent="0.25">
      <c r="B34" s="565" t="s">
        <v>68</v>
      </c>
      <c r="C34" s="564">
        <f t="shared" ref="C34:U34" si="11">SUM(C8,C28)</f>
        <v>78</v>
      </c>
      <c r="D34" s="564">
        <f t="shared" si="11"/>
        <v>87</v>
      </c>
      <c r="E34" s="564">
        <f t="shared" si="11"/>
        <v>102</v>
      </c>
      <c r="F34" s="564">
        <f t="shared" si="11"/>
        <v>81</v>
      </c>
      <c r="G34" s="564">
        <f t="shared" si="11"/>
        <v>48</v>
      </c>
      <c r="H34" s="564">
        <f t="shared" si="11"/>
        <v>76</v>
      </c>
      <c r="I34" s="564">
        <f t="shared" si="11"/>
        <v>75</v>
      </c>
      <c r="J34" s="564">
        <f t="shared" si="11"/>
        <v>76</v>
      </c>
      <c r="K34" s="564">
        <f t="shared" si="11"/>
        <v>91</v>
      </c>
      <c r="L34" s="564">
        <f t="shared" si="11"/>
        <v>71</v>
      </c>
      <c r="M34" s="564">
        <f t="shared" si="11"/>
        <v>80</v>
      </c>
      <c r="N34" s="564">
        <f t="shared" si="11"/>
        <v>67</v>
      </c>
      <c r="O34" s="564">
        <f t="shared" si="11"/>
        <v>58</v>
      </c>
      <c r="P34" s="564">
        <f t="shared" si="11"/>
        <v>63</v>
      </c>
      <c r="Q34" s="564">
        <f t="shared" si="11"/>
        <v>51</v>
      </c>
      <c r="R34" s="564">
        <f t="shared" si="11"/>
        <v>53</v>
      </c>
      <c r="S34" s="564">
        <f t="shared" si="11"/>
        <v>44</v>
      </c>
      <c r="T34" s="564">
        <f t="shared" si="11"/>
        <v>57</v>
      </c>
      <c r="U34" s="564">
        <f t="shared" si="11"/>
        <v>14</v>
      </c>
      <c r="V34" s="564">
        <f t="shared" ref="V34:W34" si="12">SUM(V8,V28)</f>
        <v>0</v>
      </c>
      <c r="W34" s="564">
        <f t="shared" si="12"/>
        <v>50</v>
      </c>
    </row>
    <row r="35" spans="2:23" ht="14.4" x14ac:dyDescent="0.25">
      <c r="B35" s="562" t="s">
        <v>111</v>
      </c>
      <c r="C35" s="564"/>
      <c r="D35" s="564"/>
      <c r="E35" s="564"/>
      <c r="F35" s="564"/>
      <c r="G35" s="564"/>
      <c r="H35" s="564">
        <f>SUM(H12)</f>
        <v>2</v>
      </c>
      <c r="I35" s="564">
        <f>SUM(I12)</f>
        <v>6</v>
      </c>
      <c r="J35" s="564">
        <f t="shared" ref="J35:L36" si="13">SUM(J12)</f>
        <v>5</v>
      </c>
      <c r="K35" s="564">
        <f t="shared" si="13"/>
        <v>4</v>
      </c>
      <c r="L35" s="564">
        <f t="shared" si="13"/>
        <v>4</v>
      </c>
      <c r="M35" s="564">
        <f t="shared" ref="M35:U36" si="14">M12</f>
        <v>9</v>
      </c>
      <c r="N35" s="564">
        <f t="shared" si="14"/>
        <v>9</v>
      </c>
      <c r="O35" s="564">
        <f t="shared" si="14"/>
        <v>5</v>
      </c>
      <c r="P35" s="564">
        <f t="shared" si="14"/>
        <v>5</v>
      </c>
      <c r="Q35" s="564">
        <f t="shared" si="14"/>
        <v>12</v>
      </c>
      <c r="R35" s="564">
        <f t="shared" si="14"/>
        <v>12</v>
      </c>
      <c r="S35" s="564">
        <f t="shared" si="14"/>
        <v>14</v>
      </c>
      <c r="T35" s="564">
        <f t="shared" si="14"/>
        <v>14</v>
      </c>
      <c r="U35" s="564">
        <f t="shared" si="14"/>
        <v>4</v>
      </c>
      <c r="V35" s="564">
        <f t="shared" ref="V35:W35" si="15">V12</f>
        <v>1</v>
      </c>
      <c r="W35" s="564">
        <f t="shared" si="15"/>
        <v>5</v>
      </c>
    </row>
    <row r="36" spans="2:23" ht="14.4" x14ac:dyDescent="0.25">
      <c r="B36" s="565" t="s">
        <v>115</v>
      </c>
      <c r="C36" s="578"/>
      <c r="D36" s="578"/>
      <c r="E36" s="578"/>
      <c r="F36" s="578"/>
      <c r="G36" s="578"/>
      <c r="H36" s="578">
        <f>SUM(H13)</f>
        <v>0</v>
      </c>
      <c r="I36" s="578">
        <f>SUM(I13)</f>
        <v>2</v>
      </c>
      <c r="J36" s="578">
        <f t="shared" si="13"/>
        <v>8</v>
      </c>
      <c r="K36" s="578">
        <f t="shared" si="13"/>
        <v>6</v>
      </c>
      <c r="L36" s="578">
        <f t="shared" si="13"/>
        <v>5</v>
      </c>
      <c r="M36" s="578">
        <f t="shared" si="14"/>
        <v>6</v>
      </c>
      <c r="N36" s="578">
        <f t="shared" si="14"/>
        <v>14</v>
      </c>
      <c r="O36" s="578">
        <f t="shared" si="14"/>
        <v>8</v>
      </c>
      <c r="P36" s="578">
        <f t="shared" si="14"/>
        <v>20</v>
      </c>
      <c r="Q36" s="578">
        <f t="shared" si="14"/>
        <v>15</v>
      </c>
      <c r="R36" s="578">
        <f t="shared" si="14"/>
        <v>19</v>
      </c>
      <c r="S36" s="578">
        <f t="shared" si="14"/>
        <v>24</v>
      </c>
      <c r="T36" s="578">
        <f t="shared" si="14"/>
        <v>13</v>
      </c>
      <c r="U36" s="578">
        <f t="shared" si="14"/>
        <v>0</v>
      </c>
      <c r="V36" s="578">
        <f t="shared" ref="V36:W36" si="16">V13</f>
        <v>1</v>
      </c>
      <c r="W36" s="578">
        <f t="shared" si="16"/>
        <v>6</v>
      </c>
    </row>
    <row r="37" spans="2:23" ht="14.4" x14ac:dyDescent="0.25">
      <c r="B37" s="579" t="s">
        <v>128</v>
      </c>
      <c r="C37" s="567">
        <f t="shared" ref="C37:I37" si="17">SUM(C31:C36)</f>
        <v>817</v>
      </c>
      <c r="D37" s="567">
        <f t="shared" si="17"/>
        <v>842</v>
      </c>
      <c r="E37" s="567">
        <f t="shared" si="17"/>
        <v>793</v>
      </c>
      <c r="F37" s="567">
        <f t="shared" si="17"/>
        <v>664</v>
      </c>
      <c r="G37" s="567">
        <f t="shared" si="17"/>
        <v>658</v>
      </c>
      <c r="H37" s="567">
        <f t="shared" si="17"/>
        <v>769</v>
      </c>
      <c r="I37" s="567">
        <f t="shared" si="17"/>
        <v>735</v>
      </c>
      <c r="J37" s="567">
        <f>SUM(J31:J36)</f>
        <v>728</v>
      </c>
      <c r="K37" s="567">
        <v>673</v>
      </c>
      <c r="L37" s="567">
        <f t="shared" ref="L37:Q37" si="18">SUM(L31:L36)</f>
        <v>693</v>
      </c>
      <c r="M37" s="567">
        <f t="shared" si="18"/>
        <v>732</v>
      </c>
      <c r="N37" s="567">
        <f t="shared" si="18"/>
        <v>735</v>
      </c>
      <c r="O37" s="567">
        <f t="shared" si="18"/>
        <v>602</v>
      </c>
      <c r="P37" s="567">
        <f t="shared" si="18"/>
        <v>765</v>
      </c>
      <c r="Q37" s="567">
        <f t="shared" si="18"/>
        <v>577</v>
      </c>
      <c r="R37" s="568">
        <f t="shared" ref="R37:W37" si="19">SUM(R31:R36)</f>
        <v>530</v>
      </c>
      <c r="S37" s="568">
        <f t="shared" si="19"/>
        <v>597</v>
      </c>
      <c r="T37" s="568">
        <f t="shared" si="19"/>
        <v>604</v>
      </c>
      <c r="U37" s="568">
        <f t="shared" si="19"/>
        <v>205</v>
      </c>
      <c r="V37" s="568">
        <f t="shared" si="19"/>
        <v>11</v>
      </c>
      <c r="W37" s="568">
        <f t="shared" si="19"/>
        <v>514</v>
      </c>
    </row>
    <row r="38" spans="2:23" ht="14.4" x14ac:dyDescent="0.3">
      <c r="B38" s="558"/>
      <c r="C38" s="558"/>
      <c r="D38" s="558"/>
      <c r="E38" s="558"/>
      <c r="F38" s="558"/>
      <c r="G38" s="558"/>
      <c r="H38" s="558"/>
      <c r="I38" s="558"/>
      <c r="J38" s="558"/>
    </row>
  </sheetData>
  <printOptions horizontalCentered="1" verticalCentered="1"/>
  <pageMargins left="0.70866141732283472" right="0.70866141732283472" top="0.74803149606299213" bottom="0.74803149606299213" header="0.31496062992125984" footer="0.31496062992125984"/>
  <pageSetup scale="60" firstPageNumber="22" orientation="landscape" useFirstPageNumber="1" r:id="rId1"/>
  <headerFooter scaleWithDoc="0" alignWithMargins="0">
    <oddFooter>&amp;R&amp;P</oddFooter>
  </headerFooter>
  <rowBreaks count="1" manualBreakCount="1">
    <brk id="40" max="22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B1:W38"/>
  <sheetViews>
    <sheetView showGridLines="0" topLeftCell="B1" zoomScaleNormal="100" zoomScaleSheetLayoutView="50" workbookViewId="0">
      <pane xSplit="1" ySplit="4" topLeftCell="C5" activePane="bottomRight" state="frozen"/>
      <selection activeCell="Q31" sqref="Q31"/>
      <selection pane="topRight" activeCell="Q31" sqref="Q31"/>
      <selection pane="bottomLeft" activeCell="Q31" sqref="Q31"/>
      <selection pane="bottomRight" activeCell="Q31" sqref="Q31"/>
    </sheetView>
  </sheetViews>
  <sheetFormatPr baseColWidth="10" defaultRowHeight="13.2" x14ac:dyDescent="0.25"/>
  <cols>
    <col min="1" max="1" width="2.88671875" customWidth="1"/>
    <col min="2" max="2" width="20.5546875" customWidth="1"/>
    <col min="3" max="18" width="9.88671875" customWidth="1"/>
    <col min="19" max="20" width="8.88671875" customWidth="1"/>
    <col min="21" max="21" width="8.6640625" customWidth="1"/>
    <col min="22" max="38" width="8.88671875" customWidth="1"/>
    <col min="257" max="257" width="1.88671875" customWidth="1"/>
    <col min="258" max="258" width="20.88671875" customWidth="1"/>
    <col min="259" max="264" width="12.88671875" customWidth="1"/>
    <col min="265" max="265" width="11.44140625" customWidth="1"/>
    <col min="267" max="267" width="2.88671875" customWidth="1"/>
    <col min="513" max="513" width="1.88671875" customWidth="1"/>
    <col min="514" max="514" width="20.88671875" customWidth="1"/>
    <col min="515" max="520" width="12.88671875" customWidth="1"/>
    <col min="521" max="521" width="11.44140625" customWidth="1"/>
    <col min="523" max="523" width="2.88671875" customWidth="1"/>
    <col min="769" max="769" width="1.88671875" customWidth="1"/>
    <col min="770" max="770" width="20.88671875" customWidth="1"/>
    <col min="771" max="776" width="12.88671875" customWidth="1"/>
    <col min="777" max="777" width="11.44140625" customWidth="1"/>
    <col min="779" max="779" width="2.88671875" customWidth="1"/>
    <col min="1025" max="1025" width="1.88671875" customWidth="1"/>
    <col min="1026" max="1026" width="20.88671875" customWidth="1"/>
    <col min="1027" max="1032" width="12.88671875" customWidth="1"/>
    <col min="1033" max="1033" width="11.44140625" customWidth="1"/>
    <col min="1035" max="1035" width="2.88671875" customWidth="1"/>
    <col min="1281" max="1281" width="1.88671875" customWidth="1"/>
    <col min="1282" max="1282" width="20.88671875" customWidth="1"/>
    <col min="1283" max="1288" width="12.88671875" customWidth="1"/>
    <col min="1289" max="1289" width="11.44140625" customWidth="1"/>
    <col min="1291" max="1291" width="2.88671875" customWidth="1"/>
    <col min="1537" max="1537" width="1.88671875" customWidth="1"/>
    <col min="1538" max="1538" width="20.88671875" customWidth="1"/>
    <col min="1539" max="1544" width="12.88671875" customWidth="1"/>
    <col min="1545" max="1545" width="11.44140625" customWidth="1"/>
    <col min="1547" max="1547" width="2.88671875" customWidth="1"/>
    <col min="1793" max="1793" width="1.88671875" customWidth="1"/>
    <col min="1794" max="1794" width="20.88671875" customWidth="1"/>
    <col min="1795" max="1800" width="12.88671875" customWidth="1"/>
    <col min="1801" max="1801" width="11.44140625" customWidth="1"/>
    <col min="1803" max="1803" width="2.88671875" customWidth="1"/>
    <col min="2049" max="2049" width="1.88671875" customWidth="1"/>
    <col min="2050" max="2050" width="20.88671875" customWidth="1"/>
    <col min="2051" max="2056" width="12.88671875" customWidth="1"/>
    <col min="2057" max="2057" width="11.44140625" customWidth="1"/>
    <col min="2059" max="2059" width="2.88671875" customWidth="1"/>
    <col min="2305" max="2305" width="1.88671875" customWidth="1"/>
    <col min="2306" max="2306" width="20.88671875" customWidth="1"/>
    <col min="2307" max="2312" width="12.88671875" customWidth="1"/>
    <col min="2313" max="2313" width="11.44140625" customWidth="1"/>
    <col min="2315" max="2315" width="2.88671875" customWidth="1"/>
    <col min="2561" max="2561" width="1.88671875" customWidth="1"/>
    <col min="2562" max="2562" width="20.88671875" customWidth="1"/>
    <col min="2563" max="2568" width="12.88671875" customWidth="1"/>
    <col min="2569" max="2569" width="11.44140625" customWidth="1"/>
    <col min="2571" max="2571" width="2.88671875" customWidth="1"/>
    <col min="2817" max="2817" width="1.88671875" customWidth="1"/>
    <col min="2818" max="2818" width="20.88671875" customWidth="1"/>
    <col min="2819" max="2824" width="12.88671875" customWidth="1"/>
    <col min="2825" max="2825" width="11.44140625" customWidth="1"/>
    <col min="2827" max="2827" width="2.88671875" customWidth="1"/>
    <col min="3073" max="3073" width="1.88671875" customWidth="1"/>
    <col min="3074" max="3074" width="20.88671875" customWidth="1"/>
    <col min="3075" max="3080" width="12.88671875" customWidth="1"/>
    <col min="3081" max="3081" width="11.44140625" customWidth="1"/>
    <col min="3083" max="3083" width="2.88671875" customWidth="1"/>
    <col min="3329" max="3329" width="1.88671875" customWidth="1"/>
    <col min="3330" max="3330" width="20.88671875" customWidth="1"/>
    <col min="3331" max="3336" width="12.88671875" customWidth="1"/>
    <col min="3337" max="3337" width="11.44140625" customWidth="1"/>
    <col min="3339" max="3339" width="2.88671875" customWidth="1"/>
    <col min="3585" max="3585" width="1.88671875" customWidth="1"/>
    <col min="3586" max="3586" width="20.88671875" customWidth="1"/>
    <col min="3587" max="3592" width="12.88671875" customWidth="1"/>
    <col min="3593" max="3593" width="11.44140625" customWidth="1"/>
    <col min="3595" max="3595" width="2.88671875" customWidth="1"/>
    <col min="3841" max="3841" width="1.88671875" customWidth="1"/>
    <col min="3842" max="3842" width="20.88671875" customWidth="1"/>
    <col min="3843" max="3848" width="12.88671875" customWidth="1"/>
    <col min="3849" max="3849" width="11.44140625" customWidth="1"/>
    <col min="3851" max="3851" width="2.88671875" customWidth="1"/>
    <col min="4097" max="4097" width="1.88671875" customWidth="1"/>
    <col min="4098" max="4098" width="20.88671875" customWidth="1"/>
    <col min="4099" max="4104" width="12.88671875" customWidth="1"/>
    <col min="4105" max="4105" width="11.44140625" customWidth="1"/>
    <col min="4107" max="4107" width="2.88671875" customWidth="1"/>
    <col min="4353" max="4353" width="1.88671875" customWidth="1"/>
    <col min="4354" max="4354" width="20.88671875" customWidth="1"/>
    <col min="4355" max="4360" width="12.88671875" customWidth="1"/>
    <col min="4361" max="4361" width="11.44140625" customWidth="1"/>
    <col min="4363" max="4363" width="2.88671875" customWidth="1"/>
    <col min="4609" max="4609" width="1.88671875" customWidth="1"/>
    <col min="4610" max="4610" width="20.88671875" customWidth="1"/>
    <col min="4611" max="4616" width="12.88671875" customWidth="1"/>
    <col min="4617" max="4617" width="11.44140625" customWidth="1"/>
    <col min="4619" max="4619" width="2.88671875" customWidth="1"/>
    <col min="4865" max="4865" width="1.88671875" customWidth="1"/>
    <col min="4866" max="4866" width="20.88671875" customWidth="1"/>
    <col min="4867" max="4872" width="12.88671875" customWidth="1"/>
    <col min="4873" max="4873" width="11.44140625" customWidth="1"/>
    <col min="4875" max="4875" width="2.88671875" customWidth="1"/>
    <col min="5121" max="5121" width="1.88671875" customWidth="1"/>
    <col min="5122" max="5122" width="20.88671875" customWidth="1"/>
    <col min="5123" max="5128" width="12.88671875" customWidth="1"/>
    <col min="5129" max="5129" width="11.44140625" customWidth="1"/>
    <col min="5131" max="5131" width="2.88671875" customWidth="1"/>
    <col min="5377" max="5377" width="1.88671875" customWidth="1"/>
    <col min="5378" max="5378" width="20.88671875" customWidth="1"/>
    <col min="5379" max="5384" width="12.88671875" customWidth="1"/>
    <col min="5385" max="5385" width="11.44140625" customWidth="1"/>
    <col min="5387" max="5387" width="2.88671875" customWidth="1"/>
    <col min="5633" max="5633" width="1.88671875" customWidth="1"/>
    <col min="5634" max="5634" width="20.88671875" customWidth="1"/>
    <col min="5635" max="5640" width="12.88671875" customWidth="1"/>
    <col min="5641" max="5641" width="11.44140625" customWidth="1"/>
    <col min="5643" max="5643" width="2.88671875" customWidth="1"/>
    <col min="5889" max="5889" width="1.88671875" customWidth="1"/>
    <col min="5890" max="5890" width="20.88671875" customWidth="1"/>
    <col min="5891" max="5896" width="12.88671875" customWidth="1"/>
    <col min="5897" max="5897" width="11.44140625" customWidth="1"/>
    <col min="5899" max="5899" width="2.88671875" customWidth="1"/>
    <col min="6145" max="6145" width="1.88671875" customWidth="1"/>
    <col min="6146" max="6146" width="20.88671875" customWidth="1"/>
    <col min="6147" max="6152" width="12.88671875" customWidth="1"/>
    <col min="6153" max="6153" width="11.44140625" customWidth="1"/>
    <col min="6155" max="6155" width="2.88671875" customWidth="1"/>
    <col min="6401" max="6401" width="1.88671875" customWidth="1"/>
    <col min="6402" max="6402" width="20.88671875" customWidth="1"/>
    <col min="6403" max="6408" width="12.88671875" customWidth="1"/>
    <col min="6409" max="6409" width="11.44140625" customWidth="1"/>
    <col min="6411" max="6411" width="2.88671875" customWidth="1"/>
    <col min="6657" max="6657" width="1.88671875" customWidth="1"/>
    <col min="6658" max="6658" width="20.88671875" customWidth="1"/>
    <col min="6659" max="6664" width="12.88671875" customWidth="1"/>
    <col min="6665" max="6665" width="11.44140625" customWidth="1"/>
    <col min="6667" max="6667" width="2.88671875" customWidth="1"/>
    <col min="6913" max="6913" width="1.88671875" customWidth="1"/>
    <col min="6914" max="6914" width="20.88671875" customWidth="1"/>
    <col min="6915" max="6920" width="12.88671875" customWidth="1"/>
    <col min="6921" max="6921" width="11.44140625" customWidth="1"/>
    <col min="6923" max="6923" width="2.88671875" customWidth="1"/>
    <col min="7169" max="7169" width="1.88671875" customWidth="1"/>
    <col min="7170" max="7170" width="20.88671875" customWidth="1"/>
    <col min="7171" max="7176" width="12.88671875" customWidth="1"/>
    <col min="7177" max="7177" width="11.44140625" customWidth="1"/>
    <col min="7179" max="7179" width="2.88671875" customWidth="1"/>
    <col min="7425" max="7425" width="1.88671875" customWidth="1"/>
    <col min="7426" max="7426" width="20.88671875" customWidth="1"/>
    <col min="7427" max="7432" width="12.88671875" customWidth="1"/>
    <col min="7433" max="7433" width="11.44140625" customWidth="1"/>
    <col min="7435" max="7435" width="2.88671875" customWidth="1"/>
    <col min="7681" max="7681" width="1.88671875" customWidth="1"/>
    <col min="7682" max="7682" width="20.88671875" customWidth="1"/>
    <col min="7683" max="7688" width="12.88671875" customWidth="1"/>
    <col min="7689" max="7689" width="11.44140625" customWidth="1"/>
    <col min="7691" max="7691" width="2.88671875" customWidth="1"/>
    <col min="7937" max="7937" width="1.88671875" customWidth="1"/>
    <col min="7938" max="7938" width="20.88671875" customWidth="1"/>
    <col min="7939" max="7944" width="12.88671875" customWidth="1"/>
    <col min="7945" max="7945" width="11.44140625" customWidth="1"/>
    <col min="7947" max="7947" width="2.88671875" customWidth="1"/>
    <col min="8193" max="8193" width="1.88671875" customWidth="1"/>
    <col min="8194" max="8194" width="20.88671875" customWidth="1"/>
    <col min="8195" max="8200" width="12.88671875" customWidth="1"/>
    <col min="8201" max="8201" width="11.44140625" customWidth="1"/>
    <col min="8203" max="8203" width="2.88671875" customWidth="1"/>
    <col min="8449" max="8449" width="1.88671875" customWidth="1"/>
    <col min="8450" max="8450" width="20.88671875" customWidth="1"/>
    <col min="8451" max="8456" width="12.88671875" customWidth="1"/>
    <col min="8457" max="8457" width="11.44140625" customWidth="1"/>
    <col min="8459" max="8459" width="2.88671875" customWidth="1"/>
    <col min="8705" max="8705" width="1.88671875" customWidth="1"/>
    <col min="8706" max="8706" width="20.88671875" customWidth="1"/>
    <col min="8707" max="8712" width="12.88671875" customWidth="1"/>
    <col min="8713" max="8713" width="11.44140625" customWidth="1"/>
    <col min="8715" max="8715" width="2.88671875" customWidth="1"/>
    <col min="8961" max="8961" width="1.88671875" customWidth="1"/>
    <col min="8962" max="8962" width="20.88671875" customWidth="1"/>
    <col min="8963" max="8968" width="12.88671875" customWidth="1"/>
    <col min="8969" max="8969" width="11.44140625" customWidth="1"/>
    <col min="8971" max="8971" width="2.88671875" customWidth="1"/>
    <col min="9217" max="9217" width="1.88671875" customWidth="1"/>
    <col min="9218" max="9218" width="20.88671875" customWidth="1"/>
    <col min="9219" max="9224" width="12.88671875" customWidth="1"/>
    <col min="9225" max="9225" width="11.44140625" customWidth="1"/>
    <col min="9227" max="9227" width="2.88671875" customWidth="1"/>
    <col min="9473" max="9473" width="1.88671875" customWidth="1"/>
    <col min="9474" max="9474" width="20.88671875" customWidth="1"/>
    <col min="9475" max="9480" width="12.88671875" customWidth="1"/>
    <col min="9481" max="9481" width="11.44140625" customWidth="1"/>
    <col min="9483" max="9483" width="2.88671875" customWidth="1"/>
    <col min="9729" max="9729" width="1.88671875" customWidth="1"/>
    <col min="9730" max="9730" width="20.88671875" customWidth="1"/>
    <col min="9731" max="9736" width="12.88671875" customWidth="1"/>
    <col min="9737" max="9737" width="11.44140625" customWidth="1"/>
    <col min="9739" max="9739" width="2.88671875" customWidth="1"/>
    <col min="9985" max="9985" width="1.88671875" customWidth="1"/>
    <col min="9986" max="9986" width="20.88671875" customWidth="1"/>
    <col min="9987" max="9992" width="12.88671875" customWidth="1"/>
    <col min="9993" max="9993" width="11.44140625" customWidth="1"/>
    <col min="9995" max="9995" width="2.88671875" customWidth="1"/>
    <col min="10241" max="10241" width="1.88671875" customWidth="1"/>
    <col min="10242" max="10242" width="20.88671875" customWidth="1"/>
    <col min="10243" max="10248" width="12.88671875" customWidth="1"/>
    <col min="10249" max="10249" width="11.44140625" customWidth="1"/>
    <col min="10251" max="10251" width="2.88671875" customWidth="1"/>
    <col min="10497" max="10497" width="1.88671875" customWidth="1"/>
    <col min="10498" max="10498" width="20.88671875" customWidth="1"/>
    <col min="10499" max="10504" width="12.88671875" customWidth="1"/>
    <col min="10505" max="10505" width="11.44140625" customWidth="1"/>
    <col min="10507" max="10507" width="2.88671875" customWidth="1"/>
    <col min="10753" max="10753" width="1.88671875" customWidth="1"/>
    <col min="10754" max="10754" width="20.88671875" customWidth="1"/>
    <col min="10755" max="10760" width="12.88671875" customWidth="1"/>
    <col min="10761" max="10761" width="11.44140625" customWidth="1"/>
    <col min="10763" max="10763" width="2.88671875" customWidth="1"/>
    <col min="11009" max="11009" width="1.88671875" customWidth="1"/>
    <col min="11010" max="11010" width="20.88671875" customWidth="1"/>
    <col min="11011" max="11016" width="12.88671875" customWidth="1"/>
    <col min="11017" max="11017" width="11.44140625" customWidth="1"/>
    <col min="11019" max="11019" width="2.88671875" customWidth="1"/>
    <col min="11265" max="11265" width="1.88671875" customWidth="1"/>
    <col min="11266" max="11266" width="20.88671875" customWidth="1"/>
    <col min="11267" max="11272" width="12.88671875" customWidth="1"/>
    <col min="11273" max="11273" width="11.44140625" customWidth="1"/>
    <col min="11275" max="11275" width="2.88671875" customWidth="1"/>
    <col min="11521" max="11521" width="1.88671875" customWidth="1"/>
    <col min="11522" max="11522" width="20.88671875" customWidth="1"/>
    <col min="11523" max="11528" width="12.88671875" customWidth="1"/>
    <col min="11529" max="11529" width="11.44140625" customWidth="1"/>
    <col min="11531" max="11531" width="2.88671875" customWidth="1"/>
    <col min="11777" max="11777" width="1.88671875" customWidth="1"/>
    <col min="11778" max="11778" width="20.88671875" customWidth="1"/>
    <col min="11779" max="11784" width="12.88671875" customWidth="1"/>
    <col min="11785" max="11785" width="11.44140625" customWidth="1"/>
    <col min="11787" max="11787" width="2.88671875" customWidth="1"/>
    <col min="12033" max="12033" width="1.88671875" customWidth="1"/>
    <col min="12034" max="12034" width="20.88671875" customWidth="1"/>
    <col min="12035" max="12040" width="12.88671875" customWidth="1"/>
    <col min="12041" max="12041" width="11.44140625" customWidth="1"/>
    <col min="12043" max="12043" width="2.88671875" customWidth="1"/>
    <col min="12289" max="12289" width="1.88671875" customWidth="1"/>
    <col min="12290" max="12290" width="20.88671875" customWidth="1"/>
    <col min="12291" max="12296" width="12.88671875" customWidth="1"/>
    <col min="12297" max="12297" width="11.44140625" customWidth="1"/>
    <col min="12299" max="12299" width="2.88671875" customWidth="1"/>
    <col min="12545" max="12545" width="1.88671875" customWidth="1"/>
    <col min="12546" max="12546" width="20.88671875" customWidth="1"/>
    <col min="12547" max="12552" width="12.88671875" customWidth="1"/>
    <col min="12553" max="12553" width="11.44140625" customWidth="1"/>
    <col min="12555" max="12555" width="2.88671875" customWidth="1"/>
    <col min="12801" max="12801" width="1.88671875" customWidth="1"/>
    <col min="12802" max="12802" width="20.88671875" customWidth="1"/>
    <col min="12803" max="12808" width="12.88671875" customWidth="1"/>
    <col min="12809" max="12809" width="11.44140625" customWidth="1"/>
    <col min="12811" max="12811" width="2.88671875" customWidth="1"/>
    <col min="13057" max="13057" width="1.88671875" customWidth="1"/>
    <col min="13058" max="13058" width="20.88671875" customWidth="1"/>
    <col min="13059" max="13064" width="12.88671875" customWidth="1"/>
    <col min="13065" max="13065" width="11.44140625" customWidth="1"/>
    <col min="13067" max="13067" width="2.88671875" customWidth="1"/>
    <col min="13313" max="13313" width="1.88671875" customWidth="1"/>
    <col min="13314" max="13314" width="20.88671875" customWidth="1"/>
    <col min="13315" max="13320" width="12.88671875" customWidth="1"/>
    <col min="13321" max="13321" width="11.44140625" customWidth="1"/>
    <col min="13323" max="13323" width="2.88671875" customWidth="1"/>
    <col min="13569" max="13569" width="1.88671875" customWidth="1"/>
    <col min="13570" max="13570" width="20.88671875" customWidth="1"/>
    <col min="13571" max="13576" width="12.88671875" customWidth="1"/>
    <col min="13577" max="13577" width="11.44140625" customWidth="1"/>
    <col min="13579" max="13579" width="2.88671875" customWidth="1"/>
    <col min="13825" max="13825" width="1.88671875" customWidth="1"/>
    <col min="13826" max="13826" width="20.88671875" customWidth="1"/>
    <col min="13827" max="13832" width="12.88671875" customWidth="1"/>
    <col min="13833" max="13833" width="11.44140625" customWidth="1"/>
    <col min="13835" max="13835" width="2.88671875" customWidth="1"/>
    <col min="14081" max="14081" width="1.88671875" customWidth="1"/>
    <col min="14082" max="14082" width="20.88671875" customWidth="1"/>
    <col min="14083" max="14088" width="12.88671875" customWidth="1"/>
    <col min="14089" max="14089" width="11.44140625" customWidth="1"/>
    <col min="14091" max="14091" width="2.88671875" customWidth="1"/>
    <col min="14337" max="14337" width="1.88671875" customWidth="1"/>
    <col min="14338" max="14338" width="20.88671875" customWidth="1"/>
    <col min="14339" max="14344" width="12.88671875" customWidth="1"/>
    <col min="14345" max="14345" width="11.44140625" customWidth="1"/>
    <col min="14347" max="14347" width="2.88671875" customWidth="1"/>
    <col min="14593" max="14593" width="1.88671875" customWidth="1"/>
    <col min="14594" max="14594" width="20.88671875" customWidth="1"/>
    <col min="14595" max="14600" width="12.88671875" customWidth="1"/>
    <col min="14601" max="14601" width="11.44140625" customWidth="1"/>
    <col min="14603" max="14603" width="2.88671875" customWidth="1"/>
    <col min="14849" max="14849" width="1.88671875" customWidth="1"/>
    <col min="14850" max="14850" width="20.88671875" customWidth="1"/>
    <col min="14851" max="14856" width="12.88671875" customWidth="1"/>
    <col min="14857" max="14857" width="11.44140625" customWidth="1"/>
    <col min="14859" max="14859" width="2.88671875" customWidth="1"/>
    <col min="15105" max="15105" width="1.88671875" customWidth="1"/>
    <col min="15106" max="15106" width="20.88671875" customWidth="1"/>
    <col min="15107" max="15112" width="12.88671875" customWidth="1"/>
    <col min="15113" max="15113" width="11.44140625" customWidth="1"/>
    <col min="15115" max="15115" width="2.88671875" customWidth="1"/>
    <col min="15361" max="15361" width="1.88671875" customWidth="1"/>
    <col min="15362" max="15362" width="20.88671875" customWidth="1"/>
    <col min="15363" max="15368" width="12.88671875" customWidth="1"/>
    <col min="15369" max="15369" width="11.44140625" customWidth="1"/>
    <col min="15371" max="15371" width="2.88671875" customWidth="1"/>
    <col min="15617" max="15617" width="1.88671875" customWidth="1"/>
    <col min="15618" max="15618" width="20.88671875" customWidth="1"/>
    <col min="15619" max="15624" width="12.88671875" customWidth="1"/>
    <col min="15625" max="15625" width="11.44140625" customWidth="1"/>
    <col min="15627" max="15627" width="2.88671875" customWidth="1"/>
    <col min="15873" max="15873" width="1.88671875" customWidth="1"/>
    <col min="15874" max="15874" width="20.88671875" customWidth="1"/>
    <col min="15875" max="15880" width="12.88671875" customWidth="1"/>
    <col min="15881" max="15881" width="11.44140625" customWidth="1"/>
    <col min="15883" max="15883" width="2.88671875" customWidth="1"/>
    <col min="16129" max="16129" width="1.88671875" customWidth="1"/>
    <col min="16130" max="16130" width="20.88671875" customWidth="1"/>
    <col min="16131" max="16136" width="12.88671875" customWidth="1"/>
    <col min="16137" max="16137" width="11.44140625" customWidth="1"/>
    <col min="16139" max="16139" width="2.88671875" customWidth="1"/>
  </cols>
  <sheetData>
    <row r="1" spans="2:23" ht="55.8" x14ac:dyDescent="0.3">
      <c r="B1" s="995" t="s">
        <v>161</v>
      </c>
      <c r="C1" s="548"/>
      <c r="D1" s="548"/>
      <c r="E1" s="548"/>
      <c r="F1" s="548"/>
      <c r="G1" s="548"/>
      <c r="H1" s="548"/>
      <c r="I1" s="548"/>
      <c r="J1" s="548"/>
      <c r="K1" s="548"/>
    </row>
    <row r="2" spans="2:23" ht="15.6" x14ac:dyDescent="0.3">
      <c r="B2" s="580" t="s">
        <v>162</v>
      </c>
      <c r="C2" s="548"/>
      <c r="D2" s="548"/>
      <c r="E2" s="548"/>
      <c r="F2" s="548"/>
      <c r="G2" s="548"/>
      <c r="H2" s="548"/>
      <c r="I2" s="548"/>
      <c r="J2" s="548"/>
      <c r="K2" s="548"/>
    </row>
    <row r="3" spans="2:23" ht="15" x14ac:dyDescent="0.25">
      <c r="B3" s="551"/>
      <c r="C3" s="551"/>
      <c r="D3" s="551"/>
      <c r="E3" s="551"/>
      <c r="F3" s="551"/>
      <c r="G3" s="551"/>
      <c r="H3" s="551"/>
    </row>
    <row r="4" spans="2:23" ht="14.4" x14ac:dyDescent="0.25">
      <c r="B4" s="552" t="s">
        <v>160</v>
      </c>
      <c r="C4" s="581">
        <v>2002</v>
      </c>
      <c r="D4" s="554">
        <v>2003</v>
      </c>
      <c r="E4" s="554">
        <v>2004</v>
      </c>
      <c r="F4" s="555">
        <v>2005</v>
      </c>
      <c r="G4" s="556">
        <v>2006</v>
      </c>
      <c r="H4" s="556">
        <v>2007</v>
      </c>
      <c r="I4" s="556">
        <v>2008</v>
      </c>
      <c r="J4" s="556">
        <v>2009</v>
      </c>
      <c r="K4" s="556">
        <v>2010</v>
      </c>
      <c r="L4" s="556">
        <v>2011</v>
      </c>
      <c r="M4" s="556">
        <v>2012</v>
      </c>
      <c r="N4" s="556">
        <v>2013</v>
      </c>
      <c r="O4" s="556">
        <v>2014</v>
      </c>
      <c r="P4" s="556">
        <v>2015</v>
      </c>
      <c r="Q4" s="556">
        <v>2016</v>
      </c>
      <c r="R4" s="556">
        <v>2017</v>
      </c>
      <c r="S4" s="556">
        <v>2018</v>
      </c>
      <c r="T4" s="556">
        <v>2019</v>
      </c>
      <c r="U4" s="556">
        <v>2020</v>
      </c>
      <c r="V4" s="4784">
        <v>2021</v>
      </c>
      <c r="W4" s="4998">
        <v>2022</v>
      </c>
    </row>
    <row r="5" spans="2:23" ht="14.4" x14ac:dyDescent="0.3">
      <c r="B5" s="557"/>
      <c r="C5" s="558"/>
      <c r="D5" s="558"/>
      <c r="E5" s="558"/>
      <c r="F5" s="558"/>
      <c r="G5" s="558"/>
      <c r="H5" s="558"/>
      <c r="I5" s="558"/>
      <c r="J5" s="558"/>
      <c r="K5" s="558"/>
      <c r="L5" s="558"/>
      <c r="M5" s="558"/>
      <c r="N5" s="558"/>
      <c r="O5" s="558"/>
      <c r="P5" s="558"/>
      <c r="Q5" s="558"/>
      <c r="R5" s="558"/>
      <c r="S5" s="558"/>
      <c r="T5" s="558"/>
      <c r="U5" s="558"/>
      <c r="V5" s="558"/>
      <c r="W5" s="558"/>
    </row>
    <row r="6" spans="2:23" ht="15" customHeight="1" x14ac:dyDescent="0.25">
      <c r="B6" s="559" t="s">
        <v>59</v>
      </c>
      <c r="C6" s="561">
        <v>855</v>
      </c>
      <c r="D6" s="561">
        <v>785</v>
      </c>
      <c r="E6" s="561">
        <v>861</v>
      </c>
      <c r="F6" s="561">
        <v>831</v>
      </c>
      <c r="G6" s="561">
        <v>966</v>
      </c>
      <c r="H6" s="561">
        <v>738</v>
      </c>
      <c r="I6" s="561">
        <v>823</v>
      </c>
      <c r="J6" s="561">
        <v>832</v>
      </c>
      <c r="K6" s="561">
        <v>760</v>
      </c>
      <c r="L6" s="561">
        <v>668</v>
      </c>
      <c r="M6" s="561">
        <v>574</v>
      </c>
      <c r="N6" s="561">
        <v>592</v>
      </c>
      <c r="O6" s="561">
        <v>918</v>
      </c>
      <c r="P6" s="561">
        <v>845</v>
      </c>
      <c r="Q6" s="561">
        <v>568</v>
      </c>
      <c r="R6" s="561">
        <v>1288</v>
      </c>
      <c r="S6" s="561">
        <v>941</v>
      </c>
      <c r="T6" s="561">
        <v>845</v>
      </c>
      <c r="U6" s="561"/>
      <c r="V6" s="561">
        <v>69</v>
      </c>
      <c r="W6" s="561">
        <v>7</v>
      </c>
    </row>
    <row r="7" spans="2:23" ht="15" customHeight="1" x14ac:dyDescent="0.25">
      <c r="B7" s="562" t="s">
        <v>64</v>
      </c>
      <c r="C7" s="564">
        <v>561</v>
      </c>
      <c r="D7" s="564">
        <v>543</v>
      </c>
      <c r="E7" s="564">
        <v>507</v>
      </c>
      <c r="F7" s="564">
        <v>436</v>
      </c>
      <c r="G7" s="564">
        <v>513</v>
      </c>
      <c r="H7" s="564">
        <v>492</v>
      </c>
      <c r="I7" s="564">
        <v>483</v>
      </c>
      <c r="J7" s="564">
        <v>477</v>
      </c>
      <c r="K7" s="564">
        <v>519</v>
      </c>
      <c r="L7" s="564">
        <v>485</v>
      </c>
      <c r="M7" s="564">
        <v>484</v>
      </c>
      <c r="N7" s="564">
        <v>420</v>
      </c>
      <c r="O7" s="564">
        <v>427</v>
      </c>
      <c r="P7" s="564">
        <v>423</v>
      </c>
      <c r="Q7" s="564">
        <v>244</v>
      </c>
      <c r="R7" s="564">
        <v>648</v>
      </c>
      <c r="S7" s="564">
        <v>484</v>
      </c>
      <c r="T7" s="564">
        <v>457</v>
      </c>
      <c r="U7" s="564"/>
      <c r="V7" s="564">
        <v>52</v>
      </c>
      <c r="W7" s="564">
        <v>7</v>
      </c>
    </row>
    <row r="8" spans="2:23" ht="15" customHeight="1" x14ac:dyDescent="0.25">
      <c r="B8" s="565" t="s">
        <v>68</v>
      </c>
      <c r="C8" s="564">
        <v>301</v>
      </c>
      <c r="D8" s="564">
        <v>282</v>
      </c>
      <c r="E8" s="564">
        <v>258</v>
      </c>
      <c r="F8" s="564">
        <v>240</v>
      </c>
      <c r="G8" s="564">
        <v>264</v>
      </c>
      <c r="H8" s="564">
        <v>239</v>
      </c>
      <c r="I8" s="564">
        <v>263</v>
      </c>
      <c r="J8" s="564">
        <v>225</v>
      </c>
      <c r="K8" s="564">
        <v>247</v>
      </c>
      <c r="L8" s="564">
        <v>238</v>
      </c>
      <c r="M8" s="564">
        <v>236</v>
      </c>
      <c r="N8" s="564">
        <v>258</v>
      </c>
      <c r="O8" s="564">
        <v>230</v>
      </c>
      <c r="P8" s="564">
        <v>226</v>
      </c>
      <c r="Q8" s="564">
        <v>178</v>
      </c>
      <c r="R8" s="564">
        <v>277</v>
      </c>
      <c r="S8" s="564">
        <v>202</v>
      </c>
      <c r="T8" s="564">
        <v>200</v>
      </c>
      <c r="U8" s="564"/>
      <c r="V8" s="564">
        <v>13</v>
      </c>
      <c r="W8" s="564">
        <v>3</v>
      </c>
    </row>
    <row r="9" spans="2:23" ht="14.4" x14ac:dyDescent="0.25">
      <c r="B9" s="566" t="s">
        <v>138</v>
      </c>
      <c r="C9" s="568">
        <f t="shared" ref="C9:Q9" si="0">SUM(C6:C8)</f>
        <v>1717</v>
      </c>
      <c r="D9" s="568">
        <f t="shared" si="0"/>
        <v>1610</v>
      </c>
      <c r="E9" s="568">
        <f>SUM(E6:E8)</f>
        <v>1626</v>
      </c>
      <c r="F9" s="568">
        <f t="shared" si="0"/>
        <v>1507</v>
      </c>
      <c r="G9" s="568">
        <f t="shared" si="0"/>
        <v>1743</v>
      </c>
      <c r="H9" s="568">
        <f t="shared" si="0"/>
        <v>1469</v>
      </c>
      <c r="I9" s="568">
        <f t="shared" si="0"/>
        <v>1569</v>
      </c>
      <c r="J9" s="568">
        <f t="shared" si="0"/>
        <v>1534</v>
      </c>
      <c r="K9" s="568">
        <f t="shared" si="0"/>
        <v>1526</v>
      </c>
      <c r="L9" s="568">
        <f t="shared" si="0"/>
        <v>1391</v>
      </c>
      <c r="M9" s="568">
        <f t="shared" si="0"/>
        <v>1294</v>
      </c>
      <c r="N9" s="568">
        <f t="shared" si="0"/>
        <v>1270</v>
      </c>
      <c r="O9" s="568">
        <f t="shared" si="0"/>
        <v>1575</v>
      </c>
      <c r="P9" s="568">
        <f t="shared" si="0"/>
        <v>1494</v>
      </c>
      <c r="Q9" s="568">
        <f t="shared" si="0"/>
        <v>990</v>
      </c>
      <c r="R9" s="568">
        <f>SUM(R6:R8)</f>
        <v>2213</v>
      </c>
      <c r="S9" s="568">
        <f>SUM(S6:S8)</f>
        <v>1627</v>
      </c>
      <c r="T9" s="568">
        <v>1502</v>
      </c>
      <c r="U9" s="568"/>
      <c r="V9" s="568">
        <f>SUM(V6:V8)</f>
        <v>134</v>
      </c>
      <c r="W9" s="568">
        <f>SUM(W6:W8)</f>
        <v>17</v>
      </c>
    </row>
    <row r="10" spans="2:23" ht="14.4" x14ac:dyDescent="0.3">
      <c r="B10" s="569"/>
      <c r="C10" s="582"/>
      <c r="D10" s="582"/>
      <c r="E10" s="582"/>
      <c r="F10" s="582"/>
      <c r="G10" s="582"/>
      <c r="H10" s="582"/>
      <c r="I10" s="582"/>
      <c r="J10" s="582"/>
      <c r="K10" s="582"/>
      <c r="L10" s="582"/>
      <c r="M10" s="582"/>
      <c r="N10" s="582"/>
      <c r="O10" s="582"/>
      <c r="P10" s="582"/>
      <c r="Q10" s="582"/>
      <c r="R10" s="582"/>
      <c r="S10" s="582"/>
      <c r="T10" s="582"/>
      <c r="U10" s="582"/>
      <c r="V10" s="582"/>
      <c r="W10" s="582"/>
    </row>
    <row r="11" spans="2:23" ht="14.4" x14ac:dyDescent="0.25">
      <c r="B11" s="559" t="s">
        <v>64</v>
      </c>
      <c r="C11" s="561"/>
      <c r="D11" s="561"/>
      <c r="E11" s="561"/>
      <c r="F11" s="561"/>
      <c r="G11" s="561">
        <v>1</v>
      </c>
      <c r="H11" s="561">
        <v>1</v>
      </c>
      <c r="I11" s="561">
        <v>2</v>
      </c>
      <c r="J11" s="561">
        <v>2</v>
      </c>
      <c r="K11" s="561">
        <v>2</v>
      </c>
      <c r="L11" s="561">
        <v>2</v>
      </c>
      <c r="M11" s="561"/>
      <c r="N11" s="561"/>
      <c r="O11" s="561">
        <v>2</v>
      </c>
      <c r="P11" s="561">
        <v>30</v>
      </c>
      <c r="Q11" s="561">
        <v>4</v>
      </c>
      <c r="R11" s="561">
        <v>46</v>
      </c>
      <c r="S11" s="561">
        <v>39</v>
      </c>
      <c r="T11" s="561">
        <v>50</v>
      </c>
      <c r="U11" s="561"/>
      <c r="V11" s="561">
        <v>7</v>
      </c>
      <c r="W11" s="561"/>
    </row>
    <row r="12" spans="2:23" ht="14.4" x14ac:dyDescent="0.25">
      <c r="B12" s="562" t="s">
        <v>111</v>
      </c>
      <c r="C12" s="564"/>
      <c r="D12" s="564"/>
      <c r="E12" s="564"/>
      <c r="F12" s="564"/>
      <c r="G12" s="564">
        <v>0</v>
      </c>
      <c r="H12" s="564">
        <v>3</v>
      </c>
      <c r="I12" s="564">
        <v>5</v>
      </c>
      <c r="J12" s="564">
        <v>5</v>
      </c>
      <c r="K12" s="564">
        <v>2</v>
      </c>
      <c r="L12" s="564"/>
      <c r="M12" s="564"/>
      <c r="N12" s="564"/>
      <c r="O12" s="564"/>
      <c r="P12" s="564">
        <v>23</v>
      </c>
      <c r="Q12" s="564">
        <v>4</v>
      </c>
      <c r="R12" s="564">
        <v>79</v>
      </c>
      <c r="S12" s="564">
        <v>77</v>
      </c>
      <c r="T12" s="564">
        <v>73</v>
      </c>
      <c r="U12" s="564"/>
      <c r="V12" s="564">
        <v>6</v>
      </c>
      <c r="W12" s="564">
        <v>4</v>
      </c>
    </row>
    <row r="13" spans="2:23" ht="14.4" x14ac:dyDescent="0.25">
      <c r="B13" s="565" t="s">
        <v>115</v>
      </c>
      <c r="C13" s="564"/>
      <c r="D13" s="564"/>
      <c r="E13" s="564"/>
      <c r="F13" s="564"/>
      <c r="G13" s="564">
        <v>2</v>
      </c>
      <c r="H13" s="564">
        <v>1</v>
      </c>
      <c r="I13" s="564">
        <v>3</v>
      </c>
      <c r="J13" s="564">
        <v>5</v>
      </c>
      <c r="K13" s="564">
        <v>4</v>
      </c>
      <c r="L13" s="564"/>
      <c r="M13" s="564"/>
      <c r="N13" s="564">
        <v>3</v>
      </c>
      <c r="O13" s="564"/>
      <c r="P13" s="564">
        <v>20</v>
      </c>
      <c r="Q13" s="564">
        <v>5</v>
      </c>
      <c r="R13" s="564">
        <v>44</v>
      </c>
      <c r="S13" s="564">
        <v>60</v>
      </c>
      <c r="T13" s="564">
        <v>44</v>
      </c>
      <c r="U13" s="564">
        <v>1</v>
      </c>
      <c r="V13" s="564">
        <v>9</v>
      </c>
      <c r="W13" s="564">
        <v>2</v>
      </c>
    </row>
    <row r="14" spans="2:23" ht="14.4" x14ac:dyDescent="0.25">
      <c r="B14" s="572" t="s">
        <v>134</v>
      </c>
      <c r="C14" s="568"/>
      <c r="D14" s="568"/>
      <c r="E14" s="568"/>
      <c r="F14" s="568"/>
      <c r="G14" s="568">
        <f t="shared" ref="G14:L14" si="1">SUM(G11:G13)</f>
        <v>3</v>
      </c>
      <c r="H14" s="568">
        <f t="shared" si="1"/>
        <v>5</v>
      </c>
      <c r="I14" s="568">
        <f t="shared" si="1"/>
        <v>10</v>
      </c>
      <c r="J14" s="568">
        <f t="shared" si="1"/>
        <v>12</v>
      </c>
      <c r="K14" s="568">
        <f t="shared" si="1"/>
        <v>8</v>
      </c>
      <c r="L14" s="568">
        <f t="shared" si="1"/>
        <v>2</v>
      </c>
      <c r="M14" s="568"/>
      <c r="N14" s="568">
        <f t="shared" ref="N14:S14" si="2">SUM(N11:N13)</f>
        <v>3</v>
      </c>
      <c r="O14" s="568">
        <f t="shared" si="2"/>
        <v>2</v>
      </c>
      <c r="P14" s="568">
        <f t="shared" si="2"/>
        <v>73</v>
      </c>
      <c r="Q14" s="568">
        <f t="shared" si="2"/>
        <v>13</v>
      </c>
      <c r="R14" s="568">
        <f t="shared" si="2"/>
        <v>169</v>
      </c>
      <c r="S14" s="568">
        <f t="shared" si="2"/>
        <v>176</v>
      </c>
      <c r="T14" s="568">
        <v>167</v>
      </c>
      <c r="U14" s="568">
        <f>SUM(U11:U13)</f>
        <v>1</v>
      </c>
      <c r="V14" s="568">
        <f>SUM(V11:V13)</f>
        <v>22</v>
      </c>
      <c r="W14" s="568">
        <f>SUM(W11:W13)</f>
        <v>6</v>
      </c>
    </row>
    <row r="15" spans="2:23" ht="14.4" x14ac:dyDescent="0.3">
      <c r="B15" s="557"/>
      <c r="C15" s="582"/>
      <c r="D15" s="582"/>
      <c r="E15" s="582"/>
      <c r="F15" s="582"/>
      <c r="G15" s="582"/>
      <c r="H15" s="582"/>
      <c r="I15" s="582"/>
      <c r="J15" s="582"/>
      <c r="K15" s="582"/>
      <c r="L15" s="582"/>
      <c r="M15" s="582"/>
      <c r="N15" s="582"/>
      <c r="O15" s="582"/>
      <c r="P15" s="582"/>
      <c r="Q15" s="582"/>
      <c r="R15" s="582"/>
      <c r="S15" s="582"/>
      <c r="T15" s="582"/>
      <c r="U15" s="582"/>
      <c r="V15" s="582"/>
      <c r="W15" s="582"/>
    </row>
    <row r="16" spans="2:23" ht="14.4" x14ac:dyDescent="0.25">
      <c r="B16" s="559" t="s">
        <v>59</v>
      </c>
      <c r="C16" s="561">
        <v>670</v>
      </c>
      <c r="D16" s="561">
        <v>479</v>
      </c>
      <c r="E16" s="561">
        <v>476</v>
      </c>
      <c r="F16" s="561">
        <v>546</v>
      </c>
      <c r="G16" s="561">
        <v>681</v>
      </c>
      <c r="H16" s="561">
        <v>548</v>
      </c>
      <c r="I16" s="561">
        <v>456</v>
      </c>
      <c r="J16" s="561">
        <v>455</v>
      </c>
      <c r="K16" s="561">
        <v>441</v>
      </c>
      <c r="L16" s="561">
        <v>321</v>
      </c>
      <c r="M16" s="561">
        <v>341</v>
      </c>
      <c r="N16" s="561">
        <v>301</v>
      </c>
      <c r="O16" s="561">
        <v>319</v>
      </c>
      <c r="P16" s="561">
        <v>378</v>
      </c>
      <c r="Q16" s="561">
        <v>226</v>
      </c>
      <c r="R16" s="561">
        <v>465</v>
      </c>
      <c r="S16" s="561">
        <v>407</v>
      </c>
      <c r="T16" s="561">
        <v>329</v>
      </c>
      <c r="U16" s="561"/>
      <c r="V16" s="561">
        <v>25</v>
      </c>
      <c r="W16" s="561">
        <v>1</v>
      </c>
    </row>
    <row r="17" spans="2:23" ht="14.4" x14ac:dyDescent="0.25">
      <c r="B17" s="562" t="s">
        <v>64</v>
      </c>
      <c r="C17" s="564">
        <v>620</v>
      </c>
      <c r="D17" s="564">
        <v>515</v>
      </c>
      <c r="E17" s="564">
        <v>548</v>
      </c>
      <c r="F17" s="564">
        <v>607</v>
      </c>
      <c r="G17" s="564">
        <v>648</v>
      </c>
      <c r="H17" s="564">
        <v>571</v>
      </c>
      <c r="I17" s="564">
        <v>641</v>
      </c>
      <c r="J17" s="564">
        <v>552</v>
      </c>
      <c r="K17" s="564">
        <v>508</v>
      </c>
      <c r="L17" s="564">
        <v>427</v>
      </c>
      <c r="M17" s="564">
        <v>494</v>
      </c>
      <c r="N17" s="564">
        <v>445</v>
      </c>
      <c r="O17" s="564">
        <v>525</v>
      </c>
      <c r="P17" s="564">
        <v>538</v>
      </c>
      <c r="Q17" s="564">
        <v>233</v>
      </c>
      <c r="R17" s="564">
        <v>959</v>
      </c>
      <c r="S17" s="564">
        <v>557</v>
      </c>
      <c r="T17" s="564">
        <v>551</v>
      </c>
      <c r="U17" s="564"/>
      <c r="V17" s="564">
        <v>36</v>
      </c>
      <c r="W17" s="564">
        <v>8</v>
      </c>
    </row>
    <row r="18" spans="2:23" ht="14.4" x14ac:dyDescent="0.25">
      <c r="B18" s="565" t="s">
        <v>92</v>
      </c>
      <c r="C18" s="564">
        <v>301</v>
      </c>
      <c r="D18" s="564">
        <v>218</v>
      </c>
      <c r="E18" s="564">
        <v>291</v>
      </c>
      <c r="F18" s="564">
        <v>433</v>
      </c>
      <c r="G18" s="564">
        <v>465</v>
      </c>
      <c r="H18" s="564">
        <v>520</v>
      </c>
      <c r="I18" s="564">
        <v>470</v>
      </c>
      <c r="J18" s="564">
        <v>428</v>
      </c>
      <c r="K18" s="564">
        <v>215</v>
      </c>
      <c r="L18" s="564">
        <v>257</v>
      </c>
      <c r="M18" s="564">
        <v>213</v>
      </c>
      <c r="N18" s="564">
        <v>184</v>
      </c>
      <c r="O18" s="564">
        <v>220</v>
      </c>
      <c r="P18" s="564">
        <v>202</v>
      </c>
      <c r="Q18" s="564">
        <v>153</v>
      </c>
      <c r="R18" s="564">
        <v>368</v>
      </c>
      <c r="S18" s="564">
        <v>286</v>
      </c>
      <c r="T18" s="564">
        <v>295</v>
      </c>
      <c r="U18" s="564"/>
      <c r="V18" s="564">
        <v>19</v>
      </c>
      <c r="W18" s="564">
        <v>5</v>
      </c>
    </row>
    <row r="19" spans="2:23" ht="14.4" x14ac:dyDescent="0.25">
      <c r="B19" s="573" t="s">
        <v>135</v>
      </c>
      <c r="C19" s="568">
        <f t="shared" ref="C19:Q19" si="3">SUM(C16:C18)</f>
        <v>1591</v>
      </c>
      <c r="D19" s="568">
        <f t="shared" si="3"/>
        <v>1212</v>
      </c>
      <c r="E19" s="568">
        <f>SUM(E16:E18)</f>
        <v>1315</v>
      </c>
      <c r="F19" s="568">
        <f t="shared" si="3"/>
        <v>1586</v>
      </c>
      <c r="G19" s="568">
        <f t="shared" si="3"/>
        <v>1794</v>
      </c>
      <c r="H19" s="568">
        <f t="shared" si="3"/>
        <v>1639</v>
      </c>
      <c r="I19" s="568">
        <f t="shared" si="3"/>
        <v>1567</v>
      </c>
      <c r="J19" s="568">
        <f t="shared" si="3"/>
        <v>1435</v>
      </c>
      <c r="K19" s="568">
        <f t="shared" si="3"/>
        <v>1164</v>
      </c>
      <c r="L19" s="568">
        <f t="shared" si="3"/>
        <v>1005</v>
      </c>
      <c r="M19" s="568">
        <f t="shared" si="3"/>
        <v>1048</v>
      </c>
      <c r="N19" s="568">
        <f t="shared" si="3"/>
        <v>930</v>
      </c>
      <c r="O19" s="568">
        <f t="shared" si="3"/>
        <v>1064</v>
      </c>
      <c r="P19" s="568">
        <f t="shared" si="3"/>
        <v>1118</v>
      </c>
      <c r="Q19" s="568">
        <f t="shared" si="3"/>
        <v>612</v>
      </c>
      <c r="R19" s="568">
        <f>SUM(R16:R18)</f>
        <v>1792</v>
      </c>
      <c r="S19" s="568">
        <f>SUM(S16:S18)</f>
        <v>1250</v>
      </c>
      <c r="T19" s="568">
        <v>1175</v>
      </c>
      <c r="U19" s="568"/>
      <c r="V19" s="568">
        <f>SUM(V16:V18)</f>
        <v>80</v>
      </c>
      <c r="W19" s="568">
        <f>SUM(W16:W18)</f>
        <v>14</v>
      </c>
    </row>
    <row r="20" spans="2:23" ht="14.4" x14ac:dyDescent="0.3">
      <c r="B20" s="569"/>
      <c r="C20" s="583"/>
      <c r="D20" s="583"/>
      <c r="E20" s="583"/>
      <c r="F20" s="583"/>
      <c r="G20" s="583"/>
      <c r="H20" s="583"/>
      <c r="I20" s="583"/>
      <c r="J20" s="583"/>
      <c r="K20" s="583"/>
      <c r="L20" s="583"/>
      <c r="M20" s="583"/>
      <c r="N20" s="583"/>
      <c r="O20" s="583"/>
      <c r="P20" s="583"/>
      <c r="Q20" s="583"/>
      <c r="R20" s="583"/>
      <c r="S20" s="583"/>
      <c r="T20" s="583"/>
      <c r="U20" s="583"/>
      <c r="V20" s="583"/>
      <c r="W20" s="583"/>
    </row>
    <row r="21" spans="2:23" ht="14.4" x14ac:dyDescent="0.25">
      <c r="B21" s="559" t="s">
        <v>59</v>
      </c>
      <c r="C21" s="561"/>
      <c r="D21" s="561"/>
      <c r="E21" s="561"/>
      <c r="F21" s="561"/>
      <c r="G21" s="561"/>
      <c r="H21" s="561"/>
      <c r="I21" s="561"/>
      <c r="J21" s="561"/>
      <c r="K21" s="561"/>
      <c r="L21" s="561">
        <v>1</v>
      </c>
      <c r="M21" s="561"/>
      <c r="N21" s="561">
        <v>4</v>
      </c>
      <c r="O21" s="561">
        <v>3</v>
      </c>
      <c r="P21" s="561"/>
      <c r="Q21" s="561">
        <v>1</v>
      </c>
      <c r="R21" s="561"/>
      <c r="S21" s="561">
        <v>1</v>
      </c>
      <c r="T21" s="561">
        <v>2</v>
      </c>
      <c r="U21" s="561"/>
      <c r="V21" s="561">
        <v>2</v>
      </c>
      <c r="W21" s="561"/>
    </row>
    <row r="22" spans="2:23" ht="14.4" x14ac:dyDescent="0.25">
      <c r="B22" s="562" t="s">
        <v>64</v>
      </c>
      <c r="C22" s="564"/>
      <c r="D22" s="564"/>
      <c r="E22" s="564"/>
      <c r="F22" s="564"/>
      <c r="G22" s="564"/>
      <c r="H22" s="564"/>
      <c r="I22" s="564"/>
      <c r="J22" s="564"/>
      <c r="K22" s="564"/>
      <c r="L22" s="564">
        <v>2</v>
      </c>
      <c r="M22" s="564"/>
      <c r="N22" s="564">
        <v>1</v>
      </c>
      <c r="O22" s="564">
        <v>1</v>
      </c>
      <c r="P22" s="564"/>
      <c r="Q22" s="564"/>
      <c r="R22" s="564"/>
      <c r="S22" s="564">
        <v>2</v>
      </c>
      <c r="T22" s="564"/>
      <c r="U22" s="564"/>
      <c r="V22" s="564"/>
      <c r="W22" s="564">
        <v>1</v>
      </c>
    </row>
    <row r="23" spans="2:23" ht="14.4" x14ac:dyDescent="0.25">
      <c r="B23" s="565" t="s">
        <v>92</v>
      </c>
      <c r="C23" s="564"/>
      <c r="D23" s="564"/>
      <c r="E23" s="564"/>
      <c r="F23" s="564"/>
      <c r="G23" s="564"/>
      <c r="H23" s="564"/>
      <c r="I23" s="564"/>
      <c r="J23" s="564"/>
      <c r="K23" s="564"/>
      <c r="L23" s="564"/>
      <c r="M23" s="564"/>
      <c r="N23" s="564">
        <v>2</v>
      </c>
      <c r="O23" s="564">
        <v>2</v>
      </c>
      <c r="P23" s="564"/>
      <c r="Q23" s="564">
        <v>2</v>
      </c>
      <c r="R23" s="564"/>
      <c r="S23" s="564"/>
      <c r="T23" s="564"/>
      <c r="U23" s="564"/>
      <c r="V23" s="564"/>
      <c r="W23" s="564"/>
    </row>
    <row r="24" spans="2:23" ht="14.4" x14ac:dyDescent="0.25">
      <c r="B24" s="574" t="s">
        <v>136</v>
      </c>
      <c r="C24" s="568"/>
      <c r="D24" s="568"/>
      <c r="E24" s="568"/>
      <c r="F24" s="568"/>
      <c r="G24" s="568"/>
      <c r="H24" s="568"/>
      <c r="I24" s="568"/>
      <c r="J24" s="568"/>
      <c r="K24" s="568"/>
      <c r="L24" s="568">
        <f>SUM(L21:L23)</f>
        <v>3</v>
      </c>
      <c r="M24" s="568"/>
      <c r="N24" s="568">
        <f>SUM(N21:N23)</f>
        <v>7</v>
      </c>
      <c r="O24" s="568">
        <f>SUM(O21:O23)</f>
        <v>6</v>
      </c>
      <c r="P24" s="568"/>
      <c r="Q24" s="568">
        <f>SUM(Q21:Q23)</f>
        <v>3</v>
      </c>
      <c r="R24" s="568"/>
      <c r="S24" s="568">
        <f>SUM(S21:S23)</f>
        <v>3</v>
      </c>
      <c r="T24" s="568">
        <v>2</v>
      </c>
      <c r="U24" s="568"/>
      <c r="V24" s="568">
        <f>SUM(V21:V23)</f>
        <v>2</v>
      </c>
      <c r="W24" s="568">
        <f>SUM(W21:W23)</f>
        <v>1</v>
      </c>
    </row>
    <row r="25" spans="2:23" ht="14.4" x14ac:dyDescent="0.3">
      <c r="B25" s="557"/>
      <c r="C25" s="582"/>
      <c r="D25" s="582"/>
      <c r="E25" s="582"/>
      <c r="F25" s="582"/>
      <c r="G25" s="582"/>
      <c r="H25" s="582"/>
      <c r="I25" s="582"/>
      <c r="J25" s="582"/>
      <c r="K25" s="582"/>
      <c r="L25" s="582"/>
      <c r="M25" s="582"/>
      <c r="N25" s="582"/>
      <c r="O25" s="582"/>
      <c r="P25" s="582"/>
      <c r="Q25" s="582"/>
      <c r="R25" s="582"/>
      <c r="S25" s="582"/>
      <c r="T25" s="582"/>
      <c r="U25" s="582"/>
      <c r="V25" s="582"/>
      <c r="W25" s="582"/>
    </row>
    <row r="26" spans="2:23" ht="14.4" x14ac:dyDescent="0.25">
      <c r="B26" s="559" t="s">
        <v>64</v>
      </c>
      <c r="C26" s="561">
        <v>451</v>
      </c>
      <c r="D26" s="561">
        <v>430</v>
      </c>
      <c r="E26" s="561">
        <v>396</v>
      </c>
      <c r="F26" s="561">
        <v>452</v>
      </c>
      <c r="G26" s="561">
        <v>379</v>
      </c>
      <c r="H26" s="561">
        <v>511</v>
      </c>
      <c r="I26" s="561">
        <v>526</v>
      </c>
      <c r="J26" s="561">
        <v>516</v>
      </c>
      <c r="K26" s="561">
        <v>532</v>
      </c>
      <c r="L26" s="561">
        <v>489</v>
      </c>
      <c r="M26" s="561">
        <v>510</v>
      </c>
      <c r="N26" s="561">
        <v>434</v>
      </c>
      <c r="O26" s="561">
        <v>481</v>
      </c>
      <c r="P26" s="561">
        <v>421</v>
      </c>
      <c r="Q26" s="561">
        <v>217</v>
      </c>
      <c r="R26" s="561">
        <v>657</v>
      </c>
      <c r="S26" s="561">
        <v>434</v>
      </c>
      <c r="T26" s="561">
        <v>394</v>
      </c>
      <c r="U26" s="561"/>
      <c r="V26" s="561">
        <v>35</v>
      </c>
      <c r="W26" s="561">
        <v>13</v>
      </c>
    </row>
    <row r="27" spans="2:23" ht="14.4" x14ac:dyDescent="0.25">
      <c r="B27" s="562" t="s">
        <v>92</v>
      </c>
      <c r="C27" s="564">
        <v>577</v>
      </c>
      <c r="D27" s="564">
        <v>508</v>
      </c>
      <c r="E27" s="564">
        <v>540</v>
      </c>
      <c r="F27" s="564">
        <v>560</v>
      </c>
      <c r="G27" s="564">
        <v>560</v>
      </c>
      <c r="H27" s="564">
        <v>488</v>
      </c>
      <c r="I27" s="564">
        <v>513</v>
      </c>
      <c r="J27" s="564">
        <v>515</v>
      </c>
      <c r="K27" s="564">
        <v>494</v>
      </c>
      <c r="L27" s="564">
        <v>470</v>
      </c>
      <c r="M27" s="564">
        <v>439</v>
      </c>
      <c r="N27" s="564">
        <v>385</v>
      </c>
      <c r="O27" s="564">
        <v>436</v>
      </c>
      <c r="P27" s="564">
        <v>487</v>
      </c>
      <c r="Q27" s="564">
        <v>248</v>
      </c>
      <c r="R27" s="564">
        <v>616</v>
      </c>
      <c r="S27" s="564">
        <v>404</v>
      </c>
      <c r="T27" s="564">
        <v>401</v>
      </c>
      <c r="U27" s="564">
        <v>4</v>
      </c>
      <c r="V27" s="564">
        <v>74</v>
      </c>
      <c r="W27" s="564">
        <v>10</v>
      </c>
    </row>
    <row r="28" spans="2:23" ht="14.4" x14ac:dyDescent="0.25">
      <c r="B28" s="565" t="s">
        <v>68</v>
      </c>
      <c r="C28" s="564">
        <v>312</v>
      </c>
      <c r="D28" s="564">
        <v>261</v>
      </c>
      <c r="E28" s="564">
        <v>185</v>
      </c>
      <c r="F28" s="564">
        <v>213</v>
      </c>
      <c r="G28" s="564">
        <v>209</v>
      </c>
      <c r="H28" s="564">
        <v>229</v>
      </c>
      <c r="I28" s="564">
        <v>242</v>
      </c>
      <c r="J28" s="564">
        <v>275</v>
      </c>
      <c r="K28" s="564">
        <v>312</v>
      </c>
      <c r="L28" s="564">
        <v>248</v>
      </c>
      <c r="M28" s="564">
        <v>241</v>
      </c>
      <c r="N28" s="564">
        <v>188</v>
      </c>
      <c r="O28" s="564">
        <v>198</v>
      </c>
      <c r="P28" s="564">
        <v>200</v>
      </c>
      <c r="Q28" s="564">
        <v>117</v>
      </c>
      <c r="R28" s="564">
        <v>371</v>
      </c>
      <c r="S28" s="564">
        <v>228</v>
      </c>
      <c r="T28" s="564">
        <v>200</v>
      </c>
      <c r="U28" s="564"/>
      <c r="V28" s="564">
        <v>16</v>
      </c>
      <c r="W28" s="564">
        <v>2</v>
      </c>
    </row>
    <row r="29" spans="2:23" ht="14.4" x14ac:dyDescent="0.25">
      <c r="B29" s="575" t="s">
        <v>137</v>
      </c>
      <c r="C29" s="568">
        <f t="shared" ref="C29:Q29" si="4">SUM(C26:C28)</f>
        <v>1340</v>
      </c>
      <c r="D29" s="568">
        <f t="shared" si="4"/>
        <v>1199</v>
      </c>
      <c r="E29" s="568">
        <f t="shared" si="4"/>
        <v>1121</v>
      </c>
      <c r="F29" s="568">
        <f t="shared" si="4"/>
        <v>1225</v>
      </c>
      <c r="G29" s="568">
        <f t="shared" si="4"/>
        <v>1148</v>
      </c>
      <c r="H29" s="568">
        <f t="shared" si="4"/>
        <v>1228</v>
      </c>
      <c r="I29" s="568">
        <f t="shared" si="4"/>
        <v>1281</v>
      </c>
      <c r="J29" s="568">
        <f t="shared" si="4"/>
        <v>1306</v>
      </c>
      <c r="K29" s="568">
        <f t="shared" si="4"/>
        <v>1338</v>
      </c>
      <c r="L29" s="568">
        <f t="shared" si="4"/>
        <v>1207</v>
      </c>
      <c r="M29" s="568">
        <f t="shared" si="4"/>
        <v>1190</v>
      </c>
      <c r="N29" s="568">
        <f t="shared" si="4"/>
        <v>1007</v>
      </c>
      <c r="O29" s="568">
        <f t="shared" si="4"/>
        <v>1115</v>
      </c>
      <c r="P29" s="568">
        <f t="shared" si="4"/>
        <v>1108</v>
      </c>
      <c r="Q29" s="568">
        <f t="shared" si="4"/>
        <v>582</v>
      </c>
      <c r="R29" s="568">
        <f>SUM(R26:R28)</f>
        <v>1644</v>
      </c>
      <c r="S29" s="568">
        <f>SUM(S26:S28)</f>
        <v>1066</v>
      </c>
      <c r="T29" s="568">
        <v>995</v>
      </c>
      <c r="U29" s="568">
        <f>SUM(U26:U28)</f>
        <v>4</v>
      </c>
      <c r="V29" s="568">
        <f>SUM(V26:V28)</f>
        <v>125</v>
      </c>
      <c r="W29" s="568">
        <f>SUM(W26:W28)</f>
        <v>25</v>
      </c>
    </row>
    <row r="30" spans="2:23" ht="14.4" x14ac:dyDescent="0.25">
      <c r="B30" s="557"/>
      <c r="C30" s="584"/>
      <c r="D30" s="584"/>
      <c r="E30" s="584"/>
      <c r="F30" s="584"/>
      <c r="G30" s="584"/>
      <c r="H30" s="584"/>
      <c r="I30" s="584"/>
      <c r="J30" s="584"/>
      <c r="K30" s="584"/>
      <c r="L30" s="584"/>
      <c r="M30" s="584"/>
      <c r="N30" s="584"/>
      <c r="O30" s="584"/>
      <c r="P30" s="584"/>
      <c r="Q30" s="584"/>
      <c r="R30" s="584"/>
      <c r="S30" s="584"/>
      <c r="T30" s="584"/>
      <c r="U30" s="584"/>
      <c r="V30" s="584"/>
      <c r="W30" s="584"/>
    </row>
    <row r="31" spans="2:23" ht="14.4" x14ac:dyDescent="0.25">
      <c r="B31" s="559" t="s">
        <v>59</v>
      </c>
      <c r="C31" s="561">
        <f t="shared" ref="C31:Q31" si="5">SUM(C6,C16,C21)</f>
        <v>1525</v>
      </c>
      <c r="D31" s="561">
        <f t="shared" si="5"/>
        <v>1264</v>
      </c>
      <c r="E31" s="561">
        <f t="shared" si="5"/>
        <v>1337</v>
      </c>
      <c r="F31" s="561">
        <f t="shared" si="5"/>
        <v>1377</v>
      </c>
      <c r="G31" s="561">
        <f t="shared" si="5"/>
        <v>1647</v>
      </c>
      <c r="H31" s="561">
        <f t="shared" si="5"/>
        <v>1286</v>
      </c>
      <c r="I31" s="561">
        <f t="shared" si="5"/>
        <v>1279</v>
      </c>
      <c r="J31" s="561">
        <f t="shared" si="5"/>
        <v>1287</v>
      </c>
      <c r="K31" s="561">
        <f t="shared" si="5"/>
        <v>1201</v>
      </c>
      <c r="L31" s="561">
        <f t="shared" si="5"/>
        <v>990</v>
      </c>
      <c r="M31" s="561">
        <f t="shared" si="5"/>
        <v>915</v>
      </c>
      <c r="N31" s="561">
        <f t="shared" si="5"/>
        <v>897</v>
      </c>
      <c r="O31" s="561">
        <f t="shared" si="5"/>
        <v>1240</v>
      </c>
      <c r="P31" s="561">
        <f t="shared" si="5"/>
        <v>1223</v>
      </c>
      <c r="Q31" s="561">
        <f t="shared" si="5"/>
        <v>795</v>
      </c>
      <c r="R31" s="561">
        <f t="shared" ref="R31:W31" si="6">SUM(R6,R16,R21)</f>
        <v>1753</v>
      </c>
      <c r="S31" s="561">
        <f t="shared" si="6"/>
        <v>1349</v>
      </c>
      <c r="T31" s="561">
        <f t="shared" si="6"/>
        <v>1176</v>
      </c>
      <c r="U31" s="561">
        <f t="shared" si="6"/>
        <v>0</v>
      </c>
      <c r="V31" s="561">
        <f t="shared" si="6"/>
        <v>96</v>
      </c>
      <c r="W31" s="561">
        <f t="shared" si="6"/>
        <v>8</v>
      </c>
    </row>
    <row r="32" spans="2:23" ht="14.4" x14ac:dyDescent="0.25">
      <c r="B32" s="562" t="s">
        <v>64</v>
      </c>
      <c r="C32" s="564">
        <f t="shared" ref="C32:Q32" si="7">SUM(C7,C11,C17,C22,C26)</f>
        <v>1632</v>
      </c>
      <c r="D32" s="564">
        <f t="shared" si="7"/>
        <v>1488</v>
      </c>
      <c r="E32" s="564">
        <f t="shared" si="7"/>
        <v>1451</v>
      </c>
      <c r="F32" s="564">
        <f t="shared" si="7"/>
        <v>1495</v>
      </c>
      <c r="G32" s="564">
        <f t="shared" si="7"/>
        <v>1541</v>
      </c>
      <c r="H32" s="564">
        <f t="shared" si="7"/>
        <v>1575</v>
      </c>
      <c r="I32" s="564">
        <f t="shared" si="7"/>
        <v>1652</v>
      </c>
      <c r="J32" s="564">
        <f t="shared" si="7"/>
        <v>1547</v>
      </c>
      <c r="K32" s="564">
        <f t="shared" si="7"/>
        <v>1561</v>
      </c>
      <c r="L32" s="564">
        <f t="shared" si="7"/>
        <v>1405</v>
      </c>
      <c r="M32" s="564">
        <f t="shared" si="7"/>
        <v>1488</v>
      </c>
      <c r="N32" s="564">
        <f t="shared" si="7"/>
        <v>1300</v>
      </c>
      <c r="O32" s="564">
        <f t="shared" si="7"/>
        <v>1436</v>
      </c>
      <c r="P32" s="564">
        <f t="shared" si="7"/>
        <v>1412</v>
      </c>
      <c r="Q32" s="564">
        <f t="shared" si="7"/>
        <v>698</v>
      </c>
      <c r="R32" s="564">
        <f t="shared" ref="R32:W32" si="8">SUM(R7,R11,R17,R22,R26)</f>
        <v>2310</v>
      </c>
      <c r="S32" s="564">
        <f t="shared" si="8"/>
        <v>1516</v>
      </c>
      <c r="T32" s="564">
        <f t="shared" si="8"/>
        <v>1452</v>
      </c>
      <c r="U32" s="564">
        <f t="shared" si="8"/>
        <v>0</v>
      </c>
      <c r="V32" s="564">
        <f t="shared" si="8"/>
        <v>130</v>
      </c>
      <c r="W32" s="564">
        <f t="shared" si="8"/>
        <v>29</v>
      </c>
    </row>
    <row r="33" spans="2:23" ht="14.4" x14ac:dyDescent="0.25">
      <c r="B33" s="562" t="s">
        <v>92</v>
      </c>
      <c r="C33" s="564">
        <f t="shared" ref="C33:Q33" si="9">SUM(C18,C23,C27)</f>
        <v>878</v>
      </c>
      <c r="D33" s="564">
        <f t="shared" si="9"/>
        <v>726</v>
      </c>
      <c r="E33" s="564">
        <f t="shared" si="9"/>
        <v>831</v>
      </c>
      <c r="F33" s="564">
        <f t="shared" si="9"/>
        <v>993</v>
      </c>
      <c r="G33" s="564">
        <f t="shared" si="9"/>
        <v>1025</v>
      </c>
      <c r="H33" s="564">
        <f t="shared" si="9"/>
        <v>1008</v>
      </c>
      <c r="I33" s="564">
        <f t="shared" si="9"/>
        <v>983</v>
      </c>
      <c r="J33" s="564">
        <f t="shared" si="9"/>
        <v>943</v>
      </c>
      <c r="K33" s="564">
        <f t="shared" si="9"/>
        <v>709</v>
      </c>
      <c r="L33" s="564">
        <f t="shared" si="9"/>
        <v>727</v>
      </c>
      <c r="M33" s="564">
        <f t="shared" si="9"/>
        <v>652</v>
      </c>
      <c r="N33" s="564">
        <f t="shared" si="9"/>
        <v>571</v>
      </c>
      <c r="O33" s="564">
        <f t="shared" si="9"/>
        <v>658</v>
      </c>
      <c r="P33" s="564">
        <f t="shared" si="9"/>
        <v>689</v>
      </c>
      <c r="Q33" s="564">
        <f t="shared" si="9"/>
        <v>403</v>
      </c>
      <c r="R33" s="564">
        <f t="shared" ref="R33:W33" si="10">SUM(R18,R23,R27)</f>
        <v>984</v>
      </c>
      <c r="S33" s="564">
        <f t="shared" si="10"/>
        <v>690</v>
      </c>
      <c r="T33" s="564">
        <f t="shared" si="10"/>
        <v>696</v>
      </c>
      <c r="U33" s="564">
        <f t="shared" si="10"/>
        <v>4</v>
      </c>
      <c r="V33" s="564">
        <f t="shared" si="10"/>
        <v>93</v>
      </c>
      <c r="W33" s="564">
        <f t="shared" si="10"/>
        <v>15</v>
      </c>
    </row>
    <row r="34" spans="2:23" ht="14.4" x14ac:dyDescent="0.25">
      <c r="B34" s="565" t="s">
        <v>68</v>
      </c>
      <c r="C34" s="564">
        <f t="shared" ref="C34:Q34" si="11">SUM(C8,C28)</f>
        <v>613</v>
      </c>
      <c r="D34" s="564">
        <f t="shared" si="11"/>
        <v>543</v>
      </c>
      <c r="E34" s="564">
        <f t="shared" si="11"/>
        <v>443</v>
      </c>
      <c r="F34" s="564">
        <f t="shared" si="11"/>
        <v>453</v>
      </c>
      <c r="G34" s="564">
        <f t="shared" si="11"/>
        <v>473</v>
      </c>
      <c r="H34" s="564">
        <f t="shared" si="11"/>
        <v>468</v>
      </c>
      <c r="I34" s="564">
        <f t="shared" si="11"/>
        <v>505</v>
      </c>
      <c r="J34" s="564">
        <f t="shared" si="11"/>
        <v>500</v>
      </c>
      <c r="K34" s="564">
        <f t="shared" si="11"/>
        <v>559</v>
      </c>
      <c r="L34" s="564">
        <f t="shared" si="11"/>
        <v>486</v>
      </c>
      <c r="M34" s="564">
        <f t="shared" si="11"/>
        <v>477</v>
      </c>
      <c r="N34" s="564">
        <f t="shared" si="11"/>
        <v>446</v>
      </c>
      <c r="O34" s="564">
        <f t="shared" si="11"/>
        <v>428</v>
      </c>
      <c r="P34" s="564">
        <f t="shared" si="11"/>
        <v>426</v>
      </c>
      <c r="Q34" s="564">
        <f t="shared" si="11"/>
        <v>295</v>
      </c>
      <c r="R34" s="564">
        <f t="shared" ref="R34:W34" si="12">SUM(R8,R28)</f>
        <v>648</v>
      </c>
      <c r="S34" s="564">
        <f t="shared" si="12"/>
        <v>430</v>
      </c>
      <c r="T34" s="564">
        <f t="shared" si="12"/>
        <v>400</v>
      </c>
      <c r="U34" s="564">
        <f t="shared" si="12"/>
        <v>0</v>
      </c>
      <c r="V34" s="564">
        <f t="shared" si="12"/>
        <v>29</v>
      </c>
      <c r="W34" s="564">
        <f t="shared" si="12"/>
        <v>5</v>
      </c>
    </row>
    <row r="35" spans="2:23" ht="14.4" x14ac:dyDescent="0.25">
      <c r="B35" s="562" t="s">
        <v>111</v>
      </c>
      <c r="C35" s="564">
        <f t="shared" ref="C35:U36" si="13">SUM(C12)</f>
        <v>0</v>
      </c>
      <c r="D35" s="564">
        <f t="shared" si="13"/>
        <v>0</v>
      </c>
      <c r="E35" s="564">
        <f t="shared" si="13"/>
        <v>0</v>
      </c>
      <c r="F35" s="564">
        <f t="shared" si="13"/>
        <v>0</v>
      </c>
      <c r="G35" s="564">
        <f t="shared" si="13"/>
        <v>0</v>
      </c>
      <c r="H35" s="564">
        <f t="shared" si="13"/>
        <v>3</v>
      </c>
      <c r="I35" s="564">
        <f t="shared" si="13"/>
        <v>5</v>
      </c>
      <c r="J35" s="564">
        <f t="shared" si="13"/>
        <v>5</v>
      </c>
      <c r="K35" s="564">
        <f t="shared" si="13"/>
        <v>2</v>
      </c>
      <c r="L35" s="564">
        <f t="shared" si="13"/>
        <v>0</v>
      </c>
      <c r="M35" s="564">
        <f t="shared" si="13"/>
        <v>0</v>
      </c>
      <c r="N35" s="564">
        <f t="shared" si="13"/>
        <v>0</v>
      </c>
      <c r="O35" s="564">
        <f t="shared" si="13"/>
        <v>0</v>
      </c>
      <c r="P35" s="564">
        <f t="shared" si="13"/>
        <v>23</v>
      </c>
      <c r="Q35" s="564">
        <f t="shared" si="13"/>
        <v>4</v>
      </c>
      <c r="R35" s="564">
        <f t="shared" si="13"/>
        <v>79</v>
      </c>
      <c r="S35" s="564">
        <f t="shared" si="13"/>
        <v>77</v>
      </c>
      <c r="T35" s="564">
        <f t="shared" si="13"/>
        <v>73</v>
      </c>
      <c r="U35" s="564">
        <f t="shared" si="13"/>
        <v>0</v>
      </c>
      <c r="V35" s="564">
        <f t="shared" ref="V35:W35" si="14">SUM(V12)</f>
        <v>6</v>
      </c>
      <c r="W35" s="564">
        <f t="shared" si="14"/>
        <v>4</v>
      </c>
    </row>
    <row r="36" spans="2:23" ht="14.4" x14ac:dyDescent="0.25">
      <c r="B36" s="565" t="s">
        <v>115</v>
      </c>
      <c r="C36" s="578">
        <f t="shared" si="13"/>
        <v>0</v>
      </c>
      <c r="D36" s="578">
        <f t="shared" si="13"/>
        <v>0</v>
      </c>
      <c r="E36" s="578">
        <f t="shared" si="13"/>
        <v>0</v>
      </c>
      <c r="F36" s="578">
        <f t="shared" si="13"/>
        <v>0</v>
      </c>
      <c r="G36" s="578">
        <f t="shared" si="13"/>
        <v>2</v>
      </c>
      <c r="H36" s="578">
        <f t="shared" si="13"/>
        <v>1</v>
      </c>
      <c r="I36" s="578">
        <f t="shared" si="13"/>
        <v>3</v>
      </c>
      <c r="J36" s="578">
        <f t="shared" si="13"/>
        <v>5</v>
      </c>
      <c r="K36" s="578">
        <f t="shared" si="13"/>
        <v>4</v>
      </c>
      <c r="L36" s="578">
        <f t="shared" si="13"/>
        <v>0</v>
      </c>
      <c r="M36" s="578">
        <f t="shared" si="13"/>
        <v>0</v>
      </c>
      <c r="N36" s="578">
        <f t="shared" si="13"/>
        <v>3</v>
      </c>
      <c r="O36" s="578">
        <f t="shared" si="13"/>
        <v>0</v>
      </c>
      <c r="P36" s="578">
        <f t="shared" si="13"/>
        <v>20</v>
      </c>
      <c r="Q36" s="578">
        <f t="shared" si="13"/>
        <v>5</v>
      </c>
      <c r="R36" s="578">
        <f t="shared" si="13"/>
        <v>44</v>
      </c>
      <c r="S36" s="578">
        <f t="shared" si="13"/>
        <v>60</v>
      </c>
      <c r="T36" s="578">
        <f t="shared" si="13"/>
        <v>44</v>
      </c>
      <c r="U36" s="578">
        <f t="shared" si="13"/>
        <v>1</v>
      </c>
      <c r="V36" s="578">
        <f t="shared" ref="V36:W36" si="15">SUM(V13)</f>
        <v>9</v>
      </c>
      <c r="W36" s="578">
        <f t="shared" si="15"/>
        <v>2</v>
      </c>
    </row>
    <row r="37" spans="2:23" ht="14.4" x14ac:dyDescent="0.25">
      <c r="B37" s="579" t="s">
        <v>128</v>
      </c>
      <c r="C37" s="568">
        <f t="shared" ref="C37:K37" si="16">SUM(C31:C36)</f>
        <v>4648</v>
      </c>
      <c r="D37" s="568">
        <f t="shared" si="16"/>
        <v>4021</v>
      </c>
      <c r="E37" s="568">
        <f t="shared" si="16"/>
        <v>4062</v>
      </c>
      <c r="F37" s="568">
        <f t="shared" si="16"/>
        <v>4318</v>
      </c>
      <c r="G37" s="568">
        <f t="shared" si="16"/>
        <v>4688</v>
      </c>
      <c r="H37" s="568">
        <f t="shared" si="16"/>
        <v>4341</v>
      </c>
      <c r="I37" s="568">
        <f t="shared" si="16"/>
        <v>4427</v>
      </c>
      <c r="J37" s="568">
        <f t="shared" si="16"/>
        <v>4287</v>
      </c>
      <c r="K37" s="568">
        <f t="shared" si="16"/>
        <v>4036</v>
      </c>
      <c r="L37" s="568">
        <f t="shared" ref="L37:Q37" si="17">SUM(L31:L36)</f>
        <v>3608</v>
      </c>
      <c r="M37" s="568">
        <f t="shared" si="17"/>
        <v>3532</v>
      </c>
      <c r="N37" s="568">
        <f t="shared" si="17"/>
        <v>3217</v>
      </c>
      <c r="O37" s="568">
        <f t="shared" si="17"/>
        <v>3762</v>
      </c>
      <c r="P37" s="568">
        <f t="shared" si="17"/>
        <v>3793</v>
      </c>
      <c r="Q37" s="568">
        <f t="shared" si="17"/>
        <v>2200</v>
      </c>
      <c r="R37" s="568">
        <f t="shared" ref="R37:W37" si="18">SUM(R31:R36)</f>
        <v>5818</v>
      </c>
      <c r="S37" s="568">
        <f t="shared" si="18"/>
        <v>4122</v>
      </c>
      <c r="T37" s="568">
        <f t="shared" si="18"/>
        <v>3841</v>
      </c>
      <c r="U37" s="568">
        <f t="shared" si="18"/>
        <v>5</v>
      </c>
      <c r="V37" s="568">
        <f t="shared" si="18"/>
        <v>363</v>
      </c>
      <c r="W37" s="568">
        <f t="shared" si="18"/>
        <v>63</v>
      </c>
    </row>
    <row r="38" spans="2:23" ht="15" x14ac:dyDescent="0.25">
      <c r="B38" s="585"/>
      <c r="C38" s="585"/>
      <c r="D38" s="585"/>
      <c r="E38" s="585"/>
      <c r="F38" s="585"/>
      <c r="G38" s="585"/>
      <c r="H38" s="585"/>
    </row>
  </sheetData>
  <printOptions horizontalCentered="1" verticalCentered="1"/>
  <pageMargins left="0.70866141732283472" right="0.70866141732283472" top="0.74803149606299213" bottom="0.74803149606299213" header="0.31496062992125984" footer="0.31496062992125984"/>
  <pageSetup scale="55" firstPageNumber="24" orientation="landscape" useFirstPageNumber="1" r:id="rId1"/>
  <headerFooter scaleWithDoc="0" alignWithMargins="0">
    <oddFooter>&amp;R&amp;P</oddFooter>
  </headerFooter>
  <rowBreaks count="1" manualBreakCount="1">
    <brk id="39" max="16383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1:V109"/>
  <sheetViews>
    <sheetView showGridLines="0" zoomScaleNormal="100" zoomScaleSheetLayoutView="100" workbookViewId="0">
      <pane xSplit="2" ySplit="3" topLeftCell="G61" activePane="bottomRight" state="frozen"/>
      <selection activeCell="Q31" sqref="Q31"/>
      <selection pane="topRight" activeCell="Q31" sqref="Q31"/>
      <selection pane="bottomLeft" activeCell="Q31" sqref="Q31"/>
      <selection pane="bottomRight" activeCell="B72" sqref="B72"/>
    </sheetView>
  </sheetViews>
  <sheetFormatPr baseColWidth="10" defaultColWidth="11.44140625" defaultRowHeight="13.2" x14ac:dyDescent="0.25"/>
  <cols>
    <col min="1" max="1" width="2.88671875" style="276" customWidth="1"/>
    <col min="2" max="2" width="45.44140625" style="276" bestFit="1" customWidth="1"/>
    <col min="3" max="17" width="9.88671875" style="276" customWidth="1"/>
    <col min="18" max="22" width="8.88671875" style="276" customWidth="1"/>
    <col min="23" max="254" width="11.44140625" style="276"/>
    <col min="255" max="255" width="1.88671875" style="276" customWidth="1"/>
    <col min="256" max="256" width="18" style="276" bestFit="1" customWidth="1"/>
    <col min="257" max="257" width="6" style="276" bestFit="1" customWidth="1"/>
    <col min="258" max="258" width="37" style="276" bestFit="1" customWidth="1"/>
    <col min="259" max="265" width="12.88671875" style="276" customWidth="1"/>
    <col min="266" max="510" width="11.44140625" style="276"/>
    <col min="511" max="511" width="1.88671875" style="276" customWidth="1"/>
    <col min="512" max="512" width="18" style="276" bestFit="1" customWidth="1"/>
    <col min="513" max="513" width="6" style="276" bestFit="1" customWidth="1"/>
    <col min="514" max="514" width="37" style="276" bestFit="1" customWidth="1"/>
    <col min="515" max="521" width="12.88671875" style="276" customWidth="1"/>
    <col min="522" max="766" width="11.44140625" style="276"/>
    <col min="767" max="767" width="1.88671875" style="276" customWidth="1"/>
    <col min="768" max="768" width="18" style="276" bestFit="1" customWidth="1"/>
    <col min="769" max="769" width="6" style="276" bestFit="1" customWidth="1"/>
    <col min="770" max="770" width="37" style="276" bestFit="1" customWidth="1"/>
    <col min="771" max="777" width="12.88671875" style="276" customWidth="1"/>
    <col min="778" max="1022" width="11.44140625" style="276"/>
    <col min="1023" max="1023" width="1.88671875" style="276" customWidth="1"/>
    <col min="1024" max="1024" width="18" style="276" bestFit="1" customWidth="1"/>
    <col min="1025" max="1025" width="6" style="276" bestFit="1" customWidth="1"/>
    <col min="1026" max="1026" width="37" style="276" bestFit="1" customWidth="1"/>
    <col min="1027" max="1033" width="12.88671875" style="276" customWidth="1"/>
    <col min="1034" max="1278" width="11.44140625" style="276"/>
    <col min="1279" max="1279" width="1.88671875" style="276" customWidth="1"/>
    <col min="1280" max="1280" width="18" style="276" bestFit="1" customWidth="1"/>
    <col min="1281" max="1281" width="6" style="276" bestFit="1" customWidth="1"/>
    <col min="1282" max="1282" width="37" style="276" bestFit="1" customWidth="1"/>
    <col min="1283" max="1289" width="12.88671875" style="276" customWidth="1"/>
    <col min="1290" max="1534" width="11.44140625" style="276"/>
    <col min="1535" max="1535" width="1.88671875" style="276" customWidth="1"/>
    <col min="1536" max="1536" width="18" style="276" bestFit="1" customWidth="1"/>
    <col min="1537" max="1537" width="6" style="276" bestFit="1" customWidth="1"/>
    <col min="1538" max="1538" width="37" style="276" bestFit="1" customWidth="1"/>
    <col min="1539" max="1545" width="12.88671875" style="276" customWidth="1"/>
    <col min="1546" max="1790" width="11.44140625" style="276"/>
    <col min="1791" max="1791" width="1.88671875" style="276" customWidth="1"/>
    <col min="1792" max="1792" width="18" style="276" bestFit="1" customWidth="1"/>
    <col min="1793" max="1793" width="6" style="276" bestFit="1" customWidth="1"/>
    <col min="1794" max="1794" width="37" style="276" bestFit="1" customWidth="1"/>
    <col min="1795" max="1801" width="12.88671875" style="276" customWidth="1"/>
    <col min="1802" max="2046" width="11.44140625" style="276"/>
    <col min="2047" max="2047" width="1.88671875" style="276" customWidth="1"/>
    <col min="2048" max="2048" width="18" style="276" bestFit="1" customWidth="1"/>
    <col min="2049" max="2049" width="6" style="276" bestFit="1" customWidth="1"/>
    <col min="2050" max="2050" width="37" style="276" bestFit="1" customWidth="1"/>
    <col min="2051" max="2057" width="12.88671875" style="276" customWidth="1"/>
    <col min="2058" max="2302" width="11.44140625" style="276"/>
    <col min="2303" max="2303" width="1.88671875" style="276" customWidth="1"/>
    <col min="2304" max="2304" width="18" style="276" bestFit="1" customWidth="1"/>
    <col min="2305" max="2305" width="6" style="276" bestFit="1" customWidth="1"/>
    <col min="2306" max="2306" width="37" style="276" bestFit="1" customWidth="1"/>
    <col min="2307" max="2313" width="12.88671875" style="276" customWidth="1"/>
    <col min="2314" max="2558" width="11.44140625" style="276"/>
    <col min="2559" max="2559" width="1.88671875" style="276" customWidth="1"/>
    <col min="2560" max="2560" width="18" style="276" bestFit="1" customWidth="1"/>
    <col min="2561" max="2561" width="6" style="276" bestFit="1" customWidth="1"/>
    <col min="2562" max="2562" width="37" style="276" bestFit="1" customWidth="1"/>
    <col min="2563" max="2569" width="12.88671875" style="276" customWidth="1"/>
    <col min="2570" max="2814" width="11.44140625" style="276"/>
    <col min="2815" max="2815" width="1.88671875" style="276" customWidth="1"/>
    <col min="2816" max="2816" width="18" style="276" bestFit="1" customWidth="1"/>
    <col min="2817" max="2817" width="6" style="276" bestFit="1" customWidth="1"/>
    <col min="2818" max="2818" width="37" style="276" bestFit="1" customWidth="1"/>
    <col min="2819" max="2825" width="12.88671875" style="276" customWidth="1"/>
    <col min="2826" max="3070" width="11.44140625" style="276"/>
    <col min="3071" max="3071" width="1.88671875" style="276" customWidth="1"/>
    <col min="3072" max="3072" width="18" style="276" bestFit="1" customWidth="1"/>
    <col min="3073" max="3073" width="6" style="276" bestFit="1" customWidth="1"/>
    <col min="3074" max="3074" width="37" style="276" bestFit="1" customWidth="1"/>
    <col min="3075" max="3081" width="12.88671875" style="276" customWidth="1"/>
    <col min="3082" max="3326" width="11.44140625" style="276"/>
    <col min="3327" max="3327" width="1.88671875" style="276" customWidth="1"/>
    <col min="3328" max="3328" width="18" style="276" bestFit="1" customWidth="1"/>
    <col min="3329" max="3329" width="6" style="276" bestFit="1" customWidth="1"/>
    <col min="3330" max="3330" width="37" style="276" bestFit="1" customWidth="1"/>
    <col min="3331" max="3337" width="12.88671875" style="276" customWidth="1"/>
    <col min="3338" max="3582" width="11.44140625" style="276"/>
    <col min="3583" max="3583" width="1.88671875" style="276" customWidth="1"/>
    <col min="3584" max="3584" width="18" style="276" bestFit="1" customWidth="1"/>
    <col min="3585" max="3585" width="6" style="276" bestFit="1" customWidth="1"/>
    <col min="3586" max="3586" width="37" style="276" bestFit="1" customWidth="1"/>
    <col min="3587" max="3593" width="12.88671875" style="276" customWidth="1"/>
    <col min="3594" max="3838" width="11.44140625" style="276"/>
    <col min="3839" max="3839" width="1.88671875" style="276" customWidth="1"/>
    <col min="3840" max="3840" width="18" style="276" bestFit="1" customWidth="1"/>
    <col min="3841" max="3841" width="6" style="276" bestFit="1" customWidth="1"/>
    <col min="3842" max="3842" width="37" style="276" bestFit="1" customWidth="1"/>
    <col min="3843" max="3849" width="12.88671875" style="276" customWidth="1"/>
    <col min="3850" max="4094" width="11.44140625" style="276"/>
    <col min="4095" max="4095" width="1.88671875" style="276" customWidth="1"/>
    <col min="4096" max="4096" width="18" style="276" bestFit="1" customWidth="1"/>
    <col min="4097" max="4097" width="6" style="276" bestFit="1" customWidth="1"/>
    <col min="4098" max="4098" width="37" style="276" bestFit="1" customWidth="1"/>
    <col min="4099" max="4105" width="12.88671875" style="276" customWidth="1"/>
    <col min="4106" max="4350" width="11.44140625" style="276"/>
    <col min="4351" max="4351" width="1.88671875" style="276" customWidth="1"/>
    <col min="4352" max="4352" width="18" style="276" bestFit="1" customWidth="1"/>
    <col min="4353" max="4353" width="6" style="276" bestFit="1" customWidth="1"/>
    <col min="4354" max="4354" width="37" style="276" bestFit="1" customWidth="1"/>
    <col min="4355" max="4361" width="12.88671875" style="276" customWidth="1"/>
    <col min="4362" max="4606" width="11.44140625" style="276"/>
    <col min="4607" max="4607" width="1.88671875" style="276" customWidth="1"/>
    <col min="4608" max="4608" width="18" style="276" bestFit="1" customWidth="1"/>
    <col min="4609" max="4609" width="6" style="276" bestFit="1" customWidth="1"/>
    <col min="4610" max="4610" width="37" style="276" bestFit="1" customWidth="1"/>
    <col min="4611" max="4617" width="12.88671875" style="276" customWidth="1"/>
    <col min="4618" max="4862" width="11.44140625" style="276"/>
    <col min="4863" max="4863" width="1.88671875" style="276" customWidth="1"/>
    <col min="4864" max="4864" width="18" style="276" bestFit="1" customWidth="1"/>
    <col min="4865" max="4865" width="6" style="276" bestFit="1" customWidth="1"/>
    <col min="4866" max="4866" width="37" style="276" bestFit="1" customWidth="1"/>
    <col min="4867" max="4873" width="12.88671875" style="276" customWidth="1"/>
    <col min="4874" max="5118" width="11.44140625" style="276"/>
    <col min="5119" max="5119" width="1.88671875" style="276" customWidth="1"/>
    <col min="5120" max="5120" width="18" style="276" bestFit="1" customWidth="1"/>
    <col min="5121" max="5121" width="6" style="276" bestFit="1" customWidth="1"/>
    <col min="5122" max="5122" width="37" style="276" bestFit="1" customWidth="1"/>
    <col min="5123" max="5129" width="12.88671875" style="276" customWidth="1"/>
    <col min="5130" max="5374" width="11.44140625" style="276"/>
    <col min="5375" max="5375" width="1.88671875" style="276" customWidth="1"/>
    <col min="5376" max="5376" width="18" style="276" bestFit="1" customWidth="1"/>
    <col min="5377" max="5377" width="6" style="276" bestFit="1" customWidth="1"/>
    <col min="5378" max="5378" width="37" style="276" bestFit="1" customWidth="1"/>
    <col min="5379" max="5385" width="12.88671875" style="276" customWidth="1"/>
    <col min="5386" max="5630" width="11.44140625" style="276"/>
    <col min="5631" max="5631" width="1.88671875" style="276" customWidth="1"/>
    <col min="5632" max="5632" width="18" style="276" bestFit="1" customWidth="1"/>
    <col min="5633" max="5633" width="6" style="276" bestFit="1" customWidth="1"/>
    <col min="5634" max="5634" width="37" style="276" bestFit="1" customWidth="1"/>
    <col min="5635" max="5641" width="12.88671875" style="276" customWidth="1"/>
    <col min="5642" max="5886" width="11.44140625" style="276"/>
    <col min="5887" max="5887" width="1.88671875" style="276" customWidth="1"/>
    <col min="5888" max="5888" width="18" style="276" bestFit="1" customWidth="1"/>
    <col min="5889" max="5889" width="6" style="276" bestFit="1" customWidth="1"/>
    <col min="5890" max="5890" width="37" style="276" bestFit="1" customWidth="1"/>
    <col min="5891" max="5897" width="12.88671875" style="276" customWidth="1"/>
    <col min="5898" max="6142" width="11.44140625" style="276"/>
    <col min="6143" max="6143" width="1.88671875" style="276" customWidth="1"/>
    <col min="6144" max="6144" width="18" style="276" bestFit="1" customWidth="1"/>
    <col min="6145" max="6145" width="6" style="276" bestFit="1" customWidth="1"/>
    <col min="6146" max="6146" width="37" style="276" bestFit="1" customWidth="1"/>
    <col min="6147" max="6153" width="12.88671875" style="276" customWidth="1"/>
    <col min="6154" max="6398" width="11.44140625" style="276"/>
    <col min="6399" max="6399" width="1.88671875" style="276" customWidth="1"/>
    <col min="6400" max="6400" width="18" style="276" bestFit="1" customWidth="1"/>
    <col min="6401" max="6401" width="6" style="276" bestFit="1" customWidth="1"/>
    <col min="6402" max="6402" width="37" style="276" bestFit="1" customWidth="1"/>
    <col min="6403" max="6409" width="12.88671875" style="276" customWidth="1"/>
    <col min="6410" max="6654" width="11.44140625" style="276"/>
    <col min="6655" max="6655" width="1.88671875" style="276" customWidth="1"/>
    <col min="6656" max="6656" width="18" style="276" bestFit="1" customWidth="1"/>
    <col min="6657" max="6657" width="6" style="276" bestFit="1" customWidth="1"/>
    <col min="6658" max="6658" width="37" style="276" bestFit="1" customWidth="1"/>
    <col min="6659" max="6665" width="12.88671875" style="276" customWidth="1"/>
    <col min="6666" max="6910" width="11.44140625" style="276"/>
    <col min="6911" max="6911" width="1.88671875" style="276" customWidth="1"/>
    <col min="6912" max="6912" width="18" style="276" bestFit="1" customWidth="1"/>
    <col min="6913" max="6913" width="6" style="276" bestFit="1" customWidth="1"/>
    <col min="6914" max="6914" width="37" style="276" bestFit="1" customWidth="1"/>
    <col min="6915" max="6921" width="12.88671875" style="276" customWidth="1"/>
    <col min="6922" max="7166" width="11.44140625" style="276"/>
    <col min="7167" max="7167" width="1.88671875" style="276" customWidth="1"/>
    <col min="7168" max="7168" width="18" style="276" bestFit="1" customWidth="1"/>
    <col min="7169" max="7169" width="6" style="276" bestFit="1" customWidth="1"/>
    <col min="7170" max="7170" width="37" style="276" bestFit="1" customWidth="1"/>
    <col min="7171" max="7177" width="12.88671875" style="276" customWidth="1"/>
    <col min="7178" max="7422" width="11.44140625" style="276"/>
    <col min="7423" max="7423" width="1.88671875" style="276" customWidth="1"/>
    <col min="7424" max="7424" width="18" style="276" bestFit="1" customWidth="1"/>
    <col min="7425" max="7425" width="6" style="276" bestFit="1" customWidth="1"/>
    <col min="7426" max="7426" width="37" style="276" bestFit="1" customWidth="1"/>
    <col min="7427" max="7433" width="12.88671875" style="276" customWidth="1"/>
    <col min="7434" max="7678" width="11.44140625" style="276"/>
    <col min="7679" max="7679" width="1.88671875" style="276" customWidth="1"/>
    <col min="7680" max="7680" width="18" style="276" bestFit="1" customWidth="1"/>
    <col min="7681" max="7681" width="6" style="276" bestFit="1" customWidth="1"/>
    <col min="7682" max="7682" width="37" style="276" bestFit="1" customWidth="1"/>
    <col min="7683" max="7689" width="12.88671875" style="276" customWidth="1"/>
    <col min="7690" max="7934" width="11.44140625" style="276"/>
    <col min="7935" max="7935" width="1.88671875" style="276" customWidth="1"/>
    <col min="7936" max="7936" width="18" style="276" bestFit="1" customWidth="1"/>
    <col min="7937" max="7937" width="6" style="276" bestFit="1" customWidth="1"/>
    <col min="7938" max="7938" width="37" style="276" bestFit="1" customWidth="1"/>
    <col min="7939" max="7945" width="12.88671875" style="276" customWidth="1"/>
    <col min="7946" max="8190" width="11.44140625" style="276"/>
    <col min="8191" max="8191" width="1.88671875" style="276" customWidth="1"/>
    <col min="8192" max="8192" width="18" style="276" bestFit="1" customWidth="1"/>
    <col min="8193" max="8193" width="6" style="276" bestFit="1" customWidth="1"/>
    <col min="8194" max="8194" width="37" style="276" bestFit="1" customWidth="1"/>
    <col min="8195" max="8201" width="12.88671875" style="276" customWidth="1"/>
    <col min="8202" max="8446" width="11.44140625" style="276"/>
    <col min="8447" max="8447" width="1.88671875" style="276" customWidth="1"/>
    <col min="8448" max="8448" width="18" style="276" bestFit="1" customWidth="1"/>
    <col min="8449" max="8449" width="6" style="276" bestFit="1" customWidth="1"/>
    <col min="8450" max="8450" width="37" style="276" bestFit="1" customWidth="1"/>
    <col min="8451" max="8457" width="12.88671875" style="276" customWidth="1"/>
    <col min="8458" max="8702" width="11.44140625" style="276"/>
    <col min="8703" max="8703" width="1.88671875" style="276" customWidth="1"/>
    <col min="8704" max="8704" width="18" style="276" bestFit="1" customWidth="1"/>
    <col min="8705" max="8705" width="6" style="276" bestFit="1" customWidth="1"/>
    <col min="8706" max="8706" width="37" style="276" bestFit="1" customWidth="1"/>
    <col min="8707" max="8713" width="12.88671875" style="276" customWidth="1"/>
    <col min="8714" max="8958" width="11.44140625" style="276"/>
    <col min="8959" max="8959" width="1.88671875" style="276" customWidth="1"/>
    <col min="8960" max="8960" width="18" style="276" bestFit="1" customWidth="1"/>
    <col min="8961" max="8961" width="6" style="276" bestFit="1" customWidth="1"/>
    <col min="8962" max="8962" width="37" style="276" bestFit="1" customWidth="1"/>
    <col min="8963" max="8969" width="12.88671875" style="276" customWidth="1"/>
    <col min="8970" max="9214" width="11.44140625" style="276"/>
    <col min="9215" max="9215" width="1.88671875" style="276" customWidth="1"/>
    <col min="9216" max="9216" width="18" style="276" bestFit="1" customWidth="1"/>
    <col min="9217" max="9217" width="6" style="276" bestFit="1" customWidth="1"/>
    <col min="9218" max="9218" width="37" style="276" bestFit="1" customWidth="1"/>
    <col min="9219" max="9225" width="12.88671875" style="276" customWidth="1"/>
    <col min="9226" max="9470" width="11.44140625" style="276"/>
    <col min="9471" max="9471" width="1.88671875" style="276" customWidth="1"/>
    <col min="9472" max="9472" width="18" style="276" bestFit="1" customWidth="1"/>
    <col min="9473" max="9473" width="6" style="276" bestFit="1" customWidth="1"/>
    <col min="9474" max="9474" width="37" style="276" bestFit="1" customWidth="1"/>
    <col min="9475" max="9481" width="12.88671875" style="276" customWidth="1"/>
    <col min="9482" max="9726" width="11.44140625" style="276"/>
    <col min="9727" max="9727" width="1.88671875" style="276" customWidth="1"/>
    <col min="9728" max="9728" width="18" style="276" bestFit="1" customWidth="1"/>
    <col min="9729" max="9729" width="6" style="276" bestFit="1" customWidth="1"/>
    <col min="9730" max="9730" width="37" style="276" bestFit="1" customWidth="1"/>
    <col min="9731" max="9737" width="12.88671875" style="276" customWidth="1"/>
    <col min="9738" max="9982" width="11.44140625" style="276"/>
    <col min="9983" max="9983" width="1.88671875" style="276" customWidth="1"/>
    <col min="9984" max="9984" width="18" style="276" bestFit="1" customWidth="1"/>
    <col min="9985" max="9985" width="6" style="276" bestFit="1" customWidth="1"/>
    <col min="9986" max="9986" width="37" style="276" bestFit="1" customWidth="1"/>
    <col min="9987" max="9993" width="12.88671875" style="276" customWidth="1"/>
    <col min="9994" max="10238" width="11.44140625" style="276"/>
    <col min="10239" max="10239" width="1.88671875" style="276" customWidth="1"/>
    <col min="10240" max="10240" width="18" style="276" bestFit="1" customWidth="1"/>
    <col min="10241" max="10241" width="6" style="276" bestFit="1" customWidth="1"/>
    <col min="10242" max="10242" width="37" style="276" bestFit="1" customWidth="1"/>
    <col min="10243" max="10249" width="12.88671875" style="276" customWidth="1"/>
    <col min="10250" max="10494" width="11.44140625" style="276"/>
    <col min="10495" max="10495" width="1.88671875" style="276" customWidth="1"/>
    <col min="10496" max="10496" width="18" style="276" bestFit="1" customWidth="1"/>
    <col min="10497" max="10497" width="6" style="276" bestFit="1" customWidth="1"/>
    <col min="10498" max="10498" width="37" style="276" bestFit="1" customWidth="1"/>
    <col min="10499" max="10505" width="12.88671875" style="276" customWidth="1"/>
    <col min="10506" max="10750" width="11.44140625" style="276"/>
    <col min="10751" max="10751" width="1.88671875" style="276" customWidth="1"/>
    <col min="10752" max="10752" width="18" style="276" bestFit="1" customWidth="1"/>
    <col min="10753" max="10753" width="6" style="276" bestFit="1" customWidth="1"/>
    <col min="10754" max="10754" width="37" style="276" bestFit="1" customWidth="1"/>
    <col min="10755" max="10761" width="12.88671875" style="276" customWidth="1"/>
    <col min="10762" max="11006" width="11.44140625" style="276"/>
    <col min="11007" max="11007" width="1.88671875" style="276" customWidth="1"/>
    <col min="11008" max="11008" width="18" style="276" bestFit="1" customWidth="1"/>
    <col min="11009" max="11009" width="6" style="276" bestFit="1" customWidth="1"/>
    <col min="11010" max="11010" width="37" style="276" bestFit="1" customWidth="1"/>
    <col min="11011" max="11017" width="12.88671875" style="276" customWidth="1"/>
    <col min="11018" max="11262" width="11.44140625" style="276"/>
    <col min="11263" max="11263" width="1.88671875" style="276" customWidth="1"/>
    <col min="11264" max="11264" width="18" style="276" bestFit="1" customWidth="1"/>
    <col min="11265" max="11265" width="6" style="276" bestFit="1" customWidth="1"/>
    <col min="11266" max="11266" width="37" style="276" bestFit="1" customWidth="1"/>
    <col min="11267" max="11273" width="12.88671875" style="276" customWidth="1"/>
    <col min="11274" max="11518" width="11.44140625" style="276"/>
    <col min="11519" max="11519" width="1.88671875" style="276" customWidth="1"/>
    <col min="11520" max="11520" width="18" style="276" bestFit="1" customWidth="1"/>
    <col min="11521" max="11521" width="6" style="276" bestFit="1" customWidth="1"/>
    <col min="11522" max="11522" width="37" style="276" bestFit="1" customWidth="1"/>
    <col min="11523" max="11529" width="12.88671875" style="276" customWidth="1"/>
    <col min="11530" max="11774" width="11.44140625" style="276"/>
    <col min="11775" max="11775" width="1.88671875" style="276" customWidth="1"/>
    <col min="11776" max="11776" width="18" style="276" bestFit="1" customWidth="1"/>
    <col min="11777" max="11777" width="6" style="276" bestFit="1" customWidth="1"/>
    <col min="11778" max="11778" width="37" style="276" bestFit="1" customWidth="1"/>
    <col min="11779" max="11785" width="12.88671875" style="276" customWidth="1"/>
    <col min="11786" max="12030" width="11.44140625" style="276"/>
    <col min="12031" max="12031" width="1.88671875" style="276" customWidth="1"/>
    <col min="12032" max="12032" width="18" style="276" bestFit="1" customWidth="1"/>
    <col min="12033" max="12033" width="6" style="276" bestFit="1" customWidth="1"/>
    <col min="12034" max="12034" width="37" style="276" bestFit="1" customWidth="1"/>
    <col min="12035" max="12041" width="12.88671875" style="276" customWidth="1"/>
    <col min="12042" max="12286" width="11.44140625" style="276"/>
    <col min="12287" max="12287" width="1.88671875" style="276" customWidth="1"/>
    <col min="12288" max="12288" width="18" style="276" bestFit="1" customWidth="1"/>
    <col min="12289" max="12289" width="6" style="276" bestFit="1" customWidth="1"/>
    <col min="12290" max="12290" width="37" style="276" bestFit="1" customWidth="1"/>
    <col min="12291" max="12297" width="12.88671875" style="276" customWidth="1"/>
    <col min="12298" max="12542" width="11.44140625" style="276"/>
    <col min="12543" max="12543" width="1.88671875" style="276" customWidth="1"/>
    <col min="12544" max="12544" width="18" style="276" bestFit="1" customWidth="1"/>
    <col min="12545" max="12545" width="6" style="276" bestFit="1" customWidth="1"/>
    <col min="12546" max="12546" width="37" style="276" bestFit="1" customWidth="1"/>
    <col min="12547" max="12553" width="12.88671875" style="276" customWidth="1"/>
    <col min="12554" max="12798" width="11.44140625" style="276"/>
    <col min="12799" max="12799" width="1.88671875" style="276" customWidth="1"/>
    <col min="12800" max="12800" width="18" style="276" bestFit="1" customWidth="1"/>
    <col min="12801" max="12801" width="6" style="276" bestFit="1" customWidth="1"/>
    <col min="12802" max="12802" width="37" style="276" bestFit="1" customWidth="1"/>
    <col min="12803" max="12809" width="12.88671875" style="276" customWidth="1"/>
    <col min="12810" max="13054" width="11.44140625" style="276"/>
    <col min="13055" max="13055" width="1.88671875" style="276" customWidth="1"/>
    <col min="13056" max="13056" width="18" style="276" bestFit="1" customWidth="1"/>
    <col min="13057" max="13057" width="6" style="276" bestFit="1" customWidth="1"/>
    <col min="13058" max="13058" width="37" style="276" bestFit="1" customWidth="1"/>
    <col min="13059" max="13065" width="12.88671875" style="276" customWidth="1"/>
    <col min="13066" max="13310" width="11.44140625" style="276"/>
    <col min="13311" max="13311" width="1.88671875" style="276" customWidth="1"/>
    <col min="13312" max="13312" width="18" style="276" bestFit="1" customWidth="1"/>
    <col min="13313" max="13313" width="6" style="276" bestFit="1" customWidth="1"/>
    <col min="13314" max="13314" width="37" style="276" bestFit="1" customWidth="1"/>
    <col min="13315" max="13321" width="12.88671875" style="276" customWidth="1"/>
    <col min="13322" max="13566" width="11.44140625" style="276"/>
    <col min="13567" max="13567" width="1.88671875" style="276" customWidth="1"/>
    <col min="13568" max="13568" width="18" style="276" bestFit="1" customWidth="1"/>
    <col min="13569" max="13569" width="6" style="276" bestFit="1" customWidth="1"/>
    <col min="13570" max="13570" width="37" style="276" bestFit="1" customWidth="1"/>
    <col min="13571" max="13577" width="12.88671875" style="276" customWidth="1"/>
    <col min="13578" max="13822" width="11.44140625" style="276"/>
    <col min="13823" max="13823" width="1.88671875" style="276" customWidth="1"/>
    <col min="13824" max="13824" width="18" style="276" bestFit="1" customWidth="1"/>
    <col min="13825" max="13825" width="6" style="276" bestFit="1" customWidth="1"/>
    <col min="13826" max="13826" width="37" style="276" bestFit="1" customWidth="1"/>
    <col min="13827" max="13833" width="12.88671875" style="276" customWidth="1"/>
    <col min="13834" max="14078" width="11.44140625" style="276"/>
    <col min="14079" max="14079" width="1.88671875" style="276" customWidth="1"/>
    <col min="14080" max="14080" width="18" style="276" bestFit="1" customWidth="1"/>
    <col min="14081" max="14081" width="6" style="276" bestFit="1" customWidth="1"/>
    <col min="14082" max="14082" width="37" style="276" bestFit="1" customWidth="1"/>
    <col min="14083" max="14089" width="12.88671875" style="276" customWidth="1"/>
    <col min="14090" max="14334" width="11.44140625" style="276"/>
    <col min="14335" max="14335" width="1.88671875" style="276" customWidth="1"/>
    <col min="14336" max="14336" width="18" style="276" bestFit="1" customWidth="1"/>
    <col min="14337" max="14337" width="6" style="276" bestFit="1" customWidth="1"/>
    <col min="14338" max="14338" width="37" style="276" bestFit="1" customWidth="1"/>
    <col min="14339" max="14345" width="12.88671875" style="276" customWidth="1"/>
    <col min="14346" max="14590" width="11.44140625" style="276"/>
    <col min="14591" max="14591" width="1.88671875" style="276" customWidth="1"/>
    <col min="14592" max="14592" width="18" style="276" bestFit="1" customWidth="1"/>
    <col min="14593" max="14593" width="6" style="276" bestFit="1" customWidth="1"/>
    <col min="14594" max="14594" width="37" style="276" bestFit="1" customWidth="1"/>
    <col min="14595" max="14601" width="12.88671875" style="276" customWidth="1"/>
    <col min="14602" max="14846" width="11.44140625" style="276"/>
    <col min="14847" max="14847" width="1.88671875" style="276" customWidth="1"/>
    <col min="14848" max="14848" width="18" style="276" bestFit="1" customWidth="1"/>
    <col min="14849" max="14849" width="6" style="276" bestFit="1" customWidth="1"/>
    <col min="14850" max="14850" width="37" style="276" bestFit="1" customWidth="1"/>
    <col min="14851" max="14857" width="12.88671875" style="276" customWidth="1"/>
    <col min="14858" max="15102" width="11.44140625" style="276"/>
    <col min="15103" max="15103" width="1.88671875" style="276" customWidth="1"/>
    <col min="15104" max="15104" width="18" style="276" bestFit="1" customWidth="1"/>
    <col min="15105" max="15105" width="6" style="276" bestFit="1" customWidth="1"/>
    <col min="15106" max="15106" width="37" style="276" bestFit="1" customWidth="1"/>
    <col min="15107" max="15113" width="12.88671875" style="276" customWidth="1"/>
    <col min="15114" max="15358" width="11.44140625" style="276"/>
    <col min="15359" max="15359" width="1.88671875" style="276" customWidth="1"/>
    <col min="15360" max="15360" width="18" style="276" bestFit="1" customWidth="1"/>
    <col min="15361" max="15361" width="6" style="276" bestFit="1" customWidth="1"/>
    <col min="15362" max="15362" width="37" style="276" bestFit="1" customWidth="1"/>
    <col min="15363" max="15369" width="12.88671875" style="276" customWidth="1"/>
    <col min="15370" max="15614" width="11.44140625" style="276"/>
    <col min="15615" max="15615" width="1.88671875" style="276" customWidth="1"/>
    <col min="15616" max="15616" width="18" style="276" bestFit="1" customWidth="1"/>
    <col min="15617" max="15617" width="6" style="276" bestFit="1" customWidth="1"/>
    <col min="15618" max="15618" width="37" style="276" bestFit="1" customWidth="1"/>
    <col min="15619" max="15625" width="12.88671875" style="276" customWidth="1"/>
    <col min="15626" max="15870" width="11.44140625" style="276"/>
    <col min="15871" max="15871" width="1.88671875" style="276" customWidth="1"/>
    <col min="15872" max="15872" width="18" style="276" bestFit="1" customWidth="1"/>
    <col min="15873" max="15873" width="6" style="276" bestFit="1" customWidth="1"/>
    <col min="15874" max="15874" width="37" style="276" bestFit="1" customWidth="1"/>
    <col min="15875" max="15881" width="12.88671875" style="276" customWidth="1"/>
    <col min="15882" max="16126" width="11.44140625" style="276"/>
    <col min="16127" max="16127" width="1.88671875" style="276" customWidth="1"/>
    <col min="16128" max="16128" width="18" style="276" bestFit="1" customWidth="1"/>
    <col min="16129" max="16129" width="6" style="276" bestFit="1" customWidth="1"/>
    <col min="16130" max="16130" width="37" style="276" bestFit="1" customWidth="1"/>
    <col min="16131" max="16137" width="12.88671875" style="276" customWidth="1"/>
    <col min="16138" max="16384" width="11.44140625" style="276"/>
  </cols>
  <sheetData>
    <row r="1" spans="1:22" s="272" customFormat="1" ht="27.6" x14ac:dyDescent="0.3">
      <c r="B1" s="26" t="s">
        <v>163</v>
      </c>
      <c r="C1" s="147"/>
      <c r="D1" s="147"/>
      <c r="E1" s="147"/>
      <c r="F1" s="147"/>
      <c r="G1" s="147"/>
      <c r="H1" s="147"/>
      <c r="I1" s="147"/>
    </row>
    <row r="2" spans="1:22" ht="26.25" customHeight="1" x14ac:dyDescent="0.25">
      <c r="B2" s="27" t="s">
        <v>154</v>
      </c>
    </row>
    <row r="3" spans="1:22" s="277" customFormat="1" ht="32.25" customHeight="1" x14ac:dyDescent="0.3">
      <c r="A3" s="586"/>
      <c r="B3" s="552" t="s">
        <v>45</v>
      </c>
      <c r="C3" s="28">
        <v>2003</v>
      </c>
      <c r="D3" s="28">
        <v>2004</v>
      </c>
      <c r="E3" s="587">
        <v>2005</v>
      </c>
      <c r="F3" s="29">
        <v>2006</v>
      </c>
      <c r="G3" s="587">
        <v>2007</v>
      </c>
      <c r="H3" s="587">
        <v>2008</v>
      </c>
      <c r="I3" s="587">
        <v>2009</v>
      </c>
      <c r="J3" s="587">
        <v>2010</v>
      </c>
      <c r="K3" s="587">
        <v>2011</v>
      </c>
      <c r="L3" s="587">
        <v>2012</v>
      </c>
      <c r="M3" s="587">
        <v>2013</v>
      </c>
      <c r="N3" s="587">
        <v>2014</v>
      </c>
      <c r="O3" s="587">
        <v>2015</v>
      </c>
      <c r="P3" s="587">
        <v>2016</v>
      </c>
      <c r="Q3" s="587">
        <v>2017</v>
      </c>
      <c r="R3" s="587">
        <v>2018</v>
      </c>
      <c r="S3" s="587">
        <v>2019</v>
      </c>
      <c r="T3" s="587">
        <v>2020</v>
      </c>
      <c r="U3" s="587">
        <v>2021</v>
      </c>
      <c r="V3" s="587">
        <v>2022</v>
      </c>
    </row>
    <row r="4" spans="1:22" s="38" customFormat="1" ht="15" customHeight="1" x14ac:dyDescent="0.25">
      <c r="B4" s="100" t="s">
        <v>49</v>
      </c>
      <c r="C4" s="588">
        <v>359</v>
      </c>
      <c r="D4" s="588">
        <v>374</v>
      </c>
      <c r="E4" s="588">
        <v>368</v>
      </c>
      <c r="F4" s="588">
        <v>394</v>
      </c>
      <c r="G4" s="589">
        <v>432</v>
      </c>
      <c r="H4" s="589">
        <v>533</v>
      </c>
      <c r="I4" s="589">
        <v>632</v>
      </c>
      <c r="J4" s="589">
        <v>774</v>
      </c>
      <c r="K4" s="589">
        <v>827</v>
      </c>
      <c r="L4" s="589">
        <v>848</v>
      </c>
      <c r="M4" s="589">
        <v>847</v>
      </c>
      <c r="N4" s="589">
        <v>821</v>
      </c>
      <c r="O4" s="589">
        <v>820</v>
      </c>
      <c r="P4" s="589">
        <v>774</v>
      </c>
      <c r="Q4" s="589">
        <v>739</v>
      </c>
      <c r="R4" s="589">
        <v>691</v>
      </c>
      <c r="S4" s="589">
        <v>742</v>
      </c>
      <c r="T4" s="589">
        <v>732</v>
      </c>
      <c r="U4" s="589">
        <v>795</v>
      </c>
      <c r="V4" s="589">
        <v>807</v>
      </c>
    </row>
    <row r="5" spans="1:22" s="38" customFormat="1" ht="15" customHeight="1" x14ac:dyDescent="0.25">
      <c r="B5" s="107" t="s">
        <v>50</v>
      </c>
      <c r="C5" s="590">
        <v>603</v>
      </c>
      <c r="D5" s="590">
        <v>578</v>
      </c>
      <c r="E5" s="590">
        <v>563</v>
      </c>
      <c r="F5" s="590">
        <v>568</v>
      </c>
      <c r="G5" s="591">
        <v>590</v>
      </c>
      <c r="H5" s="591">
        <v>651</v>
      </c>
      <c r="I5" s="591">
        <v>732</v>
      </c>
      <c r="J5" s="591">
        <v>861</v>
      </c>
      <c r="K5" s="591">
        <v>907</v>
      </c>
      <c r="L5" s="591">
        <v>892</v>
      </c>
      <c r="M5" s="591">
        <v>920</v>
      </c>
      <c r="N5" s="591">
        <v>901</v>
      </c>
      <c r="O5" s="591">
        <v>884</v>
      </c>
      <c r="P5" s="591">
        <v>858</v>
      </c>
      <c r="Q5" s="591">
        <v>800</v>
      </c>
      <c r="R5" s="591">
        <v>774</v>
      </c>
      <c r="S5" s="591">
        <v>814</v>
      </c>
      <c r="T5" s="591">
        <v>782</v>
      </c>
      <c r="U5" s="591">
        <v>827</v>
      </c>
      <c r="V5" s="591">
        <v>838</v>
      </c>
    </row>
    <row r="6" spans="1:22" s="38" customFormat="1" ht="15" customHeight="1" x14ac:dyDescent="0.25">
      <c r="B6" s="107" t="s">
        <v>51</v>
      </c>
      <c r="C6" s="590">
        <v>411</v>
      </c>
      <c r="D6" s="590">
        <v>411</v>
      </c>
      <c r="E6" s="590">
        <v>370</v>
      </c>
      <c r="F6" s="590">
        <v>350</v>
      </c>
      <c r="G6" s="591">
        <v>354</v>
      </c>
      <c r="H6" s="591">
        <v>360</v>
      </c>
      <c r="I6" s="591">
        <v>389</v>
      </c>
      <c r="J6" s="591">
        <v>404</v>
      </c>
      <c r="K6" s="591">
        <v>482</v>
      </c>
      <c r="L6" s="591">
        <v>521</v>
      </c>
      <c r="M6" s="591">
        <v>567</v>
      </c>
      <c r="N6" s="591">
        <v>565</v>
      </c>
      <c r="O6" s="591">
        <v>558</v>
      </c>
      <c r="P6" s="591">
        <v>519</v>
      </c>
      <c r="Q6" s="591">
        <v>515</v>
      </c>
      <c r="R6" s="591">
        <v>484</v>
      </c>
      <c r="S6" s="591">
        <v>453</v>
      </c>
      <c r="T6" s="591">
        <v>429</v>
      </c>
      <c r="U6" s="591">
        <v>441</v>
      </c>
      <c r="V6" s="591">
        <v>448</v>
      </c>
    </row>
    <row r="7" spans="1:22" s="38" customFormat="1" ht="15" customHeight="1" x14ac:dyDescent="0.25">
      <c r="B7" s="107" t="s">
        <v>52</v>
      </c>
      <c r="C7" s="590">
        <v>265</v>
      </c>
      <c r="D7" s="590">
        <v>260</v>
      </c>
      <c r="E7" s="590">
        <v>284</v>
      </c>
      <c r="F7" s="590">
        <v>270</v>
      </c>
      <c r="G7" s="591">
        <v>259</v>
      </c>
      <c r="H7" s="591">
        <v>296</v>
      </c>
      <c r="I7" s="591">
        <v>330</v>
      </c>
      <c r="J7" s="591">
        <v>369</v>
      </c>
      <c r="K7" s="591">
        <v>441</v>
      </c>
      <c r="L7" s="591">
        <v>479</v>
      </c>
      <c r="M7" s="591">
        <v>507</v>
      </c>
      <c r="N7" s="591">
        <v>545</v>
      </c>
      <c r="O7" s="591">
        <v>545</v>
      </c>
      <c r="P7" s="591">
        <v>565</v>
      </c>
      <c r="Q7" s="591">
        <v>580</v>
      </c>
      <c r="R7" s="591">
        <v>641</v>
      </c>
      <c r="S7" s="591">
        <v>697</v>
      </c>
      <c r="T7" s="591">
        <v>692</v>
      </c>
      <c r="U7" s="591">
        <v>714</v>
      </c>
      <c r="V7" s="591">
        <v>734</v>
      </c>
    </row>
    <row r="8" spans="1:22" s="38" customFormat="1" ht="15" customHeight="1" x14ac:dyDescent="0.25">
      <c r="B8" s="107" t="s">
        <v>53</v>
      </c>
      <c r="C8" s="590">
        <v>1170</v>
      </c>
      <c r="D8" s="590">
        <v>1201</v>
      </c>
      <c r="E8" s="590">
        <v>1196</v>
      </c>
      <c r="F8" s="590">
        <v>1209</v>
      </c>
      <c r="G8" s="591">
        <v>1251</v>
      </c>
      <c r="H8" s="591">
        <v>1232</v>
      </c>
      <c r="I8" s="591">
        <v>1158</v>
      </c>
      <c r="J8" s="591">
        <v>1174</v>
      </c>
      <c r="K8" s="591">
        <v>1131</v>
      </c>
      <c r="L8" s="591">
        <v>1076</v>
      </c>
      <c r="M8" s="591">
        <v>1030</v>
      </c>
      <c r="N8" s="591">
        <v>941</v>
      </c>
      <c r="O8" s="591">
        <v>872</v>
      </c>
      <c r="P8" s="591">
        <v>815</v>
      </c>
      <c r="Q8" s="591">
        <v>740</v>
      </c>
      <c r="R8" s="591">
        <v>740</v>
      </c>
      <c r="S8" s="591">
        <v>775</v>
      </c>
      <c r="T8" s="591">
        <v>746</v>
      </c>
      <c r="U8" s="591">
        <v>817</v>
      </c>
      <c r="V8" s="591">
        <v>835</v>
      </c>
    </row>
    <row r="9" spans="1:22" s="38" customFormat="1" ht="15" customHeight="1" x14ac:dyDescent="0.25">
      <c r="B9" s="107" t="s">
        <v>54</v>
      </c>
      <c r="C9" s="590">
        <v>834</v>
      </c>
      <c r="D9" s="590">
        <v>810</v>
      </c>
      <c r="E9" s="590">
        <v>820</v>
      </c>
      <c r="F9" s="590">
        <v>845</v>
      </c>
      <c r="G9" s="591">
        <v>830</v>
      </c>
      <c r="H9" s="591">
        <v>813</v>
      </c>
      <c r="I9" s="591">
        <v>799</v>
      </c>
      <c r="J9" s="591">
        <v>870</v>
      </c>
      <c r="K9" s="591">
        <v>884</v>
      </c>
      <c r="L9" s="591">
        <v>871</v>
      </c>
      <c r="M9" s="591">
        <v>842</v>
      </c>
      <c r="N9" s="591">
        <v>800</v>
      </c>
      <c r="O9" s="591">
        <v>785</v>
      </c>
      <c r="P9" s="591">
        <v>753</v>
      </c>
      <c r="Q9" s="591">
        <v>709</v>
      </c>
      <c r="R9" s="591">
        <v>715</v>
      </c>
      <c r="S9" s="591">
        <v>764</v>
      </c>
      <c r="T9" s="591">
        <v>756</v>
      </c>
      <c r="U9" s="591">
        <v>827</v>
      </c>
      <c r="V9" s="591">
        <v>852</v>
      </c>
    </row>
    <row r="10" spans="1:22" s="38" customFormat="1" ht="15" customHeight="1" x14ac:dyDescent="0.25">
      <c r="B10" s="107" t="s">
        <v>55</v>
      </c>
      <c r="C10" s="590">
        <v>107</v>
      </c>
      <c r="D10" s="590">
        <v>97</v>
      </c>
      <c r="E10" s="590">
        <v>103</v>
      </c>
      <c r="F10" s="590">
        <v>110</v>
      </c>
      <c r="G10" s="591">
        <v>122</v>
      </c>
      <c r="H10" s="591">
        <v>142</v>
      </c>
      <c r="I10" s="591">
        <v>181</v>
      </c>
      <c r="J10" s="591">
        <v>207</v>
      </c>
      <c r="K10" s="591">
        <v>283</v>
      </c>
      <c r="L10" s="591">
        <v>355</v>
      </c>
      <c r="M10" s="591">
        <v>416</v>
      </c>
      <c r="N10" s="591">
        <v>473</v>
      </c>
      <c r="O10" s="591">
        <v>501</v>
      </c>
      <c r="P10" s="591">
        <v>485</v>
      </c>
      <c r="Q10" s="591">
        <v>475</v>
      </c>
      <c r="R10" s="591">
        <v>494</v>
      </c>
      <c r="S10" s="591">
        <v>515</v>
      </c>
      <c r="T10" s="591">
        <v>489</v>
      </c>
      <c r="U10" s="591">
        <v>496</v>
      </c>
      <c r="V10" s="591">
        <v>523</v>
      </c>
    </row>
    <row r="11" spans="1:22" s="38" customFormat="1" ht="15" customHeight="1" x14ac:dyDescent="0.25">
      <c r="B11" s="107" t="s">
        <v>56</v>
      </c>
      <c r="C11" s="590">
        <v>726</v>
      </c>
      <c r="D11" s="590">
        <v>709</v>
      </c>
      <c r="E11" s="590">
        <v>688</v>
      </c>
      <c r="F11" s="590">
        <v>688</v>
      </c>
      <c r="G11" s="591">
        <v>741</v>
      </c>
      <c r="H11" s="591">
        <v>749</v>
      </c>
      <c r="I11" s="591">
        <v>760</v>
      </c>
      <c r="J11" s="591">
        <v>839</v>
      </c>
      <c r="K11" s="591">
        <v>843</v>
      </c>
      <c r="L11" s="591">
        <v>849</v>
      </c>
      <c r="M11" s="591">
        <v>867</v>
      </c>
      <c r="N11" s="591">
        <v>840</v>
      </c>
      <c r="O11" s="591">
        <v>780</v>
      </c>
      <c r="P11" s="591">
        <v>761</v>
      </c>
      <c r="Q11" s="591">
        <v>742</v>
      </c>
      <c r="R11" s="591">
        <v>758</v>
      </c>
      <c r="S11" s="591">
        <v>825</v>
      </c>
      <c r="T11" s="591">
        <v>851</v>
      </c>
      <c r="U11" s="591">
        <v>929</v>
      </c>
      <c r="V11" s="591">
        <v>950</v>
      </c>
    </row>
    <row r="12" spans="1:22" s="38" customFormat="1" ht="15" customHeight="1" x14ac:dyDescent="0.25">
      <c r="B12" s="107" t="s">
        <v>57</v>
      </c>
      <c r="C12" s="590">
        <v>1582</v>
      </c>
      <c r="D12" s="590">
        <v>1592</v>
      </c>
      <c r="E12" s="590">
        <v>1611</v>
      </c>
      <c r="F12" s="590">
        <v>1570</v>
      </c>
      <c r="G12" s="591">
        <v>1494</v>
      </c>
      <c r="H12" s="591">
        <v>1401</v>
      </c>
      <c r="I12" s="591">
        <v>1269</v>
      </c>
      <c r="J12" s="591">
        <v>1292</v>
      </c>
      <c r="K12" s="591">
        <v>1262</v>
      </c>
      <c r="L12" s="591">
        <v>1196</v>
      </c>
      <c r="M12" s="591">
        <v>1128</v>
      </c>
      <c r="N12" s="591">
        <v>1034</v>
      </c>
      <c r="O12" s="591">
        <v>951</v>
      </c>
      <c r="P12" s="591">
        <v>895</v>
      </c>
      <c r="Q12" s="591">
        <v>817</v>
      </c>
      <c r="R12" s="591">
        <v>784</v>
      </c>
      <c r="S12" s="591">
        <v>741</v>
      </c>
      <c r="T12" s="591">
        <v>692</v>
      </c>
      <c r="U12" s="591">
        <v>716</v>
      </c>
      <c r="V12" s="591">
        <v>751</v>
      </c>
    </row>
    <row r="13" spans="1:22" s="38" customFormat="1" ht="15" customHeight="1" x14ac:dyDescent="0.25">
      <c r="B13" s="114" t="s">
        <v>156</v>
      </c>
      <c r="C13" s="592">
        <v>98</v>
      </c>
      <c r="D13" s="592">
        <v>486</v>
      </c>
      <c r="E13" s="592">
        <v>811</v>
      </c>
      <c r="F13" s="592">
        <v>1135</v>
      </c>
      <c r="G13" s="593">
        <v>1284</v>
      </c>
      <c r="H13" s="593">
        <v>1452</v>
      </c>
      <c r="I13" s="593">
        <v>1518</v>
      </c>
      <c r="J13" s="593">
        <v>1558</v>
      </c>
      <c r="K13" s="593">
        <v>1492</v>
      </c>
      <c r="L13" s="593">
        <v>1394</v>
      </c>
      <c r="M13" s="593">
        <v>1289</v>
      </c>
      <c r="N13" s="593">
        <v>1222</v>
      </c>
      <c r="O13" s="593">
        <v>1056</v>
      </c>
      <c r="P13" s="593">
        <v>1012</v>
      </c>
      <c r="Q13" s="593">
        <v>913</v>
      </c>
      <c r="R13" s="593">
        <v>892</v>
      </c>
      <c r="S13" s="593">
        <v>914</v>
      </c>
      <c r="T13" s="593">
        <v>919</v>
      </c>
      <c r="U13" s="593">
        <v>975</v>
      </c>
      <c r="V13" s="593">
        <v>1023</v>
      </c>
    </row>
    <row r="14" spans="1:22" s="38" customFormat="1" ht="15" customHeight="1" x14ac:dyDescent="0.25">
      <c r="B14" s="594" t="s">
        <v>59</v>
      </c>
      <c r="C14" s="595">
        <f>SUM(C4:C13)</f>
        <v>6155</v>
      </c>
      <c r="D14" s="595">
        <f t="shared" ref="D14:R14" si="0">SUM(D4:D13)</f>
        <v>6518</v>
      </c>
      <c r="E14" s="595">
        <f t="shared" si="0"/>
        <v>6814</v>
      </c>
      <c r="F14" s="595">
        <f t="shared" si="0"/>
        <v>7139</v>
      </c>
      <c r="G14" s="595">
        <f t="shared" si="0"/>
        <v>7357</v>
      </c>
      <c r="H14" s="595">
        <f t="shared" si="0"/>
        <v>7629</v>
      </c>
      <c r="I14" s="595">
        <f t="shared" si="0"/>
        <v>7768</v>
      </c>
      <c r="J14" s="595">
        <f t="shared" si="0"/>
        <v>8348</v>
      </c>
      <c r="K14" s="595">
        <f t="shared" si="0"/>
        <v>8552</v>
      </c>
      <c r="L14" s="596">
        <f t="shared" si="0"/>
        <v>8481</v>
      </c>
      <c r="M14" s="596">
        <f t="shared" si="0"/>
        <v>8413</v>
      </c>
      <c r="N14" s="596">
        <f t="shared" si="0"/>
        <v>8142</v>
      </c>
      <c r="O14" s="596">
        <f t="shared" si="0"/>
        <v>7752</v>
      </c>
      <c r="P14" s="596">
        <f t="shared" si="0"/>
        <v>7437</v>
      </c>
      <c r="Q14" s="596">
        <f t="shared" si="0"/>
        <v>7030</v>
      </c>
      <c r="R14" s="596">
        <f t="shared" si="0"/>
        <v>6973</v>
      </c>
      <c r="S14" s="596">
        <f>SUM(S4:S13)</f>
        <v>7240</v>
      </c>
      <c r="T14" s="596">
        <f>SUM(T4:T13)</f>
        <v>7088</v>
      </c>
      <c r="U14" s="596">
        <f>SUM(U4:U13)</f>
        <v>7537</v>
      </c>
      <c r="V14" s="596">
        <f>SUM(V4:V13)</f>
        <v>7761</v>
      </c>
    </row>
    <row r="15" spans="1:22" s="38" customFormat="1" ht="15" customHeight="1" x14ac:dyDescent="0.25">
      <c r="B15" s="100" t="s">
        <v>60</v>
      </c>
      <c r="C15" s="588">
        <v>1363</v>
      </c>
      <c r="D15" s="588">
        <v>1352</v>
      </c>
      <c r="E15" s="588">
        <v>1327</v>
      </c>
      <c r="F15" s="588">
        <v>1305</v>
      </c>
      <c r="G15" s="589">
        <v>1376</v>
      </c>
      <c r="H15" s="589">
        <v>1388</v>
      </c>
      <c r="I15" s="589">
        <v>1383</v>
      </c>
      <c r="J15" s="589">
        <v>1377</v>
      </c>
      <c r="K15" s="589">
        <v>1394</v>
      </c>
      <c r="L15" s="589">
        <v>1447</v>
      </c>
      <c r="M15" s="589">
        <v>1458</v>
      </c>
      <c r="N15" s="589">
        <v>1481</v>
      </c>
      <c r="O15" s="589">
        <v>1506</v>
      </c>
      <c r="P15" s="589">
        <v>1510</v>
      </c>
      <c r="Q15" s="589">
        <v>1463</v>
      </c>
      <c r="R15" s="589">
        <v>1515</v>
      </c>
      <c r="S15" s="589">
        <v>1536</v>
      </c>
      <c r="T15" s="589">
        <v>1607</v>
      </c>
      <c r="U15" s="589">
        <v>1710</v>
      </c>
      <c r="V15" s="589">
        <v>1785</v>
      </c>
    </row>
    <row r="16" spans="1:22" s="38" customFormat="1" ht="15" customHeight="1" x14ac:dyDescent="0.25">
      <c r="B16" s="107" t="s">
        <v>61</v>
      </c>
      <c r="C16" s="590">
        <v>2046</v>
      </c>
      <c r="D16" s="590">
        <v>1992</v>
      </c>
      <c r="E16" s="590">
        <v>1978</v>
      </c>
      <c r="F16" s="590">
        <v>1946</v>
      </c>
      <c r="G16" s="591">
        <v>1904</v>
      </c>
      <c r="H16" s="591">
        <v>1979</v>
      </c>
      <c r="I16" s="591">
        <v>2018</v>
      </c>
      <c r="J16" s="591">
        <v>2070</v>
      </c>
      <c r="K16" s="591">
        <v>2142</v>
      </c>
      <c r="L16" s="591">
        <v>2332</v>
      </c>
      <c r="M16" s="591">
        <v>2445</v>
      </c>
      <c r="N16" s="591">
        <v>2427</v>
      </c>
      <c r="O16" s="591">
        <v>2518</v>
      </c>
      <c r="P16" s="591">
        <v>2574</v>
      </c>
      <c r="Q16" s="591">
        <v>2494</v>
      </c>
      <c r="R16" s="591">
        <v>2538</v>
      </c>
      <c r="S16" s="591">
        <v>2571</v>
      </c>
      <c r="T16" s="591">
        <v>2566</v>
      </c>
      <c r="U16" s="591">
        <v>2615</v>
      </c>
      <c r="V16" s="591">
        <v>2587</v>
      </c>
    </row>
    <row r="17" spans="2:22" s="38" customFormat="1" ht="15" customHeight="1" x14ac:dyDescent="0.25">
      <c r="B17" s="107" t="s">
        <v>62</v>
      </c>
      <c r="C17" s="590">
        <v>990</v>
      </c>
      <c r="D17" s="590">
        <v>961</v>
      </c>
      <c r="E17" s="590">
        <v>937</v>
      </c>
      <c r="F17" s="590">
        <v>902</v>
      </c>
      <c r="G17" s="591">
        <v>914</v>
      </c>
      <c r="H17" s="591">
        <v>967</v>
      </c>
      <c r="I17" s="591">
        <v>1015</v>
      </c>
      <c r="J17" s="591">
        <v>1041</v>
      </c>
      <c r="K17" s="591">
        <v>1083</v>
      </c>
      <c r="L17" s="591">
        <v>1148</v>
      </c>
      <c r="M17" s="591">
        <v>1186</v>
      </c>
      <c r="N17" s="591">
        <v>1180</v>
      </c>
      <c r="O17" s="591">
        <v>1223</v>
      </c>
      <c r="P17" s="591">
        <v>1287</v>
      </c>
      <c r="Q17" s="591">
        <v>1377</v>
      </c>
      <c r="R17" s="591">
        <v>1452</v>
      </c>
      <c r="S17" s="591">
        <v>1570</v>
      </c>
      <c r="T17" s="591">
        <v>1579</v>
      </c>
      <c r="U17" s="591">
        <v>1642</v>
      </c>
      <c r="V17" s="591">
        <v>1645</v>
      </c>
    </row>
    <row r="18" spans="2:22" s="38" customFormat="1" ht="15" customHeight="1" x14ac:dyDescent="0.25">
      <c r="B18" s="107" t="s">
        <v>63</v>
      </c>
      <c r="C18" s="590">
        <v>1001</v>
      </c>
      <c r="D18" s="590">
        <v>1040</v>
      </c>
      <c r="E18" s="590">
        <v>1046</v>
      </c>
      <c r="F18" s="590">
        <v>1019</v>
      </c>
      <c r="G18" s="591">
        <v>1031</v>
      </c>
      <c r="H18" s="591">
        <v>1099</v>
      </c>
      <c r="I18" s="591">
        <v>1103</v>
      </c>
      <c r="J18" s="591">
        <v>1141</v>
      </c>
      <c r="K18" s="591">
        <v>1136</v>
      </c>
      <c r="L18" s="591">
        <v>1223</v>
      </c>
      <c r="M18" s="591">
        <v>1273</v>
      </c>
      <c r="N18" s="591">
        <v>1287</v>
      </c>
      <c r="O18" s="591">
        <v>1323</v>
      </c>
      <c r="P18" s="591">
        <v>1326</v>
      </c>
      <c r="Q18" s="591">
        <v>1304</v>
      </c>
      <c r="R18" s="591">
        <v>1373</v>
      </c>
      <c r="S18" s="591">
        <v>1417</v>
      </c>
      <c r="T18" s="591">
        <v>1375</v>
      </c>
      <c r="U18" s="591">
        <v>1364</v>
      </c>
      <c r="V18" s="591">
        <v>1380</v>
      </c>
    </row>
    <row r="19" spans="2:22" s="38" customFormat="1" ht="15" customHeight="1" x14ac:dyDescent="0.25">
      <c r="B19" s="594" t="s">
        <v>64</v>
      </c>
      <c r="C19" s="595">
        <f>SUM(C15:C18)</f>
        <v>5400</v>
      </c>
      <c r="D19" s="595">
        <f t="shared" ref="D19:R19" si="1">SUM(D15:D18)</f>
        <v>5345</v>
      </c>
      <c r="E19" s="595">
        <f t="shared" si="1"/>
        <v>5288</v>
      </c>
      <c r="F19" s="595">
        <f t="shared" si="1"/>
        <v>5172</v>
      </c>
      <c r="G19" s="595">
        <f t="shared" si="1"/>
        <v>5225</v>
      </c>
      <c r="H19" s="595">
        <f t="shared" si="1"/>
        <v>5433</v>
      </c>
      <c r="I19" s="595">
        <f t="shared" si="1"/>
        <v>5519</v>
      </c>
      <c r="J19" s="595">
        <f t="shared" si="1"/>
        <v>5629</v>
      </c>
      <c r="K19" s="595">
        <f t="shared" si="1"/>
        <v>5755</v>
      </c>
      <c r="L19" s="596">
        <f t="shared" si="1"/>
        <v>6150</v>
      </c>
      <c r="M19" s="596">
        <f t="shared" si="1"/>
        <v>6362</v>
      </c>
      <c r="N19" s="596">
        <f t="shared" si="1"/>
        <v>6375</v>
      </c>
      <c r="O19" s="596">
        <f t="shared" si="1"/>
        <v>6570</v>
      </c>
      <c r="P19" s="596">
        <f t="shared" si="1"/>
        <v>6697</v>
      </c>
      <c r="Q19" s="596">
        <f t="shared" si="1"/>
        <v>6638</v>
      </c>
      <c r="R19" s="596">
        <f t="shared" si="1"/>
        <v>6878</v>
      </c>
      <c r="S19" s="596">
        <f>SUM(S15:S18)</f>
        <v>7094</v>
      </c>
      <c r="T19" s="596">
        <f>SUM(T15:T18)</f>
        <v>7127</v>
      </c>
      <c r="U19" s="596">
        <f>SUM(U15:U18)</f>
        <v>7331</v>
      </c>
      <c r="V19" s="596">
        <f>SUM(V15:V18)</f>
        <v>7397</v>
      </c>
    </row>
    <row r="20" spans="2:22" s="38" customFormat="1" ht="15" customHeight="1" x14ac:dyDescent="0.25">
      <c r="B20" s="100" t="s">
        <v>65</v>
      </c>
      <c r="C20" s="588">
        <v>1353</v>
      </c>
      <c r="D20" s="588">
        <v>1359</v>
      </c>
      <c r="E20" s="588">
        <v>1359</v>
      </c>
      <c r="F20" s="588">
        <v>1363</v>
      </c>
      <c r="G20" s="589">
        <v>1371</v>
      </c>
      <c r="H20" s="589">
        <v>1375</v>
      </c>
      <c r="I20" s="589">
        <v>1328</v>
      </c>
      <c r="J20" s="589">
        <v>1300</v>
      </c>
      <c r="K20" s="589">
        <v>1274</v>
      </c>
      <c r="L20" s="589">
        <v>1296</v>
      </c>
      <c r="M20" s="589">
        <v>1316</v>
      </c>
      <c r="N20" s="589">
        <v>1283</v>
      </c>
      <c r="O20" s="589">
        <v>1267</v>
      </c>
      <c r="P20" s="589">
        <v>1181</v>
      </c>
      <c r="Q20" s="589">
        <v>1252</v>
      </c>
      <c r="R20" s="589">
        <v>1320</v>
      </c>
      <c r="S20" s="589">
        <v>1401</v>
      </c>
      <c r="T20" s="589">
        <v>1482</v>
      </c>
      <c r="U20" s="589">
        <v>1603</v>
      </c>
      <c r="V20" s="589">
        <v>1673</v>
      </c>
    </row>
    <row r="21" spans="2:22" s="38" customFormat="1" ht="15" customHeight="1" x14ac:dyDescent="0.25">
      <c r="B21" s="107" t="s">
        <v>66</v>
      </c>
      <c r="C21" s="590">
        <v>1188</v>
      </c>
      <c r="D21" s="590">
        <v>1168</v>
      </c>
      <c r="E21" s="590">
        <v>1189</v>
      </c>
      <c r="F21" s="590">
        <v>1148</v>
      </c>
      <c r="G21" s="591">
        <v>1061</v>
      </c>
      <c r="H21" s="591">
        <v>1008</v>
      </c>
      <c r="I21" s="591">
        <v>994</v>
      </c>
      <c r="J21" s="591">
        <v>949</v>
      </c>
      <c r="K21" s="591">
        <v>985</v>
      </c>
      <c r="L21" s="591">
        <v>1057</v>
      </c>
      <c r="M21" s="591">
        <v>1144</v>
      </c>
      <c r="N21" s="591">
        <v>1230</v>
      </c>
      <c r="O21" s="591">
        <v>1275</v>
      </c>
      <c r="P21" s="591">
        <v>1356</v>
      </c>
      <c r="Q21" s="591">
        <v>1360</v>
      </c>
      <c r="R21" s="591">
        <v>1350</v>
      </c>
      <c r="S21" s="591">
        <v>1404</v>
      </c>
      <c r="T21" s="591">
        <v>1396</v>
      </c>
      <c r="U21" s="591">
        <v>1379</v>
      </c>
      <c r="V21" s="591">
        <v>1393</v>
      </c>
    </row>
    <row r="22" spans="2:22" s="38" customFormat="1" ht="15" customHeight="1" x14ac:dyDescent="0.25">
      <c r="B22" s="107" t="s">
        <v>67</v>
      </c>
      <c r="C22" s="590">
        <v>713</v>
      </c>
      <c r="D22" s="590">
        <v>663</v>
      </c>
      <c r="E22" s="590">
        <v>676</v>
      </c>
      <c r="F22" s="590">
        <v>694</v>
      </c>
      <c r="G22" s="591">
        <v>700</v>
      </c>
      <c r="H22" s="591">
        <v>734</v>
      </c>
      <c r="I22" s="591">
        <v>762</v>
      </c>
      <c r="J22" s="591">
        <v>809</v>
      </c>
      <c r="K22" s="591">
        <v>825</v>
      </c>
      <c r="L22" s="591">
        <v>871</v>
      </c>
      <c r="M22" s="591">
        <v>903</v>
      </c>
      <c r="N22" s="591">
        <v>936</v>
      </c>
      <c r="O22" s="591">
        <v>944</v>
      </c>
      <c r="P22" s="591">
        <v>966</v>
      </c>
      <c r="Q22" s="591">
        <v>969</v>
      </c>
      <c r="R22" s="591">
        <v>976</v>
      </c>
      <c r="S22" s="591">
        <v>984</v>
      </c>
      <c r="T22" s="591">
        <v>992</v>
      </c>
      <c r="U22" s="591">
        <v>1000</v>
      </c>
      <c r="V22" s="591">
        <v>976</v>
      </c>
    </row>
    <row r="23" spans="2:22" s="38" customFormat="1" ht="15" customHeight="1" x14ac:dyDescent="0.25">
      <c r="B23" s="594" t="s">
        <v>68</v>
      </c>
      <c r="C23" s="595">
        <f>SUM(C20:C22)</f>
        <v>3254</v>
      </c>
      <c r="D23" s="595">
        <f t="shared" ref="D23:R23" si="2">SUM(D20:D22)</f>
        <v>3190</v>
      </c>
      <c r="E23" s="595">
        <f t="shared" si="2"/>
        <v>3224</v>
      </c>
      <c r="F23" s="595">
        <f t="shared" si="2"/>
        <v>3205</v>
      </c>
      <c r="G23" s="595">
        <f t="shared" si="2"/>
        <v>3132</v>
      </c>
      <c r="H23" s="595">
        <f t="shared" si="2"/>
        <v>3117</v>
      </c>
      <c r="I23" s="595">
        <f t="shared" si="2"/>
        <v>3084</v>
      </c>
      <c r="J23" s="595">
        <f t="shared" si="2"/>
        <v>3058</v>
      </c>
      <c r="K23" s="595">
        <f t="shared" si="2"/>
        <v>3084</v>
      </c>
      <c r="L23" s="596">
        <f t="shared" si="2"/>
        <v>3224</v>
      </c>
      <c r="M23" s="596">
        <f t="shared" si="2"/>
        <v>3363</v>
      </c>
      <c r="N23" s="596">
        <f t="shared" si="2"/>
        <v>3449</v>
      </c>
      <c r="O23" s="596">
        <f t="shared" si="2"/>
        <v>3486</v>
      </c>
      <c r="P23" s="596">
        <f t="shared" si="2"/>
        <v>3503</v>
      </c>
      <c r="Q23" s="596">
        <f t="shared" si="2"/>
        <v>3581</v>
      </c>
      <c r="R23" s="596">
        <f t="shared" si="2"/>
        <v>3646</v>
      </c>
      <c r="S23" s="596">
        <f>SUM(S20:S22)</f>
        <v>3789</v>
      </c>
      <c r="T23" s="596">
        <f>SUM(T20:T22)</f>
        <v>3870</v>
      </c>
      <c r="U23" s="596">
        <f>SUM(U20:U22)</f>
        <v>3982</v>
      </c>
      <c r="V23" s="596">
        <f>SUM(V20:V22)</f>
        <v>4042</v>
      </c>
    </row>
    <row r="24" spans="2:22" s="38" customFormat="1" ht="15" customHeight="1" x14ac:dyDescent="0.25">
      <c r="B24" s="450" t="s">
        <v>69</v>
      </c>
      <c r="C24" s="597">
        <f>SUM(C14,C19,C23)</f>
        <v>14809</v>
      </c>
      <c r="D24" s="597">
        <f t="shared" ref="D24:R24" si="3">SUM(D14,D19,D23)</f>
        <v>15053</v>
      </c>
      <c r="E24" s="597">
        <f t="shared" si="3"/>
        <v>15326</v>
      </c>
      <c r="F24" s="597">
        <f t="shared" si="3"/>
        <v>15516</v>
      </c>
      <c r="G24" s="597">
        <f t="shared" si="3"/>
        <v>15714</v>
      </c>
      <c r="H24" s="597">
        <f t="shared" si="3"/>
        <v>16179</v>
      </c>
      <c r="I24" s="597">
        <f t="shared" si="3"/>
        <v>16371</v>
      </c>
      <c r="J24" s="597">
        <f t="shared" si="3"/>
        <v>17035</v>
      </c>
      <c r="K24" s="597">
        <f t="shared" si="3"/>
        <v>17391</v>
      </c>
      <c r="L24" s="598">
        <f t="shared" si="3"/>
        <v>17855</v>
      </c>
      <c r="M24" s="598">
        <f t="shared" si="3"/>
        <v>18138</v>
      </c>
      <c r="N24" s="598">
        <f t="shared" si="3"/>
        <v>17966</v>
      </c>
      <c r="O24" s="598">
        <f t="shared" si="3"/>
        <v>17808</v>
      </c>
      <c r="P24" s="598">
        <f t="shared" si="3"/>
        <v>17637</v>
      </c>
      <c r="Q24" s="598">
        <f t="shared" si="3"/>
        <v>17249</v>
      </c>
      <c r="R24" s="598">
        <f t="shared" si="3"/>
        <v>17497</v>
      </c>
      <c r="S24" s="598">
        <f>SUM(S14,S19,S23)</f>
        <v>18123</v>
      </c>
      <c r="T24" s="598">
        <f>SUM(T14,T19,T23)</f>
        <v>18085</v>
      </c>
      <c r="U24" s="598">
        <f>SUM(U14,U19,U23)</f>
        <v>18850</v>
      </c>
      <c r="V24" s="598">
        <f>SUM(V14,V19,V23)</f>
        <v>19200</v>
      </c>
    </row>
    <row r="25" spans="2:22" s="38" customFormat="1" ht="15" customHeight="1" x14ac:dyDescent="0.25">
      <c r="B25" s="100" t="s">
        <v>60</v>
      </c>
      <c r="C25" s="588"/>
      <c r="D25" s="588"/>
      <c r="E25" s="588">
        <v>57</v>
      </c>
      <c r="F25" s="588">
        <v>97</v>
      </c>
      <c r="G25" s="589">
        <v>157</v>
      </c>
      <c r="H25" s="589">
        <v>214</v>
      </c>
      <c r="I25" s="589">
        <v>232</v>
      </c>
      <c r="J25" s="589">
        <v>223</v>
      </c>
      <c r="K25" s="589">
        <v>225</v>
      </c>
      <c r="L25" s="589">
        <v>201</v>
      </c>
      <c r="M25" s="589">
        <v>199</v>
      </c>
      <c r="N25" s="589">
        <v>217</v>
      </c>
      <c r="O25" s="589">
        <v>236</v>
      </c>
      <c r="P25" s="589">
        <v>270</v>
      </c>
      <c r="Q25" s="589">
        <v>287</v>
      </c>
      <c r="R25" s="589">
        <v>306</v>
      </c>
      <c r="S25" s="589">
        <v>325</v>
      </c>
      <c r="T25" s="589">
        <v>334</v>
      </c>
      <c r="U25" s="589">
        <v>354</v>
      </c>
      <c r="V25" s="589">
        <v>379</v>
      </c>
    </row>
    <row r="26" spans="2:22" s="38" customFormat="1" ht="15" customHeight="1" x14ac:dyDescent="0.25">
      <c r="B26" s="107" t="s">
        <v>61</v>
      </c>
      <c r="C26" s="590"/>
      <c r="D26" s="590"/>
      <c r="E26" s="590">
        <v>54</v>
      </c>
      <c r="F26" s="590">
        <v>51</v>
      </c>
      <c r="G26" s="591">
        <v>31</v>
      </c>
      <c r="H26" s="591">
        <v>28</v>
      </c>
      <c r="I26" s="591">
        <v>27</v>
      </c>
      <c r="J26" s="591">
        <v>7</v>
      </c>
      <c r="K26" s="591">
        <v>3</v>
      </c>
      <c r="L26" s="591"/>
      <c r="M26" s="591"/>
      <c r="N26" s="591"/>
      <c r="O26" s="591">
        <v>36</v>
      </c>
      <c r="P26" s="591">
        <v>72</v>
      </c>
      <c r="Q26" s="591">
        <v>100</v>
      </c>
      <c r="R26" s="591">
        <v>127</v>
      </c>
      <c r="S26" s="591">
        <v>161</v>
      </c>
      <c r="T26" s="591">
        <v>180</v>
      </c>
      <c r="U26" s="591">
        <v>197</v>
      </c>
      <c r="V26" s="591">
        <v>211</v>
      </c>
    </row>
    <row r="27" spans="2:22" s="38" customFormat="1" ht="15" customHeight="1" x14ac:dyDescent="0.25">
      <c r="B27" s="107" t="s">
        <v>106</v>
      </c>
      <c r="C27" s="590"/>
      <c r="D27" s="590"/>
      <c r="E27" s="590"/>
      <c r="F27" s="590"/>
      <c r="G27" s="591">
        <v>22</v>
      </c>
      <c r="H27" s="591">
        <v>42</v>
      </c>
      <c r="I27" s="591">
        <v>62</v>
      </c>
      <c r="J27" s="591">
        <v>89</v>
      </c>
      <c r="K27" s="591">
        <v>101</v>
      </c>
      <c r="L27" s="591">
        <v>105</v>
      </c>
      <c r="M27" s="591">
        <v>110</v>
      </c>
      <c r="N27" s="591">
        <v>161</v>
      </c>
      <c r="O27" s="591">
        <v>197</v>
      </c>
      <c r="P27" s="591">
        <v>244</v>
      </c>
      <c r="Q27" s="591">
        <v>279</v>
      </c>
      <c r="R27" s="591">
        <v>304</v>
      </c>
      <c r="S27" s="591">
        <v>339</v>
      </c>
      <c r="T27" s="591">
        <v>346</v>
      </c>
      <c r="U27" s="591">
        <v>334</v>
      </c>
      <c r="V27" s="591">
        <v>315</v>
      </c>
    </row>
    <row r="28" spans="2:22" s="38" customFormat="1" ht="15" customHeight="1" x14ac:dyDescent="0.25">
      <c r="B28" s="107" t="s">
        <v>164</v>
      </c>
      <c r="C28" s="590"/>
      <c r="D28" s="590"/>
      <c r="E28" s="590"/>
      <c r="F28" s="590"/>
      <c r="G28" s="591">
        <v>32</v>
      </c>
      <c r="H28" s="591">
        <v>59</v>
      </c>
      <c r="I28" s="591">
        <v>80</v>
      </c>
      <c r="J28" s="591">
        <v>101</v>
      </c>
      <c r="K28" s="591">
        <v>126</v>
      </c>
      <c r="L28" s="591">
        <v>140</v>
      </c>
      <c r="M28" s="591">
        <v>150</v>
      </c>
      <c r="N28" s="591">
        <v>198</v>
      </c>
      <c r="O28" s="591">
        <v>233</v>
      </c>
      <c r="P28" s="591">
        <v>252</v>
      </c>
      <c r="Q28" s="591">
        <v>292</v>
      </c>
      <c r="R28" s="591">
        <v>314</v>
      </c>
      <c r="S28" s="591">
        <v>341</v>
      </c>
      <c r="T28" s="591">
        <v>348</v>
      </c>
      <c r="U28" s="591">
        <v>376</v>
      </c>
      <c r="V28" s="591">
        <v>392</v>
      </c>
    </row>
    <row r="29" spans="2:22" s="38" customFormat="1" ht="15" customHeight="1" x14ac:dyDescent="0.25">
      <c r="B29" s="594" t="s">
        <v>64</v>
      </c>
      <c r="C29" s="595"/>
      <c r="D29" s="595"/>
      <c r="E29" s="595">
        <f t="shared" ref="E29:R29" si="4">SUM(E25:E28)</f>
        <v>111</v>
      </c>
      <c r="F29" s="595">
        <f t="shared" si="4"/>
        <v>148</v>
      </c>
      <c r="G29" s="595">
        <f t="shared" si="4"/>
        <v>242</v>
      </c>
      <c r="H29" s="595">
        <f t="shared" si="4"/>
        <v>343</v>
      </c>
      <c r="I29" s="595">
        <f t="shared" si="4"/>
        <v>401</v>
      </c>
      <c r="J29" s="595">
        <f t="shared" si="4"/>
        <v>420</v>
      </c>
      <c r="K29" s="595">
        <f t="shared" si="4"/>
        <v>455</v>
      </c>
      <c r="L29" s="596">
        <f t="shared" si="4"/>
        <v>446</v>
      </c>
      <c r="M29" s="596">
        <f t="shared" si="4"/>
        <v>459</v>
      </c>
      <c r="N29" s="596">
        <f t="shared" si="4"/>
        <v>576</v>
      </c>
      <c r="O29" s="596">
        <f t="shared" si="4"/>
        <v>702</v>
      </c>
      <c r="P29" s="596">
        <f t="shared" si="4"/>
        <v>838</v>
      </c>
      <c r="Q29" s="596">
        <f t="shared" si="4"/>
        <v>958</v>
      </c>
      <c r="R29" s="596">
        <f t="shared" si="4"/>
        <v>1051</v>
      </c>
      <c r="S29" s="596">
        <f>SUM(S25:S28)</f>
        <v>1166</v>
      </c>
      <c r="T29" s="596">
        <f>SUM(T25:T28)</f>
        <v>1208</v>
      </c>
      <c r="U29" s="596">
        <f>SUM(U25:U28)</f>
        <v>1261</v>
      </c>
      <c r="V29" s="596">
        <f>SUM(V25:V28)</f>
        <v>1297</v>
      </c>
    </row>
    <row r="30" spans="2:22" s="38" customFormat="1" ht="15" customHeight="1" x14ac:dyDescent="0.25">
      <c r="B30" s="599" t="s">
        <v>108</v>
      </c>
      <c r="C30" s="600"/>
      <c r="D30" s="600"/>
      <c r="E30" s="600">
        <v>34</v>
      </c>
      <c r="F30" s="600">
        <v>61</v>
      </c>
      <c r="G30" s="601">
        <v>117</v>
      </c>
      <c r="H30" s="601">
        <v>167</v>
      </c>
      <c r="I30" s="601">
        <v>185</v>
      </c>
      <c r="J30" s="601">
        <v>204</v>
      </c>
      <c r="K30" s="601">
        <v>199</v>
      </c>
      <c r="L30" s="601">
        <v>215</v>
      </c>
      <c r="M30" s="601">
        <v>214</v>
      </c>
      <c r="N30" s="601">
        <v>257</v>
      </c>
      <c r="O30" s="601">
        <v>280</v>
      </c>
      <c r="P30" s="601">
        <v>314</v>
      </c>
      <c r="Q30" s="601">
        <v>343</v>
      </c>
      <c r="R30" s="601">
        <v>360</v>
      </c>
      <c r="S30" s="601">
        <v>383</v>
      </c>
      <c r="T30" s="601">
        <v>397</v>
      </c>
      <c r="U30" s="601">
        <v>426</v>
      </c>
      <c r="V30" s="601">
        <v>445</v>
      </c>
    </row>
    <row r="31" spans="2:22" s="38" customFormat="1" ht="15" customHeight="1" x14ac:dyDescent="0.25">
      <c r="B31" s="107" t="s">
        <v>109</v>
      </c>
      <c r="C31" s="590"/>
      <c r="D31" s="590"/>
      <c r="E31" s="590"/>
      <c r="F31" s="590"/>
      <c r="G31" s="591">
        <v>25</v>
      </c>
      <c r="H31" s="591">
        <v>48</v>
      </c>
      <c r="I31" s="591">
        <v>77</v>
      </c>
      <c r="J31" s="591">
        <v>108</v>
      </c>
      <c r="K31" s="591">
        <v>136</v>
      </c>
      <c r="L31" s="591">
        <v>160</v>
      </c>
      <c r="M31" s="591">
        <v>175</v>
      </c>
      <c r="N31" s="591">
        <v>184</v>
      </c>
      <c r="O31" s="591">
        <v>215</v>
      </c>
      <c r="P31" s="591">
        <v>242</v>
      </c>
      <c r="Q31" s="591">
        <v>276</v>
      </c>
      <c r="R31" s="591">
        <v>307</v>
      </c>
      <c r="S31" s="591">
        <v>332</v>
      </c>
      <c r="T31" s="591">
        <v>335</v>
      </c>
      <c r="U31" s="591">
        <v>359</v>
      </c>
      <c r="V31" s="591">
        <v>380</v>
      </c>
    </row>
    <row r="32" spans="2:22" s="38" customFormat="1" ht="15" customHeight="1" x14ac:dyDescent="0.25">
      <c r="B32" s="107" t="s">
        <v>110</v>
      </c>
      <c r="C32" s="590"/>
      <c r="D32" s="590"/>
      <c r="E32" s="590"/>
      <c r="F32" s="590"/>
      <c r="G32" s="591">
        <v>49</v>
      </c>
      <c r="H32" s="591">
        <v>99</v>
      </c>
      <c r="I32" s="591">
        <v>116</v>
      </c>
      <c r="J32" s="591">
        <v>150</v>
      </c>
      <c r="K32" s="591">
        <v>204</v>
      </c>
      <c r="L32" s="591">
        <v>228</v>
      </c>
      <c r="M32" s="591">
        <v>240</v>
      </c>
      <c r="N32" s="591">
        <v>270</v>
      </c>
      <c r="O32" s="591">
        <v>321</v>
      </c>
      <c r="P32" s="591">
        <v>377</v>
      </c>
      <c r="Q32" s="591">
        <v>420</v>
      </c>
      <c r="R32" s="591">
        <v>438</v>
      </c>
      <c r="S32" s="591">
        <v>478</v>
      </c>
      <c r="T32" s="591">
        <v>490</v>
      </c>
      <c r="U32" s="591">
        <v>501</v>
      </c>
      <c r="V32" s="591">
        <v>510</v>
      </c>
    </row>
    <row r="33" spans="2:22" s="38" customFormat="1" ht="15" customHeight="1" x14ac:dyDescent="0.25">
      <c r="B33" s="594" t="s">
        <v>111</v>
      </c>
      <c r="C33" s="595"/>
      <c r="D33" s="595"/>
      <c r="E33" s="595">
        <f>SUM(E30:E32)</f>
        <v>34</v>
      </c>
      <c r="F33" s="595">
        <f t="shared" ref="F33:R33" si="5">SUM(F30:F32)</f>
        <v>61</v>
      </c>
      <c r="G33" s="595">
        <f t="shared" si="5"/>
        <v>191</v>
      </c>
      <c r="H33" s="595">
        <f t="shared" si="5"/>
        <v>314</v>
      </c>
      <c r="I33" s="595">
        <f t="shared" si="5"/>
        <v>378</v>
      </c>
      <c r="J33" s="595">
        <f t="shared" si="5"/>
        <v>462</v>
      </c>
      <c r="K33" s="595">
        <f t="shared" si="5"/>
        <v>539</v>
      </c>
      <c r="L33" s="596">
        <f t="shared" si="5"/>
        <v>603</v>
      </c>
      <c r="M33" s="596">
        <f t="shared" si="5"/>
        <v>629</v>
      </c>
      <c r="N33" s="596">
        <f t="shared" si="5"/>
        <v>711</v>
      </c>
      <c r="O33" s="596">
        <f t="shared" si="5"/>
        <v>816</v>
      </c>
      <c r="P33" s="596">
        <f t="shared" si="5"/>
        <v>933</v>
      </c>
      <c r="Q33" s="596">
        <f t="shared" si="5"/>
        <v>1039</v>
      </c>
      <c r="R33" s="596">
        <f t="shared" si="5"/>
        <v>1105</v>
      </c>
      <c r="S33" s="596">
        <f>SUM(S30:S32)</f>
        <v>1193</v>
      </c>
      <c r="T33" s="596">
        <f>SUM(T30:T32)</f>
        <v>1222</v>
      </c>
      <c r="U33" s="596">
        <f>SUM(U30:U32)</f>
        <v>1286</v>
      </c>
      <c r="V33" s="596">
        <f>SUM(V30:V32)</f>
        <v>1335</v>
      </c>
    </row>
    <row r="34" spans="2:22" s="38" customFormat="1" ht="15" customHeight="1" x14ac:dyDescent="0.25">
      <c r="B34" s="100" t="s">
        <v>58</v>
      </c>
      <c r="C34" s="588"/>
      <c r="D34" s="588"/>
      <c r="E34" s="588">
        <v>46</v>
      </c>
      <c r="F34" s="588">
        <v>64</v>
      </c>
      <c r="G34" s="589">
        <v>97</v>
      </c>
      <c r="H34" s="589">
        <v>140</v>
      </c>
      <c r="I34" s="589">
        <v>160</v>
      </c>
      <c r="J34" s="589">
        <v>147</v>
      </c>
      <c r="K34" s="589">
        <v>155</v>
      </c>
      <c r="L34" s="589">
        <v>162</v>
      </c>
      <c r="M34" s="589">
        <v>181</v>
      </c>
      <c r="N34" s="589">
        <v>223</v>
      </c>
      <c r="O34" s="589">
        <v>235</v>
      </c>
      <c r="P34" s="589">
        <v>266</v>
      </c>
      <c r="Q34" s="589">
        <v>296</v>
      </c>
      <c r="R34" s="589">
        <v>323</v>
      </c>
      <c r="S34" s="589">
        <v>343</v>
      </c>
      <c r="T34" s="589">
        <v>356</v>
      </c>
      <c r="U34" s="589">
        <v>396</v>
      </c>
      <c r="V34" s="589">
        <v>437</v>
      </c>
    </row>
    <row r="35" spans="2:22" s="38" customFormat="1" ht="15" customHeight="1" x14ac:dyDescent="0.25">
      <c r="B35" s="107" t="s">
        <v>112</v>
      </c>
      <c r="C35" s="590"/>
      <c r="D35" s="590"/>
      <c r="E35" s="590">
        <v>12</v>
      </c>
      <c r="F35" s="590">
        <v>14</v>
      </c>
      <c r="G35" s="591">
        <v>32</v>
      </c>
      <c r="H35" s="591">
        <v>55</v>
      </c>
      <c r="I35" s="591">
        <v>72</v>
      </c>
      <c r="J35" s="591">
        <v>79</v>
      </c>
      <c r="K35" s="591">
        <v>96</v>
      </c>
      <c r="L35" s="591">
        <v>112</v>
      </c>
      <c r="M35" s="591">
        <v>124</v>
      </c>
      <c r="N35" s="591">
        <v>140</v>
      </c>
      <c r="O35" s="591">
        <v>146</v>
      </c>
      <c r="P35" s="591">
        <v>145</v>
      </c>
      <c r="Q35" s="591">
        <v>151</v>
      </c>
      <c r="R35" s="591">
        <v>151</v>
      </c>
      <c r="S35" s="591">
        <v>164</v>
      </c>
      <c r="T35" s="591">
        <v>174</v>
      </c>
      <c r="U35" s="591">
        <v>186</v>
      </c>
      <c r="V35" s="591">
        <v>187</v>
      </c>
    </row>
    <row r="36" spans="2:22" s="38" customFormat="1" ht="15" customHeight="1" x14ac:dyDescent="0.25">
      <c r="B36" s="107" t="s">
        <v>113</v>
      </c>
      <c r="C36" s="590"/>
      <c r="D36" s="590"/>
      <c r="E36" s="590"/>
      <c r="F36" s="590"/>
      <c r="G36" s="591"/>
      <c r="H36" s="591">
        <v>19</v>
      </c>
      <c r="I36" s="591">
        <v>43</v>
      </c>
      <c r="J36" s="591">
        <v>70</v>
      </c>
      <c r="K36" s="591">
        <v>74</v>
      </c>
      <c r="L36" s="591">
        <v>84</v>
      </c>
      <c r="M36" s="591">
        <v>101</v>
      </c>
      <c r="N36" s="591">
        <v>145</v>
      </c>
      <c r="O36" s="591">
        <v>176</v>
      </c>
      <c r="P36" s="591">
        <v>220</v>
      </c>
      <c r="Q36" s="591">
        <v>250</v>
      </c>
      <c r="R36" s="591">
        <v>285</v>
      </c>
      <c r="S36" s="591">
        <v>321</v>
      </c>
      <c r="T36" s="591">
        <v>338</v>
      </c>
      <c r="U36" s="591">
        <v>335</v>
      </c>
      <c r="V36" s="591">
        <v>346</v>
      </c>
    </row>
    <row r="37" spans="2:22" s="38" customFormat="1" ht="15" customHeight="1" x14ac:dyDescent="0.25">
      <c r="B37" s="107" t="s">
        <v>114</v>
      </c>
      <c r="C37" s="590"/>
      <c r="D37" s="590"/>
      <c r="E37" s="590"/>
      <c r="F37" s="590"/>
      <c r="G37" s="591"/>
      <c r="H37" s="591"/>
      <c r="I37" s="591"/>
      <c r="J37" s="591">
        <v>27</v>
      </c>
      <c r="K37" s="591">
        <v>69</v>
      </c>
      <c r="L37" s="591">
        <v>121</v>
      </c>
      <c r="M37" s="591">
        <v>160</v>
      </c>
      <c r="N37" s="591">
        <v>214</v>
      </c>
      <c r="O37" s="591">
        <v>251</v>
      </c>
      <c r="P37" s="591">
        <v>295</v>
      </c>
      <c r="Q37" s="591">
        <v>312</v>
      </c>
      <c r="R37" s="591">
        <v>330</v>
      </c>
      <c r="S37" s="591">
        <v>341</v>
      </c>
      <c r="T37" s="591">
        <v>365</v>
      </c>
      <c r="U37" s="591">
        <v>390</v>
      </c>
      <c r="V37" s="591">
        <v>391</v>
      </c>
    </row>
    <row r="38" spans="2:22" s="38" customFormat="1" ht="15" customHeight="1" x14ac:dyDescent="0.25">
      <c r="B38" s="594" t="s">
        <v>115</v>
      </c>
      <c r="C38" s="595"/>
      <c r="D38" s="595"/>
      <c r="E38" s="595">
        <f>SUM(E34:E37)</f>
        <v>58</v>
      </c>
      <c r="F38" s="595">
        <f t="shared" ref="F38:R38" si="6">SUM(F34:F37)</f>
        <v>78</v>
      </c>
      <c r="G38" s="595">
        <f t="shared" si="6"/>
        <v>129</v>
      </c>
      <c r="H38" s="595">
        <f t="shared" si="6"/>
        <v>214</v>
      </c>
      <c r="I38" s="595">
        <f t="shared" si="6"/>
        <v>275</v>
      </c>
      <c r="J38" s="595">
        <f t="shared" si="6"/>
        <v>323</v>
      </c>
      <c r="K38" s="595">
        <f t="shared" si="6"/>
        <v>394</v>
      </c>
      <c r="L38" s="596">
        <f t="shared" si="6"/>
        <v>479</v>
      </c>
      <c r="M38" s="596">
        <f t="shared" si="6"/>
        <v>566</v>
      </c>
      <c r="N38" s="596">
        <f t="shared" si="6"/>
        <v>722</v>
      </c>
      <c r="O38" s="596">
        <f t="shared" si="6"/>
        <v>808</v>
      </c>
      <c r="P38" s="596">
        <f t="shared" si="6"/>
        <v>926</v>
      </c>
      <c r="Q38" s="596">
        <f t="shared" si="6"/>
        <v>1009</v>
      </c>
      <c r="R38" s="596">
        <f t="shared" si="6"/>
        <v>1089</v>
      </c>
      <c r="S38" s="596">
        <f>SUM(S34:S37)</f>
        <v>1169</v>
      </c>
      <c r="T38" s="596">
        <f>SUM(T34:T37)</f>
        <v>1233</v>
      </c>
      <c r="U38" s="596">
        <f>SUM(U34:U37)</f>
        <v>1307</v>
      </c>
      <c r="V38" s="596">
        <f>SUM(V34:V37)</f>
        <v>1361</v>
      </c>
    </row>
    <row r="39" spans="2:22" s="38" customFormat="1" ht="15" customHeight="1" x14ac:dyDescent="0.25">
      <c r="B39" s="459" t="s">
        <v>116</v>
      </c>
      <c r="C39" s="602"/>
      <c r="D39" s="602"/>
      <c r="E39" s="603">
        <f>SUM(E38,E33,E29)</f>
        <v>203</v>
      </c>
      <c r="F39" s="603">
        <f t="shared" ref="F39:R39" si="7">SUM(F38,F33,F29)</f>
        <v>287</v>
      </c>
      <c r="G39" s="603">
        <f t="shared" si="7"/>
        <v>562</v>
      </c>
      <c r="H39" s="603">
        <f t="shared" si="7"/>
        <v>871</v>
      </c>
      <c r="I39" s="603">
        <f t="shared" si="7"/>
        <v>1054</v>
      </c>
      <c r="J39" s="603">
        <f t="shared" si="7"/>
        <v>1205</v>
      </c>
      <c r="K39" s="603">
        <f t="shared" si="7"/>
        <v>1388</v>
      </c>
      <c r="L39" s="604">
        <f t="shared" si="7"/>
        <v>1528</v>
      </c>
      <c r="M39" s="604">
        <f t="shared" si="7"/>
        <v>1654</v>
      </c>
      <c r="N39" s="604">
        <f t="shared" si="7"/>
        <v>2009</v>
      </c>
      <c r="O39" s="604">
        <f t="shared" si="7"/>
        <v>2326</v>
      </c>
      <c r="P39" s="604">
        <f t="shared" si="7"/>
        <v>2697</v>
      </c>
      <c r="Q39" s="604">
        <f t="shared" si="7"/>
        <v>3006</v>
      </c>
      <c r="R39" s="604">
        <f t="shared" si="7"/>
        <v>3245</v>
      </c>
      <c r="S39" s="604">
        <f>SUM(S38,S33,S29)</f>
        <v>3528</v>
      </c>
      <c r="T39" s="604">
        <f>SUM(T38,T33,T29)</f>
        <v>3663</v>
      </c>
      <c r="U39" s="604">
        <f>SUM(U38,U33,U29)</f>
        <v>3854</v>
      </c>
      <c r="V39" s="604">
        <f>SUM(V38,V33,V29)</f>
        <v>3993</v>
      </c>
    </row>
    <row r="40" spans="2:22" s="38" customFormat="1" ht="15" customHeight="1" x14ac:dyDescent="0.25">
      <c r="B40" s="599" t="s">
        <v>70</v>
      </c>
      <c r="C40" s="600">
        <v>504</v>
      </c>
      <c r="D40" s="600">
        <v>509</v>
      </c>
      <c r="E40" s="600">
        <v>526</v>
      </c>
      <c r="F40" s="600">
        <v>544</v>
      </c>
      <c r="G40" s="601">
        <v>513</v>
      </c>
      <c r="H40" s="601">
        <v>524</v>
      </c>
      <c r="I40" s="601">
        <v>520</v>
      </c>
      <c r="J40" s="601">
        <v>548</v>
      </c>
      <c r="K40" s="601">
        <v>527</v>
      </c>
      <c r="L40" s="601">
        <v>550</v>
      </c>
      <c r="M40" s="601">
        <v>605</v>
      </c>
      <c r="N40" s="601">
        <v>626</v>
      </c>
      <c r="O40" s="601">
        <v>650</v>
      </c>
      <c r="P40" s="601">
        <v>665</v>
      </c>
      <c r="Q40" s="601">
        <v>651</v>
      </c>
      <c r="R40" s="601">
        <v>657</v>
      </c>
      <c r="S40" s="601">
        <v>636</v>
      </c>
      <c r="T40" s="601">
        <v>625</v>
      </c>
      <c r="U40" s="601">
        <v>602</v>
      </c>
      <c r="V40" s="601">
        <v>626</v>
      </c>
    </row>
    <row r="41" spans="2:22" s="38" customFormat="1" ht="15" customHeight="1" x14ac:dyDescent="0.25">
      <c r="B41" s="107" t="s">
        <v>71</v>
      </c>
      <c r="C41" s="590">
        <v>73</v>
      </c>
      <c r="D41" s="590">
        <v>72</v>
      </c>
      <c r="E41" s="590">
        <v>76</v>
      </c>
      <c r="F41" s="590">
        <v>71</v>
      </c>
      <c r="G41" s="591">
        <v>74</v>
      </c>
      <c r="H41" s="591">
        <v>88</v>
      </c>
      <c r="I41" s="591">
        <v>95</v>
      </c>
      <c r="J41" s="591">
        <v>89</v>
      </c>
      <c r="K41" s="591">
        <v>104</v>
      </c>
      <c r="L41" s="591">
        <v>127</v>
      </c>
      <c r="M41" s="591">
        <v>140</v>
      </c>
      <c r="N41" s="591">
        <v>164</v>
      </c>
      <c r="O41" s="591">
        <v>157</v>
      </c>
      <c r="P41" s="591">
        <v>149</v>
      </c>
      <c r="Q41" s="591">
        <v>141</v>
      </c>
      <c r="R41" s="591">
        <v>142</v>
      </c>
      <c r="S41" s="591">
        <v>154</v>
      </c>
      <c r="T41" s="591">
        <v>140</v>
      </c>
      <c r="U41" s="591">
        <v>135</v>
      </c>
      <c r="V41" s="591">
        <v>115</v>
      </c>
    </row>
    <row r="42" spans="2:22" s="38" customFormat="1" ht="15" customHeight="1" x14ac:dyDescent="0.25">
      <c r="B42" s="107" t="s">
        <v>56</v>
      </c>
      <c r="C42" s="590">
        <v>320</v>
      </c>
      <c r="D42" s="590">
        <v>314</v>
      </c>
      <c r="E42" s="590">
        <v>315</v>
      </c>
      <c r="F42" s="590">
        <v>310</v>
      </c>
      <c r="G42" s="591">
        <v>301</v>
      </c>
      <c r="H42" s="591">
        <v>318</v>
      </c>
      <c r="I42" s="591">
        <v>319</v>
      </c>
      <c r="J42" s="591">
        <v>360</v>
      </c>
      <c r="K42" s="591">
        <v>405</v>
      </c>
      <c r="L42" s="591">
        <v>455</v>
      </c>
      <c r="M42" s="591">
        <v>533</v>
      </c>
      <c r="N42" s="591">
        <v>564</v>
      </c>
      <c r="O42" s="591">
        <v>593</v>
      </c>
      <c r="P42" s="591">
        <v>604</v>
      </c>
      <c r="Q42" s="591">
        <v>589</v>
      </c>
      <c r="R42" s="591">
        <v>573</v>
      </c>
      <c r="S42" s="591">
        <v>560</v>
      </c>
      <c r="T42" s="591">
        <v>520</v>
      </c>
      <c r="U42" s="591">
        <v>508</v>
      </c>
      <c r="V42" s="591">
        <v>477</v>
      </c>
    </row>
    <row r="43" spans="2:22" s="38" customFormat="1" ht="15" customHeight="1" x14ac:dyDescent="0.25">
      <c r="B43" s="107" t="s">
        <v>72</v>
      </c>
      <c r="C43" s="590">
        <v>229</v>
      </c>
      <c r="D43" s="590">
        <v>221</v>
      </c>
      <c r="E43" s="590">
        <v>241</v>
      </c>
      <c r="F43" s="590">
        <v>228</v>
      </c>
      <c r="G43" s="591">
        <v>213</v>
      </c>
      <c r="H43" s="591">
        <v>250</v>
      </c>
      <c r="I43" s="591">
        <v>275</v>
      </c>
      <c r="J43" s="591">
        <v>322</v>
      </c>
      <c r="K43" s="591">
        <v>378</v>
      </c>
      <c r="L43" s="591">
        <v>412</v>
      </c>
      <c r="M43" s="591">
        <v>475</v>
      </c>
      <c r="N43" s="591">
        <v>515</v>
      </c>
      <c r="O43" s="591">
        <v>549</v>
      </c>
      <c r="P43" s="591">
        <v>549</v>
      </c>
      <c r="Q43" s="591">
        <v>521</v>
      </c>
      <c r="R43" s="591">
        <v>485</v>
      </c>
      <c r="S43" s="591">
        <v>451</v>
      </c>
      <c r="T43" s="591">
        <v>392</v>
      </c>
      <c r="U43" s="591">
        <v>366</v>
      </c>
      <c r="V43" s="591">
        <v>340</v>
      </c>
    </row>
    <row r="44" spans="2:22" s="38" customFormat="1" ht="15" customHeight="1" x14ac:dyDescent="0.25">
      <c r="B44" s="107" t="s">
        <v>73</v>
      </c>
      <c r="C44" s="590">
        <v>188</v>
      </c>
      <c r="D44" s="590">
        <v>185</v>
      </c>
      <c r="E44" s="590">
        <v>178</v>
      </c>
      <c r="F44" s="590">
        <v>185</v>
      </c>
      <c r="G44" s="591">
        <v>188</v>
      </c>
      <c r="H44" s="591">
        <v>202</v>
      </c>
      <c r="I44" s="591">
        <v>211</v>
      </c>
      <c r="J44" s="591">
        <v>262</v>
      </c>
      <c r="K44" s="591">
        <v>336</v>
      </c>
      <c r="L44" s="591">
        <v>405</v>
      </c>
      <c r="M44" s="591">
        <v>474</v>
      </c>
      <c r="N44" s="591">
        <v>516</v>
      </c>
      <c r="O44" s="591">
        <v>536</v>
      </c>
      <c r="P44" s="591">
        <v>542</v>
      </c>
      <c r="Q44" s="591">
        <v>544</v>
      </c>
      <c r="R44" s="591">
        <v>553</v>
      </c>
      <c r="S44" s="591">
        <v>578</v>
      </c>
      <c r="T44" s="591">
        <v>590</v>
      </c>
      <c r="U44" s="591">
        <v>575</v>
      </c>
      <c r="V44" s="591">
        <v>601</v>
      </c>
    </row>
    <row r="45" spans="2:22" s="38" customFormat="1" ht="15" customHeight="1" x14ac:dyDescent="0.25">
      <c r="B45" s="107" t="s">
        <v>57</v>
      </c>
      <c r="C45" s="590">
        <v>715</v>
      </c>
      <c r="D45" s="590">
        <v>683</v>
      </c>
      <c r="E45" s="590">
        <v>635</v>
      </c>
      <c r="F45" s="590">
        <v>656</v>
      </c>
      <c r="G45" s="591">
        <v>602</v>
      </c>
      <c r="H45" s="591">
        <v>592</v>
      </c>
      <c r="I45" s="591">
        <v>554</v>
      </c>
      <c r="J45" s="591">
        <v>529</v>
      </c>
      <c r="K45" s="591">
        <v>517</v>
      </c>
      <c r="L45" s="591">
        <v>517</v>
      </c>
      <c r="M45" s="591">
        <v>535</v>
      </c>
      <c r="N45" s="591">
        <v>533</v>
      </c>
      <c r="O45" s="591">
        <v>529</v>
      </c>
      <c r="P45" s="591">
        <v>505</v>
      </c>
      <c r="Q45" s="591">
        <v>472</v>
      </c>
      <c r="R45" s="591">
        <v>451</v>
      </c>
      <c r="S45" s="591">
        <v>435</v>
      </c>
      <c r="T45" s="591">
        <v>414</v>
      </c>
      <c r="U45" s="591">
        <v>401</v>
      </c>
      <c r="V45" s="591">
        <v>416</v>
      </c>
    </row>
    <row r="46" spans="2:22" s="38" customFormat="1" ht="15" customHeight="1" x14ac:dyDescent="0.25">
      <c r="B46" s="107" t="s">
        <v>74</v>
      </c>
      <c r="C46" s="590">
        <v>370</v>
      </c>
      <c r="D46" s="590">
        <v>408</v>
      </c>
      <c r="E46" s="590">
        <v>406</v>
      </c>
      <c r="F46" s="590">
        <v>399</v>
      </c>
      <c r="G46" s="591">
        <v>371</v>
      </c>
      <c r="H46" s="591">
        <v>365</v>
      </c>
      <c r="I46" s="591">
        <v>377</v>
      </c>
      <c r="J46" s="591">
        <v>377</v>
      </c>
      <c r="K46" s="591">
        <v>358</v>
      </c>
      <c r="L46" s="591">
        <v>344</v>
      </c>
      <c r="M46" s="591">
        <v>370</v>
      </c>
      <c r="N46" s="591">
        <v>399</v>
      </c>
      <c r="O46" s="591">
        <v>414</v>
      </c>
      <c r="P46" s="591">
        <v>450</v>
      </c>
      <c r="Q46" s="591">
        <v>454</v>
      </c>
      <c r="R46" s="591">
        <v>462</v>
      </c>
      <c r="S46" s="591">
        <v>455</v>
      </c>
      <c r="T46" s="591">
        <v>426</v>
      </c>
      <c r="U46" s="591">
        <v>430</v>
      </c>
      <c r="V46" s="591">
        <v>424</v>
      </c>
    </row>
    <row r="47" spans="2:22" s="38" customFormat="1" ht="15" customHeight="1" x14ac:dyDescent="0.25">
      <c r="B47" s="107" t="s">
        <v>75</v>
      </c>
      <c r="C47" s="590">
        <v>90</v>
      </c>
      <c r="D47" s="590">
        <v>79</v>
      </c>
      <c r="E47" s="590">
        <v>86</v>
      </c>
      <c r="F47" s="590">
        <v>84</v>
      </c>
      <c r="G47" s="591">
        <v>95</v>
      </c>
      <c r="H47" s="591">
        <v>129</v>
      </c>
      <c r="I47" s="591">
        <v>138</v>
      </c>
      <c r="J47" s="591">
        <v>163</v>
      </c>
      <c r="K47" s="591">
        <v>196</v>
      </c>
      <c r="L47" s="591">
        <v>234</v>
      </c>
      <c r="M47" s="591">
        <v>274</v>
      </c>
      <c r="N47" s="591">
        <v>309</v>
      </c>
      <c r="O47" s="591">
        <v>324</v>
      </c>
      <c r="P47" s="591">
        <v>358</v>
      </c>
      <c r="Q47" s="591">
        <v>351</v>
      </c>
      <c r="R47" s="591">
        <v>384</v>
      </c>
      <c r="S47" s="591">
        <v>421</v>
      </c>
      <c r="T47" s="591">
        <v>428</v>
      </c>
      <c r="U47" s="591">
        <v>452</v>
      </c>
      <c r="V47" s="591">
        <v>462</v>
      </c>
    </row>
    <row r="48" spans="2:22" s="38" customFormat="1" ht="15" customHeight="1" x14ac:dyDescent="0.25">
      <c r="B48" s="107" t="s">
        <v>76</v>
      </c>
      <c r="C48" s="590">
        <v>900</v>
      </c>
      <c r="D48" s="590">
        <v>919</v>
      </c>
      <c r="E48" s="590">
        <v>886</v>
      </c>
      <c r="F48" s="590">
        <v>855</v>
      </c>
      <c r="G48" s="591">
        <v>822</v>
      </c>
      <c r="H48" s="591">
        <v>795</v>
      </c>
      <c r="I48" s="591">
        <v>731</v>
      </c>
      <c r="J48" s="591">
        <v>730</v>
      </c>
      <c r="K48" s="591">
        <v>713</v>
      </c>
      <c r="L48" s="591">
        <v>686</v>
      </c>
      <c r="M48" s="591">
        <v>691</v>
      </c>
      <c r="N48" s="591">
        <v>666</v>
      </c>
      <c r="O48" s="591">
        <v>633</v>
      </c>
      <c r="P48" s="591">
        <v>626</v>
      </c>
      <c r="Q48" s="591">
        <v>583</v>
      </c>
      <c r="R48" s="591">
        <v>559</v>
      </c>
      <c r="S48" s="591">
        <v>528</v>
      </c>
      <c r="T48" s="591">
        <v>525</v>
      </c>
      <c r="U48" s="591">
        <v>563</v>
      </c>
      <c r="V48" s="591">
        <v>611</v>
      </c>
    </row>
    <row r="49" spans="2:22" s="38" customFormat="1" ht="15" customHeight="1" x14ac:dyDescent="0.25">
      <c r="B49" s="107" t="s">
        <v>77</v>
      </c>
      <c r="C49" s="590"/>
      <c r="D49" s="590"/>
      <c r="E49" s="590"/>
      <c r="F49" s="590"/>
      <c r="G49" s="591"/>
      <c r="H49" s="591"/>
      <c r="I49" s="591"/>
      <c r="J49" s="591"/>
      <c r="K49" s="591"/>
      <c r="L49" s="591"/>
      <c r="M49" s="591"/>
      <c r="N49" s="591"/>
      <c r="O49" s="591"/>
      <c r="P49" s="591">
        <v>31</v>
      </c>
      <c r="Q49" s="591">
        <v>51</v>
      </c>
      <c r="R49" s="591">
        <v>71</v>
      </c>
      <c r="S49" s="591">
        <v>87</v>
      </c>
      <c r="T49" s="591">
        <v>82</v>
      </c>
      <c r="U49" s="591">
        <v>79</v>
      </c>
      <c r="V49" s="591">
        <v>84</v>
      </c>
    </row>
    <row r="50" spans="2:22" s="38" customFormat="1" ht="15" customHeight="1" x14ac:dyDescent="0.25">
      <c r="B50" s="594" t="s">
        <v>59</v>
      </c>
      <c r="C50" s="595">
        <f>SUM(C40:C48)</f>
        <v>3389</v>
      </c>
      <c r="D50" s="595">
        <f t="shared" ref="D50:L50" si="8">SUM(D40:D48)</f>
        <v>3390</v>
      </c>
      <c r="E50" s="595">
        <f t="shared" si="8"/>
        <v>3349</v>
      </c>
      <c r="F50" s="595">
        <f t="shared" si="8"/>
        <v>3332</v>
      </c>
      <c r="G50" s="595">
        <f t="shared" si="8"/>
        <v>3179</v>
      </c>
      <c r="H50" s="595">
        <f t="shared" si="8"/>
        <v>3263</v>
      </c>
      <c r="I50" s="595">
        <f t="shared" si="8"/>
        <v>3220</v>
      </c>
      <c r="J50" s="595">
        <f t="shared" si="8"/>
        <v>3380</v>
      </c>
      <c r="K50" s="595">
        <f t="shared" si="8"/>
        <v>3534</v>
      </c>
      <c r="L50" s="596">
        <f t="shared" si="8"/>
        <v>3730</v>
      </c>
      <c r="M50" s="596">
        <f>SUM(M40:M48)</f>
        <v>4097</v>
      </c>
      <c r="N50" s="596">
        <f>SUM(N40:N48)</f>
        <v>4292</v>
      </c>
      <c r="O50" s="596">
        <f>SUM(O40:O48)</f>
        <v>4385</v>
      </c>
      <c r="P50" s="596">
        <f t="shared" ref="P50:U50" si="9">SUM(P40:P49)</f>
        <v>4479</v>
      </c>
      <c r="Q50" s="596">
        <f t="shared" si="9"/>
        <v>4357</v>
      </c>
      <c r="R50" s="596">
        <f t="shared" si="9"/>
        <v>4337</v>
      </c>
      <c r="S50" s="596">
        <f t="shared" si="9"/>
        <v>4305</v>
      </c>
      <c r="T50" s="596">
        <f t="shared" si="9"/>
        <v>4142</v>
      </c>
      <c r="U50" s="596">
        <f t="shared" si="9"/>
        <v>4111</v>
      </c>
      <c r="V50" s="596">
        <f>SUM(V40:V49)</f>
        <v>4156</v>
      </c>
    </row>
    <row r="51" spans="2:22" s="38" customFormat="1" ht="15" customHeight="1" x14ac:dyDescent="0.25">
      <c r="B51" s="100" t="s">
        <v>60</v>
      </c>
      <c r="C51" s="588">
        <v>1172</v>
      </c>
      <c r="D51" s="588">
        <v>1204</v>
      </c>
      <c r="E51" s="588">
        <v>1163</v>
      </c>
      <c r="F51" s="588">
        <v>1178</v>
      </c>
      <c r="G51" s="589">
        <v>1229</v>
      </c>
      <c r="H51" s="589">
        <v>1242</v>
      </c>
      <c r="I51" s="589">
        <v>1266</v>
      </c>
      <c r="J51" s="589">
        <v>1280</v>
      </c>
      <c r="K51" s="589">
        <v>1266</v>
      </c>
      <c r="L51" s="589">
        <v>1300</v>
      </c>
      <c r="M51" s="589">
        <v>1308</v>
      </c>
      <c r="N51" s="589">
        <v>1232</v>
      </c>
      <c r="O51" s="589">
        <v>1207</v>
      </c>
      <c r="P51" s="589">
        <v>1180</v>
      </c>
      <c r="Q51" s="589">
        <v>1157</v>
      </c>
      <c r="R51" s="589">
        <v>1148</v>
      </c>
      <c r="S51" s="589">
        <v>1119</v>
      </c>
      <c r="T51" s="589">
        <v>1139</v>
      </c>
      <c r="U51" s="589">
        <v>1162</v>
      </c>
      <c r="V51" s="589">
        <v>1182</v>
      </c>
    </row>
    <row r="52" spans="2:22" s="38" customFormat="1" ht="15" customHeight="1" x14ac:dyDescent="0.25">
      <c r="B52" s="107" t="s">
        <v>78</v>
      </c>
      <c r="C52" s="590">
        <v>323</v>
      </c>
      <c r="D52" s="590">
        <v>298</v>
      </c>
      <c r="E52" s="590">
        <v>293</v>
      </c>
      <c r="F52" s="590">
        <v>313</v>
      </c>
      <c r="G52" s="591">
        <v>342</v>
      </c>
      <c r="H52" s="591">
        <v>352</v>
      </c>
      <c r="I52" s="591">
        <v>365</v>
      </c>
      <c r="J52" s="591">
        <v>381</v>
      </c>
      <c r="K52" s="591">
        <v>388</v>
      </c>
      <c r="L52" s="591">
        <v>416</v>
      </c>
      <c r="M52" s="591">
        <v>406</v>
      </c>
      <c r="N52" s="591">
        <v>411</v>
      </c>
      <c r="O52" s="591">
        <v>409</v>
      </c>
      <c r="P52" s="591">
        <v>420</v>
      </c>
      <c r="Q52" s="591">
        <v>384</v>
      </c>
      <c r="R52" s="591">
        <v>393</v>
      </c>
      <c r="S52" s="591">
        <v>398</v>
      </c>
      <c r="T52" s="591">
        <v>400</v>
      </c>
      <c r="U52" s="591">
        <v>408</v>
      </c>
      <c r="V52" s="591">
        <v>411</v>
      </c>
    </row>
    <row r="53" spans="2:22" s="38" customFormat="1" ht="15" customHeight="1" x14ac:dyDescent="0.25">
      <c r="B53" s="107" t="s">
        <v>79</v>
      </c>
      <c r="C53" s="590">
        <v>362</v>
      </c>
      <c r="D53" s="590">
        <v>353</v>
      </c>
      <c r="E53" s="590">
        <v>372</v>
      </c>
      <c r="F53" s="590">
        <v>358</v>
      </c>
      <c r="G53" s="591">
        <v>379</v>
      </c>
      <c r="H53" s="591">
        <v>386</v>
      </c>
      <c r="I53" s="591">
        <v>398</v>
      </c>
      <c r="J53" s="591">
        <v>419</v>
      </c>
      <c r="K53" s="591">
        <v>425</v>
      </c>
      <c r="L53" s="591">
        <v>431</v>
      </c>
      <c r="M53" s="591">
        <v>409</v>
      </c>
      <c r="N53" s="591">
        <v>409</v>
      </c>
      <c r="O53" s="591">
        <v>428</v>
      </c>
      <c r="P53" s="591">
        <v>434</v>
      </c>
      <c r="Q53" s="591">
        <v>444</v>
      </c>
      <c r="R53" s="591">
        <v>454</v>
      </c>
      <c r="S53" s="591">
        <v>428</v>
      </c>
      <c r="T53" s="591">
        <v>428</v>
      </c>
      <c r="U53" s="591">
        <v>452</v>
      </c>
      <c r="V53" s="591">
        <v>471</v>
      </c>
    </row>
    <row r="54" spans="2:22" s="38" customFormat="1" ht="15" customHeight="1" x14ac:dyDescent="0.25">
      <c r="B54" s="107" t="s">
        <v>80</v>
      </c>
      <c r="C54" s="590">
        <v>305</v>
      </c>
      <c r="D54" s="590">
        <v>332</v>
      </c>
      <c r="E54" s="590">
        <v>354</v>
      </c>
      <c r="F54" s="590">
        <v>392</v>
      </c>
      <c r="G54" s="591">
        <v>398</v>
      </c>
      <c r="H54" s="591">
        <v>393</v>
      </c>
      <c r="I54" s="591">
        <v>438</v>
      </c>
      <c r="J54" s="591">
        <v>453</v>
      </c>
      <c r="K54" s="591">
        <v>455</v>
      </c>
      <c r="L54" s="591">
        <v>472</v>
      </c>
      <c r="M54" s="591">
        <v>496</v>
      </c>
      <c r="N54" s="591">
        <v>499</v>
      </c>
      <c r="O54" s="591">
        <v>504</v>
      </c>
      <c r="P54" s="591">
        <v>496</v>
      </c>
      <c r="Q54" s="591">
        <v>505</v>
      </c>
      <c r="R54" s="591">
        <v>531</v>
      </c>
      <c r="S54" s="591">
        <v>514</v>
      </c>
      <c r="T54" s="591">
        <v>510</v>
      </c>
      <c r="U54" s="591">
        <v>503</v>
      </c>
      <c r="V54" s="591">
        <v>532</v>
      </c>
    </row>
    <row r="55" spans="2:22" s="38" customFormat="1" ht="15" customHeight="1" x14ac:dyDescent="0.25">
      <c r="B55" s="107" t="s">
        <v>62</v>
      </c>
      <c r="C55" s="590">
        <v>504</v>
      </c>
      <c r="D55" s="590">
        <v>465</v>
      </c>
      <c r="E55" s="590">
        <v>489</v>
      </c>
      <c r="F55" s="590">
        <v>491</v>
      </c>
      <c r="G55" s="591">
        <v>493</v>
      </c>
      <c r="H55" s="591">
        <v>510</v>
      </c>
      <c r="I55" s="591">
        <v>529</v>
      </c>
      <c r="J55" s="591">
        <v>555</v>
      </c>
      <c r="K55" s="591">
        <v>563</v>
      </c>
      <c r="L55" s="591">
        <v>598</v>
      </c>
      <c r="M55" s="591">
        <v>625</v>
      </c>
      <c r="N55" s="591">
        <v>628</v>
      </c>
      <c r="O55" s="591">
        <v>643</v>
      </c>
      <c r="P55" s="591">
        <v>661</v>
      </c>
      <c r="Q55" s="591">
        <v>679</v>
      </c>
      <c r="R55" s="591">
        <v>669</v>
      </c>
      <c r="S55" s="591">
        <v>699</v>
      </c>
      <c r="T55" s="591">
        <v>722</v>
      </c>
      <c r="U55" s="591">
        <v>731</v>
      </c>
      <c r="V55" s="591">
        <v>759</v>
      </c>
    </row>
    <row r="56" spans="2:22" s="38" customFormat="1" ht="15" customHeight="1" x14ac:dyDescent="0.25">
      <c r="B56" s="107" t="s">
        <v>63</v>
      </c>
      <c r="C56" s="590">
        <v>501</v>
      </c>
      <c r="D56" s="590">
        <v>492</v>
      </c>
      <c r="E56" s="590">
        <v>476</v>
      </c>
      <c r="F56" s="590">
        <v>479</v>
      </c>
      <c r="G56" s="591">
        <v>474</v>
      </c>
      <c r="H56" s="591">
        <v>494</v>
      </c>
      <c r="I56" s="591">
        <v>519</v>
      </c>
      <c r="J56" s="591">
        <v>541</v>
      </c>
      <c r="K56" s="591">
        <v>540</v>
      </c>
      <c r="L56" s="591">
        <v>571</v>
      </c>
      <c r="M56" s="591">
        <v>610</v>
      </c>
      <c r="N56" s="591">
        <v>623</v>
      </c>
      <c r="O56" s="591">
        <v>609</v>
      </c>
      <c r="P56" s="591">
        <v>617</v>
      </c>
      <c r="Q56" s="591">
        <v>595</v>
      </c>
      <c r="R56" s="591">
        <v>597</v>
      </c>
      <c r="S56" s="591">
        <v>591</v>
      </c>
      <c r="T56" s="591">
        <v>549</v>
      </c>
      <c r="U56" s="591">
        <v>547</v>
      </c>
      <c r="V56" s="591">
        <v>517</v>
      </c>
    </row>
    <row r="57" spans="2:22" s="38" customFormat="1" ht="15" customHeight="1" x14ac:dyDescent="0.25">
      <c r="B57" s="107" t="s">
        <v>81</v>
      </c>
      <c r="C57" s="590">
        <v>458</v>
      </c>
      <c r="D57" s="590">
        <v>458</v>
      </c>
      <c r="E57" s="590">
        <v>466</v>
      </c>
      <c r="F57" s="590">
        <v>476</v>
      </c>
      <c r="G57" s="591">
        <v>494</v>
      </c>
      <c r="H57" s="591">
        <v>505</v>
      </c>
      <c r="I57" s="591">
        <v>494</v>
      </c>
      <c r="J57" s="591">
        <v>495</v>
      </c>
      <c r="K57" s="591">
        <v>493</v>
      </c>
      <c r="L57" s="591">
        <v>506</v>
      </c>
      <c r="M57" s="591">
        <v>508</v>
      </c>
      <c r="N57" s="591">
        <v>532</v>
      </c>
      <c r="O57" s="591">
        <v>537</v>
      </c>
      <c r="P57" s="591">
        <v>533</v>
      </c>
      <c r="Q57" s="591">
        <v>531</v>
      </c>
      <c r="R57" s="591">
        <v>548</v>
      </c>
      <c r="S57" s="591">
        <v>560</v>
      </c>
      <c r="T57" s="591">
        <v>566</v>
      </c>
      <c r="U57" s="591">
        <v>595</v>
      </c>
      <c r="V57" s="591">
        <v>593</v>
      </c>
    </row>
    <row r="58" spans="2:22" s="38" customFormat="1" ht="15" customHeight="1" x14ac:dyDescent="0.25">
      <c r="B58" s="107" t="s">
        <v>82</v>
      </c>
      <c r="C58" s="590">
        <v>140</v>
      </c>
      <c r="D58" s="590">
        <v>148</v>
      </c>
      <c r="E58" s="590">
        <v>152</v>
      </c>
      <c r="F58" s="590">
        <v>166</v>
      </c>
      <c r="G58" s="591">
        <v>173</v>
      </c>
      <c r="H58" s="591">
        <v>191</v>
      </c>
      <c r="I58" s="591">
        <v>193</v>
      </c>
      <c r="J58" s="591">
        <v>213</v>
      </c>
      <c r="K58" s="591">
        <v>228</v>
      </c>
      <c r="L58" s="591">
        <v>259</v>
      </c>
      <c r="M58" s="591">
        <v>273</v>
      </c>
      <c r="N58" s="591">
        <v>283</v>
      </c>
      <c r="O58" s="591">
        <v>284</v>
      </c>
      <c r="P58" s="591">
        <v>294</v>
      </c>
      <c r="Q58" s="591">
        <v>299</v>
      </c>
      <c r="R58" s="591">
        <v>320</v>
      </c>
      <c r="S58" s="591">
        <v>305</v>
      </c>
      <c r="T58" s="591">
        <v>315</v>
      </c>
      <c r="U58" s="591">
        <v>329</v>
      </c>
      <c r="V58" s="591">
        <v>343</v>
      </c>
    </row>
    <row r="59" spans="2:22" s="38" customFormat="1" ht="15" customHeight="1" x14ac:dyDescent="0.25">
      <c r="B59" s="107" t="s">
        <v>83</v>
      </c>
      <c r="C59" s="590">
        <v>595</v>
      </c>
      <c r="D59" s="590">
        <v>542</v>
      </c>
      <c r="E59" s="590">
        <v>509</v>
      </c>
      <c r="F59" s="590">
        <v>528</v>
      </c>
      <c r="G59" s="591">
        <v>596</v>
      </c>
      <c r="H59" s="591">
        <v>606</v>
      </c>
      <c r="I59" s="591">
        <v>628</v>
      </c>
      <c r="J59" s="591">
        <v>659</v>
      </c>
      <c r="K59" s="591">
        <v>658</v>
      </c>
      <c r="L59" s="591">
        <v>689</v>
      </c>
      <c r="M59" s="591">
        <v>692</v>
      </c>
      <c r="N59" s="591">
        <v>677</v>
      </c>
      <c r="O59" s="591">
        <v>694</v>
      </c>
      <c r="P59" s="591">
        <v>683</v>
      </c>
      <c r="Q59" s="591">
        <v>688</v>
      </c>
      <c r="R59" s="591">
        <v>665</v>
      </c>
      <c r="S59" s="591">
        <v>665</v>
      </c>
      <c r="T59" s="591">
        <v>670</v>
      </c>
      <c r="U59" s="591">
        <v>682</v>
      </c>
      <c r="V59" s="591">
        <v>671</v>
      </c>
    </row>
    <row r="60" spans="2:22" s="38" customFormat="1" ht="15" customHeight="1" x14ac:dyDescent="0.25">
      <c r="B60" s="107" t="s">
        <v>84</v>
      </c>
      <c r="C60" s="590">
        <v>880</v>
      </c>
      <c r="D60" s="590">
        <v>896</v>
      </c>
      <c r="E60" s="590">
        <v>926</v>
      </c>
      <c r="F60" s="590">
        <v>960</v>
      </c>
      <c r="G60" s="591">
        <v>1022</v>
      </c>
      <c r="H60" s="591">
        <v>1070</v>
      </c>
      <c r="I60" s="591">
        <v>1073</v>
      </c>
      <c r="J60" s="591">
        <v>1062</v>
      </c>
      <c r="K60" s="591">
        <v>1100</v>
      </c>
      <c r="L60" s="591">
        <v>1080</v>
      </c>
      <c r="M60" s="591">
        <v>1046</v>
      </c>
      <c r="N60" s="591">
        <v>1021</v>
      </c>
      <c r="O60" s="591">
        <v>989</v>
      </c>
      <c r="P60" s="591">
        <v>1039</v>
      </c>
      <c r="Q60" s="591">
        <v>998</v>
      </c>
      <c r="R60" s="591">
        <v>1024</v>
      </c>
      <c r="S60" s="591">
        <v>1041</v>
      </c>
      <c r="T60" s="591">
        <v>1046</v>
      </c>
      <c r="U60" s="591">
        <v>1105</v>
      </c>
      <c r="V60" s="591">
        <v>1109</v>
      </c>
    </row>
    <row r="61" spans="2:22" s="38" customFormat="1" ht="15" customHeight="1" x14ac:dyDescent="0.25">
      <c r="B61" s="107" t="s">
        <v>85</v>
      </c>
      <c r="C61" s="590">
        <v>71</v>
      </c>
      <c r="D61" s="590">
        <v>102</v>
      </c>
      <c r="E61" s="590">
        <v>130</v>
      </c>
      <c r="F61" s="590">
        <v>151</v>
      </c>
      <c r="G61" s="591">
        <v>166</v>
      </c>
      <c r="H61" s="591">
        <v>179</v>
      </c>
      <c r="I61" s="591">
        <v>185</v>
      </c>
      <c r="J61" s="591">
        <v>194</v>
      </c>
      <c r="K61" s="591">
        <v>212</v>
      </c>
      <c r="L61" s="591">
        <v>241</v>
      </c>
      <c r="M61" s="591">
        <v>272</v>
      </c>
      <c r="N61" s="591">
        <v>289</v>
      </c>
      <c r="O61" s="591">
        <v>293</v>
      </c>
      <c r="P61" s="591">
        <v>299</v>
      </c>
      <c r="Q61" s="591">
        <v>300</v>
      </c>
      <c r="R61" s="591">
        <v>309</v>
      </c>
      <c r="S61" s="591">
        <v>301</v>
      </c>
      <c r="T61" s="591">
        <v>290</v>
      </c>
      <c r="U61" s="591">
        <v>280</v>
      </c>
      <c r="V61" s="591">
        <v>259</v>
      </c>
    </row>
    <row r="62" spans="2:22" s="38" customFormat="1" ht="15" customHeight="1" x14ac:dyDescent="0.25">
      <c r="B62" s="594" t="s">
        <v>64</v>
      </c>
      <c r="C62" s="595">
        <f>SUM(C51:C61)</f>
        <v>5311</v>
      </c>
      <c r="D62" s="595">
        <f t="shared" ref="D62:R62" si="10">SUM(D51:D61)</f>
        <v>5290</v>
      </c>
      <c r="E62" s="595">
        <f t="shared" si="10"/>
        <v>5330</v>
      </c>
      <c r="F62" s="595">
        <f t="shared" si="10"/>
        <v>5492</v>
      </c>
      <c r="G62" s="595">
        <f t="shared" si="10"/>
        <v>5766</v>
      </c>
      <c r="H62" s="595">
        <f t="shared" si="10"/>
        <v>5928</v>
      </c>
      <c r="I62" s="595">
        <f t="shared" si="10"/>
        <v>6088</v>
      </c>
      <c r="J62" s="595">
        <f t="shared" si="10"/>
        <v>6252</v>
      </c>
      <c r="K62" s="595">
        <f t="shared" si="10"/>
        <v>6328</v>
      </c>
      <c r="L62" s="596">
        <f t="shared" si="10"/>
        <v>6563</v>
      </c>
      <c r="M62" s="596">
        <f t="shared" si="10"/>
        <v>6645</v>
      </c>
      <c r="N62" s="596">
        <f t="shared" si="10"/>
        <v>6604</v>
      </c>
      <c r="O62" s="596">
        <f t="shared" si="10"/>
        <v>6597</v>
      </c>
      <c r="P62" s="596">
        <f t="shared" si="10"/>
        <v>6656</v>
      </c>
      <c r="Q62" s="596">
        <f t="shared" si="10"/>
        <v>6580</v>
      </c>
      <c r="R62" s="596">
        <f t="shared" si="10"/>
        <v>6658</v>
      </c>
      <c r="S62" s="596">
        <f>SUM(S51:S61)</f>
        <v>6621</v>
      </c>
      <c r="T62" s="596">
        <f>SUM(T51:T61)</f>
        <v>6635</v>
      </c>
      <c r="U62" s="596">
        <f>SUM(U51:U61)</f>
        <v>6794</v>
      </c>
      <c r="V62" s="596">
        <f>SUM(V51:V61)</f>
        <v>6847</v>
      </c>
    </row>
    <row r="63" spans="2:22" s="38" customFormat="1" ht="15" customHeight="1" x14ac:dyDescent="0.25">
      <c r="B63" s="100" t="s">
        <v>86</v>
      </c>
      <c r="C63" s="588">
        <v>579</v>
      </c>
      <c r="D63" s="588">
        <v>552</v>
      </c>
      <c r="E63" s="588">
        <v>550</v>
      </c>
      <c r="F63" s="588">
        <v>578</v>
      </c>
      <c r="G63" s="589">
        <v>611</v>
      </c>
      <c r="H63" s="589">
        <v>647</v>
      </c>
      <c r="I63" s="589">
        <v>695</v>
      </c>
      <c r="J63" s="589">
        <v>743</v>
      </c>
      <c r="K63" s="589">
        <v>787</v>
      </c>
      <c r="L63" s="589">
        <v>824</v>
      </c>
      <c r="M63" s="589">
        <v>862</v>
      </c>
      <c r="N63" s="589">
        <v>875</v>
      </c>
      <c r="O63" s="589">
        <v>856</v>
      </c>
      <c r="P63" s="589">
        <v>854</v>
      </c>
      <c r="Q63" s="589">
        <v>803</v>
      </c>
      <c r="R63" s="589">
        <v>750</v>
      </c>
      <c r="S63" s="589">
        <v>701</v>
      </c>
      <c r="T63" s="589">
        <v>644</v>
      </c>
      <c r="U63" s="589">
        <v>649</v>
      </c>
      <c r="V63" s="589">
        <v>637</v>
      </c>
    </row>
    <row r="64" spans="2:22" s="38" customFormat="1" ht="15" customHeight="1" x14ac:dyDescent="0.25">
      <c r="B64" s="107" t="s">
        <v>87</v>
      </c>
      <c r="C64" s="590">
        <v>560</v>
      </c>
      <c r="D64" s="590">
        <v>571</v>
      </c>
      <c r="E64" s="590">
        <v>566</v>
      </c>
      <c r="F64" s="590">
        <v>569</v>
      </c>
      <c r="G64" s="591">
        <v>585</v>
      </c>
      <c r="H64" s="591">
        <v>608</v>
      </c>
      <c r="I64" s="591">
        <v>581</v>
      </c>
      <c r="J64" s="591">
        <v>559</v>
      </c>
      <c r="K64" s="591">
        <v>578</v>
      </c>
      <c r="L64" s="591">
        <v>600</v>
      </c>
      <c r="M64" s="591">
        <v>664</v>
      </c>
      <c r="N64" s="591">
        <v>706</v>
      </c>
      <c r="O64" s="591">
        <v>709</v>
      </c>
      <c r="P64" s="591">
        <v>728</v>
      </c>
      <c r="Q64" s="591">
        <v>721</v>
      </c>
      <c r="R64" s="591">
        <v>679</v>
      </c>
      <c r="S64" s="591">
        <v>631</v>
      </c>
      <c r="T64" s="591">
        <v>645</v>
      </c>
      <c r="U64" s="591">
        <v>653</v>
      </c>
      <c r="V64" s="591">
        <v>671</v>
      </c>
    </row>
    <row r="65" spans="2:22" s="38" customFormat="1" ht="15" customHeight="1" x14ac:dyDescent="0.25">
      <c r="B65" s="107" t="s">
        <v>88</v>
      </c>
      <c r="C65" s="590">
        <v>248</v>
      </c>
      <c r="D65" s="590">
        <v>245</v>
      </c>
      <c r="E65" s="590">
        <v>240</v>
      </c>
      <c r="F65" s="590">
        <v>244</v>
      </c>
      <c r="G65" s="591">
        <v>251</v>
      </c>
      <c r="H65" s="591">
        <v>253</v>
      </c>
      <c r="I65" s="591">
        <v>280</v>
      </c>
      <c r="J65" s="591">
        <v>352</v>
      </c>
      <c r="K65" s="591">
        <v>412</v>
      </c>
      <c r="L65" s="591">
        <v>474</v>
      </c>
      <c r="M65" s="591">
        <v>532</v>
      </c>
      <c r="N65" s="591">
        <v>536</v>
      </c>
      <c r="O65" s="591">
        <v>562</v>
      </c>
      <c r="P65" s="591">
        <v>551</v>
      </c>
      <c r="Q65" s="591">
        <v>553</v>
      </c>
      <c r="R65" s="591">
        <v>502</v>
      </c>
      <c r="S65" s="591">
        <v>471</v>
      </c>
      <c r="T65" s="591">
        <v>449</v>
      </c>
      <c r="U65" s="591">
        <v>395</v>
      </c>
      <c r="V65" s="591">
        <v>360</v>
      </c>
    </row>
    <row r="66" spans="2:22" s="38" customFormat="1" ht="15" customHeight="1" x14ac:dyDescent="0.25">
      <c r="B66" s="107" t="s">
        <v>89</v>
      </c>
      <c r="C66" s="590">
        <v>138</v>
      </c>
      <c r="D66" s="590">
        <v>133</v>
      </c>
      <c r="E66" s="590">
        <v>116</v>
      </c>
      <c r="F66" s="590">
        <v>101</v>
      </c>
      <c r="G66" s="591">
        <v>107</v>
      </c>
      <c r="H66" s="591">
        <v>125</v>
      </c>
      <c r="I66" s="591">
        <v>144</v>
      </c>
      <c r="J66" s="591">
        <v>215</v>
      </c>
      <c r="K66" s="591">
        <v>251</v>
      </c>
      <c r="L66" s="591">
        <v>283</v>
      </c>
      <c r="M66" s="591">
        <v>321</v>
      </c>
      <c r="N66" s="591">
        <v>357</v>
      </c>
      <c r="O66" s="591">
        <v>363</v>
      </c>
      <c r="P66" s="591">
        <v>349</v>
      </c>
      <c r="Q66" s="591">
        <v>342</v>
      </c>
      <c r="R66" s="591">
        <v>321</v>
      </c>
      <c r="S66" s="591">
        <v>291</v>
      </c>
      <c r="T66" s="591">
        <v>232</v>
      </c>
      <c r="U66" s="591">
        <v>216</v>
      </c>
      <c r="V66" s="591">
        <v>193</v>
      </c>
    </row>
    <row r="67" spans="2:22" s="38" customFormat="1" ht="15" customHeight="1" x14ac:dyDescent="0.25">
      <c r="B67" s="107" t="s">
        <v>90</v>
      </c>
      <c r="C67" s="590">
        <v>892</v>
      </c>
      <c r="D67" s="590">
        <v>859</v>
      </c>
      <c r="E67" s="590">
        <v>815</v>
      </c>
      <c r="F67" s="590">
        <v>788</v>
      </c>
      <c r="G67" s="591">
        <v>770</v>
      </c>
      <c r="H67" s="591">
        <v>772</v>
      </c>
      <c r="I67" s="591">
        <v>836</v>
      </c>
      <c r="J67" s="591">
        <v>914</v>
      </c>
      <c r="K67" s="591">
        <v>934</v>
      </c>
      <c r="L67" s="591">
        <v>1018</v>
      </c>
      <c r="M67" s="591">
        <v>1077</v>
      </c>
      <c r="N67" s="591">
        <v>1094</v>
      </c>
      <c r="O67" s="591">
        <v>1104</v>
      </c>
      <c r="P67" s="591">
        <v>1120</v>
      </c>
      <c r="Q67" s="591">
        <v>1121</v>
      </c>
      <c r="R67" s="591">
        <v>1078</v>
      </c>
      <c r="S67" s="591">
        <v>1044</v>
      </c>
      <c r="T67" s="591">
        <v>999</v>
      </c>
      <c r="U67" s="591">
        <v>1022</v>
      </c>
      <c r="V67" s="591">
        <v>999</v>
      </c>
    </row>
    <row r="68" spans="2:22" s="38" customFormat="1" ht="15" customHeight="1" x14ac:dyDescent="0.25">
      <c r="B68" s="107" t="s">
        <v>91</v>
      </c>
      <c r="C68" s="590">
        <v>1086</v>
      </c>
      <c r="D68" s="590">
        <v>1053</v>
      </c>
      <c r="E68" s="590">
        <v>982</v>
      </c>
      <c r="F68" s="590">
        <v>992</v>
      </c>
      <c r="G68" s="591">
        <v>931</v>
      </c>
      <c r="H68" s="591">
        <v>949</v>
      </c>
      <c r="I68" s="591">
        <v>925</v>
      </c>
      <c r="J68" s="591">
        <v>973</v>
      </c>
      <c r="K68" s="591">
        <v>1017</v>
      </c>
      <c r="L68" s="591">
        <v>1055</v>
      </c>
      <c r="M68" s="591">
        <v>1117</v>
      </c>
      <c r="N68" s="591">
        <v>1118</v>
      </c>
      <c r="O68" s="591">
        <v>1101</v>
      </c>
      <c r="P68" s="591">
        <v>1041</v>
      </c>
      <c r="Q68" s="591">
        <v>1009</v>
      </c>
      <c r="R68" s="591">
        <v>976</v>
      </c>
      <c r="S68" s="591">
        <v>927</v>
      </c>
      <c r="T68" s="591">
        <v>860</v>
      </c>
      <c r="U68" s="591">
        <v>806</v>
      </c>
      <c r="V68" s="591">
        <v>824</v>
      </c>
    </row>
    <row r="69" spans="2:22" s="38" customFormat="1" ht="15" customHeight="1" x14ac:dyDescent="0.25">
      <c r="B69" s="594" t="s">
        <v>92</v>
      </c>
      <c r="C69" s="595">
        <f>SUM(C63:C68)</f>
        <v>3503</v>
      </c>
      <c r="D69" s="595">
        <f t="shared" ref="D69:R69" si="11">SUM(D63:D68)</f>
        <v>3413</v>
      </c>
      <c r="E69" s="595">
        <f t="shared" si="11"/>
        <v>3269</v>
      </c>
      <c r="F69" s="595">
        <f t="shared" si="11"/>
        <v>3272</v>
      </c>
      <c r="G69" s="595">
        <f t="shared" si="11"/>
        <v>3255</v>
      </c>
      <c r="H69" s="595">
        <f t="shared" si="11"/>
        <v>3354</v>
      </c>
      <c r="I69" s="595">
        <f t="shared" si="11"/>
        <v>3461</v>
      </c>
      <c r="J69" s="595">
        <f t="shared" si="11"/>
        <v>3756</v>
      </c>
      <c r="K69" s="595">
        <f t="shared" si="11"/>
        <v>3979</v>
      </c>
      <c r="L69" s="596">
        <f t="shared" si="11"/>
        <v>4254</v>
      </c>
      <c r="M69" s="596">
        <f t="shared" si="11"/>
        <v>4573</v>
      </c>
      <c r="N69" s="596">
        <f t="shared" si="11"/>
        <v>4686</v>
      </c>
      <c r="O69" s="596">
        <f t="shared" si="11"/>
        <v>4695</v>
      </c>
      <c r="P69" s="596">
        <f t="shared" si="11"/>
        <v>4643</v>
      </c>
      <c r="Q69" s="596">
        <f t="shared" si="11"/>
        <v>4549</v>
      </c>
      <c r="R69" s="596">
        <f t="shared" si="11"/>
        <v>4306</v>
      </c>
      <c r="S69" s="596">
        <f>SUM(S63:S68)</f>
        <v>4065</v>
      </c>
      <c r="T69" s="596">
        <f>SUM(T63:T68)</f>
        <v>3829</v>
      </c>
      <c r="U69" s="596">
        <f>SUM(U63:U68)</f>
        <v>3741</v>
      </c>
      <c r="V69" s="596">
        <f>SUM(V63:V68)</f>
        <v>3684</v>
      </c>
    </row>
    <row r="70" spans="2:22" s="38" customFormat="1" ht="15" customHeight="1" x14ac:dyDescent="0.25">
      <c r="B70" s="464" t="s">
        <v>93</v>
      </c>
      <c r="C70" s="605">
        <f>SUM(C69,C62,C50)</f>
        <v>12203</v>
      </c>
      <c r="D70" s="605">
        <f t="shared" ref="D70:R70" si="12">SUM(D69,D62,D50)</f>
        <v>12093</v>
      </c>
      <c r="E70" s="605">
        <f t="shared" si="12"/>
        <v>11948</v>
      </c>
      <c r="F70" s="605">
        <f t="shared" si="12"/>
        <v>12096</v>
      </c>
      <c r="G70" s="605">
        <f t="shared" si="12"/>
        <v>12200</v>
      </c>
      <c r="H70" s="605">
        <f t="shared" si="12"/>
        <v>12545</v>
      </c>
      <c r="I70" s="605">
        <f t="shared" si="12"/>
        <v>12769</v>
      </c>
      <c r="J70" s="605">
        <f t="shared" si="12"/>
        <v>13388</v>
      </c>
      <c r="K70" s="605">
        <f t="shared" si="12"/>
        <v>13841</v>
      </c>
      <c r="L70" s="606">
        <f t="shared" si="12"/>
        <v>14547</v>
      </c>
      <c r="M70" s="606">
        <f t="shared" si="12"/>
        <v>15315</v>
      </c>
      <c r="N70" s="606">
        <f t="shared" si="12"/>
        <v>15582</v>
      </c>
      <c r="O70" s="606">
        <f t="shared" si="12"/>
        <v>15677</v>
      </c>
      <c r="P70" s="606">
        <f t="shared" si="12"/>
        <v>15778</v>
      </c>
      <c r="Q70" s="606">
        <f t="shared" si="12"/>
        <v>15486</v>
      </c>
      <c r="R70" s="606">
        <f t="shared" si="12"/>
        <v>15301</v>
      </c>
      <c r="S70" s="606">
        <f>SUM(S69,S62,S50)</f>
        <v>14991</v>
      </c>
      <c r="T70" s="606">
        <f>SUM(T69,T62,T50)</f>
        <v>14606</v>
      </c>
      <c r="U70" s="606">
        <f>SUM(U69,U62,U50)</f>
        <v>14646</v>
      </c>
      <c r="V70" s="606">
        <f>SUM(V69,V62,V50)</f>
        <v>14687</v>
      </c>
    </row>
    <row r="71" spans="2:22" s="38" customFormat="1" ht="15" customHeight="1" x14ac:dyDescent="0.25">
      <c r="B71" s="107" t="s">
        <v>117</v>
      </c>
      <c r="C71" s="590"/>
      <c r="D71" s="590"/>
      <c r="E71" s="590"/>
      <c r="F71" s="590"/>
      <c r="G71" s="591"/>
      <c r="H71" s="591"/>
      <c r="I71" s="591"/>
      <c r="J71" s="591"/>
      <c r="K71" s="591">
        <v>60</v>
      </c>
      <c r="L71" s="591">
        <v>79</v>
      </c>
      <c r="M71" s="591">
        <v>123</v>
      </c>
      <c r="N71" s="591">
        <v>139</v>
      </c>
      <c r="O71" s="591">
        <v>173</v>
      </c>
      <c r="P71" s="591">
        <v>180</v>
      </c>
      <c r="Q71" s="591">
        <v>209</v>
      </c>
      <c r="R71" s="591">
        <v>214</v>
      </c>
      <c r="S71" s="591">
        <v>225</v>
      </c>
      <c r="T71" s="591">
        <v>214</v>
      </c>
      <c r="U71" s="591">
        <v>199</v>
      </c>
      <c r="V71" s="591">
        <v>187</v>
      </c>
    </row>
    <row r="72" spans="2:22" s="38" customFormat="1" ht="15" customHeight="1" x14ac:dyDescent="0.25">
      <c r="B72" s="107" t="s">
        <v>118</v>
      </c>
      <c r="C72" s="590"/>
      <c r="D72" s="590"/>
      <c r="E72" s="590"/>
      <c r="F72" s="590"/>
      <c r="G72" s="591"/>
      <c r="H72" s="591"/>
      <c r="I72" s="591"/>
      <c r="J72" s="591"/>
      <c r="K72" s="591"/>
      <c r="L72" s="591"/>
      <c r="M72" s="591"/>
      <c r="N72" s="591"/>
      <c r="O72" s="591"/>
      <c r="P72" s="591"/>
      <c r="Q72" s="591">
        <v>59</v>
      </c>
      <c r="R72" s="591">
        <v>92</v>
      </c>
      <c r="S72" s="591">
        <v>128</v>
      </c>
      <c r="T72" s="591">
        <v>158</v>
      </c>
      <c r="U72" s="591">
        <v>196</v>
      </c>
      <c r="V72" s="591">
        <v>226</v>
      </c>
    </row>
    <row r="73" spans="2:22" s="38" customFormat="1" ht="15" customHeight="1" x14ac:dyDescent="0.25">
      <c r="B73" s="107" t="s">
        <v>119</v>
      </c>
      <c r="C73" s="590"/>
      <c r="D73" s="590"/>
      <c r="E73" s="590"/>
      <c r="F73" s="590"/>
      <c r="G73" s="591"/>
      <c r="H73" s="591"/>
      <c r="I73" s="591"/>
      <c r="J73" s="591"/>
      <c r="K73" s="591"/>
      <c r="L73" s="591"/>
      <c r="M73" s="591"/>
      <c r="N73" s="591"/>
      <c r="O73" s="591"/>
      <c r="P73" s="591"/>
      <c r="Q73" s="591"/>
      <c r="R73" s="591">
        <v>28</v>
      </c>
      <c r="S73" s="591">
        <v>73</v>
      </c>
      <c r="T73" s="591">
        <v>117</v>
      </c>
      <c r="U73" s="591">
        <v>153</v>
      </c>
      <c r="V73" s="591">
        <v>213</v>
      </c>
    </row>
    <row r="74" spans="2:22" s="38" customFormat="1" ht="15" customHeight="1" x14ac:dyDescent="0.25">
      <c r="B74" s="594" t="s">
        <v>59</v>
      </c>
      <c r="C74" s="595"/>
      <c r="D74" s="595"/>
      <c r="E74" s="595"/>
      <c r="F74" s="595"/>
      <c r="G74" s="595"/>
      <c r="H74" s="595"/>
      <c r="I74" s="595"/>
      <c r="J74" s="595"/>
      <c r="K74" s="595"/>
      <c r="L74" s="596"/>
      <c r="M74" s="596"/>
      <c r="N74" s="596"/>
      <c r="O74" s="596"/>
      <c r="P74" s="596"/>
      <c r="Q74" s="596">
        <f>SUM(Q71:Q72)</f>
        <v>268</v>
      </c>
      <c r="R74" s="596">
        <f>SUM(R71:R73)</f>
        <v>334</v>
      </c>
      <c r="S74" s="596">
        <f>SUM(S71:S73)</f>
        <v>426</v>
      </c>
      <c r="T74" s="596">
        <f>SUM(T71:T73)</f>
        <v>489</v>
      </c>
      <c r="U74" s="596">
        <f>SUM(U71:U73)</f>
        <v>548</v>
      </c>
      <c r="V74" s="596">
        <f>SUM(V71:V73)</f>
        <v>626</v>
      </c>
    </row>
    <row r="75" spans="2:22" s="38" customFormat="1" ht="15" customHeight="1" x14ac:dyDescent="0.25">
      <c r="B75" s="107" t="s">
        <v>120</v>
      </c>
      <c r="C75" s="590"/>
      <c r="D75" s="590"/>
      <c r="E75" s="590"/>
      <c r="F75" s="590"/>
      <c r="G75" s="591"/>
      <c r="H75" s="591"/>
      <c r="I75" s="591"/>
      <c r="J75" s="591"/>
      <c r="K75" s="591">
        <v>58</v>
      </c>
      <c r="L75" s="591">
        <v>80</v>
      </c>
      <c r="M75" s="591">
        <v>120</v>
      </c>
      <c r="N75" s="591">
        <v>140</v>
      </c>
      <c r="O75" s="591">
        <v>163</v>
      </c>
      <c r="P75" s="591">
        <v>178</v>
      </c>
      <c r="Q75" s="591">
        <v>212</v>
      </c>
      <c r="R75" s="591">
        <v>207</v>
      </c>
      <c r="S75" s="591">
        <v>214</v>
      </c>
      <c r="T75" s="591">
        <v>249</v>
      </c>
      <c r="U75" s="591">
        <v>256</v>
      </c>
      <c r="V75" s="591">
        <v>254</v>
      </c>
    </row>
    <row r="76" spans="2:22" s="38" customFormat="1" ht="15" customHeight="1" x14ac:dyDescent="0.25">
      <c r="B76" s="107" t="s">
        <v>121</v>
      </c>
      <c r="C76" s="590"/>
      <c r="D76" s="590"/>
      <c r="E76" s="590"/>
      <c r="F76" s="590"/>
      <c r="G76" s="591"/>
      <c r="H76" s="591"/>
      <c r="I76" s="591"/>
      <c r="J76" s="591"/>
      <c r="K76" s="591"/>
      <c r="L76" s="591"/>
      <c r="M76" s="591">
        <v>18</v>
      </c>
      <c r="N76" s="591">
        <v>32</v>
      </c>
      <c r="O76" s="591">
        <v>50</v>
      </c>
      <c r="P76" s="591">
        <v>69</v>
      </c>
      <c r="Q76" s="591">
        <v>89</v>
      </c>
      <c r="R76" s="591">
        <v>107</v>
      </c>
      <c r="S76" s="591">
        <v>121</v>
      </c>
      <c r="T76" s="591">
        <v>135</v>
      </c>
      <c r="U76" s="591">
        <v>137</v>
      </c>
      <c r="V76" s="591">
        <v>143</v>
      </c>
    </row>
    <row r="77" spans="2:22" s="38" customFormat="1" ht="15" customHeight="1" x14ac:dyDescent="0.25">
      <c r="B77" s="107" t="s">
        <v>123</v>
      </c>
      <c r="C77" s="590"/>
      <c r="D77" s="590"/>
      <c r="E77" s="590"/>
      <c r="F77" s="590"/>
      <c r="G77" s="591"/>
      <c r="H77" s="591"/>
      <c r="I77" s="591"/>
      <c r="J77" s="591"/>
      <c r="K77" s="591"/>
      <c r="L77" s="591"/>
      <c r="M77" s="591"/>
      <c r="N77" s="591"/>
      <c r="O77" s="591"/>
      <c r="P77" s="591"/>
      <c r="Q77" s="591"/>
      <c r="R77" s="591">
        <v>57</v>
      </c>
      <c r="S77" s="591">
        <v>76</v>
      </c>
      <c r="T77" s="591">
        <v>113</v>
      </c>
      <c r="U77" s="591">
        <v>141</v>
      </c>
      <c r="V77" s="591">
        <v>165</v>
      </c>
    </row>
    <row r="78" spans="2:22" s="38" customFormat="1" ht="15" customHeight="1" x14ac:dyDescent="0.25">
      <c r="B78" s="594" t="s">
        <v>64</v>
      </c>
      <c r="C78" s="595"/>
      <c r="D78" s="595"/>
      <c r="E78" s="595"/>
      <c r="F78" s="595"/>
      <c r="G78" s="595"/>
      <c r="H78" s="595"/>
      <c r="I78" s="595"/>
      <c r="J78" s="595"/>
      <c r="K78" s="595">
        <f t="shared" ref="K78:Q78" si="13">SUM(K75:K76)</f>
        <v>58</v>
      </c>
      <c r="L78" s="596">
        <f t="shared" si="13"/>
        <v>80</v>
      </c>
      <c r="M78" s="596">
        <f t="shared" si="13"/>
        <v>138</v>
      </c>
      <c r="N78" s="596">
        <f t="shared" si="13"/>
        <v>172</v>
      </c>
      <c r="O78" s="596">
        <f t="shared" si="13"/>
        <v>213</v>
      </c>
      <c r="P78" s="596">
        <f t="shared" si="13"/>
        <v>247</v>
      </c>
      <c r="Q78" s="596">
        <f t="shared" si="13"/>
        <v>301</v>
      </c>
      <c r="R78" s="596">
        <f>SUM(R75:R77)</f>
        <v>371</v>
      </c>
      <c r="S78" s="596">
        <f>SUM(S75:S77)</f>
        <v>411</v>
      </c>
      <c r="T78" s="596">
        <f>SUM(T75:T77)</f>
        <v>497</v>
      </c>
      <c r="U78" s="596">
        <f>SUM(U75:U77)</f>
        <v>534</v>
      </c>
      <c r="V78" s="596">
        <f>SUM(V75:V77)</f>
        <v>562</v>
      </c>
    </row>
    <row r="79" spans="2:22" s="38" customFormat="1" ht="15" customHeight="1" x14ac:dyDescent="0.25">
      <c r="B79" s="107" t="s">
        <v>124</v>
      </c>
      <c r="C79" s="590"/>
      <c r="D79" s="590"/>
      <c r="E79" s="590"/>
      <c r="F79" s="590"/>
      <c r="G79" s="591"/>
      <c r="H79" s="591"/>
      <c r="I79" s="591"/>
      <c r="J79" s="591"/>
      <c r="K79" s="591">
        <v>55</v>
      </c>
      <c r="L79" s="591">
        <v>69</v>
      </c>
      <c r="M79" s="591">
        <v>116</v>
      </c>
      <c r="N79" s="591">
        <v>147</v>
      </c>
      <c r="O79" s="591">
        <v>208</v>
      </c>
      <c r="P79" s="591">
        <v>247</v>
      </c>
      <c r="Q79" s="591">
        <v>268</v>
      </c>
      <c r="R79" s="591">
        <v>244</v>
      </c>
      <c r="S79" s="591">
        <v>244</v>
      </c>
      <c r="T79" s="591">
        <v>259</v>
      </c>
      <c r="U79" s="591">
        <v>257</v>
      </c>
      <c r="V79" s="591">
        <v>251</v>
      </c>
    </row>
    <row r="80" spans="2:22" s="38" customFormat="1" ht="15" customHeight="1" x14ac:dyDescent="0.25">
      <c r="B80" s="107" t="s">
        <v>125</v>
      </c>
      <c r="C80" s="590"/>
      <c r="D80" s="590"/>
      <c r="E80" s="590"/>
      <c r="F80" s="590"/>
      <c r="G80" s="591"/>
      <c r="H80" s="591"/>
      <c r="I80" s="591"/>
      <c r="J80" s="591"/>
      <c r="K80" s="591"/>
      <c r="L80" s="591"/>
      <c r="M80" s="591"/>
      <c r="N80" s="591"/>
      <c r="O80" s="591"/>
      <c r="P80" s="591"/>
      <c r="Q80" s="591">
        <v>31</v>
      </c>
      <c r="R80" s="591">
        <v>68</v>
      </c>
      <c r="S80" s="591">
        <v>99</v>
      </c>
      <c r="T80" s="591">
        <v>131</v>
      </c>
      <c r="U80" s="591">
        <v>164</v>
      </c>
      <c r="V80" s="591">
        <v>195</v>
      </c>
    </row>
    <row r="81" spans="2:22" s="38" customFormat="1" ht="15" customHeight="1" x14ac:dyDescent="0.25">
      <c r="B81" s="107" t="s">
        <v>126</v>
      </c>
      <c r="C81" s="590"/>
      <c r="D81" s="590"/>
      <c r="E81" s="590"/>
      <c r="F81" s="590"/>
      <c r="G81" s="591"/>
      <c r="H81" s="591"/>
      <c r="I81" s="591"/>
      <c r="J81" s="591"/>
      <c r="K81" s="591"/>
      <c r="L81" s="591"/>
      <c r="M81" s="591"/>
      <c r="N81" s="591"/>
      <c r="O81" s="591"/>
      <c r="P81" s="591"/>
      <c r="Q81" s="591"/>
      <c r="R81" s="591">
        <v>28</v>
      </c>
      <c r="S81" s="591">
        <v>69</v>
      </c>
      <c r="T81" s="591">
        <v>99</v>
      </c>
      <c r="U81" s="591">
        <v>133</v>
      </c>
      <c r="V81" s="591">
        <v>159</v>
      </c>
    </row>
    <row r="82" spans="2:22" s="38" customFormat="1" ht="15" customHeight="1" x14ac:dyDescent="0.25">
      <c r="B82" s="594" t="s">
        <v>92</v>
      </c>
      <c r="C82" s="595"/>
      <c r="D82" s="595"/>
      <c r="E82" s="595"/>
      <c r="F82" s="595"/>
      <c r="G82" s="595"/>
      <c r="H82" s="595"/>
      <c r="I82" s="595"/>
      <c r="J82" s="595"/>
      <c r="K82" s="595"/>
      <c r="L82" s="596"/>
      <c r="M82" s="596"/>
      <c r="N82" s="596"/>
      <c r="O82" s="596"/>
      <c r="P82" s="596"/>
      <c r="Q82" s="596">
        <f>SUM(Q79:Q80)</f>
        <v>299</v>
      </c>
      <c r="R82" s="596">
        <f>SUM(R79:R81)</f>
        <v>340</v>
      </c>
      <c r="S82" s="596">
        <f>SUM(S79:S81)</f>
        <v>412</v>
      </c>
      <c r="T82" s="596">
        <f>SUM(T79:T81)</f>
        <v>489</v>
      </c>
      <c r="U82" s="596">
        <f>SUM(U79:U81)</f>
        <v>554</v>
      </c>
      <c r="V82" s="596">
        <f>SUM(V79:V81)</f>
        <v>605</v>
      </c>
    </row>
    <row r="83" spans="2:22" s="38" customFormat="1" ht="15" customHeight="1" x14ac:dyDescent="0.25">
      <c r="B83" s="480" t="s">
        <v>127</v>
      </c>
      <c r="C83" s="607"/>
      <c r="D83" s="607"/>
      <c r="E83" s="607"/>
      <c r="F83" s="607"/>
      <c r="G83" s="607"/>
      <c r="H83" s="607"/>
      <c r="I83" s="607"/>
      <c r="J83" s="607"/>
      <c r="K83" s="608">
        <f t="shared" ref="K83:P83" si="14">SUM(K71,K78,K79)</f>
        <v>173</v>
      </c>
      <c r="L83" s="608">
        <f t="shared" si="14"/>
        <v>228</v>
      </c>
      <c r="M83" s="608">
        <f t="shared" si="14"/>
        <v>377</v>
      </c>
      <c r="N83" s="608">
        <f t="shared" si="14"/>
        <v>458</v>
      </c>
      <c r="O83" s="608">
        <f t="shared" si="14"/>
        <v>594</v>
      </c>
      <c r="P83" s="608">
        <f t="shared" si="14"/>
        <v>674</v>
      </c>
      <c r="Q83" s="608">
        <f t="shared" ref="Q83:V83" si="15">SUM(Q74,Q78,Q82)</f>
        <v>868</v>
      </c>
      <c r="R83" s="608">
        <f t="shared" si="15"/>
        <v>1045</v>
      </c>
      <c r="S83" s="608">
        <f t="shared" si="15"/>
        <v>1249</v>
      </c>
      <c r="T83" s="608">
        <f t="shared" si="15"/>
        <v>1475</v>
      </c>
      <c r="U83" s="608">
        <f t="shared" si="15"/>
        <v>1636</v>
      </c>
      <c r="V83" s="608">
        <f t="shared" si="15"/>
        <v>1793</v>
      </c>
    </row>
    <row r="84" spans="2:22" s="38" customFormat="1" ht="15" customHeight="1" x14ac:dyDescent="0.25">
      <c r="B84" s="599" t="s">
        <v>60</v>
      </c>
      <c r="C84" s="600">
        <v>834</v>
      </c>
      <c r="D84" s="600">
        <v>867</v>
      </c>
      <c r="E84" s="600">
        <v>895</v>
      </c>
      <c r="F84" s="600">
        <v>919</v>
      </c>
      <c r="G84" s="601">
        <v>963</v>
      </c>
      <c r="H84" s="601">
        <v>999</v>
      </c>
      <c r="I84" s="601">
        <v>940</v>
      </c>
      <c r="J84" s="601">
        <v>982</v>
      </c>
      <c r="K84" s="601">
        <v>995</v>
      </c>
      <c r="L84" s="589">
        <v>1010</v>
      </c>
      <c r="M84" s="589">
        <v>1019</v>
      </c>
      <c r="N84" s="589">
        <v>1000</v>
      </c>
      <c r="O84" s="589">
        <v>1018</v>
      </c>
      <c r="P84" s="589">
        <v>1028</v>
      </c>
      <c r="Q84" s="589">
        <v>1054</v>
      </c>
      <c r="R84" s="589">
        <v>1055</v>
      </c>
      <c r="S84" s="589">
        <v>1046</v>
      </c>
      <c r="T84" s="589">
        <v>1056</v>
      </c>
      <c r="U84" s="589">
        <v>1074</v>
      </c>
      <c r="V84" s="589">
        <v>1077</v>
      </c>
    </row>
    <row r="85" spans="2:22" s="38" customFormat="1" ht="15" customHeight="1" x14ac:dyDescent="0.25">
      <c r="B85" s="107" t="s">
        <v>94</v>
      </c>
      <c r="C85" s="590">
        <v>1012</v>
      </c>
      <c r="D85" s="590">
        <v>1069</v>
      </c>
      <c r="E85" s="590">
        <v>1141</v>
      </c>
      <c r="F85" s="590">
        <v>1170</v>
      </c>
      <c r="G85" s="591">
        <v>1186</v>
      </c>
      <c r="H85" s="591">
        <v>1172</v>
      </c>
      <c r="I85" s="591">
        <v>1109</v>
      </c>
      <c r="J85" s="591">
        <v>1119</v>
      </c>
      <c r="K85" s="591">
        <v>1079</v>
      </c>
      <c r="L85" s="591">
        <v>1073</v>
      </c>
      <c r="M85" s="591">
        <v>1091</v>
      </c>
      <c r="N85" s="591">
        <v>1081</v>
      </c>
      <c r="O85" s="591">
        <v>1085</v>
      </c>
      <c r="P85" s="591">
        <v>1085</v>
      </c>
      <c r="Q85" s="591">
        <v>1106</v>
      </c>
      <c r="R85" s="591">
        <v>1113</v>
      </c>
      <c r="S85" s="591">
        <v>1154</v>
      </c>
      <c r="T85" s="591">
        <v>1175</v>
      </c>
      <c r="U85" s="591">
        <v>1193</v>
      </c>
      <c r="V85" s="591">
        <v>1206</v>
      </c>
    </row>
    <row r="86" spans="2:22" s="38" customFormat="1" ht="15" customHeight="1" x14ac:dyDescent="0.25">
      <c r="B86" s="107" t="s">
        <v>62</v>
      </c>
      <c r="C86" s="590">
        <v>733</v>
      </c>
      <c r="D86" s="590">
        <v>748</v>
      </c>
      <c r="E86" s="590">
        <v>792</v>
      </c>
      <c r="F86" s="590">
        <v>806</v>
      </c>
      <c r="G86" s="591">
        <v>873</v>
      </c>
      <c r="H86" s="591">
        <v>909</v>
      </c>
      <c r="I86" s="591">
        <v>934</v>
      </c>
      <c r="J86" s="591">
        <v>940</v>
      </c>
      <c r="K86" s="591">
        <v>882</v>
      </c>
      <c r="L86" s="591">
        <v>918</v>
      </c>
      <c r="M86" s="591">
        <v>968</v>
      </c>
      <c r="N86" s="591">
        <v>991</v>
      </c>
      <c r="O86" s="591">
        <v>1013</v>
      </c>
      <c r="P86" s="591">
        <v>1014</v>
      </c>
      <c r="Q86" s="591">
        <v>1009</v>
      </c>
      <c r="R86" s="591">
        <v>1069</v>
      </c>
      <c r="S86" s="591">
        <v>1064</v>
      </c>
      <c r="T86" s="591">
        <v>1089</v>
      </c>
      <c r="U86" s="591">
        <v>1085</v>
      </c>
      <c r="V86" s="591">
        <v>1112</v>
      </c>
    </row>
    <row r="87" spans="2:22" s="38" customFormat="1" ht="15" customHeight="1" x14ac:dyDescent="0.25">
      <c r="B87" s="107" t="s">
        <v>95</v>
      </c>
      <c r="C87" s="590">
        <v>1829</v>
      </c>
      <c r="D87" s="590">
        <v>1928</v>
      </c>
      <c r="E87" s="590">
        <v>2042</v>
      </c>
      <c r="F87" s="590">
        <v>2031</v>
      </c>
      <c r="G87" s="591">
        <v>2037</v>
      </c>
      <c r="H87" s="591">
        <v>2021</v>
      </c>
      <c r="I87" s="591">
        <v>1949</v>
      </c>
      <c r="J87" s="591">
        <v>1851</v>
      </c>
      <c r="K87" s="591">
        <v>1824</v>
      </c>
      <c r="L87" s="591">
        <v>1843</v>
      </c>
      <c r="M87" s="591">
        <v>1863</v>
      </c>
      <c r="N87" s="591">
        <v>1787</v>
      </c>
      <c r="O87" s="591">
        <v>1738</v>
      </c>
      <c r="P87" s="591">
        <v>1721</v>
      </c>
      <c r="Q87" s="591">
        <v>1685</v>
      </c>
      <c r="R87" s="591">
        <v>1676</v>
      </c>
      <c r="S87" s="591">
        <v>1699</v>
      </c>
      <c r="T87" s="591">
        <v>1724</v>
      </c>
      <c r="U87" s="591">
        <v>1673</v>
      </c>
      <c r="V87" s="591">
        <v>1640</v>
      </c>
    </row>
    <row r="88" spans="2:22" s="38" customFormat="1" ht="15" customHeight="1" x14ac:dyDescent="0.25">
      <c r="B88" s="107" t="s">
        <v>63</v>
      </c>
      <c r="C88" s="590">
        <v>956</v>
      </c>
      <c r="D88" s="590">
        <v>1009</v>
      </c>
      <c r="E88" s="590">
        <v>994</v>
      </c>
      <c r="F88" s="590">
        <v>1014</v>
      </c>
      <c r="G88" s="591">
        <v>966</v>
      </c>
      <c r="H88" s="591">
        <v>956</v>
      </c>
      <c r="I88" s="591">
        <v>923</v>
      </c>
      <c r="J88" s="591">
        <v>894</v>
      </c>
      <c r="K88" s="591">
        <v>917</v>
      </c>
      <c r="L88" s="591">
        <v>927</v>
      </c>
      <c r="M88" s="591">
        <v>936</v>
      </c>
      <c r="N88" s="591">
        <v>902</v>
      </c>
      <c r="O88" s="591">
        <v>909</v>
      </c>
      <c r="P88" s="591">
        <v>884</v>
      </c>
      <c r="Q88" s="591">
        <v>891</v>
      </c>
      <c r="R88" s="591">
        <v>922</v>
      </c>
      <c r="S88" s="591">
        <v>954</v>
      </c>
      <c r="T88" s="591">
        <v>999</v>
      </c>
      <c r="U88" s="591">
        <v>942</v>
      </c>
      <c r="V88" s="591">
        <v>934</v>
      </c>
    </row>
    <row r="89" spans="2:22" s="38" customFormat="1" ht="15" customHeight="1" x14ac:dyDescent="0.25">
      <c r="B89" s="107" t="s">
        <v>96</v>
      </c>
      <c r="C89" s="590">
        <v>290</v>
      </c>
      <c r="D89" s="590">
        <v>298</v>
      </c>
      <c r="E89" s="590">
        <v>313</v>
      </c>
      <c r="F89" s="590">
        <v>326</v>
      </c>
      <c r="G89" s="591">
        <v>363</v>
      </c>
      <c r="H89" s="591">
        <v>356</v>
      </c>
      <c r="I89" s="591">
        <v>351</v>
      </c>
      <c r="J89" s="591">
        <v>352</v>
      </c>
      <c r="K89" s="591">
        <v>359</v>
      </c>
      <c r="L89" s="591">
        <v>355</v>
      </c>
      <c r="M89" s="591">
        <v>360</v>
      </c>
      <c r="N89" s="591">
        <v>387</v>
      </c>
      <c r="O89" s="591">
        <v>430</v>
      </c>
      <c r="P89" s="591">
        <v>500</v>
      </c>
      <c r="Q89" s="591">
        <v>535</v>
      </c>
      <c r="R89" s="591">
        <v>558</v>
      </c>
      <c r="S89" s="591">
        <v>599</v>
      </c>
      <c r="T89" s="591">
        <v>622</v>
      </c>
      <c r="U89" s="591">
        <v>646</v>
      </c>
      <c r="V89" s="591">
        <v>658</v>
      </c>
    </row>
    <row r="90" spans="2:22" s="38" customFormat="1" ht="15" customHeight="1" x14ac:dyDescent="0.25">
      <c r="B90" s="594" t="s">
        <v>64</v>
      </c>
      <c r="C90" s="595">
        <f>SUM(C84:C89)</f>
        <v>5654</v>
      </c>
      <c r="D90" s="595">
        <f t="shared" ref="D90:R90" si="16">SUM(D84:D89)</f>
        <v>5919</v>
      </c>
      <c r="E90" s="595">
        <f t="shared" si="16"/>
        <v>6177</v>
      </c>
      <c r="F90" s="595">
        <f t="shared" si="16"/>
        <v>6266</v>
      </c>
      <c r="G90" s="595">
        <f t="shared" si="16"/>
        <v>6388</v>
      </c>
      <c r="H90" s="595">
        <f t="shared" si="16"/>
        <v>6413</v>
      </c>
      <c r="I90" s="595">
        <f t="shared" si="16"/>
        <v>6206</v>
      </c>
      <c r="J90" s="595">
        <f t="shared" si="16"/>
        <v>6138</v>
      </c>
      <c r="K90" s="595">
        <f t="shared" si="16"/>
        <v>6056</v>
      </c>
      <c r="L90" s="596">
        <f t="shared" si="16"/>
        <v>6126</v>
      </c>
      <c r="M90" s="596">
        <f t="shared" si="16"/>
        <v>6237</v>
      </c>
      <c r="N90" s="596">
        <f t="shared" si="16"/>
        <v>6148</v>
      </c>
      <c r="O90" s="596">
        <f t="shared" si="16"/>
        <v>6193</v>
      </c>
      <c r="P90" s="596">
        <f t="shared" si="16"/>
        <v>6232</v>
      </c>
      <c r="Q90" s="596">
        <f t="shared" si="16"/>
        <v>6280</v>
      </c>
      <c r="R90" s="596">
        <f t="shared" si="16"/>
        <v>6393</v>
      </c>
      <c r="S90" s="596">
        <f>SUM(S84:S89)</f>
        <v>6516</v>
      </c>
      <c r="T90" s="596">
        <f>SUM(T84:T89)</f>
        <v>6665</v>
      </c>
      <c r="U90" s="596">
        <f>SUM(U84:U89)</f>
        <v>6613</v>
      </c>
      <c r="V90" s="596">
        <f>SUM(V84:V89)</f>
        <v>6627</v>
      </c>
    </row>
    <row r="91" spans="2:22" s="38" customFormat="1" ht="15" customHeight="1" x14ac:dyDescent="0.25">
      <c r="B91" s="100" t="s">
        <v>86</v>
      </c>
      <c r="C91" s="588">
        <v>753</v>
      </c>
      <c r="D91" s="588">
        <v>786</v>
      </c>
      <c r="E91" s="588">
        <v>856</v>
      </c>
      <c r="F91" s="588">
        <v>950</v>
      </c>
      <c r="G91" s="589">
        <v>965</v>
      </c>
      <c r="H91" s="589">
        <v>971</v>
      </c>
      <c r="I91" s="589">
        <v>949</v>
      </c>
      <c r="J91" s="589">
        <v>933</v>
      </c>
      <c r="K91" s="589">
        <v>918</v>
      </c>
      <c r="L91" s="589">
        <v>922</v>
      </c>
      <c r="M91" s="589">
        <v>928</v>
      </c>
      <c r="N91" s="589">
        <v>931</v>
      </c>
      <c r="O91" s="589">
        <v>923</v>
      </c>
      <c r="P91" s="589">
        <v>971</v>
      </c>
      <c r="Q91" s="589">
        <v>1004</v>
      </c>
      <c r="R91" s="589">
        <v>992</v>
      </c>
      <c r="S91" s="589">
        <v>991</v>
      </c>
      <c r="T91" s="589">
        <v>1028</v>
      </c>
      <c r="U91" s="589">
        <v>1071</v>
      </c>
      <c r="V91" s="589">
        <v>1042</v>
      </c>
    </row>
    <row r="92" spans="2:22" s="38" customFormat="1" ht="15" customHeight="1" x14ac:dyDescent="0.25">
      <c r="B92" s="107" t="s">
        <v>97</v>
      </c>
      <c r="C92" s="590">
        <v>450</v>
      </c>
      <c r="D92" s="590">
        <v>515</v>
      </c>
      <c r="E92" s="590">
        <v>579</v>
      </c>
      <c r="F92" s="590">
        <v>652</v>
      </c>
      <c r="G92" s="591">
        <v>644</v>
      </c>
      <c r="H92" s="591">
        <v>689</v>
      </c>
      <c r="I92" s="591">
        <v>672</v>
      </c>
      <c r="J92" s="591">
        <v>714</v>
      </c>
      <c r="K92" s="591">
        <v>707</v>
      </c>
      <c r="L92" s="591">
        <v>704</v>
      </c>
      <c r="M92" s="591">
        <v>659</v>
      </c>
      <c r="N92" s="591">
        <v>619</v>
      </c>
      <c r="O92" s="591">
        <v>591</v>
      </c>
      <c r="P92" s="591">
        <v>589</v>
      </c>
      <c r="Q92" s="591">
        <v>604</v>
      </c>
      <c r="R92" s="591">
        <v>616</v>
      </c>
      <c r="S92" s="591">
        <v>618</v>
      </c>
      <c r="T92" s="591">
        <v>623</v>
      </c>
      <c r="U92" s="591">
        <v>627</v>
      </c>
      <c r="V92" s="591">
        <v>640</v>
      </c>
    </row>
    <row r="93" spans="2:22" s="38" customFormat="1" ht="15" customHeight="1" x14ac:dyDescent="0.25">
      <c r="B93" s="107" t="s">
        <v>98</v>
      </c>
      <c r="C93" s="590">
        <v>896</v>
      </c>
      <c r="D93" s="590">
        <v>966</v>
      </c>
      <c r="E93" s="590">
        <v>1102</v>
      </c>
      <c r="F93" s="590">
        <v>1169</v>
      </c>
      <c r="G93" s="591">
        <v>1195</v>
      </c>
      <c r="H93" s="591">
        <v>1156</v>
      </c>
      <c r="I93" s="591">
        <v>995</v>
      </c>
      <c r="J93" s="591">
        <v>903</v>
      </c>
      <c r="K93" s="591">
        <v>857</v>
      </c>
      <c r="L93" s="591">
        <v>844</v>
      </c>
      <c r="M93" s="591">
        <v>842</v>
      </c>
      <c r="N93" s="591">
        <v>874</v>
      </c>
      <c r="O93" s="591">
        <v>888</v>
      </c>
      <c r="P93" s="591">
        <v>920</v>
      </c>
      <c r="Q93" s="591">
        <v>948</v>
      </c>
      <c r="R93" s="591">
        <v>979</v>
      </c>
      <c r="S93" s="591">
        <v>953</v>
      </c>
      <c r="T93" s="591">
        <v>976</v>
      </c>
      <c r="U93" s="591">
        <v>968</v>
      </c>
      <c r="V93" s="591">
        <v>1001</v>
      </c>
    </row>
    <row r="94" spans="2:22" s="38" customFormat="1" ht="15" customHeight="1" x14ac:dyDescent="0.25">
      <c r="B94" s="107" t="s">
        <v>99</v>
      </c>
      <c r="C94" s="590">
        <v>1181</v>
      </c>
      <c r="D94" s="590">
        <v>1290</v>
      </c>
      <c r="E94" s="590">
        <v>1354</v>
      </c>
      <c r="F94" s="590">
        <v>1402</v>
      </c>
      <c r="G94" s="591">
        <v>1368</v>
      </c>
      <c r="H94" s="591">
        <v>1303</v>
      </c>
      <c r="I94" s="591">
        <v>1261</v>
      </c>
      <c r="J94" s="591">
        <v>1284</v>
      </c>
      <c r="K94" s="591">
        <v>1263</v>
      </c>
      <c r="L94" s="591">
        <v>1241</v>
      </c>
      <c r="M94" s="591">
        <v>1239</v>
      </c>
      <c r="N94" s="591">
        <v>1243</v>
      </c>
      <c r="O94" s="591">
        <v>1318</v>
      </c>
      <c r="P94" s="591">
        <v>1366</v>
      </c>
      <c r="Q94" s="591">
        <v>1456</v>
      </c>
      <c r="R94" s="591">
        <v>1488</v>
      </c>
      <c r="S94" s="591">
        <v>1509</v>
      </c>
      <c r="T94" s="591">
        <v>1529</v>
      </c>
      <c r="U94" s="591">
        <v>1564</v>
      </c>
      <c r="V94" s="591">
        <v>1524</v>
      </c>
    </row>
    <row r="95" spans="2:22" s="38" customFormat="1" ht="15" customHeight="1" x14ac:dyDescent="0.25">
      <c r="B95" s="107" t="s">
        <v>100</v>
      </c>
      <c r="C95" s="590">
        <v>1156</v>
      </c>
      <c r="D95" s="590">
        <v>1273</v>
      </c>
      <c r="E95" s="590">
        <v>1396</v>
      </c>
      <c r="F95" s="590">
        <v>1431</v>
      </c>
      <c r="G95" s="591">
        <v>1458</v>
      </c>
      <c r="H95" s="591">
        <v>1384</v>
      </c>
      <c r="I95" s="591">
        <v>1283</v>
      </c>
      <c r="J95" s="591">
        <v>1237</v>
      </c>
      <c r="K95" s="591">
        <v>1182</v>
      </c>
      <c r="L95" s="591">
        <v>1158</v>
      </c>
      <c r="M95" s="591">
        <v>1201</v>
      </c>
      <c r="N95" s="591">
        <v>1254</v>
      </c>
      <c r="O95" s="591">
        <v>1262</v>
      </c>
      <c r="P95" s="591">
        <v>1297</v>
      </c>
      <c r="Q95" s="591">
        <v>1314</v>
      </c>
      <c r="R95" s="591">
        <v>1407</v>
      </c>
      <c r="S95" s="591">
        <v>1468</v>
      </c>
      <c r="T95" s="591">
        <v>1489</v>
      </c>
      <c r="U95" s="591">
        <v>1527</v>
      </c>
      <c r="V95" s="591">
        <v>1546</v>
      </c>
    </row>
    <row r="96" spans="2:22" s="38" customFormat="1" ht="15" customHeight="1" x14ac:dyDescent="0.25">
      <c r="B96" s="107" t="s">
        <v>101</v>
      </c>
      <c r="C96" s="590">
        <v>556</v>
      </c>
      <c r="D96" s="590">
        <v>528</v>
      </c>
      <c r="E96" s="590">
        <v>497</v>
      </c>
      <c r="F96" s="590">
        <v>521</v>
      </c>
      <c r="G96" s="591">
        <v>571</v>
      </c>
      <c r="H96" s="591">
        <v>599</v>
      </c>
      <c r="I96" s="591">
        <v>666</v>
      </c>
      <c r="J96" s="591">
        <v>775</v>
      </c>
      <c r="K96" s="591">
        <v>840</v>
      </c>
      <c r="L96" s="591">
        <v>867</v>
      </c>
      <c r="M96" s="591">
        <v>859</v>
      </c>
      <c r="N96" s="591">
        <v>827</v>
      </c>
      <c r="O96" s="591">
        <v>826</v>
      </c>
      <c r="P96" s="591">
        <v>785</v>
      </c>
      <c r="Q96" s="591">
        <v>802</v>
      </c>
      <c r="R96" s="591">
        <v>820</v>
      </c>
      <c r="S96" s="591">
        <v>872</v>
      </c>
      <c r="T96" s="591">
        <v>869</v>
      </c>
      <c r="U96" s="591">
        <v>869</v>
      </c>
      <c r="V96" s="591">
        <v>870</v>
      </c>
    </row>
    <row r="97" spans="2:22" s="38" customFormat="1" ht="15" customHeight="1" x14ac:dyDescent="0.25">
      <c r="B97" s="107" t="s">
        <v>102</v>
      </c>
      <c r="C97" s="590">
        <v>1042</v>
      </c>
      <c r="D97" s="590">
        <v>1089</v>
      </c>
      <c r="E97" s="590">
        <v>1104</v>
      </c>
      <c r="F97" s="590">
        <v>1138</v>
      </c>
      <c r="G97" s="591">
        <v>1117</v>
      </c>
      <c r="H97" s="591">
        <v>1176</v>
      </c>
      <c r="I97" s="591">
        <v>1182</v>
      </c>
      <c r="J97" s="591">
        <v>1184</v>
      </c>
      <c r="K97" s="591">
        <v>1135</v>
      </c>
      <c r="L97" s="591">
        <v>1106</v>
      </c>
      <c r="M97" s="591">
        <v>1135</v>
      </c>
      <c r="N97" s="591">
        <v>1098</v>
      </c>
      <c r="O97" s="591">
        <v>1070</v>
      </c>
      <c r="P97" s="591">
        <v>1018</v>
      </c>
      <c r="Q97" s="591">
        <v>1015</v>
      </c>
      <c r="R97" s="591">
        <v>1009</v>
      </c>
      <c r="S97" s="591">
        <v>1039</v>
      </c>
      <c r="T97" s="591">
        <v>1079</v>
      </c>
      <c r="U97" s="591">
        <v>1084</v>
      </c>
      <c r="V97" s="591">
        <v>1117</v>
      </c>
    </row>
    <row r="98" spans="2:22" s="38" customFormat="1" ht="15" customHeight="1" x14ac:dyDescent="0.25">
      <c r="B98" s="107" t="s">
        <v>165</v>
      </c>
      <c r="C98" s="590">
        <v>531</v>
      </c>
      <c r="D98" s="590">
        <v>580</v>
      </c>
      <c r="E98" s="590">
        <v>628</v>
      </c>
      <c r="F98" s="590">
        <v>685</v>
      </c>
      <c r="G98" s="591">
        <v>720</v>
      </c>
      <c r="H98" s="591">
        <v>696</v>
      </c>
      <c r="I98" s="591">
        <v>684</v>
      </c>
      <c r="J98" s="591">
        <v>612</v>
      </c>
      <c r="K98" s="591">
        <v>666</v>
      </c>
      <c r="L98" s="591">
        <v>667</v>
      </c>
      <c r="M98" s="591">
        <v>702</v>
      </c>
      <c r="N98" s="591">
        <v>729</v>
      </c>
      <c r="O98" s="591">
        <v>758</v>
      </c>
      <c r="P98" s="591">
        <v>743</v>
      </c>
      <c r="Q98" s="591">
        <v>769</v>
      </c>
      <c r="R98" s="591">
        <v>747</v>
      </c>
      <c r="S98" s="591">
        <v>740</v>
      </c>
      <c r="T98" s="591">
        <v>730</v>
      </c>
      <c r="U98" s="591">
        <v>741</v>
      </c>
      <c r="V98" s="591">
        <v>756</v>
      </c>
    </row>
    <row r="99" spans="2:22" s="38" customFormat="1" ht="15" customHeight="1" x14ac:dyDescent="0.25">
      <c r="B99" s="594" t="s">
        <v>92</v>
      </c>
      <c r="C99" s="595">
        <f>SUM(C91:C98)</f>
        <v>6565</v>
      </c>
      <c r="D99" s="595">
        <f t="shared" ref="D99:R99" si="17">SUM(D91:D98)</f>
        <v>7027</v>
      </c>
      <c r="E99" s="595">
        <f t="shared" si="17"/>
        <v>7516</v>
      </c>
      <c r="F99" s="595">
        <f t="shared" si="17"/>
        <v>7948</v>
      </c>
      <c r="G99" s="595">
        <f t="shared" si="17"/>
        <v>8038</v>
      </c>
      <c r="H99" s="595">
        <f t="shared" si="17"/>
        <v>7974</v>
      </c>
      <c r="I99" s="595">
        <f t="shared" si="17"/>
        <v>7692</v>
      </c>
      <c r="J99" s="595">
        <f t="shared" si="17"/>
        <v>7642</v>
      </c>
      <c r="K99" s="595">
        <f t="shared" si="17"/>
        <v>7568</v>
      </c>
      <c r="L99" s="596">
        <f t="shared" si="17"/>
        <v>7509</v>
      </c>
      <c r="M99" s="596">
        <f t="shared" si="17"/>
        <v>7565</v>
      </c>
      <c r="N99" s="596">
        <f t="shared" si="17"/>
        <v>7575</v>
      </c>
      <c r="O99" s="596">
        <f t="shared" si="17"/>
        <v>7636</v>
      </c>
      <c r="P99" s="596">
        <f t="shared" si="17"/>
        <v>7689</v>
      </c>
      <c r="Q99" s="596">
        <f t="shared" si="17"/>
        <v>7912</v>
      </c>
      <c r="R99" s="596">
        <f t="shared" si="17"/>
        <v>8058</v>
      </c>
      <c r="S99" s="596">
        <f>SUM(S91:S98)</f>
        <v>8190</v>
      </c>
      <c r="T99" s="596">
        <f>SUM(T91:T98)</f>
        <v>8323</v>
      </c>
      <c r="U99" s="596">
        <f>SUM(U91:U98)</f>
        <v>8451</v>
      </c>
      <c r="V99" s="596">
        <f>SUM(V91:V98)</f>
        <v>8496</v>
      </c>
    </row>
    <row r="100" spans="2:22" s="38" customFormat="1" ht="15" customHeight="1" x14ac:dyDescent="0.25">
      <c r="B100" s="599" t="s">
        <v>65</v>
      </c>
      <c r="C100" s="600">
        <v>1337</v>
      </c>
      <c r="D100" s="600">
        <v>1387</v>
      </c>
      <c r="E100" s="600">
        <v>1477</v>
      </c>
      <c r="F100" s="600">
        <v>1507</v>
      </c>
      <c r="G100" s="601">
        <v>1523</v>
      </c>
      <c r="H100" s="601">
        <v>1595</v>
      </c>
      <c r="I100" s="601">
        <v>1530</v>
      </c>
      <c r="J100" s="601">
        <v>1485</v>
      </c>
      <c r="K100" s="601">
        <v>1400</v>
      </c>
      <c r="L100" s="601">
        <v>1380</v>
      </c>
      <c r="M100" s="601">
        <v>1362</v>
      </c>
      <c r="N100" s="601">
        <v>1372</v>
      </c>
      <c r="O100" s="601">
        <v>1340</v>
      </c>
      <c r="P100" s="601">
        <v>1365</v>
      </c>
      <c r="Q100" s="601">
        <v>1402</v>
      </c>
      <c r="R100" s="601">
        <v>1447</v>
      </c>
      <c r="S100" s="601">
        <v>1438</v>
      </c>
      <c r="T100" s="601">
        <v>1465</v>
      </c>
      <c r="U100" s="601">
        <v>1486</v>
      </c>
      <c r="V100" s="601">
        <v>1482</v>
      </c>
    </row>
    <row r="101" spans="2:22" s="38" customFormat="1" ht="15" customHeight="1" x14ac:dyDescent="0.25">
      <c r="B101" s="107" t="s">
        <v>66</v>
      </c>
      <c r="C101" s="590">
        <v>673</v>
      </c>
      <c r="D101" s="590">
        <v>717</v>
      </c>
      <c r="E101" s="590">
        <v>727</v>
      </c>
      <c r="F101" s="590">
        <v>715</v>
      </c>
      <c r="G101" s="591">
        <v>705</v>
      </c>
      <c r="H101" s="591">
        <v>689</v>
      </c>
      <c r="I101" s="591">
        <v>629</v>
      </c>
      <c r="J101" s="591">
        <v>637</v>
      </c>
      <c r="K101" s="591">
        <v>628</v>
      </c>
      <c r="L101" s="591">
        <v>665</v>
      </c>
      <c r="M101" s="591">
        <v>665</v>
      </c>
      <c r="N101" s="591">
        <v>653</v>
      </c>
      <c r="O101" s="591">
        <v>637</v>
      </c>
      <c r="P101" s="591">
        <v>637</v>
      </c>
      <c r="Q101" s="591">
        <v>609</v>
      </c>
      <c r="R101" s="591">
        <v>631</v>
      </c>
      <c r="S101" s="591">
        <v>638</v>
      </c>
      <c r="T101" s="591">
        <v>648</v>
      </c>
      <c r="U101" s="591">
        <v>642</v>
      </c>
      <c r="V101" s="591">
        <v>648</v>
      </c>
    </row>
    <row r="102" spans="2:22" s="38" customFormat="1" ht="15" customHeight="1" x14ac:dyDescent="0.25">
      <c r="B102" s="107" t="s">
        <v>67</v>
      </c>
      <c r="C102" s="590">
        <v>650</v>
      </c>
      <c r="D102" s="590">
        <v>688</v>
      </c>
      <c r="E102" s="590">
        <v>724</v>
      </c>
      <c r="F102" s="590">
        <v>701</v>
      </c>
      <c r="G102" s="591">
        <v>698</v>
      </c>
      <c r="H102" s="591">
        <v>675</v>
      </c>
      <c r="I102" s="591">
        <v>624</v>
      </c>
      <c r="J102" s="591">
        <v>583</v>
      </c>
      <c r="K102" s="591">
        <v>572</v>
      </c>
      <c r="L102" s="591">
        <v>578</v>
      </c>
      <c r="M102" s="591">
        <v>622</v>
      </c>
      <c r="N102" s="591">
        <v>635</v>
      </c>
      <c r="O102" s="591">
        <v>659</v>
      </c>
      <c r="P102" s="591">
        <v>682</v>
      </c>
      <c r="Q102" s="591">
        <v>679</v>
      </c>
      <c r="R102" s="591">
        <v>674</v>
      </c>
      <c r="S102" s="591">
        <v>666</v>
      </c>
      <c r="T102" s="591">
        <v>646</v>
      </c>
      <c r="U102" s="591">
        <v>658</v>
      </c>
      <c r="V102" s="591">
        <v>702</v>
      </c>
    </row>
    <row r="103" spans="2:22" s="38" customFormat="1" ht="15" customHeight="1" x14ac:dyDescent="0.25">
      <c r="B103" s="107" t="s">
        <v>104</v>
      </c>
      <c r="C103" s="590">
        <v>344</v>
      </c>
      <c r="D103" s="590">
        <v>362</v>
      </c>
      <c r="E103" s="590">
        <v>398</v>
      </c>
      <c r="F103" s="590">
        <v>412</v>
      </c>
      <c r="G103" s="591">
        <v>439</v>
      </c>
      <c r="H103" s="591">
        <v>445</v>
      </c>
      <c r="I103" s="591">
        <v>468</v>
      </c>
      <c r="J103" s="591">
        <v>483</v>
      </c>
      <c r="K103" s="591">
        <v>491</v>
      </c>
      <c r="L103" s="591">
        <v>512</v>
      </c>
      <c r="M103" s="591">
        <v>524</v>
      </c>
      <c r="N103" s="591">
        <v>500</v>
      </c>
      <c r="O103" s="591">
        <v>504</v>
      </c>
      <c r="P103" s="591">
        <v>509</v>
      </c>
      <c r="Q103" s="591">
        <v>498</v>
      </c>
      <c r="R103" s="591">
        <v>464</v>
      </c>
      <c r="S103" s="591">
        <v>472</v>
      </c>
      <c r="T103" s="591">
        <v>462</v>
      </c>
      <c r="U103" s="591">
        <v>426</v>
      </c>
      <c r="V103" s="591">
        <v>434</v>
      </c>
    </row>
    <row r="104" spans="2:22" s="38" customFormat="1" ht="15" customHeight="1" x14ac:dyDescent="0.25">
      <c r="B104" s="594" t="s">
        <v>68</v>
      </c>
      <c r="C104" s="609">
        <f>SUM(C100:C103)</f>
        <v>3004</v>
      </c>
      <c r="D104" s="609">
        <f t="shared" ref="D104:R104" si="18">SUM(D100:D103)</f>
        <v>3154</v>
      </c>
      <c r="E104" s="609">
        <f t="shared" si="18"/>
        <v>3326</v>
      </c>
      <c r="F104" s="609">
        <f t="shared" si="18"/>
        <v>3335</v>
      </c>
      <c r="G104" s="609">
        <f t="shared" si="18"/>
        <v>3365</v>
      </c>
      <c r="H104" s="609">
        <f t="shared" si="18"/>
        <v>3404</v>
      </c>
      <c r="I104" s="609">
        <f t="shared" si="18"/>
        <v>3251</v>
      </c>
      <c r="J104" s="609">
        <f t="shared" si="18"/>
        <v>3188</v>
      </c>
      <c r="K104" s="609">
        <f t="shared" si="18"/>
        <v>3091</v>
      </c>
      <c r="L104" s="610">
        <f t="shared" si="18"/>
        <v>3135</v>
      </c>
      <c r="M104" s="610">
        <f t="shared" si="18"/>
        <v>3173</v>
      </c>
      <c r="N104" s="610">
        <f t="shared" si="18"/>
        <v>3160</v>
      </c>
      <c r="O104" s="610">
        <f t="shared" si="18"/>
        <v>3140</v>
      </c>
      <c r="P104" s="610">
        <f t="shared" si="18"/>
        <v>3193</v>
      </c>
      <c r="Q104" s="610">
        <f t="shared" si="18"/>
        <v>3188</v>
      </c>
      <c r="R104" s="610">
        <f t="shared" si="18"/>
        <v>3216</v>
      </c>
      <c r="S104" s="610">
        <f>SUM(S100:S103)</f>
        <v>3214</v>
      </c>
      <c r="T104" s="610">
        <f>SUM(T100:T103)</f>
        <v>3221</v>
      </c>
      <c r="U104" s="610">
        <f>SUM(U100:U103)</f>
        <v>3212</v>
      </c>
      <c r="V104" s="610">
        <f>SUM(V100:V103)</f>
        <v>3266</v>
      </c>
    </row>
    <row r="105" spans="2:22" s="38" customFormat="1" ht="15" customHeight="1" x14ac:dyDescent="0.25">
      <c r="B105" s="484" t="s">
        <v>105</v>
      </c>
      <c r="C105" s="611">
        <f>SUM(C104,C99,C90)</f>
        <v>15223</v>
      </c>
      <c r="D105" s="611">
        <f t="shared" ref="D105:R105" si="19">SUM(D104,D99,D90)</f>
        <v>16100</v>
      </c>
      <c r="E105" s="611">
        <f t="shared" si="19"/>
        <v>17019</v>
      </c>
      <c r="F105" s="611">
        <f t="shared" si="19"/>
        <v>17549</v>
      </c>
      <c r="G105" s="611">
        <f t="shared" si="19"/>
        <v>17791</v>
      </c>
      <c r="H105" s="611">
        <f t="shared" si="19"/>
        <v>17791</v>
      </c>
      <c r="I105" s="611">
        <f t="shared" si="19"/>
        <v>17149</v>
      </c>
      <c r="J105" s="611">
        <f t="shared" si="19"/>
        <v>16968</v>
      </c>
      <c r="K105" s="611">
        <f t="shared" si="19"/>
        <v>16715</v>
      </c>
      <c r="L105" s="612">
        <f t="shared" si="19"/>
        <v>16770</v>
      </c>
      <c r="M105" s="612">
        <f t="shared" si="19"/>
        <v>16975</v>
      </c>
      <c r="N105" s="612">
        <f t="shared" si="19"/>
        <v>16883</v>
      </c>
      <c r="O105" s="612">
        <f t="shared" si="19"/>
        <v>16969</v>
      </c>
      <c r="P105" s="612">
        <f t="shared" si="19"/>
        <v>17114</v>
      </c>
      <c r="Q105" s="612">
        <f t="shared" si="19"/>
        <v>17380</v>
      </c>
      <c r="R105" s="612">
        <f t="shared" si="19"/>
        <v>17667</v>
      </c>
      <c r="S105" s="612">
        <f>SUM(S104,S99,S90)</f>
        <v>17920</v>
      </c>
      <c r="T105" s="612">
        <f>SUM(T104,T99,T90)</f>
        <v>18209</v>
      </c>
      <c r="U105" s="612">
        <f>SUM(U104,U99,U90)</f>
        <v>18276</v>
      </c>
      <c r="V105" s="612">
        <f>SUM(V104,V99,V90)</f>
        <v>18389</v>
      </c>
    </row>
    <row r="106" spans="2:22" s="38" customFormat="1" ht="15" customHeight="1" x14ac:dyDescent="0.25">
      <c r="B106" s="328"/>
      <c r="C106" s="328"/>
      <c r="D106" s="328"/>
      <c r="E106" s="328"/>
      <c r="F106" s="328"/>
      <c r="G106" s="328"/>
      <c r="H106" s="328"/>
      <c r="I106" s="328"/>
      <c r="J106" s="328"/>
      <c r="K106" s="328"/>
      <c r="L106" s="328"/>
      <c r="M106" s="328"/>
      <c r="N106" s="328"/>
      <c r="O106" s="328"/>
    </row>
    <row r="107" spans="2:22" s="322" customFormat="1" ht="14.4" x14ac:dyDescent="0.25">
      <c r="B107" s="136" t="s">
        <v>128</v>
      </c>
      <c r="C107" s="613">
        <f t="shared" ref="C107:R107" si="20">SUM(C24,C39,C70,C83,C105)</f>
        <v>42235</v>
      </c>
      <c r="D107" s="613">
        <f t="shared" si="20"/>
        <v>43246</v>
      </c>
      <c r="E107" s="613">
        <f t="shared" si="20"/>
        <v>44496</v>
      </c>
      <c r="F107" s="613">
        <f t="shared" si="20"/>
        <v>45448</v>
      </c>
      <c r="G107" s="613">
        <f t="shared" si="20"/>
        <v>46267</v>
      </c>
      <c r="H107" s="613">
        <f t="shared" si="20"/>
        <v>47386</v>
      </c>
      <c r="I107" s="613">
        <f t="shared" si="20"/>
        <v>47343</v>
      </c>
      <c r="J107" s="613">
        <f t="shared" si="20"/>
        <v>48596</v>
      </c>
      <c r="K107" s="613">
        <f t="shared" si="20"/>
        <v>49508</v>
      </c>
      <c r="L107" s="613">
        <f t="shared" si="20"/>
        <v>50928</v>
      </c>
      <c r="M107" s="613">
        <f t="shared" si="20"/>
        <v>52459</v>
      </c>
      <c r="N107" s="613">
        <f t="shared" si="20"/>
        <v>52898</v>
      </c>
      <c r="O107" s="613">
        <f t="shared" si="20"/>
        <v>53374</v>
      </c>
      <c r="P107" s="613">
        <f t="shared" si="20"/>
        <v>53900</v>
      </c>
      <c r="Q107" s="613">
        <f t="shared" si="20"/>
        <v>53989</v>
      </c>
      <c r="R107" s="613">
        <f t="shared" si="20"/>
        <v>54755</v>
      </c>
      <c r="S107" s="613">
        <f>SUM(S24,S39,S70,S83,S105)</f>
        <v>55811</v>
      </c>
      <c r="T107" s="613">
        <f>SUM(T24,T39,T70,T83,T105)</f>
        <v>56038</v>
      </c>
      <c r="U107" s="613">
        <f>SUM(U24,U39,U70,U83,U105)</f>
        <v>57262</v>
      </c>
      <c r="V107" s="613">
        <f>SUM(V24,V39,V70,V83,V105)</f>
        <v>58062</v>
      </c>
    </row>
    <row r="108" spans="2:22" s="325" customFormat="1" ht="13.8" x14ac:dyDescent="0.25">
      <c r="B108" s="276" t="s">
        <v>166</v>
      </c>
    </row>
    <row r="109" spans="2:22" x14ac:dyDescent="0.25">
      <c r="B109" s="393" t="s">
        <v>151</v>
      </c>
    </row>
  </sheetData>
  <hyperlinks>
    <hyperlink ref="B2" r:id="rId1" display="http://www.transparencia.uam.mx/inforganos/anuarios/_x000a_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scale="50" firstPageNumber="26" orientation="landscape" useFirstPageNumber="1" r:id="rId2"/>
  <headerFooter scaleWithDoc="0" alignWithMargins="0">
    <oddFooter>&amp;R&amp;P</oddFooter>
  </headerFooter>
  <rowBreaks count="1" manualBreakCount="1">
    <brk id="62" max="16383" man="1"/>
  </rowBreaks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B1:V42"/>
  <sheetViews>
    <sheetView showGridLines="0" zoomScale="110" zoomScaleNormal="110" workbookViewId="0">
      <pane xSplit="2" ySplit="5" topLeftCell="D6" activePane="bottomRight" state="frozen"/>
      <selection activeCell="Q31" sqref="Q31"/>
      <selection pane="topRight" activeCell="Q31" sqref="Q31"/>
      <selection pane="bottomLeft" activeCell="Q31" sqref="Q31"/>
      <selection pane="bottomRight" activeCell="Q31" sqref="Q31"/>
    </sheetView>
  </sheetViews>
  <sheetFormatPr baseColWidth="10" defaultColWidth="11.44140625" defaultRowHeight="13.2" x14ac:dyDescent="0.25"/>
  <cols>
    <col min="1" max="1" width="2.88671875" style="276" customWidth="1"/>
    <col min="2" max="2" width="19.109375" style="276" customWidth="1"/>
    <col min="3" max="20" width="10.88671875" style="276" customWidth="1"/>
    <col min="21" max="21" width="11.44140625" style="276"/>
    <col min="22" max="22" width="10.88671875" style="276" customWidth="1"/>
    <col min="23" max="251" width="11.44140625" style="276"/>
    <col min="252" max="252" width="1.88671875" style="276" customWidth="1"/>
    <col min="253" max="253" width="18" style="276" bestFit="1" customWidth="1"/>
    <col min="254" max="254" width="6" style="276" bestFit="1" customWidth="1"/>
    <col min="255" max="255" width="23.5546875" style="276" customWidth="1"/>
    <col min="256" max="256" width="13.88671875" style="276" customWidth="1"/>
    <col min="257" max="260" width="13.5546875" style="276" customWidth="1"/>
    <col min="261" max="262" width="11.44140625" style="276" customWidth="1"/>
    <col min="263" max="263" width="2.88671875" style="276" customWidth="1"/>
    <col min="264" max="507" width="11.44140625" style="276"/>
    <col min="508" max="508" width="1.88671875" style="276" customWidth="1"/>
    <col min="509" max="509" width="18" style="276" bestFit="1" customWidth="1"/>
    <col min="510" max="510" width="6" style="276" bestFit="1" customWidth="1"/>
    <col min="511" max="511" width="23.5546875" style="276" customWidth="1"/>
    <col min="512" max="512" width="13.88671875" style="276" customWidth="1"/>
    <col min="513" max="516" width="13.5546875" style="276" customWidth="1"/>
    <col min="517" max="518" width="11.44140625" style="276" customWidth="1"/>
    <col min="519" max="519" width="2.88671875" style="276" customWidth="1"/>
    <col min="520" max="763" width="11.44140625" style="276"/>
    <col min="764" max="764" width="1.88671875" style="276" customWidth="1"/>
    <col min="765" max="765" width="18" style="276" bestFit="1" customWidth="1"/>
    <col min="766" max="766" width="6" style="276" bestFit="1" customWidth="1"/>
    <col min="767" max="767" width="23.5546875" style="276" customWidth="1"/>
    <col min="768" max="768" width="13.88671875" style="276" customWidth="1"/>
    <col min="769" max="772" width="13.5546875" style="276" customWidth="1"/>
    <col min="773" max="774" width="11.44140625" style="276" customWidth="1"/>
    <col min="775" max="775" width="2.88671875" style="276" customWidth="1"/>
    <col min="776" max="1019" width="11.44140625" style="276"/>
    <col min="1020" max="1020" width="1.88671875" style="276" customWidth="1"/>
    <col min="1021" max="1021" width="18" style="276" bestFit="1" customWidth="1"/>
    <col min="1022" max="1022" width="6" style="276" bestFit="1" customWidth="1"/>
    <col min="1023" max="1023" width="23.5546875" style="276" customWidth="1"/>
    <col min="1024" max="1024" width="13.88671875" style="276" customWidth="1"/>
    <col min="1025" max="1028" width="13.5546875" style="276" customWidth="1"/>
    <col min="1029" max="1030" width="11.44140625" style="276" customWidth="1"/>
    <col min="1031" max="1031" width="2.88671875" style="276" customWidth="1"/>
    <col min="1032" max="1275" width="11.44140625" style="276"/>
    <col min="1276" max="1276" width="1.88671875" style="276" customWidth="1"/>
    <col min="1277" max="1277" width="18" style="276" bestFit="1" customWidth="1"/>
    <col min="1278" max="1278" width="6" style="276" bestFit="1" customWidth="1"/>
    <col min="1279" max="1279" width="23.5546875" style="276" customWidth="1"/>
    <col min="1280" max="1280" width="13.88671875" style="276" customWidth="1"/>
    <col min="1281" max="1284" width="13.5546875" style="276" customWidth="1"/>
    <col min="1285" max="1286" width="11.44140625" style="276" customWidth="1"/>
    <col min="1287" max="1287" width="2.88671875" style="276" customWidth="1"/>
    <col min="1288" max="1531" width="11.44140625" style="276"/>
    <col min="1532" max="1532" width="1.88671875" style="276" customWidth="1"/>
    <col min="1533" max="1533" width="18" style="276" bestFit="1" customWidth="1"/>
    <col min="1534" max="1534" width="6" style="276" bestFit="1" customWidth="1"/>
    <col min="1535" max="1535" width="23.5546875" style="276" customWidth="1"/>
    <col min="1536" max="1536" width="13.88671875" style="276" customWidth="1"/>
    <col min="1537" max="1540" width="13.5546875" style="276" customWidth="1"/>
    <col min="1541" max="1542" width="11.44140625" style="276" customWidth="1"/>
    <col min="1543" max="1543" width="2.88671875" style="276" customWidth="1"/>
    <col min="1544" max="1787" width="11.44140625" style="276"/>
    <col min="1788" max="1788" width="1.88671875" style="276" customWidth="1"/>
    <col min="1789" max="1789" width="18" style="276" bestFit="1" customWidth="1"/>
    <col min="1790" max="1790" width="6" style="276" bestFit="1" customWidth="1"/>
    <col min="1791" max="1791" width="23.5546875" style="276" customWidth="1"/>
    <col min="1792" max="1792" width="13.88671875" style="276" customWidth="1"/>
    <col min="1793" max="1796" width="13.5546875" style="276" customWidth="1"/>
    <col min="1797" max="1798" width="11.44140625" style="276" customWidth="1"/>
    <col min="1799" max="1799" width="2.88671875" style="276" customWidth="1"/>
    <col min="1800" max="2043" width="11.44140625" style="276"/>
    <col min="2044" max="2044" width="1.88671875" style="276" customWidth="1"/>
    <col min="2045" max="2045" width="18" style="276" bestFit="1" customWidth="1"/>
    <col min="2046" max="2046" width="6" style="276" bestFit="1" customWidth="1"/>
    <col min="2047" max="2047" width="23.5546875" style="276" customWidth="1"/>
    <col min="2048" max="2048" width="13.88671875" style="276" customWidth="1"/>
    <col min="2049" max="2052" width="13.5546875" style="276" customWidth="1"/>
    <col min="2053" max="2054" width="11.44140625" style="276" customWidth="1"/>
    <col min="2055" max="2055" width="2.88671875" style="276" customWidth="1"/>
    <col min="2056" max="2299" width="11.44140625" style="276"/>
    <col min="2300" max="2300" width="1.88671875" style="276" customWidth="1"/>
    <col min="2301" max="2301" width="18" style="276" bestFit="1" customWidth="1"/>
    <col min="2302" max="2302" width="6" style="276" bestFit="1" customWidth="1"/>
    <col min="2303" max="2303" width="23.5546875" style="276" customWidth="1"/>
    <col min="2304" max="2304" width="13.88671875" style="276" customWidth="1"/>
    <col min="2305" max="2308" width="13.5546875" style="276" customWidth="1"/>
    <col min="2309" max="2310" width="11.44140625" style="276" customWidth="1"/>
    <col min="2311" max="2311" width="2.88671875" style="276" customWidth="1"/>
    <col min="2312" max="2555" width="11.44140625" style="276"/>
    <col min="2556" max="2556" width="1.88671875" style="276" customWidth="1"/>
    <col min="2557" max="2557" width="18" style="276" bestFit="1" customWidth="1"/>
    <col min="2558" max="2558" width="6" style="276" bestFit="1" customWidth="1"/>
    <col min="2559" max="2559" width="23.5546875" style="276" customWidth="1"/>
    <col min="2560" max="2560" width="13.88671875" style="276" customWidth="1"/>
    <col min="2561" max="2564" width="13.5546875" style="276" customWidth="1"/>
    <col min="2565" max="2566" width="11.44140625" style="276" customWidth="1"/>
    <col min="2567" max="2567" width="2.88671875" style="276" customWidth="1"/>
    <col min="2568" max="2811" width="11.44140625" style="276"/>
    <col min="2812" max="2812" width="1.88671875" style="276" customWidth="1"/>
    <col min="2813" max="2813" width="18" style="276" bestFit="1" customWidth="1"/>
    <col min="2814" max="2814" width="6" style="276" bestFit="1" customWidth="1"/>
    <col min="2815" max="2815" width="23.5546875" style="276" customWidth="1"/>
    <col min="2816" max="2816" width="13.88671875" style="276" customWidth="1"/>
    <col min="2817" max="2820" width="13.5546875" style="276" customWidth="1"/>
    <col min="2821" max="2822" width="11.44140625" style="276" customWidth="1"/>
    <col min="2823" max="2823" width="2.88671875" style="276" customWidth="1"/>
    <col min="2824" max="3067" width="11.44140625" style="276"/>
    <col min="3068" max="3068" width="1.88671875" style="276" customWidth="1"/>
    <col min="3069" max="3069" width="18" style="276" bestFit="1" customWidth="1"/>
    <col min="3070" max="3070" width="6" style="276" bestFit="1" customWidth="1"/>
    <col min="3071" max="3071" width="23.5546875" style="276" customWidth="1"/>
    <col min="3072" max="3072" width="13.88671875" style="276" customWidth="1"/>
    <col min="3073" max="3076" width="13.5546875" style="276" customWidth="1"/>
    <col min="3077" max="3078" width="11.44140625" style="276" customWidth="1"/>
    <col min="3079" max="3079" width="2.88671875" style="276" customWidth="1"/>
    <col min="3080" max="3323" width="11.44140625" style="276"/>
    <col min="3324" max="3324" width="1.88671875" style="276" customWidth="1"/>
    <col min="3325" max="3325" width="18" style="276" bestFit="1" customWidth="1"/>
    <col min="3326" max="3326" width="6" style="276" bestFit="1" customWidth="1"/>
    <col min="3327" max="3327" width="23.5546875" style="276" customWidth="1"/>
    <col min="3328" max="3328" width="13.88671875" style="276" customWidth="1"/>
    <col min="3329" max="3332" width="13.5546875" style="276" customWidth="1"/>
    <col min="3333" max="3334" width="11.44140625" style="276" customWidth="1"/>
    <col min="3335" max="3335" width="2.88671875" style="276" customWidth="1"/>
    <col min="3336" max="3579" width="11.44140625" style="276"/>
    <col min="3580" max="3580" width="1.88671875" style="276" customWidth="1"/>
    <col min="3581" max="3581" width="18" style="276" bestFit="1" customWidth="1"/>
    <col min="3582" max="3582" width="6" style="276" bestFit="1" customWidth="1"/>
    <col min="3583" max="3583" width="23.5546875" style="276" customWidth="1"/>
    <col min="3584" max="3584" width="13.88671875" style="276" customWidth="1"/>
    <col min="3585" max="3588" width="13.5546875" style="276" customWidth="1"/>
    <col min="3589" max="3590" width="11.44140625" style="276" customWidth="1"/>
    <col min="3591" max="3591" width="2.88671875" style="276" customWidth="1"/>
    <col min="3592" max="3835" width="11.44140625" style="276"/>
    <col min="3836" max="3836" width="1.88671875" style="276" customWidth="1"/>
    <col min="3837" max="3837" width="18" style="276" bestFit="1" customWidth="1"/>
    <col min="3838" max="3838" width="6" style="276" bestFit="1" customWidth="1"/>
    <col min="3839" max="3839" width="23.5546875" style="276" customWidth="1"/>
    <col min="3840" max="3840" width="13.88671875" style="276" customWidth="1"/>
    <col min="3841" max="3844" width="13.5546875" style="276" customWidth="1"/>
    <col min="3845" max="3846" width="11.44140625" style="276" customWidth="1"/>
    <col min="3847" max="3847" width="2.88671875" style="276" customWidth="1"/>
    <col min="3848" max="4091" width="11.44140625" style="276"/>
    <col min="4092" max="4092" width="1.88671875" style="276" customWidth="1"/>
    <col min="4093" max="4093" width="18" style="276" bestFit="1" customWidth="1"/>
    <col min="4094" max="4094" width="6" style="276" bestFit="1" customWidth="1"/>
    <col min="4095" max="4095" width="23.5546875" style="276" customWidth="1"/>
    <col min="4096" max="4096" width="13.88671875" style="276" customWidth="1"/>
    <col min="4097" max="4100" width="13.5546875" style="276" customWidth="1"/>
    <col min="4101" max="4102" width="11.44140625" style="276" customWidth="1"/>
    <col min="4103" max="4103" width="2.88671875" style="276" customWidth="1"/>
    <col min="4104" max="4347" width="11.44140625" style="276"/>
    <col min="4348" max="4348" width="1.88671875" style="276" customWidth="1"/>
    <col min="4349" max="4349" width="18" style="276" bestFit="1" customWidth="1"/>
    <col min="4350" max="4350" width="6" style="276" bestFit="1" customWidth="1"/>
    <col min="4351" max="4351" width="23.5546875" style="276" customWidth="1"/>
    <col min="4352" max="4352" width="13.88671875" style="276" customWidth="1"/>
    <col min="4353" max="4356" width="13.5546875" style="276" customWidth="1"/>
    <col min="4357" max="4358" width="11.44140625" style="276" customWidth="1"/>
    <col min="4359" max="4359" width="2.88671875" style="276" customWidth="1"/>
    <col min="4360" max="4603" width="11.44140625" style="276"/>
    <col min="4604" max="4604" width="1.88671875" style="276" customWidth="1"/>
    <col min="4605" max="4605" width="18" style="276" bestFit="1" customWidth="1"/>
    <col min="4606" max="4606" width="6" style="276" bestFit="1" customWidth="1"/>
    <col min="4607" max="4607" width="23.5546875" style="276" customWidth="1"/>
    <col min="4608" max="4608" width="13.88671875" style="276" customWidth="1"/>
    <col min="4609" max="4612" width="13.5546875" style="276" customWidth="1"/>
    <col min="4613" max="4614" width="11.44140625" style="276" customWidth="1"/>
    <col min="4615" max="4615" width="2.88671875" style="276" customWidth="1"/>
    <col min="4616" max="4859" width="11.44140625" style="276"/>
    <col min="4860" max="4860" width="1.88671875" style="276" customWidth="1"/>
    <col min="4861" max="4861" width="18" style="276" bestFit="1" customWidth="1"/>
    <col min="4862" max="4862" width="6" style="276" bestFit="1" customWidth="1"/>
    <col min="4863" max="4863" width="23.5546875" style="276" customWidth="1"/>
    <col min="4864" max="4864" width="13.88671875" style="276" customWidth="1"/>
    <col min="4865" max="4868" width="13.5546875" style="276" customWidth="1"/>
    <col min="4869" max="4870" width="11.44140625" style="276" customWidth="1"/>
    <col min="4871" max="4871" width="2.88671875" style="276" customWidth="1"/>
    <col min="4872" max="5115" width="11.44140625" style="276"/>
    <col min="5116" max="5116" width="1.88671875" style="276" customWidth="1"/>
    <col min="5117" max="5117" width="18" style="276" bestFit="1" customWidth="1"/>
    <col min="5118" max="5118" width="6" style="276" bestFit="1" customWidth="1"/>
    <col min="5119" max="5119" width="23.5546875" style="276" customWidth="1"/>
    <col min="5120" max="5120" width="13.88671875" style="276" customWidth="1"/>
    <col min="5121" max="5124" width="13.5546875" style="276" customWidth="1"/>
    <col min="5125" max="5126" width="11.44140625" style="276" customWidth="1"/>
    <col min="5127" max="5127" width="2.88671875" style="276" customWidth="1"/>
    <col min="5128" max="5371" width="11.44140625" style="276"/>
    <col min="5372" max="5372" width="1.88671875" style="276" customWidth="1"/>
    <col min="5373" max="5373" width="18" style="276" bestFit="1" customWidth="1"/>
    <col min="5374" max="5374" width="6" style="276" bestFit="1" customWidth="1"/>
    <col min="5375" max="5375" width="23.5546875" style="276" customWidth="1"/>
    <col min="5376" max="5376" width="13.88671875" style="276" customWidth="1"/>
    <col min="5377" max="5380" width="13.5546875" style="276" customWidth="1"/>
    <col min="5381" max="5382" width="11.44140625" style="276" customWidth="1"/>
    <col min="5383" max="5383" width="2.88671875" style="276" customWidth="1"/>
    <col min="5384" max="5627" width="11.44140625" style="276"/>
    <col min="5628" max="5628" width="1.88671875" style="276" customWidth="1"/>
    <col min="5629" max="5629" width="18" style="276" bestFit="1" customWidth="1"/>
    <col min="5630" max="5630" width="6" style="276" bestFit="1" customWidth="1"/>
    <col min="5631" max="5631" width="23.5546875" style="276" customWidth="1"/>
    <col min="5632" max="5632" width="13.88671875" style="276" customWidth="1"/>
    <col min="5633" max="5636" width="13.5546875" style="276" customWidth="1"/>
    <col min="5637" max="5638" width="11.44140625" style="276" customWidth="1"/>
    <col min="5639" max="5639" width="2.88671875" style="276" customWidth="1"/>
    <col min="5640" max="5883" width="11.44140625" style="276"/>
    <col min="5884" max="5884" width="1.88671875" style="276" customWidth="1"/>
    <col min="5885" max="5885" width="18" style="276" bestFit="1" customWidth="1"/>
    <col min="5886" max="5886" width="6" style="276" bestFit="1" customWidth="1"/>
    <col min="5887" max="5887" width="23.5546875" style="276" customWidth="1"/>
    <col min="5888" max="5888" width="13.88671875" style="276" customWidth="1"/>
    <col min="5889" max="5892" width="13.5546875" style="276" customWidth="1"/>
    <col min="5893" max="5894" width="11.44140625" style="276" customWidth="1"/>
    <col min="5895" max="5895" width="2.88671875" style="276" customWidth="1"/>
    <col min="5896" max="6139" width="11.44140625" style="276"/>
    <col min="6140" max="6140" width="1.88671875" style="276" customWidth="1"/>
    <col min="6141" max="6141" width="18" style="276" bestFit="1" customWidth="1"/>
    <col min="6142" max="6142" width="6" style="276" bestFit="1" customWidth="1"/>
    <col min="6143" max="6143" width="23.5546875" style="276" customWidth="1"/>
    <col min="6144" max="6144" width="13.88671875" style="276" customWidth="1"/>
    <col min="6145" max="6148" width="13.5546875" style="276" customWidth="1"/>
    <col min="6149" max="6150" width="11.44140625" style="276" customWidth="1"/>
    <col min="6151" max="6151" width="2.88671875" style="276" customWidth="1"/>
    <col min="6152" max="6395" width="11.44140625" style="276"/>
    <col min="6396" max="6396" width="1.88671875" style="276" customWidth="1"/>
    <col min="6397" max="6397" width="18" style="276" bestFit="1" customWidth="1"/>
    <col min="6398" max="6398" width="6" style="276" bestFit="1" customWidth="1"/>
    <col min="6399" max="6399" width="23.5546875" style="276" customWidth="1"/>
    <col min="6400" max="6400" width="13.88671875" style="276" customWidth="1"/>
    <col min="6401" max="6404" width="13.5546875" style="276" customWidth="1"/>
    <col min="6405" max="6406" width="11.44140625" style="276" customWidth="1"/>
    <col min="6407" max="6407" width="2.88671875" style="276" customWidth="1"/>
    <col min="6408" max="6651" width="11.44140625" style="276"/>
    <col min="6652" max="6652" width="1.88671875" style="276" customWidth="1"/>
    <col min="6653" max="6653" width="18" style="276" bestFit="1" customWidth="1"/>
    <col min="6654" max="6654" width="6" style="276" bestFit="1" customWidth="1"/>
    <col min="6655" max="6655" width="23.5546875" style="276" customWidth="1"/>
    <col min="6656" max="6656" width="13.88671875" style="276" customWidth="1"/>
    <col min="6657" max="6660" width="13.5546875" style="276" customWidth="1"/>
    <col min="6661" max="6662" width="11.44140625" style="276" customWidth="1"/>
    <col min="6663" max="6663" width="2.88671875" style="276" customWidth="1"/>
    <col min="6664" max="6907" width="11.44140625" style="276"/>
    <col min="6908" max="6908" width="1.88671875" style="276" customWidth="1"/>
    <col min="6909" max="6909" width="18" style="276" bestFit="1" customWidth="1"/>
    <col min="6910" max="6910" width="6" style="276" bestFit="1" customWidth="1"/>
    <col min="6911" max="6911" width="23.5546875" style="276" customWidth="1"/>
    <col min="6912" max="6912" width="13.88671875" style="276" customWidth="1"/>
    <col min="6913" max="6916" width="13.5546875" style="276" customWidth="1"/>
    <col min="6917" max="6918" width="11.44140625" style="276" customWidth="1"/>
    <col min="6919" max="6919" width="2.88671875" style="276" customWidth="1"/>
    <col min="6920" max="7163" width="11.44140625" style="276"/>
    <col min="7164" max="7164" width="1.88671875" style="276" customWidth="1"/>
    <col min="7165" max="7165" width="18" style="276" bestFit="1" customWidth="1"/>
    <col min="7166" max="7166" width="6" style="276" bestFit="1" customWidth="1"/>
    <col min="7167" max="7167" width="23.5546875" style="276" customWidth="1"/>
    <col min="7168" max="7168" width="13.88671875" style="276" customWidth="1"/>
    <col min="7169" max="7172" width="13.5546875" style="276" customWidth="1"/>
    <col min="7173" max="7174" width="11.44140625" style="276" customWidth="1"/>
    <col min="7175" max="7175" width="2.88671875" style="276" customWidth="1"/>
    <col min="7176" max="7419" width="11.44140625" style="276"/>
    <col min="7420" max="7420" width="1.88671875" style="276" customWidth="1"/>
    <col min="7421" max="7421" width="18" style="276" bestFit="1" customWidth="1"/>
    <col min="7422" max="7422" width="6" style="276" bestFit="1" customWidth="1"/>
    <col min="7423" max="7423" width="23.5546875" style="276" customWidth="1"/>
    <col min="7424" max="7424" width="13.88671875" style="276" customWidth="1"/>
    <col min="7425" max="7428" width="13.5546875" style="276" customWidth="1"/>
    <col min="7429" max="7430" width="11.44140625" style="276" customWidth="1"/>
    <col min="7431" max="7431" width="2.88671875" style="276" customWidth="1"/>
    <col min="7432" max="7675" width="11.44140625" style="276"/>
    <col min="7676" max="7676" width="1.88671875" style="276" customWidth="1"/>
    <col min="7677" max="7677" width="18" style="276" bestFit="1" customWidth="1"/>
    <col min="7678" max="7678" width="6" style="276" bestFit="1" customWidth="1"/>
    <col min="7679" max="7679" width="23.5546875" style="276" customWidth="1"/>
    <col min="7680" max="7680" width="13.88671875" style="276" customWidth="1"/>
    <col min="7681" max="7684" width="13.5546875" style="276" customWidth="1"/>
    <col min="7685" max="7686" width="11.44140625" style="276" customWidth="1"/>
    <col min="7687" max="7687" width="2.88671875" style="276" customWidth="1"/>
    <col min="7688" max="7931" width="11.44140625" style="276"/>
    <col min="7932" max="7932" width="1.88671875" style="276" customWidth="1"/>
    <col min="7933" max="7933" width="18" style="276" bestFit="1" customWidth="1"/>
    <col min="7934" max="7934" width="6" style="276" bestFit="1" customWidth="1"/>
    <col min="7935" max="7935" width="23.5546875" style="276" customWidth="1"/>
    <col min="7936" max="7936" width="13.88671875" style="276" customWidth="1"/>
    <col min="7937" max="7940" width="13.5546875" style="276" customWidth="1"/>
    <col min="7941" max="7942" width="11.44140625" style="276" customWidth="1"/>
    <col min="7943" max="7943" width="2.88671875" style="276" customWidth="1"/>
    <col min="7944" max="8187" width="11.44140625" style="276"/>
    <col min="8188" max="8188" width="1.88671875" style="276" customWidth="1"/>
    <col min="8189" max="8189" width="18" style="276" bestFit="1" customWidth="1"/>
    <col min="8190" max="8190" width="6" style="276" bestFit="1" customWidth="1"/>
    <col min="8191" max="8191" width="23.5546875" style="276" customWidth="1"/>
    <col min="8192" max="8192" width="13.88671875" style="276" customWidth="1"/>
    <col min="8193" max="8196" width="13.5546875" style="276" customWidth="1"/>
    <col min="8197" max="8198" width="11.44140625" style="276" customWidth="1"/>
    <col min="8199" max="8199" width="2.88671875" style="276" customWidth="1"/>
    <col min="8200" max="8443" width="11.44140625" style="276"/>
    <col min="8444" max="8444" width="1.88671875" style="276" customWidth="1"/>
    <col min="8445" max="8445" width="18" style="276" bestFit="1" customWidth="1"/>
    <col min="8446" max="8446" width="6" style="276" bestFit="1" customWidth="1"/>
    <col min="8447" max="8447" width="23.5546875" style="276" customWidth="1"/>
    <col min="8448" max="8448" width="13.88671875" style="276" customWidth="1"/>
    <col min="8449" max="8452" width="13.5546875" style="276" customWidth="1"/>
    <col min="8453" max="8454" width="11.44140625" style="276" customWidth="1"/>
    <col min="8455" max="8455" width="2.88671875" style="276" customWidth="1"/>
    <col min="8456" max="8699" width="11.44140625" style="276"/>
    <col min="8700" max="8700" width="1.88671875" style="276" customWidth="1"/>
    <col min="8701" max="8701" width="18" style="276" bestFit="1" customWidth="1"/>
    <col min="8702" max="8702" width="6" style="276" bestFit="1" customWidth="1"/>
    <col min="8703" max="8703" width="23.5546875" style="276" customWidth="1"/>
    <col min="8704" max="8704" width="13.88671875" style="276" customWidth="1"/>
    <col min="8705" max="8708" width="13.5546875" style="276" customWidth="1"/>
    <col min="8709" max="8710" width="11.44140625" style="276" customWidth="1"/>
    <col min="8711" max="8711" width="2.88671875" style="276" customWidth="1"/>
    <col min="8712" max="8955" width="11.44140625" style="276"/>
    <col min="8956" max="8956" width="1.88671875" style="276" customWidth="1"/>
    <col min="8957" max="8957" width="18" style="276" bestFit="1" customWidth="1"/>
    <col min="8958" max="8958" width="6" style="276" bestFit="1" customWidth="1"/>
    <col min="8959" max="8959" width="23.5546875" style="276" customWidth="1"/>
    <col min="8960" max="8960" width="13.88671875" style="276" customWidth="1"/>
    <col min="8961" max="8964" width="13.5546875" style="276" customWidth="1"/>
    <col min="8965" max="8966" width="11.44140625" style="276" customWidth="1"/>
    <col min="8967" max="8967" width="2.88671875" style="276" customWidth="1"/>
    <col min="8968" max="9211" width="11.44140625" style="276"/>
    <col min="9212" max="9212" width="1.88671875" style="276" customWidth="1"/>
    <col min="9213" max="9213" width="18" style="276" bestFit="1" customWidth="1"/>
    <col min="9214" max="9214" width="6" style="276" bestFit="1" customWidth="1"/>
    <col min="9215" max="9215" width="23.5546875" style="276" customWidth="1"/>
    <col min="9216" max="9216" width="13.88671875" style="276" customWidth="1"/>
    <col min="9217" max="9220" width="13.5546875" style="276" customWidth="1"/>
    <col min="9221" max="9222" width="11.44140625" style="276" customWidth="1"/>
    <col min="9223" max="9223" width="2.88671875" style="276" customWidth="1"/>
    <col min="9224" max="9467" width="11.44140625" style="276"/>
    <col min="9468" max="9468" width="1.88671875" style="276" customWidth="1"/>
    <col min="9469" max="9469" width="18" style="276" bestFit="1" customWidth="1"/>
    <col min="9470" max="9470" width="6" style="276" bestFit="1" customWidth="1"/>
    <col min="9471" max="9471" width="23.5546875" style="276" customWidth="1"/>
    <col min="9472" max="9472" width="13.88671875" style="276" customWidth="1"/>
    <col min="9473" max="9476" width="13.5546875" style="276" customWidth="1"/>
    <col min="9477" max="9478" width="11.44140625" style="276" customWidth="1"/>
    <col min="9479" max="9479" width="2.88671875" style="276" customWidth="1"/>
    <col min="9480" max="9723" width="11.44140625" style="276"/>
    <col min="9724" max="9724" width="1.88671875" style="276" customWidth="1"/>
    <col min="9725" max="9725" width="18" style="276" bestFit="1" customWidth="1"/>
    <col min="9726" max="9726" width="6" style="276" bestFit="1" customWidth="1"/>
    <col min="9727" max="9727" width="23.5546875" style="276" customWidth="1"/>
    <col min="9728" max="9728" width="13.88671875" style="276" customWidth="1"/>
    <col min="9729" max="9732" width="13.5546875" style="276" customWidth="1"/>
    <col min="9733" max="9734" width="11.44140625" style="276" customWidth="1"/>
    <col min="9735" max="9735" width="2.88671875" style="276" customWidth="1"/>
    <col min="9736" max="9979" width="11.44140625" style="276"/>
    <col min="9980" max="9980" width="1.88671875" style="276" customWidth="1"/>
    <col min="9981" max="9981" width="18" style="276" bestFit="1" customWidth="1"/>
    <col min="9982" max="9982" width="6" style="276" bestFit="1" customWidth="1"/>
    <col min="9983" max="9983" width="23.5546875" style="276" customWidth="1"/>
    <col min="9984" max="9984" width="13.88671875" style="276" customWidth="1"/>
    <col min="9985" max="9988" width="13.5546875" style="276" customWidth="1"/>
    <col min="9989" max="9990" width="11.44140625" style="276" customWidth="1"/>
    <col min="9991" max="9991" width="2.88671875" style="276" customWidth="1"/>
    <col min="9992" max="10235" width="11.44140625" style="276"/>
    <col min="10236" max="10236" width="1.88671875" style="276" customWidth="1"/>
    <col min="10237" max="10237" width="18" style="276" bestFit="1" customWidth="1"/>
    <col min="10238" max="10238" width="6" style="276" bestFit="1" customWidth="1"/>
    <col min="10239" max="10239" width="23.5546875" style="276" customWidth="1"/>
    <col min="10240" max="10240" width="13.88671875" style="276" customWidth="1"/>
    <col min="10241" max="10244" width="13.5546875" style="276" customWidth="1"/>
    <col min="10245" max="10246" width="11.44140625" style="276" customWidth="1"/>
    <col min="10247" max="10247" width="2.88671875" style="276" customWidth="1"/>
    <col min="10248" max="10491" width="11.44140625" style="276"/>
    <col min="10492" max="10492" width="1.88671875" style="276" customWidth="1"/>
    <col min="10493" max="10493" width="18" style="276" bestFit="1" customWidth="1"/>
    <col min="10494" max="10494" width="6" style="276" bestFit="1" customWidth="1"/>
    <col min="10495" max="10495" width="23.5546875" style="276" customWidth="1"/>
    <col min="10496" max="10496" width="13.88671875" style="276" customWidth="1"/>
    <col min="10497" max="10500" width="13.5546875" style="276" customWidth="1"/>
    <col min="10501" max="10502" width="11.44140625" style="276" customWidth="1"/>
    <col min="10503" max="10503" width="2.88671875" style="276" customWidth="1"/>
    <col min="10504" max="10747" width="11.44140625" style="276"/>
    <col min="10748" max="10748" width="1.88671875" style="276" customWidth="1"/>
    <col min="10749" max="10749" width="18" style="276" bestFit="1" customWidth="1"/>
    <col min="10750" max="10750" width="6" style="276" bestFit="1" customWidth="1"/>
    <col min="10751" max="10751" width="23.5546875" style="276" customWidth="1"/>
    <col min="10752" max="10752" width="13.88671875" style="276" customWidth="1"/>
    <col min="10753" max="10756" width="13.5546875" style="276" customWidth="1"/>
    <col min="10757" max="10758" width="11.44140625" style="276" customWidth="1"/>
    <col min="10759" max="10759" width="2.88671875" style="276" customWidth="1"/>
    <col min="10760" max="11003" width="11.44140625" style="276"/>
    <col min="11004" max="11004" width="1.88671875" style="276" customWidth="1"/>
    <col min="11005" max="11005" width="18" style="276" bestFit="1" customWidth="1"/>
    <col min="11006" max="11006" width="6" style="276" bestFit="1" customWidth="1"/>
    <col min="11007" max="11007" width="23.5546875" style="276" customWidth="1"/>
    <col min="11008" max="11008" width="13.88671875" style="276" customWidth="1"/>
    <col min="11009" max="11012" width="13.5546875" style="276" customWidth="1"/>
    <col min="11013" max="11014" width="11.44140625" style="276" customWidth="1"/>
    <col min="11015" max="11015" width="2.88671875" style="276" customWidth="1"/>
    <col min="11016" max="11259" width="11.44140625" style="276"/>
    <col min="11260" max="11260" width="1.88671875" style="276" customWidth="1"/>
    <col min="11261" max="11261" width="18" style="276" bestFit="1" customWidth="1"/>
    <col min="11262" max="11262" width="6" style="276" bestFit="1" customWidth="1"/>
    <col min="11263" max="11263" width="23.5546875" style="276" customWidth="1"/>
    <col min="11264" max="11264" width="13.88671875" style="276" customWidth="1"/>
    <col min="11265" max="11268" width="13.5546875" style="276" customWidth="1"/>
    <col min="11269" max="11270" width="11.44140625" style="276" customWidth="1"/>
    <col min="11271" max="11271" width="2.88671875" style="276" customWidth="1"/>
    <col min="11272" max="11515" width="11.44140625" style="276"/>
    <col min="11516" max="11516" width="1.88671875" style="276" customWidth="1"/>
    <col min="11517" max="11517" width="18" style="276" bestFit="1" customWidth="1"/>
    <col min="11518" max="11518" width="6" style="276" bestFit="1" customWidth="1"/>
    <col min="11519" max="11519" width="23.5546875" style="276" customWidth="1"/>
    <col min="11520" max="11520" width="13.88671875" style="276" customWidth="1"/>
    <col min="11521" max="11524" width="13.5546875" style="276" customWidth="1"/>
    <col min="11525" max="11526" width="11.44140625" style="276" customWidth="1"/>
    <col min="11527" max="11527" width="2.88671875" style="276" customWidth="1"/>
    <col min="11528" max="11771" width="11.44140625" style="276"/>
    <col min="11772" max="11772" width="1.88671875" style="276" customWidth="1"/>
    <col min="11773" max="11773" width="18" style="276" bestFit="1" customWidth="1"/>
    <col min="11774" max="11774" width="6" style="276" bestFit="1" customWidth="1"/>
    <col min="11775" max="11775" width="23.5546875" style="276" customWidth="1"/>
    <col min="11776" max="11776" width="13.88671875" style="276" customWidth="1"/>
    <col min="11777" max="11780" width="13.5546875" style="276" customWidth="1"/>
    <col min="11781" max="11782" width="11.44140625" style="276" customWidth="1"/>
    <col min="11783" max="11783" width="2.88671875" style="276" customWidth="1"/>
    <col min="11784" max="12027" width="11.44140625" style="276"/>
    <col min="12028" max="12028" width="1.88671875" style="276" customWidth="1"/>
    <col min="12029" max="12029" width="18" style="276" bestFit="1" customWidth="1"/>
    <col min="12030" max="12030" width="6" style="276" bestFit="1" customWidth="1"/>
    <col min="12031" max="12031" width="23.5546875" style="276" customWidth="1"/>
    <col min="12032" max="12032" width="13.88671875" style="276" customWidth="1"/>
    <col min="12033" max="12036" width="13.5546875" style="276" customWidth="1"/>
    <col min="12037" max="12038" width="11.44140625" style="276" customWidth="1"/>
    <col min="12039" max="12039" width="2.88671875" style="276" customWidth="1"/>
    <col min="12040" max="12283" width="11.44140625" style="276"/>
    <col min="12284" max="12284" width="1.88671875" style="276" customWidth="1"/>
    <col min="12285" max="12285" width="18" style="276" bestFit="1" customWidth="1"/>
    <col min="12286" max="12286" width="6" style="276" bestFit="1" customWidth="1"/>
    <col min="12287" max="12287" width="23.5546875" style="276" customWidth="1"/>
    <col min="12288" max="12288" width="13.88671875" style="276" customWidth="1"/>
    <col min="12289" max="12292" width="13.5546875" style="276" customWidth="1"/>
    <col min="12293" max="12294" width="11.44140625" style="276" customWidth="1"/>
    <col min="12295" max="12295" width="2.88671875" style="276" customWidth="1"/>
    <col min="12296" max="12539" width="11.44140625" style="276"/>
    <col min="12540" max="12540" width="1.88671875" style="276" customWidth="1"/>
    <col min="12541" max="12541" width="18" style="276" bestFit="1" customWidth="1"/>
    <col min="12542" max="12542" width="6" style="276" bestFit="1" customWidth="1"/>
    <col min="12543" max="12543" width="23.5546875" style="276" customWidth="1"/>
    <col min="12544" max="12544" width="13.88671875" style="276" customWidth="1"/>
    <col min="12545" max="12548" width="13.5546875" style="276" customWidth="1"/>
    <col min="12549" max="12550" width="11.44140625" style="276" customWidth="1"/>
    <col min="12551" max="12551" width="2.88671875" style="276" customWidth="1"/>
    <col min="12552" max="12795" width="11.44140625" style="276"/>
    <col min="12796" max="12796" width="1.88671875" style="276" customWidth="1"/>
    <col min="12797" max="12797" width="18" style="276" bestFit="1" customWidth="1"/>
    <col min="12798" max="12798" width="6" style="276" bestFit="1" customWidth="1"/>
    <col min="12799" max="12799" width="23.5546875" style="276" customWidth="1"/>
    <col min="12800" max="12800" width="13.88671875" style="276" customWidth="1"/>
    <col min="12801" max="12804" width="13.5546875" style="276" customWidth="1"/>
    <col min="12805" max="12806" width="11.44140625" style="276" customWidth="1"/>
    <col min="12807" max="12807" width="2.88671875" style="276" customWidth="1"/>
    <col min="12808" max="13051" width="11.44140625" style="276"/>
    <col min="13052" max="13052" width="1.88671875" style="276" customWidth="1"/>
    <col min="13053" max="13053" width="18" style="276" bestFit="1" customWidth="1"/>
    <col min="13054" max="13054" width="6" style="276" bestFit="1" customWidth="1"/>
    <col min="13055" max="13055" width="23.5546875" style="276" customWidth="1"/>
    <col min="13056" max="13056" width="13.88671875" style="276" customWidth="1"/>
    <col min="13057" max="13060" width="13.5546875" style="276" customWidth="1"/>
    <col min="13061" max="13062" width="11.44140625" style="276" customWidth="1"/>
    <col min="13063" max="13063" width="2.88671875" style="276" customWidth="1"/>
    <col min="13064" max="13307" width="11.44140625" style="276"/>
    <col min="13308" max="13308" width="1.88671875" style="276" customWidth="1"/>
    <col min="13309" max="13309" width="18" style="276" bestFit="1" customWidth="1"/>
    <col min="13310" max="13310" width="6" style="276" bestFit="1" customWidth="1"/>
    <col min="13311" max="13311" width="23.5546875" style="276" customWidth="1"/>
    <col min="13312" max="13312" width="13.88671875" style="276" customWidth="1"/>
    <col min="13313" max="13316" width="13.5546875" style="276" customWidth="1"/>
    <col min="13317" max="13318" width="11.44140625" style="276" customWidth="1"/>
    <col min="13319" max="13319" width="2.88671875" style="276" customWidth="1"/>
    <col min="13320" max="13563" width="11.44140625" style="276"/>
    <col min="13564" max="13564" width="1.88671875" style="276" customWidth="1"/>
    <col min="13565" max="13565" width="18" style="276" bestFit="1" customWidth="1"/>
    <col min="13566" max="13566" width="6" style="276" bestFit="1" customWidth="1"/>
    <col min="13567" max="13567" width="23.5546875" style="276" customWidth="1"/>
    <col min="13568" max="13568" width="13.88671875" style="276" customWidth="1"/>
    <col min="13569" max="13572" width="13.5546875" style="276" customWidth="1"/>
    <col min="13573" max="13574" width="11.44140625" style="276" customWidth="1"/>
    <col min="13575" max="13575" width="2.88671875" style="276" customWidth="1"/>
    <col min="13576" max="13819" width="11.44140625" style="276"/>
    <col min="13820" max="13820" width="1.88671875" style="276" customWidth="1"/>
    <col min="13821" max="13821" width="18" style="276" bestFit="1" customWidth="1"/>
    <col min="13822" max="13822" width="6" style="276" bestFit="1" customWidth="1"/>
    <col min="13823" max="13823" width="23.5546875" style="276" customWidth="1"/>
    <col min="13824" max="13824" width="13.88671875" style="276" customWidth="1"/>
    <col min="13825" max="13828" width="13.5546875" style="276" customWidth="1"/>
    <col min="13829" max="13830" width="11.44140625" style="276" customWidth="1"/>
    <col min="13831" max="13831" width="2.88671875" style="276" customWidth="1"/>
    <col min="13832" max="14075" width="11.44140625" style="276"/>
    <col min="14076" max="14076" width="1.88671875" style="276" customWidth="1"/>
    <col min="14077" max="14077" width="18" style="276" bestFit="1" customWidth="1"/>
    <col min="14078" max="14078" width="6" style="276" bestFit="1" customWidth="1"/>
    <col min="14079" max="14079" width="23.5546875" style="276" customWidth="1"/>
    <col min="14080" max="14080" width="13.88671875" style="276" customWidth="1"/>
    <col min="14081" max="14084" width="13.5546875" style="276" customWidth="1"/>
    <col min="14085" max="14086" width="11.44140625" style="276" customWidth="1"/>
    <col min="14087" max="14087" width="2.88671875" style="276" customWidth="1"/>
    <col min="14088" max="14331" width="11.44140625" style="276"/>
    <col min="14332" max="14332" width="1.88671875" style="276" customWidth="1"/>
    <col min="14333" max="14333" width="18" style="276" bestFit="1" customWidth="1"/>
    <col min="14334" max="14334" width="6" style="276" bestFit="1" customWidth="1"/>
    <col min="14335" max="14335" width="23.5546875" style="276" customWidth="1"/>
    <col min="14336" max="14336" width="13.88671875" style="276" customWidth="1"/>
    <col min="14337" max="14340" width="13.5546875" style="276" customWidth="1"/>
    <col min="14341" max="14342" width="11.44140625" style="276" customWidth="1"/>
    <col min="14343" max="14343" width="2.88671875" style="276" customWidth="1"/>
    <col min="14344" max="14587" width="11.44140625" style="276"/>
    <col min="14588" max="14588" width="1.88671875" style="276" customWidth="1"/>
    <col min="14589" max="14589" width="18" style="276" bestFit="1" customWidth="1"/>
    <col min="14590" max="14590" width="6" style="276" bestFit="1" customWidth="1"/>
    <col min="14591" max="14591" width="23.5546875" style="276" customWidth="1"/>
    <col min="14592" max="14592" width="13.88671875" style="276" customWidth="1"/>
    <col min="14593" max="14596" width="13.5546875" style="276" customWidth="1"/>
    <col min="14597" max="14598" width="11.44140625" style="276" customWidth="1"/>
    <col min="14599" max="14599" width="2.88671875" style="276" customWidth="1"/>
    <col min="14600" max="14843" width="11.44140625" style="276"/>
    <col min="14844" max="14844" width="1.88671875" style="276" customWidth="1"/>
    <col min="14845" max="14845" width="18" style="276" bestFit="1" customWidth="1"/>
    <col min="14846" max="14846" width="6" style="276" bestFit="1" customWidth="1"/>
    <col min="14847" max="14847" width="23.5546875" style="276" customWidth="1"/>
    <col min="14848" max="14848" width="13.88671875" style="276" customWidth="1"/>
    <col min="14849" max="14852" width="13.5546875" style="276" customWidth="1"/>
    <col min="14853" max="14854" width="11.44140625" style="276" customWidth="1"/>
    <col min="14855" max="14855" width="2.88671875" style="276" customWidth="1"/>
    <col min="14856" max="15099" width="11.44140625" style="276"/>
    <col min="15100" max="15100" width="1.88671875" style="276" customWidth="1"/>
    <col min="15101" max="15101" width="18" style="276" bestFit="1" customWidth="1"/>
    <col min="15102" max="15102" width="6" style="276" bestFit="1" customWidth="1"/>
    <col min="15103" max="15103" width="23.5546875" style="276" customWidth="1"/>
    <col min="15104" max="15104" width="13.88671875" style="276" customWidth="1"/>
    <col min="15105" max="15108" width="13.5546875" style="276" customWidth="1"/>
    <col min="15109" max="15110" width="11.44140625" style="276" customWidth="1"/>
    <col min="15111" max="15111" width="2.88671875" style="276" customWidth="1"/>
    <col min="15112" max="15355" width="11.44140625" style="276"/>
    <col min="15356" max="15356" width="1.88671875" style="276" customWidth="1"/>
    <col min="15357" max="15357" width="18" style="276" bestFit="1" customWidth="1"/>
    <col min="15358" max="15358" width="6" style="276" bestFit="1" customWidth="1"/>
    <col min="15359" max="15359" width="23.5546875" style="276" customWidth="1"/>
    <col min="15360" max="15360" width="13.88671875" style="276" customWidth="1"/>
    <col min="15361" max="15364" width="13.5546875" style="276" customWidth="1"/>
    <col min="15365" max="15366" width="11.44140625" style="276" customWidth="1"/>
    <col min="15367" max="15367" width="2.88671875" style="276" customWidth="1"/>
    <col min="15368" max="15611" width="11.44140625" style="276"/>
    <col min="15612" max="15612" width="1.88671875" style="276" customWidth="1"/>
    <col min="15613" max="15613" width="18" style="276" bestFit="1" customWidth="1"/>
    <col min="15614" max="15614" width="6" style="276" bestFit="1" customWidth="1"/>
    <col min="15615" max="15615" width="23.5546875" style="276" customWidth="1"/>
    <col min="15616" max="15616" width="13.88671875" style="276" customWidth="1"/>
    <col min="15617" max="15620" width="13.5546875" style="276" customWidth="1"/>
    <col min="15621" max="15622" width="11.44140625" style="276" customWidth="1"/>
    <col min="15623" max="15623" width="2.88671875" style="276" customWidth="1"/>
    <col min="15624" max="15867" width="11.44140625" style="276"/>
    <col min="15868" max="15868" width="1.88671875" style="276" customWidth="1"/>
    <col min="15869" max="15869" width="18" style="276" bestFit="1" customWidth="1"/>
    <col min="15870" max="15870" width="6" style="276" bestFit="1" customWidth="1"/>
    <col min="15871" max="15871" width="23.5546875" style="276" customWidth="1"/>
    <col min="15872" max="15872" width="13.88671875" style="276" customWidth="1"/>
    <col min="15873" max="15876" width="13.5546875" style="276" customWidth="1"/>
    <col min="15877" max="15878" width="11.44140625" style="276" customWidth="1"/>
    <col min="15879" max="15879" width="2.88671875" style="276" customWidth="1"/>
    <col min="15880" max="16123" width="11.44140625" style="276"/>
    <col min="16124" max="16124" width="1.88671875" style="276" customWidth="1"/>
    <col min="16125" max="16125" width="18" style="276" bestFit="1" customWidth="1"/>
    <col min="16126" max="16126" width="6" style="276" bestFit="1" customWidth="1"/>
    <col min="16127" max="16127" width="23.5546875" style="276" customWidth="1"/>
    <col min="16128" max="16128" width="13.88671875" style="276" customWidth="1"/>
    <col min="16129" max="16132" width="13.5546875" style="276" customWidth="1"/>
    <col min="16133" max="16134" width="11.44140625" style="276" customWidth="1"/>
    <col min="16135" max="16135" width="2.88671875" style="276" customWidth="1"/>
    <col min="16136" max="16384" width="11.44140625" style="276"/>
  </cols>
  <sheetData>
    <row r="1" spans="2:22" s="325" customFormat="1" ht="69" x14ac:dyDescent="0.25">
      <c r="B1" s="26" t="s">
        <v>167</v>
      </c>
    </row>
    <row r="2" spans="2:22" s="38" customFormat="1" ht="15.6" x14ac:dyDescent="0.25">
      <c r="B2" s="614" t="s">
        <v>168</v>
      </c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</row>
    <row r="3" spans="2:22" s="325" customFormat="1" ht="15" x14ac:dyDescent="0.25">
      <c r="B3" s="615"/>
      <c r="C3" s="615"/>
      <c r="D3" s="615"/>
      <c r="E3" s="615"/>
      <c r="F3" s="615"/>
      <c r="G3" s="615"/>
    </row>
    <row r="4" spans="2:22" s="277" customFormat="1" ht="33" customHeight="1" x14ac:dyDescent="0.3">
      <c r="B4" s="552" t="s">
        <v>160</v>
      </c>
      <c r="C4" s="587">
        <v>2003</v>
      </c>
      <c r="D4" s="587">
        <v>2004</v>
      </c>
      <c r="E4" s="587">
        <v>2005</v>
      </c>
      <c r="F4" s="587">
        <v>2006</v>
      </c>
      <c r="G4" s="587">
        <v>2007</v>
      </c>
      <c r="H4" s="587">
        <v>2008</v>
      </c>
      <c r="I4" s="587">
        <v>2009</v>
      </c>
      <c r="J4" s="587">
        <v>2010</v>
      </c>
      <c r="K4" s="587">
        <v>2011</v>
      </c>
      <c r="L4" s="587">
        <v>2012</v>
      </c>
      <c r="M4" s="587">
        <v>2013</v>
      </c>
      <c r="N4" s="587">
        <v>2014</v>
      </c>
      <c r="O4" s="587">
        <v>2015</v>
      </c>
      <c r="P4" s="587">
        <v>2016</v>
      </c>
      <c r="Q4" s="587">
        <v>2017</v>
      </c>
      <c r="R4" s="587">
        <v>2018</v>
      </c>
      <c r="S4" s="587">
        <v>2019</v>
      </c>
      <c r="T4" s="587">
        <v>2020</v>
      </c>
      <c r="U4" s="587">
        <v>2021</v>
      </c>
      <c r="V4" s="587">
        <v>2022</v>
      </c>
    </row>
    <row r="5" spans="2:22" s="325" customFormat="1" ht="13.8" x14ac:dyDescent="0.25">
      <c r="B5" s="557"/>
    </row>
    <row r="6" spans="2:22" s="325" customFormat="1" ht="14.4" x14ac:dyDescent="0.25">
      <c r="B6" s="559" t="s">
        <v>59</v>
      </c>
      <c r="C6" s="151">
        <v>6155</v>
      </c>
      <c r="D6" s="151">
        <v>6518</v>
      </c>
      <c r="E6" s="616">
        <v>6814</v>
      </c>
      <c r="F6" s="616">
        <v>7139</v>
      </c>
      <c r="G6" s="616">
        <v>7357</v>
      </c>
      <c r="H6" s="616">
        <v>7629</v>
      </c>
      <c r="I6" s="616">
        <v>7768</v>
      </c>
      <c r="J6" s="616">
        <v>8348</v>
      </c>
      <c r="K6" s="616">
        <f>SUM('ACTIVOS plan'!K4:K13)</f>
        <v>8552</v>
      </c>
      <c r="L6" s="616">
        <f>SUM('ACTIVOS plan'!L4:L13)</f>
        <v>8481</v>
      </c>
      <c r="M6" s="616">
        <f>SUM('ACTIVOS plan'!M4:M13)</f>
        <v>8413</v>
      </c>
      <c r="N6" s="616">
        <f>SUM('ACTIVOS plan'!N4:N13)</f>
        <v>8142</v>
      </c>
      <c r="O6" s="616">
        <f>SUM('ACTIVOS plan'!O4:O13)</f>
        <v>7752</v>
      </c>
      <c r="P6" s="616">
        <f>SUM('ACTIVOS plan'!P4:P13)</f>
        <v>7437</v>
      </c>
      <c r="Q6" s="616">
        <f>SUM('ACTIVOS plan'!Q4:Q13)</f>
        <v>7030</v>
      </c>
      <c r="R6" s="616">
        <f>SUM('ACTIVOS plan'!R4:R13)</f>
        <v>6973</v>
      </c>
      <c r="S6" s="616">
        <f>SUM('ACTIVOS plan'!S4:S13)</f>
        <v>7240</v>
      </c>
      <c r="T6" s="616">
        <f>SUM('ACTIVOS plan'!T4:T13)</f>
        <v>7088</v>
      </c>
      <c r="U6" s="616">
        <f>SUM('ACTIVOS plan'!U4:U13)</f>
        <v>7537</v>
      </c>
      <c r="V6" s="616">
        <f>SUM('ACTIVOS plan'!V4:V13)</f>
        <v>7761</v>
      </c>
    </row>
    <row r="7" spans="2:22" s="325" customFormat="1" ht="14.4" x14ac:dyDescent="0.25">
      <c r="B7" s="562" t="s">
        <v>64</v>
      </c>
      <c r="C7" s="129">
        <v>5400</v>
      </c>
      <c r="D7" s="129">
        <v>5345</v>
      </c>
      <c r="E7" s="617">
        <v>5288</v>
      </c>
      <c r="F7" s="617">
        <v>5172</v>
      </c>
      <c r="G7" s="617">
        <v>5225</v>
      </c>
      <c r="H7" s="617">
        <v>5433</v>
      </c>
      <c r="I7" s="617">
        <v>5519</v>
      </c>
      <c r="J7" s="617">
        <v>5629</v>
      </c>
      <c r="K7" s="617">
        <f>SUM('ACTIVOS plan'!K15:K18)</f>
        <v>5755</v>
      </c>
      <c r="L7" s="617">
        <f>SUM('ACTIVOS plan'!L15:L18)</f>
        <v>6150</v>
      </c>
      <c r="M7" s="617">
        <f>SUM('ACTIVOS plan'!M15:M18)</f>
        <v>6362</v>
      </c>
      <c r="N7" s="617">
        <f>SUM('ACTIVOS plan'!N15:N18)</f>
        <v>6375</v>
      </c>
      <c r="O7" s="617">
        <f>SUM('ACTIVOS plan'!O15:O18)</f>
        <v>6570</v>
      </c>
      <c r="P7" s="617">
        <f>SUM('ACTIVOS plan'!P15:P18)</f>
        <v>6697</v>
      </c>
      <c r="Q7" s="617">
        <f>SUM('ACTIVOS plan'!Q15:Q18)</f>
        <v>6638</v>
      </c>
      <c r="R7" s="617">
        <f>SUM('ACTIVOS plan'!R15:R18)</f>
        <v>6878</v>
      </c>
      <c r="S7" s="617">
        <f>SUM('ACTIVOS plan'!S15:S18)</f>
        <v>7094</v>
      </c>
      <c r="T7" s="617">
        <f>SUM('ACTIVOS plan'!T15:T18)</f>
        <v>7127</v>
      </c>
      <c r="U7" s="617">
        <f>SUM('ACTIVOS plan'!U15:U18)</f>
        <v>7331</v>
      </c>
      <c r="V7" s="617">
        <f>SUM('ACTIVOS plan'!V15:V18)</f>
        <v>7397</v>
      </c>
    </row>
    <row r="8" spans="2:22" s="325" customFormat="1" ht="14.4" x14ac:dyDescent="0.25">
      <c r="B8" s="565" t="s">
        <v>68</v>
      </c>
      <c r="C8" s="129">
        <v>3254</v>
      </c>
      <c r="D8" s="129">
        <v>3190</v>
      </c>
      <c r="E8" s="617">
        <v>3224</v>
      </c>
      <c r="F8" s="617">
        <v>3205</v>
      </c>
      <c r="G8" s="617">
        <v>3132</v>
      </c>
      <c r="H8" s="617">
        <v>3117</v>
      </c>
      <c r="I8" s="617">
        <v>3084</v>
      </c>
      <c r="J8" s="617">
        <v>3058</v>
      </c>
      <c r="K8" s="617">
        <f>SUM('ACTIVOS plan'!K20:K22)</f>
        <v>3084</v>
      </c>
      <c r="L8" s="617">
        <f>SUM('ACTIVOS plan'!L20:L22)</f>
        <v>3224</v>
      </c>
      <c r="M8" s="617">
        <f>SUM('ACTIVOS plan'!M20:M22)</f>
        <v>3363</v>
      </c>
      <c r="N8" s="617">
        <f>SUM('ACTIVOS plan'!N20:N22)</f>
        <v>3449</v>
      </c>
      <c r="O8" s="617">
        <f>SUM('ACTIVOS plan'!O20:O22)</f>
        <v>3486</v>
      </c>
      <c r="P8" s="617">
        <f>SUM('ACTIVOS plan'!P20:P22)</f>
        <v>3503</v>
      </c>
      <c r="Q8" s="617">
        <f>SUM('ACTIVOS plan'!Q20:Q22)</f>
        <v>3581</v>
      </c>
      <c r="R8" s="617">
        <f>SUM('ACTIVOS plan'!R20:R22)</f>
        <v>3646</v>
      </c>
      <c r="S8" s="617">
        <f>SUM('ACTIVOS plan'!S20:S22)</f>
        <v>3789</v>
      </c>
      <c r="T8" s="617">
        <f>SUM('ACTIVOS plan'!T20:T22)</f>
        <v>3870</v>
      </c>
      <c r="U8" s="617">
        <f>SUM('ACTIVOS plan'!U20:U22)</f>
        <v>3982</v>
      </c>
      <c r="V8" s="617">
        <f>SUM('ACTIVOS plan'!V20:V22)</f>
        <v>4042</v>
      </c>
    </row>
    <row r="9" spans="2:22" s="322" customFormat="1" ht="14.4" x14ac:dyDescent="0.25">
      <c r="B9" s="566" t="s">
        <v>138</v>
      </c>
      <c r="C9" s="158">
        <v>14809</v>
      </c>
      <c r="D9" s="158">
        <v>15053</v>
      </c>
      <c r="E9" s="618">
        <v>15326</v>
      </c>
      <c r="F9" s="618">
        <v>15516</v>
      </c>
      <c r="G9" s="618">
        <v>15714</v>
      </c>
      <c r="H9" s="618">
        <v>16179</v>
      </c>
      <c r="I9" s="618">
        <v>16371</v>
      </c>
      <c r="J9" s="618">
        <f t="shared" ref="J9:O9" si="0">SUM(J6:J8)</f>
        <v>17035</v>
      </c>
      <c r="K9" s="618">
        <f t="shared" si="0"/>
        <v>17391</v>
      </c>
      <c r="L9" s="618">
        <f t="shared" si="0"/>
        <v>17855</v>
      </c>
      <c r="M9" s="618">
        <f t="shared" si="0"/>
        <v>18138</v>
      </c>
      <c r="N9" s="618">
        <f t="shared" si="0"/>
        <v>17966</v>
      </c>
      <c r="O9" s="618">
        <f t="shared" si="0"/>
        <v>17808</v>
      </c>
      <c r="P9" s="618">
        <f t="shared" ref="P9:U9" si="1">SUM(P6:P8)</f>
        <v>17637</v>
      </c>
      <c r="Q9" s="618">
        <f t="shared" si="1"/>
        <v>17249</v>
      </c>
      <c r="R9" s="618">
        <f t="shared" si="1"/>
        <v>17497</v>
      </c>
      <c r="S9" s="618">
        <f t="shared" si="1"/>
        <v>18123</v>
      </c>
      <c r="T9" s="618">
        <f t="shared" si="1"/>
        <v>18085</v>
      </c>
      <c r="U9" s="618">
        <f t="shared" si="1"/>
        <v>18850</v>
      </c>
      <c r="V9" s="618">
        <f t="shared" ref="V9" si="2">SUM(V6:V8)</f>
        <v>19200</v>
      </c>
    </row>
    <row r="10" spans="2:22" s="322" customFormat="1" ht="13.8" x14ac:dyDescent="0.25">
      <c r="B10" s="569"/>
      <c r="C10" s="619"/>
      <c r="D10" s="619"/>
      <c r="E10" s="619"/>
      <c r="F10" s="619"/>
      <c r="G10" s="619"/>
      <c r="H10" s="619"/>
      <c r="I10" s="619"/>
      <c r="J10" s="619"/>
      <c r="K10" s="619"/>
      <c r="L10" s="619"/>
      <c r="M10" s="619"/>
      <c r="N10" s="619"/>
      <c r="O10" s="619"/>
      <c r="P10" s="619"/>
      <c r="Q10" s="619"/>
      <c r="R10" s="619"/>
      <c r="S10" s="619"/>
      <c r="T10" s="619"/>
      <c r="U10" s="619"/>
      <c r="V10" s="619"/>
    </row>
    <row r="11" spans="2:22" s="322" customFormat="1" ht="14.4" x14ac:dyDescent="0.25">
      <c r="B11" s="559" t="s">
        <v>64</v>
      </c>
      <c r="C11" s="151"/>
      <c r="D11" s="151"/>
      <c r="E11" s="616">
        <v>111</v>
      </c>
      <c r="F11" s="616">
        <v>148</v>
      </c>
      <c r="G11" s="616">
        <v>242</v>
      </c>
      <c r="H11" s="616">
        <v>343</v>
      </c>
      <c r="I11" s="616">
        <v>401</v>
      </c>
      <c r="J11" s="616">
        <v>420</v>
      </c>
      <c r="K11" s="616">
        <f>SUM('ACTIVOS plan'!K25:K28)</f>
        <v>455</v>
      </c>
      <c r="L11" s="616">
        <f>SUM('ACTIVOS plan'!L25:L28)</f>
        <v>446</v>
      </c>
      <c r="M11" s="616">
        <f>SUM('ACTIVOS plan'!M25:M28)</f>
        <v>459</v>
      </c>
      <c r="N11" s="616">
        <f>SUM('ACTIVOS plan'!N25:N28)</f>
        <v>576</v>
      </c>
      <c r="O11" s="616">
        <f>SUM('ACTIVOS plan'!O25:O28)</f>
        <v>702</v>
      </c>
      <c r="P11" s="616">
        <f>SUM('ACTIVOS plan'!P25:P28)</f>
        <v>838</v>
      </c>
      <c r="Q11" s="616">
        <f>SUM('ACTIVOS plan'!Q25:Q28)</f>
        <v>958</v>
      </c>
      <c r="R11" s="616">
        <f>SUM('ACTIVOS plan'!R25:R28)</f>
        <v>1051</v>
      </c>
      <c r="S11" s="616">
        <f>SUM('ACTIVOS plan'!S25:S28)</f>
        <v>1166</v>
      </c>
      <c r="T11" s="616">
        <f>SUM('ACTIVOS plan'!T25:T28)</f>
        <v>1208</v>
      </c>
      <c r="U11" s="616">
        <f>SUM('ACTIVOS plan'!U25:U28)</f>
        <v>1261</v>
      </c>
      <c r="V11" s="616">
        <f>SUM('ACTIVOS plan'!V25:V28)</f>
        <v>1297</v>
      </c>
    </row>
    <row r="12" spans="2:22" s="322" customFormat="1" ht="14.4" x14ac:dyDescent="0.25">
      <c r="B12" s="562" t="s">
        <v>111</v>
      </c>
      <c r="C12" s="129"/>
      <c r="D12" s="129"/>
      <c r="E12" s="617">
        <v>34</v>
      </c>
      <c r="F12" s="617">
        <v>61</v>
      </c>
      <c r="G12" s="617">
        <v>191</v>
      </c>
      <c r="H12" s="617">
        <v>314</v>
      </c>
      <c r="I12" s="617">
        <v>378</v>
      </c>
      <c r="J12" s="617">
        <v>462</v>
      </c>
      <c r="K12" s="617">
        <f>SUM('ACTIVOS plan'!K30:K32)</f>
        <v>539</v>
      </c>
      <c r="L12" s="617">
        <f>SUM('ACTIVOS plan'!L30:L32)</f>
        <v>603</v>
      </c>
      <c r="M12" s="617">
        <f>SUM('ACTIVOS plan'!M30:M32)</f>
        <v>629</v>
      </c>
      <c r="N12" s="617">
        <f>SUM('ACTIVOS plan'!N30:N32)</f>
        <v>711</v>
      </c>
      <c r="O12" s="617">
        <f>SUM('ACTIVOS plan'!O30:O32)</f>
        <v>816</v>
      </c>
      <c r="P12" s="617">
        <f>SUM('ACTIVOS plan'!P30:P32)</f>
        <v>933</v>
      </c>
      <c r="Q12" s="617">
        <f>SUM('ACTIVOS plan'!Q30:Q32)</f>
        <v>1039</v>
      </c>
      <c r="R12" s="617">
        <f>SUM('ACTIVOS plan'!R30:R32)</f>
        <v>1105</v>
      </c>
      <c r="S12" s="617">
        <f>SUM('ACTIVOS plan'!S30:S32)</f>
        <v>1193</v>
      </c>
      <c r="T12" s="617">
        <f>SUM('ACTIVOS plan'!T30:T32)</f>
        <v>1222</v>
      </c>
      <c r="U12" s="617">
        <f>SUM('ACTIVOS plan'!U30:U32)</f>
        <v>1286</v>
      </c>
      <c r="V12" s="617">
        <f>SUM('ACTIVOS plan'!V30:V32)</f>
        <v>1335</v>
      </c>
    </row>
    <row r="13" spans="2:22" s="322" customFormat="1" ht="14.4" x14ac:dyDescent="0.25">
      <c r="B13" s="565" t="s">
        <v>115</v>
      </c>
      <c r="C13" s="129"/>
      <c r="D13" s="129"/>
      <c r="E13" s="617">
        <v>58</v>
      </c>
      <c r="F13" s="617">
        <v>78</v>
      </c>
      <c r="G13" s="617">
        <v>129</v>
      </c>
      <c r="H13" s="617">
        <v>214</v>
      </c>
      <c r="I13" s="617">
        <v>275</v>
      </c>
      <c r="J13" s="617">
        <v>323</v>
      </c>
      <c r="K13" s="617">
        <f>SUM('ACTIVOS plan'!K34:K37)</f>
        <v>394</v>
      </c>
      <c r="L13" s="617">
        <f>SUM('ACTIVOS plan'!L34:L37)</f>
        <v>479</v>
      </c>
      <c r="M13" s="617">
        <f>SUM('ACTIVOS plan'!M34:M37)</f>
        <v>566</v>
      </c>
      <c r="N13" s="617">
        <f>SUM('ACTIVOS plan'!N34:N37)</f>
        <v>722</v>
      </c>
      <c r="O13" s="617">
        <f>SUM('ACTIVOS plan'!O34:O37)</f>
        <v>808</v>
      </c>
      <c r="P13" s="617">
        <f>SUM('ACTIVOS plan'!P34:P37)</f>
        <v>926</v>
      </c>
      <c r="Q13" s="617">
        <f>SUM('ACTIVOS plan'!Q34:Q37)</f>
        <v>1009</v>
      </c>
      <c r="R13" s="617">
        <f>SUM('ACTIVOS plan'!R34:R37)</f>
        <v>1089</v>
      </c>
      <c r="S13" s="617">
        <f>SUM('ACTIVOS plan'!S34:S37)</f>
        <v>1169</v>
      </c>
      <c r="T13" s="617">
        <f>SUM('ACTIVOS plan'!T34:T37)</f>
        <v>1233</v>
      </c>
      <c r="U13" s="617">
        <f>SUM('ACTIVOS plan'!U34:U37)</f>
        <v>1307</v>
      </c>
      <c r="V13" s="617">
        <f>SUM('ACTIVOS plan'!V34:V37)</f>
        <v>1361</v>
      </c>
    </row>
    <row r="14" spans="2:22" s="322" customFormat="1" ht="14.4" x14ac:dyDescent="0.25">
      <c r="B14" s="572" t="s">
        <v>134</v>
      </c>
      <c r="C14" s="167"/>
      <c r="D14" s="167"/>
      <c r="E14" s="620">
        <v>203</v>
      </c>
      <c r="F14" s="620">
        <v>287</v>
      </c>
      <c r="G14" s="620">
        <v>562</v>
      </c>
      <c r="H14" s="620">
        <v>871</v>
      </c>
      <c r="I14" s="620">
        <v>1054</v>
      </c>
      <c r="J14" s="620">
        <f t="shared" ref="J14:O14" si="3">SUM(J11:J13)</f>
        <v>1205</v>
      </c>
      <c r="K14" s="620">
        <f t="shared" si="3"/>
        <v>1388</v>
      </c>
      <c r="L14" s="620">
        <f t="shared" si="3"/>
        <v>1528</v>
      </c>
      <c r="M14" s="620">
        <f t="shared" si="3"/>
        <v>1654</v>
      </c>
      <c r="N14" s="620">
        <f t="shared" si="3"/>
        <v>2009</v>
      </c>
      <c r="O14" s="620">
        <f t="shared" si="3"/>
        <v>2326</v>
      </c>
      <c r="P14" s="620">
        <f t="shared" ref="P14:U14" si="4">SUM(P11:P13)</f>
        <v>2697</v>
      </c>
      <c r="Q14" s="620">
        <f t="shared" si="4"/>
        <v>3006</v>
      </c>
      <c r="R14" s="620">
        <f t="shared" si="4"/>
        <v>3245</v>
      </c>
      <c r="S14" s="620">
        <f t="shared" si="4"/>
        <v>3528</v>
      </c>
      <c r="T14" s="620">
        <f t="shared" si="4"/>
        <v>3663</v>
      </c>
      <c r="U14" s="620">
        <f t="shared" si="4"/>
        <v>3854</v>
      </c>
      <c r="V14" s="620">
        <f t="shared" ref="V14" si="5">SUM(V11:V13)</f>
        <v>3993</v>
      </c>
    </row>
    <row r="15" spans="2:22" s="322" customFormat="1" ht="13.8" x14ac:dyDescent="0.25">
      <c r="B15" s="557"/>
      <c r="C15" s="619"/>
      <c r="D15" s="619"/>
      <c r="E15" s="619"/>
      <c r="F15" s="619"/>
      <c r="G15" s="619"/>
      <c r="H15" s="619"/>
      <c r="I15" s="619"/>
      <c r="J15" s="619"/>
      <c r="K15" s="619"/>
      <c r="L15" s="619"/>
      <c r="M15" s="619"/>
      <c r="N15" s="619"/>
      <c r="O15" s="619"/>
      <c r="P15" s="619"/>
      <c r="Q15" s="619"/>
      <c r="R15" s="619"/>
      <c r="S15" s="619"/>
      <c r="T15" s="619"/>
      <c r="U15" s="619"/>
      <c r="V15" s="619"/>
    </row>
    <row r="16" spans="2:22" s="325" customFormat="1" ht="14.4" x14ac:dyDescent="0.25">
      <c r="B16" s="559" t="s">
        <v>59</v>
      </c>
      <c r="C16" s="151">
        <v>3389</v>
      </c>
      <c r="D16" s="151">
        <v>3390</v>
      </c>
      <c r="E16" s="616">
        <v>3349</v>
      </c>
      <c r="F16" s="616">
        <v>3332</v>
      </c>
      <c r="G16" s="616">
        <v>3179</v>
      </c>
      <c r="H16" s="616">
        <v>3263</v>
      </c>
      <c r="I16" s="616">
        <v>3220</v>
      </c>
      <c r="J16" s="616">
        <v>3380</v>
      </c>
      <c r="K16" s="616">
        <f>SUM('ACTIVOS plan'!K40:K48)</f>
        <v>3534</v>
      </c>
      <c r="L16" s="616">
        <f>SUM('ACTIVOS plan'!L40:L48)</f>
        <v>3730</v>
      </c>
      <c r="M16" s="616">
        <f>SUM('ACTIVOS plan'!M40:M48)</f>
        <v>4097</v>
      </c>
      <c r="N16" s="616">
        <f>SUM('ACTIVOS plan'!N40:N48)</f>
        <v>4292</v>
      </c>
      <c r="O16" s="616">
        <f>SUM('ACTIVOS plan'!O40:O48)</f>
        <v>4385</v>
      </c>
      <c r="P16" s="616">
        <f>SUM('ACTIVOS plan'!P40:P49)</f>
        <v>4479</v>
      </c>
      <c r="Q16" s="616">
        <f>SUM('ACTIVOS plan'!Q40:Q49)</f>
        <v>4357</v>
      </c>
      <c r="R16" s="616">
        <f>SUM('ACTIVOS plan'!R40:R49)</f>
        <v>4337</v>
      </c>
      <c r="S16" s="616">
        <f>SUM('ACTIVOS plan'!S40:S49)</f>
        <v>4305</v>
      </c>
      <c r="T16" s="616">
        <f>SUM('ACTIVOS plan'!T40:T49)</f>
        <v>4142</v>
      </c>
      <c r="U16" s="616">
        <f>SUM('ACTIVOS plan'!U40:U49)</f>
        <v>4111</v>
      </c>
      <c r="V16" s="616">
        <f>SUM('ACTIVOS plan'!V40:V49)</f>
        <v>4156</v>
      </c>
    </row>
    <row r="17" spans="2:22" s="325" customFormat="1" ht="14.4" x14ac:dyDescent="0.25">
      <c r="B17" s="562" t="s">
        <v>64</v>
      </c>
      <c r="C17" s="129">
        <v>5311</v>
      </c>
      <c r="D17" s="129">
        <v>5290</v>
      </c>
      <c r="E17" s="617">
        <v>5330</v>
      </c>
      <c r="F17" s="617">
        <v>5492</v>
      </c>
      <c r="G17" s="617">
        <v>5766</v>
      </c>
      <c r="H17" s="617">
        <v>5928</v>
      </c>
      <c r="I17" s="617">
        <v>6088</v>
      </c>
      <c r="J17" s="617">
        <v>6252</v>
      </c>
      <c r="K17" s="617">
        <f>SUM('ACTIVOS plan'!K51:K61)</f>
        <v>6328</v>
      </c>
      <c r="L17" s="617">
        <f>SUM('ACTIVOS plan'!L51:L61)</f>
        <v>6563</v>
      </c>
      <c r="M17" s="617">
        <f>SUM('ACTIVOS plan'!M51:M61)</f>
        <v>6645</v>
      </c>
      <c r="N17" s="617">
        <f>SUM('ACTIVOS plan'!N51:N61)</f>
        <v>6604</v>
      </c>
      <c r="O17" s="617">
        <f>SUM('ACTIVOS plan'!O51:O61)</f>
        <v>6597</v>
      </c>
      <c r="P17" s="617">
        <f>SUM('ACTIVOS plan'!P51:P61)</f>
        <v>6656</v>
      </c>
      <c r="Q17" s="617">
        <f>SUM('ACTIVOS plan'!Q51:Q61)</f>
        <v>6580</v>
      </c>
      <c r="R17" s="617">
        <f>SUM('ACTIVOS plan'!R51:R61)</f>
        <v>6658</v>
      </c>
      <c r="S17" s="617">
        <f>SUM('ACTIVOS plan'!S51:S61)</f>
        <v>6621</v>
      </c>
      <c r="T17" s="617">
        <f>SUM('ACTIVOS plan'!T51:T61)</f>
        <v>6635</v>
      </c>
      <c r="U17" s="617">
        <f>SUM('ACTIVOS plan'!U51:U61)</f>
        <v>6794</v>
      </c>
      <c r="V17" s="617">
        <f>SUM('ACTIVOS plan'!V51:V61)</f>
        <v>6847</v>
      </c>
    </row>
    <row r="18" spans="2:22" s="325" customFormat="1" ht="14.4" x14ac:dyDescent="0.25">
      <c r="B18" s="565" t="s">
        <v>92</v>
      </c>
      <c r="C18" s="129">
        <v>3503</v>
      </c>
      <c r="D18" s="129">
        <v>3413</v>
      </c>
      <c r="E18" s="617">
        <v>3269</v>
      </c>
      <c r="F18" s="617">
        <v>3272</v>
      </c>
      <c r="G18" s="617">
        <v>3255</v>
      </c>
      <c r="H18" s="617">
        <v>3354</v>
      </c>
      <c r="I18" s="617">
        <v>3461</v>
      </c>
      <c r="J18" s="617">
        <v>3756</v>
      </c>
      <c r="K18" s="617">
        <f>SUM('ACTIVOS plan'!K63:K68)</f>
        <v>3979</v>
      </c>
      <c r="L18" s="617">
        <f>SUM('ACTIVOS plan'!L63:L68)</f>
        <v>4254</v>
      </c>
      <c r="M18" s="617">
        <f>SUM('ACTIVOS plan'!M63:M68)</f>
        <v>4573</v>
      </c>
      <c r="N18" s="617">
        <f>SUM('ACTIVOS plan'!N63:N68)</f>
        <v>4686</v>
      </c>
      <c r="O18" s="617">
        <f>SUM('ACTIVOS plan'!O63:O68)</f>
        <v>4695</v>
      </c>
      <c r="P18" s="617">
        <f>SUM('ACTIVOS plan'!P63:P68)</f>
        <v>4643</v>
      </c>
      <c r="Q18" s="617">
        <f>SUM('ACTIVOS plan'!Q63:Q68)</f>
        <v>4549</v>
      </c>
      <c r="R18" s="617">
        <f>SUM('ACTIVOS plan'!R63:R68)</f>
        <v>4306</v>
      </c>
      <c r="S18" s="617">
        <f>SUM('ACTIVOS plan'!S63:S68)</f>
        <v>4065</v>
      </c>
      <c r="T18" s="617">
        <f>SUM('ACTIVOS plan'!T63:T68)</f>
        <v>3829</v>
      </c>
      <c r="U18" s="617">
        <f>SUM('ACTIVOS plan'!U63:U68)</f>
        <v>3741</v>
      </c>
      <c r="V18" s="617">
        <f>SUM('ACTIVOS plan'!V63:V68)</f>
        <v>3684</v>
      </c>
    </row>
    <row r="19" spans="2:22" s="322" customFormat="1" ht="14.4" x14ac:dyDescent="0.25">
      <c r="B19" s="573" t="s">
        <v>135</v>
      </c>
      <c r="C19" s="175">
        <v>12203</v>
      </c>
      <c r="D19" s="175">
        <v>12093</v>
      </c>
      <c r="E19" s="621">
        <v>11948</v>
      </c>
      <c r="F19" s="621">
        <v>12096</v>
      </c>
      <c r="G19" s="621">
        <v>12200</v>
      </c>
      <c r="H19" s="621">
        <v>12545</v>
      </c>
      <c r="I19" s="621">
        <v>12769</v>
      </c>
      <c r="J19" s="621">
        <f t="shared" ref="J19:O19" si="6">SUM(J16:J18)</f>
        <v>13388</v>
      </c>
      <c r="K19" s="621">
        <f t="shared" si="6"/>
        <v>13841</v>
      </c>
      <c r="L19" s="621">
        <f t="shared" si="6"/>
        <v>14547</v>
      </c>
      <c r="M19" s="621">
        <f t="shared" si="6"/>
        <v>15315</v>
      </c>
      <c r="N19" s="621">
        <f t="shared" si="6"/>
        <v>15582</v>
      </c>
      <c r="O19" s="621">
        <f t="shared" si="6"/>
        <v>15677</v>
      </c>
      <c r="P19" s="621">
        <f t="shared" ref="P19:U19" si="7">SUM(P16:P18)</f>
        <v>15778</v>
      </c>
      <c r="Q19" s="621">
        <f t="shared" si="7"/>
        <v>15486</v>
      </c>
      <c r="R19" s="621">
        <f t="shared" si="7"/>
        <v>15301</v>
      </c>
      <c r="S19" s="621">
        <f t="shared" si="7"/>
        <v>14991</v>
      </c>
      <c r="T19" s="621">
        <f t="shared" si="7"/>
        <v>14606</v>
      </c>
      <c r="U19" s="621">
        <f t="shared" si="7"/>
        <v>14646</v>
      </c>
      <c r="V19" s="621">
        <f t="shared" ref="V19" si="8">SUM(V16:V18)</f>
        <v>14687</v>
      </c>
    </row>
    <row r="20" spans="2:22" s="325" customFormat="1" ht="13.8" x14ac:dyDescent="0.25">
      <c r="B20" s="569"/>
      <c r="C20" s="622"/>
      <c r="D20" s="622"/>
      <c r="E20" s="622"/>
      <c r="F20" s="622"/>
      <c r="G20" s="622"/>
      <c r="H20" s="622"/>
      <c r="I20" s="622"/>
      <c r="J20" s="622"/>
      <c r="K20" s="622"/>
      <c r="L20" s="622"/>
      <c r="M20" s="622"/>
      <c r="N20" s="622"/>
      <c r="O20" s="622"/>
      <c r="P20" s="622"/>
      <c r="Q20" s="622"/>
      <c r="R20" s="622"/>
      <c r="S20" s="622"/>
      <c r="T20" s="622"/>
      <c r="U20" s="622"/>
      <c r="V20" s="622"/>
    </row>
    <row r="21" spans="2:22" s="325" customFormat="1" ht="14.4" x14ac:dyDescent="0.25">
      <c r="B21" s="623" t="s">
        <v>59</v>
      </c>
      <c r="C21" s="395"/>
      <c r="D21" s="395"/>
      <c r="E21" s="395"/>
      <c r="F21" s="395"/>
      <c r="G21" s="395"/>
      <c r="H21" s="395"/>
      <c r="I21" s="395"/>
      <c r="J21" s="395"/>
      <c r="K21" s="395">
        <f>SUM('ACTIVOS plan'!K71)</f>
        <v>60</v>
      </c>
      <c r="L21" s="395">
        <f>SUM('ACTIVOS plan'!L71)</f>
        <v>79</v>
      </c>
      <c r="M21" s="395">
        <f>SUM('ACTIVOS plan'!M71)</f>
        <v>123</v>
      </c>
      <c r="N21" s="395">
        <f>SUM('ACTIVOS plan'!N71)</f>
        <v>139</v>
      </c>
      <c r="O21" s="395">
        <f>SUM('ACTIVOS plan'!O71)</f>
        <v>173</v>
      </c>
      <c r="P21" s="395">
        <f>SUM('ACTIVOS plan'!P71)</f>
        <v>180</v>
      </c>
      <c r="Q21" s="395">
        <f>SUM('ACTIVOS plan'!Q71:Q72)</f>
        <v>268</v>
      </c>
      <c r="R21" s="395">
        <f>SUM('ACTIVOS plan'!R71:R73)</f>
        <v>334</v>
      </c>
      <c r="S21" s="395">
        <f>SUM('ACTIVOS plan'!S71:S73)</f>
        <v>426</v>
      </c>
      <c r="T21" s="395">
        <f>SUM('ACTIVOS plan'!T71:T73)</f>
        <v>489</v>
      </c>
      <c r="U21" s="395">
        <f>SUM('ACTIVOS plan'!U71:U73)</f>
        <v>548</v>
      </c>
      <c r="V21" s="395">
        <f>SUM('ACTIVOS plan'!V71:V73)</f>
        <v>626</v>
      </c>
    </row>
    <row r="22" spans="2:22" s="325" customFormat="1" ht="14.4" x14ac:dyDescent="0.25">
      <c r="B22" s="624" t="s">
        <v>64</v>
      </c>
      <c r="C22" s="396"/>
      <c r="D22" s="396"/>
      <c r="E22" s="396"/>
      <c r="F22" s="396"/>
      <c r="G22" s="396"/>
      <c r="H22" s="396"/>
      <c r="I22" s="396"/>
      <c r="J22" s="396"/>
      <c r="K22" s="396">
        <f>SUM('ACTIVOS plan'!K75)</f>
        <v>58</v>
      </c>
      <c r="L22" s="396">
        <f>SUM('ACTIVOS plan'!L75)</f>
        <v>80</v>
      </c>
      <c r="M22" s="396">
        <f>SUM('ACTIVOS plan'!M75:M76)</f>
        <v>138</v>
      </c>
      <c r="N22" s="396">
        <f>SUM('ACTIVOS plan'!N75:N76)</f>
        <v>172</v>
      </c>
      <c r="O22" s="396">
        <f>SUM('ACTIVOS plan'!O75:O76)</f>
        <v>213</v>
      </c>
      <c r="P22" s="396">
        <f>SUM('ACTIVOS plan'!P75:P76)</f>
        <v>247</v>
      </c>
      <c r="Q22" s="396">
        <f>SUM('ACTIVOS plan'!Q75:Q76)</f>
        <v>301</v>
      </c>
      <c r="R22" s="396">
        <f>SUM('ACTIVOS plan'!R75:R77)</f>
        <v>371</v>
      </c>
      <c r="S22" s="396">
        <f>SUM('ACTIVOS plan'!S75:S77)</f>
        <v>411</v>
      </c>
      <c r="T22" s="396">
        <f>SUM('ACTIVOS plan'!T75:T77)</f>
        <v>497</v>
      </c>
      <c r="U22" s="396">
        <f>SUM('ACTIVOS plan'!U75:U77)</f>
        <v>534</v>
      </c>
      <c r="V22" s="396">
        <f>SUM('ACTIVOS plan'!V75:V77)</f>
        <v>562</v>
      </c>
    </row>
    <row r="23" spans="2:22" s="325" customFormat="1" ht="14.4" x14ac:dyDescent="0.25">
      <c r="B23" s="625" t="s">
        <v>92</v>
      </c>
      <c r="C23" s="396"/>
      <c r="D23" s="396"/>
      <c r="E23" s="396"/>
      <c r="F23" s="396"/>
      <c r="G23" s="396"/>
      <c r="H23" s="396"/>
      <c r="I23" s="396"/>
      <c r="J23" s="396"/>
      <c r="K23" s="396">
        <f>SUM('ACTIVOS plan'!K79)</f>
        <v>55</v>
      </c>
      <c r="L23" s="396">
        <f>SUM('ACTIVOS plan'!L79)</f>
        <v>69</v>
      </c>
      <c r="M23" s="396">
        <f>SUM('ACTIVOS plan'!M79)</f>
        <v>116</v>
      </c>
      <c r="N23" s="396">
        <f>SUM('ACTIVOS plan'!N79)</f>
        <v>147</v>
      </c>
      <c r="O23" s="396">
        <f>SUM('ACTIVOS plan'!O79)</f>
        <v>208</v>
      </c>
      <c r="P23" s="396">
        <f>SUM('ACTIVOS plan'!P79)</f>
        <v>247</v>
      </c>
      <c r="Q23" s="396">
        <f>SUM('ACTIVOS plan'!Q79:Q80)</f>
        <v>299</v>
      </c>
      <c r="R23" s="396">
        <f>SUM('ACTIVOS plan'!R79:R81)</f>
        <v>340</v>
      </c>
      <c r="S23" s="396">
        <f>SUM('ACTIVOS plan'!S79:S81)</f>
        <v>412</v>
      </c>
      <c r="T23" s="396">
        <f>SUM('ACTIVOS plan'!T79:T81)</f>
        <v>489</v>
      </c>
      <c r="U23" s="396">
        <f>SUM('ACTIVOS plan'!U79:U81)</f>
        <v>554</v>
      </c>
      <c r="V23" s="396">
        <f>SUM('ACTIVOS plan'!V79:V81)</f>
        <v>605</v>
      </c>
    </row>
    <row r="24" spans="2:22" s="322" customFormat="1" ht="14.4" x14ac:dyDescent="0.25">
      <c r="B24" s="626" t="s">
        <v>136</v>
      </c>
      <c r="C24" s="184"/>
      <c r="D24" s="184"/>
      <c r="E24" s="184"/>
      <c r="F24" s="184"/>
      <c r="G24" s="184"/>
      <c r="H24" s="184"/>
      <c r="I24" s="184"/>
      <c r="J24" s="184"/>
      <c r="K24" s="184">
        <f t="shared" ref="K24:P24" si="9">SUM(K21:K23)</f>
        <v>173</v>
      </c>
      <c r="L24" s="184">
        <f t="shared" si="9"/>
        <v>228</v>
      </c>
      <c r="M24" s="184">
        <f t="shared" si="9"/>
        <v>377</v>
      </c>
      <c r="N24" s="184">
        <f t="shared" si="9"/>
        <v>458</v>
      </c>
      <c r="O24" s="184">
        <f t="shared" si="9"/>
        <v>594</v>
      </c>
      <c r="P24" s="184">
        <f t="shared" si="9"/>
        <v>674</v>
      </c>
      <c r="Q24" s="184">
        <f t="shared" ref="Q24:V24" si="10">SUM(Q21:Q23)</f>
        <v>868</v>
      </c>
      <c r="R24" s="184">
        <f t="shared" si="10"/>
        <v>1045</v>
      </c>
      <c r="S24" s="184">
        <f t="shared" si="10"/>
        <v>1249</v>
      </c>
      <c r="T24" s="184">
        <f t="shared" si="10"/>
        <v>1475</v>
      </c>
      <c r="U24" s="184">
        <f t="shared" si="10"/>
        <v>1636</v>
      </c>
      <c r="V24" s="184">
        <f t="shared" si="10"/>
        <v>1793</v>
      </c>
    </row>
    <row r="25" spans="2:22" s="322" customFormat="1" ht="13.8" x14ac:dyDescent="0.25">
      <c r="B25" s="557"/>
      <c r="C25" s="619"/>
      <c r="D25" s="619"/>
      <c r="E25" s="619"/>
      <c r="F25" s="619"/>
      <c r="G25" s="619"/>
      <c r="H25" s="619"/>
      <c r="I25" s="619"/>
      <c r="J25" s="619"/>
      <c r="K25" s="619"/>
      <c r="L25" s="619"/>
      <c r="M25" s="619"/>
      <c r="N25" s="619"/>
      <c r="O25" s="619"/>
      <c r="P25" s="619"/>
      <c r="Q25" s="619"/>
      <c r="R25" s="619"/>
      <c r="S25" s="619"/>
      <c r="T25" s="619"/>
      <c r="U25" s="619"/>
      <c r="V25" s="619"/>
    </row>
    <row r="26" spans="2:22" s="322" customFormat="1" ht="14.4" x14ac:dyDescent="0.25">
      <c r="B26" s="559" t="s">
        <v>64</v>
      </c>
      <c r="C26" s="151">
        <v>5654</v>
      </c>
      <c r="D26" s="151">
        <v>5919</v>
      </c>
      <c r="E26" s="616">
        <v>6177</v>
      </c>
      <c r="F26" s="616">
        <v>6266</v>
      </c>
      <c r="G26" s="616">
        <v>6388</v>
      </c>
      <c r="H26" s="616">
        <v>6413</v>
      </c>
      <c r="I26" s="616">
        <v>6206</v>
      </c>
      <c r="J26" s="616">
        <v>6138</v>
      </c>
      <c r="K26" s="616">
        <f>SUM('ACTIVOS plan'!K84:K89)</f>
        <v>6056</v>
      </c>
      <c r="L26" s="616">
        <f>SUM('ACTIVOS plan'!L84:L89)</f>
        <v>6126</v>
      </c>
      <c r="M26" s="616">
        <f>SUM('ACTIVOS plan'!M84:M89)</f>
        <v>6237</v>
      </c>
      <c r="N26" s="616">
        <f>SUM('ACTIVOS plan'!N84:N89)</f>
        <v>6148</v>
      </c>
      <c r="O26" s="616">
        <f>SUM('ACTIVOS plan'!O84:O89)</f>
        <v>6193</v>
      </c>
      <c r="P26" s="616">
        <f>SUM('ACTIVOS plan'!P84:P89)</f>
        <v>6232</v>
      </c>
      <c r="Q26" s="616">
        <f>SUM('ACTIVOS plan'!Q84:Q89)</f>
        <v>6280</v>
      </c>
      <c r="R26" s="616">
        <f>SUM('ACTIVOS plan'!R84:R89)</f>
        <v>6393</v>
      </c>
      <c r="S26" s="616">
        <f>SUM('ACTIVOS plan'!S84:S89)</f>
        <v>6516</v>
      </c>
      <c r="T26" s="616">
        <f>SUM('ACTIVOS plan'!T84:T89)</f>
        <v>6665</v>
      </c>
      <c r="U26" s="616">
        <f>SUM('ACTIVOS plan'!U84:U89)</f>
        <v>6613</v>
      </c>
      <c r="V26" s="616">
        <f>SUM('ACTIVOS plan'!V84:V89)</f>
        <v>6627</v>
      </c>
    </row>
    <row r="27" spans="2:22" s="322" customFormat="1" ht="14.4" x14ac:dyDescent="0.25">
      <c r="B27" s="562" t="s">
        <v>92</v>
      </c>
      <c r="C27" s="129">
        <v>6565</v>
      </c>
      <c r="D27" s="129">
        <v>7027</v>
      </c>
      <c r="E27" s="617">
        <v>7516</v>
      </c>
      <c r="F27" s="617">
        <v>7948</v>
      </c>
      <c r="G27" s="617">
        <v>8038</v>
      </c>
      <c r="H27" s="617">
        <v>7974</v>
      </c>
      <c r="I27" s="617">
        <v>7692</v>
      </c>
      <c r="J27" s="617">
        <v>7642</v>
      </c>
      <c r="K27" s="617">
        <f>SUM('ACTIVOS plan'!K91:K98)</f>
        <v>7568</v>
      </c>
      <c r="L27" s="617">
        <f>SUM('ACTIVOS plan'!L91:L98)</f>
        <v>7509</v>
      </c>
      <c r="M27" s="617">
        <f>SUM('ACTIVOS plan'!M91:M98)</f>
        <v>7565</v>
      </c>
      <c r="N27" s="617">
        <f>SUM('ACTIVOS plan'!N91:N98)</f>
        <v>7575</v>
      </c>
      <c r="O27" s="617">
        <f>SUM('ACTIVOS plan'!O91:O98)</f>
        <v>7636</v>
      </c>
      <c r="P27" s="617">
        <f>SUM('ACTIVOS plan'!P91:P98)</f>
        <v>7689</v>
      </c>
      <c r="Q27" s="617">
        <f>SUM('ACTIVOS plan'!Q91:Q98)</f>
        <v>7912</v>
      </c>
      <c r="R27" s="617">
        <f>SUM('ACTIVOS plan'!R91:R98)</f>
        <v>8058</v>
      </c>
      <c r="S27" s="617">
        <f>SUM('ACTIVOS plan'!S91:S98)</f>
        <v>8190</v>
      </c>
      <c r="T27" s="617">
        <f>SUM('ACTIVOS plan'!T91:T98)</f>
        <v>8323</v>
      </c>
      <c r="U27" s="617">
        <f>SUM('ACTIVOS plan'!U91:U98)</f>
        <v>8451</v>
      </c>
      <c r="V27" s="617">
        <f>SUM('ACTIVOS plan'!V91:V98)</f>
        <v>8496</v>
      </c>
    </row>
    <row r="28" spans="2:22" s="322" customFormat="1" ht="14.4" x14ac:dyDescent="0.25">
      <c r="B28" s="565" t="s">
        <v>68</v>
      </c>
      <c r="C28" s="129">
        <v>3004</v>
      </c>
      <c r="D28" s="129">
        <v>3154</v>
      </c>
      <c r="E28" s="617">
        <v>3326</v>
      </c>
      <c r="F28" s="617">
        <v>3335</v>
      </c>
      <c r="G28" s="617">
        <v>3365</v>
      </c>
      <c r="H28" s="617">
        <v>3404</v>
      </c>
      <c r="I28" s="617">
        <v>3251</v>
      </c>
      <c r="J28" s="617">
        <v>3188</v>
      </c>
      <c r="K28" s="617">
        <f>SUM('ACTIVOS plan'!K100:K103)</f>
        <v>3091</v>
      </c>
      <c r="L28" s="617">
        <f>SUM('ACTIVOS plan'!L100:L103)</f>
        <v>3135</v>
      </c>
      <c r="M28" s="617">
        <f>SUM('ACTIVOS plan'!M100:M103)</f>
        <v>3173</v>
      </c>
      <c r="N28" s="617">
        <f>SUM('ACTIVOS plan'!N100:N103)</f>
        <v>3160</v>
      </c>
      <c r="O28" s="617">
        <f>SUM('ACTIVOS plan'!O100:O103)</f>
        <v>3140</v>
      </c>
      <c r="P28" s="617">
        <f>SUM('ACTIVOS plan'!P100:P103)</f>
        <v>3193</v>
      </c>
      <c r="Q28" s="617">
        <f>SUM('ACTIVOS plan'!Q100:Q103)</f>
        <v>3188</v>
      </c>
      <c r="R28" s="617">
        <f>SUM('ACTIVOS plan'!R100:R103)</f>
        <v>3216</v>
      </c>
      <c r="S28" s="617">
        <f>SUM('ACTIVOS plan'!S100:S103)</f>
        <v>3214</v>
      </c>
      <c r="T28" s="617">
        <f>SUM('ACTIVOS plan'!T100:T103)</f>
        <v>3221</v>
      </c>
      <c r="U28" s="617">
        <f>SUM('ACTIVOS plan'!U100:U103)</f>
        <v>3212</v>
      </c>
      <c r="V28" s="617">
        <f>SUM('ACTIVOS plan'!V100:V103)</f>
        <v>3266</v>
      </c>
    </row>
    <row r="29" spans="2:22" s="322" customFormat="1" ht="14.4" x14ac:dyDescent="0.25">
      <c r="B29" s="575" t="s">
        <v>137</v>
      </c>
      <c r="C29" s="189">
        <v>15223</v>
      </c>
      <c r="D29" s="189">
        <v>16100</v>
      </c>
      <c r="E29" s="627">
        <v>17019</v>
      </c>
      <c r="F29" s="627">
        <v>17549</v>
      </c>
      <c r="G29" s="627">
        <v>17791</v>
      </c>
      <c r="H29" s="627">
        <v>17791</v>
      </c>
      <c r="I29" s="627">
        <v>17149</v>
      </c>
      <c r="J29" s="627">
        <f t="shared" ref="J29:O29" si="11">SUM(J26:J28)</f>
        <v>16968</v>
      </c>
      <c r="K29" s="627">
        <f t="shared" si="11"/>
        <v>16715</v>
      </c>
      <c r="L29" s="627">
        <f t="shared" si="11"/>
        <v>16770</v>
      </c>
      <c r="M29" s="627">
        <f t="shared" si="11"/>
        <v>16975</v>
      </c>
      <c r="N29" s="627">
        <f t="shared" si="11"/>
        <v>16883</v>
      </c>
      <c r="O29" s="627">
        <f t="shared" si="11"/>
        <v>16969</v>
      </c>
      <c r="P29" s="627">
        <f t="shared" ref="P29:U29" si="12">SUM(P26:P28)</f>
        <v>17114</v>
      </c>
      <c r="Q29" s="627">
        <f t="shared" si="12"/>
        <v>17380</v>
      </c>
      <c r="R29" s="627">
        <f t="shared" si="12"/>
        <v>17667</v>
      </c>
      <c r="S29" s="627">
        <f t="shared" si="12"/>
        <v>17920</v>
      </c>
      <c r="T29" s="627">
        <f t="shared" si="12"/>
        <v>18209</v>
      </c>
      <c r="U29" s="627">
        <f t="shared" si="12"/>
        <v>18276</v>
      </c>
      <c r="V29" s="627">
        <f t="shared" ref="V29" si="13">SUM(V26:V28)</f>
        <v>18389</v>
      </c>
    </row>
    <row r="30" spans="2:22" s="325" customFormat="1" ht="13.8" x14ac:dyDescent="0.25">
      <c r="B30" s="557"/>
      <c r="C30" s="622"/>
      <c r="D30" s="622"/>
      <c r="E30" s="622"/>
      <c r="F30" s="622"/>
      <c r="G30" s="622"/>
      <c r="H30" s="622"/>
      <c r="I30" s="622"/>
      <c r="J30" s="622"/>
      <c r="K30" s="622"/>
      <c r="L30" s="622"/>
      <c r="M30" s="622"/>
      <c r="N30" s="622"/>
      <c r="O30" s="622"/>
      <c r="P30" s="622"/>
      <c r="Q30" s="622"/>
      <c r="R30" s="622"/>
      <c r="S30" s="622"/>
      <c r="T30" s="622"/>
      <c r="U30" s="622"/>
      <c r="V30" s="622"/>
    </row>
    <row r="31" spans="2:22" s="325" customFormat="1" ht="14.4" x14ac:dyDescent="0.25">
      <c r="B31" s="559" t="s">
        <v>59</v>
      </c>
      <c r="C31" s="151">
        <v>9544</v>
      </c>
      <c r="D31" s="151">
        <v>9908</v>
      </c>
      <c r="E31" s="616">
        <v>10163</v>
      </c>
      <c r="F31" s="616">
        <v>10471</v>
      </c>
      <c r="G31" s="616">
        <v>10536</v>
      </c>
      <c r="H31" s="616">
        <v>10892</v>
      </c>
      <c r="I31" s="616">
        <v>10988</v>
      </c>
      <c r="J31" s="616">
        <f>SUM(J6,J16)</f>
        <v>11728</v>
      </c>
      <c r="K31" s="616">
        <f t="shared" ref="K31:P31" si="14">SUM(K6,K16,K21)</f>
        <v>12146</v>
      </c>
      <c r="L31" s="616">
        <f t="shared" si="14"/>
        <v>12290</v>
      </c>
      <c r="M31" s="616">
        <f t="shared" si="14"/>
        <v>12633</v>
      </c>
      <c r="N31" s="616">
        <f t="shared" si="14"/>
        <v>12573</v>
      </c>
      <c r="O31" s="616">
        <f t="shared" si="14"/>
        <v>12310</v>
      </c>
      <c r="P31" s="616">
        <f t="shared" si="14"/>
        <v>12096</v>
      </c>
      <c r="Q31" s="616">
        <f t="shared" ref="Q31:V31" si="15">SUM(Q6,Q16,Q21)</f>
        <v>11655</v>
      </c>
      <c r="R31" s="616">
        <f t="shared" si="15"/>
        <v>11644</v>
      </c>
      <c r="S31" s="616">
        <f t="shared" si="15"/>
        <v>11971</v>
      </c>
      <c r="T31" s="616">
        <f t="shared" si="15"/>
        <v>11719</v>
      </c>
      <c r="U31" s="616">
        <f t="shared" si="15"/>
        <v>12196</v>
      </c>
      <c r="V31" s="616">
        <f t="shared" si="15"/>
        <v>12543</v>
      </c>
    </row>
    <row r="32" spans="2:22" s="325" customFormat="1" ht="14.4" x14ac:dyDescent="0.25">
      <c r="B32" s="562" t="s">
        <v>64</v>
      </c>
      <c r="C32" s="129">
        <v>16365</v>
      </c>
      <c r="D32" s="129">
        <v>16554</v>
      </c>
      <c r="E32" s="617">
        <v>16906</v>
      </c>
      <c r="F32" s="617">
        <v>17078</v>
      </c>
      <c r="G32" s="617">
        <v>17621</v>
      </c>
      <c r="H32" s="617">
        <v>18117</v>
      </c>
      <c r="I32" s="617">
        <v>18214</v>
      </c>
      <c r="J32" s="617">
        <f>SUM(J7,J11,J17,J26)</f>
        <v>18439</v>
      </c>
      <c r="K32" s="617">
        <f t="shared" ref="K32:P32" si="16">SUM(K7,K11,K17,K26,K22)</f>
        <v>18652</v>
      </c>
      <c r="L32" s="617">
        <f t="shared" si="16"/>
        <v>19365</v>
      </c>
      <c r="M32" s="617">
        <f t="shared" si="16"/>
        <v>19841</v>
      </c>
      <c r="N32" s="617">
        <f t="shared" si="16"/>
        <v>19875</v>
      </c>
      <c r="O32" s="617">
        <f t="shared" si="16"/>
        <v>20275</v>
      </c>
      <c r="P32" s="617">
        <f t="shared" si="16"/>
        <v>20670</v>
      </c>
      <c r="Q32" s="617">
        <f t="shared" ref="Q32:V32" si="17">SUM(Q7,Q11,Q17,Q26,Q22)</f>
        <v>20757</v>
      </c>
      <c r="R32" s="617">
        <f t="shared" si="17"/>
        <v>21351</v>
      </c>
      <c r="S32" s="617">
        <f t="shared" si="17"/>
        <v>21808</v>
      </c>
      <c r="T32" s="617">
        <f t="shared" si="17"/>
        <v>22132</v>
      </c>
      <c r="U32" s="617">
        <f t="shared" si="17"/>
        <v>22533</v>
      </c>
      <c r="V32" s="617">
        <f t="shared" si="17"/>
        <v>22730</v>
      </c>
    </row>
    <row r="33" spans="2:22" s="325" customFormat="1" ht="14.4" x14ac:dyDescent="0.25">
      <c r="B33" s="562" t="s">
        <v>92</v>
      </c>
      <c r="C33" s="129">
        <v>10068</v>
      </c>
      <c r="D33" s="129">
        <v>10440</v>
      </c>
      <c r="E33" s="617">
        <v>10785</v>
      </c>
      <c r="F33" s="617">
        <v>11220</v>
      </c>
      <c r="G33" s="617">
        <v>11293</v>
      </c>
      <c r="H33" s="617">
        <v>11328</v>
      </c>
      <c r="I33" s="617">
        <v>11153</v>
      </c>
      <c r="J33" s="617">
        <f>SUM(J18,J27)</f>
        <v>11398</v>
      </c>
      <c r="K33" s="617">
        <f t="shared" ref="K33:P33" si="18">SUM(K18,K27,K23)</f>
        <v>11602</v>
      </c>
      <c r="L33" s="617">
        <f t="shared" si="18"/>
        <v>11832</v>
      </c>
      <c r="M33" s="617">
        <f t="shared" si="18"/>
        <v>12254</v>
      </c>
      <c r="N33" s="617">
        <f t="shared" si="18"/>
        <v>12408</v>
      </c>
      <c r="O33" s="617">
        <f t="shared" si="18"/>
        <v>12539</v>
      </c>
      <c r="P33" s="617">
        <f t="shared" si="18"/>
        <v>12579</v>
      </c>
      <c r="Q33" s="617">
        <f t="shared" ref="Q33:V33" si="19">SUM(Q18,Q27,Q23)</f>
        <v>12760</v>
      </c>
      <c r="R33" s="617">
        <f t="shared" si="19"/>
        <v>12704</v>
      </c>
      <c r="S33" s="617">
        <f t="shared" si="19"/>
        <v>12667</v>
      </c>
      <c r="T33" s="617">
        <f t="shared" si="19"/>
        <v>12641</v>
      </c>
      <c r="U33" s="617">
        <f t="shared" si="19"/>
        <v>12746</v>
      </c>
      <c r="V33" s="617">
        <f t="shared" si="19"/>
        <v>12785</v>
      </c>
    </row>
    <row r="34" spans="2:22" s="325" customFormat="1" ht="14.4" x14ac:dyDescent="0.25">
      <c r="B34" s="565" t="s">
        <v>68</v>
      </c>
      <c r="C34" s="129">
        <v>6258</v>
      </c>
      <c r="D34" s="129">
        <v>6344</v>
      </c>
      <c r="E34" s="617">
        <v>6550</v>
      </c>
      <c r="F34" s="617">
        <v>6540</v>
      </c>
      <c r="G34" s="617">
        <v>6497</v>
      </c>
      <c r="H34" s="617">
        <v>6521</v>
      </c>
      <c r="I34" s="617">
        <v>6335</v>
      </c>
      <c r="J34" s="617">
        <f t="shared" ref="J34:O34" si="20">SUM(J8,J28)</f>
        <v>6246</v>
      </c>
      <c r="K34" s="617">
        <f t="shared" si="20"/>
        <v>6175</v>
      </c>
      <c r="L34" s="617">
        <f t="shared" si="20"/>
        <v>6359</v>
      </c>
      <c r="M34" s="617">
        <f t="shared" si="20"/>
        <v>6536</v>
      </c>
      <c r="N34" s="617">
        <f t="shared" si="20"/>
        <v>6609</v>
      </c>
      <c r="O34" s="617">
        <f t="shared" si="20"/>
        <v>6626</v>
      </c>
      <c r="P34" s="617">
        <f t="shared" ref="P34:U34" si="21">SUM(P8,P28)</f>
        <v>6696</v>
      </c>
      <c r="Q34" s="617">
        <f t="shared" si="21"/>
        <v>6769</v>
      </c>
      <c r="R34" s="617">
        <f t="shared" si="21"/>
        <v>6862</v>
      </c>
      <c r="S34" s="617">
        <f t="shared" si="21"/>
        <v>7003</v>
      </c>
      <c r="T34" s="617">
        <f t="shared" si="21"/>
        <v>7091</v>
      </c>
      <c r="U34" s="617">
        <f t="shared" si="21"/>
        <v>7194</v>
      </c>
      <c r="V34" s="617">
        <f t="shared" ref="V34" si="22">SUM(V8,V28)</f>
        <v>7308</v>
      </c>
    </row>
    <row r="35" spans="2:22" s="325" customFormat="1" ht="14.4" x14ac:dyDescent="0.25">
      <c r="B35" s="562" t="s">
        <v>111</v>
      </c>
      <c r="C35" s="129"/>
      <c r="D35" s="129"/>
      <c r="E35" s="617">
        <v>34</v>
      </c>
      <c r="F35" s="617">
        <v>61</v>
      </c>
      <c r="G35" s="617">
        <v>191</v>
      </c>
      <c r="H35" s="617">
        <v>314</v>
      </c>
      <c r="I35" s="617">
        <v>378</v>
      </c>
      <c r="J35" s="617">
        <f t="shared" ref="J35:R36" si="23">SUM(J12)</f>
        <v>462</v>
      </c>
      <c r="K35" s="617">
        <f t="shared" si="23"/>
        <v>539</v>
      </c>
      <c r="L35" s="617">
        <f t="shared" si="23"/>
        <v>603</v>
      </c>
      <c r="M35" s="617">
        <f t="shared" si="23"/>
        <v>629</v>
      </c>
      <c r="N35" s="617">
        <f t="shared" si="23"/>
        <v>711</v>
      </c>
      <c r="O35" s="617">
        <f t="shared" si="23"/>
        <v>816</v>
      </c>
      <c r="P35" s="617">
        <f t="shared" si="23"/>
        <v>933</v>
      </c>
      <c r="Q35" s="617">
        <f t="shared" si="23"/>
        <v>1039</v>
      </c>
      <c r="R35" s="617">
        <f t="shared" si="23"/>
        <v>1105</v>
      </c>
      <c r="S35" s="617">
        <f t="shared" ref="S35:U36" si="24">SUM(S12)</f>
        <v>1193</v>
      </c>
      <c r="T35" s="617">
        <f t="shared" si="24"/>
        <v>1222</v>
      </c>
      <c r="U35" s="617">
        <f t="shared" si="24"/>
        <v>1286</v>
      </c>
      <c r="V35" s="617">
        <f t="shared" ref="V35" si="25">SUM(V12)</f>
        <v>1335</v>
      </c>
    </row>
    <row r="36" spans="2:22" s="325" customFormat="1" ht="14.4" x14ac:dyDescent="0.25">
      <c r="B36" s="565" t="s">
        <v>115</v>
      </c>
      <c r="C36" s="628"/>
      <c r="D36" s="628"/>
      <c r="E36" s="629">
        <v>58</v>
      </c>
      <c r="F36" s="629">
        <v>78</v>
      </c>
      <c r="G36" s="629">
        <v>129</v>
      </c>
      <c r="H36" s="629">
        <v>214</v>
      </c>
      <c r="I36" s="629">
        <v>275</v>
      </c>
      <c r="J36" s="629">
        <f t="shared" si="23"/>
        <v>323</v>
      </c>
      <c r="K36" s="629">
        <f t="shared" si="23"/>
        <v>394</v>
      </c>
      <c r="L36" s="629">
        <f t="shared" si="23"/>
        <v>479</v>
      </c>
      <c r="M36" s="629">
        <f t="shared" si="23"/>
        <v>566</v>
      </c>
      <c r="N36" s="629">
        <f t="shared" si="23"/>
        <v>722</v>
      </c>
      <c r="O36" s="629">
        <f t="shared" si="23"/>
        <v>808</v>
      </c>
      <c r="P36" s="629">
        <f t="shared" si="23"/>
        <v>926</v>
      </c>
      <c r="Q36" s="629">
        <f t="shared" si="23"/>
        <v>1009</v>
      </c>
      <c r="R36" s="629">
        <f t="shared" si="23"/>
        <v>1089</v>
      </c>
      <c r="S36" s="629">
        <f t="shared" si="24"/>
        <v>1169</v>
      </c>
      <c r="T36" s="629">
        <f t="shared" si="24"/>
        <v>1233</v>
      </c>
      <c r="U36" s="629">
        <f t="shared" si="24"/>
        <v>1307</v>
      </c>
      <c r="V36" s="629">
        <f t="shared" ref="V36" si="26">SUM(V13)</f>
        <v>1361</v>
      </c>
    </row>
    <row r="37" spans="2:22" s="322" customFormat="1" ht="14.4" x14ac:dyDescent="0.25">
      <c r="B37" s="579" t="s">
        <v>128</v>
      </c>
      <c r="C37" s="630">
        <v>42235</v>
      </c>
      <c r="D37" s="630">
        <v>43246</v>
      </c>
      <c r="E37" s="631">
        <v>44496</v>
      </c>
      <c r="F37" s="631">
        <v>45448</v>
      </c>
      <c r="G37" s="631">
        <v>46267</v>
      </c>
      <c r="H37" s="631">
        <v>47386</v>
      </c>
      <c r="I37" s="631">
        <v>47343</v>
      </c>
      <c r="J37" s="631">
        <f t="shared" ref="J37:O37" si="27">SUM(J31:J36)</f>
        <v>48596</v>
      </c>
      <c r="K37" s="631">
        <f t="shared" si="27"/>
        <v>49508</v>
      </c>
      <c r="L37" s="631">
        <f t="shared" si="27"/>
        <v>50928</v>
      </c>
      <c r="M37" s="631">
        <f t="shared" si="27"/>
        <v>52459</v>
      </c>
      <c r="N37" s="631">
        <f t="shared" si="27"/>
        <v>52898</v>
      </c>
      <c r="O37" s="631">
        <f t="shared" si="27"/>
        <v>53374</v>
      </c>
      <c r="P37" s="631">
        <f t="shared" ref="P37:U37" si="28">SUM(P31:P36)</f>
        <v>53900</v>
      </c>
      <c r="Q37" s="631">
        <f t="shared" si="28"/>
        <v>53989</v>
      </c>
      <c r="R37" s="631">
        <f t="shared" si="28"/>
        <v>54755</v>
      </c>
      <c r="S37" s="631">
        <f t="shared" si="28"/>
        <v>55811</v>
      </c>
      <c r="T37" s="631">
        <f t="shared" si="28"/>
        <v>56038</v>
      </c>
      <c r="U37" s="631">
        <f t="shared" si="28"/>
        <v>57262</v>
      </c>
      <c r="V37" s="631">
        <f t="shared" ref="V37" si="29">SUM(V31:V36)</f>
        <v>58062</v>
      </c>
    </row>
    <row r="38" spans="2:22" x14ac:dyDescent="0.25">
      <c r="B38" s="632"/>
      <c r="C38" s="633"/>
      <c r="D38" s="633"/>
      <c r="E38" s="633"/>
      <c r="F38" s="633"/>
      <c r="G38" s="633"/>
      <c r="H38" s="633"/>
      <c r="I38" s="633"/>
      <c r="J38" s="634"/>
      <c r="K38" s="634"/>
      <c r="L38" s="634"/>
      <c r="M38" s="634"/>
      <c r="N38" s="634"/>
    </row>
    <row r="39" spans="2:22" x14ac:dyDescent="0.25">
      <c r="B39" s="635"/>
      <c r="C39" s="636"/>
      <c r="D39" s="636"/>
      <c r="E39" s="636"/>
      <c r="F39" s="636"/>
      <c r="G39" s="636"/>
      <c r="H39" s="636"/>
      <c r="I39" s="636"/>
      <c r="J39" s="636"/>
      <c r="K39" s="636"/>
      <c r="L39" s="636"/>
      <c r="M39" s="636"/>
      <c r="N39" s="636"/>
      <c r="R39" s="637"/>
    </row>
    <row r="40" spans="2:22" ht="13.8" x14ac:dyDescent="0.3">
      <c r="B40" s="638"/>
      <c r="C40" s="323"/>
      <c r="D40" s="323"/>
      <c r="E40" s="323"/>
      <c r="F40" s="323"/>
      <c r="G40" s="323"/>
      <c r="H40" s="323"/>
      <c r="I40" s="323"/>
      <c r="R40" s="637"/>
      <c r="V40" s="276">
        <f>U37/V37</f>
        <v>0.98622162515931244</v>
      </c>
    </row>
    <row r="41" spans="2:22" x14ac:dyDescent="0.25">
      <c r="C41" s="639"/>
      <c r="D41" s="639"/>
      <c r="E41" s="639"/>
      <c r="F41" s="639"/>
      <c r="G41" s="639"/>
      <c r="H41" s="639"/>
      <c r="I41" s="639"/>
      <c r="J41" s="639"/>
      <c r="K41" s="639"/>
      <c r="L41" s="639"/>
      <c r="M41" s="639"/>
      <c r="N41" s="639"/>
    </row>
    <row r="42" spans="2:22" ht="13.8" x14ac:dyDescent="0.25">
      <c r="L42" s="325"/>
    </row>
  </sheetData>
  <printOptions horizontalCentered="1" verticalCentered="1"/>
  <pageMargins left="0.70866141732283472" right="0.70866141732283472" top="0.74803149606299213" bottom="0.74803149606299213" header="0.31496062992125984" footer="0.31496062992125984"/>
  <pageSetup scale="80" firstPageNumber="28" orientation="landscape" useFirstPageNumber="1" r:id="rId1"/>
  <headerFooter scaleWithDoc="0" alignWithMargins="0">
    <oddFooter>&amp;R&amp;P</oddFooter>
  </headerFooter>
  <rowBreaks count="1" manualBreakCount="1">
    <brk id="40" min="12" max="21" man="1"/>
  </rowBreaks>
  <ignoredErrors>
    <ignoredError sqref="K6:U6" formulaRange="1"/>
  </ignoredError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1:CT110"/>
  <sheetViews>
    <sheetView showGridLines="0" zoomScaleNormal="100" workbookViewId="0">
      <pane xSplit="2" ySplit="4" topLeftCell="CA95" activePane="bottomRight" state="frozen"/>
      <selection activeCell="Q31" sqref="Q31"/>
      <selection pane="topRight" activeCell="Q31" sqref="Q31"/>
      <selection pane="bottomLeft" activeCell="Q31" sqref="Q31"/>
      <selection pane="bottomRight"/>
    </sheetView>
  </sheetViews>
  <sheetFormatPr baseColWidth="10" defaultColWidth="11.44140625" defaultRowHeight="13.2" x14ac:dyDescent="0.25"/>
  <cols>
    <col min="1" max="1" width="2.5546875" style="749" customWidth="1"/>
    <col min="2" max="2" width="46.109375" style="746" customWidth="1"/>
    <col min="3" max="86" width="8.88671875" style="746" customWidth="1"/>
    <col min="87" max="94" width="8.5546875" style="746" customWidth="1"/>
    <col min="95" max="98" width="7.6640625" style="746" customWidth="1"/>
    <col min="99" max="99" width="11.44140625" style="746"/>
    <col min="100" max="102" width="4.6640625" style="746" customWidth="1"/>
    <col min="103" max="16384" width="11.44140625" style="746"/>
  </cols>
  <sheetData>
    <row r="1" spans="1:98" s="640" customFormat="1" ht="45.75" customHeight="1" x14ac:dyDescent="0.25">
      <c r="B1" s="641" t="s">
        <v>169</v>
      </c>
      <c r="C1" s="642"/>
      <c r="D1" s="642"/>
      <c r="E1" s="642"/>
      <c r="F1" s="642"/>
      <c r="G1" s="642"/>
      <c r="H1" s="642"/>
      <c r="I1" s="642"/>
      <c r="J1" s="642"/>
      <c r="K1" s="642"/>
      <c r="L1" s="642"/>
      <c r="M1" s="642"/>
      <c r="N1" s="642"/>
      <c r="O1" s="642"/>
      <c r="P1" s="642"/>
      <c r="Q1" s="642"/>
      <c r="R1" s="642"/>
      <c r="S1" s="642"/>
      <c r="T1" s="642"/>
      <c r="U1" s="642"/>
      <c r="V1" s="642"/>
      <c r="W1" s="642"/>
      <c r="X1" s="642"/>
      <c r="Y1" s="642"/>
      <c r="Z1" s="642"/>
      <c r="AA1" s="642"/>
      <c r="AB1" s="642"/>
      <c r="AC1" s="642"/>
      <c r="AD1" s="642"/>
      <c r="AE1" s="642"/>
      <c r="AF1" s="642"/>
      <c r="AG1" s="642"/>
      <c r="AH1" s="642"/>
      <c r="AI1" s="642"/>
      <c r="AJ1" s="642"/>
      <c r="AK1" s="642"/>
      <c r="AL1" s="642"/>
      <c r="AM1" s="642"/>
      <c r="AN1" s="642"/>
      <c r="AO1" s="642"/>
      <c r="AP1" s="642"/>
    </row>
    <row r="2" spans="1:98" s="640" customFormat="1" ht="51.75" customHeight="1" x14ac:dyDescent="0.25">
      <c r="A2" s="642"/>
      <c r="B2" s="374" t="s">
        <v>44</v>
      </c>
      <c r="C2" s="642"/>
      <c r="D2" s="642"/>
      <c r="E2" s="642"/>
      <c r="F2" s="642"/>
      <c r="G2" s="642"/>
      <c r="H2" s="642"/>
      <c r="I2" s="642"/>
      <c r="J2" s="642"/>
      <c r="K2" s="642"/>
      <c r="L2" s="642"/>
      <c r="M2" s="642"/>
      <c r="N2" s="642"/>
      <c r="O2" s="642"/>
      <c r="P2" s="642"/>
      <c r="Q2" s="642"/>
      <c r="R2" s="642"/>
      <c r="S2" s="642"/>
      <c r="T2" s="642"/>
      <c r="U2" s="642"/>
      <c r="V2" s="642"/>
      <c r="W2" s="642"/>
      <c r="X2" s="642"/>
      <c r="Y2" s="642"/>
      <c r="Z2" s="642"/>
      <c r="AA2" s="642"/>
      <c r="AB2" s="642"/>
      <c r="AC2" s="642"/>
      <c r="AD2" s="642"/>
      <c r="AE2" s="642"/>
      <c r="AF2" s="642"/>
      <c r="AG2" s="642"/>
      <c r="AH2" s="642"/>
      <c r="AI2" s="642"/>
      <c r="AJ2" s="642"/>
      <c r="AK2" s="642"/>
      <c r="AL2" s="642"/>
      <c r="AM2" s="642"/>
      <c r="AN2" s="642"/>
      <c r="AO2" s="642"/>
      <c r="AP2" s="642"/>
    </row>
    <row r="3" spans="1:98" s="12" customFormat="1" ht="15.75" customHeight="1" x14ac:dyDescent="0.25">
      <c r="A3" s="4400"/>
      <c r="B3" s="5742" t="s">
        <v>45</v>
      </c>
      <c r="C3" s="5739">
        <v>1999</v>
      </c>
      <c r="D3" s="5740"/>
      <c r="E3" s="5740"/>
      <c r="F3" s="5741"/>
      <c r="G3" s="5739">
        <v>2000</v>
      </c>
      <c r="H3" s="5740"/>
      <c r="I3" s="5740"/>
      <c r="J3" s="5741"/>
      <c r="K3" s="5739">
        <v>2001</v>
      </c>
      <c r="L3" s="5740"/>
      <c r="M3" s="5740"/>
      <c r="N3" s="5741"/>
      <c r="O3" s="5739">
        <v>2002</v>
      </c>
      <c r="P3" s="5740"/>
      <c r="Q3" s="5740"/>
      <c r="R3" s="5741"/>
      <c r="S3" s="5739">
        <v>2003</v>
      </c>
      <c r="T3" s="5740"/>
      <c r="U3" s="5740"/>
      <c r="V3" s="5741"/>
      <c r="W3" s="5739">
        <v>2004</v>
      </c>
      <c r="X3" s="5740"/>
      <c r="Y3" s="5740"/>
      <c r="Z3" s="5741"/>
      <c r="AA3" s="5739">
        <v>2005</v>
      </c>
      <c r="AB3" s="5740"/>
      <c r="AC3" s="5740"/>
      <c r="AD3" s="5741"/>
      <c r="AE3" s="5739">
        <v>2006</v>
      </c>
      <c r="AF3" s="5740"/>
      <c r="AG3" s="5740"/>
      <c r="AH3" s="5741"/>
      <c r="AI3" s="5739">
        <v>2007</v>
      </c>
      <c r="AJ3" s="5740"/>
      <c r="AK3" s="5740"/>
      <c r="AL3" s="5741"/>
      <c r="AM3" s="5739">
        <v>2008</v>
      </c>
      <c r="AN3" s="5740"/>
      <c r="AO3" s="5740"/>
      <c r="AP3" s="5741"/>
      <c r="AQ3" s="5739">
        <v>2009</v>
      </c>
      <c r="AR3" s="5740"/>
      <c r="AS3" s="5740"/>
      <c r="AT3" s="5741"/>
      <c r="AU3" s="5739">
        <v>2010</v>
      </c>
      <c r="AV3" s="5740"/>
      <c r="AW3" s="5740"/>
      <c r="AX3" s="5741"/>
      <c r="AY3" s="5739">
        <v>2011</v>
      </c>
      <c r="AZ3" s="5740"/>
      <c r="BA3" s="5740"/>
      <c r="BB3" s="5741"/>
      <c r="BC3" s="5739">
        <v>2012</v>
      </c>
      <c r="BD3" s="5740"/>
      <c r="BE3" s="5740"/>
      <c r="BF3" s="5741"/>
      <c r="BG3" s="5739">
        <v>2013</v>
      </c>
      <c r="BH3" s="5740"/>
      <c r="BI3" s="5740"/>
      <c r="BJ3" s="5741"/>
      <c r="BK3" s="5739">
        <v>2014</v>
      </c>
      <c r="BL3" s="5740"/>
      <c r="BM3" s="5740"/>
      <c r="BN3" s="5741"/>
      <c r="BO3" s="5739">
        <v>2015</v>
      </c>
      <c r="BP3" s="5740"/>
      <c r="BQ3" s="5740"/>
      <c r="BR3" s="5741"/>
      <c r="BS3" s="5739">
        <v>2016</v>
      </c>
      <c r="BT3" s="5740"/>
      <c r="BU3" s="5740"/>
      <c r="BV3" s="5741"/>
      <c r="BW3" s="5739">
        <v>2017</v>
      </c>
      <c r="BX3" s="5740"/>
      <c r="BY3" s="5740"/>
      <c r="BZ3" s="5741"/>
      <c r="CA3" s="5739">
        <v>2018</v>
      </c>
      <c r="CB3" s="5740"/>
      <c r="CC3" s="5740"/>
      <c r="CD3" s="5741"/>
      <c r="CE3" s="5739">
        <v>2019</v>
      </c>
      <c r="CF3" s="5740"/>
      <c r="CG3" s="5740"/>
      <c r="CH3" s="5741"/>
      <c r="CI3" s="5739">
        <v>2020</v>
      </c>
      <c r="CJ3" s="5740"/>
      <c r="CK3" s="5740"/>
      <c r="CL3" s="5741"/>
      <c r="CM3" s="5739">
        <v>2021</v>
      </c>
      <c r="CN3" s="5740"/>
      <c r="CO3" s="5740"/>
      <c r="CP3" s="5741"/>
      <c r="CQ3" s="5739">
        <v>2022</v>
      </c>
      <c r="CR3" s="5740"/>
      <c r="CS3" s="5740"/>
      <c r="CT3" s="5741"/>
    </row>
    <row r="4" spans="1:98" s="647" customFormat="1" ht="15.6" x14ac:dyDescent="0.25">
      <c r="A4" s="642"/>
      <c r="B4" s="5742"/>
      <c r="C4" s="643" t="s">
        <v>170</v>
      </c>
      <c r="D4" s="644" t="s">
        <v>171</v>
      </c>
      <c r="E4" s="645" t="s">
        <v>172</v>
      </c>
      <c r="F4" s="646" t="s">
        <v>48</v>
      </c>
      <c r="G4" s="643" t="s">
        <v>170</v>
      </c>
      <c r="H4" s="644" t="s">
        <v>171</v>
      </c>
      <c r="I4" s="645" t="s">
        <v>172</v>
      </c>
      <c r="J4" s="646" t="s">
        <v>48</v>
      </c>
      <c r="K4" s="643" t="s">
        <v>155</v>
      </c>
      <c r="L4" s="644" t="s">
        <v>46</v>
      </c>
      <c r="M4" s="645" t="s">
        <v>47</v>
      </c>
      <c r="N4" s="646" t="s">
        <v>48</v>
      </c>
      <c r="O4" s="643" t="s">
        <v>155</v>
      </c>
      <c r="P4" s="644" t="s">
        <v>46</v>
      </c>
      <c r="Q4" s="645" t="s">
        <v>47</v>
      </c>
      <c r="R4" s="646" t="s">
        <v>48</v>
      </c>
      <c r="S4" s="643" t="s">
        <v>155</v>
      </c>
      <c r="T4" s="644" t="s">
        <v>46</v>
      </c>
      <c r="U4" s="645" t="s">
        <v>47</v>
      </c>
      <c r="V4" s="646" t="s">
        <v>48</v>
      </c>
      <c r="W4" s="643" t="s">
        <v>155</v>
      </c>
      <c r="X4" s="644" t="s">
        <v>46</v>
      </c>
      <c r="Y4" s="645" t="s">
        <v>47</v>
      </c>
      <c r="Z4" s="646" t="s">
        <v>48</v>
      </c>
      <c r="AA4" s="643" t="s">
        <v>155</v>
      </c>
      <c r="AB4" s="644" t="s">
        <v>46</v>
      </c>
      <c r="AC4" s="645" t="s">
        <v>47</v>
      </c>
      <c r="AD4" s="646" t="s">
        <v>48</v>
      </c>
      <c r="AE4" s="643" t="s">
        <v>155</v>
      </c>
      <c r="AF4" s="644" t="s">
        <v>46</v>
      </c>
      <c r="AG4" s="645" t="s">
        <v>47</v>
      </c>
      <c r="AH4" s="646" t="s">
        <v>48</v>
      </c>
      <c r="AI4" s="643" t="s">
        <v>155</v>
      </c>
      <c r="AJ4" s="644" t="s">
        <v>46</v>
      </c>
      <c r="AK4" s="645" t="s">
        <v>47</v>
      </c>
      <c r="AL4" s="646" t="s">
        <v>48</v>
      </c>
      <c r="AM4" s="643" t="s">
        <v>155</v>
      </c>
      <c r="AN4" s="644" t="s">
        <v>46</v>
      </c>
      <c r="AO4" s="645" t="s">
        <v>47</v>
      </c>
      <c r="AP4" s="646" t="s">
        <v>48</v>
      </c>
      <c r="AQ4" s="643" t="s">
        <v>155</v>
      </c>
      <c r="AR4" s="644" t="s">
        <v>46</v>
      </c>
      <c r="AS4" s="645" t="s">
        <v>47</v>
      </c>
      <c r="AT4" s="646" t="s">
        <v>48</v>
      </c>
      <c r="AU4" s="643" t="s">
        <v>155</v>
      </c>
      <c r="AV4" s="644" t="s">
        <v>46</v>
      </c>
      <c r="AW4" s="645" t="s">
        <v>47</v>
      </c>
      <c r="AX4" s="646" t="s">
        <v>48</v>
      </c>
      <c r="AY4" s="643" t="s">
        <v>155</v>
      </c>
      <c r="AZ4" s="644" t="s">
        <v>46</v>
      </c>
      <c r="BA4" s="645" t="s">
        <v>47</v>
      </c>
      <c r="BB4" s="646" t="s">
        <v>48</v>
      </c>
      <c r="BC4" s="643" t="s">
        <v>155</v>
      </c>
      <c r="BD4" s="644" t="s">
        <v>46</v>
      </c>
      <c r="BE4" s="645" t="s">
        <v>47</v>
      </c>
      <c r="BF4" s="646" t="s">
        <v>48</v>
      </c>
      <c r="BG4" s="643" t="s">
        <v>155</v>
      </c>
      <c r="BH4" s="644" t="s">
        <v>46</v>
      </c>
      <c r="BI4" s="645" t="s">
        <v>47</v>
      </c>
      <c r="BJ4" s="646" t="s">
        <v>48</v>
      </c>
      <c r="BK4" s="643" t="s">
        <v>155</v>
      </c>
      <c r="BL4" s="644" t="s">
        <v>46</v>
      </c>
      <c r="BM4" s="645" t="s">
        <v>47</v>
      </c>
      <c r="BN4" s="646" t="s">
        <v>48</v>
      </c>
      <c r="BO4" s="643" t="s">
        <v>155</v>
      </c>
      <c r="BP4" s="644" t="s">
        <v>46</v>
      </c>
      <c r="BQ4" s="645" t="s">
        <v>47</v>
      </c>
      <c r="BR4" s="646" t="s">
        <v>48</v>
      </c>
      <c r="BS4" s="643" t="s">
        <v>155</v>
      </c>
      <c r="BT4" s="644" t="s">
        <v>46</v>
      </c>
      <c r="BU4" s="645" t="s">
        <v>47</v>
      </c>
      <c r="BV4" s="646" t="s">
        <v>48</v>
      </c>
      <c r="BW4" s="643" t="s">
        <v>155</v>
      </c>
      <c r="BX4" s="644" t="s">
        <v>46</v>
      </c>
      <c r="BY4" s="645" t="s">
        <v>47</v>
      </c>
      <c r="BZ4" s="646" t="s">
        <v>48</v>
      </c>
      <c r="CA4" s="643" t="s">
        <v>155</v>
      </c>
      <c r="CB4" s="644" t="s">
        <v>46</v>
      </c>
      <c r="CC4" s="645" t="s">
        <v>47</v>
      </c>
      <c r="CD4" s="646" t="s">
        <v>48</v>
      </c>
      <c r="CE4" s="643" t="s">
        <v>155</v>
      </c>
      <c r="CF4" s="644" t="s">
        <v>46</v>
      </c>
      <c r="CG4" s="645" t="s">
        <v>47</v>
      </c>
      <c r="CH4" s="646" t="s">
        <v>48</v>
      </c>
      <c r="CI4" s="643" t="s">
        <v>155</v>
      </c>
      <c r="CJ4" s="644" t="s">
        <v>46</v>
      </c>
      <c r="CK4" s="645" t="s">
        <v>47</v>
      </c>
      <c r="CL4" s="646" t="s">
        <v>48</v>
      </c>
      <c r="CM4" s="643" t="s">
        <v>155</v>
      </c>
      <c r="CN4" s="644" t="s">
        <v>46</v>
      </c>
      <c r="CO4" s="645" t="s">
        <v>47</v>
      </c>
      <c r="CP4" s="646" t="s">
        <v>48</v>
      </c>
      <c r="CQ4" s="643" t="s">
        <v>155</v>
      </c>
      <c r="CR4" s="644" t="s">
        <v>46</v>
      </c>
      <c r="CS4" s="645" t="s">
        <v>47</v>
      </c>
      <c r="CT4" s="646" t="s">
        <v>48</v>
      </c>
    </row>
    <row r="5" spans="1:98" s="656" customFormat="1" ht="15" customHeight="1" x14ac:dyDescent="0.3">
      <c r="A5" s="642"/>
      <c r="B5" s="648" t="s">
        <v>49</v>
      </c>
      <c r="C5" s="33">
        <v>12</v>
      </c>
      <c r="D5" s="34">
        <v>23</v>
      </c>
      <c r="E5" s="34">
        <v>5</v>
      </c>
      <c r="F5" s="649">
        <v>40</v>
      </c>
      <c r="G5" s="33">
        <v>12</v>
      </c>
      <c r="H5" s="34">
        <v>14</v>
      </c>
      <c r="I5" s="34">
        <v>3</v>
      </c>
      <c r="J5" s="649">
        <v>29</v>
      </c>
      <c r="K5" s="33">
        <v>10</v>
      </c>
      <c r="L5" s="34">
        <v>17</v>
      </c>
      <c r="M5" s="34">
        <v>4</v>
      </c>
      <c r="N5" s="649">
        <v>31</v>
      </c>
      <c r="O5" s="33">
        <v>10</v>
      </c>
      <c r="P5" s="34">
        <v>12</v>
      </c>
      <c r="Q5" s="34">
        <v>8</v>
      </c>
      <c r="R5" s="650">
        <v>30</v>
      </c>
      <c r="S5" s="33">
        <v>15</v>
      </c>
      <c r="T5" s="34">
        <v>16</v>
      </c>
      <c r="U5" s="34">
        <v>7</v>
      </c>
      <c r="V5" s="650">
        <f t="shared" ref="V5:V14" si="0">SUM(S5:U5)</f>
        <v>38</v>
      </c>
      <c r="W5" s="33">
        <v>5</v>
      </c>
      <c r="X5" s="34">
        <v>14</v>
      </c>
      <c r="Y5" s="34">
        <v>15</v>
      </c>
      <c r="Z5" s="649">
        <f t="shared" ref="Z5:Z14" si="1">SUM(W5:Y5)</f>
        <v>34</v>
      </c>
      <c r="AA5" s="651">
        <v>8</v>
      </c>
      <c r="AB5" s="34">
        <v>14</v>
      </c>
      <c r="AC5" s="34">
        <v>10</v>
      </c>
      <c r="AD5" s="649">
        <f t="shared" ref="AD5:AD14" si="2">SUM(AA5:AC5)</f>
        <v>32</v>
      </c>
      <c r="AE5" s="651">
        <v>10</v>
      </c>
      <c r="AF5" s="34">
        <v>11</v>
      </c>
      <c r="AG5" s="34">
        <v>3</v>
      </c>
      <c r="AH5" s="650">
        <f t="shared" ref="AH5:AH14" si="3">SUM(AE5:AG5)</f>
        <v>24</v>
      </c>
      <c r="AI5" s="651">
        <v>3</v>
      </c>
      <c r="AJ5" s="34">
        <v>7</v>
      </c>
      <c r="AK5" s="652">
        <v>8</v>
      </c>
      <c r="AL5" s="650">
        <f t="shared" ref="AL5:AL14" si="4">SUM(AI5:AK5)</f>
        <v>18</v>
      </c>
      <c r="AM5" s="651">
        <v>8</v>
      </c>
      <c r="AN5" s="34">
        <v>3</v>
      </c>
      <c r="AO5" s="652">
        <v>7</v>
      </c>
      <c r="AP5" s="650">
        <f t="shared" ref="AP5:AP14" si="5">SUM(AM5:AO5)</f>
        <v>18</v>
      </c>
      <c r="AQ5" s="653">
        <v>10</v>
      </c>
      <c r="AR5" s="654">
        <v>10</v>
      </c>
      <c r="AS5" s="654">
        <v>10</v>
      </c>
      <c r="AT5" s="655">
        <f>SUM(AQ5:AS5)</f>
        <v>30</v>
      </c>
      <c r="AU5" s="654">
        <v>14</v>
      </c>
      <c r="AV5" s="654">
        <v>7</v>
      </c>
      <c r="AW5" s="654">
        <v>6</v>
      </c>
      <c r="AX5" s="655">
        <f>SUM(AU5:AW5)</f>
        <v>27</v>
      </c>
      <c r="AY5" s="653">
        <v>11</v>
      </c>
      <c r="AZ5" s="654">
        <v>15</v>
      </c>
      <c r="BA5" s="654">
        <v>16</v>
      </c>
      <c r="BB5" s="655">
        <v>42</v>
      </c>
      <c r="BC5" s="653">
        <v>8</v>
      </c>
      <c r="BD5" s="654">
        <v>11</v>
      </c>
      <c r="BE5" s="654">
        <v>21</v>
      </c>
      <c r="BF5" s="655">
        <f>SUM(BC5:BE5)</f>
        <v>40</v>
      </c>
      <c r="BG5" s="653">
        <v>15</v>
      </c>
      <c r="BH5" s="654">
        <v>19</v>
      </c>
      <c r="BI5" s="654">
        <v>21</v>
      </c>
      <c r="BJ5" s="655">
        <f>SUM(BG5:BI5)</f>
        <v>55</v>
      </c>
      <c r="BK5" s="653">
        <v>19</v>
      </c>
      <c r="BL5" s="654">
        <v>24</v>
      </c>
      <c r="BM5" s="654">
        <v>15</v>
      </c>
      <c r="BN5" s="655">
        <f>SUM(BK5:BM5)</f>
        <v>58</v>
      </c>
      <c r="BO5" s="653">
        <v>22</v>
      </c>
      <c r="BP5" s="654">
        <v>19</v>
      </c>
      <c r="BQ5" s="654">
        <v>23</v>
      </c>
      <c r="BR5" s="655">
        <f>SUM(BO5:BQ5)</f>
        <v>64</v>
      </c>
      <c r="BS5" s="653">
        <v>26</v>
      </c>
      <c r="BT5" s="654">
        <v>20</v>
      </c>
      <c r="BU5" s="654">
        <v>12</v>
      </c>
      <c r="BV5" s="655">
        <f>SUM(BS5:BU5)</f>
        <v>58</v>
      </c>
      <c r="BW5" s="653">
        <v>41</v>
      </c>
      <c r="BX5" s="654">
        <v>34</v>
      </c>
      <c r="BY5" s="654">
        <v>25</v>
      </c>
      <c r="BZ5" s="655">
        <f>SUM(BW5:BY5)</f>
        <v>100</v>
      </c>
      <c r="CA5" s="653">
        <v>22</v>
      </c>
      <c r="CB5" s="654">
        <v>17</v>
      </c>
      <c r="CC5" s="654">
        <v>20</v>
      </c>
      <c r="CD5" s="655">
        <f>SUM(CA5:CC5)</f>
        <v>59</v>
      </c>
      <c r="CE5" s="653">
        <v>32</v>
      </c>
      <c r="CF5" s="654">
        <v>23</v>
      </c>
      <c r="CG5" s="654">
        <v>5</v>
      </c>
      <c r="CH5" s="655">
        <f>SUM(CE5:CG5)</f>
        <v>60</v>
      </c>
      <c r="CI5" s="653">
        <v>11</v>
      </c>
      <c r="CJ5" s="654">
        <v>3</v>
      </c>
      <c r="CK5" s="654">
        <v>5</v>
      </c>
      <c r="CL5" s="655">
        <f>SUM(CI5:CK5)</f>
        <v>19</v>
      </c>
      <c r="CM5" s="653">
        <v>12</v>
      </c>
      <c r="CN5" s="654">
        <v>12</v>
      </c>
      <c r="CO5" s="654">
        <v>18</v>
      </c>
      <c r="CP5" s="655">
        <f>SUM(CM5:CO5)</f>
        <v>42</v>
      </c>
      <c r="CQ5" s="653">
        <v>23</v>
      </c>
      <c r="CR5" s="654">
        <v>30</v>
      </c>
      <c r="CS5" s="654">
        <v>24</v>
      </c>
      <c r="CT5" s="655">
        <f>SUM(CQ5:CS5)</f>
        <v>77</v>
      </c>
    </row>
    <row r="6" spans="1:98" s="656" customFormat="1" ht="15" customHeight="1" x14ac:dyDescent="0.3">
      <c r="A6" s="642"/>
      <c r="B6" s="657" t="s">
        <v>50</v>
      </c>
      <c r="C6" s="40">
        <v>19</v>
      </c>
      <c r="D6" s="41">
        <v>22</v>
      </c>
      <c r="E6" s="41">
        <v>11</v>
      </c>
      <c r="F6" s="658">
        <v>52</v>
      </c>
      <c r="G6" s="40">
        <v>13</v>
      </c>
      <c r="H6" s="41">
        <v>21</v>
      </c>
      <c r="I6" s="41">
        <v>22</v>
      </c>
      <c r="J6" s="658">
        <v>56</v>
      </c>
      <c r="K6" s="40">
        <v>8</v>
      </c>
      <c r="L6" s="41">
        <v>18</v>
      </c>
      <c r="M6" s="41">
        <v>15</v>
      </c>
      <c r="N6" s="658">
        <v>41</v>
      </c>
      <c r="O6" s="40">
        <v>11</v>
      </c>
      <c r="P6" s="41">
        <v>11</v>
      </c>
      <c r="Q6" s="41">
        <v>8</v>
      </c>
      <c r="R6" s="659">
        <v>30</v>
      </c>
      <c r="S6" s="40">
        <v>12</v>
      </c>
      <c r="T6" s="41">
        <v>12</v>
      </c>
      <c r="U6" s="41">
        <v>10</v>
      </c>
      <c r="V6" s="659">
        <f t="shared" si="0"/>
        <v>34</v>
      </c>
      <c r="W6" s="40">
        <v>10</v>
      </c>
      <c r="X6" s="41">
        <v>14</v>
      </c>
      <c r="Y6" s="41">
        <v>6</v>
      </c>
      <c r="Z6" s="658">
        <f t="shared" si="1"/>
        <v>30</v>
      </c>
      <c r="AA6" s="660">
        <v>5</v>
      </c>
      <c r="AB6" s="41">
        <v>9</v>
      </c>
      <c r="AC6" s="41">
        <v>14</v>
      </c>
      <c r="AD6" s="658">
        <f t="shared" si="2"/>
        <v>28</v>
      </c>
      <c r="AE6" s="660">
        <v>6</v>
      </c>
      <c r="AF6" s="41">
        <v>14</v>
      </c>
      <c r="AG6" s="41">
        <v>11</v>
      </c>
      <c r="AH6" s="659">
        <f t="shared" si="3"/>
        <v>31</v>
      </c>
      <c r="AI6" s="660">
        <v>8</v>
      </c>
      <c r="AJ6" s="41">
        <v>13</v>
      </c>
      <c r="AK6" s="661">
        <v>10</v>
      </c>
      <c r="AL6" s="659">
        <f t="shared" si="4"/>
        <v>31</v>
      </c>
      <c r="AM6" s="660">
        <v>5</v>
      </c>
      <c r="AN6" s="41">
        <v>6</v>
      </c>
      <c r="AO6" s="661">
        <v>8</v>
      </c>
      <c r="AP6" s="659">
        <f t="shared" si="5"/>
        <v>19</v>
      </c>
      <c r="AQ6" s="662">
        <v>6</v>
      </c>
      <c r="AR6" s="663">
        <v>18</v>
      </c>
      <c r="AS6" s="663">
        <v>9</v>
      </c>
      <c r="AT6" s="664">
        <f t="shared" ref="AT6:AT71" si="6">SUM(AQ6:AS6)</f>
        <v>33</v>
      </c>
      <c r="AU6" s="663">
        <v>8</v>
      </c>
      <c r="AV6" s="663">
        <v>18</v>
      </c>
      <c r="AW6" s="663">
        <v>6</v>
      </c>
      <c r="AX6" s="664">
        <f t="shared" ref="AX6:AX71" si="7">SUM(AU6:AW6)</f>
        <v>32</v>
      </c>
      <c r="AY6" s="662">
        <v>10</v>
      </c>
      <c r="AZ6" s="663">
        <v>16</v>
      </c>
      <c r="BA6" s="663">
        <v>10</v>
      </c>
      <c r="BB6" s="664">
        <v>36</v>
      </c>
      <c r="BC6" s="662">
        <v>8</v>
      </c>
      <c r="BD6" s="663">
        <v>4</v>
      </c>
      <c r="BE6" s="663">
        <v>9</v>
      </c>
      <c r="BF6" s="664">
        <f t="shared" ref="BF6:BF98" si="8">SUM(BC6:BE6)</f>
        <v>21</v>
      </c>
      <c r="BG6" s="662">
        <v>15</v>
      </c>
      <c r="BH6" s="663">
        <v>27</v>
      </c>
      <c r="BI6" s="663">
        <v>17</v>
      </c>
      <c r="BJ6" s="664">
        <f t="shared" ref="BJ6:BJ14" si="9">SUM(BG6:BI6)</f>
        <v>59</v>
      </c>
      <c r="BK6" s="662">
        <v>13</v>
      </c>
      <c r="BL6" s="663">
        <v>15</v>
      </c>
      <c r="BM6" s="663">
        <v>15</v>
      </c>
      <c r="BN6" s="664">
        <f t="shared" ref="BN6:BN14" si="10">SUM(BK6:BM6)</f>
        <v>43</v>
      </c>
      <c r="BO6" s="662">
        <v>26</v>
      </c>
      <c r="BP6" s="663">
        <v>25</v>
      </c>
      <c r="BQ6" s="663">
        <v>19</v>
      </c>
      <c r="BR6" s="664">
        <f t="shared" ref="BR6:BR14" si="11">SUM(BO6:BQ6)</f>
        <v>70</v>
      </c>
      <c r="BS6" s="662">
        <v>23</v>
      </c>
      <c r="BT6" s="663">
        <v>27</v>
      </c>
      <c r="BU6" s="663">
        <v>14</v>
      </c>
      <c r="BV6" s="664">
        <f t="shared" ref="BV6:BV14" si="12">SUM(BS6:BU6)</f>
        <v>64</v>
      </c>
      <c r="BW6" s="662">
        <v>31</v>
      </c>
      <c r="BX6" s="663">
        <v>24</v>
      </c>
      <c r="BY6" s="663">
        <v>28</v>
      </c>
      <c r="BZ6" s="664">
        <f t="shared" ref="BZ6:BZ14" si="13">SUM(BW6:BY6)</f>
        <v>83</v>
      </c>
      <c r="CA6" s="662">
        <v>25</v>
      </c>
      <c r="CB6" s="663">
        <v>27</v>
      </c>
      <c r="CC6" s="663">
        <v>22</v>
      </c>
      <c r="CD6" s="664">
        <f t="shared" ref="CD6:CD14" si="14">SUM(CA6:CC6)</f>
        <v>74</v>
      </c>
      <c r="CE6" s="662">
        <v>21</v>
      </c>
      <c r="CF6" s="663">
        <v>13</v>
      </c>
      <c r="CG6" s="663">
        <v>13</v>
      </c>
      <c r="CH6" s="664">
        <f t="shared" ref="CH6:CH14" si="15">SUM(CE6:CG6)</f>
        <v>47</v>
      </c>
      <c r="CI6" s="662">
        <v>19</v>
      </c>
      <c r="CJ6" s="663">
        <v>17</v>
      </c>
      <c r="CK6" s="663">
        <v>16</v>
      </c>
      <c r="CL6" s="664">
        <f t="shared" ref="CL6:CL14" si="16">SUM(CI6:CK6)</f>
        <v>52</v>
      </c>
      <c r="CM6" s="662">
        <v>23</v>
      </c>
      <c r="CN6" s="663">
        <v>13</v>
      </c>
      <c r="CO6" s="663">
        <v>18</v>
      </c>
      <c r="CP6" s="664">
        <f t="shared" ref="CP6:CP14" si="17">SUM(CM6:CO6)</f>
        <v>54</v>
      </c>
      <c r="CQ6" s="662">
        <v>17</v>
      </c>
      <c r="CR6" s="663">
        <v>14</v>
      </c>
      <c r="CS6" s="663">
        <v>23</v>
      </c>
      <c r="CT6" s="664">
        <f t="shared" ref="CT6:CT14" si="18">SUM(CQ6:CS6)</f>
        <v>54</v>
      </c>
    </row>
    <row r="7" spans="1:98" s="656" customFormat="1" ht="15" customHeight="1" x14ac:dyDescent="0.3">
      <c r="A7" s="642"/>
      <c r="B7" s="657" t="s">
        <v>51</v>
      </c>
      <c r="C7" s="40">
        <v>18</v>
      </c>
      <c r="D7" s="41">
        <v>10</v>
      </c>
      <c r="E7" s="41">
        <v>7</v>
      </c>
      <c r="F7" s="658">
        <v>35</v>
      </c>
      <c r="G7" s="40">
        <v>6</v>
      </c>
      <c r="H7" s="41">
        <v>4</v>
      </c>
      <c r="I7" s="41">
        <v>6</v>
      </c>
      <c r="J7" s="658">
        <v>16</v>
      </c>
      <c r="K7" s="40">
        <v>18</v>
      </c>
      <c r="L7" s="41">
        <v>14</v>
      </c>
      <c r="M7" s="41">
        <v>6</v>
      </c>
      <c r="N7" s="658">
        <v>38</v>
      </c>
      <c r="O7" s="40">
        <v>6</v>
      </c>
      <c r="P7" s="41">
        <v>3</v>
      </c>
      <c r="Q7" s="41">
        <v>6</v>
      </c>
      <c r="R7" s="659">
        <v>15</v>
      </c>
      <c r="S7" s="40">
        <v>7</v>
      </c>
      <c r="T7" s="41">
        <v>8</v>
      </c>
      <c r="U7" s="41">
        <v>9</v>
      </c>
      <c r="V7" s="659">
        <f t="shared" si="0"/>
        <v>24</v>
      </c>
      <c r="W7" s="40">
        <v>7</v>
      </c>
      <c r="X7" s="41">
        <v>16</v>
      </c>
      <c r="Y7" s="41">
        <v>7</v>
      </c>
      <c r="Z7" s="658">
        <f t="shared" si="1"/>
        <v>30</v>
      </c>
      <c r="AA7" s="660">
        <v>4</v>
      </c>
      <c r="AB7" s="41">
        <v>11</v>
      </c>
      <c r="AC7" s="41">
        <v>7</v>
      </c>
      <c r="AD7" s="658">
        <f t="shared" si="2"/>
        <v>22</v>
      </c>
      <c r="AE7" s="660">
        <v>2</v>
      </c>
      <c r="AF7" s="41">
        <v>9</v>
      </c>
      <c r="AG7" s="41">
        <v>9</v>
      </c>
      <c r="AH7" s="659">
        <f t="shared" si="3"/>
        <v>20</v>
      </c>
      <c r="AI7" s="660">
        <v>2</v>
      </c>
      <c r="AJ7" s="41">
        <v>13</v>
      </c>
      <c r="AK7" s="661">
        <v>11</v>
      </c>
      <c r="AL7" s="659">
        <f t="shared" si="4"/>
        <v>26</v>
      </c>
      <c r="AM7" s="660">
        <v>6</v>
      </c>
      <c r="AN7" s="41">
        <v>7</v>
      </c>
      <c r="AO7" s="661">
        <v>2</v>
      </c>
      <c r="AP7" s="659">
        <f t="shared" si="5"/>
        <v>15</v>
      </c>
      <c r="AQ7" s="662">
        <v>7</v>
      </c>
      <c r="AR7" s="663">
        <v>7</v>
      </c>
      <c r="AS7" s="663">
        <v>3</v>
      </c>
      <c r="AT7" s="664">
        <f t="shared" si="6"/>
        <v>17</v>
      </c>
      <c r="AU7" s="663">
        <v>4</v>
      </c>
      <c r="AV7" s="663">
        <v>4</v>
      </c>
      <c r="AW7" s="663">
        <v>1</v>
      </c>
      <c r="AX7" s="664">
        <f t="shared" si="7"/>
        <v>9</v>
      </c>
      <c r="AY7" s="662">
        <v>6</v>
      </c>
      <c r="AZ7" s="663">
        <v>5</v>
      </c>
      <c r="BA7" s="663">
        <v>4</v>
      </c>
      <c r="BB7" s="664">
        <v>15</v>
      </c>
      <c r="BC7" s="662">
        <v>1</v>
      </c>
      <c r="BD7" s="663">
        <v>8</v>
      </c>
      <c r="BE7" s="663">
        <v>1</v>
      </c>
      <c r="BF7" s="664">
        <f t="shared" si="8"/>
        <v>10</v>
      </c>
      <c r="BG7" s="662">
        <v>6</v>
      </c>
      <c r="BH7" s="663">
        <v>6</v>
      </c>
      <c r="BI7" s="663">
        <v>5</v>
      </c>
      <c r="BJ7" s="664">
        <f t="shared" si="9"/>
        <v>17</v>
      </c>
      <c r="BK7" s="662">
        <v>11</v>
      </c>
      <c r="BL7" s="663">
        <v>6</v>
      </c>
      <c r="BM7" s="663">
        <v>4</v>
      </c>
      <c r="BN7" s="664">
        <f t="shared" si="10"/>
        <v>21</v>
      </c>
      <c r="BO7" s="662">
        <v>4</v>
      </c>
      <c r="BP7" s="663">
        <v>11</v>
      </c>
      <c r="BQ7" s="663">
        <v>6</v>
      </c>
      <c r="BR7" s="664">
        <f t="shared" si="11"/>
        <v>21</v>
      </c>
      <c r="BS7" s="662">
        <v>7</v>
      </c>
      <c r="BT7" s="663">
        <v>16</v>
      </c>
      <c r="BU7" s="663">
        <v>7</v>
      </c>
      <c r="BV7" s="664">
        <f t="shared" si="12"/>
        <v>30</v>
      </c>
      <c r="BW7" s="662">
        <v>10</v>
      </c>
      <c r="BX7" s="663">
        <v>10</v>
      </c>
      <c r="BY7" s="663">
        <v>13</v>
      </c>
      <c r="BZ7" s="664">
        <f t="shared" si="13"/>
        <v>33</v>
      </c>
      <c r="CA7" s="662">
        <v>9</v>
      </c>
      <c r="CB7" s="663">
        <v>9</v>
      </c>
      <c r="CC7" s="663">
        <v>10</v>
      </c>
      <c r="CD7" s="664">
        <f t="shared" si="14"/>
        <v>28</v>
      </c>
      <c r="CE7" s="662">
        <v>15</v>
      </c>
      <c r="CF7" s="663">
        <v>6</v>
      </c>
      <c r="CG7" s="663">
        <v>4</v>
      </c>
      <c r="CH7" s="664">
        <f t="shared" si="15"/>
        <v>25</v>
      </c>
      <c r="CI7" s="662">
        <v>4</v>
      </c>
      <c r="CJ7" s="663">
        <v>3</v>
      </c>
      <c r="CK7" s="663">
        <v>0</v>
      </c>
      <c r="CL7" s="664">
        <f t="shared" si="16"/>
        <v>7</v>
      </c>
      <c r="CM7" s="662">
        <v>9</v>
      </c>
      <c r="CN7" s="663">
        <v>6</v>
      </c>
      <c r="CO7" s="663">
        <v>12</v>
      </c>
      <c r="CP7" s="664">
        <f t="shared" si="17"/>
        <v>27</v>
      </c>
      <c r="CQ7" s="662">
        <v>9</v>
      </c>
      <c r="CR7" s="663">
        <v>7</v>
      </c>
      <c r="CS7" s="663"/>
      <c r="CT7" s="664">
        <f t="shared" si="18"/>
        <v>16</v>
      </c>
    </row>
    <row r="8" spans="1:98" s="656" customFormat="1" ht="15" customHeight="1" x14ac:dyDescent="0.3">
      <c r="A8" s="642"/>
      <c r="B8" s="657" t="s">
        <v>52</v>
      </c>
      <c r="C8" s="40">
        <v>4</v>
      </c>
      <c r="D8" s="41">
        <v>8</v>
      </c>
      <c r="E8" s="41">
        <v>7</v>
      </c>
      <c r="F8" s="658">
        <v>19</v>
      </c>
      <c r="G8" s="40">
        <v>1</v>
      </c>
      <c r="H8" s="41">
        <v>5</v>
      </c>
      <c r="I8" s="41">
        <v>3</v>
      </c>
      <c r="J8" s="658">
        <v>9</v>
      </c>
      <c r="K8" s="40">
        <v>3</v>
      </c>
      <c r="L8" s="41">
        <v>2</v>
      </c>
      <c r="M8" s="41">
        <v>4</v>
      </c>
      <c r="N8" s="658">
        <v>9</v>
      </c>
      <c r="O8" s="40">
        <v>2</v>
      </c>
      <c r="P8" s="41">
        <v>3</v>
      </c>
      <c r="Q8" s="41">
        <v>5</v>
      </c>
      <c r="R8" s="659">
        <v>10</v>
      </c>
      <c r="S8" s="40">
        <v>2</v>
      </c>
      <c r="T8" s="41">
        <v>4</v>
      </c>
      <c r="U8" s="41">
        <v>4</v>
      </c>
      <c r="V8" s="659">
        <f t="shared" si="0"/>
        <v>10</v>
      </c>
      <c r="W8" s="40">
        <v>5</v>
      </c>
      <c r="X8" s="41">
        <v>5</v>
      </c>
      <c r="Y8" s="41">
        <v>3</v>
      </c>
      <c r="Z8" s="658">
        <f t="shared" si="1"/>
        <v>13</v>
      </c>
      <c r="AA8" s="660">
        <v>2</v>
      </c>
      <c r="AB8" s="41">
        <v>4</v>
      </c>
      <c r="AC8" s="41">
        <v>10</v>
      </c>
      <c r="AD8" s="658">
        <f t="shared" si="2"/>
        <v>16</v>
      </c>
      <c r="AE8" s="660">
        <v>10</v>
      </c>
      <c r="AF8" s="41">
        <v>10</v>
      </c>
      <c r="AG8" s="41">
        <v>5</v>
      </c>
      <c r="AH8" s="659">
        <f t="shared" si="3"/>
        <v>25</v>
      </c>
      <c r="AI8" s="660">
        <v>5</v>
      </c>
      <c r="AJ8" s="41">
        <v>2</v>
      </c>
      <c r="AK8" s="661">
        <v>4</v>
      </c>
      <c r="AL8" s="659">
        <f t="shared" si="4"/>
        <v>11</v>
      </c>
      <c r="AM8" s="660">
        <v>5</v>
      </c>
      <c r="AN8" s="41">
        <v>7</v>
      </c>
      <c r="AO8" s="661">
        <v>3</v>
      </c>
      <c r="AP8" s="659">
        <f t="shared" si="5"/>
        <v>15</v>
      </c>
      <c r="AQ8" s="662">
        <v>6</v>
      </c>
      <c r="AR8" s="663">
        <v>6</v>
      </c>
      <c r="AS8" s="663">
        <v>8</v>
      </c>
      <c r="AT8" s="664">
        <f t="shared" si="6"/>
        <v>20</v>
      </c>
      <c r="AU8" s="663">
        <v>8</v>
      </c>
      <c r="AV8" s="663">
        <v>6</v>
      </c>
      <c r="AW8" s="663">
        <v>3</v>
      </c>
      <c r="AX8" s="664">
        <f t="shared" si="7"/>
        <v>17</v>
      </c>
      <c r="AY8" s="662">
        <v>3</v>
      </c>
      <c r="AZ8" s="663">
        <v>5</v>
      </c>
      <c r="BA8" s="663">
        <v>5</v>
      </c>
      <c r="BB8" s="664">
        <v>13</v>
      </c>
      <c r="BC8" s="662">
        <v>4</v>
      </c>
      <c r="BD8" s="663">
        <v>8</v>
      </c>
      <c r="BE8" s="663">
        <v>5</v>
      </c>
      <c r="BF8" s="664">
        <f t="shared" si="8"/>
        <v>17</v>
      </c>
      <c r="BG8" s="662">
        <v>3</v>
      </c>
      <c r="BH8" s="663">
        <v>7</v>
      </c>
      <c r="BI8" s="663">
        <v>10</v>
      </c>
      <c r="BJ8" s="664">
        <f t="shared" si="9"/>
        <v>20</v>
      </c>
      <c r="BK8" s="662">
        <v>13</v>
      </c>
      <c r="BL8" s="663">
        <v>12</v>
      </c>
      <c r="BM8" s="663">
        <v>9</v>
      </c>
      <c r="BN8" s="664">
        <f t="shared" si="10"/>
        <v>34</v>
      </c>
      <c r="BO8" s="662">
        <v>9</v>
      </c>
      <c r="BP8" s="663">
        <v>4</v>
      </c>
      <c r="BQ8" s="663">
        <v>7</v>
      </c>
      <c r="BR8" s="664">
        <f t="shared" si="11"/>
        <v>20</v>
      </c>
      <c r="BS8" s="662">
        <v>6</v>
      </c>
      <c r="BT8" s="663">
        <v>7</v>
      </c>
      <c r="BU8" s="663">
        <v>4</v>
      </c>
      <c r="BV8" s="664">
        <f t="shared" si="12"/>
        <v>17</v>
      </c>
      <c r="BW8" s="662">
        <v>8</v>
      </c>
      <c r="BX8" s="663">
        <v>6</v>
      </c>
      <c r="BY8" s="663">
        <v>9</v>
      </c>
      <c r="BZ8" s="664">
        <f t="shared" si="13"/>
        <v>23</v>
      </c>
      <c r="CA8" s="662">
        <v>11</v>
      </c>
      <c r="CB8" s="663">
        <v>12</v>
      </c>
      <c r="CC8" s="663">
        <v>13</v>
      </c>
      <c r="CD8" s="664">
        <f t="shared" si="14"/>
        <v>36</v>
      </c>
      <c r="CE8" s="662">
        <v>14</v>
      </c>
      <c r="CF8" s="663">
        <v>14</v>
      </c>
      <c r="CG8" s="663">
        <v>18</v>
      </c>
      <c r="CH8" s="664">
        <f t="shared" si="15"/>
        <v>46</v>
      </c>
      <c r="CI8" s="662">
        <v>6</v>
      </c>
      <c r="CJ8" s="663">
        <v>14</v>
      </c>
      <c r="CK8" s="663">
        <v>9</v>
      </c>
      <c r="CL8" s="664">
        <f t="shared" si="16"/>
        <v>29</v>
      </c>
      <c r="CM8" s="662">
        <v>12</v>
      </c>
      <c r="CN8" s="663">
        <v>12</v>
      </c>
      <c r="CO8" s="663">
        <v>14</v>
      </c>
      <c r="CP8" s="664">
        <f t="shared" si="17"/>
        <v>38</v>
      </c>
      <c r="CQ8" s="662">
        <v>14</v>
      </c>
      <c r="CR8" s="663">
        <v>8</v>
      </c>
      <c r="CS8" s="663">
        <v>18</v>
      </c>
      <c r="CT8" s="664">
        <f t="shared" si="18"/>
        <v>40</v>
      </c>
    </row>
    <row r="9" spans="1:98" s="656" customFormat="1" ht="15" customHeight="1" x14ac:dyDescent="0.3">
      <c r="A9" s="642"/>
      <c r="B9" s="657" t="s">
        <v>53</v>
      </c>
      <c r="C9" s="40">
        <v>26</v>
      </c>
      <c r="D9" s="41">
        <v>25</v>
      </c>
      <c r="E9" s="41">
        <v>23</v>
      </c>
      <c r="F9" s="658">
        <v>74</v>
      </c>
      <c r="G9" s="40">
        <v>16</v>
      </c>
      <c r="H9" s="41">
        <v>20</v>
      </c>
      <c r="I9" s="41">
        <v>20</v>
      </c>
      <c r="J9" s="658">
        <v>56</v>
      </c>
      <c r="K9" s="40">
        <v>16</v>
      </c>
      <c r="L9" s="41">
        <v>16</v>
      </c>
      <c r="M9" s="41">
        <v>18</v>
      </c>
      <c r="N9" s="658">
        <v>50</v>
      </c>
      <c r="O9" s="40">
        <v>22</v>
      </c>
      <c r="P9" s="41">
        <v>25</v>
      </c>
      <c r="Q9" s="41">
        <v>25</v>
      </c>
      <c r="R9" s="659">
        <v>72</v>
      </c>
      <c r="S9" s="40">
        <v>35</v>
      </c>
      <c r="T9" s="41">
        <v>32</v>
      </c>
      <c r="U9" s="41">
        <v>20</v>
      </c>
      <c r="V9" s="659">
        <f t="shared" si="0"/>
        <v>87</v>
      </c>
      <c r="W9" s="40">
        <v>12</v>
      </c>
      <c r="X9" s="41">
        <v>33</v>
      </c>
      <c r="Y9" s="41">
        <v>23</v>
      </c>
      <c r="Z9" s="658">
        <f t="shared" si="1"/>
        <v>68</v>
      </c>
      <c r="AA9" s="660">
        <v>20</v>
      </c>
      <c r="AB9" s="41">
        <v>38</v>
      </c>
      <c r="AC9" s="41">
        <v>28</v>
      </c>
      <c r="AD9" s="658">
        <f t="shared" si="2"/>
        <v>86</v>
      </c>
      <c r="AE9" s="660">
        <v>24</v>
      </c>
      <c r="AF9" s="41">
        <v>27</v>
      </c>
      <c r="AG9" s="41">
        <v>37</v>
      </c>
      <c r="AH9" s="659">
        <f t="shared" si="3"/>
        <v>88</v>
      </c>
      <c r="AI9" s="660">
        <v>24</v>
      </c>
      <c r="AJ9" s="41">
        <v>31</v>
      </c>
      <c r="AK9" s="661">
        <v>26</v>
      </c>
      <c r="AL9" s="659">
        <f t="shared" si="4"/>
        <v>81</v>
      </c>
      <c r="AM9" s="660">
        <v>32</v>
      </c>
      <c r="AN9" s="41">
        <v>36</v>
      </c>
      <c r="AO9" s="661">
        <v>24</v>
      </c>
      <c r="AP9" s="659">
        <f t="shared" si="5"/>
        <v>92</v>
      </c>
      <c r="AQ9" s="662">
        <v>31</v>
      </c>
      <c r="AR9" s="663">
        <v>24</v>
      </c>
      <c r="AS9" s="663">
        <v>34</v>
      </c>
      <c r="AT9" s="664">
        <f t="shared" si="6"/>
        <v>89</v>
      </c>
      <c r="AU9" s="663">
        <v>31</v>
      </c>
      <c r="AV9" s="663">
        <v>32</v>
      </c>
      <c r="AW9" s="663">
        <v>26</v>
      </c>
      <c r="AX9" s="664">
        <f t="shared" si="7"/>
        <v>89</v>
      </c>
      <c r="AY9" s="662">
        <v>23</v>
      </c>
      <c r="AZ9" s="663">
        <v>25</v>
      </c>
      <c r="BA9" s="663">
        <v>23</v>
      </c>
      <c r="BB9" s="664">
        <v>71</v>
      </c>
      <c r="BC9" s="662">
        <v>23</v>
      </c>
      <c r="BD9" s="663">
        <v>19</v>
      </c>
      <c r="BE9" s="663">
        <v>27</v>
      </c>
      <c r="BF9" s="664">
        <f t="shared" si="8"/>
        <v>69</v>
      </c>
      <c r="BG9" s="662">
        <v>31</v>
      </c>
      <c r="BH9" s="663">
        <v>38</v>
      </c>
      <c r="BI9" s="663">
        <v>42</v>
      </c>
      <c r="BJ9" s="664">
        <f t="shared" si="9"/>
        <v>111</v>
      </c>
      <c r="BK9" s="662">
        <v>48</v>
      </c>
      <c r="BL9" s="663">
        <v>31</v>
      </c>
      <c r="BM9" s="663">
        <v>18</v>
      </c>
      <c r="BN9" s="664">
        <f t="shared" si="10"/>
        <v>97</v>
      </c>
      <c r="BO9" s="662">
        <v>28</v>
      </c>
      <c r="BP9" s="663">
        <v>28</v>
      </c>
      <c r="BQ9" s="663">
        <v>29</v>
      </c>
      <c r="BR9" s="664">
        <f t="shared" si="11"/>
        <v>85</v>
      </c>
      <c r="BS9" s="662">
        <v>31</v>
      </c>
      <c r="BT9" s="663">
        <v>36</v>
      </c>
      <c r="BU9" s="663">
        <v>23</v>
      </c>
      <c r="BV9" s="664">
        <f t="shared" si="12"/>
        <v>90</v>
      </c>
      <c r="BW9" s="662">
        <v>29</v>
      </c>
      <c r="BX9" s="663">
        <v>27</v>
      </c>
      <c r="BY9" s="663">
        <v>27</v>
      </c>
      <c r="BZ9" s="664">
        <f t="shared" si="13"/>
        <v>83</v>
      </c>
      <c r="CA9" s="662">
        <v>31</v>
      </c>
      <c r="CB9" s="663">
        <v>18</v>
      </c>
      <c r="CC9" s="663">
        <v>24</v>
      </c>
      <c r="CD9" s="664">
        <f t="shared" si="14"/>
        <v>73</v>
      </c>
      <c r="CE9" s="662">
        <v>31</v>
      </c>
      <c r="CF9" s="663">
        <v>27</v>
      </c>
      <c r="CG9" s="663">
        <v>20</v>
      </c>
      <c r="CH9" s="664">
        <f t="shared" si="15"/>
        <v>78</v>
      </c>
      <c r="CI9" s="662">
        <v>10</v>
      </c>
      <c r="CJ9" s="663">
        <v>12</v>
      </c>
      <c r="CK9" s="663">
        <v>16</v>
      </c>
      <c r="CL9" s="664">
        <f t="shared" si="16"/>
        <v>38</v>
      </c>
      <c r="CM9" s="662">
        <v>21</v>
      </c>
      <c r="CN9" s="663">
        <v>18</v>
      </c>
      <c r="CO9" s="663">
        <v>18</v>
      </c>
      <c r="CP9" s="664">
        <f t="shared" si="17"/>
        <v>57</v>
      </c>
      <c r="CQ9" s="662">
        <v>24</v>
      </c>
      <c r="CR9" s="663">
        <v>17</v>
      </c>
      <c r="CS9" s="663">
        <v>8</v>
      </c>
      <c r="CT9" s="664">
        <f t="shared" si="18"/>
        <v>49</v>
      </c>
    </row>
    <row r="10" spans="1:98" s="656" customFormat="1" ht="15" customHeight="1" x14ac:dyDescent="0.3">
      <c r="A10" s="642"/>
      <c r="B10" s="657" t="s">
        <v>54</v>
      </c>
      <c r="C10" s="40">
        <v>11</v>
      </c>
      <c r="D10" s="41">
        <v>10</v>
      </c>
      <c r="E10" s="41">
        <v>17</v>
      </c>
      <c r="F10" s="658">
        <v>38</v>
      </c>
      <c r="G10" s="40">
        <v>16</v>
      </c>
      <c r="H10" s="41">
        <v>14</v>
      </c>
      <c r="I10" s="41">
        <v>7</v>
      </c>
      <c r="J10" s="658">
        <v>37</v>
      </c>
      <c r="K10" s="40">
        <v>7</v>
      </c>
      <c r="L10" s="41">
        <v>10</v>
      </c>
      <c r="M10" s="41">
        <v>13</v>
      </c>
      <c r="N10" s="658">
        <v>30</v>
      </c>
      <c r="O10" s="40">
        <v>13</v>
      </c>
      <c r="P10" s="41">
        <v>30</v>
      </c>
      <c r="Q10" s="41">
        <v>18</v>
      </c>
      <c r="R10" s="659">
        <v>61</v>
      </c>
      <c r="S10" s="40">
        <v>20</v>
      </c>
      <c r="T10" s="41">
        <v>26</v>
      </c>
      <c r="U10" s="41">
        <v>15</v>
      </c>
      <c r="V10" s="659">
        <f t="shared" si="0"/>
        <v>61</v>
      </c>
      <c r="W10" s="40">
        <v>11</v>
      </c>
      <c r="X10" s="41">
        <v>14</v>
      </c>
      <c r="Y10" s="41">
        <v>12</v>
      </c>
      <c r="Z10" s="658">
        <f t="shared" si="1"/>
        <v>37</v>
      </c>
      <c r="AA10" s="660">
        <v>14</v>
      </c>
      <c r="AB10" s="41">
        <v>6</v>
      </c>
      <c r="AC10" s="41">
        <v>16</v>
      </c>
      <c r="AD10" s="658">
        <f t="shared" si="2"/>
        <v>36</v>
      </c>
      <c r="AE10" s="660">
        <v>23</v>
      </c>
      <c r="AF10" s="41">
        <v>19</v>
      </c>
      <c r="AG10" s="41">
        <v>17</v>
      </c>
      <c r="AH10" s="659">
        <f t="shared" si="3"/>
        <v>59</v>
      </c>
      <c r="AI10" s="660">
        <v>16</v>
      </c>
      <c r="AJ10" s="41">
        <v>16</v>
      </c>
      <c r="AK10" s="661">
        <v>17</v>
      </c>
      <c r="AL10" s="659">
        <f t="shared" si="4"/>
        <v>49</v>
      </c>
      <c r="AM10" s="660">
        <v>15</v>
      </c>
      <c r="AN10" s="41">
        <v>19</v>
      </c>
      <c r="AO10" s="661">
        <v>17</v>
      </c>
      <c r="AP10" s="659">
        <f t="shared" si="5"/>
        <v>51</v>
      </c>
      <c r="AQ10" s="662">
        <v>13</v>
      </c>
      <c r="AR10" s="663">
        <v>14</v>
      </c>
      <c r="AS10" s="663">
        <v>16</v>
      </c>
      <c r="AT10" s="664">
        <f t="shared" si="6"/>
        <v>43</v>
      </c>
      <c r="AU10" s="663">
        <v>9</v>
      </c>
      <c r="AV10" s="663">
        <v>12</v>
      </c>
      <c r="AW10" s="663">
        <v>8</v>
      </c>
      <c r="AX10" s="664">
        <f t="shared" si="7"/>
        <v>29</v>
      </c>
      <c r="AY10" s="662">
        <v>20</v>
      </c>
      <c r="AZ10" s="663">
        <v>13</v>
      </c>
      <c r="BA10" s="663">
        <v>9</v>
      </c>
      <c r="BB10" s="664">
        <v>42</v>
      </c>
      <c r="BC10" s="662">
        <v>13</v>
      </c>
      <c r="BD10" s="663">
        <v>14</v>
      </c>
      <c r="BE10" s="663">
        <v>11</v>
      </c>
      <c r="BF10" s="664">
        <f t="shared" si="8"/>
        <v>38</v>
      </c>
      <c r="BG10" s="662">
        <v>12</v>
      </c>
      <c r="BH10" s="663">
        <v>24</v>
      </c>
      <c r="BI10" s="663">
        <v>18</v>
      </c>
      <c r="BJ10" s="664">
        <f t="shared" si="9"/>
        <v>54</v>
      </c>
      <c r="BK10" s="662">
        <v>20</v>
      </c>
      <c r="BL10" s="663">
        <v>4</v>
      </c>
      <c r="BM10" s="663">
        <v>15</v>
      </c>
      <c r="BN10" s="664">
        <f t="shared" si="10"/>
        <v>39</v>
      </c>
      <c r="BO10" s="662">
        <v>17</v>
      </c>
      <c r="BP10" s="663">
        <v>13</v>
      </c>
      <c r="BQ10" s="663">
        <v>13</v>
      </c>
      <c r="BR10" s="664">
        <f t="shared" si="11"/>
        <v>43</v>
      </c>
      <c r="BS10" s="662">
        <v>20</v>
      </c>
      <c r="BT10" s="663">
        <v>20</v>
      </c>
      <c r="BU10" s="663">
        <v>15</v>
      </c>
      <c r="BV10" s="664">
        <f t="shared" si="12"/>
        <v>55</v>
      </c>
      <c r="BW10" s="662">
        <v>20</v>
      </c>
      <c r="BX10" s="663">
        <v>19</v>
      </c>
      <c r="BY10" s="663">
        <v>23</v>
      </c>
      <c r="BZ10" s="664">
        <f t="shared" si="13"/>
        <v>62</v>
      </c>
      <c r="CA10" s="662">
        <v>24</v>
      </c>
      <c r="CB10" s="663">
        <v>19</v>
      </c>
      <c r="CC10" s="663">
        <v>17</v>
      </c>
      <c r="CD10" s="664">
        <f t="shared" si="14"/>
        <v>60</v>
      </c>
      <c r="CE10" s="662">
        <v>14</v>
      </c>
      <c r="CF10" s="663">
        <v>25</v>
      </c>
      <c r="CG10" s="663">
        <v>14</v>
      </c>
      <c r="CH10" s="664">
        <f t="shared" si="15"/>
        <v>53</v>
      </c>
      <c r="CI10" s="662">
        <v>6</v>
      </c>
      <c r="CJ10" s="663">
        <v>11</v>
      </c>
      <c r="CK10" s="663">
        <v>9</v>
      </c>
      <c r="CL10" s="664">
        <f t="shared" si="16"/>
        <v>26</v>
      </c>
      <c r="CM10" s="662">
        <v>16</v>
      </c>
      <c r="CN10" s="663">
        <v>9</v>
      </c>
      <c r="CO10" s="663">
        <v>16</v>
      </c>
      <c r="CP10" s="664">
        <f t="shared" si="17"/>
        <v>41</v>
      </c>
      <c r="CQ10" s="662">
        <v>18</v>
      </c>
      <c r="CR10" s="663">
        <v>15</v>
      </c>
      <c r="CS10" s="663">
        <v>26</v>
      </c>
      <c r="CT10" s="664">
        <f t="shared" si="18"/>
        <v>59</v>
      </c>
    </row>
    <row r="11" spans="1:98" s="656" customFormat="1" ht="15" customHeight="1" x14ac:dyDescent="0.3">
      <c r="A11" s="642"/>
      <c r="B11" s="657" t="s">
        <v>55</v>
      </c>
      <c r="C11" s="40">
        <v>5</v>
      </c>
      <c r="D11" s="41">
        <v>6</v>
      </c>
      <c r="E11" s="41">
        <v>6</v>
      </c>
      <c r="F11" s="658">
        <v>17</v>
      </c>
      <c r="G11" s="40">
        <v>9</v>
      </c>
      <c r="H11" s="41">
        <v>7</v>
      </c>
      <c r="I11" s="41">
        <v>8</v>
      </c>
      <c r="J11" s="658">
        <v>24</v>
      </c>
      <c r="K11" s="40">
        <v>17</v>
      </c>
      <c r="L11" s="41">
        <v>6</v>
      </c>
      <c r="M11" s="41">
        <v>2</v>
      </c>
      <c r="N11" s="658">
        <v>25</v>
      </c>
      <c r="O11" s="40">
        <v>3</v>
      </c>
      <c r="P11" s="41">
        <v>3</v>
      </c>
      <c r="Q11" s="41">
        <v>1</v>
      </c>
      <c r="R11" s="659">
        <v>7</v>
      </c>
      <c r="S11" s="40">
        <v>6</v>
      </c>
      <c r="T11" s="41">
        <v>2</v>
      </c>
      <c r="U11" s="41">
        <v>5</v>
      </c>
      <c r="V11" s="659">
        <f t="shared" si="0"/>
        <v>13</v>
      </c>
      <c r="W11" s="40">
        <v>2</v>
      </c>
      <c r="X11" s="41">
        <v>3</v>
      </c>
      <c r="Y11" s="41">
        <v>2</v>
      </c>
      <c r="Z11" s="658">
        <f t="shared" si="1"/>
        <v>7</v>
      </c>
      <c r="AA11" s="660">
        <v>6</v>
      </c>
      <c r="AB11" s="41">
        <v>2</v>
      </c>
      <c r="AC11" s="41">
        <v>3</v>
      </c>
      <c r="AD11" s="658">
        <f t="shared" si="2"/>
        <v>11</v>
      </c>
      <c r="AE11" s="660">
        <v>5</v>
      </c>
      <c r="AF11" s="41">
        <v>1</v>
      </c>
      <c r="AG11" s="41">
        <v>3</v>
      </c>
      <c r="AH11" s="659">
        <f t="shared" si="3"/>
        <v>9</v>
      </c>
      <c r="AI11" s="660">
        <v>2</v>
      </c>
      <c r="AJ11" s="41">
        <v>2</v>
      </c>
      <c r="AK11" s="41"/>
      <c r="AL11" s="659">
        <f t="shared" si="4"/>
        <v>4</v>
      </c>
      <c r="AM11" s="660" t="s">
        <v>122</v>
      </c>
      <c r="AN11" s="41">
        <v>2</v>
      </c>
      <c r="AO11" s="41">
        <v>1</v>
      </c>
      <c r="AP11" s="659">
        <f t="shared" si="5"/>
        <v>3</v>
      </c>
      <c r="AQ11" s="662">
        <v>3</v>
      </c>
      <c r="AR11" s="663">
        <v>2</v>
      </c>
      <c r="AS11" s="663">
        <v>1</v>
      </c>
      <c r="AT11" s="664">
        <f t="shared" si="6"/>
        <v>6</v>
      </c>
      <c r="AU11" s="663">
        <v>2</v>
      </c>
      <c r="AV11" s="663">
        <v>1</v>
      </c>
      <c r="AW11" s="663">
        <v>2</v>
      </c>
      <c r="AX11" s="664">
        <f t="shared" si="7"/>
        <v>5</v>
      </c>
      <c r="AY11" s="662">
        <v>1</v>
      </c>
      <c r="AZ11" s="663">
        <v>2</v>
      </c>
      <c r="BA11" s="663">
        <v>2</v>
      </c>
      <c r="BB11" s="664">
        <v>5</v>
      </c>
      <c r="BC11" s="662">
        <v>2</v>
      </c>
      <c r="BD11" s="663">
        <v>1</v>
      </c>
      <c r="BE11" s="663">
        <v>1</v>
      </c>
      <c r="BF11" s="664">
        <f t="shared" si="8"/>
        <v>4</v>
      </c>
      <c r="BG11" s="662">
        <v>1</v>
      </c>
      <c r="BH11" s="663">
        <v>4</v>
      </c>
      <c r="BI11" s="663">
        <v>4</v>
      </c>
      <c r="BJ11" s="664">
        <f t="shared" si="9"/>
        <v>9</v>
      </c>
      <c r="BK11" s="662">
        <v>5</v>
      </c>
      <c r="BL11" s="663">
        <v>8</v>
      </c>
      <c r="BM11" s="663">
        <v>6</v>
      </c>
      <c r="BN11" s="664">
        <f t="shared" si="10"/>
        <v>19</v>
      </c>
      <c r="BO11" s="662">
        <v>4</v>
      </c>
      <c r="BP11" s="663">
        <v>5</v>
      </c>
      <c r="BQ11" s="663">
        <v>8</v>
      </c>
      <c r="BR11" s="664">
        <f t="shared" si="11"/>
        <v>17</v>
      </c>
      <c r="BS11" s="662">
        <v>5</v>
      </c>
      <c r="BT11" s="663">
        <v>6</v>
      </c>
      <c r="BU11" s="663">
        <v>3</v>
      </c>
      <c r="BV11" s="664">
        <f t="shared" si="12"/>
        <v>14</v>
      </c>
      <c r="BW11" s="662">
        <v>9</v>
      </c>
      <c r="BX11" s="663">
        <v>9</v>
      </c>
      <c r="BY11" s="663">
        <v>5</v>
      </c>
      <c r="BZ11" s="664">
        <f t="shared" si="13"/>
        <v>23</v>
      </c>
      <c r="CA11" s="662">
        <v>5</v>
      </c>
      <c r="CB11" s="663">
        <v>5</v>
      </c>
      <c r="CC11" s="663">
        <v>9</v>
      </c>
      <c r="CD11" s="664">
        <f t="shared" si="14"/>
        <v>19</v>
      </c>
      <c r="CE11" s="662">
        <v>16</v>
      </c>
      <c r="CF11" s="663">
        <v>10</v>
      </c>
      <c r="CG11" s="663">
        <v>5</v>
      </c>
      <c r="CH11" s="664">
        <f t="shared" si="15"/>
        <v>31</v>
      </c>
      <c r="CI11" s="662">
        <v>0</v>
      </c>
      <c r="CJ11" s="663">
        <v>3</v>
      </c>
      <c r="CK11" s="663">
        <v>0</v>
      </c>
      <c r="CL11" s="664">
        <f t="shared" si="16"/>
        <v>3</v>
      </c>
      <c r="CM11" s="662">
        <v>0</v>
      </c>
      <c r="CN11" s="663">
        <v>4</v>
      </c>
      <c r="CO11" s="663">
        <v>11</v>
      </c>
      <c r="CP11" s="664">
        <f t="shared" si="17"/>
        <v>15</v>
      </c>
      <c r="CQ11" s="662">
        <v>12</v>
      </c>
      <c r="CR11" s="663">
        <v>20</v>
      </c>
      <c r="CS11" s="663">
        <v>21</v>
      </c>
      <c r="CT11" s="664">
        <f t="shared" si="18"/>
        <v>53</v>
      </c>
    </row>
    <row r="12" spans="1:98" s="656" customFormat="1" ht="15" customHeight="1" x14ac:dyDescent="0.3">
      <c r="A12" s="642"/>
      <c r="B12" s="657" t="s">
        <v>56</v>
      </c>
      <c r="C12" s="40">
        <v>20</v>
      </c>
      <c r="D12" s="41">
        <v>15</v>
      </c>
      <c r="E12" s="41">
        <v>9</v>
      </c>
      <c r="F12" s="658">
        <v>44</v>
      </c>
      <c r="G12" s="40">
        <v>17</v>
      </c>
      <c r="H12" s="41">
        <v>19</v>
      </c>
      <c r="I12" s="41">
        <v>15</v>
      </c>
      <c r="J12" s="658">
        <v>51</v>
      </c>
      <c r="K12" s="40">
        <v>13</v>
      </c>
      <c r="L12" s="41">
        <v>10</v>
      </c>
      <c r="M12" s="41">
        <v>6</v>
      </c>
      <c r="N12" s="658">
        <v>29</v>
      </c>
      <c r="O12" s="40">
        <v>12</v>
      </c>
      <c r="P12" s="41">
        <v>15</v>
      </c>
      <c r="Q12" s="41">
        <v>8</v>
      </c>
      <c r="R12" s="659">
        <v>35</v>
      </c>
      <c r="S12" s="40">
        <v>24</v>
      </c>
      <c r="T12" s="41">
        <v>13</v>
      </c>
      <c r="U12" s="41">
        <v>6</v>
      </c>
      <c r="V12" s="659">
        <f t="shared" si="0"/>
        <v>43</v>
      </c>
      <c r="W12" s="40">
        <v>17</v>
      </c>
      <c r="X12" s="41">
        <v>15</v>
      </c>
      <c r="Y12" s="41">
        <v>17</v>
      </c>
      <c r="Z12" s="658">
        <f t="shared" si="1"/>
        <v>49</v>
      </c>
      <c r="AA12" s="660">
        <v>24</v>
      </c>
      <c r="AB12" s="41">
        <v>15</v>
      </c>
      <c r="AC12" s="41">
        <v>17</v>
      </c>
      <c r="AD12" s="658">
        <f t="shared" si="2"/>
        <v>56</v>
      </c>
      <c r="AE12" s="660">
        <v>13</v>
      </c>
      <c r="AF12" s="41">
        <v>12</v>
      </c>
      <c r="AG12" s="41">
        <v>15</v>
      </c>
      <c r="AH12" s="659">
        <f t="shared" si="3"/>
        <v>40</v>
      </c>
      <c r="AI12" s="660">
        <v>14</v>
      </c>
      <c r="AJ12" s="41">
        <v>30</v>
      </c>
      <c r="AK12" s="661">
        <v>10</v>
      </c>
      <c r="AL12" s="659">
        <f t="shared" si="4"/>
        <v>54</v>
      </c>
      <c r="AM12" s="660">
        <v>13</v>
      </c>
      <c r="AN12" s="41">
        <v>12</v>
      </c>
      <c r="AO12" s="661">
        <v>28</v>
      </c>
      <c r="AP12" s="659">
        <f t="shared" si="5"/>
        <v>53</v>
      </c>
      <c r="AQ12" s="662">
        <v>3</v>
      </c>
      <c r="AR12" s="663">
        <v>22</v>
      </c>
      <c r="AS12" s="663">
        <v>7</v>
      </c>
      <c r="AT12" s="664">
        <f t="shared" si="6"/>
        <v>32</v>
      </c>
      <c r="AU12" s="663">
        <v>11</v>
      </c>
      <c r="AV12" s="663">
        <v>20</v>
      </c>
      <c r="AW12" s="663">
        <v>15</v>
      </c>
      <c r="AX12" s="664">
        <f t="shared" si="7"/>
        <v>46</v>
      </c>
      <c r="AY12" s="662">
        <v>18</v>
      </c>
      <c r="AZ12" s="663">
        <v>19</v>
      </c>
      <c r="BA12" s="663">
        <v>8</v>
      </c>
      <c r="BB12" s="664">
        <v>45</v>
      </c>
      <c r="BC12" s="662">
        <v>12</v>
      </c>
      <c r="BD12" s="663">
        <v>20</v>
      </c>
      <c r="BE12" s="663">
        <v>5</v>
      </c>
      <c r="BF12" s="664">
        <f t="shared" si="8"/>
        <v>37</v>
      </c>
      <c r="BG12" s="662">
        <v>18</v>
      </c>
      <c r="BH12" s="663">
        <v>16</v>
      </c>
      <c r="BI12" s="663">
        <v>20</v>
      </c>
      <c r="BJ12" s="664">
        <f t="shared" si="9"/>
        <v>54</v>
      </c>
      <c r="BK12" s="662">
        <v>33</v>
      </c>
      <c r="BL12" s="663">
        <v>36</v>
      </c>
      <c r="BM12" s="663">
        <v>15</v>
      </c>
      <c r="BN12" s="664">
        <f t="shared" si="10"/>
        <v>84</v>
      </c>
      <c r="BO12" s="662">
        <v>21</v>
      </c>
      <c r="BP12" s="663">
        <v>23</v>
      </c>
      <c r="BQ12" s="663">
        <v>29</v>
      </c>
      <c r="BR12" s="664">
        <f t="shared" si="11"/>
        <v>73</v>
      </c>
      <c r="BS12" s="662">
        <v>20</v>
      </c>
      <c r="BT12" s="663">
        <v>19</v>
      </c>
      <c r="BU12" s="663">
        <v>17</v>
      </c>
      <c r="BV12" s="664">
        <f t="shared" si="12"/>
        <v>56</v>
      </c>
      <c r="BW12" s="662">
        <v>20</v>
      </c>
      <c r="BX12" s="663">
        <v>22</v>
      </c>
      <c r="BY12" s="663">
        <v>18</v>
      </c>
      <c r="BZ12" s="664">
        <f t="shared" si="13"/>
        <v>60</v>
      </c>
      <c r="CA12" s="662">
        <v>20</v>
      </c>
      <c r="CB12" s="663">
        <v>21</v>
      </c>
      <c r="CC12" s="663">
        <v>17</v>
      </c>
      <c r="CD12" s="664">
        <f t="shared" si="14"/>
        <v>58</v>
      </c>
      <c r="CE12" s="662">
        <v>29</v>
      </c>
      <c r="CF12" s="663">
        <v>9</v>
      </c>
      <c r="CG12" s="663">
        <v>11</v>
      </c>
      <c r="CH12" s="664">
        <f t="shared" si="15"/>
        <v>49</v>
      </c>
      <c r="CI12" s="662">
        <v>8</v>
      </c>
      <c r="CJ12" s="663">
        <v>8</v>
      </c>
      <c r="CK12" s="663">
        <v>8</v>
      </c>
      <c r="CL12" s="664">
        <f t="shared" si="16"/>
        <v>24</v>
      </c>
      <c r="CM12" s="662">
        <v>23</v>
      </c>
      <c r="CN12" s="663">
        <v>19</v>
      </c>
      <c r="CO12" s="663">
        <v>13</v>
      </c>
      <c r="CP12" s="664">
        <f t="shared" si="17"/>
        <v>55</v>
      </c>
      <c r="CQ12" s="662">
        <v>42</v>
      </c>
      <c r="CR12" s="663">
        <v>31</v>
      </c>
      <c r="CS12" s="663">
        <v>36</v>
      </c>
      <c r="CT12" s="664">
        <f t="shared" si="18"/>
        <v>109</v>
      </c>
    </row>
    <row r="13" spans="1:98" s="656" customFormat="1" ht="15" customHeight="1" x14ac:dyDescent="0.3">
      <c r="A13" s="642"/>
      <c r="B13" s="657" t="s">
        <v>57</v>
      </c>
      <c r="C13" s="40">
        <v>31</v>
      </c>
      <c r="D13" s="41">
        <v>24</v>
      </c>
      <c r="E13" s="41">
        <v>39</v>
      </c>
      <c r="F13" s="658">
        <v>94</v>
      </c>
      <c r="G13" s="40">
        <v>14</v>
      </c>
      <c r="H13" s="41">
        <v>17</v>
      </c>
      <c r="I13" s="41">
        <v>26</v>
      </c>
      <c r="J13" s="658">
        <v>57</v>
      </c>
      <c r="K13" s="40">
        <v>27</v>
      </c>
      <c r="L13" s="41">
        <v>14</v>
      </c>
      <c r="M13" s="41">
        <v>24</v>
      </c>
      <c r="N13" s="658">
        <v>65</v>
      </c>
      <c r="O13" s="40">
        <v>24</v>
      </c>
      <c r="P13" s="41">
        <v>31</v>
      </c>
      <c r="Q13" s="41">
        <v>36</v>
      </c>
      <c r="R13" s="659">
        <v>91</v>
      </c>
      <c r="S13" s="40">
        <v>41</v>
      </c>
      <c r="T13" s="41">
        <v>37</v>
      </c>
      <c r="U13" s="41">
        <v>32</v>
      </c>
      <c r="V13" s="659">
        <f t="shared" si="0"/>
        <v>110</v>
      </c>
      <c r="W13" s="40">
        <v>36</v>
      </c>
      <c r="X13" s="41">
        <v>30</v>
      </c>
      <c r="Y13" s="41">
        <v>34</v>
      </c>
      <c r="Z13" s="658">
        <f t="shared" si="1"/>
        <v>100</v>
      </c>
      <c r="AA13" s="660">
        <v>36</v>
      </c>
      <c r="AB13" s="41">
        <v>51</v>
      </c>
      <c r="AC13" s="41">
        <v>28</v>
      </c>
      <c r="AD13" s="658">
        <f t="shared" si="2"/>
        <v>115</v>
      </c>
      <c r="AE13" s="660">
        <v>38</v>
      </c>
      <c r="AF13" s="41">
        <v>30</v>
      </c>
      <c r="AG13" s="41">
        <v>24</v>
      </c>
      <c r="AH13" s="659">
        <f t="shared" si="3"/>
        <v>92</v>
      </c>
      <c r="AI13" s="660">
        <v>28</v>
      </c>
      <c r="AJ13" s="41">
        <v>26</v>
      </c>
      <c r="AK13" s="661">
        <v>9</v>
      </c>
      <c r="AL13" s="659">
        <f t="shared" si="4"/>
        <v>63</v>
      </c>
      <c r="AM13" s="660">
        <v>38</v>
      </c>
      <c r="AN13" s="41">
        <v>33</v>
      </c>
      <c r="AO13" s="661">
        <v>9</v>
      </c>
      <c r="AP13" s="659">
        <f t="shared" si="5"/>
        <v>80</v>
      </c>
      <c r="AQ13" s="662">
        <v>21</v>
      </c>
      <c r="AR13" s="663">
        <v>20</v>
      </c>
      <c r="AS13" s="663">
        <v>16</v>
      </c>
      <c r="AT13" s="664">
        <f t="shared" si="6"/>
        <v>57</v>
      </c>
      <c r="AU13" s="663">
        <v>22</v>
      </c>
      <c r="AV13" s="663">
        <v>18</v>
      </c>
      <c r="AW13" s="663">
        <v>15</v>
      </c>
      <c r="AX13" s="664">
        <f t="shared" si="7"/>
        <v>55</v>
      </c>
      <c r="AY13" s="662">
        <v>19</v>
      </c>
      <c r="AZ13" s="663">
        <v>29</v>
      </c>
      <c r="BA13" s="663">
        <v>23</v>
      </c>
      <c r="BB13" s="664">
        <v>71</v>
      </c>
      <c r="BC13" s="662">
        <v>24</v>
      </c>
      <c r="BD13" s="663">
        <v>30</v>
      </c>
      <c r="BE13" s="663">
        <v>17</v>
      </c>
      <c r="BF13" s="664">
        <f t="shared" si="8"/>
        <v>71</v>
      </c>
      <c r="BG13" s="662">
        <v>23</v>
      </c>
      <c r="BH13" s="663">
        <v>39</v>
      </c>
      <c r="BI13" s="663">
        <v>14</v>
      </c>
      <c r="BJ13" s="664">
        <f t="shared" si="9"/>
        <v>76</v>
      </c>
      <c r="BK13" s="662">
        <v>18</v>
      </c>
      <c r="BL13" s="663">
        <v>26</v>
      </c>
      <c r="BM13" s="663">
        <v>15</v>
      </c>
      <c r="BN13" s="664">
        <f t="shared" si="10"/>
        <v>59</v>
      </c>
      <c r="BO13" s="662">
        <v>19</v>
      </c>
      <c r="BP13" s="663">
        <v>15</v>
      </c>
      <c r="BQ13" s="663">
        <v>23</v>
      </c>
      <c r="BR13" s="664">
        <f t="shared" si="11"/>
        <v>57</v>
      </c>
      <c r="BS13" s="662">
        <v>25</v>
      </c>
      <c r="BT13" s="663">
        <v>26</v>
      </c>
      <c r="BU13" s="663">
        <v>6</v>
      </c>
      <c r="BV13" s="664">
        <f t="shared" si="12"/>
        <v>57</v>
      </c>
      <c r="BW13" s="662">
        <v>25</v>
      </c>
      <c r="BX13" s="663">
        <v>15</v>
      </c>
      <c r="BY13" s="663">
        <v>22</v>
      </c>
      <c r="BZ13" s="664">
        <f t="shared" si="13"/>
        <v>62</v>
      </c>
      <c r="CA13" s="662">
        <v>20</v>
      </c>
      <c r="CB13" s="663">
        <v>13</v>
      </c>
      <c r="CC13" s="663">
        <v>18</v>
      </c>
      <c r="CD13" s="664">
        <f t="shared" si="14"/>
        <v>51</v>
      </c>
      <c r="CE13" s="662">
        <v>15</v>
      </c>
      <c r="CF13" s="663">
        <v>21</v>
      </c>
      <c r="CG13" s="663">
        <v>16</v>
      </c>
      <c r="CH13" s="664">
        <f t="shared" si="15"/>
        <v>52</v>
      </c>
      <c r="CI13" s="662">
        <v>12</v>
      </c>
      <c r="CJ13" s="663">
        <v>8</v>
      </c>
      <c r="CK13" s="663">
        <v>17</v>
      </c>
      <c r="CL13" s="664">
        <f t="shared" si="16"/>
        <v>37</v>
      </c>
      <c r="CM13" s="662">
        <v>18</v>
      </c>
      <c r="CN13" s="663">
        <v>4</v>
      </c>
      <c r="CO13" s="663">
        <v>8</v>
      </c>
      <c r="CP13" s="664">
        <f t="shared" si="17"/>
        <v>30</v>
      </c>
      <c r="CQ13" s="662">
        <v>9</v>
      </c>
      <c r="CR13" s="663">
        <v>7</v>
      </c>
      <c r="CS13" s="663">
        <v>13</v>
      </c>
      <c r="CT13" s="664">
        <f t="shared" si="18"/>
        <v>29</v>
      </c>
    </row>
    <row r="14" spans="1:98" s="656" customFormat="1" ht="15" customHeight="1" x14ac:dyDescent="0.3">
      <c r="A14" s="642"/>
      <c r="B14" s="665" t="s">
        <v>156</v>
      </c>
      <c r="C14" s="46">
        <v>0</v>
      </c>
      <c r="D14" s="50">
        <v>0</v>
      </c>
      <c r="E14" s="50">
        <v>0</v>
      </c>
      <c r="F14" s="666">
        <v>0</v>
      </c>
      <c r="G14" s="46">
        <v>0</v>
      </c>
      <c r="H14" s="50">
        <v>0</v>
      </c>
      <c r="I14" s="50">
        <v>0</v>
      </c>
      <c r="J14" s="666">
        <v>0</v>
      </c>
      <c r="K14" s="46">
        <v>0</v>
      </c>
      <c r="L14" s="50">
        <v>0</v>
      </c>
      <c r="M14" s="50">
        <v>0</v>
      </c>
      <c r="N14" s="666">
        <v>0</v>
      </c>
      <c r="O14" s="46">
        <v>0</v>
      </c>
      <c r="P14" s="50">
        <v>0</v>
      </c>
      <c r="Q14" s="50">
        <v>0</v>
      </c>
      <c r="R14" s="667">
        <v>0</v>
      </c>
      <c r="S14" s="46" t="s">
        <v>122</v>
      </c>
      <c r="T14" s="50" t="s">
        <v>122</v>
      </c>
      <c r="U14" s="50" t="s">
        <v>122</v>
      </c>
      <c r="V14" s="667">
        <f t="shared" si="0"/>
        <v>0</v>
      </c>
      <c r="W14" s="46" t="s">
        <v>122</v>
      </c>
      <c r="X14" s="50" t="s">
        <v>122</v>
      </c>
      <c r="Y14" s="50" t="s">
        <v>122</v>
      </c>
      <c r="Z14" s="666">
        <f t="shared" si="1"/>
        <v>0</v>
      </c>
      <c r="AA14" s="668" t="s">
        <v>122</v>
      </c>
      <c r="AB14" s="50" t="s">
        <v>122</v>
      </c>
      <c r="AC14" s="50" t="s">
        <v>122</v>
      </c>
      <c r="AD14" s="666">
        <f t="shared" si="2"/>
        <v>0</v>
      </c>
      <c r="AE14" s="668" t="s">
        <v>122</v>
      </c>
      <c r="AF14" s="50" t="s">
        <v>122</v>
      </c>
      <c r="AG14" s="50" t="s">
        <v>122</v>
      </c>
      <c r="AH14" s="667">
        <f t="shared" si="3"/>
        <v>0</v>
      </c>
      <c r="AI14" s="668" t="s">
        <v>122</v>
      </c>
      <c r="AJ14" s="50">
        <v>1</v>
      </c>
      <c r="AK14" s="669">
        <v>1</v>
      </c>
      <c r="AL14" s="667">
        <f t="shared" si="4"/>
        <v>2</v>
      </c>
      <c r="AM14" s="668">
        <v>4</v>
      </c>
      <c r="AN14" s="50">
        <v>9</v>
      </c>
      <c r="AO14" s="669">
        <v>3</v>
      </c>
      <c r="AP14" s="667">
        <f t="shared" si="5"/>
        <v>16</v>
      </c>
      <c r="AQ14" s="670">
        <v>5</v>
      </c>
      <c r="AR14" s="671">
        <v>12</v>
      </c>
      <c r="AS14" s="671">
        <v>6</v>
      </c>
      <c r="AT14" s="672">
        <f t="shared" si="6"/>
        <v>23</v>
      </c>
      <c r="AU14" s="671">
        <v>15</v>
      </c>
      <c r="AV14" s="671">
        <v>31</v>
      </c>
      <c r="AW14" s="671">
        <v>13</v>
      </c>
      <c r="AX14" s="672">
        <f t="shared" si="7"/>
        <v>59</v>
      </c>
      <c r="AY14" s="670">
        <v>18</v>
      </c>
      <c r="AZ14" s="671">
        <v>22</v>
      </c>
      <c r="BA14" s="671">
        <v>24</v>
      </c>
      <c r="BB14" s="672">
        <v>64</v>
      </c>
      <c r="BC14" s="670">
        <v>15</v>
      </c>
      <c r="BD14" s="671">
        <v>20</v>
      </c>
      <c r="BE14" s="671">
        <v>20</v>
      </c>
      <c r="BF14" s="672">
        <f t="shared" si="8"/>
        <v>55</v>
      </c>
      <c r="BG14" s="670">
        <v>19</v>
      </c>
      <c r="BH14" s="671">
        <v>25</v>
      </c>
      <c r="BI14" s="671">
        <v>23</v>
      </c>
      <c r="BJ14" s="672">
        <f t="shared" si="9"/>
        <v>67</v>
      </c>
      <c r="BK14" s="670">
        <v>51</v>
      </c>
      <c r="BL14" s="671">
        <v>39</v>
      </c>
      <c r="BM14" s="671">
        <v>30</v>
      </c>
      <c r="BN14" s="672">
        <f t="shared" si="10"/>
        <v>120</v>
      </c>
      <c r="BO14" s="670">
        <v>28</v>
      </c>
      <c r="BP14" s="671">
        <v>31</v>
      </c>
      <c r="BQ14" s="671">
        <v>18</v>
      </c>
      <c r="BR14" s="672">
        <f t="shared" si="11"/>
        <v>77</v>
      </c>
      <c r="BS14" s="670">
        <v>39</v>
      </c>
      <c r="BT14" s="671">
        <v>29</v>
      </c>
      <c r="BU14" s="671">
        <v>13</v>
      </c>
      <c r="BV14" s="672">
        <f t="shared" si="12"/>
        <v>81</v>
      </c>
      <c r="BW14" s="670">
        <v>29</v>
      </c>
      <c r="BX14" s="671">
        <v>38</v>
      </c>
      <c r="BY14" s="671">
        <v>14</v>
      </c>
      <c r="BZ14" s="672">
        <f t="shared" si="13"/>
        <v>81</v>
      </c>
      <c r="CA14" s="670">
        <v>31</v>
      </c>
      <c r="CB14" s="671">
        <v>18</v>
      </c>
      <c r="CC14" s="671">
        <v>10</v>
      </c>
      <c r="CD14" s="672">
        <f t="shared" si="14"/>
        <v>59</v>
      </c>
      <c r="CE14" s="670">
        <v>18</v>
      </c>
      <c r="CF14" s="671">
        <v>10</v>
      </c>
      <c r="CG14" s="671">
        <v>9</v>
      </c>
      <c r="CH14" s="672">
        <f t="shared" si="15"/>
        <v>37</v>
      </c>
      <c r="CI14" s="670">
        <v>15</v>
      </c>
      <c r="CJ14" s="671">
        <v>19</v>
      </c>
      <c r="CK14" s="671">
        <v>10</v>
      </c>
      <c r="CL14" s="672">
        <f t="shared" si="16"/>
        <v>44</v>
      </c>
      <c r="CM14" s="670">
        <v>17</v>
      </c>
      <c r="CN14" s="671">
        <v>12</v>
      </c>
      <c r="CO14" s="671">
        <v>18</v>
      </c>
      <c r="CP14" s="672">
        <f t="shared" si="17"/>
        <v>47</v>
      </c>
      <c r="CQ14" s="670">
        <v>15</v>
      </c>
      <c r="CR14" s="671">
        <v>13</v>
      </c>
      <c r="CS14" s="671">
        <v>20</v>
      </c>
      <c r="CT14" s="672">
        <f t="shared" si="18"/>
        <v>48</v>
      </c>
    </row>
    <row r="15" spans="1:98" s="656" customFormat="1" ht="15" customHeight="1" x14ac:dyDescent="0.3">
      <c r="A15" s="642"/>
      <c r="B15" s="673" t="s">
        <v>59</v>
      </c>
      <c r="C15" s="674">
        <v>146</v>
      </c>
      <c r="D15" s="675">
        <v>143</v>
      </c>
      <c r="E15" s="675">
        <v>124</v>
      </c>
      <c r="F15" s="676">
        <v>413</v>
      </c>
      <c r="G15" s="674">
        <v>104</v>
      </c>
      <c r="H15" s="675">
        <v>121</v>
      </c>
      <c r="I15" s="675">
        <v>110</v>
      </c>
      <c r="J15" s="676">
        <v>335</v>
      </c>
      <c r="K15" s="674">
        <v>119</v>
      </c>
      <c r="L15" s="675">
        <v>107</v>
      </c>
      <c r="M15" s="675">
        <v>92</v>
      </c>
      <c r="N15" s="676">
        <v>318</v>
      </c>
      <c r="O15" s="674">
        <v>103</v>
      </c>
      <c r="P15" s="675">
        <v>133</v>
      </c>
      <c r="Q15" s="675">
        <v>115</v>
      </c>
      <c r="R15" s="676">
        <v>351</v>
      </c>
      <c r="S15" s="674">
        <f t="shared" ref="S15:CD15" si="19">SUM(S5:S14)</f>
        <v>162</v>
      </c>
      <c r="T15" s="675">
        <f t="shared" si="19"/>
        <v>150</v>
      </c>
      <c r="U15" s="675">
        <f t="shared" si="19"/>
        <v>108</v>
      </c>
      <c r="V15" s="676">
        <f t="shared" si="19"/>
        <v>420</v>
      </c>
      <c r="W15" s="674">
        <f t="shared" si="19"/>
        <v>105</v>
      </c>
      <c r="X15" s="675">
        <f t="shared" si="19"/>
        <v>144</v>
      </c>
      <c r="Y15" s="675">
        <f t="shared" si="19"/>
        <v>119</v>
      </c>
      <c r="Z15" s="676">
        <f t="shared" si="19"/>
        <v>368</v>
      </c>
      <c r="AA15" s="674">
        <f t="shared" si="19"/>
        <v>119</v>
      </c>
      <c r="AB15" s="675">
        <f t="shared" si="19"/>
        <v>150</v>
      </c>
      <c r="AC15" s="675">
        <f t="shared" si="19"/>
        <v>133</v>
      </c>
      <c r="AD15" s="676">
        <f t="shared" si="19"/>
        <v>402</v>
      </c>
      <c r="AE15" s="674">
        <f t="shared" si="19"/>
        <v>131</v>
      </c>
      <c r="AF15" s="675">
        <f t="shared" si="19"/>
        <v>133</v>
      </c>
      <c r="AG15" s="675">
        <f t="shared" si="19"/>
        <v>124</v>
      </c>
      <c r="AH15" s="676">
        <f t="shared" si="19"/>
        <v>388</v>
      </c>
      <c r="AI15" s="674">
        <f t="shared" si="19"/>
        <v>102</v>
      </c>
      <c r="AJ15" s="675">
        <f t="shared" si="19"/>
        <v>141</v>
      </c>
      <c r="AK15" s="675">
        <f t="shared" si="19"/>
        <v>96</v>
      </c>
      <c r="AL15" s="676">
        <f t="shared" si="19"/>
        <v>339</v>
      </c>
      <c r="AM15" s="674">
        <f t="shared" si="19"/>
        <v>126</v>
      </c>
      <c r="AN15" s="675">
        <f t="shared" si="19"/>
        <v>134</v>
      </c>
      <c r="AO15" s="675">
        <f t="shared" si="19"/>
        <v>102</v>
      </c>
      <c r="AP15" s="676">
        <f t="shared" si="19"/>
        <v>362</v>
      </c>
      <c r="AQ15" s="674">
        <f t="shared" si="19"/>
        <v>105</v>
      </c>
      <c r="AR15" s="675">
        <f t="shared" si="19"/>
        <v>135</v>
      </c>
      <c r="AS15" s="675">
        <f t="shared" si="19"/>
        <v>110</v>
      </c>
      <c r="AT15" s="676">
        <f t="shared" si="6"/>
        <v>350</v>
      </c>
      <c r="AU15" s="674">
        <f>SUM(AU5:AU14)</f>
        <v>124</v>
      </c>
      <c r="AV15" s="675">
        <f>SUM(AV5:AV14)</f>
        <v>149</v>
      </c>
      <c r="AW15" s="675">
        <f>SUM(AW5:AW14)</f>
        <v>95</v>
      </c>
      <c r="AX15" s="676">
        <f t="shared" si="7"/>
        <v>368</v>
      </c>
      <c r="AY15" s="674">
        <f t="shared" si="19"/>
        <v>129</v>
      </c>
      <c r="AZ15" s="675">
        <f t="shared" si="19"/>
        <v>151</v>
      </c>
      <c r="BA15" s="675">
        <f t="shared" si="19"/>
        <v>124</v>
      </c>
      <c r="BB15" s="676">
        <f t="shared" si="19"/>
        <v>404</v>
      </c>
      <c r="BC15" s="674">
        <f t="shared" si="19"/>
        <v>110</v>
      </c>
      <c r="BD15" s="675">
        <f t="shared" si="19"/>
        <v>135</v>
      </c>
      <c r="BE15" s="675">
        <f t="shared" si="19"/>
        <v>117</v>
      </c>
      <c r="BF15" s="676">
        <f t="shared" si="19"/>
        <v>362</v>
      </c>
      <c r="BG15" s="674">
        <f t="shared" si="19"/>
        <v>143</v>
      </c>
      <c r="BH15" s="675">
        <f t="shared" si="19"/>
        <v>205</v>
      </c>
      <c r="BI15" s="675">
        <f t="shared" si="19"/>
        <v>174</v>
      </c>
      <c r="BJ15" s="676">
        <f t="shared" si="19"/>
        <v>522</v>
      </c>
      <c r="BK15" s="674">
        <f t="shared" si="19"/>
        <v>231</v>
      </c>
      <c r="BL15" s="675">
        <f t="shared" si="19"/>
        <v>201</v>
      </c>
      <c r="BM15" s="675">
        <f t="shared" si="19"/>
        <v>142</v>
      </c>
      <c r="BN15" s="676">
        <f t="shared" si="19"/>
        <v>574</v>
      </c>
      <c r="BO15" s="674">
        <f t="shared" si="19"/>
        <v>178</v>
      </c>
      <c r="BP15" s="675">
        <f t="shared" si="19"/>
        <v>174</v>
      </c>
      <c r="BQ15" s="675">
        <f t="shared" si="19"/>
        <v>175</v>
      </c>
      <c r="BR15" s="676">
        <f t="shared" si="19"/>
        <v>527</v>
      </c>
      <c r="BS15" s="674">
        <f t="shared" si="19"/>
        <v>202</v>
      </c>
      <c r="BT15" s="675">
        <f t="shared" si="19"/>
        <v>206</v>
      </c>
      <c r="BU15" s="675">
        <f t="shared" si="19"/>
        <v>114</v>
      </c>
      <c r="BV15" s="676">
        <f t="shared" si="19"/>
        <v>522</v>
      </c>
      <c r="BW15" s="674">
        <f>SUM(BW5:BW14)</f>
        <v>222</v>
      </c>
      <c r="BX15" s="675">
        <f>SUM(BX5:BX14)</f>
        <v>204</v>
      </c>
      <c r="BY15" s="675">
        <f>SUM(BY5:BY14)</f>
        <v>184</v>
      </c>
      <c r="BZ15" s="676">
        <f t="shared" si="19"/>
        <v>610</v>
      </c>
      <c r="CA15" s="674">
        <f t="shared" si="19"/>
        <v>198</v>
      </c>
      <c r="CB15" s="675">
        <f t="shared" si="19"/>
        <v>159</v>
      </c>
      <c r="CC15" s="675">
        <f t="shared" si="19"/>
        <v>160</v>
      </c>
      <c r="CD15" s="676">
        <f t="shared" si="19"/>
        <v>517</v>
      </c>
      <c r="CE15" s="674">
        <f t="shared" ref="CE15:CF15" si="20">SUM(CE5:CE14)</f>
        <v>205</v>
      </c>
      <c r="CF15" s="675">
        <f t="shared" si="20"/>
        <v>158</v>
      </c>
      <c r="CG15" s="675">
        <v>115</v>
      </c>
      <c r="CH15" s="676">
        <f t="shared" ref="CH15:CP15" si="21">SUM(CH5:CH14)</f>
        <v>478</v>
      </c>
      <c r="CI15" s="674">
        <f t="shared" si="21"/>
        <v>91</v>
      </c>
      <c r="CJ15" s="675">
        <f t="shared" si="21"/>
        <v>98</v>
      </c>
      <c r="CK15" s="675">
        <f t="shared" si="21"/>
        <v>90</v>
      </c>
      <c r="CL15" s="676">
        <f t="shared" si="21"/>
        <v>279</v>
      </c>
      <c r="CM15" s="674">
        <f t="shared" si="21"/>
        <v>151</v>
      </c>
      <c r="CN15" s="675">
        <f t="shared" si="21"/>
        <v>109</v>
      </c>
      <c r="CO15" s="675">
        <f>SUM(CO5:CO14)</f>
        <v>146</v>
      </c>
      <c r="CP15" s="676">
        <f t="shared" si="21"/>
        <v>406</v>
      </c>
      <c r="CQ15" s="674">
        <f>SUM(CQ5:CQ14)</f>
        <v>183</v>
      </c>
      <c r="CR15" s="675">
        <f>SUM(CR5:CR14)</f>
        <v>162</v>
      </c>
      <c r="CS15" s="675">
        <f>SUM(CS5:CS14)</f>
        <v>189</v>
      </c>
      <c r="CT15" s="676">
        <f t="shared" ref="CT15" si="22">SUM(CT5:CT14)</f>
        <v>534</v>
      </c>
    </row>
    <row r="16" spans="1:98" s="656" customFormat="1" ht="15" customHeight="1" x14ac:dyDescent="0.3">
      <c r="A16" s="642"/>
      <c r="B16" s="648" t="s">
        <v>60</v>
      </c>
      <c r="C16" s="33">
        <v>43</v>
      </c>
      <c r="D16" s="34">
        <v>86</v>
      </c>
      <c r="E16" s="34">
        <v>67</v>
      </c>
      <c r="F16" s="649">
        <v>196</v>
      </c>
      <c r="G16" s="33">
        <v>64</v>
      </c>
      <c r="H16" s="34">
        <v>70</v>
      </c>
      <c r="I16" s="34">
        <v>36</v>
      </c>
      <c r="J16" s="649">
        <v>170</v>
      </c>
      <c r="K16" s="33">
        <v>50</v>
      </c>
      <c r="L16" s="34">
        <v>47</v>
      </c>
      <c r="M16" s="34">
        <v>66</v>
      </c>
      <c r="N16" s="649">
        <v>163</v>
      </c>
      <c r="O16" s="33">
        <v>63</v>
      </c>
      <c r="P16" s="34">
        <v>67</v>
      </c>
      <c r="Q16" s="34">
        <v>59</v>
      </c>
      <c r="R16" s="650">
        <v>189</v>
      </c>
      <c r="S16" s="33">
        <v>68</v>
      </c>
      <c r="T16" s="34">
        <v>84</v>
      </c>
      <c r="U16" s="34">
        <v>53</v>
      </c>
      <c r="V16" s="650">
        <f>SUM(S16:U16)</f>
        <v>205</v>
      </c>
      <c r="W16" s="33">
        <v>70</v>
      </c>
      <c r="X16" s="34">
        <v>65</v>
      </c>
      <c r="Y16" s="34">
        <v>55</v>
      </c>
      <c r="Z16" s="649">
        <f>SUM(W16:Y16)</f>
        <v>190</v>
      </c>
      <c r="AA16" s="651">
        <v>62</v>
      </c>
      <c r="AB16" s="34">
        <v>61</v>
      </c>
      <c r="AC16" s="34">
        <v>40</v>
      </c>
      <c r="AD16" s="649">
        <f>SUM(AA16:AC16)</f>
        <v>163</v>
      </c>
      <c r="AE16" s="651">
        <v>58</v>
      </c>
      <c r="AF16" s="34">
        <v>52</v>
      </c>
      <c r="AG16" s="34">
        <v>41</v>
      </c>
      <c r="AH16" s="650">
        <f>SUM(AE16:AG16)</f>
        <v>151</v>
      </c>
      <c r="AI16" s="651">
        <v>34</v>
      </c>
      <c r="AJ16" s="34">
        <v>71</v>
      </c>
      <c r="AK16" s="652">
        <v>45</v>
      </c>
      <c r="AL16" s="650">
        <f>SUM(AI16:AK16)</f>
        <v>150</v>
      </c>
      <c r="AM16" s="651">
        <v>52</v>
      </c>
      <c r="AN16" s="34">
        <v>59</v>
      </c>
      <c r="AO16" s="652">
        <v>42</v>
      </c>
      <c r="AP16" s="650">
        <f>SUM(AM16:AO16)</f>
        <v>153</v>
      </c>
      <c r="AQ16" s="653">
        <v>61</v>
      </c>
      <c r="AR16" s="654">
        <v>52</v>
      </c>
      <c r="AS16" s="654">
        <v>44</v>
      </c>
      <c r="AT16" s="655">
        <f t="shared" si="6"/>
        <v>157</v>
      </c>
      <c r="AU16" s="654">
        <v>45</v>
      </c>
      <c r="AV16" s="654">
        <v>53</v>
      </c>
      <c r="AW16" s="654">
        <v>38</v>
      </c>
      <c r="AX16" s="655">
        <f t="shared" si="7"/>
        <v>136</v>
      </c>
      <c r="AY16" s="653">
        <v>56</v>
      </c>
      <c r="AZ16" s="654">
        <v>48</v>
      </c>
      <c r="BA16" s="654">
        <v>37</v>
      </c>
      <c r="BB16" s="655">
        <v>141</v>
      </c>
      <c r="BC16" s="653">
        <v>68</v>
      </c>
      <c r="BD16" s="654">
        <v>64</v>
      </c>
      <c r="BE16" s="654">
        <v>49</v>
      </c>
      <c r="BF16" s="655">
        <f t="shared" si="8"/>
        <v>181</v>
      </c>
      <c r="BG16" s="653">
        <v>66</v>
      </c>
      <c r="BH16" s="654">
        <v>71</v>
      </c>
      <c r="BI16" s="654">
        <v>73</v>
      </c>
      <c r="BJ16" s="655">
        <f>SUM(BG16:BI16)</f>
        <v>210</v>
      </c>
      <c r="BK16" s="653">
        <v>48</v>
      </c>
      <c r="BL16" s="654">
        <v>85</v>
      </c>
      <c r="BM16" s="654">
        <v>46</v>
      </c>
      <c r="BN16" s="655">
        <f>SUM(BK16:BM16)</f>
        <v>179</v>
      </c>
      <c r="BO16" s="653">
        <v>58</v>
      </c>
      <c r="BP16" s="654">
        <v>84</v>
      </c>
      <c r="BQ16" s="654">
        <v>48</v>
      </c>
      <c r="BR16" s="655">
        <f>SUM(BO16:BQ16)</f>
        <v>190</v>
      </c>
      <c r="BS16" s="653">
        <v>51</v>
      </c>
      <c r="BT16" s="654">
        <v>67</v>
      </c>
      <c r="BU16" s="654">
        <v>51</v>
      </c>
      <c r="BV16" s="655">
        <f>SUM(BS16:BU16)</f>
        <v>169</v>
      </c>
      <c r="BW16" s="653">
        <v>57</v>
      </c>
      <c r="BX16" s="654">
        <v>80</v>
      </c>
      <c r="BY16" s="654">
        <v>59</v>
      </c>
      <c r="BZ16" s="655">
        <f>SUM(BW16:BY16)</f>
        <v>196</v>
      </c>
      <c r="CA16" s="653">
        <v>50</v>
      </c>
      <c r="CB16" s="654">
        <v>72</v>
      </c>
      <c r="CC16" s="654">
        <v>82</v>
      </c>
      <c r="CD16" s="655">
        <f>SUM(CA16:CC16)</f>
        <v>204</v>
      </c>
      <c r="CE16" s="653">
        <v>48</v>
      </c>
      <c r="CF16" s="654">
        <v>77</v>
      </c>
      <c r="CG16" s="654">
        <v>56</v>
      </c>
      <c r="CH16" s="655">
        <f>SUM(CE16:CG16)</f>
        <v>181</v>
      </c>
      <c r="CI16" s="653">
        <v>57</v>
      </c>
      <c r="CJ16" s="654">
        <v>80</v>
      </c>
      <c r="CK16" s="654">
        <v>43</v>
      </c>
      <c r="CL16" s="655">
        <f>SUM(CI16:CK16)</f>
        <v>180</v>
      </c>
      <c r="CM16" s="653">
        <v>49</v>
      </c>
      <c r="CN16" s="654">
        <v>67</v>
      </c>
      <c r="CO16" s="654">
        <v>44</v>
      </c>
      <c r="CP16" s="655">
        <f>SUM(CM16:CO16)</f>
        <v>160</v>
      </c>
      <c r="CQ16" s="653">
        <v>48</v>
      </c>
      <c r="CR16" s="654">
        <v>58</v>
      </c>
      <c r="CS16" s="654">
        <v>35</v>
      </c>
      <c r="CT16" s="655">
        <f>SUM(CQ16:CS16)</f>
        <v>141</v>
      </c>
    </row>
    <row r="17" spans="1:98" s="656" customFormat="1" ht="15" customHeight="1" x14ac:dyDescent="0.3">
      <c r="A17" s="642"/>
      <c r="B17" s="657" t="s">
        <v>61</v>
      </c>
      <c r="C17" s="40">
        <v>86</v>
      </c>
      <c r="D17" s="41">
        <v>98</v>
      </c>
      <c r="E17" s="41">
        <v>62</v>
      </c>
      <c r="F17" s="658">
        <v>246</v>
      </c>
      <c r="G17" s="40">
        <v>106</v>
      </c>
      <c r="H17" s="41">
        <v>76</v>
      </c>
      <c r="I17" s="41">
        <v>71</v>
      </c>
      <c r="J17" s="658">
        <v>253</v>
      </c>
      <c r="K17" s="40">
        <v>92</v>
      </c>
      <c r="L17" s="41">
        <v>86</v>
      </c>
      <c r="M17" s="41">
        <v>73</v>
      </c>
      <c r="N17" s="658">
        <v>251</v>
      </c>
      <c r="O17" s="40">
        <v>94</v>
      </c>
      <c r="P17" s="41">
        <v>74</v>
      </c>
      <c r="Q17" s="41">
        <v>82</v>
      </c>
      <c r="R17" s="659">
        <v>250</v>
      </c>
      <c r="S17" s="40">
        <v>61</v>
      </c>
      <c r="T17" s="41">
        <v>123</v>
      </c>
      <c r="U17" s="41">
        <v>62</v>
      </c>
      <c r="V17" s="659">
        <f>SUM(S17:U17)</f>
        <v>246</v>
      </c>
      <c r="W17" s="40">
        <v>58</v>
      </c>
      <c r="X17" s="41">
        <v>107</v>
      </c>
      <c r="Y17" s="41">
        <v>75</v>
      </c>
      <c r="Z17" s="658">
        <f>SUM(W17:Y17)</f>
        <v>240</v>
      </c>
      <c r="AA17" s="660">
        <v>88</v>
      </c>
      <c r="AB17" s="41">
        <v>93</v>
      </c>
      <c r="AC17" s="41">
        <v>66</v>
      </c>
      <c r="AD17" s="658">
        <f>SUM(AA17:AC17)</f>
        <v>247</v>
      </c>
      <c r="AE17" s="660">
        <v>64</v>
      </c>
      <c r="AF17" s="41">
        <v>95</v>
      </c>
      <c r="AG17" s="41">
        <v>62</v>
      </c>
      <c r="AH17" s="659">
        <f>SUM(AE17:AG17)</f>
        <v>221</v>
      </c>
      <c r="AI17" s="660">
        <v>69</v>
      </c>
      <c r="AJ17" s="41">
        <v>73</v>
      </c>
      <c r="AK17" s="661">
        <v>82</v>
      </c>
      <c r="AL17" s="659">
        <f>SUM(AI17:AK17)</f>
        <v>224</v>
      </c>
      <c r="AM17" s="660">
        <v>72</v>
      </c>
      <c r="AN17" s="41">
        <v>81</v>
      </c>
      <c r="AO17" s="661">
        <v>66</v>
      </c>
      <c r="AP17" s="659">
        <f>SUM(AM17:AO17)</f>
        <v>219</v>
      </c>
      <c r="AQ17" s="662">
        <v>65</v>
      </c>
      <c r="AR17" s="663">
        <v>102</v>
      </c>
      <c r="AS17" s="663">
        <v>67</v>
      </c>
      <c r="AT17" s="664">
        <f t="shared" si="6"/>
        <v>234</v>
      </c>
      <c r="AU17" s="663">
        <v>68</v>
      </c>
      <c r="AV17" s="663">
        <v>109</v>
      </c>
      <c r="AW17" s="663">
        <v>60</v>
      </c>
      <c r="AX17" s="664">
        <f t="shared" si="7"/>
        <v>237</v>
      </c>
      <c r="AY17" s="662">
        <v>49</v>
      </c>
      <c r="AZ17" s="663">
        <v>66</v>
      </c>
      <c r="BA17" s="663">
        <v>54</v>
      </c>
      <c r="BB17" s="664">
        <v>169</v>
      </c>
      <c r="BC17" s="662">
        <v>57</v>
      </c>
      <c r="BD17" s="663">
        <v>87</v>
      </c>
      <c r="BE17" s="663">
        <v>86</v>
      </c>
      <c r="BF17" s="664">
        <f t="shared" si="8"/>
        <v>230</v>
      </c>
      <c r="BG17" s="662">
        <v>105</v>
      </c>
      <c r="BH17" s="663">
        <v>149</v>
      </c>
      <c r="BI17" s="663">
        <v>93</v>
      </c>
      <c r="BJ17" s="664">
        <f>SUM(BG17:BI17)</f>
        <v>347</v>
      </c>
      <c r="BK17" s="662">
        <v>77</v>
      </c>
      <c r="BL17" s="663">
        <f>80-2</f>
        <v>78</v>
      </c>
      <c r="BM17" s="663">
        <v>82</v>
      </c>
      <c r="BN17" s="664">
        <f>SUM(BK17:BM17)</f>
        <v>237</v>
      </c>
      <c r="BO17" s="662">
        <v>64</v>
      </c>
      <c r="BP17" s="663">
        <v>104</v>
      </c>
      <c r="BQ17" s="663">
        <v>103</v>
      </c>
      <c r="BR17" s="664">
        <f>SUM(BO17:BQ17)</f>
        <v>271</v>
      </c>
      <c r="BS17" s="662">
        <v>77</v>
      </c>
      <c r="BT17" s="663">
        <v>131</v>
      </c>
      <c r="BU17" s="663">
        <v>76</v>
      </c>
      <c r="BV17" s="664">
        <f>SUM(BS17:BU17)</f>
        <v>284</v>
      </c>
      <c r="BW17" s="662">
        <v>86</v>
      </c>
      <c r="BX17" s="663">
        <v>106</v>
      </c>
      <c r="BY17" s="663">
        <v>106</v>
      </c>
      <c r="BZ17" s="664">
        <f>SUM(BW17:BY17)</f>
        <v>298</v>
      </c>
      <c r="CA17" s="662">
        <v>87</v>
      </c>
      <c r="CB17" s="663">
        <v>153</v>
      </c>
      <c r="CC17" s="663">
        <v>79</v>
      </c>
      <c r="CD17" s="664">
        <f>SUM(CA17:CC17)</f>
        <v>319</v>
      </c>
      <c r="CE17" s="662">
        <v>106</v>
      </c>
      <c r="CF17" s="663">
        <v>101</v>
      </c>
      <c r="CG17" s="663">
        <v>75</v>
      </c>
      <c r="CH17" s="664">
        <f>SUM(CE17:CG17)</f>
        <v>282</v>
      </c>
      <c r="CI17" s="662">
        <v>91</v>
      </c>
      <c r="CJ17" s="663">
        <v>137</v>
      </c>
      <c r="CK17" s="663">
        <v>96</v>
      </c>
      <c r="CL17" s="664">
        <f>SUM(CI17:CK17)</f>
        <v>324</v>
      </c>
      <c r="CM17" s="662">
        <v>86</v>
      </c>
      <c r="CN17" s="663">
        <v>123</v>
      </c>
      <c r="CO17" s="663">
        <v>79</v>
      </c>
      <c r="CP17" s="664">
        <f>SUM(CM17:CO17)</f>
        <v>288</v>
      </c>
      <c r="CQ17" s="662">
        <v>55</v>
      </c>
      <c r="CR17" s="663">
        <v>83</v>
      </c>
      <c r="CS17" s="663">
        <v>55</v>
      </c>
      <c r="CT17" s="664">
        <f>SUM(CQ17:CS17)</f>
        <v>193</v>
      </c>
    </row>
    <row r="18" spans="1:98" s="656" customFormat="1" ht="15" customHeight="1" x14ac:dyDescent="0.3">
      <c r="A18" s="642"/>
      <c r="B18" s="657" t="s">
        <v>62</v>
      </c>
      <c r="C18" s="40">
        <v>40</v>
      </c>
      <c r="D18" s="41">
        <v>30</v>
      </c>
      <c r="E18" s="41">
        <v>19</v>
      </c>
      <c r="F18" s="658">
        <v>89</v>
      </c>
      <c r="G18" s="40">
        <v>38</v>
      </c>
      <c r="H18" s="41">
        <v>36</v>
      </c>
      <c r="I18" s="41">
        <v>34</v>
      </c>
      <c r="J18" s="658">
        <v>108</v>
      </c>
      <c r="K18" s="40">
        <v>43</v>
      </c>
      <c r="L18" s="41">
        <v>29</v>
      </c>
      <c r="M18" s="41">
        <v>26</v>
      </c>
      <c r="N18" s="658">
        <v>98</v>
      </c>
      <c r="O18" s="40">
        <v>26</v>
      </c>
      <c r="P18" s="41">
        <v>36</v>
      </c>
      <c r="Q18" s="41">
        <v>28</v>
      </c>
      <c r="R18" s="659">
        <v>90</v>
      </c>
      <c r="S18" s="40">
        <v>27</v>
      </c>
      <c r="T18" s="41">
        <v>29</v>
      </c>
      <c r="U18" s="41">
        <v>48</v>
      </c>
      <c r="V18" s="659">
        <f>SUM(S18:U18)</f>
        <v>104</v>
      </c>
      <c r="W18" s="40">
        <v>29</v>
      </c>
      <c r="X18" s="41">
        <v>32</v>
      </c>
      <c r="Y18" s="41">
        <v>17</v>
      </c>
      <c r="Z18" s="658">
        <f>SUM(W18:Y18)</f>
        <v>78</v>
      </c>
      <c r="AA18" s="660">
        <v>25</v>
      </c>
      <c r="AB18" s="41">
        <v>25</v>
      </c>
      <c r="AC18" s="41">
        <v>24</v>
      </c>
      <c r="AD18" s="658">
        <f>SUM(AA18:AC18)</f>
        <v>74</v>
      </c>
      <c r="AE18" s="660">
        <v>23</v>
      </c>
      <c r="AF18" s="41">
        <v>15</v>
      </c>
      <c r="AG18" s="41">
        <v>31</v>
      </c>
      <c r="AH18" s="659">
        <f>SUM(AE18:AG18)</f>
        <v>69</v>
      </c>
      <c r="AI18" s="660">
        <v>25</v>
      </c>
      <c r="AJ18" s="41">
        <v>25</v>
      </c>
      <c r="AK18" s="661">
        <v>6</v>
      </c>
      <c r="AL18" s="659">
        <f>SUM(AI18:AK18)</f>
        <v>56</v>
      </c>
      <c r="AM18" s="660">
        <v>27</v>
      </c>
      <c r="AN18" s="41">
        <v>17</v>
      </c>
      <c r="AO18" s="661">
        <v>10</v>
      </c>
      <c r="AP18" s="659">
        <f>SUM(AM18:AO18)</f>
        <v>54</v>
      </c>
      <c r="AQ18" s="662">
        <v>21</v>
      </c>
      <c r="AR18" s="663">
        <v>29</v>
      </c>
      <c r="AS18" s="663">
        <v>5</v>
      </c>
      <c r="AT18" s="664">
        <f t="shared" si="6"/>
        <v>55</v>
      </c>
      <c r="AU18" s="663">
        <v>11</v>
      </c>
      <c r="AV18" s="663">
        <v>41</v>
      </c>
      <c r="AW18" s="663">
        <v>9</v>
      </c>
      <c r="AX18" s="664">
        <f t="shared" si="7"/>
        <v>61</v>
      </c>
      <c r="AY18" s="662">
        <v>19</v>
      </c>
      <c r="AZ18" s="663">
        <v>19</v>
      </c>
      <c r="BA18" s="663">
        <v>13</v>
      </c>
      <c r="BB18" s="664">
        <v>51</v>
      </c>
      <c r="BC18" s="662">
        <v>15</v>
      </c>
      <c r="BD18" s="663">
        <v>28</v>
      </c>
      <c r="BE18" s="663">
        <v>13</v>
      </c>
      <c r="BF18" s="664">
        <f t="shared" si="8"/>
        <v>56</v>
      </c>
      <c r="BG18" s="662">
        <v>34</v>
      </c>
      <c r="BH18" s="663">
        <v>29</v>
      </c>
      <c r="BI18" s="663">
        <v>11</v>
      </c>
      <c r="BJ18" s="664">
        <f>SUM(BG18:BI18)</f>
        <v>74</v>
      </c>
      <c r="BK18" s="662">
        <v>14</v>
      </c>
      <c r="BL18" s="663">
        <v>28</v>
      </c>
      <c r="BM18" s="663">
        <v>13</v>
      </c>
      <c r="BN18" s="664">
        <f>SUM(BK18:BM18)</f>
        <v>55</v>
      </c>
      <c r="BO18" s="662">
        <v>15</v>
      </c>
      <c r="BP18" s="663">
        <v>36</v>
      </c>
      <c r="BQ18" s="663">
        <v>23</v>
      </c>
      <c r="BR18" s="664">
        <f>SUM(BO18:BQ18)</f>
        <v>74</v>
      </c>
      <c r="BS18" s="662">
        <v>27</v>
      </c>
      <c r="BT18" s="663">
        <v>24</v>
      </c>
      <c r="BU18" s="663">
        <v>12</v>
      </c>
      <c r="BV18" s="664">
        <f>SUM(BS18:BU18)</f>
        <v>63</v>
      </c>
      <c r="BW18" s="662">
        <v>24</v>
      </c>
      <c r="BX18" s="663">
        <v>30</v>
      </c>
      <c r="BY18" s="663">
        <v>18</v>
      </c>
      <c r="BZ18" s="664">
        <f>SUM(BW18:BY18)</f>
        <v>72</v>
      </c>
      <c r="CA18" s="662">
        <v>19</v>
      </c>
      <c r="CB18" s="663">
        <v>24</v>
      </c>
      <c r="CC18" s="663">
        <v>16</v>
      </c>
      <c r="CD18" s="664">
        <f>SUM(CA18:CC18)</f>
        <v>59</v>
      </c>
      <c r="CE18" s="662">
        <v>31</v>
      </c>
      <c r="CF18" s="663">
        <v>16</v>
      </c>
      <c r="CG18" s="663">
        <v>22</v>
      </c>
      <c r="CH18" s="664">
        <f>SUM(CE18:CG18)</f>
        <v>69</v>
      </c>
      <c r="CI18" s="662">
        <v>13</v>
      </c>
      <c r="CJ18" s="663">
        <v>23</v>
      </c>
      <c r="CK18" s="663">
        <v>27</v>
      </c>
      <c r="CL18" s="664">
        <f>SUM(CI18:CK18)</f>
        <v>63</v>
      </c>
      <c r="CM18" s="662">
        <v>16</v>
      </c>
      <c r="CN18" s="663">
        <v>18</v>
      </c>
      <c r="CO18" s="663">
        <v>24</v>
      </c>
      <c r="CP18" s="664">
        <f>SUM(CM18:CO18)</f>
        <v>58</v>
      </c>
      <c r="CQ18" s="662">
        <v>19</v>
      </c>
      <c r="CR18" s="663">
        <v>37</v>
      </c>
      <c r="CS18" s="663">
        <v>28</v>
      </c>
      <c r="CT18" s="664">
        <f>SUM(CQ18:CS18)</f>
        <v>84</v>
      </c>
    </row>
    <row r="19" spans="1:98" s="656" customFormat="1" ht="15" customHeight="1" x14ac:dyDescent="0.3">
      <c r="A19" s="642"/>
      <c r="B19" s="665" t="s">
        <v>63</v>
      </c>
      <c r="C19" s="46">
        <v>29</v>
      </c>
      <c r="D19" s="50">
        <v>20</v>
      </c>
      <c r="E19" s="50">
        <v>31</v>
      </c>
      <c r="F19" s="666">
        <v>80</v>
      </c>
      <c r="G19" s="46">
        <v>27</v>
      </c>
      <c r="H19" s="50">
        <v>37</v>
      </c>
      <c r="I19" s="50">
        <v>25</v>
      </c>
      <c r="J19" s="666">
        <v>89</v>
      </c>
      <c r="K19" s="46">
        <v>16</v>
      </c>
      <c r="L19" s="50">
        <v>31</v>
      </c>
      <c r="M19" s="50">
        <v>49</v>
      </c>
      <c r="N19" s="666">
        <v>96</v>
      </c>
      <c r="O19" s="46">
        <v>15</v>
      </c>
      <c r="P19" s="50">
        <v>25</v>
      </c>
      <c r="Q19" s="50">
        <v>16</v>
      </c>
      <c r="R19" s="667">
        <v>56</v>
      </c>
      <c r="S19" s="46">
        <v>24</v>
      </c>
      <c r="T19" s="50">
        <v>22</v>
      </c>
      <c r="U19" s="50">
        <v>26</v>
      </c>
      <c r="V19" s="667">
        <f>SUM(S19:U19)</f>
        <v>72</v>
      </c>
      <c r="W19" s="46">
        <v>35</v>
      </c>
      <c r="X19" s="50">
        <v>34</v>
      </c>
      <c r="Y19" s="50">
        <v>14</v>
      </c>
      <c r="Z19" s="666">
        <f>SUM(W19:Y19)</f>
        <v>83</v>
      </c>
      <c r="AA19" s="668">
        <v>14</v>
      </c>
      <c r="AB19" s="50">
        <v>24</v>
      </c>
      <c r="AC19" s="50">
        <v>15</v>
      </c>
      <c r="AD19" s="666">
        <f>SUM(AA19:AC19)</f>
        <v>53</v>
      </c>
      <c r="AE19" s="668">
        <v>21</v>
      </c>
      <c r="AF19" s="50">
        <v>14</v>
      </c>
      <c r="AG19" s="50">
        <v>25</v>
      </c>
      <c r="AH19" s="667">
        <f>SUM(AE19:AG19)</f>
        <v>60</v>
      </c>
      <c r="AI19" s="668">
        <v>28</v>
      </c>
      <c r="AJ19" s="50">
        <v>15</v>
      </c>
      <c r="AK19" s="669">
        <v>15</v>
      </c>
      <c r="AL19" s="667">
        <f>SUM(AI19:AK19)</f>
        <v>58</v>
      </c>
      <c r="AM19" s="668">
        <v>19</v>
      </c>
      <c r="AN19" s="50">
        <v>23</v>
      </c>
      <c r="AO19" s="669">
        <v>21</v>
      </c>
      <c r="AP19" s="667">
        <f>SUM(AM19:AO19)</f>
        <v>63</v>
      </c>
      <c r="AQ19" s="670">
        <v>25</v>
      </c>
      <c r="AR19" s="671">
        <v>19</v>
      </c>
      <c r="AS19" s="671">
        <v>10</v>
      </c>
      <c r="AT19" s="672">
        <f t="shared" si="6"/>
        <v>54</v>
      </c>
      <c r="AU19" s="671">
        <v>15</v>
      </c>
      <c r="AV19" s="671">
        <v>32</v>
      </c>
      <c r="AW19" s="671">
        <v>22</v>
      </c>
      <c r="AX19" s="672">
        <f t="shared" si="7"/>
        <v>69</v>
      </c>
      <c r="AY19" s="670">
        <v>32</v>
      </c>
      <c r="AZ19" s="671">
        <v>29</v>
      </c>
      <c r="BA19" s="671">
        <v>17</v>
      </c>
      <c r="BB19" s="672">
        <v>78</v>
      </c>
      <c r="BC19" s="670">
        <v>20</v>
      </c>
      <c r="BD19" s="671">
        <v>19</v>
      </c>
      <c r="BE19" s="671">
        <v>18</v>
      </c>
      <c r="BF19" s="672">
        <f t="shared" si="8"/>
        <v>57</v>
      </c>
      <c r="BG19" s="670">
        <v>38</v>
      </c>
      <c r="BH19" s="671">
        <v>32</v>
      </c>
      <c r="BI19" s="671">
        <v>23</v>
      </c>
      <c r="BJ19" s="672">
        <f>SUM(BG19:BI19)</f>
        <v>93</v>
      </c>
      <c r="BK19" s="670">
        <v>38</v>
      </c>
      <c r="BL19" s="671">
        <v>33</v>
      </c>
      <c r="BM19" s="671">
        <v>19</v>
      </c>
      <c r="BN19" s="672">
        <f>SUM(BK19:BM19)</f>
        <v>90</v>
      </c>
      <c r="BO19" s="670">
        <v>27</v>
      </c>
      <c r="BP19" s="671">
        <v>34</v>
      </c>
      <c r="BQ19" s="671">
        <v>33</v>
      </c>
      <c r="BR19" s="672">
        <f>SUM(BO19:BQ19)</f>
        <v>94</v>
      </c>
      <c r="BS19" s="670">
        <v>30</v>
      </c>
      <c r="BT19" s="671">
        <v>26</v>
      </c>
      <c r="BU19" s="671">
        <v>6</v>
      </c>
      <c r="BV19" s="672">
        <f>SUM(BS19:BU19)</f>
        <v>62</v>
      </c>
      <c r="BW19" s="670">
        <v>38</v>
      </c>
      <c r="BX19" s="671">
        <v>26</v>
      </c>
      <c r="BY19" s="671">
        <v>26</v>
      </c>
      <c r="BZ19" s="672">
        <f>SUM(BW19:BY19)</f>
        <v>90</v>
      </c>
      <c r="CA19" s="670">
        <v>20</v>
      </c>
      <c r="CB19" s="671">
        <v>35</v>
      </c>
      <c r="CC19" s="671">
        <v>26</v>
      </c>
      <c r="CD19" s="672">
        <f>SUM(CA19:CC19)</f>
        <v>81</v>
      </c>
      <c r="CE19" s="670">
        <v>39</v>
      </c>
      <c r="CF19" s="671">
        <v>33</v>
      </c>
      <c r="CG19" s="671">
        <v>24</v>
      </c>
      <c r="CH19" s="672">
        <f>SUM(CE19:CG19)</f>
        <v>96</v>
      </c>
      <c r="CI19" s="670">
        <v>34</v>
      </c>
      <c r="CJ19" s="671">
        <v>19</v>
      </c>
      <c r="CK19" s="671">
        <v>16</v>
      </c>
      <c r="CL19" s="672">
        <f>SUM(CI19:CK19)</f>
        <v>69</v>
      </c>
      <c r="CM19" s="670">
        <v>30</v>
      </c>
      <c r="CN19" s="671">
        <v>36</v>
      </c>
      <c r="CO19" s="671">
        <v>29</v>
      </c>
      <c r="CP19" s="672">
        <f>SUM(CM19:CO19)</f>
        <v>95</v>
      </c>
      <c r="CQ19" s="670">
        <v>36</v>
      </c>
      <c r="CR19" s="671">
        <v>28</v>
      </c>
      <c r="CS19" s="671">
        <v>20</v>
      </c>
      <c r="CT19" s="672">
        <f>SUM(CQ19:CS19)</f>
        <v>84</v>
      </c>
    </row>
    <row r="20" spans="1:98" s="656" customFormat="1" ht="15" customHeight="1" x14ac:dyDescent="0.3">
      <c r="A20" s="642"/>
      <c r="B20" s="673" t="s">
        <v>64</v>
      </c>
      <c r="C20" s="674">
        <v>198</v>
      </c>
      <c r="D20" s="675">
        <v>234</v>
      </c>
      <c r="E20" s="675">
        <v>179</v>
      </c>
      <c r="F20" s="676">
        <v>611</v>
      </c>
      <c r="G20" s="674">
        <v>235</v>
      </c>
      <c r="H20" s="675">
        <v>219</v>
      </c>
      <c r="I20" s="675">
        <v>166</v>
      </c>
      <c r="J20" s="676">
        <v>620</v>
      </c>
      <c r="K20" s="674">
        <v>201</v>
      </c>
      <c r="L20" s="675">
        <v>193</v>
      </c>
      <c r="M20" s="675">
        <v>214</v>
      </c>
      <c r="N20" s="676">
        <v>608</v>
      </c>
      <c r="O20" s="674">
        <v>198</v>
      </c>
      <c r="P20" s="675">
        <v>202</v>
      </c>
      <c r="Q20" s="675">
        <v>185</v>
      </c>
      <c r="R20" s="676">
        <v>585</v>
      </c>
      <c r="S20" s="674">
        <f t="shared" ref="S20:CD20" si="23">SUM(S16:S19)</f>
        <v>180</v>
      </c>
      <c r="T20" s="675">
        <f t="shared" si="23"/>
        <v>258</v>
      </c>
      <c r="U20" s="675">
        <f t="shared" si="23"/>
        <v>189</v>
      </c>
      <c r="V20" s="676">
        <f t="shared" si="23"/>
        <v>627</v>
      </c>
      <c r="W20" s="674">
        <f t="shared" si="23"/>
        <v>192</v>
      </c>
      <c r="X20" s="675">
        <f t="shared" si="23"/>
        <v>238</v>
      </c>
      <c r="Y20" s="675">
        <f t="shared" si="23"/>
        <v>161</v>
      </c>
      <c r="Z20" s="676">
        <f t="shared" si="23"/>
        <v>591</v>
      </c>
      <c r="AA20" s="674">
        <f t="shared" si="23"/>
        <v>189</v>
      </c>
      <c r="AB20" s="675">
        <f t="shared" si="23"/>
        <v>203</v>
      </c>
      <c r="AC20" s="675">
        <f t="shared" si="23"/>
        <v>145</v>
      </c>
      <c r="AD20" s="676">
        <f t="shared" si="23"/>
        <v>537</v>
      </c>
      <c r="AE20" s="674">
        <f t="shared" si="23"/>
        <v>166</v>
      </c>
      <c r="AF20" s="675">
        <f t="shared" si="23"/>
        <v>176</v>
      </c>
      <c r="AG20" s="675">
        <f t="shared" si="23"/>
        <v>159</v>
      </c>
      <c r="AH20" s="676">
        <f t="shared" si="23"/>
        <v>501</v>
      </c>
      <c r="AI20" s="674">
        <f t="shared" si="23"/>
        <v>156</v>
      </c>
      <c r="AJ20" s="675">
        <f t="shared" si="23"/>
        <v>184</v>
      </c>
      <c r="AK20" s="675">
        <f t="shared" si="23"/>
        <v>148</v>
      </c>
      <c r="AL20" s="676">
        <f t="shared" si="23"/>
        <v>488</v>
      </c>
      <c r="AM20" s="674">
        <f t="shared" si="23"/>
        <v>170</v>
      </c>
      <c r="AN20" s="675">
        <f t="shared" si="23"/>
        <v>180</v>
      </c>
      <c r="AO20" s="675">
        <f t="shared" si="23"/>
        <v>139</v>
      </c>
      <c r="AP20" s="676">
        <f t="shared" si="23"/>
        <v>489</v>
      </c>
      <c r="AQ20" s="674">
        <f t="shared" si="23"/>
        <v>172</v>
      </c>
      <c r="AR20" s="675">
        <f t="shared" si="23"/>
        <v>202</v>
      </c>
      <c r="AS20" s="675">
        <f t="shared" si="23"/>
        <v>126</v>
      </c>
      <c r="AT20" s="676">
        <f t="shared" si="6"/>
        <v>500</v>
      </c>
      <c r="AU20" s="674">
        <f>SUM(AU16:AU19)</f>
        <v>139</v>
      </c>
      <c r="AV20" s="675">
        <f>SUM(AV16:AV19)</f>
        <v>235</v>
      </c>
      <c r="AW20" s="675">
        <f>SUM(AW16:AW19)</f>
        <v>129</v>
      </c>
      <c r="AX20" s="676">
        <f t="shared" si="7"/>
        <v>503</v>
      </c>
      <c r="AY20" s="674">
        <f t="shared" si="23"/>
        <v>156</v>
      </c>
      <c r="AZ20" s="675">
        <f t="shared" si="23"/>
        <v>162</v>
      </c>
      <c r="BA20" s="675">
        <f t="shared" si="23"/>
        <v>121</v>
      </c>
      <c r="BB20" s="676">
        <f t="shared" si="23"/>
        <v>439</v>
      </c>
      <c r="BC20" s="674">
        <f t="shared" si="23"/>
        <v>160</v>
      </c>
      <c r="BD20" s="675">
        <f t="shared" si="23"/>
        <v>198</v>
      </c>
      <c r="BE20" s="675">
        <f t="shared" si="23"/>
        <v>166</v>
      </c>
      <c r="BF20" s="676">
        <f t="shared" si="23"/>
        <v>524</v>
      </c>
      <c r="BG20" s="674">
        <f t="shared" si="23"/>
        <v>243</v>
      </c>
      <c r="BH20" s="675">
        <f t="shared" si="23"/>
        <v>281</v>
      </c>
      <c r="BI20" s="675">
        <f t="shared" si="23"/>
        <v>200</v>
      </c>
      <c r="BJ20" s="676">
        <f t="shared" si="23"/>
        <v>724</v>
      </c>
      <c r="BK20" s="674">
        <f t="shared" si="23"/>
        <v>177</v>
      </c>
      <c r="BL20" s="675">
        <f t="shared" si="23"/>
        <v>224</v>
      </c>
      <c r="BM20" s="675">
        <f t="shared" si="23"/>
        <v>160</v>
      </c>
      <c r="BN20" s="676">
        <f t="shared" si="23"/>
        <v>561</v>
      </c>
      <c r="BO20" s="674">
        <f t="shared" si="23"/>
        <v>164</v>
      </c>
      <c r="BP20" s="675">
        <f t="shared" si="23"/>
        <v>258</v>
      </c>
      <c r="BQ20" s="675">
        <f t="shared" si="23"/>
        <v>207</v>
      </c>
      <c r="BR20" s="676">
        <f t="shared" si="23"/>
        <v>629</v>
      </c>
      <c r="BS20" s="674">
        <f t="shared" si="23"/>
        <v>185</v>
      </c>
      <c r="BT20" s="675">
        <f t="shared" si="23"/>
        <v>248</v>
      </c>
      <c r="BU20" s="675">
        <f t="shared" si="23"/>
        <v>145</v>
      </c>
      <c r="BV20" s="676">
        <f t="shared" si="23"/>
        <v>578</v>
      </c>
      <c r="BW20" s="674">
        <f>SUM(BW16:BW19)</f>
        <v>205</v>
      </c>
      <c r="BX20" s="675">
        <f>SUM(BX16:BX19)</f>
        <v>242</v>
      </c>
      <c r="BY20" s="675">
        <f>SUM(BY16:BY19)</f>
        <v>209</v>
      </c>
      <c r="BZ20" s="676">
        <f t="shared" si="23"/>
        <v>656</v>
      </c>
      <c r="CA20" s="674">
        <f t="shared" si="23"/>
        <v>176</v>
      </c>
      <c r="CB20" s="675">
        <f t="shared" si="23"/>
        <v>284</v>
      </c>
      <c r="CC20" s="675">
        <f t="shared" si="23"/>
        <v>203</v>
      </c>
      <c r="CD20" s="676">
        <f t="shared" si="23"/>
        <v>663</v>
      </c>
      <c r="CE20" s="674">
        <f t="shared" ref="CE20:CF20" si="24">SUM(CE16:CE19)</f>
        <v>224</v>
      </c>
      <c r="CF20" s="675">
        <f t="shared" si="24"/>
        <v>227</v>
      </c>
      <c r="CG20" s="675">
        <v>177</v>
      </c>
      <c r="CH20" s="676">
        <f t="shared" ref="CH20:CP20" si="25">SUM(CH16:CH19)</f>
        <v>628</v>
      </c>
      <c r="CI20" s="674">
        <f t="shared" si="25"/>
        <v>195</v>
      </c>
      <c r="CJ20" s="675">
        <f t="shared" si="25"/>
        <v>259</v>
      </c>
      <c r="CK20" s="675">
        <f t="shared" si="25"/>
        <v>182</v>
      </c>
      <c r="CL20" s="676">
        <f t="shared" si="25"/>
        <v>636</v>
      </c>
      <c r="CM20" s="674">
        <f t="shared" si="25"/>
        <v>181</v>
      </c>
      <c r="CN20" s="675">
        <f t="shared" si="25"/>
        <v>244</v>
      </c>
      <c r="CO20" s="675">
        <f>SUM(CO16:CO19)</f>
        <v>176</v>
      </c>
      <c r="CP20" s="676">
        <f t="shared" si="25"/>
        <v>601</v>
      </c>
      <c r="CQ20" s="674">
        <f>SUM(CQ16:CQ19)</f>
        <v>158</v>
      </c>
      <c r="CR20" s="675">
        <f>SUM(CR16:CR19)</f>
        <v>206</v>
      </c>
      <c r="CS20" s="675">
        <f>SUM(CS16:CS19)</f>
        <v>138</v>
      </c>
      <c r="CT20" s="676">
        <f t="shared" ref="CT20" si="26">SUM(CT16:CT19)</f>
        <v>502</v>
      </c>
    </row>
    <row r="21" spans="1:98" s="656" customFormat="1" ht="15" customHeight="1" x14ac:dyDescent="0.3">
      <c r="A21" s="642"/>
      <c r="B21" s="648" t="s">
        <v>65</v>
      </c>
      <c r="C21" s="33">
        <v>52</v>
      </c>
      <c r="D21" s="34">
        <v>46</v>
      </c>
      <c r="E21" s="34">
        <v>63</v>
      </c>
      <c r="F21" s="649">
        <v>161</v>
      </c>
      <c r="G21" s="33">
        <v>68</v>
      </c>
      <c r="H21" s="34">
        <v>23</v>
      </c>
      <c r="I21" s="34">
        <v>61</v>
      </c>
      <c r="J21" s="649">
        <v>152</v>
      </c>
      <c r="K21" s="33">
        <v>49</v>
      </c>
      <c r="L21" s="34">
        <v>56</v>
      </c>
      <c r="M21" s="34">
        <v>63</v>
      </c>
      <c r="N21" s="649">
        <v>168</v>
      </c>
      <c r="O21" s="33">
        <v>34</v>
      </c>
      <c r="P21" s="34">
        <v>52</v>
      </c>
      <c r="Q21" s="34">
        <v>46</v>
      </c>
      <c r="R21" s="650">
        <v>132</v>
      </c>
      <c r="S21" s="33">
        <v>30</v>
      </c>
      <c r="T21" s="34">
        <v>59</v>
      </c>
      <c r="U21" s="34">
        <v>55</v>
      </c>
      <c r="V21" s="650">
        <f>SUM(S21:U21)</f>
        <v>144</v>
      </c>
      <c r="W21" s="33">
        <v>38</v>
      </c>
      <c r="X21" s="34">
        <v>45</v>
      </c>
      <c r="Y21" s="34">
        <v>44</v>
      </c>
      <c r="Z21" s="649">
        <f>SUM(W21:Y21)</f>
        <v>127</v>
      </c>
      <c r="AA21" s="651">
        <v>29</v>
      </c>
      <c r="AB21" s="34">
        <v>69</v>
      </c>
      <c r="AC21" s="34">
        <v>37</v>
      </c>
      <c r="AD21" s="649">
        <f>SUM(AA21:AC21)</f>
        <v>135</v>
      </c>
      <c r="AE21" s="651">
        <v>36</v>
      </c>
      <c r="AF21" s="34">
        <v>39</v>
      </c>
      <c r="AG21" s="34">
        <v>44</v>
      </c>
      <c r="AH21" s="650">
        <f>SUM(AE21:AG21)</f>
        <v>119</v>
      </c>
      <c r="AI21" s="651">
        <v>64</v>
      </c>
      <c r="AJ21" s="34">
        <v>38</v>
      </c>
      <c r="AK21" s="652">
        <v>43</v>
      </c>
      <c r="AL21" s="650">
        <f>SUM(AI21:AK21)</f>
        <v>145</v>
      </c>
      <c r="AM21" s="651">
        <v>41</v>
      </c>
      <c r="AN21" s="34">
        <v>57</v>
      </c>
      <c r="AO21" s="652">
        <v>46</v>
      </c>
      <c r="AP21" s="650">
        <f>SUM(AM21:AO21)</f>
        <v>144</v>
      </c>
      <c r="AQ21" s="653">
        <v>61</v>
      </c>
      <c r="AR21" s="654">
        <v>60</v>
      </c>
      <c r="AS21" s="654">
        <v>28</v>
      </c>
      <c r="AT21" s="655">
        <f t="shared" si="6"/>
        <v>149</v>
      </c>
      <c r="AU21" s="654">
        <v>46</v>
      </c>
      <c r="AV21" s="654">
        <v>42</v>
      </c>
      <c r="AW21" s="654">
        <v>29</v>
      </c>
      <c r="AX21" s="655">
        <f t="shared" si="7"/>
        <v>117</v>
      </c>
      <c r="AY21" s="653">
        <v>36</v>
      </c>
      <c r="AZ21" s="654">
        <v>40</v>
      </c>
      <c r="BA21" s="654">
        <v>15</v>
      </c>
      <c r="BB21" s="655">
        <v>91</v>
      </c>
      <c r="BC21" s="653">
        <v>29</v>
      </c>
      <c r="BD21" s="654">
        <v>43</v>
      </c>
      <c r="BE21" s="654">
        <v>13</v>
      </c>
      <c r="BF21" s="655">
        <f t="shared" si="8"/>
        <v>85</v>
      </c>
      <c r="BG21" s="653">
        <v>48</v>
      </c>
      <c r="BH21" s="654">
        <v>61</v>
      </c>
      <c r="BI21" s="654">
        <v>28</v>
      </c>
      <c r="BJ21" s="655">
        <f>SUM(BG21:BI21)</f>
        <v>137</v>
      </c>
      <c r="BK21" s="653">
        <v>33</v>
      </c>
      <c r="BL21" s="654">
        <v>59</v>
      </c>
      <c r="BM21" s="654">
        <v>26</v>
      </c>
      <c r="BN21" s="655">
        <f>SUM(BK21:BM21)</f>
        <v>118</v>
      </c>
      <c r="BO21" s="653">
        <v>53</v>
      </c>
      <c r="BP21" s="654">
        <v>50</v>
      </c>
      <c r="BQ21" s="654">
        <v>33</v>
      </c>
      <c r="BR21" s="655">
        <f>SUM(BO21:BQ21)</f>
        <v>136</v>
      </c>
      <c r="BS21" s="653">
        <v>37</v>
      </c>
      <c r="BT21" s="654">
        <v>52</v>
      </c>
      <c r="BU21" s="654">
        <v>17</v>
      </c>
      <c r="BV21" s="655">
        <f>SUM(BS21:BU21)</f>
        <v>106</v>
      </c>
      <c r="BW21" s="653">
        <v>41</v>
      </c>
      <c r="BX21" s="654">
        <v>61</v>
      </c>
      <c r="BY21" s="654">
        <v>35</v>
      </c>
      <c r="BZ21" s="655">
        <f>SUM(BW21:BY21)</f>
        <v>137</v>
      </c>
      <c r="CA21" s="653">
        <v>37</v>
      </c>
      <c r="CB21" s="654">
        <v>44</v>
      </c>
      <c r="CC21" s="654">
        <v>23</v>
      </c>
      <c r="CD21" s="655">
        <f>SUM(CA21:CC21)</f>
        <v>104</v>
      </c>
      <c r="CE21" s="653">
        <v>39</v>
      </c>
      <c r="CF21" s="654">
        <v>60</v>
      </c>
      <c r="CG21" s="654">
        <v>31</v>
      </c>
      <c r="CH21" s="655">
        <f>SUM(CE21:CG21)</f>
        <v>130</v>
      </c>
      <c r="CI21" s="653">
        <v>23</v>
      </c>
      <c r="CJ21" s="654">
        <v>62</v>
      </c>
      <c r="CK21" s="654">
        <v>27</v>
      </c>
      <c r="CL21" s="655">
        <f>SUM(CI21:CK21)</f>
        <v>112</v>
      </c>
      <c r="CM21" s="653">
        <v>29</v>
      </c>
      <c r="CN21" s="654">
        <v>59</v>
      </c>
      <c r="CO21" s="654">
        <v>20</v>
      </c>
      <c r="CP21" s="655">
        <f>SUM(CM21:CO21)</f>
        <v>108</v>
      </c>
      <c r="CQ21" s="653">
        <v>49</v>
      </c>
      <c r="CR21" s="654">
        <v>57</v>
      </c>
      <c r="CS21" s="654">
        <v>32</v>
      </c>
      <c r="CT21" s="655">
        <f>SUM(CQ21:CS21)</f>
        <v>138</v>
      </c>
    </row>
    <row r="22" spans="1:98" s="656" customFormat="1" ht="15" customHeight="1" x14ac:dyDescent="0.3">
      <c r="A22" s="642"/>
      <c r="B22" s="657" t="s">
        <v>66</v>
      </c>
      <c r="C22" s="40">
        <v>61</v>
      </c>
      <c r="D22" s="41">
        <v>42</v>
      </c>
      <c r="E22" s="41">
        <v>52</v>
      </c>
      <c r="F22" s="658">
        <v>155</v>
      </c>
      <c r="G22" s="40">
        <v>49</v>
      </c>
      <c r="H22" s="41">
        <v>53</v>
      </c>
      <c r="I22" s="41">
        <v>58</v>
      </c>
      <c r="J22" s="658">
        <v>160</v>
      </c>
      <c r="K22" s="40">
        <v>78</v>
      </c>
      <c r="L22" s="41">
        <v>43</v>
      </c>
      <c r="M22" s="41">
        <v>41</v>
      </c>
      <c r="N22" s="658">
        <v>162</v>
      </c>
      <c r="O22" s="40">
        <v>61</v>
      </c>
      <c r="P22" s="41">
        <v>32</v>
      </c>
      <c r="Q22" s="41">
        <v>45</v>
      </c>
      <c r="R22" s="659">
        <v>138</v>
      </c>
      <c r="S22" s="40">
        <v>54</v>
      </c>
      <c r="T22" s="41">
        <v>72</v>
      </c>
      <c r="U22" s="41">
        <v>53</v>
      </c>
      <c r="V22" s="659">
        <f>SUM(S22:U22)</f>
        <v>179</v>
      </c>
      <c r="W22" s="40">
        <v>49</v>
      </c>
      <c r="X22" s="41">
        <v>37</v>
      </c>
      <c r="Y22" s="41">
        <v>27</v>
      </c>
      <c r="Z22" s="658">
        <f>SUM(W22:Y22)</f>
        <v>113</v>
      </c>
      <c r="AA22" s="660">
        <v>43</v>
      </c>
      <c r="AB22" s="41">
        <v>51</v>
      </c>
      <c r="AC22" s="41">
        <v>51</v>
      </c>
      <c r="AD22" s="658">
        <f>SUM(AA22:AC22)</f>
        <v>145</v>
      </c>
      <c r="AE22" s="660">
        <v>57</v>
      </c>
      <c r="AF22" s="41">
        <v>61</v>
      </c>
      <c r="AG22" s="41">
        <v>52</v>
      </c>
      <c r="AH22" s="659">
        <f>SUM(AE22:AG22)</f>
        <v>170</v>
      </c>
      <c r="AI22" s="660">
        <v>69</v>
      </c>
      <c r="AJ22" s="41">
        <v>61</v>
      </c>
      <c r="AK22" s="661">
        <v>35</v>
      </c>
      <c r="AL22" s="659">
        <f>SUM(AI22:AK22)</f>
        <v>165</v>
      </c>
      <c r="AM22" s="660">
        <v>37</v>
      </c>
      <c r="AN22" s="41">
        <v>46</v>
      </c>
      <c r="AO22" s="661">
        <v>43</v>
      </c>
      <c r="AP22" s="659">
        <f>SUM(AM22:AO22)</f>
        <v>126</v>
      </c>
      <c r="AQ22" s="662">
        <v>60</v>
      </c>
      <c r="AR22" s="663">
        <v>66</v>
      </c>
      <c r="AS22" s="663">
        <v>33</v>
      </c>
      <c r="AT22" s="664">
        <f t="shared" si="6"/>
        <v>159</v>
      </c>
      <c r="AU22" s="663">
        <v>44</v>
      </c>
      <c r="AV22" s="663">
        <v>34</v>
      </c>
      <c r="AW22" s="663">
        <v>42</v>
      </c>
      <c r="AX22" s="664">
        <f t="shared" si="7"/>
        <v>120</v>
      </c>
      <c r="AY22" s="662">
        <v>28</v>
      </c>
      <c r="AZ22" s="663">
        <v>49</v>
      </c>
      <c r="BA22" s="663">
        <v>6</v>
      </c>
      <c r="BB22" s="664">
        <v>83</v>
      </c>
      <c r="BC22" s="662">
        <v>45</v>
      </c>
      <c r="BD22" s="663">
        <v>44</v>
      </c>
      <c r="BE22" s="663">
        <v>16</v>
      </c>
      <c r="BF22" s="664">
        <f t="shared" si="8"/>
        <v>105</v>
      </c>
      <c r="BG22" s="662">
        <v>36</v>
      </c>
      <c r="BH22" s="663">
        <v>59</v>
      </c>
      <c r="BI22" s="663">
        <v>12</v>
      </c>
      <c r="BJ22" s="664">
        <f>SUM(BG22:BI22)</f>
        <v>107</v>
      </c>
      <c r="BK22" s="662">
        <v>46</v>
      </c>
      <c r="BL22" s="663">
        <v>67</v>
      </c>
      <c r="BM22" s="663">
        <v>14</v>
      </c>
      <c r="BN22" s="664">
        <f>SUM(BK22:BM22)</f>
        <v>127</v>
      </c>
      <c r="BO22" s="662">
        <v>44</v>
      </c>
      <c r="BP22" s="663">
        <v>49</v>
      </c>
      <c r="BQ22" s="663">
        <v>17</v>
      </c>
      <c r="BR22" s="664">
        <f>SUM(BO22:BQ22)</f>
        <v>110</v>
      </c>
      <c r="BS22" s="662">
        <v>43</v>
      </c>
      <c r="BT22" s="663">
        <v>56</v>
      </c>
      <c r="BU22" s="663">
        <v>23</v>
      </c>
      <c r="BV22" s="664">
        <f>SUM(BS22:BU22)</f>
        <v>122</v>
      </c>
      <c r="BW22" s="662">
        <v>65</v>
      </c>
      <c r="BX22" s="663">
        <v>68</v>
      </c>
      <c r="BY22" s="663">
        <v>27</v>
      </c>
      <c r="BZ22" s="664">
        <f>SUM(BW22:BY22)</f>
        <v>160</v>
      </c>
      <c r="CA22" s="662">
        <v>54</v>
      </c>
      <c r="CB22" s="663">
        <v>49</v>
      </c>
      <c r="CC22" s="663">
        <v>33</v>
      </c>
      <c r="CD22" s="664">
        <f>SUM(CA22:CC22)</f>
        <v>136</v>
      </c>
      <c r="CE22" s="662">
        <v>69</v>
      </c>
      <c r="CF22" s="663">
        <v>74</v>
      </c>
      <c r="CG22" s="663">
        <v>18</v>
      </c>
      <c r="CH22" s="664">
        <f>SUM(CE22:CG22)</f>
        <v>161</v>
      </c>
      <c r="CI22" s="662">
        <v>89</v>
      </c>
      <c r="CJ22" s="663">
        <v>90</v>
      </c>
      <c r="CK22" s="663">
        <v>20</v>
      </c>
      <c r="CL22" s="664">
        <f>SUM(CI22:CK22)</f>
        <v>199</v>
      </c>
      <c r="CM22" s="662">
        <v>81</v>
      </c>
      <c r="CN22" s="663">
        <v>67</v>
      </c>
      <c r="CO22" s="663">
        <v>20</v>
      </c>
      <c r="CP22" s="664">
        <f>SUM(CM22:CO22)</f>
        <v>168</v>
      </c>
      <c r="CQ22" s="662">
        <v>62</v>
      </c>
      <c r="CR22" s="663">
        <v>87</v>
      </c>
      <c r="CS22" s="663">
        <v>29</v>
      </c>
      <c r="CT22" s="664">
        <f>SUM(CQ22:CS22)</f>
        <v>178</v>
      </c>
    </row>
    <row r="23" spans="1:98" s="656" customFormat="1" ht="15" customHeight="1" x14ac:dyDescent="0.3">
      <c r="A23" s="642"/>
      <c r="B23" s="665" t="s">
        <v>67</v>
      </c>
      <c r="C23" s="46">
        <v>16</v>
      </c>
      <c r="D23" s="50">
        <v>22</v>
      </c>
      <c r="E23" s="50">
        <v>31</v>
      </c>
      <c r="F23" s="666">
        <v>69</v>
      </c>
      <c r="G23" s="46">
        <v>41</v>
      </c>
      <c r="H23" s="50">
        <v>22</v>
      </c>
      <c r="I23" s="50">
        <v>36</v>
      </c>
      <c r="J23" s="666">
        <v>99</v>
      </c>
      <c r="K23" s="46">
        <v>8</v>
      </c>
      <c r="L23" s="50">
        <v>15</v>
      </c>
      <c r="M23" s="50">
        <v>17</v>
      </c>
      <c r="N23" s="666">
        <v>40</v>
      </c>
      <c r="O23" s="46">
        <v>11</v>
      </c>
      <c r="P23" s="50">
        <v>20</v>
      </c>
      <c r="Q23" s="50">
        <v>21</v>
      </c>
      <c r="R23" s="667">
        <v>52</v>
      </c>
      <c r="S23" s="46">
        <v>51</v>
      </c>
      <c r="T23" s="50">
        <v>22</v>
      </c>
      <c r="U23" s="50">
        <v>24</v>
      </c>
      <c r="V23" s="667">
        <f>SUM(S23:U23)</f>
        <v>97</v>
      </c>
      <c r="W23" s="46">
        <v>23</v>
      </c>
      <c r="X23" s="50">
        <v>34</v>
      </c>
      <c r="Y23" s="50">
        <v>22</v>
      </c>
      <c r="Z23" s="666">
        <f>SUM(W23:Y23)</f>
        <v>79</v>
      </c>
      <c r="AA23" s="668">
        <v>26</v>
      </c>
      <c r="AB23" s="50">
        <v>24</v>
      </c>
      <c r="AC23" s="50">
        <v>22</v>
      </c>
      <c r="AD23" s="666">
        <f>SUM(AA23:AC23)</f>
        <v>72</v>
      </c>
      <c r="AE23" s="668">
        <v>35</v>
      </c>
      <c r="AF23" s="50">
        <v>19</v>
      </c>
      <c r="AG23" s="50">
        <v>15</v>
      </c>
      <c r="AH23" s="667">
        <f>SUM(AE23:AG23)</f>
        <v>69</v>
      </c>
      <c r="AI23" s="668">
        <v>19</v>
      </c>
      <c r="AJ23" s="50">
        <v>27</v>
      </c>
      <c r="AK23" s="669">
        <v>13</v>
      </c>
      <c r="AL23" s="667">
        <f>SUM(AI23:AK23)</f>
        <v>59</v>
      </c>
      <c r="AM23" s="668">
        <v>7</v>
      </c>
      <c r="AN23" s="50">
        <v>42</v>
      </c>
      <c r="AO23" s="669">
        <v>23</v>
      </c>
      <c r="AP23" s="667">
        <f>SUM(AM23:AO23)</f>
        <v>72</v>
      </c>
      <c r="AQ23" s="670">
        <v>26</v>
      </c>
      <c r="AR23" s="671">
        <v>17</v>
      </c>
      <c r="AS23" s="671">
        <v>13</v>
      </c>
      <c r="AT23" s="672">
        <f t="shared" si="6"/>
        <v>56</v>
      </c>
      <c r="AU23" s="671">
        <v>18</v>
      </c>
      <c r="AV23" s="671">
        <v>24</v>
      </c>
      <c r="AW23" s="671">
        <v>42</v>
      </c>
      <c r="AX23" s="672">
        <f t="shared" si="7"/>
        <v>84</v>
      </c>
      <c r="AY23" s="670">
        <v>19</v>
      </c>
      <c r="AZ23" s="671">
        <v>39</v>
      </c>
      <c r="BA23" s="671">
        <v>10</v>
      </c>
      <c r="BB23" s="672">
        <v>68</v>
      </c>
      <c r="BC23" s="670">
        <v>22</v>
      </c>
      <c r="BD23" s="671">
        <v>33</v>
      </c>
      <c r="BE23" s="671">
        <v>8</v>
      </c>
      <c r="BF23" s="672">
        <f t="shared" si="8"/>
        <v>63</v>
      </c>
      <c r="BG23" s="670">
        <v>29</v>
      </c>
      <c r="BH23" s="671">
        <v>51</v>
      </c>
      <c r="BI23" s="671">
        <v>9</v>
      </c>
      <c r="BJ23" s="672">
        <f>SUM(BG23:BI23)</f>
        <v>89</v>
      </c>
      <c r="BK23" s="670">
        <v>48</v>
      </c>
      <c r="BL23" s="671">
        <v>39</v>
      </c>
      <c r="BM23" s="671">
        <v>13</v>
      </c>
      <c r="BN23" s="672">
        <f>SUM(BK23:BM23)</f>
        <v>100</v>
      </c>
      <c r="BO23" s="670">
        <v>34</v>
      </c>
      <c r="BP23" s="671">
        <v>45</v>
      </c>
      <c r="BQ23" s="671">
        <v>18</v>
      </c>
      <c r="BR23" s="672">
        <f>SUM(BO23:BQ23)</f>
        <v>97</v>
      </c>
      <c r="BS23" s="670">
        <v>30</v>
      </c>
      <c r="BT23" s="671">
        <v>40</v>
      </c>
      <c r="BU23" s="671">
        <v>30</v>
      </c>
      <c r="BV23" s="672">
        <f>SUM(BS23:BU23)</f>
        <v>100</v>
      </c>
      <c r="BW23" s="670">
        <v>44</v>
      </c>
      <c r="BX23" s="671">
        <v>48</v>
      </c>
      <c r="BY23" s="671">
        <v>20</v>
      </c>
      <c r="BZ23" s="672">
        <f>SUM(BW23:BY23)</f>
        <v>112</v>
      </c>
      <c r="CA23" s="670">
        <v>25</v>
      </c>
      <c r="CB23" s="671">
        <v>42</v>
      </c>
      <c r="CC23" s="671">
        <v>24</v>
      </c>
      <c r="CD23" s="672">
        <f>SUM(CA23:CC23)</f>
        <v>91</v>
      </c>
      <c r="CE23" s="670">
        <v>43</v>
      </c>
      <c r="CF23" s="671">
        <v>37</v>
      </c>
      <c r="CG23" s="671">
        <v>27</v>
      </c>
      <c r="CH23" s="672">
        <f>SUM(CE23:CG23)</f>
        <v>107</v>
      </c>
      <c r="CI23" s="670">
        <v>23</v>
      </c>
      <c r="CJ23" s="671">
        <v>64</v>
      </c>
      <c r="CK23" s="671">
        <v>25</v>
      </c>
      <c r="CL23" s="672">
        <f>SUM(CI23:CK23)</f>
        <v>112</v>
      </c>
      <c r="CM23" s="670">
        <v>54</v>
      </c>
      <c r="CN23" s="671">
        <v>57</v>
      </c>
      <c r="CO23" s="671">
        <v>30</v>
      </c>
      <c r="CP23" s="672">
        <f>SUM(CM23:CO23)</f>
        <v>141</v>
      </c>
      <c r="CQ23" s="670">
        <v>33</v>
      </c>
      <c r="CR23" s="671">
        <v>51</v>
      </c>
      <c r="CS23" s="671">
        <v>23</v>
      </c>
      <c r="CT23" s="672">
        <f>SUM(CQ23:CS23)</f>
        <v>107</v>
      </c>
    </row>
    <row r="24" spans="1:98" s="656" customFormat="1" ht="15" customHeight="1" x14ac:dyDescent="0.3">
      <c r="A24" s="642"/>
      <c r="B24" s="673" t="s">
        <v>68</v>
      </c>
      <c r="C24" s="674">
        <v>129</v>
      </c>
      <c r="D24" s="675">
        <v>110</v>
      </c>
      <c r="E24" s="675">
        <v>146</v>
      </c>
      <c r="F24" s="676">
        <v>385</v>
      </c>
      <c r="G24" s="674">
        <v>158</v>
      </c>
      <c r="H24" s="675">
        <v>98</v>
      </c>
      <c r="I24" s="675">
        <v>155</v>
      </c>
      <c r="J24" s="676">
        <v>411</v>
      </c>
      <c r="K24" s="674">
        <v>135</v>
      </c>
      <c r="L24" s="675">
        <v>114</v>
      </c>
      <c r="M24" s="675">
        <v>121</v>
      </c>
      <c r="N24" s="676">
        <v>370</v>
      </c>
      <c r="O24" s="674">
        <v>106</v>
      </c>
      <c r="P24" s="675">
        <v>104</v>
      </c>
      <c r="Q24" s="675">
        <v>112</v>
      </c>
      <c r="R24" s="676">
        <v>322</v>
      </c>
      <c r="S24" s="674">
        <f t="shared" ref="S24:CD24" si="27">SUM(S21:S23)</f>
        <v>135</v>
      </c>
      <c r="T24" s="675">
        <f t="shared" si="27"/>
        <v>153</v>
      </c>
      <c r="U24" s="675">
        <f t="shared" si="27"/>
        <v>132</v>
      </c>
      <c r="V24" s="676">
        <f t="shared" si="27"/>
        <v>420</v>
      </c>
      <c r="W24" s="674">
        <f t="shared" si="27"/>
        <v>110</v>
      </c>
      <c r="X24" s="675">
        <f t="shared" si="27"/>
        <v>116</v>
      </c>
      <c r="Y24" s="675">
        <f t="shared" si="27"/>
        <v>93</v>
      </c>
      <c r="Z24" s="676">
        <f t="shared" si="27"/>
        <v>319</v>
      </c>
      <c r="AA24" s="674">
        <f t="shared" si="27"/>
        <v>98</v>
      </c>
      <c r="AB24" s="675">
        <f t="shared" si="27"/>
        <v>144</v>
      </c>
      <c r="AC24" s="675">
        <f t="shared" si="27"/>
        <v>110</v>
      </c>
      <c r="AD24" s="676">
        <f t="shared" si="27"/>
        <v>352</v>
      </c>
      <c r="AE24" s="674">
        <f t="shared" si="27"/>
        <v>128</v>
      </c>
      <c r="AF24" s="675">
        <f t="shared" si="27"/>
        <v>119</v>
      </c>
      <c r="AG24" s="675">
        <f t="shared" si="27"/>
        <v>111</v>
      </c>
      <c r="AH24" s="676">
        <f t="shared" si="27"/>
        <v>358</v>
      </c>
      <c r="AI24" s="674">
        <f t="shared" si="27"/>
        <v>152</v>
      </c>
      <c r="AJ24" s="675">
        <f t="shared" si="27"/>
        <v>126</v>
      </c>
      <c r="AK24" s="675">
        <f t="shared" si="27"/>
        <v>91</v>
      </c>
      <c r="AL24" s="676">
        <f t="shared" si="27"/>
        <v>369</v>
      </c>
      <c r="AM24" s="674">
        <f t="shared" si="27"/>
        <v>85</v>
      </c>
      <c r="AN24" s="675">
        <f t="shared" si="27"/>
        <v>145</v>
      </c>
      <c r="AO24" s="675">
        <f t="shared" si="27"/>
        <v>112</v>
      </c>
      <c r="AP24" s="676">
        <f t="shared" si="27"/>
        <v>342</v>
      </c>
      <c r="AQ24" s="674">
        <f t="shared" si="27"/>
        <v>147</v>
      </c>
      <c r="AR24" s="675">
        <f t="shared" si="27"/>
        <v>143</v>
      </c>
      <c r="AS24" s="675">
        <f t="shared" si="27"/>
        <v>74</v>
      </c>
      <c r="AT24" s="676">
        <f t="shared" si="6"/>
        <v>364</v>
      </c>
      <c r="AU24" s="674">
        <f>SUM(AU21:AU23)</f>
        <v>108</v>
      </c>
      <c r="AV24" s="675">
        <f>SUM(AV21:AV23)</f>
        <v>100</v>
      </c>
      <c r="AW24" s="675">
        <f>SUM(AW21:AW23)</f>
        <v>113</v>
      </c>
      <c r="AX24" s="676">
        <f t="shared" si="7"/>
        <v>321</v>
      </c>
      <c r="AY24" s="674">
        <f t="shared" si="27"/>
        <v>83</v>
      </c>
      <c r="AZ24" s="675">
        <f t="shared" si="27"/>
        <v>128</v>
      </c>
      <c r="BA24" s="675">
        <f t="shared" si="27"/>
        <v>31</v>
      </c>
      <c r="BB24" s="676">
        <f t="shared" si="27"/>
        <v>242</v>
      </c>
      <c r="BC24" s="674">
        <f t="shared" si="27"/>
        <v>96</v>
      </c>
      <c r="BD24" s="675">
        <f t="shared" si="27"/>
        <v>120</v>
      </c>
      <c r="BE24" s="675">
        <f t="shared" si="27"/>
        <v>37</v>
      </c>
      <c r="BF24" s="676">
        <f t="shared" si="27"/>
        <v>253</v>
      </c>
      <c r="BG24" s="674">
        <f t="shared" si="27"/>
        <v>113</v>
      </c>
      <c r="BH24" s="675">
        <f t="shared" si="27"/>
        <v>171</v>
      </c>
      <c r="BI24" s="675">
        <f t="shared" si="27"/>
        <v>49</v>
      </c>
      <c r="BJ24" s="676">
        <f t="shared" si="27"/>
        <v>333</v>
      </c>
      <c r="BK24" s="674">
        <f t="shared" si="27"/>
        <v>127</v>
      </c>
      <c r="BL24" s="675">
        <f t="shared" si="27"/>
        <v>165</v>
      </c>
      <c r="BM24" s="675">
        <f t="shared" si="27"/>
        <v>53</v>
      </c>
      <c r="BN24" s="676">
        <f t="shared" si="27"/>
        <v>345</v>
      </c>
      <c r="BO24" s="674">
        <f t="shared" si="27"/>
        <v>131</v>
      </c>
      <c r="BP24" s="675">
        <f t="shared" si="27"/>
        <v>144</v>
      </c>
      <c r="BQ24" s="675">
        <f t="shared" si="27"/>
        <v>68</v>
      </c>
      <c r="BR24" s="676">
        <f t="shared" si="27"/>
        <v>343</v>
      </c>
      <c r="BS24" s="674">
        <f t="shared" si="27"/>
        <v>110</v>
      </c>
      <c r="BT24" s="675">
        <f t="shared" si="27"/>
        <v>148</v>
      </c>
      <c r="BU24" s="675">
        <f t="shared" si="27"/>
        <v>70</v>
      </c>
      <c r="BV24" s="676">
        <f t="shared" si="27"/>
        <v>328</v>
      </c>
      <c r="BW24" s="674">
        <f>SUM(BW21:BW23)</f>
        <v>150</v>
      </c>
      <c r="BX24" s="675">
        <f>SUM(BX21:BX23)</f>
        <v>177</v>
      </c>
      <c r="BY24" s="675">
        <f>SUM(BY21:BY23)</f>
        <v>82</v>
      </c>
      <c r="BZ24" s="676">
        <f t="shared" si="27"/>
        <v>409</v>
      </c>
      <c r="CA24" s="674">
        <f t="shared" si="27"/>
        <v>116</v>
      </c>
      <c r="CB24" s="675">
        <f t="shared" si="27"/>
        <v>135</v>
      </c>
      <c r="CC24" s="675">
        <f t="shared" si="27"/>
        <v>80</v>
      </c>
      <c r="CD24" s="676">
        <f t="shared" si="27"/>
        <v>331</v>
      </c>
      <c r="CE24" s="674">
        <f t="shared" ref="CE24:CL24" si="28">SUM(CE21:CE23)</f>
        <v>151</v>
      </c>
      <c r="CF24" s="675">
        <f t="shared" si="28"/>
        <v>171</v>
      </c>
      <c r="CG24" s="675">
        <f t="shared" si="28"/>
        <v>76</v>
      </c>
      <c r="CH24" s="676">
        <f t="shared" si="28"/>
        <v>398</v>
      </c>
      <c r="CI24" s="674">
        <f t="shared" si="28"/>
        <v>135</v>
      </c>
      <c r="CJ24" s="675">
        <f t="shared" si="28"/>
        <v>216</v>
      </c>
      <c r="CK24" s="675">
        <f t="shared" si="28"/>
        <v>72</v>
      </c>
      <c r="CL24" s="676">
        <f t="shared" si="28"/>
        <v>423</v>
      </c>
      <c r="CM24" s="674">
        <f t="shared" ref="CM24:CP24" si="29">SUM(CM21:CM23)</f>
        <v>164</v>
      </c>
      <c r="CN24" s="675">
        <f t="shared" si="29"/>
        <v>183</v>
      </c>
      <c r="CO24" s="675">
        <f t="shared" si="29"/>
        <v>70</v>
      </c>
      <c r="CP24" s="676">
        <f t="shared" si="29"/>
        <v>417</v>
      </c>
      <c r="CQ24" s="674">
        <f t="shared" ref="CQ24:CT24" si="30">SUM(CQ21:CQ23)</f>
        <v>144</v>
      </c>
      <c r="CR24" s="675">
        <f t="shared" si="30"/>
        <v>195</v>
      </c>
      <c r="CS24" s="675">
        <f t="shared" si="30"/>
        <v>84</v>
      </c>
      <c r="CT24" s="676">
        <f t="shared" si="30"/>
        <v>423</v>
      </c>
    </row>
    <row r="25" spans="1:98" s="656" customFormat="1" ht="15" customHeight="1" x14ac:dyDescent="0.3">
      <c r="A25" s="642"/>
      <c r="B25" s="677" t="s">
        <v>69</v>
      </c>
      <c r="C25" s="678">
        <v>473</v>
      </c>
      <c r="D25" s="679">
        <v>487</v>
      </c>
      <c r="E25" s="679">
        <v>449</v>
      </c>
      <c r="F25" s="680">
        <v>1409</v>
      </c>
      <c r="G25" s="678">
        <v>497</v>
      </c>
      <c r="H25" s="679">
        <v>438</v>
      </c>
      <c r="I25" s="679">
        <v>431</v>
      </c>
      <c r="J25" s="680">
        <v>1366</v>
      </c>
      <c r="K25" s="678">
        <v>455</v>
      </c>
      <c r="L25" s="679">
        <v>414</v>
      </c>
      <c r="M25" s="679">
        <v>427</v>
      </c>
      <c r="N25" s="680">
        <v>1296</v>
      </c>
      <c r="O25" s="678">
        <v>407</v>
      </c>
      <c r="P25" s="679">
        <v>439</v>
      </c>
      <c r="Q25" s="679">
        <v>412</v>
      </c>
      <c r="R25" s="680">
        <v>1258</v>
      </c>
      <c r="S25" s="678">
        <f t="shared" ref="S25:AP25" si="31">SUM(S24,S20,S15)</f>
        <v>477</v>
      </c>
      <c r="T25" s="679">
        <f t="shared" si="31"/>
        <v>561</v>
      </c>
      <c r="U25" s="679">
        <f t="shared" si="31"/>
        <v>429</v>
      </c>
      <c r="V25" s="680">
        <f t="shared" si="31"/>
        <v>1467</v>
      </c>
      <c r="W25" s="678">
        <f t="shared" si="31"/>
        <v>407</v>
      </c>
      <c r="X25" s="679">
        <f t="shared" si="31"/>
        <v>498</v>
      </c>
      <c r="Y25" s="679">
        <f t="shared" si="31"/>
        <v>373</v>
      </c>
      <c r="Z25" s="680">
        <f t="shared" si="31"/>
        <v>1278</v>
      </c>
      <c r="AA25" s="678">
        <f t="shared" si="31"/>
        <v>406</v>
      </c>
      <c r="AB25" s="679">
        <f t="shared" si="31"/>
        <v>497</v>
      </c>
      <c r="AC25" s="679">
        <f t="shared" si="31"/>
        <v>388</v>
      </c>
      <c r="AD25" s="680">
        <f t="shared" si="31"/>
        <v>1291</v>
      </c>
      <c r="AE25" s="678">
        <f t="shared" si="31"/>
        <v>425</v>
      </c>
      <c r="AF25" s="679">
        <f t="shared" si="31"/>
        <v>428</v>
      </c>
      <c r="AG25" s="679">
        <f t="shared" si="31"/>
        <v>394</v>
      </c>
      <c r="AH25" s="680">
        <f t="shared" si="31"/>
        <v>1247</v>
      </c>
      <c r="AI25" s="678">
        <f t="shared" si="31"/>
        <v>410</v>
      </c>
      <c r="AJ25" s="679">
        <f t="shared" si="31"/>
        <v>451</v>
      </c>
      <c r="AK25" s="679">
        <f t="shared" si="31"/>
        <v>335</v>
      </c>
      <c r="AL25" s="680">
        <f t="shared" si="31"/>
        <v>1196</v>
      </c>
      <c r="AM25" s="678">
        <f t="shared" si="31"/>
        <v>381</v>
      </c>
      <c r="AN25" s="679">
        <f t="shared" si="31"/>
        <v>459</v>
      </c>
      <c r="AO25" s="679">
        <f t="shared" si="31"/>
        <v>353</v>
      </c>
      <c r="AP25" s="680">
        <f t="shared" si="31"/>
        <v>1193</v>
      </c>
      <c r="AQ25" s="681">
        <f>SUM(AQ24,AQ20,AQ15)</f>
        <v>424</v>
      </c>
      <c r="AR25" s="682">
        <f>SUM(AR24,AR20,AR15)</f>
        <v>480</v>
      </c>
      <c r="AS25" s="682">
        <f>SUM(AS24,AS20,AS15)</f>
        <v>310</v>
      </c>
      <c r="AT25" s="683">
        <f t="shared" si="6"/>
        <v>1214</v>
      </c>
      <c r="AU25" s="681">
        <f>SUM(AU24,AU20,AU15)</f>
        <v>371</v>
      </c>
      <c r="AV25" s="682">
        <f>SUM(AV24,AV20,AV15)</f>
        <v>484</v>
      </c>
      <c r="AW25" s="682">
        <f>SUM(AW24,AW20,AW15)</f>
        <v>337</v>
      </c>
      <c r="AX25" s="683">
        <f t="shared" si="7"/>
        <v>1192</v>
      </c>
      <c r="AY25" s="678">
        <f t="shared" ref="AY25:CL25" si="32">SUM(AY24,AY20,AY15)</f>
        <v>368</v>
      </c>
      <c r="AZ25" s="679">
        <f t="shared" si="32"/>
        <v>441</v>
      </c>
      <c r="BA25" s="679">
        <f t="shared" si="32"/>
        <v>276</v>
      </c>
      <c r="BB25" s="680">
        <f t="shared" si="32"/>
        <v>1085</v>
      </c>
      <c r="BC25" s="678">
        <f t="shared" si="32"/>
        <v>366</v>
      </c>
      <c r="BD25" s="679">
        <f t="shared" si="32"/>
        <v>453</v>
      </c>
      <c r="BE25" s="679">
        <f t="shared" si="32"/>
        <v>320</v>
      </c>
      <c r="BF25" s="680">
        <f t="shared" si="32"/>
        <v>1139</v>
      </c>
      <c r="BG25" s="678">
        <f t="shared" si="32"/>
        <v>499</v>
      </c>
      <c r="BH25" s="679">
        <f t="shared" si="32"/>
        <v>657</v>
      </c>
      <c r="BI25" s="679">
        <f t="shared" si="32"/>
        <v>423</v>
      </c>
      <c r="BJ25" s="680">
        <f t="shared" si="32"/>
        <v>1579</v>
      </c>
      <c r="BK25" s="678">
        <f t="shared" si="32"/>
        <v>535</v>
      </c>
      <c r="BL25" s="679">
        <f t="shared" si="32"/>
        <v>590</v>
      </c>
      <c r="BM25" s="679">
        <f t="shared" si="32"/>
        <v>355</v>
      </c>
      <c r="BN25" s="680">
        <f t="shared" si="32"/>
        <v>1480</v>
      </c>
      <c r="BO25" s="678">
        <f t="shared" si="32"/>
        <v>473</v>
      </c>
      <c r="BP25" s="679">
        <f t="shared" si="32"/>
        <v>576</v>
      </c>
      <c r="BQ25" s="679">
        <f t="shared" si="32"/>
        <v>450</v>
      </c>
      <c r="BR25" s="680">
        <f t="shared" si="32"/>
        <v>1499</v>
      </c>
      <c r="BS25" s="678">
        <f t="shared" si="32"/>
        <v>497</v>
      </c>
      <c r="BT25" s="679">
        <f t="shared" si="32"/>
        <v>602</v>
      </c>
      <c r="BU25" s="679">
        <f t="shared" si="32"/>
        <v>329</v>
      </c>
      <c r="BV25" s="680">
        <f t="shared" si="32"/>
        <v>1428</v>
      </c>
      <c r="BW25" s="678">
        <f t="shared" si="32"/>
        <v>577</v>
      </c>
      <c r="BX25" s="679">
        <f t="shared" si="32"/>
        <v>623</v>
      </c>
      <c r="BY25" s="679">
        <f t="shared" si="32"/>
        <v>475</v>
      </c>
      <c r="BZ25" s="680">
        <f t="shared" si="32"/>
        <v>1675</v>
      </c>
      <c r="CA25" s="678">
        <f t="shared" si="32"/>
        <v>490</v>
      </c>
      <c r="CB25" s="679">
        <f t="shared" si="32"/>
        <v>578</v>
      </c>
      <c r="CC25" s="679">
        <f t="shared" si="32"/>
        <v>443</v>
      </c>
      <c r="CD25" s="680">
        <f t="shared" si="32"/>
        <v>1511</v>
      </c>
      <c r="CE25" s="678">
        <f t="shared" si="32"/>
        <v>580</v>
      </c>
      <c r="CF25" s="679">
        <f t="shared" si="32"/>
        <v>556</v>
      </c>
      <c r="CG25" s="679">
        <f t="shared" si="32"/>
        <v>368</v>
      </c>
      <c r="CH25" s="680">
        <f t="shared" si="32"/>
        <v>1504</v>
      </c>
      <c r="CI25" s="678">
        <f t="shared" si="32"/>
        <v>421</v>
      </c>
      <c r="CJ25" s="679">
        <f t="shared" si="32"/>
        <v>573</v>
      </c>
      <c r="CK25" s="679">
        <f t="shared" si="32"/>
        <v>344</v>
      </c>
      <c r="CL25" s="680">
        <f t="shared" si="32"/>
        <v>1338</v>
      </c>
      <c r="CM25" s="678">
        <f t="shared" ref="CM25:CP25" si="33">SUM(CM24,CM20,CM15)</f>
        <v>496</v>
      </c>
      <c r="CN25" s="679">
        <f t="shared" si="33"/>
        <v>536</v>
      </c>
      <c r="CO25" s="679">
        <f t="shared" si="33"/>
        <v>392</v>
      </c>
      <c r="CP25" s="680">
        <f t="shared" si="33"/>
        <v>1424</v>
      </c>
      <c r="CQ25" s="678">
        <f t="shared" ref="CQ25:CT25" si="34">SUM(CQ24,CQ20,CQ15)</f>
        <v>485</v>
      </c>
      <c r="CR25" s="679">
        <f t="shared" si="34"/>
        <v>563</v>
      </c>
      <c r="CS25" s="679">
        <f t="shared" si="34"/>
        <v>411</v>
      </c>
      <c r="CT25" s="680">
        <f t="shared" si="34"/>
        <v>1459</v>
      </c>
    </row>
    <row r="26" spans="1:98" s="656" customFormat="1" ht="15" customHeight="1" x14ac:dyDescent="0.3">
      <c r="A26" s="642"/>
      <c r="B26" s="684" t="s">
        <v>60</v>
      </c>
      <c r="C26" s="685"/>
      <c r="D26" s="685"/>
      <c r="E26" s="685"/>
      <c r="F26" s="686"/>
      <c r="G26" s="685"/>
      <c r="H26" s="685"/>
      <c r="I26" s="685"/>
      <c r="J26" s="686"/>
      <c r="K26" s="685"/>
      <c r="L26" s="685"/>
      <c r="M26" s="685"/>
      <c r="N26" s="686"/>
      <c r="O26" s="687"/>
      <c r="P26" s="685"/>
      <c r="Q26" s="685"/>
      <c r="R26" s="686"/>
      <c r="S26" s="687"/>
      <c r="T26" s="685"/>
      <c r="U26" s="685"/>
      <c r="V26" s="686"/>
      <c r="W26" s="685"/>
      <c r="X26" s="685"/>
      <c r="Y26" s="685"/>
      <c r="Z26" s="686"/>
      <c r="AA26" s="685"/>
      <c r="AB26" s="685"/>
      <c r="AC26" s="685"/>
      <c r="AD26" s="686"/>
      <c r="AE26" s="687"/>
      <c r="AF26" s="685"/>
      <c r="AG26" s="685"/>
      <c r="AH26" s="686"/>
      <c r="AI26" s="685"/>
      <c r="AJ26" s="685"/>
      <c r="AK26" s="685"/>
      <c r="AL26" s="686"/>
      <c r="AM26" s="687"/>
      <c r="AN26" s="685"/>
      <c r="AO26" s="685"/>
      <c r="AP26" s="686"/>
      <c r="AQ26" s="653" t="s">
        <v>122</v>
      </c>
      <c r="AR26" s="654" t="s">
        <v>122</v>
      </c>
      <c r="AS26" s="654">
        <v>30</v>
      </c>
      <c r="AT26" s="688">
        <f t="shared" si="6"/>
        <v>30</v>
      </c>
      <c r="AU26" s="653">
        <v>1</v>
      </c>
      <c r="AV26" s="654">
        <v>2</v>
      </c>
      <c r="AW26" s="654">
        <v>21</v>
      </c>
      <c r="AX26" s="688">
        <f t="shared" si="7"/>
        <v>24</v>
      </c>
      <c r="AY26" s="653">
        <v>5</v>
      </c>
      <c r="AZ26" s="654">
        <v>31</v>
      </c>
      <c r="BA26" s="654">
        <v>4</v>
      </c>
      <c r="BB26" s="655">
        <v>40</v>
      </c>
      <c r="BC26" s="653">
        <v>7</v>
      </c>
      <c r="BD26" s="654">
        <v>15</v>
      </c>
      <c r="BE26" s="654">
        <v>8</v>
      </c>
      <c r="BF26" s="655">
        <f t="shared" si="8"/>
        <v>30</v>
      </c>
      <c r="BG26" s="653">
        <v>15</v>
      </c>
      <c r="BH26" s="654">
        <v>17</v>
      </c>
      <c r="BI26" s="654"/>
      <c r="BJ26" s="655">
        <f>SUM(BG26:BI26)</f>
        <v>32</v>
      </c>
      <c r="BK26" s="653">
        <v>4</v>
      </c>
      <c r="BL26" s="654">
        <v>16</v>
      </c>
      <c r="BM26" s="654">
        <v>4</v>
      </c>
      <c r="BN26" s="655">
        <f>SUM(BK26:BM26)</f>
        <v>24</v>
      </c>
      <c r="BO26" s="653">
        <v>0</v>
      </c>
      <c r="BP26" s="654">
        <v>13</v>
      </c>
      <c r="BQ26" s="654">
        <v>2</v>
      </c>
      <c r="BR26" s="655">
        <f>SUM(BO26:BQ26)</f>
        <v>15</v>
      </c>
      <c r="BS26" s="653">
        <v>3</v>
      </c>
      <c r="BT26" s="654">
        <v>17</v>
      </c>
      <c r="BU26" s="654">
        <v>2</v>
      </c>
      <c r="BV26" s="655">
        <f>SUM(BS26:BU26)</f>
        <v>22</v>
      </c>
      <c r="BW26" s="653">
        <v>2</v>
      </c>
      <c r="BX26" s="654">
        <v>14</v>
      </c>
      <c r="BY26" s="654">
        <v>2</v>
      </c>
      <c r="BZ26" s="655">
        <f>SUM(BW26:BY26)</f>
        <v>18</v>
      </c>
      <c r="CA26" s="653">
        <v>23</v>
      </c>
      <c r="CB26" s="654">
        <v>14</v>
      </c>
      <c r="CC26" s="654"/>
      <c r="CD26" s="655">
        <f>SUM(CA26:CC26)</f>
        <v>37</v>
      </c>
      <c r="CE26" s="653">
        <v>24</v>
      </c>
      <c r="CF26" s="654">
        <v>12</v>
      </c>
      <c r="CG26" s="654">
        <v>4</v>
      </c>
      <c r="CH26" s="655">
        <f>SUM(CE26:CG26)</f>
        <v>40</v>
      </c>
      <c r="CI26" s="653">
        <v>4</v>
      </c>
      <c r="CJ26" s="654">
        <v>1</v>
      </c>
      <c r="CK26" s="654">
        <v>16</v>
      </c>
      <c r="CL26" s="655">
        <f>SUM(CI26:CK26)</f>
        <v>21</v>
      </c>
      <c r="CM26" s="653">
        <v>3</v>
      </c>
      <c r="CN26" s="654">
        <v>8</v>
      </c>
      <c r="CO26" s="654">
        <v>14</v>
      </c>
      <c r="CP26" s="655">
        <f>SUM(CM26:CO26)</f>
        <v>25</v>
      </c>
      <c r="CQ26" s="653">
        <v>20</v>
      </c>
      <c r="CR26" s="654">
        <v>19</v>
      </c>
      <c r="CS26" s="654">
        <v>1</v>
      </c>
      <c r="CT26" s="655">
        <f>SUM(CQ26:CS26)</f>
        <v>40</v>
      </c>
    </row>
    <row r="27" spans="1:98" s="656" customFormat="1" ht="15" customHeight="1" x14ac:dyDescent="0.3">
      <c r="A27" s="642"/>
      <c r="B27" s="689" t="s">
        <v>61</v>
      </c>
      <c r="C27" s="690"/>
      <c r="D27" s="690"/>
      <c r="E27" s="690"/>
      <c r="F27" s="691"/>
      <c r="G27" s="690"/>
      <c r="H27" s="690"/>
      <c r="I27" s="690"/>
      <c r="J27" s="691"/>
      <c r="K27" s="690"/>
      <c r="L27" s="690"/>
      <c r="M27" s="690"/>
      <c r="N27" s="691"/>
      <c r="O27" s="692"/>
      <c r="P27" s="690"/>
      <c r="Q27" s="690"/>
      <c r="R27" s="691"/>
      <c r="S27" s="692"/>
      <c r="T27" s="690"/>
      <c r="U27" s="690"/>
      <c r="V27" s="691"/>
      <c r="W27" s="690"/>
      <c r="X27" s="690"/>
      <c r="Y27" s="690"/>
      <c r="Z27" s="691"/>
      <c r="AA27" s="690"/>
      <c r="AB27" s="690"/>
      <c r="AC27" s="690"/>
      <c r="AD27" s="691"/>
      <c r="AE27" s="692"/>
      <c r="AF27" s="690"/>
      <c r="AG27" s="690"/>
      <c r="AH27" s="691"/>
      <c r="AI27" s="690"/>
      <c r="AJ27" s="690"/>
      <c r="AK27" s="690"/>
      <c r="AL27" s="691"/>
      <c r="AM27" s="692"/>
      <c r="AN27" s="690"/>
      <c r="AO27" s="690"/>
      <c r="AP27" s="691"/>
      <c r="AQ27" s="693"/>
      <c r="AR27" s="694">
        <v>16</v>
      </c>
      <c r="AS27" s="694">
        <v>1</v>
      </c>
      <c r="AT27" s="695">
        <f>SUM(AR27:AS27)</f>
        <v>17</v>
      </c>
      <c r="AU27" s="693"/>
      <c r="AV27" s="694">
        <v>1</v>
      </c>
      <c r="AW27" s="694">
        <v>3</v>
      </c>
      <c r="AX27" s="695">
        <f>SUM(AV27:AW27)</f>
        <v>4</v>
      </c>
      <c r="AY27" s="693"/>
      <c r="AZ27" s="694"/>
      <c r="BA27" s="694"/>
      <c r="BB27" s="696"/>
      <c r="BC27" s="693"/>
      <c r="BD27" s="694"/>
      <c r="BE27" s="694"/>
      <c r="BF27" s="696"/>
      <c r="BG27" s="693"/>
      <c r="BH27" s="694"/>
      <c r="BI27" s="694"/>
      <c r="BJ27" s="696"/>
      <c r="BK27" s="693"/>
      <c r="BL27" s="694">
        <v>2</v>
      </c>
      <c r="BM27" s="694">
        <v>0</v>
      </c>
      <c r="BN27" s="696">
        <f>SUM(BK27:BM27)</f>
        <v>2</v>
      </c>
      <c r="BO27" s="693"/>
      <c r="BP27" s="694"/>
      <c r="BQ27" s="694"/>
      <c r="BR27" s="696">
        <f>SUM(BO27:BQ27)</f>
        <v>0</v>
      </c>
      <c r="BS27" s="693"/>
      <c r="BT27" s="694"/>
      <c r="BU27" s="694"/>
      <c r="BV27" s="696">
        <f>SUM(BS27:BU27)</f>
        <v>0</v>
      </c>
      <c r="BW27" s="693"/>
      <c r="BX27" s="694"/>
      <c r="BY27" s="694"/>
      <c r="BZ27" s="696">
        <f>SUM(BW27:BY27)</f>
        <v>0</v>
      </c>
      <c r="CA27" s="693"/>
      <c r="CB27" s="694"/>
      <c r="CC27" s="694"/>
      <c r="CD27" s="696">
        <f>SUM(CA27:CC27)</f>
        <v>0</v>
      </c>
      <c r="CE27" s="693"/>
      <c r="CF27" s="694">
        <v>9</v>
      </c>
      <c r="CG27" s="694">
        <v>4</v>
      </c>
      <c r="CH27" s="696">
        <f>SUM(CE27:CG27)</f>
        <v>13</v>
      </c>
      <c r="CI27" s="693">
        <v>0</v>
      </c>
      <c r="CJ27" s="694">
        <v>0</v>
      </c>
      <c r="CK27" s="694">
        <v>22</v>
      </c>
      <c r="CL27" s="696">
        <f>SUM(CI27:CK27)</f>
        <v>22</v>
      </c>
      <c r="CM27" s="693">
        <v>2</v>
      </c>
      <c r="CN27" s="694">
        <v>6</v>
      </c>
      <c r="CO27" s="694">
        <v>9</v>
      </c>
      <c r="CP27" s="696">
        <f>SUM(CM27:CO27)</f>
        <v>17</v>
      </c>
      <c r="CQ27" s="693">
        <v>3</v>
      </c>
      <c r="CR27" s="694">
        <v>9</v>
      </c>
      <c r="CS27" s="694"/>
      <c r="CT27" s="696">
        <f>SUM(CQ27:CS27)</f>
        <v>12</v>
      </c>
    </row>
    <row r="28" spans="1:98" s="656" customFormat="1" ht="15" customHeight="1" x14ac:dyDescent="0.3">
      <c r="A28" s="642"/>
      <c r="B28" s="697" t="s">
        <v>106</v>
      </c>
      <c r="C28" s="698"/>
      <c r="D28" s="698"/>
      <c r="E28" s="698"/>
      <c r="F28" s="699"/>
      <c r="G28" s="698"/>
      <c r="H28" s="698"/>
      <c r="I28" s="698"/>
      <c r="J28" s="699"/>
      <c r="K28" s="698"/>
      <c r="L28" s="698"/>
      <c r="M28" s="698"/>
      <c r="N28" s="699"/>
      <c r="O28" s="700"/>
      <c r="P28" s="698"/>
      <c r="Q28" s="698"/>
      <c r="R28" s="699"/>
      <c r="S28" s="700"/>
      <c r="T28" s="698"/>
      <c r="U28" s="698"/>
      <c r="V28" s="699"/>
      <c r="W28" s="698"/>
      <c r="X28" s="698"/>
      <c r="Y28" s="698"/>
      <c r="Z28" s="699"/>
      <c r="AA28" s="698"/>
      <c r="AB28" s="698"/>
      <c r="AC28" s="698"/>
      <c r="AD28" s="699"/>
      <c r="AE28" s="700"/>
      <c r="AF28" s="698"/>
      <c r="AG28" s="698"/>
      <c r="AH28" s="699"/>
      <c r="AI28" s="698"/>
      <c r="AJ28" s="698"/>
      <c r="AK28" s="698"/>
      <c r="AL28" s="699"/>
      <c r="AM28" s="700"/>
      <c r="AN28" s="698"/>
      <c r="AO28" s="698"/>
      <c r="AP28" s="699"/>
      <c r="AQ28" s="662"/>
      <c r="AR28" s="663"/>
      <c r="AS28" s="663"/>
      <c r="AT28" s="701">
        <f t="shared" si="6"/>
        <v>0</v>
      </c>
      <c r="AU28" s="662"/>
      <c r="AV28" s="663"/>
      <c r="AW28" s="663"/>
      <c r="AX28" s="701">
        <f t="shared" si="7"/>
        <v>0</v>
      </c>
      <c r="AY28" s="662"/>
      <c r="AZ28" s="663">
        <v>7</v>
      </c>
      <c r="BA28" s="663">
        <v>1</v>
      </c>
      <c r="BB28" s="664">
        <v>8</v>
      </c>
      <c r="BC28" s="662">
        <v>1</v>
      </c>
      <c r="BD28" s="663">
        <v>12</v>
      </c>
      <c r="BE28" s="663">
        <v>4</v>
      </c>
      <c r="BF28" s="664">
        <f t="shared" si="8"/>
        <v>17</v>
      </c>
      <c r="BG28" s="662">
        <v>1</v>
      </c>
      <c r="BH28" s="663">
        <v>3</v>
      </c>
      <c r="BI28" s="663"/>
      <c r="BJ28" s="664">
        <f>SUM(BG28:BI28)</f>
        <v>4</v>
      </c>
      <c r="BK28" s="662"/>
      <c r="BL28" s="663">
        <v>1</v>
      </c>
      <c r="BM28" s="663">
        <v>3</v>
      </c>
      <c r="BN28" s="664">
        <f>SUM(BK28:BM28)</f>
        <v>4</v>
      </c>
      <c r="BO28" s="662">
        <v>2</v>
      </c>
      <c r="BP28" s="663">
        <v>0</v>
      </c>
      <c r="BQ28" s="663">
        <v>0</v>
      </c>
      <c r="BR28" s="664">
        <f>SUM(BO28:BQ28)</f>
        <v>2</v>
      </c>
      <c r="BS28" s="662">
        <v>0</v>
      </c>
      <c r="BT28" s="663">
        <v>3</v>
      </c>
      <c r="BU28" s="663">
        <v>0</v>
      </c>
      <c r="BV28" s="664">
        <f>SUM(BS28:BU28)</f>
        <v>3</v>
      </c>
      <c r="BW28" s="662">
        <v>2</v>
      </c>
      <c r="BX28" s="663">
        <v>8</v>
      </c>
      <c r="BY28" s="663">
        <v>1</v>
      </c>
      <c r="BZ28" s="664">
        <f>SUM(BW28:BY28)</f>
        <v>11</v>
      </c>
      <c r="CA28" s="662">
        <v>4</v>
      </c>
      <c r="CB28" s="663">
        <v>6</v>
      </c>
      <c r="CC28" s="663">
        <v>1</v>
      </c>
      <c r="CD28" s="664">
        <f>SUM(CA28:CC28)</f>
        <v>11</v>
      </c>
      <c r="CE28" s="662">
        <v>9</v>
      </c>
      <c r="CF28" s="663">
        <v>5</v>
      </c>
      <c r="CG28" s="663">
        <v>10</v>
      </c>
      <c r="CH28" s="664">
        <f>SUM(CE28:CG28)</f>
        <v>24</v>
      </c>
      <c r="CI28" s="662">
        <v>8</v>
      </c>
      <c r="CJ28" s="663">
        <v>3</v>
      </c>
      <c r="CK28" s="663">
        <v>9</v>
      </c>
      <c r="CL28" s="664">
        <f>SUM(CI28:CK28)</f>
        <v>20</v>
      </c>
      <c r="CM28" s="662">
        <v>5</v>
      </c>
      <c r="CN28" s="663">
        <v>4</v>
      </c>
      <c r="CO28" s="663">
        <v>20</v>
      </c>
      <c r="CP28" s="664">
        <f>SUM(CM28:CO28)</f>
        <v>29</v>
      </c>
      <c r="CQ28" s="662">
        <v>6</v>
      </c>
      <c r="CR28" s="663">
        <v>9</v>
      </c>
      <c r="CS28" s="663">
        <v>1</v>
      </c>
      <c r="CT28" s="664">
        <f>SUM(CQ28:CS28)</f>
        <v>16</v>
      </c>
    </row>
    <row r="29" spans="1:98" s="656" customFormat="1" ht="15" customHeight="1" x14ac:dyDescent="0.3">
      <c r="A29" s="642"/>
      <c r="B29" s="665" t="s">
        <v>107</v>
      </c>
      <c r="C29" s="46"/>
      <c r="D29" s="50"/>
      <c r="E29" s="50"/>
      <c r="F29" s="666"/>
      <c r="G29" s="46"/>
      <c r="H29" s="50"/>
      <c r="I29" s="50"/>
      <c r="J29" s="666"/>
      <c r="K29" s="46"/>
      <c r="L29" s="50"/>
      <c r="M29" s="50"/>
      <c r="N29" s="666"/>
      <c r="O29" s="46"/>
      <c r="P29" s="50"/>
      <c r="Q29" s="50"/>
      <c r="R29" s="667"/>
      <c r="S29" s="46"/>
      <c r="T29" s="50"/>
      <c r="U29" s="50"/>
      <c r="V29" s="667"/>
      <c r="W29" s="46"/>
      <c r="X29" s="50"/>
      <c r="Y29" s="50"/>
      <c r="Z29" s="666"/>
      <c r="AA29" s="668"/>
      <c r="AB29" s="50"/>
      <c r="AC29" s="50"/>
      <c r="AD29" s="666"/>
      <c r="AE29" s="668"/>
      <c r="AF29" s="50"/>
      <c r="AG29" s="50"/>
      <c r="AH29" s="667"/>
      <c r="AI29" s="668"/>
      <c r="AJ29" s="50"/>
      <c r="AK29" s="669"/>
      <c r="AL29" s="667"/>
      <c r="AM29" s="668"/>
      <c r="AN29" s="50"/>
      <c r="AO29" s="669"/>
      <c r="AP29" s="667"/>
      <c r="AQ29" s="670" t="s">
        <v>122</v>
      </c>
      <c r="AR29" s="671"/>
      <c r="AS29" s="671"/>
      <c r="AT29" s="672">
        <f t="shared" si="6"/>
        <v>0</v>
      </c>
      <c r="AU29" s="671"/>
      <c r="AV29" s="671"/>
      <c r="AW29" s="671"/>
      <c r="AX29" s="672">
        <f t="shared" si="7"/>
        <v>0</v>
      </c>
      <c r="AY29" s="670"/>
      <c r="AZ29" s="671">
        <v>1</v>
      </c>
      <c r="BA29" s="671">
        <v>2</v>
      </c>
      <c r="BB29" s="672">
        <v>3</v>
      </c>
      <c r="BC29" s="670">
        <v>4</v>
      </c>
      <c r="BD29" s="671">
        <v>2</v>
      </c>
      <c r="BE29" s="671">
        <v>1</v>
      </c>
      <c r="BF29" s="672">
        <f t="shared" si="8"/>
        <v>7</v>
      </c>
      <c r="BG29" s="670">
        <v>1</v>
      </c>
      <c r="BH29" s="671">
        <v>4</v>
      </c>
      <c r="BI29" s="671">
        <v>2</v>
      </c>
      <c r="BJ29" s="672">
        <f>SUM(BG29:BI29)</f>
        <v>7</v>
      </c>
      <c r="BK29" s="670">
        <v>1</v>
      </c>
      <c r="BL29" s="671">
        <v>1</v>
      </c>
      <c r="BM29" s="671">
        <v>1</v>
      </c>
      <c r="BN29" s="672">
        <f>SUM(BK29:BM29)</f>
        <v>3</v>
      </c>
      <c r="BO29" s="670">
        <v>4</v>
      </c>
      <c r="BP29" s="671">
        <v>5</v>
      </c>
      <c r="BQ29" s="671">
        <v>2</v>
      </c>
      <c r="BR29" s="672">
        <f>SUM(BO29:BQ29)</f>
        <v>11</v>
      </c>
      <c r="BS29" s="670">
        <v>3</v>
      </c>
      <c r="BT29" s="671">
        <v>3</v>
      </c>
      <c r="BU29" s="671">
        <v>1</v>
      </c>
      <c r="BV29" s="672">
        <f>SUM(BS29:BU29)</f>
        <v>7</v>
      </c>
      <c r="BW29" s="670">
        <v>1</v>
      </c>
      <c r="BX29" s="671">
        <v>5</v>
      </c>
      <c r="BY29" s="671">
        <v>1</v>
      </c>
      <c r="BZ29" s="672">
        <f>SUM(BW29:BY29)</f>
        <v>7</v>
      </c>
      <c r="CA29" s="670">
        <v>3</v>
      </c>
      <c r="CB29" s="671"/>
      <c r="CC29" s="671">
        <v>4</v>
      </c>
      <c r="CD29" s="672">
        <f>SUM(CA29:CC29)</f>
        <v>7</v>
      </c>
      <c r="CE29" s="670">
        <v>4</v>
      </c>
      <c r="CF29" s="671">
        <v>5</v>
      </c>
      <c r="CG29" s="671">
        <v>3</v>
      </c>
      <c r="CH29" s="672">
        <f>SUM(CE29:CG29)</f>
        <v>12</v>
      </c>
      <c r="CI29" s="670">
        <v>2</v>
      </c>
      <c r="CJ29" s="671">
        <v>3</v>
      </c>
      <c r="CK29" s="671">
        <v>9</v>
      </c>
      <c r="CL29" s="672">
        <f>SUM(CI29:CK29)</f>
        <v>14</v>
      </c>
      <c r="CM29" s="670">
        <v>5</v>
      </c>
      <c r="CN29" s="671">
        <v>3</v>
      </c>
      <c r="CO29" s="671">
        <v>8</v>
      </c>
      <c r="CP29" s="672">
        <f>SUM(CM29:CO29)</f>
        <v>16</v>
      </c>
      <c r="CQ29" s="670">
        <v>8</v>
      </c>
      <c r="CR29" s="671">
        <v>4</v>
      </c>
      <c r="CS29" s="671">
        <v>4</v>
      </c>
      <c r="CT29" s="672">
        <f>SUM(CQ29:CS29)</f>
        <v>16</v>
      </c>
    </row>
    <row r="30" spans="1:98" s="656" customFormat="1" ht="15" customHeight="1" x14ac:dyDescent="0.3">
      <c r="A30" s="642"/>
      <c r="B30" s="673" t="s">
        <v>64</v>
      </c>
      <c r="C30" s="674"/>
      <c r="D30" s="675"/>
      <c r="E30" s="675"/>
      <c r="F30" s="676"/>
      <c r="G30" s="674"/>
      <c r="H30" s="675"/>
      <c r="I30" s="675"/>
      <c r="J30" s="676"/>
      <c r="K30" s="674"/>
      <c r="L30" s="675"/>
      <c r="M30" s="675"/>
      <c r="N30" s="676"/>
      <c r="O30" s="674"/>
      <c r="P30" s="675"/>
      <c r="Q30" s="675"/>
      <c r="R30" s="676"/>
      <c r="S30" s="674"/>
      <c r="T30" s="675"/>
      <c r="U30" s="675"/>
      <c r="V30" s="676"/>
      <c r="W30" s="674"/>
      <c r="X30" s="675"/>
      <c r="Y30" s="675"/>
      <c r="Z30" s="676"/>
      <c r="AA30" s="674"/>
      <c r="AB30" s="675"/>
      <c r="AC30" s="675"/>
      <c r="AD30" s="676"/>
      <c r="AE30" s="674"/>
      <c r="AF30" s="675"/>
      <c r="AG30" s="675"/>
      <c r="AH30" s="676"/>
      <c r="AI30" s="674"/>
      <c r="AJ30" s="675"/>
      <c r="AK30" s="675"/>
      <c r="AL30" s="676"/>
      <c r="AM30" s="674"/>
      <c r="AN30" s="675"/>
      <c r="AO30" s="675"/>
      <c r="AP30" s="676"/>
      <c r="AQ30" s="674">
        <f>SUM(AQ26:AQ29)</f>
        <v>0</v>
      </c>
      <c r="AR30" s="675">
        <f>SUM(AR26:AR29)</f>
        <v>16</v>
      </c>
      <c r="AS30" s="675">
        <f>SUM(AS26:AS29)</f>
        <v>31</v>
      </c>
      <c r="AT30" s="676">
        <f t="shared" si="6"/>
        <v>47</v>
      </c>
      <c r="AU30" s="674">
        <f>SUM(AU26:AU29)</f>
        <v>1</v>
      </c>
      <c r="AV30" s="675">
        <f>SUM(AV26:AV29)</f>
        <v>3</v>
      </c>
      <c r="AW30" s="675">
        <f>SUM(AW26:AW29)</f>
        <v>24</v>
      </c>
      <c r="AX30" s="676">
        <f t="shared" si="7"/>
        <v>28</v>
      </c>
      <c r="AY30" s="674">
        <f>SUM(AY26:AY29)</f>
        <v>5</v>
      </c>
      <c r="AZ30" s="675">
        <f>SUM(AZ26:AZ29)</f>
        <v>39</v>
      </c>
      <c r="BA30" s="675">
        <f>SUM(BA26:BA29)</f>
        <v>7</v>
      </c>
      <c r="BB30" s="676">
        <f>SUM(BB26:BB29)</f>
        <v>51</v>
      </c>
      <c r="BC30" s="674">
        <f t="shared" ref="BC30:CF30" si="35">SUM(BC26:BC29)</f>
        <v>12</v>
      </c>
      <c r="BD30" s="675">
        <f t="shared" si="35"/>
        <v>29</v>
      </c>
      <c r="BE30" s="675">
        <f t="shared" si="35"/>
        <v>13</v>
      </c>
      <c r="BF30" s="676">
        <f t="shared" si="35"/>
        <v>54</v>
      </c>
      <c r="BG30" s="674">
        <f t="shared" si="35"/>
        <v>17</v>
      </c>
      <c r="BH30" s="675">
        <f t="shared" si="35"/>
        <v>24</v>
      </c>
      <c r="BI30" s="675">
        <f t="shared" si="35"/>
        <v>2</v>
      </c>
      <c r="BJ30" s="676">
        <f t="shared" si="35"/>
        <v>43</v>
      </c>
      <c r="BK30" s="674">
        <f t="shared" si="35"/>
        <v>5</v>
      </c>
      <c r="BL30" s="675">
        <f t="shared" si="35"/>
        <v>20</v>
      </c>
      <c r="BM30" s="675">
        <f t="shared" si="35"/>
        <v>8</v>
      </c>
      <c r="BN30" s="676">
        <f t="shared" si="35"/>
        <v>33</v>
      </c>
      <c r="BO30" s="674">
        <f t="shared" si="35"/>
        <v>6</v>
      </c>
      <c r="BP30" s="675">
        <f t="shared" si="35"/>
        <v>18</v>
      </c>
      <c r="BQ30" s="675">
        <f t="shared" si="35"/>
        <v>4</v>
      </c>
      <c r="BR30" s="676">
        <f t="shared" si="35"/>
        <v>28</v>
      </c>
      <c r="BS30" s="674">
        <f t="shared" si="35"/>
        <v>6</v>
      </c>
      <c r="BT30" s="675">
        <f t="shared" si="35"/>
        <v>23</v>
      </c>
      <c r="BU30" s="675">
        <f t="shared" si="35"/>
        <v>3</v>
      </c>
      <c r="BV30" s="676">
        <f t="shared" si="35"/>
        <v>32</v>
      </c>
      <c r="BW30" s="674">
        <f>SUM(BW26:BW29)</f>
        <v>5</v>
      </c>
      <c r="BX30" s="675">
        <f>SUM(BX26:BX29)</f>
        <v>27</v>
      </c>
      <c r="BY30" s="675">
        <f>SUM(BY26:BY29)</f>
        <v>4</v>
      </c>
      <c r="BZ30" s="676">
        <f t="shared" si="35"/>
        <v>36</v>
      </c>
      <c r="CA30" s="674">
        <f t="shared" si="35"/>
        <v>30</v>
      </c>
      <c r="CB30" s="675">
        <f t="shared" si="35"/>
        <v>20</v>
      </c>
      <c r="CC30" s="675">
        <f t="shared" si="35"/>
        <v>5</v>
      </c>
      <c r="CD30" s="676">
        <f t="shared" si="35"/>
        <v>55</v>
      </c>
      <c r="CE30" s="674">
        <f t="shared" si="35"/>
        <v>37</v>
      </c>
      <c r="CF30" s="675">
        <f t="shared" si="35"/>
        <v>31</v>
      </c>
      <c r="CG30" s="675">
        <v>21</v>
      </c>
      <c r="CH30" s="676">
        <f t="shared" ref="CH30:CP30" si="36">SUM(CH26:CH29)</f>
        <v>89</v>
      </c>
      <c r="CI30" s="674">
        <f t="shared" si="36"/>
        <v>14</v>
      </c>
      <c r="CJ30" s="675">
        <f t="shared" si="36"/>
        <v>7</v>
      </c>
      <c r="CK30" s="675">
        <f t="shared" si="36"/>
        <v>56</v>
      </c>
      <c r="CL30" s="676">
        <f t="shared" si="36"/>
        <v>77</v>
      </c>
      <c r="CM30" s="674">
        <f t="shared" si="36"/>
        <v>15</v>
      </c>
      <c r="CN30" s="675">
        <f t="shared" si="36"/>
        <v>21</v>
      </c>
      <c r="CO30" s="675">
        <f>SUM(CO26:CO29)</f>
        <v>51</v>
      </c>
      <c r="CP30" s="676">
        <f t="shared" si="36"/>
        <v>87</v>
      </c>
      <c r="CQ30" s="674">
        <f>SUM(CQ26:CQ29)</f>
        <v>37</v>
      </c>
      <c r="CR30" s="675">
        <f>SUM(CR26:CR29)</f>
        <v>41</v>
      </c>
      <c r="CS30" s="675">
        <f>SUM(CS26:CS29)</f>
        <v>6</v>
      </c>
      <c r="CT30" s="676">
        <f t="shared" ref="CT30" si="37">SUM(CT26:CT29)</f>
        <v>84</v>
      </c>
    </row>
    <row r="31" spans="1:98" s="656" customFormat="1" ht="15" customHeight="1" x14ac:dyDescent="0.3">
      <c r="A31" s="642"/>
      <c r="B31" s="684" t="s">
        <v>108</v>
      </c>
      <c r="C31" s="685"/>
      <c r="D31" s="685"/>
      <c r="E31" s="685"/>
      <c r="F31" s="686"/>
      <c r="G31" s="685"/>
      <c r="H31" s="685"/>
      <c r="I31" s="685"/>
      <c r="J31" s="686"/>
      <c r="K31" s="685"/>
      <c r="L31" s="685"/>
      <c r="M31" s="685"/>
      <c r="N31" s="686"/>
      <c r="O31" s="687"/>
      <c r="P31" s="685"/>
      <c r="Q31" s="685"/>
      <c r="R31" s="686"/>
      <c r="S31" s="687"/>
      <c r="T31" s="685"/>
      <c r="U31" s="685"/>
      <c r="V31" s="686"/>
      <c r="W31" s="685"/>
      <c r="X31" s="685"/>
      <c r="Y31" s="685"/>
      <c r="Z31" s="686"/>
      <c r="AA31" s="685"/>
      <c r="AB31" s="685"/>
      <c r="AC31" s="685"/>
      <c r="AD31" s="686"/>
      <c r="AE31" s="687"/>
      <c r="AF31" s="685"/>
      <c r="AG31" s="685"/>
      <c r="AH31" s="686"/>
      <c r="AI31" s="685"/>
      <c r="AJ31" s="685"/>
      <c r="AK31" s="685"/>
      <c r="AL31" s="686"/>
      <c r="AM31" s="687"/>
      <c r="AN31" s="685"/>
      <c r="AO31" s="685"/>
      <c r="AP31" s="686"/>
      <c r="AQ31" s="653" t="s">
        <v>122</v>
      </c>
      <c r="AR31" s="654" t="s">
        <v>122</v>
      </c>
      <c r="AS31" s="654">
        <v>9</v>
      </c>
      <c r="AT31" s="688">
        <f t="shared" si="6"/>
        <v>9</v>
      </c>
      <c r="AU31" s="653"/>
      <c r="AV31" s="654">
        <v>4</v>
      </c>
      <c r="AW31" s="654">
        <v>11</v>
      </c>
      <c r="AX31" s="688">
        <f t="shared" si="7"/>
        <v>15</v>
      </c>
      <c r="AY31" s="653">
        <v>2</v>
      </c>
      <c r="AZ31" s="654">
        <v>4</v>
      </c>
      <c r="BA31" s="654">
        <v>9</v>
      </c>
      <c r="BB31" s="655">
        <v>15</v>
      </c>
      <c r="BC31" s="653">
        <v>1</v>
      </c>
      <c r="BD31" s="654">
        <v>13</v>
      </c>
      <c r="BE31" s="654">
        <v>5</v>
      </c>
      <c r="BF31" s="655">
        <f t="shared" si="8"/>
        <v>19</v>
      </c>
      <c r="BG31" s="653">
        <v>2</v>
      </c>
      <c r="BH31" s="654">
        <v>3</v>
      </c>
      <c r="BI31" s="654">
        <v>1</v>
      </c>
      <c r="BJ31" s="655">
        <f>SUM(BG31:BI31)</f>
        <v>6</v>
      </c>
      <c r="BK31" s="653">
        <v>4</v>
      </c>
      <c r="BL31" s="654">
        <v>4</v>
      </c>
      <c r="BM31" s="654">
        <v>3</v>
      </c>
      <c r="BN31" s="655">
        <f>SUM(BK31:BM31)</f>
        <v>11</v>
      </c>
      <c r="BO31" s="653">
        <v>3</v>
      </c>
      <c r="BP31" s="654">
        <v>6</v>
      </c>
      <c r="BQ31" s="654">
        <v>0</v>
      </c>
      <c r="BR31" s="655">
        <f>SUM(BO31:BQ31)</f>
        <v>9</v>
      </c>
      <c r="BS31" s="653">
        <v>7</v>
      </c>
      <c r="BT31" s="654">
        <v>1</v>
      </c>
      <c r="BU31" s="654">
        <v>6</v>
      </c>
      <c r="BV31" s="655">
        <f>SUM(BS31:BU31)</f>
        <v>14</v>
      </c>
      <c r="BW31" s="653">
        <v>8</v>
      </c>
      <c r="BX31" s="654">
        <v>8</v>
      </c>
      <c r="BY31" s="654">
        <v>3</v>
      </c>
      <c r="BZ31" s="655">
        <f>SUM(BW31:BY31)</f>
        <v>19</v>
      </c>
      <c r="CA31" s="653">
        <v>11</v>
      </c>
      <c r="CB31" s="654">
        <v>6</v>
      </c>
      <c r="CC31" s="654"/>
      <c r="CD31" s="655">
        <f>SUM(CA31:CC31)</f>
        <v>17</v>
      </c>
      <c r="CE31" s="653">
        <v>9</v>
      </c>
      <c r="CF31" s="654">
        <v>1</v>
      </c>
      <c r="CG31" s="654">
        <v>13</v>
      </c>
      <c r="CH31" s="655">
        <f>SUM(CE31:CG31)</f>
        <v>23</v>
      </c>
      <c r="CI31" s="653">
        <v>3</v>
      </c>
      <c r="CJ31" s="654">
        <v>1</v>
      </c>
      <c r="CK31" s="654">
        <v>14</v>
      </c>
      <c r="CL31" s="655">
        <f>SUM(CI31:CK31)</f>
        <v>18</v>
      </c>
      <c r="CM31" s="653">
        <v>6</v>
      </c>
      <c r="CN31" s="654">
        <v>0</v>
      </c>
      <c r="CO31" s="654">
        <v>36</v>
      </c>
      <c r="CP31" s="655">
        <f>SUM(CM31:CO31)</f>
        <v>42</v>
      </c>
      <c r="CQ31" s="653">
        <v>8</v>
      </c>
      <c r="CR31" s="654">
        <v>12</v>
      </c>
      <c r="CS31" s="654">
        <v>7</v>
      </c>
      <c r="CT31" s="655">
        <f>SUM(CQ31:CS31)</f>
        <v>27</v>
      </c>
    </row>
    <row r="32" spans="1:98" s="656" customFormat="1" ht="15" customHeight="1" x14ac:dyDescent="0.3">
      <c r="A32" s="642"/>
      <c r="B32" s="697" t="s">
        <v>173</v>
      </c>
      <c r="C32" s="698"/>
      <c r="D32" s="698"/>
      <c r="E32" s="698"/>
      <c r="F32" s="699"/>
      <c r="G32" s="698"/>
      <c r="H32" s="698"/>
      <c r="I32" s="698"/>
      <c r="J32" s="699"/>
      <c r="K32" s="698"/>
      <c r="L32" s="698"/>
      <c r="M32" s="698"/>
      <c r="N32" s="699"/>
      <c r="O32" s="700"/>
      <c r="P32" s="698"/>
      <c r="Q32" s="698"/>
      <c r="R32" s="699"/>
      <c r="S32" s="700"/>
      <c r="T32" s="698"/>
      <c r="U32" s="698"/>
      <c r="V32" s="699"/>
      <c r="W32" s="698"/>
      <c r="X32" s="698"/>
      <c r="Y32" s="698"/>
      <c r="Z32" s="699"/>
      <c r="AA32" s="698"/>
      <c r="AB32" s="698"/>
      <c r="AC32" s="698"/>
      <c r="AD32" s="699"/>
      <c r="AE32" s="700"/>
      <c r="AF32" s="698"/>
      <c r="AG32" s="698"/>
      <c r="AH32" s="699"/>
      <c r="AI32" s="698"/>
      <c r="AJ32" s="698"/>
      <c r="AK32" s="698"/>
      <c r="AL32" s="699"/>
      <c r="AM32" s="700"/>
      <c r="AN32" s="698"/>
      <c r="AO32" s="698"/>
      <c r="AP32" s="699"/>
      <c r="AQ32" s="662"/>
      <c r="AR32" s="663"/>
      <c r="AS32" s="663"/>
      <c r="AT32" s="701">
        <f t="shared" si="6"/>
        <v>0</v>
      </c>
      <c r="AU32" s="662"/>
      <c r="AV32" s="663"/>
      <c r="AW32" s="663"/>
      <c r="AX32" s="701">
        <f t="shared" si="7"/>
        <v>0</v>
      </c>
      <c r="AY32" s="662"/>
      <c r="AZ32" s="663">
        <v>1</v>
      </c>
      <c r="BA32" s="663">
        <v>1</v>
      </c>
      <c r="BB32" s="664">
        <v>2</v>
      </c>
      <c r="BC32" s="662">
        <v>0</v>
      </c>
      <c r="BD32" s="663">
        <v>1</v>
      </c>
      <c r="BE32" s="663">
        <v>1</v>
      </c>
      <c r="BF32" s="664">
        <f t="shared" si="8"/>
        <v>2</v>
      </c>
      <c r="BG32" s="662"/>
      <c r="BH32" s="663"/>
      <c r="BI32" s="663"/>
      <c r="BJ32" s="664">
        <f>SUM(BG32:BI32)</f>
        <v>0</v>
      </c>
      <c r="BK32" s="662"/>
      <c r="BL32" s="663">
        <v>2</v>
      </c>
      <c r="BM32" s="663"/>
      <c r="BN32" s="664">
        <f>SUM(BK32:BM32)</f>
        <v>2</v>
      </c>
      <c r="BO32" s="662">
        <v>3</v>
      </c>
      <c r="BP32" s="663">
        <v>4</v>
      </c>
      <c r="BQ32" s="663">
        <v>0</v>
      </c>
      <c r="BR32" s="664">
        <f>SUM(BO32:BQ32)</f>
        <v>7</v>
      </c>
      <c r="BS32" s="662">
        <v>2</v>
      </c>
      <c r="BT32" s="663">
        <v>5</v>
      </c>
      <c r="BU32" s="663">
        <v>0</v>
      </c>
      <c r="BV32" s="664">
        <f>SUM(BS32:BU32)</f>
        <v>7</v>
      </c>
      <c r="BW32" s="662">
        <v>3</v>
      </c>
      <c r="BX32" s="663">
        <v>3</v>
      </c>
      <c r="BY32" s="663">
        <v>1</v>
      </c>
      <c r="BZ32" s="664">
        <f>SUM(BW32:BY32)</f>
        <v>7</v>
      </c>
      <c r="CA32" s="662">
        <v>3</v>
      </c>
      <c r="CB32" s="663">
        <v>7</v>
      </c>
      <c r="CC32" s="663">
        <v>2</v>
      </c>
      <c r="CD32" s="664">
        <f>SUM(CA32:CC32)</f>
        <v>12</v>
      </c>
      <c r="CE32" s="662">
        <v>1</v>
      </c>
      <c r="CF32" s="663">
        <v>1</v>
      </c>
      <c r="CG32" s="663">
        <v>10</v>
      </c>
      <c r="CH32" s="664">
        <f>SUM(CE32:CG32)</f>
        <v>12</v>
      </c>
      <c r="CI32" s="662">
        <v>2</v>
      </c>
      <c r="CJ32" s="663">
        <v>0</v>
      </c>
      <c r="CK32" s="663">
        <v>3</v>
      </c>
      <c r="CL32" s="664">
        <f>SUM(CI32:CK32)</f>
        <v>5</v>
      </c>
      <c r="CM32" s="662">
        <v>4</v>
      </c>
      <c r="CN32" s="663">
        <v>1</v>
      </c>
      <c r="CO32" s="663">
        <v>9</v>
      </c>
      <c r="CP32" s="664">
        <f>SUM(CM32:CO32)</f>
        <v>14</v>
      </c>
      <c r="CQ32" s="662">
        <v>5</v>
      </c>
      <c r="CR32" s="663">
        <v>4</v>
      </c>
      <c r="CS32" s="663">
        <v>7</v>
      </c>
      <c r="CT32" s="664">
        <f>SUM(CQ32:CS32)</f>
        <v>16</v>
      </c>
    </row>
    <row r="33" spans="1:98" s="656" customFormat="1" ht="15" customHeight="1" x14ac:dyDescent="0.3">
      <c r="A33" s="642"/>
      <c r="B33" s="665" t="s">
        <v>110</v>
      </c>
      <c r="C33" s="46"/>
      <c r="D33" s="50"/>
      <c r="E33" s="50"/>
      <c r="F33" s="666"/>
      <c r="G33" s="46"/>
      <c r="H33" s="50"/>
      <c r="I33" s="50"/>
      <c r="J33" s="666"/>
      <c r="K33" s="46"/>
      <c r="L33" s="50"/>
      <c r="M33" s="50"/>
      <c r="N33" s="666"/>
      <c r="O33" s="46"/>
      <c r="P33" s="50"/>
      <c r="Q33" s="50"/>
      <c r="R33" s="667"/>
      <c r="S33" s="46"/>
      <c r="T33" s="50"/>
      <c r="U33" s="50"/>
      <c r="V33" s="667"/>
      <c r="W33" s="46"/>
      <c r="X33" s="50"/>
      <c r="Y33" s="50"/>
      <c r="Z33" s="666"/>
      <c r="AA33" s="668"/>
      <c r="AB33" s="50"/>
      <c r="AC33" s="50"/>
      <c r="AD33" s="666"/>
      <c r="AE33" s="668"/>
      <c r="AF33" s="50"/>
      <c r="AG33" s="50"/>
      <c r="AH33" s="667"/>
      <c r="AI33" s="668"/>
      <c r="AJ33" s="50"/>
      <c r="AK33" s="669"/>
      <c r="AL33" s="667"/>
      <c r="AM33" s="668"/>
      <c r="AN33" s="50"/>
      <c r="AO33" s="669"/>
      <c r="AP33" s="667"/>
      <c r="AQ33" s="670"/>
      <c r="AR33" s="671"/>
      <c r="AS33" s="671"/>
      <c r="AT33" s="672">
        <f t="shared" si="6"/>
        <v>0</v>
      </c>
      <c r="AU33" s="671"/>
      <c r="AV33" s="671"/>
      <c r="AW33" s="671"/>
      <c r="AX33" s="672">
        <f t="shared" si="7"/>
        <v>0</v>
      </c>
      <c r="AY33" s="670"/>
      <c r="AZ33" s="671">
        <v>11</v>
      </c>
      <c r="BA33" s="671">
        <v>4</v>
      </c>
      <c r="BB33" s="672">
        <v>15</v>
      </c>
      <c r="BC33" s="670">
        <v>4</v>
      </c>
      <c r="BD33" s="671">
        <v>18</v>
      </c>
      <c r="BE33" s="671">
        <v>5</v>
      </c>
      <c r="BF33" s="672">
        <f t="shared" si="8"/>
        <v>27</v>
      </c>
      <c r="BG33" s="670">
        <v>2</v>
      </c>
      <c r="BH33" s="671">
        <v>13</v>
      </c>
      <c r="BI33" s="671"/>
      <c r="BJ33" s="672">
        <f>SUM(BG33:BI33)</f>
        <v>15</v>
      </c>
      <c r="BK33" s="670">
        <v>1</v>
      </c>
      <c r="BL33" s="671">
        <v>14</v>
      </c>
      <c r="BM33" s="671">
        <v>3</v>
      </c>
      <c r="BN33" s="672">
        <f>SUM(BK33:BM33)</f>
        <v>18</v>
      </c>
      <c r="BO33" s="670">
        <v>4</v>
      </c>
      <c r="BP33" s="671">
        <v>7</v>
      </c>
      <c r="BQ33" s="671">
        <v>2</v>
      </c>
      <c r="BR33" s="672">
        <f>SUM(BO33:BQ33)</f>
        <v>13</v>
      </c>
      <c r="BS33" s="670">
        <v>4</v>
      </c>
      <c r="BT33" s="671">
        <v>12</v>
      </c>
      <c r="BU33" s="671">
        <v>2</v>
      </c>
      <c r="BV33" s="672">
        <f>SUM(BS33:BU33)</f>
        <v>18</v>
      </c>
      <c r="BW33" s="670">
        <v>6</v>
      </c>
      <c r="BX33" s="671">
        <v>16</v>
      </c>
      <c r="BY33" s="671">
        <v>7</v>
      </c>
      <c r="BZ33" s="672">
        <f>SUM(BW33:BY33)</f>
        <v>29</v>
      </c>
      <c r="CA33" s="670">
        <v>4</v>
      </c>
      <c r="CB33" s="671">
        <v>19</v>
      </c>
      <c r="CC33" s="671">
        <v>7</v>
      </c>
      <c r="CD33" s="672">
        <f>SUM(CA33:CC33)</f>
        <v>30</v>
      </c>
      <c r="CE33" s="670">
        <v>4</v>
      </c>
      <c r="CF33" s="671">
        <v>31</v>
      </c>
      <c r="CG33" s="671">
        <v>10</v>
      </c>
      <c r="CH33" s="672">
        <f>SUM(CE33:CG33)</f>
        <v>45</v>
      </c>
      <c r="CI33" s="670">
        <v>11</v>
      </c>
      <c r="CJ33" s="671">
        <v>18</v>
      </c>
      <c r="CK33" s="671">
        <v>8</v>
      </c>
      <c r="CL33" s="672">
        <f>SUM(CI33:CK33)</f>
        <v>37</v>
      </c>
      <c r="CM33" s="670">
        <v>0</v>
      </c>
      <c r="CN33" s="671">
        <v>29</v>
      </c>
      <c r="CO33" s="671">
        <v>12</v>
      </c>
      <c r="CP33" s="672">
        <f>SUM(CM33:CO33)</f>
        <v>41</v>
      </c>
      <c r="CQ33" s="670">
        <v>3</v>
      </c>
      <c r="CR33" s="671">
        <v>36</v>
      </c>
      <c r="CS33" s="671">
        <v>3</v>
      </c>
      <c r="CT33" s="672">
        <f>SUM(CQ33:CS33)</f>
        <v>42</v>
      </c>
    </row>
    <row r="34" spans="1:98" s="656" customFormat="1" ht="15" customHeight="1" x14ac:dyDescent="0.3">
      <c r="A34" s="642"/>
      <c r="B34" s="673" t="s">
        <v>111</v>
      </c>
      <c r="C34" s="674"/>
      <c r="D34" s="675"/>
      <c r="E34" s="675"/>
      <c r="F34" s="676"/>
      <c r="G34" s="674"/>
      <c r="H34" s="675"/>
      <c r="I34" s="675"/>
      <c r="J34" s="676"/>
      <c r="K34" s="674"/>
      <c r="L34" s="675"/>
      <c r="M34" s="675"/>
      <c r="N34" s="676"/>
      <c r="O34" s="674"/>
      <c r="P34" s="675"/>
      <c r="Q34" s="675"/>
      <c r="R34" s="676"/>
      <c r="S34" s="674"/>
      <c r="T34" s="675"/>
      <c r="U34" s="675"/>
      <c r="V34" s="676"/>
      <c r="W34" s="674"/>
      <c r="X34" s="675"/>
      <c r="Y34" s="675"/>
      <c r="Z34" s="676"/>
      <c r="AA34" s="674"/>
      <c r="AB34" s="675"/>
      <c r="AC34" s="675"/>
      <c r="AD34" s="676"/>
      <c r="AE34" s="674"/>
      <c r="AF34" s="675"/>
      <c r="AG34" s="675"/>
      <c r="AH34" s="676"/>
      <c r="AI34" s="674"/>
      <c r="AJ34" s="675"/>
      <c r="AK34" s="675"/>
      <c r="AL34" s="676"/>
      <c r="AM34" s="674"/>
      <c r="AN34" s="675"/>
      <c r="AO34" s="675"/>
      <c r="AP34" s="676"/>
      <c r="AQ34" s="674">
        <f>SUM(AQ33)</f>
        <v>0</v>
      </c>
      <c r="AR34" s="675">
        <f>SUM(AR33)</f>
        <v>0</v>
      </c>
      <c r="AS34" s="675">
        <f>SUM(AS31:AS33)</f>
        <v>9</v>
      </c>
      <c r="AT34" s="676">
        <f t="shared" si="6"/>
        <v>9</v>
      </c>
      <c r="AU34" s="674">
        <f>SUM(AU31:AU33)</f>
        <v>0</v>
      </c>
      <c r="AV34" s="675">
        <f>SUM(AV31:AV33)</f>
        <v>4</v>
      </c>
      <c r="AW34" s="675">
        <f>SUM(AW31:AW33)</f>
        <v>11</v>
      </c>
      <c r="AX34" s="676">
        <f t="shared" si="7"/>
        <v>15</v>
      </c>
      <c r="AY34" s="674">
        <f>SUM(AY31:AY33)</f>
        <v>2</v>
      </c>
      <c r="AZ34" s="675">
        <f>SUM(AZ31:AZ33)</f>
        <v>16</v>
      </c>
      <c r="BA34" s="675">
        <f>SUM(BA31:BA33)</f>
        <v>14</v>
      </c>
      <c r="BB34" s="676">
        <f>SUM(BB31:BB33)</f>
        <v>32</v>
      </c>
      <c r="BC34" s="674">
        <f t="shared" ref="BC34:CF34" si="38">SUM(BC31:BC33)</f>
        <v>5</v>
      </c>
      <c r="BD34" s="675">
        <f t="shared" si="38"/>
        <v>32</v>
      </c>
      <c r="BE34" s="675">
        <f t="shared" si="38"/>
        <v>11</v>
      </c>
      <c r="BF34" s="676">
        <f t="shared" si="38"/>
        <v>48</v>
      </c>
      <c r="BG34" s="674">
        <f t="shared" si="38"/>
        <v>4</v>
      </c>
      <c r="BH34" s="675">
        <f t="shared" si="38"/>
        <v>16</v>
      </c>
      <c r="BI34" s="675">
        <f t="shared" si="38"/>
        <v>1</v>
      </c>
      <c r="BJ34" s="676">
        <f t="shared" si="38"/>
        <v>21</v>
      </c>
      <c r="BK34" s="674">
        <f t="shared" si="38"/>
        <v>5</v>
      </c>
      <c r="BL34" s="675">
        <f t="shared" si="38"/>
        <v>20</v>
      </c>
      <c r="BM34" s="675">
        <f t="shared" si="38"/>
        <v>6</v>
      </c>
      <c r="BN34" s="676">
        <f t="shared" si="38"/>
        <v>31</v>
      </c>
      <c r="BO34" s="674">
        <f t="shared" si="38"/>
        <v>10</v>
      </c>
      <c r="BP34" s="675">
        <f t="shared" si="38"/>
        <v>17</v>
      </c>
      <c r="BQ34" s="675">
        <f t="shared" si="38"/>
        <v>2</v>
      </c>
      <c r="BR34" s="676">
        <f t="shared" si="38"/>
        <v>29</v>
      </c>
      <c r="BS34" s="674">
        <f t="shared" si="38"/>
        <v>13</v>
      </c>
      <c r="BT34" s="675">
        <f t="shared" si="38"/>
        <v>18</v>
      </c>
      <c r="BU34" s="675">
        <f t="shared" si="38"/>
        <v>8</v>
      </c>
      <c r="BV34" s="676">
        <f t="shared" si="38"/>
        <v>39</v>
      </c>
      <c r="BW34" s="674">
        <f t="shared" si="38"/>
        <v>17</v>
      </c>
      <c r="BX34" s="675">
        <f t="shared" si="38"/>
        <v>27</v>
      </c>
      <c r="BY34" s="675">
        <f t="shared" si="38"/>
        <v>11</v>
      </c>
      <c r="BZ34" s="676">
        <f t="shared" si="38"/>
        <v>55</v>
      </c>
      <c r="CA34" s="674">
        <f t="shared" si="38"/>
        <v>18</v>
      </c>
      <c r="CB34" s="675">
        <f t="shared" si="38"/>
        <v>32</v>
      </c>
      <c r="CC34" s="675">
        <f t="shared" si="38"/>
        <v>9</v>
      </c>
      <c r="CD34" s="676">
        <f t="shared" si="38"/>
        <v>59</v>
      </c>
      <c r="CE34" s="674">
        <f t="shared" si="38"/>
        <v>14</v>
      </c>
      <c r="CF34" s="675">
        <f t="shared" si="38"/>
        <v>33</v>
      </c>
      <c r="CG34" s="675">
        <v>33</v>
      </c>
      <c r="CH34" s="676">
        <f t="shared" ref="CH34:CP34" si="39">SUM(CH31:CH33)</f>
        <v>80</v>
      </c>
      <c r="CI34" s="674">
        <f t="shared" si="39"/>
        <v>16</v>
      </c>
      <c r="CJ34" s="675">
        <f t="shared" si="39"/>
        <v>19</v>
      </c>
      <c r="CK34" s="675">
        <f t="shared" si="39"/>
        <v>25</v>
      </c>
      <c r="CL34" s="676">
        <f t="shared" si="39"/>
        <v>60</v>
      </c>
      <c r="CM34" s="674">
        <f t="shared" si="39"/>
        <v>10</v>
      </c>
      <c r="CN34" s="675">
        <f t="shared" si="39"/>
        <v>30</v>
      </c>
      <c r="CO34" s="675">
        <f>SUM(CO31:CO33)</f>
        <v>57</v>
      </c>
      <c r="CP34" s="676">
        <f t="shared" si="39"/>
        <v>97</v>
      </c>
      <c r="CQ34" s="674">
        <f>SUM(CQ31:CQ33)</f>
        <v>16</v>
      </c>
      <c r="CR34" s="675">
        <f>SUM(CR31:CR33)</f>
        <v>52</v>
      </c>
      <c r="CS34" s="675">
        <f>SUM(CS31:CS33)</f>
        <v>17</v>
      </c>
      <c r="CT34" s="676">
        <f t="shared" ref="CT34" si="40">SUM(CT31:CT33)</f>
        <v>85</v>
      </c>
    </row>
    <row r="35" spans="1:98" s="656" customFormat="1" ht="15" customHeight="1" x14ac:dyDescent="0.3">
      <c r="A35" s="642"/>
      <c r="B35" s="684" t="s">
        <v>58</v>
      </c>
      <c r="C35" s="685"/>
      <c r="D35" s="685"/>
      <c r="E35" s="685"/>
      <c r="F35" s="686"/>
      <c r="G35" s="685"/>
      <c r="H35" s="685"/>
      <c r="I35" s="685"/>
      <c r="J35" s="686"/>
      <c r="K35" s="685"/>
      <c r="L35" s="685"/>
      <c r="M35" s="685"/>
      <c r="N35" s="686"/>
      <c r="O35" s="687"/>
      <c r="P35" s="685"/>
      <c r="Q35" s="685"/>
      <c r="R35" s="686"/>
      <c r="S35" s="687"/>
      <c r="T35" s="685"/>
      <c r="U35" s="685"/>
      <c r="V35" s="686"/>
      <c r="W35" s="685"/>
      <c r="X35" s="685"/>
      <c r="Y35" s="685"/>
      <c r="Z35" s="686"/>
      <c r="AA35" s="685"/>
      <c r="AB35" s="685"/>
      <c r="AC35" s="685"/>
      <c r="AD35" s="686"/>
      <c r="AE35" s="687"/>
      <c r="AF35" s="685"/>
      <c r="AG35" s="685"/>
      <c r="AH35" s="686"/>
      <c r="AI35" s="685"/>
      <c r="AJ35" s="685"/>
      <c r="AK35" s="685"/>
      <c r="AL35" s="686"/>
      <c r="AM35" s="687"/>
      <c r="AN35" s="685"/>
      <c r="AO35" s="685"/>
      <c r="AP35" s="686"/>
      <c r="AQ35" s="653" t="s">
        <v>122</v>
      </c>
      <c r="AR35" s="654">
        <v>10</v>
      </c>
      <c r="AS35" s="654" t="s">
        <v>122</v>
      </c>
      <c r="AT35" s="688">
        <f t="shared" si="6"/>
        <v>10</v>
      </c>
      <c r="AU35" s="653">
        <v>1</v>
      </c>
      <c r="AV35" s="654">
        <v>5</v>
      </c>
      <c r="AW35" s="654">
        <v>3</v>
      </c>
      <c r="AX35" s="688">
        <f t="shared" si="7"/>
        <v>9</v>
      </c>
      <c r="AY35" s="653">
        <v>3</v>
      </c>
      <c r="AZ35" s="654">
        <v>7</v>
      </c>
      <c r="BA35" s="654"/>
      <c r="BB35" s="655">
        <v>10</v>
      </c>
      <c r="BC35" s="653">
        <v>1</v>
      </c>
      <c r="BD35" s="654">
        <v>3</v>
      </c>
      <c r="BE35" s="654">
        <v>9</v>
      </c>
      <c r="BF35" s="655">
        <f t="shared" si="8"/>
        <v>13</v>
      </c>
      <c r="BG35" s="653">
        <v>3</v>
      </c>
      <c r="BH35" s="654">
        <v>5</v>
      </c>
      <c r="BI35" s="654">
        <v>2</v>
      </c>
      <c r="BJ35" s="655">
        <f>SUM(BG35:BI35)</f>
        <v>10</v>
      </c>
      <c r="BK35" s="653">
        <v>1</v>
      </c>
      <c r="BL35" s="654">
        <v>6</v>
      </c>
      <c r="BM35" s="654">
        <v>3</v>
      </c>
      <c r="BN35" s="655">
        <f>SUM(BK35:BM35)</f>
        <v>10</v>
      </c>
      <c r="BO35" s="653">
        <v>0</v>
      </c>
      <c r="BP35" s="654">
        <v>4</v>
      </c>
      <c r="BQ35" s="654">
        <v>2</v>
      </c>
      <c r="BR35" s="655">
        <f>SUM(BO35:BQ35)</f>
        <v>6</v>
      </c>
      <c r="BS35" s="653">
        <v>2</v>
      </c>
      <c r="BT35" s="654">
        <v>5</v>
      </c>
      <c r="BU35" s="654">
        <v>1</v>
      </c>
      <c r="BV35" s="655">
        <f>SUM(BS35:BU35)</f>
        <v>8</v>
      </c>
      <c r="BW35" s="653">
        <v>2</v>
      </c>
      <c r="BX35" s="654">
        <v>2</v>
      </c>
      <c r="BY35" s="654">
        <v>1</v>
      </c>
      <c r="BZ35" s="655">
        <f>SUM(BW35:BY35)</f>
        <v>5</v>
      </c>
      <c r="CA35" s="653">
        <v>9</v>
      </c>
      <c r="CB35" s="654">
        <v>10</v>
      </c>
      <c r="CC35" s="654">
        <v>8</v>
      </c>
      <c r="CD35" s="655">
        <f>SUM(CA35:CC35)</f>
        <v>27</v>
      </c>
      <c r="CE35" s="653">
        <v>1</v>
      </c>
      <c r="CF35" s="654">
        <v>6</v>
      </c>
      <c r="CG35" s="654">
        <v>3</v>
      </c>
      <c r="CH35" s="655">
        <f>SUM(CE35:CG35)</f>
        <v>10</v>
      </c>
      <c r="CI35" s="653">
        <v>2</v>
      </c>
      <c r="CJ35" s="654">
        <v>1</v>
      </c>
      <c r="CK35" s="654">
        <v>2</v>
      </c>
      <c r="CL35" s="655">
        <f>SUM(CI35:CK35)</f>
        <v>5</v>
      </c>
      <c r="CM35" s="653">
        <v>1</v>
      </c>
      <c r="CN35" s="654">
        <v>1</v>
      </c>
      <c r="CO35" s="654">
        <v>9</v>
      </c>
      <c r="CP35" s="655">
        <f>SUM(CM35:CO35)</f>
        <v>11</v>
      </c>
      <c r="CQ35" s="653">
        <v>2</v>
      </c>
      <c r="CR35" s="654">
        <v>19</v>
      </c>
      <c r="CS35" s="654">
        <v>1</v>
      </c>
      <c r="CT35" s="655">
        <f>SUM(CQ35:CS35)</f>
        <v>22</v>
      </c>
    </row>
    <row r="36" spans="1:98" s="656" customFormat="1" ht="15" customHeight="1" x14ac:dyDescent="0.3">
      <c r="A36" s="642"/>
      <c r="B36" s="665" t="s">
        <v>112</v>
      </c>
      <c r="C36" s="46"/>
      <c r="D36" s="50"/>
      <c r="E36" s="50"/>
      <c r="F36" s="666"/>
      <c r="G36" s="46"/>
      <c r="H36" s="50"/>
      <c r="I36" s="50"/>
      <c r="J36" s="666"/>
      <c r="K36" s="46"/>
      <c r="L36" s="50"/>
      <c r="M36" s="50"/>
      <c r="N36" s="666"/>
      <c r="O36" s="46"/>
      <c r="P36" s="50"/>
      <c r="Q36" s="50"/>
      <c r="R36" s="667"/>
      <c r="S36" s="46"/>
      <c r="T36" s="50"/>
      <c r="U36" s="50"/>
      <c r="V36" s="667"/>
      <c r="W36" s="46"/>
      <c r="X36" s="50"/>
      <c r="Y36" s="50"/>
      <c r="Z36" s="666"/>
      <c r="AA36" s="668"/>
      <c r="AB36" s="50"/>
      <c r="AC36" s="50"/>
      <c r="AD36" s="666"/>
      <c r="AE36" s="668"/>
      <c r="AF36" s="50"/>
      <c r="AG36" s="50"/>
      <c r="AH36" s="667"/>
      <c r="AI36" s="668"/>
      <c r="AJ36" s="50"/>
      <c r="AK36" s="669"/>
      <c r="AL36" s="667"/>
      <c r="AM36" s="668"/>
      <c r="AN36" s="50"/>
      <c r="AO36" s="669"/>
      <c r="AP36" s="667"/>
      <c r="AQ36" s="670" t="s">
        <v>122</v>
      </c>
      <c r="AR36" s="671">
        <v>1</v>
      </c>
      <c r="AS36" s="671" t="s">
        <v>122</v>
      </c>
      <c r="AT36" s="672">
        <f t="shared" si="6"/>
        <v>1</v>
      </c>
      <c r="AU36" s="671"/>
      <c r="AV36" s="671">
        <v>1</v>
      </c>
      <c r="AW36" s="671" t="s">
        <v>122</v>
      </c>
      <c r="AX36" s="672">
        <f t="shared" si="7"/>
        <v>1</v>
      </c>
      <c r="AY36" s="670"/>
      <c r="AZ36" s="671"/>
      <c r="BA36" s="671">
        <v>1</v>
      </c>
      <c r="BB36" s="672">
        <v>1</v>
      </c>
      <c r="BC36" s="670">
        <v>0</v>
      </c>
      <c r="BD36" s="671">
        <v>2</v>
      </c>
      <c r="BE36" s="671">
        <v>2</v>
      </c>
      <c r="BF36" s="672">
        <f t="shared" si="8"/>
        <v>4</v>
      </c>
      <c r="BG36" s="670">
        <v>2</v>
      </c>
      <c r="BH36" s="671">
        <v>1</v>
      </c>
      <c r="BI36" s="671"/>
      <c r="BJ36" s="672">
        <f>SUM(BG36:BI36)</f>
        <v>3</v>
      </c>
      <c r="BK36" s="670">
        <v>2</v>
      </c>
      <c r="BL36" s="671">
        <v>1</v>
      </c>
      <c r="BM36" s="671">
        <v>0</v>
      </c>
      <c r="BN36" s="672">
        <f>SUM(BK36:BM36)</f>
        <v>3</v>
      </c>
      <c r="BO36" s="670">
        <v>2</v>
      </c>
      <c r="BP36" s="671">
        <v>3</v>
      </c>
      <c r="BQ36" s="671">
        <v>2</v>
      </c>
      <c r="BR36" s="672">
        <f>SUM(BO36:BQ36)</f>
        <v>7</v>
      </c>
      <c r="BS36" s="670">
        <v>2</v>
      </c>
      <c r="BT36" s="671">
        <v>1</v>
      </c>
      <c r="BU36" s="671">
        <v>3</v>
      </c>
      <c r="BV36" s="672">
        <f>SUM(BS36:BU36)</f>
        <v>6</v>
      </c>
      <c r="BW36" s="670">
        <v>4</v>
      </c>
      <c r="BX36" s="671">
        <v>3</v>
      </c>
      <c r="BY36" s="671">
        <v>2</v>
      </c>
      <c r="BZ36" s="672">
        <f>SUM(BW36:BY36)</f>
        <v>9</v>
      </c>
      <c r="CA36" s="670">
        <v>2</v>
      </c>
      <c r="CB36" s="671">
        <v>5</v>
      </c>
      <c r="CC36" s="671"/>
      <c r="CD36" s="672">
        <f>SUM(CA36:CC36)</f>
        <v>7</v>
      </c>
      <c r="CE36" s="670">
        <v>4</v>
      </c>
      <c r="CF36" s="671">
        <v>2</v>
      </c>
      <c r="CG36" s="671">
        <v>5</v>
      </c>
      <c r="CH36" s="672">
        <f>SUM(CE36:CG36)</f>
        <v>11</v>
      </c>
      <c r="CI36" s="670">
        <v>2</v>
      </c>
      <c r="CJ36" s="671">
        <v>3</v>
      </c>
      <c r="CK36" s="671">
        <v>3</v>
      </c>
      <c r="CL36" s="672">
        <f>SUM(CI36:CK36)</f>
        <v>8</v>
      </c>
      <c r="CM36" s="670">
        <v>0</v>
      </c>
      <c r="CN36" s="671">
        <v>7</v>
      </c>
      <c r="CO36" s="671">
        <v>12</v>
      </c>
      <c r="CP36" s="672">
        <f>SUM(CM36:CO36)</f>
        <v>19</v>
      </c>
      <c r="CQ36" s="670">
        <v>2</v>
      </c>
      <c r="CR36" s="671">
        <v>4</v>
      </c>
      <c r="CS36" s="671">
        <v>3</v>
      </c>
      <c r="CT36" s="672">
        <f>SUM(CQ36:CS36)</f>
        <v>9</v>
      </c>
    </row>
    <row r="37" spans="1:98" s="656" customFormat="1" ht="15" customHeight="1" x14ac:dyDescent="0.3">
      <c r="A37" s="642"/>
      <c r="B37" s="665" t="s">
        <v>113</v>
      </c>
      <c r="C37" s="46"/>
      <c r="D37" s="50"/>
      <c r="E37" s="50"/>
      <c r="F37" s="666"/>
      <c r="G37" s="46"/>
      <c r="H37" s="50"/>
      <c r="I37" s="50"/>
      <c r="J37" s="666"/>
      <c r="K37" s="46"/>
      <c r="L37" s="50"/>
      <c r="M37" s="50"/>
      <c r="N37" s="666"/>
      <c r="O37" s="46"/>
      <c r="P37" s="50"/>
      <c r="Q37" s="50"/>
      <c r="R37" s="667"/>
      <c r="S37" s="46"/>
      <c r="T37" s="50"/>
      <c r="U37" s="50"/>
      <c r="V37" s="667"/>
      <c r="W37" s="46"/>
      <c r="X37" s="50"/>
      <c r="Y37" s="50"/>
      <c r="Z37" s="666"/>
      <c r="AA37" s="668"/>
      <c r="AB37" s="50"/>
      <c r="AC37" s="50"/>
      <c r="AD37" s="666"/>
      <c r="AE37" s="668"/>
      <c r="AF37" s="50"/>
      <c r="AG37" s="50"/>
      <c r="AH37" s="667"/>
      <c r="AI37" s="668"/>
      <c r="AJ37" s="50"/>
      <c r="AK37" s="669"/>
      <c r="AL37" s="667"/>
      <c r="AM37" s="668"/>
      <c r="AN37" s="50"/>
      <c r="AO37" s="669"/>
      <c r="AP37" s="667"/>
      <c r="AQ37" s="670"/>
      <c r="AR37" s="671"/>
      <c r="AS37" s="671"/>
      <c r="AT37" s="672">
        <f t="shared" si="6"/>
        <v>0</v>
      </c>
      <c r="AU37" s="671"/>
      <c r="AV37" s="671"/>
      <c r="AW37" s="671"/>
      <c r="AX37" s="672">
        <f t="shared" si="7"/>
        <v>0</v>
      </c>
      <c r="AY37" s="670"/>
      <c r="AZ37" s="671"/>
      <c r="BA37" s="671"/>
      <c r="BB37" s="672"/>
      <c r="BC37" s="670">
        <v>0</v>
      </c>
      <c r="BD37" s="671">
        <v>0</v>
      </c>
      <c r="BE37" s="671">
        <v>1</v>
      </c>
      <c r="BF37" s="672">
        <f t="shared" si="8"/>
        <v>1</v>
      </c>
      <c r="BG37" s="670">
        <v>1</v>
      </c>
      <c r="BH37" s="671">
        <v>1</v>
      </c>
      <c r="BI37" s="671"/>
      <c r="BJ37" s="672">
        <f>SUM(BG37:BI37)</f>
        <v>2</v>
      </c>
      <c r="BK37" s="670">
        <v>3</v>
      </c>
      <c r="BL37" s="671">
        <v>2</v>
      </c>
      <c r="BM37" s="671">
        <v>0</v>
      </c>
      <c r="BN37" s="672">
        <f>SUM(BK37:BM37)</f>
        <v>5</v>
      </c>
      <c r="BO37" s="670">
        <v>2</v>
      </c>
      <c r="BP37" s="671">
        <v>2</v>
      </c>
      <c r="BQ37" s="671">
        <v>3</v>
      </c>
      <c r="BR37" s="672">
        <f>SUM(BO37:BQ37)</f>
        <v>7</v>
      </c>
      <c r="BS37" s="670">
        <v>2</v>
      </c>
      <c r="BT37" s="671">
        <v>7</v>
      </c>
      <c r="BU37" s="671">
        <v>0</v>
      </c>
      <c r="BV37" s="672">
        <f>SUM(BS37:BU37)</f>
        <v>9</v>
      </c>
      <c r="BW37" s="670">
        <v>2</v>
      </c>
      <c r="BX37" s="671">
        <v>4</v>
      </c>
      <c r="BY37" s="671">
        <v>2</v>
      </c>
      <c r="BZ37" s="672">
        <f>SUM(BW37:BY37)</f>
        <v>8</v>
      </c>
      <c r="CA37" s="670">
        <v>5</v>
      </c>
      <c r="CB37" s="671">
        <v>9</v>
      </c>
      <c r="CC37" s="671">
        <v>6</v>
      </c>
      <c r="CD37" s="672">
        <f>SUM(CA37:CC37)</f>
        <v>20</v>
      </c>
      <c r="CE37" s="670">
        <v>4</v>
      </c>
      <c r="CF37" s="671">
        <v>6</v>
      </c>
      <c r="CG37" s="671">
        <v>4</v>
      </c>
      <c r="CH37" s="672">
        <f>SUM(CE37:CG37)</f>
        <v>14</v>
      </c>
      <c r="CI37" s="670">
        <v>8</v>
      </c>
      <c r="CJ37" s="671">
        <v>5</v>
      </c>
      <c r="CK37" s="671">
        <v>11</v>
      </c>
      <c r="CL37" s="672">
        <f>SUM(CI37:CK37)</f>
        <v>24</v>
      </c>
      <c r="CM37" s="670">
        <v>4</v>
      </c>
      <c r="CN37" s="671">
        <v>0</v>
      </c>
      <c r="CO37" s="671">
        <v>20</v>
      </c>
      <c r="CP37" s="672">
        <f>SUM(CM37:CO37)</f>
        <v>24</v>
      </c>
      <c r="CQ37" s="670">
        <v>4</v>
      </c>
      <c r="CR37" s="671">
        <v>4</v>
      </c>
      <c r="CS37" s="671"/>
      <c r="CT37" s="672">
        <f>SUM(CQ37:CS37)</f>
        <v>8</v>
      </c>
    </row>
    <row r="38" spans="1:98" s="656" customFormat="1" ht="15" customHeight="1" x14ac:dyDescent="0.3">
      <c r="A38" s="642"/>
      <c r="B38" s="665" t="s">
        <v>114</v>
      </c>
      <c r="C38" s="46"/>
      <c r="D38" s="50"/>
      <c r="E38" s="50"/>
      <c r="F38" s="666"/>
      <c r="G38" s="46"/>
      <c r="H38" s="50"/>
      <c r="I38" s="50"/>
      <c r="J38" s="666"/>
      <c r="K38" s="46"/>
      <c r="L38" s="50"/>
      <c r="M38" s="50"/>
      <c r="N38" s="666"/>
      <c r="O38" s="46"/>
      <c r="P38" s="50"/>
      <c r="Q38" s="50"/>
      <c r="R38" s="667"/>
      <c r="S38" s="46"/>
      <c r="T38" s="50"/>
      <c r="U38" s="50"/>
      <c r="V38" s="667"/>
      <c r="W38" s="46"/>
      <c r="X38" s="50"/>
      <c r="Y38" s="50"/>
      <c r="Z38" s="666"/>
      <c r="AA38" s="668"/>
      <c r="AB38" s="50"/>
      <c r="AC38" s="50"/>
      <c r="AD38" s="666"/>
      <c r="AE38" s="668"/>
      <c r="AF38" s="50"/>
      <c r="AG38" s="50"/>
      <c r="AH38" s="667"/>
      <c r="AI38" s="668"/>
      <c r="AJ38" s="50"/>
      <c r="AK38" s="669"/>
      <c r="AL38" s="667"/>
      <c r="AM38" s="668"/>
      <c r="AN38" s="50"/>
      <c r="AO38" s="669"/>
      <c r="AP38" s="667"/>
      <c r="AQ38" s="670"/>
      <c r="AR38" s="671"/>
      <c r="AS38" s="671"/>
      <c r="AT38" s="672">
        <f t="shared" si="6"/>
        <v>0</v>
      </c>
      <c r="AU38" s="671"/>
      <c r="AV38" s="671"/>
      <c r="AW38" s="671"/>
      <c r="AX38" s="672">
        <f t="shared" si="7"/>
        <v>0</v>
      </c>
      <c r="AY38" s="670"/>
      <c r="AZ38" s="671"/>
      <c r="BA38" s="671"/>
      <c r="BB38" s="672"/>
      <c r="BC38" s="670"/>
      <c r="BD38" s="671"/>
      <c r="BE38" s="671"/>
      <c r="BF38" s="672"/>
      <c r="BG38" s="670"/>
      <c r="BH38" s="671"/>
      <c r="BI38" s="671"/>
      <c r="BJ38" s="672"/>
      <c r="BK38" s="670">
        <v>0</v>
      </c>
      <c r="BL38" s="671">
        <v>0</v>
      </c>
      <c r="BM38" s="671">
        <v>4</v>
      </c>
      <c r="BN38" s="672">
        <f>SUM(BK38:BM38)</f>
        <v>4</v>
      </c>
      <c r="BO38" s="670">
        <v>2</v>
      </c>
      <c r="BP38" s="671">
        <v>1</v>
      </c>
      <c r="BQ38" s="671">
        <v>1</v>
      </c>
      <c r="BR38" s="672">
        <f>SUM(BO38:BQ38)</f>
        <v>4</v>
      </c>
      <c r="BS38" s="670">
        <v>11</v>
      </c>
      <c r="BT38" s="671">
        <v>7</v>
      </c>
      <c r="BU38" s="671">
        <v>1</v>
      </c>
      <c r="BV38" s="672">
        <f>SUM(BS38:BU38)</f>
        <v>19</v>
      </c>
      <c r="BW38" s="670">
        <v>11</v>
      </c>
      <c r="BX38" s="671">
        <v>7</v>
      </c>
      <c r="BY38" s="671">
        <v>3</v>
      </c>
      <c r="BZ38" s="672">
        <f>SUM(BW38:BY38)</f>
        <v>21</v>
      </c>
      <c r="CA38" s="670"/>
      <c r="CB38" s="671">
        <v>5</v>
      </c>
      <c r="CC38" s="671">
        <v>12</v>
      </c>
      <c r="CD38" s="672">
        <f>SUM(CA38:CC38)</f>
        <v>17</v>
      </c>
      <c r="CE38" s="670">
        <v>7</v>
      </c>
      <c r="CF38" s="671">
        <v>6</v>
      </c>
      <c r="CG38" s="671">
        <v>14</v>
      </c>
      <c r="CH38" s="672">
        <f>SUM(CE38:CG38)</f>
        <v>27</v>
      </c>
      <c r="CI38" s="670">
        <v>4</v>
      </c>
      <c r="CJ38" s="671">
        <v>0</v>
      </c>
      <c r="CK38" s="671">
        <v>4</v>
      </c>
      <c r="CL38" s="672">
        <f>SUM(CI38:CK38)</f>
        <v>8</v>
      </c>
      <c r="CM38" s="670">
        <v>12</v>
      </c>
      <c r="CN38" s="671">
        <v>3</v>
      </c>
      <c r="CO38" s="671">
        <v>26</v>
      </c>
      <c r="CP38" s="672">
        <f>SUM(CM38:CO38)</f>
        <v>41</v>
      </c>
      <c r="CQ38" s="670">
        <v>9</v>
      </c>
      <c r="CR38" s="671">
        <v>21</v>
      </c>
      <c r="CS38" s="671">
        <v>9</v>
      </c>
      <c r="CT38" s="672">
        <f>SUM(CQ38:CS38)</f>
        <v>39</v>
      </c>
    </row>
    <row r="39" spans="1:98" s="656" customFormat="1" ht="15" customHeight="1" x14ac:dyDescent="0.3">
      <c r="A39" s="642"/>
      <c r="B39" s="673" t="s">
        <v>115</v>
      </c>
      <c r="C39" s="674"/>
      <c r="D39" s="675"/>
      <c r="E39" s="675"/>
      <c r="F39" s="676"/>
      <c r="G39" s="674"/>
      <c r="H39" s="675"/>
      <c r="I39" s="675"/>
      <c r="J39" s="676"/>
      <c r="K39" s="674"/>
      <c r="L39" s="675"/>
      <c r="M39" s="675"/>
      <c r="N39" s="676"/>
      <c r="O39" s="674"/>
      <c r="P39" s="675"/>
      <c r="Q39" s="675"/>
      <c r="R39" s="676"/>
      <c r="S39" s="674"/>
      <c r="T39" s="675"/>
      <c r="U39" s="675"/>
      <c r="V39" s="676"/>
      <c r="W39" s="674"/>
      <c r="X39" s="675"/>
      <c r="Y39" s="675"/>
      <c r="Z39" s="676"/>
      <c r="AA39" s="674"/>
      <c r="AB39" s="675"/>
      <c r="AC39" s="675"/>
      <c r="AD39" s="676"/>
      <c r="AE39" s="674"/>
      <c r="AF39" s="675"/>
      <c r="AG39" s="675"/>
      <c r="AH39" s="676"/>
      <c r="AI39" s="674"/>
      <c r="AJ39" s="675"/>
      <c r="AK39" s="675"/>
      <c r="AL39" s="676"/>
      <c r="AM39" s="674"/>
      <c r="AN39" s="675"/>
      <c r="AO39" s="675"/>
      <c r="AP39" s="676"/>
      <c r="AQ39" s="674">
        <f>SUM(AQ35:AQ36)</f>
        <v>0</v>
      </c>
      <c r="AR39" s="675">
        <f>SUM(AR35:AR36)</f>
        <v>11</v>
      </c>
      <c r="AS39" s="675">
        <f>SUM(AS35:AS36)</f>
        <v>0</v>
      </c>
      <c r="AT39" s="676">
        <f t="shared" si="6"/>
        <v>11</v>
      </c>
      <c r="AU39" s="674">
        <f>SUM(AU35:AU36)</f>
        <v>1</v>
      </c>
      <c r="AV39" s="675">
        <f>SUM(AV35:AV36)</f>
        <v>6</v>
      </c>
      <c r="AW39" s="675">
        <f>SUM(AW35:AW36)</f>
        <v>3</v>
      </c>
      <c r="AX39" s="676">
        <f t="shared" si="7"/>
        <v>10</v>
      </c>
      <c r="AY39" s="674">
        <f>SUM(AY35:AY36)</f>
        <v>3</v>
      </c>
      <c r="AZ39" s="675">
        <f>SUM(AZ35:AZ36)</f>
        <v>7</v>
      </c>
      <c r="BA39" s="675">
        <f>SUM(BA35:BA36)</f>
        <v>1</v>
      </c>
      <c r="BB39" s="676">
        <f>SUM(BB35:BB36)</f>
        <v>11</v>
      </c>
      <c r="BC39" s="674">
        <f t="shared" ref="BC39:BJ39" si="41">SUM(BC35:BC37)</f>
        <v>1</v>
      </c>
      <c r="BD39" s="675">
        <f t="shared" si="41"/>
        <v>5</v>
      </c>
      <c r="BE39" s="675">
        <f t="shared" si="41"/>
        <v>12</v>
      </c>
      <c r="BF39" s="676">
        <f t="shared" si="41"/>
        <v>18</v>
      </c>
      <c r="BG39" s="674">
        <f t="shared" si="41"/>
        <v>6</v>
      </c>
      <c r="BH39" s="675">
        <f t="shared" si="41"/>
        <v>7</v>
      </c>
      <c r="BI39" s="675">
        <f t="shared" si="41"/>
        <v>2</v>
      </c>
      <c r="BJ39" s="676">
        <f t="shared" si="41"/>
        <v>15</v>
      </c>
      <c r="BK39" s="674">
        <f t="shared" ref="BK39:CL39" si="42">SUM(BK35:BK38)</f>
        <v>6</v>
      </c>
      <c r="BL39" s="675">
        <f t="shared" si="42"/>
        <v>9</v>
      </c>
      <c r="BM39" s="675">
        <f t="shared" si="42"/>
        <v>7</v>
      </c>
      <c r="BN39" s="676">
        <f t="shared" si="42"/>
        <v>22</v>
      </c>
      <c r="BO39" s="674">
        <f t="shared" si="42"/>
        <v>6</v>
      </c>
      <c r="BP39" s="675">
        <f t="shared" si="42"/>
        <v>10</v>
      </c>
      <c r="BQ39" s="675">
        <f t="shared" si="42"/>
        <v>8</v>
      </c>
      <c r="BR39" s="676">
        <f t="shared" si="42"/>
        <v>24</v>
      </c>
      <c r="BS39" s="674">
        <f t="shared" si="42"/>
        <v>17</v>
      </c>
      <c r="BT39" s="675">
        <f t="shared" si="42"/>
        <v>20</v>
      </c>
      <c r="BU39" s="675">
        <f t="shared" si="42"/>
        <v>5</v>
      </c>
      <c r="BV39" s="676">
        <f t="shared" si="42"/>
        <v>42</v>
      </c>
      <c r="BW39" s="674">
        <f>SUM(BW35:BW38)</f>
        <v>19</v>
      </c>
      <c r="BX39" s="675">
        <f>SUM(BX35:BX38)</f>
        <v>16</v>
      </c>
      <c r="BY39" s="675">
        <f>SUM(BY35:BY38)</f>
        <v>8</v>
      </c>
      <c r="BZ39" s="676">
        <f t="shared" si="42"/>
        <v>43</v>
      </c>
      <c r="CA39" s="674">
        <f t="shared" si="42"/>
        <v>16</v>
      </c>
      <c r="CB39" s="675">
        <f t="shared" si="42"/>
        <v>29</v>
      </c>
      <c r="CC39" s="675">
        <f t="shared" si="42"/>
        <v>26</v>
      </c>
      <c r="CD39" s="676">
        <f t="shared" si="42"/>
        <v>71</v>
      </c>
      <c r="CE39" s="674">
        <f t="shared" si="42"/>
        <v>16</v>
      </c>
      <c r="CF39" s="675">
        <f t="shared" si="42"/>
        <v>20</v>
      </c>
      <c r="CG39" s="675">
        <f t="shared" si="42"/>
        <v>26</v>
      </c>
      <c r="CH39" s="676">
        <f t="shared" si="42"/>
        <v>62</v>
      </c>
      <c r="CI39" s="674">
        <f t="shared" si="42"/>
        <v>16</v>
      </c>
      <c r="CJ39" s="675">
        <f t="shared" si="42"/>
        <v>9</v>
      </c>
      <c r="CK39" s="675">
        <f t="shared" si="42"/>
        <v>20</v>
      </c>
      <c r="CL39" s="676">
        <f t="shared" si="42"/>
        <v>45</v>
      </c>
      <c r="CM39" s="674">
        <f t="shared" ref="CM39:CP39" si="43">SUM(CM35:CM38)</f>
        <v>17</v>
      </c>
      <c r="CN39" s="675">
        <f t="shared" si="43"/>
        <v>11</v>
      </c>
      <c r="CO39" s="675">
        <f t="shared" si="43"/>
        <v>67</v>
      </c>
      <c r="CP39" s="676">
        <f t="shared" si="43"/>
        <v>95</v>
      </c>
      <c r="CQ39" s="674">
        <f t="shared" ref="CQ39:CT39" si="44">SUM(CQ35:CQ38)</f>
        <v>17</v>
      </c>
      <c r="CR39" s="675">
        <f t="shared" si="44"/>
        <v>48</v>
      </c>
      <c r="CS39" s="675">
        <f t="shared" si="44"/>
        <v>13</v>
      </c>
      <c r="CT39" s="676">
        <f t="shared" si="44"/>
        <v>78</v>
      </c>
    </row>
    <row r="40" spans="1:98" s="656" customFormat="1" ht="15" customHeight="1" x14ac:dyDescent="0.3">
      <c r="A40" s="642"/>
      <c r="B40" s="702" t="s">
        <v>116</v>
      </c>
      <c r="C40" s="703"/>
      <c r="D40" s="704"/>
      <c r="E40" s="704"/>
      <c r="F40" s="705"/>
      <c r="G40" s="703"/>
      <c r="H40" s="704"/>
      <c r="I40" s="704"/>
      <c r="J40" s="705"/>
      <c r="K40" s="703"/>
      <c r="L40" s="704"/>
      <c r="M40" s="704"/>
      <c r="N40" s="705"/>
      <c r="O40" s="703"/>
      <c r="P40" s="704"/>
      <c r="Q40" s="704"/>
      <c r="R40" s="705"/>
      <c r="S40" s="703"/>
      <c r="T40" s="704"/>
      <c r="U40" s="704"/>
      <c r="V40" s="705"/>
      <c r="W40" s="703"/>
      <c r="X40" s="704"/>
      <c r="Y40" s="704"/>
      <c r="Z40" s="705"/>
      <c r="AA40" s="703"/>
      <c r="AB40" s="704"/>
      <c r="AC40" s="704"/>
      <c r="AD40" s="705"/>
      <c r="AE40" s="703"/>
      <c r="AF40" s="704"/>
      <c r="AG40" s="704"/>
      <c r="AH40" s="705"/>
      <c r="AI40" s="703"/>
      <c r="AJ40" s="704"/>
      <c r="AK40" s="704"/>
      <c r="AL40" s="705"/>
      <c r="AM40" s="703"/>
      <c r="AN40" s="704"/>
      <c r="AO40" s="704"/>
      <c r="AP40" s="705"/>
      <c r="AQ40" s="706">
        <f>SUM(AQ30,AQ34,AQ39)</f>
        <v>0</v>
      </c>
      <c r="AR40" s="707">
        <f>SUM(AR30,AR34,AR39)</f>
        <v>27</v>
      </c>
      <c r="AS40" s="707">
        <f>SUM(AS30,AS34,AS39)</f>
        <v>40</v>
      </c>
      <c r="AT40" s="708">
        <f t="shared" si="6"/>
        <v>67</v>
      </c>
      <c r="AU40" s="706">
        <f>SUM(AU30,AU34,AU39)</f>
        <v>2</v>
      </c>
      <c r="AV40" s="707">
        <f>SUM(AV30,AV34,AV39)</f>
        <v>13</v>
      </c>
      <c r="AW40" s="707">
        <f>SUM(AW30,AW34,AW39)</f>
        <v>38</v>
      </c>
      <c r="AX40" s="708">
        <f t="shared" si="7"/>
        <v>53</v>
      </c>
      <c r="AY40" s="703">
        <f t="shared" ref="AY40:CI40" si="45">SUM(AY30,AY34,AY39)</f>
        <v>10</v>
      </c>
      <c r="AZ40" s="704">
        <f t="shared" si="45"/>
        <v>62</v>
      </c>
      <c r="BA40" s="704">
        <f t="shared" si="45"/>
        <v>22</v>
      </c>
      <c r="BB40" s="705">
        <f t="shared" si="45"/>
        <v>94</v>
      </c>
      <c r="BC40" s="703">
        <f t="shared" si="45"/>
        <v>18</v>
      </c>
      <c r="BD40" s="704">
        <f t="shared" si="45"/>
        <v>66</v>
      </c>
      <c r="BE40" s="704">
        <f t="shared" si="45"/>
        <v>36</v>
      </c>
      <c r="BF40" s="705">
        <f t="shared" si="45"/>
        <v>120</v>
      </c>
      <c r="BG40" s="703">
        <f t="shared" si="45"/>
        <v>27</v>
      </c>
      <c r="BH40" s="704">
        <f t="shared" si="45"/>
        <v>47</v>
      </c>
      <c r="BI40" s="704">
        <f t="shared" si="45"/>
        <v>5</v>
      </c>
      <c r="BJ40" s="705">
        <f t="shared" si="45"/>
        <v>79</v>
      </c>
      <c r="BK40" s="703">
        <f t="shared" si="45"/>
        <v>16</v>
      </c>
      <c r="BL40" s="704">
        <f t="shared" si="45"/>
        <v>49</v>
      </c>
      <c r="BM40" s="704">
        <f t="shared" si="45"/>
        <v>21</v>
      </c>
      <c r="BN40" s="705">
        <f t="shared" si="45"/>
        <v>86</v>
      </c>
      <c r="BO40" s="703">
        <f t="shared" si="45"/>
        <v>22</v>
      </c>
      <c r="BP40" s="704">
        <f t="shared" si="45"/>
        <v>45</v>
      </c>
      <c r="BQ40" s="704">
        <f t="shared" si="45"/>
        <v>14</v>
      </c>
      <c r="BR40" s="705">
        <f t="shared" si="45"/>
        <v>81</v>
      </c>
      <c r="BS40" s="703">
        <f t="shared" si="45"/>
        <v>36</v>
      </c>
      <c r="BT40" s="704">
        <f t="shared" si="45"/>
        <v>61</v>
      </c>
      <c r="BU40" s="704">
        <f t="shared" si="45"/>
        <v>16</v>
      </c>
      <c r="BV40" s="705">
        <f t="shared" si="45"/>
        <v>113</v>
      </c>
      <c r="BW40" s="703">
        <f t="shared" si="45"/>
        <v>41</v>
      </c>
      <c r="BX40" s="704">
        <f t="shared" si="45"/>
        <v>70</v>
      </c>
      <c r="BY40" s="704">
        <f t="shared" si="45"/>
        <v>23</v>
      </c>
      <c r="BZ40" s="705">
        <f t="shared" si="45"/>
        <v>134</v>
      </c>
      <c r="CA40" s="703">
        <f t="shared" si="45"/>
        <v>64</v>
      </c>
      <c r="CB40" s="704">
        <f t="shared" si="45"/>
        <v>81</v>
      </c>
      <c r="CC40" s="704">
        <f t="shared" si="45"/>
        <v>40</v>
      </c>
      <c r="CD40" s="705">
        <f t="shared" si="45"/>
        <v>185</v>
      </c>
      <c r="CE40" s="703">
        <f t="shared" si="45"/>
        <v>67</v>
      </c>
      <c r="CF40" s="704">
        <f t="shared" si="45"/>
        <v>84</v>
      </c>
      <c r="CG40" s="704">
        <f t="shared" si="45"/>
        <v>80</v>
      </c>
      <c r="CH40" s="705">
        <f t="shared" si="45"/>
        <v>231</v>
      </c>
      <c r="CI40" s="703">
        <f t="shared" si="45"/>
        <v>46</v>
      </c>
      <c r="CJ40" s="704">
        <f>SUM(CJ39,CJ34,CJ30)</f>
        <v>35</v>
      </c>
      <c r="CK40" s="704">
        <f>SUM(CK30,CK34,CK39)</f>
        <v>101</v>
      </c>
      <c r="CL40" s="705">
        <f>SUM(CL30,CL34,CL39)</f>
        <v>182</v>
      </c>
      <c r="CM40" s="703">
        <f t="shared" ref="CM40" si="46">SUM(CM30,CM34,CM39)</f>
        <v>42</v>
      </c>
      <c r="CN40" s="704">
        <f>SUM(CN39,CN34,CN30)</f>
        <v>62</v>
      </c>
      <c r="CO40" s="704">
        <f>SUM(CO30,CO34,CO39)</f>
        <v>175</v>
      </c>
      <c r="CP40" s="705">
        <f>SUM(CP30,CP34,CP39)</f>
        <v>279</v>
      </c>
      <c r="CQ40" s="703">
        <f t="shared" ref="CQ40" si="47">SUM(CQ30,CQ34,CQ39)</f>
        <v>70</v>
      </c>
      <c r="CR40" s="704">
        <f>SUM(CR39,CR34,CR30)</f>
        <v>141</v>
      </c>
      <c r="CS40" s="704">
        <f>SUM(CS30,CS34,CS39)</f>
        <v>36</v>
      </c>
      <c r="CT40" s="705">
        <f>SUM(CT30,CT34,CT39)</f>
        <v>247</v>
      </c>
    </row>
    <row r="41" spans="1:98" s="656" customFormat="1" ht="15" customHeight="1" x14ac:dyDescent="0.3">
      <c r="A41" s="642"/>
      <c r="B41" s="648" t="s">
        <v>70</v>
      </c>
      <c r="C41" s="33">
        <v>22</v>
      </c>
      <c r="D41" s="34">
        <v>13</v>
      </c>
      <c r="E41" s="34">
        <v>3</v>
      </c>
      <c r="F41" s="649">
        <v>38</v>
      </c>
      <c r="G41" s="33">
        <v>10</v>
      </c>
      <c r="H41" s="34">
        <v>9</v>
      </c>
      <c r="I41" s="34">
        <v>6</v>
      </c>
      <c r="J41" s="649">
        <v>25</v>
      </c>
      <c r="K41" s="33">
        <v>22</v>
      </c>
      <c r="L41" s="34">
        <v>15</v>
      </c>
      <c r="M41" s="34">
        <v>10</v>
      </c>
      <c r="N41" s="649">
        <v>47</v>
      </c>
      <c r="O41" s="33">
        <v>6</v>
      </c>
      <c r="P41" s="34">
        <v>17</v>
      </c>
      <c r="Q41" s="34">
        <v>6</v>
      </c>
      <c r="R41" s="650">
        <v>29</v>
      </c>
      <c r="S41" s="33">
        <v>10</v>
      </c>
      <c r="T41" s="34">
        <v>8</v>
      </c>
      <c r="U41" s="34">
        <v>6</v>
      </c>
      <c r="V41" s="650">
        <f t="shared" ref="V41:V49" si="48">SUM(S41:U41)</f>
        <v>24</v>
      </c>
      <c r="W41" s="33">
        <v>13</v>
      </c>
      <c r="X41" s="34">
        <v>14</v>
      </c>
      <c r="Y41" s="34">
        <v>5</v>
      </c>
      <c r="Z41" s="649">
        <f t="shared" ref="Z41:Z49" si="49">SUM(W41:Y41)</f>
        <v>32</v>
      </c>
      <c r="AA41" s="651">
        <v>11</v>
      </c>
      <c r="AB41" s="34">
        <v>19</v>
      </c>
      <c r="AC41" s="34">
        <v>3</v>
      </c>
      <c r="AD41" s="649">
        <f t="shared" ref="AD41:AD49" si="50">SUM(AA41:AC41)</f>
        <v>33</v>
      </c>
      <c r="AE41" s="651">
        <v>7</v>
      </c>
      <c r="AF41" s="34">
        <v>33</v>
      </c>
      <c r="AG41" s="34">
        <v>14</v>
      </c>
      <c r="AH41" s="650">
        <f t="shared" ref="AH41:AH49" si="51">SUM(AE41:AG41)</f>
        <v>54</v>
      </c>
      <c r="AI41" s="651">
        <v>3</v>
      </c>
      <c r="AJ41" s="34">
        <v>20</v>
      </c>
      <c r="AK41" s="652">
        <v>8</v>
      </c>
      <c r="AL41" s="650">
        <f t="shared" ref="AL41:AL49" si="52">SUM(AI41:AK41)</f>
        <v>31</v>
      </c>
      <c r="AM41" s="651">
        <v>12</v>
      </c>
      <c r="AN41" s="34">
        <v>15</v>
      </c>
      <c r="AO41" s="652">
        <v>5</v>
      </c>
      <c r="AP41" s="650">
        <f t="shared" ref="AP41:AP49" si="53">SUM(AM41:AO41)</f>
        <v>32</v>
      </c>
      <c r="AQ41" s="653">
        <v>11</v>
      </c>
      <c r="AR41" s="654">
        <v>18</v>
      </c>
      <c r="AS41" s="654">
        <v>9</v>
      </c>
      <c r="AT41" s="655">
        <f t="shared" si="6"/>
        <v>38</v>
      </c>
      <c r="AU41" s="654">
        <v>12</v>
      </c>
      <c r="AV41" s="654">
        <v>27</v>
      </c>
      <c r="AW41" s="654">
        <v>9</v>
      </c>
      <c r="AX41" s="655">
        <f t="shared" si="7"/>
        <v>48</v>
      </c>
      <c r="AY41" s="653">
        <v>10</v>
      </c>
      <c r="AZ41" s="654">
        <v>9</v>
      </c>
      <c r="BA41" s="654">
        <v>9</v>
      </c>
      <c r="BB41" s="655">
        <v>28</v>
      </c>
      <c r="BC41" s="653">
        <v>8</v>
      </c>
      <c r="BD41" s="654">
        <v>13</v>
      </c>
      <c r="BE41" s="654">
        <v>6</v>
      </c>
      <c r="BF41" s="655">
        <f t="shared" si="8"/>
        <v>27</v>
      </c>
      <c r="BG41" s="653">
        <v>5</v>
      </c>
      <c r="BH41" s="654">
        <v>7</v>
      </c>
      <c r="BI41" s="654">
        <v>10</v>
      </c>
      <c r="BJ41" s="655">
        <f t="shared" ref="BJ41:BJ49" si="54">SUM(BG41:BI41)</f>
        <v>22</v>
      </c>
      <c r="BK41" s="653">
        <v>6</v>
      </c>
      <c r="BL41" s="654">
        <v>18</v>
      </c>
      <c r="BM41" s="654">
        <v>9</v>
      </c>
      <c r="BN41" s="655">
        <f t="shared" ref="BN41:BN49" si="55">SUM(BK41:BM41)</f>
        <v>33</v>
      </c>
      <c r="BO41" s="653">
        <v>7</v>
      </c>
      <c r="BP41" s="654">
        <v>3</v>
      </c>
      <c r="BQ41" s="654">
        <v>12</v>
      </c>
      <c r="BR41" s="655">
        <f t="shared" ref="BR41:BR49" si="56">SUM(BO41:BQ41)</f>
        <v>22</v>
      </c>
      <c r="BS41" s="653">
        <v>9</v>
      </c>
      <c r="BT41" s="654">
        <v>15</v>
      </c>
      <c r="BU41" s="654">
        <v>5</v>
      </c>
      <c r="BV41" s="655">
        <f t="shared" ref="BV41:BV49" si="57">SUM(BS41:BU41)</f>
        <v>29</v>
      </c>
      <c r="BW41" s="653">
        <v>14</v>
      </c>
      <c r="BX41" s="654">
        <v>10</v>
      </c>
      <c r="BY41" s="654">
        <v>13</v>
      </c>
      <c r="BZ41" s="655">
        <f t="shared" ref="BZ41:BZ49" si="58">SUM(BW41:BY41)</f>
        <v>37</v>
      </c>
      <c r="CA41" s="653">
        <v>13</v>
      </c>
      <c r="CB41" s="654">
        <v>17</v>
      </c>
      <c r="CC41" s="654">
        <v>26</v>
      </c>
      <c r="CD41" s="655">
        <f t="shared" ref="CD41:CD49" si="59">SUM(CA41:CC41)</f>
        <v>56</v>
      </c>
      <c r="CE41" s="653">
        <v>23</v>
      </c>
      <c r="CF41" s="654">
        <v>15</v>
      </c>
      <c r="CG41" s="654">
        <v>23</v>
      </c>
      <c r="CH41" s="655">
        <f t="shared" ref="CH41:CH49" si="60">SUM(CE41:CG41)</f>
        <v>61</v>
      </c>
      <c r="CI41" s="653">
        <v>13</v>
      </c>
      <c r="CJ41" s="654">
        <v>14</v>
      </c>
      <c r="CK41" s="654">
        <v>7</v>
      </c>
      <c r="CL41" s="655">
        <f t="shared" ref="CL41:CL49" si="61">SUM(CI41:CK41)</f>
        <v>34</v>
      </c>
      <c r="CM41" s="653">
        <v>13</v>
      </c>
      <c r="CN41" s="654">
        <v>18</v>
      </c>
      <c r="CO41" s="654">
        <v>23</v>
      </c>
      <c r="CP41" s="655">
        <f t="shared" ref="CP41:CP50" si="62">SUM(CM41:CO41)</f>
        <v>54</v>
      </c>
      <c r="CQ41" s="653">
        <v>7</v>
      </c>
      <c r="CR41" s="654">
        <v>20</v>
      </c>
      <c r="CS41" s="654">
        <v>22</v>
      </c>
      <c r="CT41" s="655">
        <f t="shared" ref="CT41:CT50" si="63">SUM(CQ41:CS41)</f>
        <v>49</v>
      </c>
    </row>
    <row r="42" spans="1:98" s="656" customFormat="1" ht="15" customHeight="1" x14ac:dyDescent="0.3">
      <c r="A42" s="642"/>
      <c r="B42" s="657" t="s">
        <v>71</v>
      </c>
      <c r="C42" s="40">
        <v>0</v>
      </c>
      <c r="D42" s="41">
        <v>0</v>
      </c>
      <c r="E42" s="41">
        <v>0</v>
      </c>
      <c r="F42" s="658">
        <v>0</v>
      </c>
      <c r="G42" s="40">
        <v>2</v>
      </c>
      <c r="H42" s="41">
        <v>4</v>
      </c>
      <c r="I42" s="41">
        <v>0</v>
      </c>
      <c r="J42" s="658">
        <v>6</v>
      </c>
      <c r="K42" s="40">
        <v>3</v>
      </c>
      <c r="L42" s="41">
        <v>1</v>
      </c>
      <c r="M42" s="41">
        <v>1</v>
      </c>
      <c r="N42" s="658">
        <v>5</v>
      </c>
      <c r="O42" s="40">
        <v>1</v>
      </c>
      <c r="P42" s="41">
        <v>2</v>
      </c>
      <c r="Q42" s="41">
        <v>1</v>
      </c>
      <c r="R42" s="659">
        <v>4</v>
      </c>
      <c r="S42" s="40">
        <v>2</v>
      </c>
      <c r="T42" s="41">
        <v>1</v>
      </c>
      <c r="U42" s="41">
        <v>5</v>
      </c>
      <c r="V42" s="659">
        <f t="shared" si="48"/>
        <v>8</v>
      </c>
      <c r="W42" s="40">
        <v>2</v>
      </c>
      <c r="X42" s="41">
        <v>3</v>
      </c>
      <c r="Y42" s="41">
        <v>1</v>
      </c>
      <c r="Z42" s="658">
        <f t="shared" si="49"/>
        <v>6</v>
      </c>
      <c r="AA42" s="660">
        <v>1</v>
      </c>
      <c r="AB42" s="41">
        <v>2</v>
      </c>
      <c r="AC42" s="41">
        <v>5</v>
      </c>
      <c r="AD42" s="658">
        <f t="shared" si="50"/>
        <v>8</v>
      </c>
      <c r="AE42" s="660">
        <v>2</v>
      </c>
      <c r="AF42" s="41">
        <v>1</v>
      </c>
      <c r="AG42" s="41">
        <v>1</v>
      </c>
      <c r="AH42" s="659">
        <f t="shared" si="51"/>
        <v>4</v>
      </c>
      <c r="AI42" s="660" t="s">
        <v>122</v>
      </c>
      <c r="AJ42" s="41">
        <v>2</v>
      </c>
      <c r="AK42" s="661">
        <v>3</v>
      </c>
      <c r="AL42" s="659">
        <f t="shared" si="52"/>
        <v>5</v>
      </c>
      <c r="AM42" s="660"/>
      <c r="AN42" s="41"/>
      <c r="AO42" s="661"/>
      <c r="AP42" s="659">
        <f t="shared" si="53"/>
        <v>0</v>
      </c>
      <c r="AQ42" s="662">
        <v>5</v>
      </c>
      <c r="AR42" s="663">
        <v>1</v>
      </c>
      <c r="AS42" s="663">
        <v>1</v>
      </c>
      <c r="AT42" s="664">
        <f t="shared" si="6"/>
        <v>7</v>
      </c>
      <c r="AU42" s="663">
        <v>2</v>
      </c>
      <c r="AV42" s="663">
        <v>4</v>
      </c>
      <c r="AW42" s="663">
        <v>3</v>
      </c>
      <c r="AX42" s="664">
        <f t="shared" si="7"/>
        <v>9</v>
      </c>
      <c r="AY42" s="662">
        <v>1</v>
      </c>
      <c r="AZ42" s="663"/>
      <c r="BA42" s="663">
        <v>4</v>
      </c>
      <c r="BB42" s="664">
        <v>5</v>
      </c>
      <c r="BC42" s="662">
        <v>3</v>
      </c>
      <c r="BD42" s="663">
        <v>2</v>
      </c>
      <c r="BE42" s="663">
        <v>1</v>
      </c>
      <c r="BF42" s="664">
        <f t="shared" si="8"/>
        <v>6</v>
      </c>
      <c r="BG42" s="662"/>
      <c r="BH42" s="663"/>
      <c r="BI42" s="663"/>
      <c r="BJ42" s="664">
        <f t="shared" si="54"/>
        <v>0</v>
      </c>
      <c r="BK42" s="662">
        <v>3</v>
      </c>
      <c r="BL42" s="663">
        <v>10</v>
      </c>
      <c r="BM42" s="663">
        <v>2</v>
      </c>
      <c r="BN42" s="664">
        <f t="shared" si="55"/>
        <v>15</v>
      </c>
      <c r="BO42" s="662">
        <v>6</v>
      </c>
      <c r="BP42" s="663">
        <v>2</v>
      </c>
      <c r="BQ42" s="663">
        <v>2</v>
      </c>
      <c r="BR42" s="664">
        <f t="shared" si="56"/>
        <v>10</v>
      </c>
      <c r="BS42" s="662">
        <v>2</v>
      </c>
      <c r="BT42" s="663">
        <v>1</v>
      </c>
      <c r="BU42" s="663">
        <v>3</v>
      </c>
      <c r="BV42" s="664">
        <f t="shared" si="57"/>
        <v>6</v>
      </c>
      <c r="BW42" s="662">
        <v>3</v>
      </c>
      <c r="BX42" s="663">
        <v>4</v>
      </c>
      <c r="BY42" s="663">
        <v>0</v>
      </c>
      <c r="BZ42" s="664">
        <f t="shared" si="58"/>
        <v>7</v>
      </c>
      <c r="CA42" s="662"/>
      <c r="CB42" s="663">
        <v>2</v>
      </c>
      <c r="CC42" s="663">
        <v>1</v>
      </c>
      <c r="CD42" s="664">
        <f t="shared" si="59"/>
        <v>3</v>
      </c>
      <c r="CE42" s="662">
        <v>1</v>
      </c>
      <c r="CF42" s="663">
        <v>2</v>
      </c>
      <c r="CG42" s="663">
        <v>4</v>
      </c>
      <c r="CH42" s="664">
        <f t="shared" si="60"/>
        <v>7</v>
      </c>
      <c r="CI42" s="662">
        <v>4</v>
      </c>
      <c r="CJ42" s="663">
        <v>2</v>
      </c>
      <c r="CK42" s="663">
        <v>2</v>
      </c>
      <c r="CL42" s="664">
        <f t="shared" si="61"/>
        <v>8</v>
      </c>
      <c r="CM42" s="662">
        <v>3</v>
      </c>
      <c r="CN42" s="663">
        <v>5</v>
      </c>
      <c r="CO42" s="663">
        <v>3</v>
      </c>
      <c r="CP42" s="664">
        <f t="shared" si="62"/>
        <v>11</v>
      </c>
      <c r="CQ42" s="662">
        <v>6</v>
      </c>
      <c r="CR42" s="663">
        <v>3</v>
      </c>
      <c r="CS42" s="663">
        <v>6</v>
      </c>
      <c r="CT42" s="664">
        <f t="shared" si="63"/>
        <v>15</v>
      </c>
    </row>
    <row r="43" spans="1:98" s="656" customFormat="1" ht="15" customHeight="1" x14ac:dyDescent="0.3">
      <c r="A43" s="642"/>
      <c r="B43" s="657" t="s">
        <v>56</v>
      </c>
      <c r="C43" s="40">
        <v>6</v>
      </c>
      <c r="D43" s="41">
        <v>6</v>
      </c>
      <c r="E43" s="41">
        <v>3</v>
      </c>
      <c r="F43" s="658">
        <v>15</v>
      </c>
      <c r="G43" s="40">
        <v>9</v>
      </c>
      <c r="H43" s="41">
        <v>7</v>
      </c>
      <c r="I43" s="41">
        <v>5</v>
      </c>
      <c r="J43" s="658">
        <v>21</v>
      </c>
      <c r="K43" s="40">
        <v>7</v>
      </c>
      <c r="L43" s="41">
        <v>10</v>
      </c>
      <c r="M43" s="41">
        <v>7</v>
      </c>
      <c r="N43" s="658">
        <v>24</v>
      </c>
      <c r="O43" s="40">
        <v>5</v>
      </c>
      <c r="P43" s="41">
        <v>7</v>
      </c>
      <c r="Q43" s="41">
        <v>7</v>
      </c>
      <c r="R43" s="659">
        <v>19</v>
      </c>
      <c r="S43" s="40">
        <v>15</v>
      </c>
      <c r="T43" s="41">
        <v>14</v>
      </c>
      <c r="U43" s="41">
        <v>10</v>
      </c>
      <c r="V43" s="659">
        <f t="shared" si="48"/>
        <v>39</v>
      </c>
      <c r="W43" s="40">
        <v>9</v>
      </c>
      <c r="X43" s="41">
        <v>15</v>
      </c>
      <c r="Y43" s="41">
        <v>11</v>
      </c>
      <c r="Z43" s="658">
        <f t="shared" si="49"/>
        <v>35</v>
      </c>
      <c r="AA43" s="660">
        <v>13</v>
      </c>
      <c r="AB43" s="41">
        <v>20</v>
      </c>
      <c r="AC43" s="41">
        <v>6</v>
      </c>
      <c r="AD43" s="658">
        <f t="shared" si="50"/>
        <v>39</v>
      </c>
      <c r="AE43" s="660">
        <v>5</v>
      </c>
      <c r="AF43" s="41">
        <v>9</v>
      </c>
      <c r="AG43" s="41">
        <v>9</v>
      </c>
      <c r="AH43" s="659">
        <f t="shared" si="51"/>
        <v>23</v>
      </c>
      <c r="AI43" s="660">
        <v>7</v>
      </c>
      <c r="AJ43" s="41">
        <v>7</v>
      </c>
      <c r="AK43" s="661">
        <v>6</v>
      </c>
      <c r="AL43" s="659">
        <f t="shared" si="52"/>
        <v>20</v>
      </c>
      <c r="AM43" s="660">
        <v>12</v>
      </c>
      <c r="AN43" s="41">
        <v>8</v>
      </c>
      <c r="AO43" s="661">
        <v>1</v>
      </c>
      <c r="AP43" s="659">
        <f t="shared" si="53"/>
        <v>21</v>
      </c>
      <c r="AQ43" s="662">
        <v>3</v>
      </c>
      <c r="AR43" s="663">
        <v>9</v>
      </c>
      <c r="AS43" s="663">
        <v>5</v>
      </c>
      <c r="AT43" s="664">
        <f t="shared" si="6"/>
        <v>17</v>
      </c>
      <c r="AU43" s="663">
        <v>3</v>
      </c>
      <c r="AV43" s="663">
        <v>12</v>
      </c>
      <c r="AW43" s="663">
        <v>6</v>
      </c>
      <c r="AX43" s="664">
        <f t="shared" si="7"/>
        <v>21</v>
      </c>
      <c r="AY43" s="662">
        <v>6</v>
      </c>
      <c r="AZ43" s="663">
        <v>10</v>
      </c>
      <c r="BA43" s="663">
        <v>9</v>
      </c>
      <c r="BB43" s="664">
        <v>25</v>
      </c>
      <c r="BC43" s="662">
        <v>3</v>
      </c>
      <c r="BD43" s="663">
        <v>8</v>
      </c>
      <c r="BE43" s="663">
        <v>11</v>
      </c>
      <c r="BF43" s="664">
        <f t="shared" si="8"/>
        <v>22</v>
      </c>
      <c r="BG43" s="662">
        <v>8</v>
      </c>
      <c r="BH43" s="663">
        <v>8</v>
      </c>
      <c r="BI43" s="663">
        <v>5</v>
      </c>
      <c r="BJ43" s="664">
        <f t="shared" si="54"/>
        <v>21</v>
      </c>
      <c r="BK43" s="662">
        <v>2</v>
      </c>
      <c r="BL43" s="663">
        <v>6</v>
      </c>
      <c r="BM43" s="663">
        <v>4</v>
      </c>
      <c r="BN43" s="664">
        <f t="shared" si="55"/>
        <v>12</v>
      </c>
      <c r="BO43" s="662">
        <v>3</v>
      </c>
      <c r="BP43" s="663">
        <v>12</v>
      </c>
      <c r="BQ43" s="663">
        <v>4</v>
      </c>
      <c r="BR43" s="664">
        <f t="shared" si="56"/>
        <v>19</v>
      </c>
      <c r="BS43" s="662">
        <v>14</v>
      </c>
      <c r="BT43" s="663">
        <v>8</v>
      </c>
      <c r="BU43" s="663">
        <v>13</v>
      </c>
      <c r="BV43" s="664">
        <f t="shared" si="57"/>
        <v>35</v>
      </c>
      <c r="BW43" s="662">
        <v>10</v>
      </c>
      <c r="BX43" s="663">
        <v>11</v>
      </c>
      <c r="BY43" s="663">
        <v>13</v>
      </c>
      <c r="BZ43" s="664">
        <f t="shared" si="58"/>
        <v>34</v>
      </c>
      <c r="CA43" s="662">
        <v>10</v>
      </c>
      <c r="CB43" s="663">
        <v>17</v>
      </c>
      <c r="CC43" s="663">
        <v>16</v>
      </c>
      <c r="CD43" s="664">
        <f t="shared" si="59"/>
        <v>43</v>
      </c>
      <c r="CE43" s="662">
        <v>25</v>
      </c>
      <c r="CF43" s="663">
        <v>20</v>
      </c>
      <c r="CG43" s="663">
        <v>14</v>
      </c>
      <c r="CH43" s="664">
        <f t="shared" si="60"/>
        <v>59</v>
      </c>
      <c r="CI43" s="662">
        <v>12</v>
      </c>
      <c r="CJ43" s="663">
        <v>15</v>
      </c>
      <c r="CK43" s="663">
        <v>16</v>
      </c>
      <c r="CL43" s="664">
        <f t="shared" si="61"/>
        <v>43</v>
      </c>
      <c r="CM43" s="662">
        <v>21</v>
      </c>
      <c r="CN43" s="663">
        <v>17</v>
      </c>
      <c r="CO43" s="663">
        <v>16</v>
      </c>
      <c r="CP43" s="664">
        <f t="shared" si="62"/>
        <v>54</v>
      </c>
      <c r="CQ43" s="662">
        <v>7</v>
      </c>
      <c r="CR43" s="663">
        <v>18</v>
      </c>
      <c r="CS43" s="663">
        <v>13</v>
      </c>
      <c r="CT43" s="664">
        <f t="shared" si="63"/>
        <v>38</v>
      </c>
    </row>
    <row r="44" spans="1:98" s="656" customFormat="1" ht="15" customHeight="1" x14ac:dyDescent="0.3">
      <c r="A44" s="642"/>
      <c r="B44" s="657" t="s">
        <v>174</v>
      </c>
      <c r="C44" s="40">
        <v>7</v>
      </c>
      <c r="D44" s="41">
        <v>7</v>
      </c>
      <c r="E44" s="41">
        <v>6</v>
      </c>
      <c r="F44" s="658">
        <v>20</v>
      </c>
      <c r="G44" s="40">
        <v>2</v>
      </c>
      <c r="H44" s="41">
        <v>2</v>
      </c>
      <c r="I44" s="41">
        <v>8</v>
      </c>
      <c r="J44" s="658">
        <v>12</v>
      </c>
      <c r="K44" s="40">
        <v>8</v>
      </c>
      <c r="L44" s="41">
        <v>3</v>
      </c>
      <c r="M44" s="41">
        <v>4</v>
      </c>
      <c r="N44" s="658">
        <v>15</v>
      </c>
      <c r="O44" s="40">
        <v>6</v>
      </c>
      <c r="P44" s="41">
        <v>1</v>
      </c>
      <c r="Q44" s="41">
        <v>1</v>
      </c>
      <c r="R44" s="659">
        <v>8</v>
      </c>
      <c r="S44" s="40">
        <v>3</v>
      </c>
      <c r="T44" s="41">
        <v>3</v>
      </c>
      <c r="U44" s="41">
        <v>7</v>
      </c>
      <c r="V44" s="659">
        <f t="shared" si="48"/>
        <v>13</v>
      </c>
      <c r="W44" s="40">
        <v>2</v>
      </c>
      <c r="X44" s="41">
        <v>4</v>
      </c>
      <c r="Y44" s="41">
        <v>4</v>
      </c>
      <c r="Z44" s="658">
        <f t="shared" si="49"/>
        <v>10</v>
      </c>
      <c r="AA44" s="660">
        <v>6</v>
      </c>
      <c r="AB44" s="41">
        <v>3</v>
      </c>
      <c r="AC44" s="41">
        <v>11</v>
      </c>
      <c r="AD44" s="658">
        <f t="shared" si="50"/>
        <v>20</v>
      </c>
      <c r="AE44" s="660">
        <v>5</v>
      </c>
      <c r="AF44" s="41">
        <v>10</v>
      </c>
      <c r="AG44" s="41">
        <v>8</v>
      </c>
      <c r="AH44" s="659">
        <f t="shared" si="51"/>
        <v>23</v>
      </c>
      <c r="AI44" s="660">
        <v>3</v>
      </c>
      <c r="AJ44" s="41">
        <v>6</v>
      </c>
      <c r="AK44" s="661">
        <v>1</v>
      </c>
      <c r="AL44" s="659">
        <f t="shared" si="52"/>
        <v>10</v>
      </c>
      <c r="AM44" s="660">
        <v>6</v>
      </c>
      <c r="AN44" s="41">
        <v>3</v>
      </c>
      <c r="AO44" s="661">
        <v>5</v>
      </c>
      <c r="AP44" s="659">
        <f t="shared" si="53"/>
        <v>14</v>
      </c>
      <c r="AQ44" s="662">
        <v>4</v>
      </c>
      <c r="AR44" s="663">
        <v>5</v>
      </c>
      <c r="AS44" s="663">
        <v>4</v>
      </c>
      <c r="AT44" s="664">
        <f t="shared" si="6"/>
        <v>13</v>
      </c>
      <c r="AU44" s="663">
        <v>3</v>
      </c>
      <c r="AV44" s="663">
        <v>3</v>
      </c>
      <c r="AW44" s="663">
        <v>11</v>
      </c>
      <c r="AX44" s="664">
        <f t="shared" si="7"/>
        <v>17</v>
      </c>
      <c r="AY44" s="662">
        <v>4</v>
      </c>
      <c r="AZ44" s="663">
        <v>4</v>
      </c>
      <c r="BA44" s="663">
        <v>9</v>
      </c>
      <c r="BB44" s="664">
        <v>17</v>
      </c>
      <c r="BC44" s="662">
        <v>6</v>
      </c>
      <c r="BD44" s="663">
        <v>8</v>
      </c>
      <c r="BE44" s="663">
        <v>6</v>
      </c>
      <c r="BF44" s="664">
        <f t="shared" si="8"/>
        <v>20</v>
      </c>
      <c r="BG44" s="662">
        <v>3</v>
      </c>
      <c r="BH44" s="663">
        <v>5</v>
      </c>
      <c r="BI44" s="663">
        <v>6</v>
      </c>
      <c r="BJ44" s="664">
        <f t="shared" si="54"/>
        <v>14</v>
      </c>
      <c r="BK44" s="662">
        <v>5</v>
      </c>
      <c r="BL44" s="663">
        <v>4</v>
      </c>
      <c r="BM44" s="663">
        <v>4</v>
      </c>
      <c r="BN44" s="664">
        <f t="shared" si="55"/>
        <v>13</v>
      </c>
      <c r="BO44" s="662">
        <v>6</v>
      </c>
      <c r="BP44" s="663">
        <v>10</v>
      </c>
      <c r="BQ44" s="663">
        <v>8</v>
      </c>
      <c r="BR44" s="664">
        <f t="shared" si="56"/>
        <v>24</v>
      </c>
      <c r="BS44" s="662">
        <v>8</v>
      </c>
      <c r="BT44" s="663">
        <v>14</v>
      </c>
      <c r="BU44" s="663">
        <v>7</v>
      </c>
      <c r="BV44" s="664">
        <f t="shared" si="57"/>
        <v>29</v>
      </c>
      <c r="BW44" s="662">
        <v>6</v>
      </c>
      <c r="BX44" s="663">
        <v>10</v>
      </c>
      <c r="BY44" s="663">
        <v>4</v>
      </c>
      <c r="BZ44" s="664">
        <f t="shared" si="58"/>
        <v>20</v>
      </c>
      <c r="CA44" s="662">
        <v>14</v>
      </c>
      <c r="CB44" s="663">
        <v>18</v>
      </c>
      <c r="CC44" s="663">
        <v>9</v>
      </c>
      <c r="CD44" s="664">
        <f t="shared" si="59"/>
        <v>41</v>
      </c>
      <c r="CE44" s="662">
        <v>13</v>
      </c>
      <c r="CF44" s="663">
        <v>9</v>
      </c>
      <c r="CG44" s="663">
        <v>11</v>
      </c>
      <c r="CH44" s="664">
        <f t="shared" si="60"/>
        <v>33</v>
      </c>
      <c r="CI44" s="662">
        <v>10</v>
      </c>
      <c r="CJ44" s="663">
        <v>14</v>
      </c>
      <c r="CK44" s="663">
        <v>9</v>
      </c>
      <c r="CL44" s="664">
        <f t="shared" si="61"/>
        <v>33</v>
      </c>
      <c r="CM44" s="662">
        <v>17</v>
      </c>
      <c r="CN44" s="663">
        <v>10</v>
      </c>
      <c r="CO44" s="663">
        <v>8</v>
      </c>
      <c r="CP44" s="664">
        <f t="shared" si="62"/>
        <v>35</v>
      </c>
      <c r="CQ44" s="662">
        <v>10</v>
      </c>
      <c r="CR44" s="663">
        <v>21</v>
      </c>
      <c r="CS44" s="663">
        <v>11</v>
      </c>
      <c r="CT44" s="664">
        <f t="shared" si="63"/>
        <v>42</v>
      </c>
    </row>
    <row r="45" spans="1:98" s="656" customFormat="1" ht="15" customHeight="1" x14ac:dyDescent="0.3">
      <c r="A45" s="642"/>
      <c r="B45" s="657" t="s">
        <v>73</v>
      </c>
      <c r="C45" s="40">
        <v>1</v>
      </c>
      <c r="D45" s="41">
        <v>3</v>
      </c>
      <c r="E45" s="41">
        <v>3</v>
      </c>
      <c r="F45" s="658">
        <v>7</v>
      </c>
      <c r="G45" s="40">
        <v>3</v>
      </c>
      <c r="H45" s="41">
        <v>2</v>
      </c>
      <c r="I45" s="41">
        <v>2</v>
      </c>
      <c r="J45" s="658">
        <v>7</v>
      </c>
      <c r="K45" s="40">
        <v>2</v>
      </c>
      <c r="L45" s="41">
        <v>2</v>
      </c>
      <c r="M45" s="41">
        <v>2</v>
      </c>
      <c r="N45" s="658">
        <v>6</v>
      </c>
      <c r="O45" s="40">
        <v>3</v>
      </c>
      <c r="P45" s="41">
        <v>1</v>
      </c>
      <c r="Q45" s="41">
        <v>3</v>
      </c>
      <c r="R45" s="659">
        <v>7</v>
      </c>
      <c r="S45" s="40">
        <v>2</v>
      </c>
      <c r="T45" s="41">
        <v>2</v>
      </c>
      <c r="U45" s="41">
        <v>1</v>
      </c>
      <c r="V45" s="659">
        <f t="shared" si="48"/>
        <v>5</v>
      </c>
      <c r="W45" s="40">
        <v>6</v>
      </c>
      <c r="X45" s="41">
        <v>4</v>
      </c>
      <c r="Y45" s="41">
        <v>6</v>
      </c>
      <c r="Z45" s="658">
        <f t="shared" si="49"/>
        <v>16</v>
      </c>
      <c r="AA45" s="660">
        <v>2</v>
      </c>
      <c r="AB45" s="41">
        <v>3</v>
      </c>
      <c r="AC45" s="41">
        <v>1</v>
      </c>
      <c r="AD45" s="658">
        <f t="shared" si="50"/>
        <v>6</v>
      </c>
      <c r="AE45" s="660">
        <v>4</v>
      </c>
      <c r="AF45" s="41">
        <v>6</v>
      </c>
      <c r="AG45" s="41">
        <v>5</v>
      </c>
      <c r="AH45" s="659">
        <f t="shared" si="51"/>
        <v>15</v>
      </c>
      <c r="AI45" s="660">
        <v>3</v>
      </c>
      <c r="AJ45" s="41">
        <v>2</v>
      </c>
      <c r="AK45" s="661">
        <v>4</v>
      </c>
      <c r="AL45" s="659">
        <f t="shared" si="52"/>
        <v>9</v>
      </c>
      <c r="AM45" s="660">
        <v>5</v>
      </c>
      <c r="AN45" s="41">
        <v>4</v>
      </c>
      <c r="AO45" s="661">
        <v>2</v>
      </c>
      <c r="AP45" s="659">
        <f t="shared" si="53"/>
        <v>11</v>
      </c>
      <c r="AQ45" s="662">
        <v>3</v>
      </c>
      <c r="AR45" s="663">
        <v>3</v>
      </c>
      <c r="AS45" s="663" t="s">
        <v>122</v>
      </c>
      <c r="AT45" s="664">
        <f t="shared" si="6"/>
        <v>6</v>
      </c>
      <c r="AU45" s="663">
        <v>5</v>
      </c>
      <c r="AV45" s="663">
        <v>6</v>
      </c>
      <c r="AW45" s="663">
        <v>2</v>
      </c>
      <c r="AX45" s="664">
        <f t="shared" si="7"/>
        <v>13</v>
      </c>
      <c r="AY45" s="662">
        <v>5</v>
      </c>
      <c r="AZ45" s="663">
        <v>1</v>
      </c>
      <c r="BA45" s="663">
        <v>4</v>
      </c>
      <c r="BB45" s="664">
        <v>10</v>
      </c>
      <c r="BC45" s="662">
        <v>5</v>
      </c>
      <c r="BD45" s="663">
        <v>2</v>
      </c>
      <c r="BE45" s="663">
        <v>2</v>
      </c>
      <c r="BF45" s="664">
        <f t="shared" si="8"/>
        <v>9</v>
      </c>
      <c r="BG45" s="662">
        <v>3</v>
      </c>
      <c r="BH45" s="663">
        <v>6</v>
      </c>
      <c r="BI45" s="663">
        <v>2</v>
      </c>
      <c r="BJ45" s="664">
        <f t="shared" si="54"/>
        <v>11</v>
      </c>
      <c r="BK45" s="662">
        <v>4</v>
      </c>
      <c r="BL45" s="663">
        <v>5</v>
      </c>
      <c r="BM45" s="663">
        <v>8</v>
      </c>
      <c r="BN45" s="664">
        <f t="shared" si="55"/>
        <v>17</v>
      </c>
      <c r="BO45" s="662">
        <v>4</v>
      </c>
      <c r="BP45" s="663">
        <v>7</v>
      </c>
      <c r="BQ45" s="663">
        <v>10</v>
      </c>
      <c r="BR45" s="664">
        <f t="shared" si="56"/>
        <v>21</v>
      </c>
      <c r="BS45" s="662">
        <v>8</v>
      </c>
      <c r="BT45" s="663">
        <v>8</v>
      </c>
      <c r="BU45" s="663">
        <v>11</v>
      </c>
      <c r="BV45" s="664">
        <f t="shared" si="57"/>
        <v>27</v>
      </c>
      <c r="BW45" s="662">
        <v>10</v>
      </c>
      <c r="BX45" s="663">
        <v>4</v>
      </c>
      <c r="BY45" s="663">
        <v>12</v>
      </c>
      <c r="BZ45" s="664">
        <f t="shared" si="58"/>
        <v>26</v>
      </c>
      <c r="CA45" s="662">
        <v>4</v>
      </c>
      <c r="CB45" s="663">
        <v>14</v>
      </c>
      <c r="CC45" s="663">
        <v>9</v>
      </c>
      <c r="CD45" s="664">
        <f t="shared" si="59"/>
        <v>27</v>
      </c>
      <c r="CE45" s="662">
        <v>10</v>
      </c>
      <c r="CF45" s="663">
        <v>9</v>
      </c>
      <c r="CG45" s="663">
        <v>9</v>
      </c>
      <c r="CH45" s="664">
        <f t="shared" si="60"/>
        <v>28</v>
      </c>
      <c r="CI45" s="662">
        <v>11</v>
      </c>
      <c r="CJ45" s="663">
        <v>10</v>
      </c>
      <c r="CK45" s="663">
        <v>14</v>
      </c>
      <c r="CL45" s="664">
        <f t="shared" si="61"/>
        <v>35</v>
      </c>
      <c r="CM45" s="662">
        <v>18</v>
      </c>
      <c r="CN45" s="663">
        <v>21</v>
      </c>
      <c r="CO45" s="663">
        <v>17</v>
      </c>
      <c r="CP45" s="664">
        <f t="shared" si="62"/>
        <v>56</v>
      </c>
      <c r="CQ45" s="662">
        <v>12</v>
      </c>
      <c r="CR45" s="663">
        <v>19</v>
      </c>
      <c r="CS45" s="663">
        <v>7</v>
      </c>
      <c r="CT45" s="664">
        <f t="shared" si="63"/>
        <v>38</v>
      </c>
    </row>
    <row r="46" spans="1:98" s="656" customFormat="1" ht="15" customHeight="1" x14ac:dyDescent="0.3">
      <c r="A46" s="642"/>
      <c r="B46" s="657" t="s">
        <v>57</v>
      </c>
      <c r="C46" s="40">
        <v>20</v>
      </c>
      <c r="D46" s="41">
        <v>32</v>
      </c>
      <c r="E46" s="41">
        <v>25</v>
      </c>
      <c r="F46" s="658">
        <v>77</v>
      </c>
      <c r="G46" s="40">
        <v>20</v>
      </c>
      <c r="H46" s="41">
        <v>24</v>
      </c>
      <c r="I46" s="41">
        <v>8</v>
      </c>
      <c r="J46" s="658">
        <v>52</v>
      </c>
      <c r="K46" s="40">
        <v>22</v>
      </c>
      <c r="L46" s="41">
        <v>34</v>
      </c>
      <c r="M46" s="41">
        <v>22</v>
      </c>
      <c r="N46" s="658">
        <v>78</v>
      </c>
      <c r="O46" s="40">
        <v>17</v>
      </c>
      <c r="P46" s="41">
        <v>18</v>
      </c>
      <c r="Q46" s="41">
        <v>17</v>
      </c>
      <c r="R46" s="659">
        <v>52</v>
      </c>
      <c r="S46" s="40">
        <v>22</v>
      </c>
      <c r="T46" s="41">
        <v>25</v>
      </c>
      <c r="U46" s="41">
        <v>23</v>
      </c>
      <c r="V46" s="659">
        <f t="shared" si="48"/>
        <v>70</v>
      </c>
      <c r="W46" s="40">
        <v>25</v>
      </c>
      <c r="X46" s="41">
        <v>31</v>
      </c>
      <c r="Y46" s="41">
        <v>11</v>
      </c>
      <c r="Z46" s="658">
        <f t="shared" si="49"/>
        <v>67</v>
      </c>
      <c r="AA46" s="660">
        <v>18</v>
      </c>
      <c r="AB46" s="41">
        <v>11</v>
      </c>
      <c r="AC46" s="41">
        <v>10</v>
      </c>
      <c r="AD46" s="658">
        <f t="shared" si="50"/>
        <v>39</v>
      </c>
      <c r="AE46" s="660">
        <v>26</v>
      </c>
      <c r="AF46" s="41">
        <v>20</v>
      </c>
      <c r="AG46" s="41">
        <v>17</v>
      </c>
      <c r="AH46" s="659">
        <f t="shared" si="51"/>
        <v>63</v>
      </c>
      <c r="AI46" s="660">
        <v>17</v>
      </c>
      <c r="AJ46" s="41">
        <v>10</v>
      </c>
      <c r="AK46" s="661">
        <v>5</v>
      </c>
      <c r="AL46" s="659">
        <f t="shared" si="52"/>
        <v>32</v>
      </c>
      <c r="AM46" s="660">
        <v>16</v>
      </c>
      <c r="AN46" s="41">
        <v>14</v>
      </c>
      <c r="AO46" s="661">
        <v>14</v>
      </c>
      <c r="AP46" s="659">
        <f t="shared" si="53"/>
        <v>44</v>
      </c>
      <c r="AQ46" s="662">
        <v>15</v>
      </c>
      <c r="AR46" s="663">
        <v>10</v>
      </c>
      <c r="AS46" s="663">
        <v>8</v>
      </c>
      <c r="AT46" s="664">
        <f t="shared" si="6"/>
        <v>33</v>
      </c>
      <c r="AU46" s="663">
        <v>16</v>
      </c>
      <c r="AV46" s="663">
        <v>17</v>
      </c>
      <c r="AW46" s="663">
        <v>14</v>
      </c>
      <c r="AX46" s="664">
        <f t="shared" si="7"/>
        <v>47</v>
      </c>
      <c r="AY46" s="662">
        <v>4</v>
      </c>
      <c r="AZ46" s="663">
        <v>11</v>
      </c>
      <c r="BA46" s="663">
        <v>13</v>
      </c>
      <c r="BB46" s="664">
        <v>28</v>
      </c>
      <c r="BC46" s="662">
        <v>14</v>
      </c>
      <c r="BD46" s="663">
        <v>20</v>
      </c>
      <c r="BE46" s="663">
        <v>11</v>
      </c>
      <c r="BF46" s="664">
        <f t="shared" si="8"/>
        <v>45</v>
      </c>
      <c r="BG46" s="662">
        <v>4</v>
      </c>
      <c r="BH46" s="663">
        <v>7</v>
      </c>
      <c r="BI46" s="663">
        <v>11</v>
      </c>
      <c r="BJ46" s="664">
        <f t="shared" si="54"/>
        <v>22</v>
      </c>
      <c r="BK46" s="662">
        <v>7</v>
      </c>
      <c r="BL46" s="663">
        <v>14</v>
      </c>
      <c r="BM46" s="663">
        <v>16</v>
      </c>
      <c r="BN46" s="664">
        <f t="shared" si="55"/>
        <v>37</v>
      </c>
      <c r="BO46" s="662">
        <v>11</v>
      </c>
      <c r="BP46" s="663">
        <v>8</v>
      </c>
      <c r="BQ46" s="663">
        <v>8</v>
      </c>
      <c r="BR46" s="664">
        <f t="shared" si="56"/>
        <v>27</v>
      </c>
      <c r="BS46" s="662">
        <v>4</v>
      </c>
      <c r="BT46" s="663">
        <v>12</v>
      </c>
      <c r="BU46" s="663">
        <v>12</v>
      </c>
      <c r="BV46" s="664">
        <f t="shared" si="57"/>
        <v>28</v>
      </c>
      <c r="BW46" s="662">
        <v>11</v>
      </c>
      <c r="BX46" s="663">
        <v>12</v>
      </c>
      <c r="BY46" s="663">
        <v>8</v>
      </c>
      <c r="BZ46" s="664">
        <f t="shared" si="58"/>
        <v>31</v>
      </c>
      <c r="CA46" s="662">
        <v>8</v>
      </c>
      <c r="CB46" s="663">
        <v>7</v>
      </c>
      <c r="CC46" s="663">
        <v>12</v>
      </c>
      <c r="CD46" s="664">
        <f t="shared" si="59"/>
        <v>27</v>
      </c>
      <c r="CE46" s="662">
        <v>12</v>
      </c>
      <c r="CF46" s="663">
        <v>16</v>
      </c>
      <c r="CG46" s="663">
        <v>7</v>
      </c>
      <c r="CH46" s="664">
        <f t="shared" si="60"/>
        <v>35</v>
      </c>
      <c r="CI46" s="662">
        <v>14</v>
      </c>
      <c r="CJ46" s="663">
        <v>13</v>
      </c>
      <c r="CK46" s="663">
        <v>8</v>
      </c>
      <c r="CL46" s="664">
        <f t="shared" si="61"/>
        <v>35</v>
      </c>
      <c r="CM46" s="662">
        <v>4</v>
      </c>
      <c r="CN46" s="663">
        <v>7</v>
      </c>
      <c r="CO46" s="663">
        <v>8</v>
      </c>
      <c r="CP46" s="664">
        <f t="shared" si="62"/>
        <v>19</v>
      </c>
      <c r="CQ46" s="662">
        <v>10</v>
      </c>
      <c r="CR46" s="663">
        <v>6</v>
      </c>
      <c r="CS46" s="663">
        <v>7</v>
      </c>
      <c r="CT46" s="664">
        <f t="shared" si="63"/>
        <v>23</v>
      </c>
    </row>
    <row r="47" spans="1:98" s="656" customFormat="1" ht="15" customHeight="1" x14ac:dyDescent="0.3">
      <c r="A47" s="642"/>
      <c r="B47" s="657" t="s">
        <v>74</v>
      </c>
      <c r="C47" s="40">
        <v>5</v>
      </c>
      <c r="D47" s="41">
        <v>3</v>
      </c>
      <c r="E47" s="41">
        <v>4</v>
      </c>
      <c r="F47" s="658">
        <v>12</v>
      </c>
      <c r="G47" s="40">
        <v>5</v>
      </c>
      <c r="H47" s="41">
        <v>4</v>
      </c>
      <c r="I47" s="41">
        <v>4</v>
      </c>
      <c r="J47" s="658">
        <v>13</v>
      </c>
      <c r="K47" s="40">
        <v>2</v>
      </c>
      <c r="L47" s="41">
        <v>7</v>
      </c>
      <c r="M47" s="41">
        <v>8</v>
      </c>
      <c r="N47" s="658">
        <v>17</v>
      </c>
      <c r="O47" s="40">
        <v>1</v>
      </c>
      <c r="P47" s="41">
        <v>2</v>
      </c>
      <c r="Q47" s="41">
        <v>2</v>
      </c>
      <c r="R47" s="659">
        <v>5</v>
      </c>
      <c r="S47" s="40">
        <v>2</v>
      </c>
      <c r="T47" s="41">
        <v>2</v>
      </c>
      <c r="U47" s="41" t="s">
        <v>122</v>
      </c>
      <c r="V47" s="659">
        <f t="shared" si="48"/>
        <v>4</v>
      </c>
      <c r="W47" s="40">
        <v>6</v>
      </c>
      <c r="X47" s="41">
        <v>9</v>
      </c>
      <c r="Y47" s="41">
        <v>2</v>
      </c>
      <c r="Z47" s="658">
        <f t="shared" si="49"/>
        <v>17</v>
      </c>
      <c r="AA47" s="660">
        <v>12</v>
      </c>
      <c r="AB47" s="41">
        <v>5</v>
      </c>
      <c r="AC47" s="41">
        <v>7</v>
      </c>
      <c r="AD47" s="658">
        <f t="shared" si="50"/>
        <v>24</v>
      </c>
      <c r="AE47" s="660">
        <v>7</v>
      </c>
      <c r="AF47" s="41">
        <v>7</v>
      </c>
      <c r="AG47" s="41">
        <v>7</v>
      </c>
      <c r="AH47" s="659">
        <f t="shared" si="51"/>
        <v>21</v>
      </c>
      <c r="AI47" s="660">
        <v>7</v>
      </c>
      <c r="AJ47" s="41">
        <v>8</v>
      </c>
      <c r="AK47" s="661">
        <v>5</v>
      </c>
      <c r="AL47" s="659">
        <f t="shared" si="52"/>
        <v>20</v>
      </c>
      <c r="AM47" s="660">
        <v>4</v>
      </c>
      <c r="AN47" s="41">
        <v>4</v>
      </c>
      <c r="AO47" s="661" t="s">
        <v>122</v>
      </c>
      <c r="AP47" s="659">
        <f t="shared" si="53"/>
        <v>8</v>
      </c>
      <c r="AQ47" s="662">
        <v>6</v>
      </c>
      <c r="AR47" s="663">
        <v>3</v>
      </c>
      <c r="AS47" s="663">
        <v>1</v>
      </c>
      <c r="AT47" s="664">
        <f t="shared" si="6"/>
        <v>10</v>
      </c>
      <c r="AU47" s="663">
        <v>7</v>
      </c>
      <c r="AV47" s="663">
        <v>7</v>
      </c>
      <c r="AW47" s="663">
        <v>3</v>
      </c>
      <c r="AX47" s="664">
        <f t="shared" si="7"/>
        <v>17</v>
      </c>
      <c r="AY47" s="662">
        <v>7</v>
      </c>
      <c r="AZ47" s="663">
        <v>5</v>
      </c>
      <c r="BA47" s="663">
        <v>3</v>
      </c>
      <c r="BB47" s="664">
        <v>15</v>
      </c>
      <c r="BC47" s="662">
        <v>5</v>
      </c>
      <c r="BD47" s="663">
        <v>7</v>
      </c>
      <c r="BE47" s="663">
        <v>4</v>
      </c>
      <c r="BF47" s="664">
        <f t="shared" si="8"/>
        <v>16</v>
      </c>
      <c r="BG47" s="662">
        <v>8</v>
      </c>
      <c r="BH47" s="663">
        <v>11</v>
      </c>
      <c r="BI47" s="663">
        <v>6</v>
      </c>
      <c r="BJ47" s="664">
        <f t="shared" si="54"/>
        <v>25</v>
      </c>
      <c r="BK47" s="662">
        <v>16</v>
      </c>
      <c r="BL47" s="663">
        <v>14</v>
      </c>
      <c r="BM47" s="663">
        <v>8</v>
      </c>
      <c r="BN47" s="664">
        <f t="shared" si="55"/>
        <v>38</v>
      </c>
      <c r="BO47" s="662">
        <v>3</v>
      </c>
      <c r="BP47" s="663">
        <v>6</v>
      </c>
      <c r="BQ47" s="663">
        <v>3</v>
      </c>
      <c r="BR47" s="664">
        <f t="shared" si="56"/>
        <v>12</v>
      </c>
      <c r="BS47" s="662">
        <v>6</v>
      </c>
      <c r="BT47" s="663">
        <v>4</v>
      </c>
      <c r="BU47" s="663">
        <v>8</v>
      </c>
      <c r="BV47" s="664">
        <f t="shared" si="57"/>
        <v>18</v>
      </c>
      <c r="BW47" s="662">
        <v>8</v>
      </c>
      <c r="BX47" s="663">
        <v>6</v>
      </c>
      <c r="BY47" s="663">
        <v>9</v>
      </c>
      <c r="BZ47" s="664">
        <f t="shared" si="58"/>
        <v>23</v>
      </c>
      <c r="CA47" s="662">
        <v>9</v>
      </c>
      <c r="CB47" s="663">
        <v>7</v>
      </c>
      <c r="CC47" s="663">
        <v>6</v>
      </c>
      <c r="CD47" s="664">
        <f t="shared" si="59"/>
        <v>22</v>
      </c>
      <c r="CE47" s="662">
        <v>6</v>
      </c>
      <c r="CF47" s="663">
        <v>6</v>
      </c>
      <c r="CG47" s="663">
        <v>8</v>
      </c>
      <c r="CH47" s="664">
        <f t="shared" si="60"/>
        <v>20</v>
      </c>
      <c r="CI47" s="662">
        <v>9</v>
      </c>
      <c r="CJ47" s="663">
        <v>12</v>
      </c>
      <c r="CK47" s="663">
        <v>9</v>
      </c>
      <c r="CL47" s="664">
        <f t="shared" si="61"/>
        <v>30</v>
      </c>
      <c r="CM47" s="662">
        <v>9</v>
      </c>
      <c r="CN47" s="663">
        <v>5</v>
      </c>
      <c r="CO47" s="663">
        <v>7</v>
      </c>
      <c r="CP47" s="664">
        <f t="shared" si="62"/>
        <v>21</v>
      </c>
      <c r="CQ47" s="662">
        <v>5</v>
      </c>
      <c r="CR47" s="663">
        <v>11</v>
      </c>
      <c r="CS47" s="663">
        <v>10</v>
      </c>
      <c r="CT47" s="664">
        <f t="shared" si="63"/>
        <v>26</v>
      </c>
    </row>
    <row r="48" spans="1:98" s="656" customFormat="1" ht="15" customHeight="1" x14ac:dyDescent="0.3">
      <c r="A48" s="642"/>
      <c r="B48" s="657" t="s">
        <v>75</v>
      </c>
      <c r="C48" s="40">
        <v>3</v>
      </c>
      <c r="D48" s="41">
        <v>2</v>
      </c>
      <c r="E48" s="41">
        <v>0</v>
      </c>
      <c r="F48" s="658">
        <v>5</v>
      </c>
      <c r="G48" s="40">
        <v>1</v>
      </c>
      <c r="H48" s="41">
        <v>2</v>
      </c>
      <c r="I48" s="41">
        <v>2</v>
      </c>
      <c r="J48" s="658">
        <v>5</v>
      </c>
      <c r="K48" s="40">
        <v>3</v>
      </c>
      <c r="L48" s="41">
        <v>5</v>
      </c>
      <c r="M48" s="41">
        <v>1</v>
      </c>
      <c r="N48" s="658">
        <v>9</v>
      </c>
      <c r="O48" s="40">
        <v>1</v>
      </c>
      <c r="P48" s="41">
        <v>2</v>
      </c>
      <c r="Q48" s="41">
        <v>3</v>
      </c>
      <c r="R48" s="659">
        <v>6</v>
      </c>
      <c r="S48" s="40">
        <v>1</v>
      </c>
      <c r="T48" s="41">
        <v>5</v>
      </c>
      <c r="U48" s="41" t="s">
        <v>122</v>
      </c>
      <c r="V48" s="659">
        <f t="shared" si="48"/>
        <v>6</v>
      </c>
      <c r="W48" s="40">
        <v>5</v>
      </c>
      <c r="X48" s="41">
        <v>4</v>
      </c>
      <c r="Y48" s="41">
        <v>7</v>
      </c>
      <c r="Z48" s="658">
        <f t="shared" si="49"/>
        <v>16</v>
      </c>
      <c r="AA48" s="660">
        <v>6</v>
      </c>
      <c r="AB48" s="41">
        <v>2</v>
      </c>
      <c r="AC48" s="41">
        <v>1</v>
      </c>
      <c r="AD48" s="658">
        <f t="shared" si="50"/>
        <v>9</v>
      </c>
      <c r="AE48" s="660" t="s">
        <v>122</v>
      </c>
      <c r="AF48" s="41">
        <v>4</v>
      </c>
      <c r="AG48" s="41">
        <v>1</v>
      </c>
      <c r="AH48" s="659">
        <f t="shared" si="51"/>
        <v>5</v>
      </c>
      <c r="AI48" s="660">
        <v>2</v>
      </c>
      <c r="AJ48" s="41">
        <v>3</v>
      </c>
      <c r="AK48" s="41"/>
      <c r="AL48" s="659">
        <f t="shared" si="52"/>
        <v>5</v>
      </c>
      <c r="AM48" s="660" t="s">
        <v>122</v>
      </c>
      <c r="AN48" s="41">
        <v>1</v>
      </c>
      <c r="AO48" s="41">
        <v>1</v>
      </c>
      <c r="AP48" s="659">
        <f t="shared" si="53"/>
        <v>2</v>
      </c>
      <c r="AQ48" s="662">
        <v>3</v>
      </c>
      <c r="AR48" s="663">
        <v>2</v>
      </c>
      <c r="AS48" s="663">
        <v>3</v>
      </c>
      <c r="AT48" s="664">
        <f t="shared" si="6"/>
        <v>8</v>
      </c>
      <c r="AU48" s="663">
        <v>2</v>
      </c>
      <c r="AV48" s="663">
        <v>4</v>
      </c>
      <c r="AW48" s="663">
        <v>1</v>
      </c>
      <c r="AX48" s="664">
        <f t="shared" si="7"/>
        <v>7</v>
      </c>
      <c r="AY48" s="662">
        <v>3</v>
      </c>
      <c r="AZ48" s="663">
        <v>3</v>
      </c>
      <c r="BA48" s="663">
        <v>5</v>
      </c>
      <c r="BB48" s="664">
        <v>11</v>
      </c>
      <c r="BC48" s="662">
        <v>1</v>
      </c>
      <c r="BD48" s="663">
        <v>8</v>
      </c>
      <c r="BE48" s="663">
        <v>5</v>
      </c>
      <c r="BF48" s="664">
        <f t="shared" si="8"/>
        <v>14</v>
      </c>
      <c r="BG48" s="662">
        <v>1</v>
      </c>
      <c r="BH48" s="663">
        <v>3</v>
      </c>
      <c r="BI48" s="663">
        <v>6</v>
      </c>
      <c r="BJ48" s="664">
        <f t="shared" si="54"/>
        <v>10</v>
      </c>
      <c r="BK48" s="662">
        <v>3</v>
      </c>
      <c r="BL48" s="663">
        <v>2</v>
      </c>
      <c r="BM48" s="663">
        <v>6</v>
      </c>
      <c r="BN48" s="664">
        <f t="shared" si="55"/>
        <v>11</v>
      </c>
      <c r="BO48" s="662">
        <v>1</v>
      </c>
      <c r="BP48" s="663">
        <v>4</v>
      </c>
      <c r="BQ48" s="663">
        <v>6</v>
      </c>
      <c r="BR48" s="664">
        <f t="shared" si="56"/>
        <v>11</v>
      </c>
      <c r="BS48" s="662">
        <v>4</v>
      </c>
      <c r="BT48" s="663">
        <v>4</v>
      </c>
      <c r="BU48" s="663">
        <v>9</v>
      </c>
      <c r="BV48" s="664">
        <f t="shared" si="57"/>
        <v>17</v>
      </c>
      <c r="BW48" s="662">
        <v>3</v>
      </c>
      <c r="BX48" s="663">
        <v>5</v>
      </c>
      <c r="BY48" s="663">
        <v>6</v>
      </c>
      <c r="BZ48" s="664">
        <f t="shared" si="58"/>
        <v>14</v>
      </c>
      <c r="CA48" s="662">
        <v>2</v>
      </c>
      <c r="CB48" s="663">
        <v>11</v>
      </c>
      <c r="CC48" s="663">
        <v>13</v>
      </c>
      <c r="CD48" s="664">
        <f t="shared" si="59"/>
        <v>26</v>
      </c>
      <c r="CE48" s="662">
        <v>8</v>
      </c>
      <c r="CF48" s="663">
        <v>7</v>
      </c>
      <c r="CG48" s="663">
        <v>7</v>
      </c>
      <c r="CH48" s="664">
        <f t="shared" si="60"/>
        <v>22</v>
      </c>
      <c r="CI48" s="662">
        <v>3</v>
      </c>
      <c r="CJ48" s="663">
        <v>8</v>
      </c>
      <c r="CK48" s="663">
        <v>4</v>
      </c>
      <c r="CL48" s="664">
        <f t="shared" si="61"/>
        <v>15</v>
      </c>
      <c r="CM48" s="662">
        <v>7</v>
      </c>
      <c r="CN48" s="663">
        <v>11</v>
      </c>
      <c r="CO48" s="663">
        <v>15</v>
      </c>
      <c r="CP48" s="664">
        <f t="shared" si="62"/>
        <v>33</v>
      </c>
      <c r="CQ48" s="662">
        <v>3</v>
      </c>
      <c r="CR48" s="663">
        <v>12</v>
      </c>
      <c r="CS48" s="663">
        <v>14</v>
      </c>
      <c r="CT48" s="664">
        <f t="shared" si="63"/>
        <v>29</v>
      </c>
    </row>
    <row r="49" spans="1:98" s="656" customFormat="1" ht="15" customHeight="1" x14ac:dyDescent="0.3">
      <c r="A49" s="642"/>
      <c r="B49" s="665" t="s">
        <v>76</v>
      </c>
      <c r="C49" s="46">
        <v>19</v>
      </c>
      <c r="D49" s="50">
        <v>30</v>
      </c>
      <c r="E49" s="50">
        <v>29</v>
      </c>
      <c r="F49" s="666">
        <v>78</v>
      </c>
      <c r="G49" s="46">
        <v>26</v>
      </c>
      <c r="H49" s="50">
        <v>15</v>
      </c>
      <c r="I49" s="50">
        <v>13</v>
      </c>
      <c r="J49" s="666">
        <v>54</v>
      </c>
      <c r="K49" s="46">
        <v>16</v>
      </c>
      <c r="L49" s="50">
        <v>17</v>
      </c>
      <c r="M49" s="50">
        <v>24</v>
      </c>
      <c r="N49" s="666">
        <v>57</v>
      </c>
      <c r="O49" s="46">
        <v>14</v>
      </c>
      <c r="P49" s="50">
        <v>13</v>
      </c>
      <c r="Q49" s="50">
        <v>25</v>
      </c>
      <c r="R49" s="667">
        <v>52</v>
      </c>
      <c r="S49" s="46">
        <v>21</v>
      </c>
      <c r="T49" s="50">
        <v>19</v>
      </c>
      <c r="U49" s="50">
        <v>13</v>
      </c>
      <c r="V49" s="667">
        <f t="shared" si="48"/>
        <v>53</v>
      </c>
      <c r="W49" s="46">
        <v>19</v>
      </c>
      <c r="X49" s="50">
        <v>9</v>
      </c>
      <c r="Y49" s="50">
        <v>19</v>
      </c>
      <c r="Z49" s="666">
        <f t="shared" si="49"/>
        <v>47</v>
      </c>
      <c r="AA49" s="668">
        <v>24</v>
      </c>
      <c r="AB49" s="50">
        <v>21</v>
      </c>
      <c r="AC49" s="50">
        <v>20</v>
      </c>
      <c r="AD49" s="666">
        <f t="shared" si="50"/>
        <v>65</v>
      </c>
      <c r="AE49" s="668">
        <v>37</v>
      </c>
      <c r="AF49" s="50">
        <v>14</v>
      </c>
      <c r="AG49" s="50">
        <v>17</v>
      </c>
      <c r="AH49" s="667">
        <f t="shared" si="51"/>
        <v>68</v>
      </c>
      <c r="AI49" s="668">
        <v>12</v>
      </c>
      <c r="AJ49" s="50">
        <v>13</v>
      </c>
      <c r="AK49" s="669">
        <v>16</v>
      </c>
      <c r="AL49" s="667">
        <f t="shared" si="52"/>
        <v>41</v>
      </c>
      <c r="AM49" s="668">
        <v>13</v>
      </c>
      <c r="AN49" s="50">
        <v>10</v>
      </c>
      <c r="AO49" s="669">
        <v>8</v>
      </c>
      <c r="AP49" s="667">
        <f t="shared" si="53"/>
        <v>31</v>
      </c>
      <c r="AQ49" s="670">
        <v>8</v>
      </c>
      <c r="AR49" s="671">
        <v>19</v>
      </c>
      <c r="AS49" s="671">
        <v>8</v>
      </c>
      <c r="AT49" s="672">
        <f t="shared" si="6"/>
        <v>35</v>
      </c>
      <c r="AU49" s="671">
        <v>13</v>
      </c>
      <c r="AV49" s="671">
        <v>32</v>
      </c>
      <c r="AW49" s="671">
        <v>15</v>
      </c>
      <c r="AX49" s="672">
        <f t="shared" si="7"/>
        <v>60</v>
      </c>
      <c r="AY49" s="670">
        <v>17</v>
      </c>
      <c r="AZ49" s="671">
        <v>14</v>
      </c>
      <c r="BA49" s="671">
        <v>9</v>
      </c>
      <c r="BB49" s="672">
        <v>40</v>
      </c>
      <c r="BC49" s="670">
        <v>22</v>
      </c>
      <c r="BD49" s="671">
        <v>17</v>
      </c>
      <c r="BE49" s="671">
        <v>4</v>
      </c>
      <c r="BF49" s="672">
        <f t="shared" si="8"/>
        <v>43</v>
      </c>
      <c r="BG49" s="670">
        <v>12</v>
      </c>
      <c r="BH49" s="671">
        <v>11</v>
      </c>
      <c r="BI49" s="671">
        <v>15</v>
      </c>
      <c r="BJ49" s="672">
        <f t="shared" si="54"/>
        <v>38</v>
      </c>
      <c r="BK49" s="670">
        <v>12</v>
      </c>
      <c r="BL49" s="671">
        <v>13</v>
      </c>
      <c r="BM49" s="671">
        <v>11</v>
      </c>
      <c r="BN49" s="672">
        <f t="shared" si="55"/>
        <v>36</v>
      </c>
      <c r="BO49" s="670">
        <v>5</v>
      </c>
      <c r="BP49" s="671">
        <v>11</v>
      </c>
      <c r="BQ49" s="671">
        <v>11</v>
      </c>
      <c r="BR49" s="672">
        <f t="shared" si="56"/>
        <v>27</v>
      </c>
      <c r="BS49" s="670">
        <v>6</v>
      </c>
      <c r="BT49" s="671">
        <v>13</v>
      </c>
      <c r="BU49" s="671">
        <v>20</v>
      </c>
      <c r="BV49" s="672">
        <f t="shared" si="57"/>
        <v>39</v>
      </c>
      <c r="BW49" s="670">
        <v>10</v>
      </c>
      <c r="BX49" s="671">
        <v>19</v>
      </c>
      <c r="BY49" s="671">
        <v>21</v>
      </c>
      <c r="BZ49" s="672">
        <f t="shared" si="58"/>
        <v>50</v>
      </c>
      <c r="CA49" s="670">
        <v>15</v>
      </c>
      <c r="CB49" s="671">
        <v>21</v>
      </c>
      <c r="CC49" s="671">
        <v>16</v>
      </c>
      <c r="CD49" s="672">
        <f t="shared" si="59"/>
        <v>52</v>
      </c>
      <c r="CE49" s="670">
        <v>24</v>
      </c>
      <c r="CF49" s="671">
        <v>10</v>
      </c>
      <c r="CG49" s="671">
        <v>15</v>
      </c>
      <c r="CH49" s="672">
        <f t="shared" si="60"/>
        <v>49</v>
      </c>
      <c r="CI49" s="670">
        <v>11</v>
      </c>
      <c r="CJ49" s="671">
        <v>9</v>
      </c>
      <c r="CK49" s="671">
        <v>10</v>
      </c>
      <c r="CL49" s="672">
        <f t="shared" si="61"/>
        <v>30</v>
      </c>
      <c r="CM49" s="670">
        <v>20</v>
      </c>
      <c r="CN49" s="671">
        <v>10</v>
      </c>
      <c r="CO49" s="671">
        <v>17</v>
      </c>
      <c r="CP49" s="672">
        <f t="shared" si="62"/>
        <v>47</v>
      </c>
      <c r="CQ49" s="670">
        <v>10</v>
      </c>
      <c r="CR49" s="671">
        <v>7</v>
      </c>
      <c r="CS49" s="671">
        <v>7</v>
      </c>
      <c r="CT49" s="672">
        <f t="shared" si="63"/>
        <v>24</v>
      </c>
    </row>
    <row r="50" spans="1:98" s="656" customFormat="1" ht="15" customHeight="1" x14ac:dyDescent="0.3">
      <c r="A50" s="642"/>
      <c r="B50" s="665" t="s">
        <v>77</v>
      </c>
      <c r="C50" s="46"/>
      <c r="D50" s="50"/>
      <c r="E50" s="50"/>
      <c r="F50" s="666"/>
      <c r="G50" s="46"/>
      <c r="H50" s="50"/>
      <c r="I50" s="50"/>
      <c r="J50" s="666"/>
      <c r="K50" s="46"/>
      <c r="L50" s="50"/>
      <c r="M50" s="50"/>
      <c r="N50" s="666"/>
      <c r="O50" s="46"/>
      <c r="P50" s="50"/>
      <c r="Q50" s="50"/>
      <c r="R50" s="667"/>
      <c r="S50" s="46"/>
      <c r="T50" s="50"/>
      <c r="U50" s="50"/>
      <c r="V50" s="667"/>
      <c r="W50" s="46"/>
      <c r="X50" s="50"/>
      <c r="Y50" s="50"/>
      <c r="Z50" s="666"/>
      <c r="AA50" s="668"/>
      <c r="AB50" s="50"/>
      <c r="AC50" s="50"/>
      <c r="AD50" s="666"/>
      <c r="AE50" s="668"/>
      <c r="AF50" s="50"/>
      <c r="AG50" s="50"/>
      <c r="AH50" s="667"/>
      <c r="AI50" s="668"/>
      <c r="AJ50" s="50"/>
      <c r="AK50" s="669"/>
      <c r="AL50" s="667"/>
      <c r="AM50" s="668"/>
      <c r="AN50" s="50"/>
      <c r="AO50" s="669"/>
      <c r="AP50" s="667"/>
      <c r="AQ50" s="670"/>
      <c r="AR50" s="671"/>
      <c r="AS50" s="671"/>
      <c r="AT50" s="672"/>
      <c r="AU50" s="671"/>
      <c r="AV50" s="671"/>
      <c r="AW50" s="671"/>
      <c r="AX50" s="672"/>
      <c r="AY50" s="670"/>
      <c r="AZ50" s="671"/>
      <c r="BA50" s="671"/>
      <c r="BB50" s="672"/>
      <c r="BC50" s="670"/>
      <c r="BD50" s="671"/>
      <c r="BE50" s="671"/>
      <c r="BF50" s="672"/>
      <c r="BG50" s="670"/>
      <c r="BH50" s="671"/>
      <c r="BI50" s="671"/>
      <c r="BJ50" s="672"/>
      <c r="BK50" s="670"/>
      <c r="BL50" s="671"/>
      <c r="BM50" s="671"/>
      <c r="BN50" s="672"/>
      <c r="BO50" s="670"/>
      <c r="BP50" s="671"/>
      <c r="BQ50" s="671"/>
      <c r="BR50" s="672"/>
      <c r="BS50" s="670"/>
      <c r="BT50" s="671"/>
      <c r="BU50" s="671"/>
      <c r="BV50" s="672"/>
      <c r="BW50" s="670"/>
      <c r="BX50" s="671"/>
      <c r="BY50" s="671"/>
      <c r="BZ50" s="672"/>
      <c r="CA50" s="670"/>
      <c r="CB50" s="671"/>
      <c r="CC50" s="671"/>
      <c r="CD50" s="672"/>
      <c r="CE50" s="670"/>
      <c r="CF50" s="671"/>
      <c r="CG50" s="671"/>
      <c r="CH50" s="672"/>
      <c r="CI50" s="670"/>
      <c r="CJ50" s="671"/>
      <c r="CK50" s="671"/>
      <c r="CL50" s="672"/>
      <c r="CM50" s="670">
        <v>1</v>
      </c>
      <c r="CN50" s="671"/>
      <c r="CO50" s="671"/>
      <c r="CP50" s="672">
        <f t="shared" si="62"/>
        <v>1</v>
      </c>
      <c r="CQ50" s="670"/>
      <c r="CR50" s="671"/>
      <c r="CS50" s="671"/>
      <c r="CT50" s="672">
        <f t="shared" si="63"/>
        <v>0</v>
      </c>
    </row>
    <row r="51" spans="1:98" s="656" customFormat="1" ht="15" customHeight="1" x14ac:dyDescent="0.3">
      <c r="A51" s="642"/>
      <c r="B51" s="673" t="s">
        <v>59</v>
      </c>
      <c r="C51" s="674">
        <v>83</v>
      </c>
      <c r="D51" s="675">
        <v>96</v>
      </c>
      <c r="E51" s="675">
        <v>73</v>
      </c>
      <c r="F51" s="676">
        <v>252</v>
      </c>
      <c r="G51" s="674">
        <v>78</v>
      </c>
      <c r="H51" s="675">
        <v>69</v>
      </c>
      <c r="I51" s="675">
        <v>48</v>
      </c>
      <c r="J51" s="676">
        <v>195</v>
      </c>
      <c r="K51" s="674">
        <v>85</v>
      </c>
      <c r="L51" s="675">
        <v>94</v>
      </c>
      <c r="M51" s="675">
        <v>79</v>
      </c>
      <c r="N51" s="676">
        <v>258</v>
      </c>
      <c r="O51" s="674">
        <v>54</v>
      </c>
      <c r="P51" s="675">
        <v>63</v>
      </c>
      <c r="Q51" s="675">
        <v>65</v>
      </c>
      <c r="R51" s="676">
        <v>182</v>
      </c>
      <c r="S51" s="674">
        <f t="shared" ref="S51:CD51" si="64">SUM(S41:S49)</f>
        <v>78</v>
      </c>
      <c r="T51" s="675">
        <f t="shared" si="64"/>
        <v>79</v>
      </c>
      <c r="U51" s="675">
        <f t="shared" si="64"/>
        <v>65</v>
      </c>
      <c r="V51" s="676">
        <f t="shared" si="64"/>
        <v>222</v>
      </c>
      <c r="W51" s="674">
        <f t="shared" si="64"/>
        <v>87</v>
      </c>
      <c r="X51" s="675">
        <f t="shared" si="64"/>
        <v>93</v>
      </c>
      <c r="Y51" s="675">
        <f t="shared" si="64"/>
        <v>66</v>
      </c>
      <c r="Z51" s="676">
        <f t="shared" si="64"/>
        <v>246</v>
      </c>
      <c r="AA51" s="674">
        <f t="shared" si="64"/>
        <v>93</v>
      </c>
      <c r="AB51" s="675">
        <f t="shared" si="64"/>
        <v>86</v>
      </c>
      <c r="AC51" s="675">
        <f t="shared" si="64"/>
        <v>64</v>
      </c>
      <c r="AD51" s="676">
        <f t="shared" si="64"/>
        <v>243</v>
      </c>
      <c r="AE51" s="674">
        <f t="shared" si="64"/>
        <v>93</v>
      </c>
      <c r="AF51" s="675">
        <f t="shared" si="64"/>
        <v>104</v>
      </c>
      <c r="AG51" s="675">
        <f t="shared" si="64"/>
        <v>79</v>
      </c>
      <c r="AH51" s="676">
        <f t="shared" si="64"/>
        <v>276</v>
      </c>
      <c r="AI51" s="674">
        <f t="shared" si="64"/>
        <v>54</v>
      </c>
      <c r="AJ51" s="675">
        <f t="shared" si="64"/>
        <v>71</v>
      </c>
      <c r="AK51" s="675">
        <f t="shared" si="64"/>
        <v>48</v>
      </c>
      <c r="AL51" s="676">
        <f t="shared" si="64"/>
        <v>173</v>
      </c>
      <c r="AM51" s="674">
        <f t="shared" si="64"/>
        <v>68</v>
      </c>
      <c r="AN51" s="675">
        <f t="shared" si="64"/>
        <v>59</v>
      </c>
      <c r="AO51" s="675">
        <f t="shared" si="64"/>
        <v>36</v>
      </c>
      <c r="AP51" s="676">
        <f t="shared" si="64"/>
        <v>163</v>
      </c>
      <c r="AQ51" s="674">
        <f t="shared" si="64"/>
        <v>58</v>
      </c>
      <c r="AR51" s="675">
        <f t="shared" si="64"/>
        <v>70</v>
      </c>
      <c r="AS51" s="675">
        <f t="shared" si="64"/>
        <v>39</v>
      </c>
      <c r="AT51" s="676">
        <f t="shared" si="6"/>
        <v>167</v>
      </c>
      <c r="AU51" s="674">
        <f>SUM(AU41:AU49)</f>
        <v>63</v>
      </c>
      <c r="AV51" s="675">
        <f>SUM(AV41:AV49)</f>
        <v>112</v>
      </c>
      <c r="AW51" s="675">
        <f>SUM(AW41:AW49)</f>
        <v>64</v>
      </c>
      <c r="AX51" s="676">
        <f t="shared" si="7"/>
        <v>239</v>
      </c>
      <c r="AY51" s="674">
        <f t="shared" si="64"/>
        <v>57</v>
      </c>
      <c r="AZ51" s="675">
        <f t="shared" si="64"/>
        <v>57</v>
      </c>
      <c r="BA51" s="675">
        <f t="shared" si="64"/>
        <v>65</v>
      </c>
      <c r="BB51" s="676">
        <f t="shared" si="64"/>
        <v>179</v>
      </c>
      <c r="BC51" s="674">
        <f t="shared" si="64"/>
        <v>67</v>
      </c>
      <c r="BD51" s="675">
        <f t="shared" si="64"/>
        <v>85</v>
      </c>
      <c r="BE51" s="675">
        <f t="shared" si="64"/>
        <v>50</v>
      </c>
      <c r="BF51" s="676">
        <f t="shared" si="64"/>
        <v>202</v>
      </c>
      <c r="BG51" s="674">
        <f t="shared" si="64"/>
        <v>44</v>
      </c>
      <c r="BH51" s="675">
        <f t="shared" si="64"/>
        <v>58</v>
      </c>
      <c r="BI51" s="675">
        <f t="shared" si="64"/>
        <v>61</v>
      </c>
      <c r="BJ51" s="676">
        <f t="shared" si="64"/>
        <v>163</v>
      </c>
      <c r="BK51" s="674">
        <f t="shared" si="64"/>
        <v>58</v>
      </c>
      <c r="BL51" s="675">
        <f t="shared" si="64"/>
        <v>86</v>
      </c>
      <c r="BM51" s="675">
        <f t="shared" si="64"/>
        <v>68</v>
      </c>
      <c r="BN51" s="676">
        <f t="shared" si="64"/>
        <v>212</v>
      </c>
      <c r="BO51" s="674">
        <f t="shared" si="64"/>
        <v>46</v>
      </c>
      <c r="BP51" s="675">
        <f t="shared" si="64"/>
        <v>63</v>
      </c>
      <c r="BQ51" s="675">
        <f t="shared" si="64"/>
        <v>64</v>
      </c>
      <c r="BR51" s="676">
        <f t="shared" si="64"/>
        <v>173</v>
      </c>
      <c r="BS51" s="674">
        <f t="shared" si="64"/>
        <v>61</v>
      </c>
      <c r="BT51" s="675">
        <f t="shared" si="64"/>
        <v>79</v>
      </c>
      <c r="BU51" s="675">
        <f t="shared" si="64"/>
        <v>88</v>
      </c>
      <c r="BV51" s="676">
        <f t="shared" si="64"/>
        <v>228</v>
      </c>
      <c r="BW51" s="674">
        <f t="shared" si="64"/>
        <v>75</v>
      </c>
      <c r="BX51" s="675">
        <f t="shared" si="64"/>
        <v>81</v>
      </c>
      <c r="BY51" s="675">
        <f t="shared" si="64"/>
        <v>86</v>
      </c>
      <c r="BZ51" s="676">
        <f t="shared" si="64"/>
        <v>242</v>
      </c>
      <c r="CA51" s="674">
        <f t="shared" si="64"/>
        <v>75</v>
      </c>
      <c r="CB51" s="675">
        <f t="shared" si="64"/>
        <v>114</v>
      </c>
      <c r="CC51" s="675">
        <f t="shared" si="64"/>
        <v>108</v>
      </c>
      <c r="CD51" s="676">
        <f t="shared" si="64"/>
        <v>297</v>
      </c>
      <c r="CE51" s="674">
        <f t="shared" ref="CE51:CF51" si="65">SUM(CE41:CE49)</f>
        <v>122</v>
      </c>
      <c r="CF51" s="675">
        <f t="shared" si="65"/>
        <v>94</v>
      </c>
      <c r="CG51" s="675">
        <v>98</v>
      </c>
      <c r="CH51" s="676">
        <f>SUM(CH41:CH49)</f>
        <v>314</v>
      </c>
      <c r="CI51" s="674">
        <f>SUM(CI41:CI49)</f>
        <v>87</v>
      </c>
      <c r="CJ51" s="675">
        <f>SUM(CJ41:CJ49)</f>
        <v>97</v>
      </c>
      <c r="CK51" s="675">
        <f>SUM(CK41:CK49)</f>
        <v>79</v>
      </c>
      <c r="CL51" s="676">
        <f>SUM(CL41:CL49)</f>
        <v>263</v>
      </c>
      <c r="CM51" s="674">
        <f t="shared" ref="CM51:CT51" si="66">SUM(CM41:CM50)</f>
        <v>113</v>
      </c>
      <c r="CN51" s="675">
        <f t="shared" si="66"/>
        <v>104</v>
      </c>
      <c r="CO51" s="675">
        <f t="shared" si="66"/>
        <v>114</v>
      </c>
      <c r="CP51" s="676">
        <f t="shared" si="66"/>
        <v>331</v>
      </c>
      <c r="CQ51" s="674">
        <f>SUM(CQ41:CQ50)</f>
        <v>70</v>
      </c>
      <c r="CR51" s="675">
        <f>SUM(CR41:CR50)</f>
        <v>117</v>
      </c>
      <c r="CS51" s="675">
        <f t="shared" si="66"/>
        <v>97</v>
      </c>
      <c r="CT51" s="676">
        <f t="shared" si="66"/>
        <v>284</v>
      </c>
    </row>
    <row r="52" spans="1:98" s="656" customFormat="1" ht="15" customHeight="1" x14ac:dyDescent="0.3">
      <c r="A52" s="642"/>
      <c r="B52" s="648" t="s">
        <v>60</v>
      </c>
      <c r="C52" s="33">
        <v>51</v>
      </c>
      <c r="D52" s="34">
        <v>66</v>
      </c>
      <c r="E52" s="34">
        <v>29</v>
      </c>
      <c r="F52" s="649">
        <v>146</v>
      </c>
      <c r="G52" s="33">
        <v>45</v>
      </c>
      <c r="H52" s="34">
        <v>47</v>
      </c>
      <c r="I52" s="34">
        <v>33</v>
      </c>
      <c r="J52" s="649">
        <v>125</v>
      </c>
      <c r="K52" s="33">
        <v>63</v>
      </c>
      <c r="L52" s="34">
        <v>42</v>
      </c>
      <c r="M52" s="34">
        <v>41</v>
      </c>
      <c r="N52" s="649">
        <v>146</v>
      </c>
      <c r="O52" s="33">
        <v>51</v>
      </c>
      <c r="P52" s="34">
        <v>57</v>
      </c>
      <c r="Q52" s="34">
        <v>48</v>
      </c>
      <c r="R52" s="650">
        <v>156</v>
      </c>
      <c r="S52" s="33">
        <v>37</v>
      </c>
      <c r="T52" s="34">
        <v>39</v>
      </c>
      <c r="U52" s="34">
        <v>28</v>
      </c>
      <c r="V52" s="650">
        <f t="shared" ref="V52:V62" si="67">SUM(S52:U52)</f>
        <v>104</v>
      </c>
      <c r="W52" s="33">
        <v>54</v>
      </c>
      <c r="X52" s="34">
        <v>51</v>
      </c>
      <c r="Y52" s="34">
        <v>53</v>
      </c>
      <c r="Z52" s="649">
        <f t="shared" ref="Z52:Z62" si="68">SUM(W52:Y52)</f>
        <v>158</v>
      </c>
      <c r="AA52" s="651">
        <v>69</v>
      </c>
      <c r="AB52" s="34">
        <v>44</v>
      </c>
      <c r="AC52" s="34">
        <v>50</v>
      </c>
      <c r="AD52" s="649">
        <f t="shared" ref="AD52:AD62" si="69">SUM(AA52:AC52)</f>
        <v>163</v>
      </c>
      <c r="AE52" s="651">
        <v>31</v>
      </c>
      <c r="AF52" s="34">
        <v>59</v>
      </c>
      <c r="AG52" s="34">
        <v>40</v>
      </c>
      <c r="AH52" s="650">
        <f t="shared" ref="AH52:AH62" si="70">SUM(AE52:AG52)</f>
        <v>130</v>
      </c>
      <c r="AI52" s="651">
        <v>54</v>
      </c>
      <c r="AJ52" s="34">
        <v>31</v>
      </c>
      <c r="AK52" s="652">
        <v>32</v>
      </c>
      <c r="AL52" s="650">
        <f t="shared" ref="AL52:AL62" si="71">SUM(AI52:AK52)</f>
        <v>117</v>
      </c>
      <c r="AM52" s="651">
        <v>57</v>
      </c>
      <c r="AN52" s="34">
        <v>43</v>
      </c>
      <c r="AO52" s="652">
        <v>23</v>
      </c>
      <c r="AP52" s="650">
        <f t="shared" ref="AP52:AP62" si="72">SUM(AM52:AO52)</f>
        <v>123</v>
      </c>
      <c r="AQ52" s="653">
        <v>50</v>
      </c>
      <c r="AR52" s="654">
        <v>46</v>
      </c>
      <c r="AS52" s="654">
        <v>17</v>
      </c>
      <c r="AT52" s="655">
        <f t="shared" si="6"/>
        <v>113</v>
      </c>
      <c r="AU52" s="654">
        <v>56</v>
      </c>
      <c r="AV52" s="654">
        <v>60</v>
      </c>
      <c r="AW52" s="654">
        <v>36</v>
      </c>
      <c r="AX52" s="655">
        <f t="shared" si="7"/>
        <v>152</v>
      </c>
      <c r="AY52" s="709">
        <v>58</v>
      </c>
      <c r="AZ52" s="710">
        <v>35</v>
      </c>
      <c r="BA52" s="710">
        <v>32</v>
      </c>
      <c r="BB52" s="711">
        <v>125</v>
      </c>
      <c r="BC52" s="709">
        <v>40</v>
      </c>
      <c r="BD52" s="710">
        <v>58</v>
      </c>
      <c r="BE52" s="710">
        <v>35</v>
      </c>
      <c r="BF52" s="711">
        <f t="shared" si="8"/>
        <v>133</v>
      </c>
      <c r="BG52" s="709">
        <v>72</v>
      </c>
      <c r="BH52" s="710">
        <v>65</v>
      </c>
      <c r="BI52" s="710">
        <v>53</v>
      </c>
      <c r="BJ52" s="711">
        <f t="shared" ref="BJ52:BJ62" si="73">SUM(BG52:BI52)</f>
        <v>190</v>
      </c>
      <c r="BK52" s="709">
        <v>48</v>
      </c>
      <c r="BL52" s="710">
        <v>57</v>
      </c>
      <c r="BM52" s="710">
        <v>42</v>
      </c>
      <c r="BN52" s="711">
        <f t="shared" ref="BN52:BN62" si="74">SUM(BK52:BM52)</f>
        <v>147</v>
      </c>
      <c r="BO52" s="709">
        <v>54</v>
      </c>
      <c r="BP52" s="710">
        <v>60</v>
      </c>
      <c r="BQ52" s="710">
        <v>37</v>
      </c>
      <c r="BR52" s="711">
        <f t="shared" ref="BR52:BR62" si="75">SUM(BO52:BQ52)</f>
        <v>151</v>
      </c>
      <c r="BS52" s="709">
        <v>29</v>
      </c>
      <c r="BT52" s="710">
        <v>62</v>
      </c>
      <c r="BU52" s="710">
        <v>32</v>
      </c>
      <c r="BV52" s="711">
        <f t="shared" ref="BV52:BV62" si="76">SUM(BS52:BU52)</f>
        <v>123</v>
      </c>
      <c r="BW52" s="709">
        <v>37</v>
      </c>
      <c r="BX52" s="710">
        <v>46</v>
      </c>
      <c r="BY52" s="710">
        <v>47</v>
      </c>
      <c r="BZ52" s="711">
        <f t="shared" ref="BZ52:BZ62" si="77">SUM(BW52:BY52)</f>
        <v>130</v>
      </c>
      <c r="CA52" s="709">
        <v>34</v>
      </c>
      <c r="CB52" s="710">
        <v>58</v>
      </c>
      <c r="CC52" s="710">
        <v>46</v>
      </c>
      <c r="CD52" s="711">
        <f t="shared" ref="CD52:CD62" si="78">SUM(CA52:CC52)</f>
        <v>138</v>
      </c>
      <c r="CE52" s="709">
        <v>33</v>
      </c>
      <c r="CF52" s="710">
        <v>45</v>
      </c>
      <c r="CG52" s="710">
        <v>50</v>
      </c>
      <c r="CH52" s="711">
        <f t="shared" ref="CH52:CH62" si="79">SUM(CE52:CG52)</f>
        <v>128</v>
      </c>
      <c r="CI52" s="709">
        <v>38</v>
      </c>
      <c r="CJ52" s="710">
        <v>65</v>
      </c>
      <c r="CK52" s="710">
        <v>40</v>
      </c>
      <c r="CL52" s="711">
        <f t="shared" ref="CL52:CL62" si="80">SUM(CI52:CK52)</f>
        <v>143</v>
      </c>
      <c r="CM52" s="709">
        <v>29</v>
      </c>
      <c r="CN52" s="710">
        <v>52</v>
      </c>
      <c r="CO52" s="710">
        <v>57</v>
      </c>
      <c r="CP52" s="711">
        <f t="shared" ref="CP52:CP62" si="81">SUM(CM52:CO52)</f>
        <v>138</v>
      </c>
      <c r="CQ52" s="709">
        <v>44</v>
      </c>
      <c r="CR52" s="710">
        <v>35</v>
      </c>
      <c r="CS52" s="710">
        <v>46</v>
      </c>
      <c r="CT52" s="711">
        <f t="shared" ref="CT52:CT62" si="82">SUM(CQ52:CS52)</f>
        <v>125</v>
      </c>
    </row>
    <row r="53" spans="1:98" s="656" customFormat="1" ht="15" customHeight="1" x14ac:dyDescent="0.3">
      <c r="A53" s="642"/>
      <c r="B53" s="657" t="s">
        <v>78</v>
      </c>
      <c r="C53" s="40">
        <v>9</v>
      </c>
      <c r="D53" s="41">
        <v>13</v>
      </c>
      <c r="E53" s="41">
        <v>16</v>
      </c>
      <c r="F53" s="658">
        <v>38</v>
      </c>
      <c r="G53" s="40">
        <v>9</v>
      </c>
      <c r="H53" s="41">
        <v>14</v>
      </c>
      <c r="I53" s="41">
        <v>26</v>
      </c>
      <c r="J53" s="658">
        <v>49</v>
      </c>
      <c r="K53" s="40">
        <v>13</v>
      </c>
      <c r="L53" s="41">
        <v>6</v>
      </c>
      <c r="M53" s="41">
        <v>8</v>
      </c>
      <c r="N53" s="658">
        <v>27</v>
      </c>
      <c r="O53" s="40">
        <v>10</v>
      </c>
      <c r="P53" s="41">
        <v>6</v>
      </c>
      <c r="Q53" s="41">
        <v>10</v>
      </c>
      <c r="R53" s="659">
        <v>26</v>
      </c>
      <c r="S53" s="40">
        <v>13</v>
      </c>
      <c r="T53" s="41">
        <v>16</v>
      </c>
      <c r="U53" s="41">
        <v>21</v>
      </c>
      <c r="V53" s="659">
        <f t="shared" si="67"/>
        <v>50</v>
      </c>
      <c r="W53" s="40">
        <v>16</v>
      </c>
      <c r="X53" s="41">
        <v>8</v>
      </c>
      <c r="Y53" s="41">
        <v>16</v>
      </c>
      <c r="Z53" s="658">
        <f t="shared" si="68"/>
        <v>40</v>
      </c>
      <c r="AA53" s="660">
        <v>13</v>
      </c>
      <c r="AB53" s="41">
        <v>4</v>
      </c>
      <c r="AC53" s="41">
        <v>3</v>
      </c>
      <c r="AD53" s="658">
        <f t="shared" si="69"/>
        <v>20</v>
      </c>
      <c r="AE53" s="660">
        <v>9</v>
      </c>
      <c r="AF53" s="41">
        <v>4</v>
      </c>
      <c r="AG53" s="41">
        <v>10</v>
      </c>
      <c r="AH53" s="659">
        <f t="shared" si="70"/>
        <v>23</v>
      </c>
      <c r="AI53" s="660">
        <v>9</v>
      </c>
      <c r="AJ53" s="41">
        <v>6</v>
      </c>
      <c r="AK53" s="661">
        <v>5</v>
      </c>
      <c r="AL53" s="659">
        <f t="shared" si="71"/>
        <v>20</v>
      </c>
      <c r="AM53" s="660">
        <v>10</v>
      </c>
      <c r="AN53" s="41">
        <v>8</v>
      </c>
      <c r="AO53" s="661">
        <v>12</v>
      </c>
      <c r="AP53" s="659">
        <f t="shared" si="72"/>
        <v>30</v>
      </c>
      <c r="AQ53" s="662">
        <v>6</v>
      </c>
      <c r="AR53" s="663">
        <v>9</v>
      </c>
      <c r="AS53" s="663">
        <v>9</v>
      </c>
      <c r="AT53" s="664">
        <f t="shared" si="6"/>
        <v>24</v>
      </c>
      <c r="AU53" s="663">
        <v>4</v>
      </c>
      <c r="AV53" s="663">
        <v>6</v>
      </c>
      <c r="AW53" s="663">
        <v>9</v>
      </c>
      <c r="AX53" s="664">
        <f t="shared" si="7"/>
        <v>19</v>
      </c>
      <c r="AY53" s="712">
        <v>8</v>
      </c>
      <c r="AZ53" s="713">
        <v>11</v>
      </c>
      <c r="BA53" s="713">
        <v>4</v>
      </c>
      <c r="BB53" s="714">
        <v>23</v>
      </c>
      <c r="BC53" s="712">
        <v>8</v>
      </c>
      <c r="BD53" s="713">
        <v>16</v>
      </c>
      <c r="BE53" s="713">
        <v>16</v>
      </c>
      <c r="BF53" s="714">
        <f t="shared" si="8"/>
        <v>40</v>
      </c>
      <c r="BG53" s="712">
        <v>14</v>
      </c>
      <c r="BH53" s="713">
        <v>9</v>
      </c>
      <c r="BI53" s="713">
        <v>11</v>
      </c>
      <c r="BJ53" s="714">
        <f t="shared" si="73"/>
        <v>34</v>
      </c>
      <c r="BK53" s="712">
        <v>11</v>
      </c>
      <c r="BL53" s="713">
        <v>11</v>
      </c>
      <c r="BM53" s="713">
        <v>6</v>
      </c>
      <c r="BN53" s="714">
        <f t="shared" si="74"/>
        <v>28</v>
      </c>
      <c r="BO53" s="712">
        <v>16</v>
      </c>
      <c r="BP53" s="713">
        <v>7</v>
      </c>
      <c r="BQ53" s="713">
        <v>9</v>
      </c>
      <c r="BR53" s="714">
        <f t="shared" si="75"/>
        <v>32</v>
      </c>
      <c r="BS53" s="712">
        <v>7</v>
      </c>
      <c r="BT53" s="713">
        <v>21</v>
      </c>
      <c r="BU53" s="713">
        <v>6</v>
      </c>
      <c r="BV53" s="714">
        <f t="shared" si="76"/>
        <v>34</v>
      </c>
      <c r="BW53" s="712">
        <v>14</v>
      </c>
      <c r="BX53" s="713">
        <v>5</v>
      </c>
      <c r="BY53" s="713">
        <v>10</v>
      </c>
      <c r="BZ53" s="714">
        <f t="shared" si="77"/>
        <v>29</v>
      </c>
      <c r="CA53" s="712">
        <v>9</v>
      </c>
      <c r="CB53" s="713">
        <v>11</v>
      </c>
      <c r="CC53" s="713">
        <v>3</v>
      </c>
      <c r="CD53" s="714">
        <f t="shared" si="78"/>
        <v>23</v>
      </c>
      <c r="CE53" s="712">
        <v>7</v>
      </c>
      <c r="CF53" s="713">
        <v>13</v>
      </c>
      <c r="CG53" s="713">
        <v>5</v>
      </c>
      <c r="CH53" s="714">
        <f t="shared" si="79"/>
        <v>25</v>
      </c>
      <c r="CI53" s="712">
        <v>8</v>
      </c>
      <c r="CJ53" s="713">
        <v>10</v>
      </c>
      <c r="CK53" s="713">
        <v>8</v>
      </c>
      <c r="CL53" s="714">
        <f t="shared" si="80"/>
        <v>26</v>
      </c>
      <c r="CM53" s="712">
        <v>6</v>
      </c>
      <c r="CN53" s="713">
        <v>3</v>
      </c>
      <c r="CO53" s="713">
        <v>8</v>
      </c>
      <c r="CP53" s="714">
        <f t="shared" si="81"/>
        <v>17</v>
      </c>
      <c r="CQ53" s="712">
        <v>6</v>
      </c>
      <c r="CR53" s="713">
        <v>7</v>
      </c>
      <c r="CS53" s="713">
        <v>10</v>
      </c>
      <c r="CT53" s="714">
        <f t="shared" si="82"/>
        <v>23</v>
      </c>
    </row>
    <row r="54" spans="1:98" s="656" customFormat="1" ht="15" customHeight="1" x14ac:dyDescent="0.3">
      <c r="A54" s="642"/>
      <c r="B54" s="657" t="s">
        <v>79</v>
      </c>
      <c r="C54" s="660">
        <v>5</v>
      </c>
      <c r="D54" s="715">
        <v>4</v>
      </c>
      <c r="E54" s="41">
        <v>7</v>
      </c>
      <c r="F54" s="658">
        <v>16</v>
      </c>
      <c r="G54" s="660">
        <v>7</v>
      </c>
      <c r="H54" s="715">
        <v>9</v>
      </c>
      <c r="I54" s="41">
        <v>9</v>
      </c>
      <c r="J54" s="658">
        <v>25</v>
      </c>
      <c r="K54" s="660">
        <v>4</v>
      </c>
      <c r="L54" s="715">
        <v>9</v>
      </c>
      <c r="M54" s="41">
        <v>3</v>
      </c>
      <c r="N54" s="658">
        <v>16</v>
      </c>
      <c r="O54" s="660">
        <v>8</v>
      </c>
      <c r="P54" s="715">
        <v>2</v>
      </c>
      <c r="Q54" s="41">
        <v>8</v>
      </c>
      <c r="R54" s="659">
        <v>18</v>
      </c>
      <c r="S54" s="660">
        <v>7</v>
      </c>
      <c r="T54" s="715">
        <v>10</v>
      </c>
      <c r="U54" s="41">
        <v>8</v>
      </c>
      <c r="V54" s="659">
        <f t="shared" si="67"/>
        <v>25</v>
      </c>
      <c r="W54" s="660">
        <v>8</v>
      </c>
      <c r="X54" s="715">
        <v>13</v>
      </c>
      <c r="Y54" s="41">
        <v>6</v>
      </c>
      <c r="Z54" s="658">
        <f t="shared" si="68"/>
        <v>27</v>
      </c>
      <c r="AA54" s="660">
        <v>10</v>
      </c>
      <c r="AB54" s="715">
        <v>16</v>
      </c>
      <c r="AC54" s="41">
        <v>9</v>
      </c>
      <c r="AD54" s="658">
        <f t="shared" si="69"/>
        <v>35</v>
      </c>
      <c r="AE54" s="660">
        <v>6</v>
      </c>
      <c r="AF54" s="715">
        <v>9</v>
      </c>
      <c r="AG54" s="41">
        <v>12</v>
      </c>
      <c r="AH54" s="659">
        <f t="shared" si="70"/>
        <v>27</v>
      </c>
      <c r="AI54" s="660">
        <v>7</v>
      </c>
      <c r="AJ54" s="715">
        <v>10</v>
      </c>
      <c r="AK54" s="661">
        <v>9</v>
      </c>
      <c r="AL54" s="659">
        <f t="shared" si="71"/>
        <v>26</v>
      </c>
      <c r="AM54" s="660">
        <v>2</v>
      </c>
      <c r="AN54" s="715">
        <v>9</v>
      </c>
      <c r="AO54" s="661">
        <v>8</v>
      </c>
      <c r="AP54" s="659">
        <f t="shared" si="72"/>
        <v>19</v>
      </c>
      <c r="AQ54" s="662">
        <v>7</v>
      </c>
      <c r="AR54" s="663">
        <v>8</v>
      </c>
      <c r="AS54" s="663">
        <v>14</v>
      </c>
      <c r="AT54" s="664">
        <f t="shared" si="6"/>
        <v>29</v>
      </c>
      <c r="AU54" s="663">
        <v>8</v>
      </c>
      <c r="AV54" s="663">
        <v>10</v>
      </c>
      <c r="AW54" s="663">
        <v>12</v>
      </c>
      <c r="AX54" s="664">
        <f t="shared" si="7"/>
        <v>30</v>
      </c>
      <c r="AY54" s="712">
        <v>13</v>
      </c>
      <c r="AZ54" s="713">
        <v>8</v>
      </c>
      <c r="BA54" s="713">
        <v>11</v>
      </c>
      <c r="BB54" s="714">
        <v>32</v>
      </c>
      <c r="BC54" s="712">
        <v>16</v>
      </c>
      <c r="BD54" s="713">
        <v>15</v>
      </c>
      <c r="BE54" s="713">
        <v>8</v>
      </c>
      <c r="BF54" s="714">
        <f t="shared" si="8"/>
        <v>39</v>
      </c>
      <c r="BG54" s="712">
        <v>14</v>
      </c>
      <c r="BH54" s="713">
        <v>13</v>
      </c>
      <c r="BI54" s="713">
        <v>14</v>
      </c>
      <c r="BJ54" s="714">
        <f t="shared" si="73"/>
        <v>41</v>
      </c>
      <c r="BK54" s="712">
        <v>8</v>
      </c>
      <c r="BL54" s="713">
        <v>7</v>
      </c>
      <c r="BM54" s="713">
        <v>9</v>
      </c>
      <c r="BN54" s="714">
        <f t="shared" si="74"/>
        <v>24</v>
      </c>
      <c r="BO54" s="712">
        <v>14</v>
      </c>
      <c r="BP54" s="713">
        <v>7</v>
      </c>
      <c r="BQ54" s="713">
        <v>9</v>
      </c>
      <c r="BR54" s="714">
        <f t="shared" si="75"/>
        <v>30</v>
      </c>
      <c r="BS54" s="712">
        <v>9</v>
      </c>
      <c r="BT54" s="713">
        <v>3</v>
      </c>
      <c r="BU54" s="713">
        <v>6</v>
      </c>
      <c r="BV54" s="714">
        <f t="shared" si="76"/>
        <v>18</v>
      </c>
      <c r="BW54" s="712">
        <v>7</v>
      </c>
      <c r="BX54" s="713">
        <v>11</v>
      </c>
      <c r="BY54" s="713">
        <v>7</v>
      </c>
      <c r="BZ54" s="714">
        <f t="shared" si="77"/>
        <v>25</v>
      </c>
      <c r="CA54" s="712">
        <v>13</v>
      </c>
      <c r="CB54" s="713">
        <v>13</v>
      </c>
      <c r="CC54" s="713">
        <v>7</v>
      </c>
      <c r="CD54" s="714">
        <f t="shared" si="78"/>
        <v>33</v>
      </c>
      <c r="CE54" s="712">
        <v>10</v>
      </c>
      <c r="CF54" s="713">
        <v>14</v>
      </c>
      <c r="CG54" s="713">
        <v>7</v>
      </c>
      <c r="CH54" s="714">
        <f t="shared" si="79"/>
        <v>31</v>
      </c>
      <c r="CI54" s="712">
        <v>9</v>
      </c>
      <c r="CJ54" s="713">
        <v>17</v>
      </c>
      <c r="CK54" s="713">
        <v>6</v>
      </c>
      <c r="CL54" s="714">
        <f t="shared" si="80"/>
        <v>32</v>
      </c>
      <c r="CM54" s="712">
        <v>6</v>
      </c>
      <c r="CN54" s="713">
        <v>6</v>
      </c>
      <c r="CO54" s="713">
        <v>7</v>
      </c>
      <c r="CP54" s="714">
        <f t="shared" si="81"/>
        <v>19</v>
      </c>
      <c r="CQ54" s="712">
        <v>11</v>
      </c>
      <c r="CR54" s="713">
        <v>20</v>
      </c>
      <c r="CS54" s="713">
        <v>11</v>
      </c>
      <c r="CT54" s="714">
        <f t="shared" si="82"/>
        <v>42</v>
      </c>
    </row>
    <row r="55" spans="1:98" s="656" customFormat="1" ht="15" customHeight="1" x14ac:dyDescent="0.3">
      <c r="A55" s="642"/>
      <c r="B55" s="657" t="s">
        <v>80</v>
      </c>
      <c r="C55" s="660">
        <v>3</v>
      </c>
      <c r="D55" s="715">
        <v>6</v>
      </c>
      <c r="E55" s="41">
        <v>3</v>
      </c>
      <c r="F55" s="658">
        <v>12</v>
      </c>
      <c r="G55" s="660">
        <v>7</v>
      </c>
      <c r="H55" s="715">
        <v>11</v>
      </c>
      <c r="I55" s="41">
        <v>6</v>
      </c>
      <c r="J55" s="658">
        <v>24</v>
      </c>
      <c r="K55" s="660">
        <v>8</v>
      </c>
      <c r="L55" s="715">
        <v>6</v>
      </c>
      <c r="M55" s="41">
        <v>5</v>
      </c>
      <c r="N55" s="658">
        <v>19</v>
      </c>
      <c r="O55" s="660">
        <v>6</v>
      </c>
      <c r="P55" s="715">
        <v>9</v>
      </c>
      <c r="Q55" s="41">
        <v>5</v>
      </c>
      <c r="R55" s="659">
        <v>20</v>
      </c>
      <c r="S55" s="660">
        <v>6</v>
      </c>
      <c r="T55" s="715">
        <v>7</v>
      </c>
      <c r="U55" s="41">
        <v>5</v>
      </c>
      <c r="V55" s="659">
        <f t="shared" si="67"/>
        <v>18</v>
      </c>
      <c r="W55" s="660">
        <v>10</v>
      </c>
      <c r="X55" s="715">
        <v>10</v>
      </c>
      <c r="Y55" s="41">
        <v>6</v>
      </c>
      <c r="Z55" s="658">
        <f t="shared" si="68"/>
        <v>26</v>
      </c>
      <c r="AA55" s="660">
        <v>4</v>
      </c>
      <c r="AB55" s="715">
        <v>7</v>
      </c>
      <c r="AC55" s="41">
        <v>6</v>
      </c>
      <c r="AD55" s="658">
        <f t="shared" si="69"/>
        <v>17</v>
      </c>
      <c r="AE55" s="660">
        <v>10</v>
      </c>
      <c r="AF55" s="715">
        <v>18</v>
      </c>
      <c r="AG55" s="41">
        <v>8</v>
      </c>
      <c r="AH55" s="659">
        <f t="shared" si="70"/>
        <v>36</v>
      </c>
      <c r="AI55" s="660">
        <v>13</v>
      </c>
      <c r="AJ55" s="715">
        <v>10</v>
      </c>
      <c r="AK55" s="661">
        <v>6</v>
      </c>
      <c r="AL55" s="659">
        <f t="shared" si="71"/>
        <v>29</v>
      </c>
      <c r="AM55" s="660">
        <v>6</v>
      </c>
      <c r="AN55" s="715">
        <v>12</v>
      </c>
      <c r="AO55" s="661">
        <v>8</v>
      </c>
      <c r="AP55" s="659">
        <f t="shared" si="72"/>
        <v>26</v>
      </c>
      <c r="AQ55" s="662">
        <v>6</v>
      </c>
      <c r="AR55" s="663">
        <v>16</v>
      </c>
      <c r="AS55" s="663">
        <v>11</v>
      </c>
      <c r="AT55" s="664">
        <f t="shared" si="6"/>
        <v>33</v>
      </c>
      <c r="AU55" s="663">
        <v>14</v>
      </c>
      <c r="AV55" s="663">
        <v>13</v>
      </c>
      <c r="AW55" s="663">
        <v>12</v>
      </c>
      <c r="AX55" s="664">
        <f t="shared" si="7"/>
        <v>39</v>
      </c>
      <c r="AY55" s="712">
        <v>5</v>
      </c>
      <c r="AZ55" s="713">
        <v>20</v>
      </c>
      <c r="BA55" s="713">
        <v>14</v>
      </c>
      <c r="BB55" s="714">
        <v>39</v>
      </c>
      <c r="BC55" s="712">
        <v>10</v>
      </c>
      <c r="BD55" s="713">
        <v>6</v>
      </c>
      <c r="BE55" s="713">
        <v>9</v>
      </c>
      <c r="BF55" s="714">
        <f t="shared" si="8"/>
        <v>25</v>
      </c>
      <c r="BG55" s="712">
        <v>13</v>
      </c>
      <c r="BH55" s="713">
        <v>20</v>
      </c>
      <c r="BI55" s="713">
        <v>10</v>
      </c>
      <c r="BJ55" s="714">
        <f t="shared" si="73"/>
        <v>43</v>
      </c>
      <c r="BK55" s="712">
        <v>10</v>
      </c>
      <c r="BL55" s="713">
        <v>15</v>
      </c>
      <c r="BM55" s="713">
        <v>4</v>
      </c>
      <c r="BN55" s="714">
        <f t="shared" si="74"/>
        <v>29</v>
      </c>
      <c r="BO55" s="712">
        <v>12</v>
      </c>
      <c r="BP55" s="713">
        <v>14</v>
      </c>
      <c r="BQ55" s="713">
        <v>16</v>
      </c>
      <c r="BR55" s="714">
        <f t="shared" si="75"/>
        <v>42</v>
      </c>
      <c r="BS55" s="712">
        <v>12</v>
      </c>
      <c r="BT55" s="713">
        <v>17</v>
      </c>
      <c r="BU55" s="713">
        <v>11</v>
      </c>
      <c r="BV55" s="714">
        <f t="shared" si="76"/>
        <v>40</v>
      </c>
      <c r="BW55" s="712">
        <v>9</v>
      </c>
      <c r="BX55" s="713">
        <v>10</v>
      </c>
      <c r="BY55" s="713">
        <v>9</v>
      </c>
      <c r="BZ55" s="714">
        <f t="shared" si="77"/>
        <v>28</v>
      </c>
      <c r="CA55" s="712">
        <v>10</v>
      </c>
      <c r="CB55" s="713">
        <v>9</v>
      </c>
      <c r="CC55" s="713">
        <v>13</v>
      </c>
      <c r="CD55" s="714">
        <f t="shared" si="78"/>
        <v>32</v>
      </c>
      <c r="CE55" s="712">
        <v>15</v>
      </c>
      <c r="CF55" s="713">
        <v>13</v>
      </c>
      <c r="CG55" s="713">
        <v>6</v>
      </c>
      <c r="CH55" s="714">
        <f t="shared" si="79"/>
        <v>34</v>
      </c>
      <c r="CI55" s="712">
        <v>4</v>
      </c>
      <c r="CJ55" s="713">
        <v>11</v>
      </c>
      <c r="CK55" s="713">
        <v>10</v>
      </c>
      <c r="CL55" s="714">
        <f t="shared" si="80"/>
        <v>25</v>
      </c>
      <c r="CM55" s="712">
        <v>9</v>
      </c>
      <c r="CN55" s="713">
        <v>8</v>
      </c>
      <c r="CO55" s="713">
        <v>5</v>
      </c>
      <c r="CP55" s="714">
        <f t="shared" si="81"/>
        <v>22</v>
      </c>
      <c r="CQ55" s="712">
        <v>5</v>
      </c>
      <c r="CR55" s="713">
        <v>4</v>
      </c>
      <c r="CS55" s="713">
        <v>9</v>
      </c>
      <c r="CT55" s="714">
        <f t="shared" si="82"/>
        <v>18</v>
      </c>
    </row>
    <row r="56" spans="1:98" s="656" customFormat="1" ht="15" customHeight="1" x14ac:dyDescent="0.3">
      <c r="A56" s="642"/>
      <c r="B56" s="657" t="s">
        <v>62</v>
      </c>
      <c r="C56" s="40">
        <v>23</v>
      </c>
      <c r="D56" s="41">
        <v>30</v>
      </c>
      <c r="E56" s="41">
        <v>19</v>
      </c>
      <c r="F56" s="658">
        <v>72</v>
      </c>
      <c r="G56" s="40">
        <v>25</v>
      </c>
      <c r="H56" s="41">
        <v>35</v>
      </c>
      <c r="I56" s="41">
        <v>15</v>
      </c>
      <c r="J56" s="658">
        <v>75</v>
      </c>
      <c r="K56" s="40">
        <v>17</v>
      </c>
      <c r="L56" s="41">
        <v>16</v>
      </c>
      <c r="M56" s="41">
        <v>6</v>
      </c>
      <c r="N56" s="658">
        <v>39</v>
      </c>
      <c r="O56" s="40">
        <v>14</v>
      </c>
      <c r="P56" s="41">
        <v>18</v>
      </c>
      <c r="Q56" s="41">
        <v>10</v>
      </c>
      <c r="R56" s="659">
        <v>42</v>
      </c>
      <c r="S56" s="40">
        <v>13</v>
      </c>
      <c r="T56" s="41">
        <v>20</v>
      </c>
      <c r="U56" s="41">
        <v>16</v>
      </c>
      <c r="V56" s="659">
        <f t="shared" si="67"/>
        <v>49</v>
      </c>
      <c r="W56" s="40">
        <v>13</v>
      </c>
      <c r="X56" s="41">
        <v>15</v>
      </c>
      <c r="Y56" s="41">
        <v>12</v>
      </c>
      <c r="Z56" s="658">
        <f t="shared" si="68"/>
        <v>40</v>
      </c>
      <c r="AA56" s="660">
        <v>19</v>
      </c>
      <c r="AB56" s="41">
        <v>17</v>
      </c>
      <c r="AC56" s="41">
        <v>5</v>
      </c>
      <c r="AD56" s="658">
        <f t="shared" si="69"/>
        <v>41</v>
      </c>
      <c r="AE56" s="660">
        <v>19</v>
      </c>
      <c r="AF56" s="41">
        <v>18</v>
      </c>
      <c r="AG56" s="41">
        <v>21</v>
      </c>
      <c r="AH56" s="659">
        <f t="shared" si="70"/>
        <v>58</v>
      </c>
      <c r="AI56" s="660">
        <v>21</v>
      </c>
      <c r="AJ56" s="41">
        <v>13</v>
      </c>
      <c r="AK56" s="661">
        <v>13</v>
      </c>
      <c r="AL56" s="659">
        <f t="shared" si="71"/>
        <v>47</v>
      </c>
      <c r="AM56" s="660">
        <v>10</v>
      </c>
      <c r="AN56" s="41">
        <v>11</v>
      </c>
      <c r="AO56" s="661">
        <v>10</v>
      </c>
      <c r="AP56" s="659">
        <f t="shared" si="72"/>
        <v>31</v>
      </c>
      <c r="AQ56" s="662">
        <v>19</v>
      </c>
      <c r="AR56" s="663">
        <v>25</v>
      </c>
      <c r="AS56" s="663">
        <v>3</v>
      </c>
      <c r="AT56" s="664">
        <f t="shared" si="6"/>
        <v>47</v>
      </c>
      <c r="AU56" s="663">
        <v>11</v>
      </c>
      <c r="AV56" s="663">
        <v>43</v>
      </c>
      <c r="AW56" s="663">
        <v>19</v>
      </c>
      <c r="AX56" s="664">
        <f t="shared" si="7"/>
        <v>73</v>
      </c>
      <c r="AY56" s="712">
        <v>4</v>
      </c>
      <c r="AZ56" s="713">
        <v>18</v>
      </c>
      <c r="BA56" s="713">
        <v>12</v>
      </c>
      <c r="BB56" s="714">
        <v>34</v>
      </c>
      <c r="BC56" s="712">
        <v>2</v>
      </c>
      <c r="BD56" s="713">
        <v>19</v>
      </c>
      <c r="BE56" s="713">
        <v>17</v>
      </c>
      <c r="BF56" s="714">
        <f t="shared" si="8"/>
        <v>38</v>
      </c>
      <c r="BG56" s="712">
        <v>7</v>
      </c>
      <c r="BH56" s="713">
        <v>29</v>
      </c>
      <c r="BI56" s="713">
        <v>23</v>
      </c>
      <c r="BJ56" s="714">
        <f t="shared" si="73"/>
        <v>59</v>
      </c>
      <c r="BK56" s="712">
        <v>10</v>
      </c>
      <c r="BL56" s="713">
        <v>19</v>
      </c>
      <c r="BM56" s="713">
        <v>13</v>
      </c>
      <c r="BN56" s="714">
        <f t="shared" si="74"/>
        <v>42</v>
      </c>
      <c r="BO56" s="712">
        <v>11</v>
      </c>
      <c r="BP56" s="713">
        <v>18</v>
      </c>
      <c r="BQ56" s="713">
        <v>31</v>
      </c>
      <c r="BR56" s="714">
        <f t="shared" si="75"/>
        <v>60</v>
      </c>
      <c r="BS56" s="712">
        <v>6</v>
      </c>
      <c r="BT56" s="713">
        <v>19</v>
      </c>
      <c r="BU56" s="713">
        <v>16</v>
      </c>
      <c r="BV56" s="714">
        <f t="shared" si="76"/>
        <v>41</v>
      </c>
      <c r="BW56" s="712">
        <v>8</v>
      </c>
      <c r="BX56" s="713">
        <v>35</v>
      </c>
      <c r="BY56" s="713">
        <v>17</v>
      </c>
      <c r="BZ56" s="714">
        <f t="shared" si="77"/>
        <v>60</v>
      </c>
      <c r="CA56" s="712">
        <v>5</v>
      </c>
      <c r="CB56" s="713">
        <v>14</v>
      </c>
      <c r="CC56" s="713">
        <v>9</v>
      </c>
      <c r="CD56" s="714">
        <f t="shared" si="78"/>
        <v>28</v>
      </c>
      <c r="CE56" s="712">
        <v>10</v>
      </c>
      <c r="CF56" s="713">
        <v>18</v>
      </c>
      <c r="CG56" s="713">
        <v>22</v>
      </c>
      <c r="CH56" s="714">
        <f t="shared" si="79"/>
        <v>50</v>
      </c>
      <c r="CI56" s="712">
        <v>19</v>
      </c>
      <c r="CJ56" s="713">
        <v>30</v>
      </c>
      <c r="CK56" s="713">
        <v>27</v>
      </c>
      <c r="CL56" s="714">
        <f t="shared" si="80"/>
        <v>76</v>
      </c>
      <c r="CM56" s="712">
        <v>15</v>
      </c>
      <c r="CN56" s="713">
        <v>23</v>
      </c>
      <c r="CO56" s="713">
        <v>16</v>
      </c>
      <c r="CP56" s="714">
        <f t="shared" si="81"/>
        <v>54</v>
      </c>
      <c r="CQ56" s="712">
        <v>14</v>
      </c>
      <c r="CR56" s="713">
        <v>17</v>
      </c>
      <c r="CS56" s="713">
        <v>19</v>
      </c>
      <c r="CT56" s="714">
        <f t="shared" si="82"/>
        <v>50</v>
      </c>
    </row>
    <row r="57" spans="1:98" s="656" customFormat="1" ht="15" customHeight="1" x14ac:dyDescent="0.3">
      <c r="A57" s="642"/>
      <c r="B57" s="657" t="s">
        <v>63</v>
      </c>
      <c r="C57" s="40">
        <v>14</v>
      </c>
      <c r="D57" s="41">
        <v>26</v>
      </c>
      <c r="E57" s="41">
        <v>10</v>
      </c>
      <c r="F57" s="658">
        <v>50</v>
      </c>
      <c r="G57" s="40">
        <v>11</v>
      </c>
      <c r="H57" s="41">
        <v>24</v>
      </c>
      <c r="I57" s="41">
        <v>29</v>
      </c>
      <c r="J57" s="658">
        <v>64</v>
      </c>
      <c r="K57" s="40">
        <v>33</v>
      </c>
      <c r="L57" s="41">
        <v>19</v>
      </c>
      <c r="M57" s="41">
        <v>17</v>
      </c>
      <c r="N57" s="658">
        <v>69</v>
      </c>
      <c r="O57" s="40">
        <v>17</v>
      </c>
      <c r="P57" s="41">
        <v>23</v>
      </c>
      <c r="Q57" s="41">
        <v>22</v>
      </c>
      <c r="R57" s="659">
        <v>62</v>
      </c>
      <c r="S57" s="40">
        <v>22</v>
      </c>
      <c r="T57" s="41">
        <v>21</v>
      </c>
      <c r="U57" s="41">
        <v>14</v>
      </c>
      <c r="V57" s="659">
        <f t="shared" si="67"/>
        <v>57</v>
      </c>
      <c r="W57" s="40">
        <v>17</v>
      </c>
      <c r="X57" s="41">
        <v>16</v>
      </c>
      <c r="Y57" s="41">
        <v>19</v>
      </c>
      <c r="Z57" s="658">
        <f t="shared" si="68"/>
        <v>52</v>
      </c>
      <c r="AA57" s="660">
        <v>21</v>
      </c>
      <c r="AB57" s="41">
        <v>14</v>
      </c>
      <c r="AC57" s="41">
        <v>15</v>
      </c>
      <c r="AD57" s="658">
        <f t="shared" si="69"/>
        <v>50</v>
      </c>
      <c r="AE57" s="660">
        <v>7</v>
      </c>
      <c r="AF57" s="41">
        <v>18</v>
      </c>
      <c r="AG57" s="41">
        <v>17</v>
      </c>
      <c r="AH57" s="659">
        <f t="shared" si="70"/>
        <v>42</v>
      </c>
      <c r="AI57" s="660">
        <v>17</v>
      </c>
      <c r="AJ57" s="41">
        <v>14</v>
      </c>
      <c r="AK57" s="661">
        <v>9</v>
      </c>
      <c r="AL57" s="659">
        <f t="shared" si="71"/>
        <v>40</v>
      </c>
      <c r="AM57" s="660">
        <v>10</v>
      </c>
      <c r="AN57" s="41">
        <v>13</v>
      </c>
      <c r="AO57" s="661">
        <v>12</v>
      </c>
      <c r="AP57" s="659">
        <f t="shared" si="72"/>
        <v>35</v>
      </c>
      <c r="AQ57" s="662">
        <v>6</v>
      </c>
      <c r="AR57" s="663">
        <v>14</v>
      </c>
      <c r="AS57" s="663">
        <v>8</v>
      </c>
      <c r="AT57" s="664">
        <f t="shared" si="6"/>
        <v>28</v>
      </c>
      <c r="AU57" s="663">
        <v>17</v>
      </c>
      <c r="AV57" s="663">
        <v>15</v>
      </c>
      <c r="AW57" s="663">
        <v>16</v>
      </c>
      <c r="AX57" s="664">
        <f t="shared" si="7"/>
        <v>48</v>
      </c>
      <c r="AY57" s="712">
        <v>3</v>
      </c>
      <c r="AZ57" s="713">
        <v>13</v>
      </c>
      <c r="BA57" s="713">
        <v>22</v>
      </c>
      <c r="BB57" s="714">
        <v>38</v>
      </c>
      <c r="BC57" s="712">
        <v>9</v>
      </c>
      <c r="BD57" s="713">
        <v>7</v>
      </c>
      <c r="BE57" s="713">
        <v>11</v>
      </c>
      <c r="BF57" s="714">
        <f t="shared" si="8"/>
        <v>27</v>
      </c>
      <c r="BG57" s="712">
        <v>15</v>
      </c>
      <c r="BH57" s="713">
        <v>12</v>
      </c>
      <c r="BI57" s="713">
        <v>19</v>
      </c>
      <c r="BJ57" s="714">
        <f t="shared" si="73"/>
        <v>46</v>
      </c>
      <c r="BK57" s="712">
        <v>11</v>
      </c>
      <c r="BL57" s="713">
        <v>16</v>
      </c>
      <c r="BM57" s="713">
        <v>25</v>
      </c>
      <c r="BN57" s="714">
        <f t="shared" si="74"/>
        <v>52</v>
      </c>
      <c r="BO57" s="712">
        <v>11</v>
      </c>
      <c r="BP57" s="713">
        <v>12</v>
      </c>
      <c r="BQ57" s="713">
        <v>18</v>
      </c>
      <c r="BR57" s="714">
        <f t="shared" si="75"/>
        <v>41</v>
      </c>
      <c r="BS57" s="712">
        <v>10</v>
      </c>
      <c r="BT57" s="713">
        <v>16</v>
      </c>
      <c r="BU57" s="713">
        <v>14</v>
      </c>
      <c r="BV57" s="714">
        <f t="shared" si="76"/>
        <v>40</v>
      </c>
      <c r="BW57" s="712">
        <v>15</v>
      </c>
      <c r="BX57" s="713">
        <v>17</v>
      </c>
      <c r="BY57" s="713">
        <v>16</v>
      </c>
      <c r="BZ57" s="714">
        <f t="shared" si="77"/>
        <v>48</v>
      </c>
      <c r="CA57" s="712">
        <v>16</v>
      </c>
      <c r="CB57" s="713">
        <v>11</v>
      </c>
      <c r="CC57" s="713">
        <v>16</v>
      </c>
      <c r="CD57" s="714">
        <f t="shared" si="78"/>
        <v>43</v>
      </c>
      <c r="CE57" s="712">
        <v>16</v>
      </c>
      <c r="CF57" s="713">
        <v>7</v>
      </c>
      <c r="CG57" s="713">
        <v>17</v>
      </c>
      <c r="CH57" s="714">
        <f t="shared" si="79"/>
        <v>40</v>
      </c>
      <c r="CI57" s="712">
        <v>12</v>
      </c>
      <c r="CJ57" s="713">
        <v>9</v>
      </c>
      <c r="CK57" s="713">
        <v>14</v>
      </c>
      <c r="CL57" s="714">
        <f t="shared" si="80"/>
        <v>35</v>
      </c>
      <c r="CM57" s="712">
        <v>6</v>
      </c>
      <c r="CN57" s="713">
        <v>12</v>
      </c>
      <c r="CO57" s="713">
        <v>18</v>
      </c>
      <c r="CP57" s="714">
        <f t="shared" si="81"/>
        <v>36</v>
      </c>
      <c r="CQ57" s="712">
        <v>7</v>
      </c>
      <c r="CR57" s="713">
        <v>13</v>
      </c>
      <c r="CS57" s="713">
        <v>16</v>
      </c>
      <c r="CT57" s="714">
        <f t="shared" si="82"/>
        <v>36</v>
      </c>
    </row>
    <row r="58" spans="1:98" s="656" customFormat="1" ht="15" customHeight="1" x14ac:dyDescent="0.3">
      <c r="A58" s="642"/>
      <c r="B58" s="657" t="s">
        <v>81</v>
      </c>
      <c r="C58" s="40">
        <v>3</v>
      </c>
      <c r="D58" s="41">
        <v>4</v>
      </c>
      <c r="E58" s="41">
        <v>4</v>
      </c>
      <c r="F58" s="658">
        <v>11</v>
      </c>
      <c r="G58" s="40">
        <v>12</v>
      </c>
      <c r="H58" s="41">
        <v>17</v>
      </c>
      <c r="I58" s="41">
        <v>10</v>
      </c>
      <c r="J58" s="658">
        <v>39</v>
      </c>
      <c r="K58" s="40">
        <v>8</v>
      </c>
      <c r="L58" s="41">
        <v>11</v>
      </c>
      <c r="M58" s="41">
        <v>10</v>
      </c>
      <c r="N58" s="658">
        <v>29</v>
      </c>
      <c r="O58" s="40">
        <v>17</v>
      </c>
      <c r="P58" s="41">
        <v>7</v>
      </c>
      <c r="Q58" s="41">
        <v>9</v>
      </c>
      <c r="R58" s="659">
        <v>33</v>
      </c>
      <c r="S58" s="40">
        <v>16</v>
      </c>
      <c r="T58" s="41">
        <v>13</v>
      </c>
      <c r="U58" s="41">
        <v>11</v>
      </c>
      <c r="V58" s="659">
        <f t="shared" si="67"/>
        <v>40</v>
      </c>
      <c r="W58" s="40">
        <v>10</v>
      </c>
      <c r="X58" s="41">
        <v>15</v>
      </c>
      <c r="Y58" s="41">
        <v>12</v>
      </c>
      <c r="Z58" s="658">
        <f t="shared" si="68"/>
        <v>37</v>
      </c>
      <c r="AA58" s="660">
        <v>20</v>
      </c>
      <c r="AB58" s="41">
        <v>12</v>
      </c>
      <c r="AC58" s="41">
        <v>4</v>
      </c>
      <c r="AD58" s="658">
        <f t="shared" si="69"/>
        <v>36</v>
      </c>
      <c r="AE58" s="660">
        <v>19</v>
      </c>
      <c r="AF58" s="41">
        <v>14</v>
      </c>
      <c r="AG58" s="41">
        <v>10</v>
      </c>
      <c r="AH58" s="659">
        <f t="shared" si="70"/>
        <v>43</v>
      </c>
      <c r="AI58" s="660">
        <v>6</v>
      </c>
      <c r="AJ58" s="41">
        <v>13</v>
      </c>
      <c r="AK58" s="661">
        <v>13</v>
      </c>
      <c r="AL58" s="659">
        <f t="shared" si="71"/>
        <v>32</v>
      </c>
      <c r="AM58" s="660">
        <v>12</v>
      </c>
      <c r="AN58" s="41">
        <v>14</v>
      </c>
      <c r="AO58" s="661">
        <v>7</v>
      </c>
      <c r="AP58" s="659">
        <f t="shared" si="72"/>
        <v>33</v>
      </c>
      <c r="AQ58" s="662">
        <v>11</v>
      </c>
      <c r="AR58" s="663">
        <v>16</v>
      </c>
      <c r="AS58" s="663">
        <v>6</v>
      </c>
      <c r="AT58" s="664">
        <f t="shared" si="6"/>
        <v>33</v>
      </c>
      <c r="AU58" s="663">
        <v>6</v>
      </c>
      <c r="AV58" s="663">
        <v>24</v>
      </c>
      <c r="AW58" s="663">
        <v>6</v>
      </c>
      <c r="AX58" s="664">
        <f t="shared" si="7"/>
        <v>36</v>
      </c>
      <c r="AY58" s="712">
        <v>8</v>
      </c>
      <c r="AZ58" s="713">
        <v>6</v>
      </c>
      <c r="BA58" s="713">
        <v>11</v>
      </c>
      <c r="BB58" s="714">
        <v>25</v>
      </c>
      <c r="BC58" s="712">
        <v>8</v>
      </c>
      <c r="BD58" s="713">
        <v>16</v>
      </c>
      <c r="BE58" s="713">
        <v>11</v>
      </c>
      <c r="BF58" s="714">
        <f t="shared" si="8"/>
        <v>35</v>
      </c>
      <c r="BG58" s="712">
        <v>5</v>
      </c>
      <c r="BH58" s="713">
        <v>16</v>
      </c>
      <c r="BI58" s="713">
        <v>13</v>
      </c>
      <c r="BJ58" s="714">
        <f t="shared" si="73"/>
        <v>34</v>
      </c>
      <c r="BK58" s="712">
        <v>10</v>
      </c>
      <c r="BL58" s="713">
        <v>11</v>
      </c>
      <c r="BM58" s="713">
        <v>14</v>
      </c>
      <c r="BN58" s="714">
        <f t="shared" si="74"/>
        <v>35</v>
      </c>
      <c r="BO58" s="712">
        <v>8</v>
      </c>
      <c r="BP58" s="713">
        <v>19</v>
      </c>
      <c r="BQ58" s="713">
        <v>13</v>
      </c>
      <c r="BR58" s="714">
        <f t="shared" si="75"/>
        <v>40</v>
      </c>
      <c r="BS58" s="712">
        <v>7</v>
      </c>
      <c r="BT58" s="713">
        <v>9</v>
      </c>
      <c r="BU58" s="713">
        <v>14</v>
      </c>
      <c r="BV58" s="714">
        <f t="shared" si="76"/>
        <v>30</v>
      </c>
      <c r="BW58" s="712">
        <v>13</v>
      </c>
      <c r="BX58" s="713">
        <v>7</v>
      </c>
      <c r="BY58" s="713">
        <v>13</v>
      </c>
      <c r="BZ58" s="714">
        <f t="shared" si="77"/>
        <v>33</v>
      </c>
      <c r="CA58" s="712">
        <v>18</v>
      </c>
      <c r="CB58" s="713">
        <v>13</v>
      </c>
      <c r="CC58" s="713">
        <v>7</v>
      </c>
      <c r="CD58" s="714">
        <f t="shared" si="78"/>
        <v>38</v>
      </c>
      <c r="CE58" s="712">
        <v>9</v>
      </c>
      <c r="CF58" s="713">
        <v>7</v>
      </c>
      <c r="CG58" s="713">
        <v>8</v>
      </c>
      <c r="CH58" s="714">
        <f t="shared" si="79"/>
        <v>24</v>
      </c>
      <c r="CI58" s="712">
        <v>10</v>
      </c>
      <c r="CJ58" s="713">
        <v>5</v>
      </c>
      <c r="CK58" s="713">
        <v>6</v>
      </c>
      <c r="CL58" s="714">
        <f t="shared" si="80"/>
        <v>21</v>
      </c>
      <c r="CM58" s="712">
        <v>9</v>
      </c>
      <c r="CN58" s="713">
        <v>12</v>
      </c>
      <c r="CO58" s="713">
        <v>7</v>
      </c>
      <c r="CP58" s="714">
        <f t="shared" si="81"/>
        <v>28</v>
      </c>
      <c r="CQ58" s="712">
        <v>7</v>
      </c>
      <c r="CR58" s="713">
        <v>6</v>
      </c>
      <c r="CS58" s="713">
        <v>15</v>
      </c>
      <c r="CT58" s="714">
        <f t="shared" si="82"/>
        <v>28</v>
      </c>
    </row>
    <row r="59" spans="1:98" s="656" customFormat="1" ht="15" customHeight="1" x14ac:dyDescent="0.3">
      <c r="A59" s="642"/>
      <c r="B59" s="657" t="s">
        <v>82</v>
      </c>
      <c r="C59" s="40">
        <v>2</v>
      </c>
      <c r="D59" s="41">
        <v>1</v>
      </c>
      <c r="E59" s="41">
        <v>3</v>
      </c>
      <c r="F59" s="658">
        <v>6</v>
      </c>
      <c r="G59" s="40">
        <v>2</v>
      </c>
      <c r="H59" s="41">
        <v>2</v>
      </c>
      <c r="I59" s="41">
        <v>1</v>
      </c>
      <c r="J59" s="658">
        <v>5</v>
      </c>
      <c r="K59" s="40">
        <v>0</v>
      </c>
      <c r="L59" s="41">
        <v>1</v>
      </c>
      <c r="M59" s="41">
        <v>2</v>
      </c>
      <c r="N59" s="658">
        <v>3</v>
      </c>
      <c r="O59" s="40">
        <v>7</v>
      </c>
      <c r="P59" s="41">
        <v>1</v>
      </c>
      <c r="Q59" s="41">
        <v>2</v>
      </c>
      <c r="R59" s="659">
        <v>10</v>
      </c>
      <c r="S59" s="40">
        <v>1</v>
      </c>
      <c r="T59" s="41">
        <v>7</v>
      </c>
      <c r="U59" s="41">
        <v>3</v>
      </c>
      <c r="V59" s="659">
        <f t="shared" si="67"/>
        <v>11</v>
      </c>
      <c r="W59" s="40">
        <v>2</v>
      </c>
      <c r="X59" s="41">
        <v>6</v>
      </c>
      <c r="Y59" s="41">
        <v>6</v>
      </c>
      <c r="Z59" s="658">
        <f t="shared" si="68"/>
        <v>14</v>
      </c>
      <c r="AA59" s="660">
        <v>3</v>
      </c>
      <c r="AB59" s="41">
        <v>5</v>
      </c>
      <c r="AC59" s="41">
        <v>2</v>
      </c>
      <c r="AD59" s="658">
        <f t="shared" si="69"/>
        <v>10</v>
      </c>
      <c r="AE59" s="660" t="s">
        <v>122</v>
      </c>
      <c r="AF59" s="41">
        <v>7</v>
      </c>
      <c r="AG59" s="41">
        <v>3</v>
      </c>
      <c r="AH59" s="659">
        <f t="shared" si="70"/>
        <v>10</v>
      </c>
      <c r="AI59" s="660">
        <v>1</v>
      </c>
      <c r="AJ59" s="41">
        <v>6</v>
      </c>
      <c r="AK59" s="661">
        <v>5</v>
      </c>
      <c r="AL59" s="659">
        <f t="shared" si="71"/>
        <v>12</v>
      </c>
      <c r="AM59" s="660">
        <v>1</v>
      </c>
      <c r="AN59" s="41">
        <v>14</v>
      </c>
      <c r="AO59" s="661">
        <v>2</v>
      </c>
      <c r="AP59" s="659">
        <f t="shared" si="72"/>
        <v>17</v>
      </c>
      <c r="AQ59" s="662" t="s">
        <v>122</v>
      </c>
      <c r="AR59" s="663">
        <v>13</v>
      </c>
      <c r="AS59" s="663">
        <v>1</v>
      </c>
      <c r="AT59" s="664">
        <f t="shared" si="6"/>
        <v>14</v>
      </c>
      <c r="AU59" s="663">
        <v>3</v>
      </c>
      <c r="AV59" s="663">
        <v>7</v>
      </c>
      <c r="AW59" s="663" t="s">
        <v>122</v>
      </c>
      <c r="AX59" s="664">
        <f t="shared" si="7"/>
        <v>10</v>
      </c>
      <c r="AY59" s="712">
        <v>2</v>
      </c>
      <c r="AZ59" s="713">
        <v>5</v>
      </c>
      <c r="BA59" s="713">
        <v>6</v>
      </c>
      <c r="BB59" s="714">
        <v>13</v>
      </c>
      <c r="BC59" s="712">
        <v>5</v>
      </c>
      <c r="BD59" s="713">
        <v>7</v>
      </c>
      <c r="BE59" s="713">
        <v>5</v>
      </c>
      <c r="BF59" s="714">
        <f t="shared" si="8"/>
        <v>17</v>
      </c>
      <c r="BG59" s="712">
        <v>3</v>
      </c>
      <c r="BH59" s="713">
        <v>8</v>
      </c>
      <c r="BI59" s="713">
        <v>5</v>
      </c>
      <c r="BJ59" s="714">
        <f t="shared" si="73"/>
        <v>16</v>
      </c>
      <c r="BK59" s="712">
        <v>4</v>
      </c>
      <c r="BL59" s="713">
        <v>6</v>
      </c>
      <c r="BM59" s="713">
        <v>3</v>
      </c>
      <c r="BN59" s="714">
        <f t="shared" si="74"/>
        <v>13</v>
      </c>
      <c r="BO59" s="712">
        <v>6</v>
      </c>
      <c r="BP59" s="713">
        <v>9</v>
      </c>
      <c r="BQ59" s="713">
        <v>6</v>
      </c>
      <c r="BR59" s="714">
        <f t="shared" si="75"/>
        <v>21</v>
      </c>
      <c r="BS59" s="712">
        <v>7</v>
      </c>
      <c r="BT59" s="713">
        <v>13</v>
      </c>
      <c r="BU59" s="713">
        <v>1</v>
      </c>
      <c r="BV59" s="714">
        <f t="shared" si="76"/>
        <v>21</v>
      </c>
      <c r="BW59" s="712">
        <v>3</v>
      </c>
      <c r="BX59" s="713">
        <v>11</v>
      </c>
      <c r="BY59" s="713">
        <v>9</v>
      </c>
      <c r="BZ59" s="714">
        <f t="shared" si="77"/>
        <v>23</v>
      </c>
      <c r="CA59" s="712">
        <v>8</v>
      </c>
      <c r="CB59" s="713">
        <v>9</v>
      </c>
      <c r="CC59" s="713">
        <v>7</v>
      </c>
      <c r="CD59" s="714">
        <f t="shared" si="78"/>
        <v>24</v>
      </c>
      <c r="CE59" s="712">
        <v>5</v>
      </c>
      <c r="CF59" s="713">
        <v>6</v>
      </c>
      <c r="CG59" s="713">
        <v>5</v>
      </c>
      <c r="CH59" s="714">
        <f t="shared" si="79"/>
        <v>16</v>
      </c>
      <c r="CI59" s="712">
        <v>8</v>
      </c>
      <c r="CJ59" s="713">
        <v>9</v>
      </c>
      <c r="CK59" s="713">
        <v>10</v>
      </c>
      <c r="CL59" s="714">
        <f t="shared" si="80"/>
        <v>27</v>
      </c>
      <c r="CM59" s="712">
        <v>1</v>
      </c>
      <c r="CN59" s="713">
        <v>10</v>
      </c>
      <c r="CO59" s="713">
        <v>12</v>
      </c>
      <c r="CP59" s="714">
        <f t="shared" si="81"/>
        <v>23</v>
      </c>
      <c r="CQ59" s="712">
        <v>7</v>
      </c>
      <c r="CR59" s="713">
        <v>10</v>
      </c>
      <c r="CS59" s="713">
        <v>8</v>
      </c>
      <c r="CT59" s="714">
        <f t="shared" si="82"/>
        <v>25</v>
      </c>
    </row>
    <row r="60" spans="1:98" s="656" customFormat="1" ht="15" customHeight="1" x14ac:dyDescent="0.3">
      <c r="A60" s="642"/>
      <c r="B60" s="657" t="s">
        <v>83</v>
      </c>
      <c r="C60" s="40">
        <v>29</v>
      </c>
      <c r="D60" s="41">
        <v>36</v>
      </c>
      <c r="E60" s="41">
        <v>28</v>
      </c>
      <c r="F60" s="658">
        <v>93</v>
      </c>
      <c r="G60" s="40">
        <v>16</v>
      </c>
      <c r="H60" s="41">
        <v>16</v>
      </c>
      <c r="I60" s="41">
        <v>14</v>
      </c>
      <c r="J60" s="658">
        <v>46</v>
      </c>
      <c r="K60" s="40">
        <v>15</v>
      </c>
      <c r="L60" s="41">
        <v>23</v>
      </c>
      <c r="M60" s="41">
        <v>7</v>
      </c>
      <c r="N60" s="658">
        <v>45</v>
      </c>
      <c r="O60" s="40">
        <v>14</v>
      </c>
      <c r="P60" s="41">
        <v>30</v>
      </c>
      <c r="Q60" s="41">
        <v>28</v>
      </c>
      <c r="R60" s="659">
        <v>72</v>
      </c>
      <c r="S60" s="40">
        <v>34</v>
      </c>
      <c r="T60" s="41">
        <v>25</v>
      </c>
      <c r="U60" s="41">
        <v>14</v>
      </c>
      <c r="V60" s="659">
        <f t="shared" si="67"/>
        <v>73</v>
      </c>
      <c r="W60" s="40">
        <v>21</v>
      </c>
      <c r="X60" s="41">
        <v>31</v>
      </c>
      <c r="Y60" s="41">
        <v>13</v>
      </c>
      <c r="Z60" s="658">
        <f t="shared" si="68"/>
        <v>65</v>
      </c>
      <c r="AA60" s="660">
        <v>12</v>
      </c>
      <c r="AB60" s="41">
        <v>26</v>
      </c>
      <c r="AC60" s="41">
        <v>12</v>
      </c>
      <c r="AD60" s="658">
        <f t="shared" si="69"/>
        <v>50</v>
      </c>
      <c r="AE60" s="660">
        <v>19</v>
      </c>
      <c r="AF60" s="41">
        <v>24</v>
      </c>
      <c r="AG60" s="41">
        <v>6</v>
      </c>
      <c r="AH60" s="659">
        <f t="shared" si="70"/>
        <v>49</v>
      </c>
      <c r="AI60" s="660">
        <v>17</v>
      </c>
      <c r="AJ60" s="41">
        <v>20</v>
      </c>
      <c r="AK60" s="661">
        <v>13</v>
      </c>
      <c r="AL60" s="659">
        <f t="shared" si="71"/>
        <v>50</v>
      </c>
      <c r="AM60" s="660">
        <v>15</v>
      </c>
      <c r="AN60" s="41">
        <v>14</v>
      </c>
      <c r="AO60" s="661">
        <v>6</v>
      </c>
      <c r="AP60" s="659">
        <f t="shared" si="72"/>
        <v>35</v>
      </c>
      <c r="AQ60" s="662">
        <v>8</v>
      </c>
      <c r="AR60" s="663">
        <v>12</v>
      </c>
      <c r="AS60" s="663">
        <v>13</v>
      </c>
      <c r="AT60" s="664">
        <f t="shared" si="6"/>
        <v>33</v>
      </c>
      <c r="AU60" s="663">
        <v>14</v>
      </c>
      <c r="AV60" s="663">
        <v>25</v>
      </c>
      <c r="AW60" s="663">
        <v>5</v>
      </c>
      <c r="AX60" s="664">
        <f t="shared" si="7"/>
        <v>44</v>
      </c>
      <c r="AY60" s="712">
        <v>13</v>
      </c>
      <c r="AZ60" s="713">
        <v>24</v>
      </c>
      <c r="BA60" s="713">
        <v>7</v>
      </c>
      <c r="BB60" s="714">
        <v>44</v>
      </c>
      <c r="BC60" s="712">
        <v>15</v>
      </c>
      <c r="BD60" s="713">
        <v>20</v>
      </c>
      <c r="BE60" s="713">
        <v>20</v>
      </c>
      <c r="BF60" s="714">
        <f t="shared" si="8"/>
        <v>55</v>
      </c>
      <c r="BG60" s="712">
        <v>16</v>
      </c>
      <c r="BH60" s="713">
        <v>40</v>
      </c>
      <c r="BI60" s="713">
        <v>22</v>
      </c>
      <c r="BJ60" s="714">
        <f t="shared" si="73"/>
        <v>78</v>
      </c>
      <c r="BK60" s="712">
        <v>21</v>
      </c>
      <c r="BL60" s="713">
        <v>13</v>
      </c>
      <c r="BM60" s="713">
        <v>18</v>
      </c>
      <c r="BN60" s="714">
        <f t="shared" si="74"/>
        <v>52</v>
      </c>
      <c r="BO60" s="712">
        <v>19</v>
      </c>
      <c r="BP60" s="713">
        <v>18</v>
      </c>
      <c r="BQ60" s="713">
        <v>21</v>
      </c>
      <c r="BR60" s="714">
        <f t="shared" si="75"/>
        <v>58</v>
      </c>
      <c r="BS60" s="712">
        <v>14</v>
      </c>
      <c r="BT60" s="713">
        <v>11</v>
      </c>
      <c r="BU60" s="713">
        <v>11</v>
      </c>
      <c r="BV60" s="714">
        <f t="shared" si="76"/>
        <v>36</v>
      </c>
      <c r="BW60" s="712">
        <v>22</v>
      </c>
      <c r="BX60" s="713">
        <v>18</v>
      </c>
      <c r="BY60" s="713">
        <v>21</v>
      </c>
      <c r="BZ60" s="714">
        <f t="shared" si="77"/>
        <v>61</v>
      </c>
      <c r="CA60" s="712">
        <v>8</v>
      </c>
      <c r="CB60" s="713">
        <v>20</v>
      </c>
      <c r="CC60" s="713">
        <v>22</v>
      </c>
      <c r="CD60" s="714">
        <f t="shared" si="78"/>
        <v>50</v>
      </c>
      <c r="CE60" s="712">
        <v>18</v>
      </c>
      <c r="CF60" s="713">
        <v>23</v>
      </c>
      <c r="CG60" s="713">
        <v>6</v>
      </c>
      <c r="CH60" s="714">
        <f t="shared" si="79"/>
        <v>47</v>
      </c>
      <c r="CI60" s="712">
        <v>15</v>
      </c>
      <c r="CJ60" s="713">
        <v>17</v>
      </c>
      <c r="CK60" s="713">
        <v>12</v>
      </c>
      <c r="CL60" s="714">
        <f t="shared" si="80"/>
        <v>44</v>
      </c>
      <c r="CM60" s="712">
        <v>20</v>
      </c>
      <c r="CN60" s="713">
        <v>17</v>
      </c>
      <c r="CO60" s="713">
        <v>14</v>
      </c>
      <c r="CP60" s="714">
        <f t="shared" si="81"/>
        <v>51</v>
      </c>
      <c r="CQ60" s="712">
        <v>19</v>
      </c>
      <c r="CR60" s="713">
        <v>20</v>
      </c>
      <c r="CS60" s="713">
        <v>10</v>
      </c>
      <c r="CT60" s="714">
        <f t="shared" si="82"/>
        <v>49</v>
      </c>
    </row>
    <row r="61" spans="1:98" s="656" customFormat="1" ht="15" customHeight="1" x14ac:dyDescent="0.3">
      <c r="A61" s="642"/>
      <c r="B61" s="657" t="s">
        <v>84</v>
      </c>
      <c r="C61" s="40">
        <v>48</v>
      </c>
      <c r="D61" s="41">
        <v>41</v>
      </c>
      <c r="E61" s="41">
        <v>7</v>
      </c>
      <c r="F61" s="658">
        <v>96</v>
      </c>
      <c r="G61" s="40">
        <v>12</v>
      </c>
      <c r="H61" s="41">
        <v>27</v>
      </c>
      <c r="I61" s="41">
        <v>7</v>
      </c>
      <c r="J61" s="658">
        <v>46</v>
      </c>
      <c r="K61" s="40">
        <v>18</v>
      </c>
      <c r="L61" s="41">
        <v>50</v>
      </c>
      <c r="M61" s="41">
        <v>7</v>
      </c>
      <c r="N61" s="658">
        <v>75</v>
      </c>
      <c r="O61" s="40">
        <v>52</v>
      </c>
      <c r="P61" s="41">
        <v>47</v>
      </c>
      <c r="Q61" s="41">
        <v>4</v>
      </c>
      <c r="R61" s="659">
        <v>103</v>
      </c>
      <c r="S61" s="40">
        <v>44</v>
      </c>
      <c r="T61" s="41">
        <v>43</v>
      </c>
      <c r="U61" s="41">
        <v>4</v>
      </c>
      <c r="V61" s="659">
        <f t="shared" si="67"/>
        <v>91</v>
      </c>
      <c r="W61" s="40">
        <v>47</v>
      </c>
      <c r="X61" s="41">
        <v>43</v>
      </c>
      <c r="Y61" s="41">
        <v>12</v>
      </c>
      <c r="Z61" s="658">
        <f t="shared" si="68"/>
        <v>102</v>
      </c>
      <c r="AA61" s="660">
        <v>47</v>
      </c>
      <c r="AB61" s="41">
        <v>38</v>
      </c>
      <c r="AC61" s="41">
        <v>4</v>
      </c>
      <c r="AD61" s="658">
        <f t="shared" si="69"/>
        <v>89</v>
      </c>
      <c r="AE61" s="660">
        <v>33</v>
      </c>
      <c r="AF61" s="41">
        <v>45</v>
      </c>
      <c r="AG61" s="41">
        <v>2</v>
      </c>
      <c r="AH61" s="659">
        <f t="shared" si="70"/>
        <v>80</v>
      </c>
      <c r="AI61" s="660">
        <v>31</v>
      </c>
      <c r="AJ61" s="41">
        <v>57</v>
      </c>
      <c r="AK61" s="661">
        <v>2</v>
      </c>
      <c r="AL61" s="659">
        <f t="shared" si="71"/>
        <v>90</v>
      </c>
      <c r="AM61" s="660">
        <v>33</v>
      </c>
      <c r="AN61" s="41">
        <v>43</v>
      </c>
      <c r="AO61" s="661">
        <v>3</v>
      </c>
      <c r="AP61" s="659">
        <f t="shared" si="72"/>
        <v>79</v>
      </c>
      <c r="AQ61" s="662">
        <v>56</v>
      </c>
      <c r="AR61" s="663">
        <v>56</v>
      </c>
      <c r="AS61" s="663">
        <v>10</v>
      </c>
      <c r="AT61" s="664">
        <f t="shared" si="6"/>
        <v>122</v>
      </c>
      <c r="AU61" s="663">
        <v>58</v>
      </c>
      <c r="AV61" s="663">
        <v>32</v>
      </c>
      <c r="AW61" s="663">
        <v>3</v>
      </c>
      <c r="AX61" s="664">
        <f t="shared" si="7"/>
        <v>93</v>
      </c>
      <c r="AY61" s="712">
        <v>55</v>
      </c>
      <c r="AZ61" s="713">
        <v>37</v>
      </c>
      <c r="BA61" s="713">
        <v>13</v>
      </c>
      <c r="BB61" s="714">
        <v>105</v>
      </c>
      <c r="BC61" s="712">
        <v>80</v>
      </c>
      <c r="BD61" s="713">
        <v>54</v>
      </c>
      <c r="BE61" s="713">
        <v>15</v>
      </c>
      <c r="BF61" s="714">
        <f t="shared" si="8"/>
        <v>149</v>
      </c>
      <c r="BG61" s="712">
        <v>49</v>
      </c>
      <c r="BH61" s="713">
        <v>59</v>
      </c>
      <c r="BI61" s="713">
        <v>12</v>
      </c>
      <c r="BJ61" s="714">
        <f t="shared" si="73"/>
        <v>120</v>
      </c>
      <c r="BK61" s="712">
        <v>76</v>
      </c>
      <c r="BL61" s="713">
        <v>43</v>
      </c>
      <c r="BM61" s="713">
        <v>3</v>
      </c>
      <c r="BN61" s="714">
        <f t="shared" si="74"/>
        <v>122</v>
      </c>
      <c r="BO61" s="712">
        <v>47</v>
      </c>
      <c r="BP61" s="713">
        <v>39</v>
      </c>
      <c r="BQ61" s="713">
        <v>2</v>
      </c>
      <c r="BR61" s="714">
        <f t="shared" si="75"/>
        <v>88</v>
      </c>
      <c r="BS61" s="712">
        <v>45</v>
      </c>
      <c r="BT61" s="713">
        <v>83</v>
      </c>
      <c r="BU61" s="713">
        <v>9</v>
      </c>
      <c r="BV61" s="714">
        <f t="shared" si="76"/>
        <v>137</v>
      </c>
      <c r="BW61" s="712">
        <v>40</v>
      </c>
      <c r="BX61" s="713">
        <v>62</v>
      </c>
      <c r="BY61" s="713">
        <v>4</v>
      </c>
      <c r="BZ61" s="714">
        <f t="shared" si="77"/>
        <v>106</v>
      </c>
      <c r="CA61" s="712">
        <v>35</v>
      </c>
      <c r="CB61" s="713">
        <v>53</v>
      </c>
      <c r="CC61" s="713">
        <v>7</v>
      </c>
      <c r="CD61" s="714">
        <f t="shared" si="78"/>
        <v>95</v>
      </c>
      <c r="CE61" s="712">
        <v>46</v>
      </c>
      <c r="CF61" s="713">
        <v>59</v>
      </c>
      <c r="CG61" s="713">
        <v>12</v>
      </c>
      <c r="CH61" s="714">
        <f t="shared" si="79"/>
        <v>117</v>
      </c>
      <c r="CI61" s="712">
        <v>46</v>
      </c>
      <c r="CJ61" s="713">
        <v>42</v>
      </c>
      <c r="CK61" s="713">
        <v>4</v>
      </c>
      <c r="CL61" s="714">
        <f t="shared" si="80"/>
        <v>92</v>
      </c>
      <c r="CM61" s="712">
        <v>75</v>
      </c>
      <c r="CN61" s="713">
        <v>36</v>
      </c>
      <c r="CO61" s="713">
        <v>10</v>
      </c>
      <c r="CP61" s="714">
        <f t="shared" si="81"/>
        <v>121</v>
      </c>
      <c r="CQ61" s="712">
        <v>32</v>
      </c>
      <c r="CR61" s="713">
        <v>28</v>
      </c>
      <c r="CS61" s="713">
        <v>34</v>
      </c>
      <c r="CT61" s="714">
        <f t="shared" si="82"/>
        <v>94</v>
      </c>
    </row>
    <row r="62" spans="1:98" s="656" customFormat="1" ht="15" customHeight="1" x14ac:dyDescent="0.3">
      <c r="A62" s="642"/>
      <c r="B62" s="665" t="s">
        <v>85</v>
      </c>
      <c r="C62" s="46">
        <v>0</v>
      </c>
      <c r="D62" s="50">
        <v>0</v>
      </c>
      <c r="E62" s="50">
        <v>0</v>
      </c>
      <c r="F62" s="666">
        <v>0</v>
      </c>
      <c r="G62" s="46">
        <v>0</v>
      </c>
      <c r="H62" s="50">
        <v>0</v>
      </c>
      <c r="I62" s="50">
        <v>0</v>
      </c>
      <c r="J62" s="666">
        <v>0</v>
      </c>
      <c r="K62" s="46">
        <v>0</v>
      </c>
      <c r="L62" s="50">
        <v>0</v>
      </c>
      <c r="M62" s="50">
        <v>0</v>
      </c>
      <c r="N62" s="666">
        <v>0</v>
      </c>
      <c r="O62" s="46">
        <v>0</v>
      </c>
      <c r="P62" s="50">
        <v>0</v>
      </c>
      <c r="Q62" s="50">
        <v>0</v>
      </c>
      <c r="R62" s="667">
        <v>0</v>
      </c>
      <c r="S62" s="46" t="s">
        <v>122</v>
      </c>
      <c r="T62" s="50" t="s">
        <v>122</v>
      </c>
      <c r="U62" s="50" t="s">
        <v>122</v>
      </c>
      <c r="V62" s="667">
        <f t="shared" si="67"/>
        <v>0</v>
      </c>
      <c r="W62" s="46" t="s">
        <v>122</v>
      </c>
      <c r="X62" s="50" t="s">
        <v>122</v>
      </c>
      <c r="Y62" s="50" t="s">
        <v>122</v>
      </c>
      <c r="Z62" s="666">
        <f t="shared" si="68"/>
        <v>0</v>
      </c>
      <c r="AA62" s="668" t="s">
        <v>122</v>
      </c>
      <c r="AB62" s="50" t="s">
        <v>122</v>
      </c>
      <c r="AC62" s="50" t="s">
        <v>122</v>
      </c>
      <c r="AD62" s="666">
        <f t="shared" si="69"/>
        <v>0</v>
      </c>
      <c r="AE62" s="668" t="s">
        <v>122</v>
      </c>
      <c r="AF62" s="50">
        <v>1</v>
      </c>
      <c r="AG62" s="50">
        <v>2</v>
      </c>
      <c r="AH62" s="667">
        <f t="shared" si="70"/>
        <v>3</v>
      </c>
      <c r="AI62" s="668">
        <v>1</v>
      </c>
      <c r="AJ62" s="50">
        <v>1</v>
      </c>
      <c r="AK62" s="669">
        <v>4</v>
      </c>
      <c r="AL62" s="667">
        <f t="shared" si="71"/>
        <v>6</v>
      </c>
      <c r="AM62" s="668">
        <v>1</v>
      </c>
      <c r="AN62" s="50">
        <v>3</v>
      </c>
      <c r="AO62" s="669">
        <v>4</v>
      </c>
      <c r="AP62" s="667">
        <f t="shared" si="72"/>
        <v>8</v>
      </c>
      <c r="AQ62" s="670">
        <v>3</v>
      </c>
      <c r="AR62" s="671">
        <v>1</v>
      </c>
      <c r="AS62" s="671">
        <v>2</v>
      </c>
      <c r="AT62" s="672">
        <f t="shared" si="6"/>
        <v>6</v>
      </c>
      <c r="AU62" s="671">
        <v>1</v>
      </c>
      <c r="AV62" s="671">
        <v>1</v>
      </c>
      <c r="AW62" s="671">
        <v>1</v>
      </c>
      <c r="AX62" s="672">
        <f t="shared" si="7"/>
        <v>3</v>
      </c>
      <c r="AY62" s="670">
        <v>3</v>
      </c>
      <c r="AZ62" s="671">
        <v>1</v>
      </c>
      <c r="BA62" s="671"/>
      <c r="BB62" s="672">
        <v>4</v>
      </c>
      <c r="BC62" s="670">
        <v>2</v>
      </c>
      <c r="BD62" s="671">
        <v>3</v>
      </c>
      <c r="BE62" s="671">
        <v>2</v>
      </c>
      <c r="BF62" s="672">
        <f t="shared" si="8"/>
        <v>7</v>
      </c>
      <c r="BG62" s="670">
        <v>1</v>
      </c>
      <c r="BH62" s="671">
        <v>2</v>
      </c>
      <c r="BI62" s="671">
        <v>4</v>
      </c>
      <c r="BJ62" s="672">
        <f t="shared" si="73"/>
        <v>7</v>
      </c>
      <c r="BK62" s="670">
        <v>2</v>
      </c>
      <c r="BL62" s="671">
        <v>3</v>
      </c>
      <c r="BM62" s="671">
        <v>3</v>
      </c>
      <c r="BN62" s="672">
        <f t="shared" si="74"/>
        <v>8</v>
      </c>
      <c r="BO62" s="670">
        <v>1</v>
      </c>
      <c r="BP62" s="671">
        <v>5</v>
      </c>
      <c r="BQ62" s="671">
        <v>5</v>
      </c>
      <c r="BR62" s="672">
        <f t="shared" si="75"/>
        <v>11</v>
      </c>
      <c r="BS62" s="670">
        <v>3</v>
      </c>
      <c r="BT62" s="671">
        <v>4</v>
      </c>
      <c r="BU62" s="671">
        <v>4</v>
      </c>
      <c r="BV62" s="672">
        <f t="shared" si="76"/>
        <v>11</v>
      </c>
      <c r="BW62" s="670">
        <v>6</v>
      </c>
      <c r="BX62" s="671">
        <v>8</v>
      </c>
      <c r="BY62" s="671">
        <v>2</v>
      </c>
      <c r="BZ62" s="672">
        <f t="shared" si="77"/>
        <v>16</v>
      </c>
      <c r="CA62" s="670">
        <v>5</v>
      </c>
      <c r="CB62" s="671">
        <v>11</v>
      </c>
      <c r="CC62" s="671">
        <v>5</v>
      </c>
      <c r="CD62" s="672">
        <f t="shared" si="78"/>
        <v>21</v>
      </c>
      <c r="CE62" s="670">
        <v>3</v>
      </c>
      <c r="CF62" s="671">
        <v>2</v>
      </c>
      <c r="CG62" s="671">
        <v>4</v>
      </c>
      <c r="CH62" s="672">
        <f t="shared" si="79"/>
        <v>9</v>
      </c>
      <c r="CI62" s="670">
        <v>9</v>
      </c>
      <c r="CJ62" s="671">
        <v>4</v>
      </c>
      <c r="CK62" s="671">
        <v>11</v>
      </c>
      <c r="CL62" s="672">
        <f t="shared" si="80"/>
        <v>24</v>
      </c>
      <c r="CM62" s="670">
        <v>3</v>
      </c>
      <c r="CN62" s="671">
        <v>4</v>
      </c>
      <c r="CO62" s="671">
        <v>3</v>
      </c>
      <c r="CP62" s="672">
        <f t="shared" si="81"/>
        <v>10</v>
      </c>
      <c r="CQ62" s="670">
        <v>2</v>
      </c>
      <c r="CR62" s="671">
        <v>4</v>
      </c>
      <c r="CS62" s="671">
        <v>5</v>
      </c>
      <c r="CT62" s="672">
        <f t="shared" si="82"/>
        <v>11</v>
      </c>
    </row>
    <row r="63" spans="1:98" s="656" customFormat="1" ht="15" customHeight="1" x14ac:dyDescent="0.3">
      <c r="A63" s="642"/>
      <c r="B63" s="673" t="s">
        <v>64</v>
      </c>
      <c r="C63" s="674">
        <v>187</v>
      </c>
      <c r="D63" s="675">
        <v>227</v>
      </c>
      <c r="E63" s="675">
        <v>126</v>
      </c>
      <c r="F63" s="676">
        <v>540</v>
      </c>
      <c r="G63" s="674">
        <v>146</v>
      </c>
      <c r="H63" s="675">
        <v>202</v>
      </c>
      <c r="I63" s="675">
        <v>150</v>
      </c>
      <c r="J63" s="676">
        <v>498</v>
      </c>
      <c r="K63" s="674">
        <v>179</v>
      </c>
      <c r="L63" s="675">
        <v>183</v>
      </c>
      <c r="M63" s="675">
        <v>106</v>
      </c>
      <c r="N63" s="676">
        <v>468</v>
      </c>
      <c r="O63" s="674">
        <v>196</v>
      </c>
      <c r="P63" s="675">
        <v>200</v>
      </c>
      <c r="Q63" s="675">
        <v>146</v>
      </c>
      <c r="R63" s="676">
        <v>542</v>
      </c>
      <c r="S63" s="674">
        <f t="shared" ref="S63:CD63" si="83">SUM(S52:S62)</f>
        <v>193</v>
      </c>
      <c r="T63" s="675">
        <f t="shared" si="83"/>
        <v>201</v>
      </c>
      <c r="U63" s="675">
        <f t="shared" si="83"/>
        <v>124</v>
      </c>
      <c r="V63" s="676">
        <f t="shared" si="83"/>
        <v>518</v>
      </c>
      <c r="W63" s="674">
        <f t="shared" si="83"/>
        <v>198</v>
      </c>
      <c r="X63" s="675">
        <f t="shared" si="83"/>
        <v>208</v>
      </c>
      <c r="Y63" s="675">
        <f t="shared" si="83"/>
        <v>155</v>
      </c>
      <c r="Z63" s="676">
        <f t="shared" si="83"/>
        <v>561</v>
      </c>
      <c r="AA63" s="674">
        <f t="shared" si="83"/>
        <v>218</v>
      </c>
      <c r="AB63" s="675">
        <f t="shared" si="83"/>
        <v>183</v>
      </c>
      <c r="AC63" s="675">
        <f t="shared" si="83"/>
        <v>110</v>
      </c>
      <c r="AD63" s="676">
        <f t="shared" si="83"/>
        <v>511</v>
      </c>
      <c r="AE63" s="674">
        <f t="shared" si="83"/>
        <v>153</v>
      </c>
      <c r="AF63" s="675">
        <f t="shared" si="83"/>
        <v>217</v>
      </c>
      <c r="AG63" s="675">
        <f t="shared" si="83"/>
        <v>131</v>
      </c>
      <c r="AH63" s="676">
        <f t="shared" si="83"/>
        <v>501</v>
      </c>
      <c r="AI63" s="674">
        <f t="shared" si="83"/>
        <v>177</v>
      </c>
      <c r="AJ63" s="675">
        <f t="shared" si="83"/>
        <v>181</v>
      </c>
      <c r="AK63" s="675">
        <f t="shared" si="83"/>
        <v>111</v>
      </c>
      <c r="AL63" s="676">
        <f t="shared" si="83"/>
        <v>469</v>
      </c>
      <c r="AM63" s="674">
        <f t="shared" si="83"/>
        <v>157</v>
      </c>
      <c r="AN63" s="675">
        <f t="shared" si="83"/>
        <v>184</v>
      </c>
      <c r="AO63" s="675">
        <f t="shared" si="83"/>
        <v>95</v>
      </c>
      <c r="AP63" s="676">
        <f t="shared" si="83"/>
        <v>436</v>
      </c>
      <c r="AQ63" s="674">
        <f t="shared" si="83"/>
        <v>172</v>
      </c>
      <c r="AR63" s="675">
        <f t="shared" si="83"/>
        <v>216</v>
      </c>
      <c r="AS63" s="675">
        <f t="shared" si="83"/>
        <v>94</v>
      </c>
      <c r="AT63" s="676">
        <f t="shared" si="6"/>
        <v>482</v>
      </c>
      <c r="AU63" s="674">
        <f>SUM(AU52:AU62)</f>
        <v>192</v>
      </c>
      <c r="AV63" s="675">
        <f>SUM(AV52:AV62)</f>
        <v>236</v>
      </c>
      <c r="AW63" s="675">
        <f>SUM(AW52:AW62)</f>
        <v>119</v>
      </c>
      <c r="AX63" s="676">
        <f t="shared" si="7"/>
        <v>547</v>
      </c>
      <c r="AY63" s="674">
        <f t="shared" si="83"/>
        <v>172</v>
      </c>
      <c r="AZ63" s="675">
        <f t="shared" si="83"/>
        <v>178</v>
      </c>
      <c r="BA63" s="675">
        <f t="shared" si="83"/>
        <v>132</v>
      </c>
      <c r="BB63" s="676">
        <f t="shared" si="83"/>
        <v>482</v>
      </c>
      <c r="BC63" s="674">
        <f t="shared" si="83"/>
        <v>195</v>
      </c>
      <c r="BD63" s="675">
        <f t="shared" si="83"/>
        <v>221</v>
      </c>
      <c r="BE63" s="675">
        <f t="shared" si="83"/>
        <v>149</v>
      </c>
      <c r="BF63" s="676">
        <f t="shared" si="83"/>
        <v>565</v>
      </c>
      <c r="BG63" s="674">
        <f t="shared" si="83"/>
        <v>209</v>
      </c>
      <c r="BH63" s="675">
        <f t="shared" si="83"/>
        <v>273</v>
      </c>
      <c r="BI63" s="675">
        <f t="shared" si="83"/>
        <v>186</v>
      </c>
      <c r="BJ63" s="676">
        <f t="shared" si="83"/>
        <v>668</v>
      </c>
      <c r="BK63" s="674">
        <f t="shared" si="83"/>
        <v>211</v>
      </c>
      <c r="BL63" s="675">
        <f t="shared" si="83"/>
        <v>201</v>
      </c>
      <c r="BM63" s="675">
        <f t="shared" si="83"/>
        <v>140</v>
      </c>
      <c r="BN63" s="676">
        <f t="shared" si="83"/>
        <v>552</v>
      </c>
      <c r="BO63" s="674">
        <f t="shared" si="83"/>
        <v>199</v>
      </c>
      <c r="BP63" s="675">
        <f t="shared" si="83"/>
        <v>208</v>
      </c>
      <c r="BQ63" s="675">
        <f t="shared" si="83"/>
        <v>167</v>
      </c>
      <c r="BR63" s="676">
        <f t="shared" si="83"/>
        <v>574</v>
      </c>
      <c r="BS63" s="674">
        <f t="shared" si="83"/>
        <v>149</v>
      </c>
      <c r="BT63" s="675">
        <f t="shared" si="83"/>
        <v>258</v>
      </c>
      <c r="BU63" s="675">
        <f t="shared" si="83"/>
        <v>124</v>
      </c>
      <c r="BV63" s="676">
        <f t="shared" si="83"/>
        <v>531</v>
      </c>
      <c r="BW63" s="674">
        <f t="shared" si="83"/>
        <v>174</v>
      </c>
      <c r="BX63" s="675">
        <f t="shared" si="83"/>
        <v>230</v>
      </c>
      <c r="BY63" s="675">
        <f t="shared" si="83"/>
        <v>155</v>
      </c>
      <c r="BZ63" s="676">
        <f t="shared" si="83"/>
        <v>559</v>
      </c>
      <c r="CA63" s="674">
        <f t="shared" si="83"/>
        <v>161</v>
      </c>
      <c r="CB63" s="675">
        <f t="shared" si="83"/>
        <v>222</v>
      </c>
      <c r="CC63" s="675">
        <f t="shared" si="83"/>
        <v>142</v>
      </c>
      <c r="CD63" s="676">
        <f t="shared" si="83"/>
        <v>525</v>
      </c>
      <c r="CE63" s="674">
        <f t="shared" ref="CE63:CF63" si="84">SUM(CE52:CE62)</f>
        <v>172</v>
      </c>
      <c r="CF63" s="675">
        <f t="shared" si="84"/>
        <v>207</v>
      </c>
      <c r="CG63" s="675">
        <v>142</v>
      </c>
      <c r="CH63" s="676">
        <f t="shared" ref="CH63:CP63" si="85">SUM(CH52:CH62)</f>
        <v>521</v>
      </c>
      <c r="CI63" s="674">
        <f t="shared" si="85"/>
        <v>178</v>
      </c>
      <c r="CJ63" s="675">
        <f t="shared" si="85"/>
        <v>219</v>
      </c>
      <c r="CK63" s="675">
        <f t="shared" si="85"/>
        <v>148</v>
      </c>
      <c r="CL63" s="676">
        <f t="shared" si="85"/>
        <v>545</v>
      </c>
      <c r="CM63" s="674">
        <f t="shared" si="85"/>
        <v>179</v>
      </c>
      <c r="CN63" s="675">
        <f t="shared" si="85"/>
        <v>183</v>
      </c>
      <c r="CO63" s="675">
        <f>SUM(CO52:CO62)</f>
        <v>157</v>
      </c>
      <c r="CP63" s="676">
        <f t="shared" si="85"/>
        <v>519</v>
      </c>
      <c r="CQ63" s="674">
        <f>SUM(CQ52:CQ62)</f>
        <v>154</v>
      </c>
      <c r="CR63" s="675">
        <f>SUM(CR52:CR62)</f>
        <v>164</v>
      </c>
      <c r="CS63" s="675">
        <f>SUM(CS52:CS62)</f>
        <v>183</v>
      </c>
      <c r="CT63" s="676">
        <f t="shared" ref="CT63" si="86">SUM(CT52:CT62)</f>
        <v>501</v>
      </c>
    </row>
    <row r="64" spans="1:98" s="656" customFormat="1" ht="15" customHeight="1" x14ac:dyDescent="0.3">
      <c r="A64" s="642"/>
      <c r="B64" s="648" t="s">
        <v>86</v>
      </c>
      <c r="C64" s="33">
        <v>11</v>
      </c>
      <c r="D64" s="34">
        <v>10</v>
      </c>
      <c r="E64" s="34">
        <v>6</v>
      </c>
      <c r="F64" s="649">
        <v>27</v>
      </c>
      <c r="G64" s="33">
        <v>13</v>
      </c>
      <c r="H64" s="34">
        <v>8</v>
      </c>
      <c r="I64" s="34">
        <v>7</v>
      </c>
      <c r="J64" s="649">
        <v>28</v>
      </c>
      <c r="K64" s="33">
        <v>16</v>
      </c>
      <c r="L64" s="34">
        <v>20</v>
      </c>
      <c r="M64" s="34">
        <v>5</v>
      </c>
      <c r="N64" s="649">
        <v>41</v>
      </c>
      <c r="O64" s="33">
        <v>13</v>
      </c>
      <c r="P64" s="34">
        <v>13</v>
      </c>
      <c r="Q64" s="34">
        <v>12</v>
      </c>
      <c r="R64" s="650">
        <v>38</v>
      </c>
      <c r="S64" s="33">
        <v>16</v>
      </c>
      <c r="T64" s="34">
        <v>20</v>
      </c>
      <c r="U64" s="34">
        <v>14</v>
      </c>
      <c r="V64" s="650">
        <f t="shared" ref="V64:V69" si="87">SUM(S64:U64)</f>
        <v>50</v>
      </c>
      <c r="W64" s="33">
        <v>33</v>
      </c>
      <c r="X64" s="34">
        <v>23</v>
      </c>
      <c r="Y64" s="34">
        <v>15</v>
      </c>
      <c r="Z64" s="649">
        <f t="shared" ref="Z64:Z69" si="88">SUM(W64:Y64)</f>
        <v>71</v>
      </c>
      <c r="AA64" s="651">
        <v>22</v>
      </c>
      <c r="AB64" s="34">
        <v>11</v>
      </c>
      <c r="AC64" s="34">
        <v>29</v>
      </c>
      <c r="AD64" s="649">
        <f t="shared" ref="AD64:AD69" si="89">SUM(AA64:AC64)</f>
        <v>62</v>
      </c>
      <c r="AE64" s="651">
        <v>29</v>
      </c>
      <c r="AF64" s="34">
        <v>21</v>
      </c>
      <c r="AG64" s="34">
        <v>12</v>
      </c>
      <c r="AH64" s="650">
        <f t="shared" ref="AH64:AH69" si="90">SUM(AE64:AG64)</f>
        <v>62</v>
      </c>
      <c r="AI64" s="651">
        <v>24</v>
      </c>
      <c r="AJ64" s="34">
        <v>18</v>
      </c>
      <c r="AK64" s="652">
        <v>6</v>
      </c>
      <c r="AL64" s="650">
        <f t="shared" ref="AL64:AL69" si="91">SUM(AI64:AK64)</f>
        <v>48</v>
      </c>
      <c r="AM64" s="651">
        <v>16</v>
      </c>
      <c r="AN64" s="34">
        <v>24</v>
      </c>
      <c r="AO64" s="652">
        <v>15</v>
      </c>
      <c r="AP64" s="650">
        <f t="shared" ref="AP64:AP69" si="92">SUM(AM64:AO64)</f>
        <v>55</v>
      </c>
      <c r="AQ64" s="653">
        <v>17</v>
      </c>
      <c r="AR64" s="654">
        <v>20</v>
      </c>
      <c r="AS64" s="654">
        <v>19</v>
      </c>
      <c r="AT64" s="655">
        <f t="shared" si="6"/>
        <v>56</v>
      </c>
      <c r="AU64" s="654">
        <v>30</v>
      </c>
      <c r="AV64" s="654">
        <v>17</v>
      </c>
      <c r="AW64" s="654">
        <v>6</v>
      </c>
      <c r="AX64" s="655">
        <f t="shared" si="7"/>
        <v>53</v>
      </c>
      <c r="AY64" s="653">
        <v>20</v>
      </c>
      <c r="AZ64" s="654">
        <v>15</v>
      </c>
      <c r="BA64" s="654">
        <v>12</v>
      </c>
      <c r="BB64" s="655">
        <v>47</v>
      </c>
      <c r="BC64" s="653">
        <v>30</v>
      </c>
      <c r="BD64" s="654">
        <v>29</v>
      </c>
      <c r="BE64" s="654">
        <v>13</v>
      </c>
      <c r="BF64" s="655">
        <f t="shared" si="8"/>
        <v>72</v>
      </c>
      <c r="BG64" s="653">
        <v>21</v>
      </c>
      <c r="BH64" s="654">
        <v>25</v>
      </c>
      <c r="BI64" s="654">
        <v>46</v>
      </c>
      <c r="BJ64" s="655">
        <f t="shared" ref="BJ64:BJ69" si="93">SUM(BG64:BI64)</f>
        <v>92</v>
      </c>
      <c r="BK64" s="653">
        <v>27</v>
      </c>
      <c r="BL64" s="654">
        <v>26</v>
      </c>
      <c r="BM64" s="654">
        <v>30</v>
      </c>
      <c r="BN64" s="655">
        <f t="shared" ref="BN64:BN69" si="94">SUM(BK64:BM64)</f>
        <v>83</v>
      </c>
      <c r="BO64" s="653">
        <v>22</v>
      </c>
      <c r="BP64" s="654">
        <v>34</v>
      </c>
      <c r="BQ64" s="654">
        <v>39</v>
      </c>
      <c r="BR64" s="655">
        <f t="shared" ref="BR64:BR69" si="95">SUM(BO64:BQ64)</f>
        <v>95</v>
      </c>
      <c r="BS64" s="653">
        <v>39</v>
      </c>
      <c r="BT64" s="654">
        <v>36</v>
      </c>
      <c r="BU64" s="654">
        <v>35</v>
      </c>
      <c r="BV64" s="655">
        <f t="shared" ref="BV64:BV69" si="96">SUM(BS64:BU64)</f>
        <v>110</v>
      </c>
      <c r="BW64" s="653">
        <v>26</v>
      </c>
      <c r="BX64" s="654">
        <v>31</v>
      </c>
      <c r="BY64" s="654">
        <v>37</v>
      </c>
      <c r="BZ64" s="655">
        <f t="shared" ref="BZ64:BZ69" si="97">SUM(BW64:BY64)</f>
        <v>94</v>
      </c>
      <c r="CA64" s="653">
        <v>30</v>
      </c>
      <c r="CB64" s="654">
        <v>34</v>
      </c>
      <c r="CC64" s="654">
        <v>20</v>
      </c>
      <c r="CD64" s="655">
        <f t="shared" ref="CD64:CD69" si="98">SUM(CA64:CC64)</f>
        <v>84</v>
      </c>
      <c r="CE64" s="653">
        <v>41</v>
      </c>
      <c r="CF64" s="654">
        <v>38</v>
      </c>
      <c r="CG64" s="654">
        <v>35</v>
      </c>
      <c r="CH64" s="655">
        <f t="shared" ref="CH64:CH69" si="99">SUM(CE64:CG64)</f>
        <v>114</v>
      </c>
      <c r="CI64" s="653">
        <v>22</v>
      </c>
      <c r="CJ64" s="654">
        <v>23</v>
      </c>
      <c r="CK64" s="654">
        <v>30</v>
      </c>
      <c r="CL64" s="655">
        <f t="shared" ref="CL64:CL69" si="100">SUM(CI64:CK64)</f>
        <v>75</v>
      </c>
      <c r="CM64" s="653">
        <v>31</v>
      </c>
      <c r="CN64" s="654">
        <v>29</v>
      </c>
      <c r="CO64" s="654">
        <v>28</v>
      </c>
      <c r="CP64" s="655">
        <f t="shared" ref="CP64:CP69" si="101">SUM(CM64:CO64)</f>
        <v>88</v>
      </c>
      <c r="CQ64" s="653">
        <v>28</v>
      </c>
      <c r="CR64" s="654">
        <v>21</v>
      </c>
      <c r="CS64" s="654">
        <v>31</v>
      </c>
      <c r="CT64" s="655">
        <f t="shared" ref="CT64:CT69" si="102">SUM(CQ64:CS64)</f>
        <v>80</v>
      </c>
    </row>
    <row r="65" spans="1:98" s="656" customFormat="1" ht="15" customHeight="1" x14ac:dyDescent="0.3">
      <c r="A65" s="642"/>
      <c r="B65" s="657" t="s">
        <v>87</v>
      </c>
      <c r="C65" s="40">
        <v>10</v>
      </c>
      <c r="D65" s="41">
        <v>7</v>
      </c>
      <c r="E65" s="41">
        <v>7</v>
      </c>
      <c r="F65" s="658">
        <v>24</v>
      </c>
      <c r="G65" s="40">
        <v>4</v>
      </c>
      <c r="H65" s="41">
        <v>3</v>
      </c>
      <c r="I65" s="41">
        <v>4</v>
      </c>
      <c r="J65" s="658">
        <v>11</v>
      </c>
      <c r="K65" s="40">
        <v>7</v>
      </c>
      <c r="L65" s="41">
        <v>12</v>
      </c>
      <c r="M65" s="41">
        <v>4</v>
      </c>
      <c r="N65" s="658">
        <v>23</v>
      </c>
      <c r="O65" s="40">
        <v>18</v>
      </c>
      <c r="P65" s="41">
        <v>11</v>
      </c>
      <c r="Q65" s="41">
        <v>13</v>
      </c>
      <c r="R65" s="659">
        <v>42</v>
      </c>
      <c r="S65" s="40">
        <v>18</v>
      </c>
      <c r="T65" s="41">
        <v>27</v>
      </c>
      <c r="U65" s="41">
        <v>6</v>
      </c>
      <c r="V65" s="659">
        <f t="shared" si="87"/>
        <v>51</v>
      </c>
      <c r="W65" s="40">
        <v>14</v>
      </c>
      <c r="X65" s="41">
        <v>20</v>
      </c>
      <c r="Y65" s="41">
        <v>17</v>
      </c>
      <c r="Z65" s="658">
        <f t="shared" si="88"/>
        <v>51</v>
      </c>
      <c r="AA65" s="660">
        <v>12</v>
      </c>
      <c r="AB65" s="41">
        <v>21</v>
      </c>
      <c r="AC65" s="41">
        <v>10</v>
      </c>
      <c r="AD65" s="658">
        <f t="shared" si="89"/>
        <v>43</v>
      </c>
      <c r="AE65" s="660">
        <v>23</v>
      </c>
      <c r="AF65" s="41">
        <v>14</v>
      </c>
      <c r="AG65" s="41">
        <v>19</v>
      </c>
      <c r="AH65" s="659">
        <f t="shared" si="90"/>
        <v>56</v>
      </c>
      <c r="AI65" s="660">
        <v>26</v>
      </c>
      <c r="AJ65" s="41">
        <v>20</v>
      </c>
      <c r="AK65" s="661">
        <v>16</v>
      </c>
      <c r="AL65" s="659">
        <f t="shared" si="91"/>
        <v>62</v>
      </c>
      <c r="AM65" s="660">
        <v>26</v>
      </c>
      <c r="AN65" s="41">
        <v>25</v>
      </c>
      <c r="AO65" s="661">
        <v>12</v>
      </c>
      <c r="AP65" s="659">
        <f t="shared" si="92"/>
        <v>63</v>
      </c>
      <c r="AQ65" s="662">
        <v>14</v>
      </c>
      <c r="AR65" s="663">
        <v>27</v>
      </c>
      <c r="AS65" s="663">
        <v>17</v>
      </c>
      <c r="AT65" s="664">
        <f t="shared" si="6"/>
        <v>58</v>
      </c>
      <c r="AU65" s="663">
        <v>20</v>
      </c>
      <c r="AV65" s="663">
        <v>19</v>
      </c>
      <c r="AW65" s="663">
        <v>9</v>
      </c>
      <c r="AX65" s="664">
        <f t="shared" si="7"/>
        <v>48</v>
      </c>
      <c r="AY65" s="662">
        <v>20</v>
      </c>
      <c r="AZ65" s="663">
        <v>18</v>
      </c>
      <c r="BA65" s="663">
        <v>14</v>
      </c>
      <c r="BB65" s="664">
        <v>52</v>
      </c>
      <c r="BC65" s="662">
        <v>16</v>
      </c>
      <c r="BD65" s="663">
        <v>22</v>
      </c>
      <c r="BE65" s="663">
        <v>3</v>
      </c>
      <c r="BF65" s="664">
        <f t="shared" si="8"/>
        <v>41</v>
      </c>
      <c r="BG65" s="662">
        <v>18</v>
      </c>
      <c r="BH65" s="663">
        <v>18</v>
      </c>
      <c r="BI65" s="663">
        <v>16</v>
      </c>
      <c r="BJ65" s="664">
        <f t="shared" si="93"/>
        <v>52</v>
      </c>
      <c r="BK65" s="662">
        <v>21</v>
      </c>
      <c r="BL65" s="663">
        <v>22</v>
      </c>
      <c r="BM65" s="663">
        <v>21</v>
      </c>
      <c r="BN65" s="664">
        <f t="shared" si="94"/>
        <v>64</v>
      </c>
      <c r="BO65" s="662">
        <v>20</v>
      </c>
      <c r="BP65" s="663">
        <v>14</v>
      </c>
      <c r="BQ65" s="663">
        <v>22</v>
      </c>
      <c r="BR65" s="664">
        <f t="shared" si="95"/>
        <v>56</v>
      </c>
      <c r="BS65" s="662">
        <v>23</v>
      </c>
      <c r="BT65" s="663">
        <v>22</v>
      </c>
      <c r="BU65" s="663">
        <v>18</v>
      </c>
      <c r="BV65" s="664">
        <f t="shared" si="96"/>
        <v>63</v>
      </c>
      <c r="BW65" s="662">
        <v>22</v>
      </c>
      <c r="BX65" s="663">
        <v>20</v>
      </c>
      <c r="BY65" s="663">
        <v>17</v>
      </c>
      <c r="BZ65" s="664">
        <f t="shared" si="97"/>
        <v>59</v>
      </c>
      <c r="CA65" s="662">
        <v>21</v>
      </c>
      <c r="CB65" s="663">
        <v>32</v>
      </c>
      <c r="CC65" s="663">
        <v>19</v>
      </c>
      <c r="CD65" s="664">
        <f t="shared" si="98"/>
        <v>72</v>
      </c>
      <c r="CE65" s="662">
        <v>17</v>
      </c>
      <c r="CF65" s="663">
        <v>25</v>
      </c>
      <c r="CG65" s="663">
        <v>18</v>
      </c>
      <c r="CH65" s="664">
        <f t="shared" si="99"/>
        <v>60</v>
      </c>
      <c r="CI65" s="662">
        <v>30</v>
      </c>
      <c r="CJ65" s="663">
        <v>25</v>
      </c>
      <c r="CK65" s="663">
        <v>26</v>
      </c>
      <c r="CL65" s="664">
        <f t="shared" si="100"/>
        <v>81</v>
      </c>
      <c r="CM65" s="662">
        <v>17</v>
      </c>
      <c r="CN65" s="663">
        <v>14</v>
      </c>
      <c r="CO65" s="663">
        <v>23</v>
      </c>
      <c r="CP65" s="664">
        <f t="shared" si="101"/>
        <v>54</v>
      </c>
      <c r="CQ65" s="662">
        <v>28</v>
      </c>
      <c r="CR65" s="663">
        <v>18</v>
      </c>
      <c r="CS65" s="663">
        <v>22</v>
      </c>
      <c r="CT65" s="664">
        <f t="shared" si="102"/>
        <v>68</v>
      </c>
    </row>
    <row r="66" spans="1:98" s="656" customFormat="1" ht="15" customHeight="1" x14ac:dyDescent="0.3">
      <c r="A66" s="642"/>
      <c r="B66" s="657" t="s">
        <v>88</v>
      </c>
      <c r="C66" s="40">
        <v>7</v>
      </c>
      <c r="D66" s="41">
        <v>7</v>
      </c>
      <c r="E66" s="41">
        <v>5</v>
      </c>
      <c r="F66" s="658">
        <v>19</v>
      </c>
      <c r="G66" s="40">
        <v>6</v>
      </c>
      <c r="H66" s="41">
        <v>4</v>
      </c>
      <c r="I66" s="41">
        <v>6</v>
      </c>
      <c r="J66" s="658">
        <v>16</v>
      </c>
      <c r="K66" s="40">
        <v>7</v>
      </c>
      <c r="L66" s="41">
        <v>8</v>
      </c>
      <c r="M66" s="41">
        <v>4</v>
      </c>
      <c r="N66" s="658">
        <v>19</v>
      </c>
      <c r="O66" s="40">
        <v>9</v>
      </c>
      <c r="P66" s="41">
        <v>4</v>
      </c>
      <c r="Q66" s="41">
        <v>10</v>
      </c>
      <c r="R66" s="659">
        <v>23</v>
      </c>
      <c r="S66" s="40">
        <v>3</v>
      </c>
      <c r="T66" s="41">
        <v>8</v>
      </c>
      <c r="U66" s="41">
        <v>5</v>
      </c>
      <c r="V66" s="659">
        <f t="shared" si="87"/>
        <v>16</v>
      </c>
      <c r="W66" s="40">
        <v>8</v>
      </c>
      <c r="X66" s="41">
        <v>9</v>
      </c>
      <c r="Y66" s="41">
        <v>9</v>
      </c>
      <c r="Z66" s="658">
        <f t="shared" si="88"/>
        <v>26</v>
      </c>
      <c r="AA66" s="660">
        <v>7</v>
      </c>
      <c r="AB66" s="41">
        <v>7</v>
      </c>
      <c r="AC66" s="41">
        <v>11</v>
      </c>
      <c r="AD66" s="658">
        <f t="shared" si="89"/>
        <v>25</v>
      </c>
      <c r="AE66" s="660">
        <v>11</v>
      </c>
      <c r="AF66" s="41">
        <v>2</v>
      </c>
      <c r="AG66" s="41">
        <v>13</v>
      </c>
      <c r="AH66" s="659">
        <f t="shared" si="90"/>
        <v>26</v>
      </c>
      <c r="AI66" s="660">
        <v>7</v>
      </c>
      <c r="AJ66" s="41">
        <v>11</v>
      </c>
      <c r="AK66" s="661">
        <v>8</v>
      </c>
      <c r="AL66" s="659">
        <f t="shared" si="91"/>
        <v>26</v>
      </c>
      <c r="AM66" s="660">
        <v>7</v>
      </c>
      <c r="AN66" s="41">
        <v>6</v>
      </c>
      <c r="AO66" s="661">
        <v>14</v>
      </c>
      <c r="AP66" s="659">
        <f t="shared" si="92"/>
        <v>27</v>
      </c>
      <c r="AQ66" s="662">
        <v>9</v>
      </c>
      <c r="AR66" s="663">
        <v>6</v>
      </c>
      <c r="AS66" s="663">
        <v>3</v>
      </c>
      <c r="AT66" s="664">
        <f t="shared" si="6"/>
        <v>18</v>
      </c>
      <c r="AU66" s="663">
        <v>6</v>
      </c>
      <c r="AV66" s="663">
        <v>8</v>
      </c>
      <c r="AW66" s="663">
        <v>9</v>
      </c>
      <c r="AX66" s="664">
        <f t="shared" si="7"/>
        <v>23</v>
      </c>
      <c r="AY66" s="662">
        <v>5</v>
      </c>
      <c r="AZ66" s="663">
        <v>8</v>
      </c>
      <c r="BA66" s="663">
        <v>4</v>
      </c>
      <c r="BB66" s="664">
        <v>17</v>
      </c>
      <c r="BC66" s="662">
        <v>12</v>
      </c>
      <c r="BD66" s="663">
        <v>12</v>
      </c>
      <c r="BE66" s="663">
        <v>7</v>
      </c>
      <c r="BF66" s="664">
        <f t="shared" si="8"/>
        <v>31</v>
      </c>
      <c r="BG66" s="662">
        <v>9</v>
      </c>
      <c r="BH66" s="663">
        <v>12</v>
      </c>
      <c r="BI66" s="663">
        <v>14</v>
      </c>
      <c r="BJ66" s="664">
        <f t="shared" si="93"/>
        <v>35</v>
      </c>
      <c r="BK66" s="662">
        <v>6</v>
      </c>
      <c r="BL66" s="663">
        <v>12</v>
      </c>
      <c r="BM66" s="663">
        <v>2</v>
      </c>
      <c r="BN66" s="664">
        <f t="shared" si="94"/>
        <v>20</v>
      </c>
      <c r="BO66" s="662">
        <v>17</v>
      </c>
      <c r="BP66" s="663">
        <v>9</v>
      </c>
      <c r="BQ66" s="663">
        <v>15</v>
      </c>
      <c r="BR66" s="664">
        <f t="shared" si="95"/>
        <v>41</v>
      </c>
      <c r="BS66" s="662">
        <v>12</v>
      </c>
      <c r="BT66" s="663">
        <v>20</v>
      </c>
      <c r="BU66" s="663">
        <v>14</v>
      </c>
      <c r="BV66" s="664">
        <f t="shared" si="96"/>
        <v>46</v>
      </c>
      <c r="BW66" s="662">
        <v>27</v>
      </c>
      <c r="BX66" s="663">
        <v>25</v>
      </c>
      <c r="BY66" s="663">
        <v>26</v>
      </c>
      <c r="BZ66" s="664">
        <f t="shared" si="97"/>
        <v>78</v>
      </c>
      <c r="CA66" s="662">
        <v>28</v>
      </c>
      <c r="CB66" s="663">
        <v>10</v>
      </c>
      <c r="CC66" s="663">
        <v>20</v>
      </c>
      <c r="CD66" s="664">
        <f t="shared" si="98"/>
        <v>58</v>
      </c>
      <c r="CE66" s="662">
        <v>19</v>
      </c>
      <c r="CF66" s="663">
        <v>18</v>
      </c>
      <c r="CG66" s="663">
        <v>9</v>
      </c>
      <c r="CH66" s="664">
        <f t="shared" si="99"/>
        <v>46</v>
      </c>
      <c r="CI66" s="662">
        <v>20</v>
      </c>
      <c r="CJ66" s="663">
        <v>20</v>
      </c>
      <c r="CK66" s="663">
        <v>19</v>
      </c>
      <c r="CL66" s="664">
        <f t="shared" si="100"/>
        <v>59</v>
      </c>
      <c r="CM66" s="662">
        <v>25</v>
      </c>
      <c r="CN66" s="663">
        <v>24</v>
      </c>
      <c r="CO66" s="663">
        <v>14</v>
      </c>
      <c r="CP66" s="664">
        <f t="shared" si="101"/>
        <v>63</v>
      </c>
      <c r="CQ66" s="662">
        <v>15</v>
      </c>
      <c r="CR66" s="663">
        <v>6</v>
      </c>
      <c r="CS66" s="663">
        <v>11</v>
      </c>
      <c r="CT66" s="664">
        <f t="shared" si="102"/>
        <v>32</v>
      </c>
    </row>
    <row r="67" spans="1:98" s="656" customFormat="1" ht="15" customHeight="1" x14ac:dyDescent="0.3">
      <c r="A67" s="642"/>
      <c r="B67" s="657" t="s">
        <v>89</v>
      </c>
      <c r="C67" s="40">
        <v>3</v>
      </c>
      <c r="D67" s="41">
        <v>0</v>
      </c>
      <c r="E67" s="41">
        <v>1</v>
      </c>
      <c r="F67" s="658">
        <v>4</v>
      </c>
      <c r="G67" s="40">
        <v>3</v>
      </c>
      <c r="H67" s="41">
        <v>3</v>
      </c>
      <c r="I67" s="41">
        <v>6</v>
      </c>
      <c r="J67" s="658">
        <v>12</v>
      </c>
      <c r="K67" s="40">
        <v>2</v>
      </c>
      <c r="L67" s="41">
        <v>6</v>
      </c>
      <c r="M67" s="41">
        <v>1</v>
      </c>
      <c r="N67" s="658">
        <v>9</v>
      </c>
      <c r="O67" s="40">
        <v>6</v>
      </c>
      <c r="P67" s="41">
        <v>1</v>
      </c>
      <c r="Q67" s="41">
        <v>7</v>
      </c>
      <c r="R67" s="659">
        <v>14</v>
      </c>
      <c r="S67" s="40">
        <v>2</v>
      </c>
      <c r="T67" s="41">
        <v>4</v>
      </c>
      <c r="U67" s="41">
        <v>6</v>
      </c>
      <c r="V67" s="659">
        <f t="shared" si="87"/>
        <v>12</v>
      </c>
      <c r="W67" s="40">
        <v>6</v>
      </c>
      <c r="X67" s="41">
        <v>8</v>
      </c>
      <c r="Y67" s="41">
        <v>3</v>
      </c>
      <c r="Z67" s="658">
        <f t="shared" si="88"/>
        <v>17</v>
      </c>
      <c r="AA67" s="660">
        <v>5</v>
      </c>
      <c r="AB67" s="41">
        <v>6</v>
      </c>
      <c r="AC67" s="41">
        <v>2</v>
      </c>
      <c r="AD67" s="658">
        <f t="shared" si="89"/>
        <v>13</v>
      </c>
      <c r="AE67" s="660">
        <v>5</v>
      </c>
      <c r="AF67" s="41">
        <v>3</v>
      </c>
      <c r="AG67" s="41">
        <v>2</v>
      </c>
      <c r="AH67" s="659">
        <f t="shared" si="90"/>
        <v>10</v>
      </c>
      <c r="AI67" s="660">
        <v>2</v>
      </c>
      <c r="AJ67" s="41" t="s">
        <v>122</v>
      </c>
      <c r="AK67" s="661">
        <v>4</v>
      </c>
      <c r="AL67" s="659">
        <f t="shared" si="91"/>
        <v>6</v>
      </c>
      <c r="AM67" s="660">
        <v>7</v>
      </c>
      <c r="AN67" s="41">
        <v>4</v>
      </c>
      <c r="AO67" s="661">
        <v>1</v>
      </c>
      <c r="AP67" s="659">
        <f t="shared" si="92"/>
        <v>12</v>
      </c>
      <c r="AQ67" s="662">
        <v>2</v>
      </c>
      <c r="AR67" s="663">
        <v>3</v>
      </c>
      <c r="AS67" s="663">
        <v>1</v>
      </c>
      <c r="AT67" s="664">
        <f t="shared" si="6"/>
        <v>6</v>
      </c>
      <c r="AU67" s="663">
        <v>4</v>
      </c>
      <c r="AV67" s="663">
        <v>4</v>
      </c>
      <c r="AW67" s="663">
        <v>3</v>
      </c>
      <c r="AX67" s="664">
        <f t="shared" si="7"/>
        <v>11</v>
      </c>
      <c r="AY67" s="662">
        <v>3</v>
      </c>
      <c r="AZ67" s="663">
        <v>4</v>
      </c>
      <c r="BA67" s="663">
        <v>1</v>
      </c>
      <c r="BB67" s="664">
        <v>8</v>
      </c>
      <c r="BC67" s="662">
        <v>6</v>
      </c>
      <c r="BD67" s="663">
        <v>7</v>
      </c>
      <c r="BE67" s="663">
        <v>1</v>
      </c>
      <c r="BF67" s="664">
        <f t="shared" si="8"/>
        <v>14</v>
      </c>
      <c r="BG67" s="662">
        <v>2</v>
      </c>
      <c r="BH67" s="663">
        <v>8</v>
      </c>
      <c r="BI67" s="663">
        <v>5</v>
      </c>
      <c r="BJ67" s="664">
        <f t="shared" si="93"/>
        <v>15</v>
      </c>
      <c r="BK67" s="662">
        <v>4</v>
      </c>
      <c r="BL67" s="663">
        <v>5</v>
      </c>
      <c r="BM67" s="663">
        <v>5</v>
      </c>
      <c r="BN67" s="664">
        <f t="shared" si="94"/>
        <v>14</v>
      </c>
      <c r="BO67" s="662">
        <v>6</v>
      </c>
      <c r="BP67" s="663">
        <v>8</v>
      </c>
      <c r="BQ67" s="663">
        <v>11</v>
      </c>
      <c r="BR67" s="664">
        <f t="shared" si="95"/>
        <v>25</v>
      </c>
      <c r="BS67" s="662">
        <v>8</v>
      </c>
      <c r="BT67" s="663">
        <v>8</v>
      </c>
      <c r="BU67" s="663">
        <v>8</v>
      </c>
      <c r="BV67" s="664">
        <f t="shared" si="96"/>
        <v>24</v>
      </c>
      <c r="BW67" s="662">
        <v>13</v>
      </c>
      <c r="BX67" s="663">
        <v>16</v>
      </c>
      <c r="BY67" s="663">
        <v>12</v>
      </c>
      <c r="BZ67" s="664">
        <f t="shared" si="97"/>
        <v>41</v>
      </c>
      <c r="CA67" s="662">
        <v>15</v>
      </c>
      <c r="CB67" s="663">
        <v>24</v>
      </c>
      <c r="CC67" s="663">
        <v>14</v>
      </c>
      <c r="CD67" s="664">
        <f t="shared" si="98"/>
        <v>53</v>
      </c>
      <c r="CE67" s="662">
        <v>24</v>
      </c>
      <c r="CF67" s="663">
        <v>16</v>
      </c>
      <c r="CG67" s="663">
        <v>18</v>
      </c>
      <c r="CH67" s="664">
        <f t="shared" si="99"/>
        <v>58</v>
      </c>
      <c r="CI67" s="662">
        <v>17</v>
      </c>
      <c r="CJ67" s="663">
        <v>9</v>
      </c>
      <c r="CK67" s="663">
        <v>12</v>
      </c>
      <c r="CL67" s="664">
        <f t="shared" si="100"/>
        <v>38</v>
      </c>
      <c r="CM67" s="662">
        <v>12</v>
      </c>
      <c r="CN67" s="663">
        <v>17</v>
      </c>
      <c r="CO67" s="663">
        <v>12</v>
      </c>
      <c r="CP67" s="664">
        <f t="shared" si="101"/>
        <v>41</v>
      </c>
      <c r="CQ67" s="662">
        <v>9</v>
      </c>
      <c r="CR67" s="663">
        <v>6</v>
      </c>
      <c r="CS67" s="663">
        <v>10</v>
      </c>
      <c r="CT67" s="664">
        <f t="shared" si="102"/>
        <v>25</v>
      </c>
    </row>
    <row r="68" spans="1:98" s="656" customFormat="1" ht="15" customHeight="1" x14ac:dyDescent="0.3">
      <c r="A68" s="642"/>
      <c r="B68" s="657" t="s">
        <v>90</v>
      </c>
      <c r="C68" s="40">
        <v>35</v>
      </c>
      <c r="D68" s="41">
        <v>12</v>
      </c>
      <c r="E68" s="41">
        <v>12</v>
      </c>
      <c r="F68" s="658">
        <v>59</v>
      </c>
      <c r="G68" s="40">
        <v>23</v>
      </c>
      <c r="H68" s="41">
        <v>13</v>
      </c>
      <c r="I68" s="41">
        <v>7</v>
      </c>
      <c r="J68" s="658">
        <v>43</v>
      </c>
      <c r="K68" s="40">
        <v>26</v>
      </c>
      <c r="L68" s="41">
        <v>24</v>
      </c>
      <c r="M68" s="41">
        <v>7</v>
      </c>
      <c r="N68" s="658">
        <v>57</v>
      </c>
      <c r="O68" s="40">
        <v>20</v>
      </c>
      <c r="P68" s="41">
        <v>28</v>
      </c>
      <c r="Q68" s="41">
        <v>9</v>
      </c>
      <c r="R68" s="659">
        <v>57</v>
      </c>
      <c r="S68" s="40">
        <v>17</v>
      </c>
      <c r="T68" s="41">
        <v>40</v>
      </c>
      <c r="U68" s="41">
        <v>19</v>
      </c>
      <c r="V68" s="659">
        <f t="shared" si="87"/>
        <v>76</v>
      </c>
      <c r="W68" s="40">
        <v>37</v>
      </c>
      <c r="X68" s="41">
        <v>45</v>
      </c>
      <c r="Y68" s="41">
        <v>29</v>
      </c>
      <c r="Z68" s="658">
        <f t="shared" si="88"/>
        <v>111</v>
      </c>
      <c r="AA68" s="660">
        <v>46</v>
      </c>
      <c r="AB68" s="41">
        <v>35</v>
      </c>
      <c r="AC68" s="41">
        <v>20</v>
      </c>
      <c r="AD68" s="658">
        <f t="shared" si="89"/>
        <v>101</v>
      </c>
      <c r="AE68" s="660">
        <v>37</v>
      </c>
      <c r="AF68" s="41">
        <v>34</v>
      </c>
      <c r="AG68" s="41">
        <v>19</v>
      </c>
      <c r="AH68" s="659">
        <f t="shared" si="90"/>
        <v>90</v>
      </c>
      <c r="AI68" s="660">
        <v>32</v>
      </c>
      <c r="AJ68" s="41">
        <v>36</v>
      </c>
      <c r="AK68" s="661">
        <v>21</v>
      </c>
      <c r="AL68" s="659">
        <f t="shared" si="91"/>
        <v>89</v>
      </c>
      <c r="AM68" s="660">
        <v>25</v>
      </c>
      <c r="AN68" s="41">
        <v>28</v>
      </c>
      <c r="AO68" s="661">
        <v>16</v>
      </c>
      <c r="AP68" s="659">
        <f t="shared" si="92"/>
        <v>69</v>
      </c>
      <c r="AQ68" s="662">
        <v>17</v>
      </c>
      <c r="AR68" s="663">
        <v>16</v>
      </c>
      <c r="AS68" s="663">
        <v>12</v>
      </c>
      <c r="AT68" s="664">
        <f t="shared" si="6"/>
        <v>45</v>
      </c>
      <c r="AU68" s="663">
        <v>32</v>
      </c>
      <c r="AV68" s="663">
        <v>29</v>
      </c>
      <c r="AW68" s="663">
        <v>40</v>
      </c>
      <c r="AX68" s="664">
        <f t="shared" si="7"/>
        <v>101</v>
      </c>
      <c r="AY68" s="662">
        <v>20</v>
      </c>
      <c r="AZ68" s="663">
        <v>23</v>
      </c>
      <c r="BA68" s="663">
        <v>14</v>
      </c>
      <c r="BB68" s="664">
        <v>57</v>
      </c>
      <c r="BC68" s="662">
        <v>20</v>
      </c>
      <c r="BD68" s="663">
        <v>22</v>
      </c>
      <c r="BE68" s="663">
        <v>24</v>
      </c>
      <c r="BF68" s="664">
        <f t="shared" si="8"/>
        <v>66</v>
      </c>
      <c r="BG68" s="662">
        <v>13</v>
      </c>
      <c r="BH68" s="663">
        <v>27</v>
      </c>
      <c r="BI68" s="663">
        <v>39</v>
      </c>
      <c r="BJ68" s="664">
        <f t="shared" si="93"/>
        <v>79</v>
      </c>
      <c r="BK68" s="662">
        <v>29</v>
      </c>
      <c r="BL68" s="663">
        <v>29</v>
      </c>
      <c r="BM68" s="663">
        <v>18</v>
      </c>
      <c r="BN68" s="664">
        <f t="shared" si="94"/>
        <v>76</v>
      </c>
      <c r="BO68" s="662">
        <v>20</v>
      </c>
      <c r="BP68" s="663">
        <v>31</v>
      </c>
      <c r="BQ68" s="663">
        <v>34</v>
      </c>
      <c r="BR68" s="664">
        <f t="shared" si="95"/>
        <v>85</v>
      </c>
      <c r="BS68" s="662">
        <v>42</v>
      </c>
      <c r="BT68" s="663">
        <v>26</v>
      </c>
      <c r="BU68" s="663">
        <v>26</v>
      </c>
      <c r="BV68" s="664">
        <f t="shared" si="96"/>
        <v>94</v>
      </c>
      <c r="BW68" s="662">
        <v>33</v>
      </c>
      <c r="BX68" s="663">
        <v>31</v>
      </c>
      <c r="BY68" s="663">
        <v>40</v>
      </c>
      <c r="BZ68" s="664">
        <f t="shared" si="97"/>
        <v>104</v>
      </c>
      <c r="CA68" s="662">
        <v>28</v>
      </c>
      <c r="CB68" s="663">
        <v>33</v>
      </c>
      <c r="CC68" s="663">
        <v>42</v>
      </c>
      <c r="CD68" s="664">
        <f t="shared" si="98"/>
        <v>103</v>
      </c>
      <c r="CE68" s="662">
        <v>46</v>
      </c>
      <c r="CF68" s="663">
        <v>35</v>
      </c>
      <c r="CG68" s="663">
        <v>30</v>
      </c>
      <c r="CH68" s="664">
        <f t="shared" si="99"/>
        <v>111</v>
      </c>
      <c r="CI68" s="662">
        <v>26</v>
      </c>
      <c r="CJ68" s="663">
        <v>46</v>
      </c>
      <c r="CK68" s="663">
        <v>30</v>
      </c>
      <c r="CL68" s="664">
        <f t="shared" si="100"/>
        <v>102</v>
      </c>
      <c r="CM68" s="662">
        <v>42</v>
      </c>
      <c r="CN68" s="663">
        <v>30</v>
      </c>
      <c r="CO68" s="663">
        <v>45</v>
      </c>
      <c r="CP68" s="664">
        <f t="shared" si="101"/>
        <v>117</v>
      </c>
      <c r="CQ68" s="662">
        <v>35</v>
      </c>
      <c r="CR68" s="663">
        <v>33</v>
      </c>
      <c r="CS68" s="663">
        <v>29</v>
      </c>
      <c r="CT68" s="664">
        <f t="shared" si="102"/>
        <v>97</v>
      </c>
    </row>
    <row r="69" spans="1:98" s="656" customFormat="1" ht="15" customHeight="1" x14ac:dyDescent="0.3">
      <c r="A69" s="642"/>
      <c r="B69" s="665" t="s">
        <v>91</v>
      </c>
      <c r="C69" s="46">
        <v>33</v>
      </c>
      <c r="D69" s="50">
        <v>19</v>
      </c>
      <c r="E69" s="50">
        <v>13</v>
      </c>
      <c r="F69" s="666">
        <v>65</v>
      </c>
      <c r="G69" s="46">
        <v>15</v>
      </c>
      <c r="H69" s="50">
        <v>13</v>
      </c>
      <c r="I69" s="50">
        <v>21</v>
      </c>
      <c r="J69" s="666">
        <v>49</v>
      </c>
      <c r="K69" s="46">
        <v>37</v>
      </c>
      <c r="L69" s="50">
        <v>17</v>
      </c>
      <c r="M69" s="50">
        <v>14</v>
      </c>
      <c r="N69" s="666">
        <v>68</v>
      </c>
      <c r="O69" s="46">
        <v>24</v>
      </c>
      <c r="P69" s="50">
        <v>18</v>
      </c>
      <c r="Q69" s="50">
        <v>12</v>
      </c>
      <c r="R69" s="667">
        <v>54</v>
      </c>
      <c r="S69" s="46">
        <v>33</v>
      </c>
      <c r="T69" s="50">
        <v>26</v>
      </c>
      <c r="U69" s="50">
        <v>36</v>
      </c>
      <c r="V69" s="667">
        <f t="shared" si="87"/>
        <v>95</v>
      </c>
      <c r="W69" s="46">
        <v>20</v>
      </c>
      <c r="X69" s="50">
        <v>38</v>
      </c>
      <c r="Y69" s="50">
        <v>47</v>
      </c>
      <c r="Z69" s="666">
        <f t="shared" si="88"/>
        <v>105</v>
      </c>
      <c r="AA69" s="668">
        <v>32</v>
      </c>
      <c r="AB69" s="50">
        <v>33</v>
      </c>
      <c r="AC69" s="50">
        <v>34</v>
      </c>
      <c r="AD69" s="666">
        <f t="shared" si="89"/>
        <v>99</v>
      </c>
      <c r="AE69" s="668">
        <v>45</v>
      </c>
      <c r="AF69" s="50">
        <v>49</v>
      </c>
      <c r="AG69" s="50">
        <v>35</v>
      </c>
      <c r="AH69" s="667">
        <f t="shared" si="90"/>
        <v>129</v>
      </c>
      <c r="AI69" s="668">
        <v>28</v>
      </c>
      <c r="AJ69" s="50">
        <v>29</v>
      </c>
      <c r="AK69" s="669">
        <v>23</v>
      </c>
      <c r="AL69" s="667">
        <f t="shared" si="91"/>
        <v>80</v>
      </c>
      <c r="AM69" s="668">
        <v>31</v>
      </c>
      <c r="AN69" s="50">
        <v>37</v>
      </c>
      <c r="AO69" s="669">
        <v>53</v>
      </c>
      <c r="AP69" s="667">
        <f t="shared" si="92"/>
        <v>121</v>
      </c>
      <c r="AQ69" s="670">
        <v>33</v>
      </c>
      <c r="AR69" s="671">
        <v>16</v>
      </c>
      <c r="AS69" s="671">
        <v>15</v>
      </c>
      <c r="AT69" s="672">
        <f t="shared" si="6"/>
        <v>64</v>
      </c>
      <c r="AU69" s="671">
        <v>19</v>
      </c>
      <c r="AV69" s="671">
        <v>24</v>
      </c>
      <c r="AW69" s="671">
        <v>24</v>
      </c>
      <c r="AX69" s="672">
        <f t="shared" si="7"/>
        <v>67</v>
      </c>
      <c r="AY69" s="670">
        <v>33</v>
      </c>
      <c r="AZ69" s="671">
        <v>25</v>
      </c>
      <c r="BA69" s="671">
        <v>16</v>
      </c>
      <c r="BB69" s="672">
        <v>74</v>
      </c>
      <c r="BC69" s="670">
        <v>19</v>
      </c>
      <c r="BD69" s="671">
        <v>25</v>
      </c>
      <c r="BE69" s="671">
        <v>29</v>
      </c>
      <c r="BF69" s="672">
        <f t="shared" si="8"/>
        <v>73</v>
      </c>
      <c r="BG69" s="670">
        <v>23</v>
      </c>
      <c r="BH69" s="671">
        <v>35</v>
      </c>
      <c r="BI69" s="671">
        <v>23</v>
      </c>
      <c r="BJ69" s="672">
        <f t="shared" si="93"/>
        <v>81</v>
      </c>
      <c r="BK69" s="670">
        <v>22</v>
      </c>
      <c r="BL69" s="671">
        <v>48</v>
      </c>
      <c r="BM69" s="671">
        <v>18</v>
      </c>
      <c r="BN69" s="672">
        <f t="shared" si="94"/>
        <v>88</v>
      </c>
      <c r="BO69" s="670">
        <v>22</v>
      </c>
      <c r="BP69" s="671">
        <v>31</v>
      </c>
      <c r="BQ69" s="671">
        <v>30</v>
      </c>
      <c r="BR69" s="672">
        <f t="shared" si="95"/>
        <v>83</v>
      </c>
      <c r="BS69" s="670">
        <v>30</v>
      </c>
      <c r="BT69" s="671">
        <v>41</v>
      </c>
      <c r="BU69" s="671">
        <v>25</v>
      </c>
      <c r="BV69" s="672">
        <f t="shared" si="96"/>
        <v>96</v>
      </c>
      <c r="BW69" s="670">
        <v>30</v>
      </c>
      <c r="BX69" s="671">
        <v>35</v>
      </c>
      <c r="BY69" s="671">
        <v>14</v>
      </c>
      <c r="BZ69" s="672">
        <f t="shared" si="97"/>
        <v>79</v>
      </c>
      <c r="CA69" s="670">
        <v>26</v>
      </c>
      <c r="CB69" s="671">
        <v>20</v>
      </c>
      <c r="CC69" s="671">
        <v>31</v>
      </c>
      <c r="CD69" s="672">
        <f t="shared" si="98"/>
        <v>77</v>
      </c>
      <c r="CE69" s="670">
        <v>28</v>
      </c>
      <c r="CF69" s="671">
        <v>32</v>
      </c>
      <c r="CG69" s="671">
        <v>32</v>
      </c>
      <c r="CH69" s="672">
        <f t="shared" si="99"/>
        <v>92</v>
      </c>
      <c r="CI69" s="670">
        <v>47</v>
      </c>
      <c r="CJ69" s="671">
        <v>40</v>
      </c>
      <c r="CK69" s="671">
        <v>25</v>
      </c>
      <c r="CL69" s="672">
        <f t="shared" si="100"/>
        <v>112</v>
      </c>
      <c r="CM69" s="670">
        <v>23</v>
      </c>
      <c r="CN69" s="671">
        <v>28</v>
      </c>
      <c r="CO69" s="671">
        <v>21</v>
      </c>
      <c r="CP69" s="672">
        <f t="shared" si="101"/>
        <v>72</v>
      </c>
      <c r="CQ69" s="670">
        <v>26</v>
      </c>
      <c r="CR69" s="671">
        <v>30</v>
      </c>
      <c r="CS69" s="671">
        <v>33</v>
      </c>
      <c r="CT69" s="672">
        <f t="shared" si="102"/>
        <v>89</v>
      </c>
    </row>
    <row r="70" spans="1:98" s="656" customFormat="1" ht="15" customHeight="1" x14ac:dyDescent="0.3">
      <c r="A70" s="642"/>
      <c r="B70" s="673" t="s">
        <v>92</v>
      </c>
      <c r="C70" s="674">
        <v>99</v>
      </c>
      <c r="D70" s="675">
        <v>55</v>
      </c>
      <c r="E70" s="675">
        <v>44</v>
      </c>
      <c r="F70" s="676">
        <v>198</v>
      </c>
      <c r="G70" s="674">
        <v>64</v>
      </c>
      <c r="H70" s="675">
        <v>44</v>
      </c>
      <c r="I70" s="675">
        <v>51</v>
      </c>
      <c r="J70" s="676">
        <v>159</v>
      </c>
      <c r="K70" s="674">
        <v>95</v>
      </c>
      <c r="L70" s="675">
        <v>87</v>
      </c>
      <c r="M70" s="675">
        <v>35</v>
      </c>
      <c r="N70" s="676">
        <v>217</v>
      </c>
      <c r="O70" s="674">
        <v>90</v>
      </c>
      <c r="P70" s="675">
        <v>75</v>
      </c>
      <c r="Q70" s="675">
        <v>63</v>
      </c>
      <c r="R70" s="676">
        <v>228</v>
      </c>
      <c r="S70" s="674">
        <f t="shared" ref="S70:CD70" si="103">SUM(S64:S69)</f>
        <v>89</v>
      </c>
      <c r="T70" s="675">
        <f t="shared" si="103"/>
        <v>125</v>
      </c>
      <c r="U70" s="675">
        <f t="shared" si="103"/>
        <v>86</v>
      </c>
      <c r="V70" s="676">
        <f t="shared" si="103"/>
        <v>300</v>
      </c>
      <c r="W70" s="674">
        <f t="shared" si="103"/>
        <v>118</v>
      </c>
      <c r="X70" s="675">
        <f t="shared" si="103"/>
        <v>143</v>
      </c>
      <c r="Y70" s="675">
        <f t="shared" si="103"/>
        <v>120</v>
      </c>
      <c r="Z70" s="676">
        <f t="shared" si="103"/>
        <v>381</v>
      </c>
      <c r="AA70" s="674">
        <f t="shared" si="103"/>
        <v>124</v>
      </c>
      <c r="AB70" s="675">
        <f t="shared" si="103"/>
        <v>113</v>
      </c>
      <c r="AC70" s="675">
        <f t="shared" si="103"/>
        <v>106</v>
      </c>
      <c r="AD70" s="676">
        <f t="shared" si="103"/>
        <v>343</v>
      </c>
      <c r="AE70" s="674">
        <f t="shared" si="103"/>
        <v>150</v>
      </c>
      <c r="AF70" s="675">
        <f t="shared" si="103"/>
        <v>123</v>
      </c>
      <c r="AG70" s="675">
        <f t="shared" si="103"/>
        <v>100</v>
      </c>
      <c r="AH70" s="676">
        <f t="shared" si="103"/>
        <v>373</v>
      </c>
      <c r="AI70" s="674">
        <f t="shared" si="103"/>
        <v>119</v>
      </c>
      <c r="AJ70" s="675">
        <f t="shared" si="103"/>
        <v>114</v>
      </c>
      <c r="AK70" s="675">
        <f t="shared" si="103"/>
        <v>78</v>
      </c>
      <c r="AL70" s="676">
        <f t="shared" si="103"/>
        <v>311</v>
      </c>
      <c r="AM70" s="674">
        <f t="shared" si="103"/>
        <v>112</v>
      </c>
      <c r="AN70" s="675">
        <f t="shared" si="103"/>
        <v>124</v>
      </c>
      <c r="AO70" s="675">
        <f t="shared" si="103"/>
        <v>111</v>
      </c>
      <c r="AP70" s="676">
        <f t="shared" si="103"/>
        <v>347</v>
      </c>
      <c r="AQ70" s="674">
        <f t="shared" si="103"/>
        <v>92</v>
      </c>
      <c r="AR70" s="675">
        <f t="shared" si="103"/>
        <v>88</v>
      </c>
      <c r="AS70" s="675">
        <f t="shared" si="103"/>
        <v>67</v>
      </c>
      <c r="AT70" s="676">
        <f t="shared" si="6"/>
        <v>247</v>
      </c>
      <c r="AU70" s="674">
        <f>SUM(AU64:AU69)</f>
        <v>111</v>
      </c>
      <c r="AV70" s="675">
        <f>SUM(AV64:AV69)</f>
        <v>101</v>
      </c>
      <c r="AW70" s="675">
        <f>SUM(AW64:AW69)</f>
        <v>91</v>
      </c>
      <c r="AX70" s="676">
        <f t="shared" si="7"/>
        <v>303</v>
      </c>
      <c r="AY70" s="674">
        <f t="shared" si="103"/>
        <v>101</v>
      </c>
      <c r="AZ70" s="675">
        <f t="shared" si="103"/>
        <v>93</v>
      </c>
      <c r="BA70" s="675">
        <f t="shared" si="103"/>
        <v>61</v>
      </c>
      <c r="BB70" s="676">
        <f t="shared" si="103"/>
        <v>255</v>
      </c>
      <c r="BC70" s="674">
        <f t="shared" si="103"/>
        <v>103</v>
      </c>
      <c r="BD70" s="675">
        <f t="shared" si="103"/>
        <v>117</v>
      </c>
      <c r="BE70" s="675">
        <f t="shared" si="103"/>
        <v>77</v>
      </c>
      <c r="BF70" s="676">
        <f t="shared" si="103"/>
        <v>297</v>
      </c>
      <c r="BG70" s="674">
        <f t="shared" si="103"/>
        <v>86</v>
      </c>
      <c r="BH70" s="675">
        <f t="shared" si="103"/>
        <v>125</v>
      </c>
      <c r="BI70" s="675">
        <f t="shared" si="103"/>
        <v>143</v>
      </c>
      <c r="BJ70" s="676">
        <f t="shared" si="103"/>
        <v>354</v>
      </c>
      <c r="BK70" s="674">
        <f t="shared" si="103"/>
        <v>109</v>
      </c>
      <c r="BL70" s="675">
        <f t="shared" si="103"/>
        <v>142</v>
      </c>
      <c r="BM70" s="675">
        <f t="shared" si="103"/>
        <v>94</v>
      </c>
      <c r="BN70" s="676">
        <f t="shared" si="103"/>
        <v>345</v>
      </c>
      <c r="BO70" s="674">
        <f t="shared" si="103"/>
        <v>107</v>
      </c>
      <c r="BP70" s="675">
        <f t="shared" si="103"/>
        <v>127</v>
      </c>
      <c r="BQ70" s="675">
        <f t="shared" si="103"/>
        <v>151</v>
      </c>
      <c r="BR70" s="676">
        <f t="shared" si="103"/>
        <v>385</v>
      </c>
      <c r="BS70" s="674">
        <f t="shared" si="103"/>
        <v>154</v>
      </c>
      <c r="BT70" s="675">
        <f t="shared" si="103"/>
        <v>153</v>
      </c>
      <c r="BU70" s="675">
        <f t="shared" si="103"/>
        <v>126</v>
      </c>
      <c r="BV70" s="676">
        <f t="shared" si="103"/>
        <v>433</v>
      </c>
      <c r="BW70" s="674">
        <f>SUM(BW64:BW69)</f>
        <v>151</v>
      </c>
      <c r="BX70" s="675">
        <f>SUM(BX64:BX69)</f>
        <v>158</v>
      </c>
      <c r="BY70" s="675">
        <f>SUM(BY64:BY69)</f>
        <v>146</v>
      </c>
      <c r="BZ70" s="676">
        <f t="shared" si="103"/>
        <v>455</v>
      </c>
      <c r="CA70" s="674">
        <f t="shared" si="103"/>
        <v>148</v>
      </c>
      <c r="CB70" s="675">
        <f t="shared" si="103"/>
        <v>153</v>
      </c>
      <c r="CC70" s="675">
        <f t="shared" si="103"/>
        <v>146</v>
      </c>
      <c r="CD70" s="676">
        <f t="shared" si="103"/>
        <v>447</v>
      </c>
      <c r="CE70" s="674">
        <f t="shared" ref="CE70:CL70" si="104">SUM(CE64:CE69)</f>
        <v>175</v>
      </c>
      <c r="CF70" s="675">
        <f t="shared" si="104"/>
        <v>164</v>
      </c>
      <c r="CG70" s="675">
        <f t="shared" si="104"/>
        <v>142</v>
      </c>
      <c r="CH70" s="676">
        <f t="shared" si="104"/>
        <v>481</v>
      </c>
      <c r="CI70" s="674">
        <f t="shared" si="104"/>
        <v>162</v>
      </c>
      <c r="CJ70" s="675">
        <f t="shared" si="104"/>
        <v>163</v>
      </c>
      <c r="CK70" s="675">
        <f t="shared" si="104"/>
        <v>142</v>
      </c>
      <c r="CL70" s="676">
        <f t="shared" si="104"/>
        <v>467</v>
      </c>
      <c r="CM70" s="674">
        <f>SUM(CM64:CM69)</f>
        <v>150</v>
      </c>
      <c r="CN70" s="675">
        <f>SUM(CN64:CN69)</f>
        <v>142</v>
      </c>
      <c r="CO70" s="675">
        <f t="shared" ref="CO70:CP70" si="105">SUM(CO64:CO69)</f>
        <v>143</v>
      </c>
      <c r="CP70" s="676">
        <f t="shared" si="105"/>
        <v>435</v>
      </c>
      <c r="CQ70" s="674">
        <f>SUM(CQ64:CQ69)</f>
        <v>141</v>
      </c>
      <c r="CR70" s="675">
        <f>SUM(CR64:CR69)</f>
        <v>114</v>
      </c>
      <c r="CS70" s="675">
        <f t="shared" ref="CS70:CT70" si="106">SUM(CS64:CS69)</f>
        <v>136</v>
      </c>
      <c r="CT70" s="676">
        <f t="shared" si="106"/>
        <v>391</v>
      </c>
    </row>
    <row r="71" spans="1:98" s="656" customFormat="1" ht="15" customHeight="1" x14ac:dyDescent="0.3">
      <c r="A71" s="642"/>
      <c r="B71" s="716" t="s">
        <v>93</v>
      </c>
      <c r="C71" s="717">
        <v>369</v>
      </c>
      <c r="D71" s="718">
        <v>378</v>
      </c>
      <c r="E71" s="718">
        <v>243</v>
      </c>
      <c r="F71" s="719">
        <v>990</v>
      </c>
      <c r="G71" s="717">
        <v>288</v>
      </c>
      <c r="H71" s="718">
        <v>315</v>
      </c>
      <c r="I71" s="718">
        <v>249</v>
      </c>
      <c r="J71" s="719">
        <v>852</v>
      </c>
      <c r="K71" s="717">
        <v>359</v>
      </c>
      <c r="L71" s="718">
        <v>364</v>
      </c>
      <c r="M71" s="718">
        <v>220</v>
      </c>
      <c r="N71" s="719">
        <v>943</v>
      </c>
      <c r="O71" s="717">
        <v>340</v>
      </c>
      <c r="P71" s="718">
        <v>338</v>
      </c>
      <c r="Q71" s="718">
        <v>274</v>
      </c>
      <c r="R71" s="719">
        <v>952</v>
      </c>
      <c r="S71" s="717">
        <f t="shared" ref="S71:CD71" si="107">SUM(S70,S63,S51)</f>
        <v>360</v>
      </c>
      <c r="T71" s="718">
        <f t="shared" si="107"/>
        <v>405</v>
      </c>
      <c r="U71" s="718">
        <f t="shared" si="107"/>
        <v>275</v>
      </c>
      <c r="V71" s="719">
        <f t="shared" si="107"/>
        <v>1040</v>
      </c>
      <c r="W71" s="717">
        <f t="shared" si="107"/>
        <v>403</v>
      </c>
      <c r="X71" s="718">
        <f t="shared" si="107"/>
        <v>444</v>
      </c>
      <c r="Y71" s="718">
        <f t="shared" si="107"/>
        <v>341</v>
      </c>
      <c r="Z71" s="719">
        <f t="shared" si="107"/>
        <v>1188</v>
      </c>
      <c r="AA71" s="717">
        <f t="shared" si="107"/>
        <v>435</v>
      </c>
      <c r="AB71" s="718">
        <f t="shared" si="107"/>
        <v>382</v>
      </c>
      <c r="AC71" s="718">
        <f t="shared" si="107"/>
        <v>280</v>
      </c>
      <c r="AD71" s="719">
        <f t="shared" si="107"/>
        <v>1097</v>
      </c>
      <c r="AE71" s="717">
        <f t="shared" si="107"/>
        <v>396</v>
      </c>
      <c r="AF71" s="718">
        <f t="shared" si="107"/>
        <v>444</v>
      </c>
      <c r="AG71" s="718">
        <f t="shared" si="107"/>
        <v>310</v>
      </c>
      <c r="AH71" s="719">
        <f t="shared" si="107"/>
        <v>1150</v>
      </c>
      <c r="AI71" s="717">
        <f t="shared" si="107"/>
        <v>350</v>
      </c>
      <c r="AJ71" s="718">
        <f t="shared" si="107"/>
        <v>366</v>
      </c>
      <c r="AK71" s="718">
        <f t="shared" si="107"/>
        <v>237</v>
      </c>
      <c r="AL71" s="719">
        <f t="shared" si="107"/>
        <v>953</v>
      </c>
      <c r="AM71" s="717">
        <f t="shared" si="107"/>
        <v>337</v>
      </c>
      <c r="AN71" s="718">
        <f t="shared" si="107"/>
        <v>367</v>
      </c>
      <c r="AO71" s="718">
        <f t="shared" si="107"/>
        <v>242</v>
      </c>
      <c r="AP71" s="719">
        <f t="shared" si="107"/>
        <v>946</v>
      </c>
      <c r="AQ71" s="720">
        <f t="shared" si="107"/>
        <v>322</v>
      </c>
      <c r="AR71" s="721">
        <f t="shared" si="107"/>
        <v>374</v>
      </c>
      <c r="AS71" s="721">
        <f t="shared" si="107"/>
        <v>200</v>
      </c>
      <c r="AT71" s="722">
        <f t="shared" si="6"/>
        <v>896</v>
      </c>
      <c r="AU71" s="720">
        <f>SUM(AU70,AU63,AU51)</f>
        <v>366</v>
      </c>
      <c r="AV71" s="721">
        <f>SUM(AV70,AV63,AV51)</f>
        <v>449</v>
      </c>
      <c r="AW71" s="721">
        <f>SUM(AW70,AW63,AW51)</f>
        <v>274</v>
      </c>
      <c r="AX71" s="722">
        <f t="shared" si="7"/>
        <v>1089</v>
      </c>
      <c r="AY71" s="717">
        <f t="shared" si="107"/>
        <v>330</v>
      </c>
      <c r="AZ71" s="718">
        <f t="shared" si="107"/>
        <v>328</v>
      </c>
      <c r="BA71" s="718">
        <f t="shared" si="107"/>
        <v>258</v>
      </c>
      <c r="BB71" s="719">
        <f t="shared" si="107"/>
        <v>916</v>
      </c>
      <c r="BC71" s="717">
        <f t="shared" si="107"/>
        <v>365</v>
      </c>
      <c r="BD71" s="718">
        <f t="shared" si="107"/>
        <v>423</v>
      </c>
      <c r="BE71" s="718">
        <f t="shared" si="107"/>
        <v>276</v>
      </c>
      <c r="BF71" s="719">
        <f t="shared" si="107"/>
        <v>1064</v>
      </c>
      <c r="BG71" s="717">
        <f t="shared" si="107"/>
        <v>339</v>
      </c>
      <c r="BH71" s="718">
        <f t="shared" si="107"/>
        <v>456</v>
      </c>
      <c r="BI71" s="718">
        <f t="shared" si="107"/>
        <v>390</v>
      </c>
      <c r="BJ71" s="719">
        <f t="shared" si="107"/>
        <v>1185</v>
      </c>
      <c r="BK71" s="717">
        <f t="shared" si="107"/>
        <v>378</v>
      </c>
      <c r="BL71" s="718">
        <f t="shared" si="107"/>
        <v>429</v>
      </c>
      <c r="BM71" s="718">
        <f t="shared" si="107"/>
        <v>302</v>
      </c>
      <c r="BN71" s="719">
        <f t="shared" si="107"/>
        <v>1109</v>
      </c>
      <c r="BO71" s="717">
        <f t="shared" si="107"/>
        <v>352</v>
      </c>
      <c r="BP71" s="718">
        <f t="shared" si="107"/>
        <v>398</v>
      </c>
      <c r="BQ71" s="718">
        <f t="shared" si="107"/>
        <v>382</v>
      </c>
      <c r="BR71" s="719">
        <f t="shared" si="107"/>
        <v>1132</v>
      </c>
      <c r="BS71" s="717">
        <f t="shared" si="107"/>
        <v>364</v>
      </c>
      <c r="BT71" s="718">
        <f t="shared" si="107"/>
        <v>490</v>
      </c>
      <c r="BU71" s="718">
        <f t="shared" si="107"/>
        <v>338</v>
      </c>
      <c r="BV71" s="719">
        <f t="shared" si="107"/>
        <v>1192</v>
      </c>
      <c r="BW71" s="717">
        <f t="shared" si="107"/>
        <v>400</v>
      </c>
      <c r="BX71" s="718">
        <f t="shared" si="107"/>
        <v>469</v>
      </c>
      <c r="BY71" s="718">
        <f t="shared" si="107"/>
        <v>387</v>
      </c>
      <c r="BZ71" s="719">
        <f t="shared" si="107"/>
        <v>1256</v>
      </c>
      <c r="CA71" s="717">
        <f t="shared" si="107"/>
        <v>384</v>
      </c>
      <c r="CB71" s="718">
        <f t="shared" si="107"/>
        <v>489</v>
      </c>
      <c r="CC71" s="718">
        <f t="shared" si="107"/>
        <v>396</v>
      </c>
      <c r="CD71" s="719">
        <f t="shared" si="107"/>
        <v>1269</v>
      </c>
      <c r="CE71" s="717">
        <f t="shared" ref="CE71:CL71" si="108">SUM(CE70,CE63,CE51)</f>
        <v>469</v>
      </c>
      <c r="CF71" s="718">
        <f t="shared" si="108"/>
        <v>465</v>
      </c>
      <c r="CG71" s="718">
        <f t="shared" si="108"/>
        <v>382</v>
      </c>
      <c r="CH71" s="719">
        <f t="shared" si="108"/>
        <v>1316</v>
      </c>
      <c r="CI71" s="717">
        <f t="shared" si="108"/>
        <v>427</v>
      </c>
      <c r="CJ71" s="718">
        <f t="shared" si="108"/>
        <v>479</v>
      </c>
      <c r="CK71" s="718">
        <f t="shared" si="108"/>
        <v>369</v>
      </c>
      <c r="CL71" s="719">
        <f t="shared" si="108"/>
        <v>1275</v>
      </c>
      <c r="CM71" s="717">
        <f t="shared" ref="CM71:CP71" si="109">SUM(CM70,CM63,CM51)</f>
        <v>442</v>
      </c>
      <c r="CN71" s="718">
        <f t="shared" si="109"/>
        <v>429</v>
      </c>
      <c r="CO71" s="718">
        <f t="shared" si="109"/>
        <v>414</v>
      </c>
      <c r="CP71" s="719">
        <f t="shared" si="109"/>
        <v>1285</v>
      </c>
      <c r="CQ71" s="717">
        <f t="shared" ref="CQ71:CT71" si="110">SUM(CQ70,CQ63,CQ51)</f>
        <v>365</v>
      </c>
      <c r="CR71" s="718">
        <f t="shared" si="110"/>
        <v>395</v>
      </c>
      <c r="CS71" s="718">
        <f t="shared" si="110"/>
        <v>416</v>
      </c>
      <c r="CT71" s="719">
        <f t="shared" si="110"/>
        <v>1176</v>
      </c>
    </row>
    <row r="72" spans="1:98" s="656" customFormat="1" ht="15" customHeight="1" x14ac:dyDescent="0.3">
      <c r="A72" s="642"/>
      <c r="B72" s="657" t="s">
        <v>117</v>
      </c>
      <c r="C72" s="40"/>
      <c r="D72" s="41"/>
      <c r="E72" s="41"/>
      <c r="F72" s="659"/>
      <c r="G72" s="40"/>
      <c r="H72" s="41"/>
      <c r="I72" s="41"/>
      <c r="J72" s="658"/>
      <c r="K72" s="40"/>
      <c r="L72" s="41"/>
      <c r="M72" s="41"/>
      <c r="N72" s="658"/>
      <c r="O72" s="40"/>
      <c r="P72" s="41"/>
      <c r="Q72" s="41"/>
      <c r="R72" s="659"/>
      <c r="S72" s="40"/>
      <c r="T72" s="41"/>
      <c r="U72" s="41"/>
      <c r="V72" s="659"/>
      <c r="W72" s="40"/>
      <c r="X72" s="41"/>
      <c r="Y72" s="41"/>
      <c r="Z72" s="658"/>
      <c r="AA72" s="660"/>
      <c r="AB72" s="41"/>
      <c r="AC72" s="41"/>
      <c r="AD72" s="658"/>
      <c r="AE72" s="660"/>
      <c r="AF72" s="41"/>
      <c r="AG72" s="41"/>
      <c r="AH72" s="659"/>
      <c r="AI72" s="660"/>
      <c r="AJ72" s="41"/>
      <c r="AK72" s="661"/>
      <c r="AL72" s="659"/>
      <c r="AM72" s="660"/>
      <c r="AN72" s="41"/>
      <c r="AO72" s="661"/>
      <c r="AP72" s="659"/>
      <c r="AQ72" s="662"/>
      <c r="AR72" s="663"/>
      <c r="AS72" s="663"/>
      <c r="AT72" s="664"/>
      <c r="AU72" s="663"/>
      <c r="AV72" s="663"/>
      <c r="AW72" s="663"/>
      <c r="AX72" s="664"/>
      <c r="AY72" s="662"/>
      <c r="AZ72" s="663"/>
      <c r="BA72" s="663"/>
      <c r="BB72" s="664"/>
      <c r="BC72" s="662"/>
      <c r="BD72" s="663"/>
      <c r="BE72" s="663"/>
      <c r="BF72" s="664"/>
      <c r="BG72" s="662"/>
      <c r="BH72" s="663"/>
      <c r="BI72" s="663"/>
      <c r="BJ72" s="664"/>
      <c r="BK72" s="662"/>
      <c r="BL72" s="663"/>
      <c r="BM72" s="663"/>
      <c r="BN72" s="664"/>
      <c r="BO72" s="662">
        <v>8</v>
      </c>
      <c r="BP72" s="663">
        <v>9</v>
      </c>
      <c r="BQ72" s="663">
        <v>3</v>
      </c>
      <c r="BR72" s="664">
        <f>SUM(BO72:BQ72)</f>
        <v>20</v>
      </c>
      <c r="BS72" s="662">
        <v>1</v>
      </c>
      <c r="BT72" s="663">
        <v>4</v>
      </c>
      <c r="BU72" s="663"/>
      <c r="BV72" s="664">
        <f>SUM(BS72:BU72)</f>
        <v>5</v>
      </c>
      <c r="BW72" s="662">
        <v>4</v>
      </c>
      <c r="BX72" s="663">
        <v>6</v>
      </c>
      <c r="BY72" s="663">
        <v>3</v>
      </c>
      <c r="BZ72" s="664">
        <f>SUM(BW72:BY72)</f>
        <v>13</v>
      </c>
      <c r="CA72" s="662">
        <v>2</v>
      </c>
      <c r="CB72" s="663">
        <v>4</v>
      </c>
      <c r="CC72" s="663">
        <v>4</v>
      </c>
      <c r="CD72" s="664">
        <f>SUM(CA72:CC72)</f>
        <v>10</v>
      </c>
      <c r="CE72" s="662">
        <v>9</v>
      </c>
      <c r="CF72" s="663">
        <v>2</v>
      </c>
      <c r="CG72" s="663">
        <v>4</v>
      </c>
      <c r="CH72" s="664">
        <f>SUM(CE72:CG72)</f>
        <v>15</v>
      </c>
      <c r="CI72" s="662">
        <v>4</v>
      </c>
      <c r="CJ72" s="663">
        <v>11</v>
      </c>
      <c r="CK72" s="663">
        <v>2</v>
      </c>
      <c r="CL72" s="664">
        <f>SUM(CI72:CK72)</f>
        <v>17</v>
      </c>
      <c r="CM72" s="662">
        <v>6</v>
      </c>
      <c r="CN72" s="663">
        <v>1</v>
      </c>
      <c r="CO72" s="663">
        <v>2</v>
      </c>
      <c r="CP72" s="664">
        <f>SUM(CM72:CO72)</f>
        <v>9</v>
      </c>
      <c r="CQ72" s="662">
        <v>5</v>
      </c>
      <c r="CR72" s="663">
        <v>6</v>
      </c>
      <c r="CS72" s="663">
        <v>2</v>
      </c>
      <c r="CT72" s="664">
        <f>SUM(CQ72:CS72)</f>
        <v>13</v>
      </c>
    </row>
    <row r="73" spans="1:98" s="656" customFormat="1" ht="15" customHeight="1" x14ac:dyDescent="0.3">
      <c r="A73" s="642"/>
      <c r="B73" s="665" t="s">
        <v>118</v>
      </c>
      <c r="C73" s="5627"/>
      <c r="D73" s="5628"/>
      <c r="E73" s="5628"/>
      <c r="F73" s="5629"/>
      <c r="G73" s="5627"/>
      <c r="H73" s="5628"/>
      <c r="I73" s="5628"/>
      <c r="J73" s="5628"/>
      <c r="K73" s="5627"/>
      <c r="L73" s="5628"/>
      <c r="M73" s="5628"/>
      <c r="N73" s="5628"/>
      <c r="O73" s="5627"/>
      <c r="P73" s="5628"/>
      <c r="Q73" s="5628"/>
      <c r="R73" s="5629"/>
      <c r="S73" s="5627"/>
      <c r="T73" s="5628"/>
      <c r="U73" s="5628"/>
      <c r="V73" s="5629"/>
      <c r="W73" s="5627"/>
      <c r="X73" s="5628"/>
      <c r="Y73" s="5628"/>
      <c r="Z73" s="5628"/>
      <c r="AA73" s="5627"/>
      <c r="AB73" s="5628"/>
      <c r="AC73" s="5628"/>
      <c r="AD73" s="5628"/>
      <c r="AE73" s="5627"/>
      <c r="AF73" s="5628"/>
      <c r="AG73" s="5628"/>
      <c r="AH73" s="5629"/>
      <c r="AI73" s="5627"/>
      <c r="AJ73" s="5628"/>
      <c r="AK73" s="5628"/>
      <c r="AL73" s="5629"/>
      <c r="AM73" s="5627"/>
      <c r="AN73" s="5628"/>
      <c r="AO73" s="5628"/>
      <c r="AP73" s="5629"/>
      <c r="AQ73" s="5630"/>
      <c r="AR73" s="5631"/>
      <c r="AS73" s="5631"/>
      <c r="AT73" s="5632"/>
      <c r="AU73" s="5631"/>
      <c r="AV73" s="5631"/>
      <c r="AW73" s="5631"/>
      <c r="AX73" s="5632"/>
      <c r="AY73" s="5627"/>
      <c r="AZ73" s="5628"/>
      <c r="BA73" s="5628"/>
      <c r="BB73" s="5629"/>
      <c r="BC73" s="5627"/>
      <c r="BD73" s="5628"/>
      <c r="BE73" s="5628"/>
      <c r="BF73" s="5629"/>
      <c r="BG73" s="5627"/>
      <c r="BH73" s="5628"/>
      <c r="BI73" s="5628"/>
      <c r="BJ73" s="5629"/>
      <c r="BK73" s="5627"/>
      <c r="BL73" s="5628"/>
      <c r="BM73" s="5628"/>
      <c r="BN73" s="5629"/>
      <c r="BO73" s="5633"/>
      <c r="BP73" s="5634"/>
      <c r="BQ73" s="5634"/>
      <c r="BR73" s="5635"/>
      <c r="BS73" s="5633"/>
      <c r="BT73" s="5634"/>
      <c r="BU73" s="5634"/>
      <c r="BV73" s="5635"/>
      <c r="BW73" s="5633"/>
      <c r="BX73" s="5634"/>
      <c r="BY73" s="5634"/>
      <c r="BZ73" s="5635"/>
      <c r="CA73" s="5633"/>
      <c r="CB73" s="5634"/>
      <c r="CC73" s="5634"/>
      <c r="CD73" s="5635"/>
      <c r="CE73" s="5633"/>
      <c r="CF73" s="5634"/>
      <c r="CG73" s="5634"/>
      <c r="CH73" s="5635"/>
      <c r="CI73" s="5633"/>
      <c r="CJ73" s="5634"/>
      <c r="CK73" s="5634"/>
      <c r="CL73" s="5635"/>
      <c r="CM73" s="5633"/>
      <c r="CN73" s="5634"/>
      <c r="CO73" s="5634"/>
      <c r="CP73" s="5635"/>
      <c r="CQ73" s="5633"/>
      <c r="CR73" s="5634"/>
      <c r="CS73" s="5634">
        <v>2</v>
      </c>
      <c r="CT73" s="664">
        <f>SUM(CQ73:CS73)</f>
        <v>2</v>
      </c>
    </row>
    <row r="74" spans="1:98" s="656" customFormat="1" ht="15" customHeight="1" x14ac:dyDescent="0.3">
      <c r="A74" s="642"/>
      <c r="B74" s="673" t="s">
        <v>175</v>
      </c>
      <c r="C74" s="674"/>
      <c r="D74" s="675"/>
      <c r="E74" s="675"/>
      <c r="F74" s="676"/>
      <c r="G74" s="674"/>
      <c r="H74" s="675"/>
      <c r="I74" s="675"/>
      <c r="J74" s="676"/>
      <c r="K74" s="674"/>
      <c r="L74" s="675"/>
      <c r="M74" s="675"/>
      <c r="N74" s="676"/>
      <c r="O74" s="674"/>
      <c r="P74" s="675"/>
      <c r="Q74" s="675"/>
      <c r="R74" s="676"/>
      <c r="S74" s="674"/>
      <c r="T74" s="675"/>
      <c r="U74" s="675"/>
      <c r="V74" s="676"/>
      <c r="W74" s="674"/>
      <c r="X74" s="675"/>
      <c r="Y74" s="675"/>
      <c r="Z74" s="676"/>
      <c r="AA74" s="674"/>
      <c r="AB74" s="675"/>
      <c r="AC74" s="675"/>
      <c r="AD74" s="676"/>
      <c r="AE74" s="674"/>
      <c r="AF74" s="675"/>
      <c r="AG74" s="675"/>
      <c r="AH74" s="676"/>
      <c r="AI74" s="674"/>
      <c r="AJ74" s="675"/>
      <c r="AK74" s="675"/>
      <c r="AL74" s="676"/>
      <c r="AM74" s="674"/>
      <c r="AN74" s="675"/>
      <c r="AO74" s="675"/>
      <c r="AP74" s="676"/>
      <c r="AQ74" s="674"/>
      <c r="AR74" s="675"/>
      <c r="AS74" s="675"/>
      <c r="AT74" s="676"/>
      <c r="AU74" s="674"/>
      <c r="AV74" s="675"/>
      <c r="AW74" s="675"/>
      <c r="AX74" s="676"/>
      <c r="AY74" s="674"/>
      <c r="AZ74" s="675"/>
      <c r="BA74" s="675"/>
      <c r="BB74" s="676"/>
      <c r="BC74" s="674"/>
      <c r="BD74" s="675"/>
      <c r="BE74" s="675"/>
      <c r="BF74" s="676"/>
      <c r="BG74" s="674"/>
      <c r="BH74" s="675"/>
      <c r="BI74" s="675"/>
      <c r="BJ74" s="676"/>
      <c r="BK74" s="674"/>
      <c r="BL74" s="675"/>
      <c r="BM74" s="675"/>
      <c r="BN74" s="676"/>
      <c r="BO74" s="674">
        <f t="shared" ref="BO74:BV74" si="111">SUM(BO72)</f>
        <v>8</v>
      </c>
      <c r="BP74" s="675">
        <f t="shared" si="111"/>
        <v>9</v>
      </c>
      <c r="BQ74" s="675">
        <f t="shared" si="111"/>
        <v>3</v>
      </c>
      <c r="BR74" s="676">
        <f t="shared" si="111"/>
        <v>20</v>
      </c>
      <c r="BS74" s="674">
        <f t="shared" si="111"/>
        <v>1</v>
      </c>
      <c r="BT74" s="675">
        <f t="shared" si="111"/>
        <v>4</v>
      </c>
      <c r="BU74" s="675">
        <f t="shared" si="111"/>
        <v>0</v>
      </c>
      <c r="BV74" s="676">
        <f t="shared" si="111"/>
        <v>5</v>
      </c>
      <c r="BW74" s="674">
        <f t="shared" ref="BW74:CF74" si="112">SUM(BW72)</f>
        <v>4</v>
      </c>
      <c r="BX74" s="675">
        <f t="shared" si="112"/>
        <v>6</v>
      </c>
      <c r="BY74" s="675">
        <f t="shared" si="112"/>
        <v>3</v>
      </c>
      <c r="BZ74" s="676">
        <f t="shared" si="112"/>
        <v>13</v>
      </c>
      <c r="CA74" s="674">
        <f t="shared" si="112"/>
        <v>2</v>
      </c>
      <c r="CB74" s="675">
        <f t="shared" si="112"/>
        <v>4</v>
      </c>
      <c r="CC74" s="675">
        <f t="shared" si="112"/>
        <v>4</v>
      </c>
      <c r="CD74" s="676">
        <f t="shared" si="112"/>
        <v>10</v>
      </c>
      <c r="CE74" s="674">
        <f t="shared" si="112"/>
        <v>9</v>
      </c>
      <c r="CF74" s="675">
        <f t="shared" si="112"/>
        <v>2</v>
      </c>
      <c r="CG74" s="675">
        <v>4</v>
      </c>
      <c r="CH74" s="676">
        <f t="shared" ref="CH74:CP74" si="113">SUM(CH72)</f>
        <v>15</v>
      </c>
      <c r="CI74" s="674">
        <f t="shared" si="113"/>
        <v>4</v>
      </c>
      <c r="CJ74" s="675">
        <f t="shared" si="113"/>
        <v>11</v>
      </c>
      <c r="CK74" s="675">
        <f t="shared" si="113"/>
        <v>2</v>
      </c>
      <c r="CL74" s="676">
        <f t="shared" si="113"/>
        <v>17</v>
      </c>
      <c r="CM74" s="674">
        <f t="shared" si="113"/>
        <v>6</v>
      </c>
      <c r="CN74" s="675">
        <f t="shared" si="113"/>
        <v>1</v>
      </c>
      <c r="CO74" s="675">
        <f>SUM(CO72)</f>
        <v>2</v>
      </c>
      <c r="CP74" s="676">
        <f t="shared" si="113"/>
        <v>9</v>
      </c>
      <c r="CQ74" s="674">
        <f>SUM(CQ72:CQ73)</f>
        <v>5</v>
      </c>
      <c r="CR74" s="675">
        <f>SUM(CR72:CR73)</f>
        <v>6</v>
      </c>
      <c r="CS74" s="675">
        <f>SUM(CS72:CS73)</f>
        <v>4</v>
      </c>
      <c r="CT74" s="676">
        <f>SUM(CT72:CT73)</f>
        <v>15</v>
      </c>
    </row>
    <row r="75" spans="1:98" s="656" customFormat="1" ht="15" customHeight="1" x14ac:dyDescent="0.3">
      <c r="A75" s="642"/>
      <c r="B75" s="657" t="s">
        <v>120</v>
      </c>
      <c r="C75" s="40"/>
      <c r="D75" s="41"/>
      <c r="E75" s="41"/>
      <c r="F75" s="659"/>
      <c r="G75" s="40"/>
      <c r="H75" s="41"/>
      <c r="I75" s="41"/>
      <c r="J75" s="658"/>
      <c r="K75" s="40"/>
      <c r="L75" s="41"/>
      <c r="M75" s="41"/>
      <c r="N75" s="658"/>
      <c r="O75" s="40"/>
      <c r="P75" s="41"/>
      <c r="Q75" s="41"/>
      <c r="R75" s="659"/>
      <c r="S75" s="40"/>
      <c r="T75" s="41"/>
      <c r="U75" s="41"/>
      <c r="V75" s="659"/>
      <c r="W75" s="40"/>
      <c r="X75" s="41"/>
      <c r="Y75" s="41"/>
      <c r="Z75" s="658"/>
      <c r="AA75" s="660"/>
      <c r="AB75" s="41"/>
      <c r="AC75" s="41"/>
      <c r="AD75" s="658"/>
      <c r="AE75" s="660"/>
      <c r="AF75" s="41"/>
      <c r="AG75" s="41"/>
      <c r="AH75" s="659"/>
      <c r="AI75" s="660"/>
      <c r="AJ75" s="41"/>
      <c r="AK75" s="661"/>
      <c r="AL75" s="659"/>
      <c r="AM75" s="660"/>
      <c r="AN75" s="41"/>
      <c r="AO75" s="661"/>
      <c r="AP75" s="659"/>
      <c r="AQ75" s="662"/>
      <c r="AR75" s="663"/>
      <c r="AS75" s="663"/>
      <c r="AT75" s="664"/>
      <c r="AU75" s="663"/>
      <c r="AV75" s="663"/>
      <c r="AW75" s="663"/>
      <c r="AX75" s="664"/>
      <c r="AY75" s="662"/>
      <c r="AZ75" s="663"/>
      <c r="BA75" s="663"/>
      <c r="BB75" s="664"/>
      <c r="BC75" s="662"/>
      <c r="BD75" s="663"/>
      <c r="BE75" s="663"/>
      <c r="BF75" s="664"/>
      <c r="BG75" s="662"/>
      <c r="BH75" s="663"/>
      <c r="BI75" s="663"/>
      <c r="BJ75" s="664"/>
      <c r="BK75" s="662"/>
      <c r="BL75" s="663"/>
      <c r="BM75" s="663"/>
      <c r="BN75" s="664"/>
      <c r="BO75" s="662">
        <v>10</v>
      </c>
      <c r="BP75" s="663">
        <v>21</v>
      </c>
      <c r="BQ75" s="663">
        <v>1</v>
      </c>
      <c r="BR75" s="664">
        <f>SUM(BO75:BQ75)</f>
        <v>32</v>
      </c>
      <c r="BS75" s="662"/>
      <c r="BT75" s="663">
        <v>10</v>
      </c>
      <c r="BU75" s="663"/>
      <c r="BV75" s="664">
        <f>SUM(BS75:BU75)</f>
        <v>10</v>
      </c>
      <c r="BW75" s="662">
        <v>8</v>
      </c>
      <c r="BX75" s="663">
        <v>23</v>
      </c>
      <c r="BY75" s="663">
        <v>0</v>
      </c>
      <c r="BZ75" s="664">
        <f>SUM(BW75:BY75)</f>
        <v>31</v>
      </c>
      <c r="CA75" s="662">
        <v>2</v>
      </c>
      <c r="CB75" s="663">
        <v>13</v>
      </c>
      <c r="CC75" s="663">
        <v>1</v>
      </c>
      <c r="CD75" s="664">
        <f>SUM(CA75:CC75)</f>
        <v>16</v>
      </c>
      <c r="CE75" s="662">
        <v>1</v>
      </c>
      <c r="CF75" s="663">
        <v>7</v>
      </c>
      <c r="CG75" s="663">
        <v>0</v>
      </c>
      <c r="CH75" s="664">
        <f>SUM(CE75:CG75)</f>
        <v>8</v>
      </c>
      <c r="CI75" s="662">
        <v>9</v>
      </c>
      <c r="CJ75" s="663">
        <v>17</v>
      </c>
      <c r="CK75" s="663">
        <v>0</v>
      </c>
      <c r="CL75" s="664">
        <f>SUM(CI75:CK75)</f>
        <v>26</v>
      </c>
      <c r="CM75" s="662">
        <v>11</v>
      </c>
      <c r="CN75" s="663">
        <v>11</v>
      </c>
      <c r="CO75" s="663">
        <v>3</v>
      </c>
      <c r="CP75" s="664">
        <f>SUM(CM75:CO75)</f>
        <v>25</v>
      </c>
      <c r="CQ75" s="662">
        <v>15</v>
      </c>
      <c r="CR75" s="663">
        <v>17</v>
      </c>
      <c r="CS75" s="663"/>
      <c r="CT75" s="664">
        <f>SUM(CQ75:CS75)</f>
        <v>32</v>
      </c>
    </row>
    <row r="76" spans="1:98" s="656" customFormat="1" ht="15" customHeight="1" x14ac:dyDescent="0.3">
      <c r="A76" s="642"/>
      <c r="B76" s="657" t="s">
        <v>121</v>
      </c>
      <c r="C76" s="40"/>
      <c r="D76" s="41"/>
      <c r="E76" s="41"/>
      <c r="F76" s="659"/>
      <c r="G76" s="40"/>
      <c r="H76" s="41"/>
      <c r="I76" s="41"/>
      <c r="J76" s="658"/>
      <c r="K76" s="40"/>
      <c r="L76" s="41"/>
      <c r="M76" s="41"/>
      <c r="N76" s="658"/>
      <c r="O76" s="40"/>
      <c r="P76" s="41"/>
      <c r="Q76" s="41"/>
      <c r="R76" s="659"/>
      <c r="S76" s="40"/>
      <c r="T76" s="41"/>
      <c r="U76" s="41"/>
      <c r="V76" s="659"/>
      <c r="W76" s="40"/>
      <c r="X76" s="41"/>
      <c r="Y76" s="41"/>
      <c r="Z76" s="658"/>
      <c r="AA76" s="660"/>
      <c r="AB76" s="41"/>
      <c r="AC76" s="41"/>
      <c r="AD76" s="658"/>
      <c r="AE76" s="660"/>
      <c r="AF76" s="41"/>
      <c r="AG76" s="41"/>
      <c r="AH76" s="659"/>
      <c r="AI76" s="660"/>
      <c r="AJ76" s="41"/>
      <c r="AK76" s="661"/>
      <c r="AL76" s="659"/>
      <c r="AM76" s="660"/>
      <c r="AN76" s="41"/>
      <c r="AO76" s="661"/>
      <c r="AP76" s="659"/>
      <c r="AQ76" s="662"/>
      <c r="AR76" s="663"/>
      <c r="AS76" s="663"/>
      <c r="AT76" s="664"/>
      <c r="AU76" s="663"/>
      <c r="AV76" s="663"/>
      <c r="AW76" s="663"/>
      <c r="AX76" s="664"/>
      <c r="AY76" s="662"/>
      <c r="AZ76" s="663"/>
      <c r="BA76" s="663"/>
      <c r="BB76" s="664"/>
      <c r="BC76" s="662"/>
      <c r="BD76" s="663"/>
      <c r="BE76" s="663"/>
      <c r="BF76" s="664"/>
      <c r="BG76" s="662"/>
      <c r="BH76" s="663"/>
      <c r="BI76" s="663"/>
      <c r="BJ76" s="664"/>
      <c r="BK76" s="662"/>
      <c r="BL76" s="663"/>
      <c r="BM76" s="663"/>
      <c r="BN76" s="664"/>
      <c r="BO76" s="662"/>
      <c r="BP76" s="663"/>
      <c r="BQ76" s="663"/>
      <c r="BR76" s="664"/>
      <c r="BS76" s="662"/>
      <c r="BT76" s="663"/>
      <c r="BU76" s="663"/>
      <c r="BV76" s="664"/>
      <c r="BW76" s="662">
        <v>0</v>
      </c>
      <c r="BX76" s="663">
        <v>0</v>
      </c>
      <c r="BY76" s="663">
        <v>7</v>
      </c>
      <c r="BZ76" s="664">
        <f>SUM(BW76:BY76)</f>
        <v>7</v>
      </c>
      <c r="CA76" s="662">
        <v>1</v>
      </c>
      <c r="CB76" s="663">
        <v>3</v>
      </c>
      <c r="CC76" s="663">
        <v>2</v>
      </c>
      <c r="CD76" s="664">
        <f>SUM(CA76:CC76)</f>
        <v>6</v>
      </c>
      <c r="CE76" s="662">
        <v>1</v>
      </c>
      <c r="CF76" s="663">
        <v>11</v>
      </c>
      <c r="CG76" s="663">
        <v>0</v>
      </c>
      <c r="CH76" s="664">
        <f>SUM(CE76:CG76)</f>
        <v>12</v>
      </c>
      <c r="CI76" s="662"/>
      <c r="CJ76" s="663">
        <v>15</v>
      </c>
      <c r="CK76" s="663">
        <v>1</v>
      </c>
      <c r="CL76" s="664">
        <f>SUM(CI76:CK76)</f>
        <v>16</v>
      </c>
      <c r="CM76" s="662">
        <v>1</v>
      </c>
      <c r="CN76" s="663">
        <v>3</v>
      </c>
      <c r="CO76" s="663">
        <v>2</v>
      </c>
      <c r="CP76" s="664">
        <f>SUM(CM76:CO76)</f>
        <v>6</v>
      </c>
      <c r="CQ76" s="662">
        <v>1</v>
      </c>
      <c r="CR76" s="663">
        <v>8</v>
      </c>
      <c r="CS76" s="663"/>
      <c r="CT76" s="664">
        <f>SUM(CQ76:CS76)</f>
        <v>9</v>
      </c>
    </row>
    <row r="77" spans="1:98" s="656" customFormat="1" ht="15" customHeight="1" x14ac:dyDescent="0.3">
      <c r="A77" s="642"/>
      <c r="B77" s="5285" t="s">
        <v>123</v>
      </c>
      <c r="C77" s="46"/>
      <c r="D77" s="50"/>
      <c r="E77" s="50"/>
      <c r="F77" s="667"/>
      <c r="G77" s="46"/>
      <c r="H77" s="50"/>
      <c r="I77" s="50"/>
      <c r="J77" s="666"/>
      <c r="K77" s="46"/>
      <c r="L77" s="50"/>
      <c r="M77" s="50"/>
      <c r="N77" s="666"/>
      <c r="O77" s="46"/>
      <c r="P77" s="50"/>
      <c r="Q77" s="50"/>
      <c r="R77" s="667"/>
      <c r="S77" s="46"/>
      <c r="T77" s="50"/>
      <c r="U77" s="50"/>
      <c r="V77" s="667"/>
      <c r="W77" s="46"/>
      <c r="X77" s="50"/>
      <c r="Y77" s="50"/>
      <c r="Z77" s="666"/>
      <c r="AA77" s="668"/>
      <c r="AB77" s="50"/>
      <c r="AC77" s="50"/>
      <c r="AD77" s="666"/>
      <c r="AE77" s="668"/>
      <c r="AF77" s="50"/>
      <c r="AG77" s="50"/>
      <c r="AH77" s="667"/>
      <c r="AI77" s="668"/>
      <c r="AJ77" s="50"/>
      <c r="AK77" s="669"/>
      <c r="AL77" s="667"/>
      <c r="AM77" s="668"/>
      <c r="AN77" s="50"/>
      <c r="AO77" s="669"/>
      <c r="AP77" s="667"/>
      <c r="AQ77" s="670"/>
      <c r="AR77" s="671"/>
      <c r="AS77" s="671"/>
      <c r="AT77" s="672"/>
      <c r="AU77" s="671"/>
      <c r="AV77" s="671"/>
      <c r="AW77" s="671"/>
      <c r="AX77" s="672"/>
      <c r="AY77" s="670"/>
      <c r="AZ77" s="671"/>
      <c r="BA77" s="671"/>
      <c r="BB77" s="672"/>
      <c r="BC77" s="670"/>
      <c r="BD77" s="671"/>
      <c r="BE77" s="671"/>
      <c r="BF77" s="672"/>
      <c r="BG77" s="670"/>
      <c r="BH77" s="671"/>
      <c r="BI77" s="671"/>
      <c r="BJ77" s="672"/>
      <c r="BK77" s="670"/>
      <c r="BL77" s="671"/>
      <c r="BM77" s="671"/>
      <c r="BN77" s="672"/>
      <c r="BO77" s="670"/>
      <c r="BP77" s="671"/>
      <c r="BQ77" s="671"/>
      <c r="BR77" s="672"/>
      <c r="BS77" s="670"/>
      <c r="BT77" s="671"/>
      <c r="BU77" s="671"/>
      <c r="BV77" s="672"/>
      <c r="BW77" s="670"/>
      <c r="BX77" s="671"/>
      <c r="BY77" s="671"/>
      <c r="BZ77" s="672"/>
      <c r="CA77" s="670"/>
      <c r="CB77" s="671"/>
      <c r="CC77" s="671"/>
      <c r="CD77" s="672"/>
      <c r="CE77" s="670"/>
      <c r="CF77" s="671"/>
      <c r="CG77" s="671"/>
      <c r="CH77" s="672"/>
      <c r="CI77" s="670"/>
      <c r="CJ77" s="671"/>
      <c r="CK77" s="671"/>
      <c r="CL77" s="672"/>
      <c r="CM77" s="670"/>
      <c r="CN77" s="671"/>
      <c r="CO77" s="671"/>
      <c r="CP77" s="672"/>
      <c r="CQ77" s="670">
        <v>4</v>
      </c>
      <c r="CR77" s="671">
        <v>7</v>
      </c>
      <c r="CS77" s="671"/>
      <c r="CT77" s="664">
        <f>SUM(CQ77:CS77)</f>
        <v>11</v>
      </c>
    </row>
    <row r="78" spans="1:98" s="656" customFormat="1" ht="15" customHeight="1" x14ac:dyDescent="0.3">
      <c r="A78" s="642"/>
      <c r="B78" s="673" t="s">
        <v>64</v>
      </c>
      <c r="C78" s="674"/>
      <c r="D78" s="675"/>
      <c r="E78" s="675"/>
      <c r="F78" s="676"/>
      <c r="G78" s="674"/>
      <c r="H78" s="675"/>
      <c r="I78" s="675"/>
      <c r="J78" s="676"/>
      <c r="K78" s="674"/>
      <c r="L78" s="675"/>
      <c r="M78" s="675"/>
      <c r="N78" s="676"/>
      <c r="O78" s="674"/>
      <c r="P78" s="675"/>
      <c r="Q78" s="675"/>
      <c r="R78" s="676"/>
      <c r="S78" s="674"/>
      <c r="T78" s="675"/>
      <c r="U78" s="675"/>
      <c r="V78" s="676"/>
      <c r="W78" s="674"/>
      <c r="X78" s="675"/>
      <c r="Y78" s="675"/>
      <c r="Z78" s="676"/>
      <c r="AA78" s="674"/>
      <c r="AB78" s="675"/>
      <c r="AC78" s="675"/>
      <c r="AD78" s="676"/>
      <c r="AE78" s="674"/>
      <c r="AF78" s="675"/>
      <c r="AG78" s="675"/>
      <c r="AH78" s="676"/>
      <c r="AI78" s="674"/>
      <c r="AJ78" s="675"/>
      <c r="AK78" s="675"/>
      <c r="AL78" s="676"/>
      <c r="AM78" s="674"/>
      <c r="AN78" s="675"/>
      <c r="AO78" s="675"/>
      <c r="AP78" s="676"/>
      <c r="AQ78" s="674"/>
      <c r="AR78" s="675"/>
      <c r="AS78" s="675"/>
      <c r="AT78" s="676"/>
      <c r="AU78" s="674"/>
      <c r="AV78" s="675"/>
      <c r="AW78" s="675"/>
      <c r="AX78" s="676"/>
      <c r="AY78" s="674"/>
      <c r="AZ78" s="675"/>
      <c r="BA78" s="675"/>
      <c r="BB78" s="676"/>
      <c r="BC78" s="674"/>
      <c r="BD78" s="675"/>
      <c r="BE78" s="675"/>
      <c r="BF78" s="676"/>
      <c r="BG78" s="674"/>
      <c r="BH78" s="675"/>
      <c r="BI78" s="675"/>
      <c r="BJ78" s="676"/>
      <c r="BK78" s="674"/>
      <c r="BL78" s="675"/>
      <c r="BM78" s="675"/>
      <c r="BN78" s="676"/>
      <c r="BO78" s="674">
        <f t="shared" ref="BO78:CF78" si="114">SUM(BO75:BO76)</f>
        <v>10</v>
      </c>
      <c r="BP78" s="675">
        <f t="shared" si="114"/>
        <v>21</v>
      </c>
      <c r="BQ78" s="675">
        <f t="shared" si="114"/>
        <v>1</v>
      </c>
      <c r="BR78" s="676">
        <f t="shared" si="114"/>
        <v>32</v>
      </c>
      <c r="BS78" s="674">
        <f t="shared" si="114"/>
        <v>0</v>
      </c>
      <c r="BT78" s="675">
        <f t="shared" si="114"/>
        <v>10</v>
      </c>
      <c r="BU78" s="675">
        <f t="shared" si="114"/>
        <v>0</v>
      </c>
      <c r="BV78" s="676">
        <f t="shared" si="114"/>
        <v>10</v>
      </c>
      <c r="BW78" s="674">
        <f t="shared" si="114"/>
        <v>8</v>
      </c>
      <c r="BX78" s="675">
        <f t="shared" si="114"/>
        <v>23</v>
      </c>
      <c r="BY78" s="675">
        <f t="shared" si="114"/>
        <v>7</v>
      </c>
      <c r="BZ78" s="676">
        <f t="shared" si="114"/>
        <v>38</v>
      </c>
      <c r="CA78" s="674">
        <f t="shared" si="114"/>
        <v>3</v>
      </c>
      <c r="CB78" s="675">
        <f t="shared" si="114"/>
        <v>16</v>
      </c>
      <c r="CC78" s="675">
        <f t="shared" si="114"/>
        <v>3</v>
      </c>
      <c r="CD78" s="676">
        <f t="shared" si="114"/>
        <v>22</v>
      </c>
      <c r="CE78" s="674">
        <f t="shared" si="114"/>
        <v>2</v>
      </c>
      <c r="CF78" s="675">
        <f t="shared" si="114"/>
        <v>18</v>
      </c>
      <c r="CG78" s="675">
        <v>0</v>
      </c>
      <c r="CH78" s="676">
        <f t="shared" ref="CH78:CP78" si="115">SUM(CH75:CH76)</f>
        <v>20</v>
      </c>
      <c r="CI78" s="674">
        <f t="shared" si="115"/>
        <v>9</v>
      </c>
      <c r="CJ78" s="675">
        <f t="shared" si="115"/>
        <v>32</v>
      </c>
      <c r="CK78" s="675">
        <f t="shared" si="115"/>
        <v>1</v>
      </c>
      <c r="CL78" s="676">
        <f t="shared" si="115"/>
        <v>42</v>
      </c>
      <c r="CM78" s="674">
        <f t="shared" si="115"/>
        <v>12</v>
      </c>
      <c r="CN78" s="675">
        <f t="shared" si="115"/>
        <v>14</v>
      </c>
      <c r="CO78" s="675">
        <f>SUM(CO75:CO76)</f>
        <v>5</v>
      </c>
      <c r="CP78" s="676">
        <f t="shared" si="115"/>
        <v>31</v>
      </c>
      <c r="CQ78" s="674">
        <f>SUM(CQ75:CQ77)</f>
        <v>20</v>
      </c>
      <c r="CR78" s="675">
        <f>SUM(CR75:CR77)</f>
        <v>32</v>
      </c>
      <c r="CS78" s="675">
        <f>SUM(CS75:CS77)</f>
        <v>0</v>
      </c>
      <c r="CT78" s="676">
        <f>SUM(CT75:CT77)</f>
        <v>52</v>
      </c>
    </row>
    <row r="79" spans="1:98" s="656" customFormat="1" ht="15" customHeight="1" x14ac:dyDescent="0.3">
      <c r="A79" s="642"/>
      <c r="B79" s="657" t="s">
        <v>124</v>
      </c>
      <c r="C79" s="40"/>
      <c r="D79" s="41"/>
      <c r="E79" s="41"/>
      <c r="F79" s="659"/>
      <c r="G79" s="40"/>
      <c r="H79" s="41"/>
      <c r="I79" s="41"/>
      <c r="J79" s="658"/>
      <c r="K79" s="40"/>
      <c r="L79" s="41"/>
      <c r="M79" s="41"/>
      <c r="N79" s="658"/>
      <c r="O79" s="40"/>
      <c r="P79" s="41"/>
      <c r="Q79" s="41"/>
      <c r="R79" s="659"/>
      <c r="S79" s="40"/>
      <c r="T79" s="41"/>
      <c r="U79" s="41"/>
      <c r="V79" s="659"/>
      <c r="W79" s="40"/>
      <c r="X79" s="41"/>
      <c r="Y79" s="41"/>
      <c r="Z79" s="658"/>
      <c r="AA79" s="660"/>
      <c r="AB79" s="41"/>
      <c r="AC79" s="41"/>
      <c r="AD79" s="658"/>
      <c r="AE79" s="660"/>
      <c r="AF79" s="41"/>
      <c r="AG79" s="41"/>
      <c r="AH79" s="659"/>
      <c r="AI79" s="660"/>
      <c r="AJ79" s="41"/>
      <c r="AK79" s="661"/>
      <c r="AL79" s="659"/>
      <c r="AM79" s="660"/>
      <c r="AN79" s="41"/>
      <c r="AO79" s="661"/>
      <c r="AP79" s="659"/>
      <c r="AQ79" s="662"/>
      <c r="AR79" s="663"/>
      <c r="AS79" s="663"/>
      <c r="AT79" s="664"/>
      <c r="AU79" s="663"/>
      <c r="AV79" s="663"/>
      <c r="AW79" s="663"/>
      <c r="AX79" s="664"/>
      <c r="AY79" s="662"/>
      <c r="AZ79" s="663"/>
      <c r="BA79" s="663"/>
      <c r="BB79" s="664"/>
      <c r="BC79" s="662"/>
      <c r="BD79" s="663"/>
      <c r="BE79" s="663"/>
      <c r="BF79" s="664"/>
      <c r="BG79" s="662"/>
      <c r="BH79" s="663"/>
      <c r="BI79" s="663"/>
      <c r="BJ79" s="664"/>
      <c r="BK79" s="662"/>
      <c r="BL79" s="663"/>
      <c r="BM79" s="663"/>
      <c r="BN79" s="664"/>
      <c r="BO79" s="662">
        <v>9</v>
      </c>
      <c r="BP79" s="663">
        <v>14</v>
      </c>
      <c r="BQ79" s="663"/>
      <c r="BR79" s="664">
        <f>SUM(BO79:BQ79)</f>
        <v>23</v>
      </c>
      <c r="BS79" s="662">
        <v>5</v>
      </c>
      <c r="BT79" s="663">
        <v>9</v>
      </c>
      <c r="BU79" s="663"/>
      <c r="BV79" s="664">
        <f>SUM(BS79:BU79)</f>
        <v>14</v>
      </c>
      <c r="BW79" s="662">
        <v>11</v>
      </c>
      <c r="BX79" s="663">
        <v>12</v>
      </c>
      <c r="BY79" s="663">
        <v>7</v>
      </c>
      <c r="BZ79" s="664">
        <f>SUM(BW79:BY79)</f>
        <v>30</v>
      </c>
      <c r="CA79" s="662">
        <v>6</v>
      </c>
      <c r="CB79" s="663">
        <v>8</v>
      </c>
      <c r="CC79" s="663">
        <v>5</v>
      </c>
      <c r="CD79" s="664">
        <f>SUM(CA79:CC79)</f>
        <v>19</v>
      </c>
      <c r="CE79" s="662">
        <v>2</v>
      </c>
      <c r="CF79" s="663">
        <v>3</v>
      </c>
      <c r="CG79" s="663">
        <v>2</v>
      </c>
      <c r="CH79" s="664">
        <f>SUM(CE79:CG79)</f>
        <v>7</v>
      </c>
      <c r="CI79" s="662">
        <v>9</v>
      </c>
      <c r="CJ79" s="663">
        <v>7</v>
      </c>
      <c r="CK79" s="663">
        <v>6</v>
      </c>
      <c r="CL79" s="664">
        <f>SUM(CI79:CK79)</f>
        <v>22</v>
      </c>
      <c r="CM79" s="662">
        <v>6</v>
      </c>
      <c r="CN79" s="663">
        <v>6</v>
      </c>
      <c r="CO79" s="663">
        <v>7</v>
      </c>
      <c r="CP79" s="664">
        <f>SUM(CM79:CO79)</f>
        <v>19</v>
      </c>
      <c r="CQ79" s="662">
        <v>7</v>
      </c>
      <c r="CR79" s="663">
        <v>7</v>
      </c>
      <c r="CS79" s="663">
        <v>7</v>
      </c>
      <c r="CT79" s="664">
        <f>SUM(CQ79:CS79)</f>
        <v>21</v>
      </c>
    </row>
    <row r="80" spans="1:98" s="656" customFormat="1" ht="15" customHeight="1" x14ac:dyDescent="0.3">
      <c r="A80" s="642"/>
      <c r="B80" s="657" t="s">
        <v>125</v>
      </c>
      <c r="C80" s="40"/>
      <c r="D80" s="41"/>
      <c r="E80" s="41"/>
      <c r="F80" s="659"/>
      <c r="G80" s="40"/>
      <c r="H80" s="41"/>
      <c r="I80" s="41"/>
      <c r="J80" s="658"/>
      <c r="K80" s="40"/>
      <c r="L80" s="41"/>
      <c r="M80" s="41"/>
      <c r="N80" s="658"/>
      <c r="O80" s="40"/>
      <c r="P80" s="41"/>
      <c r="Q80" s="41"/>
      <c r="R80" s="659"/>
      <c r="S80" s="40"/>
      <c r="T80" s="41"/>
      <c r="U80" s="41"/>
      <c r="V80" s="659"/>
      <c r="W80" s="40"/>
      <c r="X80" s="41"/>
      <c r="Y80" s="41"/>
      <c r="Z80" s="658"/>
      <c r="AA80" s="660"/>
      <c r="AB80" s="41"/>
      <c r="AC80" s="41"/>
      <c r="AD80" s="658"/>
      <c r="AE80" s="660"/>
      <c r="AF80" s="41"/>
      <c r="AG80" s="41"/>
      <c r="AH80" s="659"/>
      <c r="AI80" s="660"/>
      <c r="AJ80" s="41"/>
      <c r="AK80" s="661"/>
      <c r="AL80" s="659"/>
      <c r="AM80" s="660"/>
      <c r="AN80" s="41"/>
      <c r="AO80" s="661"/>
      <c r="AP80" s="659"/>
      <c r="AQ80" s="662"/>
      <c r="AR80" s="663"/>
      <c r="AS80" s="663"/>
      <c r="AT80" s="664"/>
      <c r="AU80" s="663"/>
      <c r="AV80" s="663"/>
      <c r="AW80" s="663"/>
      <c r="AX80" s="664"/>
      <c r="AY80" s="662"/>
      <c r="AZ80" s="663"/>
      <c r="BA80" s="663"/>
      <c r="BB80" s="664"/>
      <c r="BC80" s="662"/>
      <c r="BD80" s="663"/>
      <c r="BE80" s="663"/>
      <c r="BF80" s="664"/>
      <c r="BG80" s="662"/>
      <c r="BH80" s="663"/>
      <c r="BI80" s="663"/>
      <c r="BJ80" s="664"/>
      <c r="BK80" s="662"/>
      <c r="BL80" s="663"/>
      <c r="BM80" s="663"/>
      <c r="BN80" s="664"/>
      <c r="BO80" s="662"/>
      <c r="BP80" s="663"/>
      <c r="BQ80" s="663"/>
      <c r="BR80" s="664"/>
      <c r="BS80" s="662"/>
      <c r="BT80" s="663"/>
      <c r="BU80" s="663"/>
      <c r="BV80" s="664"/>
      <c r="BW80" s="662"/>
      <c r="BX80" s="663"/>
      <c r="BY80" s="663"/>
      <c r="BZ80" s="664"/>
      <c r="CA80" s="662"/>
      <c r="CB80" s="663"/>
      <c r="CC80" s="663"/>
      <c r="CD80" s="664"/>
      <c r="CE80" s="662"/>
      <c r="CF80" s="663"/>
      <c r="CG80" s="663"/>
      <c r="CH80" s="664"/>
      <c r="CI80" s="662"/>
      <c r="CJ80" s="663"/>
      <c r="CK80" s="663"/>
      <c r="CL80" s="664"/>
      <c r="CM80" s="662"/>
      <c r="CN80" s="663">
        <v>9</v>
      </c>
      <c r="CO80" s="663">
        <v>3</v>
      </c>
      <c r="CP80" s="664">
        <f>SUM(CM80:CO80)</f>
        <v>12</v>
      </c>
      <c r="CQ80" s="662"/>
      <c r="CR80" s="663">
        <v>7</v>
      </c>
      <c r="CS80" s="663">
        <v>1</v>
      </c>
      <c r="CT80" s="664">
        <f>SUM(CQ80:CS80)</f>
        <v>8</v>
      </c>
    </row>
    <row r="81" spans="1:98" s="656" customFormat="1" ht="15" customHeight="1" x14ac:dyDescent="0.3">
      <c r="A81" s="642"/>
      <c r="B81" s="5285" t="s">
        <v>247</v>
      </c>
      <c r="C81" s="46"/>
      <c r="D81" s="50"/>
      <c r="E81" s="50"/>
      <c r="F81" s="667"/>
      <c r="G81" s="46"/>
      <c r="H81" s="50"/>
      <c r="I81" s="50"/>
      <c r="J81" s="666"/>
      <c r="K81" s="46"/>
      <c r="L81" s="50"/>
      <c r="M81" s="50"/>
      <c r="N81" s="666"/>
      <c r="O81" s="46"/>
      <c r="P81" s="50"/>
      <c r="Q81" s="50"/>
      <c r="R81" s="667"/>
      <c r="S81" s="46"/>
      <c r="T81" s="50"/>
      <c r="U81" s="50"/>
      <c r="V81" s="667"/>
      <c r="W81" s="46"/>
      <c r="X81" s="50"/>
      <c r="Y81" s="50"/>
      <c r="Z81" s="666"/>
      <c r="AA81" s="668"/>
      <c r="AB81" s="50"/>
      <c r="AC81" s="50"/>
      <c r="AD81" s="666"/>
      <c r="AE81" s="668"/>
      <c r="AF81" s="50"/>
      <c r="AG81" s="50"/>
      <c r="AH81" s="667"/>
      <c r="AI81" s="668"/>
      <c r="AJ81" s="50"/>
      <c r="AK81" s="669"/>
      <c r="AL81" s="667"/>
      <c r="AM81" s="668"/>
      <c r="AN81" s="50"/>
      <c r="AO81" s="669"/>
      <c r="AP81" s="667"/>
      <c r="AQ81" s="670"/>
      <c r="AR81" s="671"/>
      <c r="AS81" s="671"/>
      <c r="AT81" s="672"/>
      <c r="AU81" s="671"/>
      <c r="AV81" s="671"/>
      <c r="AW81" s="671"/>
      <c r="AX81" s="672"/>
      <c r="AY81" s="670"/>
      <c r="AZ81" s="671"/>
      <c r="BA81" s="671"/>
      <c r="BB81" s="672"/>
      <c r="BC81" s="670"/>
      <c r="BD81" s="671"/>
      <c r="BE81" s="671"/>
      <c r="BF81" s="672"/>
      <c r="BG81" s="670"/>
      <c r="BH81" s="671"/>
      <c r="BI81" s="671"/>
      <c r="BJ81" s="672"/>
      <c r="BK81" s="670"/>
      <c r="BL81" s="671"/>
      <c r="BM81" s="671"/>
      <c r="BN81" s="672"/>
      <c r="BO81" s="670"/>
      <c r="BP81" s="671"/>
      <c r="BQ81" s="671"/>
      <c r="BR81" s="672"/>
      <c r="BS81" s="670"/>
      <c r="BT81" s="671"/>
      <c r="BU81" s="671"/>
      <c r="BV81" s="672"/>
      <c r="BW81" s="670"/>
      <c r="BX81" s="671"/>
      <c r="BY81" s="671"/>
      <c r="BZ81" s="672"/>
      <c r="CA81" s="670"/>
      <c r="CB81" s="671"/>
      <c r="CC81" s="671"/>
      <c r="CD81" s="672"/>
      <c r="CE81" s="670"/>
      <c r="CF81" s="671"/>
      <c r="CG81" s="671"/>
      <c r="CH81" s="672"/>
      <c r="CI81" s="670"/>
      <c r="CJ81" s="671"/>
      <c r="CK81" s="671"/>
      <c r="CL81" s="672"/>
      <c r="CM81" s="670"/>
      <c r="CN81" s="671"/>
      <c r="CO81" s="671"/>
      <c r="CP81" s="672"/>
      <c r="CQ81" s="670"/>
      <c r="CR81" s="671">
        <v>11</v>
      </c>
      <c r="CS81" s="671">
        <v>4</v>
      </c>
      <c r="CT81" s="664">
        <f>SUM(CQ81:CS81)</f>
        <v>15</v>
      </c>
    </row>
    <row r="82" spans="1:98" s="656" customFormat="1" ht="15" customHeight="1" x14ac:dyDescent="0.3">
      <c r="A82" s="642"/>
      <c r="B82" s="673" t="s">
        <v>92</v>
      </c>
      <c r="C82" s="674"/>
      <c r="D82" s="675"/>
      <c r="E82" s="675"/>
      <c r="F82" s="676"/>
      <c r="G82" s="674"/>
      <c r="H82" s="675"/>
      <c r="I82" s="675"/>
      <c r="J82" s="676"/>
      <c r="K82" s="674"/>
      <c r="L82" s="675"/>
      <c r="M82" s="675"/>
      <c r="N82" s="676"/>
      <c r="O82" s="674"/>
      <c r="P82" s="675"/>
      <c r="Q82" s="675"/>
      <c r="R82" s="676"/>
      <c r="S82" s="674"/>
      <c r="T82" s="675"/>
      <c r="U82" s="675"/>
      <c r="V82" s="676"/>
      <c r="W82" s="674"/>
      <c r="X82" s="675"/>
      <c r="Y82" s="675"/>
      <c r="Z82" s="676"/>
      <c r="AA82" s="674"/>
      <c r="AB82" s="675"/>
      <c r="AC82" s="675"/>
      <c r="AD82" s="676"/>
      <c r="AE82" s="674"/>
      <c r="AF82" s="675"/>
      <c r="AG82" s="675"/>
      <c r="AH82" s="676"/>
      <c r="AI82" s="674"/>
      <c r="AJ82" s="675"/>
      <c r="AK82" s="675"/>
      <c r="AL82" s="676"/>
      <c r="AM82" s="674"/>
      <c r="AN82" s="675"/>
      <c r="AO82" s="675"/>
      <c r="AP82" s="676"/>
      <c r="AQ82" s="674"/>
      <c r="AR82" s="675"/>
      <c r="AS82" s="675"/>
      <c r="AT82" s="676"/>
      <c r="AU82" s="674"/>
      <c r="AV82" s="675"/>
      <c r="AW82" s="675"/>
      <c r="AX82" s="676"/>
      <c r="AY82" s="674"/>
      <c r="AZ82" s="675"/>
      <c r="BA82" s="675"/>
      <c r="BB82" s="676"/>
      <c r="BC82" s="674"/>
      <c r="BD82" s="675"/>
      <c r="BE82" s="675"/>
      <c r="BF82" s="676"/>
      <c r="BG82" s="674"/>
      <c r="BH82" s="675"/>
      <c r="BI82" s="675"/>
      <c r="BJ82" s="676"/>
      <c r="BK82" s="674"/>
      <c r="BL82" s="675"/>
      <c r="BM82" s="675"/>
      <c r="BN82" s="676"/>
      <c r="BO82" s="674">
        <f t="shared" ref="BO82:BV82" si="116">SUM(BO79)</f>
        <v>9</v>
      </c>
      <c r="BP82" s="675">
        <f t="shared" si="116"/>
        <v>14</v>
      </c>
      <c r="BQ82" s="675">
        <f t="shared" si="116"/>
        <v>0</v>
      </c>
      <c r="BR82" s="676">
        <f t="shared" si="116"/>
        <v>23</v>
      </c>
      <c r="BS82" s="674">
        <f t="shared" si="116"/>
        <v>5</v>
      </c>
      <c r="BT82" s="675">
        <f t="shared" si="116"/>
        <v>9</v>
      </c>
      <c r="BU82" s="675">
        <f t="shared" si="116"/>
        <v>0</v>
      </c>
      <c r="BV82" s="676">
        <f t="shared" si="116"/>
        <v>14</v>
      </c>
      <c r="BW82" s="674">
        <f t="shared" ref="BW82:CL82" si="117">SUM(BW79)</f>
        <v>11</v>
      </c>
      <c r="BX82" s="675">
        <f t="shared" si="117"/>
        <v>12</v>
      </c>
      <c r="BY82" s="675">
        <f t="shared" si="117"/>
        <v>7</v>
      </c>
      <c r="BZ82" s="676">
        <f t="shared" si="117"/>
        <v>30</v>
      </c>
      <c r="CA82" s="674">
        <f t="shared" si="117"/>
        <v>6</v>
      </c>
      <c r="CB82" s="675">
        <f t="shared" si="117"/>
        <v>8</v>
      </c>
      <c r="CC82" s="675">
        <f t="shared" si="117"/>
        <v>5</v>
      </c>
      <c r="CD82" s="676">
        <f t="shared" si="117"/>
        <v>19</v>
      </c>
      <c r="CE82" s="674">
        <f t="shared" si="117"/>
        <v>2</v>
      </c>
      <c r="CF82" s="675">
        <f t="shared" si="117"/>
        <v>3</v>
      </c>
      <c r="CG82" s="675">
        <f t="shared" si="117"/>
        <v>2</v>
      </c>
      <c r="CH82" s="676">
        <f t="shared" si="117"/>
        <v>7</v>
      </c>
      <c r="CI82" s="674">
        <f t="shared" si="117"/>
        <v>9</v>
      </c>
      <c r="CJ82" s="675">
        <f t="shared" si="117"/>
        <v>7</v>
      </c>
      <c r="CK82" s="675">
        <f t="shared" si="117"/>
        <v>6</v>
      </c>
      <c r="CL82" s="676">
        <f t="shared" si="117"/>
        <v>22</v>
      </c>
      <c r="CM82" s="674">
        <f t="shared" ref="CM82:CP82" si="118">SUM(CM79:CM80)</f>
        <v>6</v>
      </c>
      <c r="CN82" s="675">
        <f t="shared" si="118"/>
        <v>15</v>
      </c>
      <c r="CO82" s="675">
        <f t="shared" si="118"/>
        <v>10</v>
      </c>
      <c r="CP82" s="676">
        <f t="shared" si="118"/>
        <v>31</v>
      </c>
      <c r="CQ82" s="674">
        <f>SUM(CQ79:CQ81)</f>
        <v>7</v>
      </c>
      <c r="CR82" s="675">
        <f t="shared" ref="CR82:CT82" si="119">SUM(CR79:CR81)</f>
        <v>25</v>
      </c>
      <c r="CS82" s="675">
        <f t="shared" si="119"/>
        <v>12</v>
      </c>
      <c r="CT82" s="676">
        <f t="shared" si="119"/>
        <v>44</v>
      </c>
    </row>
    <row r="83" spans="1:98" s="656" customFormat="1" ht="15" customHeight="1" x14ac:dyDescent="0.3">
      <c r="A83" s="642"/>
      <c r="B83" s="480" t="s">
        <v>127</v>
      </c>
      <c r="C83" s="723"/>
      <c r="D83" s="724"/>
      <c r="E83" s="724"/>
      <c r="F83" s="725"/>
      <c r="G83" s="723"/>
      <c r="H83" s="724"/>
      <c r="I83" s="724"/>
      <c r="J83" s="724"/>
      <c r="K83" s="723"/>
      <c r="L83" s="724"/>
      <c r="M83" s="724"/>
      <c r="N83" s="724"/>
      <c r="O83" s="723"/>
      <c r="P83" s="724"/>
      <c r="Q83" s="724"/>
      <c r="R83" s="725"/>
      <c r="S83" s="723"/>
      <c r="T83" s="724"/>
      <c r="U83" s="724"/>
      <c r="V83" s="725"/>
      <c r="W83" s="723"/>
      <c r="X83" s="724"/>
      <c r="Y83" s="724"/>
      <c r="Z83" s="724"/>
      <c r="AA83" s="723"/>
      <c r="AB83" s="724"/>
      <c r="AC83" s="724"/>
      <c r="AD83" s="724"/>
      <c r="AE83" s="723"/>
      <c r="AF83" s="724"/>
      <c r="AG83" s="724"/>
      <c r="AH83" s="725"/>
      <c r="AI83" s="723"/>
      <c r="AJ83" s="724"/>
      <c r="AK83" s="724"/>
      <c r="AL83" s="725"/>
      <c r="AM83" s="723"/>
      <c r="AN83" s="724"/>
      <c r="AO83" s="724"/>
      <c r="AP83" s="725"/>
      <c r="AQ83" s="726"/>
      <c r="AR83" s="727"/>
      <c r="AS83" s="727"/>
      <c r="AT83" s="728"/>
      <c r="AU83" s="727"/>
      <c r="AV83" s="727"/>
      <c r="AW83" s="727"/>
      <c r="AX83" s="728"/>
      <c r="AY83" s="723"/>
      <c r="AZ83" s="724"/>
      <c r="BA83" s="724"/>
      <c r="BB83" s="725"/>
      <c r="BC83" s="723"/>
      <c r="BD83" s="724"/>
      <c r="BE83" s="724"/>
      <c r="BF83" s="725"/>
      <c r="BG83" s="723"/>
      <c r="BH83" s="724"/>
      <c r="BI83" s="724"/>
      <c r="BJ83" s="725"/>
      <c r="BK83" s="723"/>
      <c r="BL83" s="724"/>
      <c r="BM83" s="724"/>
      <c r="BN83" s="725"/>
      <c r="BO83" s="729">
        <f t="shared" ref="BO83:CL83" si="120">SUM(BO82,BO78,BO74)</f>
        <v>27</v>
      </c>
      <c r="BP83" s="730">
        <f t="shared" si="120"/>
        <v>44</v>
      </c>
      <c r="BQ83" s="730">
        <f t="shared" si="120"/>
        <v>4</v>
      </c>
      <c r="BR83" s="731">
        <f t="shared" si="120"/>
        <v>75</v>
      </c>
      <c r="BS83" s="729">
        <f t="shared" si="120"/>
        <v>6</v>
      </c>
      <c r="BT83" s="730">
        <f t="shared" si="120"/>
        <v>23</v>
      </c>
      <c r="BU83" s="730">
        <f t="shared" si="120"/>
        <v>0</v>
      </c>
      <c r="BV83" s="731">
        <f t="shared" si="120"/>
        <v>29</v>
      </c>
      <c r="BW83" s="729">
        <f t="shared" si="120"/>
        <v>23</v>
      </c>
      <c r="BX83" s="730">
        <f t="shared" si="120"/>
        <v>41</v>
      </c>
      <c r="BY83" s="730">
        <f t="shared" si="120"/>
        <v>17</v>
      </c>
      <c r="BZ83" s="731">
        <f t="shared" si="120"/>
        <v>81</v>
      </c>
      <c r="CA83" s="729">
        <f t="shared" si="120"/>
        <v>11</v>
      </c>
      <c r="CB83" s="730">
        <f t="shared" si="120"/>
        <v>28</v>
      </c>
      <c r="CC83" s="730">
        <f t="shared" si="120"/>
        <v>12</v>
      </c>
      <c r="CD83" s="731">
        <f t="shared" si="120"/>
        <v>51</v>
      </c>
      <c r="CE83" s="729">
        <f t="shared" si="120"/>
        <v>13</v>
      </c>
      <c r="CF83" s="730">
        <f t="shared" si="120"/>
        <v>23</v>
      </c>
      <c r="CG83" s="730">
        <f t="shared" si="120"/>
        <v>6</v>
      </c>
      <c r="CH83" s="731">
        <f t="shared" si="120"/>
        <v>42</v>
      </c>
      <c r="CI83" s="729">
        <f t="shared" si="120"/>
        <v>22</v>
      </c>
      <c r="CJ83" s="730">
        <f t="shared" si="120"/>
        <v>50</v>
      </c>
      <c r="CK83" s="730">
        <f t="shared" si="120"/>
        <v>9</v>
      </c>
      <c r="CL83" s="731">
        <f t="shared" si="120"/>
        <v>81</v>
      </c>
      <c r="CM83" s="729">
        <f t="shared" ref="CM83:CP83" si="121">SUM(CM82,CM78,CM74)</f>
        <v>24</v>
      </c>
      <c r="CN83" s="730">
        <f t="shared" si="121"/>
        <v>30</v>
      </c>
      <c r="CO83" s="730">
        <f t="shared" si="121"/>
        <v>17</v>
      </c>
      <c r="CP83" s="731">
        <f t="shared" si="121"/>
        <v>71</v>
      </c>
      <c r="CQ83" s="729">
        <f>SUM(CQ82,CQ78,CQ74)</f>
        <v>32</v>
      </c>
      <c r="CR83" s="730">
        <f t="shared" ref="CR83:CT83" si="122">SUM(CR82,CR78,CR74)</f>
        <v>63</v>
      </c>
      <c r="CS83" s="730">
        <f t="shared" si="122"/>
        <v>16</v>
      </c>
      <c r="CT83" s="731">
        <f t="shared" si="122"/>
        <v>111</v>
      </c>
    </row>
    <row r="84" spans="1:98" s="656" customFormat="1" ht="15" customHeight="1" x14ac:dyDescent="0.3">
      <c r="A84" s="642"/>
      <c r="B84" s="648" t="s">
        <v>60</v>
      </c>
      <c r="C84" s="33">
        <v>72</v>
      </c>
      <c r="D84" s="34">
        <v>79</v>
      </c>
      <c r="E84" s="34"/>
      <c r="F84" s="650">
        <v>151</v>
      </c>
      <c r="G84" s="33">
        <v>55</v>
      </c>
      <c r="H84" s="34">
        <v>79</v>
      </c>
      <c r="I84" s="34"/>
      <c r="J84" s="649">
        <v>134</v>
      </c>
      <c r="K84" s="33">
        <v>47</v>
      </c>
      <c r="L84" s="34">
        <v>35</v>
      </c>
      <c r="M84" s="34"/>
      <c r="N84" s="649">
        <v>82</v>
      </c>
      <c r="O84" s="33">
        <v>76</v>
      </c>
      <c r="P84" s="34">
        <v>61</v>
      </c>
      <c r="Q84" s="34"/>
      <c r="R84" s="650">
        <v>137</v>
      </c>
      <c r="S84" s="33">
        <v>54</v>
      </c>
      <c r="T84" s="34">
        <v>60</v>
      </c>
      <c r="U84" s="34" t="s">
        <v>122</v>
      </c>
      <c r="V84" s="650">
        <f t="shared" ref="V84:V89" si="123">SUM(S84:U84)</f>
        <v>114</v>
      </c>
      <c r="W84" s="33">
        <v>53</v>
      </c>
      <c r="X84" s="34">
        <v>59</v>
      </c>
      <c r="Y84" s="34" t="s">
        <v>122</v>
      </c>
      <c r="Z84" s="649">
        <f t="shared" ref="Z84:Z89" si="124">SUM(W84:Y84)</f>
        <v>112</v>
      </c>
      <c r="AA84" s="651">
        <v>46</v>
      </c>
      <c r="AB84" s="34">
        <v>49</v>
      </c>
      <c r="AC84" s="34" t="s">
        <v>122</v>
      </c>
      <c r="AD84" s="649">
        <f t="shared" ref="AD84:AD89" si="125">SUM(AA84:AC84)</f>
        <v>95</v>
      </c>
      <c r="AE84" s="651">
        <v>50</v>
      </c>
      <c r="AF84" s="34">
        <v>53</v>
      </c>
      <c r="AG84" s="34" t="s">
        <v>122</v>
      </c>
      <c r="AH84" s="650">
        <f t="shared" ref="AH84:AH89" si="126">SUM(AE84:AG84)</f>
        <v>103</v>
      </c>
      <c r="AI84" s="651">
        <v>49</v>
      </c>
      <c r="AJ84" s="34">
        <v>66</v>
      </c>
      <c r="AK84" s="34"/>
      <c r="AL84" s="650">
        <f t="shared" ref="AL84:AL89" si="127">SUM(AI84:AK84)</f>
        <v>115</v>
      </c>
      <c r="AM84" s="651">
        <v>91</v>
      </c>
      <c r="AN84" s="34">
        <v>63</v>
      </c>
      <c r="AO84" s="34" t="s">
        <v>122</v>
      </c>
      <c r="AP84" s="650">
        <f t="shared" ref="AP84:AP89" si="128">SUM(AM84:AO84)</f>
        <v>154</v>
      </c>
      <c r="AQ84" s="653">
        <v>56</v>
      </c>
      <c r="AR84" s="654">
        <v>28</v>
      </c>
      <c r="AS84" s="654" t="s">
        <v>122</v>
      </c>
      <c r="AT84" s="655">
        <f t="shared" ref="AT84:AT105" si="129">SUM(AQ84:AS84)</f>
        <v>84</v>
      </c>
      <c r="AU84" s="654">
        <v>55</v>
      </c>
      <c r="AV84" s="654">
        <v>58</v>
      </c>
      <c r="AW84" s="654" t="s">
        <v>122</v>
      </c>
      <c r="AX84" s="655">
        <f t="shared" ref="AX84:AX105" si="130">SUM(AU84:AW84)</f>
        <v>113</v>
      </c>
      <c r="AY84" s="653">
        <v>59</v>
      </c>
      <c r="AZ84" s="654">
        <v>60</v>
      </c>
      <c r="BA84" s="654"/>
      <c r="BB84" s="655">
        <f t="shared" ref="BB84:BB89" si="131">SUM(AY84:BA84)</f>
        <v>119</v>
      </c>
      <c r="BC84" s="653">
        <v>51</v>
      </c>
      <c r="BD84" s="654">
        <v>76</v>
      </c>
      <c r="BE84" s="654">
        <v>3</v>
      </c>
      <c r="BF84" s="655">
        <f t="shared" si="8"/>
        <v>130</v>
      </c>
      <c r="BG84" s="653">
        <v>53</v>
      </c>
      <c r="BH84" s="654">
        <v>92</v>
      </c>
      <c r="BI84" s="654">
        <v>4</v>
      </c>
      <c r="BJ84" s="655">
        <f t="shared" ref="BJ84:BJ89" si="132">SUM(BG84:BI84)</f>
        <v>149</v>
      </c>
      <c r="BK84" s="653">
        <v>41</v>
      </c>
      <c r="BL84" s="654">
        <v>65</v>
      </c>
      <c r="BM84" s="654"/>
      <c r="BN84" s="655">
        <f t="shared" ref="BN84:BN89" si="133">SUM(BK84:BM84)</f>
        <v>106</v>
      </c>
      <c r="BO84" s="653">
        <v>49</v>
      </c>
      <c r="BP84" s="654">
        <v>62</v>
      </c>
      <c r="BQ84" s="654">
        <v>1</v>
      </c>
      <c r="BR84" s="655">
        <f t="shared" ref="BR84:BR89" si="134">SUM(BO84:BQ84)</f>
        <v>112</v>
      </c>
      <c r="BS84" s="653">
        <v>42</v>
      </c>
      <c r="BT84" s="654">
        <v>82</v>
      </c>
      <c r="BU84" s="654"/>
      <c r="BV84" s="655">
        <f t="shared" ref="BV84:BV89" si="135">SUM(BS84:BU84)</f>
        <v>124</v>
      </c>
      <c r="BW84" s="653">
        <v>51</v>
      </c>
      <c r="BX84" s="654">
        <v>52</v>
      </c>
      <c r="BY84" s="654"/>
      <c r="BZ84" s="655">
        <f t="shared" ref="BZ84:BZ89" si="136">SUM(BW84:BY84)</f>
        <v>103</v>
      </c>
      <c r="CA84" s="653">
        <v>61</v>
      </c>
      <c r="CB84" s="654">
        <v>77</v>
      </c>
      <c r="CC84" s="654">
        <v>2</v>
      </c>
      <c r="CD84" s="655">
        <f t="shared" ref="CD84:CD89" si="137">SUM(CA84:CC84)</f>
        <v>140</v>
      </c>
      <c r="CE84" s="653">
        <v>72</v>
      </c>
      <c r="CF84" s="654">
        <v>71</v>
      </c>
      <c r="CG84" s="654">
        <v>2</v>
      </c>
      <c r="CH84" s="655">
        <f t="shared" ref="CH84:CH89" si="138">SUM(CE84:CG84)</f>
        <v>145</v>
      </c>
      <c r="CI84" s="653">
        <v>82</v>
      </c>
      <c r="CJ84" s="654">
        <v>70</v>
      </c>
      <c r="CK84" s="654">
        <v>0</v>
      </c>
      <c r="CL84" s="655">
        <f t="shared" ref="CL84:CL89" si="139">SUM(CI84:CK84)</f>
        <v>152</v>
      </c>
      <c r="CM84" s="653">
        <v>71</v>
      </c>
      <c r="CN84" s="654">
        <v>78</v>
      </c>
      <c r="CO84" s="654"/>
      <c r="CP84" s="655">
        <f t="shared" ref="CP84:CP89" si="140">SUM(CM84:CO84)</f>
        <v>149</v>
      </c>
      <c r="CQ84" s="653">
        <v>65</v>
      </c>
      <c r="CR84" s="654">
        <v>68</v>
      </c>
      <c r="CS84" s="654"/>
      <c r="CT84" s="655">
        <f t="shared" ref="CT84:CT89" si="141">SUM(CQ84:CS84)</f>
        <v>133</v>
      </c>
    </row>
    <row r="85" spans="1:98" s="656" customFormat="1" ht="15" customHeight="1" x14ac:dyDescent="0.3">
      <c r="A85" s="642"/>
      <c r="B85" s="657" t="s">
        <v>94</v>
      </c>
      <c r="C85" s="40">
        <v>82</v>
      </c>
      <c r="D85" s="41">
        <v>80</v>
      </c>
      <c r="E85" s="41"/>
      <c r="F85" s="659">
        <v>162</v>
      </c>
      <c r="G85" s="40">
        <v>76</v>
      </c>
      <c r="H85" s="41">
        <v>101</v>
      </c>
      <c r="I85" s="41"/>
      <c r="J85" s="658">
        <v>177</v>
      </c>
      <c r="K85" s="40">
        <v>72</v>
      </c>
      <c r="L85" s="41">
        <v>124</v>
      </c>
      <c r="M85" s="41"/>
      <c r="N85" s="658">
        <v>196</v>
      </c>
      <c r="O85" s="40">
        <v>73</v>
      </c>
      <c r="P85" s="41">
        <v>85</v>
      </c>
      <c r="Q85" s="41"/>
      <c r="R85" s="659">
        <v>158</v>
      </c>
      <c r="S85" s="40">
        <v>66</v>
      </c>
      <c r="T85" s="41">
        <v>114</v>
      </c>
      <c r="U85" s="41" t="s">
        <v>122</v>
      </c>
      <c r="V85" s="659">
        <f t="shared" si="123"/>
        <v>180</v>
      </c>
      <c r="W85" s="40">
        <v>60</v>
      </c>
      <c r="X85" s="41">
        <v>87</v>
      </c>
      <c r="Y85" s="41" t="s">
        <v>122</v>
      </c>
      <c r="Z85" s="658">
        <f t="shared" si="124"/>
        <v>147</v>
      </c>
      <c r="AA85" s="660">
        <v>50</v>
      </c>
      <c r="AB85" s="41">
        <v>87</v>
      </c>
      <c r="AC85" s="41" t="s">
        <v>122</v>
      </c>
      <c r="AD85" s="658">
        <f t="shared" si="125"/>
        <v>137</v>
      </c>
      <c r="AE85" s="660">
        <v>50</v>
      </c>
      <c r="AF85" s="41">
        <v>97</v>
      </c>
      <c r="AG85" s="41" t="s">
        <v>122</v>
      </c>
      <c r="AH85" s="659">
        <f t="shared" si="126"/>
        <v>147</v>
      </c>
      <c r="AI85" s="660">
        <v>81</v>
      </c>
      <c r="AJ85" s="41">
        <v>109</v>
      </c>
      <c r="AK85" s="41"/>
      <c r="AL85" s="659">
        <f t="shared" si="127"/>
        <v>190</v>
      </c>
      <c r="AM85" s="660">
        <v>111</v>
      </c>
      <c r="AN85" s="41">
        <v>110</v>
      </c>
      <c r="AO85" s="41" t="s">
        <v>122</v>
      </c>
      <c r="AP85" s="659">
        <f t="shared" si="128"/>
        <v>221</v>
      </c>
      <c r="AQ85" s="662">
        <v>66</v>
      </c>
      <c r="AR85" s="663">
        <v>127</v>
      </c>
      <c r="AS85" s="663" t="s">
        <v>122</v>
      </c>
      <c r="AT85" s="664">
        <f t="shared" si="129"/>
        <v>193</v>
      </c>
      <c r="AU85" s="663">
        <v>90</v>
      </c>
      <c r="AV85" s="663">
        <v>103</v>
      </c>
      <c r="AW85" s="663" t="s">
        <v>122</v>
      </c>
      <c r="AX85" s="664">
        <f t="shared" si="130"/>
        <v>193</v>
      </c>
      <c r="AY85" s="662">
        <v>49</v>
      </c>
      <c r="AZ85" s="663">
        <v>127</v>
      </c>
      <c r="BA85" s="663"/>
      <c r="BB85" s="664">
        <f t="shared" si="131"/>
        <v>176</v>
      </c>
      <c r="BC85" s="662">
        <v>75</v>
      </c>
      <c r="BD85" s="663">
        <v>95</v>
      </c>
      <c r="BE85" s="663"/>
      <c r="BF85" s="664">
        <f t="shared" si="8"/>
        <v>170</v>
      </c>
      <c r="BG85" s="662">
        <v>74</v>
      </c>
      <c r="BH85" s="663">
        <v>103</v>
      </c>
      <c r="BI85" s="663"/>
      <c r="BJ85" s="664">
        <f t="shared" si="132"/>
        <v>177</v>
      </c>
      <c r="BK85" s="662">
        <v>84</v>
      </c>
      <c r="BL85" s="663">
        <v>90</v>
      </c>
      <c r="BM85" s="663"/>
      <c r="BN85" s="664">
        <f t="shared" si="133"/>
        <v>174</v>
      </c>
      <c r="BO85" s="662">
        <v>48</v>
      </c>
      <c r="BP85" s="663">
        <v>123</v>
      </c>
      <c r="BQ85" s="663"/>
      <c r="BR85" s="664">
        <f t="shared" si="134"/>
        <v>171</v>
      </c>
      <c r="BS85" s="662">
        <v>76</v>
      </c>
      <c r="BT85" s="663">
        <v>106</v>
      </c>
      <c r="BU85" s="663"/>
      <c r="BV85" s="664">
        <f t="shared" si="135"/>
        <v>182</v>
      </c>
      <c r="BW85" s="662">
        <v>68</v>
      </c>
      <c r="BX85" s="663">
        <v>104</v>
      </c>
      <c r="BY85" s="663"/>
      <c r="BZ85" s="664">
        <f t="shared" si="136"/>
        <v>172</v>
      </c>
      <c r="CA85" s="662">
        <v>58</v>
      </c>
      <c r="CB85" s="663">
        <v>102</v>
      </c>
      <c r="CC85" s="663"/>
      <c r="CD85" s="664">
        <f t="shared" si="137"/>
        <v>160</v>
      </c>
      <c r="CE85" s="662">
        <v>68</v>
      </c>
      <c r="CF85" s="663">
        <v>85</v>
      </c>
      <c r="CG85" s="663"/>
      <c r="CH85" s="664">
        <f t="shared" si="138"/>
        <v>153</v>
      </c>
      <c r="CI85" s="662">
        <v>58</v>
      </c>
      <c r="CJ85" s="663">
        <v>118</v>
      </c>
      <c r="CK85" s="663">
        <v>3</v>
      </c>
      <c r="CL85" s="664">
        <f t="shared" si="139"/>
        <v>179</v>
      </c>
      <c r="CM85" s="662">
        <v>78</v>
      </c>
      <c r="CN85" s="663">
        <v>91</v>
      </c>
      <c r="CO85" s="663">
        <v>5</v>
      </c>
      <c r="CP85" s="664">
        <f t="shared" si="140"/>
        <v>174</v>
      </c>
      <c r="CQ85" s="662">
        <v>96</v>
      </c>
      <c r="CR85" s="663">
        <v>107</v>
      </c>
      <c r="CS85" s="663">
        <v>1</v>
      </c>
      <c r="CT85" s="664">
        <f t="shared" si="141"/>
        <v>204</v>
      </c>
    </row>
    <row r="86" spans="1:98" s="656" customFormat="1" ht="15" customHeight="1" x14ac:dyDescent="0.3">
      <c r="A86" s="642"/>
      <c r="B86" s="657" t="s">
        <v>62</v>
      </c>
      <c r="C86" s="40">
        <v>32</v>
      </c>
      <c r="D86" s="41">
        <v>46</v>
      </c>
      <c r="E86" s="41"/>
      <c r="F86" s="659">
        <v>78</v>
      </c>
      <c r="G86" s="40">
        <v>29</v>
      </c>
      <c r="H86" s="41">
        <v>33</v>
      </c>
      <c r="I86" s="41"/>
      <c r="J86" s="658">
        <v>62</v>
      </c>
      <c r="K86" s="40">
        <v>24</v>
      </c>
      <c r="L86" s="41">
        <v>22</v>
      </c>
      <c r="M86" s="41"/>
      <c r="N86" s="658">
        <v>46</v>
      </c>
      <c r="O86" s="40">
        <v>26</v>
      </c>
      <c r="P86" s="41">
        <v>48</v>
      </c>
      <c r="Q86" s="41"/>
      <c r="R86" s="659">
        <v>74</v>
      </c>
      <c r="S86" s="40">
        <v>36</v>
      </c>
      <c r="T86" s="41">
        <v>33</v>
      </c>
      <c r="U86" s="41" t="s">
        <v>122</v>
      </c>
      <c r="V86" s="659">
        <f t="shared" si="123"/>
        <v>69</v>
      </c>
      <c r="W86" s="40">
        <v>23</v>
      </c>
      <c r="X86" s="41">
        <v>25</v>
      </c>
      <c r="Y86" s="41" t="s">
        <v>122</v>
      </c>
      <c r="Z86" s="658">
        <f t="shared" si="124"/>
        <v>48</v>
      </c>
      <c r="AA86" s="660">
        <v>38</v>
      </c>
      <c r="AB86" s="41">
        <v>33</v>
      </c>
      <c r="AC86" s="41" t="s">
        <v>122</v>
      </c>
      <c r="AD86" s="658">
        <f t="shared" si="125"/>
        <v>71</v>
      </c>
      <c r="AE86" s="660">
        <v>28</v>
      </c>
      <c r="AF86" s="41">
        <v>18</v>
      </c>
      <c r="AG86" s="41" t="s">
        <v>122</v>
      </c>
      <c r="AH86" s="659">
        <f t="shared" si="126"/>
        <v>46</v>
      </c>
      <c r="AI86" s="660">
        <v>27</v>
      </c>
      <c r="AJ86" s="41">
        <v>36</v>
      </c>
      <c r="AK86" s="41"/>
      <c r="AL86" s="659">
        <f t="shared" si="127"/>
        <v>63</v>
      </c>
      <c r="AM86" s="660">
        <v>31</v>
      </c>
      <c r="AN86" s="41">
        <v>36</v>
      </c>
      <c r="AO86" s="41" t="s">
        <v>122</v>
      </c>
      <c r="AP86" s="659">
        <f t="shared" si="128"/>
        <v>67</v>
      </c>
      <c r="AQ86" s="662">
        <v>28</v>
      </c>
      <c r="AR86" s="663">
        <v>58</v>
      </c>
      <c r="AS86" s="663" t="s">
        <v>122</v>
      </c>
      <c r="AT86" s="664">
        <f t="shared" si="129"/>
        <v>86</v>
      </c>
      <c r="AU86" s="663">
        <v>86</v>
      </c>
      <c r="AV86" s="663">
        <v>40</v>
      </c>
      <c r="AW86" s="663" t="s">
        <v>122</v>
      </c>
      <c r="AX86" s="664">
        <f t="shared" si="130"/>
        <v>126</v>
      </c>
      <c r="AY86" s="662">
        <v>37</v>
      </c>
      <c r="AZ86" s="663">
        <v>39</v>
      </c>
      <c r="BA86" s="663">
        <v>2</v>
      </c>
      <c r="BB86" s="664">
        <f t="shared" si="131"/>
        <v>78</v>
      </c>
      <c r="BC86" s="662">
        <v>49</v>
      </c>
      <c r="BD86" s="663">
        <v>31</v>
      </c>
      <c r="BE86" s="663">
        <v>1</v>
      </c>
      <c r="BF86" s="664">
        <f t="shared" si="8"/>
        <v>81</v>
      </c>
      <c r="BG86" s="662">
        <v>23</v>
      </c>
      <c r="BH86" s="663">
        <v>34</v>
      </c>
      <c r="BI86" s="663">
        <v>5</v>
      </c>
      <c r="BJ86" s="664">
        <f t="shared" si="132"/>
        <v>62</v>
      </c>
      <c r="BK86" s="662">
        <v>26</v>
      </c>
      <c r="BL86" s="663">
        <v>44</v>
      </c>
      <c r="BM86" s="663">
        <v>4</v>
      </c>
      <c r="BN86" s="664">
        <f t="shared" si="133"/>
        <v>74</v>
      </c>
      <c r="BO86" s="662">
        <v>38</v>
      </c>
      <c r="BP86" s="663">
        <v>39</v>
      </c>
      <c r="BQ86" s="663">
        <v>4</v>
      </c>
      <c r="BR86" s="664">
        <f t="shared" si="134"/>
        <v>81</v>
      </c>
      <c r="BS86" s="662">
        <v>42</v>
      </c>
      <c r="BT86" s="663">
        <v>50</v>
      </c>
      <c r="BU86" s="663">
        <v>3</v>
      </c>
      <c r="BV86" s="664">
        <f t="shared" si="135"/>
        <v>95</v>
      </c>
      <c r="BW86" s="662">
        <v>34</v>
      </c>
      <c r="BX86" s="663">
        <v>32</v>
      </c>
      <c r="BY86" s="663"/>
      <c r="BZ86" s="664">
        <f t="shared" si="136"/>
        <v>66</v>
      </c>
      <c r="CA86" s="662">
        <v>41</v>
      </c>
      <c r="CB86" s="663">
        <v>88</v>
      </c>
      <c r="CC86" s="663">
        <v>1</v>
      </c>
      <c r="CD86" s="664">
        <f t="shared" si="137"/>
        <v>130</v>
      </c>
      <c r="CE86" s="662">
        <v>43</v>
      </c>
      <c r="CF86" s="663">
        <v>27</v>
      </c>
      <c r="CG86" s="663">
        <v>4</v>
      </c>
      <c r="CH86" s="664">
        <f t="shared" si="138"/>
        <v>74</v>
      </c>
      <c r="CI86" s="662">
        <v>59</v>
      </c>
      <c r="CJ86" s="663">
        <v>50</v>
      </c>
      <c r="CK86" s="663">
        <v>33</v>
      </c>
      <c r="CL86" s="664">
        <f t="shared" si="139"/>
        <v>142</v>
      </c>
      <c r="CM86" s="662">
        <v>55</v>
      </c>
      <c r="CN86" s="663">
        <v>50</v>
      </c>
      <c r="CO86" s="663">
        <v>4</v>
      </c>
      <c r="CP86" s="664">
        <f t="shared" si="140"/>
        <v>109</v>
      </c>
      <c r="CQ86" s="662">
        <v>92</v>
      </c>
      <c r="CR86" s="663">
        <v>56</v>
      </c>
      <c r="CS86" s="663"/>
      <c r="CT86" s="664">
        <f t="shared" si="141"/>
        <v>148</v>
      </c>
    </row>
    <row r="87" spans="1:98" s="656" customFormat="1" ht="15" customHeight="1" x14ac:dyDescent="0.3">
      <c r="A87" s="642"/>
      <c r="B87" s="657" t="s">
        <v>95</v>
      </c>
      <c r="C87" s="40">
        <v>149</v>
      </c>
      <c r="D87" s="41">
        <v>141</v>
      </c>
      <c r="E87" s="41"/>
      <c r="F87" s="659">
        <v>290</v>
      </c>
      <c r="G87" s="40">
        <v>139</v>
      </c>
      <c r="H87" s="41">
        <v>173</v>
      </c>
      <c r="I87" s="41"/>
      <c r="J87" s="658">
        <v>312</v>
      </c>
      <c r="K87" s="40">
        <v>144</v>
      </c>
      <c r="L87" s="41">
        <v>181</v>
      </c>
      <c r="M87" s="41"/>
      <c r="N87" s="658">
        <v>325</v>
      </c>
      <c r="O87" s="40">
        <v>159</v>
      </c>
      <c r="P87" s="41">
        <v>164</v>
      </c>
      <c r="Q87" s="41"/>
      <c r="R87" s="659">
        <v>323</v>
      </c>
      <c r="S87" s="40">
        <v>165</v>
      </c>
      <c r="T87" s="41">
        <v>137</v>
      </c>
      <c r="U87" s="41" t="s">
        <v>122</v>
      </c>
      <c r="V87" s="659">
        <f t="shared" si="123"/>
        <v>302</v>
      </c>
      <c r="W87" s="40">
        <v>145</v>
      </c>
      <c r="X87" s="41">
        <v>141</v>
      </c>
      <c r="Y87" s="41" t="s">
        <v>122</v>
      </c>
      <c r="Z87" s="658">
        <f t="shared" si="124"/>
        <v>286</v>
      </c>
      <c r="AA87" s="660">
        <v>120</v>
      </c>
      <c r="AB87" s="41">
        <v>157</v>
      </c>
      <c r="AC87" s="41" t="s">
        <v>122</v>
      </c>
      <c r="AD87" s="658">
        <f t="shared" si="125"/>
        <v>277</v>
      </c>
      <c r="AE87" s="660">
        <v>160</v>
      </c>
      <c r="AF87" s="41">
        <v>135</v>
      </c>
      <c r="AG87" s="41" t="s">
        <v>122</v>
      </c>
      <c r="AH87" s="659">
        <f t="shared" si="126"/>
        <v>295</v>
      </c>
      <c r="AI87" s="660">
        <v>140</v>
      </c>
      <c r="AJ87" s="41">
        <v>147</v>
      </c>
      <c r="AK87" s="41"/>
      <c r="AL87" s="659">
        <f t="shared" si="127"/>
        <v>287</v>
      </c>
      <c r="AM87" s="660">
        <v>185</v>
      </c>
      <c r="AN87" s="41">
        <v>180</v>
      </c>
      <c r="AO87" s="41" t="s">
        <v>122</v>
      </c>
      <c r="AP87" s="659">
        <f t="shared" si="128"/>
        <v>365</v>
      </c>
      <c r="AQ87" s="662">
        <v>184</v>
      </c>
      <c r="AR87" s="663">
        <v>200</v>
      </c>
      <c r="AS87" s="663" t="s">
        <v>122</v>
      </c>
      <c r="AT87" s="664">
        <f t="shared" si="129"/>
        <v>384</v>
      </c>
      <c r="AU87" s="663">
        <v>137</v>
      </c>
      <c r="AV87" s="663">
        <v>151</v>
      </c>
      <c r="AW87" s="663" t="s">
        <v>122</v>
      </c>
      <c r="AX87" s="664">
        <f t="shared" si="130"/>
        <v>288</v>
      </c>
      <c r="AY87" s="662">
        <v>139</v>
      </c>
      <c r="AZ87" s="663">
        <v>135</v>
      </c>
      <c r="BA87" s="663"/>
      <c r="BB87" s="664">
        <f t="shared" si="131"/>
        <v>274</v>
      </c>
      <c r="BC87" s="662">
        <v>109</v>
      </c>
      <c r="BD87" s="663">
        <v>151</v>
      </c>
      <c r="BE87" s="663"/>
      <c r="BF87" s="664">
        <f t="shared" si="8"/>
        <v>260</v>
      </c>
      <c r="BG87" s="662">
        <v>148</v>
      </c>
      <c r="BH87" s="663">
        <v>185</v>
      </c>
      <c r="BI87" s="663"/>
      <c r="BJ87" s="664">
        <f t="shared" si="132"/>
        <v>333</v>
      </c>
      <c r="BK87" s="662">
        <v>137</v>
      </c>
      <c r="BL87" s="663">
        <v>158</v>
      </c>
      <c r="BM87" s="663"/>
      <c r="BN87" s="664">
        <f t="shared" si="133"/>
        <v>295</v>
      </c>
      <c r="BO87" s="662">
        <v>153</v>
      </c>
      <c r="BP87" s="663">
        <v>132</v>
      </c>
      <c r="BQ87" s="663"/>
      <c r="BR87" s="664">
        <f t="shared" si="134"/>
        <v>285</v>
      </c>
      <c r="BS87" s="662">
        <v>156</v>
      </c>
      <c r="BT87" s="663">
        <v>148</v>
      </c>
      <c r="BU87" s="663"/>
      <c r="BV87" s="664">
        <f t="shared" si="135"/>
        <v>304</v>
      </c>
      <c r="BW87" s="662">
        <v>106</v>
      </c>
      <c r="BX87" s="663">
        <v>176</v>
      </c>
      <c r="BY87" s="663"/>
      <c r="BZ87" s="664">
        <f t="shared" si="136"/>
        <v>282</v>
      </c>
      <c r="CA87" s="662">
        <v>114</v>
      </c>
      <c r="CB87" s="663">
        <v>144</v>
      </c>
      <c r="CC87" s="663"/>
      <c r="CD87" s="664">
        <f t="shared" si="137"/>
        <v>258</v>
      </c>
      <c r="CE87" s="662">
        <v>115</v>
      </c>
      <c r="CF87" s="663">
        <v>114</v>
      </c>
      <c r="CG87" s="663">
        <v>1</v>
      </c>
      <c r="CH87" s="664">
        <f t="shared" si="138"/>
        <v>230</v>
      </c>
      <c r="CI87" s="662">
        <v>144</v>
      </c>
      <c r="CJ87" s="663">
        <v>125</v>
      </c>
      <c r="CK87" s="663">
        <v>10</v>
      </c>
      <c r="CL87" s="664">
        <f t="shared" si="139"/>
        <v>279</v>
      </c>
      <c r="CM87" s="662">
        <v>122</v>
      </c>
      <c r="CN87" s="663">
        <v>159</v>
      </c>
      <c r="CO87" s="663"/>
      <c r="CP87" s="664">
        <f t="shared" si="140"/>
        <v>281</v>
      </c>
      <c r="CQ87" s="662">
        <v>126</v>
      </c>
      <c r="CR87" s="663">
        <v>115</v>
      </c>
      <c r="CS87" s="663"/>
      <c r="CT87" s="664">
        <f t="shared" si="141"/>
        <v>241</v>
      </c>
    </row>
    <row r="88" spans="1:98" s="656" customFormat="1" ht="15" customHeight="1" x14ac:dyDescent="0.3">
      <c r="A88" s="642"/>
      <c r="B88" s="657" t="s">
        <v>63</v>
      </c>
      <c r="C88" s="40">
        <v>40</v>
      </c>
      <c r="D88" s="41">
        <v>50</v>
      </c>
      <c r="E88" s="41"/>
      <c r="F88" s="659">
        <v>90</v>
      </c>
      <c r="G88" s="40">
        <v>44</v>
      </c>
      <c r="H88" s="41">
        <v>41</v>
      </c>
      <c r="I88" s="41"/>
      <c r="J88" s="658">
        <v>85</v>
      </c>
      <c r="K88" s="40">
        <v>44</v>
      </c>
      <c r="L88" s="41">
        <v>57</v>
      </c>
      <c r="M88" s="41"/>
      <c r="N88" s="658">
        <v>101</v>
      </c>
      <c r="O88" s="40">
        <v>66</v>
      </c>
      <c r="P88" s="41">
        <v>87</v>
      </c>
      <c r="Q88" s="41"/>
      <c r="R88" s="659">
        <v>153</v>
      </c>
      <c r="S88" s="40">
        <v>48</v>
      </c>
      <c r="T88" s="41">
        <v>66</v>
      </c>
      <c r="U88" s="41" t="s">
        <v>122</v>
      </c>
      <c r="V88" s="659">
        <f t="shared" si="123"/>
        <v>114</v>
      </c>
      <c r="W88" s="40">
        <v>47</v>
      </c>
      <c r="X88" s="41">
        <v>54</v>
      </c>
      <c r="Y88" s="41" t="s">
        <v>122</v>
      </c>
      <c r="Z88" s="658">
        <f t="shared" si="124"/>
        <v>101</v>
      </c>
      <c r="AA88" s="660">
        <v>55</v>
      </c>
      <c r="AB88" s="41">
        <v>60</v>
      </c>
      <c r="AC88" s="41" t="s">
        <v>122</v>
      </c>
      <c r="AD88" s="658">
        <f t="shared" si="125"/>
        <v>115</v>
      </c>
      <c r="AE88" s="660">
        <v>78</v>
      </c>
      <c r="AF88" s="41">
        <v>65</v>
      </c>
      <c r="AG88" s="41" t="s">
        <v>122</v>
      </c>
      <c r="AH88" s="659">
        <f t="shared" si="126"/>
        <v>143</v>
      </c>
      <c r="AI88" s="660">
        <v>31</v>
      </c>
      <c r="AJ88" s="41">
        <v>71</v>
      </c>
      <c r="AK88" s="41"/>
      <c r="AL88" s="659">
        <f t="shared" si="127"/>
        <v>102</v>
      </c>
      <c r="AM88" s="660">
        <v>48</v>
      </c>
      <c r="AN88" s="41">
        <v>99</v>
      </c>
      <c r="AO88" s="41" t="s">
        <v>122</v>
      </c>
      <c r="AP88" s="659">
        <f t="shared" si="128"/>
        <v>147</v>
      </c>
      <c r="AQ88" s="662">
        <v>51</v>
      </c>
      <c r="AR88" s="663">
        <v>83</v>
      </c>
      <c r="AS88" s="663" t="s">
        <v>122</v>
      </c>
      <c r="AT88" s="664">
        <f t="shared" si="129"/>
        <v>134</v>
      </c>
      <c r="AU88" s="663">
        <v>46</v>
      </c>
      <c r="AV88" s="663">
        <v>73</v>
      </c>
      <c r="AW88" s="663" t="s">
        <v>122</v>
      </c>
      <c r="AX88" s="664">
        <f t="shared" si="130"/>
        <v>119</v>
      </c>
      <c r="AY88" s="662">
        <v>48</v>
      </c>
      <c r="AZ88" s="663">
        <v>67</v>
      </c>
      <c r="BA88" s="663">
        <v>1</v>
      </c>
      <c r="BB88" s="664">
        <f t="shared" si="131"/>
        <v>116</v>
      </c>
      <c r="BC88" s="662">
        <v>48</v>
      </c>
      <c r="BD88" s="663">
        <v>59</v>
      </c>
      <c r="BE88" s="663"/>
      <c r="BF88" s="664">
        <f t="shared" si="8"/>
        <v>107</v>
      </c>
      <c r="BG88" s="662">
        <v>71</v>
      </c>
      <c r="BH88" s="663">
        <v>63</v>
      </c>
      <c r="BI88" s="663"/>
      <c r="BJ88" s="664">
        <f t="shared" si="132"/>
        <v>134</v>
      </c>
      <c r="BK88" s="662">
        <v>53</v>
      </c>
      <c r="BL88" s="663">
        <v>64</v>
      </c>
      <c r="BM88" s="663"/>
      <c r="BN88" s="664">
        <f t="shared" si="133"/>
        <v>117</v>
      </c>
      <c r="BO88" s="662">
        <v>57</v>
      </c>
      <c r="BP88" s="663">
        <v>70</v>
      </c>
      <c r="BQ88" s="663"/>
      <c r="BR88" s="664">
        <f t="shared" si="134"/>
        <v>127</v>
      </c>
      <c r="BS88" s="662">
        <v>56</v>
      </c>
      <c r="BT88" s="663">
        <v>59</v>
      </c>
      <c r="BU88" s="663"/>
      <c r="BV88" s="664">
        <f t="shared" si="135"/>
        <v>115</v>
      </c>
      <c r="BW88" s="662">
        <v>51</v>
      </c>
      <c r="BX88" s="663">
        <v>39</v>
      </c>
      <c r="BY88" s="663"/>
      <c r="BZ88" s="664">
        <f t="shared" si="136"/>
        <v>90</v>
      </c>
      <c r="CA88" s="662">
        <v>46</v>
      </c>
      <c r="CB88" s="663">
        <v>75</v>
      </c>
      <c r="CC88" s="663"/>
      <c r="CD88" s="664">
        <f t="shared" si="137"/>
        <v>121</v>
      </c>
      <c r="CE88" s="662">
        <v>40</v>
      </c>
      <c r="CF88" s="663">
        <v>57</v>
      </c>
      <c r="CG88" s="663">
        <v>1</v>
      </c>
      <c r="CH88" s="664">
        <f t="shared" si="138"/>
        <v>98</v>
      </c>
      <c r="CI88" s="662">
        <v>53</v>
      </c>
      <c r="CJ88" s="663">
        <v>57</v>
      </c>
      <c r="CK88" s="663">
        <v>17</v>
      </c>
      <c r="CL88" s="664">
        <f t="shared" si="139"/>
        <v>127</v>
      </c>
      <c r="CM88" s="662">
        <v>40</v>
      </c>
      <c r="CN88" s="663">
        <v>58</v>
      </c>
      <c r="CO88" s="663">
        <v>1</v>
      </c>
      <c r="CP88" s="664">
        <f t="shared" si="140"/>
        <v>99</v>
      </c>
      <c r="CQ88" s="662">
        <v>53</v>
      </c>
      <c r="CR88" s="663">
        <v>74</v>
      </c>
      <c r="CS88" s="663"/>
      <c r="CT88" s="664">
        <f t="shared" si="141"/>
        <v>127</v>
      </c>
    </row>
    <row r="89" spans="1:98" s="656" customFormat="1" ht="15" customHeight="1" x14ac:dyDescent="0.3">
      <c r="A89" s="642"/>
      <c r="B89" s="665" t="s">
        <v>96</v>
      </c>
      <c r="C89" s="46">
        <v>0</v>
      </c>
      <c r="D89" s="50">
        <v>0</v>
      </c>
      <c r="E89" s="50"/>
      <c r="F89" s="667">
        <v>0</v>
      </c>
      <c r="G89" s="46">
        <v>0</v>
      </c>
      <c r="H89" s="50">
        <v>0</v>
      </c>
      <c r="I89" s="50"/>
      <c r="J89" s="666">
        <v>0</v>
      </c>
      <c r="K89" s="46">
        <v>0</v>
      </c>
      <c r="L89" s="50">
        <v>13</v>
      </c>
      <c r="M89" s="50"/>
      <c r="N89" s="666">
        <v>13</v>
      </c>
      <c r="O89" s="46">
        <v>3</v>
      </c>
      <c r="P89" s="50">
        <v>16</v>
      </c>
      <c r="Q89" s="50"/>
      <c r="R89" s="667">
        <v>19</v>
      </c>
      <c r="S89" s="46">
        <v>21</v>
      </c>
      <c r="T89" s="50">
        <v>18</v>
      </c>
      <c r="U89" s="50" t="s">
        <v>122</v>
      </c>
      <c r="V89" s="667">
        <f t="shared" si="123"/>
        <v>39</v>
      </c>
      <c r="W89" s="46">
        <v>9</v>
      </c>
      <c r="X89" s="50">
        <v>14</v>
      </c>
      <c r="Y89" s="50" t="s">
        <v>122</v>
      </c>
      <c r="Z89" s="666">
        <f t="shared" si="124"/>
        <v>23</v>
      </c>
      <c r="AA89" s="668">
        <v>12</v>
      </c>
      <c r="AB89" s="50">
        <v>25</v>
      </c>
      <c r="AC89" s="50" t="s">
        <v>122</v>
      </c>
      <c r="AD89" s="666">
        <f t="shared" si="125"/>
        <v>37</v>
      </c>
      <c r="AE89" s="668">
        <v>23</v>
      </c>
      <c r="AF89" s="50">
        <v>4</v>
      </c>
      <c r="AG89" s="50" t="s">
        <v>122</v>
      </c>
      <c r="AH89" s="667">
        <f t="shared" si="126"/>
        <v>27</v>
      </c>
      <c r="AI89" s="668">
        <v>13</v>
      </c>
      <c r="AJ89" s="50">
        <v>26</v>
      </c>
      <c r="AK89" s="669"/>
      <c r="AL89" s="667">
        <f t="shared" si="127"/>
        <v>39</v>
      </c>
      <c r="AM89" s="668">
        <v>19</v>
      </c>
      <c r="AN89" s="50">
        <v>20</v>
      </c>
      <c r="AO89" s="669" t="s">
        <v>122</v>
      </c>
      <c r="AP89" s="667">
        <f t="shared" si="128"/>
        <v>39</v>
      </c>
      <c r="AQ89" s="670">
        <v>21</v>
      </c>
      <c r="AR89" s="671">
        <v>24</v>
      </c>
      <c r="AS89" s="671">
        <v>1</v>
      </c>
      <c r="AT89" s="672">
        <f t="shared" si="129"/>
        <v>46</v>
      </c>
      <c r="AU89" s="671">
        <v>17</v>
      </c>
      <c r="AV89" s="671">
        <v>29</v>
      </c>
      <c r="AW89" s="671" t="s">
        <v>122</v>
      </c>
      <c r="AX89" s="672">
        <f t="shared" si="130"/>
        <v>46</v>
      </c>
      <c r="AY89" s="670">
        <v>25</v>
      </c>
      <c r="AZ89" s="671">
        <v>28</v>
      </c>
      <c r="BA89" s="671"/>
      <c r="BB89" s="672">
        <f t="shared" si="131"/>
        <v>53</v>
      </c>
      <c r="BC89" s="670">
        <v>19</v>
      </c>
      <c r="BD89" s="671">
        <v>27</v>
      </c>
      <c r="BE89" s="671"/>
      <c r="BF89" s="672">
        <f t="shared" si="8"/>
        <v>46</v>
      </c>
      <c r="BG89" s="670">
        <v>26</v>
      </c>
      <c r="BH89" s="671">
        <v>29</v>
      </c>
      <c r="BI89" s="671"/>
      <c r="BJ89" s="672">
        <f t="shared" si="132"/>
        <v>55</v>
      </c>
      <c r="BK89" s="670">
        <v>25</v>
      </c>
      <c r="BL89" s="671">
        <v>17</v>
      </c>
      <c r="BM89" s="671"/>
      <c r="BN89" s="672">
        <f t="shared" si="133"/>
        <v>42</v>
      </c>
      <c r="BO89" s="670">
        <v>17</v>
      </c>
      <c r="BP89" s="671">
        <v>14</v>
      </c>
      <c r="BQ89" s="671">
        <v>2</v>
      </c>
      <c r="BR89" s="672">
        <f t="shared" si="134"/>
        <v>33</v>
      </c>
      <c r="BS89" s="670">
        <v>18</v>
      </c>
      <c r="BT89" s="671">
        <v>26</v>
      </c>
      <c r="BU89" s="671">
        <v>1</v>
      </c>
      <c r="BV89" s="672">
        <f t="shared" si="135"/>
        <v>45</v>
      </c>
      <c r="BW89" s="670">
        <v>27</v>
      </c>
      <c r="BX89" s="671">
        <v>20</v>
      </c>
      <c r="BY89" s="671"/>
      <c r="BZ89" s="672">
        <f t="shared" si="136"/>
        <v>47</v>
      </c>
      <c r="CA89" s="670">
        <v>14</v>
      </c>
      <c r="CB89" s="671">
        <v>29</v>
      </c>
      <c r="CC89" s="671">
        <v>1</v>
      </c>
      <c r="CD89" s="672">
        <f t="shared" si="137"/>
        <v>44</v>
      </c>
      <c r="CE89" s="670">
        <v>33</v>
      </c>
      <c r="CF89" s="671">
        <v>26</v>
      </c>
      <c r="CG89" s="671">
        <v>1</v>
      </c>
      <c r="CH89" s="672">
        <f t="shared" si="138"/>
        <v>60</v>
      </c>
      <c r="CI89" s="670">
        <v>14</v>
      </c>
      <c r="CJ89" s="671">
        <v>32</v>
      </c>
      <c r="CK89" s="671">
        <v>16</v>
      </c>
      <c r="CL89" s="672">
        <f t="shared" si="139"/>
        <v>62</v>
      </c>
      <c r="CM89" s="670">
        <v>29</v>
      </c>
      <c r="CN89" s="671">
        <v>43</v>
      </c>
      <c r="CO89" s="671">
        <v>4</v>
      </c>
      <c r="CP89" s="672">
        <f t="shared" si="140"/>
        <v>76</v>
      </c>
      <c r="CQ89" s="670">
        <v>22</v>
      </c>
      <c r="CR89" s="671">
        <v>44</v>
      </c>
      <c r="CS89" s="671">
        <v>12</v>
      </c>
      <c r="CT89" s="672">
        <f t="shared" si="141"/>
        <v>78</v>
      </c>
    </row>
    <row r="90" spans="1:98" s="656" customFormat="1" ht="15" customHeight="1" x14ac:dyDescent="0.3">
      <c r="A90" s="642"/>
      <c r="B90" s="673" t="s">
        <v>64</v>
      </c>
      <c r="C90" s="674">
        <v>375</v>
      </c>
      <c r="D90" s="675">
        <v>396</v>
      </c>
      <c r="E90" s="675"/>
      <c r="F90" s="676">
        <v>771</v>
      </c>
      <c r="G90" s="674">
        <v>343</v>
      </c>
      <c r="H90" s="675">
        <v>427</v>
      </c>
      <c r="I90" s="675"/>
      <c r="J90" s="676">
        <v>770</v>
      </c>
      <c r="K90" s="674">
        <v>331</v>
      </c>
      <c r="L90" s="675">
        <v>432</v>
      </c>
      <c r="M90" s="675"/>
      <c r="N90" s="676">
        <v>763</v>
      </c>
      <c r="O90" s="674">
        <v>403</v>
      </c>
      <c r="P90" s="675">
        <v>461</v>
      </c>
      <c r="Q90" s="675"/>
      <c r="R90" s="676">
        <v>864</v>
      </c>
      <c r="S90" s="674">
        <f t="shared" ref="S90:CD90" si="142">SUM(S84:S89)</f>
        <v>390</v>
      </c>
      <c r="T90" s="675">
        <f t="shared" si="142"/>
        <v>428</v>
      </c>
      <c r="U90" s="675">
        <f t="shared" si="142"/>
        <v>0</v>
      </c>
      <c r="V90" s="676">
        <f t="shared" si="142"/>
        <v>818</v>
      </c>
      <c r="W90" s="674">
        <f t="shared" si="142"/>
        <v>337</v>
      </c>
      <c r="X90" s="675">
        <f t="shared" si="142"/>
        <v>380</v>
      </c>
      <c r="Y90" s="675">
        <f t="shared" si="142"/>
        <v>0</v>
      </c>
      <c r="Z90" s="676">
        <f t="shared" si="142"/>
        <v>717</v>
      </c>
      <c r="AA90" s="674">
        <f t="shared" si="142"/>
        <v>321</v>
      </c>
      <c r="AB90" s="675">
        <f t="shared" si="142"/>
        <v>411</v>
      </c>
      <c r="AC90" s="675">
        <f t="shared" si="142"/>
        <v>0</v>
      </c>
      <c r="AD90" s="676">
        <f t="shared" si="142"/>
        <v>732</v>
      </c>
      <c r="AE90" s="674">
        <f t="shared" si="142"/>
        <v>389</v>
      </c>
      <c r="AF90" s="675">
        <f t="shared" si="142"/>
        <v>372</v>
      </c>
      <c r="AG90" s="675">
        <f t="shared" si="142"/>
        <v>0</v>
      </c>
      <c r="AH90" s="676">
        <f t="shared" si="142"/>
        <v>761</v>
      </c>
      <c r="AI90" s="674">
        <f t="shared" si="142"/>
        <v>341</v>
      </c>
      <c r="AJ90" s="675">
        <f t="shared" si="142"/>
        <v>455</v>
      </c>
      <c r="AK90" s="675">
        <f t="shared" si="142"/>
        <v>0</v>
      </c>
      <c r="AL90" s="676">
        <f t="shared" si="142"/>
        <v>796</v>
      </c>
      <c r="AM90" s="674">
        <f t="shared" si="142"/>
        <v>485</v>
      </c>
      <c r="AN90" s="675">
        <f t="shared" si="142"/>
        <v>508</v>
      </c>
      <c r="AO90" s="675">
        <f t="shared" si="142"/>
        <v>0</v>
      </c>
      <c r="AP90" s="676">
        <f t="shared" si="142"/>
        <v>993</v>
      </c>
      <c r="AQ90" s="674">
        <f t="shared" si="142"/>
        <v>406</v>
      </c>
      <c r="AR90" s="675">
        <f t="shared" si="142"/>
        <v>520</v>
      </c>
      <c r="AS90" s="675">
        <f t="shared" si="142"/>
        <v>1</v>
      </c>
      <c r="AT90" s="676">
        <f t="shared" si="129"/>
        <v>927</v>
      </c>
      <c r="AU90" s="674">
        <f>SUM(AU84:AU89)</f>
        <v>431</v>
      </c>
      <c r="AV90" s="675">
        <f>SUM(AV84:AV89)</f>
        <v>454</v>
      </c>
      <c r="AW90" s="675">
        <f>SUM(AW84:AW89)</f>
        <v>0</v>
      </c>
      <c r="AX90" s="676">
        <f t="shared" si="130"/>
        <v>885</v>
      </c>
      <c r="AY90" s="674">
        <f t="shared" si="142"/>
        <v>357</v>
      </c>
      <c r="AZ90" s="675">
        <f t="shared" si="142"/>
        <v>456</v>
      </c>
      <c r="BA90" s="675">
        <f t="shared" si="142"/>
        <v>3</v>
      </c>
      <c r="BB90" s="676">
        <f t="shared" si="142"/>
        <v>816</v>
      </c>
      <c r="BC90" s="674">
        <f t="shared" si="142"/>
        <v>351</v>
      </c>
      <c r="BD90" s="675">
        <f t="shared" si="142"/>
        <v>439</v>
      </c>
      <c r="BE90" s="675">
        <f t="shared" si="142"/>
        <v>4</v>
      </c>
      <c r="BF90" s="676">
        <f t="shared" si="142"/>
        <v>794</v>
      </c>
      <c r="BG90" s="674">
        <f t="shared" si="142"/>
        <v>395</v>
      </c>
      <c r="BH90" s="675">
        <f t="shared" si="142"/>
        <v>506</v>
      </c>
      <c r="BI90" s="675">
        <f t="shared" si="142"/>
        <v>9</v>
      </c>
      <c r="BJ90" s="676">
        <f t="shared" si="142"/>
        <v>910</v>
      </c>
      <c r="BK90" s="674">
        <f t="shared" si="142"/>
        <v>366</v>
      </c>
      <c r="BL90" s="675">
        <f t="shared" si="142"/>
        <v>438</v>
      </c>
      <c r="BM90" s="675">
        <f t="shared" si="142"/>
        <v>4</v>
      </c>
      <c r="BN90" s="676">
        <f t="shared" si="142"/>
        <v>808</v>
      </c>
      <c r="BO90" s="674">
        <f t="shared" si="142"/>
        <v>362</v>
      </c>
      <c r="BP90" s="675">
        <f t="shared" si="142"/>
        <v>440</v>
      </c>
      <c r="BQ90" s="675">
        <f t="shared" si="142"/>
        <v>7</v>
      </c>
      <c r="BR90" s="676">
        <f t="shared" si="142"/>
        <v>809</v>
      </c>
      <c r="BS90" s="674">
        <f t="shared" si="142"/>
        <v>390</v>
      </c>
      <c r="BT90" s="675">
        <f t="shared" si="142"/>
        <v>471</v>
      </c>
      <c r="BU90" s="675">
        <f t="shared" si="142"/>
        <v>4</v>
      </c>
      <c r="BV90" s="676">
        <f t="shared" si="142"/>
        <v>865</v>
      </c>
      <c r="BW90" s="674">
        <f t="shared" si="142"/>
        <v>337</v>
      </c>
      <c r="BX90" s="675">
        <f t="shared" si="142"/>
        <v>423</v>
      </c>
      <c r="BY90" s="675">
        <f t="shared" si="142"/>
        <v>0</v>
      </c>
      <c r="BZ90" s="676">
        <f t="shared" si="142"/>
        <v>760</v>
      </c>
      <c r="CA90" s="674">
        <f t="shared" si="142"/>
        <v>334</v>
      </c>
      <c r="CB90" s="675">
        <f t="shared" si="142"/>
        <v>515</v>
      </c>
      <c r="CC90" s="675">
        <f t="shared" si="142"/>
        <v>4</v>
      </c>
      <c r="CD90" s="676">
        <f t="shared" si="142"/>
        <v>853</v>
      </c>
      <c r="CE90" s="674">
        <f t="shared" ref="CE90:CF90" si="143">SUM(CE84:CE89)</f>
        <v>371</v>
      </c>
      <c r="CF90" s="675">
        <f t="shared" si="143"/>
        <v>380</v>
      </c>
      <c r="CG90" s="675">
        <v>9</v>
      </c>
      <c r="CH90" s="676">
        <f t="shared" ref="CH90:CP90" si="144">SUM(CH84:CH89)</f>
        <v>760</v>
      </c>
      <c r="CI90" s="674">
        <f t="shared" si="144"/>
        <v>410</v>
      </c>
      <c r="CJ90" s="675">
        <f t="shared" si="144"/>
        <v>452</v>
      </c>
      <c r="CK90" s="675">
        <f t="shared" si="144"/>
        <v>79</v>
      </c>
      <c r="CL90" s="676">
        <f t="shared" si="144"/>
        <v>941</v>
      </c>
      <c r="CM90" s="674">
        <f t="shared" si="144"/>
        <v>395</v>
      </c>
      <c r="CN90" s="675">
        <f t="shared" si="144"/>
        <v>479</v>
      </c>
      <c r="CO90" s="675">
        <f>SUM(CO84:CO89)</f>
        <v>14</v>
      </c>
      <c r="CP90" s="676">
        <f t="shared" si="144"/>
        <v>888</v>
      </c>
      <c r="CQ90" s="674">
        <f>SUM(CQ84:CQ89)</f>
        <v>454</v>
      </c>
      <c r="CR90" s="675">
        <f>SUM(CR84:CR89)</f>
        <v>464</v>
      </c>
      <c r="CS90" s="675">
        <f>SUM(CS84:CS89)</f>
        <v>13</v>
      </c>
      <c r="CT90" s="676">
        <f t="shared" ref="CT90" si="145">SUM(CT84:CT89)</f>
        <v>931</v>
      </c>
    </row>
    <row r="91" spans="1:98" s="656" customFormat="1" ht="15" customHeight="1" x14ac:dyDescent="0.3">
      <c r="A91" s="642"/>
      <c r="B91" s="648" t="s">
        <v>86</v>
      </c>
      <c r="C91" s="33">
        <v>25</v>
      </c>
      <c r="D91" s="34">
        <v>62</v>
      </c>
      <c r="E91" s="34">
        <v>35</v>
      </c>
      <c r="F91" s="650">
        <v>122</v>
      </c>
      <c r="G91" s="33">
        <v>52</v>
      </c>
      <c r="H91" s="34">
        <v>77</v>
      </c>
      <c r="I91" s="34">
        <v>33</v>
      </c>
      <c r="J91" s="649">
        <v>162</v>
      </c>
      <c r="K91" s="33">
        <v>43</v>
      </c>
      <c r="L91" s="34">
        <v>50</v>
      </c>
      <c r="M91" s="34">
        <v>61</v>
      </c>
      <c r="N91" s="649">
        <v>154</v>
      </c>
      <c r="O91" s="33">
        <v>37</v>
      </c>
      <c r="P91" s="34">
        <v>65</v>
      </c>
      <c r="Q91" s="34">
        <v>37</v>
      </c>
      <c r="R91" s="650">
        <v>139</v>
      </c>
      <c r="S91" s="33">
        <v>36</v>
      </c>
      <c r="T91" s="34">
        <v>42</v>
      </c>
      <c r="U91" s="34">
        <v>24</v>
      </c>
      <c r="V91" s="650">
        <f t="shared" ref="V91:V98" si="146">SUM(S91:U91)</f>
        <v>102</v>
      </c>
      <c r="W91" s="33">
        <v>33</v>
      </c>
      <c r="X91" s="34">
        <v>45</v>
      </c>
      <c r="Y91" s="34">
        <v>27</v>
      </c>
      <c r="Z91" s="649">
        <f t="shared" ref="Z91:Z98" si="147">SUM(W91:Y91)</f>
        <v>105</v>
      </c>
      <c r="AA91" s="651">
        <v>28</v>
      </c>
      <c r="AB91" s="34">
        <v>50</v>
      </c>
      <c r="AC91" s="34">
        <v>25</v>
      </c>
      <c r="AD91" s="649">
        <f t="shared" ref="AD91:AD98" si="148">SUM(AA91:AC91)</f>
        <v>103</v>
      </c>
      <c r="AE91" s="651">
        <v>36</v>
      </c>
      <c r="AF91" s="34">
        <v>41</v>
      </c>
      <c r="AG91" s="34">
        <v>31</v>
      </c>
      <c r="AH91" s="650">
        <f t="shared" ref="AH91:AH98" si="149">SUM(AE91:AG91)</f>
        <v>108</v>
      </c>
      <c r="AI91" s="651">
        <v>39</v>
      </c>
      <c r="AJ91" s="34">
        <v>51</v>
      </c>
      <c r="AK91" s="652">
        <v>18</v>
      </c>
      <c r="AL91" s="650">
        <f t="shared" ref="AL91:AL98" si="150">SUM(AI91:AK91)</f>
        <v>108</v>
      </c>
      <c r="AM91" s="651">
        <v>36</v>
      </c>
      <c r="AN91" s="34">
        <v>39</v>
      </c>
      <c r="AO91" s="652">
        <v>47</v>
      </c>
      <c r="AP91" s="650">
        <f t="shared" ref="AP91:AP98" si="151">SUM(AM91:AO91)</f>
        <v>122</v>
      </c>
      <c r="AQ91" s="653">
        <v>18</v>
      </c>
      <c r="AR91" s="654">
        <v>95</v>
      </c>
      <c r="AS91" s="654">
        <v>47</v>
      </c>
      <c r="AT91" s="655">
        <f t="shared" si="129"/>
        <v>160</v>
      </c>
      <c r="AU91" s="654">
        <v>42</v>
      </c>
      <c r="AV91" s="654">
        <v>70</v>
      </c>
      <c r="AW91" s="654">
        <v>33</v>
      </c>
      <c r="AX91" s="655">
        <f t="shared" si="130"/>
        <v>145</v>
      </c>
      <c r="AY91" s="653">
        <v>48</v>
      </c>
      <c r="AZ91" s="654">
        <v>70</v>
      </c>
      <c r="BA91" s="654">
        <v>31</v>
      </c>
      <c r="BB91" s="655">
        <f>SUM(AY91:BA91)</f>
        <v>149</v>
      </c>
      <c r="BC91" s="653">
        <v>53</v>
      </c>
      <c r="BD91" s="654">
        <v>64</v>
      </c>
      <c r="BE91" s="654">
        <v>34</v>
      </c>
      <c r="BF91" s="655">
        <f t="shared" si="8"/>
        <v>151</v>
      </c>
      <c r="BG91" s="653">
        <v>57</v>
      </c>
      <c r="BH91" s="654">
        <v>55</v>
      </c>
      <c r="BI91" s="654">
        <v>33</v>
      </c>
      <c r="BJ91" s="655">
        <f t="shared" ref="BJ91:BJ98" si="152">SUM(BG91:BI91)</f>
        <v>145</v>
      </c>
      <c r="BK91" s="653">
        <v>45</v>
      </c>
      <c r="BL91" s="654">
        <v>66</v>
      </c>
      <c r="BM91" s="654">
        <v>49</v>
      </c>
      <c r="BN91" s="655">
        <f t="shared" ref="BN91:BN98" si="153">SUM(BK91:BM91)</f>
        <v>160</v>
      </c>
      <c r="BO91" s="653">
        <v>42</v>
      </c>
      <c r="BP91" s="654">
        <v>41</v>
      </c>
      <c r="BQ91" s="654">
        <v>28</v>
      </c>
      <c r="BR91" s="655">
        <f t="shared" ref="BR91:BR98" si="154">SUM(BO91:BQ91)</f>
        <v>111</v>
      </c>
      <c r="BS91" s="653">
        <v>49</v>
      </c>
      <c r="BT91" s="654">
        <v>43</v>
      </c>
      <c r="BU91" s="654">
        <v>38</v>
      </c>
      <c r="BV91" s="655">
        <f t="shared" ref="BV91:BV98" si="155">SUM(BS91:BU91)</f>
        <v>130</v>
      </c>
      <c r="BW91" s="653">
        <v>45</v>
      </c>
      <c r="BX91" s="654">
        <v>70</v>
      </c>
      <c r="BY91" s="654">
        <v>45</v>
      </c>
      <c r="BZ91" s="655">
        <f t="shared" ref="BZ91:BZ98" si="156">SUM(BW91:BY91)</f>
        <v>160</v>
      </c>
      <c r="CA91" s="653">
        <v>58</v>
      </c>
      <c r="CB91" s="654">
        <v>62</v>
      </c>
      <c r="CC91" s="654">
        <v>46</v>
      </c>
      <c r="CD91" s="655">
        <f t="shared" ref="CD91:CD98" si="157">SUM(CA91:CC91)</f>
        <v>166</v>
      </c>
      <c r="CE91" s="653">
        <v>37</v>
      </c>
      <c r="CF91" s="654">
        <v>61</v>
      </c>
      <c r="CG91" s="654">
        <v>32</v>
      </c>
      <c r="CH91" s="655">
        <f t="shared" ref="CH91:CH98" si="158">SUM(CE91:CG91)</f>
        <v>130</v>
      </c>
      <c r="CI91" s="653">
        <v>30</v>
      </c>
      <c r="CJ91" s="654">
        <v>76</v>
      </c>
      <c r="CK91" s="654">
        <v>30</v>
      </c>
      <c r="CL91" s="655">
        <f>SUM(CI91:CK91)</f>
        <v>136</v>
      </c>
      <c r="CM91" s="653">
        <v>63</v>
      </c>
      <c r="CN91" s="654">
        <v>58</v>
      </c>
      <c r="CO91" s="654">
        <v>55</v>
      </c>
      <c r="CP91" s="655">
        <f>SUM(CM91:CO91)</f>
        <v>176</v>
      </c>
      <c r="CQ91" s="653">
        <v>42</v>
      </c>
      <c r="CR91" s="654">
        <v>76</v>
      </c>
      <c r="CS91" s="654">
        <v>51</v>
      </c>
      <c r="CT91" s="655">
        <f>SUM(CQ91:CS91)</f>
        <v>169</v>
      </c>
    </row>
    <row r="92" spans="1:98" s="656" customFormat="1" ht="15" customHeight="1" x14ac:dyDescent="0.3">
      <c r="A92" s="642"/>
      <c r="B92" s="657" t="s">
        <v>97</v>
      </c>
      <c r="C92" s="40">
        <v>18</v>
      </c>
      <c r="D92" s="41">
        <v>35</v>
      </c>
      <c r="E92" s="41">
        <v>0</v>
      </c>
      <c r="F92" s="659">
        <v>53</v>
      </c>
      <c r="G92" s="40">
        <v>31</v>
      </c>
      <c r="H92" s="41">
        <v>39</v>
      </c>
      <c r="I92" s="41">
        <v>44</v>
      </c>
      <c r="J92" s="658">
        <v>114</v>
      </c>
      <c r="K92" s="40">
        <v>26</v>
      </c>
      <c r="L92" s="41">
        <v>35</v>
      </c>
      <c r="M92" s="41">
        <v>16</v>
      </c>
      <c r="N92" s="658">
        <v>77</v>
      </c>
      <c r="O92" s="40">
        <v>35</v>
      </c>
      <c r="P92" s="41">
        <v>67</v>
      </c>
      <c r="Q92" s="41">
        <v>16</v>
      </c>
      <c r="R92" s="659">
        <v>118</v>
      </c>
      <c r="S92" s="40">
        <v>26</v>
      </c>
      <c r="T92" s="41">
        <v>39</v>
      </c>
      <c r="U92" s="41">
        <v>16</v>
      </c>
      <c r="V92" s="659">
        <f t="shared" si="146"/>
        <v>81</v>
      </c>
      <c r="W92" s="40">
        <v>23</v>
      </c>
      <c r="X92" s="41">
        <v>28</v>
      </c>
      <c r="Y92" s="41">
        <v>15</v>
      </c>
      <c r="Z92" s="658">
        <f t="shared" si="147"/>
        <v>66</v>
      </c>
      <c r="AA92" s="660">
        <v>16</v>
      </c>
      <c r="AB92" s="41">
        <v>22</v>
      </c>
      <c r="AC92" s="41">
        <v>2</v>
      </c>
      <c r="AD92" s="658">
        <f t="shared" si="148"/>
        <v>40</v>
      </c>
      <c r="AE92" s="660">
        <v>32</v>
      </c>
      <c r="AF92" s="41">
        <v>32</v>
      </c>
      <c r="AG92" s="41">
        <v>7</v>
      </c>
      <c r="AH92" s="659">
        <f t="shared" si="149"/>
        <v>71</v>
      </c>
      <c r="AI92" s="660">
        <v>22</v>
      </c>
      <c r="AJ92" s="41">
        <v>39</v>
      </c>
      <c r="AK92" s="661">
        <v>22</v>
      </c>
      <c r="AL92" s="659">
        <f t="shared" si="150"/>
        <v>83</v>
      </c>
      <c r="AM92" s="660">
        <v>44</v>
      </c>
      <c r="AN92" s="41">
        <v>52</v>
      </c>
      <c r="AO92" s="661">
        <v>26</v>
      </c>
      <c r="AP92" s="659">
        <f t="shared" si="151"/>
        <v>122</v>
      </c>
      <c r="AQ92" s="662">
        <v>41</v>
      </c>
      <c r="AR92" s="663">
        <v>44</v>
      </c>
      <c r="AS92" s="663">
        <v>7</v>
      </c>
      <c r="AT92" s="664">
        <f t="shared" si="129"/>
        <v>92</v>
      </c>
      <c r="AU92" s="663">
        <v>44</v>
      </c>
      <c r="AV92" s="663">
        <v>49</v>
      </c>
      <c r="AW92" s="663">
        <v>20</v>
      </c>
      <c r="AX92" s="664">
        <f t="shared" si="130"/>
        <v>113</v>
      </c>
      <c r="AY92" s="662">
        <v>47</v>
      </c>
      <c r="AZ92" s="663">
        <v>46</v>
      </c>
      <c r="BA92" s="663">
        <v>19</v>
      </c>
      <c r="BB92" s="664">
        <f>SUM(AY92:BA92)</f>
        <v>112</v>
      </c>
      <c r="BC92" s="662">
        <v>52</v>
      </c>
      <c r="BD92" s="663">
        <v>63</v>
      </c>
      <c r="BE92" s="663">
        <v>25</v>
      </c>
      <c r="BF92" s="664">
        <f t="shared" si="8"/>
        <v>140</v>
      </c>
      <c r="BG92" s="662">
        <v>41</v>
      </c>
      <c r="BH92" s="663">
        <v>62</v>
      </c>
      <c r="BI92" s="663">
        <v>23</v>
      </c>
      <c r="BJ92" s="664">
        <f t="shared" si="152"/>
        <v>126</v>
      </c>
      <c r="BK92" s="662">
        <v>19</v>
      </c>
      <c r="BL92" s="663">
        <v>74</v>
      </c>
      <c r="BM92" s="663">
        <v>19</v>
      </c>
      <c r="BN92" s="664">
        <f t="shared" si="153"/>
        <v>112</v>
      </c>
      <c r="BO92" s="662">
        <v>29</v>
      </c>
      <c r="BP92" s="663">
        <v>53</v>
      </c>
      <c r="BQ92" s="663">
        <v>27</v>
      </c>
      <c r="BR92" s="664">
        <f t="shared" si="154"/>
        <v>109</v>
      </c>
      <c r="BS92" s="662">
        <v>31</v>
      </c>
      <c r="BT92" s="663">
        <v>50</v>
      </c>
      <c r="BU92" s="663">
        <v>20</v>
      </c>
      <c r="BV92" s="664">
        <f t="shared" si="155"/>
        <v>101</v>
      </c>
      <c r="BW92" s="662">
        <v>45</v>
      </c>
      <c r="BX92" s="663">
        <v>39</v>
      </c>
      <c r="BY92" s="663">
        <v>17</v>
      </c>
      <c r="BZ92" s="664">
        <f t="shared" si="156"/>
        <v>101</v>
      </c>
      <c r="CA92" s="662">
        <v>29</v>
      </c>
      <c r="CB92" s="663">
        <v>55</v>
      </c>
      <c r="CC92" s="663">
        <v>6</v>
      </c>
      <c r="CD92" s="664">
        <f t="shared" si="157"/>
        <v>90</v>
      </c>
      <c r="CE92" s="662">
        <v>18</v>
      </c>
      <c r="CF92" s="663">
        <v>58</v>
      </c>
      <c r="CG92" s="663">
        <v>17</v>
      </c>
      <c r="CH92" s="664">
        <f t="shared" si="158"/>
        <v>93</v>
      </c>
      <c r="CI92" s="662">
        <v>34</v>
      </c>
      <c r="CJ92" s="663">
        <v>46</v>
      </c>
      <c r="CK92" s="663">
        <v>19</v>
      </c>
      <c r="CL92" s="664">
        <f>SUM(CI92:CK92)</f>
        <v>99</v>
      </c>
      <c r="CM92" s="662">
        <v>38</v>
      </c>
      <c r="CN92" s="663">
        <v>37</v>
      </c>
      <c r="CO92" s="663">
        <v>22</v>
      </c>
      <c r="CP92" s="664">
        <f>SUM(CM92:CO92)</f>
        <v>97</v>
      </c>
      <c r="CQ92" s="662">
        <v>50</v>
      </c>
      <c r="CR92" s="663">
        <v>34</v>
      </c>
      <c r="CS92" s="663">
        <v>20</v>
      </c>
      <c r="CT92" s="664">
        <f>SUM(CQ92:CS92)</f>
        <v>104</v>
      </c>
    </row>
    <row r="93" spans="1:98" s="656" customFormat="1" ht="15" customHeight="1" x14ac:dyDescent="0.3">
      <c r="A93" s="642"/>
      <c r="B93" s="657" t="s">
        <v>98</v>
      </c>
      <c r="C93" s="40">
        <v>87</v>
      </c>
      <c r="D93" s="41">
        <v>95</v>
      </c>
      <c r="E93" s="41">
        <v>54</v>
      </c>
      <c r="F93" s="659">
        <v>236</v>
      </c>
      <c r="G93" s="40">
        <v>84</v>
      </c>
      <c r="H93" s="41">
        <v>96</v>
      </c>
      <c r="I93" s="41">
        <v>63</v>
      </c>
      <c r="J93" s="658">
        <v>243</v>
      </c>
      <c r="K93" s="40">
        <v>77</v>
      </c>
      <c r="L93" s="41">
        <v>108</v>
      </c>
      <c r="M93" s="41">
        <v>52</v>
      </c>
      <c r="N93" s="658">
        <v>237</v>
      </c>
      <c r="O93" s="40">
        <v>72</v>
      </c>
      <c r="P93" s="41">
        <v>102</v>
      </c>
      <c r="Q93" s="41">
        <v>62</v>
      </c>
      <c r="R93" s="659">
        <v>236</v>
      </c>
      <c r="S93" s="40">
        <v>78</v>
      </c>
      <c r="T93" s="41">
        <v>75</v>
      </c>
      <c r="U93" s="41">
        <v>59</v>
      </c>
      <c r="V93" s="659">
        <f t="shared" si="146"/>
        <v>212</v>
      </c>
      <c r="W93" s="40">
        <v>39</v>
      </c>
      <c r="X93" s="41">
        <v>68</v>
      </c>
      <c r="Y93" s="41">
        <v>32</v>
      </c>
      <c r="Z93" s="658">
        <f t="shared" si="147"/>
        <v>139</v>
      </c>
      <c r="AA93" s="660">
        <v>54</v>
      </c>
      <c r="AB93" s="41">
        <v>69</v>
      </c>
      <c r="AC93" s="41">
        <v>22</v>
      </c>
      <c r="AD93" s="658">
        <f t="shared" si="148"/>
        <v>145</v>
      </c>
      <c r="AE93" s="660">
        <v>47</v>
      </c>
      <c r="AF93" s="41">
        <v>66</v>
      </c>
      <c r="AG93" s="41">
        <v>31</v>
      </c>
      <c r="AH93" s="659">
        <f t="shared" si="149"/>
        <v>144</v>
      </c>
      <c r="AI93" s="660">
        <v>56</v>
      </c>
      <c r="AJ93" s="41">
        <v>87</v>
      </c>
      <c r="AK93" s="661">
        <v>55</v>
      </c>
      <c r="AL93" s="659">
        <f t="shared" si="150"/>
        <v>198</v>
      </c>
      <c r="AM93" s="660">
        <v>109</v>
      </c>
      <c r="AN93" s="41">
        <v>112</v>
      </c>
      <c r="AO93" s="661">
        <v>58</v>
      </c>
      <c r="AP93" s="659">
        <f t="shared" si="151"/>
        <v>279</v>
      </c>
      <c r="AQ93" s="662">
        <v>97</v>
      </c>
      <c r="AR93" s="663">
        <v>95</v>
      </c>
      <c r="AS93" s="663">
        <v>53</v>
      </c>
      <c r="AT93" s="664">
        <f t="shared" si="129"/>
        <v>245</v>
      </c>
      <c r="AU93" s="663">
        <v>65</v>
      </c>
      <c r="AV93" s="663">
        <v>84</v>
      </c>
      <c r="AW93" s="663">
        <v>42</v>
      </c>
      <c r="AX93" s="664">
        <f t="shared" si="130"/>
        <v>191</v>
      </c>
      <c r="AY93" s="662">
        <v>59</v>
      </c>
      <c r="AZ93" s="663">
        <v>75</v>
      </c>
      <c r="BA93" s="663">
        <v>19</v>
      </c>
      <c r="BB93" s="664">
        <f t="shared" ref="BB93:BB98" si="159">SUM(AY93:BA93)</f>
        <v>153</v>
      </c>
      <c r="BC93" s="662">
        <v>60</v>
      </c>
      <c r="BD93" s="663">
        <v>71</v>
      </c>
      <c r="BE93" s="663">
        <v>32</v>
      </c>
      <c r="BF93" s="664">
        <f t="shared" si="8"/>
        <v>163</v>
      </c>
      <c r="BG93" s="662">
        <v>48</v>
      </c>
      <c r="BH93" s="663">
        <v>57</v>
      </c>
      <c r="BI93" s="663">
        <v>28</v>
      </c>
      <c r="BJ93" s="664">
        <f t="shared" si="152"/>
        <v>133</v>
      </c>
      <c r="BK93" s="662">
        <v>57</v>
      </c>
      <c r="BL93" s="663">
        <v>74</v>
      </c>
      <c r="BM93" s="663">
        <v>14</v>
      </c>
      <c r="BN93" s="664">
        <f t="shared" si="153"/>
        <v>145</v>
      </c>
      <c r="BO93" s="662">
        <v>69</v>
      </c>
      <c r="BP93" s="663">
        <v>58</v>
      </c>
      <c r="BQ93" s="663">
        <v>29</v>
      </c>
      <c r="BR93" s="664">
        <f t="shared" si="154"/>
        <v>156</v>
      </c>
      <c r="BS93" s="662">
        <v>59</v>
      </c>
      <c r="BT93" s="663">
        <v>69</v>
      </c>
      <c r="BU93" s="663">
        <v>16</v>
      </c>
      <c r="BV93" s="664">
        <f t="shared" si="155"/>
        <v>144</v>
      </c>
      <c r="BW93" s="662">
        <v>47</v>
      </c>
      <c r="BX93" s="663">
        <v>70</v>
      </c>
      <c r="BY93" s="663">
        <v>20</v>
      </c>
      <c r="BZ93" s="664">
        <f t="shared" si="156"/>
        <v>137</v>
      </c>
      <c r="CA93" s="662">
        <v>69</v>
      </c>
      <c r="CB93" s="663">
        <v>72</v>
      </c>
      <c r="CC93" s="663">
        <v>30</v>
      </c>
      <c r="CD93" s="664">
        <f t="shared" si="157"/>
        <v>171</v>
      </c>
      <c r="CE93" s="662">
        <v>44</v>
      </c>
      <c r="CF93" s="663">
        <v>57</v>
      </c>
      <c r="CG93" s="663">
        <v>21</v>
      </c>
      <c r="CH93" s="664">
        <f t="shared" si="158"/>
        <v>122</v>
      </c>
      <c r="CI93" s="662">
        <v>60</v>
      </c>
      <c r="CJ93" s="663">
        <v>73</v>
      </c>
      <c r="CK93" s="663">
        <v>29</v>
      </c>
      <c r="CL93" s="664">
        <f t="shared" ref="CL93:CL98" si="160">SUM(CI93:CK93)</f>
        <v>162</v>
      </c>
      <c r="CM93" s="662">
        <v>64</v>
      </c>
      <c r="CN93" s="663">
        <v>72</v>
      </c>
      <c r="CO93" s="663">
        <v>18</v>
      </c>
      <c r="CP93" s="664">
        <f t="shared" ref="CP93:CP98" si="161">SUM(CM93:CO93)</f>
        <v>154</v>
      </c>
      <c r="CQ93" s="662">
        <v>69</v>
      </c>
      <c r="CR93" s="663">
        <v>45</v>
      </c>
      <c r="CS93" s="663">
        <v>24</v>
      </c>
      <c r="CT93" s="664">
        <f t="shared" ref="CT93:CT98" si="162">SUM(CQ93:CS93)</f>
        <v>138</v>
      </c>
    </row>
    <row r="94" spans="1:98" s="656" customFormat="1" ht="15" customHeight="1" x14ac:dyDescent="0.3">
      <c r="A94" s="642"/>
      <c r="B94" s="657" t="s">
        <v>99</v>
      </c>
      <c r="C94" s="40">
        <v>66</v>
      </c>
      <c r="D94" s="41">
        <v>35</v>
      </c>
      <c r="E94" s="41">
        <v>72</v>
      </c>
      <c r="F94" s="659">
        <v>173</v>
      </c>
      <c r="G94" s="40">
        <v>61</v>
      </c>
      <c r="H94" s="41">
        <v>52</v>
      </c>
      <c r="I94" s="41">
        <v>54</v>
      </c>
      <c r="J94" s="658">
        <v>167</v>
      </c>
      <c r="K94" s="40">
        <v>50</v>
      </c>
      <c r="L94" s="41">
        <v>54</v>
      </c>
      <c r="M94" s="41">
        <v>61</v>
      </c>
      <c r="N94" s="658">
        <v>165</v>
      </c>
      <c r="O94" s="40">
        <v>57</v>
      </c>
      <c r="P94" s="41">
        <v>61</v>
      </c>
      <c r="Q94" s="41">
        <v>76</v>
      </c>
      <c r="R94" s="659">
        <v>194</v>
      </c>
      <c r="S94" s="40">
        <v>42</v>
      </c>
      <c r="T94" s="41">
        <v>58</v>
      </c>
      <c r="U94" s="41">
        <v>54</v>
      </c>
      <c r="V94" s="659">
        <f t="shared" si="146"/>
        <v>154</v>
      </c>
      <c r="W94" s="40">
        <v>50</v>
      </c>
      <c r="X94" s="41">
        <v>66</v>
      </c>
      <c r="Y94" s="41">
        <v>43</v>
      </c>
      <c r="Z94" s="658">
        <f t="shared" si="147"/>
        <v>159</v>
      </c>
      <c r="AA94" s="660">
        <v>36</v>
      </c>
      <c r="AB94" s="41">
        <v>64</v>
      </c>
      <c r="AC94" s="41">
        <v>62</v>
      </c>
      <c r="AD94" s="658">
        <f t="shared" si="148"/>
        <v>162</v>
      </c>
      <c r="AE94" s="660">
        <v>36</v>
      </c>
      <c r="AF94" s="41">
        <v>61</v>
      </c>
      <c r="AG94" s="41">
        <v>73</v>
      </c>
      <c r="AH94" s="659">
        <f t="shared" si="149"/>
        <v>170</v>
      </c>
      <c r="AI94" s="660">
        <v>44</v>
      </c>
      <c r="AJ94" s="41">
        <v>71</v>
      </c>
      <c r="AK94" s="661">
        <v>67</v>
      </c>
      <c r="AL94" s="659">
        <f t="shared" si="150"/>
        <v>182</v>
      </c>
      <c r="AM94" s="660">
        <v>45</v>
      </c>
      <c r="AN94" s="41">
        <v>83</v>
      </c>
      <c r="AO94" s="661">
        <v>60</v>
      </c>
      <c r="AP94" s="659">
        <f t="shared" si="151"/>
        <v>188</v>
      </c>
      <c r="AQ94" s="662">
        <v>41</v>
      </c>
      <c r="AR94" s="663">
        <v>74</v>
      </c>
      <c r="AS94" s="663">
        <v>54</v>
      </c>
      <c r="AT94" s="664">
        <f t="shared" si="129"/>
        <v>169</v>
      </c>
      <c r="AU94" s="663">
        <v>56</v>
      </c>
      <c r="AV94" s="663">
        <v>71</v>
      </c>
      <c r="AW94" s="663">
        <v>77</v>
      </c>
      <c r="AX94" s="664">
        <f t="shared" si="130"/>
        <v>204</v>
      </c>
      <c r="AY94" s="662">
        <v>50</v>
      </c>
      <c r="AZ94" s="663">
        <v>73</v>
      </c>
      <c r="BA94" s="663">
        <v>51</v>
      </c>
      <c r="BB94" s="664">
        <f t="shared" si="159"/>
        <v>174</v>
      </c>
      <c r="BC94" s="662">
        <v>58</v>
      </c>
      <c r="BD94" s="663">
        <v>86</v>
      </c>
      <c r="BE94" s="663">
        <v>84</v>
      </c>
      <c r="BF94" s="664">
        <f t="shared" si="8"/>
        <v>228</v>
      </c>
      <c r="BG94" s="662">
        <v>56</v>
      </c>
      <c r="BH94" s="663">
        <v>70</v>
      </c>
      <c r="BI94" s="663">
        <v>52</v>
      </c>
      <c r="BJ94" s="664">
        <f t="shared" si="152"/>
        <v>178</v>
      </c>
      <c r="BK94" s="662">
        <v>47</v>
      </c>
      <c r="BL94" s="663">
        <v>54</v>
      </c>
      <c r="BM94" s="663">
        <v>57</v>
      </c>
      <c r="BN94" s="664">
        <f t="shared" si="153"/>
        <v>158</v>
      </c>
      <c r="BO94" s="662">
        <v>43</v>
      </c>
      <c r="BP94" s="663">
        <v>65</v>
      </c>
      <c r="BQ94" s="663">
        <v>64</v>
      </c>
      <c r="BR94" s="664">
        <f t="shared" si="154"/>
        <v>172</v>
      </c>
      <c r="BS94" s="662">
        <v>39</v>
      </c>
      <c r="BT94" s="663">
        <v>61</v>
      </c>
      <c r="BU94" s="663">
        <v>51</v>
      </c>
      <c r="BV94" s="664">
        <f t="shared" si="155"/>
        <v>151</v>
      </c>
      <c r="BW94" s="662">
        <v>44</v>
      </c>
      <c r="BX94" s="663">
        <v>73</v>
      </c>
      <c r="BY94" s="663">
        <v>89</v>
      </c>
      <c r="BZ94" s="664">
        <f t="shared" si="156"/>
        <v>206</v>
      </c>
      <c r="CA94" s="662">
        <v>47</v>
      </c>
      <c r="CB94" s="663">
        <v>97</v>
      </c>
      <c r="CC94" s="663">
        <v>65</v>
      </c>
      <c r="CD94" s="664">
        <f t="shared" si="157"/>
        <v>209</v>
      </c>
      <c r="CE94" s="662">
        <v>55</v>
      </c>
      <c r="CF94" s="663">
        <v>80</v>
      </c>
      <c r="CG94" s="663">
        <v>63</v>
      </c>
      <c r="CH94" s="664">
        <f t="shared" si="158"/>
        <v>198</v>
      </c>
      <c r="CI94" s="662">
        <v>52</v>
      </c>
      <c r="CJ94" s="663">
        <v>71</v>
      </c>
      <c r="CK94" s="663">
        <v>64</v>
      </c>
      <c r="CL94" s="664">
        <f t="shared" si="160"/>
        <v>187</v>
      </c>
      <c r="CM94" s="662">
        <v>101</v>
      </c>
      <c r="CN94" s="663">
        <v>98</v>
      </c>
      <c r="CO94" s="663">
        <v>66</v>
      </c>
      <c r="CP94" s="664">
        <f t="shared" si="161"/>
        <v>265</v>
      </c>
      <c r="CQ94" s="662">
        <v>69</v>
      </c>
      <c r="CR94" s="663">
        <v>111</v>
      </c>
      <c r="CS94" s="663">
        <v>60</v>
      </c>
      <c r="CT94" s="664">
        <f t="shared" si="162"/>
        <v>240</v>
      </c>
    </row>
    <row r="95" spans="1:98" s="656" customFormat="1" ht="15" customHeight="1" x14ac:dyDescent="0.3">
      <c r="A95" s="642"/>
      <c r="B95" s="657" t="s">
        <v>100</v>
      </c>
      <c r="C95" s="40">
        <v>46</v>
      </c>
      <c r="D95" s="41">
        <v>63</v>
      </c>
      <c r="E95" s="41">
        <v>30</v>
      </c>
      <c r="F95" s="659">
        <v>139</v>
      </c>
      <c r="G95" s="40">
        <v>48</v>
      </c>
      <c r="H95" s="41">
        <v>58</v>
      </c>
      <c r="I95" s="41">
        <v>35</v>
      </c>
      <c r="J95" s="658">
        <v>141</v>
      </c>
      <c r="K95" s="40">
        <v>52</v>
      </c>
      <c r="L95" s="41">
        <v>55</v>
      </c>
      <c r="M95" s="41">
        <v>60</v>
      </c>
      <c r="N95" s="658">
        <v>167</v>
      </c>
      <c r="O95" s="40">
        <v>49</v>
      </c>
      <c r="P95" s="41">
        <v>82</v>
      </c>
      <c r="Q95" s="41">
        <v>64</v>
      </c>
      <c r="R95" s="659">
        <v>195</v>
      </c>
      <c r="S95" s="40">
        <v>49</v>
      </c>
      <c r="T95" s="41">
        <v>62</v>
      </c>
      <c r="U95" s="41">
        <v>46</v>
      </c>
      <c r="V95" s="659">
        <f t="shared" si="146"/>
        <v>157</v>
      </c>
      <c r="W95" s="40">
        <v>33</v>
      </c>
      <c r="X95" s="41">
        <v>60</v>
      </c>
      <c r="Y95" s="41">
        <v>25</v>
      </c>
      <c r="Z95" s="658">
        <f t="shared" si="147"/>
        <v>118</v>
      </c>
      <c r="AA95" s="660">
        <v>49</v>
      </c>
      <c r="AB95" s="41">
        <v>73</v>
      </c>
      <c r="AC95" s="41">
        <v>56</v>
      </c>
      <c r="AD95" s="658">
        <f t="shared" si="148"/>
        <v>178</v>
      </c>
      <c r="AE95" s="660">
        <v>38</v>
      </c>
      <c r="AF95" s="41">
        <v>77</v>
      </c>
      <c r="AG95" s="41">
        <v>55</v>
      </c>
      <c r="AH95" s="659">
        <f t="shared" si="149"/>
        <v>170</v>
      </c>
      <c r="AI95" s="660">
        <v>66</v>
      </c>
      <c r="AJ95" s="41">
        <v>66</v>
      </c>
      <c r="AK95" s="661">
        <v>63</v>
      </c>
      <c r="AL95" s="659">
        <f t="shared" si="150"/>
        <v>195</v>
      </c>
      <c r="AM95" s="660">
        <v>65</v>
      </c>
      <c r="AN95" s="41">
        <v>73</v>
      </c>
      <c r="AO95" s="661">
        <v>71</v>
      </c>
      <c r="AP95" s="659">
        <f t="shared" si="151"/>
        <v>209</v>
      </c>
      <c r="AQ95" s="662">
        <v>59</v>
      </c>
      <c r="AR95" s="663">
        <v>78</v>
      </c>
      <c r="AS95" s="663">
        <v>67</v>
      </c>
      <c r="AT95" s="664">
        <f t="shared" si="129"/>
        <v>204</v>
      </c>
      <c r="AU95" s="663">
        <v>54</v>
      </c>
      <c r="AV95" s="663">
        <v>71</v>
      </c>
      <c r="AW95" s="663">
        <v>68</v>
      </c>
      <c r="AX95" s="664">
        <f t="shared" si="130"/>
        <v>193</v>
      </c>
      <c r="AY95" s="662">
        <v>65</v>
      </c>
      <c r="AZ95" s="663">
        <v>72</v>
      </c>
      <c r="BA95" s="663">
        <v>65</v>
      </c>
      <c r="BB95" s="664">
        <f t="shared" si="159"/>
        <v>202</v>
      </c>
      <c r="BC95" s="662">
        <v>49</v>
      </c>
      <c r="BD95" s="663">
        <v>64</v>
      </c>
      <c r="BE95" s="663">
        <v>38</v>
      </c>
      <c r="BF95" s="664">
        <f t="shared" si="8"/>
        <v>151</v>
      </c>
      <c r="BG95" s="662">
        <v>43</v>
      </c>
      <c r="BH95" s="663">
        <v>50</v>
      </c>
      <c r="BI95" s="663">
        <v>54</v>
      </c>
      <c r="BJ95" s="664">
        <f t="shared" si="152"/>
        <v>147</v>
      </c>
      <c r="BK95" s="662">
        <v>48</v>
      </c>
      <c r="BL95" s="663">
        <v>60</v>
      </c>
      <c r="BM95" s="663">
        <v>51</v>
      </c>
      <c r="BN95" s="664">
        <f t="shared" si="153"/>
        <v>159</v>
      </c>
      <c r="BO95" s="662">
        <v>52</v>
      </c>
      <c r="BP95" s="663">
        <v>48</v>
      </c>
      <c r="BQ95" s="663">
        <v>49</v>
      </c>
      <c r="BR95" s="664">
        <f t="shared" si="154"/>
        <v>149</v>
      </c>
      <c r="BS95" s="662">
        <v>53</v>
      </c>
      <c r="BT95" s="663">
        <v>78</v>
      </c>
      <c r="BU95" s="663">
        <v>51</v>
      </c>
      <c r="BV95" s="664">
        <f t="shared" si="155"/>
        <v>182</v>
      </c>
      <c r="BW95" s="662">
        <v>45</v>
      </c>
      <c r="BX95" s="663">
        <v>54</v>
      </c>
      <c r="BY95" s="663">
        <v>17</v>
      </c>
      <c r="BZ95" s="664">
        <f t="shared" si="156"/>
        <v>116</v>
      </c>
      <c r="CA95" s="662">
        <v>21</v>
      </c>
      <c r="CB95" s="663">
        <v>64</v>
      </c>
      <c r="CC95" s="663">
        <v>33</v>
      </c>
      <c r="CD95" s="664">
        <f t="shared" si="157"/>
        <v>118</v>
      </c>
      <c r="CE95" s="662">
        <v>43</v>
      </c>
      <c r="CF95" s="663">
        <v>65</v>
      </c>
      <c r="CG95" s="663">
        <v>53</v>
      </c>
      <c r="CH95" s="664">
        <f t="shared" si="158"/>
        <v>161</v>
      </c>
      <c r="CI95" s="662">
        <v>51</v>
      </c>
      <c r="CJ95" s="663">
        <v>68</v>
      </c>
      <c r="CK95" s="663">
        <v>61</v>
      </c>
      <c r="CL95" s="664">
        <f t="shared" si="160"/>
        <v>180</v>
      </c>
      <c r="CM95" s="662">
        <v>63</v>
      </c>
      <c r="CN95" s="663">
        <v>60</v>
      </c>
      <c r="CO95" s="663">
        <v>65</v>
      </c>
      <c r="CP95" s="664">
        <f t="shared" si="161"/>
        <v>188</v>
      </c>
      <c r="CQ95" s="662">
        <v>54</v>
      </c>
      <c r="CR95" s="663">
        <v>65</v>
      </c>
      <c r="CS95" s="663">
        <v>52</v>
      </c>
      <c r="CT95" s="664">
        <f t="shared" si="162"/>
        <v>171</v>
      </c>
    </row>
    <row r="96" spans="1:98" s="656" customFormat="1" ht="15" customHeight="1" x14ac:dyDescent="0.3">
      <c r="A96" s="642"/>
      <c r="B96" s="657" t="s">
        <v>101</v>
      </c>
      <c r="C96" s="40">
        <v>21</v>
      </c>
      <c r="D96" s="41">
        <v>20</v>
      </c>
      <c r="E96" s="41">
        <v>14</v>
      </c>
      <c r="F96" s="659">
        <v>55</v>
      </c>
      <c r="G96" s="40">
        <v>25</v>
      </c>
      <c r="H96" s="41">
        <v>30</v>
      </c>
      <c r="I96" s="41">
        <v>21</v>
      </c>
      <c r="J96" s="658">
        <v>76</v>
      </c>
      <c r="K96" s="40">
        <v>22</v>
      </c>
      <c r="L96" s="41">
        <v>31</v>
      </c>
      <c r="M96" s="41">
        <v>12</v>
      </c>
      <c r="N96" s="658">
        <v>65</v>
      </c>
      <c r="O96" s="40">
        <v>23</v>
      </c>
      <c r="P96" s="41">
        <v>42</v>
      </c>
      <c r="Q96" s="41">
        <v>27</v>
      </c>
      <c r="R96" s="659">
        <v>92</v>
      </c>
      <c r="S96" s="40">
        <v>20</v>
      </c>
      <c r="T96" s="41">
        <v>33</v>
      </c>
      <c r="U96" s="41">
        <v>16</v>
      </c>
      <c r="V96" s="659">
        <f t="shared" si="146"/>
        <v>69</v>
      </c>
      <c r="W96" s="40">
        <v>21</v>
      </c>
      <c r="X96" s="41">
        <v>22</v>
      </c>
      <c r="Y96" s="41">
        <v>7</v>
      </c>
      <c r="Z96" s="658">
        <f t="shared" si="147"/>
        <v>50</v>
      </c>
      <c r="AA96" s="660">
        <v>15</v>
      </c>
      <c r="AB96" s="41">
        <v>15</v>
      </c>
      <c r="AC96" s="41">
        <v>12</v>
      </c>
      <c r="AD96" s="658">
        <f t="shared" si="148"/>
        <v>42</v>
      </c>
      <c r="AE96" s="660">
        <v>15</v>
      </c>
      <c r="AF96" s="41">
        <v>30</v>
      </c>
      <c r="AG96" s="41">
        <v>16</v>
      </c>
      <c r="AH96" s="659">
        <f t="shared" si="149"/>
        <v>61</v>
      </c>
      <c r="AI96" s="660">
        <v>45</v>
      </c>
      <c r="AJ96" s="41">
        <v>20</v>
      </c>
      <c r="AK96" s="661">
        <v>9</v>
      </c>
      <c r="AL96" s="659">
        <f t="shared" si="150"/>
        <v>74</v>
      </c>
      <c r="AM96" s="660">
        <v>13</v>
      </c>
      <c r="AN96" s="41">
        <v>19</v>
      </c>
      <c r="AO96" s="661">
        <v>10</v>
      </c>
      <c r="AP96" s="659">
        <f t="shared" si="151"/>
        <v>42</v>
      </c>
      <c r="AQ96" s="662">
        <v>8</v>
      </c>
      <c r="AR96" s="663">
        <v>20</v>
      </c>
      <c r="AS96" s="663">
        <v>15</v>
      </c>
      <c r="AT96" s="664">
        <f t="shared" si="129"/>
        <v>43</v>
      </c>
      <c r="AU96" s="663">
        <v>20</v>
      </c>
      <c r="AV96" s="663">
        <v>30</v>
      </c>
      <c r="AW96" s="663">
        <v>19</v>
      </c>
      <c r="AX96" s="664">
        <f t="shared" si="130"/>
        <v>69</v>
      </c>
      <c r="AY96" s="662">
        <v>27</v>
      </c>
      <c r="AZ96" s="663">
        <v>36</v>
      </c>
      <c r="BA96" s="663">
        <v>21</v>
      </c>
      <c r="BB96" s="664">
        <f t="shared" si="159"/>
        <v>84</v>
      </c>
      <c r="BC96" s="662">
        <v>37</v>
      </c>
      <c r="BD96" s="663">
        <v>55</v>
      </c>
      <c r="BE96" s="663">
        <v>19</v>
      </c>
      <c r="BF96" s="664">
        <f t="shared" si="8"/>
        <v>111</v>
      </c>
      <c r="BG96" s="662">
        <v>33</v>
      </c>
      <c r="BH96" s="663">
        <v>50</v>
      </c>
      <c r="BI96" s="663">
        <v>30</v>
      </c>
      <c r="BJ96" s="664">
        <f t="shared" si="152"/>
        <v>113</v>
      </c>
      <c r="BK96" s="662">
        <v>32</v>
      </c>
      <c r="BL96" s="663">
        <v>49</v>
      </c>
      <c r="BM96" s="663">
        <v>29</v>
      </c>
      <c r="BN96" s="664">
        <f t="shared" si="153"/>
        <v>110</v>
      </c>
      <c r="BO96" s="662">
        <v>51</v>
      </c>
      <c r="BP96" s="663">
        <v>56</v>
      </c>
      <c r="BQ96" s="663">
        <v>20</v>
      </c>
      <c r="BR96" s="664">
        <f t="shared" si="154"/>
        <v>127</v>
      </c>
      <c r="BS96" s="662">
        <v>33</v>
      </c>
      <c r="BT96" s="663">
        <v>47</v>
      </c>
      <c r="BU96" s="663">
        <v>39</v>
      </c>
      <c r="BV96" s="664">
        <f t="shared" si="155"/>
        <v>119</v>
      </c>
      <c r="BW96" s="662">
        <v>37</v>
      </c>
      <c r="BX96" s="663">
        <v>47</v>
      </c>
      <c r="BY96" s="663">
        <v>20</v>
      </c>
      <c r="BZ96" s="664">
        <f t="shared" si="156"/>
        <v>104</v>
      </c>
      <c r="CA96" s="662">
        <v>37</v>
      </c>
      <c r="CB96" s="663">
        <v>30</v>
      </c>
      <c r="CC96" s="663">
        <v>27</v>
      </c>
      <c r="CD96" s="664">
        <f t="shared" si="157"/>
        <v>94</v>
      </c>
      <c r="CE96" s="662">
        <v>50</v>
      </c>
      <c r="CF96" s="663">
        <v>42</v>
      </c>
      <c r="CG96" s="663">
        <v>20</v>
      </c>
      <c r="CH96" s="664">
        <f t="shared" si="158"/>
        <v>112</v>
      </c>
      <c r="CI96" s="662">
        <v>39</v>
      </c>
      <c r="CJ96" s="663">
        <v>37</v>
      </c>
      <c r="CK96" s="663">
        <v>26</v>
      </c>
      <c r="CL96" s="664">
        <f t="shared" si="160"/>
        <v>102</v>
      </c>
      <c r="CM96" s="662">
        <v>33</v>
      </c>
      <c r="CN96" s="663">
        <v>52</v>
      </c>
      <c r="CO96" s="663">
        <v>31</v>
      </c>
      <c r="CP96" s="664">
        <f t="shared" si="161"/>
        <v>116</v>
      </c>
      <c r="CQ96" s="662">
        <v>27</v>
      </c>
      <c r="CR96" s="663">
        <v>44</v>
      </c>
      <c r="CS96" s="663">
        <v>36</v>
      </c>
      <c r="CT96" s="664">
        <f t="shared" si="162"/>
        <v>107</v>
      </c>
    </row>
    <row r="97" spans="1:98" s="656" customFormat="1" ht="15" customHeight="1" x14ac:dyDescent="0.3">
      <c r="A97" s="642"/>
      <c r="B97" s="657" t="s">
        <v>102</v>
      </c>
      <c r="C97" s="40">
        <v>9</v>
      </c>
      <c r="D97" s="41">
        <v>99</v>
      </c>
      <c r="E97" s="41">
        <v>60</v>
      </c>
      <c r="F97" s="659">
        <v>168</v>
      </c>
      <c r="G97" s="40">
        <v>18</v>
      </c>
      <c r="H97" s="41">
        <v>105</v>
      </c>
      <c r="I97" s="41">
        <v>57</v>
      </c>
      <c r="J97" s="658">
        <v>180</v>
      </c>
      <c r="K97" s="40">
        <v>8</v>
      </c>
      <c r="L97" s="41">
        <v>51</v>
      </c>
      <c r="M97" s="41">
        <v>74</v>
      </c>
      <c r="N97" s="658">
        <v>133</v>
      </c>
      <c r="O97" s="40">
        <v>26</v>
      </c>
      <c r="P97" s="41">
        <v>65</v>
      </c>
      <c r="Q97" s="41">
        <v>54</v>
      </c>
      <c r="R97" s="659">
        <v>145</v>
      </c>
      <c r="S97" s="40">
        <v>63</v>
      </c>
      <c r="T97" s="41" t="s">
        <v>122</v>
      </c>
      <c r="U97" s="41">
        <v>84</v>
      </c>
      <c r="V97" s="659">
        <f t="shared" si="146"/>
        <v>147</v>
      </c>
      <c r="W97" s="40" t="s">
        <v>122</v>
      </c>
      <c r="X97" s="41">
        <v>45</v>
      </c>
      <c r="Y97" s="41">
        <v>124</v>
      </c>
      <c r="Z97" s="658">
        <f t="shared" si="147"/>
        <v>169</v>
      </c>
      <c r="AA97" s="660" t="s">
        <v>122</v>
      </c>
      <c r="AB97" s="41">
        <v>51</v>
      </c>
      <c r="AC97" s="41">
        <v>87</v>
      </c>
      <c r="AD97" s="658">
        <f t="shared" si="148"/>
        <v>138</v>
      </c>
      <c r="AE97" s="660" t="s">
        <v>122</v>
      </c>
      <c r="AF97" s="41">
        <v>49</v>
      </c>
      <c r="AG97" s="41">
        <v>78</v>
      </c>
      <c r="AH97" s="659">
        <f t="shared" si="149"/>
        <v>127</v>
      </c>
      <c r="AI97" s="660" t="s">
        <v>122</v>
      </c>
      <c r="AJ97" s="41">
        <v>42</v>
      </c>
      <c r="AK97" s="661">
        <v>96</v>
      </c>
      <c r="AL97" s="659">
        <f t="shared" si="150"/>
        <v>138</v>
      </c>
      <c r="AM97" s="660">
        <v>65</v>
      </c>
      <c r="AN97" s="41">
        <v>1</v>
      </c>
      <c r="AO97" s="661">
        <v>82</v>
      </c>
      <c r="AP97" s="659">
        <f t="shared" si="151"/>
        <v>148</v>
      </c>
      <c r="AQ97" s="662" t="s">
        <v>122</v>
      </c>
      <c r="AR97" s="663">
        <v>71</v>
      </c>
      <c r="AS97" s="663">
        <v>104</v>
      </c>
      <c r="AT97" s="664">
        <f t="shared" si="129"/>
        <v>175</v>
      </c>
      <c r="AU97" s="663" t="s">
        <v>122</v>
      </c>
      <c r="AV97" s="663">
        <v>91</v>
      </c>
      <c r="AW97" s="663">
        <v>99</v>
      </c>
      <c r="AX97" s="664">
        <f t="shared" si="130"/>
        <v>190</v>
      </c>
      <c r="AY97" s="662"/>
      <c r="AZ97" s="663">
        <v>63</v>
      </c>
      <c r="BA97" s="663">
        <v>101</v>
      </c>
      <c r="BB97" s="664">
        <f t="shared" si="159"/>
        <v>164</v>
      </c>
      <c r="BC97" s="662">
        <v>1</v>
      </c>
      <c r="BD97" s="663">
        <v>66</v>
      </c>
      <c r="BE97" s="663">
        <v>67</v>
      </c>
      <c r="BF97" s="664">
        <f t="shared" si="8"/>
        <v>134</v>
      </c>
      <c r="BG97" s="662">
        <v>2</v>
      </c>
      <c r="BH97" s="663">
        <v>57</v>
      </c>
      <c r="BI97" s="663">
        <v>121</v>
      </c>
      <c r="BJ97" s="664">
        <f t="shared" si="152"/>
        <v>180</v>
      </c>
      <c r="BK97" s="662">
        <v>0</v>
      </c>
      <c r="BL97" s="663">
        <v>62</v>
      </c>
      <c r="BM97" s="663">
        <v>106</v>
      </c>
      <c r="BN97" s="664">
        <f t="shared" si="153"/>
        <v>168</v>
      </c>
      <c r="BO97" s="662">
        <v>0</v>
      </c>
      <c r="BP97" s="663">
        <v>73</v>
      </c>
      <c r="BQ97" s="663">
        <v>115</v>
      </c>
      <c r="BR97" s="664">
        <f t="shared" si="154"/>
        <v>188</v>
      </c>
      <c r="BS97" s="662">
        <v>0</v>
      </c>
      <c r="BT97" s="663">
        <v>42</v>
      </c>
      <c r="BU97" s="663">
        <v>89</v>
      </c>
      <c r="BV97" s="664">
        <f t="shared" si="155"/>
        <v>131</v>
      </c>
      <c r="BW97" s="662">
        <v>0</v>
      </c>
      <c r="BX97" s="663">
        <v>50</v>
      </c>
      <c r="BY97" s="663">
        <v>101</v>
      </c>
      <c r="BZ97" s="664">
        <f t="shared" si="156"/>
        <v>151</v>
      </c>
      <c r="CA97" s="662"/>
      <c r="CB97" s="663">
        <v>44</v>
      </c>
      <c r="CC97" s="663">
        <v>87</v>
      </c>
      <c r="CD97" s="664">
        <f t="shared" si="157"/>
        <v>131</v>
      </c>
      <c r="CE97" s="662">
        <v>34</v>
      </c>
      <c r="CF97" s="663">
        <v>86</v>
      </c>
      <c r="CG97" s="663"/>
      <c r="CH97" s="664">
        <f t="shared" si="158"/>
        <v>120</v>
      </c>
      <c r="CI97" s="662">
        <v>69</v>
      </c>
      <c r="CJ97" s="663">
        <v>63</v>
      </c>
      <c r="CK97" s="663">
        <v>0</v>
      </c>
      <c r="CL97" s="664">
        <f t="shared" si="160"/>
        <v>132</v>
      </c>
      <c r="CM97" s="662">
        <v>12</v>
      </c>
      <c r="CN97" s="663">
        <v>88</v>
      </c>
      <c r="CO97" s="663">
        <v>4</v>
      </c>
      <c r="CP97" s="664">
        <f t="shared" si="161"/>
        <v>104</v>
      </c>
      <c r="CQ97" s="662">
        <v>74</v>
      </c>
      <c r="CR97" s="663">
        <v>1</v>
      </c>
      <c r="CS97" s="663">
        <v>86</v>
      </c>
      <c r="CT97" s="664">
        <f t="shared" si="162"/>
        <v>161</v>
      </c>
    </row>
    <row r="98" spans="1:98" s="656" customFormat="1" ht="15" customHeight="1" x14ac:dyDescent="0.3">
      <c r="A98" s="642"/>
      <c r="B98" s="665" t="s">
        <v>103</v>
      </c>
      <c r="C98" s="46">
        <v>29</v>
      </c>
      <c r="D98" s="50">
        <v>44</v>
      </c>
      <c r="E98" s="50">
        <v>24</v>
      </c>
      <c r="F98" s="667">
        <v>97</v>
      </c>
      <c r="G98" s="46">
        <v>27</v>
      </c>
      <c r="H98" s="50">
        <v>44</v>
      </c>
      <c r="I98" s="50">
        <v>23</v>
      </c>
      <c r="J98" s="666">
        <v>94</v>
      </c>
      <c r="K98" s="46">
        <v>27</v>
      </c>
      <c r="L98" s="50">
        <v>51</v>
      </c>
      <c r="M98" s="50">
        <v>23</v>
      </c>
      <c r="N98" s="666">
        <v>101</v>
      </c>
      <c r="O98" s="46">
        <v>42</v>
      </c>
      <c r="P98" s="50">
        <v>71</v>
      </c>
      <c r="Q98" s="50">
        <v>21</v>
      </c>
      <c r="R98" s="667">
        <v>134</v>
      </c>
      <c r="S98" s="46">
        <v>29</v>
      </c>
      <c r="T98" s="50">
        <v>42</v>
      </c>
      <c r="U98" s="50">
        <v>20</v>
      </c>
      <c r="V98" s="667">
        <f t="shared" si="146"/>
        <v>91</v>
      </c>
      <c r="W98" s="46">
        <v>36</v>
      </c>
      <c r="X98" s="50">
        <v>44</v>
      </c>
      <c r="Y98" s="50">
        <v>18</v>
      </c>
      <c r="Z98" s="666">
        <f t="shared" si="147"/>
        <v>98</v>
      </c>
      <c r="AA98" s="668">
        <v>25</v>
      </c>
      <c r="AB98" s="50">
        <v>39</v>
      </c>
      <c r="AC98" s="50">
        <v>22</v>
      </c>
      <c r="AD98" s="666">
        <f t="shared" si="148"/>
        <v>86</v>
      </c>
      <c r="AE98" s="668">
        <v>40</v>
      </c>
      <c r="AF98" s="50">
        <v>55</v>
      </c>
      <c r="AG98" s="50">
        <v>12</v>
      </c>
      <c r="AH98" s="667">
        <f t="shared" si="149"/>
        <v>107</v>
      </c>
      <c r="AI98" s="668">
        <v>56</v>
      </c>
      <c r="AJ98" s="50">
        <v>42</v>
      </c>
      <c r="AK98" s="669">
        <v>30</v>
      </c>
      <c r="AL98" s="667">
        <f t="shared" si="150"/>
        <v>128</v>
      </c>
      <c r="AM98" s="668">
        <v>51</v>
      </c>
      <c r="AN98" s="50">
        <v>53</v>
      </c>
      <c r="AO98" s="669">
        <v>12</v>
      </c>
      <c r="AP98" s="667">
        <f t="shared" si="151"/>
        <v>116</v>
      </c>
      <c r="AQ98" s="670">
        <v>59</v>
      </c>
      <c r="AR98" s="671">
        <v>86</v>
      </c>
      <c r="AS98" s="671">
        <v>51</v>
      </c>
      <c r="AT98" s="672">
        <f t="shared" si="129"/>
        <v>196</v>
      </c>
      <c r="AU98" s="671">
        <v>61</v>
      </c>
      <c r="AV98" s="671">
        <v>9</v>
      </c>
      <c r="AW98" s="671">
        <v>15</v>
      </c>
      <c r="AX98" s="672">
        <f t="shared" si="130"/>
        <v>85</v>
      </c>
      <c r="AY98" s="670">
        <v>52</v>
      </c>
      <c r="AZ98" s="671">
        <v>42</v>
      </c>
      <c r="BA98" s="671">
        <v>28</v>
      </c>
      <c r="BB98" s="672">
        <f t="shared" si="159"/>
        <v>122</v>
      </c>
      <c r="BC98" s="670">
        <v>42</v>
      </c>
      <c r="BD98" s="671">
        <v>54</v>
      </c>
      <c r="BE98" s="671">
        <v>11</v>
      </c>
      <c r="BF98" s="672">
        <f t="shared" si="8"/>
        <v>107</v>
      </c>
      <c r="BG98" s="670">
        <v>44</v>
      </c>
      <c r="BH98" s="671">
        <v>49</v>
      </c>
      <c r="BI98" s="671">
        <v>30</v>
      </c>
      <c r="BJ98" s="672">
        <f t="shared" si="152"/>
        <v>123</v>
      </c>
      <c r="BK98" s="670">
        <v>33</v>
      </c>
      <c r="BL98" s="671">
        <v>50</v>
      </c>
      <c r="BM98" s="671">
        <v>32</v>
      </c>
      <c r="BN98" s="672">
        <f t="shared" si="153"/>
        <v>115</v>
      </c>
      <c r="BO98" s="670">
        <v>55</v>
      </c>
      <c r="BP98" s="671">
        <v>50</v>
      </c>
      <c r="BQ98" s="671">
        <v>26</v>
      </c>
      <c r="BR98" s="672">
        <f t="shared" si="154"/>
        <v>131</v>
      </c>
      <c r="BS98" s="670">
        <v>38</v>
      </c>
      <c r="BT98" s="671">
        <v>66</v>
      </c>
      <c r="BU98" s="671">
        <v>8</v>
      </c>
      <c r="BV98" s="672">
        <f t="shared" si="155"/>
        <v>112</v>
      </c>
      <c r="BW98" s="670">
        <v>48</v>
      </c>
      <c r="BX98" s="671">
        <v>62</v>
      </c>
      <c r="BY98" s="671">
        <v>36</v>
      </c>
      <c r="BZ98" s="672">
        <f t="shared" si="156"/>
        <v>146</v>
      </c>
      <c r="CA98" s="670">
        <v>39</v>
      </c>
      <c r="CB98" s="671">
        <v>66</v>
      </c>
      <c r="CC98" s="671">
        <v>18</v>
      </c>
      <c r="CD98" s="672">
        <f t="shared" si="157"/>
        <v>123</v>
      </c>
      <c r="CE98" s="670">
        <v>42</v>
      </c>
      <c r="CF98" s="671">
        <v>57</v>
      </c>
      <c r="CG98" s="671">
        <v>21</v>
      </c>
      <c r="CH98" s="672">
        <f t="shared" si="158"/>
        <v>120</v>
      </c>
      <c r="CI98" s="670">
        <v>48</v>
      </c>
      <c r="CJ98" s="671">
        <v>58</v>
      </c>
      <c r="CK98" s="671">
        <v>27</v>
      </c>
      <c r="CL98" s="664">
        <f t="shared" si="160"/>
        <v>133</v>
      </c>
      <c r="CM98" s="670">
        <v>50</v>
      </c>
      <c r="CN98" s="671">
        <v>49</v>
      </c>
      <c r="CO98" s="671">
        <v>23</v>
      </c>
      <c r="CP98" s="664">
        <f t="shared" si="161"/>
        <v>122</v>
      </c>
      <c r="CQ98" s="670">
        <v>49</v>
      </c>
      <c r="CR98" s="671">
        <v>45</v>
      </c>
      <c r="CS98" s="671">
        <v>26</v>
      </c>
      <c r="CT98" s="664">
        <f t="shared" si="162"/>
        <v>120</v>
      </c>
    </row>
    <row r="99" spans="1:98" s="656" customFormat="1" ht="15" customHeight="1" x14ac:dyDescent="0.3">
      <c r="A99" s="642"/>
      <c r="B99" s="673" t="s">
        <v>92</v>
      </c>
      <c r="C99" s="674">
        <v>301</v>
      </c>
      <c r="D99" s="675">
        <v>453</v>
      </c>
      <c r="E99" s="675">
        <v>289</v>
      </c>
      <c r="F99" s="676">
        <v>1043</v>
      </c>
      <c r="G99" s="674">
        <v>346</v>
      </c>
      <c r="H99" s="675">
        <v>501</v>
      </c>
      <c r="I99" s="675">
        <v>330</v>
      </c>
      <c r="J99" s="676">
        <v>1177</v>
      </c>
      <c r="K99" s="674">
        <v>305</v>
      </c>
      <c r="L99" s="675">
        <v>435</v>
      </c>
      <c r="M99" s="675">
        <v>359</v>
      </c>
      <c r="N99" s="676">
        <v>1099</v>
      </c>
      <c r="O99" s="674">
        <v>341</v>
      </c>
      <c r="P99" s="675">
        <v>555</v>
      </c>
      <c r="Q99" s="675">
        <v>357</v>
      </c>
      <c r="R99" s="676">
        <v>1253</v>
      </c>
      <c r="S99" s="674">
        <f t="shared" ref="S99:CD99" si="163">SUM(S91:S98)</f>
        <v>343</v>
      </c>
      <c r="T99" s="675">
        <f t="shared" si="163"/>
        <v>351</v>
      </c>
      <c r="U99" s="675">
        <f t="shared" si="163"/>
        <v>319</v>
      </c>
      <c r="V99" s="676">
        <f t="shared" si="163"/>
        <v>1013</v>
      </c>
      <c r="W99" s="674">
        <f t="shared" si="163"/>
        <v>235</v>
      </c>
      <c r="X99" s="675">
        <f t="shared" si="163"/>
        <v>378</v>
      </c>
      <c r="Y99" s="675">
        <f t="shared" si="163"/>
        <v>291</v>
      </c>
      <c r="Z99" s="676">
        <f t="shared" si="163"/>
        <v>904</v>
      </c>
      <c r="AA99" s="674">
        <f t="shared" si="163"/>
        <v>223</v>
      </c>
      <c r="AB99" s="675">
        <f t="shared" si="163"/>
        <v>383</v>
      </c>
      <c r="AC99" s="675">
        <f t="shared" si="163"/>
        <v>288</v>
      </c>
      <c r="AD99" s="676">
        <f t="shared" si="163"/>
        <v>894</v>
      </c>
      <c r="AE99" s="674">
        <f t="shared" si="163"/>
        <v>244</v>
      </c>
      <c r="AF99" s="675">
        <f t="shared" si="163"/>
        <v>411</v>
      </c>
      <c r="AG99" s="675">
        <f t="shared" si="163"/>
        <v>303</v>
      </c>
      <c r="AH99" s="676">
        <f t="shared" si="163"/>
        <v>958</v>
      </c>
      <c r="AI99" s="674">
        <f t="shared" si="163"/>
        <v>328</v>
      </c>
      <c r="AJ99" s="675">
        <f t="shared" si="163"/>
        <v>418</v>
      </c>
      <c r="AK99" s="675">
        <f t="shared" si="163"/>
        <v>360</v>
      </c>
      <c r="AL99" s="676">
        <f t="shared" si="163"/>
        <v>1106</v>
      </c>
      <c r="AM99" s="674">
        <f t="shared" si="163"/>
        <v>428</v>
      </c>
      <c r="AN99" s="675">
        <f t="shared" si="163"/>
        <v>432</v>
      </c>
      <c r="AO99" s="675">
        <f t="shared" si="163"/>
        <v>366</v>
      </c>
      <c r="AP99" s="676">
        <f t="shared" si="163"/>
        <v>1226</v>
      </c>
      <c r="AQ99" s="674">
        <f t="shared" si="163"/>
        <v>323</v>
      </c>
      <c r="AR99" s="675">
        <f t="shared" si="163"/>
        <v>563</v>
      </c>
      <c r="AS99" s="675">
        <f t="shared" si="163"/>
        <v>398</v>
      </c>
      <c r="AT99" s="676">
        <f t="shared" si="129"/>
        <v>1284</v>
      </c>
      <c r="AU99" s="674">
        <f>SUM(AU91:AU98)</f>
        <v>342</v>
      </c>
      <c r="AV99" s="675">
        <f>SUM(AV91:AV98)</f>
        <v>475</v>
      </c>
      <c r="AW99" s="675">
        <f>SUM(AW91:AW98)</f>
        <v>373</v>
      </c>
      <c r="AX99" s="676">
        <f t="shared" si="130"/>
        <v>1190</v>
      </c>
      <c r="AY99" s="674">
        <f t="shared" si="163"/>
        <v>348</v>
      </c>
      <c r="AZ99" s="675">
        <f t="shared" si="163"/>
        <v>477</v>
      </c>
      <c r="BA99" s="675">
        <f t="shared" si="163"/>
        <v>335</v>
      </c>
      <c r="BB99" s="676">
        <f t="shared" si="163"/>
        <v>1160</v>
      </c>
      <c r="BC99" s="674">
        <f t="shared" si="163"/>
        <v>352</v>
      </c>
      <c r="BD99" s="675">
        <f t="shared" si="163"/>
        <v>523</v>
      </c>
      <c r="BE99" s="675">
        <f t="shared" si="163"/>
        <v>310</v>
      </c>
      <c r="BF99" s="676">
        <f t="shared" si="163"/>
        <v>1185</v>
      </c>
      <c r="BG99" s="674">
        <f t="shared" si="163"/>
        <v>324</v>
      </c>
      <c r="BH99" s="675">
        <f t="shared" si="163"/>
        <v>450</v>
      </c>
      <c r="BI99" s="675">
        <f t="shared" si="163"/>
        <v>371</v>
      </c>
      <c r="BJ99" s="676">
        <f t="shared" si="163"/>
        <v>1145</v>
      </c>
      <c r="BK99" s="674">
        <f t="shared" si="163"/>
        <v>281</v>
      </c>
      <c r="BL99" s="675">
        <f t="shared" si="163"/>
        <v>489</v>
      </c>
      <c r="BM99" s="675">
        <f t="shared" si="163"/>
        <v>357</v>
      </c>
      <c r="BN99" s="676">
        <f t="shared" si="163"/>
        <v>1127</v>
      </c>
      <c r="BO99" s="674">
        <f t="shared" si="163"/>
        <v>341</v>
      </c>
      <c r="BP99" s="675">
        <f t="shared" si="163"/>
        <v>444</v>
      </c>
      <c r="BQ99" s="675">
        <f t="shared" si="163"/>
        <v>358</v>
      </c>
      <c r="BR99" s="676">
        <f t="shared" si="163"/>
        <v>1143</v>
      </c>
      <c r="BS99" s="674">
        <f t="shared" si="163"/>
        <v>302</v>
      </c>
      <c r="BT99" s="675">
        <f t="shared" si="163"/>
        <v>456</v>
      </c>
      <c r="BU99" s="675">
        <f t="shared" si="163"/>
        <v>312</v>
      </c>
      <c r="BV99" s="676">
        <f t="shared" si="163"/>
        <v>1070</v>
      </c>
      <c r="BW99" s="674">
        <f t="shared" si="163"/>
        <v>311</v>
      </c>
      <c r="BX99" s="675">
        <f t="shared" si="163"/>
        <v>465</v>
      </c>
      <c r="BY99" s="675">
        <f t="shared" si="163"/>
        <v>345</v>
      </c>
      <c r="BZ99" s="676">
        <f t="shared" si="163"/>
        <v>1121</v>
      </c>
      <c r="CA99" s="674">
        <f t="shared" si="163"/>
        <v>300</v>
      </c>
      <c r="CB99" s="675">
        <f t="shared" si="163"/>
        <v>490</v>
      </c>
      <c r="CC99" s="675">
        <f t="shared" si="163"/>
        <v>312</v>
      </c>
      <c r="CD99" s="676">
        <f t="shared" si="163"/>
        <v>1102</v>
      </c>
      <c r="CE99" s="674">
        <f t="shared" ref="CE99:CF99" si="164">SUM(CE91:CE98)</f>
        <v>323</v>
      </c>
      <c r="CF99" s="675">
        <f t="shared" si="164"/>
        <v>506</v>
      </c>
      <c r="CG99" s="675">
        <v>227</v>
      </c>
      <c r="CH99" s="676">
        <f t="shared" ref="CH99:CP99" si="165">SUM(CH91:CH98)</f>
        <v>1056</v>
      </c>
      <c r="CI99" s="674">
        <f t="shared" si="165"/>
        <v>383</v>
      </c>
      <c r="CJ99" s="675">
        <f t="shared" si="165"/>
        <v>492</v>
      </c>
      <c r="CK99" s="675">
        <f t="shared" si="165"/>
        <v>256</v>
      </c>
      <c r="CL99" s="676">
        <f t="shared" si="165"/>
        <v>1131</v>
      </c>
      <c r="CM99" s="674">
        <f t="shared" si="165"/>
        <v>424</v>
      </c>
      <c r="CN99" s="675">
        <f t="shared" si="165"/>
        <v>514</v>
      </c>
      <c r="CO99" s="675">
        <f>SUM(CO91:CO98)</f>
        <v>284</v>
      </c>
      <c r="CP99" s="676">
        <f t="shared" si="165"/>
        <v>1222</v>
      </c>
      <c r="CQ99" s="674">
        <f>SUM(CQ91:CQ98)</f>
        <v>434</v>
      </c>
      <c r="CR99" s="675">
        <f>SUM(CR91:CR98)</f>
        <v>421</v>
      </c>
      <c r="CS99" s="675">
        <f>SUM(CS91:CS98)</f>
        <v>355</v>
      </c>
      <c r="CT99" s="676">
        <f t="shared" ref="CT99" si="166">SUM(CT91:CT98)</f>
        <v>1210</v>
      </c>
    </row>
    <row r="100" spans="1:98" s="656" customFormat="1" ht="15" customHeight="1" x14ac:dyDescent="0.3">
      <c r="A100" s="642"/>
      <c r="B100" s="648" t="s">
        <v>65</v>
      </c>
      <c r="C100" s="33">
        <v>48</v>
      </c>
      <c r="D100" s="34">
        <v>35</v>
      </c>
      <c r="E100" s="34"/>
      <c r="F100" s="650">
        <v>83</v>
      </c>
      <c r="G100" s="33">
        <v>57</v>
      </c>
      <c r="H100" s="34">
        <v>86</v>
      </c>
      <c r="I100" s="34"/>
      <c r="J100" s="649">
        <v>143</v>
      </c>
      <c r="K100" s="33">
        <v>33</v>
      </c>
      <c r="L100" s="34">
        <v>78</v>
      </c>
      <c r="M100" s="34"/>
      <c r="N100" s="649">
        <v>111</v>
      </c>
      <c r="O100" s="33">
        <v>74</v>
      </c>
      <c r="P100" s="34">
        <v>34</v>
      </c>
      <c r="Q100" s="34"/>
      <c r="R100" s="650">
        <v>108</v>
      </c>
      <c r="S100" s="33">
        <v>73</v>
      </c>
      <c r="T100" s="34">
        <v>68</v>
      </c>
      <c r="U100" s="34" t="s">
        <v>122</v>
      </c>
      <c r="V100" s="650">
        <f>SUM(S100:U100)</f>
        <v>141</v>
      </c>
      <c r="W100" s="33">
        <v>54</v>
      </c>
      <c r="X100" s="34">
        <v>93</v>
      </c>
      <c r="Y100" s="34" t="s">
        <v>122</v>
      </c>
      <c r="Z100" s="649">
        <f>SUM(W100:Y100)</f>
        <v>147</v>
      </c>
      <c r="AA100" s="651">
        <v>49</v>
      </c>
      <c r="AB100" s="34">
        <v>105</v>
      </c>
      <c r="AC100" s="34" t="s">
        <v>122</v>
      </c>
      <c r="AD100" s="649">
        <f>SUM(AA100:AC100)</f>
        <v>154</v>
      </c>
      <c r="AE100" s="651">
        <v>60</v>
      </c>
      <c r="AF100" s="34">
        <v>117</v>
      </c>
      <c r="AG100" s="34" t="s">
        <v>122</v>
      </c>
      <c r="AH100" s="650">
        <f>SUM(AE100:AG100)</f>
        <v>177</v>
      </c>
      <c r="AI100" s="651">
        <v>48</v>
      </c>
      <c r="AJ100" s="34">
        <v>82</v>
      </c>
      <c r="AK100" s="34"/>
      <c r="AL100" s="650">
        <f>SUM(AI100:AK100)</f>
        <v>130</v>
      </c>
      <c r="AM100" s="651">
        <v>67</v>
      </c>
      <c r="AN100" s="34">
        <v>144</v>
      </c>
      <c r="AO100" s="34" t="s">
        <v>122</v>
      </c>
      <c r="AP100" s="650">
        <f>SUM(AM100:AO100)</f>
        <v>211</v>
      </c>
      <c r="AQ100" s="653">
        <v>86</v>
      </c>
      <c r="AR100" s="654">
        <v>124</v>
      </c>
      <c r="AS100" s="654" t="s">
        <v>122</v>
      </c>
      <c r="AT100" s="655">
        <f t="shared" si="129"/>
        <v>210</v>
      </c>
      <c r="AU100" s="654">
        <v>103</v>
      </c>
      <c r="AV100" s="654">
        <v>105</v>
      </c>
      <c r="AW100" s="654"/>
      <c r="AX100" s="655">
        <f t="shared" si="130"/>
        <v>208</v>
      </c>
      <c r="AY100" s="653">
        <v>89</v>
      </c>
      <c r="AZ100" s="654">
        <v>100</v>
      </c>
      <c r="BA100" s="654"/>
      <c r="BB100" s="655">
        <v>189</v>
      </c>
      <c r="BC100" s="653">
        <v>78</v>
      </c>
      <c r="BD100" s="654">
        <v>103</v>
      </c>
      <c r="BE100" s="654"/>
      <c r="BF100" s="655">
        <f>SUM(BC100:BE100)</f>
        <v>181</v>
      </c>
      <c r="BG100" s="653">
        <v>88</v>
      </c>
      <c r="BH100" s="654">
        <v>82</v>
      </c>
      <c r="BI100" s="654"/>
      <c r="BJ100" s="655">
        <f>SUM(BG100:BI100)</f>
        <v>170</v>
      </c>
      <c r="BK100" s="653">
        <v>116</v>
      </c>
      <c r="BL100" s="654">
        <v>93</v>
      </c>
      <c r="BM100" s="654"/>
      <c r="BN100" s="655">
        <f>SUM(BK100:BM100)</f>
        <v>209</v>
      </c>
      <c r="BO100" s="653">
        <v>105</v>
      </c>
      <c r="BP100" s="654">
        <v>63</v>
      </c>
      <c r="BQ100" s="654"/>
      <c r="BR100" s="655">
        <f>SUM(BO100:BQ100)</f>
        <v>168</v>
      </c>
      <c r="BS100" s="653">
        <v>76</v>
      </c>
      <c r="BT100" s="654">
        <v>69</v>
      </c>
      <c r="BU100" s="654"/>
      <c r="BV100" s="655">
        <f>SUM(BS100:BU100)</f>
        <v>145</v>
      </c>
      <c r="BW100" s="653">
        <v>92</v>
      </c>
      <c r="BX100" s="654">
        <v>69</v>
      </c>
      <c r="BY100" s="654"/>
      <c r="BZ100" s="655">
        <f>SUM(BW100:BY100)</f>
        <v>161</v>
      </c>
      <c r="CA100" s="653">
        <v>120</v>
      </c>
      <c r="CB100" s="654">
        <v>80</v>
      </c>
      <c r="CC100" s="654"/>
      <c r="CD100" s="655">
        <f>SUM(CA100:CC100)</f>
        <v>200</v>
      </c>
      <c r="CE100" s="653">
        <v>74</v>
      </c>
      <c r="CF100" s="654">
        <v>100</v>
      </c>
      <c r="CG100" s="654">
        <v>6</v>
      </c>
      <c r="CH100" s="655">
        <f>SUM(CE100:CG100)</f>
        <v>180</v>
      </c>
      <c r="CI100" s="653">
        <v>102</v>
      </c>
      <c r="CJ100" s="654">
        <v>73</v>
      </c>
      <c r="CK100" s="654">
        <v>6</v>
      </c>
      <c r="CL100" s="655">
        <f>SUM(CI100:CK100)</f>
        <v>181</v>
      </c>
      <c r="CM100" s="653">
        <v>130</v>
      </c>
      <c r="CN100" s="654">
        <v>88</v>
      </c>
      <c r="CO100" s="654"/>
      <c r="CP100" s="655">
        <f>SUM(CM100:CO100)</f>
        <v>218</v>
      </c>
      <c r="CQ100" s="653">
        <v>89</v>
      </c>
      <c r="CR100" s="654">
        <v>142</v>
      </c>
      <c r="CS100" s="654"/>
      <c r="CT100" s="655">
        <f>SUM(CQ100:CS100)</f>
        <v>231</v>
      </c>
    </row>
    <row r="101" spans="1:98" s="656" customFormat="1" ht="15" customHeight="1" x14ac:dyDescent="0.3">
      <c r="A101" s="642"/>
      <c r="B101" s="657" t="s">
        <v>66</v>
      </c>
      <c r="C101" s="40">
        <v>51</v>
      </c>
      <c r="D101" s="41">
        <v>45</v>
      </c>
      <c r="E101" s="41"/>
      <c r="F101" s="659">
        <v>96</v>
      </c>
      <c r="G101" s="40">
        <v>48</v>
      </c>
      <c r="H101" s="41">
        <v>59</v>
      </c>
      <c r="I101" s="41"/>
      <c r="J101" s="658">
        <v>107</v>
      </c>
      <c r="K101" s="40">
        <v>59</v>
      </c>
      <c r="L101" s="41">
        <v>57</v>
      </c>
      <c r="M101" s="41"/>
      <c r="N101" s="658">
        <v>116</v>
      </c>
      <c r="O101" s="40">
        <v>74</v>
      </c>
      <c r="P101" s="41">
        <v>69</v>
      </c>
      <c r="Q101" s="41"/>
      <c r="R101" s="659">
        <v>143</v>
      </c>
      <c r="S101" s="40">
        <v>35</v>
      </c>
      <c r="T101" s="41">
        <v>38</v>
      </c>
      <c r="U101" s="41" t="s">
        <v>122</v>
      </c>
      <c r="V101" s="659">
        <f>SUM(S101:U101)</f>
        <v>73</v>
      </c>
      <c r="W101" s="40">
        <v>31</v>
      </c>
      <c r="X101" s="41">
        <v>72</v>
      </c>
      <c r="Y101" s="41" t="s">
        <v>122</v>
      </c>
      <c r="Z101" s="658">
        <f>SUM(W101:Y101)</f>
        <v>103</v>
      </c>
      <c r="AA101" s="660">
        <v>55</v>
      </c>
      <c r="AB101" s="41">
        <v>61</v>
      </c>
      <c r="AC101" s="41" t="s">
        <v>122</v>
      </c>
      <c r="AD101" s="658">
        <f>SUM(AA101:AC101)</f>
        <v>116</v>
      </c>
      <c r="AE101" s="660">
        <v>55</v>
      </c>
      <c r="AF101" s="41">
        <v>60</v>
      </c>
      <c r="AG101" s="41" t="s">
        <v>122</v>
      </c>
      <c r="AH101" s="659">
        <f>SUM(AE101:AG101)</f>
        <v>115</v>
      </c>
      <c r="AI101" s="660">
        <v>41</v>
      </c>
      <c r="AJ101" s="41">
        <v>81</v>
      </c>
      <c r="AK101" s="41"/>
      <c r="AL101" s="659">
        <f>SUM(AI101:AK101)</f>
        <v>122</v>
      </c>
      <c r="AM101" s="660">
        <v>56</v>
      </c>
      <c r="AN101" s="41">
        <v>79</v>
      </c>
      <c r="AO101" s="41" t="s">
        <v>122</v>
      </c>
      <c r="AP101" s="659">
        <f>SUM(AM101:AO101)</f>
        <v>135</v>
      </c>
      <c r="AQ101" s="662">
        <v>48</v>
      </c>
      <c r="AR101" s="663">
        <v>54</v>
      </c>
      <c r="AS101" s="663" t="s">
        <v>122</v>
      </c>
      <c r="AT101" s="664">
        <f t="shared" si="129"/>
        <v>102</v>
      </c>
      <c r="AU101" s="663">
        <v>40</v>
      </c>
      <c r="AV101" s="663">
        <v>52</v>
      </c>
      <c r="AW101" s="663"/>
      <c r="AX101" s="664">
        <f t="shared" si="130"/>
        <v>92</v>
      </c>
      <c r="AY101" s="662">
        <v>43</v>
      </c>
      <c r="AZ101" s="663">
        <v>29</v>
      </c>
      <c r="BA101" s="663"/>
      <c r="BB101" s="664">
        <v>72</v>
      </c>
      <c r="BC101" s="662">
        <v>42</v>
      </c>
      <c r="BD101" s="663">
        <v>52</v>
      </c>
      <c r="BE101" s="663"/>
      <c r="BF101" s="664">
        <f>SUM(BC101:BE101)</f>
        <v>94</v>
      </c>
      <c r="BG101" s="662">
        <v>55</v>
      </c>
      <c r="BH101" s="663">
        <v>56</v>
      </c>
      <c r="BI101" s="663"/>
      <c r="BJ101" s="664">
        <f>SUM(BG101:BI101)</f>
        <v>111</v>
      </c>
      <c r="BK101" s="662">
        <v>55</v>
      </c>
      <c r="BL101" s="663">
        <v>66</v>
      </c>
      <c r="BM101" s="663"/>
      <c r="BN101" s="664">
        <f>SUM(BK101:BM101)</f>
        <v>121</v>
      </c>
      <c r="BO101" s="662">
        <v>42</v>
      </c>
      <c r="BP101" s="663">
        <v>53</v>
      </c>
      <c r="BQ101" s="663"/>
      <c r="BR101" s="664">
        <f>SUM(BO101:BQ101)</f>
        <v>95</v>
      </c>
      <c r="BS101" s="662">
        <v>45</v>
      </c>
      <c r="BT101" s="663">
        <v>79</v>
      </c>
      <c r="BU101" s="663"/>
      <c r="BV101" s="664">
        <f>SUM(BS101:BU101)</f>
        <v>124</v>
      </c>
      <c r="BW101" s="662">
        <v>24</v>
      </c>
      <c r="BX101" s="663">
        <v>61</v>
      </c>
      <c r="BY101" s="663"/>
      <c r="BZ101" s="664">
        <f>SUM(BW101:BY101)</f>
        <v>85</v>
      </c>
      <c r="CA101" s="662">
        <v>47</v>
      </c>
      <c r="CB101" s="663">
        <v>49</v>
      </c>
      <c r="CC101" s="663"/>
      <c r="CD101" s="664">
        <f>SUM(CA101:CC101)</f>
        <v>96</v>
      </c>
      <c r="CE101" s="662">
        <v>40</v>
      </c>
      <c r="CF101" s="663">
        <v>42</v>
      </c>
      <c r="CG101" s="663">
        <v>2</v>
      </c>
      <c r="CH101" s="664">
        <f>SUM(CE101:CG101)</f>
        <v>84</v>
      </c>
      <c r="CI101" s="662">
        <v>57</v>
      </c>
      <c r="CJ101" s="663">
        <v>32</v>
      </c>
      <c r="CK101" s="663">
        <v>24</v>
      </c>
      <c r="CL101" s="664">
        <f>SUM(CI101:CK101)</f>
        <v>113</v>
      </c>
      <c r="CM101" s="662">
        <v>48</v>
      </c>
      <c r="CN101" s="663">
        <v>49</v>
      </c>
      <c r="CO101" s="663">
        <v>1</v>
      </c>
      <c r="CP101" s="664">
        <f>SUM(CM101:CO101)</f>
        <v>98</v>
      </c>
      <c r="CQ101" s="662">
        <v>46</v>
      </c>
      <c r="CR101" s="663">
        <v>42</v>
      </c>
      <c r="CS101" s="663"/>
      <c r="CT101" s="664">
        <f>SUM(CQ101:CS101)</f>
        <v>88</v>
      </c>
    </row>
    <row r="102" spans="1:98" s="656" customFormat="1" ht="15" customHeight="1" x14ac:dyDescent="0.3">
      <c r="A102" s="642"/>
      <c r="B102" s="657" t="s">
        <v>67</v>
      </c>
      <c r="C102" s="40">
        <v>44</v>
      </c>
      <c r="D102" s="41">
        <v>48</v>
      </c>
      <c r="E102" s="41"/>
      <c r="F102" s="659">
        <v>92</v>
      </c>
      <c r="G102" s="40">
        <v>22</v>
      </c>
      <c r="H102" s="41">
        <v>73</v>
      </c>
      <c r="I102" s="41"/>
      <c r="J102" s="658">
        <v>95</v>
      </c>
      <c r="K102" s="40">
        <v>57</v>
      </c>
      <c r="L102" s="41">
        <v>51</v>
      </c>
      <c r="M102" s="41"/>
      <c r="N102" s="658">
        <v>108</v>
      </c>
      <c r="O102" s="40">
        <v>63</v>
      </c>
      <c r="P102" s="41">
        <v>55</v>
      </c>
      <c r="Q102" s="41"/>
      <c r="R102" s="659">
        <v>118</v>
      </c>
      <c r="S102" s="40">
        <v>55</v>
      </c>
      <c r="T102" s="41">
        <v>42</v>
      </c>
      <c r="U102" s="41" t="s">
        <v>122</v>
      </c>
      <c r="V102" s="659">
        <f>SUM(S102:U102)</f>
        <v>97</v>
      </c>
      <c r="W102" s="40">
        <v>30</v>
      </c>
      <c r="X102" s="41">
        <v>48</v>
      </c>
      <c r="Y102" s="41" t="s">
        <v>122</v>
      </c>
      <c r="Z102" s="658">
        <f>SUM(W102:Y102)</f>
        <v>78</v>
      </c>
      <c r="AA102" s="660">
        <v>41</v>
      </c>
      <c r="AB102" s="41">
        <v>62</v>
      </c>
      <c r="AC102" s="41" t="s">
        <v>122</v>
      </c>
      <c r="AD102" s="658">
        <f>SUM(AA102:AC102)</f>
        <v>103</v>
      </c>
      <c r="AE102" s="660">
        <v>41</v>
      </c>
      <c r="AF102" s="41">
        <v>45</v>
      </c>
      <c r="AG102" s="41" t="s">
        <v>122</v>
      </c>
      <c r="AH102" s="659">
        <f>SUM(AE102:AG102)</f>
        <v>86</v>
      </c>
      <c r="AI102" s="660">
        <v>23</v>
      </c>
      <c r="AJ102" s="41">
        <v>67</v>
      </c>
      <c r="AK102" s="41"/>
      <c r="AL102" s="659">
        <f>SUM(AI102:AK102)</f>
        <v>90</v>
      </c>
      <c r="AM102" s="660">
        <v>36</v>
      </c>
      <c r="AN102" s="41">
        <v>62</v>
      </c>
      <c r="AO102" s="41" t="s">
        <v>122</v>
      </c>
      <c r="AP102" s="659">
        <f>SUM(AM102:AO102)</f>
        <v>98</v>
      </c>
      <c r="AQ102" s="662">
        <v>57</v>
      </c>
      <c r="AR102" s="663">
        <v>50</v>
      </c>
      <c r="AS102" s="663" t="s">
        <v>122</v>
      </c>
      <c r="AT102" s="664">
        <f t="shared" si="129"/>
        <v>107</v>
      </c>
      <c r="AU102" s="663">
        <v>28</v>
      </c>
      <c r="AV102" s="663">
        <v>51</v>
      </c>
      <c r="AW102" s="663"/>
      <c r="AX102" s="664">
        <f t="shared" si="130"/>
        <v>79</v>
      </c>
      <c r="AY102" s="662">
        <v>31</v>
      </c>
      <c r="AZ102" s="663">
        <v>44</v>
      </c>
      <c r="BA102" s="663"/>
      <c r="BB102" s="664">
        <v>75</v>
      </c>
      <c r="BC102" s="662">
        <v>24</v>
      </c>
      <c r="BD102" s="663">
        <v>22</v>
      </c>
      <c r="BE102" s="663"/>
      <c r="BF102" s="664">
        <f>SUM(BC102:BE102)</f>
        <v>46</v>
      </c>
      <c r="BG102" s="662">
        <v>45</v>
      </c>
      <c r="BH102" s="663">
        <v>31</v>
      </c>
      <c r="BI102" s="663"/>
      <c r="BJ102" s="664">
        <f>SUM(BG102:BI102)</f>
        <v>76</v>
      </c>
      <c r="BK102" s="662">
        <v>24</v>
      </c>
      <c r="BL102" s="663">
        <v>49</v>
      </c>
      <c r="BM102" s="663"/>
      <c r="BN102" s="664">
        <f>SUM(BK102:BM102)</f>
        <v>73</v>
      </c>
      <c r="BO102" s="662">
        <v>22</v>
      </c>
      <c r="BP102" s="663">
        <v>50</v>
      </c>
      <c r="BQ102" s="663"/>
      <c r="BR102" s="664">
        <f>SUM(BO102:BQ102)</f>
        <v>72</v>
      </c>
      <c r="BS102" s="662">
        <v>26</v>
      </c>
      <c r="BT102" s="663">
        <v>69</v>
      </c>
      <c r="BU102" s="663"/>
      <c r="BV102" s="664">
        <f>SUM(BS102:BU102)</f>
        <v>95</v>
      </c>
      <c r="BW102" s="662">
        <v>46</v>
      </c>
      <c r="BX102" s="663">
        <v>45</v>
      </c>
      <c r="BY102" s="663"/>
      <c r="BZ102" s="664">
        <f>SUM(BW102:BY102)</f>
        <v>91</v>
      </c>
      <c r="CA102" s="662">
        <v>54</v>
      </c>
      <c r="CB102" s="663">
        <v>26</v>
      </c>
      <c r="CC102" s="663"/>
      <c r="CD102" s="664">
        <f>SUM(CA102:CC102)</f>
        <v>80</v>
      </c>
      <c r="CE102" s="662">
        <v>44</v>
      </c>
      <c r="CF102" s="663">
        <v>50</v>
      </c>
      <c r="CG102" s="663">
        <v>0</v>
      </c>
      <c r="CH102" s="664">
        <f>SUM(CE102:CG102)</f>
        <v>94</v>
      </c>
      <c r="CI102" s="662">
        <v>28</v>
      </c>
      <c r="CJ102" s="663">
        <v>41</v>
      </c>
      <c r="CK102" s="663">
        <v>5</v>
      </c>
      <c r="CL102" s="664">
        <f>SUM(CI102:CK102)</f>
        <v>74</v>
      </c>
      <c r="CM102" s="662">
        <v>39</v>
      </c>
      <c r="CN102" s="663">
        <v>25</v>
      </c>
      <c r="CO102" s="663"/>
      <c r="CP102" s="664">
        <f>SUM(CM102:CO102)</f>
        <v>64</v>
      </c>
      <c r="CQ102" s="662">
        <v>36</v>
      </c>
      <c r="CR102" s="663">
        <v>50</v>
      </c>
      <c r="CS102" s="663"/>
      <c r="CT102" s="664">
        <f>SUM(CQ102:CS102)</f>
        <v>86</v>
      </c>
    </row>
    <row r="103" spans="1:98" s="656" customFormat="1" ht="15" customHeight="1" x14ac:dyDescent="0.3">
      <c r="A103" s="642"/>
      <c r="B103" s="665" t="s">
        <v>104</v>
      </c>
      <c r="C103" s="46">
        <v>20</v>
      </c>
      <c r="D103" s="50">
        <v>22</v>
      </c>
      <c r="E103" s="50"/>
      <c r="F103" s="667">
        <v>42</v>
      </c>
      <c r="G103" s="46">
        <v>28</v>
      </c>
      <c r="H103" s="50">
        <v>24</v>
      </c>
      <c r="I103" s="50"/>
      <c r="J103" s="666">
        <v>52</v>
      </c>
      <c r="K103" s="46">
        <v>17</v>
      </c>
      <c r="L103" s="50">
        <v>38</v>
      </c>
      <c r="M103" s="50"/>
      <c r="N103" s="666">
        <v>55</v>
      </c>
      <c r="O103" s="46">
        <v>20</v>
      </c>
      <c r="P103" s="50">
        <v>16</v>
      </c>
      <c r="Q103" s="50"/>
      <c r="R103" s="667">
        <v>36</v>
      </c>
      <c r="S103" s="46">
        <v>24</v>
      </c>
      <c r="T103" s="50">
        <v>20</v>
      </c>
      <c r="U103" s="50" t="s">
        <v>122</v>
      </c>
      <c r="V103" s="667">
        <f>SUM(S103:U103)</f>
        <v>44</v>
      </c>
      <c r="W103" s="46">
        <v>17</v>
      </c>
      <c r="X103" s="50">
        <v>13</v>
      </c>
      <c r="Y103" s="50" t="s">
        <v>122</v>
      </c>
      <c r="Z103" s="666">
        <f>SUM(W103:Y103)</f>
        <v>30</v>
      </c>
      <c r="AA103" s="668">
        <v>19</v>
      </c>
      <c r="AB103" s="50">
        <v>28</v>
      </c>
      <c r="AC103" s="50" t="s">
        <v>122</v>
      </c>
      <c r="AD103" s="666">
        <f>SUM(AA103:AC103)</f>
        <v>47</v>
      </c>
      <c r="AE103" s="668">
        <v>21</v>
      </c>
      <c r="AF103" s="50">
        <v>25</v>
      </c>
      <c r="AG103" s="50" t="s">
        <v>122</v>
      </c>
      <c r="AH103" s="667">
        <f>SUM(AE103:AG103)</f>
        <v>46</v>
      </c>
      <c r="AI103" s="668">
        <v>10</v>
      </c>
      <c r="AJ103" s="50">
        <v>23</v>
      </c>
      <c r="AK103" s="669"/>
      <c r="AL103" s="667">
        <f>SUM(AI103:AK103)</f>
        <v>33</v>
      </c>
      <c r="AM103" s="668">
        <v>24</v>
      </c>
      <c r="AN103" s="50">
        <v>31</v>
      </c>
      <c r="AO103" s="669" t="s">
        <v>122</v>
      </c>
      <c r="AP103" s="667">
        <f>SUM(AM103:AO103)</f>
        <v>55</v>
      </c>
      <c r="AQ103" s="670">
        <v>14</v>
      </c>
      <c r="AR103" s="671">
        <v>30</v>
      </c>
      <c r="AS103" s="671" t="s">
        <v>122</v>
      </c>
      <c r="AT103" s="672">
        <f t="shared" si="129"/>
        <v>44</v>
      </c>
      <c r="AU103" s="671">
        <v>30</v>
      </c>
      <c r="AV103" s="671">
        <v>36</v>
      </c>
      <c r="AW103" s="671"/>
      <c r="AX103" s="672">
        <f t="shared" si="130"/>
        <v>66</v>
      </c>
      <c r="AY103" s="670">
        <v>19</v>
      </c>
      <c r="AZ103" s="671">
        <v>22</v>
      </c>
      <c r="BA103" s="671"/>
      <c r="BB103" s="672">
        <v>41</v>
      </c>
      <c r="BC103" s="670">
        <v>24</v>
      </c>
      <c r="BD103" s="671">
        <v>27</v>
      </c>
      <c r="BE103" s="671"/>
      <c r="BF103" s="672">
        <f>SUM(BC103:BE103)</f>
        <v>51</v>
      </c>
      <c r="BG103" s="670">
        <v>35</v>
      </c>
      <c r="BH103" s="671">
        <v>44</v>
      </c>
      <c r="BI103" s="671"/>
      <c r="BJ103" s="672">
        <f>SUM(BG103:BI103)</f>
        <v>79</v>
      </c>
      <c r="BK103" s="670">
        <v>14</v>
      </c>
      <c r="BL103" s="671">
        <v>36</v>
      </c>
      <c r="BM103" s="671"/>
      <c r="BN103" s="672">
        <f>SUM(BK103:BM103)</f>
        <v>50</v>
      </c>
      <c r="BO103" s="670">
        <v>52</v>
      </c>
      <c r="BP103" s="671">
        <v>21</v>
      </c>
      <c r="BQ103" s="671"/>
      <c r="BR103" s="672">
        <f>SUM(BO103:BQ103)</f>
        <v>73</v>
      </c>
      <c r="BS103" s="670">
        <v>48</v>
      </c>
      <c r="BT103" s="671">
        <v>36</v>
      </c>
      <c r="BU103" s="671"/>
      <c r="BV103" s="672">
        <f>SUM(BS103:BU103)</f>
        <v>84</v>
      </c>
      <c r="BW103" s="670">
        <v>29</v>
      </c>
      <c r="BX103" s="671">
        <v>34</v>
      </c>
      <c r="BY103" s="671"/>
      <c r="BZ103" s="672">
        <f>SUM(BW103:BY103)</f>
        <v>63</v>
      </c>
      <c r="CA103" s="670">
        <v>38</v>
      </c>
      <c r="CB103" s="671">
        <v>23</v>
      </c>
      <c r="CC103" s="671"/>
      <c r="CD103" s="672">
        <f>SUM(CA103:CC103)</f>
        <v>61</v>
      </c>
      <c r="CE103" s="670">
        <v>30</v>
      </c>
      <c r="CF103" s="671">
        <v>39</v>
      </c>
      <c r="CG103" s="671">
        <v>0</v>
      </c>
      <c r="CH103" s="672">
        <f>SUM(CE103:CG103)</f>
        <v>69</v>
      </c>
      <c r="CI103" s="670">
        <v>27</v>
      </c>
      <c r="CJ103" s="671">
        <v>43</v>
      </c>
      <c r="CK103" s="671"/>
      <c r="CL103" s="664">
        <f>SUM(CI103:CK103)</f>
        <v>70</v>
      </c>
      <c r="CM103" s="670">
        <v>24</v>
      </c>
      <c r="CN103" s="671">
        <v>34</v>
      </c>
      <c r="CO103" s="671"/>
      <c r="CP103" s="664">
        <f>SUM(CM103:CO103)</f>
        <v>58</v>
      </c>
      <c r="CQ103" s="670">
        <v>31</v>
      </c>
      <c r="CR103" s="671">
        <v>30</v>
      </c>
      <c r="CS103" s="671"/>
      <c r="CT103" s="664">
        <f>SUM(CQ103:CS103)</f>
        <v>61</v>
      </c>
    </row>
    <row r="104" spans="1:98" s="656" customFormat="1" ht="15" customHeight="1" x14ac:dyDescent="0.3">
      <c r="A104" s="642"/>
      <c r="B104" s="673" t="s">
        <v>68</v>
      </c>
      <c r="C104" s="674">
        <v>163</v>
      </c>
      <c r="D104" s="675">
        <v>150</v>
      </c>
      <c r="E104" s="675"/>
      <c r="F104" s="676">
        <v>313</v>
      </c>
      <c r="G104" s="674">
        <v>155</v>
      </c>
      <c r="H104" s="675">
        <v>242</v>
      </c>
      <c r="I104" s="675"/>
      <c r="J104" s="676">
        <v>397</v>
      </c>
      <c r="K104" s="674">
        <v>166</v>
      </c>
      <c r="L104" s="675">
        <v>224</v>
      </c>
      <c r="M104" s="675"/>
      <c r="N104" s="676">
        <v>390</v>
      </c>
      <c r="O104" s="674">
        <v>231</v>
      </c>
      <c r="P104" s="675">
        <v>174</v>
      </c>
      <c r="Q104" s="675"/>
      <c r="R104" s="676">
        <v>405</v>
      </c>
      <c r="S104" s="674">
        <f t="shared" ref="S104:CD104" si="167">SUM(S100:S103)</f>
        <v>187</v>
      </c>
      <c r="T104" s="675">
        <f t="shared" si="167"/>
        <v>168</v>
      </c>
      <c r="U104" s="675">
        <f t="shared" si="167"/>
        <v>0</v>
      </c>
      <c r="V104" s="676">
        <f t="shared" si="167"/>
        <v>355</v>
      </c>
      <c r="W104" s="674">
        <f t="shared" si="167"/>
        <v>132</v>
      </c>
      <c r="X104" s="675">
        <f t="shared" si="167"/>
        <v>226</v>
      </c>
      <c r="Y104" s="675">
        <f t="shared" si="167"/>
        <v>0</v>
      </c>
      <c r="Z104" s="676">
        <f t="shared" si="167"/>
        <v>358</v>
      </c>
      <c r="AA104" s="674">
        <f t="shared" si="167"/>
        <v>164</v>
      </c>
      <c r="AB104" s="675">
        <f t="shared" si="167"/>
        <v>256</v>
      </c>
      <c r="AC104" s="675">
        <f t="shared" si="167"/>
        <v>0</v>
      </c>
      <c r="AD104" s="676">
        <f t="shared" si="167"/>
        <v>420</v>
      </c>
      <c r="AE104" s="674">
        <f t="shared" si="167"/>
        <v>177</v>
      </c>
      <c r="AF104" s="675">
        <f t="shared" si="167"/>
        <v>247</v>
      </c>
      <c r="AG104" s="675">
        <f t="shared" si="167"/>
        <v>0</v>
      </c>
      <c r="AH104" s="676">
        <f t="shared" si="167"/>
        <v>424</v>
      </c>
      <c r="AI104" s="674">
        <f t="shared" si="167"/>
        <v>122</v>
      </c>
      <c r="AJ104" s="675">
        <f t="shared" si="167"/>
        <v>253</v>
      </c>
      <c r="AK104" s="675">
        <f t="shared" si="167"/>
        <v>0</v>
      </c>
      <c r="AL104" s="676">
        <f t="shared" si="167"/>
        <v>375</v>
      </c>
      <c r="AM104" s="674">
        <f t="shared" si="167"/>
        <v>183</v>
      </c>
      <c r="AN104" s="675">
        <f t="shared" si="167"/>
        <v>316</v>
      </c>
      <c r="AO104" s="675">
        <f t="shared" si="167"/>
        <v>0</v>
      </c>
      <c r="AP104" s="676">
        <f t="shared" si="167"/>
        <v>499</v>
      </c>
      <c r="AQ104" s="674">
        <f t="shared" si="167"/>
        <v>205</v>
      </c>
      <c r="AR104" s="675">
        <f t="shared" si="167"/>
        <v>258</v>
      </c>
      <c r="AS104" s="675">
        <f t="shared" si="167"/>
        <v>0</v>
      </c>
      <c r="AT104" s="676">
        <f t="shared" si="129"/>
        <v>463</v>
      </c>
      <c r="AU104" s="674">
        <f>SUM(AU100:AU103)</f>
        <v>201</v>
      </c>
      <c r="AV104" s="675">
        <f>SUM(AV100:AV103)</f>
        <v>244</v>
      </c>
      <c r="AW104" s="675">
        <f>SUM(AW100:AW103)</f>
        <v>0</v>
      </c>
      <c r="AX104" s="676">
        <f t="shared" si="130"/>
        <v>445</v>
      </c>
      <c r="AY104" s="674">
        <f t="shared" si="167"/>
        <v>182</v>
      </c>
      <c r="AZ104" s="675">
        <f t="shared" si="167"/>
        <v>195</v>
      </c>
      <c r="BA104" s="675">
        <f t="shared" si="167"/>
        <v>0</v>
      </c>
      <c r="BB104" s="676">
        <f t="shared" si="167"/>
        <v>377</v>
      </c>
      <c r="BC104" s="674">
        <f t="shared" si="167"/>
        <v>168</v>
      </c>
      <c r="BD104" s="675">
        <f t="shared" si="167"/>
        <v>204</v>
      </c>
      <c r="BE104" s="675">
        <f t="shared" si="167"/>
        <v>0</v>
      </c>
      <c r="BF104" s="676">
        <f t="shared" si="167"/>
        <v>372</v>
      </c>
      <c r="BG104" s="674">
        <f t="shared" si="167"/>
        <v>223</v>
      </c>
      <c r="BH104" s="675">
        <f t="shared" si="167"/>
        <v>213</v>
      </c>
      <c r="BI104" s="675">
        <f t="shared" si="167"/>
        <v>0</v>
      </c>
      <c r="BJ104" s="676">
        <f t="shared" si="167"/>
        <v>436</v>
      </c>
      <c r="BK104" s="674">
        <f t="shared" si="167"/>
        <v>209</v>
      </c>
      <c r="BL104" s="675">
        <f t="shared" si="167"/>
        <v>244</v>
      </c>
      <c r="BM104" s="675">
        <f t="shared" si="167"/>
        <v>0</v>
      </c>
      <c r="BN104" s="676">
        <f t="shared" si="167"/>
        <v>453</v>
      </c>
      <c r="BO104" s="674">
        <f t="shared" si="167"/>
        <v>221</v>
      </c>
      <c r="BP104" s="675">
        <f t="shared" si="167"/>
        <v>187</v>
      </c>
      <c r="BQ104" s="675">
        <f t="shared" si="167"/>
        <v>0</v>
      </c>
      <c r="BR104" s="676">
        <f t="shared" si="167"/>
        <v>408</v>
      </c>
      <c r="BS104" s="674">
        <f t="shared" si="167"/>
        <v>195</v>
      </c>
      <c r="BT104" s="675">
        <f t="shared" si="167"/>
        <v>253</v>
      </c>
      <c r="BU104" s="675">
        <f t="shared" si="167"/>
        <v>0</v>
      </c>
      <c r="BV104" s="676">
        <f t="shared" si="167"/>
        <v>448</v>
      </c>
      <c r="BW104" s="674">
        <f>SUM(BW100:BW103)</f>
        <v>191</v>
      </c>
      <c r="BX104" s="675">
        <f>SUM(BX100:BX103)</f>
        <v>209</v>
      </c>
      <c r="BY104" s="675">
        <f>SUM(BY100:BY103)</f>
        <v>0</v>
      </c>
      <c r="BZ104" s="676">
        <f t="shared" si="167"/>
        <v>400</v>
      </c>
      <c r="CA104" s="674">
        <f t="shared" si="167"/>
        <v>259</v>
      </c>
      <c r="CB104" s="675">
        <f t="shared" si="167"/>
        <v>178</v>
      </c>
      <c r="CC104" s="675">
        <f t="shared" si="167"/>
        <v>0</v>
      </c>
      <c r="CD104" s="676">
        <f t="shared" si="167"/>
        <v>437</v>
      </c>
      <c r="CE104" s="674">
        <f t="shared" ref="CE104:CL104" si="168">SUM(CE100:CE103)</f>
        <v>188</v>
      </c>
      <c r="CF104" s="675">
        <f t="shared" si="168"/>
        <v>231</v>
      </c>
      <c r="CG104" s="675">
        <f t="shared" si="168"/>
        <v>8</v>
      </c>
      <c r="CH104" s="676">
        <f t="shared" si="168"/>
        <v>427</v>
      </c>
      <c r="CI104" s="674">
        <f t="shared" si="168"/>
        <v>214</v>
      </c>
      <c r="CJ104" s="675">
        <f t="shared" si="168"/>
        <v>189</v>
      </c>
      <c r="CK104" s="675">
        <f t="shared" si="168"/>
        <v>35</v>
      </c>
      <c r="CL104" s="676">
        <f t="shared" si="168"/>
        <v>438</v>
      </c>
      <c r="CM104" s="674">
        <f>SUM(CM100:CM103)</f>
        <v>241</v>
      </c>
      <c r="CN104" s="675">
        <f>SUM(CN100:CN103)</f>
        <v>196</v>
      </c>
      <c r="CO104" s="675">
        <f>SUM(CO100:CO103)</f>
        <v>1</v>
      </c>
      <c r="CP104" s="676">
        <f t="shared" ref="CP104" si="169">SUM(CP100:CP103)</f>
        <v>438</v>
      </c>
      <c r="CQ104" s="674">
        <f>SUM(CQ100:CQ103)</f>
        <v>202</v>
      </c>
      <c r="CR104" s="675">
        <f>SUM(CR100:CR103)</f>
        <v>264</v>
      </c>
      <c r="CS104" s="675">
        <f>SUM(CS100:CS103)</f>
        <v>0</v>
      </c>
      <c r="CT104" s="676">
        <f t="shared" ref="CT104" si="170">SUM(CT100:CT103)</f>
        <v>466</v>
      </c>
    </row>
    <row r="105" spans="1:98" s="656" customFormat="1" ht="15" customHeight="1" x14ac:dyDescent="0.3">
      <c r="A105" s="642"/>
      <c r="B105" s="732" t="s">
        <v>105</v>
      </c>
      <c r="C105" s="733">
        <v>839</v>
      </c>
      <c r="D105" s="734">
        <v>999</v>
      </c>
      <c r="E105" s="734">
        <v>289</v>
      </c>
      <c r="F105" s="735">
        <v>2127</v>
      </c>
      <c r="G105" s="733">
        <v>844</v>
      </c>
      <c r="H105" s="734">
        <v>1170</v>
      </c>
      <c r="I105" s="734">
        <v>330</v>
      </c>
      <c r="J105" s="735">
        <v>2344</v>
      </c>
      <c r="K105" s="733">
        <v>802</v>
      </c>
      <c r="L105" s="734">
        <v>1091</v>
      </c>
      <c r="M105" s="734">
        <v>359</v>
      </c>
      <c r="N105" s="735">
        <v>2252</v>
      </c>
      <c r="O105" s="733">
        <v>975</v>
      </c>
      <c r="P105" s="734">
        <v>1190</v>
      </c>
      <c r="Q105" s="734">
        <v>357</v>
      </c>
      <c r="R105" s="735">
        <v>2522</v>
      </c>
      <c r="S105" s="733">
        <f t="shared" ref="S105:BA105" si="171">SUM(S104,S99,S90)</f>
        <v>920</v>
      </c>
      <c r="T105" s="734">
        <f t="shared" si="171"/>
        <v>947</v>
      </c>
      <c r="U105" s="734">
        <f t="shared" si="171"/>
        <v>319</v>
      </c>
      <c r="V105" s="735">
        <f t="shared" si="171"/>
        <v>2186</v>
      </c>
      <c r="W105" s="733">
        <f t="shared" si="171"/>
        <v>704</v>
      </c>
      <c r="X105" s="734">
        <f t="shared" si="171"/>
        <v>984</v>
      </c>
      <c r="Y105" s="734">
        <f t="shared" si="171"/>
        <v>291</v>
      </c>
      <c r="Z105" s="735">
        <f t="shared" si="171"/>
        <v>1979</v>
      </c>
      <c r="AA105" s="733">
        <f t="shared" si="171"/>
        <v>708</v>
      </c>
      <c r="AB105" s="734">
        <f t="shared" si="171"/>
        <v>1050</v>
      </c>
      <c r="AC105" s="734">
        <f t="shared" si="171"/>
        <v>288</v>
      </c>
      <c r="AD105" s="735">
        <f t="shared" si="171"/>
        <v>2046</v>
      </c>
      <c r="AE105" s="733">
        <f t="shared" si="171"/>
        <v>810</v>
      </c>
      <c r="AF105" s="734">
        <f t="shared" si="171"/>
        <v>1030</v>
      </c>
      <c r="AG105" s="734">
        <f t="shared" si="171"/>
        <v>303</v>
      </c>
      <c r="AH105" s="735">
        <f t="shared" si="171"/>
        <v>2143</v>
      </c>
      <c r="AI105" s="733">
        <f t="shared" si="171"/>
        <v>791</v>
      </c>
      <c r="AJ105" s="734">
        <f t="shared" si="171"/>
        <v>1126</v>
      </c>
      <c r="AK105" s="734">
        <f t="shared" si="171"/>
        <v>360</v>
      </c>
      <c r="AL105" s="735">
        <f t="shared" si="171"/>
        <v>2277</v>
      </c>
      <c r="AM105" s="733">
        <f t="shared" si="171"/>
        <v>1096</v>
      </c>
      <c r="AN105" s="734">
        <f t="shared" si="171"/>
        <v>1256</v>
      </c>
      <c r="AO105" s="734">
        <f t="shared" si="171"/>
        <v>366</v>
      </c>
      <c r="AP105" s="735">
        <f t="shared" si="171"/>
        <v>2718</v>
      </c>
      <c r="AQ105" s="736">
        <f t="shared" si="171"/>
        <v>934</v>
      </c>
      <c r="AR105" s="737">
        <f t="shared" si="171"/>
        <v>1341</v>
      </c>
      <c r="AS105" s="737">
        <f t="shared" si="171"/>
        <v>399</v>
      </c>
      <c r="AT105" s="738">
        <f t="shared" si="129"/>
        <v>2674</v>
      </c>
      <c r="AU105" s="736">
        <f>SUM(AU104,AU99,AU90)</f>
        <v>974</v>
      </c>
      <c r="AV105" s="737">
        <f>SUM(AV104,AV99,AV90)</f>
        <v>1173</v>
      </c>
      <c r="AW105" s="737">
        <f>SUM(AW104,AW99,AW90)</f>
        <v>373</v>
      </c>
      <c r="AX105" s="738">
        <f t="shared" si="130"/>
        <v>2520</v>
      </c>
      <c r="AY105" s="733">
        <f t="shared" si="171"/>
        <v>887</v>
      </c>
      <c r="AZ105" s="734">
        <f t="shared" si="171"/>
        <v>1128</v>
      </c>
      <c r="BA105" s="734">
        <f t="shared" si="171"/>
        <v>338</v>
      </c>
      <c r="BB105" s="735">
        <f>SUM(BB90,BB99,BB104)</f>
        <v>2353</v>
      </c>
      <c r="BC105" s="733">
        <f t="shared" ref="BC105:BZ105" si="172">SUM(BC104,BC99,BC90)</f>
        <v>871</v>
      </c>
      <c r="BD105" s="734">
        <f t="shared" si="172"/>
        <v>1166</v>
      </c>
      <c r="BE105" s="734">
        <f t="shared" si="172"/>
        <v>314</v>
      </c>
      <c r="BF105" s="735">
        <f t="shared" si="172"/>
        <v>2351</v>
      </c>
      <c r="BG105" s="733">
        <f t="shared" si="172"/>
        <v>942</v>
      </c>
      <c r="BH105" s="734">
        <f t="shared" si="172"/>
        <v>1169</v>
      </c>
      <c r="BI105" s="734">
        <f t="shared" si="172"/>
        <v>380</v>
      </c>
      <c r="BJ105" s="735">
        <f t="shared" si="172"/>
        <v>2491</v>
      </c>
      <c r="BK105" s="733">
        <f t="shared" si="172"/>
        <v>856</v>
      </c>
      <c r="BL105" s="734">
        <f t="shared" si="172"/>
        <v>1171</v>
      </c>
      <c r="BM105" s="734">
        <f t="shared" si="172"/>
        <v>361</v>
      </c>
      <c r="BN105" s="735">
        <f t="shared" si="172"/>
        <v>2388</v>
      </c>
      <c r="BO105" s="733">
        <f t="shared" si="172"/>
        <v>924</v>
      </c>
      <c r="BP105" s="734">
        <f t="shared" si="172"/>
        <v>1071</v>
      </c>
      <c r="BQ105" s="734">
        <f t="shared" si="172"/>
        <v>365</v>
      </c>
      <c r="BR105" s="735">
        <f t="shared" si="172"/>
        <v>2360</v>
      </c>
      <c r="BS105" s="733">
        <f t="shared" si="172"/>
        <v>887</v>
      </c>
      <c r="BT105" s="734">
        <f t="shared" si="172"/>
        <v>1180</v>
      </c>
      <c r="BU105" s="734">
        <f t="shared" si="172"/>
        <v>316</v>
      </c>
      <c r="BV105" s="735">
        <f t="shared" si="172"/>
        <v>2383</v>
      </c>
      <c r="BW105" s="733">
        <f t="shared" si="172"/>
        <v>839</v>
      </c>
      <c r="BX105" s="734">
        <f t="shared" si="172"/>
        <v>1097</v>
      </c>
      <c r="BY105" s="734">
        <f t="shared" si="172"/>
        <v>345</v>
      </c>
      <c r="BZ105" s="735">
        <f t="shared" si="172"/>
        <v>2281</v>
      </c>
      <c r="CA105" s="733">
        <f>SUM(CA104,CA99,CA90)</f>
        <v>893</v>
      </c>
      <c r="CB105" s="734">
        <f>SUM(CB104,CB99,CB90)</f>
        <v>1183</v>
      </c>
      <c r="CC105" s="734">
        <f>SUM(CC104,CC99,CC90)</f>
        <v>316</v>
      </c>
      <c r="CD105" s="735">
        <f>SUM(CD104,CD99,CD90)</f>
        <v>2392</v>
      </c>
      <c r="CE105" s="733">
        <f t="shared" ref="CE105:CL105" si="173">SUM(CE104,CE99,CE90)</f>
        <v>882</v>
      </c>
      <c r="CF105" s="734">
        <f t="shared" si="173"/>
        <v>1117</v>
      </c>
      <c r="CG105" s="734">
        <f t="shared" si="173"/>
        <v>244</v>
      </c>
      <c r="CH105" s="735">
        <f t="shared" si="173"/>
        <v>2243</v>
      </c>
      <c r="CI105" s="733">
        <f>SUM(CI104,CI99,CI90)</f>
        <v>1007</v>
      </c>
      <c r="CJ105" s="734">
        <f>SUM(CJ104,CJ99,CJ90)</f>
        <v>1133</v>
      </c>
      <c r="CK105" s="734">
        <f t="shared" si="173"/>
        <v>370</v>
      </c>
      <c r="CL105" s="735">
        <f t="shared" si="173"/>
        <v>2510</v>
      </c>
      <c r="CM105" s="733">
        <f>SUM(CM104,CM99,CM90)</f>
        <v>1060</v>
      </c>
      <c r="CN105" s="734">
        <f>SUM(CN104,CN99,CN90)</f>
        <v>1189</v>
      </c>
      <c r="CO105" s="734">
        <f t="shared" ref="CO105:CP105" si="174">SUM(CO104,CO99,CO90)</f>
        <v>299</v>
      </c>
      <c r="CP105" s="735">
        <f t="shared" si="174"/>
        <v>2548</v>
      </c>
      <c r="CQ105" s="733">
        <f>SUM(CQ104,CQ99,CQ90)</f>
        <v>1090</v>
      </c>
      <c r="CR105" s="734">
        <f>SUM(CR104,CR99,CR90)</f>
        <v>1149</v>
      </c>
      <c r="CS105" s="734">
        <f t="shared" ref="CS105:CT105" si="175">SUM(CS104,CS99,CS90)</f>
        <v>368</v>
      </c>
      <c r="CT105" s="735">
        <f t="shared" si="175"/>
        <v>2607</v>
      </c>
    </row>
    <row r="106" spans="1:98" s="656" customFormat="1" ht="15" customHeight="1" x14ac:dyDescent="0.25">
      <c r="A106" s="642"/>
      <c r="C106" s="739"/>
      <c r="D106" s="739"/>
      <c r="E106" s="739"/>
      <c r="F106" s="739"/>
      <c r="G106" s="739"/>
      <c r="H106" s="739"/>
      <c r="I106" s="739"/>
      <c r="J106" s="739"/>
      <c r="K106" s="739"/>
      <c r="L106" s="739"/>
      <c r="M106" s="739"/>
      <c r="N106" s="739"/>
      <c r="O106" s="739"/>
      <c r="P106" s="739"/>
      <c r="Q106" s="739"/>
      <c r="R106" s="739"/>
      <c r="S106" s="739"/>
      <c r="T106" s="739"/>
      <c r="U106" s="739"/>
      <c r="V106" s="739"/>
      <c r="W106" s="739"/>
      <c r="X106" s="739"/>
      <c r="Y106" s="739"/>
      <c r="Z106" s="739"/>
      <c r="AA106" s="739"/>
      <c r="AB106" s="739"/>
      <c r="AC106" s="739"/>
      <c r="AD106" s="739"/>
      <c r="AE106" s="739"/>
      <c r="AF106" s="739"/>
      <c r="AG106" s="739"/>
      <c r="AH106" s="739"/>
      <c r="AI106" s="739"/>
      <c r="AJ106" s="739"/>
      <c r="AK106" s="739"/>
      <c r="AL106" s="739"/>
      <c r="AM106" s="739"/>
      <c r="AN106" s="739"/>
      <c r="AO106" s="739"/>
      <c r="AP106" s="739"/>
      <c r="AQ106" s="739"/>
      <c r="AR106" s="739"/>
      <c r="AS106" s="739"/>
      <c r="AT106" s="739"/>
      <c r="AU106" s="739"/>
      <c r="AV106" s="739"/>
      <c r="AW106" s="739"/>
      <c r="AX106" s="739"/>
      <c r="AY106" s="739"/>
      <c r="AZ106" s="739"/>
      <c r="BA106" s="739"/>
      <c r="BB106" s="739"/>
      <c r="BC106" s="739"/>
      <c r="BD106" s="739"/>
      <c r="BE106" s="739"/>
      <c r="BF106" s="739"/>
      <c r="BG106" s="739"/>
      <c r="BH106" s="739"/>
      <c r="BI106" s="739"/>
      <c r="BJ106" s="739"/>
      <c r="BK106" s="739"/>
      <c r="BL106" s="739"/>
      <c r="BM106" s="739"/>
      <c r="BN106" s="739"/>
      <c r="BO106" s="739"/>
      <c r="BP106" s="739"/>
      <c r="BQ106" s="739"/>
      <c r="BR106" s="739"/>
      <c r="BS106" s="739"/>
      <c r="BT106" s="739"/>
      <c r="BU106" s="739"/>
      <c r="BV106" s="739"/>
      <c r="BW106" s="739"/>
      <c r="BX106" s="739"/>
      <c r="BY106" s="739"/>
      <c r="BZ106" s="739"/>
      <c r="CA106" s="739"/>
      <c r="CB106" s="739"/>
      <c r="CC106" s="739"/>
      <c r="CD106" s="739"/>
      <c r="CE106" s="739"/>
      <c r="CF106" s="739"/>
      <c r="CG106" s="739"/>
      <c r="CH106" s="739"/>
      <c r="CI106" s="739"/>
      <c r="CJ106" s="739"/>
      <c r="CK106" s="739"/>
      <c r="CL106" s="739"/>
      <c r="CM106" s="739"/>
      <c r="CN106" s="739"/>
      <c r="CO106" s="739"/>
      <c r="CP106" s="739"/>
      <c r="CQ106" s="739"/>
      <c r="CR106" s="739"/>
      <c r="CS106" s="739"/>
      <c r="CT106" s="739"/>
    </row>
    <row r="107" spans="1:98" s="656" customFormat="1" ht="15" customHeight="1" x14ac:dyDescent="0.3">
      <c r="A107" s="642"/>
      <c r="B107" s="740" t="s">
        <v>128</v>
      </c>
      <c r="C107" s="741">
        <f t="shared" ref="C107:AS107" si="176">SUM(C25,C40,C71,C105)</f>
        <v>1681</v>
      </c>
      <c r="D107" s="742">
        <f t="shared" si="176"/>
        <v>1864</v>
      </c>
      <c r="E107" s="742">
        <f t="shared" si="176"/>
        <v>981</v>
      </c>
      <c r="F107" s="743">
        <f t="shared" si="176"/>
        <v>4526</v>
      </c>
      <c r="G107" s="741">
        <f t="shared" si="176"/>
        <v>1629</v>
      </c>
      <c r="H107" s="742">
        <f t="shared" si="176"/>
        <v>1923</v>
      </c>
      <c r="I107" s="742">
        <f t="shared" si="176"/>
        <v>1010</v>
      </c>
      <c r="J107" s="743">
        <f t="shared" si="176"/>
        <v>4562</v>
      </c>
      <c r="K107" s="741">
        <f t="shared" si="176"/>
        <v>1616</v>
      </c>
      <c r="L107" s="742">
        <f t="shared" si="176"/>
        <v>1869</v>
      </c>
      <c r="M107" s="742">
        <f t="shared" si="176"/>
        <v>1006</v>
      </c>
      <c r="N107" s="743">
        <f t="shared" si="176"/>
        <v>4491</v>
      </c>
      <c r="O107" s="741">
        <f t="shared" si="176"/>
        <v>1722</v>
      </c>
      <c r="P107" s="742">
        <f t="shared" si="176"/>
        <v>1967</v>
      </c>
      <c r="Q107" s="742">
        <f t="shared" si="176"/>
        <v>1043</v>
      </c>
      <c r="R107" s="743">
        <f t="shared" si="176"/>
        <v>4732</v>
      </c>
      <c r="S107" s="741">
        <f t="shared" si="176"/>
        <v>1757</v>
      </c>
      <c r="T107" s="742">
        <f t="shared" si="176"/>
        <v>1913</v>
      </c>
      <c r="U107" s="742">
        <f t="shared" si="176"/>
        <v>1023</v>
      </c>
      <c r="V107" s="743">
        <f t="shared" si="176"/>
        <v>4693</v>
      </c>
      <c r="W107" s="741">
        <f t="shared" si="176"/>
        <v>1514</v>
      </c>
      <c r="X107" s="742">
        <f t="shared" si="176"/>
        <v>1926</v>
      </c>
      <c r="Y107" s="742">
        <f t="shared" si="176"/>
        <v>1005</v>
      </c>
      <c r="Z107" s="743">
        <f t="shared" si="176"/>
        <v>4445</v>
      </c>
      <c r="AA107" s="741">
        <f t="shared" si="176"/>
        <v>1549</v>
      </c>
      <c r="AB107" s="742">
        <f t="shared" si="176"/>
        <v>1929</v>
      </c>
      <c r="AC107" s="742">
        <f t="shared" si="176"/>
        <v>956</v>
      </c>
      <c r="AD107" s="743">
        <f t="shared" si="176"/>
        <v>4434</v>
      </c>
      <c r="AE107" s="741">
        <f t="shared" si="176"/>
        <v>1631</v>
      </c>
      <c r="AF107" s="742">
        <f t="shared" si="176"/>
        <v>1902</v>
      </c>
      <c r="AG107" s="742">
        <f t="shared" si="176"/>
        <v>1007</v>
      </c>
      <c r="AH107" s="743">
        <f t="shared" si="176"/>
        <v>4540</v>
      </c>
      <c r="AI107" s="741">
        <f t="shared" si="176"/>
        <v>1551</v>
      </c>
      <c r="AJ107" s="742">
        <f t="shared" si="176"/>
        <v>1943</v>
      </c>
      <c r="AK107" s="742">
        <f t="shared" si="176"/>
        <v>932</v>
      </c>
      <c r="AL107" s="743">
        <f t="shared" si="176"/>
        <v>4426</v>
      </c>
      <c r="AM107" s="741">
        <f t="shared" si="176"/>
        <v>1814</v>
      </c>
      <c r="AN107" s="742">
        <f t="shared" si="176"/>
        <v>2082</v>
      </c>
      <c r="AO107" s="742">
        <f t="shared" si="176"/>
        <v>961</v>
      </c>
      <c r="AP107" s="743">
        <f t="shared" si="176"/>
        <v>4857</v>
      </c>
      <c r="AQ107" s="741">
        <f t="shared" si="176"/>
        <v>1680</v>
      </c>
      <c r="AR107" s="742">
        <f t="shared" si="176"/>
        <v>2222</v>
      </c>
      <c r="AS107" s="742">
        <f t="shared" si="176"/>
        <v>949</v>
      </c>
      <c r="AT107" s="743">
        <f>SUM(AQ107:AS107)</f>
        <v>4851</v>
      </c>
      <c r="AU107" s="741">
        <f>SUM(AU25,AU40,AU71,AU105)</f>
        <v>1713</v>
      </c>
      <c r="AV107" s="742">
        <f>SUM(AV25,AV40,AV71,AV105)</f>
        <v>2119</v>
      </c>
      <c r="AW107" s="742">
        <f>SUM(AW25,AW40,AW71,AW105)</f>
        <v>1022</v>
      </c>
      <c r="AX107" s="743">
        <f>SUM(AU107:AW107)</f>
        <v>4854</v>
      </c>
      <c r="AY107" s="741">
        <f t="shared" ref="AY107:BN107" si="177">SUM(AY25,AY40,AY71,AY105)</f>
        <v>1595</v>
      </c>
      <c r="AZ107" s="742">
        <f t="shared" si="177"/>
        <v>1959</v>
      </c>
      <c r="BA107" s="742">
        <f t="shared" si="177"/>
        <v>894</v>
      </c>
      <c r="BB107" s="743">
        <f t="shared" si="177"/>
        <v>4448</v>
      </c>
      <c r="BC107" s="741">
        <f t="shared" si="177"/>
        <v>1620</v>
      </c>
      <c r="BD107" s="742">
        <f t="shared" si="177"/>
        <v>2108</v>
      </c>
      <c r="BE107" s="742">
        <f t="shared" si="177"/>
        <v>946</v>
      </c>
      <c r="BF107" s="743">
        <f t="shared" si="177"/>
        <v>4674</v>
      </c>
      <c r="BG107" s="741">
        <f t="shared" si="177"/>
        <v>1807</v>
      </c>
      <c r="BH107" s="742">
        <f t="shared" si="177"/>
        <v>2329</v>
      </c>
      <c r="BI107" s="742">
        <f t="shared" si="177"/>
        <v>1198</v>
      </c>
      <c r="BJ107" s="743">
        <f t="shared" si="177"/>
        <v>5334</v>
      </c>
      <c r="BK107" s="741">
        <f t="shared" si="177"/>
        <v>1785</v>
      </c>
      <c r="BL107" s="742">
        <f t="shared" si="177"/>
        <v>2239</v>
      </c>
      <c r="BM107" s="742">
        <f t="shared" si="177"/>
        <v>1039</v>
      </c>
      <c r="BN107" s="743">
        <f t="shared" si="177"/>
        <v>5063</v>
      </c>
      <c r="BO107" s="741">
        <f t="shared" ref="BO107:CL107" si="178">SUM(BO25,BO40,BO71,BO83,BO105)</f>
        <v>1798</v>
      </c>
      <c r="BP107" s="742">
        <f t="shared" si="178"/>
        <v>2134</v>
      </c>
      <c r="BQ107" s="742">
        <f t="shared" si="178"/>
        <v>1215</v>
      </c>
      <c r="BR107" s="743">
        <f t="shared" si="178"/>
        <v>5147</v>
      </c>
      <c r="BS107" s="741">
        <f t="shared" si="178"/>
        <v>1790</v>
      </c>
      <c r="BT107" s="742">
        <f t="shared" si="178"/>
        <v>2356</v>
      </c>
      <c r="BU107" s="742">
        <f t="shared" si="178"/>
        <v>999</v>
      </c>
      <c r="BV107" s="743">
        <f t="shared" si="178"/>
        <v>5145</v>
      </c>
      <c r="BW107" s="741">
        <f t="shared" si="178"/>
        <v>1880</v>
      </c>
      <c r="BX107" s="742">
        <f t="shared" si="178"/>
        <v>2300</v>
      </c>
      <c r="BY107" s="742">
        <f t="shared" si="178"/>
        <v>1247</v>
      </c>
      <c r="BZ107" s="743">
        <f t="shared" si="178"/>
        <v>5427</v>
      </c>
      <c r="CA107" s="741">
        <f t="shared" si="178"/>
        <v>1842</v>
      </c>
      <c r="CB107" s="742">
        <f t="shared" si="178"/>
        <v>2359</v>
      </c>
      <c r="CC107" s="742">
        <f t="shared" si="178"/>
        <v>1207</v>
      </c>
      <c r="CD107" s="743">
        <f t="shared" si="178"/>
        <v>5408</v>
      </c>
      <c r="CE107" s="741">
        <f t="shared" si="178"/>
        <v>2011</v>
      </c>
      <c r="CF107" s="742">
        <f t="shared" si="178"/>
        <v>2245</v>
      </c>
      <c r="CG107" s="742">
        <f t="shared" si="178"/>
        <v>1080</v>
      </c>
      <c r="CH107" s="743">
        <f t="shared" si="178"/>
        <v>5336</v>
      </c>
      <c r="CI107" s="741">
        <f t="shared" si="178"/>
        <v>1923</v>
      </c>
      <c r="CJ107" s="742">
        <f t="shared" si="178"/>
        <v>2270</v>
      </c>
      <c r="CK107" s="742">
        <f t="shared" si="178"/>
        <v>1193</v>
      </c>
      <c r="CL107" s="743">
        <f t="shared" si="178"/>
        <v>5386</v>
      </c>
      <c r="CM107" s="741">
        <f t="shared" ref="CM107:CP107" si="179">SUM(CM25,CM40,CM71,CM83,CM105)</f>
        <v>2064</v>
      </c>
      <c r="CN107" s="742">
        <f t="shared" si="179"/>
        <v>2246</v>
      </c>
      <c r="CO107" s="742">
        <f t="shared" si="179"/>
        <v>1297</v>
      </c>
      <c r="CP107" s="4401">
        <f t="shared" si="179"/>
        <v>5607</v>
      </c>
      <c r="CQ107" s="741">
        <f t="shared" ref="CQ107:CT107" si="180">SUM(CQ25,CQ40,CQ71,CQ83,CQ105)</f>
        <v>2042</v>
      </c>
      <c r="CR107" s="742">
        <f t="shared" si="180"/>
        <v>2311</v>
      </c>
      <c r="CS107" s="742">
        <f t="shared" si="180"/>
        <v>1247</v>
      </c>
      <c r="CT107" s="4401">
        <f t="shared" si="180"/>
        <v>5600</v>
      </c>
    </row>
    <row r="108" spans="1:98" ht="15.6" x14ac:dyDescent="0.25">
      <c r="A108" s="642"/>
      <c r="B108" s="744"/>
      <c r="C108" s="744"/>
      <c r="D108" s="744"/>
      <c r="E108" s="744"/>
      <c r="F108" s="744"/>
      <c r="G108" s="744"/>
      <c r="H108" s="744"/>
      <c r="I108" s="744"/>
      <c r="J108" s="744"/>
      <c r="K108" s="744"/>
      <c r="L108" s="744"/>
      <c r="M108" s="744"/>
      <c r="N108" s="744"/>
      <c r="O108" s="744"/>
      <c r="P108" s="744"/>
      <c r="Q108" s="744"/>
      <c r="R108" s="744"/>
      <c r="S108" s="656"/>
      <c r="T108" s="656"/>
      <c r="U108" s="656"/>
      <c r="V108" s="656"/>
      <c r="W108" s="656"/>
      <c r="X108" s="656"/>
      <c r="Y108" s="656"/>
      <c r="Z108" s="656"/>
      <c r="AA108" s="656"/>
      <c r="AB108" s="656"/>
      <c r="AC108" s="656"/>
      <c r="AD108" s="656"/>
      <c r="AE108" s="656"/>
      <c r="AF108" s="656"/>
      <c r="AG108" s="656"/>
      <c r="AH108" s="656"/>
      <c r="AI108" s="656"/>
      <c r="AJ108" s="656"/>
      <c r="AK108" s="656"/>
      <c r="AL108" s="656"/>
      <c r="AM108" s="656"/>
      <c r="AN108" s="656"/>
      <c r="AO108" s="656"/>
      <c r="AP108" s="656"/>
      <c r="AQ108" s="656"/>
      <c r="AR108" s="656"/>
      <c r="AS108" s="656"/>
      <c r="AT108" s="656"/>
      <c r="AU108" s="656"/>
      <c r="AV108" s="656"/>
      <c r="AW108" s="656"/>
      <c r="AX108" s="656"/>
      <c r="AY108" s="745"/>
      <c r="CL108" s="747"/>
      <c r="CP108" s="4645"/>
      <c r="CT108" s="4645"/>
    </row>
    <row r="109" spans="1:98" s="745" customFormat="1" ht="15.6" x14ac:dyDescent="0.25">
      <c r="A109" s="642"/>
      <c r="B109" s="748" t="s">
        <v>176</v>
      </c>
      <c r="C109" s="746"/>
      <c r="D109" s="746"/>
      <c r="E109" s="746"/>
      <c r="F109" s="746"/>
      <c r="G109" s="746"/>
      <c r="H109" s="746"/>
      <c r="I109" s="746"/>
      <c r="J109" s="746"/>
      <c r="K109" s="746"/>
      <c r="L109" s="746"/>
      <c r="M109" s="746"/>
      <c r="N109" s="746"/>
      <c r="O109" s="746"/>
      <c r="P109" s="746"/>
      <c r="Q109" s="746"/>
      <c r="R109" s="746"/>
      <c r="S109" s="746"/>
      <c r="T109" s="746"/>
      <c r="U109" s="746"/>
      <c r="V109" s="746"/>
      <c r="W109" s="746"/>
      <c r="X109" s="746"/>
      <c r="Y109" s="746"/>
      <c r="Z109" s="746"/>
      <c r="AA109" s="746"/>
      <c r="AB109" s="746"/>
      <c r="AC109" s="746"/>
      <c r="AD109" s="746"/>
      <c r="AE109" s="746"/>
      <c r="AF109" s="746"/>
      <c r="AG109" s="746"/>
      <c r="AH109" s="746"/>
      <c r="AI109" s="746"/>
      <c r="AJ109" s="746"/>
      <c r="AK109" s="746"/>
      <c r="AL109" s="746"/>
      <c r="AM109" s="746"/>
      <c r="AN109" s="746"/>
      <c r="AO109" s="746"/>
      <c r="AP109" s="746"/>
      <c r="AQ109" s="746"/>
      <c r="AR109" s="746"/>
      <c r="AS109" s="746"/>
      <c r="AT109" s="746"/>
      <c r="AU109" s="746"/>
      <c r="AV109" s="746"/>
      <c r="AW109" s="746"/>
      <c r="AX109" s="746"/>
      <c r="AY109" s="656"/>
    </row>
    <row r="110" spans="1:98" s="656" customFormat="1" ht="15.6" x14ac:dyDescent="0.25">
      <c r="A110" s="642"/>
      <c r="B110" s="393" t="s">
        <v>151</v>
      </c>
      <c r="C110" s="746"/>
      <c r="D110" s="746"/>
      <c r="E110" s="746"/>
      <c r="F110" s="746"/>
      <c r="G110" s="746"/>
      <c r="H110" s="746"/>
      <c r="I110" s="746"/>
      <c r="J110" s="746"/>
      <c r="K110" s="746"/>
      <c r="L110" s="746"/>
      <c r="M110" s="746"/>
      <c r="N110" s="746"/>
      <c r="O110" s="746"/>
      <c r="P110" s="746"/>
      <c r="Q110" s="746"/>
      <c r="R110" s="746"/>
      <c r="S110" s="746"/>
      <c r="T110" s="746"/>
      <c r="U110" s="746"/>
      <c r="V110" s="746"/>
      <c r="W110" s="746"/>
      <c r="X110" s="746"/>
      <c r="Y110" s="746"/>
      <c r="Z110" s="746"/>
      <c r="AA110" s="746"/>
      <c r="AB110" s="746"/>
      <c r="AC110" s="746"/>
      <c r="AD110" s="746"/>
      <c r="AE110" s="746"/>
      <c r="AF110" s="746"/>
      <c r="AG110" s="746"/>
      <c r="AH110" s="746"/>
      <c r="AI110" s="746"/>
      <c r="AJ110" s="746"/>
      <c r="AK110" s="746"/>
      <c r="AL110" s="746"/>
      <c r="AM110" s="746"/>
      <c r="AN110" s="746"/>
      <c r="AO110" s="746"/>
      <c r="AP110" s="746"/>
      <c r="AQ110" s="746"/>
      <c r="AR110" s="746"/>
      <c r="AS110" s="746"/>
      <c r="AT110" s="746"/>
      <c r="AU110" s="746"/>
      <c r="AV110" s="746"/>
      <c r="AW110" s="746"/>
      <c r="AX110" s="746"/>
      <c r="AY110" s="746"/>
    </row>
  </sheetData>
  <mergeCells count="25">
    <mergeCell ref="S3:V3"/>
    <mergeCell ref="B3:B4"/>
    <mergeCell ref="C3:F3"/>
    <mergeCell ref="G3:J3"/>
    <mergeCell ref="K3:N3"/>
    <mergeCell ref="O3:R3"/>
    <mergeCell ref="BO3:BR3"/>
    <mergeCell ref="W3:Z3"/>
    <mergeCell ref="AA3:AD3"/>
    <mergeCell ref="AE3:AH3"/>
    <mergeCell ref="AI3:AL3"/>
    <mergeCell ref="AM3:AP3"/>
    <mergeCell ref="AQ3:AT3"/>
    <mergeCell ref="AU3:AX3"/>
    <mergeCell ref="AY3:BB3"/>
    <mergeCell ref="BC3:BF3"/>
    <mergeCell ref="BG3:BJ3"/>
    <mergeCell ref="BK3:BN3"/>
    <mergeCell ref="CQ3:CT3"/>
    <mergeCell ref="CM3:CP3"/>
    <mergeCell ref="BS3:BV3"/>
    <mergeCell ref="BW3:BZ3"/>
    <mergeCell ref="CA3:CD3"/>
    <mergeCell ref="CE3:CH3"/>
    <mergeCell ref="CI3:CL3"/>
  </mergeCells>
  <hyperlinks>
    <hyperlink ref="B2" r:id="rId1" display="http://www.transparencia.uam.mx/inforganos/anuarios/_x000a_"/>
  </hyperlinks>
  <printOptions horizontalCentered="1" verticalCentered="1"/>
  <pageMargins left="0.55118110236220474" right="0.47244094488188981" top="0.11811023622047245" bottom="0.19685039370078741" header="0" footer="0.31496062992125984"/>
  <pageSetup scale="60" firstPageNumber="30" pageOrder="overThenDown" orientation="landscape" useFirstPageNumber="1" r:id="rId2"/>
  <headerFooter scaleWithDoc="0" alignWithMargins="0">
    <oddFooter>&amp;R&amp;P</oddFooter>
  </headerFooter>
  <rowBreaks count="1" manualBreakCount="1">
    <brk id="51" min="78" max="97" man="1"/>
  </rowBreaks>
  <colBreaks count="3" manualBreakCount="3">
    <brk id="22" max="1048575" man="1"/>
    <brk id="42" max="1048575" man="1"/>
    <brk id="62" max="1048575" man="1"/>
  </colBreaks>
  <ignoredErrors>
    <ignoredError sqref="BB90:BM99 BB104:BR104 BB100:BE103 BG100:BR103 CD90:CP99 BN90:BR99 BS90:BZ99 CT75:CT78 CP74" formula="1"/>
    <ignoredError sqref="BF100:BF103" formula="1" formulaRange="1"/>
  </ignoredErrors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B1:CT123"/>
  <sheetViews>
    <sheetView showGridLines="0" zoomScaleNormal="100" zoomScaleSheetLayoutView="70" workbookViewId="0">
      <pane xSplit="2" ySplit="5" topLeftCell="BX6" activePane="bottomRight" state="frozen"/>
      <selection activeCell="Q31" sqref="Q31"/>
      <selection pane="topRight" activeCell="Q31" sqref="Q31"/>
      <selection pane="bottomLeft" activeCell="Q31" sqref="Q31"/>
      <selection pane="bottomRight"/>
    </sheetView>
  </sheetViews>
  <sheetFormatPr baseColWidth="10" defaultColWidth="11.44140625" defaultRowHeight="13.2" x14ac:dyDescent="0.25"/>
  <cols>
    <col min="1" max="1" width="2.88671875" style="569" customWidth="1"/>
    <col min="2" max="2" width="22.109375" style="569" customWidth="1"/>
    <col min="3" max="98" width="7.6640625" style="569" customWidth="1"/>
    <col min="99" max="104" width="8.5546875" style="569" customWidth="1"/>
    <col min="105" max="16384" width="11.44140625" style="569"/>
  </cols>
  <sheetData>
    <row r="1" spans="2:98" s="3" customFormat="1" ht="55.2" x14ac:dyDescent="0.25">
      <c r="B1" s="750" t="s">
        <v>177</v>
      </c>
      <c r="C1" s="162"/>
      <c r="D1" s="751"/>
      <c r="E1" s="751"/>
      <c r="F1" s="751"/>
      <c r="G1" s="751"/>
      <c r="H1" s="751"/>
      <c r="I1" s="751"/>
      <c r="J1" s="751"/>
      <c r="K1" s="751"/>
      <c r="L1" s="751"/>
      <c r="M1" s="751"/>
      <c r="N1" s="751"/>
      <c r="O1" s="751"/>
      <c r="P1" s="751"/>
      <c r="Q1" s="751"/>
      <c r="R1" s="751"/>
      <c r="S1" s="751"/>
      <c r="T1" s="751"/>
      <c r="U1" s="751"/>
      <c r="V1" s="751"/>
      <c r="W1" s="751"/>
      <c r="X1" s="751"/>
      <c r="Y1" s="751"/>
      <c r="Z1" s="751"/>
      <c r="AA1" s="751"/>
      <c r="AB1" s="751"/>
      <c r="AC1" s="751"/>
      <c r="AD1" s="751"/>
      <c r="AE1" s="751"/>
      <c r="AF1" s="751"/>
      <c r="AG1" s="751"/>
      <c r="AH1" s="751"/>
      <c r="AI1" s="751"/>
      <c r="AJ1" s="751"/>
      <c r="AK1" s="751"/>
      <c r="AL1" s="751"/>
      <c r="AM1" s="751"/>
      <c r="AN1" s="751"/>
      <c r="AO1" s="751"/>
      <c r="AP1" s="751"/>
      <c r="BC1" s="752"/>
      <c r="BD1" s="752"/>
      <c r="BE1" s="752"/>
    </row>
    <row r="2" spans="2:98" s="3" customFormat="1" ht="15.6" x14ac:dyDescent="0.25">
      <c r="B2" s="751"/>
      <c r="C2" s="751"/>
      <c r="D2" s="751"/>
      <c r="E2" s="751"/>
      <c r="F2" s="751"/>
      <c r="G2" s="751"/>
      <c r="H2" s="751"/>
      <c r="I2" s="751"/>
      <c r="J2" s="751"/>
      <c r="K2" s="751"/>
      <c r="L2" s="751"/>
      <c r="M2" s="751"/>
      <c r="N2" s="751"/>
      <c r="O2" s="751"/>
      <c r="P2" s="751"/>
      <c r="Q2" s="751"/>
      <c r="R2" s="751"/>
      <c r="S2" s="751"/>
      <c r="T2" s="751"/>
      <c r="U2" s="751"/>
      <c r="V2" s="751"/>
      <c r="W2" s="751"/>
      <c r="X2" s="751"/>
      <c r="Y2" s="751"/>
      <c r="Z2" s="751"/>
      <c r="AA2" s="751"/>
      <c r="AB2" s="751"/>
      <c r="AC2" s="751"/>
      <c r="AD2" s="751"/>
      <c r="AE2" s="751"/>
      <c r="AF2" s="751"/>
      <c r="AG2" s="751"/>
      <c r="AH2" s="751"/>
      <c r="AI2" s="751"/>
      <c r="AJ2" s="751"/>
      <c r="AK2" s="751"/>
      <c r="AL2" s="751"/>
      <c r="AM2" s="751"/>
      <c r="AN2" s="751"/>
      <c r="AO2" s="751"/>
      <c r="AP2" s="751"/>
    </row>
    <row r="3" spans="2:98" s="3" customFormat="1" ht="14.25" customHeight="1" x14ac:dyDescent="0.25">
      <c r="B3" s="5727" t="s">
        <v>160</v>
      </c>
      <c r="C3" s="5743">
        <v>1999</v>
      </c>
      <c r="D3" s="5744"/>
      <c r="E3" s="5744"/>
      <c r="F3" s="5745"/>
      <c r="G3" s="5743">
        <v>2000</v>
      </c>
      <c r="H3" s="5744"/>
      <c r="I3" s="5744"/>
      <c r="J3" s="5745"/>
      <c r="K3" s="5743">
        <v>2001</v>
      </c>
      <c r="L3" s="5744"/>
      <c r="M3" s="5744"/>
      <c r="N3" s="5745"/>
      <c r="O3" s="5743">
        <v>2002</v>
      </c>
      <c r="P3" s="5744"/>
      <c r="Q3" s="5744"/>
      <c r="R3" s="5745"/>
      <c r="S3" s="5743">
        <v>2003</v>
      </c>
      <c r="T3" s="5744"/>
      <c r="U3" s="5744"/>
      <c r="V3" s="5745"/>
      <c r="W3" s="5743">
        <v>2004</v>
      </c>
      <c r="X3" s="5744"/>
      <c r="Y3" s="5744"/>
      <c r="Z3" s="5745"/>
      <c r="AA3" s="5743">
        <v>2005</v>
      </c>
      <c r="AB3" s="5744"/>
      <c r="AC3" s="5744"/>
      <c r="AD3" s="5745"/>
      <c r="AE3" s="5743">
        <v>2006</v>
      </c>
      <c r="AF3" s="5744"/>
      <c r="AG3" s="5744"/>
      <c r="AH3" s="5745"/>
      <c r="AI3" s="5743">
        <v>2007</v>
      </c>
      <c r="AJ3" s="5744"/>
      <c r="AK3" s="5744"/>
      <c r="AL3" s="5745"/>
      <c r="AM3" s="5743">
        <v>2008</v>
      </c>
      <c r="AN3" s="5744"/>
      <c r="AO3" s="5744"/>
      <c r="AP3" s="5745"/>
      <c r="AQ3" s="5743">
        <v>2009</v>
      </c>
      <c r="AR3" s="5744"/>
      <c r="AS3" s="5744"/>
      <c r="AT3" s="5745"/>
      <c r="AU3" s="5743">
        <v>2010</v>
      </c>
      <c r="AV3" s="5744"/>
      <c r="AW3" s="5744"/>
      <c r="AX3" s="5745"/>
      <c r="AY3" s="5743">
        <v>2011</v>
      </c>
      <c r="AZ3" s="5744"/>
      <c r="BA3" s="5744"/>
      <c r="BB3" s="5745"/>
      <c r="BC3" s="5743">
        <v>2012</v>
      </c>
      <c r="BD3" s="5744"/>
      <c r="BE3" s="5744"/>
      <c r="BF3" s="5745"/>
      <c r="BG3" s="5743">
        <v>2013</v>
      </c>
      <c r="BH3" s="5744"/>
      <c r="BI3" s="5744"/>
      <c r="BJ3" s="5745"/>
      <c r="BK3" s="5743">
        <v>2014</v>
      </c>
      <c r="BL3" s="5744"/>
      <c r="BM3" s="5744"/>
      <c r="BN3" s="5745"/>
      <c r="BO3" s="5743">
        <v>2015</v>
      </c>
      <c r="BP3" s="5744"/>
      <c r="BQ3" s="5744"/>
      <c r="BR3" s="5745"/>
      <c r="BS3" s="5743">
        <v>2016</v>
      </c>
      <c r="BT3" s="5744"/>
      <c r="BU3" s="5744"/>
      <c r="BV3" s="5745"/>
      <c r="BW3" s="5743">
        <v>2017</v>
      </c>
      <c r="BX3" s="5744"/>
      <c r="BY3" s="5744"/>
      <c r="BZ3" s="5745"/>
      <c r="CA3" s="5743">
        <v>2018</v>
      </c>
      <c r="CB3" s="5744"/>
      <c r="CC3" s="5744"/>
      <c r="CD3" s="5745"/>
      <c r="CE3" s="5743">
        <v>2019</v>
      </c>
      <c r="CF3" s="5744"/>
      <c r="CG3" s="5744"/>
      <c r="CH3" s="5745"/>
      <c r="CI3" s="5743">
        <v>2020</v>
      </c>
      <c r="CJ3" s="5744"/>
      <c r="CK3" s="5744"/>
      <c r="CL3" s="5745"/>
      <c r="CM3" s="5743">
        <v>2021</v>
      </c>
      <c r="CN3" s="5744"/>
      <c r="CO3" s="5744"/>
      <c r="CP3" s="5745"/>
      <c r="CQ3" s="5743">
        <v>2022</v>
      </c>
      <c r="CR3" s="5744"/>
      <c r="CS3" s="5744"/>
      <c r="CT3" s="5745"/>
    </row>
    <row r="4" spans="2:98" s="753" customFormat="1" ht="15.6" x14ac:dyDescent="0.25">
      <c r="B4" s="5728"/>
      <c r="C4" s="643" t="s">
        <v>170</v>
      </c>
      <c r="D4" s="644" t="s">
        <v>171</v>
      </c>
      <c r="E4" s="645" t="s">
        <v>172</v>
      </c>
      <c r="F4" s="646" t="s">
        <v>48</v>
      </c>
      <c r="G4" s="643" t="s">
        <v>170</v>
      </c>
      <c r="H4" s="644" t="s">
        <v>171</v>
      </c>
      <c r="I4" s="645" t="s">
        <v>172</v>
      </c>
      <c r="J4" s="646" t="s">
        <v>48</v>
      </c>
      <c r="K4" s="643" t="s">
        <v>155</v>
      </c>
      <c r="L4" s="644" t="s">
        <v>46</v>
      </c>
      <c r="M4" s="645" t="s">
        <v>47</v>
      </c>
      <c r="N4" s="646" t="s">
        <v>48</v>
      </c>
      <c r="O4" s="643" t="s">
        <v>155</v>
      </c>
      <c r="P4" s="644" t="s">
        <v>46</v>
      </c>
      <c r="Q4" s="645" t="s">
        <v>47</v>
      </c>
      <c r="R4" s="646" t="s">
        <v>48</v>
      </c>
      <c r="S4" s="643" t="s">
        <v>155</v>
      </c>
      <c r="T4" s="644" t="s">
        <v>46</v>
      </c>
      <c r="U4" s="645" t="s">
        <v>47</v>
      </c>
      <c r="V4" s="646" t="s">
        <v>48</v>
      </c>
      <c r="W4" s="643" t="s">
        <v>155</v>
      </c>
      <c r="X4" s="644" t="s">
        <v>46</v>
      </c>
      <c r="Y4" s="645" t="s">
        <v>47</v>
      </c>
      <c r="Z4" s="646" t="s">
        <v>48</v>
      </c>
      <c r="AA4" s="643" t="s">
        <v>155</v>
      </c>
      <c r="AB4" s="644" t="s">
        <v>46</v>
      </c>
      <c r="AC4" s="645" t="s">
        <v>47</v>
      </c>
      <c r="AD4" s="646" t="s">
        <v>48</v>
      </c>
      <c r="AE4" s="643" t="s">
        <v>155</v>
      </c>
      <c r="AF4" s="644" t="s">
        <v>46</v>
      </c>
      <c r="AG4" s="645" t="s">
        <v>47</v>
      </c>
      <c r="AH4" s="646" t="s">
        <v>48</v>
      </c>
      <c r="AI4" s="643" t="s">
        <v>155</v>
      </c>
      <c r="AJ4" s="644" t="s">
        <v>46</v>
      </c>
      <c r="AK4" s="645" t="s">
        <v>47</v>
      </c>
      <c r="AL4" s="646" t="s">
        <v>48</v>
      </c>
      <c r="AM4" s="643" t="s">
        <v>155</v>
      </c>
      <c r="AN4" s="644" t="s">
        <v>46</v>
      </c>
      <c r="AO4" s="645" t="s">
        <v>47</v>
      </c>
      <c r="AP4" s="646" t="s">
        <v>48</v>
      </c>
      <c r="AQ4" s="643" t="s">
        <v>155</v>
      </c>
      <c r="AR4" s="644" t="s">
        <v>46</v>
      </c>
      <c r="AS4" s="645" t="s">
        <v>47</v>
      </c>
      <c r="AT4" s="646" t="s">
        <v>48</v>
      </c>
      <c r="AU4" s="643" t="s">
        <v>155</v>
      </c>
      <c r="AV4" s="644" t="s">
        <v>46</v>
      </c>
      <c r="AW4" s="645" t="s">
        <v>47</v>
      </c>
      <c r="AX4" s="646" t="s">
        <v>48</v>
      </c>
      <c r="AY4" s="643" t="s">
        <v>155</v>
      </c>
      <c r="AZ4" s="644" t="s">
        <v>46</v>
      </c>
      <c r="BA4" s="645" t="s">
        <v>47</v>
      </c>
      <c r="BB4" s="646" t="s">
        <v>48</v>
      </c>
      <c r="BC4" s="643" t="s">
        <v>155</v>
      </c>
      <c r="BD4" s="644" t="s">
        <v>46</v>
      </c>
      <c r="BE4" s="645" t="s">
        <v>47</v>
      </c>
      <c r="BF4" s="646" t="s">
        <v>48</v>
      </c>
      <c r="BG4" s="643" t="s">
        <v>155</v>
      </c>
      <c r="BH4" s="644" t="s">
        <v>46</v>
      </c>
      <c r="BI4" s="645" t="s">
        <v>47</v>
      </c>
      <c r="BJ4" s="646" t="s">
        <v>48</v>
      </c>
      <c r="BK4" s="643" t="s">
        <v>155</v>
      </c>
      <c r="BL4" s="644" t="s">
        <v>46</v>
      </c>
      <c r="BM4" s="645" t="s">
        <v>47</v>
      </c>
      <c r="BN4" s="646" t="s">
        <v>48</v>
      </c>
      <c r="BO4" s="643" t="s">
        <v>155</v>
      </c>
      <c r="BP4" s="644" t="s">
        <v>46</v>
      </c>
      <c r="BQ4" s="645" t="s">
        <v>47</v>
      </c>
      <c r="BR4" s="646" t="s">
        <v>48</v>
      </c>
      <c r="BS4" s="643" t="s">
        <v>155</v>
      </c>
      <c r="BT4" s="644" t="s">
        <v>46</v>
      </c>
      <c r="BU4" s="645" t="s">
        <v>47</v>
      </c>
      <c r="BV4" s="646" t="s">
        <v>48</v>
      </c>
      <c r="BW4" s="643" t="s">
        <v>155</v>
      </c>
      <c r="BX4" s="644" t="s">
        <v>46</v>
      </c>
      <c r="BY4" s="645" t="s">
        <v>47</v>
      </c>
      <c r="BZ4" s="646" t="s">
        <v>48</v>
      </c>
      <c r="CA4" s="643" t="s">
        <v>155</v>
      </c>
      <c r="CB4" s="644" t="s">
        <v>46</v>
      </c>
      <c r="CC4" s="645" t="s">
        <v>47</v>
      </c>
      <c r="CD4" s="646" t="s">
        <v>48</v>
      </c>
      <c r="CE4" s="643" t="s">
        <v>155</v>
      </c>
      <c r="CF4" s="644" t="s">
        <v>46</v>
      </c>
      <c r="CG4" s="645" t="s">
        <v>47</v>
      </c>
      <c r="CH4" s="646" t="s">
        <v>48</v>
      </c>
      <c r="CI4" s="643" t="s">
        <v>155</v>
      </c>
      <c r="CJ4" s="644" t="s">
        <v>46</v>
      </c>
      <c r="CK4" s="645" t="s">
        <v>47</v>
      </c>
      <c r="CL4" s="646" t="s">
        <v>48</v>
      </c>
      <c r="CM4" s="643" t="s">
        <v>155</v>
      </c>
      <c r="CN4" s="644" t="s">
        <v>46</v>
      </c>
      <c r="CO4" s="645" t="s">
        <v>47</v>
      </c>
      <c r="CP4" s="646" t="s">
        <v>48</v>
      </c>
      <c r="CQ4" s="643" t="s">
        <v>155</v>
      </c>
      <c r="CR4" s="644" t="s">
        <v>46</v>
      </c>
      <c r="CS4" s="645" t="s">
        <v>47</v>
      </c>
      <c r="CT4" s="646" t="s">
        <v>48</v>
      </c>
    </row>
    <row r="5" spans="2:98" s="3" customFormat="1" ht="14.4" x14ac:dyDescent="0.25">
      <c r="B5" s="149"/>
      <c r="C5" s="754"/>
      <c r="D5" s="754"/>
      <c r="E5" s="754"/>
      <c r="F5" s="754"/>
      <c r="G5" s="754"/>
      <c r="H5" s="754"/>
      <c r="I5" s="754"/>
      <c r="J5" s="754"/>
      <c r="K5" s="754"/>
      <c r="L5" s="754"/>
      <c r="M5" s="754"/>
      <c r="N5" s="754"/>
      <c r="O5" s="754"/>
      <c r="P5" s="754"/>
      <c r="Q5" s="754"/>
      <c r="R5" s="754"/>
      <c r="S5" s="754"/>
      <c r="T5" s="754"/>
      <c r="U5" s="754"/>
      <c r="V5" s="754"/>
      <c r="W5" s="754"/>
      <c r="X5" s="754"/>
      <c r="Y5" s="754"/>
      <c r="Z5" s="754"/>
      <c r="AA5" s="754"/>
      <c r="AB5" s="754"/>
      <c r="AC5" s="754"/>
      <c r="AD5" s="754"/>
      <c r="AE5" s="754"/>
      <c r="AF5" s="754"/>
      <c r="AG5" s="754"/>
      <c r="AH5" s="754"/>
      <c r="AI5" s="754"/>
      <c r="AJ5" s="754"/>
      <c r="AK5" s="754"/>
      <c r="AL5" s="754"/>
      <c r="AM5" s="754"/>
      <c r="AN5" s="754"/>
      <c r="AO5" s="754"/>
      <c r="AP5" s="754"/>
      <c r="AQ5" s="754"/>
      <c r="AR5" s="754"/>
      <c r="AS5" s="754"/>
      <c r="AT5" s="754"/>
      <c r="AU5" s="754"/>
      <c r="AV5" s="754"/>
      <c r="AW5" s="754"/>
      <c r="AX5" s="754"/>
      <c r="AY5" s="754"/>
      <c r="AZ5" s="754"/>
      <c r="BA5" s="754"/>
      <c r="BB5" s="754"/>
      <c r="BC5" s="754"/>
      <c r="BD5" s="754"/>
      <c r="BE5" s="754"/>
      <c r="BF5" s="754"/>
      <c r="BG5" s="754"/>
      <c r="BH5" s="754"/>
      <c r="BI5" s="754"/>
      <c r="BJ5" s="754"/>
      <c r="BK5" s="754"/>
      <c r="BL5" s="754"/>
      <c r="BM5" s="754"/>
      <c r="BN5" s="754"/>
      <c r="BO5" s="754"/>
      <c r="BP5" s="754"/>
      <c r="BQ5" s="754"/>
      <c r="BR5" s="754"/>
      <c r="BS5" s="754"/>
      <c r="BT5" s="754"/>
      <c r="BU5" s="754"/>
      <c r="BV5" s="754"/>
      <c r="BW5" s="754"/>
      <c r="BX5" s="754"/>
      <c r="BY5" s="754"/>
      <c r="BZ5" s="754"/>
      <c r="CA5" s="754"/>
      <c r="CB5" s="754"/>
      <c r="CC5" s="754"/>
      <c r="CD5" s="754"/>
      <c r="CE5" s="754"/>
      <c r="CF5" s="754"/>
      <c r="CG5" s="754"/>
      <c r="CH5" s="754"/>
      <c r="CI5" s="754"/>
      <c r="CJ5" s="754"/>
      <c r="CK5" s="754"/>
      <c r="CL5" s="754"/>
      <c r="CM5" s="754"/>
      <c r="CN5" s="754"/>
      <c r="CO5" s="754"/>
      <c r="CP5" s="754"/>
      <c r="CQ5" s="754"/>
      <c r="CR5" s="754"/>
      <c r="CS5" s="754"/>
      <c r="CT5" s="754"/>
    </row>
    <row r="6" spans="2:98" s="3" customFormat="1" ht="15" customHeight="1" x14ac:dyDescent="0.25">
      <c r="B6" s="150" t="s">
        <v>59</v>
      </c>
      <c r="C6" s="755">
        <f>SUM('EGRESO plan'!C5:C14)</f>
        <v>146</v>
      </c>
      <c r="D6" s="756">
        <f>SUM('EGRESO plan'!D5:D14)</f>
        <v>143</v>
      </c>
      <c r="E6" s="756">
        <f>SUM('EGRESO plan'!E5:E14)</f>
        <v>124</v>
      </c>
      <c r="F6" s="757">
        <f>SUM('EGRESO plan'!F5:F14)</f>
        <v>413</v>
      </c>
      <c r="G6" s="755">
        <f>SUM('EGRESO plan'!G5:G14)</f>
        <v>104</v>
      </c>
      <c r="H6" s="756">
        <f>SUM('EGRESO plan'!H5:H14)</f>
        <v>121</v>
      </c>
      <c r="I6" s="756">
        <f>SUM('EGRESO plan'!I5:I14)</f>
        <v>110</v>
      </c>
      <c r="J6" s="757">
        <f>SUM('EGRESO plan'!J5:J14)</f>
        <v>335</v>
      </c>
      <c r="K6" s="755">
        <f>SUM('EGRESO plan'!K5:K14)</f>
        <v>119</v>
      </c>
      <c r="L6" s="756">
        <f>SUM('EGRESO plan'!L5:L14)</f>
        <v>107</v>
      </c>
      <c r="M6" s="756">
        <f>SUM('EGRESO plan'!M5:M14)</f>
        <v>92</v>
      </c>
      <c r="N6" s="757">
        <f>SUM('EGRESO plan'!N5:N14)</f>
        <v>318</v>
      </c>
      <c r="O6" s="755">
        <f>SUM('EGRESO plan'!O5:O14)</f>
        <v>103</v>
      </c>
      <c r="P6" s="756">
        <f>SUM('EGRESO plan'!P5:P14)</f>
        <v>133</v>
      </c>
      <c r="Q6" s="756">
        <f>SUM('EGRESO plan'!Q5:Q14)</f>
        <v>115</v>
      </c>
      <c r="R6" s="757">
        <f>SUM('EGRESO plan'!R5:R14)</f>
        <v>351</v>
      </c>
      <c r="S6" s="755">
        <f>SUM('EGRESO plan'!S5:S14)</f>
        <v>162</v>
      </c>
      <c r="T6" s="756">
        <f>SUM('EGRESO plan'!T5:T14)</f>
        <v>150</v>
      </c>
      <c r="U6" s="756">
        <f>SUM('EGRESO plan'!U5:U14)</f>
        <v>108</v>
      </c>
      <c r="V6" s="757">
        <f>SUM('EGRESO plan'!V5:V14)</f>
        <v>420</v>
      </c>
      <c r="W6" s="755">
        <f>SUM('EGRESO plan'!W5:W14)</f>
        <v>105</v>
      </c>
      <c r="X6" s="756">
        <f>SUM('EGRESO plan'!X5:X14)</f>
        <v>144</v>
      </c>
      <c r="Y6" s="756">
        <f>SUM('EGRESO plan'!Y5:Y14)</f>
        <v>119</v>
      </c>
      <c r="Z6" s="757">
        <f>SUM('EGRESO plan'!Z5:Z14)</f>
        <v>368</v>
      </c>
      <c r="AA6" s="755">
        <f>SUM('EGRESO plan'!AA5:AA14)</f>
        <v>119</v>
      </c>
      <c r="AB6" s="756">
        <f>SUM('EGRESO plan'!AB5:AB14)</f>
        <v>150</v>
      </c>
      <c r="AC6" s="756">
        <f>SUM('EGRESO plan'!AC5:AC14)</f>
        <v>133</v>
      </c>
      <c r="AD6" s="757">
        <f>SUM('EGRESO plan'!AD5:AD14)</f>
        <v>402</v>
      </c>
      <c r="AE6" s="755">
        <f>SUM('EGRESO plan'!AE5:AE14)</f>
        <v>131</v>
      </c>
      <c r="AF6" s="756">
        <f>SUM('EGRESO plan'!AF5:AF14)</f>
        <v>133</v>
      </c>
      <c r="AG6" s="756">
        <f>SUM('EGRESO plan'!AG5:AG14)</f>
        <v>124</v>
      </c>
      <c r="AH6" s="757">
        <f>SUM('EGRESO plan'!AH5:AH14)</f>
        <v>388</v>
      </c>
      <c r="AI6" s="755">
        <f>SUM('EGRESO plan'!AI5:AI14)</f>
        <v>102</v>
      </c>
      <c r="AJ6" s="756">
        <f>SUM('EGRESO plan'!AJ5:AJ14)</f>
        <v>141</v>
      </c>
      <c r="AK6" s="756">
        <f>SUM('EGRESO plan'!AK5:AK14)</f>
        <v>96</v>
      </c>
      <c r="AL6" s="757">
        <f>SUM('EGRESO plan'!AL5:AL14)</f>
        <v>339</v>
      </c>
      <c r="AM6" s="755">
        <f>SUM('EGRESO plan'!AM5:AM14)</f>
        <v>126</v>
      </c>
      <c r="AN6" s="756">
        <f>SUM('EGRESO plan'!AN5:AN14)</f>
        <v>134</v>
      </c>
      <c r="AO6" s="756">
        <f>SUM('EGRESO plan'!AO5:AO14)</f>
        <v>102</v>
      </c>
      <c r="AP6" s="757">
        <f>SUM('EGRESO plan'!AP5:AP14)</f>
        <v>362</v>
      </c>
      <c r="AQ6" s="755">
        <f>SUM('EGRESO plan'!AQ5:AQ14)</f>
        <v>105</v>
      </c>
      <c r="AR6" s="756">
        <f>SUM('EGRESO plan'!AR5:AR14)</f>
        <v>135</v>
      </c>
      <c r="AS6" s="756">
        <f>SUM('EGRESO plan'!AS5:AS14)</f>
        <v>110</v>
      </c>
      <c r="AT6" s="757">
        <f>SUM('EGRESO plan'!AT5:AT14)</f>
        <v>350</v>
      </c>
      <c r="AU6" s="755">
        <f>SUM('EGRESO plan'!AU5:AU14)</f>
        <v>124</v>
      </c>
      <c r="AV6" s="756">
        <f>SUM('EGRESO plan'!AV5:AV14)</f>
        <v>149</v>
      </c>
      <c r="AW6" s="756">
        <f>SUM('EGRESO plan'!AW5:AW14)</f>
        <v>95</v>
      </c>
      <c r="AX6" s="757">
        <f>SUM('EGRESO plan'!AX5:AX14)</f>
        <v>368</v>
      </c>
      <c r="AY6" s="755">
        <f>SUM('EGRESO plan'!AY5:AY14)</f>
        <v>129</v>
      </c>
      <c r="AZ6" s="756">
        <f>SUM('EGRESO plan'!AZ5:AZ14)</f>
        <v>151</v>
      </c>
      <c r="BA6" s="756">
        <f>SUM('EGRESO plan'!BA5:BA14)</f>
        <v>124</v>
      </c>
      <c r="BB6" s="757">
        <f>SUM('EGRESO plan'!BB5:BB14)</f>
        <v>404</v>
      </c>
      <c r="BC6" s="755">
        <f>SUM('EGRESO plan'!BC5:BC14)</f>
        <v>110</v>
      </c>
      <c r="BD6" s="756">
        <f>SUM('EGRESO plan'!BD5:BD14)</f>
        <v>135</v>
      </c>
      <c r="BE6" s="756">
        <f>SUM('EGRESO plan'!BE5:BE14)</f>
        <v>117</v>
      </c>
      <c r="BF6" s="757">
        <f>SUM('EGRESO plan'!BF5:BF14)</f>
        <v>362</v>
      </c>
      <c r="BG6" s="755">
        <f>SUM('EGRESO plan'!BG5:BG14)</f>
        <v>143</v>
      </c>
      <c r="BH6" s="756">
        <f>SUM('EGRESO plan'!BH5:BH14)</f>
        <v>205</v>
      </c>
      <c r="BI6" s="756">
        <f>SUM('EGRESO plan'!BI5:BI14)</f>
        <v>174</v>
      </c>
      <c r="BJ6" s="757">
        <f>SUM('EGRESO plan'!BJ5:BJ14)</f>
        <v>522</v>
      </c>
      <c r="BK6" s="755">
        <f>SUM('EGRESO plan'!BK5:BK14)</f>
        <v>231</v>
      </c>
      <c r="BL6" s="756">
        <f>SUM('EGRESO plan'!BL5:BL14)</f>
        <v>201</v>
      </c>
      <c r="BM6" s="756">
        <f>SUM('EGRESO plan'!BM5:BM14)</f>
        <v>142</v>
      </c>
      <c r="BN6" s="757">
        <f>SUM('EGRESO plan'!BN5:BN14)</f>
        <v>574</v>
      </c>
      <c r="BO6" s="755">
        <f>SUM('EGRESO plan'!BO5:BO14)</f>
        <v>178</v>
      </c>
      <c r="BP6" s="756">
        <f>SUM('EGRESO plan'!BP5:BP14)</f>
        <v>174</v>
      </c>
      <c r="BQ6" s="756">
        <f>SUM('EGRESO plan'!BQ5:BQ14)</f>
        <v>175</v>
      </c>
      <c r="BR6" s="757">
        <f>SUM('EGRESO plan'!BR5:BR14)</f>
        <v>527</v>
      </c>
      <c r="BS6" s="755">
        <f>SUM('EGRESO plan'!BS5:BS14)</f>
        <v>202</v>
      </c>
      <c r="BT6" s="756">
        <f>SUM('EGRESO plan'!BT5:BT14)</f>
        <v>206</v>
      </c>
      <c r="BU6" s="756">
        <f>SUM('EGRESO plan'!BU5:BU14)</f>
        <v>114</v>
      </c>
      <c r="BV6" s="757">
        <f>SUM('EGRESO plan'!BV5:BV14)</f>
        <v>522</v>
      </c>
      <c r="BW6" s="755">
        <f>SUM('EGRESO plan'!BW5:BW14)</f>
        <v>222</v>
      </c>
      <c r="BX6" s="756">
        <f>SUM('EGRESO plan'!BX5:BX14)</f>
        <v>204</v>
      </c>
      <c r="BY6" s="756">
        <f>SUM('EGRESO plan'!BY5:BY14)</f>
        <v>184</v>
      </c>
      <c r="BZ6" s="757">
        <f>SUM('EGRESO plan'!BZ5:BZ14)</f>
        <v>610</v>
      </c>
      <c r="CA6" s="755">
        <f>SUM('EGRESO plan'!CA5:CA14)</f>
        <v>198</v>
      </c>
      <c r="CB6" s="756">
        <f>SUM('EGRESO plan'!CB5:CB14)</f>
        <v>159</v>
      </c>
      <c r="CC6" s="756">
        <f>SUM('EGRESO plan'!CC5:CC14)</f>
        <v>160</v>
      </c>
      <c r="CD6" s="757">
        <f>SUM('EGRESO plan'!CD5:CD14)</f>
        <v>517</v>
      </c>
      <c r="CE6" s="755">
        <f>SUM('EGRESO plan'!CE5:CE14)</f>
        <v>205</v>
      </c>
      <c r="CF6" s="756">
        <f>SUM('EGRESO plan'!CF5:CF14)</f>
        <v>158</v>
      </c>
      <c r="CG6" s="756">
        <f>SUM('EGRESO plan'!CG5:CG14)</f>
        <v>115</v>
      </c>
      <c r="CH6" s="757">
        <f>SUM('EGRESO plan'!CH5:CH14)</f>
        <v>478</v>
      </c>
      <c r="CI6" s="755">
        <f>SUM('EGRESO plan'!CI5:CI14)</f>
        <v>91</v>
      </c>
      <c r="CJ6" s="756">
        <f>SUM('EGRESO plan'!CJ5:CJ14)</f>
        <v>98</v>
      </c>
      <c r="CK6" s="756">
        <f>SUM('EGRESO plan'!CK5:CK14)</f>
        <v>90</v>
      </c>
      <c r="CL6" s="757">
        <f>SUM('EGRESO plan'!CL5:CL14)</f>
        <v>279</v>
      </c>
      <c r="CM6" s="755">
        <f>SUM('EGRESO plan'!CM5:CM14)</f>
        <v>151</v>
      </c>
      <c r="CN6" s="756">
        <f>SUM('EGRESO plan'!CN5:CN14)</f>
        <v>109</v>
      </c>
      <c r="CO6" s="756">
        <f>SUM('EGRESO plan'!CO5:CO14)</f>
        <v>146</v>
      </c>
      <c r="CP6" s="757">
        <f>SUM('EGRESO plan'!CP5:CP14)</f>
        <v>406</v>
      </c>
      <c r="CQ6" s="755">
        <f>SUM('EGRESO plan'!CQ5:CQ14)</f>
        <v>183</v>
      </c>
      <c r="CR6" s="756">
        <f>SUM('EGRESO plan'!CR5:CR14)</f>
        <v>162</v>
      </c>
      <c r="CS6" s="756">
        <f>SUM('EGRESO plan'!CS5:CS14)</f>
        <v>189</v>
      </c>
      <c r="CT6" s="757">
        <f>SUM('EGRESO plan'!CT5:CT14)</f>
        <v>534</v>
      </c>
    </row>
    <row r="7" spans="2:98" s="3" customFormat="1" ht="15" customHeight="1" x14ac:dyDescent="0.25">
      <c r="B7" s="154" t="s">
        <v>64</v>
      </c>
      <c r="C7" s="758">
        <f>SUM('EGRESO plan'!C16:C19)</f>
        <v>198</v>
      </c>
      <c r="D7" s="759">
        <f>SUM('EGRESO plan'!D16:D19)</f>
        <v>234</v>
      </c>
      <c r="E7" s="759">
        <f>SUM('EGRESO plan'!E16:E19)</f>
        <v>179</v>
      </c>
      <c r="F7" s="760">
        <f>SUM('EGRESO plan'!F16:F19)</f>
        <v>611</v>
      </c>
      <c r="G7" s="758">
        <f>SUM('EGRESO plan'!G16:G19)</f>
        <v>235</v>
      </c>
      <c r="H7" s="759">
        <f>SUM('EGRESO plan'!H16:H19)</f>
        <v>219</v>
      </c>
      <c r="I7" s="759">
        <f>SUM('EGRESO plan'!I16:I19)</f>
        <v>166</v>
      </c>
      <c r="J7" s="760">
        <f>SUM('EGRESO plan'!J16:J19)</f>
        <v>620</v>
      </c>
      <c r="K7" s="758">
        <f>SUM('EGRESO plan'!K16:K19)</f>
        <v>201</v>
      </c>
      <c r="L7" s="759">
        <f>SUM('EGRESO plan'!L16:L19)</f>
        <v>193</v>
      </c>
      <c r="M7" s="759">
        <f>SUM('EGRESO plan'!M16:M19)</f>
        <v>214</v>
      </c>
      <c r="N7" s="760">
        <f>SUM('EGRESO plan'!N16:N19)</f>
        <v>608</v>
      </c>
      <c r="O7" s="758">
        <f>SUM('EGRESO plan'!O16:O19)</f>
        <v>198</v>
      </c>
      <c r="P7" s="759">
        <f>SUM('EGRESO plan'!P16:P19)</f>
        <v>202</v>
      </c>
      <c r="Q7" s="759">
        <f>SUM('EGRESO plan'!Q16:Q19)</f>
        <v>185</v>
      </c>
      <c r="R7" s="760">
        <f>SUM('EGRESO plan'!R16:R19)</f>
        <v>585</v>
      </c>
      <c r="S7" s="758">
        <f>SUM('EGRESO plan'!S16:S19)</f>
        <v>180</v>
      </c>
      <c r="T7" s="759">
        <f>SUM('EGRESO plan'!T16:T19)</f>
        <v>258</v>
      </c>
      <c r="U7" s="759">
        <f>SUM('EGRESO plan'!U16:U19)</f>
        <v>189</v>
      </c>
      <c r="V7" s="760">
        <f>SUM('EGRESO plan'!V16:V19)</f>
        <v>627</v>
      </c>
      <c r="W7" s="758">
        <f>SUM('EGRESO plan'!W16:W19)</f>
        <v>192</v>
      </c>
      <c r="X7" s="759">
        <f>SUM('EGRESO plan'!X16:X19)</f>
        <v>238</v>
      </c>
      <c r="Y7" s="759">
        <f>SUM('EGRESO plan'!Y16:Y19)</f>
        <v>161</v>
      </c>
      <c r="Z7" s="760">
        <f>SUM('EGRESO plan'!Z16:Z19)</f>
        <v>591</v>
      </c>
      <c r="AA7" s="758">
        <f>SUM('EGRESO plan'!AA16:AA19)</f>
        <v>189</v>
      </c>
      <c r="AB7" s="759">
        <f>SUM('EGRESO plan'!AB16:AB19)</f>
        <v>203</v>
      </c>
      <c r="AC7" s="759">
        <f>SUM('EGRESO plan'!AC16:AC19)</f>
        <v>145</v>
      </c>
      <c r="AD7" s="760">
        <f>SUM('EGRESO plan'!AD16:AD19)</f>
        <v>537</v>
      </c>
      <c r="AE7" s="758">
        <f>SUM('EGRESO plan'!AE16:AE19)</f>
        <v>166</v>
      </c>
      <c r="AF7" s="759">
        <f>SUM('EGRESO plan'!AF16:AF19)</f>
        <v>176</v>
      </c>
      <c r="AG7" s="759">
        <f>SUM('EGRESO plan'!AG16:AG19)</f>
        <v>159</v>
      </c>
      <c r="AH7" s="760">
        <f>SUM('EGRESO plan'!AH16:AH19)</f>
        <v>501</v>
      </c>
      <c r="AI7" s="758">
        <f>SUM('EGRESO plan'!AI16:AI19)</f>
        <v>156</v>
      </c>
      <c r="AJ7" s="759">
        <f>SUM('EGRESO plan'!AJ16:AJ19)</f>
        <v>184</v>
      </c>
      <c r="AK7" s="759">
        <f>SUM('EGRESO plan'!AK16:AK19)</f>
        <v>148</v>
      </c>
      <c r="AL7" s="760">
        <f>SUM('EGRESO plan'!AL16:AL19)</f>
        <v>488</v>
      </c>
      <c r="AM7" s="758">
        <f>SUM('EGRESO plan'!AM16:AM19)</f>
        <v>170</v>
      </c>
      <c r="AN7" s="759">
        <f>SUM('EGRESO plan'!AN16:AN19)</f>
        <v>180</v>
      </c>
      <c r="AO7" s="759">
        <f>SUM('EGRESO plan'!AO16:AO19)</f>
        <v>139</v>
      </c>
      <c r="AP7" s="760">
        <f>SUM('EGRESO plan'!AP16:AP19)</f>
        <v>489</v>
      </c>
      <c r="AQ7" s="758">
        <f>SUM('EGRESO plan'!AQ16:AQ19)</f>
        <v>172</v>
      </c>
      <c r="AR7" s="759">
        <f>SUM('EGRESO plan'!AR16:AR19)</f>
        <v>202</v>
      </c>
      <c r="AS7" s="759">
        <f>SUM('EGRESO plan'!AS16:AS19)</f>
        <v>126</v>
      </c>
      <c r="AT7" s="760">
        <f>SUM('EGRESO plan'!AT16:AT19)</f>
        <v>500</v>
      </c>
      <c r="AU7" s="758">
        <f>SUM('EGRESO plan'!AU16:AU19)</f>
        <v>139</v>
      </c>
      <c r="AV7" s="759">
        <f>SUM('EGRESO plan'!AV16:AV19)</f>
        <v>235</v>
      </c>
      <c r="AW7" s="759">
        <f>SUM('EGRESO plan'!AW16:AW19)</f>
        <v>129</v>
      </c>
      <c r="AX7" s="760">
        <f>SUM('EGRESO plan'!AX16:AX19)</f>
        <v>503</v>
      </c>
      <c r="AY7" s="758">
        <f>SUM('EGRESO plan'!AY16:AY19)</f>
        <v>156</v>
      </c>
      <c r="AZ7" s="759">
        <f>SUM('EGRESO plan'!AZ16:AZ19)</f>
        <v>162</v>
      </c>
      <c r="BA7" s="759">
        <f>SUM('EGRESO plan'!BA16:BA19)</f>
        <v>121</v>
      </c>
      <c r="BB7" s="760">
        <f>SUM('EGRESO plan'!BB16:BB19)</f>
        <v>439</v>
      </c>
      <c r="BC7" s="758">
        <f>SUM('EGRESO plan'!BC16:BC19)</f>
        <v>160</v>
      </c>
      <c r="BD7" s="759">
        <f>SUM('EGRESO plan'!BD16:BD19)</f>
        <v>198</v>
      </c>
      <c r="BE7" s="759">
        <f>SUM('EGRESO plan'!BE16:BE19)</f>
        <v>166</v>
      </c>
      <c r="BF7" s="760">
        <f>SUM('EGRESO plan'!BF16:BF19)</f>
        <v>524</v>
      </c>
      <c r="BG7" s="758">
        <f>SUM('EGRESO plan'!BG16:BG19)</f>
        <v>243</v>
      </c>
      <c r="BH7" s="759">
        <f>SUM('EGRESO plan'!BH16:BH19)</f>
        <v>281</v>
      </c>
      <c r="BI7" s="759">
        <f>SUM('EGRESO plan'!BI16:BI19)</f>
        <v>200</v>
      </c>
      <c r="BJ7" s="760">
        <f>SUM('EGRESO plan'!BJ16:BJ19)</f>
        <v>724</v>
      </c>
      <c r="BK7" s="758">
        <f>SUM('EGRESO plan'!BK16:BK19)</f>
        <v>177</v>
      </c>
      <c r="BL7" s="759">
        <f>SUM('EGRESO plan'!BL16:BL19)</f>
        <v>224</v>
      </c>
      <c r="BM7" s="759">
        <f>SUM('EGRESO plan'!BM16:BM19)</f>
        <v>160</v>
      </c>
      <c r="BN7" s="760">
        <f>SUM('EGRESO plan'!BN16:BN19)</f>
        <v>561</v>
      </c>
      <c r="BO7" s="758">
        <f>SUM('EGRESO plan'!BO16:BO19)</f>
        <v>164</v>
      </c>
      <c r="BP7" s="759">
        <f>SUM('EGRESO plan'!BP16:BP19)</f>
        <v>258</v>
      </c>
      <c r="BQ7" s="759">
        <f>SUM('EGRESO plan'!BQ16:BQ19)</f>
        <v>207</v>
      </c>
      <c r="BR7" s="760">
        <f>SUM('EGRESO plan'!BR16:BR19)</f>
        <v>629</v>
      </c>
      <c r="BS7" s="758">
        <f>SUM('EGRESO plan'!BS16:BS19)</f>
        <v>185</v>
      </c>
      <c r="BT7" s="759">
        <f>SUM('EGRESO plan'!BT16:BT19)</f>
        <v>248</v>
      </c>
      <c r="BU7" s="759">
        <f>SUM('EGRESO plan'!BU16:BU19)</f>
        <v>145</v>
      </c>
      <c r="BV7" s="760">
        <f>SUM('EGRESO plan'!BV16:BV19)</f>
        <v>578</v>
      </c>
      <c r="BW7" s="758">
        <f>SUM('EGRESO plan'!BW16:BW19)</f>
        <v>205</v>
      </c>
      <c r="BX7" s="759">
        <f>SUM('EGRESO plan'!BX16:BX19)</f>
        <v>242</v>
      </c>
      <c r="BY7" s="759">
        <f>SUM('EGRESO plan'!BY16:BY19)</f>
        <v>209</v>
      </c>
      <c r="BZ7" s="760">
        <f>SUM('EGRESO plan'!BZ16:BZ19)</f>
        <v>656</v>
      </c>
      <c r="CA7" s="758">
        <f>SUM('EGRESO plan'!CA16:CA19)</f>
        <v>176</v>
      </c>
      <c r="CB7" s="759">
        <f>SUM('EGRESO plan'!CB16:CB19)</f>
        <v>284</v>
      </c>
      <c r="CC7" s="759">
        <f>SUM('EGRESO plan'!CC16:CC19)</f>
        <v>203</v>
      </c>
      <c r="CD7" s="760">
        <f>SUM('EGRESO plan'!CD16:CD19)</f>
        <v>663</v>
      </c>
      <c r="CE7" s="758">
        <f>SUM('EGRESO plan'!CE16:CE19)</f>
        <v>224</v>
      </c>
      <c r="CF7" s="759">
        <f>SUM('EGRESO plan'!CF16:CF19)</f>
        <v>227</v>
      </c>
      <c r="CG7" s="759">
        <f>SUM('EGRESO plan'!CG16:CG19)</f>
        <v>177</v>
      </c>
      <c r="CH7" s="760">
        <f>SUM('EGRESO plan'!CH16:CH19)</f>
        <v>628</v>
      </c>
      <c r="CI7" s="758">
        <f>SUM('EGRESO plan'!CI16:CI19)</f>
        <v>195</v>
      </c>
      <c r="CJ7" s="759">
        <f>SUM('EGRESO plan'!CJ16:CJ19)</f>
        <v>259</v>
      </c>
      <c r="CK7" s="759">
        <f>SUM('EGRESO plan'!CK16:CK19)</f>
        <v>182</v>
      </c>
      <c r="CL7" s="760">
        <f>SUM('EGRESO plan'!CL16:CL19)</f>
        <v>636</v>
      </c>
      <c r="CM7" s="758">
        <f>SUM('EGRESO plan'!CM16:CM19)</f>
        <v>181</v>
      </c>
      <c r="CN7" s="759">
        <f>SUM('EGRESO plan'!CN16:CN19)</f>
        <v>244</v>
      </c>
      <c r="CO7" s="759">
        <f>SUM('EGRESO plan'!CO16:CO19)</f>
        <v>176</v>
      </c>
      <c r="CP7" s="760">
        <f>SUM('EGRESO plan'!CP16:CP19)</f>
        <v>601</v>
      </c>
      <c r="CQ7" s="758">
        <f>SUM('EGRESO plan'!CQ16:CQ19)</f>
        <v>158</v>
      </c>
      <c r="CR7" s="759">
        <f>SUM('EGRESO plan'!CR16:CR19)</f>
        <v>206</v>
      </c>
      <c r="CS7" s="759">
        <f>SUM('EGRESO plan'!CS16:CS19)</f>
        <v>138</v>
      </c>
      <c r="CT7" s="760">
        <f>SUM('EGRESO plan'!CT16:CT19)</f>
        <v>502</v>
      </c>
    </row>
    <row r="8" spans="2:98" s="3" customFormat="1" ht="15" customHeight="1" x14ac:dyDescent="0.25">
      <c r="B8" s="154" t="s">
        <v>68</v>
      </c>
      <c r="C8" s="758">
        <f>SUM('EGRESO plan'!C21:C23)</f>
        <v>129</v>
      </c>
      <c r="D8" s="759">
        <f>SUM('EGRESO plan'!D21:D23)</f>
        <v>110</v>
      </c>
      <c r="E8" s="759">
        <f>SUM('EGRESO plan'!E21:E23)</f>
        <v>146</v>
      </c>
      <c r="F8" s="760">
        <f>SUM('EGRESO plan'!F21:F23)</f>
        <v>385</v>
      </c>
      <c r="G8" s="758">
        <f>SUM('EGRESO plan'!G21:G23)</f>
        <v>158</v>
      </c>
      <c r="H8" s="759">
        <f>SUM('EGRESO plan'!H21:H23)</f>
        <v>98</v>
      </c>
      <c r="I8" s="759">
        <f>SUM('EGRESO plan'!I21:I23)</f>
        <v>155</v>
      </c>
      <c r="J8" s="760">
        <f>SUM('EGRESO plan'!J21:J23)</f>
        <v>411</v>
      </c>
      <c r="K8" s="758">
        <f>SUM('EGRESO plan'!K21:K23)</f>
        <v>135</v>
      </c>
      <c r="L8" s="759">
        <f>SUM('EGRESO plan'!L21:L23)</f>
        <v>114</v>
      </c>
      <c r="M8" s="759">
        <f>SUM('EGRESO plan'!M21:M23)</f>
        <v>121</v>
      </c>
      <c r="N8" s="760">
        <f>SUM('EGRESO plan'!N21:N23)</f>
        <v>370</v>
      </c>
      <c r="O8" s="758">
        <f>SUM('EGRESO plan'!O21:O23)</f>
        <v>106</v>
      </c>
      <c r="P8" s="759">
        <f>SUM('EGRESO plan'!P21:P23)</f>
        <v>104</v>
      </c>
      <c r="Q8" s="759">
        <f>SUM('EGRESO plan'!Q21:Q23)</f>
        <v>112</v>
      </c>
      <c r="R8" s="760">
        <f>SUM('EGRESO plan'!R21:R23)</f>
        <v>322</v>
      </c>
      <c r="S8" s="758">
        <f>SUM('EGRESO plan'!S21:S23)</f>
        <v>135</v>
      </c>
      <c r="T8" s="759">
        <f>SUM('EGRESO plan'!T21:T23)</f>
        <v>153</v>
      </c>
      <c r="U8" s="759">
        <f>SUM('EGRESO plan'!U21:U23)</f>
        <v>132</v>
      </c>
      <c r="V8" s="760">
        <f>SUM('EGRESO plan'!V21:V23)</f>
        <v>420</v>
      </c>
      <c r="W8" s="758">
        <f>SUM('EGRESO plan'!W21:W23)</f>
        <v>110</v>
      </c>
      <c r="X8" s="759">
        <f>SUM('EGRESO plan'!X21:X23)</f>
        <v>116</v>
      </c>
      <c r="Y8" s="759">
        <f>SUM('EGRESO plan'!Y21:Y23)</f>
        <v>93</v>
      </c>
      <c r="Z8" s="760">
        <f>SUM('EGRESO plan'!Z21:Z23)</f>
        <v>319</v>
      </c>
      <c r="AA8" s="758">
        <f>SUM('EGRESO plan'!AA21:AA23)</f>
        <v>98</v>
      </c>
      <c r="AB8" s="759">
        <f>SUM('EGRESO plan'!AB21:AB23)</f>
        <v>144</v>
      </c>
      <c r="AC8" s="759">
        <f>SUM('EGRESO plan'!AC21:AC23)</f>
        <v>110</v>
      </c>
      <c r="AD8" s="760">
        <f>SUM('EGRESO plan'!AD21:AD23)</f>
        <v>352</v>
      </c>
      <c r="AE8" s="758">
        <f>SUM('EGRESO plan'!AE21:AE23)</f>
        <v>128</v>
      </c>
      <c r="AF8" s="759">
        <f>SUM('EGRESO plan'!AF21:AF23)</f>
        <v>119</v>
      </c>
      <c r="AG8" s="759">
        <f>SUM('EGRESO plan'!AG21:AG23)</f>
        <v>111</v>
      </c>
      <c r="AH8" s="760">
        <f>SUM('EGRESO plan'!AH21:AH23)</f>
        <v>358</v>
      </c>
      <c r="AI8" s="758">
        <f>SUM('EGRESO plan'!AI21:AI23)</f>
        <v>152</v>
      </c>
      <c r="AJ8" s="759">
        <f>SUM('EGRESO plan'!AJ21:AJ23)</f>
        <v>126</v>
      </c>
      <c r="AK8" s="759">
        <f>SUM('EGRESO plan'!AK21:AK23)</f>
        <v>91</v>
      </c>
      <c r="AL8" s="760">
        <f>SUM('EGRESO plan'!AL21:AL23)</f>
        <v>369</v>
      </c>
      <c r="AM8" s="758">
        <f>SUM('EGRESO plan'!AM21:AM23)</f>
        <v>85</v>
      </c>
      <c r="AN8" s="759">
        <f>SUM('EGRESO plan'!AN21:AN23)</f>
        <v>145</v>
      </c>
      <c r="AO8" s="759">
        <f>SUM('EGRESO plan'!AO21:AO23)</f>
        <v>112</v>
      </c>
      <c r="AP8" s="760">
        <f>SUM('EGRESO plan'!AP21:AP23)</f>
        <v>342</v>
      </c>
      <c r="AQ8" s="758">
        <f>SUM('EGRESO plan'!AQ21:AQ23)</f>
        <v>147</v>
      </c>
      <c r="AR8" s="759">
        <f>SUM('EGRESO plan'!AR21:AR23)</f>
        <v>143</v>
      </c>
      <c r="AS8" s="759">
        <f>SUM('EGRESO plan'!AS21:AS23)</f>
        <v>74</v>
      </c>
      <c r="AT8" s="760">
        <f>SUM('EGRESO plan'!AT21:AT23)</f>
        <v>364</v>
      </c>
      <c r="AU8" s="758">
        <f>SUM('EGRESO plan'!AU21:AU23)</f>
        <v>108</v>
      </c>
      <c r="AV8" s="759">
        <f>SUM('EGRESO plan'!AV21:AV23)</f>
        <v>100</v>
      </c>
      <c r="AW8" s="759">
        <f>SUM('EGRESO plan'!AW21:AW23)</f>
        <v>113</v>
      </c>
      <c r="AX8" s="760">
        <f>SUM('EGRESO plan'!AX21:AX23)</f>
        <v>321</v>
      </c>
      <c r="AY8" s="758">
        <f>SUM('EGRESO plan'!AY21:AY23)</f>
        <v>83</v>
      </c>
      <c r="AZ8" s="759">
        <f>SUM('EGRESO plan'!AZ21:AZ23)</f>
        <v>128</v>
      </c>
      <c r="BA8" s="759">
        <f>SUM('EGRESO plan'!BA21:BA23)</f>
        <v>31</v>
      </c>
      <c r="BB8" s="760">
        <f>SUM('EGRESO plan'!BB21:BB23)</f>
        <v>242</v>
      </c>
      <c r="BC8" s="758">
        <f>SUM('EGRESO plan'!BC21:BC23)</f>
        <v>96</v>
      </c>
      <c r="BD8" s="759">
        <f>SUM('EGRESO plan'!BD21:BD23)</f>
        <v>120</v>
      </c>
      <c r="BE8" s="759">
        <f>SUM('EGRESO plan'!BE21:BE23)</f>
        <v>37</v>
      </c>
      <c r="BF8" s="760">
        <f>SUM('EGRESO plan'!BF21:BF23)</f>
        <v>253</v>
      </c>
      <c r="BG8" s="758">
        <f>SUM('EGRESO plan'!BG21:BG23)</f>
        <v>113</v>
      </c>
      <c r="BH8" s="759">
        <f>SUM('EGRESO plan'!BH21:BH23)</f>
        <v>171</v>
      </c>
      <c r="BI8" s="759">
        <f>SUM('EGRESO plan'!BI21:BI23)</f>
        <v>49</v>
      </c>
      <c r="BJ8" s="760">
        <f>SUM('EGRESO plan'!BJ21:BJ23)</f>
        <v>333</v>
      </c>
      <c r="BK8" s="758">
        <f>SUM('EGRESO plan'!BK21:BK23)</f>
        <v>127</v>
      </c>
      <c r="BL8" s="759">
        <f>SUM('EGRESO plan'!BL21:BL23)</f>
        <v>165</v>
      </c>
      <c r="BM8" s="759">
        <f>SUM('EGRESO plan'!BM21:BM23)</f>
        <v>53</v>
      </c>
      <c r="BN8" s="760">
        <f>SUM('EGRESO plan'!BN21:BN23)</f>
        <v>345</v>
      </c>
      <c r="BO8" s="758">
        <f>SUM('EGRESO plan'!BO21:BO23)</f>
        <v>131</v>
      </c>
      <c r="BP8" s="759">
        <f>SUM('EGRESO plan'!BP21:BP23)</f>
        <v>144</v>
      </c>
      <c r="BQ8" s="759">
        <f>SUM('EGRESO plan'!BQ21:BQ23)</f>
        <v>68</v>
      </c>
      <c r="BR8" s="760">
        <f>SUM('EGRESO plan'!BR21:BR23)</f>
        <v>343</v>
      </c>
      <c r="BS8" s="758">
        <f>SUM('EGRESO plan'!BS21:BS23)</f>
        <v>110</v>
      </c>
      <c r="BT8" s="759">
        <f>SUM('EGRESO plan'!BT21:BT23)</f>
        <v>148</v>
      </c>
      <c r="BU8" s="759">
        <f>SUM('EGRESO plan'!BU21:BU23)</f>
        <v>70</v>
      </c>
      <c r="BV8" s="760">
        <f>SUM('EGRESO plan'!BV21:BV23)</f>
        <v>328</v>
      </c>
      <c r="BW8" s="758">
        <f>SUM('EGRESO plan'!BW21:BW23)</f>
        <v>150</v>
      </c>
      <c r="BX8" s="759">
        <f>SUM('EGRESO plan'!BX21:BX23)</f>
        <v>177</v>
      </c>
      <c r="BY8" s="759">
        <f>SUM('EGRESO plan'!BY21:BY23)</f>
        <v>82</v>
      </c>
      <c r="BZ8" s="760">
        <f>SUM('EGRESO plan'!BZ21:BZ23)</f>
        <v>409</v>
      </c>
      <c r="CA8" s="758">
        <f>SUM('EGRESO plan'!CA21:CA23)</f>
        <v>116</v>
      </c>
      <c r="CB8" s="759">
        <f>SUM('EGRESO plan'!CB21:CB23)</f>
        <v>135</v>
      </c>
      <c r="CC8" s="759">
        <f>SUM('EGRESO plan'!CC21:CC23)</f>
        <v>80</v>
      </c>
      <c r="CD8" s="760">
        <f>SUM('EGRESO plan'!CD21:CD23)</f>
        <v>331</v>
      </c>
      <c r="CE8" s="758">
        <f>SUM('EGRESO plan'!CE21:CE23)</f>
        <v>151</v>
      </c>
      <c r="CF8" s="759">
        <f>SUM('EGRESO plan'!CF21:CF23)</f>
        <v>171</v>
      </c>
      <c r="CG8" s="759">
        <f>SUM('EGRESO plan'!CG21:CG23)</f>
        <v>76</v>
      </c>
      <c r="CH8" s="760">
        <f>SUM('EGRESO plan'!CH21:CH23)</f>
        <v>398</v>
      </c>
      <c r="CI8" s="758">
        <f>SUM('EGRESO plan'!CI21:CI23)</f>
        <v>135</v>
      </c>
      <c r="CJ8" s="759">
        <f>SUM('EGRESO plan'!CJ21:CJ23)</f>
        <v>216</v>
      </c>
      <c r="CK8" s="759">
        <f>SUM('EGRESO plan'!CK21:CK23)</f>
        <v>72</v>
      </c>
      <c r="CL8" s="760">
        <f>SUM('EGRESO plan'!CL21:CL23)</f>
        <v>423</v>
      </c>
      <c r="CM8" s="758">
        <f>SUM('EGRESO plan'!CM21:CM23)</f>
        <v>164</v>
      </c>
      <c r="CN8" s="759">
        <f>SUM('EGRESO plan'!CN21:CN23)</f>
        <v>183</v>
      </c>
      <c r="CO8" s="759">
        <f>SUM('EGRESO plan'!CO21:CO23)</f>
        <v>70</v>
      </c>
      <c r="CP8" s="760">
        <f>SUM('EGRESO plan'!CP21:CP23)</f>
        <v>417</v>
      </c>
      <c r="CQ8" s="758">
        <f>SUM('EGRESO plan'!CQ21:CQ23)</f>
        <v>144</v>
      </c>
      <c r="CR8" s="759">
        <f>SUM('EGRESO plan'!CR21:CR23)</f>
        <v>195</v>
      </c>
      <c r="CS8" s="759">
        <f>SUM('EGRESO plan'!CS21:CS23)</f>
        <v>84</v>
      </c>
      <c r="CT8" s="760">
        <f>SUM('EGRESO plan'!CT21:CT23)</f>
        <v>423</v>
      </c>
    </row>
    <row r="9" spans="2:98" s="162" customFormat="1" ht="15" customHeight="1" x14ac:dyDescent="0.25">
      <c r="B9" s="157" t="s">
        <v>138</v>
      </c>
      <c r="C9" s="761">
        <f t="shared" ref="C9:R9" si="0">SUM(C6:C8)</f>
        <v>473</v>
      </c>
      <c r="D9" s="762">
        <f t="shared" si="0"/>
        <v>487</v>
      </c>
      <c r="E9" s="762">
        <f t="shared" si="0"/>
        <v>449</v>
      </c>
      <c r="F9" s="763">
        <f t="shared" si="0"/>
        <v>1409</v>
      </c>
      <c r="G9" s="761">
        <f t="shared" si="0"/>
        <v>497</v>
      </c>
      <c r="H9" s="762">
        <f t="shared" si="0"/>
        <v>438</v>
      </c>
      <c r="I9" s="762">
        <f t="shared" si="0"/>
        <v>431</v>
      </c>
      <c r="J9" s="763">
        <f t="shared" si="0"/>
        <v>1366</v>
      </c>
      <c r="K9" s="761">
        <f t="shared" si="0"/>
        <v>455</v>
      </c>
      <c r="L9" s="762">
        <f t="shared" si="0"/>
        <v>414</v>
      </c>
      <c r="M9" s="762">
        <f t="shared" si="0"/>
        <v>427</v>
      </c>
      <c r="N9" s="763">
        <f t="shared" si="0"/>
        <v>1296</v>
      </c>
      <c r="O9" s="761">
        <f t="shared" si="0"/>
        <v>407</v>
      </c>
      <c r="P9" s="762">
        <f t="shared" si="0"/>
        <v>439</v>
      </c>
      <c r="Q9" s="762">
        <f t="shared" si="0"/>
        <v>412</v>
      </c>
      <c r="R9" s="763">
        <f t="shared" si="0"/>
        <v>1258</v>
      </c>
      <c r="S9" s="761">
        <f t="shared" ref="S9:CD9" si="1">SUM(S6:S8)</f>
        <v>477</v>
      </c>
      <c r="T9" s="762">
        <f t="shared" si="1"/>
        <v>561</v>
      </c>
      <c r="U9" s="762">
        <f t="shared" si="1"/>
        <v>429</v>
      </c>
      <c r="V9" s="763">
        <f t="shared" si="1"/>
        <v>1467</v>
      </c>
      <c r="W9" s="761">
        <f t="shared" si="1"/>
        <v>407</v>
      </c>
      <c r="X9" s="762">
        <f t="shared" si="1"/>
        <v>498</v>
      </c>
      <c r="Y9" s="762">
        <f t="shared" si="1"/>
        <v>373</v>
      </c>
      <c r="Z9" s="763">
        <f t="shared" si="1"/>
        <v>1278</v>
      </c>
      <c r="AA9" s="761">
        <f t="shared" si="1"/>
        <v>406</v>
      </c>
      <c r="AB9" s="762">
        <f t="shared" si="1"/>
        <v>497</v>
      </c>
      <c r="AC9" s="762">
        <f t="shared" si="1"/>
        <v>388</v>
      </c>
      <c r="AD9" s="763">
        <f t="shared" si="1"/>
        <v>1291</v>
      </c>
      <c r="AE9" s="761">
        <f t="shared" si="1"/>
        <v>425</v>
      </c>
      <c r="AF9" s="762">
        <f t="shared" si="1"/>
        <v>428</v>
      </c>
      <c r="AG9" s="762">
        <f t="shared" si="1"/>
        <v>394</v>
      </c>
      <c r="AH9" s="763">
        <f t="shared" si="1"/>
        <v>1247</v>
      </c>
      <c r="AI9" s="761">
        <f t="shared" si="1"/>
        <v>410</v>
      </c>
      <c r="AJ9" s="762">
        <f t="shared" si="1"/>
        <v>451</v>
      </c>
      <c r="AK9" s="762">
        <f t="shared" si="1"/>
        <v>335</v>
      </c>
      <c r="AL9" s="763">
        <f t="shared" si="1"/>
        <v>1196</v>
      </c>
      <c r="AM9" s="761">
        <f t="shared" si="1"/>
        <v>381</v>
      </c>
      <c r="AN9" s="762">
        <f t="shared" si="1"/>
        <v>459</v>
      </c>
      <c r="AO9" s="762">
        <f t="shared" si="1"/>
        <v>353</v>
      </c>
      <c r="AP9" s="763">
        <f t="shared" si="1"/>
        <v>1193</v>
      </c>
      <c r="AQ9" s="761">
        <f t="shared" si="1"/>
        <v>424</v>
      </c>
      <c r="AR9" s="762">
        <f t="shared" si="1"/>
        <v>480</v>
      </c>
      <c r="AS9" s="762">
        <f t="shared" si="1"/>
        <v>310</v>
      </c>
      <c r="AT9" s="763">
        <f t="shared" si="1"/>
        <v>1214</v>
      </c>
      <c r="AU9" s="761">
        <f t="shared" si="1"/>
        <v>371</v>
      </c>
      <c r="AV9" s="762">
        <f t="shared" si="1"/>
        <v>484</v>
      </c>
      <c r="AW9" s="762">
        <f t="shared" si="1"/>
        <v>337</v>
      </c>
      <c r="AX9" s="763">
        <f t="shared" si="1"/>
        <v>1192</v>
      </c>
      <c r="AY9" s="761">
        <f t="shared" si="1"/>
        <v>368</v>
      </c>
      <c r="AZ9" s="762">
        <f t="shared" si="1"/>
        <v>441</v>
      </c>
      <c r="BA9" s="762">
        <f t="shared" si="1"/>
        <v>276</v>
      </c>
      <c r="BB9" s="763">
        <f t="shared" si="1"/>
        <v>1085</v>
      </c>
      <c r="BC9" s="761">
        <f t="shared" si="1"/>
        <v>366</v>
      </c>
      <c r="BD9" s="762">
        <f t="shared" si="1"/>
        <v>453</v>
      </c>
      <c r="BE9" s="762">
        <f t="shared" si="1"/>
        <v>320</v>
      </c>
      <c r="BF9" s="763">
        <f t="shared" si="1"/>
        <v>1139</v>
      </c>
      <c r="BG9" s="761">
        <f t="shared" si="1"/>
        <v>499</v>
      </c>
      <c r="BH9" s="762">
        <f t="shared" si="1"/>
        <v>657</v>
      </c>
      <c r="BI9" s="762">
        <f t="shared" si="1"/>
        <v>423</v>
      </c>
      <c r="BJ9" s="763">
        <f t="shared" si="1"/>
        <v>1579</v>
      </c>
      <c r="BK9" s="761">
        <f t="shared" si="1"/>
        <v>535</v>
      </c>
      <c r="BL9" s="762">
        <f t="shared" si="1"/>
        <v>590</v>
      </c>
      <c r="BM9" s="762">
        <f t="shared" si="1"/>
        <v>355</v>
      </c>
      <c r="BN9" s="763">
        <f t="shared" si="1"/>
        <v>1480</v>
      </c>
      <c r="BO9" s="761">
        <f t="shared" si="1"/>
        <v>473</v>
      </c>
      <c r="BP9" s="762">
        <f t="shared" si="1"/>
        <v>576</v>
      </c>
      <c r="BQ9" s="762">
        <f t="shared" si="1"/>
        <v>450</v>
      </c>
      <c r="BR9" s="763">
        <f t="shared" si="1"/>
        <v>1499</v>
      </c>
      <c r="BS9" s="761">
        <f t="shared" si="1"/>
        <v>497</v>
      </c>
      <c r="BT9" s="762">
        <f t="shared" si="1"/>
        <v>602</v>
      </c>
      <c r="BU9" s="762">
        <f t="shared" si="1"/>
        <v>329</v>
      </c>
      <c r="BV9" s="763">
        <f t="shared" si="1"/>
        <v>1428</v>
      </c>
      <c r="BW9" s="761">
        <f t="shared" si="1"/>
        <v>577</v>
      </c>
      <c r="BX9" s="762">
        <f t="shared" si="1"/>
        <v>623</v>
      </c>
      <c r="BY9" s="762">
        <f t="shared" si="1"/>
        <v>475</v>
      </c>
      <c r="BZ9" s="763">
        <f t="shared" si="1"/>
        <v>1675</v>
      </c>
      <c r="CA9" s="761">
        <f t="shared" si="1"/>
        <v>490</v>
      </c>
      <c r="CB9" s="762">
        <f t="shared" si="1"/>
        <v>578</v>
      </c>
      <c r="CC9" s="762">
        <f t="shared" si="1"/>
        <v>443</v>
      </c>
      <c r="CD9" s="763">
        <f t="shared" si="1"/>
        <v>1511</v>
      </c>
      <c r="CE9" s="761">
        <f t="shared" ref="CE9:CL9" si="2">SUM(CE6:CE8)</f>
        <v>580</v>
      </c>
      <c r="CF9" s="762">
        <f t="shared" si="2"/>
        <v>556</v>
      </c>
      <c r="CG9" s="762">
        <f t="shared" si="2"/>
        <v>368</v>
      </c>
      <c r="CH9" s="763">
        <f t="shared" si="2"/>
        <v>1504</v>
      </c>
      <c r="CI9" s="761">
        <f t="shared" si="2"/>
        <v>421</v>
      </c>
      <c r="CJ9" s="762">
        <f t="shared" si="2"/>
        <v>573</v>
      </c>
      <c r="CK9" s="762">
        <f t="shared" si="2"/>
        <v>344</v>
      </c>
      <c r="CL9" s="763">
        <f t="shared" si="2"/>
        <v>1338</v>
      </c>
      <c r="CM9" s="761">
        <f t="shared" ref="CM9:CP9" si="3">SUM(CM6:CM8)</f>
        <v>496</v>
      </c>
      <c r="CN9" s="762">
        <f t="shared" si="3"/>
        <v>536</v>
      </c>
      <c r="CO9" s="762">
        <f t="shared" si="3"/>
        <v>392</v>
      </c>
      <c r="CP9" s="763">
        <f t="shared" si="3"/>
        <v>1424</v>
      </c>
      <c r="CQ9" s="761">
        <f t="shared" ref="CQ9:CT9" si="4">SUM(CQ6:CQ8)</f>
        <v>485</v>
      </c>
      <c r="CR9" s="762">
        <f t="shared" si="4"/>
        <v>563</v>
      </c>
      <c r="CS9" s="762">
        <f t="shared" si="4"/>
        <v>411</v>
      </c>
      <c r="CT9" s="763">
        <f t="shared" si="4"/>
        <v>1459</v>
      </c>
    </row>
    <row r="10" spans="2:98" s="162" customFormat="1" ht="13.8" x14ac:dyDescent="0.25">
      <c r="C10" s="764"/>
      <c r="D10" s="764"/>
      <c r="E10" s="764"/>
      <c r="F10" s="764"/>
      <c r="G10" s="764"/>
      <c r="H10" s="764"/>
      <c r="I10" s="764"/>
      <c r="J10" s="764"/>
      <c r="K10" s="764"/>
      <c r="L10" s="764"/>
      <c r="M10" s="764"/>
      <c r="N10" s="764"/>
      <c r="O10" s="764"/>
      <c r="P10" s="764"/>
      <c r="Q10" s="764"/>
      <c r="R10" s="764"/>
      <c r="S10" s="764"/>
      <c r="T10" s="764"/>
      <c r="U10" s="764"/>
      <c r="V10" s="764"/>
      <c r="W10" s="764"/>
      <c r="X10" s="764"/>
      <c r="Y10" s="764"/>
      <c r="Z10" s="764"/>
      <c r="AA10" s="764"/>
      <c r="AB10" s="764"/>
      <c r="AC10" s="764"/>
      <c r="AD10" s="764"/>
      <c r="AE10" s="764"/>
      <c r="AF10" s="764"/>
      <c r="AG10" s="764"/>
      <c r="AH10" s="764"/>
      <c r="AI10" s="764"/>
      <c r="AJ10" s="764"/>
      <c r="AK10" s="764"/>
      <c r="AL10" s="764"/>
      <c r="AM10" s="764"/>
      <c r="AN10" s="764"/>
      <c r="AO10" s="764"/>
      <c r="AP10" s="764"/>
      <c r="AQ10" s="764"/>
      <c r="AR10" s="764"/>
      <c r="AS10" s="764"/>
      <c r="AT10" s="764"/>
      <c r="AU10" s="764"/>
      <c r="AV10" s="764"/>
      <c r="AW10" s="764"/>
      <c r="AX10" s="764"/>
      <c r="AY10" s="764"/>
      <c r="AZ10" s="764"/>
      <c r="BA10" s="764"/>
      <c r="BB10" s="764"/>
      <c r="BC10" s="764"/>
      <c r="BD10" s="764"/>
      <c r="BE10" s="764"/>
      <c r="BF10" s="764"/>
      <c r="BG10" s="764"/>
      <c r="BH10" s="764"/>
      <c r="BI10" s="764"/>
      <c r="BJ10" s="764"/>
      <c r="BK10" s="764"/>
      <c r="BL10" s="764"/>
      <c r="BM10" s="764"/>
      <c r="BN10" s="764"/>
      <c r="BO10" s="764"/>
      <c r="BP10" s="764"/>
      <c r="BQ10" s="764"/>
      <c r="BR10" s="764"/>
      <c r="BS10" s="764"/>
      <c r="BT10" s="764"/>
      <c r="BU10" s="764"/>
      <c r="BV10" s="764"/>
      <c r="BW10" s="764"/>
      <c r="BX10" s="764"/>
      <c r="BY10" s="764"/>
      <c r="BZ10" s="764"/>
      <c r="CA10" s="764"/>
      <c r="CB10" s="764"/>
      <c r="CC10" s="764"/>
      <c r="CD10" s="764"/>
      <c r="CE10" s="764"/>
      <c r="CF10" s="764"/>
      <c r="CG10" s="764"/>
      <c r="CH10" s="764"/>
      <c r="CI10" s="764"/>
      <c r="CJ10" s="764"/>
      <c r="CK10" s="764"/>
      <c r="CL10" s="764"/>
      <c r="CM10" s="764"/>
      <c r="CN10" s="764"/>
      <c r="CO10" s="764"/>
      <c r="CP10" s="764"/>
      <c r="CQ10" s="764"/>
      <c r="CR10" s="764"/>
      <c r="CS10" s="764"/>
      <c r="CT10" s="764"/>
    </row>
    <row r="11" spans="2:98" s="162" customFormat="1" ht="15" customHeight="1" x14ac:dyDescent="0.25">
      <c r="B11" s="150" t="s">
        <v>64</v>
      </c>
      <c r="C11" s="765"/>
      <c r="D11" s="766"/>
      <c r="E11" s="766"/>
      <c r="F11" s="767"/>
      <c r="G11" s="765"/>
      <c r="H11" s="766"/>
      <c r="I11" s="766"/>
      <c r="J11" s="767"/>
      <c r="K11" s="765"/>
      <c r="L11" s="766"/>
      <c r="M11" s="766"/>
      <c r="N11" s="767"/>
      <c r="O11" s="765"/>
      <c r="P11" s="766"/>
      <c r="Q11" s="766"/>
      <c r="R11" s="767"/>
      <c r="S11" s="765"/>
      <c r="T11" s="766"/>
      <c r="U11" s="766"/>
      <c r="V11" s="767"/>
      <c r="W11" s="765"/>
      <c r="X11" s="766"/>
      <c r="Y11" s="766"/>
      <c r="Z11" s="767"/>
      <c r="AA11" s="765"/>
      <c r="AB11" s="766"/>
      <c r="AC11" s="766"/>
      <c r="AD11" s="767"/>
      <c r="AE11" s="765"/>
      <c r="AF11" s="766"/>
      <c r="AG11" s="766"/>
      <c r="AH11" s="767"/>
      <c r="AI11" s="765"/>
      <c r="AJ11" s="766"/>
      <c r="AK11" s="766"/>
      <c r="AL11" s="767"/>
      <c r="AM11" s="765"/>
      <c r="AN11" s="766"/>
      <c r="AO11" s="766"/>
      <c r="AP11" s="767"/>
      <c r="AQ11" s="755"/>
      <c r="AR11" s="756">
        <f>SUM('EGRESO plan'!AR26:AR29)</f>
        <v>16</v>
      </c>
      <c r="AS11" s="756">
        <f>SUM('EGRESO plan'!AS26:AS29)</f>
        <v>31</v>
      </c>
      <c r="AT11" s="757">
        <f>SUM('EGRESO plan'!AT26:AT29)</f>
        <v>47</v>
      </c>
      <c r="AU11" s="755">
        <f>SUM('EGRESO plan'!AU26:AU29)</f>
        <v>1</v>
      </c>
      <c r="AV11" s="756">
        <f>SUM('EGRESO plan'!AV26:AV29)</f>
        <v>3</v>
      </c>
      <c r="AW11" s="756">
        <f>SUM('EGRESO plan'!AW26:AW29)</f>
        <v>24</v>
      </c>
      <c r="AX11" s="757">
        <f>SUM('EGRESO plan'!AX26:AX29)</f>
        <v>28</v>
      </c>
      <c r="AY11" s="755">
        <f>SUM('EGRESO plan'!AY26:AY29)</f>
        <v>5</v>
      </c>
      <c r="AZ11" s="756">
        <f>SUM('EGRESO plan'!AZ26:AZ29)</f>
        <v>39</v>
      </c>
      <c r="BA11" s="756">
        <f>SUM('EGRESO plan'!BA26:BA29)</f>
        <v>7</v>
      </c>
      <c r="BB11" s="757">
        <f>SUM('EGRESO plan'!BB26:BB29)</f>
        <v>51</v>
      </c>
      <c r="BC11" s="755">
        <f>SUM('EGRESO plan'!BC26:BC29)</f>
        <v>12</v>
      </c>
      <c r="BD11" s="756">
        <f>SUM('EGRESO plan'!BD26:BD29)</f>
        <v>29</v>
      </c>
      <c r="BE11" s="756">
        <f>SUM('EGRESO plan'!BE26:BE29)</f>
        <v>13</v>
      </c>
      <c r="BF11" s="757">
        <f>SUM('EGRESO plan'!BF26:BF29)</f>
        <v>54</v>
      </c>
      <c r="BG11" s="755">
        <f>SUM('EGRESO plan'!BG26:BG29)</f>
        <v>17</v>
      </c>
      <c r="BH11" s="756">
        <f>SUM('EGRESO plan'!BH26:BH29)</f>
        <v>24</v>
      </c>
      <c r="BI11" s="756">
        <f>SUM('EGRESO plan'!BI26:BI29)</f>
        <v>2</v>
      </c>
      <c r="BJ11" s="757">
        <f>SUM('EGRESO plan'!BJ26:BJ29)</f>
        <v>43</v>
      </c>
      <c r="BK11" s="755">
        <f>SUM('EGRESO plan'!BK26:BK29)</f>
        <v>5</v>
      </c>
      <c r="BL11" s="756">
        <f>SUM('EGRESO plan'!BL26:BL29)</f>
        <v>20</v>
      </c>
      <c r="BM11" s="756">
        <f>SUM('EGRESO plan'!BM26:BM29)</f>
        <v>8</v>
      </c>
      <c r="BN11" s="757">
        <f>SUM('EGRESO plan'!BN26:BN29)</f>
        <v>33</v>
      </c>
      <c r="BO11" s="755">
        <f>SUM('EGRESO plan'!BO26:BO29)</f>
        <v>6</v>
      </c>
      <c r="BP11" s="756">
        <f>SUM('EGRESO plan'!BP26:BP29)</f>
        <v>18</v>
      </c>
      <c r="BQ11" s="756">
        <f>SUM('EGRESO plan'!BQ26:BQ29)</f>
        <v>4</v>
      </c>
      <c r="BR11" s="757">
        <f>SUM('EGRESO plan'!BR26:BR29)</f>
        <v>28</v>
      </c>
      <c r="BS11" s="755">
        <f>SUM('EGRESO plan'!BS26:BS29)</f>
        <v>6</v>
      </c>
      <c r="BT11" s="756">
        <f>SUM('EGRESO plan'!BT26:BT29)</f>
        <v>23</v>
      </c>
      <c r="BU11" s="756">
        <f>SUM('EGRESO plan'!BU26:BU29)</f>
        <v>3</v>
      </c>
      <c r="BV11" s="757">
        <f>SUM('EGRESO plan'!BV26:BV29)</f>
        <v>32</v>
      </c>
      <c r="BW11" s="755">
        <f>SUM('EGRESO plan'!BW26:BW29)</f>
        <v>5</v>
      </c>
      <c r="BX11" s="756">
        <f>SUM('EGRESO plan'!BX26:BX29)</f>
        <v>27</v>
      </c>
      <c r="BY11" s="756">
        <f>SUM('EGRESO plan'!BY26:BY29)</f>
        <v>4</v>
      </c>
      <c r="BZ11" s="757">
        <f>SUM('EGRESO plan'!BZ26:BZ29)</f>
        <v>36</v>
      </c>
      <c r="CA11" s="755">
        <f>SUM('EGRESO plan'!CA26:CA29)</f>
        <v>30</v>
      </c>
      <c r="CB11" s="756">
        <f>SUM('EGRESO plan'!CB26:CB29)</f>
        <v>20</v>
      </c>
      <c r="CC11" s="756">
        <f>SUM('EGRESO plan'!CC26:CC29)</f>
        <v>5</v>
      </c>
      <c r="CD11" s="757">
        <f>SUM('EGRESO plan'!CD26:CD29)</f>
        <v>55</v>
      </c>
      <c r="CE11" s="755">
        <f>SUM('EGRESO plan'!CE26:CE29)</f>
        <v>37</v>
      </c>
      <c r="CF11" s="756">
        <f>SUM('EGRESO plan'!CF26:CF29)</f>
        <v>31</v>
      </c>
      <c r="CG11" s="756">
        <f>SUM('EGRESO plan'!CG26:CG29)</f>
        <v>21</v>
      </c>
      <c r="CH11" s="757">
        <f>SUM('EGRESO plan'!CH26:CH29)</f>
        <v>89</v>
      </c>
      <c r="CI11" s="755">
        <f>SUM('EGRESO plan'!CI26:CI29)</f>
        <v>14</v>
      </c>
      <c r="CJ11" s="756">
        <f>SUM('EGRESO plan'!CJ26:CJ29)</f>
        <v>7</v>
      </c>
      <c r="CK11" s="756">
        <f>SUM('EGRESO plan'!CK26:CK29)</f>
        <v>56</v>
      </c>
      <c r="CL11" s="757">
        <f>SUM('EGRESO plan'!CL26:CL29)</f>
        <v>77</v>
      </c>
      <c r="CM11" s="755">
        <f>SUM('EGRESO plan'!CM26:CM29)</f>
        <v>15</v>
      </c>
      <c r="CN11" s="756">
        <f>SUM('EGRESO plan'!CN26:CN29)</f>
        <v>21</v>
      </c>
      <c r="CO11" s="756">
        <f>SUM('EGRESO plan'!CO26:CO29)</f>
        <v>51</v>
      </c>
      <c r="CP11" s="757">
        <f>SUM('EGRESO plan'!CP26:CP29)</f>
        <v>87</v>
      </c>
      <c r="CQ11" s="755">
        <f>SUM('EGRESO plan'!CQ26:CQ29)</f>
        <v>37</v>
      </c>
      <c r="CR11" s="756">
        <f>SUM('EGRESO plan'!CR26:CR29)</f>
        <v>41</v>
      </c>
      <c r="CS11" s="756">
        <f>SUM('EGRESO plan'!CS26:CS29)</f>
        <v>6</v>
      </c>
      <c r="CT11" s="757">
        <f>SUM('EGRESO plan'!CT26:CT29)</f>
        <v>84</v>
      </c>
    </row>
    <row r="12" spans="2:98" s="162" customFormat="1" ht="15" customHeight="1" x14ac:dyDescent="0.25">
      <c r="B12" s="154" t="s">
        <v>111</v>
      </c>
      <c r="C12" s="768"/>
      <c r="D12" s="769"/>
      <c r="E12" s="769"/>
      <c r="F12" s="770"/>
      <c r="G12" s="768"/>
      <c r="H12" s="769"/>
      <c r="I12" s="769"/>
      <c r="J12" s="770"/>
      <c r="K12" s="768"/>
      <c r="L12" s="769"/>
      <c r="M12" s="769"/>
      <c r="N12" s="770"/>
      <c r="O12" s="768"/>
      <c r="P12" s="769"/>
      <c r="Q12" s="769"/>
      <c r="R12" s="770"/>
      <c r="S12" s="768"/>
      <c r="T12" s="769"/>
      <c r="U12" s="769"/>
      <c r="V12" s="770"/>
      <c r="W12" s="768"/>
      <c r="X12" s="769"/>
      <c r="Y12" s="769"/>
      <c r="Z12" s="770"/>
      <c r="AA12" s="768"/>
      <c r="AB12" s="769"/>
      <c r="AC12" s="769"/>
      <c r="AD12" s="770"/>
      <c r="AE12" s="768"/>
      <c r="AF12" s="769"/>
      <c r="AG12" s="769"/>
      <c r="AH12" s="770"/>
      <c r="AI12" s="768"/>
      <c r="AJ12" s="769"/>
      <c r="AK12" s="769"/>
      <c r="AL12" s="770"/>
      <c r="AM12" s="768"/>
      <c r="AN12" s="769"/>
      <c r="AO12" s="769"/>
      <c r="AP12" s="770"/>
      <c r="AQ12" s="758"/>
      <c r="AR12" s="759">
        <f>SUM('EGRESO plan'!AR31:AR33)</f>
        <v>0</v>
      </c>
      <c r="AS12" s="759">
        <f>SUM('EGRESO plan'!AS31:AS33)</f>
        <v>9</v>
      </c>
      <c r="AT12" s="760">
        <f>SUM('EGRESO plan'!AT31:AT33)</f>
        <v>9</v>
      </c>
      <c r="AU12" s="758">
        <f>SUM('EGRESO plan'!AU31:AU33)</f>
        <v>0</v>
      </c>
      <c r="AV12" s="759">
        <f>SUM('EGRESO plan'!AV31:AV33)</f>
        <v>4</v>
      </c>
      <c r="AW12" s="759">
        <f>SUM('EGRESO plan'!AW31:AW33)</f>
        <v>11</v>
      </c>
      <c r="AX12" s="760">
        <f>SUM('EGRESO plan'!AX31:AX33)</f>
        <v>15</v>
      </c>
      <c r="AY12" s="758">
        <f>SUM('EGRESO plan'!AY31:AY33)</f>
        <v>2</v>
      </c>
      <c r="AZ12" s="759">
        <f>SUM('EGRESO plan'!AZ31:AZ33)</f>
        <v>16</v>
      </c>
      <c r="BA12" s="759">
        <f>SUM('EGRESO plan'!BA31:BA33)</f>
        <v>14</v>
      </c>
      <c r="BB12" s="760">
        <f>SUM('EGRESO plan'!BB31:BB33)</f>
        <v>32</v>
      </c>
      <c r="BC12" s="758">
        <f>SUM('EGRESO plan'!BC31:BC33)</f>
        <v>5</v>
      </c>
      <c r="BD12" s="759">
        <f>SUM('EGRESO plan'!BD31:BD33)</f>
        <v>32</v>
      </c>
      <c r="BE12" s="759">
        <f>SUM('EGRESO plan'!BE31:BE33)</f>
        <v>11</v>
      </c>
      <c r="BF12" s="760">
        <f>SUM('EGRESO plan'!BF31:BF33)</f>
        <v>48</v>
      </c>
      <c r="BG12" s="758">
        <f>SUM('EGRESO plan'!BG31:BG33)</f>
        <v>4</v>
      </c>
      <c r="BH12" s="759">
        <f>SUM('EGRESO plan'!BH31:BH33)</f>
        <v>16</v>
      </c>
      <c r="BI12" s="759">
        <f>SUM('EGRESO plan'!BI31:BI33)</f>
        <v>1</v>
      </c>
      <c r="BJ12" s="760">
        <f>SUM('EGRESO plan'!BJ31:BJ33)</f>
        <v>21</v>
      </c>
      <c r="BK12" s="758">
        <f>SUM('EGRESO plan'!BK31:BK33)</f>
        <v>5</v>
      </c>
      <c r="BL12" s="759">
        <f>SUM('EGRESO plan'!BL31:BL33)</f>
        <v>20</v>
      </c>
      <c r="BM12" s="759">
        <f>SUM('EGRESO plan'!BM31:BM33)</f>
        <v>6</v>
      </c>
      <c r="BN12" s="760">
        <f>SUM('EGRESO plan'!BN31:BN33)</f>
        <v>31</v>
      </c>
      <c r="BO12" s="758">
        <f>SUM('EGRESO plan'!BO31:BO33)</f>
        <v>10</v>
      </c>
      <c r="BP12" s="759">
        <f>SUM('EGRESO plan'!BP31:BP33)</f>
        <v>17</v>
      </c>
      <c r="BQ12" s="759">
        <f>SUM('EGRESO plan'!BQ31:BQ33)</f>
        <v>2</v>
      </c>
      <c r="BR12" s="760">
        <f>SUM('EGRESO plan'!BR31:BR33)</f>
        <v>29</v>
      </c>
      <c r="BS12" s="758">
        <f>SUM('EGRESO plan'!BS31:BS33)</f>
        <v>13</v>
      </c>
      <c r="BT12" s="759">
        <f>SUM('EGRESO plan'!BT31:BT33)</f>
        <v>18</v>
      </c>
      <c r="BU12" s="759">
        <f>SUM('EGRESO plan'!BU31:BU33)</f>
        <v>8</v>
      </c>
      <c r="BV12" s="760">
        <f>SUM('EGRESO plan'!BV31:BV33)</f>
        <v>39</v>
      </c>
      <c r="BW12" s="758">
        <f>SUM('EGRESO plan'!BW31:BW33)</f>
        <v>17</v>
      </c>
      <c r="BX12" s="759">
        <f>SUM('EGRESO plan'!BX31:BX33)</f>
        <v>27</v>
      </c>
      <c r="BY12" s="759">
        <f>SUM('EGRESO plan'!BY31:BY33)</f>
        <v>11</v>
      </c>
      <c r="BZ12" s="760">
        <f>SUM('EGRESO plan'!BZ31:BZ33)</f>
        <v>55</v>
      </c>
      <c r="CA12" s="758">
        <f>SUM('EGRESO plan'!CA31:CA33)</f>
        <v>18</v>
      </c>
      <c r="CB12" s="759">
        <f>SUM('EGRESO plan'!CB31:CB33)</f>
        <v>32</v>
      </c>
      <c r="CC12" s="759">
        <f>SUM('EGRESO plan'!CC31:CC33)</f>
        <v>9</v>
      </c>
      <c r="CD12" s="760">
        <f>SUM('EGRESO plan'!CD31:CD33)</f>
        <v>59</v>
      </c>
      <c r="CE12" s="758">
        <f>SUM('EGRESO plan'!CE31:CE33)</f>
        <v>14</v>
      </c>
      <c r="CF12" s="759">
        <f>SUM('EGRESO plan'!CF31:CF33)</f>
        <v>33</v>
      </c>
      <c r="CG12" s="759">
        <f>SUM('EGRESO plan'!CG31:CG33)</f>
        <v>33</v>
      </c>
      <c r="CH12" s="760">
        <f>SUM('EGRESO plan'!CH31:CH33)</f>
        <v>80</v>
      </c>
      <c r="CI12" s="758">
        <f>SUM('EGRESO plan'!CI31:CI33)</f>
        <v>16</v>
      </c>
      <c r="CJ12" s="759">
        <f>SUM('EGRESO plan'!CJ31:CJ33)</f>
        <v>19</v>
      </c>
      <c r="CK12" s="759">
        <f>SUM('EGRESO plan'!CK31:CK33)</f>
        <v>25</v>
      </c>
      <c r="CL12" s="760">
        <f>SUM('EGRESO plan'!CL31:CL33)</f>
        <v>60</v>
      </c>
      <c r="CM12" s="758">
        <f>SUM('EGRESO plan'!CM31:CM33)</f>
        <v>10</v>
      </c>
      <c r="CN12" s="759">
        <f>SUM('EGRESO plan'!CN31:CN33)</f>
        <v>30</v>
      </c>
      <c r="CO12" s="759">
        <f>SUM('EGRESO plan'!CO31:CO33)</f>
        <v>57</v>
      </c>
      <c r="CP12" s="760">
        <f>SUM('EGRESO plan'!CP31:CP33)</f>
        <v>97</v>
      </c>
      <c r="CQ12" s="758">
        <f>SUM('EGRESO plan'!CQ31:CQ33)</f>
        <v>16</v>
      </c>
      <c r="CR12" s="759">
        <f>SUM('EGRESO plan'!CR31:CR33)</f>
        <v>52</v>
      </c>
      <c r="CS12" s="759">
        <f>SUM('EGRESO plan'!CS31:CS33)</f>
        <v>17</v>
      </c>
      <c r="CT12" s="760">
        <f>SUM('EGRESO plan'!CT31:CT33)</f>
        <v>85</v>
      </c>
    </row>
    <row r="13" spans="2:98" s="162" customFormat="1" ht="15" customHeight="1" x14ac:dyDescent="0.25">
      <c r="B13" s="154" t="s">
        <v>115</v>
      </c>
      <c r="C13" s="768"/>
      <c r="D13" s="769"/>
      <c r="E13" s="769"/>
      <c r="F13" s="770"/>
      <c r="G13" s="768"/>
      <c r="H13" s="769"/>
      <c r="I13" s="769"/>
      <c r="J13" s="770"/>
      <c r="K13" s="768"/>
      <c r="L13" s="769"/>
      <c r="M13" s="769"/>
      <c r="N13" s="770"/>
      <c r="O13" s="768"/>
      <c r="P13" s="769"/>
      <c r="Q13" s="769"/>
      <c r="R13" s="770"/>
      <c r="S13" s="768"/>
      <c r="T13" s="769"/>
      <c r="U13" s="769"/>
      <c r="V13" s="770"/>
      <c r="W13" s="768"/>
      <c r="X13" s="769"/>
      <c r="Y13" s="769"/>
      <c r="Z13" s="770"/>
      <c r="AA13" s="768"/>
      <c r="AB13" s="769"/>
      <c r="AC13" s="769"/>
      <c r="AD13" s="770"/>
      <c r="AE13" s="768"/>
      <c r="AF13" s="769"/>
      <c r="AG13" s="769"/>
      <c r="AH13" s="770"/>
      <c r="AI13" s="768"/>
      <c r="AJ13" s="769"/>
      <c r="AK13" s="769"/>
      <c r="AL13" s="770"/>
      <c r="AM13" s="768"/>
      <c r="AN13" s="769"/>
      <c r="AO13" s="769"/>
      <c r="AP13" s="770"/>
      <c r="AQ13" s="758"/>
      <c r="AR13" s="759">
        <f>SUM('EGRESO plan'!AR35:AR37)</f>
        <v>11</v>
      </c>
      <c r="AS13" s="759">
        <f>SUM('EGRESO plan'!AS35:AS37)</f>
        <v>0</v>
      </c>
      <c r="AT13" s="760">
        <f>SUM('EGRESO plan'!AT35:AT37)</f>
        <v>11</v>
      </c>
      <c r="AU13" s="758">
        <f>SUM('EGRESO plan'!AU35:AU37)</f>
        <v>1</v>
      </c>
      <c r="AV13" s="759">
        <f>SUM('EGRESO plan'!AV35:AV37)</f>
        <v>6</v>
      </c>
      <c r="AW13" s="759">
        <f>SUM('EGRESO plan'!AW35:AW37)</f>
        <v>3</v>
      </c>
      <c r="AX13" s="760">
        <f>SUM('EGRESO plan'!AX35:AX37)</f>
        <v>10</v>
      </c>
      <c r="AY13" s="758">
        <f>SUM('EGRESO plan'!AY35:AY37)</f>
        <v>3</v>
      </c>
      <c r="AZ13" s="759">
        <f>SUM('EGRESO plan'!AZ35:AZ37)</f>
        <v>7</v>
      </c>
      <c r="BA13" s="759">
        <f>SUM('EGRESO plan'!BA35:BA37)</f>
        <v>1</v>
      </c>
      <c r="BB13" s="760">
        <f>SUM('EGRESO plan'!BB35:BB37)</f>
        <v>11</v>
      </c>
      <c r="BC13" s="758">
        <f>SUM('EGRESO plan'!BC35:BC37)</f>
        <v>1</v>
      </c>
      <c r="BD13" s="759">
        <f>SUM('EGRESO plan'!BD35:BD37)</f>
        <v>5</v>
      </c>
      <c r="BE13" s="759">
        <f>SUM('EGRESO plan'!BE35:BE37)</f>
        <v>12</v>
      </c>
      <c r="BF13" s="760">
        <f>SUM('EGRESO plan'!BF35:BF37)</f>
        <v>18</v>
      </c>
      <c r="BG13" s="758">
        <f>SUM('EGRESO plan'!BG35:BG37)</f>
        <v>6</v>
      </c>
      <c r="BH13" s="759">
        <f>SUM('EGRESO plan'!BH35:BH37)</f>
        <v>7</v>
      </c>
      <c r="BI13" s="759">
        <f>SUM('EGRESO plan'!BI35:BI37)</f>
        <v>2</v>
      </c>
      <c r="BJ13" s="760">
        <f>SUM('EGRESO plan'!BJ35:BJ37)</f>
        <v>15</v>
      </c>
      <c r="BK13" s="758">
        <f>SUM('EGRESO plan'!BK39)</f>
        <v>6</v>
      </c>
      <c r="BL13" s="759">
        <f>SUM('EGRESO plan'!BL39)</f>
        <v>9</v>
      </c>
      <c r="BM13" s="759">
        <f>SUM('EGRESO plan'!BM39)</f>
        <v>7</v>
      </c>
      <c r="BN13" s="760">
        <f>SUM('EGRESO plan'!BN39)</f>
        <v>22</v>
      </c>
      <c r="BO13" s="758">
        <f>SUM('EGRESO plan'!BO39)</f>
        <v>6</v>
      </c>
      <c r="BP13" s="759">
        <f>SUM('EGRESO plan'!BP39)</f>
        <v>10</v>
      </c>
      <c r="BQ13" s="759">
        <f>SUM('EGRESO plan'!BQ39)</f>
        <v>8</v>
      </c>
      <c r="BR13" s="760">
        <f>SUM('EGRESO plan'!BR39)</f>
        <v>24</v>
      </c>
      <c r="BS13" s="758">
        <f>SUM('EGRESO plan'!BS39)</f>
        <v>17</v>
      </c>
      <c r="BT13" s="759">
        <f>SUM('EGRESO plan'!BT39)</f>
        <v>20</v>
      </c>
      <c r="BU13" s="759">
        <f>SUM('EGRESO plan'!BU39)</f>
        <v>5</v>
      </c>
      <c r="BV13" s="760">
        <f>SUM('EGRESO plan'!BV39)</f>
        <v>42</v>
      </c>
      <c r="BW13" s="758">
        <f>SUM('EGRESO plan'!BW39)</f>
        <v>19</v>
      </c>
      <c r="BX13" s="759">
        <f>SUM('EGRESO plan'!BX39)</f>
        <v>16</v>
      </c>
      <c r="BY13" s="759">
        <f>SUM('EGRESO plan'!BY39)</f>
        <v>8</v>
      </c>
      <c r="BZ13" s="760">
        <f>SUM('EGRESO plan'!BZ39)</f>
        <v>43</v>
      </c>
      <c r="CA13" s="758">
        <f>SUM('EGRESO plan'!CA39)</f>
        <v>16</v>
      </c>
      <c r="CB13" s="759">
        <f>SUM('EGRESO plan'!CB39)</f>
        <v>29</v>
      </c>
      <c r="CC13" s="759">
        <f>SUM('EGRESO plan'!CC39)</f>
        <v>26</v>
      </c>
      <c r="CD13" s="760">
        <f>SUM('EGRESO plan'!CD39)</f>
        <v>71</v>
      </c>
      <c r="CE13" s="758">
        <f>SUM('EGRESO plan'!CE39)</f>
        <v>16</v>
      </c>
      <c r="CF13" s="759">
        <f>SUM('EGRESO plan'!CF39)</f>
        <v>20</v>
      </c>
      <c r="CG13" s="759">
        <f>SUM('EGRESO plan'!CG39)</f>
        <v>26</v>
      </c>
      <c r="CH13" s="760">
        <f>SUM('EGRESO plan'!CH39)</f>
        <v>62</v>
      </c>
      <c r="CI13" s="758">
        <f>SUM('EGRESO plan'!CI39)</f>
        <v>16</v>
      </c>
      <c r="CJ13" s="759">
        <f>SUM('EGRESO plan'!CJ39)</f>
        <v>9</v>
      </c>
      <c r="CK13" s="759">
        <f>SUM('EGRESO plan'!CK39)</f>
        <v>20</v>
      </c>
      <c r="CL13" s="760">
        <f>SUM('EGRESO plan'!CL39)</f>
        <v>45</v>
      </c>
      <c r="CM13" s="758">
        <f>SUM('EGRESO plan'!CM39)</f>
        <v>17</v>
      </c>
      <c r="CN13" s="759">
        <f>SUM('EGRESO plan'!CN39)</f>
        <v>11</v>
      </c>
      <c r="CO13" s="759">
        <f>SUM('EGRESO plan'!CO39)</f>
        <v>67</v>
      </c>
      <c r="CP13" s="760">
        <f>SUM('EGRESO plan'!CP39)</f>
        <v>95</v>
      </c>
      <c r="CQ13" s="758">
        <f>SUM('EGRESO plan'!CQ39)</f>
        <v>17</v>
      </c>
      <c r="CR13" s="759">
        <f>SUM('EGRESO plan'!CR39)</f>
        <v>48</v>
      </c>
      <c r="CS13" s="759">
        <f>SUM('EGRESO plan'!CS39)</f>
        <v>13</v>
      </c>
      <c r="CT13" s="760">
        <f>SUM('EGRESO plan'!CT39)</f>
        <v>78</v>
      </c>
    </row>
    <row r="14" spans="2:98" s="162" customFormat="1" ht="15" customHeight="1" x14ac:dyDescent="0.25">
      <c r="B14" s="166" t="s">
        <v>134</v>
      </c>
      <c r="C14" s="771"/>
      <c r="D14" s="772"/>
      <c r="E14" s="772"/>
      <c r="F14" s="773"/>
      <c r="G14" s="771"/>
      <c r="H14" s="772"/>
      <c r="I14" s="772"/>
      <c r="J14" s="773"/>
      <c r="K14" s="771"/>
      <c r="L14" s="772"/>
      <c r="M14" s="772"/>
      <c r="N14" s="773"/>
      <c r="O14" s="771"/>
      <c r="P14" s="772"/>
      <c r="Q14" s="772"/>
      <c r="R14" s="773"/>
      <c r="S14" s="771"/>
      <c r="T14" s="772"/>
      <c r="U14" s="772"/>
      <c r="V14" s="773"/>
      <c r="W14" s="771"/>
      <c r="X14" s="772"/>
      <c r="Y14" s="772"/>
      <c r="Z14" s="773"/>
      <c r="AA14" s="771"/>
      <c r="AB14" s="772"/>
      <c r="AC14" s="772"/>
      <c r="AD14" s="773"/>
      <c r="AE14" s="771"/>
      <c r="AF14" s="772"/>
      <c r="AG14" s="772"/>
      <c r="AH14" s="773"/>
      <c r="AI14" s="771"/>
      <c r="AJ14" s="772"/>
      <c r="AK14" s="772"/>
      <c r="AL14" s="773"/>
      <c r="AM14" s="771"/>
      <c r="AN14" s="772"/>
      <c r="AO14" s="772"/>
      <c r="AP14" s="773"/>
      <c r="AQ14" s="774"/>
      <c r="AR14" s="775">
        <f t="shared" ref="AR14:BJ14" si="5">SUM(AR11:AR13)</f>
        <v>27</v>
      </c>
      <c r="AS14" s="775">
        <f t="shared" si="5"/>
        <v>40</v>
      </c>
      <c r="AT14" s="776">
        <f t="shared" si="5"/>
        <v>67</v>
      </c>
      <c r="AU14" s="774">
        <f t="shared" si="5"/>
        <v>2</v>
      </c>
      <c r="AV14" s="775">
        <f t="shared" si="5"/>
        <v>13</v>
      </c>
      <c r="AW14" s="775">
        <f t="shared" si="5"/>
        <v>38</v>
      </c>
      <c r="AX14" s="776">
        <f t="shared" si="5"/>
        <v>53</v>
      </c>
      <c r="AY14" s="774">
        <f t="shared" si="5"/>
        <v>10</v>
      </c>
      <c r="AZ14" s="775">
        <f t="shared" si="5"/>
        <v>62</v>
      </c>
      <c r="BA14" s="775">
        <f t="shared" si="5"/>
        <v>22</v>
      </c>
      <c r="BB14" s="776">
        <f t="shared" si="5"/>
        <v>94</v>
      </c>
      <c r="BC14" s="774">
        <f t="shared" si="5"/>
        <v>18</v>
      </c>
      <c r="BD14" s="775">
        <f t="shared" si="5"/>
        <v>66</v>
      </c>
      <c r="BE14" s="775">
        <f t="shared" si="5"/>
        <v>36</v>
      </c>
      <c r="BF14" s="776">
        <f t="shared" si="5"/>
        <v>120</v>
      </c>
      <c r="BG14" s="774">
        <f t="shared" si="5"/>
        <v>27</v>
      </c>
      <c r="BH14" s="775">
        <f t="shared" si="5"/>
        <v>47</v>
      </c>
      <c r="BI14" s="775">
        <f t="shared" si="5"/>
        <v>5</v>
      </c>
      <c r="BJ14" s="776">
        <f t="shared" si="5"/>
        <v>79</v>
      </c>
      <c r="BK14" s="774">
        <f t="shared" ref="BK14:CL14" si="6">SUM(BK11:BK13)</f>
        <v>16</v>
      </c>
      <c r="BL14" s="775">
        <f t="shared" si="6"/>
        <v>49</v>
      </c>
      <c r="BM14" s="775">
        <f t="shared" si="6"/>
        <v>21</v>
      </c>
      <c r="BN14" s="776">
        <f t="shared" si="6"/>
        <v>86</v>
      </c>
      <c r="BO14" s="774">
        <f t="shared" si="6"/>
        <v>22</v>
      </c>
      <c r="BP14" s="775">
        <f t="shared" si="6"/>
        <v>45</v>
      </c>
      <c r="BQ14" s="775">
        <f t="shared" si="6"/>
        <v>14</v>
      </c>
      <c r="BR14" s="776">
        <f t="shared" si="6"/>
        <v>81</v>
      </c>
      <c r="BS14" s="774">
        <f t="shared" si="6"/>
        <v>36</v>
      </c>
      <c r="BT14" s="775">
        <f t="shared" si="6"/>
        <v>61</v>
      </c>
      <c r="BU14" s="775">
        <f t="shared" si="6"/>
        <v>16</v>
      </c>
      <c r="BV14" s="776">
        <f t="shared" si="6"/>
        <v>113</v>
      </c>
      <c r="BW14" s="774">
        <f t="shared" si="6"/>
        <v>41</v>
      </c>
      <c r="BX14" s="775">
        <f t="shared" si="6"/>
        <v>70</v>
      </c>
      <c r="BY14" s="775">
        <f t="shared" si="6"/>
        <v>23</v>
      </c>
      <c r="BZ14" s="776">
        <f t="shared" si="6"/>
        <v>134</v>
      </c>
      <c r="CA14" s="774">
        <f t="shared" si="6"/>
        <v>64</v>
      </c>
      <c r="CB14" s="775">
        <f t="shared" si="6"/>
        <v>81</v>
      </c>
      <c r="CC14" s="775">
        <f t="shared" si="6"/>
        <v>40</v>
      </c>
      <c r="CD14" s="776">
        <f t="shared" si="6"/>
        <v>185</v>
      </c>
      <c r="CE14" s="774">
        <f t="shared" si="6"/>
        <v>67</v>
      </c>
      <c r="CF14" s="775">
        <f t="shared" si="6"/>
        <v>84</v>
      </c>
      <c r="CG14" s="775">
        <f t="shared" si="6"/>
        <v>80</v>
      </c>
      <c r="CH14" s="776">
        <f t="shared" si="6"/>
        <v>231</v>
      </c>
      <c r="CI14" s="774">
        <f t="shared" si="6"/>
        <v>46</v>
      </c>
      <c r="CJ14" s="775">
        <f t="shared" si="6"/>
        <v>35</v>
      </c>
      <c r="CK14" s="775">
        <f t="shared" si="6"/>
        <v>101</v>
      </c>
      <c r="CL14" s="776">
        <f t="shared" si="6"/>
        <v>182</v>
      </c>
      <c r="CM14" s="774">
        <f t="shared" ref="CM14:CP14" si="7">SUM(CM11:CM13)</f>
        <v>42</v>
      </c>
      <c r="CN14" s="775">
        <f t="shared" si="7"/>
        <v>62</v>
      </c>
      <c r="CO14" s="775">
        <f t="shared" si="7"/>
        <v>175</v>
      </c>
      <c r="CP14" s="776">
        <f t="shared" si="7"/>
        <v>279</v>
      </c>
      <c r="CQ14" s="774">
        <f t="shared" ref="CQ14:CT14" si="8">SUM(CQ11:CQ13)</f>
        <v>70</v>
      </c>
      <c r="CR14" s="775">
        <f t="shared" si="8"/>
        <v>141</v>
      </c>
      <c r="CS14" s="775">
        <f t="shared" si="8"/>
        <v>36</v>
      </c>
      <c r="CT14" s="776">
        <f t="shared" si="8"/>
        <v>247</v>
      </c>
    </row>
    <row r="15" spans="2:98" s="162" customFormat="1" ht="14.4" x14ac:dyDescent="0.25">
      <c r="B15" s="170"/>
      <c r="C15" s="777"/>
      <c r="D15" s="777"/>
      <c r="E15" s="777"/>
      <c r="F15" s="777"/>
      <c r="G15" s="777"/>
      <c r="H15" s="777"/>
      <c r="I15" s="777"/>
      <c r="J15" s="777"/>
      <c r="K15" s="777"/>
      <c r="L15" s="777"/>
      <c r="M15" s="777"/>
      <c r="N15" s="777"/>
      <c r="O15" s="777"/>
      <c r="P15" s="777"/>
      <c r="Q15" s="777"/>
      <c r="R15" s="777"/>
      <c r="S15" s="777"/>
      <c r="T15" s="777"/>
      <c r="U15" s="777"/>
      <c r="V15" s="777"/>
      <c r="W15" s="777"/>
      <c r="X15" s="777"/>
      <c r="Y15" s="777"/>
      <c r="Z15" s="777"/>
      <c r="AA15" s="777"/>
      <c r="AB15" s="777"/>
      <c r="AC15" s="777"/>
      <c r="AD15" s="777"/>
      <c r="AE15" s="777"/>
      <c r="AF15" s="777"/>
      <c r="AG15" s="777"/>
      <c r="AH15" s="777"/>
      <c r="AI15" s="777"/>
      <c r="AJ15" s="777"/>
      <c r="AK15" s="777"/>
      <c r="AL15" s="777"/>
      <c r="AM15" s="777"/>
      <c r="AN15" s="777"/>
      <c r="AO15" s="777"/>
      <c r="AP15" s="777"/>
      <c r="AQ15" s="777"/>
      <c r="AR15" s="777"/>
      <c r="AS15" s="777"/>
      <c r="AT15" s="777"/>
      <c r="AU15" s="777"/>
      <c r="AV15" s="777"/>
      <c r="AW15" s="777"/>
      <c r="AX15" s="777"/>
      <c r="AY15" s="777"/>
      <c r="AZ15" s="777"/>
      <c r="BA15" s="777"/>
      <c r="BB15" s="777"/>
      <c r="BC15" s="777"/>
      <c r="BD15" s="777"/>
      <c r="BE15" s="777"/>
      <c r="BF15" s="777"/>
      <c r="BG15" s="777"/>
      <c r="BH15" s="777"/>
      <c r="BI15" s="777"/>
      <c r="BJ15" s="777"/>
      <c r="BK15" s="777"/>
      <c r="BL15" s="777"/>
      <c r="BM15" s="777"/>
      <c r="BN15" s="777"/>
      <c r="BO15" s="777"/>
      <c r="BP15" s="777"/>
      <c r="BQ15" s="777"/>
      <c r="BR15" s="777"/>
      <c r="BS15" s="777"/>
      <c r="BT15" s="777"/>
      <c r="BU15" s="777"/>
      <c r="BV15" s="777"/>
      <c r="BW15" s="777"/>
      <c r="BX15" s="777"/>
      <c r="BY15" s="777"/>
      <c r="BZ15" s="777"/>
      <c r="CA15" s="777"/>
      <c r="CB15" s="777"/>
      <c r="CC15" s="777"/>
      <c r="CD15" s="777"/>
      <c r="CE15" s="777"/>
      <c r="CF15" s="777"/>
      <c r="CG15" s="777"/>
      <c r="CH15" s="777"/>
      <c r="CI15" s="777"/>
      <c r="CJ15" s="777"/>
      <c r="CK15" s="777"/>
      <c r="CL15" s="777"/>
      <c r="CM15" s="777"/>
      <c r="CN15" s="777"/>
      <c r="CO15" s="777"/>
      <c r="CP15" s="777"/>
      <c r="CQ15" s="777"/>
      <c r="CR15" s="777"/>
      <c r="CS15" s="777"/>
      <c r="CT15" s="777"/>
    </row>
    <row r="16" spans="2:98" s="3" customFormat="1" ht="15" customHeight="1" x14ac:dyDescent="0.25">
      <c r="B16" s="150" t="s">
        <v>59</v>
      </c>
      <c r="C16" s="755">
        <f>SUM('EGRESO plan'!C41:C49)</f>
        <v>83</v>
      </c>
      <c r="D16" s="756">
        <f>SUM('EGRESO plan'!D41:D49)</f>
        <v>96</v>
      </c>
      <c r="E16" s="756">
        <f>SUM('EGRESO plan'!E41:E49)</f>
        <v>73</v>
      </c>
      <c r="F16" s="757">
        <f>SUM('EGRESO plan'!F41:F49)</f>
        <v>252</v>
      </c>
      <c r="G16" s="755">
        <f>SUM('EGRESO plan'!G41:G49)</f>
        <v>78</v>
      </c>
      <c r="H16" s="756">
        <f>SUM('EGRESO plan'!H41:H49)</f>
        <v>69</v>
      </c>
      <c r="I16" s="756">
        <f>SUM('EGRESO plan'!I41:I49)</f>
        <v>48</v>
      </c>
      <c r="J16" s="757">
        <f>SUM('EGRESO plan'!J41:J49)</f>
        <v>195</v>
      </c>
      <c r="K16" s="755">
        <f>SUM('EGRESO plan'!K41:K49)</f>
        <v>85</v>
      </c>
      <c r="L16" s="756">
        <f>SUM('EGRESO plan'!L41:L49)</f>
        <v>94</v>
      </c>
      <c r="M16" s="756">
        <f>SUM('EGRESO plan'!M41:M49)</f>
        <v>79</v>
      </c>
      <c r="N16" s="757">
        <f>SUM('EGRESO plan'!N41:N49)</f>
        <v>258</v>
      </c>
      <c r="O16" s="755">
        <f>SUM('EGRESO plan'!O41:O49)</f>
        <v>54</v>
      </c>
      <c r="P16" s="756">
        <f>SUM('EGRESO plan'!P41:P49)</f>
        <v>63</v>
      </c>
      <c r="Q16" s="756">
        <f>SUM('EGRESO plan'!Q41:Q49)</f>
        <v>65</v>
      </c>
      <c r="R16" s="757">
        <f>SUM('EGRESO plan'!R41:R49)</f>
        <v>182</v>
      </c>
      <c r="S16" s="755">
        <f>SUM('EGRESO plan'!S41:S49)</f>
        <v>78</v>
      </c>
      <c r="T16" s="756">
        <f>SUM('EGRESO plan'!T41:T49)</f>
        <v>79</v>
      </c>
      <c r="U16" s="756">
        <f>SUM('EGRESO plan'!U41:U49)</f>
        <v>65</v>
      </c>
      <c r="V16" s="757">
        <f>SUM('EGRESO plan'!V41:V49)</f>
        <v>222</v>
      </c>
      <c r="W16" s="755">
        <f>SUM('EGRESO plan'!W41:W49)</f>
        <v>87</v>
      </c>
      <c r="X16" s="756">
        <f>SUM('EGRESO plan'!X41:X49)</f>
        <v>93</v>
      </c>
      <c r="Y16" s="756">
        <f>SUM('EGRESO plan'!Y41:Y49)</f>
        <v>66</v>
      </c>
      <c r="Z16" s="757">
        <f>SUM('EGRESO plan'!Z41:Z49)</f>
        <v>246</v>
      </c>
      <c r="AA16" s="755">
        <f>SUM('EGRESO plan'!AA41:AA49)</f>
        <v>93</v>
      </c>
      <c r="AB16" s="756">
        <f>SUM('EGRESO plan'!AB41:AB49)</f>
        <v>86</v>
      </c>
      <c r="AC16" s="756">
        <f>SUM('EGRESO plan'!AC41:AC49)</f>
        <v>64</v>
      </c>
      <c r="AD16" s="757">
        <f>SUM('EGRESO plan'!AD41:AD49)</f>
        <v>243</v>
      </c>
      <c r="AE16" s="755">
        <f>SUM('EGRESO plan'!AE41:AE49)</f>
        <v>93</v>
      </c>
      <c r="AF16" s="756">
        <f>SUM('EGRESO plan'!AF41:AF49)</f>
        <v>104</v>
      </c>
      <c r="AG16" s="756">
        <f>SUM('EGRESO plan'!AG41:AG49)</f>
        <v>79</v>
      </c>
      <c r="AH16" s="757">
        <f>SUM('EGRESO plan'!AH41:AH49)</f>
        <v>276</v>
      </c>
      <c r="AI16" s="755">
        <f>SUM('EGRESO plan'!AI41:AI49)</f>
        <v>54</v>
      </c>
      <c r="AJ16" s="756">
        <f>SUM('EGRESO plan'!AJ41:AJ49)</f>
        <v>71</v>
      </c>
      <c r="AK16" s="756">
        <f>SUM('EGRESO plan'!AK41:AK49)</f>
        <v>48</v>
      </c>
      <c r="AL16" s="757">
        <f>SUM('EGRESO plan'!AL41:AL49)</f>
        <v>173</v>
      </c>
      <c r="AM16" s="755">
        <f>SUM('EGRESO plan'!AM41:AM49)</f>
        <v>68</v>
      </c>
      <c r="AN16" s="756">
        <f>SUM('EGRESO plan'!AN41:AN49)</f>
        <v>59</v>
      </c>
      <c r="AO16" s="756">
        <f>SUM('EGRESO plan'!AO41:AO49)</f>
        <v>36</v>
      </c>
      <c r="AP16" s="757">
        <f>SUM('EGRESO plan'!AP41:AP49)</f>
        <v>163</v>
      </c>
      <c r="AQ16" s="755">
        <f>SUM('EGRESO plan'!AQ41:AQ49)</f>
        <v>58</v>
      </c>
      <c r="AR16" s="756">
        <f>SUM('EGRESO plan'!AR41:AR49)</f>
        <v>70</v>
      </c>
      <c r="AS16" s="756">
        <f>SUM('EGRESO plan'!AS41:AS49)</f>
        <v>39</v>
      </c>
      <c r="AT16" s="757">
        <f>SUM('EGRESO plan'!AT41:AT49)</f>
        <v>167</v>
      </c>
      <c r="AU16" s="755">
        <f>SUM('EGRESO plan'!AU41:AU49)</f>
        <v>63</v>
      </c>
      <c r="AV16" s="756">
        <f>SUM('EGRESO plan'!AV41:AV49)</f>
        <v>112</v>
      </c>
      <c r="AW16" s="756">
        <f>SUM('EGRESO plan'!AW41:AW49)</f>
        <v>64</v>
      </c>
      <c r="AX16" s="757">
        <f>SUM('EGRESO plan'!AX41:AX49)</f>
        <v>239</v>
      </c>
      <c r="AY16" s="755">
        <f>SUM('EGRESO plan'!AY41:AY49)</f>
        <v>57</v>
      </c>
      <c r="AZ16" s="756">
        <f>SUM('EGRESO plan'!AZ41:AZ49)</f>
        <v>57</v>
      </c>
      <c r="BA16" s="756">
        <f>SUM('EGRESO plan'!BA41:BA49)</f>
        <v>65</v>
      </c>
      <c r="BB16" s="757">
        <f>SUM('EGRESO plan'!BB41:BB49)</f>
        <v>179</v>
      </c>
      <c r="BC16" s="755">
        <f>SUM('EGRESO plan'!BC41:BC49)</f>
        <v>67</v>
      </c>
      <c r="BD16" s="756">
        <f>SUM('EGRESO plan'!BD41:BD49)</f>
        <v>85</v>
      </c>
      <c r="BE16" s="756">
        <f>SUM('EGRESO plan'!BE41:BE49)</f>
        <v>50</v>
      </c>
      <c r="BF16" s="757">
        <f>SUM('EGRESO plan'!BF41:BF49)</f>
        <v>202</v>
      </c>
      <c r="BG16" s="755">
        <f>SUM('EGRESO plan'!BG41:BG49)</f>
        <v>44</v>
      </c>
      <c r="BH16" s="756">
        <f>SUM('EGRESO plan'!BH41:BH49)</f>
        <v>58</v>
      </c>
      <c r="BI16" s="756">
        <f>SUM('EGRESO plan'!BI41:BI49)</f>
        <v>61</v>
      </c>
      <c r="BJ16" s="757">
        <f>SUM('EGRESO plan'!BJ41:BJ49)</f>
        <v>163</v>
      </c>
      <c r="BK16" s="755">
        <f>SUM('EGRESO plan'!BK41:BK49)</f>
        <v>58</v>
      </c>
      <c r="BL16" s="756">
        <f>SUM('EGRESO plan'!BL41:BL49)</f>
        <v>86</v>
      </c>
      <c r="BM16" s="756">
        <f>SUM('EGRESO plan'!BM41:BM49)</f>
        <v>68</v>
      </c>
      <c r="BN16" s="757">
        <f>SUM('EGRESO plan'!BN41:BN49)</f>
        <v>212</v>
      </c>
      <c r="BO16" s="755">
        <f>SUM('EGRESO plan'!BO41:BO49)</f>
        <v>46</v>
      </c>
      <c r="BP16" s="756">
        <f>SUM('EGRESO plan'!BP41:BP49)</f>
        <v>63</v>
      </c>
      <c r="BQ16" s="756">
        <f>SUM('EGRESO plan'!BQ41:BQ49)</f>
        <v>64</v>
      </c>
      <c r="BR16" s="757">
        <f>SUM('EGRESO plan'!BR41:BR49)</f>
        <v>173</v>
      </c>
      <c r="BS16" s="755">
        <f>SUM('EGRESO plan'!BS41:BS49)</f>
        <v>61</v>
      </c>
      <c r="BT16" s="756">
        <f>SUM('EGRESO plan'!BT41:BT49)</f>
        <v>79</v>
      </c>
      <c r="BU16" s="756">
        <f>SUM('EGRESO plan'!BU41:BU49)</f>
        <v>88</v>
      </c>
      <c r="BV16" s="757">
        <f>SUM('EGRESO plan'!BV41:BV49)</f>
        <v>228</v>
      </c>
      <c r="BW16" s="755">
        <f>SUM('EGRESO plan'!BW41:BW49)</f>
        <v>75</v>
      </c>
      <c r="BX16" s="756">
        <f>SUM('EGRESO plan'!BX41:BX49)</f>
        <v>81</v>
      </c>
      <c r="BY16" s="756">
        <f>SUM('EGRESO plan'!BY41:BY49)</f>
        <v>86</v>
      </c>
      <c r="BZ16" s="757">
        <f>SUM('EGRESO plan'!BZ41:BZ49)</f>
        <v>242</v>
      </c>
      <c r="CA16" s="755">
        <f>SUM('EGRESO plan'!CA41:CA49)</f>
        <v>75</v>
      </c>
      <c r="CB16" s="756">
        <f>SUM('EGRESO plan'!CB41:CB49)</f>
        <v>114</v>
      </c>
      <c r="CC16" s="756">
        <f>SUM('EGRESO plan'!CC41:CC49)</f>
        <v>108</v>
      </c>
      <c r="CD16" s="757">
        <f>SUM('EGRESO plan'!CD41:CD49)</f>
        <v>297</v>
      </c>
      <c r="CE16" s="755">
        <f>SUM('EGRESO plan'!CE41:CE49)</f>
        <v>122</v>
      </c>
      <c r="CF16" s="756">
        <f>SUM('EGRESO plan'!CF41:CF49)</f>
        <v>94</v>
      </c>
      <c r="CG16" s="756">
        <f>SUM('EGRESO plan'!CG41:CG49)</f>
        <v>98</v>
      </c>
      <c r="CH16" s="757">
        <f>SUM('EGRESO plan'!CH41:CH49)</f>
        <v>314</v>
      </c>
      <c r="CI16" s="755">
        <f>SUM('EGRESO plan'!CI41:CI49)</f>
        <v>87</v>
      </c>
      <c r="CJ16" s="756">
        <f>SUM('EGRESO plan'!CJ41:CJ49)</f>
        <v>97</v>
      </c>
      <c r="CK16" s="756">
        <f>SUM('EGRESO plan'!CK41:CK49)</f>
        <v>79</v>
      </c>
      <c r="CL16" s="757">
        <f>SUM('EGRESO plan'!CL41:CL49)</f>
        <v>263</v>
      </c>
      <c r="CM16" s="755">
        <f>SUM('EGRESO plan'!CM41:CM50)</f>
        <v>113</v>
      </c>
      <c r="CN16" s="756">
        <f>SUM('EGRESO plan'!CN41:CN50)</f>
        <v>104</v>
      </c>
      <c r="CO16" s="756">
        <f>SUM('EGRESO plan'!CO41:CO50)</f>
        <v>114</v>
      </c>
      <c r="CP16" s="757">
        <f>SUM(CM16:CO16)</f>
        <v>331</v>
      </c>
      <c r="CQ16" s="755">
        <f>SUM('EGRESO plan'!CQ41:CQ50)</f>
        <v>70</v>
      </c>
      <c r="CR16" s="756">
        <f>SUM('EGRESO plan'!CR41:CR50)</f>
        <v>117</v>
      </c>
      <c r="CS16" s="756">
        <f>SUM('EGRESO plan'!CS41:CS50)</f>
        <v>97</v>
      </c>
      <c r="CT16" s="757">
        <f>SUM(CQ16:CS16)</f>
        <v>284</v>
      </c>
    </row>
    <row r="17" spans="2:98" s="3" customFormat="1" ht="15" customHeight="1" x14ac:dyDescent="0.25">
      <c r="B17" s="154" t="s">
        <v>64</v>
      </c>
      <c r="C17" s="758">
        <f>SUM('EGRESO plan'!C52:C62)</f>
        <v>187</v>
      </c>
      <c r="D17" s="759">
        <f>SUM('EGRESO plan'!D52:D62)</f>
        <v>227</v>
      </c>
      <c r="E17" s="759">
        <f>SUM('EGRESO plan'!E52:E62)</f>
        <v>126</v>
      </c>
      <c r="F17" s="760">
        <f>SUM('EGRESO plan'!F52:F62)</f>
        <v>540</v>
      </c>
      <c r="G17" s="758">
        <f>SUM('EGRESO plan'!G52:G62)</f>
        <v>146</v>
      </c>
      <c r="H17" s="759">
        <f>SUM('EGRESO plan'!H52:H62)</f>
        <v>202</v>
      </c>
      <c r="I17" s="759">
        <f>SUM('EGRESO plan'!I52:I62)</f>
        <v>150</v>
      </c>
      <c r="J17" s="760">
        <f>SUM('EGRESO plan'!J52:J62)</f>
        <v>498</v>
      </c>
      <c r="K17" s="758">
        <f>SUM('EGRESO plan'!K52:K62)</f>
        <v>179</v>
      </c>
      <c r="L17" s="759">
        <f>SUM('EGRESO plan'!L52:L62)</f>
        <v>183</v>
      </c>
      <c r="M17" s="759">
        <f>SUM('EGRESO plan'!M52:M62)</f>
        <v>106</v>
      </c>
      <c r="N17" s="760">
        <f>SUM('EGRESO plan'!N52:N62)</f>
        <v>468</v>
      </c>
      <c r="O17" s="758">
        <f>SUM('EGRESO plan'!O52:O62)</f>
        <v>196</v>
      </c>
      <c r="P17" s="759">
        <f>SUM('EGRESO plan'!P52:P62)</f>
        <v>200</v>
      </c>
      <c r="Q17" s="759">
        <f>SUM('EGRESO plan'!Q52:Q62)</f>
        <v>146</v>
      </c>
      <c r="R17" s="760">
        <f>SUM('EGRESO plan'!R52:R62)</f>
        <v>542</v>
      </c>
      <c r="S17" s="758">
        <f>SUM('EGRESO plan'!S52:S62)</f>
        <v>193</v>
      </c>
      <c r="T17" s="759">
        <f>SUM('EGRESO plan'!T52:T62)</f>
        <v>201</v>
      </c>
      <c r="U17" s="759">
        <f>SUM('EGRESO plan'!U52:U62)</f>
        <v>124</v>
      </c>
      <c r="V17" s="760">
        <f>SUM('EGRESO plan'!V52:V62)</f>
        <v>518</v>
      </c>
      <c r="W17" s="758">
        <f>SUM('EGRESO plan'!W52:W62)</f>
        <v>198</v>
      </c>
      <c r="X17" s="759">
        <f>SUM('EGRESO plan'!X52:X62)</f>
        <v>208</v>
      </c>
      <c r="Y17" s="759">
        <f>SUM('EGRESO plan'!Y52:Y62)</f>
        <v>155</v>
      </c>
      <c r="Z17" s="760">
        <f>SUM('EGRESO plan'!Z52:Z62)</f>
        <v>561</v>
      </c>
      <c r="AA17" s="758">
        <f>SUM('EGRESO plan'!AA52:AA62)</f>
        <v>218</v>
      </c>
      <c r="AB17" s="759">
        <f>SUM('EGRESO plan'!AB52:AB62)</f>
        <v>183</v>
      </c>
      <c r="AC17" s="759">
        <f>SUM('EGRESO plan'!AC52:AC62)</f>
        <v>110</v>
      </c>
      <c r="AD17" s="760">
        <f>SUM('EGRESO plan'!AD52:AD62)</f>
        <v>511</v>
      </c>
      <c r="AE17" s="758">
        <f>SUM('EGRESO plan'!AE52:AE62)</f>
        <v>153</v>
      </c>
      <c r="AF17" s="759">
        <f>SUM('EGRESO plan'!AF52:AF62)</f>
        <v>217</v>
      </c>
      <c r="AG17" s="759">
        <f>SUM('EGRESO plan'!AG52:AG62)</f>
        <v>131</v>
      </c>
      <c r="AH17" s="760">
        <f>SUM('EGRESO plan'!AH52:AH62)</f>
        <v>501</v>
      </c>
      <c r="AI17" s="758">
        <f>SUM('EGRESO plan'!AI52:AI62)</f>
        <v>177</v>
      </c>
      <c r="AJ17" s="759">
        <f>SUM('EGRESO plan'!AJ52:AJ62)</f>
        <v>181</v>
      </c>
      <c r="AK17" s="759">
        <f>SUM('EGRESO plan'!AK52:AK62)</f>
        <v>111</v>
      </c>
      <c r="AL17" s="760">
        <f>SUM('EGRESO plan'!AL52:AL62)</f>
        <v>469</v>
      </c>
      <c r="AM17" s="758">
        <f>SUM('EGRESO plan'!AM52:AM62)</f>
        <v>157</v>
      </c>
      <c r="AN17" s="759">
        <f>SUM('EGRESO plan'!AN52:AN62)</f>
        <v>184</v>
      </c>
      <c r="AO17" s="759">
        <f>SUM('EGRESO plan'!AO52:AO62)</f>
        <v>95</v>
      </c>
      <c r="AP17" s="760">
        <f>SUM('EGRESO plan'!AP52:AP62)</f>
        <v>436</v>
      </c>
      <c r="AQ17" s="758">
        <f>SUM('EGRESO plan'!AQ52:AQ62)</f>
        <v>172</v>
      </c>
      <c r="AR17" s="759">
        <f>SUM('EGRESO plan'!AR52:AR62)</f>
        <v>216</v>
      </c>
      <c r="AS17" s="759">
        <f>SUM('EGRESO plan'!AS52:AS62)</f>
        <v>94</v>
      </c>
      <c r="AT17" s="760">
        <f>SUM('EGRESO plan'!AT52:AT62)</f>
        <v>482</v>
      </c>
      <c r="AU17" s="758">
        <f>SUM('EGRESO plan'!AU52:AU62)</f>
        <v>192</v>
      </c>
      <c r="AV17" s="759">
        <f>SUM('EGRESO plan'!AV52:AV62)</f>
        <v>236</v>
      </c>
      <c r="AW17" s="759">
        <f>SUM('EGRESO plan'!AW52:AW62)</f>
        <v>119</v>
      </c>
      <c r="AX17" s="760">
        <f>SUM('EGRESO plan'!AX52:AX62)</f>
        <v>547</v>
      </c>
      <c r="AY17" s="758">
        <f>SUM('EGRESO plan'!AY52:AY62)</f>
        <v>172</v>
      </c>
      <c r="AZ17" s="759">
        <f>SUM('EGRESO plan'!AZ52:AZ62)</f>
        <v>178</v>
      </c>
      <c r="BA17" s="759">
        <f>SUM('EGRESO plan'!BA52:BA62)</f>
        <v>132</v>
      </c>
      <c r="BB17" s="760">
        <f>SUM('EGRESO plan'!BB52:BB62)</f>
        <v>482</v>
      </c>
      <c r="BC17" s="758">
        <f>SUM('EGRESO plan'!BC52:BC62)</f>
        <v>195</v>
      </c>
      <c r="BD17" s="759">
        <f>SUM('EGRESO plan'!BD52:BD62)</f>
        <v>221</v>
      </c>
      <c r="BE17" s="759">
        <f>SUM('EGRESO plan'!BE52:BE62)</f>
        <v>149</v>
      </c>
      <c r="BF17" s="760">
        <f>SUM('EGRESO plan'!BF52:BF62)</f>
        <v>565</v>
      </c>
      <c r="BG17" s="758">
        <f>SUM('EGRESO plan'!BG52:BG62)</f>
        <v>209</v>
      </c>
      <c r="BH17" s="759">
        <f>SUM('EGRESO plan'!BH52:BH62)</f>
        <v>273</v>
      </c>
      <c r="BI17" s="759">
        <f>SUM('EGRESO plan'!BI52:BI62)</f>
        <v>186</v>
      </c>
      <c r="BJ17" s="760">
        <f>SUM('EGRESO plan'!BJ52:BJ62)</f>
        <v>668</v>
      </c>
      <c r="BK17" s="758">
        <f>SUM('EGRESO plan'!BK52:BK62)</f>
        <v>211</v>
      </c>
      <c r="BL17" s="759">
        <f>SUM('EGRESO plan'!BL52:BL62)</f>
        <v>201</v>
      </c>
      <c r="BM17" s="759">
        <f>SUM('EGRESO plan'!BM52:BM62)</f>
        <v>140</v>
      </c>
      <c r="BN17" s="760">
        <f>SUM('EGRESO plan'!BN52:BN62)</f>
        <v>552</v>
      </c>
      <c r="BO17" s="758">
        <f>SUM('EGRESO plan'!BO52:BO62)</f>
        <v>199</v>
      </c>
      <c r="BP17" s="759">
        <f>SUM('EGRESO plan'!BP52:BP62)</f>
        <v>208</v>
      </c>
      <c r="BQ17" s="759">
        <f>SUM('EGRESO plan'!BQ52:BQ62)</f>
        <v>167</v>
      </c>
      <c r="BR17" s="760">
        <f>SUM('EGRESO plan'!BR52:BR62)</f>
        <v>574</v>
      </c>
      <c r="BS17" s="758">
        <f>SUM('EGRESO plan'!BS52:BS62)</f>
        <v>149</v>
      </c>
      <c r="BT17" s="759">
        <f>SUM('EGRESO plan'!BT52:BT62)</f>
        <v>258</v>
      </c>
      <c r="BU17" s="759">
        <f>SUM('EGRESO plan'!BU52:BU62)</f>
        <v>124</v>
      </c>
      <c r="BV17" s="760">
        <f>SUM('EGRESO plan'!BV52:BV62)</f>
        <v>531</v>
      </c>
      <c r="BW17" s="758">
        <f>SUM('EGRESO plan'!BW52:BW62)</f>
        <v>174</v>
      </c>
      <c r="BX17" s="759">
        <f>SUM('EGRESO plan'!BX52:BX62)</f>
        <v>230</v>
      </c>
      <c r="BY17" s="759">
        <f>SUM('EGRESO plan'!BY52:BY62)</f>
        <v>155</v>
      </c>
      <c r="BZ17" s="760">
        <f>SUM('EGRESO plan'!BZ52:BZ62)</f>
        <v>559</v>
      </c>
      <c r="CA17" s="758">
        <f>SUM('EGRESO plan'!CA52:CA62)</f>
        <v>161</v>
      </c>
      <c r="CB17" s="759">
        <f>SUM('EGRESO plan'!CB52:CB62)</f>
        <v>222</v>
      </c>
      <c r="CC17" s="759">
        <f>SUM('EGRESO plan'!CC52:CC62)</f>
        <v>142</v>
      </c>
      <c r="CD17" s="760">
        <f>SUM('EGRESO plan'!CD52:CD62)</f>
        <v>525</v>
      </c>
      <c r="CE17" s="758">
        <f>SUM('EGRESO plan'!CE52:CE62)</f>
        <v>172</v>
      </c>
      <c r="CF17" s="759">
        <f>SUM('EGRESO plan'!CF52:CF62)</f>
        <v>207</v>
      </c>
      <c r="CG17" s="759">
        <f>SUM('EGRESO plan'!CG52:CG62)</f>
        <v>142</v>
      </c>
      <c r="CH17" s="760">
        <f>SUM('EGRESO plan'!CH52:CH62)</f>
        <v>521</v>
      </c>
      <c r="CI17" s="758">
        <f>SUM('EGRESO plan'!CI52:CI62)</f>
        <v>178</v>
      </c>
      <c r="CJ17" s="759">
        <f>SUM('EGRESO plan'!CJ52:CJ62)</f>
        <v>219</v>
      </c>
      <c r="CK17" s="759">
        <f>SUM('EGRESO plan'!CK52:CK62)</f>
        <v>148</v>
      </c>
      <c r="CL17" s="760">
        <f>SUM('EGRESO plan'!CL52:CL62)</f>
        <v>545</v>
      </c>
      <c r="CM17" s="758">
        <f>SUM('EGRESO plan'!CM52:CM62)</f>
        <v>179</v>
      </c>
      <c r="CN17" s="759">
        <f>SUM('EGRESO plan'!CN52:CN62)</f>
        <v>183</v>
      </c>
      <c r="CO17" s="759">
        <f>SUM('EGRESO plan'!CO52:CO62)</f>
        <v>157</v>
      </c>
      <c r="CP17" s="760">
        <f t="shared" ref="CP17:CP18" si="9">SUM(CM17:CO17)</f>
        <v>519</v>
      </c>
      <c r="CQ17" s="758">
        <f>SUM('EGRESO plan'!CQ52:CQ62)</f>
        <v>154</v>
      </c>
      <c r="CR17" s="759">
        <f>SUM('EGRESO plan'!CR52:CR62)</f>
        <v>164</v>
      </c>
      <c r="CS17" s="759">
        <f>SUM('EGRESO plan'!CS52:CS62)</f>
        <v>183</v>
      </c>
      <c r="CT17" s="760">
        <f t="shared" ref="CT17:CT18" si="10">SUM(CQ17:CS17)</f>
        <v>501</v>
      </c>
    </row>
    <row r="18" spans="2:98" s="3" customFormat="1" ht="15" customHeight="1" x14ac:dyDescent="0.25">
      <c r="B18" s="154" t="s">
        <v>92</v>
      </c>
      <c r="C18" s="758">
        <f>SUM('EGRESO plan'!C64:C69)</f>
        <v>99</v>
      </c>
      <c r="D18" s="759">
        <f>SUM('EGRESO plan'!D64:D69)</f>
        <v>55</v>
      </c>
      <c r="E18" s="759">
        <f>SUM('EGRESO plan'!E64:E69)</f>
        <v>44</v>
      </c>
      <c r="F18" s="760">
        <f>SUM('EGRESO plan'!F64:F69)</f>
        <v>198</v>
      </c>
      <c r="G18" s="758">
        <f>SUM('EGRESO plan'!G64:G69)</f>
        <v>64</v>
      </c>
      <c r="H18" s="759">
        <f>SUM('EGRESO plan'!H64:H69)</f>
        <v>44</v>
      </c>
      <c r="I18" s="759">
        <f>SUM('EGRESO plan'!I64:I69)</f>
        <v>51</v>
      </c>
      <c r="J18" s="760">
        <f>SUM('EGRESO plan'!J64:J69)</f>
        <v>159</v>
      </c>
      <c r="K18" s="758">
        <f>SUM('EGRESO plan'!K64:K69)</f>
        <v>95</v>
      </c>
      <c r="L18" s="759">
        <f>SUM('EGRESO plan'!L64:L69)</f>
        <v>87</v>
      </c>
      <c r="M18" s="759">
        <f>SUM('EGRESO plan'!M64:M69)</f>
        <v>35</v>
      </c>
      <c r="N18" s="760">
        <f>SUM('EGRESO plan'!N64:N69)</f>
        <v>217</v>
      </c>
      <c r="O18" s="758">
        <f>SUM('EGRESO plan'!O64:O69)</f>
        <v>90</v>
      </c>
      <c r="P18" s="759">
        <f>SUM('EGRESO plan'!P64:P69)</f>
        <v>75</v>
      </c>
      <c r="Q18" s="759">
        <f>SUM('EGRESO plan'!Q64:Q69)</f>
        <v>63</v>
      </c>
      <c r="R18" s="760">
        <f>SUM('EGRESO plan'!R64:R69)</f>
        <v>228</v>
      </c>
      <c r="S18" s="758">
        <f>SUM('EGRESO plan'!S64:S69)</f>
        <v>89</v>
      </c>
      <c r="T18" s="759">
        <f>SUM('EGRESO plan'!T64:T69)</f>
        <v>125</v>
      </c>
      <c r="U18" s="759">
        <f>SUM('EGRESO plan'!U64:U69)</f>
        <v>86</v>
      </c>
      <c r="V18" s="760">
        <f>SUM('EGRESO plan'!V64:V69)</f>
        <v>300</v>
      </c>
      <c r="W18" s="758">
        <f>SUM('EGRESO plan'!W64:W69)</f>
        <v>118</v>
      </c>
      <c r="X18" s="759">
        <f>SUM('EGRESO plan'!X64:X69)</f>
        <v>143</v>
      </c>
      <c r="Y18" s="759">
        <f>SUM('EGRESO plan'!Y64:Y69)</f>
        <v>120</v>
      </c>
      <c r="Z18" s="760">
        <f>SUM('EGRESO plan'!Z64:Z69)</f>
        <v>381</v>
      </c>
      <c r="AA18" s="758">
        <f>SUM('EGRESO plan'!AA64:AA69)</f>
        <v>124</v>
      </c>
      <c r="AB18" s="759">
        <f>SUM('EGRESO plan'!AB64:AB69)</f>
        <v>113</v>
      </c>
      <c r="AC18" s="759">
        <f>SUM('EGRESO plan'!AC64:AC69)</f>
        <v>106</v>
      </c>
      <c r="AD18" s="760">
        <f>SUM('EGRESO plan'!AD64:AD69)</f>
        <v>343</v>
      </c>
      <c r="AE18" s="758">
        <f>SUM('EGRESO plan'!AE64:AE69)</f>
        <v>150</v>
      </c>
      <c r="AF18" s="759">
        <f>SUM('EGRESO plan'!AF64:AF69)</f>
        <v>123</v>
      </c>
      <c r="AG18" s="759">
        <f>SUM('EGRESO plan'!AG64:AG69)</f>
        <v>100</v>
      </c>
      <c r="AH18" s="760">
        <f>SUM('EGRESO plan'!AH64:AH69)</f>
        <v>373</v>
      </c>
      <c r="AI18" s="758">
        <f>SUM('EGRESO plan'!AI64:AI69)</f>
        <v>119</v>
      </c>
      <c r="AJ18" s="759">
        <f>SUM('EGRESO plan'!AJ64:AJ69)</f>
        <v>114</v>
      </c>
      <c r="AK18" s="759">
        <f>SUM('EGRESO plan'!AK64:AK69)</f>
        <v>78</v>
      </c>
      <c r="AL18" s="760">
        <f>SUM('EGRESO plan'!AL64:AL69)</f>
        <v>311</v>
      </c>
      <c r="AM18" s="758">
        <f>SUM('EGRESO plan'!AM64:AM69)</f>
        <v>112</v>
      </c>
      <c r="AN18" s="759">
        <f>SUM('EGRESO plan'!AN64:AN69)</f>
        <v>124</v>
      </c>
      <c r="AO18" s="759">
        <f>SUM('EGRESO plan'!AO64:AO69)</f>
        <v>111</v>
      </c>
      <c r="AP18" s="760">
        <f>SUM('EGRESO plan'!AP64:AP69)</f>
        <v>347</v>
      </c>
      <c r="AQ18" s="758">
        <f>SUM('EGRESO plan'!AQ64:AQ69)</f>
        <v>92</v>
      </c>
      <c r="AR18" s="759">
        <f>SUM('EGRESO plan'!AR64:AR69)</f>
        <v>88</v>
      </c>
      <c r="AS18" s="759">
        <f>SUM('EGRESO plan'!AS64:AS69)</f>
        <v>67</v>
      </c>
      <c r="AT18" s="760">
        <f>SUM('EGRESO plan'!AT64:AT69)</f>
        <v>247</v>
      </c>
      <c r="AU18" s="758">
        <f>SUM('EGRESO plan'!AU64:AU69)</f>
        <v>111</v>
      </c>
      <c r="AV18" s="759">
        <f>SUM('EGRESO plan'!AV64:AV69)</f>
        <v>101</v>
      </c>
      <c r="AW18" s="759">
        <f>SUM('EGRESO plan'!AW64:AW69)</f>
        <v>91</v>
      </c>
      <c r="AX18" s="760">
        <f>SUM('EGRESO plan'!AX64:AX69)</f>
        <v>303</v>
      </c>
      <c r="AY18" s="758">
        <f>SUM('EGRESO plan'!AY64:AY69)</f>
        <v>101</v>
      </c>
      <c r="AZ18" s="759">
        <f>SUM('EGRESO plan'!AZ64:AZ69)</f>
        <v>93</v>
      </c>
      <c r="BA18" s="759">
        <f>SUM('EGRESO plan'!BA64:BA69)</f>
        <v>61</v>
      </c>
      <c r="BB18" s="760">
        <f>SUM('EGRESO plan'!BB64:BB69)</f>
        <v>255</v>
      </c>
      <c r="BC18" s="758">
        <f>SUM('EGRESO plan'!BC64:BC69)</f>
        <v>103</v>
      </c>
      <c r="BD18" s="759">
        <f>SUM('EGRESO plan'!BD64:BD69)</f>
        <v>117</v>
      </c>
      <c r="BE18" s="759">
        <f>SUM('EGRESO plan'!BE64:BE69)</f>
        <v>77</v>
      </c>
      <c r="BF18" s="760">
        <f>SUM('EGRESO plan'!BF64:BF69)</f>
        <v>297</v>
      </c>
      <c r="BG18" s="758">
        <f>SUM('EGRESO plan'!BG64:BG69)</f>
        <v>86</v>
      </c>
      <c r="BH18" s="759">
        <f>SUM('EGRESO plan'!BH64:BH69)</f>
        <v>125</v>
      </c>
      <c r="BI18" s="759">
        <f>SUM('EGRESO plan'!BI64:BI69)</f>
        <v>143</v>
      </c>
      <c r="BJ18" s="760">
        <f>SUM('EGRESO plan'!BJ64:BJ69)</f>
        <v>354</v>
      </c>
      <c r="BK18" s="758">
        <f>SUM('EGRESO plan'!BK64:BK69)</f>
        <v>109</v>
      </c>
      <c r="BL18" s="759">
        <f>SUM('EGRESO plan'!BL64:BL69)</f>
        <v>142</v>
      </c>
      <c r="BM18" s="759">
        <f>SUM('EGRESO plan'!BM64:BM69)</f>
        <v>94</v>
      </c>
      <c r="BN18" s="760">
        <f>SUM('EGRESO plan'!BN64:BN69)</f>
        <v>345</v>
      </c>
      <c r="BO18" s="758">
        <f>SUM('EGRESO plan'!BO64:BO69)</f>
        <v>107</v>
      </c>
      <c r="BP18" s="759">
        <f>SUM('EGRESO plan'!BP64:BP69)</f>
        <v>127</v>
      </c>
      <c r="BQ18" s="759">
        <f>SUM('EGRESO plan'!BQ64:BQ69)</f>
        <v>151</v>
      </c>
      <c r="BR18" s="760">
        <f>SUM('EGRESO plan'!BR64:BR69)</f>
        <v>385</v>
      </c>
      <c r="BS18" s="758">
        <f>SUM('EGRESO plan'!BS64:BS69)</f>
        <v>154</v>
      </c>
      <c r="BT18" s="759">
        <f>SUM('EGRESO plan'!BT64:BT69)</f>
        <v>153</v>
      </c>
      <c r="BU18" s="759">
        <f>SUM('EGRESO plan'!BU64:BU69)</f>
        <v>126</v>
      </c>
      <c r="BV18" s="760">
        <f>SUM('EGRESO plan'!BV64:BV69)</f>
        <v>433</v>
      </c>
      <c r="BW18" s="758">
        <f>SUM('EGRESO plan'!BW64:BW69)</f>
        <v>151</v>
      </c>
      <c r="BX18" s="759">
        <f>SUM('EGRESO plan'!BX64:BX69)</f>
        <v>158</v>
      </c>
      <c r="BY18" s="759">
        <f>SUM('EGRESO plan'!BY64:BY69)</f>
        <v>146</v>
      </c>
      <c r="BZ18" s="760">
        <f>SUM('EGRESO plan'!BZ64:BZ69)</f>
        <v>455</v>
      </c>
      <c r="CA18" s="758">
        <f>SUM('EGRESO plan'!CA64:CA69)</f>
        <v>148</v>
      </c>
      <c r="CB18" s="759">
        <f>SUM('EGRESO plan'!CB64:CB69)</f>
        <v>153</v>
      </c>
      <c r="CC18" s="759">
        <f>SUM('EGRESO plan'!CC64:CC69)</f>
        <v>146</v>
      </c>
      <c r="CD18" s="760">
        <f>SUM('EGRESO plan'!CD64:CD69)</f>
        <v>447</v>
      </c>
      <c r="CE18" s="758">
        <f>SUM('EGRESO plan'!CE64:CE69)</f>
        <v>175</v>
      </c>
      <c r="CF18" s="759">
        <f>SUM('EGRESO plan'!CF64:CF69)</f>
        <v>164</v>
      </c>
      <c r="CG18" s="759">
        <f>SUM('EGRESO plan'!CG64:CG69)</f>
        <v>142</v>
      </c>
      <c r="CH18" s="760">
        <f>SUM('EGRESO plan'!CH64:CH69)</f>
        <v>481</v>
      </c>
      <c r="CI18" s="758">
        <f>SUM('EGRESO plan'!CI64:CI69)</f>
        <v>162</v>
      </c>
      <c r="CJ18" s="759">
        <f>SUM('EGRESO plan'!CJ64:CJ69)</f>
        <v>163</v>
      </c>
      <c r="CK18" s="759">
        <f>SUM('EGRESO plan'!CK64:CK69)</f>
        <v>142</v>
      </c>
      <c r="CL18" s="760">
        <f>SUM('EGRESO plan'!CL64:CL69)</f>
        <v>467</v>
      </c>
      <c r="CM18" s="758">
        <f>SUM('EGRESO plan'!CM64:CM69)</f>
        <v>150</v>
      </c>
      <c r="CN18" s="759">
        <f>SUM('EGRESO plan'!CN64:CN69)</f>
        <v>142</v>
      </c>
      <c r="CO18" s="759">
        <f>SUM('EGRESO plan'!CO64:CO69)</f>
        <v>143</v>
      </c>
      <c r="CP18" s="760">
        <f t="shared" si="9"/>
        <v>435</v>
      </c>
      <c r="CQ18" s="758">
        <f>SUM('EGRESO plan'!CQ64:CQ69)</f>
        <v>141</v>
      </c>
      <c r="CR18" s="759">
        <f>SUM('EGRESO plan'!CR64:CR69)</f>
        <v>114</v>
      </c>
      <c r="CS18" s="759">
        <f>SUM('EGRESO plan'!CS64:CS69)</f>
        <v>136</v>
      </c>
      <c r="CT18" s="760">
        <f t="shared" si="10"/>
        <v>391</v>
      </c>
    </row>
    <row r="19" spans="2:98" s="162" customFormat="1" ht="15" customHeight="1" x14ac:dyDescent="0.25">
      <c r="B19" s="174" t="s">
        <v>135</v>
      </c>
      <c r="C19" s="778">
        <f t="shared" ref="C19:R19" si="11">SUM(C16:C18)</f>
        <v>369</v>
      </c>
      <c r="D19" s="779">
        <f t="shared" si="11"/>
        <v>378</v>
      </c>
      <c r="E19" s="779">
        <f t="shared" si="11"/>
        <v>243</v>
      </c>
      <c r="F19" s="780">
        <f t="shared" si="11"/>
        <v>990</v>
      </c>
      <c r="G19" s="778">
        <f t="shared" si="11"/>
        <v>288</v>
      </c>
      <c r="H19" s="779">
        <f t="shared" si="11"/>
        <v>315</v>
      </c>
      <c r="I19" s="779">
        <f t="shared" si="11"/>
        <v>249</v>
      </c>
      <c r="J19" s="780">
        <f t="shared" si="11"/>
        <v>852</v>
      </c>
      <c r="K19" s="778">
        <f t="shared" si="11"/>
        <v>359</v>
      </c>
      <c r="L19" s="779">
        <f t="shared" si="11"/>
        <v>364</v>
      </c>
      <c r="M19" s="779">
        <f t="shared" si="11"/>
        <v>220</v>
      </c>
      <c r="N19" s="780">
        <f t="shared" si="11"/>
        <v>943</v>
      </c>
      <c r="O19" s="778">
        <f t="shared" si="11"/>
        <v>340</v>
      </c>
      <c r="P19" s="779">
        <f t="shared" si="11"/>
        <v>338</v>
      </c>
      <c r="Q19" s="779">
        <f t="shared" si="11"/>
        <v>274</v>
      </c>
      <c r="R19" s="780">
        <f t="shared" si="11"/>
        <v>952</v>
      </c>
      <c r="S19" s="778">
        <f t="shared" ref="S19:CD19" si="12">SUM(S16:S18)</f>
        <v>360</v>
      </c>
      <c r="T19" s="779">
        <f t="shared" si="12"/>
        <v>405</v>
      </c>
      <c r="U19" s="779">
        <f t="shared" si="12"/>
        <v>275</v>
      </c>
      <c r="V19" s="780">
        <f t="shared" si="12"/>
        <v>1040</v>
      </c>
      <c r="W19" s="778">
        <f t="shared" si="12"/>
        <v>403</v>
      </c>
      <c r="X19" s="779">
        <f t="shared" si="12"/>
        <v>444</v>
      </c>
      <c r="Y19" s="779">
        <f t="shared" si="12"/>
        <v>341</v>
      </c>
      <c r="Z19" s="780">
        <f t="shared" si="12"/>
        <v>1188</v>
      </c>
      <c r="AA19" s="778">
        <f t="shared" si="12"/>
        <v>435</v>
      </c>
      <c r="AB19" s="779">
        <f t="shared" si="12"/>
        <v>382</v>
      </c>
      <c r="AC19" s="779">
        <f t="shared" si="12"/>
        <v>280</v>
      </c>
      <c r="AD19" s="780">
        <f t="shared" si="12"/>
        <v>1097</v>
      </c>
      <c r="AE19" s="778">
        <f t="shared" si="12"/>
        <v>396</v>
      </c>
      <c r="AF19" s="779">
        <f t="shared" si="12"/>
        <v>444</v>
      </c>
      <c r="AG19" s="779">
        <f t="shared" si="12"/>
        <v>310</v>
      </c>
      <c r="AH19" s="780">
        <f t="shared" si="12"/>
        <v>1150</v>
      </c>
      <c r="AI19" s="778">
        <f t="shared" si="12"/>
        <v>350</v>
      </c>
      <c r="AJ19" s="779">
        <f t="shared" si="12"/>
        <v>366</v>
      </c>
      <c r="AK19" s="779">
        <f t="shared" si="12"/>
        <v>237</v>
      </c>
      <c r="AL19" s="780">
        <f t="shared" si="12"/>
        <v>953</v>
      </c>
      <c r="AM19" s="778">
        <f t="shared" si="12"/>
        <v>337</v>
      </c>
      <c r="AN19" s="779">
        <f t="shared" si="12"/>
        <v>367</v>
      </c>
      <c r="AO19" s="779">
        <f t="shared" si="12"/>
        <v>242</v>
      </c>
      <c r="AP19" s="780">
        <f t="shared" si="12"/>
        <v>946</v>
      </c>
      <c r="AQ19" s="778">
        <f t="shared" si="12"/>
        <v>322</v>
      </c>
      <c r="AR19" s="779">
        <f t="shared" si="12"/>
        <v>374</v>
      </c>
      <c r="AS19" s="779">
        <f t="shared" si="12"/>
        <v>200</v>
      </c>
      <c r="AT19" s="780">
        <f t="shared" si="12"/>
        <v>896</v>
      </c>
      <c r="AU19" s="778">
        <f t="shared" si="12"/>
        <v>366</v>
      </c>
      <c r="AV19" s="779">
        <f t="shared" si="12"/>
        <v>449</v>
      </c>
      <c r="AW19" s="779">
        <f t="shared" si="12"/>
        <v>274</v>
      </c>
      <c r="AX19" s="780">
        <f t="shared" si="12"/>
        <v>1089</v>
      </c>
      <c r="AY19" s="778">
        <f t="shared" si="12"/>
        <v>330</v>
      </c>
      <c r="AZ19" s="779">
        <f t="shared" si="12"/>
        <v>328</v>
      </c>
      <c r="BA19" s="779">
        <f t="shared" si="12"/>
        <v>258</v>
      </c>
      <c r="BB19" s="780">
        <f t="shared" si="12"/>
        <v>916</v>
      </c>
      <c r="BC19" s="778">
        <f t="shared" si="12"/>
        <v>365</v>
      </c>
      <c r="BD19" s="779">
        <f t="shared" si="12"/>
        <v>423</v>
      </c>
      <c r="BE19" s="779">
        <f t="shared" si="12"/>
        <v>276</v>
      </c>
      <c r="BF19" s="780">
        <f t="shared" si="12"/>
        <v>1064</v>
      </c>
      <c r="BG19" s="778">
        <f t="shared" si="12"/>
        <v>339</v>
      </c>
      <c r="BH19" s="779">
        <f t="shared" si="12"/>
        <v>456</v>
      </c>
      <c r="BI19" s="779">
        <f t="shared" si="12"/>
        <v>390</v>
      </c>
      <c r="BJ19" s="780">
        <f t="shared" si="12"/>
        <v>1185</v>
      </c>
      <c r="BK19" s="778">
        <f t="shared" si="12"/>
        <v>378</v>
      </c>
      <c r="BL19" s="779">
        <f t="shared" si="12"/>
        <v>429</v>
      </c>
      <c r="BM19" s="779">
        <f t="shared" si="12"/>
        <v>302</v>
      </c>
      <c r="BN19" s="780">
        <f t="shared" si="12"/>
        <v>1109</v>
      </c>
      <c r="BO19" s="778">
        <f t="shared" si="12"/>
        <v>352</v>
      </c>
      <c r="BP19" s="779">
        <f t="shared" si="12"/>
        <v>398</v>
      </c>
      <c r="BQ19" s="779">
        <f t="shared" si="12"/>
        <v>382</v>
      </c>
      <c r="BR19" s="780">
        <f t="shared" si="12"/>
        <v>1132</v>
      </c>
      <c r="BS19" s="778">
        <f t="shared" si="12"/>
        <v>364</v>
      </c>
      <c r="BT19" s="779">
        <f t="shared" si="12"/>
        <v>490</v>
      </c>
      <c r="BU19" s="779">
        <f t="shared" si="12"/>
        <v>338</v>
      </c>
      <c r="BV19" s="780">
        <f t="shared" si="12"/>
        <v>1192</v>
      </c>
      <c r="BW19" s="778">
        <f t="shared" si="12"/>
        <v>400</v>
      </c>
      <c r="BX19" s="779">
        <f t="shared" si="12"/>
        <v>469</v>
      </c>
      <c r="BY19" s="779">
        <f t="shared" si="12"/>
        <v>387</v>
      </c>
      <c r="BZ19" s="780">
        <f t="shared" si="12"/>
        <v>1256</v>
      </c>
      <c r="CA19" s="778">
        <f t="shared" si="12"/>
        <v>384</v>
      </c>
      <c r="CB19" s="779">
        <f t="shared" si="12"/>
        <v>489</v>
      </c>
      <c r="CC19" s="779">
        <f t="shared" si="12"/>
        <v>396</v>
      </c>
      <c r="CD19" s="780">
        <f t="shared" si="12"/>
        <v>1269</v>
      </c>
      <c r="CE19" s="778">
        <f t="shared" ref="CE19:CL19" si="13">SUM(CE16:CE18)</f>
        <v>469</v>
      </c>
      <c r="CF19" s="779">
        <f t="shared" si="13"/>
        <v>465</v>
      </c>
      <c r="CG19" s="779">
        <f t="shared" si="13"/>
        <v>382</v>
      </c>
      <c r="CH19" s="780">
        <f t="shared" si="13"/>
        <v>1316</v>
      </c>
      <c r="CI19" s="778">
        <f t="shared" si="13"/>
        <v>427</v>
      </c>
      <c r="CJ19" s="779">
        <f t="shared" si="13"/>
        <v>479</v>
      </c>
      <c r="CK19" s="779">
        <f t="shared" si="13"/>
        <v>369</v>
      </c>
      <c r="CL19" s="780">
        <f t="shared" si="13"/>
        <v>1275</v>
      </c>
      <c r="CM19" s="778">
        <f t="shared" ref="CM19:CP19" si="14">SUM(CM16:CM18)</f>
        <v>442</v>
      </c>
      <c r="CN19" s="779">
        <f t="shared" si="14"/>
        <v>429</v>
      </c>
      <c r="CO19" s="779">
        <f t="shared" si="14"/>
        <v>414</v>
      </c>
      <c r="CP19" s="780">
        <f t="shared" si="14"/>
        <v>1285</v>
      </c>
      <c r="CQ19" s="778">
        <f t="shared" ref="CQ19:CT19" si="15">SUM(CQ16:CQ18)</f>
        <v>365</v>
      </c>
      <c r="CR19" s="779">
        <f t="shared" si="15"/>
        <v>395</v>
      </c>
      <c r="CS19" s="779">
        <f t="shared" si="15"/>
        <v>416</v>
      </c>
      <c r="CT19" s="780">
        <f t="shared" si="15"/>
        <v>1176</v>
      </c>
    </row>
    <row r="20" spans="2:98" s="162" customFormat="1" ht="13.8" x14ac:dyDescent="0.25">
      <c r="C20" s="764"/>
      <c r="D20" s="764"/>
      <c r="E20" s="764"/>
      <c r="F20" s="764"/>
      <c r="G20" s="764"/>
      <c r="H20" s="764"/>
      <c r="I20" s="764"/>
      <c r="J20" s="764"/>
      <c r="K20" s="764"/>
      <c r="L20" s="764"/>
      <c r="M20" s="764"/>
      <c r="N20" s="764"/>
      <c r="O20" s="764"/>
      <c r="P20" s="764"/>
      <c r="Q20" s="764"/>
      <c r="R20" s="764"/>
      <c r="S20" s="764"/>
      <c r="T20" s="764"/>
      <c r="U20" s="764"/>
      <c r="V20" s="764"/>
      <c r="W20" s="764"/>
      <c r="X20" s="764"/>
      <c r="Y20" s="764"/>
      <c r="Z20" s="764"/>
      <c r="AA20" s="764"/>
      <c r="AB20" s="764"/>
      <c r="AC20" s="764"/>
      <c r="AD20" s="764"/>
      <c r="AE20" s="764"/>
      <c r="AF20" s="764"/>
      <c r="AG20" s="764"/>
      <c r="AH20" s="764"/>
      <c r="AI20" s="764"/>
      <c r="AJ20" s="764"/>
      <c r="AK20" s="764"/>
      <c r="AL20" s="764"/>
      <c r="AM20" s="764"/>
      <c r="AN20" s="764"/>
      <c r="AO20" s="764"/>
      <c r="AP20" s="764"/>
      <c r="AQ20" s="764"/>
      <c r="AR20" s="764"/>
      <c r="AS20" s="764"/>
      <c r="AT20" s="764"/>
      <c r="AU20" s="764"/>
      <c r="AV20" s="764"/>
      <c r="AW20" s="764"/>
      <c r="AX20" s="764"/>
      <c r="AY20" s="764"/>
      <c r="AZ20" s="764"/>
      <c r="BA20" s="764"/>
      <c r="BB20" s="764"/>
      <c r="BC20" s="764"/>
      <c r="BD20" s="764"/>
      <c r="BE20" s="764"/>
      <c r="BF20" s="764"/>
      <c r="BG20" s="764"/>
      <c r="BH20" s="764"/>
      <c r="BI20" s="764"/>
      <c r="BJ20" s="764"/>
      <c r="BK20" s="764"/>
      <c r="BL20" s="764"/>
      <c r="BM20" s="764"/>
      <c r="BN20" s="764"/>
      <c r="BO20" s="764"/>
      <c r="BP20" s="764"/>
      <c r="BQ20" s="764"/>
      <c r="BR20" s="764"/>
      <c r="BS20" s="764"/>
      <c r="BT20" s="764"/>
      <c r="BU20" s="764"/>
      <c r="BV20" s="764"/>
      <c r="BW20" s="764"/>
      <c r="BX20" s="764"/>
      <c r="BY20" s="764"/>
      <c r="BZ20" s="764"/>
      <c r="CA20" s="764"/>
      <c r="CB20" s="764"/>
      <c r="CC20" s="764"/>
      <c r="CD20" s="764"/>
      <c r="CE20" s="764"/>
      <c r="CF20" s="764"/>
      <c r="CG20" s="764"/>
      <c r="CH20" s="764"/>
      <c r="CI20" s="764"/>
      <c r="CJ20" s="764"/>
      <c r="CK20" s="764"/>
      <c r="CL20" s="764"/>
      <c r="CM20" s="764"/>
      <c r="CN20" s="764"/>
      <c r="CO20" s="764"/>
      <c r="CP20" s="764"/>
      <c r="CQ20" s="764"/>
      <c r="CR20" s="764"/>
      <c r="CS20" s="764"/>
      <c r="CT20" s="764"/>
    </row>
    <row r="21" spans="2:98" s="162" customFormat="1" ht="15" customHeight="1" x14ac:dyDescent="0.25">
      <c r="B21" s="150" t="s">
        <v>59</v>
      </c>
      <c r="C21" s="755"/>
      <c r="D21" s="756"/>
      <c r="E21" s="756"/>
      <c r="F21" s="757"/>
      <c r="G21" s="755"/>
      <c r="H21" s="756"/>
      <c r="I21" s="756"/>
      <c r="J21" s="757"/>
      <c r="K21" s="755"/>
      <c r="L21" s="756"/>
      <c r="M21" s="756"/>
      <c r="N21" s="757"/>
      <c r="O21" s="755"/>
      <c r="P21" s="756"/>
      <c r="Q21" s="756"/>
      <c r="R21" s="757"/>
      <c r="S21" s="755"/>
      <c r="T21" s="756"/>
      <c r="U21" s="756"/>
      <c r="V21" s="757"/>
      <c r="W21" s="755"/>
      <c r="X21" s="756"/>
      <c r="Y21" s="756"/>
      <c r="Z21" s="757"/>
      <c r="AA21" s="755"/>
      <c r="AB21" s="756"/>
      <c r="AC21" s="756"/>
      <c r="AD21" s="757"/>
      <c r="AE21" s="755"/>
      <c r="AF21" s="756"/>
      <c r="AG21" s="756"/>
      <c r="AH21" s="757"/>
      <c r="AI21" s="755"/>
      <c r="AJ21" s="756"/>
      <c r="AK21" s="756"/>
      <c r="AL21" s="757"/>
      <c r="AM21" s="755"/>
      <c r="AN21" s="756"/>
      <c r="AO21" s="756"/>
      <c r="AP21" s="757"/>
      <c r="AQ21" s="755"/>
      <c r="AR21" s="756"/>
      <c r="AS21" s="756"/>
      <c r="AT21" s="757"/>
      <c r="AU21" s="755"/>
      <c r="AV21" s="756"/>
      <c r="AW21" s="756"/>
      <c r="AX21" s="757"/>
      <c r="AY21" s="755"/>
      <c r="AZ21" s="756"/>
      <c r="BA21" s="756"/>
      <c r="BB21" s="757"/>
      <c r="BC21" s="755"/>
      <c r="BD21" s="756"/>
      <c r="BE21" s="756"/>
      <c r="BF21" s="757"/>
      <c r="BG21" s="755"/>
      <c r="BH21" s="756"/>
      <c r="BI21" s="756"/>
      <c r="BJ21" s="757"/>
      <c r="BK21" s="755"/>
      <c r="BL21" s="756"/>
      <c r="BM21" s="756"/>
      <c r="BN21" s="757"/>
      <c r="BO21" s="755">
        <f>+'EGRESO plan'!BO74</f>
        <v>8</v>
      </c>
      <c r="BP21" s="756">
        <f>+'EGRESO plan'!BP74</f>
        <v>9</v>
      </c>
      <c r="BQ21" s="756">
        <f>+'EGRESO plan'!BQ74</f>
        <v>3</v>
      </c>
      <c r="BR21" s="757">
        <f>+'EGRESO plan'!BR74</f>
        <v>20</v>
      </c>
      <c r="BS21" s="755">
        <f>+'EGRESO plan'!BS74</f>
        <v>1</v>
      </c>
      <c r="BT21" s="756">
        <f>+'EGRESO plan'!BT74</f>
        <v>4</v>
      </c>
      <c r="BU21" s="756">
        <f>+'EGRESO plan'!BU74</f>
        <v>0</v>
      </c>
      <c r="BV21" s="757">
        <f>+'EGRESO plan'!BV74</f>
        <v>5</v>
      </c>
      <c r="BW21" s="755">
        <f>+'EGRESO plan'!BW74</f>
        <v>4</v>
      </c>
      <c r="BX21" s="756">
        <f>+'EGRESO plan'!BX74</f>
        <v>6</v>
      </c>
      <c r="BY21" s="756">
        <f>+'EGRESO plan'!BY74</f>
        <v>3</v>
      </c>
      <c r="BZ21" s="757">
        <f>+'EGRESO plan'!BZ74</f>
        <v>13</v>
      </c>
      <c r="CA21" s="755">
        <f>+'EGRESO plan'!CA74</f>
        <v>2</v>
      </c>
      <c r="CB21" s="756">
        <f>+'EGRESO plan'!CB74</f>
        <v>4</v>
      </c>
      <c r="CC21" s="756">
        <f>+'EGRESO plan'!CC74</f>
        <v>4</v>
      </c>
      <c r="CD21" s="757">
        <f>+'EGRESO plan'!CD74</f>
        <v>10</v>
      </c>
      <c r="CE21" s="755">
        <f>+'EGRESO plan'!CE74</f>
        <v>9</v>
      </c>
      <c r="CF21" s="756">
        <f>+'EGRESO plan'!CF74</f>
        <v>2</v>
      </c>
      <c r="CG21" s="756">
        <f>+'EGRESO plan'!CG74</f>
        <v>4</v>
      </c>
      <c r="CH21" s="757">
        <f>+'EGRESO plan'!CH74</f>
        <v>15</v>
      </c>
      <c r="CI21" s="755">
        <f>+'EGRESO plan'!CI74</f>
        <v>4</v>
      </c>
      <c r="CJ21" s="756">
        <f>+'EGRESO plan'!CJ74</f>
        <v>11</v>
      </c>
      <c r="CK21" s="756">
        <f>+'EGRESO plan'!CK74</f>
        <v>2</v>
      </c>
      <c r="CL21" s="757">
        <f>+'EGRESO plan'!CL74</f>
        <v>17</v>
      </c>
      <c r="CM21" s="755">
        <f>+'EGRESO plan'!CM74</f>
        <v>6</v>
      </c>
      <c r="CN21" s="756">
        <f>+'EGRESO plan'!CN74</f>
        <v>1</v>
      </c>
      <c r="CO21" s="756">
        <f>+'EGRESO plan'!CO74</f>
        <v>2</v>
      </c>
      <c r="CP21" s="757">
        <f>+'EGRESO plan'!CP74</f>
        <v>9</v>
      </c>
      <c r="CQ21" s="755">
        <f>+'EGRESO plan'!CQ74</f>
        <v>5</v>
      </c>
      <c r="CR21" s="756">
        <f>+'EGRESO plan'!CR74</f>
        <v>6</v>
      </c>
      <c r="CS21" s="756">
        <f>+'EGRESO plan'!CS74</f>
        <v>4</v>
      </c>
      <c r="CT21" s="757">
        <f>+'EGRESO plan'!CT74</f>
        <v>15</v>
      </c>
    </row>
    <row r="22" spans="2:98" s="162" customFormat="1" ht="15" customHeight="1" x14ac:dyDescent="0.25">
      <c r="B22" s="154" t="s">
        <v>64</v>
      </c>
      <c r="C22" s="758"/>
      <c r="D22" s="759"/>
      <c r="E22" s="759"/>
      <c r="F22" s="760"/>
      <c r="G22" s="758"/>
      <c r="H22" s="759"/>
      <c r="I22" s="759"/>
      <c r="J22" s="760"/>
      <c r="K22" s="758"/>
      <c r="L22" s="759"/>
      <c r="M22" s="759"/>
      <c r="N22" s="760"/>
      <c r="O22" s="758"/>
      <c r="P22" s="759"/>
      <c r="Q22" s="759"/>
      <c r="R22" s="760"/>
      <c r="S22" s="758"/>
      <c r="T22" s="759"/>
      <c r="U22" s="759"/>
      <c r="V22" s="760"/>
      <c r="W22" s="758"/>
      <c r="X22" s="759"/>
      <c r="Y22" s="759"/>
      <c r="Z22" s="760"/>
      <c r="AA22" s="758"/>
      <c r="AB22" s="759"/>
      <c r="AC22" s="759"/>
      <c r="AD22" s="760"/>
      <c r="AE22" s="758"/>
      <c r="AF22" s="759"/>
      <c r="AG22" s="759"/>
      <c r="AH22" s="760"/>
      <c r="AI22" s="758"/>
      <c r="AJ22" s="759"/>
      <c r="AK22" s="759"/>
      <c r="AL22" s="760"/>
      <c r="AM22" s="758"/>
      <c r="AN22" s="759"/>
      <c r="AO22" s="759"/>
      <c r="AP22" s="760"/>
      <c r="AQ22" s="758"/>
      <c r="AR22" s="759"/>
      <c r="AS22" s="759"/>
      <c r="AT22" s="760"/>
      <c r="AU22" s="758"/>
      <c r="AV22" s="759"/>
      <c r="AW22" s="759"/>
      <c r="AX22" s="760"/>
      <c r="AY22" s="758"/>
      <c r="AZ22" s="759"/>
      <c r="BA22" s="759"/>
      <c r="BB22" s="760"/>
      <c r="BC22" s="758"/>
      <c r="BD22" s="759"/>
      <c r="BE22" s="759"/>
      <c r="BF22" s="760"/>
      <c r="BG22" s="758"/>
      <c r="BH22" s="759"/>
      <c r="BI22" s="759"/>
      <c r="BJ22" s="760"/>
      <c r="BK22" s="758"/>
      <c r="BL22" s="759"/>
      <c r="BM22" s="759"/>
      <c r="BN22" s="760"/>
      <c r="BO22" s="758">
        <f>+'EGRESO plan'!BO78</f>
        <v>10</v>
      </c>
      <c r="BP22" s="759">
        <f>+'EGRESO plan'!BP78</f>
        <v>21</v>
      </c>
      <c r="BQ22" s="759">
        <f>+'EGRESO plan'!BQ78</f>
        <v>1</v>
      </c>
      <c r="BR22" s="760">
        <f>+'EGRESO plan'!BR78</f>
        <v>32</v>
      </c>
      <c r="BS22" s="758">
        <f>+'EGRESO plan'!BS78</f>
        <v>0</v>
      </c>
      <c r="BT22" s="759">
        <f>+'EGRESO plan'!BT78</f>
        <v>10</v>
      </c>
      <c r="BU22" s="759">
        <f>+'EGRESO plan'!BU78</f>
        <v>0</v>
      </c>
      <c r="BV22" s="760">
        <f>+'EGRESO plan'!BV78</f>
        <v>10</v>
      </c>
      <c r="BW22" s="758">
        <f>+'EGRESO plan'!BW78</f>
        <v>8</v>
      </c>
      <c r="BX22" s="759">
        <f>+'EGRESO plan'!BX78</f>
        <v>23</v>
      </c>
      <c r="BY22" s="759">
        <f>+'EGRESO plan'!BY78</f>
        <v>7</v>
      </c>
      <c r="BZ22" s="760">
        <f>+'EGRESO plan'!BZ78</f>
        <v>38</v>
      </c>
      <c r="CA22" s="758">
        <f>+'EGRESO plan'!CA78</f>
        <v>3</v>
      </c>
      <c r="CB22" s="759">
        <f>+'EGRESO plan'!CB78</f>
        <v>16</v>
      </c>
      <c r="CC22" s="759">
        <f>+'EGRESO plan'!CC78</f>
        <v>3</v>
      </c>
      <c r="CD22" s="760">
        <f>+'EGRESO plan'!CD78</f>
        <v>22</v>
      </c>
      <c r="CE22" s="758">
        <f>+'EGRESO plan'!CE78</f>
        <v>2</v>
      </c>
      <c r="CF22" s="759">
        <f>+'EGRESO plan'!CF78</f>
        <v>18</v>
      </c>
      <c r="CG22" s="759">
        <f>+'EGRESO plan'!CG78</f>
        <v>0</v>
      </c>
      <c r="CH22" s="760">
        <f>+'EGRESO plan'!CH78</f>
        <v>20</v>
      </c>
      <c r="CI22" s="758">
        <f>+'EGRESO plan'!CI78</f>
        <v>9</v>
      </c>
      <c r="CJ22" s="759">
        <f>+'EGRESO plan'!CJ78</f>
        <v>32</v>
      </c>
      <c r="CK22" s="759">
        <f>+'EGRESO plan'!CK78</f>
        <v>1</v>
      </c>
      <c r="CL22" s="760">
        <f>+'EGRESO plan'!CL78</f>
        <v>42</v>
      </c>
      <c r="CM22" s="758">
        <f>+'EGRESO plan'!CM78</f>
        <v>12</v>
      </c>
      <c r="CN22" s="759">
        <f>+'EGRESO plan'!CN78</f>
        <v>14</v>
      </c>
      <c r="CO22" s="759">
        <f>+'EGRESO plan'!CO78</f>
        <v>5</v>
      </c>
      <c r="CP22" s="760">
        <f>+'EGRESO plan'!CP78</f>
        <v>31</v>
      </c>
      <c r="CQ22" s="758">
        <f>+'EGRESO plan'!CQ78</f>
        <v>20</v>
      </c>
      <c r="CR22" s="759">
        <f>+'EGRESO plan'!CR78</f>
        <v>32</v>
      </c>
      <c r="CS22" s="759">
        <f>+'EGRESO plan'!CS78</f>
        <v>0</v>
      </c>
      <c r="CT22" s="760">
        <f>SUM(CQ22:CS22)</f>
        <v>52</v>
      </c>
    </row>
    <row r="23" spans="2:98" s="162" customFormat="1" ht="15" customHeight="1" x14ac:dyDescent="0.25">
      <c r="B23" s="154" t="s">
        <v>92</v>
      </c>
      <c r="C23" s="758"/>
      <c r="D23" s="759"/>
      <c r="E23" s="759"/>
      <c r="F23" s="760"/>
      <c r="G23" s="758"/>
      <c r="H23" s="759"/>
      <c r="I23" s="759"/>
      <c r="J23" s="760"/>
      <c r="K23" s="758"/>
      <c r="L23" s="759"/>
      <c r="M23" s="759"/>
      <c r="N23" s="760"/>
      <c r="O23" s="758"/>
      <c r="P23" s="759"/>
      <c r="Q23" s="759"/>
      <c r="R23" s="760"/>
      <c r="S23" s="758"/>
      <c r="T23" s="759"/>
      <c r="U23" s="759"/>
      <c r="V23" s="760"/>
      <c r="W23" s="758"/>
      <c r="X23" s="759"/>
      <c r="Y23" s="759"/>
      <c r="Z23" s="760"/>
      <c r="AA23" s="758"/>
      <c r="AB23" s="759"/>
      <c r="AC23" s="759"/>
      <c r="AD23" s="760"/>
      <c r="AE23" s="758"/>
      <c r="AF23" s="759"/>
      <c r="AG23" s="759"/>
      <c r="AH23" s="760"/>
      <c r="AI23" s="758"/>
      <c r="AJ23" s="759"/>
      <c r="AK23" s="759"/>
      <c r="AL23" s="760"/>
      <c r="AM23" s="758"/>
      <c r="AN23" s="759"/>
      <c r="AO23" s="759"/>
      <c r="AP23" s="760"/>
      <c r="AQ23" s="758"/>
      <c r="AR23" s="759"/>
      <c r="AS23" s="759"/>
      <c r="AT23" s="760"/>
      <c r="AU23" s="758"/>
      <c r="AV23" s="759"/>
      <c r="AW23" s="759"/>
      <c r="AX23" s="760"/>
      <c r="AY23" s="758"/>
      <c r="AZ23" s="759"/>
      <c r="BA23" s="759"/>
      <c r="BB23" s="760"/>
      <c r="BC23" s="758"/>
      <c r="BD23" s="759"/>
      <c r="BE23" s="759"/>
      <c r="BF23" s="760"/>
      <c r="BG23" s="758"/>
      <c r="BH23" s="759"/>
      <c r="BI23" s="759"/>
      <c r="BJ23" s="760"/>
      <c r="BK23" s="758"/>
      <c r="BL23" s="759"/>
      <c r="BM23" s="759"/>
      <c r="BN23" s="760"/>
      <c r="BO23" s="758">
        <f>+'EGRESO plan'!BO82</f>
        <v>9</v>
      </c>
      <c r="BP23" s="759">
        <f>+'EGRESO plan'!BP82</f>
        <v>14</v>
      </c>
      <c r="BQ23" s="759">
        <f>+'EGRESO plan'!BQ82</f>
        <v>0</v>
      </c>
      <c r="BR23" s="760">
        <f>+'EGRESO plan'!BR82</f>
        <v>23</v>
      </c>
      <c r="BS23" s="758">
        <f>+'EGRESO plan'!BS82</f>
        <v>5</v>
      </c>
      <c r="BT23" s="759">
        <f>+'EGRESO plan'!BT82</f>
        <v>9</v>
      </c>
      <c r="BU23" s="759">
        <f>+'EGRESO plan'!BU82</f>
        <v>0</v>
      </c>
      <c r="BV23" s="760">
        <f>+'EGRESO plan'!BV82</f>
        <v>14</v>
      </c>
      <c r="BW23" s="758">
        <f>+'EGRESO plan'!BW82</f>
        <v>11</v>
      </c>
      <c r="BX23" s="759">
        <f>+'EGRESO plan'!BX82</f>
        <v>12</v>
      </c>
      <c r="BY23" s="759">
        <f>+'EGRESO plan'!BY82</f>
        <v>7</v>
      </c>
      <c r="BZ23" s="760">
        <f>+'EGRESO plan'!BZ82</f>
        <v>30</v>
      </c>
      <c r="CA23" s="758">
        <f>+'EGRESO plan'!CA82</f>
        <v>6</v>
      </c>
      <c r="CB23" s="759">
        <f>+'EGRESO plan'!CB82</f>
        <v>8</v>
      </c>
      <c r="CC23" s="759">
        <f>+'EGRESO plan'!CC82</f>
        <v>5</v>
      </c>
      <c r="CD23" s="760">
        <f>+'EGRESO plan'!CD82</f>
        <v>19</v>
      </c>
      <c r="CE23" s="758">
        <f>+'EGRESO plan'!CE82</f>
        <v>2</v>
      </c>
      <c r="CF23" s="759">
        <f>+'EGRESO plan'!CF82</f>
        <v>3</v>
      </c>
      <c r="CG23" s="759">
        <f>+'EGRESO plan'!CG82</f>
        <v>2</v>
      </c>
      <c r="CH23" s="760">
        <f>+'EGRESO plan'!CH82</f>
        <v>7</v>
      </c>
      <c r="CI23" s="758">
        <f>+'EGRESO plan'!CI82</f>
        <v>9</v>
      </c>
      <c r="CJ23" s="759">
        <f>+'EGRESO plan'!CJ82</f>
        <v>7</v>
      </c>
      <c r="CK23" s="759">
        <f>+'EGRESO plan'!CK82</f>
        <v>6</v>
      </c>
      <c r="CL23" s="760">
        <f>+'EGRESO plan'!CL82</f>
        <v>22</v>
      </c>
      <c r="CM23" s="758">
        <f>+'EGRESO plan'!CM82</f>
        <v>6</v>
      </c>
      <c r="CN23" s="759">
        <f>+'EGRESO plan'!CN82</f>
        <v>15</v>
      </c>
      <c r="CO23" s="759">
        <f>+'EGRESO plan'!CO82</f>
        <v>10</v>
      </c>
      <c r="CP23" s="760">
        <f>+'EGRESO plan'!CP82</f>
        <v>31</v>
      </c>
      <c r="CQ23" s="758">
        <f>+'EGRESO plan'!CQ82</f>
        <v>7</v>
      </c>
      <c r="CR23" s="759">
        <f>+'EGRESO plan'!CR82</f>
        <v>25</v>
      </c>
      <c r="CS23" s="759">
        <f>+'EGRESO plan'!CS82</f>
        <v>12</v>
      </c>
      <c r="CT23" s="760">
        <f>SUM(CQ23:CS23)</f>
        <v>44</v>
      </c>
    </row>
    <row r="24" spans="2:98" s="162" customFormat="1" ht="15" customHeight="1" x14ac:dyDescent="0.25">
      <c r="B24" s="178" t="s">
        <v>136</v>
      </c>
      <c r="C24" s="781"/>
      <c r="D24" s="782"/>
      <c r="E24" s="782"/>
      <c r="F24" s="783"/>
      <c r="G24" s="781"/>
      <c r="H24" s="782"/>
      <c r="I24" s="782"/>
      <c r="J24" s="783"/>
      <c r="K24" s="781"/>
      <c r="L24" s="782"/>
      <c r="M24" s="782"/>
      <c r="N24" s="783"/>
      <c r="O24" s="781"/>
      <c r="P24" s="782"/>
      <c r="Q24" s="782"/>
      <c r="R24" s="783"/>
      <c r="S24" s="781"/>
      <c r="T24" s="782"/>
      <c r="U24" s="782"/>
      <c r="V24" s="783"/>
      <c r="W24" s="781"/>
      <c r="X24" s="782"/>
      <c r="Y24" s="782"/>
      <c r="Z24" s="783"/>
      <c r="AA24" s="781"/>
      <c r="AB24" s="782"/>
      <c r="AC24" s="782"/>
      <c r="AD24" s="783"/>
      <c r="AE24" s="781"/>
      <c r="AF24" s="782"/>
      <c r="AG24" s="782"/>
      <c r="AH24" s="783"/>
      <c r="AI24" s="781"/>
      <c r="AJ24" s="782"/>
      <c r="AK24" s="782"/>
      <c r="AL24" s="783"/>
      <c r="AM24" s="781"/>
      <c r="AN24" s="782"/>
      <c r="AO24" s="782"/>
      <c r="AP24" s="783"/>
      <c r="AQ24" s="781"/>
      <c r="AR24" s="782"/>
      <c r="AS24" s="782"/>
      <c r="AT24" s="783"/>
      <c r="AU24" s="781"/>
      <c r="AV24" s="782"/>
      <c r="AW24" s="782"/>
      <c r="AX24" s="783"/>
      <c r="AY24" s="781"/>
      <c r="AZ24" s="782"/>
      <c r="BA24" s="782"/>
      <c r="BB24" s="783"/>
      <c r="BC24" s="781"/>
      <c r="BD24" s="782"/>
      <c r="BE24" s="782"/>
      <c r="BF24" s="783"/>
      <c r="BG24" s="781"/>
      <c r="BH24" s="782"/>
      <c r="BI24" s="782"/>
      <c r="BJ24" s="783"/>
      <c r="BK24" s="781"/>
      <c r="BL24" s="782"/>
      <c r="BM24" s="782"/>
      <c r="BN24" s="783"/>
      <c r="BO24" s="781">
        <f t="shared" ref="BO24:CL24" si="16">SUM(BO21:BO23)</f>
        <v>27</v>
      </c>
      <c r="BP24" s="782">
        <f t="shared" si="16"/>
        <v>44</v>
      </c>
      <c r="BQ24" s="782">
        <f t="shared" si="16"/>
        <v>4</v>
      </c>
      <c r="BR24" s="783">
        <f t="shared" si="16"/>
        <v>75</v>
      </c>
      <c r="BS24" s="781">
        <f t="shared" si="16"/>
        <v>6</v>
      </c>
      <c r="BT24" s="782">
        <f t="shared" si="16"/>
        <v>23</v>
      </c>
      <c r="BU24" s="782">
        <f t="shared" si="16"/>
        <v>0</v>
      </c>
      <c r="BV24" s="783">
        <f t="shared" si="16"/>
        <v>29</v>
      </c>
      <c r="BW24" s="781">
        <f t="shared" si="16"/>
        <v>23</v>
      </c>
      <c r="BX24" s="782">
        <f t="shared" si="16"/>
        <v>41</v>
      </c>
      <c r="BY24" s="782">
        <f t="shared" si="16"/>
        <v>17</v>
      </c>
      <c r="BZ24" s="783">
        <f t="shared" si="16"/>
        <v>81</v>
      </c>
      <c r="CA24" s="781">
        <f t="shared" si="16"/>
        <v>11</v>
      </c>
      <c r="CB24" s="782">
        <f t="shared" si="16"/>
        <v>28</v>
      </c>
      <c r="CC24" s="782">
        <f t="shared" si="16"/>
        <v>12</v>
      </c>
      <c r="CD24" s="783">
        <f t="shared" si="16"/>
        <v>51</v>
      </c>
      <c r="CE24" s="781">
        <f t="shared" si="16"/>
        <v>13</v>
      </c>
      <c r="CF24" s="782">
        <f t="shared" si="16"/>
        <v>23</v>
      </c>
      <c r="CG24" s="782">
        <f t="shared" si="16"/>
        <v>6</v>
      </c>
      <c r="CH24" s="783">
        <f t="shared" si="16"/>
        <v>42</v>
      </c>
      <c r="CI24" s="781">
        <f t="shared" si="16"/>
        <v>22</v>
      </c>
      <c r="CJ24" s="782">
        <f t="shared" si="16"/>
        <v>50</v>
      </c>
      <c r="CK24" s="782">
        <f t="shared" si="16"/>
        <v>9</v>
      </c>
      <c r="CL24" s="783">
        <f t="shared" si="16"/>
        <v>81</v>
      </c>
      <c r="CM24" s="781">
        <f t="shared" ref="CM24:CP24" si="17">SUM(CM21:CM23)</f>
        <v>24</v>
      </c>
      <c r="CN24" s="782">
        <f t="shared" si="17"/>
        <v>30</v>
      </c>
      <c r="CO24" s="782">
        <f t="shared" si="17"/>
        <v>17</v>
      </c>
      <c r="CP24" s="783">
        <f t="shared" si="17"/>
        <v>71</v>
      </c>
      <c r="CQ24" s="781">
        <f t="shared" ref="CQ24:CT24" si="18">SUM(CQ21:CQ23)</f>
        <v>32</v>
      </c>
      <c r="CR24" s="782">
        <f t="shared" si="18"/>
        <v>63</v>
      </c>
      <c r="CS24" s="782">
        <f t="shared" si="18"/>
        <v>16</v>
      </c>
      <c r="CT24" s="783">
        <f t="shared" si="18"/>
        <v>111</v>
      </c>
    </row>
    <row r="25" spans="2:98" s="162" customFormat="1" ht="14.4" x14ac:dyDescent="0.25">
      <c r="B25" s="170"/>
      <c r="C25" s="777"/>
      <c r="D25" s="777"/>
      <c r="E25" s="777"/>
      <c r="F25" s="777"/>
      <c r="G25" s="777"/>
      <c r="H25" s="777"/>
      <c r="I25" s="777"/>
      <c r="J25" s="777"/>
      <c r="K25" s="777"/>
      <c r="L25" s="777"/>
      <c r="M25" s="777"/>
      <c r="N25" s="777"/>
      <c r="O25" s="777"/>
      <c r="P25" s="777"/>
      <c r="Q25" s="777"/>
      <c r="R25" s="777"/>
      <c r="S25" s="777"/>
      <c r="T25" s="777"/>
      <c r="U25" s="777"/>
      <c r="V25" s="777"/>
      <c r="W25" s="777"/>
      <c r="X25" s="777"/>
      <c r="Y25" s="777"/>
      <c r="Z25" s="777"/>
      <c r="AA25" s="777"/>
      <c r="AB25" s="777"/>
      <c r="AC25" s="777"/>
      <c r="AD25" s="777"/>
      <c r="AE25" s="777"/>
      <c r="AF25" s="777"/>
      <c r="AG25" s="777"/>
      <c r="AH25" s="777"/>
      <c r="AI25" s="777"/>
      <c r="AJ25" s="777"/>
      <c r="AK25" s="777"/>
      <c r="AL25" s="777"/>
      <c r="AM25" s="777"/>
      <c r="AN25" s="777"/>
      <c r="AO25" s="777"/>
      <c r="AP25" s="777"/>
      <c r="AQ25" s="777"/>
      <c r="AR25" s="777"/>
      <c r="AS25" s="777"/>
      <c r="AT25" s="777"/>
      <c r="AU25" s="777"/>
      <c r="AV25" s="777"/>
      <c r="AW25" s="777"/>
      <c r="AX25" s="777"/>
      <c r="AY25" s="777"/>
      <c r="AZ25" s="777"/>
      <c r="BA25" s="777"/>
      <c r="BB25" s="777"/>
      <c r="BC25" s="777"/>
      <c r="BD25" s="777"/>
      <c r="BE25" s="777"/>
      <c r="BF25" s="777"/>
      <c r="BG25" s="777"/>
      <c r="BH25" s="777"/>
      <c r="BI25" s="777"/>
      <c r="BJ25" s="777"/>
      <c r="BK25" s="777"/>
      <c r="BL25" s="777"/>
      <c r="BM25" s="777"/>
      <c r="BN25" s="777"/>
      <c r="BO25" s="777"/>
      <c r="BP25" s="777"/>
      <c r="BQ25" s="777"/>
      <c r="BR25" s="777"/>
      <c r="BS25" s="777"/>
      <c r="BT25" s="777"/>
      <c r="BU25" s="777"/>
      <c r="BV25" s="777"/>
      <c r="BW25" s="777"/>
      <c r="BX25" s="777"/>
      <c r="BY25" s="777"/>
      <c r="BZ25" s="777"/>
      <c r="CA25" s="777"/>
      <c r="CB25" s="777"/>
      <c r="CC25" s="777"/>
      <c r="CD25" s="777"/>
      <c r="CE25" s="777"/>
      <c r="CF25" s="777"/>
      <c r="CG25" s="777"/>
      <c r="CH25" s="777"/>
      <c r="CI25" s="777"/>
      <c r="CJ25" s="777"/>
      <c r="CK25" s="777"/>
      <c r="CL25" s="777"/>
      <c r="CM25" s="777"/>
      <c r="CN25" s="777"/>
      <c r="CO25" s="777"/>
      <c r="CP25" s="777"/>
      <c r="CQ25" s="777"/>
      <c r="CR25" s="777"/>
      <c r="CS25" s="777"/>
      <c r="CT25" s="777"/>
    </row>
    <row r="26" spans="2:98" s="3" customFormat="1" ht="15" customHeight="1" x14ac:dyDescent="0.25">
      <c r="B26" s="150" t="s">
        <v>64</v>
      </c>
      <c r="C26" s="755">
        <f>SUM('EGRESO plan'!C84:C89)</f>
        <v>375</v>
      </c>
      <c r="D26" s="756">
        <f>SUM('EGRESO plan'!D84:D89)</f>
        <v>396</v>
      </c>
      <c r="E26" s="756">
        <f>SUM('EGRESO plan'!E84:E89)</f>
        <v>0</v>
      </c>
      <c r="F26" s="757">
        <f>SUM('EGRESO plan'!F84:F89)</f>
        <v>771</v>
      </c>
      <c r="G26" s="755">
        <f>SUM('EGRESO plan'!G84:G89)</f>
        <v>343</v>
      </c>
      <c r="H26" s="756">
        <f>SUM('EGRESO plan'!H84:H89)</f>
        <v>427</v>
      </c>
      <c r="I26" s="756">
        <f>SUM('EGRESO plan'!I84:I89)</f>
        <v>0</v>
      </c>
      <c r="J26" s="757">
        <f>SUM('EGRESO plan'!J84:J89)</f>
        <v>770</v>
      </c>
      <c r="K26" s="755">
        <f>SUM('EGRESO plan'!K84:K89)</f>
        <v>331</v>
      </c>
      <c r="L26" s="756">
        <f>SUM('EGRESO plan'!L84:L89)</f>
        <v>432</v>
      </c>
      <c r="M26" s="756">
        <f>SUM('EGRESO plan'!M84:M89)</f>
        <v>0</v>
      </c>
      <c r="N26" s="757">
        <f>SUM('EGRESO plan'!N84:N89)</f>
        <v>763</v>
      </c>
      <c r="O26" s="755">
        <f>SUM('EGRESO plan'!O84:O89)</f>
        <v>403</v>
      </c>
      <c r="P26" s="756">
        <f>SUM('EGRESO plan'!P84:P89)</f>
        <v>461</v>
      </c>
      <c r="Q26" s="756">
        <f>SUM('EGRESO plan'!Q84:Q89)</f>
        <v>0</v>
      </c>
      <c r="R26" s="757">
        <f>SUM('EGRESO plan'!R84:R89)</f>
        <v>864</v>
      </c>
      <c r="S26" s="755">
        <f>SUM('EGRESO plan'!S84:S89)</f>
        <v>390</v>
      </c>
      <c r="T26" s="756">
        <f>SUM('EGRESO plan'!T84:T89)</f>
        <v>428</v>
      </c>
      <c r="U26" s="756">
        <f>SUM('EGRESO plan'!U84:U89)</f>
        <v>0</v>
      </c>
      <c r="V26" s="757">
        <f>SUM('EGRESO plan'!V84:V89)</f>
        <v>818</v>
      </c>
      <c r="W26" s="755">
        <f>SUM('EGRESO plan'!W84:W89)</f>
        <v>337</v>
      </c>
      <c r="X26" s="756">
        <f>SUM('EGRESO plan'!X84:X89)</f>
        <v>380</v>
      </c>
      <c r="Y26" s="756">
        <f>SUM('EGRESO plan'!Y84:Y89)</f>
        <v>0</v>
      </c>
      <c r="Z26" s="757">
        <f>SUM('EGRESO plan'!Z84:Z89)</f>
        <v>717</v>
      </c>
      <c r="AA26" s="755">
        <f>SUM('EGRESO plan'!AA84:AA89)</f>
        <v>321</v>
      </c>
      <c r="AB26" s="756">
        <f>SUM('EGRESO plan'!AB84:AB89)</f>
        <v>411</v>
      </c>
      <c r="AC26" s="756">
        <f>SUM('EGRESO plan'!AC84:AC89)</f>
        <v>0</v>
      </c>
      <c r="AD26" s="757">
        <f>SUM('EGRESO plan'!AD84:AD89)</f>
        <v>732</v>
      </c>
      <c r="AE26" s="755">
        <f>SUM('EGRESO plan'!AE84:AE89)</f>
        <v>389</v>
      </c>
      <c r="AF26" s="756">
        <f>SUM('EGRESO plan'!AF84:AF89)</f>
        <v>372</v>
      </c>
      <c r="AG26" s="756">
        <f>SUM('EGRESO plan'!AG84:AG89)</f>
        <v>0</v>
      </c>
      <c r="AH26" s="757">
        <f>SUM('EGRESO plan'!AH84:AH89)</f>
        <v>761</v>
      </c>
      <c r="AI26" s="755">
        <f>SUM('EGRESO plan'!AI84:AI89)</f>
        <v>341</v>
      </c>
      <c r="AJ26" s="756">
        <f>SUM('EGRESO plan'!AJ84:AJ89)</f>
        <v>455</v>
      </c>
      <c r="AK26" s="756">
        <f>SUM('EGRESO plan'!AK84:AK89)</f>
        <v>0</v>
      </c>
      <c r="AL26" s="757">
        <f>SUM('EGRESO plan'!AL84:AL89)</f>
        <v>796</v>
      </c>
      <c r="AM26" s="755">
        <f>SUM('EGRESO plan'!AM84:AM89)</f>
        <v>485</v>
      </c>
      <c r="AN26" s="756">
        <f>SUM('EGRESO plan'!AN84:AN89)</f>
        <v>508</v>
      </c>
      <c r="AO26" s="756">
        <f>SUM('EGRESO plan'!AO84:AO89)</f>
        <v>0</v>
      </c>
      <c r="AP26" s="757">
        <f>SUM('EGRESO plan'!AP84:AP89)</f>
        <v>993</v>
      </c>
      <c r="AQ26" s="755">
        <f>SUM('EGRESO plan'!AQ84:AQ89)</f>
        <v>406</v>
      </c>
      <c r="AR26" s="756">
        <f>SUM('EGRESO plan'!AR84:AR89)</f>
        <v>520</v>
      </c>
      <c r="AS26" s="756">
        <f>SUM('EGRESO plan'!AS84:AS89)</f>
        <v>1</v>
      </c>
      <c r="AT26" s="757">
        <f>SUM('EGRESO plan'!AT84:AT89)</f>
        <v>927</v>
      </c>
      <c r="AU26" s="755">
        <f>SUM('EGRESO plan'!AU84:AU89)</f>
        <v>431</v>
      </c>
      <c r="AV26" s="756">
        <f>SUM('EGRESO plan'!AV84:AV89)</f>
        <v>454</v>
      </c>
      <c r="AW26" s="756">
        <f>SUM('EGRESO plan'!AW84:AW89)</f>
        <v>0</v>
      </c>
      <c r="AX26" s="757">
        <f>SUM('EGRESO plan'!AX84:AX89)</f>
        <v>885</v>
      </c>
      <c r="AY26" s="755">
        <f>SUM('EGRESO plan'!AY84:AY89)</f>
        <v>357</v>
      </c>
      <c r="AZ26" s="756">
        <f>SUM('EGRESO plan'!AZ84:AZ89)</f>
        <v>456</v>
      </c>
      <c r="BA26" s="756">
        <f>SUM('EGRESO plan'!BA84:BA89)</f>
        <v>3</v>
      </c>
      <c r="BB26" s="757">
        <f>SUM('EGRESO plan'!BB84:BB89)</f>
        <v>816</v>
      </c>
      <c r="BC26" s="755">
        <f>SUM('EGRESO plan'!BC84:BC89)</f>
        <v>351</v>
      </c>
      <c r="BD26" s="756">
        <f>SUM('EGRESO plan'!BD84:BD89)</f>
        <v>439</v>
      </c>
      <c r="BE26" s="756">
        <f>SUM('EGRESO plan'!BE84:BE89)</f>
        <v>4</v>
      </c>
      <c r="BF26" s="757">
        <f>SUM('EGRESO plan'!BF84:BF89)</f>
        <v>794</v>
      </c>
      <c r="BG26" s="755">
        <f>SUM('EGRESO plan'!BG84:BG89)</f>
        <v>395</v>
      </c>
      <c r="BH26" s="756">
        <f>SUM('EGRESO plan'!BH84:BH89)</f>
        <v>506</v>
      </c>
      <c r="BI26" s="756">
        <f>SUM('EGRESO plan'!BI84:BI89)</f>
        <v>9</v>
      </c>
      <c r="BJ26" s="757">
        <f>SUM('EGRESO plan'!BJ84:BJ89)</f>
        <v>910</v>
      </c>
      <c r="BK26" s="755">
        <f>SUM('EGRESO plan'!BK84:BK89)</f>
        <v>366</v>
      </c>
      <c r="BL26" s="756">
        <f>SUM('EGRESO plan'!BL84:BL89)</f>
        <v>438</v>
      </c>
      <c r="BM26" s="756">
        <f>SUM('EGRESO plan'!BM84:BM89)</f>
        <v>4</v>
      </c>
      <c r="BN26" s="757">
        <f>SUM('EGRESO plan'!BN84:BN89)</f>
        <v>808</v>
      </c>
      <c r="BO26" s="755">
        <f>SUM('EGRESO plan'!BO84:BO89)</f>
        <v>362</v>
      </c>
      <c r="BP26" s="756">
        <f>SUM('EGRESO plan'!BP84:BP89)</f>
        <v>440</v>
      </c>
      <c r="BQ26" s="756">
        <f>SUM('EGRESO plan'!BQ84:BQ89)</f>
        <v>7</v>
      </c>
      <c r="BR26" s="757">
        <f>SUM('EGRESO plan'!BR84:BR89)</f>
        <v>809</v>
      </c>
      <c r="BS26" s="755">
        <f>SUM('EGRESO plan'!BS84:BS89)</f>
        <v>390</v>
      </c>
      <c r="BT26" s="756">
        <f>SUM('EGRESO plan'!BT84:BT89)</f>
        <v>471</v>
      </c>
      <c r="BU26" s="756">
        <f>SUM('EGRESO plan'!BU84:BU89)</f>
        <v>4</v>
      </c>
      <c r="BV26" s="757">
        <f>SUM('EGRESO plan'!BV84:BV89)</f>
        <v>865</v>
      </c>
      <c r="BW26" s="755">
        <f>SUM('EGRESO plan'!BW84:BW89)</f>
        <v>337</v>
      </c>
      <c r="BX26" s="756">
        <f>SUM('EGRESO plan'!BX84:BX89)</f>
        <v>423</v>
      </c>
      <c r="BY26" s="756">
        <f>SUM('EGRESO plan'!BY84:BY89)</f>
        <v>0</v>
      </c>
      <c r="BZ26" s="757">
        <f>SUM('EGRESO plan'!BZ84:BZ89)</f>
        <v>760</v>
      </c>
      <c r="CA26" s="755">
        <f>SUM('EGRESO plan'!CA84:CA89)</f>
        <v>334</v>
      </c>
      <c r="CB26" s="756">
        <f>SUM('EGRESO plan'!CB84:CB89)</f>
        <v>515</v>
      </c>
      <c r="CC26" s="756">
        <f>SUM('EGRESO plan'!CC84:CC89)</f>
        <v>4</v>
      </c>
      <c r="CD26" s="757">
        <f>SUM('EGRESO plan'!CD84:CD89)</f>
        <v>853</v>
      </c>
      <c r="CE26" s="755">
        <f>SUM('EGRESO plan'!CE84:CE89)</f>
        <v>371</v>
      </c>
      <c r="CF26" s="756">
        <f>SUM('EGRESO plan'!CF84:CF89)</f>
        <v>380</v>
      </c>
      <c r="CG26" s="756">
        <f>SUM('EGRESO plan'!CG84:CG89)</f>
        <v>9</v>
      </c>
      <c r="CH26" s="757">
        <f>SUM('EGRESO plan'!CH84:CH89)</f>
        <v>760</v>
      </c>
      <c r="CI26" s="755">
        <f>SUM('EGRESO plan'!CI84:CI89)</f>
        <v>410</v>
      </c>
      <c r="CJ26" s="756">
        <f>SUM('EGRESO plan'!CJ84:CJ89)</f>
        <v>452</v>
      </c>
      <c r="CK26" s="756">
        <f>SUM('EGRESO plan'!CK84:CK89)</f>
        <v>79</v>
      </c>
      <c r="CL26" s="757">
        <f>SUM('EGRESO plan'!CL84:CL89)</f>
        <v>941</v>
      </c>
      <c r="CM26" s="755">
        <f>SUM('EGRESO plan'!CM84:CM89)</f>
        <v>395</v>
      </c>
      <c r="CN26" s="756">
        <f>SUM('EGRESO plan'!CN84:CN89)</f>
        <v>479</v>
      </c>
      <c r="CO26" s="756">
        <f>SUM('EGRESO plan'!CO84:CO89)</f>
        <v>14</v>
      </c>
      <c r="CP26" s="757">
        <f>SUM('EGRESO plan'!CP84:CP89)</f>
        <v>888</v>
      </c>
      <c r="CQ26" s="755">
        <f>SUM('EGRESO plan'!CQ84:CQ89)</f>
        <v>454</v>
      </c>
      <c r="CR26" s="756">
        <f>SUM('EGRESO plan'!CR84:CR89)</f>
        <v>464</v>
      </c>
      <c r="CS26" s="756">
        <f>SUM('EGRESO plan'!CS84:CS89)</f>
        <v>13</v>
      </c>
      <c r="CT26" s="757">
        <f>SUM('EGRESO plan'!CT84:CT89)</f>
        <v>931</v>
      </c>
    </row>
    <row r="27" spans="2:98" s="3" customFormat="1" ht="15" customHeight="1" x14ac:dyDescent="0.25">
      <c r="B27" s="154" t="s">
        <v>92</v>
      </c>
      <c r="C27" s="758">
        <f>SUM('EGRESO plan'!C91:C98)</f>
        <v>301</v>
      </c>
      <c r="D27" s="759">
        <f>SUM('EGRESO plan'!D91:D98)</f>
        <v>453</v>
      </c>
      <c r="E27" s="759">
        <f>SUM('EGRESO plan'!E91:E98)</f>
        <v>289</v>
      </c>
      <c r="F27" s="760">
        <f>SUM('EGRESO plan'!F91:F98)</f>
        <v>1043</v>
      </c>
      <c r="G27" s="758">
        <f>SUM('EGRESO plan'!G91:G98)</f>
        <v>346</v>
      </c>
      <c r="H27" s="759">
        <f>SUM('EGRESO plan'!H91:H98)</f>
        <v>501</v>
      </c>
      <c r="I27" s="759">
        <f>SUM('EGRESO plan'!I91:I98)</f>
        <v>330</v>
      </c>
      <c r="J27" s="760">
        <f>SUM('EGRESO plan'!J91:J98)</f>
        <v>1177</v>
      </c>
      <c r="K27" s="758">
        <f>SUM('EGRESO plan'!K91:K98)</f>
        <v>305</v>
      </c>
      <c r="L27" s="759">
        <f>SUM('EGRESO plan'!L91:L98)</f>
        <v>435</v>
      </c>
      <c r="M27" s="759">
        <f>SUM('EGRESO plan'!M91:M98)</f>
        <v>359</v>
      </c>
      <c r="N27" s="760">
        <f>SUM('EGRESO plan'!N91:N98)</f>
        <v>1099</v>
      </c>
      <c r="O27" s="758">
        <f>SUM('EGRESO plan'!O91:O98)</f>
        <v>341</v>
      </c>
      <c r="P27" s="759">
        <f>SUM('EGRESO plan'!P91:P98)</f>
        <v>555</v>
      </c>
      <c r="Q27" s="759">
        <f>SUM('EGRESO plan'!Q91:Q98)</f>
        <v>357</v>
      </c>
      <c r="R27" s="760">
        <f>SUM('EGRESO plan'!R91:R98)</f>
        <v>1253</v>
      </c>
      <c r="S27" s="758">
        <f>SUM('EGRESO plan'!S91:S98)</f>
        <v>343</v>
      </c>
      <c r="T27" s="759">
        <f>SUM('EGRESO plan'!T91:T98)</f>
        <v>351</v>
      </c>
      <c r="U27" s="759">
        <f>SUM('EGRESO plan'!U91:U98)</f>
        <v>319</v>
      </c>
      <c r="V27" s="760">
        <f>SUM('EGRESO plan'!V91:V98)</f>
        <v>1013</v>
      </c>
      <c r="W27" s="758">
        <f>SUM('EGRESO plan'!W91:W98)</f>
        <v>235</v>
      </c>
      <c r="X27" s="759">
        <f>SUM('EGRESO plan'!X91:X98)</f>
        <v>378</v>
      </c>
      <c r="Y27" s="759">
        <f>SUM('EGRESO plan'!Y91:Y98)</f>
        <v>291</v>
      </c>
      <c r="Z27" s="760">
        <f>SUM('EGRESO plan'!Z91:Z98)</f>
        <v>904</v>
      </c>
      <c r="AA27" s="758">
        <f>SUM('EGRESO plan'!AA91:AA98)</f>
        <v>223</v>
      </c>
      <c r="AB27" s="759">
        <f>SUM('EGRESO plan'!AB91:AB98)</f>
        <v>383</v>
      </c>
      <c r="AC27" s="759">
        <f>SUM('EGRESO plan'!AC91:AC98)</f>
        <v>288</v>
      </c>
      <c r="AD27" s="760">
        <f>SUM('EGRESO plan'!AD91:AD98)</f>
        <v>894</v>
      </c>
      <c r="AE27" s="758">
        <f>SUM('EGRESO plan'!AE91:AE98)</f>
        <v>244</v>
      </c>
      <c r="AF27" s="759">
        <f>SUM('EGRESO plan'!AF91:AF98)</f>
        <v>411</v>
      </c>
      <c r="AG27" s="759">
        <f>SUM('EGRESO plan'!AG91:AG98)</f>
        <v>303</v>
      </c>
      <c r="AH27" s="760">
        <f>SUM('EGRESO plan'!AH91:AH98)</f>
        <v>958</v>
      </c>
      <c r="AI27" s="758">
        <f>SUM('EGRESO plan'!AI91:AI98)</f>
        <v>328</v>
      </c>
      <c r="AJ27" s="759">
        <f>SUM('EGRESO plan'!AJ91:AJ98)</f>
        <v>418</v>
      </c>
      <c r="AK27" s="759">
        <f>SUM('EGRESO plan'!AK91:AK98)</f>
        <v>360</v>
      </c>
      <c r="AL27" s="760">
        <f>SUM('EGRESO plan'!AL91:AL98)</f>
        <v>1106</v>
      </c>
      <c r="AM27" s="758">
        <f>SUM('EGRESO plan'!AM91:AM98)</f>
        <v>428</v>
      </c>
      <c r="AN27" s="759">
        <f>SUM('EGRESO plan'!AN91:AN98)</f>
        <v>432</v>
      </c>
      <c r="AO27" s="759">
        <f>SUM('EGRESO plan'!AO91:AO98)</f>
        <v>366</v>
      </c>
      <c r="AP27" s="760">
        <f>SUM('EGRESO plan'!AP91:AP98)</f>
        <v>1226</v>
      </c>
      <c r="AQ27" s="758">
        <f>SUM('EGRESO plan'!AQ91:AQ98)</f>
        <v>323</v>
      </c>
      <c r="AR27" s="759">
        <f>SUM('EGRESO plan'!AR91:AR98)</f>
        <v>563</v>
      </c>
      <c r="AS27" s="759">
        <f>SUM('EGRESO plan'!AS91:AS98)</f>
        <v>398</v>
      </c>
      <c r="AT27" s="760">
        <f>SUM('EGRESO plan'!AT91:AT98)</f>
        <v>1284</v>
      </c>
      <c r="AU27" s="758">
        <f>SUM('EGRESO plan'!AU91:AU98)</f>
        <v>342</v>
      </c>
      <c r="AV27" s="759">
        <f>SUM('EGRESO plan'!AV91:AV98)</f>
        <v>475</v>
      </c>
      <c r="AW27" s="759">
        <f>SUM('EGRESO plan'!AW91:AW98)</f>
        <v>373</v>
      </c>
      <c r="AX27" s="760">
        <f>SUM('EGRESO plan'!AX91:AX98)</f>
        <v>1190</v>
      </c>
      <c r="AY27" s="758">
        <f>SUM('EGRESO plan'!AY91:AY98)</f>
        <v>348</v>
      </c>
      <c r="AZ27" s="759">
        <f>SUM('EGRESO plan'!AZ91:AZ98)</f>
        <v>477</v>
      </c>
      <c r="BA27" s="759">
        <f>SUM('EGRESO plan'!BA91:BA98)</f>
        <v>335</v>
      </c>
      <c r="BB27" s="760">
        <f>SUM('EGRESO plan'!BB91:BB98)</f>
        <v>1160</v>
      </c>
      <c r="BC27" s="758">
        <f>SUM('EGRESO plan'!BC91:BC98)</f>
        <v>352</v>
      </c>
      <c r="BD27" s="759">
        <f>SUM('EGRESO plan'!BD91:BD98)</f>
        <v>523</v>
      </c>
      <c r="BE27" s="759">
        <f>SUM('EGRESO plan'!BE91:BE98)</f>
        <v>310</v>
      </c>
      <c r="BF27" s="760">
        <f>SUM('EGRESO plan'!BF91:BF98)</f>
        <v>1185</v>
      </c>
      <c r="BG27" s="758">
        <f>SUM('EGRESO plan'!BG91:BG98)</f>
        <v>324</v>
      </c>
      <c r="BH27" s="759">
        <f>SUM('EGRESO plan'!BH91:BH98)</f>
        <v>450</v>
      </c>
      <c r="BI27" s="759">
        <f>SUM('EGRESO plan'!BI91:BI98)</f>
        <v>371</v>
      </c>
      <c r="BJ27" s="760">
        <f>SUM('EGRESO plan'!BJ91:BJ98)</f>
        <v>1145</v>
      </c>
      <c r="BK27" s="758">
        <f>SUM('EGRESO plan'!BK91:BK98)</f>
        <v>281</v>
      </c>
      <c r="BL27" s="759">
        <f>SUM('EGRESO plan'!BL91:BL98)</f>
        <v>489</v>
      </c>
      <c r="BM27" s="759">
        <f>SUM('EGRESO plan'!BM91:BM98)</f>
        <v>357</v>
      </c>
      <c r="BN27" s="760">
        <f>SUM('EGRESO plan'!BN91:BN98)</f>
        <v>1127</v>
      </c>
      <c r="BO27" s="758">
        <f>SUM('EGRESO plan'!BO91:BO98)</f>
        <v>341</v>
      </c>
      <c r="BP27" s="759">
        <f>SUM('EGRESO plan'!BP91:BP98)</f>
        <v>444</v>
      </c>
      <c r="BQ27" s="759">
        <f>SUM('EGRESO plan'!BQ91:BQ98)</f>
        <v>358</v>
      </c>
      <c r="BR27" s="760">
        <f>SUM('EGRESO plan'!BR91:BR98)</f>
        <v>1143</v>
      </c>
      <c r="BS27" s="758">
        <f>SUM('EGRESO plan'!BS91:BS98)</f>
        <v>302</v>
      </c>
      <c r="BT27" s="759">
        <f>SUM('EGRESO plan'!BT91:BT98)</f>
        <v>456</v>
      </c>
      <c r="BU27" s="759">
        <f>SUM('EGRESO plan'!BU91:BU98)</f>
        <v>312</v>
      </c>
      <c r="BV27" s="760">
        <f>SUM('EGRESO plan'!BV91:BV98)</f>
        <v>1070</v>
      </c>
      <c r="BW27" s="758">
        <f>SUM('EGRESO plan'!BW91:BW98)</f>
        <v>311</v>
      </c>
      <c r="BX27" s="759">
        <f>SUM('EGRESO plan'!BX91:BX98)</f>
        <v>465</v>
      </c>
      <c r="BY27" s="759">
        <f>SUM('EGRESO plan'!BY91:BY98)</f>
        <v>345</v>
      </c>
      <c r="BZ27" s="760">
        <f>SUM('EGRESO plan'!BZ91:BZ98)</f>
        <v>1121</v>
      </c>
      <c r="CA27" s="758">
        <f>SUM('EGRESO plan'!CA91:CA98)</f>
        <v>300</v>
      </c>
      <c r="CB27" s="759">
        <f>SUM('EGRESO plan'!CB91:CB98)</f>
        <v>490</v>
      </c>
      <c r="CC27" s="759">
        <f>SUM('EGRESO plan'!CC91:CC98)</f>
        <v>312</v>
      </c>
      <c r="CD27" s="760">
        <f>SUM('EGRESO plan'!CD91:CD98)</f>
        <v>1102</v>
      </c>
      <c r="CE27" s="758">
        <f>SUM('EGRESO plan'!CE91:CE98)</f>
        <v>323</v>
      </c>
      <c r="CF27" s="759">
        <f>SUM('EGRESO plan'!CF91:CF98)</f>
        <v>506</v>
      </c>
      <c r="CG27" s="759">
        <f>SUM('EGRESO plan'!CG91:CG98)</f>
        <v>227</v>
      </c>
      <c r="CH27" s="760">
        <f>SUM('EGRESO plan'!CH91:CH98)</f>
        <v>1056</v>
      </c>
      <c r="CI27" s="758">
        <f>SUM('EGRESO plan'!CI91:CI98)</f>
        <v>383</v>
      </c>
      <c r="CJ27" s="759">
        <f>SUM('EGRESO plan'!CJ91:CJ98)</f>
        <v>492</v>
      </c>
      <c r="CK27" s="759">
        <f>SUM('EGRESO plan'!CK91:CK98)</f>
        <v>256</v>
      </c>
      <c r="CL27" s="760">
        <f>SUM('EGRESO plan'!CL91:CL98)</f>
        <v>1131</v>
      </c>
      <c r="CM27" s="758">
        <f>SUM('EGRESO plan'!CM91:CM98)</f>
        <v>424</v>
      </c>
      <c r="CN27" s="759">
        <f>SUM('EGRESO plan'!CN91:CN98)</f>
        <v>514</v>
      </c>
      <c r="CO27" s="759">
        <f>SUM('EGRESO plan'!CO91:CO98)</f>
        <v>284</v>
      </c>
      <c r="CP27" s="760">
        <f>SUM('EGRESO plan'!CP91:CP98)</f>
        <v>1222</v>
      </c>
      <c r="CQ27" s="758">
        <f>SUM('EGRESO plan'!CQ91:CQ98)</f>
        <v>434</v>
      </c>
      <c r="CR27" s="759">
        <f>SUM('EGRESO plan'!CR91:CR98)</f>
        <v>421</v>
      </c>
      <c r="CS27" s="759">
        <f>SUM('EGRESO plan'!CS91:CS98)</f>
        <v>355</v>
      </c>
      <c r="CT27" s="760">
        <f>SUM('EGRESO plan'!CT91:CT98)</f>
        <v>1210</v>
      </c>
    </row>
    <row r="28" spans="2:98" s="3" customFormat="1" ht="15" customHeight="1" x14ac:dyDescent="0.25">
      <c r="B28" s="154" t="s">
        <v>68</v>
      </c>
      <c r="C28" s="758">
        <f>SUM('EGRESO plan'!C100:C103)</f>
        <v>163</v>
      </c>
      <c r="D28" s="759">
        <f>SUM('EGRESO plan'!D100:D103)</f>
        <v>150</v>
      </c>
      <c r="E28" s="759">
        <f>SUM('EGRESO plan'!E100:E103)</f>
        <v>0</v>
      </c>
      <c r="F28" s="760">
        <f>SUM('EGRESO plan'!F100:F103)</f>
        <v>313</v>
      </c>
      <c r="G28" s="758">
        <f>SUM('EGRESO plan'!G100:G103)</f>
        <v>155</v>
      </c>
      <c r="H28" s="759">
        <f>SUM('EGRESO plan'!H100:H103)</f>
        <v>242</v>
      </c>
      <c r="I28" s="759">
        <f>SUM('EGRESO plan'!I100:I103)</f>
        <v>0</v>
      </c>
      <c r="J28" s="760">
        <f>SUM('EGRESO plan'!J100:J103)</f>
        <v>397</v>
      </c>
      <c r="K28" s="758">
        <f>SUM('EGRESO plan'!K100:K103)</f>
        <v>166</v>
      </c>
      <c r="L28" s="759">
        <f>SUM('EGRESO plan'!L100:L103)</f>
        <v>224</v>
      </c>
      <c r="M28" s="759">
        <f>SUM('EGRESO plan'!M100:M103)</f>
        <v>0</v>
      </c>
      <c r="N28" s="760">
        <f>SUM('EGRESO plan'!N100:N103)</f>
        <v>390</v>
      </c>
      <c r="O28" s="758">
        <f>SUM('EGRESO plan'!O100:O103)</f>
        <v>231</v>
      </c>
      <c r="P28" s="759">
        <f>SUM('EGRESO plan'!P100:P103)</f>
        <v>174</v>
      </c>
      <c r="Q28" s="759">
        <f>SUM('EGRESO plan'!Q100:Q103)</f>
        <v>0</v>
      </c>
      <c r="R28" s="760">
        <f>SUM('EGRESO plan'!R100:R103)</f>
        <v>405</v>
      </c>
      <c r="S28" s="758">
        <f>SUM('EGRESO plan'!S100:S103)</f>
        <v>187</v>
      </c>
      <c r="T28" s="759">
        <f>SUM('EGRESO plan'!T100:T103)</f>
        <v>168</v>
      </c>
      <c r="U28" s="759">
        <f>SUM('EGRESO plan'!U100:U103)</f>
        <v>0</v>
      </c>
      <c r="V28" s="760">
        <f>SUM('EGRESO plan'!V100:V103)</f>
        <v>355</v>
      </c>
      <c r="W28" s="758">
        <f>SUM('EGRESO plan'!W100:W103)</f>
        <v>132</v>
      </c>
      <c r="X28" s="759">
        <f>SUM('EGRESO plan'!X100:X103)</f>
        <v>226</v>
      </c>
      <c r="Y28" s="759">
        <f>SUM('EGRESO plan'!Y100:Y103)</f>
        <v>0</v>
      </c>
      <c r="Z28" s="760">
        <f>SUM('EGRESO plan'!Z100:Z103)</f>
        <v>358</v>
      </c>
      <c r="AA28" s="758">
        <f>SUM('EGRESO plan'!AA100:AA103)</f>
        <v>164</v>
      </c>
      <c r="AB28" s="759">
        <f>SUM('EGRESO plan'!AB100:AB103)</f>
        <v>256</v>
      </c>
      <c r="AC28" s="759">
        <f>SUM('EGRESO plan'!AC100:AC103)</f>
        <v>0</v>
      </c>
      <c r="AD28" s="760">
        <f>SUM('EGRESO plan'!AD100:AD103)</f>
        <v>420</v>
      </c>
      <c r="AE28" s="758">
        <f>SUM('EGRESO plan'!AE100:AE103)</f>
        <v>177</v>
      </c>
      <c r="AF28" s="759">
        <f>SUM('EGRESO plan'!AF100:AF103)</f>
        <v>247</v>
      </c>
      <c r="AG28" s="759">
        <f>SUM('EGRESO plan'!AG100:AG103)</f>
        <v>0</v>
      </c>
      <c r="AH28" s="760">
        <f>SUM('EGRESO plan'!AH100:AH103)</f>
        <v>424</v>
      </c>
      <c r="AI28" s="758">
        <f>SUM('EGRESO plan'!AI100:AI103)</f>
        <v>122</v>
      </c>
      <c r="AJ28" s="759">
        <f>SUM('EGRESO plan'!AJ100:AJ103)</f>
        <v>253</v>
      </c>
      <c r="AK28" s="759">
        <f>SUM('EGRESO plan'!AK100:AK103)</f>
        <v>0</v>
      </c>
      <c r="AL28" s="760">
        <f>SUM('EGRESO plan'!AL100:AL103)</f>
        <v>375</v>
      </c>
      <c r="AM28" s="758">
        <f>SUM('EGRESO plan'!AM100:AM103)</f>
        <v>183</v>
      </c>
      <c r="AN28" s="759">
        <f>SUM('EGRESO plan'!AN100:AN103)</f>
        <v>316</v>
      </c>
      <c r="AO28" s="759">
        <f>SUM('EGRESO plan'!AO100:AO103)</f>
        <v>0</v>
      </c>
      <c r="AP28" s="760">
        <f>SUM('EGRESO plan'!AP100:AP103)</f>
        <v>499</v>
      </c>
      <c r="AQ28" s="758">
        <f>SUM('EGRESO plan'!AQ100:AQ103)</f>
        <v>205</v>
      </c>
      <c r="AR28" s="759">
        <f>SUM('EGRESO plan'!AR100:AR103)</f>
        <v>258</v>
      </c>
      <c r="AS28" s="759">
        <f>SUM('EGRESO plan'!AS100:AS103)</f>
        <v>0</v>
      </c>
      <c r="AT28" s="760">
        <f>SUM('EGRESO plan'!AT100:AT103)</f>
        <v>463</v>
      </c>
      <c r="AU28" s="758">
        <f>SUM('EGRESO plan'!AU100:AU103)</f>
        <v>201</v>
      </c>
      <c r="AV28" s="759">
        <f>SUM('EGRESO plan'!AV100:AV103)</f>
        <v>244</v>
      </c>
      <c r="AW28" s="759">
        <f>SUM('EGRESO plan'!AW100:AW103)</f>
        <v>0</v>
      </c>
      <c r="AX28" s="760">
        <f>SUM('EGRESO plan'!AX100:AX103)</f>
        <v>445</v>
      </c>
      <c r="AY28" s="758">
        <f>SUM('EGRESO plan'!AY100:AY103)</f>
        <v>182</v>
      </c>
      <c r="AZ28" s="759">
        <f>SUM('EGRESO plan'!AZ100:AZ103)</f>
        <v>195</v>
      </c>
      <c r="BA28" s="759">
        <f>SUM('EGRESO plan'!BA100:BA103)</f>
        <v>0</v>
      </c>
      <c r="BB28" s="760">
        <f>SUM('EGRESO plan'!BB100:BB103)</f>
        <v>377</v>
      </c>
      <c r="BC28" s="758">
        <f>SUM('EGRESO plan'!BC100:BC103)</f>
        <v>168</v>
      </c>
      <c r="BD28" s="759">
        <f>SUM('EGRESO plan'!BD100:BD103)</f>
        <v>204</v>
      </c>
      <c r="BE28" s="759">
        <f>SUM('EGRESO plan'!BE100:BE103)</f>
        <v>0</v>
      </c>
      <c r="BF28" s="760">
        <f>SUM('EGRESO plan'!BF100:BF103)</f>
        <v>372</v>
      </c>
      <c r="BG28" s="758">
        <f>SUM('EGRESO plan'!BG100:BG103)</f>
        <v>223</v>
      </c>
      <c r="BH28" s="759">
        <f>SUM('EGRESO plan'!BH100:BH103)</f>
        <v>213</v>
      </c>
      <c r="BI28" s="759">
        <f>SUM('EGRESO plan'!BI100:BI103)</f>
        <v>0</v>
      </c>
      <c r="BJ28" s="760">
        <f>SUM('EGRESO plan'!BJ100:BJ103)</f>
        <v>436</v>
      </c>
      <c r="BK28" s="758">
        <f>SUM('EGRESO plan'!BK100:BK103)</f>
        <v>209</v>
      </c>
      <c r="BL28" s="759">
        <f>SUM('EGRESO plan'!BL100:BL103)</f>
        <v>244</v>
      </c>
      <c r="BM28" s="759">
        <f>SUM('EGRESO plan'!BM100:BM103)</f>
        <v>0</v>
      </c>
      <c r="BN28" s="760">
        <f>SUM('EGRESO plan'!BN100:BN103)</f>
        <v>453</v>
      </c>
      <c r="BO28" s="758">
        <f>SUM('EGRESO plan'!BO100:BO103)</f>
        <v>221</v>
      </c>
      <c r="BP28" s="759">
        <f>SUM('EGRESO plan'!BP100:BP103)</f>
        <v>187</v>
      </c>
      <c r="BQ28" s="759">
        <f>SUM('EGRESO plan'!BQ100:BQ103)</f>
        <v>0</v>
      </c>
      <c r="BR28" s="760">
        <f>SUM('EGRESO plan'!BR100:BR103)</f>
        <v>408</v>
      </c>
      <c r="BS28" s="758">
        <f>SUM('EGRESO plan'!BS100:BS103)</f>
        <v>195</v>
      </c>
      <c r="BT28" s="759">
        <f>SUM('EGRESO plan'!BT100:BT103)</f>
        <v>253</v>
      </c>
      <c r="BU28" s="759">
        <f>SUM('EGRESO plan'!BU100:BU103)</f>
        <v>0</v>
      </c>
      <c r="BV28" s="760">
        <f>SUM('EGRESO plan'!BV100:BV103)</f>
        <v>448</v>
      </c>
      <c r="BW28" s="758">
        <f>SUM('EGRESO plan'!BW100:BW103)</f>
        <v>191</v>
      </c>
      <c r="BX28" s="759">
        <f>SUM('EGRESO plan'!BX100:BX103)</f>
        <v>209</v>
      </c>
      <c r="BY28" s="759">
        <f>SUM('EGRESO plan'!BY100:BY103)</f>
        <v>0</v>
      </c>
      <c r="BZ28" s="760">
        <f>SUM('EGRESO plan'!BZ100:BZ103)</f>
        <v>400</v>
      </c>
      <c r="CA28" s="758">
        <f>SUM('EGRESO plan'!CA100:CA103)</f>
        <v>259</v>
      </c>
      <c r="CB28" s="759">
        <f>SUM('EGRESO plan'!CB100:CB103)</f>
        <v>178</v>
      </c>
      <c r="CC28" s="759">
        <f>SUM('EGRESO plan'!CC100:CC103)</f>
        <v>0</v>
      </c>
      <c r="CD28" s="760">
        <f>SUM('EGRESO plan'!CD100:CD103)</f>
        <v>437</v>
      </c>
      <c r="CE28" s="758">
        <f>SUM('EGRESO plan'!CE100:CE103)</f>
        <v>188</v>
      </c>
      <c r="CF28" s="759">
        <f>SUM('EGRESO plan'!CF100:CF103)</f>
        <v>231</v>
      </c>
      <c r="CG28" s="759">
        <f>SUM('EGRESO plan'!CG100:CG103)</f>
        <v>8</v>
      </c>
      <c r="CH28" s="760">
        <f>SUM('EGRESO plan'!CH100:CH103)</f>
        <v>427</v>
      </c>
      <c r="CI28" s="758">
        <f>SUM('EGRESO plan'!CI100:CI103)</f>
        <v>214</v>
      </c>
      <c r="CJ28" s="759">
        <f>SUM('EGRESO plan'!CJ100:CJ103)</f>
        <v>189</v>
      </c>
      <c r="CK28" s="759">
        <f>SUM('EGRESO plan'!CK100:CK103)</f>
        <v>35</v>
      </c>
      <c r="CL28" s="760">
        <f>SUM('EGRESO plan'!CL100:CL103)</f>
        <v>438</v>
      </c>
      <c r="CM28" s="758">
        <f>SUM('EGRESO plan'!CM100:CM103)</f>
        <v>241</v>
      </c>
      <c r="CN28" s="759">
        <f>SUM('EGRESO plan'!CN100:CN103)</f>
        <v>196</v>
      </c>
      <c r="CO28" s="759">
        <f>SUM('EGRESO plan'!CO100:CO103)</f>
        <v>1</v>
      </c>
      <c r="CP28" s="760">
        <f>SUM('EGRESO plan'!CP100:CP103)</f>
        <v>438</v>
      </c>
      <c r="CQ28" s="758">
        <f>SUM('EGRESO plan'!CQ100:CQ103)</f>
        <v>202</v>
      </c>
      <c r="CR28" s="759">
        <f>SUM('EGRESO plan'!CR100:CR103)</f>
        <v>264</v>
      </c>
      <c r="CS28" s="759">
        <f>SUM('EGRESO plan'!CS100:CS103)</f>
        <v>0</v>
      </c>
      <c r="CT28" s="760">
        <f>SUM('EGRESO plan'!CT100:CT103)</f>
        <v>466</v>
      </c>
    </row>
    <row r="29" spans="2:98" s="162" customFormat="1" ht="15" customHeight="1" x14ac:dyDescent="0.25">
      <c r="B29" s="188" t="s">
        <v>137</v>
      </c>
      <c r="C29" s="784">
        <f t="shared" ref="C29:R29" si="19">SUM(C26:C28)</f>
        <v>839</v>
      </c>
      <c r="D29" s="785">
        <f t="shared" si="19"/>
        <v>999</v>
      </c>
      <c r="E29" s="785">
        <f t="shared" si="19"/>
        <v>289</v>
      </c>
      <c r="F29" s="786">
        <f t="shared" si="19"/>
        <v>2127</v>
      </c>
      <c r="G29" s="784">
        <f t="shared" si="19"/>
        <v>844</v>
      </c>
      <c r="H29" s="785">
        <f t="shared" si="19"/>
        <v>1170</v>
      </c>
      <c r="I29" s="785">
        <f t="shared" si="19"/>
        <v>330</v>
      </c>
      <c r="J29" s="786">
        <f t="shared" si="19"/>
        <v>2344</v>
      </c>
      <c r="K29" s="784">
        <f t="shared" si="19"/>
        <v>802</v>
      </c>
      <c r="L29" s="785">
        <f t="shared" si="19"/>
        <v>1091</v>
      </c>
      <c r="M29" s="785">
        <f t="shared" si="19"/>
        <v>359</v>
      </c>
      <c r="N29" s="786">
        <f t="shared" si="19"/>
        <v>2252</v>
      </c>
      <c r="O29" s="784">
        <f t="shared" si="19"/>
        <v>975</v>
      </c>
      <c r="P29" s="785">
        <f t="shared" si="19"/>
        <v>1190</v>
      </c>
      <c r="Q29" s="785">
        <f t="shared" si="19"/>
        <v>357</v>
      </c>
      <c r="R29" s="786">
        <f t="shared" si="19"/>
        <v>2522</v>
      </c>
      <c r="S29" s="784">
        <f t="shared" ref="S29:CD29" si="20">SUM(S26:S28)</f>
        <v>920</v>
      </c>
      <c r="T29" s="785">
        <f t="shared" si="20"/>
        <v>947</v>
      </c>
      <c r="U29" s="785">
        <f t="shared" si="20"/>
        <v>319</v>
      </c>
      <c r="V29" s="786">
        <f t="shared" si="20"/>
        <v>2186</v>
      </c>
      <c r="W29" s="784">
        <f t="shared" si="20"/>
        <v>704</v>
      </c>
      <c r="X29" s="785">
        <f t="shared" si="20"/>
        <v>984</v>
      </c>
      <c r="Y29" s="785">
        <f t="shared" si="20"/>
        <v>291</v>
      </c>
      <c r="Z29" s="786">
        <f t="shared" si="20"/>
        <v>1979</v>
      </c>
      <c r="AA29" s="784">
        <f t="shared" si="20"/>
        <v>708</v>
      </c>
      <c r="AB29" s="785">
        <f t="shared" si="20"/>
        <v>1050</v>
      </c>
      <c r="AC29" s="785">
        <f t="shared" si="20"/>
        <v>288</v>
      </c>
      <c r="AD29" s="786">
        <f t="shared" si="20"/>
        <v>2046</v>
      </c>
      <c r="AE29" s="784">
        <f t="shared" si="20"/>
        <v>810</v>
      </c>
      <c r="AF29" s="785">
        <f t="shared" si="20"/>
        <v>1030</v>
      </c>
      <c r="AG29" s="785">
        <f t="shared" si="20"/>
        <v>303</v>
      </c>
      <c r="AH29" s="786">
        <f t="shared" si="20"/>
        <v>2143</v>
      </c>
      <c r="AI29" s="784">
        <f t="shared" si="20"/>
        <v>791</v>
      </c>
      <c r="AJ29" s="785">
        <f t="shared" si="20"/>
        <v>1126</v>
      </c>
      <c r="AK29" s="785">
        <f t="shared" si="20"/>
        <v>360</v>
      </c>
      <c r="AL29" s="786">
        <f t="shared" si="20"/>
        <v>2277</v>
      </c>
      <c r="AM29" s="784">
        <f t="shared" si="20"/>
        <v>1096</v>
      </c>
      <c r="AN29" s="785">
        <f t="shared" si="20"/>
        <v>1256</v>
      </c>
      <c r="AO29" s="785">
        <f t="shared" si="20"/>
        <v>366</v>
      </c>
      <c r="AP29" s="786">
        <f t="shared" si="20"/>
        <v>2718</v>
      </c>
      <c r="AQ29" s="784">
        <f t="shared" si="20"/>
        <v>934</v>
      </c>
      <c r="AR29" s="785">
        <f t="shared" si="20"/>
        <v>1341</v>
      </c>
      <c r="AS29" s="785">
        <f t="shared" si="20"/>
        <v>399</v>
      </c>
      <c r="AT29" s="786">
        <f t="shared" si="20"/>
        <v>2674</v>
      </c>
      <c r="AU29" s="784">
        <f t="shared" si="20"/>
        <v>974</v>
      </c>
      <c r="AV29" s="785">
        <f t="shared" si="20"/>
        <v>1173</v>
      </c>
      <c r="AW29" s="785">
        <f t="shared" si="20"/>
        <v>373</v>
      </c>
      <c r="AX29" s="786">
        <f t="shared" si="20"/>
        <v>2520</v>
      </c>
      <c r="AY29" s="784">
        <f t="shared" si="20"/>
        <v>887</v>
      </c>
      <c r="AZ29" s="785">
        <f t="shared" si="20"/>
        <v>1128</v>
      </c>
      <c r="BA29" s="785">
        <f t="shared" si="20"/>
        <v>338</v>
      </c>
      <c r="BB29" s="786">
        <f t="shared" si="20"/>
        <v>2353</v>
      </c>
      <c r="BC29" s="784">
        <f t="shared" si="20"/>
        <v>871</v>
      </c>
      <c r="BD29" s="785">
        <f t="shared" si="20"/>
        <v>1166</v>
      </c>
      <c r="BE29" s="785">
        <f t="shared" si="20"/>
        <v>314</v>
      </c>
      <c r="BF29" s="786">
        <f t="shared" si="20"/>
        <v>2351</v>
      </c>
      <c r="BG29" s="784">
        <f t="shared" si="20"/>
        <v>942</v>
      </c>
      <c r="BH29" s="785">
        <f t="shared" si="20"/>
        <v>1169</v>
      </c>
      <c r="BI29" s="785">
        <f t="shared" si="20"/>
        <v>380</v>
      </c>
      <c r="BJ29" s="786">
        <f t="shared" si="20"/>
        <v>2491</v>
      </c>
      <c r="BK29" s="784">
        <f t="shared" si="20"/>
        <v>856</v>
      </c>
      <c r="BL29" s="785">
        <f t="shared" si="20"/>
        <v>1171</v>
      </c>
      <c r="BM29" s="785">
        <f t="shared" si="20"/>
        <v>361</v>
      </c>
      <c r="BN29" s="786">
        <f t="shared" si="20"/>
        <v>2388</v>
      </c>
      <c r="BO29" s="784">
        <f t="shared" si="20"/>
        <v>924</v>
      </c>
      <c r="BP29" s="785">
        <f t="shared" si="20"/>
        <v>1071</v>
      </c>
      <c r="BQ29" s="785">
        <f t="shared" si="20"/>
        <v>365</v>
      </c>
      <c r="BR29" s="786">
        <f t="shared" si="20"/>
        <v>2360</v>
      </c>
      <c r="BS29" s="784">
        <f t="shared" si="20"/>
        <v>887</v>
      </c>
      <c r="BT29" s="785">
        <f t="shared" si="20"/>
        <v>1180</v>
      </c>
      <c r="BU29" s="785">
        <f t="shared" si="20"/>
        <v>316</v>
      </c>
      <c r="BV29" s="786">
        <f t="shared" si="20"/>
        <v>2383</v>
      </c>
      <c r="BW29" s="784">
        <f t="shared" si="20"/>
        <v>839</v>
      </c>
      <c r="BX29" s="785">
        <f t="shared" si="20"/>
        <v>1097</v>
      </c>
      <c r="BY29" s="785">
        <f t="shared" si="20"/>
        <v>345</v>
      </c>
      <c r="BZ29" s="786">
        <f t="shared" si="20"/>
        <v>2281</v>
      </c>
      <c r="CA29" s="784">
        <f t="shared" si="20"/>
        <v>893</v>
      </c>
      <c r="CB29" s="785">
        <f t="shared" si="20"/>
        <v>1183</v>
      </c>
      <c r="CC29" s="785">
        <f t="shared" si="20"/>
        <v>316</v>
      </c>
      <c r="CD29" s="786">
        <f t="shared" si="20"/>
        <v>2392</v>
      </c>
      <c r="CE29" s="784">
        <f t="shared" ref="CE29:CL29" si="21">SUM(CE26:CE28)</f>
        <v>882</v>
      </c>
      <c r="CF29" s="785">
        <f t="shared" si="21"/>
        <v>1117</v>
      </c>
      <c r="CG29" s="785">
        <f t="shared" si="21"/>
        <v>244</v>
      </c>
      <c r="CH29" s="786">
        <f t="shared" si="21"/>
        <v>2243</v>
      </c>
      <c r="CI29" s="784">
        <f t="shared" si="21"/>
        <v>1007</v>
      </c>
      <c r="CJ29" s="785">
        <f t="shared" si="21"/>
        <v>1133</v>
      </c>
      <c r="CK29" s="785">
        <f t="shared" si="21"/>
        <v>370</v>
      </c>
      <c r="CL29" s="786">
        <f t="shared" si="21"/>
        <v>2510</v>
      </c>
      <c r="CM29" s="784">
        <f t="shared" ref="CM29:CP29" si="22">SUM(CM26:CM28)</f>
        <v>1060</v>
      </c>
      <c r="CN29" s="785">
        <f t="shared" si="22"/>
        <v>1189</v>
      </c>
      <c r="CO29" s="785">
        <f t="shared" si="22"/>
        <v>299</v>
      </c>
      <c r="CP29" s="786">
        <f t="shared" si="22"/>
        <v>2548</v>
      </c>
      <c r="CQ29" s="784">
        <f t="shared" ref="CQ29:CT29" si="23">SUM(CQ26:CQ28)</f>
        <v>1090</v>
      </c>
      <c r="CR29" s="785">
        <f t="shared" si="23"/>
        <v>1149</v>
      </c>
      <c r="CS29" s="785">
        <f t="shared" si="23"/>
        <v>368</v>
      </c>
      <c r="CT29" s="786">
        <f t="shared" si="23"/>
        <v>2607</v>
      </c>
    </row>
    <row r="30" spans="2:98" s="3" customFormat="1" ht="13.8" x14ac:dyDescent="0.25">
      <c r="C30" s="787"/>
      <c r="D30" s="787"/>
      <c r="E30" s="787"/>
      <c r="F30" s="787"/>
      <c r="G30" s="787"/>
      <c r="H30" s="787"/>
      <c r="I30" s="787"/>
      <c r="J30" s="787"/>
      <c r="K30" s="787"/>
      <c r="L30" s="787"/>
      <c r="M30" s="787"/>
      <c r="N30" s="787"/>
      <c r="O30" s="787"/>
      <c r="P30" s="787"/>
      <c r="Q30" s="787"/>
      <c r="R30" s="787"/>
      <c r="S30" s="787"/>
      <c r="T30" s="787"/>
      <c r="U30" s="787"/>
      <c r="V30" s="787"/>
      <c r="W30" s="787"/>
      <c r="X30" s="787"/>
      <c r="Y30" s="787"/>
      <c r="Z30" s="787"/>
      <c r="AA30" s="787"/>
      <c r="AB30" s="787"/>
      <c r="AC30" s="787"/>
      <c r="AD30" s="787"/>
      <c r="AE30" s="787"/>
      <c r="AF30" s="787"/>
      <c r="AG30" s="787"/>
      <c r="AH30" s="787"/>
      <c r="AI30" s="787"/>
      <c r="AJ30" s="787"/>
      <c r="AK30" s="787"/>
      <c r="AL30" s="787"/>
      <c r="AM30" s="787"/>
      <c r="AN30" s="787"/>
      <c r="AO30" s="787"/>
      <c r="AP30" s="787"/>
      <c r="AQ30" s="787"/>
      <c r="AR30" s="787"/>
      <c r="AS30" s="787"/>
      <c r="AT30" s="787"/>
      <c r="AU30" s="787"/>
      <c r="AV30" s="787"/>
      <c r="AW30" s="787"/>
      <c r="AX30" s="787"/>
      <c r="AY30" s="787"/>
      <c r="AZ30" s="787"/>
      <c r="BA30" s="787"/>
      <c r="BB30" s="787"/>
      <c r="BC30" s="787"/>
      <c r="BD30" s="787"/>
      <c r="BE30" s="787"/>
      <c r="BF30" s="787"/>
      <c r="BG30" s="787"/>
      <c r="BH30" s="787"/>
      <c r="BI30" s="787"/>
      <c r="BJ30" s="787"/>
      <c r="BK30" s="787"/>
      <c r="BL30" s="787"/>
      <c r="BM30" s="787"/>
      <c r="BN30" s="787"/>
      <c r="BO30" s="787"/>
      <c r="BP30" s="787"/>
      <c r="BQ30" s="787"/>
      <c r="BR30" s="787"/>
      <c r="BS30" s="787"/>
      <c r="BT30" s="787"/>
      <c r="BU30" s="787"/>
      <c r="BV30" s="787"/>
      <c r="BW30" s="787"/>
      <c r="BX30" s="787"/>
      <c r="BY30" s="787"/>
      <c r="BZ30" s="787"/>
      <c r="CA30" s="787"/>
      <c r="CB30" s="787"/>
      <c r="CC30" s="787"/>
      <c r="CD30" s="787"/>
      <c r="CE30" s="787"/>
      <c r="CF30" s="787"/>
      <c r="CG30" s="787"/>
      <c r="CH30" s="787"/>
      <c r="CI30" s="787"/>
      <c r="CJ30" s="787"/>
      <c r="CK30" s="787"/>
      <c r="CL30" s="787"/>
      <c r="CM30" s="787"/>
      <c r="CN30" s="787"/>
      <c r="CO30" s="787"/>
      <c r="CP30" s="787"/>
      <c r="CQ30" s="787"/>
      <c r="CR30" s="787"/>
      <c r="CS30" s="787"/>
      <c r="CT30" s="787"/>
    </row>
    <row r="31" spans="2:98" s="3" customFormat="1" ht="15" customHeight="1" x14ac:dyDescent="0.25">
      <c r="B31" s="150" t="s">
        <v>59</v>
      </c>
      <c r="C31" s="755">
        <f t="shared" ref="C31:BN31" si="24">SUM(C6,C16)</f>
        <v>229</v>
      </c>
      <c r="D31" s="756">
        <f t="shared" si="24"/>
        <v>239</v>
      </c>
      <c r="E31" s="756">
        <f t="shared" si="24"/>
        <v>197</v>
      </c>
      <c r="F31" s="757">
        <f t="shared" si="24"/>
        <v>665</v>
      </c>
      <c r="G31" s="755">
        <f t="shared" si="24"/>
        <v>182</v>
      </c>
      <c r="H31" s="756">
        <f t="shared" si="24"/>
        <v>190</v>
      </c>
      <c r="I31" s="756">
        <f t="shared" si="24"/>
        <v>158</v>
      </c>
      <c r="J31" s="757">
        <f t="shared" si="24"/>
        <v>530</v>
      </c>
      <c r="K31" s="755">
        <f t="shared" si="24"/>
        <v>204</v>
      </c>
      <c r="L31" s="756">
        <f t="shared" si="24"/>
        <v>201</v>
      </c>
      <c r="M31" s="756">
        <f t="shared" si="24"/>
        <v>171</v>
      </c>
      <c r="N31" s="757">
        <f t="shared" si="24"/>
        <v>576</v>
      </c>
      <c r="O31" s="755">
        <f t="shared" si="24"/>
        <v>157</v>
      </c>
      <c r="P31" s="756">
        <f t="shared" si="24"/>
        <v>196</v>
      </c>
      <c r="Q31" s="756">
        <f t="shared" si="24"/>
        <v>180</v>
      </c>
      <c r="R31" s="757">
        <f t="shared" si="24"/>
        <v>533</v>
      </c>
      <c r="S31" s="755">
        <f t="shared" si="24"/>
        <v>240</v>
      </c>
      <c r="T31" s="756">
        <f t="shared" si="24"/>
        <v>229</v>
      </c>
      <c r="U31" s="756">
        <f t="shared" si="24"/>
        <v>173</v>
      </c>
      <c r="V31" s="757">
        <f t="shared" si="24"/>
        <v>642</v>
      </c>
      <c r="W31" s="755">
        <f t="shared" si="24"/>
        <v>192</v>
      </c>
      <c r="X31" s="756">
        <f t="shared" si="24"/>
        <v>237</v>
      </c>
      <c r="Y31" s="756">
        <f t="shared" si="24"/>
        <v>185</v>
      </c>
      <c r="Z31" s="757">
        <f t="shared" si="24"/>
        <v>614</v>
      </c>
      <c r="AA31" s="755">
        <f t="shared" si="24"/>
        <v>212</v>
      </c>
      <c r="AB31" s="756">
        <f t="shared" si="24"/>
        <v>236</v>
      </c>
      <c r="AC31" s="756">
        <f t="shared" si="24"/>
        <v>197</v>
      </c>
      <c r="AD31" s="757">
        <f t="shared" si="24"/>
        <v>645</v>
      </c>
      <c r="AE31" s="755">
        <f t="shared" si="24"/>
        <v>224</v>
      </c>
      <c r="AF31" s="756">
        <f t="shared" si="24"/>
        <v>237</v>
      </c>
      <c r="AG31" s="756">
        <f t="shared" si="24"/>
        <v>203</v>
      </c>
      <c r="AH31" s="757">
        <f t="shared" si="24"/>
        <v>664</v>
      </c>
      <c r="AI31" s="755">
        <f t="shared" si="24"/>
        <v>156</v>
      </c>
      <c r="AJ31" s="756">
        <f t="shared" si="24"/>
        <v>212</v>
      </c>
      <c r="AK31" s="756">
        <f t="shared" si="24"/>
        <v>144</v>
      </c>
      <c r="AL31" s="757">
        <f t="shared" si="24"/>
        <v>512</v>
      </c>
      <c r="AM31" s="755">
        <f t="shared" si="24"/>
        <v>194</v>
      </c>
      <c r="AN31" s="756">
        <f t="shared" si="24"/>
        <v>193</v>
      </c>
      <c r="AO31" s="756">
        <f t="shared" si="24"/>
        <v>138</v>
      </c>
      <c r="AP31" s="756">
        <f t="shared" si="24"/>
        <v>525</v>
      </c>
      <c r="AQ31" s="755">
        <f t="shared" si="24"/>
        <v>163</v>
      </c>
      <c r="AR31" s="756">
        <f t="shared" si="24"/>
        <v>205</v>
      </c>
      <c r="AS31" s="756">
        <f t="shared" si="24"/>
        <v>149</v>
      </c>
      <c r="AT31" s="757">
        <f t="shared" si="24"/>
        <v>517</v>
      </c>
      <c r="AU31" s="755">
        <f t="shared" si="24"/>
        <v>187</v>
      </c>
      <c r="AV31" s="756">
        <f t="shared" si="24"/>
        <v>261</v>
      </c>
      <c r="AW31" s="756">
        <f t="shared" si="24"/>
        <v>159</v>
      </c>
      <c r="AX31" s="757">
        <f t="shared" si="24"/>
        <v>607</v>
      </c>
      <c r="AY31" s="755">
        <f t="shared" si="24"/>
        <v>186</v>
      </c>
      <c r="AZ31" s="756">
        <f t="shared" si="24"/>
        <v>208</v>
      </c>
      <c r="BA31" s="756">
        <f t="shared" si="24"/>
        <v>189</v>
      </c>
      <c r="BB31" s="757">
        <f t="shared" si="24"/>
        <v>583</v>
      </c>
      <c r="BC31" s="755">
        <f t="shared" si="24"/>
        <v>177</v>
      </c>
      <c r="BD31" s="756">
        <f t="shared" si="24"/>
        <v>220</v>
      </c>
      <c r="BE31" s="756">
        <f t="shared" si="24"/>
        <v>167</v>
      </c>
      <c r="BF31" s="757">
        <f t="shared" si="24"/>
        <v>564</v>
      </c>
      <c r="BG31" s="755">
        <f t="shared" si="24"/>
        <v>187</v>
      </c>
      <c r="BH31" s="756">
        <f t="shared" si="24"/>
        <v>263</v>
      </c>
      <c r="BI31" s="756">
        <f t="shared" si="24"/>
        <v>235</v>
      </c>
      <c r="BJ31" s="757">
        <f t="shared" si="24"/>
        <v>685</v>
      </c>
      <c r="BK31" s="755">
        <f t="shared" si="24"/>
        <v>289</v>
      </c>
      <c r="BL31" s="756">
        <f t="shared" si="24"/>
        <v>287</v>
      </c>
      <c r="BM31" s="756">
        <f t="shared" si="24"/>
        <v>210</v>
      </c>
      <c r="BN31" s="757">
        <f t="shared" si="24"/>
        <v>786</v>
      </c>
      <c r="BO31" s="755">
        <f t="shared" ref="BO31:CL31" si="25">SUM(BO6,BO16,BO21)</f>
        <v>232</v>
      </c>
      <c r="BP31" s="756">
        <f t="shared" si="25"/>
        <v>246</v>
      </c>
      <c r="BQ31" s="756">
        <f t="shared" si="25"/>
        <v>242</v>
      </c>
      <c r="BR31" s="757">
        <f t="shared" si="25"/>
        <v>720</v>
      </c>
      <c r="BS31" s="755">
        <f t="shared" si="25"/>
        <v>264</v>
      </c>
      <c r="BT31" s="756">
        <f t="shared" si="25"/>
        <v>289</v>
      </c>
      <c r="BU31" s="756">
        <f t="shared" si="25"/>
        <v>202</v>
      </c>
      <c r="BV31" s="757">
        <f t="shared" si="25"/>
        <v>755</v>
      </c>
      <c r="BW31" s="755">
        <f t="shared" si="25"/>
        <v>301</v>
      </c>
      <c r="BX31" s="756">
        <f t="shared" si="25"/>
        <v>291</v>
      </c>
      <c r="BY31" s="756">
        <f t="shared" si="25"/>
        <v>273</v>
      </c>
      <c r="BZ31" s="757">
        <f t="shared" si="25"/>
        <v>865</v>
      </c>
      <c r="CA31" s="755">
        <f t="shared" si="25"/>
        <v>275</v>
      </c>
      <c r="CB31" s="756">
        <f t="shared" si="25"/>
        <v>277</v>
      </c>
      <c r="CC31" s="756">
        <f t="shared" si="25"/>
        <v>272</v>
      </c>
      <c r="CD31" s="757">
        <f t="shared" si="25"/>
        <v>824</v>
      </c>
      <c r="CE31" s="755">
        <f t="shared" si="25"/>
        <v>336</v>
      </c>
      <c r="CF31" s="756">
        <f t="shared" si="25"/>
        <v>254</v>
      </c>
      <c r="CG31" s="756">
        <f t="shared" si="25"/>
        <v>217</v>
      </c>
      <c r="CH31" s="757">
        <f t="shared" si="25"/>
        <v>807</v>
      </c>
      <c r="CI31" s="755">
        <f t="shared" si="25"/>
        <v>182</v>
      </c>
      <c r="CJ31" s="756">
        <f t="shared" si="25"/>
        <v>206</v>
      </c>
      <c r="CK31" s="756">
        <f t="shared" si="25"/>
        <v>171</v>
      </c>
      <c r="CL31" s="757">
        <f t="shared" si="25"/>
        <v>559</v>
      </c>
      <c r="CM31" s="755">
        <f t="shared" ref="CM31:CP31" si="26">SUM(CM6,CM16,CM21)</f>
        <v>270</v>
      </c>
      <c r="CN31" s="756">
        <f t="shared" si="26"/>
        <v>214</v>
      </c>
      <c r="CO31" s="756">
        <f t="shared" ref="CO31" si="27">SUM(CO6,CO16,CO21)</f>
        <v>262</v>
      </c>
      <c r="CP31" s="757">
        <f t="shared" si="26"/>
        <v>746</v>
      </c>
      <c r="CQ31" s="755">
        <f t="shared" ref="CQ31:CT31" si="28">SUM(CQ6,CQ16,CQ21)</f>
        <v>258</v>
      </c>
      <c r="CR31" s="756">
        <f t="shared" si="28"/>
        <v>285</v>
      </c>
      <c r="CS31" s="756">
        <f t="shared" si="28"/>
        <v>290</v>
      </c>
      <c r="CT31" s="757">
        <f t="shared" si="28"/>
        <v>833</v>
      </c>
    </row>
    <row r="32" spans="2:98" s="3" customFormat="1" ht="14.25" customHeight="1" x14ac:dyDescent="0.25">
      <c r="B32" s="154" t="s">
        <v>64</v>
      </c>
      <c r="C32" s="758">
        <f t="shared" ref="C32:BN32" si="29">SUM(C7,C17,C11,C26)</f>
        <v>760</v>
      </c>
      <c r="D32" s="759">
        <f t="shared" si="29"/>
        <v>857</v>
      </c>
      <c r="E32" s="759">
        <f t="shared" si="29"/>
        <v>305</v>
      </c>
      <c r="F32" s="760">
        <f t="shared" si="29"/>
        <v>1922</v>
      </c>
      <c r="G32" s="758">
        <f t="shared" si="29"/>
        <v>724</v>
      </c>
      <c r="H32" s="759">
        <f t="shared" si="29"/>
        <v>848</v>
      </c>
      <c r="I32" s="759">
        <f t="shared" si="29"/>
        <v>316</v>
      </c>
      <c r="J32" s="760">
        <f t="shared" si="29"/>
        <v>1888</v>
      </c>
      <c r="K32" s="758">
        <f t="shared" si="29"/>
        <v>711</v>
      </c>
      <c r="L32" s="759">
        <f t="shared" si="29"/>
        <v>808</v>
      </c>
      <c r="M32" s="759">
        <f t="shared" si="29"/>
        <v>320</v>
      </c>
      <c r="N32" s="760">
        <f t="shared" si="29"/>
        <v>1839</v>
      </c>
      <c r="O32" s="758">
        <f t="shared" si="29"/>
        <v>797</v>
      </c>
      <c r="P32" s="759">
        <f t="shared" si="29"/>
        <v>863</v>
      </c>
      <c r="Q32" s="759">
        <f t="shared" si="29"/>
        <v>331</v>
      </c>
      <c r="R32" s="760">
        <f t="shared" si="29"/>
        <v>1991</v>
      </c>
      <c r="S32" s="758">
        <f t="shared" si="29"/>
        <v>763</v>
      </c>
      <c r="T32" s="759">
        <f t="shared" si="29"/>
        <v>887</v>
      </c>
      <c r="U32" s="759">
        <f t="shared" si="29"/>
        <v>313</v>
      </c>
      <c r="V32" s="760">
        <f t="shared" si="29"/>
        <v>1963</v>
      </c>
      <c r="W32" s="758">
        <f t="shared" si="29"/>
        <v>727</v>
      </c>
      <c r="X32" s="759">
        <f t="shared" si="29"/>
        <v>826</v>
      </c>
      <c r="Y32" s="759">
        <f t="shared" si="29"/>
        <v>316</v>
      </c>
      <c r="Z32" s="760">
        <f t="shared" si="29"/>
        <v>1869</v>
      </c>
      <c r="AA32" s="758">
        <f t="shared" si="29"/>
        <v>728</v>
      </c>
      <c r="AB32" s="759">
        <f t="shared" si="29"/>
        <v>797</v>
      </c>
      <c r="AC32" s="759">
        <f t="shared" si="29"/>
        <v>255</v>
      </c>
      <c r="AD32" s="760">
        <f t="shared" si="29"/>
        <v>1780</v>
      </c>
      <c r="AE32" s="758">
        <f t="shared" si="29"/>
        <v>708</v>
      </c>
      <c r="AF32" s="759">
        <f t="shared" si="29"/>
        <v>765</v>
      </c>
      <c r="AG32" s="759">
        <f t="shared" si="29"/>
        <v>290</v>
      </c>
      <c r="AH32" s="760">
        <f t="shared" si="29"/>
        <v>1763</v>
      </c>
      <c r="AI32" s="758">
        <f t="shared" si="29"/>
        <v>674</v>
      </c>
      <c r="AJ32" s="759">
        <f t="shared" si="29"/>
        <v>820</v>
      </c>
      <c r="AK32" s="759">
        <f t="shared" si="29"/>
        <v>259</v>
      </c>
      <c r="AL32" s="760">
        <f t="shared" si="29"/>
        <v>1753</v>
      </c>
      <c r="AM32" s="758">
        <f t="shared" si="29"/>
        <v>812</v>
      </c>
      <c r="AN32" s="759">
        <f t="shared" si="29"/>
        <v>872</v>
      </c>
      <c r="AO32" s="759">
        <f t="shared" si="29"/>
        <v>234</v>
      </c>
      <c r="AP32" s="759">
        <f t="shared" si="29"/>
        <v>1918</v>
      </c>
      <c r="AQ32" s="758">
        <f t="shared" si="29"/>
        <v>750</v>
      </c>
      <c r="AR32" s="759">
        <f t="shared" si="29"/>
        <v>954</v>
      </c>
      <c r="AS32" s="759">
        <f t="shared" si="29"/>
        <v>252</v>
      </c>
      <c r="AT32" s="760">
        <f t="shared" si="29"/>
        <v>1956</v>
      </c>
      <c r="AU32" s="758">
        <f t="shared" si="29"/>
        <v>763</v>
      </c>
      <c r="AV32" s="759">
        <f t="shared" si="29"/>
        <v>928</v>
      </c>
      <c r="AW32" s="759">
        <f t="shared" si="29"/>
        <v>272</v>
      </c>
      <c r="AX32" s="760">
        <f t="shared" si="29"/>
        <v>1963</v>
      </c>
      <c r="AY32" s="758">
        <f t="shared" si="29"/>
        <v>690</v>
      </c>
      <c r="AZ32" s="759">
        <f t="shared" si="29"/>
        <v>835</v>
      </c>
      <c r="BA32" s="759">
        <f t="shared" si="29"/>
        <v>263</v>
      </c>
      <c r="BB32" s="760">
        <f t="shared" si="29"/>
        <v>1788</v>
      </c>
      <c r="BC32" s="758">
        <f t="shared" si="29"/>
        <v>718</v>
      </c>
      <c r="BD32" s="759">
        <f t="shared" si="29"/>
        <v>887</v>
      </c>
      <c r="BE32" s="759">
        <f t="shared" si="29"/>
        <v>332</v>
      </c>
      <c r="BF32" s="760">
        <f t="shared" si="29"/>
        <v>1937</v>
      </c>
      <c r="BG32" s="758">
        <f t="shared" si="29"/>
        <v>864</v>
      </c>
      <c r="BH32" s="759">
        <f t="shared" si="29"/>
        <v>1084</v>
      </c>
      <c r="BI32" s="759">
        <f t="shared" si="29"/>
        <v>397</v>
      </c>
      <c r="BJ32" s="760">
        <f t="shared" si="29"/>
        <v>2345</v>
      </c>
      <c r="BK32" s="758">
        <f t="shared" si="29"/>
        <v>759</v>
      </c>
      <c r="BL32" s="759">
        <f t="shared" si="29"/>
        <v>883</v>
      </c>
      <c r="BM32" s="759">
        <f t="shared" si="29"/>
        <v>312</v>
      </c>
      <c r="BN32" s="760">
        <f t="shared" si="29"/>
        <v>1954</v>
      </c>
      <c r="BO32" s="758">
        <f t="shared" ref="BO32:CL32" si="30">SUM(BO7,BO11,BO17,BO22,BO26)</f>
        <v>741</v>
      </c>
      <c r="BP32" s="759">
        <f t="shared" si="30"/>
        <v>945</v>
      </c>
      <c r="BQ32" s="759">
        <f t="shared" si="30"/>
        <v>386</v>
      </c>
      <c r="BR32" s="760">
        <f t="shared" si="30"/>
        <v>2072</v>
      </c>
      <c r="BS32" s="758">
        <f t="shared" si="30"/>
        <v>730</v>
      </c>
      <c r="BT32" s="759">
        <f t="shared" si="30"/>
        <v>1010</v>
      </c>
      <c r="BU32" s="759">
        <f t="shared" si="30"/>
        <v>276</v>
      </c>
      <c r="BV32" s="760">
        <f t="shared" si="30"/>
        <v>2016</v>
      </c>
      <c r="BW32" s="758">
        <f t="shared" si="30"/>
        <v>729</v>
      </c>
      <c r="BX32" s="759">
        <f t="shared" si="30"/>
        <v>945</v>
      </c>
      <c r="BY32" s="759">
        <f t="shared" si="30"/>
        <v>375</v>
      </c>
      <c r="BZ32" s="760">
        <f t="shared" si="30"/>
        <v>2049</v>
      </c>
      <c r="CA32" s="758">
        <f t="shared" si="30"/>
        <v>704</v>
      </c>
      <c r="CB32" s="759">
        <f t="shared" si="30"/>
        <v>1057</v>
      </c>
      <c r="CC32" s="759">
        <f t="shared" si="30"/>
        <v>357</v>
      </c>
      <c r="CD32" s="760">
        <f t="shared" si="30"/>
        <v>2118</v>
      </c>
      <c r="CE32" s="758">
        <f t="shared" si="30"/>
        <v>806</v>
      </c>
      <c r="CF32" s="759">
        <f t="shared" si="30"/>
        <v>863</v>
      </c>
      <c r="CG32" s="759">
        <f t="shared" si="30"/>
        <v>349</v>
      </c>
      <c r="CH32" s="760">
        <f t="shared" si="30"/>
        <v>2018</v>
      </c>
      <c r="CI32" s="758">
        <f t="shared" si="30"/>
        <v>806</v>
      </c>
      <c r="CJ32" s="759">
        <f t="shared" si="30"/>
        <v>969</v>
      </c>
      <c r="CK32" s="759">
        <f t="shared" si="30"/>
        <v>466</v>
      </c>
      <c r="CL32" s="760">
        <f t="shared" si="30"/>
        <v>2241</v>
      </c>
      <c r="CM32" s="758">
        <f t="shared" ref="CM32:CP32" si="31">SUM(CM7,CM11,CM17,CM22,CM26)</f>
        <v>782</v>
      </c>
      <c r="CN32" s="759">
        <f t="shared" si="31"/>
        <v>941</v>
      </c>
      <c r="CO32" s="759">
        <f t="shared" ref="CO32" si="32">SUM(CO7,CO11,CO17,CO22,CO26)</f>
        <v>403</v>
      </c>
      <c r="CP32" s="760">
        <f t="shared" si="31"/>
        <v>2126</v>
      </c>
      <c r="CQ32" s="758">
        <f t="shared" ref="CQ32:CT32" si="33">SUM(CQ7,CQ11,CQ17,CQ22,CQ26)</f>
        <v>823</v>
      </c>
      <c r="CR32" s="759">
        <f t="shared" si="33"/>
        <v>907</v>
      </c>
      <c r="CS32" s="759">
        <f t="shared" si="33"/>
        <v>340</v>
      </c>
      <c r="CT32" s="760">
        <f t="shared" si="33"/>
        <v>2070</v>
      </c>
    </row>
    <row r="33" spans="2:98" s="3" customFormat="1" ht="14.25" customHeight="1" x14ac:dyDescent="0.25">
      <c r="B33" s="154" t="s">
        <v>92</v>
      </c>
      <c r="C33" s="758">
        <f t="shared" ref="C33:BN33" si="34">SUM(C18,C27)</f>
        <v>400</v>
      </c>
      <c r="D33" s="759">
        <f t="shared" si="34"/>
        <v>508</v>
      </c>
      <c r="E33" s="759">
        <f t="shared" si="34"/>
        <v>333</v>
      </c>
      <c r="F33" s="760">
        <f t="shared" si="34"/>
        <v>1241</v>
      </c>
      <c r="G33" s="758">
        <f t="shared" si="34"/>
        <v>410</v>
      </c>
      <c r="H33" s="759">
        <f t="shared" si="34"/>
        <v>545</v>
      </c>
      <c r="I33" s="759">
        <f t="shared" si="34"/>
        <v>381</v>
      </c>
      <c r="J33" s="760">
        <f t="shared" si="34"/>
        <v>1336</v>
      </c>
      <c r="K33" s="758">
        <f t="shared" si="34"/>
        <v>400</v>
      </c>
      <c r="L33" s="759">
        <f t="shared" si="34"/>
        <v>522</v>
      </c>
      <c r="M33" s="759">
        <f t="shared" si="34"/>
        <v>394</v>
      </c>
      <c r="N33" s="760">
        <f t="shared" si="34"/>
        <v>1316</v>
      </c>
      <c r="O33" s="758">
        <f t="shared" si="34"/>
        <v>431</v>
      </c>
      <c r="P33" s="759">
        <f t="shared" si="34"/>
        <v>630</v>
      </c>
      <c r="Q33" s="759">
        <f t="shared" si="34"/>
        <v>420</v>
      </c>
      <c r="R33" s="760">
        <f t="shared" si="34"/>
        <v>1481</v>
      </c>
      <c r="S33" s="758">
        <f t="shared" si="34"/>
        <v>432</v>
      </c>
      <c r="T33" s="759">
        <f t="shared" si="34"/>
        <v>476</v>
      </c>
      <c r="U33" s="759">
        <f t="shared" si="34"/>
        <v>405</v>
      </c>
      <c r="V33" s="760">
        <f t="shared" si="34"/>
        <v>1313</v>
      </c>
      <c r="W33" s="758">
        <f t="shared" si="34"/>
        <v>353</v>
      </c>
      <c r="X33" s="759">
        <f t="shared" si="34"/>
        <v>521</v>
      </c>
      <c r="Y33" s="759">
        <f t="shared" si="34"/>
        <v>411</v>
      </c>
      <c r="Z33" s="760">
        <f t="shared" si="34"/>
        <v>1285</v>
      </c>
      <c r="AA33" s="758">
        <f t="shared" si="34"/>
        <v>347</v>
      </c>
      <c r="AB33" s="759">
        <f t="shared" si="34"/>
        <v>496</v>
      </c>
      <c r="AC33" s="759">
        <f t="shared" si="34"/>
        <v>394</v>
      </c>
      <c r="AD33" s="760">
        <f t="shared" si="34"/>
        <v>1237</v>
      </c>
      <c r="AE33" s="758">
        <f t="shared" si="34"/>
        <v>394</v>
      </c>
      <c r="AF33" s="759">
        <f t="shared" si="34"/>
        <v>534</v>
      </c>
      <c r="AG33" s="759">
        <f t="shared" si="34"/>
        <v>403</v>
      </c>
      <c r="AH33" s="760">
        <f t="shared" si="34"/>
        <v>1331</v>
      </c>
      <c r="AI33" s="758">
        <f t="shared" si="34"/>
        <v>447</v>
      </c>
      <c r="AJ33" s="759">
        <f t="shared" si="34"/>
        <v>532</v>
      </c>
      <c r="AK33" s="759">
        <f t="shared" si="34"/>
        <v>438</v>
      </c>
      <c r="AL33" s="760">
        <f t="shared" si="34"/>
        <v>1417</v>
      </c>
      <c r="AM33" s="758">
        <f t="shared" si="34"/>
        <v>540</v>
      </c>
      <c r="AN33" s="759">
        <f t="shared" si="34"/>
        <v>556</v>
      </c>
      <c r="AO33" s="759">
        <f t="shared" si="34"/>
        <v>477</v>
      </c>
      <c r="AP33" s="759">
        <f t="shared" si="34"/>
        <v>1573</v>
      </c>
      <c r="AQ33" s="758">
        <f t="shared" si="34"/>
        <v>415</v>
      </c>
      <c r="AR33" s="759">
        <f t="shared" si="34"/>
        <v>651</v>
      </c>
      <c r="AS33" s="759">
        <f t="shared" si="34"/>
        <v>465</v>
      </c>
      <c r="AT33" s="760">
        <f t="shared" si="34"/>
        <v>1531</v>
      </c>
      <c r="AU33" s="758">
        <f t="shared" si="34"/>
        <v>453</v>
      </c>
      <c r="AV33" s="759">
        <f t="shared" si="34"/>
        <v>576</v>
      </c>
      <c r="AW33" s="759">
        <f t="shared" si="34"/>
        <v>464</v>
      </c>
      <c r="AX33" s="760">
        <f t="shared" si="34"/>
        <v>1493</v>
      </c>
      <c r="AY33" s="758">
        <f t="shared" si="34"/>
        <v>449</v>
      </c>
      <c r="AZ33" s="759">
        <f t="shared" si="34"/>
        <v>570</v>
      </c>
      <c r="BA33" s="759">
        <f t="shared" si="34"/>
        <v>396</v>
      </c>
      <c r="BB33" s="760">
        <f t="shared" si="34"/>
        <v>1415</v>
      </c>
      <c r="BC33" s="758">
        <f t="shared" si="34"/>
        <v>455</v>
      </c>
      <c r="BD33" s="759">
        <f t="shared" si="34"/>
        <v>640</v>
      </c>
      <c r="BE33" s="759">
        <f t="shared" si="34"/>
        <v>387</v>
      </c>
      <c r="BF33" s="760">
        <f t="shared" si="34"/>
        <v>1482</v>
      </c>
      <c r="BG33" s="758">
        <f t="shared" si="34"/>
        <v>410</v>
      </c>
      <c r="BH33" s="759">
        <f t="shared" si="34"/>
        <v>575</v>
      </c>
      <c r="BI33" s="759">
        <f t="shared" si="34"/>
        <v>514</v>
      </c>
      <c r="BJ33" s="760">
        <f t="shared" si="34"/>
        <v>1499</v>
      </c>
      <c r="BK33" s="758">
        <f t="shared" si="34"/>
        <v>390</v>
      </c>
      <c r="BL33" s="759">
        <f t="shared" si="34"/>
        <v>631</v>
      </c>
      <c r="BM33" s="759">
        <f t="shared" si="34"/>
        <v>451</v>
      </c>
      <c r="BN33" s="760">
        <f t="shared" si="34"/>
        <v>1472</v>
      </c>
      <c r="BO33" s="758">
        <f t="shared" ref="BO33:CL33" si="35">SUM(BO18,BO23,BO27)</f>
        <v>457</v>
      </c>
      <c r="BP33" s="759">
        <f t="shared" si="35"/>
        <v>585</v>
      </c>
      <c r="BQ33" s="759">
        <f t="shared" si="35"/>
        <v>509</v>
      </c>
      <c r="BR33" s="760">
        <f t="shared" si="35"/>
        <v>1551</v>
      </c>
      <c r="BS33" s="758">
        <f t="shared" si="35"/>
        <v>461</v>
      </c>
      <c r="BT33" s="759">
        <f t="shared" si="35"/>
        <v>618</v>
      </c>
      <c r="BU33" s="759">
        <f t="shared" si="35"/>
        <v>438</v>
      </c>
      <c r="BV33" s="760">
        <f t="shared" si="35"/>
        <v>1517</v>
      </c>
      <c r="BW33" s="758">
        <f t="shared" si="35"/>
        <v>473</v>
      </c>
      <c r="BX33" s="759">
        <f t="shared" si="35"/>
        <v>635</v>
      </c>
      <c r="BY33" s="759">
        <f t="shared" si="35"/>
        <v>498</v>
      </c>
      <c r="BZ33" s="760">
        <f t="shared" si="35"/>
        <v>1606</v>
      </c>
      <c r="CA33" s="758">
        <f t="shared" si="35"/>
        <v>454</v>
      </c>
      <c r="CB33" s="759">
        <f t="shared" si="35"/>
        <v>651</v>
      </c>
      <c r="CC33" s="759">
        <f t="shared" si="35"/>
        <v>463</v>
      </c>
      <c r="CD33" s="760">
        <f t="shared" si="35"/>
        <v>1568</v>
      </c>
      <c r="CE33" s="758">
        <f t="shared" si="35"/>
        <v>500</v>
      </c>
      <c r="CF33" s="759">
        <f t="shared" si="35"/>
        <v>673</v>
      </c>
      <c r="CG33" s="759">
        <f t="shared" si="35"/>
        <v>371</v>
      </c>
      <c r="CH33" s="760">
        <f t="shared" si="35"/>
        <v>1544</v>
      </c>
      <c r="CI33" s="758">
        <f t="shared" si="35"/>
        <v>554</v>
      </c>
      <c r="CJ33" s="759">
        <f t="shared" si="35"/>
        <v>662</v>
      </c>
      <c r="CK33" s="759">
        <f t="shared" si="35"/>
        <v>404</v>
      </c>
      <c r="CL33" s="760">
        <f t="shared" si="35"/>
        <v>1620</v>
      </c>
      <c r="CM33" s="758">
        <f t="shared" ref="CM33:CP33" si="36">SUM(CM18,CM23,CM27)</f>
        <v>580</v>
      </c>
      <c r="CN33" s="759">
        <f t="shared" si="36"/>
        <v>671</v>
      </c>
      <c r="CO33" s="759">
        <f t="shared" ref="CO33" si="37">SUM(CO18,CO23,CO27)</f>
        <v>437</v>
      </c>
      <c r="CP33" s="760">
        <f t="shared" si="36"/>
        <v>1688</v>
      </c>
      <c r="CQ33" s="758">
        <f t="shared" ref="CQ33:CT33" si="38">SUM(CQ18,CQ23,CQ27)</f>
        <v>582</v>
      </c>
      <c r="CR33" s="759">
        <f t="shared" si="38"/>
        <v>560</v>
      </c>
      <c r="CS33" s="759">
        <f t="shared" si="38"/>
        <v>503</v>
      </c>
      <c r="CT33" s="760">
        <f t="shared" si="38"/>
        <v>1645</v>
      </c>
    </row>
    <row r="34" spans="2:98" s="3" customFormat="1" ht="14.25" customHeight="1" x14ac:dyDescent="0.25">
      <c r="B34" s="154" t="s">
        <v>68</v>
      </c>
      <c r="C34" s="758">
        <f t="shared" ref="C34:BN34" si="39">SUM(C8,C28)</f>
        <v>292</v>
      </c>
      <c r="D34" s="759">
        <f t="shared" si="39"/>
        <v>260</v>
      </c>
      <c r="E34" s="759">
        <f t="shared" si="39"/>
        <v>146</v>
      </c>
      <c r="F34" s="760">
        <f t="shared" si="39"/>
        <v>698</v>
      </c>
      <c r="G34" s="758">
        <f t="shared" si="39"/>
        <v>313</v>
      </c>
      <c r="H34" s="759">
        <f t="shared" si="39"/>
        <v>340</v>
      </c>
      <c r="I34" s="759">
        <f t="shared" si="39"/>
        <v>155</v>
      </c>
      <c r="J34" s="760">
        <f t="shared" si="39"/>
        <v>808</v>
      </c>
      <c r="K34" s="758">
        <f t="shared" si="39"/>
        <v>301</v>
      </c>
      <c r="L34" s="759">
        <f t="shared" si="39"/>
        <v>338</v>
      </c>
      <c r="M34" s="759">
        <f t="shared" si="39"/>
        <v>121</v>
      </c>
      <c r="N34" s="760">
        <f t="shared" si="39"/>
        <v>760</v>
      </c>
      <c r="O34" s="758">
        <f t="shared" si="39"/>
        <v>337</v>
      </c>
      <c r="P34" s="759">
        <f t="shared" si="39"/>
        <v>278</v>
      </c>
      <c r="Q34" s="759">
        <f t="shared" si="39"/>
        <v>112</v>
      </c>
      <c r="R34" s="760">
        <f t="shared" si="39"/>
        <v>727</v>
      </c>
      <c r="S34" s="758">
        <f t="shared" si="39"/>
        <v>322</v>
      </c>
      <c r="T34" s="759">
        <f t="shared" si="39"/>
        <v>321</v>
      </c>
      <c r="U34" s="759">
        <f t="shared" si="39"/>
        <v>132</v>
      </c>
      <c r="V34" s="760">
        <f t="shared" si="39"/>
        <v>775</v>
      </c>
      <c r="W34" s="758">
        <f t="shared" si="39"/>
        <v>242</v>
      </c>
      <c r="X34" s="759">
        <f t="shared" si="39"/>
        <v>342</v>
      </c>
      <c r="Y34" s="759">
        <f t="shared" si="39"/>
        <v>93</v>
      </c>
      <c r="Z34" s="760">
        <f t="shared" si="39"/>
        <v>677</v>
      </c>
      <c r="AA34" s="758">
        <f t="shared" si="39"/>
        <v>262</v>
      </c>
      <c r="AB34" s="759">
        <f t="shared" si="39"/>
        <v>400</v>
      </c>
      <c r="AC34" s="759">
        <f t="shared" si="39"/>
        <v>110</v>
      </c>
      <c r="AD34" s="760">
        <f t="shared" si="39"/>
        <v>772</v>
      </c>
      <c r="AE34" s="758">
        <f t="shared" si="39"/>
        <v>305</v>
      </c>
      <c r="AF34" s="759">
        <f t="shared" si="39"/>
        <v>366</v>
      </c>
      <c r="AG34" s="759">
        <f t="shared" si="39"/>
        <v>111</v>
      </c>
      <c r="AH34" s="760">
        <f t="shared" si="39"/>
        <v>782</v>
      </c>
      <c r="AI34" s="758">
        <f t="shared" si="39"/>
        <v>274</v>
      </c>
      <c r="AJ34" s="759">
        <f t="shared" si="39"/>
        <v>379</v>
      </c>
      <c r="AK34" s="759">
        <f t="shared" si="39"/>
        <v>91</v>
      </c>
      <c r="AL34" s="760">
        <f t="shared" si="39"/>
        <v>744</v>
      </c>
      <c r="AM34" s="758">
        <f t="shared" si="39"/>
        <v>268</v>
      </c>
      <c r="AN34" s="759">
        <f t="shared" si="39"/>
        <v>461</v>
      </c>
      <c r="AO34" s="759">
        <f t="shared" si="39"/>
        <v>112</v>
      </c>
      <c r="AP34" s="759">
        <f t="shared" si="39"/>
        <v>841</v>
      </c>
      <c r="AQ34" s="758">
        <f t="shared" si="39"/>
        <v>352</v>
      </c>
      <c r="AR34" s="759">
        <f t="shared" si="39"/>
        <v>401</v>
      </c>
      <c r="AS34" s="759">
        <f t="shared" si="39"/>
        <v>74</v>
      </c>
      <c r="AT34" s="760">
        <f t="shared" si="39"/>
        <v>827</v>
      </c>
      <c r="AU34" s="758">
        <f t="shared" si="39"/>
        <v>309</v>
      </c>
      <c r="AV34" s="759">
        <f t="shared" si="39"/>
        <v>344</v>
      </c>
      <c r="AW34" s="759">
        <f t="shared" si="39"/>
        <v>113</v>
      </c>
      <c r="AX34" s="760">
        <f t="shared" si="39"/>
        <v>766</v>
      </c>
      <c r="AY34" s="758">
        <f t="shared" si="39"/>
        <v>265</v>
      </c>
      <c r="AZ34" s="759">
        <f t="shared" si="39"/>
        <v>323</v>
      </c>
      <c r="BA34" s="759">
        <f t="shared" si="39"/>
        <v>31</v>
      </c>
      <c r="BB34" s="760">
        <f t="shared" si="39"/>
        <v>619</v>
      </c>
      <c r="BC34" s="758">
        <f t="shared" si="39"/>
        <v>264</v>
      </c>
      <c r="BD34" s="759">
        <f t="shared" si="39"/>
        <v>324</v>
      </c>
      <c r="BE34" s="759">
        <f t="shared" si="39"/>
        <v>37</v>
      </c>
      <c r="BF34" s="760">
        <f t="shared" si="39"/>
        <v>625</v>
      </c>
      <c r="BG34" s="758">
        <f t="shared" si="39"/>
        <v>336</v>
      </c>
      <c r="BH34" s="759">
        <f t="shared" si="39"/>
        <v>384</v>
      </c>
      <c r="BI34" s="759">
        <f t="shared" si="39"/>
        <v>49</v>
      </c>
      <c r="BJ34" s="760">
        <f t="shared" si="39"/>
        <v>769</v>
      </c>
      <c r="BK34" s="758">
        <f t="shared" si="39"/>
        <v>336</v>
      </c>
      <c r="BL34" s="759">
        <f t="shared" si="39"/>
        <v>409</v>
      </c>
      <c r="BM34" s="759">
        <f t="shared" si="39"/>
        <v>53</v>
      </c>
      <c r="BN34" s="760">
        <f t="shared" si="39"/>
        <v>798</v>
      </c>
      <c r="BO34" s="758">
        <f t="shared" ref="BO34:CL34" si="40">SUM(BO8,BO28)</f>
        <v>352</v>
      </c>
      <c r="BP34" s="759">
        <f t="shared" si="40"/>
        <v>331</v>
      </c>
      <c r="BQ34" s="759">
        <f t="shared" si="40"/>
        <v>68</v>
      </c>
      <c r="BR34" s="760">
        <f t="shared" si="40"/>
        <v>751</v>
      </c>
      <c r="BS34" s="758">
        <f t="shared" si="40"/>
        <v>305</v>
      </c>
      <c r="BT34" s="759">
        <f t="shared" si="40"/>
        <v>401</v>
      </c>
      <c r="BU34" s="759">
        <f t="shared" si="40"/>
        <v>70</v>
      </c>
      <c r="BV34" s="760">
        <f t="shared" si="40"/>
        <v>776</v>
      </c>
      <c r="BW34" s="758">
        <f t="shared" si="40"/>
        <v>341</v>
      </c>
      <c r="BX34" s="759">
        <f t="shared" si="40"/>
        <v>386</v>
      </c>
      <c r="BY34" s="759">
        <f t="shared" si="40"/>
        <v>82</v>
      </c>
      <c r="BZ34" s="760">
        <f t="shared" si="40"/>
        <v>809</v>
      </c>
      <c r="CA34" s="758">
        <f t="shared" si="40"/>
        <v>375</v>
      </c>
      <c r="CB34" s="759">
        <f t="shared" si="40"/>
        <v>313</v>
      </c>
      <c r="CC34" s="759">
        <f t="shared" si="40"/>
        <v>80</v>
      </c>
      <c r="CD34" s="760">
        <f t="shared" si="40"/>
        <v>768</v>
      </c>
      <c r="CE34" s="758">
        <f t="shared" si="40"/>
        <v>339</v>
      </c>
      <c r="CF34" s="759">
        <f t="shared" si="40"/>
        <v>402</v>
      </c>
      <c r="CG34" s="759">
        <f t="shared" si="40"/>
        <v>84</v>
      </c>
      <c r="CH34" s="760">
        <f t="shared" si="40"/>
        <v>825</v>
      </c>
      <c r="CI34" s="758">
        <f t="shared" si="40"/>
        <v>349</v>
      </c>
      <c r="CJ34" s="759">
        <f t="shared" si="40"/>
        <v>405</v>
      </c>
      <c r="CK34" s="759">
        <f t="shared" si="40"/>
        <v>107</v>
      </c>
      <c r="CL34" s="760">
        <f t="shared" si="40"/>
        <v>861</v>
      </c>
      <c r="CM34" s="758">
        <f t="shared" ref="CM34:CP34" si="41">SUM(CM8,CM28)</f>
        <v>405</v>
      </c>
      <c r="CN34" s="759">
        <f t="shared" si="41"/>
        <v>379</v>
      </c>
      <c r="CO34" s="759">
        <f t="shared" ref="CO34" si="42">SUM(CO8,CO28)</f>
        <v>71</v>
      </c>
      <c r="CP34" s="760">
        <f t="shared" si="41"/>
        <v>855</v>
      </c>
      <c r="CQ34" s="758">
        <f t="shared" ref="CQ34:CT34" si="43">SUM(CQ8,CQ28)</f>
        <v>346</v>
      </c>
      <c r="CR34" s="759">
        <f t="shared" si="43"/>
        <v>459</v>
      </c>
      <c r="CS34" s="759">
        <f t="shared" si="43"/>
        <v>84</v>
      </c>
      <c r="CT34" s="760">
        <f t="shared" si="43"/>
        <v>889</v>
      </c>
    </row>
    <row r="35" spans="2:98" s="3" customFormat="1" ht="14.25" customHeight="1" x14ac:dyDescent="0.25">
      <c r="B35" s="154" t="s">
        <v>111</v>
      </c>
      <c r="C35" s="758"/>
      <c r="D35" s="759"/>
      <c r="E35" s="759"/>
      <c r="F35" s="760"/>
      <c r="G35" s="758"/>
      <c r="H35" s="759"/>
      <c r="I35" s="759"/>
      <c r="J35" s="760"/>
      <c r="K35" s="758"/>
      <c r="L35" s="759"/>
      <c r="M35" s="759"/>
      <c r="N35" s="760"/>
      <c r="O35" s="758"/>
      <c r="P35" s="759"/>
      <c r="Q35" s="759"/>
      <c r="R35" s="760"/>
      <c r="S35" s="758"/>
      <c r="T35" s="759"/>
      <c r="U35" s="759"/>
      <c r="V35" s="760"/>
      <c r="W35" s="758"/>
      <c r="X35" s="759"/>
      <c r="Y35" s="759"/>
      <c r="Z35" s="760"/>
      <c r="AA35" s="758"/>
      <c r="AB35" s="759"/>
      <c r="AC35" s="759"/>
      <c r="AD35" s="760"/>
      <c r="AE35" s="758"/>
      <c r="AF35" s="759"/>
      <c r="AG35" s="759"/>
      <c r="AH35" s="760"/>
      <c r="AI35" s="758"/>
      <c r="AJ35" s="759"/>
      <c r="AK35" s="759"/>
      <c r="AL35" s="760"/>
      <c r="AM35" s="758"/>
      <c r="AN35" s="759"/>
      <c r="AO35" s="759"/>
      <c r="AP35" s="759"/>
      <c r="AQ35" s="758"/>
      <c r="AR35" s="759">
        <f t="shared" ref="AR35:BO35" si="44">SUM(AR12)</f>
        <v>0</v>
      </c>
      <c r="AS35" s="759">
        <f t="shared" si="44"/>
        <v>9</v>
      </c>
      <c r="AT35" s="760">
        <f t="shared" si="44"/>
        <v>9</v>
      </c>
      <c r="AU35" s="758">
        <f t="shared" si="44"/>
        <v>0</v>
      </c>
      <c r="AV35" s="759">
        <f t="shared" si="44"/>
        <v>4</v>
      </c>
      <c r="AW35" s="759">
        <f t="shared" si="44"/>
        <v>11</v>
      </c>
      <c r="AX35" s="760">
        <f t="shared" si="44"/>
        <v>15</v>
      </c>
      <c r="AY35" s="758">
        <f t="shared" si="44"/>
        <v>2</v>
      </c>
      <c r="AZ35" s="759">
        <f t="shared" si="44"/>
        <v>16</v>
      </c>
      <c r="BA35" s="759">
        <f t="shared" si="44"/>
        <v>14</v>
      </c>
      <c r="BB35" s="760">
        <f t="shared" si="44"/>
        <v>32</v>
      </c>
      <c r="BC35" s="758">
        <f t="shared" si="44"/>
        <v>5</v>
      </c>
      <c r="BD35" s="759">
        <f t="shared" si="44"/>
        <v>32</v>
      </c>
      <c r="BE35" s="759">
        <f t="shared" si="44"/>
        <v>11</v>
      </c>
      <c r="BF35" s="760">
        <f t="shared" si="44"/>
        <v>48</v>
      </c>
      <c r="BG35" s="758">
        <f t="shared" si="44"/>
        <v>4</v>
      </c>
      <c r="BH35" s="759">
        <f t="shared" si="44"/>
        <v>16</v>
      </c>
      <c r="BI35" s="759">
        <f t="shared" si="44"/>
        <v>1</v>
      </c>
      <c r="BJ35" s="760">
        <f t="shared" si="44"/>
        <v>21</v>
      </c>
      <c r="BK35" s="758">
        <f t="shared" si="44"/>
        <v>5</v>
      </c>
      <c r="BL35" s="759">
        <f t="shared" si="44"/>
        <v>20</v>
      </c>
      <c r="BM35" s="759">
        <f t="shared" si="44"/>
        <v>6</v>
      </c>
      <c r="BN35" s="760">
        <f t="shared" si="44"/>
        <v>31</v>
      </c>
      <c r="BO35" s="758">
        <f t="shared" si="44"/>
        <v>10</v>
      </c>
      <c r="BP35" s="759">
        <f t="shared" ref="BP35:CL36" si="45">SUM(BP12)</f>
        <v>17</v>
      </c>
      <c r="BQ35" s="759">
        <f t="shared" si="45"/>
        <v>2</v>
      </c>
      <c r="BR35" s="760">
        <f t="shared" si="45"/>
        <v>29</v>
      </c>
      <c r="BS35" s="758">
        <f t="shared" si="45"/>
        <v>13</v>
      </c>
      <c r="BT35" s="759">
        <f t="shared" si="45"/>
        <v>18</v>
      </c>
      <c r="BU35" s="759">
        <f t="shared" si="45"/>
        <v>8</v>
      </c>
      <c r="BV35" s="760">
        <f t="shared" si="45"/>
        <v>39</v>
      </c>
      <c r="BW35" s="758">
        <f t="shared" si="45"/>
        <v>17</v>
      </c>
      <c r="BX35" s="759">
        <f t="shared" si="45"/>
        <v>27</v>
      </c>
      <c r="BY35" s="759">
        <f t="shared" si="45"/>
        <v>11</v>
      </c>
      <c r="BZ35" s="760">
        <f t="shared" si="45"/>
        <v>55</v>
      </c>
      <c r="CA35" s="758">
        <f t="shared" si="45"/>
        <v>18</v>
      </c>
      <c r="CB35" s="759">
        <f t="shared" si="45"/>
        <v>32</v>
      </c>
      <c r="CC35" s="759">
        <f t="shared" si="45"/>
        <v>9</v>
      </c>
      <c r="CD35" s="760">
        <f t="shared" si="45"/>
        <v>59</v>
      </c>
      <c r="CE35" s="758">
        <f t="shared" si="45"/>
        <v>14</v>
      </c>
      <c r="CF35" s="759">
        <f t="shared" si="45"/>
        <v>33</v>
      </c>
      <c r="CG35" s="759">
        <f t="shared" si="45"/>
        <v>33</v>
      </c>
      <c r="CH35" s="760">
        <f t="shared" si="45"/>
        <v>80</v>
      </c>
      <c r="CI35" s="758">
        <f t="shared" si="45"/>
        <v>16</v>
      </c>
      <c r="CJ35" s="759">
        <f t="shared" si="45"/>
        <v>19</v>
      </c>
      <c r="CK35" s="759">
        <f t="shared" si="45"/>
        <v>25</v>
      </c>
      <c r="CL35" s="760">
        <f t="shared" si="45"/>
        <v>60</v>
      </c>
      <c r="CM35" s="758">
        <f t="shared" ref="CM35:CP35" si="46">SUM(CM12)</f>
        <v>10</v>
      </c>
      <c r="CN35" s="759">
        <f t="shared" si="46"/>
        <v>30</v>
      </c>
      <c r="CO35" s="759">
        <f t="shared" ref="CO35" si="47">SUM(CO12)</f>
        <v>57</v>
      </c>
      <c r="CP35" s="760">
        <f t="shared" si="46"/>
        <v>97</v>
      </c>
      <c r="CQ35" s="758">
        <f t="shared" ref="CQ35:CT36" si="48">SUM(CQ12)</f>
        <v>16</v>
      </c>
      <c r="CR35" s="759">
        <f t="shared" si="48"/>
        <v>52</v>
      </c>
      <c r="CS35" s="759">
        <f t="shared" si="48"/>
        <v>17</v>
      </c>
      <c r="CT35" s="760">
        <f t="shared" si="48"/>
        <v>85</v>
      </c>
    </row>
    <row r="36" spans="2:98" s="3" customFormat="1" ht="14.25" customHeight="1" x14ac:dyDescent="0.25">
      <c r="B36" s="263" t="s">
        <v>115</v>
      </c>
      <c r="C36" s="788"/>
      <c r="D36" s="789"/>
      <c r="E36" s="789"/>
      <c r="F36" s="790"/>
      <c r="G36" s="788"/>
      <c r="H36" s="789"/>
      <c r="I36" s="789"/>
      <c r="J36" s="790"/>
      <c r="K36" s="788"/>
      <c r="L36" s="789"/>
      <c r="M36" s="789"/>
      <c r="N36" s="790"/>
      <c r="O36" s="788"/>
      <c r="P36" s="789"/>
      <c r="Q36" s="789"/>
      <c r="R36" s="790"/>
      <c r="S36" s="788"/>
      <c r="T36" s="789"/>
      <c r="U36" s="789"/>
      <c r="V36" s="790"/>
      <c r="W36" s="788"/>
      <c r="X36" s="789"/>
      <c r="Y36" s="789"/>
      <c r="Z36" s="790"/>
      <c r="AA36" s="788"/>
      <c r="AB36" s="789"/>
      <c r="AC36" s="789"/>
      <c r="AD36" s="790"/>
      <c r="AE36" s="788"/>
      <c r="AF36" s="789"/>
      <c r="AG36" s="789"/>
      <c r="AH36" s="790"/>
      <c r="AI36" s="788"/>
      <c r="AJ36" s="789"/>
      <c r="AK36" s="789"/>
      <c r="AL36" s="790"/>
      <c r="AM36" s="788"/>
      <c r="AN36" s="789"/>
      <c r="AO36" s="789"/>
      <c r="AP36" s="789"/>
      <c r="AQ36" s="788"/>
      <c r="AR36" s="789">
        <f t="shared" ref="AR36:BO36" si="49">SUM(AR13)</f>
        <v>11</v>
      </c>
      <c r="AS36" s="789">
        <f t="shared" si="49"/>
        <v>0</v>
      </c>
      <c r="AT36" s="790">
        <f t="shared" si="49"/>
        <v>11</v>
      </c>
      <c r="AU36" s="788">
        <f t="shared" si="49"/>
        <v>1</v>
      </c>
      <c r="AV36" s="789">
        <f t="shared" si="49"/>
        <v>6</v>
      </c>
      <c r="AW36" s="789">
        <f t="shared" si="49"/>
        <v>3</v>
      </c>
      <c r="AX36" s="790">
        <f t="shared" si="49"/>
        <v>10</v>
      </c>
      <c r="AY36" s="788">
        <f t="shared" si="49"/>
        <v>3</v>
      </c>
      <c r="AZ36" s="789">
        <f t="shared" si="49"/>
        <v>7</v>
      </c>
      <c r="BA36" s="789">
        <f t="shared" si="49"/>
        <v>1</v>
      </c>
      <c r="BB36" s="790">
        <f t="shared" si="49"/>
        <v>11</v>
      </c>
      <c r="BC36" s="788">
        <f t="shared" si="49"/>
        <v>1</v>
      </c>
      <c r="BD36" s="789">
        <f t="shared" si="49"/>
        <v>5</v>
      </c>
      <c r="BE36" s="789">
        <f t="shared" si="49"/>
        <v>12</v>
      </c>
      <c r="BF36" s="790">
        <f t="shared" si="49"/>
        <v>18</v>
      </c>
      <c r="BG36" s="788">
        <f t="shared" si="49"/>
        <v>6</v>
      </c>
      <c r="BH36" s="789">
        <f t="shared" si="49"/>
        <v>7</v>
      </c>
      <c r="BI36" s="789">
        <f t="shared" si="49"/>
        <v>2</v>
      </c>
      <c r="BJ36" s="790">
        <f t="shared" si="49"/>
        <v>15</v>
      </c>
      <c r="BK36" s="788">
        <f t="shared" si="49"/>
        <v>6</v>
      </c>
      <c r="BL36" s="789">
        <f t="shared" si="49"/>
        <v>9</v>
      </c>
      <c r="BM36" s="789">
        <f t="shared" si="49"/>
        <v>7</v>
      </c>
      <c r="BN36" s="790">
        <f t="shared" si="49"/>
        <v>22</v>
      </c>
      <c r="BO36" s="788">
        <f t="shared" si="49"/>
        <v>6</v>
      </c>
      <c r="BP36" s="789">
        <f t="shared" si="45"/>
        <v>10</v>
      </c>
      <c r="BQ36" s="789">
        <f t="shared" si="45"/>
        <v>8</v>
      </c>
      <c r="BR36" s="790">
        <f t="shared" si="45"/>
        <v>24</v>
      </c>
      <c r="BS36" s="788">
        <f t="shared" si="45"/>
        <v>17</v>
      </c>
      <c r="BT36" s="789">
        <f t="shared" si="45"/>
        <v>20</v>
      </c>
      <c r="BU36" s="789">
        <f t="shared" si="45"/>
        <v>5</v>
      </c>
      <c r="BV36" s="790">
        <f t="shared" si="45"/>
        <v>42</v>
      </c>
      <c r="BW36" s="788">
        <f t="shared" si="45"/>
        <v>19</v>
      </c>
      <c r="BX36" s="789">
        <f t="shared" si="45"/>
        <v>16</v>
      </c>
      <c r="BY36" s="789">
        <f t="shared" si="45"/>
        <v>8</v>
      </c>
      <c r="BZ36" s="790">
        <f t="shared" si="45"/>
        <v>43</v>
      </c>
      <c r="CA36" s="788">
        <f t="shared" si="45"/>
        <v>16</v>
      </c>
      <c r="CB36" s="789">
        <f t="shared" si="45"/>
        <v>29</v>
      </c>
      <c r="CC36" s="789">
        <f t="shared" si="45"/>
        <v>26</v>
      </c>
      <c r="CD36" s="790">
        <f t="shared" si="45"/>
        <v>71</v>
      </c>
      <c r="CE36" s="788">
        <f t="shared" si="45"/>
        <v>16</v>
      </c>
      <c r="CF36" s="789">
        <f t="shared" si="45"/>
        <v>20</v>
      </c>
      <c r="CG36" s="789">
        <f t="shared" si="45"/>
        <v>26</v>
      </c>
      <c r="CH36" s="790">
        <f t="shared" si="45"/>
        <v>62</v>
      </c>
      <c r="CI36" s="788">
        <f t="shared" si="45"/>
        <v>16</v>
      </c>
      <c r="CJ36" s="789">
        <f t="shared" si="45"/>
        <v>9</v>
      </c>
      <c r="CK36" s="789">
        <f t="shared" si="45"/>
        <v>20</v>
      </c>
      <c r="CL36" s="790">
        <f t="shared" si="45"/>
        <v>45</v>
      </c>
      <c r="CM36" s="788">
        <f t="shared" ref="CM36:CP36" si="50">SUM(CM13)</f>
        <v>17</v>
      </c>
      <c r="CN36" s="789">
        <f t="shared" si="50"/>
        <v>11</v>
      </c>
      <c r="CO36" s="789">
        <f t="shared" ref="CO36" si="51">SUM(CO13)</f>
        <v>67</v>
      </c>
      <c r="CP36" s="790">
        <f t="shared" si="50"/>
        <v>95</v>
      </c>
      <c r="CQ36" s="788">
        <f t="shared" ref="CQ36:CR36" si="52">SUM(CQ13)</f>
        <v>17</v>
      </c>
      <c r="CR36" s="789">
        <f t="shared" si="52"/>
        <v>48</v>
      </c>
      <c r="CS36" s="789">
        <f t="shared" si="48"/>
        <v>13</v>
      </c>
      <c r="CT36" s="790">
        <f t="shared" si="48"/>
        <v>78</v>
      </c>
    </row>
    <row r="37" spans="2:98" s="162" customFormat="1" ht="14.4" x14ac:dyDescent="0.25">
      <c r="B37" s="267" t="s">
        <v>128</v>
      </c>
      <c r="C37" s="791">
        <f t="shared" ref="C37:R37" si="53">SUM(C31:C36)</f>
        <v>1681</v>
      </c>
      <c r="D37" s="792">
        <f t="shared" si="53"/>
        <v>1864</v>
      </c>
      <c r="E37" s="792">
        <f t="shared" si="53"/>
        <v>981</v>
      </c>
      <c r="F37" s="792">
        <f t="shared" si="53"/>
        <v>4526</v>
      </c>
      <c r="G37" s="791">
        <f t="shared" si="53"/>
        <v>1629</v>
      </c>
      <c r="H37" s="792">
        <f t="shared" si="53"/>
        <v>1923</v>
      </c>
      <c r="I37" s="792">
        <f t="shared" si="53"/>
        <v>1010</v>
      </c>
      <c r="J37" s="792">
        <f t="shared" si="53"/>
        <v>4562</v>
      </c>
      <c r="K37" s="791">
        <f t="shared" si="53"/>
        <v>1616</v>
      </c>
      <c r="L37" s="792">
        <f t="shared" si="53"/>
        <v>1869</v>
      </c>
      <c r="M37" s="792">
        <f t="shared" si="53"/>
        <v>1006</v>
      </c>
      <c r="N37" s="792">
        <f t="shared" si="53"/>
        <v>4491</v>
      </c>
      <c r="O37" s="791">
        <f t="shared" si="53"/>
        <v>1722</v>
      </c>
      <c r="P37" s="792">
        <f t="shared" si="53"/>
        <v>1967</v>
      </c>
      <c r="Q37" s="792">
        <f t="shared" si="53"/>
        <v>1043</v>
      </c>
      <c r="R37" s="792">
        <f t="shared" si="53"/>
        <v>4732</v>
      </c>
      <c r="S37" s="791">
        <f t="shared" ref="S37:CD37" si="54">SUM(S31:S36)</f>
        <v>1757</v>
      </c>
      <c r="T37" s="792">
        <f t="shared" si="54"/>
        <v>1913</v>
      </c>
      <c r="U37" s="792">
        <f t="shared" si="54"/>
        <v>1023</v>
      </c>
      <c r="V37" s="792">
        <f t="shared" si="54"/>
        <v>4693</v>
      </c>
      <c r="W37" s="791">
        <f t="shared" si="54"/>
        <v>1514</v>
      </c>
      <c r="X37" s="792">
        <f t="shared" si="54"/>
        <v>1926</v>
      </c>
      <c r="Y37" s="792">
        <f t="shared" si="54"/>
        <v>1005</v>
      </c>
      <c r="Z37" s="792">
        <f t="shared" si="54"/>
        <v>4445</v>
      </c>
      <c r="AA37" s="791">
        <f t="shared" si="54"/>
        <v>1549</v>
      </c>
      <c r="AB37" s="792">
        <f t="shared" si="54"/>
        <v>1929</v>
      </c>
      <c r="AC37" s="792">
        <f t="shared" si="54"/>
        <v>956</v>
      </c>
      <c r="AD37" s="792">
        <f t="shared" si="54"/>
        <v>4434</v>
      </c>
      <c r="AE37" s="791">
        <f t="shared" si="54"/>
        <v>1631</v>
      </c>
      <c r="AF37" s="792">
        <f t="shared" si="54"/>
        <v>1902</v>
      </c>
      <c r="AG37" s="792">
        <f t="shared" si="54"/>
        <v>1007</v>
      </c>
      <c r="AH37" s="792">
        <f t="shared" si="54"/>
        <v>4540</v>
      </c>
      <c r="AI37" s="791">
        <f t="shared" si="54"/>
        <v>1551</v>
      </c>
      <c r="AJ37" s="792">
        <f t="shared" si="54"/>
        <v>1943</v>
      </c>
      <c r="AK37" s="792">
        <f t="shared" si="54"/>
        <v>932</v>
      </c>
      <c r="AL37" s="792">
        <f t="shared" si="54"/>
        <v>4426</v>
      </c>
      <c r="AM37" s="791">
        <f t="shared" si="54"/>
        <v>1814</v>
      </c>
      <c r="AN37" s="792">
        <f t="shared" si="54"/>
        <v>2082</v>
      </c>
      <c r="AO37" s="792">
        <f t="shared" si="54"/>
        <v>961</v>
      </c>
      <c r="AP37" s="792">
        <f t="shared" si="54"/>
        <v>4857</v>
      </c>
      <c r="AQ37" s="791">
        <f t="shared" si="54"/>
        <v>1680</v>
      </c>
      <c r="AR37" s="792">
        <f t="shared" si="54"/>
        <v>2222</v>
      </c>
      <c r="AS37" s="792">
        <f t="shared" si="54"/>
        <v>949</v>
      </c>
      <c r="AT37" s="793">
        <f t="shared" si="54"/>
        <v>4851</v>
      </c>
      <c r="AU37" s="791">
        <f t="shared" si="54"/>
        <v>1713</v>
      </c>
      <c r="AV37" s="792">
        <f t="shared" si="54"/>
        <v>2119</v>
      </c>
      <c r="AW37" s="792">
        <f t="shared" si="54"/>
        <v>1022</v>
      </c>
      <c r="AX37" s="793">
        <f t="shared" si="54"/>
        <v>4854</v>
      </c>
      <c r="AY37" s="791">
        <f t="shared" si="54"/>
        <v>1595</v>
      </c>
      <c r="AZ37" s="792">
        <f t="shared" si="54"/>
        <v>1959</v>
      </c>
      <c r="BA37" s="792">
        <f t="shared" si="54"/>
        <v>894</v>
      </c>
      <c r="BB37" s="793">
        <f t="shared" si="54"/>
        <v>4448</v>
      </c>
      <c r="BC37" s="791">
        <f t="shared" si="54"/>
        <v>1620</v>
      </c>
      <c r="BD37" s="792">
        <f t="shared" si="54"/>
        <v>2108</v>
      </c>
      <c r="BE37" s="792">
        <f t="shared" si="54"/>
        <v>946</v>
      </c>
      <c r="BF37" s="793">
        <f t="shared" si="54"/>
        <v>4674</v>
      </c>
      <c r="BG37" s="791">
        <f t="shared" si="54"/>
        <v>1807</v>
      </c>
      <c r="BH37" s="792">
        <f t="shared" si="54"/>
        <v>2329</v>
      </c>
      <c r="BI37" s="792">
        <f t="shared" si="54"/>
        <v>1198</v>
      </c>
      <c r="BJ37" s="793">
        <f t="shared" si="54"/>
        <v>5334</v>
      </c>
      <c r="BK37" s="791">
        <f t="shared" si="54"/>
        <v>1785</v>
      </c>
      <c r="BL37" s="792">
        <f t="shared" si="54"/>
        <v>2239</v>
      </c>
      <c r="BM37" s="792">
        <f t="shared" si="54"/>
        <v>1039</v>
      </c>
      <c r="BN37" s="793">
        <f t="shared" si="54"/>
        <v>5063</v>
      </c>
      <c r="BO37" s="791">
        <f t="shared" si="54"/>
        <v>1798</v>
      </c>
      <c r="BP37" s="792">
        <f t="shared" si="54"/>
        <v>2134</v>
      </c>
      <c r="BQ37" s="792">
        <f t="shared" si="54"/>
        <v>1215</v>
      </c>
      <c r="BR37" s="793">
        <f t="shared" si="54"/>
        <v>5147</v>
      </c>
      <c r="BS37" s="791">
        <f t="shared" si="54"/>
        <v>1790</v>
      </c>
      <c r="BT37" s="792">
        <f t="shared" si="54"/>
        <v>2356</v>
      </c>
      <c r="BU37" s="792">
        <f t="shared" si="54"/>
        <v>999</v>
      </c>
      <c r="BV37" s="793">
        <f t="shared" si="54"/>
        <v>5145</v>
      </c>
      <c r="BW37" s="791">
        <f t="shared" si="54"/>
        <v>1880</v>
      </c>
      <c r="BX37" s="792">
        <f t="shared" si="54"/>
        <v>2300</v>
      </c>
      <c r="BY37" s="792">
        <f t="shared" si="54"/>
        <v>1247</v>
      </c>
      <c r="BZ37" s="793">
        <f t="shared" si="54"/>
        <v>5427</v>
      </c>
      <c r="CA37" s="791">
        <f t="shared" si="54"/>
        <v>1842</v>
      </c>
      <c r="CB37" s="792">
        <f t="shared" si="54"/>
        <v>2359</v>
      </c>
      <c r="CC37" s="792">
        <f t="shared" si="54"/>
        <v>1207</v>
      </c>
      <c r="CD37" s="793">
        <f t="shared" si="54"/>
        <v>5408</v>
      </c>
      <c r="CE37" s="791">
        <f t="shared" ref="CE37:CL37" si="55">SUM(CE31:CE36)</f>
        <v>2011</v>
      </c>
      <c r="CF37" s="792">
        <f t="shared" si="55"/>
        <v>2245</v>
      </c>
      <c r="CG37" s="792">
        <f t="shared" si="55"/>
        <v>1080</v>
      </c>
      <c r="CH37" s="793">
        <f t="shared" si="55"/>
        <v>5336</v>
      </c>
      <c r="CI37" s="791">
        <f t="shared" si="55"/>
        <v>1923</v>
      </c>
      <c r="CJ37" s="792">
        <f t="shared" si="55"/>
        <v>2270</v>
      </c>
      <c r="CK37" s="792">
        <f t="shared" si="55"/>
        <v>1193</v>
      </c>
      <c r="CL37" s="793">
        <f t="shared" si="55"/>
        <v>5386</v>
      </c>
      <c r="CM37" s="791">
        <f t="shared" ref="CM37:CP37" si="56">SUM(CM31:CM36)</f>
        <v>2064</v>
      </c>
      <c r="CN37" s="792">
        <f t="shared" si="56"/>
        <v>2246</v>
      </c>
      <c r="CO37" s="792">
        <f t="shared" si="56"/>
        <v>1297</v>
      </c>
      <c r="CP37" s="793">
        <f t="shared" si="56"/>
        <v>5607</v>
      </c>
      <c r="CQ37" s="791">
        <f t="shared" ref="CQ37:CT37" si="57">SUM(CQ31:CQ36)</f>
        <v>2042</v>
      </c>
      <c r="CR37" s="792">
        <f t="shared" si="57"/>
        <v>2311</v>
      </c>
      <c r="CS37" s="792">
        <f t="shared" si="57"/>
        <v>1247</v>
      </c>
      <c r="CT37" s="793">
        <f t="shared" si="57"/>
        <v>5600</v>
      </c>
    </row>
    <row r="38" spans="2:98" s="794" customFormat="1" ht="15" x14ac:dyDescent="0.25">
      <c r="C38" s="795"/>
      <c r="D38" s="795"/>
      <c r="E38" s="795"/>
      <c r="F38" s="795"/>
      <c r="G38" s="795"/>
      <c r="H38" s="795"/>
      <c r="I38" s="795"/>
      <c r="J38" s="795"/>
      <c r="K38" s="795"/>
      <c r="L38" s="795"/>
      <c r="M38" s="795"/>
      <c r="N38" s="795"/>
      <c r="O38" s="795"/>
      <c r="P38" s="795"/>
      <c r="Q38" s="795"/>
      <c r="R38" s="795"/>
      <c r="S38" s="795"/>
      <c r="T38" s="795"/>
      <c r="U38" s="795"/>
      <c r="V38" s="795"/>
      <c r="W38" s="795"/>
      <c r="X38" s="795"/>
      <c r="Y38" s="795"/>
      <c r="Z38" s="795"/>
      <c r="AA38" s="795"/>
      <c r="AB38" s="795"/>
      <c r="AC38" s="795"/>
      <c r="AD38" s="795"/>
      <c r="AE38" s="795"/>
      <c r="AF38" s="795"/>
      <c r="AG38" s="795"/>
      <c r="AH38" s="795"/>
      <c r="AI38" s="795"/>
      <c r="AJ38" s="795"/>
      <c r="AK38" s="795"/>
      <c r="AL38" s="795"/>
      <c r="AM38" s="795"/>
      <c r="AN38" s="795"/>
      <c r="AO38" s="795"/>
      <c r="AP38" s="795"/>
      <c r="AQ38" s="795"/>
      <c r="AR38" s="795"/>
      <c r="AS38" s="795"/>
      <c r="AT38" s="795"/>
      <c r="AU38" s="795"/>
      <c r="AV38" s="795"/>
      <c r="AW38" s="795"/>
      <c r="AX38" s="795"/>
      <c r="AY38" s="795"/>
      <c r="AZ38" s="795"/>
      <c r="BA38" s="795"/>
      <c r="BB38" s="795"/>
      <c r="BC38" s="795"/>
      <c r="BD38" s="795"/>
      <c r="BE38" s="795"/>
      <c r="BF38" s="795"/>
      <c r="BG38" s="795"/>
      <c r="BH38" s="795"/>
      <c r="BI38" s="795"/>
      <c r="BJ38" s="795"/>
      <c r="CL38" s="747"/>
      <c r="CP38" s="4645"/>
      <c r="CS38" s="162"/>
      <c r="CT38" s="4645"/>
    </row>
    <row r="39" spans="2:98" s="794" customFormat="1" ht="15" x14ac:dyDescent="0.25">
      <c r="CS39" s="162"/>
    </row>
    <row r="40" spans="2:98" ht="13.8" x14ac:dyDescent="0.25">
      <c r="CS40" s="162"/>
    </row>
    <row r="41" spans="2:98" ht="13.8" x14ac:dyDescent="0.25">
      <c r="F41"/>
      <c r="CS41" s="162"/>
    </row>
    <row r="42" spans="2:98" ht="13.8" x14ac:dyDescent="0.25">
      <c r="W42" s="796"/>
      <c r="X42" s="796"/>
      <c r="Y42" s="796"/>
      <c r="Z42" s="796"/>
      <c r="AA42" s="796"/>
      <c r="AB42" s="796"/>
      <c r="AC42" s="796"/>
      <c r="AD42" s="796"/>
      <c r="AE42" s="796"/>
      <c r="AF42" s="796"/>
      <c r="AG42" s="796"/>
      <c r="AH42" s="796"/>
      <c r="AI42" s="796"/>
      <c r="AJ42" s="796"/>
      <c r="AK42" s="796"/>
      <c r="AL42" s="796"/>
      <c r="CS42" s="162"/>
    </row>
    <row r="43" spans="2:98" ht="13.8" x14ac:dyDescent="0.25">
      <c r="CQ43" s="796"/>
      <c r="CS43" s="162"/>
    </row>
    <row r="44" spans="2:98" ht="12.75" customHeight="1" x14ac:dyDescent="0.25">
      <c r="CS44" s="162"/>
    </row>
    <row r="47" spans="2:98" x14ac:dyDescent="0.25">
      <c r="BN47" s="371">
        <v>1999</v>
      </c>
    </row>
    <row r="48" spans="2:98" x14ac:dyDescent="0.25">
      <c r="BN48" s="371">
        <v>2000</v>
      </c>
    </row>
    <row r="49" spans="66:66" x14ac:dyDescent="0.25">
      <c r="BN49" s="371">
        <v>2001</v>
      </c>
    </row>
    <row r="50" spans="66:66" x14ac:dyDescent="0.25">
      <c r="BN50" s="371">
        <v>2002</v>
      </c>
    </row>
    <row r="51" spans="66:66" x14ac:dyDescent="0.25">
      <c r="BN51" s="371">
        <v>2003</v>
      </c>
    </row>
    <row r="52" spans="66:66" x14ac:dyDescent="0.25">
      <c r="BN52" s="371">
        <v>2004</v>
      </c>
    </row>
    <row r="53" spans="66:66" x14ac:dyDescent="0.25">
      <c r="BN53" s="371">
        <v>2005</v>
      </c>
    </row>
    <row r="54" spans="66:66" x14ac:dyDescent="0.25">
      <c r="BN54" s="371">
        <v>2006</v>
      </c>
    </row>
    <row r="55" spans="66:66" x14ac:dyDescent="0.25">
      <c r="BN55" s="371">
        <v>2007</v>
      </c>
    </row>
    <row r="56" spans="66:66" x14ac:dyDescent="0.25">
      <c r="BN56" s="371">
        <v>2008</v>
      </c>
    </row>
    <row r="57" spans="66:66" x14ac:dyDescent="0.25">
      <c r="BN57" s="371">
        <v>2009</v>
      </c>
    </row>
    <row r="58" spans="66:66" x14ac:dyDescent="0.25">
      <c r="BN58" s="371">
        <v>2010</v>
      </c>
    </row>
    <row r="59" spans="66:66" x14ac:dyDescent="0.25">
      <c r="BN59" s="371">
        <v>2011</v>
      </c>
    </row>
    <row r="60" spans="66:66" x14ac:dyDescent="0.25">
      <c r="BN60" s="371">
        <v>2012</v>
      </c>
    </row>
    <row r="61" spans="66:66" x14ac:dyDescent="0.25">
      <c r="BN61" s="371">
        <v>2013</v>
      </c>
    </row>
    <row r="62" spans="66:66" x14ac:dyDescent="0.25">
      <c r="BN62" s="797">
        <v>2014</v>
      </c>
    </row>
    <row r="63" spans="66:66" x14ac:dyDescent="0.25">
      <c r="BN63" s="371">
        <v>2015</v>
      </c>
    </row>
    <row r="64" spans="66:66" x14ac:dyDescent="0.25">
      <c r="BN64" s="797">
        <v>2016</v>
      </c>
    </row>
    <row r="65" spans="66:67" x14ac:dyDescent="0.25">
      <c r="BN65" s="371">
        <v>2017</v>
      </c>
    </row>
    <row r="66" spans="66:67" x14ac:dyDescent="0.25">
      <c r="BN66" s="797">
        <v>2018</v>
      </c>
    </row>
    <row r="67" spans="66:67" x14ac:dyDescent="0.25">
      <c r="BN67" s="797">
        <v>2019</v>
      </c>
    </row>
    <row r="68" spans="66:67" x14ac:dyDescent="0.25">
      <c r="BN68" s="797">
        <v>2020</v>
      </c>
    </row>
    <row r="69" spans="66:67" x14ac:dyDescent="0.25">
      <c r="BN69" s="797">
        <v>2021</v>
      </c>
      <c r="BO69" s="797" t="s">
        <v>138</v>
      </c>
    </row>
    <row r="70" spans="66:67" x14ac:dyDescent="0.25">
      <c r="BN70" s="797">
        <v>2022</v>
      </c>
      <c r="BO70" s="797" t="s">
        <v>134</v>
      </c>
    </row>
    <row r="71" spans="66:67" x14ac:dyDescent="0.25">
      <c r="BO71" s="797" t="s">
        <v>135</v>
      </c>
    </row>
    <row r="72" spans="66:67" x14ac:dyDescent="0.25">
      <c r="BO72" s="797" t="s">
        <v>137</v>
      </c>
    </row>
    <row r="73" spans="66:67" x14ac:dyDescent="0.25">
      <c r="BO73" s="797" t="s">
        <v>136</v>
      </c>
    </row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</sheetData>
  <mergeCells count="25">
    <mergeCell ref="S3:V3"/>
    <mergeCell ref="B3:B4"/>
    <mergeCell ref="C3:F3"/>
    <mergeCell ref="G3:J3"/>
    <mergeCell ref="K3:N3"/>
    <mergeCell ref="O3:R3"/>
    <mergeCell ref="BO3:BR3"/>
    <mergeCell ref="W3:Z3"/>
    <mergeCell ref="AA3:AD3"/>
    <mergeCell ref="AE3:AH3"/>
    <mergeCell ref="AI3:AL3"/>
    <mergeCell ref="AM3:AP3"/>
    <mergeCell ref="AQ3:AT3"/>
    <mergeCell ref="AU3:AX3"/>
    <mergeCell ref="AY3:BB3"/>
    <mergeCell ref="BC3:BF3"/>
    <mergeCell ref="BG3:BJ3"/>
    <mergeCell ref="BK3:BN3"/>
    <mergeCell ref="CQ3:CT3"/>
    <mergeCell ref="CM3:CP3"/>
    <mergeCell ref="BS3:BV3"/>
    <mergeCell ref="BW3:BZ3"/>
    <mergeCell ref="CA3:CD3"/>
    <mergeCell ref="CE3:CH3"/>
    <mergeCell ref="CI3:CL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62" firstPageNumber="32" pageOrder="overThenDown" orientation="landscape" useFirstPageNumber="1" r:id="rId1"/>
  <headerFooter scaleWithDoc="0" alignWithMargins="0">
    <oddFooter>&amp;R&amp;P</oddFooter>
  </headerFooter>
  <rowBreaks count="1" manualBreakCount="1">
    <brk id="39" max="16383" man="1"/>
  </rowBreaks>
  <colBreaks count="3" manualBreakCount="3">
    <brk id="22" max="1048575" man="1"/>
    <brk id="42" max="33" man="1"/>
    <brk id="66" max="1048575" man="1"/>
  </colBreaks>
  <ignoredErrors>
    <ignoredError sqref="C6:CP15 C37:CP37 C31:CN36 CP31:CP36 C19:CP30 C16:CN16 C17:CO18" formulaRange="1"/>
  </ignoredError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B1:BA69"/>
  <sheetViews>
    <sheetView showGridLines="0" zoomScaleNormal="100" workbookViewId="0">
      <pane xSplit="2" ySplit="5" topLeftCell="AI30" activePane="bottomRight" state="frozen"/>
      <selection activeCell="Q31" sqref="Q31"/>
      <selection pane="topRight" activeCell="Q31" sqref="Q31"/>
      <selection pane="bottomLeft" activeCell="Q31" sqref="Q31"/>
      <selection pane="bottomRight"/>
    </sheetView>
  </sheetViews>
  <sheetFormatPr baseColWidth="10" defaultColWidth="11.44140625" defaultRowHeight="14.4" x14ac:dyDescent="0.3"/>
  <cols>
    <col min="1" max="1" width="2.88671875" style="209" customWidth="1"/>
    <col min="2" max="2" width="22.109375" style="209" customWidth="1"/>
    <col min="3" max="45" width="9.88671875" style="209" customWidth="1"/>
    <col min="46" max="47" width="11.44140625" style="209"/>
    <col min="48" max="53" width="9.88671875" style="209" customWidth="1"/>
    <col min="54" max="16384" width="11.44140625" style="209"/>
  </cols>
  <sheetData>
    <row r="1" spans="2:53" s="798" customFormat="1" ht="69" x14ac:dyDescent="0.3">
      <c r="B1" s="355" t="s">
        <v>178</v>
      </c>
    </row>
    <row r="3" spans="2:53" x14ac:dyDescent="0.3">
      <c r="B3" s="5727" t="s">
        <v>160</v>
      </c>
      <c r="C3" s="5729">
        <v>2006</v>
      </c>
      <c r="D3" s="5730"/>
      <c r="E3" s="5731"/>
      <c r="F3" s="5729">
        <v>2007</v>
      </c>
      <c r="G3" s="5730"/>
      <c r="H3" s="5731"/>
      <c r="I3" s="5729">
        <v>2008</v>
      </c>
      <c r="J3" s="5730"/>
      <c r="K3" s="5731"/>
      <c r="L3" s="5729">
        <v>2009</v>
      </c>
      <c r="M3" s="5730"/>
      <c r="N3" s="5731"/>
      <c r="O3" s="5729">
        <v>2010</v>
      </c>
      <c r="P3" s="5730"/>
      <c r="Q3" s="5731"/>
      <c r="R3" s="5729">
        <v>2011</v>
      </c>
      <c r="S3" s="5730"/>
      <c r="T3" s="5731"/>
      <c r="U3" s="5729">
        <v>2012</v>
      </c>
      <c r="V3" s="5730"/>
      <c r="W3" s="5731"/>
      <c r="X3" s="5729">
        <v>2013</v>
      </c>
      <c r="Y3" s="5730"/>
      <c r="Z3" s="5731"/>
      <c r="AA3" s="5729">
        <v>2014</v>
      </c>
      <c r="AB3" s="5730"/>
      <c r="AC3" s="5731"/>
      <c r="AD3" s="5729">
        <v>2015</v>
      </c>
      <c r="AE3" s="5730"/>
      <c r="AF3" s="5731"/>
      <c r="AG3" s="5729">
        <v>2016</v>
      </c>
      <c r="AH3" s="5730"/>
      <c r="AI3" s="5731"/>
      <c r="AJ3" s="5729">
        <v>2017</v>
      </c>
      <c r="AK3" s="5730"/>
      <c r="AL3" s="5731"/>
      <c r="AM3" s="5729">
        <v>2018</v>
      </c>
      <c r="AN3" s="5730"/>
      <c r="AO3" s="5731"/>
      <c r="AP3" s="5729">
        <v>2019</v>
      </c>
      <c r="AQ3" s="5730"/>
      <c r="AR3" s="5731"/>
      <c r="AS3" s="5729">
        <v>2020</v>
      </c>
      <c r="AT3" s="5730"/>
      <c r="AU3" s="5731"/>
      <c r="AV3" s="5729">
        <v>2021</v>
      </c>
      <c r="AW3" s="5730"/>
      <c r="AX3" s="5731"/>
      <c r="AY3" s="5729">
        <v>2022</v>
      </c>
      <c r="AZ3" s="5730"/>
      <c r="BA3" s="5731"/>
    </row>
    <row r="4" spans="2:53" x14ac:dyDescent="0.3">
      <c r="B4" s="5728"/>
      <c r="C4" s="211" t="s">
        <v>140</v>
      </c>
      <c r="D4" s="211" t="s">
        <v>141</v>
      </c>
      <c r="E4" s="212" t="s">
        <v>48</v>
      </c>
      <c r="F4" s="211" t="s">
        <v>140</v>
      </c>
      <c r="G4" s="211" t="s">
        <v>141</v>
      </c>
      <c r="H4" s="212" t="s">
        <v>48</v>
      </c>
      <c r="I4" s="211" t="s">
        <v>140</v>
      </c>
      <c r="J4" s="211" t="s">
        <v>141</v>
      </c>
      <c r="K4" s="212" t="s">
        <v>48</v>
      </c>
      <c r="L4" s="211" t="s">
        <v>140</v>
      </c>
      <c r="M4" s="211" t="s">
        <v>141</v>
      </c>
      <c r="N4" s="212" t="s">
        <v>48</v>
      </c>
      <c r="O4" s="211" t="s">
        <v>140</v>
      </c>
      <c r="P4" s="211" t="s">
        <v>141</v>
      </c>
      <c r="Q4" s="212" t="s">
        <v>48</v>
      </c>
      <c r="R4" s="211" t="s">
        <v>140</v>
      </c>
      <c r="S4" s="211" t="s">
        <v>141</v>
      </c>
      <c r="T4" s="212" t="s">
        <v>48</v>
      </c>
      <c r="U4" s="211" t="s">
        <v>140</v>
      </c>
      <c r="V4" s="211" t="s">
        <v>141</v>
      </c>
      <c r="W4" s="212" t="s">
        <v>48</v>
      </c>
      <c r="X4" s="211" t="s">
        <v>140</v>
      </c>
      <c r="Y4" s="211" t="s">
        <v>141</v>
      </c>
      <c r="Z4" s="212" t="s">
        <v>48</v>
      </c>
      <c r="AA4" s="211" t="s">
        <v>140</v>
      </c>
      <c r="AB4" s="211" t="s">
        <v>141</v>
      </c>
      <c r="AC4" s="212" t="s">
        <v>48</v>
      </c>
      <c r="AD4" s="211" t="s">
        <v>140</v>
      </c>
      <c r="AE4" s="211" t="s">
        <v>141</v>
      </c>
      <c r="AF4" s="212" t="s">
        <v>48</v>
      </c>
      <c r="AG4" s="211" t="s">
        <v>140</v>
      </c>
      <c r="AH4" s="211" t="s">
        <v>141</v>
      </c>
      <c r="AI4" s="212" t="s">
        <v>48</v>
      </c>
      <c r="AJ4" s="211" t="s">
        <v>140</v>
      </c>
      <c r="AK4" s="211" t="s">
        <v>141</v>
      </c>
      <c r="AL4" s="212" t="s">
        <v>48</v>
      </c>
      <c r="AM4" s="211" t="s">
        <v>140</v>
      </c>
      <c r="AN4" s="211" t="s">
        <v>141</v>
      </c>
      <c r="AO4" s="212" t="s">
        <v>48</v>
      </c>
      <c r="AP4" s="211" t="s">
        <v>140</v>
      </c>
      <c r="AQ4" s="211" t="s">
        <v>141</v>
      </c>
      <c r="AR4" s="212" t="s">
        <v>48</v>
      </c>
      <c r="AS4" s="211" t="s">
        <v>140</v>
      </c>
      <c r="AT4" s="211" t="s">
        <v>141</v>
      </c>
      <c r="AU4" s="212" t="s">
        <v>48</v>
      </c>
      <c r="AV4" s="211" t="s">
        <v>140</v>
      </c>
      <c r="AW4" s="211" t="s">
        <v>141</v>
      </c>
      <c r="AX4" s="212" t="s">
        <v>48</v>
      </c>
      <c r="AY4" s="211" t="s">
        <v>140</v>
      </c>
      <c r="AZ4" s="211" t="s">
        <v>141</v>
      </c>
      <c r="BA4" s="212" t="s">
        <v>48</v>
      </c>
    </row>
    <row r="5" spans="2:53" x14ac:dyDescent="0.3"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149"/>
      <c r="W5" s="149"/>
    </row>
    <row r="6" spans="2:53" x14ac:dyDescent="0.3">
      <c r="B6" s="150" t="s">
        <v>59</v>
      </c>
      <c r="C6" s="214">
        <v>85</v>
      </c>
      <c r="D6" s="213">
        <v>300</v>
      </c>
      <c r="E6" s="215">
        <f>SUM(C6:D6)</f>
        <v>385</v>
      </c>
      <c r="F6" s="213">
        <v>84</v>
      </c>
      <c r="G6" s="213">
        <v>255</v>
      </c>
      <c r="H6" s="213">
        <f>SUM(F6:G6)</f>
        <v>339</v>
      </c>
      <c r="I6" s="214">
        <v>96</v>
      </c>
      <c r="J6" s="213">
        <v>266</v>
      </c>
      <c r="K6" s="215">
        <f>SUM(I6:J6)</f>
        <v>362</v>
      </c>
      <c r="L6" s="799">
        <v>87</v>
      </c>
      <c r="M6" s="799">
        <v>263</v>
      </c>
      <c r="N6" s="800">
        <f>SUM(L6:M6)</f>
        <v>350</v>
      </c>
      <c r="O6" s="799">
        <v>87</v>
      </c>
      <c r="P6" s="799">
        <v>281</v>
      </c>
      <c r="Q6" s="800">
        <f>SUM(O6:P6)</f>
        <v>368</v>
      </c>
      <c r="R6" s="799">
        <v>105</v>
      </c>
      <c r="S6" s="799">
        <v>299</v>
      </c>
      <c r="T6" s="800">
        <f>SUM(R6:S6)</f>
        <v>404</v>
      </c>
      <c r="U6" s="799">
        <v>102</v>
      </c>
      <c r="V6" s="799">
        <v>260</v>
      </c>
      <c r="W6" s="800">
        <f>SUM(U6:V6)</f>
        <v>362</v>
      </c>
      <c r="X6" s="799">
        <v>152</v>
      </c>
      <c r="Y6" s="799">
        <v>370</v>
      </c>
      <c r="Z6" s="800">
        <f>SUM(X6:Y6)</f>
        <v>522</v>
      </c>
      <c r="AA6" s="799">
        <v>172</v>
      </c>
      <c r="AB6" s="799">
        <v>402</v>
      </c>
      <c r="AC6" s="800">
        <v>574</v>
      </c>
      <c r="AD6" s="801">
        <v>165</v>
      </c>
      <c r="AE6" s="799">
        <v>362</v>
      </c>
      <c r="AF6" s="800">
        <f>SUM(AD6:AE6)</f>
        <v>527</v>
      </c>
      <c r="AG6" s="801">
        <v>152</v>
      </c>
      <c r="AH6" s="799">
        <v>370</v>
      </c>
      <c r="AI6" s="800">
        <f>SUM(AG6:AH6)</f>
        <v>522</v>
      </c>
      <c r="AJ6" s="801">
        <v>195</v>
      </c>
      <c r="AK6" s="799">
        <v>415</v>
      </c>
      <c r="AL6" s="800">
        <f>SUM(AJ6:AK6)</f>
        <v>610</v>
      </c>
      <c r="AM6" s="801">
        <v>145</v>
      </c>
      <c r="AN6" s="799">
        <v>372</v>
      </c>
      <c r="AO6" s="800">
        <f>SUM(AM6:AN6)</f>
        <v>517</v>
      </c>
      <c r="AP6" s="801">
        <v>153</v>
      </c>
      <c r="AQ6" s="799">
        <v>325</v>
      </c>
      <c r="AR6" s="800">
        <f>SUM(AP6:AQ6)</f>
        <v>478</v>
      </c>
      <c r="AS6" s="801">
        <v>92</v>
      </c>
      <c r="AT6" s="799">
        <v>187</v>
      </c>
      <c r="AU6" s="800">
        <f>SUM(AS6:AT6)</f>
        <v>279</v>
      </c>
      <c r="AV6" s="4840">
        <v>129</v>
      </c>
      <c r="AW6" s="4841">
        <v>277</v>
      </c>
      <c r="AX6" s="4842">
        <f>SUM(AV6:AW6)</f>
        <v>406</v>
      </c>
      <c r="AY6" s="4840">
        <v>201</v>
      </c>
      <c r="AZ6" s="4841">
        <v>333</v>
      </c>
      <c r="BA6" s="4842">
        <f>SUM(AY6:AZ6)</f>
        <v>534</v>
      </c>
    </row>
    <row r="7" spans="2:53" x14ac:dyDescent="0.3">
      <c r="B7" s="154" t="s">
        <v>64</v>
      </c>
      <c r="C7" s="219">
        <v>241</v>
      </c>
      <c r="D7" s="218">
        <v>245</v>
      </c>
      <c r="E7" s="220">
        <f>SUM(C7:D7)</f>
        <v>486</v>
      </c>
      <c r="F7" s="218">
        <v>264</v>
      </c>
      <c r="G7" s="218">
        <v>224</v>
      </c>
      <c r="H7" s="218">
        <f>SUM(F7:G7)</f>
        <v>488</v>
      </c>
      <c r="I7" s="219">
        <v>256</v>
      </c>
      <c r="J7" s="218">
        <v>233</v>
      </c>
      <c r="K7" s="220">
        <f>SUM(I7:J7)</f>
        <v>489</v>
      </c>
      <c r="L7" s="802">
        <v>259</v>
      </c>
      <c r="M7" s="802">
        <v>241</v>
      </c>
      <c r="N7" s="803">
        <f>SUM(L7:M7)</f>
        <v>500</v>
      </c>
      <c r="O7" s="802">
        <v>266</v>
      </c>
      <c r="P7" s="802">
        <v>237</v>
      </c>
      <c r="Q7" s="803">
        <f>SUM(O7:P7)</f>
        <v>503</v>
      </c>
      <c r="R7" s="802">
        <v>237</v>
      </c>
      <c r="S7" s="802">
        <v>202</v>
      </c>
      <c r="T7" s="803">
        <f>SUM(R7:S7)</f>
        <v>439</v>
      </c>
      <c r="U7" s="802">
        <v>266</v>
      </c>
      <c r="V7" s="802">
        <v>258</v>
      </c>
      <c r="W7" s="803">
        <f>SUM(U7:V7)</f>
        <v>524</v>
      </c>
      <c r="X7" s="802">
        <v>408</v>
      </c>
      <c r="Y7" s="802">
        <v>316</v>
      </c>
      <c r="Z7" s="803">
        <f>SUM(X7:Y7)</f>
        <v>724</v>
      </c>
      <c r="AA7" s="802">
        <v>322</v>
      </c>
      <c r="AB7" s="802">
        <v>241</v>
      </c>
      <c r="AC7" s="803">
        <v>563</v>
      </c>
      <c r="AD7" s="219">
        <v>375</v>
      </c>
      <c r="AE7" s="802">
        <v>254</v>
      </c>
      <c r="AF7" s="803">
        <f>SUM(AD7:AE7)</f>
        <v>629</v>
      </c>
      <c r="AG7" s="219">
        <v>344</v>
      </c>
      <c r="AH7" s="802">
        <v>234</v>
      </c>
      <c r="AI7" s="803">
        <f>SUM(AG7:AH7)</f>
        <v>578</v>
      </c>
      <c r="AJ7" s="219">
        <v>365</v>
      </c>
      <c r="AK7" s="802">
        <v>291</v>
      </c>
      <c r="AL7" s="803">
        <f>SUM(AJ7:AK7)</f>
        <v>656</v>
      </c>
      <c r="AM7" s="219">
        <v>390</v>
      </c>
      <c r="AN7" s="802">
        <v>273</v>
      </c>
      <c r="AO7" s="803">
        <f>SUM(AM7:AN7)</f>
        <v>663</v>
      </c>
      <c r="AP7" s="219">
        <v>380</v>
      </c>
      <c r="AQ7" s="802">
        <v>248</v>
      </c>
      <c r="AR7" s="803">
        <f>SUM(AP7:AQ7)</f>
        <v>628</v>
      </c>
      <c r="AS7" s="219">
        <v>379</v>
      </c>
      <c r="AT7" s="802">
        <v>257</v>
      </c>
      <c r="AU7" s="803">
        <f>SUM(AS7:AT7)</f>
        <v>636</v>
      </c>
      <c r="AV7" s="4843">
        <v>374</v>
      </c>
      <c r="AW7" s="4844">
        <v>227</v>
      </c>
      <c r="AX7" s="4845">
        <f>SUM(AV7:AW7)</f>
        <v>601</v>
      </c>
      <c r="AY7" s="4843">
        <v>310</v>
      </c>
      <c r="AZ7" s="4844">
        <v>192</v>
      </c>
      <c r="BA7" s="4845">
        <f>SUM(AY7:AZ7)</f>
        <v>502</v>
      </c>
    </row>
    <row r="8" spans="2:53" x14ac:dyDescent="0.3">
      <c r="B8" s="154" t="s">
        <v>68</v>
      </c>
      <c r="C8" s="219">
        <v>129</v>
      </c>
      <c r="D8" s="218">
        <v>225</v>
      </c>
      <c r="E8" s="220">
        <f>SUM(C8:D8)</f>
        <v>354</v>
      </c>
      <c r="F8" s="218">
        <v>159</v>
      </c>
      <c r="G8" s="218">
        <v>210</v>
      </c>
      <c r="H8" s="218">
        <f>SUM(F8:G8)</f>
        <v>369</v>
      </c>
      <c r="I8" s="219">
        <v>132</v>
      </c>
      <c r="J8" s="218">
        <v>210</v>
      </c>
      <c r="K8" s="220">
        <f>SUM(I8:J8)</f>
        <v>342</v>
      </c>
      <c r="L8" s="802">
        <v>130</v>
      </c>
      <c r="M8" s="802">
        <v>234</v>
      </c>
      <c r="N8" s="803">
        <f>SUM(L8:M8)</f>
        <v>364</v>
      </c>
      <c r="O8" s="802">
        <v>144</v>
      </c>
      <c r="P8" s="802">
        <v>177</v>
      </c>
      <c r="Q8" s="803">
        <f>SUM(O8:P8)</f>
        <v>321</v>
      </c>
      <c r="R8" s="802">
        <v>100</v>
      </c>
      <c r="S8" s="802">
        <v>142</v>
      </c>
      <c r="T8" s="803">
        <f>SUM(R8:S8)</f>
        <v>242</v>
      </c>
      <c r="U8" s="802">
        <v>95</v>
      </c>
      <c r="V8" s="802">
        <v>158</v>
      </c>
      <c r="W8" s="803">
        <f>SUM(U8:V8)</f>
        <v>253</v>
      </c>
      <c r="X8" s="802">
        <v>154</v>
      </c>
      <c r="Y8" s="802">
        <v>179</v>
      </c>
      <c r="Z8" s="803">
        <f>SUM(X8:Y8)</f>
        <v>333</v>
      </c>
      <c r="AA8" s="802">
        <v>181</v>
      </c>
      <c r="AB8" s="802">
        <v>164</v>
      </c>
      <c r="AC8" s="803">
        <v>345</v>
      </c>
      <c r="AD8" s="219">
        <v>165</v>
      </c>
      <c r="AE8" s="218">
        <v>178</v>
      </c>
      <c r="AF8" s="803">
        <f>SUM(AD8:AE8)</f>
        <v>343</v>
      </c>
      <c r="AG8" s="219">
        <v>161</v>
      </c>
      <c r="AH8" s="218">
        <v>167</v>
      </c>
      <c r="AI8" s="803">
        <f>SUM(AG8:AH8)</f>
        <v>328</v>
      </c>
      <c r="AJ8" s="219">
        <v>212</v>
      </c>
      <c r="AK8" s="218">
        <v>197</v>
      </c>
      <c r="AL8" s="803">
        <f>SUM(AJ8:AK8)</f>
        <v>409</v>
      </c>
      <c r="AM8" s="219">
        <v>180</v>
      </c>
      <c r="AN8" s="218">
        <v>151</v>
      </c>
      <c r="AO8" s="803">
        <f>SUM(AM8:AN8)</f>
        <v>331</v>
      </c>
      <c r="AP8" s="219">
        <v>223</v>
      </c>
      <c r="AQ8" s="218">
        <v>175</v>
      </c>
      <c r="AR8" s="803">
        <f>SUM(AP8:AQ8)</f>
        <v>398</v>
      </c>
      <c r="AS8" s="219">
        <v>236</v>
      </c>
      <c r="AT8" s="218">
        <v>187</v>
      </c>
      <c r="AU8" s="803">
        <f>SUM(AS8:AT8)</f>
        <v>423</v>
      </c>
      <c r="AV8" s="4843">
        <v>231</v>
      </c>
      <c r="AW8" s="4846">
        <v>186</v>
      </c>
      <c r="AX8" s="4845">
        <f>SUM(AV8:AW8)</f>
        <v>417</v>
      </c>
      <c r="AY8" s="4843">
        <v>243</v>
      </c>
      <c r="AZ8" s="4846">
        <v>180</v>
      </c>
      <c r="BA8" s="4845">
        <f>SUM(AY8:AZ8)</f>
        <v>423</v>
      </c>
    </row>
    <row r="9" spans="2:53" x14ac:dyDescent="0.3">
      <c r="B9" s="157" t="s">
        <v>138</v>
      </c>
      <c r="C9" s="224">
        <f t="shared" ref="C9:AU9" si="0">SUM(C6:C8)</f>
        <v>455</v>
      </c>
      <c r="D9" s="223">
        <f t="shared" si="0"/>
        <v>770</v>
      </c>
      <c r="E9" s="225">
        <f t="shared" si="0"/>
        <v>1225</v>
      </c>
      <c r="F9" s="223">
        <f t="shared" si="0"/>
        <v>507</v>
      </c>
      <c r="G9" s="223">
        <f t="shared" si="0"/>
        <v>689</v>
      </c>
      <c r="H9" s="223">
        <f t="shared" si="0"/>
        <v>1196</v>
      </c>
      <c r="I9" s="224">
        <f t="shared" si="0"/>
        <v>484</v>
      </c>
      <c r="J9" s="223">
        <f t="shared" si="0"/>
        <v>709</v>
      </c>
      <c r="K9" s="225">
        <f t="shared" si="0"/>
        <v>1193</v>
      </c>
      <c r="L9" s="223">
        <f t="shared" si="0"/>
        <v>476</v>
      </c>
      <c r="M9" s="223">
        <f t="shared" si="0"/>
        <v>738</v>
      </c>
      <c r="N9" s="225">
        <f t="shared" si="0"/>
        <v>1214</v>
      </c>
      <c r="O9" s="223">
        <f t="shared" si="0"/>
        <v>497</v>
      </c>
      <c r="P9" s="223">
        <f t="shared" si="0"/>
        <v>695</v>
      </c>
      <c r="Q9" s="225">
        <f t="shared" si="0"/>
        <v>1192</v>
      </c>
      <c r="R9" s="223">
        <f t="shared" si="0"/>
        <v>442</v>
      </c>
      <c r="S9" s="223">
        <f t="shared" si="0"/>
        <v>643</v>
      </c>
      <c r="T9" s="225">
        <f t="shared" si="0"/>
        <v>1085</v>
      </c>
      <c r="U9" s="223">
        <f t="shared" si="0"/>
        <v>463</v>
      </c>
      <c r="V9" s="223">
        <f t="shared" si="0"/>
        <v>676</v>
      </c>
      <c r="W9" s="225">
        <f t="shared" si="0"/>
        <v>1139</v>
      </c>
      <c r="X9" s="223">
        <f t="shared" si="0"/>
        <v>714</v>
      </c>
      <c r="Y9" s="223">
        <f t="shared" si="0"/>
        <v>865</v>
      </c>
      <c r="Z9" s="225">
        <f t="shared" si="0"/>
        <v>1579</v>
      </c>
      <c r="AA9" s="223">
        <f t="shared" si="0"/>
        <v>675</v>
      </c>
      <c r="AB9" s="223">
        <f t="shared" si="0"/>
        <v>807</v>
      </c>
      <c r="AC9" s="225">
        <f t="shared" si="0"/>
        <v>1482</v>
      </c>
      <c r="AD9" s="223">
        <f t="shared" si="0"/>
        <v>705</v>
      </c>
      <c r="AE9" s="223">
        <f t="shared" si="0"/>
        <v>794</v>
      </c>
      <c r="AF9" s="225">
        <f t="shared" si="0"/>
        <v>1499</v>
      </c>
      <c r="AG9" s="223">
        <f t="shared" si="0"/>
        <v>657</v>
      </c>
      <c r="AH9" s="223">
        <f t="shared" si="0"/>
        <v>771</v>
      </c>
      <c r="AI9" s="225">
        <f t="shared" si="0"/>
        <v>1428</v>
      </c>
      <c r="AJ9" s="223">
        <f t="shared" si="0"/>
        <v>772</v>
      </c>
      <c r="AK9" s="223">
        <f t="shared" si="0"/>
        <v>903</v>
      </c>
      <c r="AL9" s="225">
        <f t="shared" si="0"/>
        <v>1675</v>
      </c>
      <c r="AM9" s="223">
        <f t="shared" si="0"/>
        <v>715</v>
      </c>
      <c r="AN9" s="223">
        <f t="shared" si="0"/>
        <v>796</v>
      </c>
      <c r="AO9" s="225">
        <f t="shared" si="0"/>
        <v>1511</v>
      </c>
      <c r="AP9" s="223">
        <f t="shared" si="0"/>
        <v>756</v>
      </c>
      <c r="AQ9" s="223">
        <f t="shared" si="0"/>
        <v>748</v>
      </c>
      <c r="AR9" s="225">
        <f t="shared" si="0"/>
        <v>1504</v>
      </c>
      <c r="AS9" s="223">
        <f t="shared" si="0"/>
        <v>707</v>
      </c>
      <c r="AT9" s="223">
        <f t="shared" si="0"/>
        <v>631</v>
      </c>
      <c r="AU9" s="225">
        <f t="shared" si="0"/>
        <v>1338</v>
      </c>
      <c r="AV9" s="223">
        <f t="shared" ref="AV9:AX9" si="1">SUM(AV6:AV8)</f>
        <v>734</v>
      </c>
      <c r="AW9" s="223">
        <f t="shared" si="1"/>
        <v>690</v>
      </c>
      <c r="AX9" s="225">
        <f t="shared" si="1"/>
        <v>1424</v>
      </c>
      <c r="AY9" s="223">
        <f t="shared" ref="AY9:BA9" si="2">SUM(AY6:AY8)</f>
        <v>754</v>
      </c>
      <c r="AZ9" s="223">
        <f t="shared" si="2"/>
        <v>705</v>
      </c>
      <c r="BA9" s="225">
        <f t="shared" si="2"/>
        <v>1459</v>
      </c>
    </row>
    <row r="10" spans="2:53" x14ac:dyDescent="0.3">
      <c r="B10" s="162"/>
      <c r="C10" s="239"/>
      <c r="D10" s="239"/>
      <c r="E10" s="239"/>
      <c r="F10" s="239"/>
      <c r="G10" s="239"/>
      <c r="H10" s="239"/>
      <c r="I10" s="239"/>
      <c r="J10" s="239"/>
      <c r="K10" s="239"/>
      <c r="L10" s="239"/>
      <c r="M10" s="239"/>
      <c r="N10" s="239"/>
      <c r="O10" s="239"/>
      <c r="P10" s="239"/>
      <c r="Q10" s="239"/>
      <c r="R10" s="239"/>
      <c r="S10" s="239"/>
      <c r="T10" s="239"/>
      <c r="U10" s="239"/>
      <c r="V10" s="239"/>
      <c r="W10" s="239"/>
      <c r="X10" s="239"/>
      <c r="Y10" s="239"/>
      <c r="Z10" s="239"/>
      <c r="AA10" s="239"/>
      <c r="AB10" s="239"/>
      <c r="AC10" s="239"/>
      <c r="AD10" s="239"/>
      <c r="AE10" s="239"/>
      <c r="AF10" s="239"/>
      <c r="AG10" s="239"/>
      <c r="AH10" s="239"/>
      <c r="AI10" s="239"/>
      <c r="AJ10" s="239"/>
      <c r="AK10" s="239"/>
      <c r="AL10" s="239"/>
      <c r="AM10" s="239"/>
      <c r="AN10" s="239"/>
      <c r="AO10" s="239"/>
      <c r="AP10" s="239"/>
      <c r="AQ10" s="239"/>
      <c r="AR10" s="239"/>
      <c r="AS10" s="239"/>
      <c r="AT10" s="239"/>
      <c r="AU10" s="239"/>
      <c r="AV10" s="239"/>
      <c r="AW10" s="239"/>
      <c r="AX10" s="239"/>
      <c r="AY10" s="239"/>
      <c r="AZ10" s="239"/>
      <c r="BA10" s="239"/>
    </row>
    <row r="11" spans="2:53" x14ac:dyDescent="0.3">
      <c r="B11" s="150" t="s">
        <v>64</v>
      </c>
      <c r="C11" s="214"/>
      <c r="D11" s="213"/>
      <c r="E11" s="213"/>
      <c r="F11" s="213"/>
      <c r="G11" s="213"/>
      <c r="H11" s="213"/>
      <c r="I11" s="213"/>
      <c r="J11" s="213"/>
      <c r="K11" s="215"/>
      <c r="L11" s="799">
        <v>29</v>
      </c>
      <c r="M11" s="799">
        <v>18</v>
      </c>
      <c r="N11" s="800">
        <f>SUM(L11:M11)</f>
        <v>47</v>
      </c>
      <c r="O11" s="799">
        <f>16+1</f>
        <v>17</v>
      </c>
      <c r="P11" s="799">
        <f>12+1</f>
        <v>13</v>
      </c>
      <c r="Q11" s="800">
        <f>SUM(O11:P11)</f>
        <v>30</v>
      </c>
      <c r="R11" s="799">
        <v>31</v>
      </c>
      <c r="S11" s="799">
        <v>20</v>
      </c>
      <c r="T11" s="800">
        <f>SUM(R11:S11)</f>
        <v>51</v>
      </c>
      <c r="U11" s="799">
        <v>34</v>
      </c>
      <c r="V11" s="799">
        <v>20</v>
      </c>
      <c r="W11" s="800">
        <f>SUM(U11:V11)</f>
        <v>54</v>
      </c>
      <c r="X11" s="801">
        <v>28</v>
      </c>
      <c r="Y11" s="799">
        <v>15</v>
      </c>
      <c r="Z11" s="800">
        <f>SUM(X11:Y11)</f>
        <v>43</v>
      </c>
      <c r="AA11" s="801">
        <v>14</v>
      </c>
      <c r="AB11" s="799">
        <v>17</v>
      </c>
      <c r="AC11" s="800">
        <f>SUM(AA11:AB11)</f>
        <v>31</v>
      </c>
      <c r="AD11" s="801">
        <v>14</v>
      </c>
      <c r="AE11" s="799">
        <v>14</v>
      </c>
      <c r="AF11" s="800">
        <f>SUM(AD11:AE11)</f>
        <v>28</v>
      </c>
      <c r="AG11" s="801">
        <v>24</v>
      </c>
      <c r="AH11" s="799">
        <v>8</v>
      </c>
      <c r="AI11" s="800">
        <f>SUM(AG11:AH11)</f>
        <v>32</v>
      </c>
      <c r="AJ11" s="801">
        <v>20</v>
      </c>
      <c r="AK11" s="799">
        <v>16</v>
      </c>
      <c r="AL11" s="800">
        <f>SUM(AJ11:AK11)</f>
        <v>36</v>
      </c>
      <c r="AM11" s="804">
        <v>30</v>
      </c>
      <c r="AN11" s="805">
        <v>25</v>
      </c>
      <c r="AO11" s="800">
        <f>SUM(AM11:AN11)</f>
        <v>55</v>
      </c>
      <c r="AP11" s="804">
        <v>58</v>
      </c>
      <c r="AQ11" s="805">
        <v>31</v>
      </c>
      <c r="AR11" s="800">
        <f>SUM(AP11:AQ11)</f>
        <v>89</v>
      </c>
      <c r="AS11" s="804">
        <v>46</v>
      </c>
      <c r="AT11" s="805">
        <v>31</v>
      </c>
      <c r="AU11" s="800">
        <f>SUM(AS11:AT11)</f>
        <v>77</v>
      </c>
      <c r="AV11" s="4840">
        <v>48</v>
      </c>
      <c r="AW11" s="4841">
        <v>39</v>
      </c>
      <c r="AX11" s="4842">
        <f>SUM(AV11:AW11)</f>
        <v>87</v>
      </c>
      <c r="AY11" s="4840">
        <v>46</v>
      </c>
      <c r="AZ11" s="4841">
        <v>38</v>
      </c>
      <c r="BA11" s="4842">
        <f>SUM(AY11:AZ11)</f>
        <v>84</v>
      </c>
    </row>
    <row r="12" spans="2:53" x14ac:dyDescent="0.3">
      <c r="B12" s="154" t="s">
        <v>111</v>
      </c>
      <c r="C12" s="219"/>
      <c r="D12" s="218"/>
      <c r="E12" s="218"/>
      <c r="F12" s="218"/>
      <c r="G12" s="218"/>
      <c r="H12" s="218"/>
      <c r="I12" s="218"/>
      <c r="J12" s="218"/>
      <c r="K12" s="220"/>
      <c r="L12" s="218">
        <v>5</v>
      </c>
      <c r="M12" s="802">
        <v>4</v>
      </c>
      <c r="N12" s="803">
        <f>SUM(L12:M12)</f>
        <v>9</v>
      </c>
      <c r="O12" s="218">
        <v>8</v>
      </c>
      <c r="P12" s="802">
        <v>7</v>
      </c>
      <c r="Q12" s="803">
        <f>SUM(O12:P12)</f>
        <v>15</v>
      </c>
      <c r="R12" s="218">
        <v>21</v>
      </c>
      <c r="S12" s="802">
        <v>11</v>
      </c>
      <c r="T12" s="803">
        <f>SUM(R12:S12)</f>
        <v>32</v>
      </c>
      <c r="U12" s="218">
        <v>23</v>
      </c>
      <c r="V12" s="802">
        <v>25</v>
      </c>
      <c r="W12" s="803">
        <f>SUM(U12:V12)</f>
        <v>48</v>
      </c>
      <c r="X12" s="219">
        <v>15</v>
      </c>
      <c r="Y12" s="802">
        <v>6</v>
      </c>
      <c r="Z12" s="803">
        <f>SUM(X12:Y12)</f>
        <v>21</v>
      </c>
      <c r="AA12" s="219">
        <v>16</v>
      </c>
      <c r="AB12" s="802">
        <v>15</v>
      </c>
      <c r="AC12" s="803">
        <f>SUM(AA12:AB12)</f>
        <v>31</v>
      </c>
      <c r="AD12" s="219">
        <v>18</v>
      </c>
      <c r="AE12" s="802">
        <v>11</v>
      </c>
      <c r="AF12" s="803">
        <f>SUM(AD12:AE12)</f>
        <v>29</v>
      </c>
      <c r="AG12" s="219">
        <v>18</v>
      </c>
      <c r="AH12" s="802">
        <v>21</v>
      </c>
      <c r="AI12" s="803">
        <f>SUM(AG12:AH12)</f>
        <v>39</v>
      </c>
      <c r="AJ12" s="219">
        <v>25</v>
      </c>
      <c r="AK12" s="802">
        <v>30</v>
      </c>
      <c r="AL12" s="803">
        <f>SUM(AJ12:AK12)</f>
        <v>55</v>
      </c>
      <c r="AM12" s="364">
        <v>24</v>
      </c>
      <c r="AN12" s="806">
        <v>35</v>
      </c>
      <c r="AO12" s="803">
        <f>SUM(AM12:AN12)</f>
        <v>59</v>
      </c>
      <c r="AP12" s="364">
        <v>42</v>
      </c>
      <c r="AQ12" s="806">
        <v>38</v>
      </c>
      <c r="AR12" s="803">
        <f>SUM(AP12:AQ12)</f>
        <v>80</v>
      </c>
      <c r="AS12" s="364">
        <v>36</v>
      </c>
      <c r="AT12" s="806">
        <v>24</v>
      </c>
      <c r="AU12" s="803">
        <f>SUM(AS12:AT12)</f>
        <v>60</v>
      </c>
      <c r="AV12" s="4843">
        <v>52</v>
      </c>
      <c r="AW12" s="4844">
        <v>45</v>
      </c>
      <c r="AX12" s="4845">
        <f>SUM(AV12:AW12)</f>
        <v>97</v>
      </c>
      <c r="AY12" s="4843">
        <v>50</v>
      </c>
      <c r="AZ12" s="4844">
        <v>35</v>
      </c>
      <c r="BA12" s="4845">
        <f>SUM(AY12:AZ12)</f>
        <v>85</v>
      </c>
    </row>
    <row r="13" spans="2:53" x14ac:dyDescent="0.3">
      <c r="B13" s="154" t="s">
        <v>115</v>
      </c>
      <c r="C13" s="219"/>
      <c r="D13" s="218"/>
      <c r="E13" s="218"/>
      <c r="F13" s="218"/>
      <c r="G13" s="218"/>
      <c r="H13" s="218"/>
      <c r="I13" s="218"/>
      <c r="J13" s="218"/>
      <c r="K13" s="220"/>
      <c r="L13" s="218">
        <v>3</v>
      </c>
      <c r="M13" s="218">
        <v>8</v>
      </c>
      <c r="N13" s="803">
        <f>SUM(L13:M13)</f>
        <v>11</v>
      </c>
      <c r="O13" s="218">
        <v>1</v>
      </c>
      <c r="P13" s="218">
        <v>9</v>
      </c>
      <c r="Q13" s="803">
        <f>SUM(O13:P13)</f>
        <v>10</v>
      </c>
      <c r="R13" s="218">
        <v>2</v>
      </c>
      <c r="S13" s="218">
        <v>9</v>
      </c>
      <c r="T13" s="803">
        <f>SUM(R13:S13)</f>
        <v>11</v>
      </c>
      <c r="U13" s="218">
        <v>8</v>
      </c>
      <c r="V13" s="218">
        <v>10</v>
      </c>
      <c r="W13" s="803">
        <f>SUM(U13:V13)</f>
        <v>18</v>
      </c>
      <c r="X13" s="219">
        <v>4</v>
      </c>
      <c r="Y13" s="218">
        <v>11</v>
      </c>
      <c r="Z13" s="803">
        <f>SUM(X13:Y13)</f>
        <v>15</v>
      </c>
      <c r="AA13" s="219">
        <v>9</v>
      </c>
      <c r="AB13" s="218">
        <v>13</v>
      </c>
      <c r="AC13" s="803">
        <f>SUM(AA13:AB13)</f>
        <v>22</v>
      </c>
      <c r="AD13" s="219">
        <v>11</v>
      </c>
      <c r="AE13" s="218">
        <v>13</v>
      </c>
      <c r="AF13" s="803">
        <f>SUM(AD13:AE13)</f>
        <v>24</v>
      </c>
      <c r="AG13" s="219">
        <v>19</v>
      </c>
      <c r="AH13" s="218">
        <v>23</v>
      </c>
      <c r="AI13" s="803">
        <f>SUM(AG13:AH13)</f>
        <v>42</v>
      </c>
      <c r="AJ13" s="219">
        <v>24</v>
      </c>
      <c r="AK13" s="218">
        <v>19</v>
      </c>
      <c r="AL13" s="803">
        <f>SUM(AJ13:AK13)</f>
        <v>43</v>
      </c>
      <c r="AM13" s="364">
        <v>29</v>
      </c>
      <c r="AN13" s="365">
        <v>42</v>
      </c>
      <c r="AO13" s="803">
        <f>SUM(AM13:AN13)</f>
        <v>71</v>
      </c>
      <c r="AP13" s="364">
        <v>30</v>
      </c>
      <c r="AQ13" s="365">
        <v>32</v>
      </c>
      <c r="AR13" s="803">
        <f>SUM(AP13:AQ13)</f>
        <v>62</v>
      </c>
      <c r="AS13" s="364">
        <v>20</v>
      </c>
      <c r="AT13" s="365">
        <v>25</v>
      </c>
      <c r="AU13" s="803">
        <f>SUM(AS13:AT13)</f>
        <v>45</v>
      </c>
      <c r="AV13" s="4843">
        <v>45</v>
      </c>
      <c r="AW13" s="4846">
        <v>50</v>
      </c>
      <c r="AX13" s="4845">
        <f>SUM(AV13:AW13)</f>
        <v>95</v>
      </c>
      <c r="AY13" s="4843">
        <v>38</v>
      </c>
      <c r="AZ13" s="4846">
        <v>40</v>
      </c>
      <c r="BA13" s="4845">
        <f>SUM(AY13:AZ13)</f>
        <v>78</v>
      </c>
    </row>
    <row r="14" spans="2:53" x14ac:dyDescent="0.3">
      <c r="B14" s="166" t="s">
        <v>134</v>
      </c>
      <c r="C14" s="235"/>
      <c r="D14" s="234"/>
      <c r="E14" s="234"/>
      <c r="F14" s="234"/>
      <c r="G14" s="234"/>
      <c r="H14" s="234"/>
      <c r="I14" s="234"/>
      <c r="J14" s="234"/>
      <c r="K14" s="236"/>
      <c r="L14" s="234">
        <f t="shared" ref="L14:AU14" si="3">SUM(L11:L13)</f>
        <v>37</v>
      </c>
      <c r="M14" s="234">
        <f t="shared" si="3"/>
        <v>30</v>
      </c>
      <c r="N14" s="236">
        <f t="shared" si="3"/>
        <v>67</v>
      </c>
      <c r="O14" s="234">
        <f t="shared" si="3"/>
        <v>26</v>
      </c>
      <c r="P14" s="234">
        <f t="shared" si="3"/>
        <v>29</v>
      </c>
      <c r="Q14" s="236">
        <f t="shared" si="3"/>
        <v>55</v>
      </c>
      <c r="R14" s="234">
        <f t="shared" si="3"/>
        <v>54</v>
      </c>
      <c r="S14" s="234">
        <f t="shared" si="3"/>
        <v>40</v>
      </c>
      <c r="T14" s="236">
        <f t="shared" si="3"/>
        <v>94</v>
      </c>
      <c r="U14" s="234">
        <f t="shared" si="3"/>
        <v>65</v>
      </c>
      <c r="V14" s="234">
        <f t="shared" si="3"/>
        <v>55</v>
      </c>
      <c r="W14" s="236">
        <f t="shared" si="3"/>
        <v>120</v>
      </c>
      <c r="X14" s="235">
        <f t="shared" si="3"/>
        <v>47</v>
      </c>
      <c r="Y14" s="234">
        <f t="shared" si="3"/>
        <v>32</v>
      </c>
      <c r="Z14" s="236">
        <f t="shared" si="3"/>
        <v>79</v>
      </c>
      <c r="AA14" s="235">
        <f t="shared" si="3"/>
        <v>39</v>
      </c>
      <c r="AB14" s="234">
        <f t="shared" si="3"/>
        <v>45</v>
      </c>
      <c r="AC14" s="236">
        <f t="shared" si="3"/>
        <v>84</v>
      </c>
      <c r="AD14" s="235">
        <f t="shared" si="3"/>
        <v>43</v>
      </c>
      <c r="AE14" s="234">
        <f t="shared" si="3"/>
        <v>38</v>
      </c>
      <c r="AF14" s="236">
        <f t="shared" si="3"/>
        <v>81</v>
      </c>
      <c r="AG14" s="235">
        <f t="shared" si="3"/>
        <v>61</v>
      </c>
      <c r="AH14" s="234">
        <f t="shared" si="3"/>
        <v>52</v>
      </c>
      <c r="AI14" s="236">
        <f t="shared" si="3"/>
        <v>113</v>
      </c>
      <c r="AJ14" s="235">
        <f t="shared" si="3"/>
        <v>69</v>
      </c>
      <c r="AK14" s="234">
        <f t="shared" si="3"/>
        <v>65</v>
      </c>
      <c r="AL14" s="236">
        <f t="shared" si="3"/>
        <v>134</v>
      </c>
      <c r="AM14" s="235">
        <f t="shared" si="3"/>
        <v>83</v>
      </c>
      <c r="AN14" s="234">
        <f t="shared" si="3"/>
        <v>102</v>
      </c>
      <c r="AO14" s="236">
        <f t="shared" si="3"/>
        <v>185</v>
      </c>
      <c r="AP14" s="235">
        <f t="shared" si="3"/>
        <v>130</v>
      </c>
      <c r="AQ14" s="234">
        <f t="shared" si="3"/>
        <v>101</v>
      </c>
      <c r="AR14" s="236">
        <f t="shared" si="3"/>
        <v>231</v>
      </c>
      <c r="AS14" s="235">
        <f t="shared" si="3"/>
        <v>102</v>
      </c>
      <c r="AT14" s="234">
        <f t="shared" si="3"/>
        <v>80</v>
      </c>
      <c r="AU14" s="236">
        <f t="shared" si="3"/>
        <v>182</v>
      </c>
      <c r="AV14" s="235">
        <f t="shared" ref="AV14:AX14" si="4">SUM(AV11:AV13)</f>
        <v>145</v>
      </c>
      <c r="AW14" s="234">
        <f t="shared" si="4"/>
        <v>134</v>
      </c>
      <c r="AX14" s="236">
        <f t="shared" si="4"/>
        <v>279</v>
      </c>
      <c r="AY14" s="235">
        <f t="shared" ref="AY14:BA14" si="5">SUM(AY11:AY13)</f>
        <v>134</v>
      </c>
      <c r="AZ14" s="234">
        <f t="shared" si="5"/>
        <v>113</v>
      </c>
      <c r="BA14" s="236">
        <f t="shared" si="5"/>
        <v>247</v>
      </c>
    </row>
    <row r="15" spans="2:53" x14ac:dyDescent="0.3">
      <c r="B15" s="170"/>
      <c r="C15" s="239"/>
      <c r="D15" s="239"/>
      <c r="E15" s="239"/>
      <c r="F15" s="239"/>
      <c r="G15" s="239"/>
      <c r="H15" s="239"/>
      <c r="I15" s="239"/>
      <c r="J15" s="239"/>
      <c r="K15" s="239"/>
      <c r="L15" s="239"/>
      <c r="M15" s="239"/>
      <c r="N15" s="239"/>
      <c r="O15" s="239"/>
      <c r="P15" s="239"/>
      <c r="Q15" s="239"/>
      <c r="R15" s="239"/>
      <c r="S15" s="239"/>
      <c r="T15" s="239"/>
      <c r="U15" s="239"/>
      <c r="V15" s="239"/>
      <c r="W15" s="239"/>
      <c r="X15" s="239"/>
      <c r="Y15" s="239"/>
      <c r="Z15" s="239"/>
      <c r="AA15" s="239"/>
      <c r="AB15" s="239"/>
      <c r="AC15" s="239"/>
      <c r="AD15" s="239"/>
      <c r="AE15" s="239"/>
      <c r="AF15" s="239"/>
      <c r="AG15" s="239"/>
      <c r="AH15" s="239"/>
      <c r="AI15" s="239"/>
      <c r="AJ15" s="239"/>
      <c r="AK15" s="239"/>
      <c r="AL15" s="239"/>
      <c r="AM15" s="239"/>
      <c r="AN15" s="239"/>
      <c r="AO15" s="239"/>
      <c r="AP15" s="239"/>
      <c r="AQ15" s="239"/>
      <c r="AR15" s="239"/>
      <c r="AS15" s="239"/>
      <c r="AT15" s="239"/>
      <c r="AU15" s="239"/>
      <c r="AV15" s="239"/>
      <c r="AW15" s="239"/>
      <c r="AX15" s="239"/>
      <c r="AY15" s="239"/>
      <c r="AZ15" s="239"/>
      <c r="BA15" s="239"/>
    </row>
    <row r="16" spans="2:53" x14ac:dyDescent="0.3">
      <c r="B16" s="150" t="s">
        <v>59</v>
      </c>
      <c r="C16" s="214">
        <v>64</v>
      </c>
      <c r="D16" s="213">
        <v>203</v>
      </c>
      <c r="E16" s="215">
        <f>SUM(C16:D16)</f>
        <v>267</v>
      </c>
      <c r="F16" s="213">
        <v>45</v>
      </c>
      <c r="G16" s="213">
        <v>128</v>
      </c>
      <c r="H16" s="213">
        <f>SUM(F16:G16)</f>
        <v>173</v>
      </c>
      <c r="I16" s="214">
        <v>48</v>
      </c>
      <c r="J16" s="213">
        <v>115</v>
      </c>
      <c r="K16" s="215">
        <f>SUM(I16:J16)</f>
        <v>163</v>
      </c>
      <c r="L16" s="799">
        <v>51</v>
      </c>
      <c r="M16" s="799">
        <v>116</v>
      </c>
      <c r="N16" s="800">
        <f>SUM(L16:M16)</f>
        <v>167</v>
      </c>
      <c r="O16" s="799">
        <v>61</v>
      </c>
      <c r="P16" s="799">
        <v>178</v>
      </c>
      <c r="Q16" s="800">
        <f>SUM(O16:P16)</f>
        <v>239</v>
      </c>
      <c r="R16" s="799">
        <v>58</v>
      </c>
      <c r="S16" s="799">
        <v>121</v>
      </c>
      <c r="T16" s="800">
        <f>SUM(R16:S16)</f>
        <v>179</v>
      </c>
      <c r="U16" s="799">
        <v>54</v>
      </c>
      <c r="V16" s="799">
        <v>148</v>
      </c>
      <c r="W16" s="800">
        <f>SUM(U16:V16)</f>
        <v>202</v>
      </c>
      <c r="X16" s="801">
        <v>53</v>
      </c>
      <c r="Y16" s="799">
        <v>110</v>
      </c>
      <c r="Z16" s="800">
        <f>SUM(X16:Y16)</f>
        <v>163</v>
      </c>
      <c r="AA16" s="801">
        <v>67</v>
      </c>
      <c r="AB16" s="799">
        <v>145</v>
      </c>
      <c r="AC16" s="800">
        <f>SUM(AA16:AB16)</f>
        <v>212</v>
      </c>
      <c r="AD16" s="801">
        <v>61</v>
      </c>
      <c r="AE16" s="799">
        <v>112</v>
      </c>
      <c r="AF16" s="800">
        <f>SUM(AD16:AE16)</f>
        <v>173</v>
      </c>
      <c r="AG16" s="801">
        <v>81</v>
      </c>
      <c r="AH16" s="799">
        <v>147</v>
      </c>
      <c r="AI16" s="800">
        <f>SUM(AG16:AH16)</f>
        <v>228</v>
      </c>
      <c r="AJ16" s="801">
        <v>76</v>
      </c>
      <c r="AK16" s="799">
        <v>166</v>
      </c>
      <c r="AL16" s="800">
        <f>SUM(AJ16:AK16)</f>
        <v>242</v>
      </c>
      <c r="AM16" s="801">
        <v>118</v>
      </c>
      <c r="AN16" s="799">
        <v>179</v>
      </c>
      <c r="AO16" s="800">
        <f>SUM(AM16:AN16)</f>
        <v>297</v>
      </c>
      <c r="AP16" s="801">
        <v>108</v>
      </c>
      <c r="AQ16" s="799">
        <v>206</v>
      </c>
      <c r="AR16" s="800">
        <f>SUM(AP16:AQ16)</f>
        <v>314</v>
      </c>
      <c r="AS16" s="801">
        <v>88</v>
      </c>
      <c r="AT16" s="799">
        <v>175</v>
      </c>
      <c r="AU16" s="800">
        <f>SUM(AS16:AT16)</f>
        <v>263</v>
      </c>
      <c r="AV16" s="4840">
        <v>121</v>
      </c>
      <c r="AW16" s="4841">
        <v>210</v>
      </c>
      <c r="AX16" s="4842">
        <f>SUM(AV16:AW16)</f>
        <v>331</v>
      </c>
      <c r="AY16" s="4840">
        <v>100</v>
      </c>
      <c r="AZ16" s="4841">
        <v>184</v>
      </c>
      <c r="BA16" s="4842">
        <f>SUM(AY16:AZ16)</f>
        <v>284</v>
      </c>
    </row>
    <row r="17" spans="2:53" x14ac:dyDescent="0.3">
      <c r="B17" s="154" t="s">
        <v>64</v>
      </c>
      <c r="C17" s="219">
        <v>274</v>
      </c>
      <c r="D17" s="218">
        <v>219</v>
      </c>
      <c r="E17" s="220">
        <f>SUM(C17:D17)</f>
        <v>493</v>
      </c>
      <c r="F17" s="218">
        <v>257</v>
      </c>
      <c r="G17" s="218">
        <v>212</v>
      </c>
      <c r="H17" s="218">
        <f>SUM(F17:G17)</f>
        <v>469</v>
      </c>
      <c r="I17" s="219">
        <v>254</v>
      </c>
      <c r="J17" s="218">
        <v>182</v>
      </c>
      <c r="K17" s="220">
        <f>SUM(I17:J17)</f>
        <v>436</v>
      </c>
      <c r="L17" s="802">
        <v>286</v>
      </c>
      <c r="M17" s="802">
        <v>196</v>
      </c>
      <c r="N17" s="803">
        <f>SUM(L17:M17)</f>
        <v>482</v>
      </c>
      <c r="O17" s="802">
        <v>312</v>
      </c>
      <c r="P17" s="802">
        <v>235</v>
      </c>
      <c r="Q17" s="803">
        <f>SUM(O17:P17)</f>
        <v>547</v>
      </c>
      <c r="R17" s="802">
        <v>242</v>
      </c>
      <c r="S17" s="802">
        <v>240</v>
      </c>
      <c r="T17" s="803">
        <f>SUM(R17:S17)</f>
        <v>482</v>
      </c>
      <c r="U17" s="802">
        <v>328</v>
      </c>
      <c r="V17" s="802">
        <v>237</v>
      </c>
      <c r="W17" s="803">
        <f>SUM(U17:V17)</f>
        <v>565</v>
      </c>
      <c r="X17" s="807">
        <v>392</v>
      </c>
      <c r="Y17" s="802">
        <v>276</v>
      </c>
      <c r="Z17" s="803">
        <f>SUM(X17:Y17)</f>
        <v>668</v>
      </c>
      <c r="AA17" s="807">
        <v>331</v>
      </c>
      <c r="AB17" s="802">
        <v>221</v>
      </c>
      <c r="AC17" s="803">
        <f>SUM(AA17:AB17)</f>
        <v>552</v>
      </c>
      <c r="AD17" s="807">
        <v>339</v>
      </c>
      <c r="AE17" s="802">
        <v>235</v>
      </c>
      <c r="AF17" s="803">
        <f>SUM(AD17:AE17)</f>
        <v>574</v>
      </c>
      <c r="AG17" s="807">
        <v>310</v>
      </c>
      <c r="AH17" s="802">
        <v>221</v>
      </c>
      <c r="AI17" s="803">
        <f>SUM(AG17:AH17)</f>
        <v>531</v>
      </c>
      <c r="AJ17" s="807">
        <v>336</v>
      </c>
      <c r="AK17" s="802">
        <v>223</v>
      </c>
      <c r="AL17" s="803">
        <f>SUM(AJ17:AK17)</f>
        <v>559</v>
      </c>
      <c r="AM17" s="807">
        <v>305</v>
      </c>
      <c r="AN17" s="802">
        <v>220</v>
      </c>
      <c r="AO17" s="803">
        <f>SUM(AM17:AN17)</f>
        <v>525</v>
      </c>
      <c r="AP17" s="807">
        <v>308</v>
      </c>
      <c r="AQ17" s="802">
        <v>213</v>
      </c>
      <c r="AR17" s="803">
        <f>SUM(AP17:AQ17)</f>
        <v>521</v>
      </c>
      <c r="AS17" s="807">
        <v>322</v>
      </c>
      <c r="AT17" s="802">
        <v>223</v>
      </c>
      <c r="AU17" s="803">
        <f>SUM(AS17:AT17)</f>
        <v>545</v>
      </c>
      <c r="AV17" s="4843">
        <v>293</v>
      </c>
      <c r="AW17" s="4844">
        <v>226</v>
      </c>
      <c r="AX17" s="4845">
        <f>SUM(AV17:AW17)</f>
        <v>519</v>
      </c>
      <c r="AY17" s="4843">
        <v>307</v>
      </c>
      <c r="AZ17" s="4844">
        <v>194</v>
      </c>
      <c r="BA17" s="4845">
        <f>SUM(AY17:AZ17)</f>
        <v>501</v>
      </c>
    </row>
    <row r="18" spans="2:53" x14ac:dyDescent="0.3">
      <c r="B18" s="154" t="s">
        <v>92</v>
      </c>
      <c r="C18" s="219">
        <v>229</v>
      </c>
      <c r="D18" s="218">
        <v>141</v>
      </c>
      <c r="E18" s="220">
        <f>SUM(C18:D18)</f>
        <v>370</v>
      </c>
      <c r="F18" s="218">
        <v>201</v>
      </c>
      <c r="G18" s="218">
        <v>110</v>
      </c>
      <c r="H18" s="218">
        <f>SUM(F18:G18)</f>
        <v>311</v>
      </c>
      <c r="I18" s="219">
        <v>225</v>
      </c>
      <c r="J18" s="218">
        <v>122</v>
      </c>
      <c r="K18" s="220">
        <f>SUM(I18:J18)</f>
        <v>347</v>
      </c>
      <c r="L18" s="802">
        <v>152</v>
      </c>
      <c r="M18" s="802">
        <v>95</v>
      </c>
      <c r="N18" s="803">
        <f>SUM(L18:M18)</f>
        <v>247</v>
      </c>
      <c r="O18" s="802">
        <v>184</v>
      </c>
      <c r="P18" s="802">
        <v>119</v>
      </c>
      <c r="Q18" s="803">
        <f>SUM(O18:P18)</f>
        <v>303</v>
      </c>
      <c r="R18" s="802">
        <v>170</v>
      </c>
      <c r="S18" s="802">
        <v>85</v>
      </c>
      <c r="T18" s="803">
        <f>SUM(R18:S18)</f>
        <v>255</v>
      </c>
      <c r="U18" s="802">
        <v>180</v>
      </c>
      <c r="V18" s="802">
        <v>117</v>
      </c>
      <c r="W18" s="803">
        <f>SUM(U18:V18)</f>
        <v>297</v>
      </c>
      <c r="X18" s="807">
        <v>230</v>
      </c>
      <c r="Y18" s="802">
        <v>124</v>
      </c>
      <c r="Z18" s="803">
        <f>SUM(X18:Y18)</f>
        <v>354</v>
      </c>
      <c r="AA18" s="807">
        <v>218</v>
      </c>
      <c r="AB18" s="802">
        <v>127</v>
      </c>
      <c r="AC18" s="803">
        <f>SUM(AA18:AB18)</f>
        <v>345</v>
      </c>
      <c r="AD18" s="807">
        <v>243</v>
      </c>
      <c r="AE18" s="802">
        <v>142</v>
      </c>
      <c r="AF18" s="803">
        <f>SUM(AD18:AE18)</f>
        <v>385</v>
      </c>
      <c r="AG18" s="807">
        <v>280</v>
      </c>
      <c r="AH18" s="802">
        <v>153</v>
      </c>
      <c r="AI18" s="803">
        <f>SUM(AG18:AH18)</f>
        <v>433</v>
      </c>
      <c r="AJ18" s="807">
        <v>279</v>
      </c>
      <c r="AK18" s="802">
        <v>176</v>
      </c>
      <c r="AL18" s="803">
        <f>SUM(AJ18:AK18)</f>
        <v>455</v>
      </c>
      <c r="AM18" s="807">
        <v>282</v>
      </c>
      <c r="AN18" s="802">
        <v>165</v>
      </c>
      <c r="AO18" s="803">
        <f>SUM(AM18:AN18)</f>
        <v>447</v>
      </c>
      <c r="AP18" s="807">
        <v>297</v>
      </c>
      <c r="AQ18" s="802">
        <v>184</v>
      </c>
      <c r="AR18" s="803">
        <f>SUM(AP18:AQ18)</f>
        <v>481</v>
      </c>
      <c r="AS18" s="807">
        <v>315</v>
      </c>
      <c r="AT18" s="802">
        <v>152</v>
      </c>
      <c r="AU18" s="803">
        <f>SUM(AS18:AT18)</f>
        <v>467</v>
      </c>
      <c r="AV18" s="4843">
        <v>286</v>
      </c>
      <c r="AW18" s="4846">
        <v>149</v>
      </c>
      <c r="AX18" s="4845">
        <f>SUM(AV18:AW18)</f>
        <v>435</v>
      </c>
      <c r="AY18" s="4843">
        <v>263</v>
      </c>
      <c r="AZ18" s="4846">
        <v>128</v>
      </c>
      <c r="BA18" s="4845">
        <f>SUM(AY18:AZ18)</f>
        <v>391</v>
      </c>
    </row>
    <row r="19" spans="2:53" x14ac:dyDescent="0.3">
      <c r="B19" s="174" t="s">
        <v>135</v>
      </c>
      <c r="C19" s="241">
        <f t="shared" ref="C19:AU19" si="6">SUM(C16:C18)</f>
        <v>567</v>
      </c>
      <c r="D19" s="240">
        <f t="shared" si="6"/>
        <v>563</v>
      </c>
      <c r="E19" s="242">
        <f t="shared" si="6"/>
        <v>1130</v>
      </c>
      <c r="F19" s="240">
        <f t="shared" si="6"/>
        <v>503</v>
      </c>
      <c r="G19" s="240">
        <f t="shared" si="6"/>
        <v>450</v>
      </c>
      <c r="H19" s="240">
        <f t="shared" si="6"/>
        <v>953</v>
      </c>
      <c r="I19" s="241">
        <f t="shared" si="6"/>
        <v>527</v>
      </c>
      <c r="J19" s="240">
        <f t="shared" si="6"/>
        <v>419</v>
      </c>
      <c r="K19" s="242">
        <f t="shared" si="6"/>
        <v>946</v>
      </c>
      <c r="L19" s="240">
        <f t="shared" si="6"/>
        <v>489</v>
      </c>
      <c r="M19" s="240">
        <f t="shared" si="6"/>
        <v>407</v>
      </c>
      <c r="N19" s="242">
        <f t="shared" si="6"/>
        <v>896</v>
      </c>
      <c r="O19" s="240">
        <f t="shared" si="6"/>
        <v>557</v>
      </c>
      <c r="P19" s="240">
        <f t="shared" si="6"/>
        <v>532</v>
      </c>
      <c r="Q19" s="242">
        <f t="shared" si="6"/>
        <v>1089</v>
      </c>
      <c r="R19" s="240">
        <f t="shared" si="6"/>
        <v>470</v>
      </c>
      <c r="S19" s="240">
        <f t="shared" si="6"/>
        <v>446</v>
      </c>
      <c r="T19" s="242">
        <f t="shared" si="6"/>
        <v>916</v>
      </c>
      <c r="U19" s="240">
        <f t="shared" si="6"/>
        <v>562</v>
      </c>
      <c r="V19" s="240">
        <f t="shared" si="6"/>
        <v>502</v>
      </c>
      <c r="W19" s="242">
        <f t="shared" si="6"/>
        <v>1064</v>
      </c>
      <c r="X19" s="241">
        <f t="shared" si="6"/>
        <v>675</v>
      </c>
      <c r="Y19" s="240">
        <f t="shared" si="6"/>
        <v>510</v>
      </c>
      <c r="Z19" s="242">
        <f t="shared" si="6"/>
        <v>1185</v>
      </c>
      <c r="AA19" s="241">
        <f t="shared" si="6"/>
        <v>616</v>
      </c>
      <c r="AB19" s="240">
        <f t="shared" si="6"/>
        <v>493</v>
      </c>
      <c r="AC19" s="242">
        <f t="shared" si="6"/>
        <v>1109</v>
      </c>
      <c r="AD19" s="241">
        <f t="shared" si="6"/>
        <v>643</v>
      </c>
      <c r="AE19" s="240">
        <f t="shared" si="6"/>
        <v>489</v>
      </c>
      <c r="AF19" s="242">
        <f t="shared" si="6"/>
        <v>1132</v>
      </c>
      <c r="AG19" s="241">
        <f t="shared" si="6"/>
        <v>671</v>
      </c>
      <c r="AH19" s="240">
        <f t="shared" si="6"/>
        <v>521</v>
      </c>
      <c r="AI19" s="242">
        <f t="shared" si="6"/>
        <v>1192</v>
      </c>
      <c r="AJ19" s="241">
        <f t="shared" si="6"/>
        <v>691</v>
      </c>
      <c r="AK19" s="240">
        <f t="shared" si="6"/>
        <v>565</v>
      </c>
      <c r="AL19" s="242">
        <f t="shared" si="6"/>
        <v>1256</v>
      </c>
      <c r="AM19" s="241">
        <f t="shared" si="6"/>
        <v>705</v>
      </c>
      <c r="AN19" s="240">
        <f t="shared" si="6"/>
        <v>564</v>
      </c>
      <c r="AO19" s="242">
        <f t="shared" si="6"/>
        <v>1269</v>
      </c>
      <c r="AP19" s="241">
        <f t="shared" si="6"/>
        <v>713</v>
      </c>
      <c r="AQ19" s="240">
        <f t="shared" si="6"/>
        <v>603</v>
      </c>
      <c r="AR19" s="242">
        <f t="shared" si="6"/>
        <v>1316</v>
      </c>
      <c r="AS19" s="241">
        <f t="shared" si="6"/>
        <v>725</v>
      </c>
      <c r="AT19" s="240">
        <f t="shared" si="6"/>
        <v>550</v>
      </c>
      <c r="AU19" s="242">
        <f t="shared" si="6"/>
        <v>1275</v>
      </c>
      <c r="AV19" s="241">
        <f t="shared" ref="AV19:AX19" si="7">SUM(AV16:AV18)</f>
        <v>700</v>
      </c>
      <c r="AW19" s="240">
        <f t="shared" si="7"/>
        <v>585</v>
      </c>
      <c r="AX19" s="242">
        <f t="shared" si="7"/>
        <v>1285</v>
      </c>
      <c r="AY19" s="241">
        <f t="shared" ref="AY19:BA19" si="8">SUM(AY16:AY18)</f>
        <v>670</v>
      </c>
      <c r="AZ19" s="240">
        <f t="shared" si="8"/>
        <v>506</v>
      </c>
      <c r="BA19" s="242">
        <f t="shared" si="8"/>
        <v>1176</v>
      </c>
    </row>
    <row r="20" spans="2:53" x14ac:dyDescent="0.3">
      <c r="C20" s="239"/>
      <c r="D20" s="239"/>
      <c r="E20" s="239"/>
      <c r="F20" s="239"/>
      <c r="G20" s="239"/>
      <c r="H20" s="239"/>
      <c r="I20" s="239"/>
      <c r="J20" s="239"/>
      <c r="K20" s="239"/>
      <c r="L20" s="239"/>
      <c r="M20" s="239"/>
      <c r="N20" s="239"/>
      <c r="O20" s="239"/>
      <c r="P20" s="239"/>
      <c r="Q20" s="239"/>
      <c r="R20" s="239"/>
      <c r="S20" s="239"/>
      <c r="T20" s="239"/>
      <c r="U20" s="239"/>
      <c r="V20" s="239"/>
      <c r="W20" s="239"/>
      <c r="X20" s="239"/>
      <c r="Y20" s="239"/>
      <c r="Z20" s="239"/>
      <c r="AA20" s="239"/>
      <c r="AB20" s="239"/>
      <c r="AC20" s="239"/>
      <c r="AD20" s="239"/>
      <c r="AE20" s="239"/>
      <c r="AF20" s="239"/>
      <c r="AG20" s="239"/>
      <c r="AH20" s="239"/>
      <c r="AI20" s="239"/>
      <c r="AJ20" s="239"/>
      <c r="AK20" s="239"/>
      <c r="AL20" s="239"/>
      <c r="AM20" s="239"/>
      <c r="AN20" s="239"/>
      <c r="AO20" s="239"/>
      <c r="AP20" s="239"/>
      <c r="AQ20" s="239"/>
      <c r="AR20" s="239"/>
      <c r="AS20" s="239"/>
      <c r="AT20" s="239"/>
      <c r="AU20" s="239"/>
      <c r="AV20" s="239"/>
      <c r="AW20" s="239"/>
      <c r="AX20" s="239"/>
      <c r="AY20" s="239"/>
      <c r="AZ20" s="239"/>
      <c r="BA20" s="239"/>
    </row>
    <row r="21" spans="2:53" x14ac:dyDescent="0.3">
      <c r="B21" s="150" t="s">
        <v>59</v>
      </c>
      <c r="C21" s="214"/>
      <c r="D21" s="213"/>
      <c r="E21" s="215"/>
      <c r="F21" s="213"/>
      <c r="G21" s="213"/>
      <c r="H21" s="213"/>
      <c r="I21" s="214"/>
      <c r="J21" s="213"/>
      <c r="K21" s="215"/>
      <c r="L21" s="799"/>
      <c r="M21" s="799"/>
      <c r="N21" s="800"/>
      <c r="O21" s="799"/>
      <c r="P21" s="799"/>
      <c r="Q21" s="800"/>
      <c r="R21" s="799"/>
      <c r="S21" s="799"/>
      <c r="T21" s="800"/>
      <c r="U21" s="799"/>
      <c r="V21" s="799"/>
      <c r="W21" s="800"/>
      <c r="X21" s="801"/>
      <c r="Y21" s="799"/>
      <c r="Z21" s="800"/>
      <c r="AA21" s="801"/>
      <c r="AB21" s="799"/>
      <c r="AC21" s="800"/>
      <c r="AD21" s="801">
        <v>9</v>
      </c>
      <c r="AE21" s="799">
        <v>11</v>
      </c>
      <c r="AF21" s="800">
        <f>SUM(AD21:AE21)</f>
        <v>20</v>
      </c>
      <c r="AG21" s="801">
        <v>1</v>
      </c>
      <c r="AH21" s="799">
        <v>4</v>
      </c>
      <c r="AI21" s="800">
        <f>SUM(AG21:AH21)</f>
        <v>5</v>
      </c>
      <c r="AJ21" s="801">
        <v>5</v>
      </c>
      <c r="AK21" s="799">
        <v>8</v>
      </c>
      <c r="AL21" s="800">
        <f>SUM(AJ21:AK21)</f>
        <v>13</v>
      </c>
      <c r="AM21" s="801">
        <v>4</v>
      </c>
      <c r="AN21" s="799">
        <v>6</v>
      </c>
      <c r="AO21" s="800">
        <f>SUM(AM21:AN21)</f>
        <v>10</v>
      </c>
      <c r="AP21" s="801">
        <v>6</v>
      </c>
      <c r="AQ21" s="799">
        <v>9</v>
      </c>
      <c r="AR21" s="800">
        <f>SUM(AP21:AQ21)</f>
        <v>15</v>
      </c>
      <c r="AS21" s="801">
        <v>8</v>
      </c>
      <c r="AT21" s="799">
        <v>9</v>
      </c>
      <c r="AU21" s="800">
        <f>SUM(AS21:AT21)</f>
        <v>17</v>
      </c>
      <c r="AV21" s="4840">
        <v>5</v>
      </c>
      <c r="AW21" s="4841">
        <v>4</v>
      </c>
      <c r="AX21" s="4842">
        <f>SUM(AV21:AW21)</f>
        <v>9</v>
      </c>
      <c r="AY21" s="4840">
        <v>9</v>
      </c>
      <c r="AZ21" s="4841">
        <v>6</v>
      </c>
      <c r="BA21" s="4842">
        <f>SUM(AY21:AZ21)</f>
        <v>15</v>
      </c>
    </row>
    <row r="22" spans="2:53" x14ac:dyDescent="0.3">
      <c r="B22" s="154" t="s">
        <v>64</v>
      </c>
      <c r="C22" s="219"/>
      <c r="D22" s="218"/>
      <c r="E22" s="220"/>
      <c r="F22" s="218"/>
      <c r="G22" s="218"/>
      <c r="H22" s="218"/>
      <c r="I22" s="219"/>
      <c r="J22" s="218"/>
      <c r="K22" s="220"/>
      <c r="L22" s="802"/>
      <c r="M22" s="802"/>
      <c r="N22" s="803"/>
      <c r="O22" s="802"/>
      <c r="P22" s="802"/>
      <c r="Q22" s="803"/>
      <c r="R22" s="802"/>
      <c r="S22" s="802"/>
      <c r="T22" s="803"/>
      <c r="U22" s="802"/>
      <c r="V22" s="802"/>
      <c r="W22" s="803"/>
      <c r="X22" s="807"/>
      <c r="Y22" s="802"/>
      <c r="Z22" s="803"/>
      <c r="AA22" s="807"/>
      <c r="AB22" s="802"/>
      <c r="AC22" s="803"/>
      <c r="AD22" s="807">
        <v>22</v>
      </c>
      <c r="AE22" s="802">
        <v>10</v>
      </c>
      <c r="AF22" s="803">
        <f>SUM(AD22:AE22)</f>
        <v>32</v>
      </c>
      <c r="AG22" s="807">
        <v>9</v>
      </c>
      <c r="AH22" s="802">
        <v>1</v>
      </c>
      <c r="AI22" s="803">
        <f>SUM(AG22:AH22)</f>
        <v>10</v>
      </c>
      <c r="AJ22" s="807">
        <v>19</v>
      </c>
      <c r="AK22" s="802">
        <v>19</v>
      </c>
      <c r="AL22" s="803">
        <f>SUM(AJ22:AK22)</f>
        <v>38</v>
      </c>
      <c r="AM22" s="807">
        <v>12</v>
      </c>
      <c r="AN22" s="802">
        <v>10</v>
      </c>
      <c r="AO22" s="803">
        <f>SUM(AM22:AN22)</f>
        <v>22</v>
      </c>
      <c r="AP22" s="807">
        <v>9</v>
      </c>
      <c r="AQ22" s="802">
        <v>11</v>
      </c>
      <c r="AR22" s="803">
        <f>SUM(AP22:AQ22)</f>
        <v>20</v>
      </c>
      <c r="AS22" s="807">
        <v>28</v>
      </c>
      <c r="AT22" s="802">
        <v>14</v>
      </c>
      <c r="AU22" s="803">
        <f>SUM(AS22:AT22)</f>
        <v>42</v>
      </c>
      <c r="AV22" s="4843">
        <v>17</v>
      </c>
      <c r="AW22" s="4844">
        <v>14</v>
      </c>
      <c r="AX22" s="4845">
        <f>SUM(AV22:AW22)</f>
        <v>31</v>
      </c>
      <c r="AY22" s="4843">
        <v>39</v>
      </c>
      <c r="AZ22" s="4844">
        <v>13</v>
      </c>
      <c r="BA22" s="4845">
        <f>SUM(AY22:AZ22)</f>
        <v>52</v>
      </c>
    </row>
    <row r="23" spans="2:53" x14ac:dyDescent="0.3">
      <c r="B23" s="154" t="s">
        <v>92</v>
      </c>
      <c r="C23" s="219"/>
      <c r="D23" s="218"/>
      <c r="E23" s="220"/>
      <c r="F23" s="218"/>
      <c r="G23" s="218"/>
      <c r="H23" s="218"/>
      <c r="I23" s="219"/>
      <c r="J23" s="218"/>
      <c r="K23" s="220"/>
      <c r="L23" s="802"/>
      <c r="M23" s="802"/>
      <c r="N23" s="803"/>
      <c r="O23" s="802"/>
      <c r="P23" s="802"/>
      <c r="Q23" s="803"/>
      <c r="R23" s="802"/>
      <c r="S23" s="802"/>
      <c r="T23" s="803"/>
      <c r="U23" s="802"/>
      <c r="V23" s="802"/>
      <c r="W23" s="803"/>
      <c r="X23" s="807"/>
      <c r="Y23" s="802"/>
      <c r="Z23" s="803"/>
      <c r="AA23" s="807"/>
      <c r="AB23" s="802"/>
      <c r="AC23" s="803"/>
      <c r="AD23" s="807">
        <v>21</v>
      </c>
      <c r="AE23" s="802">
        <v>2</v>
      </c>
      <c r="AF23" s="803">
        <f>SUM(AD23:AE23)</f>
        <v>23</v>
      </c>
      <c r="AG23" s="807">
        <v>5</v>
      </c>
      <c r="AH23" s="802">
        <v>9</v>
      </c>
      <c r="AI23" s="803">
        <f>SUM(AG23:AH23)</f>
        <v>14</v>
      </c>
      <c r="AJ23" s="807">
        <v>23</v>
      </c>
      <c r="AK23" s="802">
        <v>7</v>
      </c>
      <c r="AL23" s="803">
        <f>SUM(AJ23:AK23)</f>
        <v>30</v>
      </c>
      <c r="AM23" s="807">
        <v>10</v>
      </c>
      <c r="AN23" s="802">
        <v>9</v>
      </c>
      <c r="AO23" s="803">
        <f>SUM(AM23:AN23)</f>
        <v>19</v>
      </c>
      <c r="AP23" s="807">
        <v>5</v>
      </c>
      <c r="AQ23" s="802">
        <v>2</v>
      </c>
      <c r="AR23" s="803">
        <f>SUM(AP23:AQ23)</f>
        <v>7</v>
      </c>
      <c r="AS23" s="807">
        <v>17</v>
      </c>
      <c r="AT23" s="802">
        <v>5</v>
      </c>
      <c r="AU23" s="803">
        <f>SUM(AS23:AT23)</f>
        <v>22</v>
      </c>
      <c r="AV23" s="4843">
        <v>24</v>
      </c>
      <c r="AW23" s="4846">
        <v>7</v>
      </c>
      <c r="AX23" s="4845">
        <f>SUM(AV23:AW23)</f>
        <v>31</v>
      </c>
      <c r="AY23" s="4843">
        <v>38</v>
      </c>
      <c r="AZ23" s="4846">
        <v>6</v>
      </c>
      <c r="BA23" s="4845">
        <f>SUM(AY23:AZ23)</f>
        <v>44</v>
      </c>
    </row>
    <row r="24" spans="2:53" x14ac:dyDescent="0.3">
      <c r="B24" s="178" t="s">
        <v>136</v>
      </c>
      <c r="C24" s="252"/>
      <c r="D24" s="251"/>
      <c r="E24" s="253"/>
      <c r="F24" s="251"/>
      <c r="G24" s="251"/>
      <c r="H24" s="251"/>
      <c r="I24" s="252"/>
      <c r="J24" s="251"/>
      <c r="K24" s="253"/>
      <c r="L24" s="251"/>
      <c r="M24" s="251"/>
      <c r="N24" s="253"/>
      <c r="O24" s="251"/>
      <c r="P24" s="251"/>
      <c r="Q24" s="253"/>
      <c r="R24" s="251"/>
      <c r="S24" s="251"/>
      <c r="T24" s="253"/>
      <c r="U24" s="251"/>
      <c r="V24" s="251"/>
      <c r="W24" s="253"/>
      <c r="X24" s="252"/>
      <c r="Y24" s="251"/>
      <c r="Z24" s="253"/>
      <c r="AA24" s="252"/>
      <c r="AB24" s="251"/>
      <c r="AC24" s="253"/>
      <c r="AD24" s="252">
        <f t="shared" ref="AD24:AU24" si="9">SUM(AD21:AD23)</f>
        <v>52</v>
      </c>
      <c r="AE24" s="251">
        <f t="shared" si="9"/>
        <v>23</v>
      </c>
      <c r="AF24" s="253">
        <f t="shared" si="9"/>
        <v>75</v>
      </c>
      <c r="AG24" s="252">
        <f t="shared" si="9"/>
        <v>15</v>
      </c>
      <c r="AH24" s="251">
        <f t="shared" si="9"/>
        <v>14</v>
      </c>
      <c r="AI24" s="253">
        <f t="shared" si="9"/>
        <v>29</v>
      </c>
      <c r="AJ24" s="252">
        <f t="shared" si="9"/>
        <v>47</v>
      </c>
      <c r="AK24" s="251">
        <f t="shared" si="9"/>
        <v>34</v>
      </c>
      <c r="AL24" s="253">
        <f t="shared" si="9"/>
        <v>81</v>
      </c>
      <c r="AM24" s="252">
        <f t="shared" si="9"/>
        <v>26</v>
      </c>
      <c r="AN24" s="251">
        <f t="shared" si="9"/>
        <v>25</v>
      </c>
      <c r="AO24" s="253">
        <f t="shared" si="9"/>
        <v>51</v>
      </c>
      <c r="AP24" s="252">
        <f t="shared" si="9"/>
        <v>20</v>
      </c>
      <c r="AQ24" s="251">
        <f t="shared" si="9"/>
        <v>22</v>
      </c>
      <c r="AR24" s="253">
        <f t="shared" si="9"/>
        <v>42</v>
      </c>
      <c r="AS24" s="252">
        <f t="shared" si="9"/>
        <v>53</v>
      </c>
      <c r="AT24" s="251">
        <f t="shared" si="9"/>
        <v>28</v>
      </c>
      <c r="AU24" s="253">
        <f t="shared" si="9"/>
        <v>81</v>
      </c>
      <c r="AV24" s="252">
        <f t="shared" ref="AV24:AX24" si="10">SUM(AV21:AV23)</f>
        <v>46</v>
      </c>
      <c r="AW24" s="251">
        <f t="shared" si="10"/>
        <v>25</v>
      </c>
      <c r="AX24" s="253">
        <f t="shared" si="10"/>
        <v>71</v>
      </c>
      <c r="AY24" s="252">
        <f t="shared" ref="AY24:BA24" si="11">SUM(AY21:AY23)</f>
        <v>86</v>
      </c>
      <c r="AZ24" s="251">
        <f t="shared" si="11"/>
        <v>25</v>
      </c>
      <c r="BA24" s="253">
        <f t="shared" si="11"/>
        <v>111</v>
      </c>
    </row>
    <row r="25" spans="2:53" x14ac:dyDescent="0.3">
      <c r="B25" s="170"/>
      <c r="C25" s="239"/>
      <c r="D25" s="239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239"/>
      <c r="X25" s="239"/>
      <c r="Y25" s="239"/>
      <c r="Z25" s="239"/>
      <c r="AA25" s="239"/>
      <c r="AB25" s="239"/>
      <c r="AC25" s="239"/>
      <c r="AD25" s="239"/>
      <c r="AE25" s="239"/>
      <c r="AF25" s="239"/>
      <c r="AG25" s="239"/>
      <c r="AH25" s="239"/>
      <c r="AI25" s="239"/>
      <c r="AJ25" s="239"/>
      <c r="AK25" s="239"/>
      <c r="AL25" s="239"/>
      <c r="AM25" s="239"/>
      <c r="AN25" s="239"/>
      <c r="AO25" s="239"/>
      <c r="AP25" s="239"/>
      <c r="AQ25" s="239"/>
      <c r="AR25" s="239"/>
      <c r="AS25" s="239"/>
      <c r="AT25" s="239"/>
      <c r="AU25" s="239"/>
      <c r="AV25" s="239"/>
      <c r="AW25" s="239"/>
      <c r="AX25" s="239"/>
      <c r="AY25" s="239"/>
      <c r="AZ25" s="239"/>
      <c r="BA25" s="239"/>
    </row>
    <row r="26" spans="2:53" x14ac:dyDescent="0.3">
      <c r="B26" s="150" t="s">
        <v>64</v>
      </c>
      <c r="C26" s="214">
        <v>421</v>
      </c>
      <c r="D26" s="213">
        <v>340</v>
      </c>
      <c r="E26" s="215">
        <f>SUM(C26:D26)</f>
        <v>761</v>
      </c>
      <c r="F26" s="213">
        <v>466</v>
      </c>
      <c r="G26" s="213">
        <v>330</v>
      </c>
      <c r="H26" s="213">
        <f>SUM(F26:G26)</f>
        <v>796</v>
      </c>
      <c r="I26" s="214">
        <v>587</v>
      </c>
      <c r="J26" s="213">
        <v>406</v>
      </c>
      <c r="K26" s="215">
        <f>SUM(I26:J26)</f>
        <v>993</v>
      </c>
      <c r="L26" s="799">
        <v>565</v>
      </c>
      <c r="M26" s="799">
        <v>362</v>
      </c>
      <c r="N26" s="800">
        <f>SUM(L26:M26)</f>
        <v>927</v>
      </c>
      <c r="O26" s="799">
        <v>497</v>
      </c>
      <c r="P26" s="799">
        <v>388</v>
      </c>
      <c r="Q26" s="800">
        <f>SUM(O26:P26)</f>
        <v>885</v>
      </c>
      <c r="R26" s="799">
        <v>446</v>
      </c>
      <c r="S26" s="799">
        <v>370</v>
      </c>
      <c r="T26" s="800">
        <f>SUM(R26:S26)</f>
        <v>816</v>
      </c>
      <c r="U26" s="799">
        <v>468</v>
      </c>
      <c r="V26" s="799">
        <v>326</v>
      </c>
      <c r="W26" s="800">
        <f>SUM(U26:V26)</f>
        <v>794</v>
      </c>
      <c r="X26" s="801">
        <v>554</v>
      </c>
      <c r="Y26" s="799">
        <v>356</v>
      </c>
      <c r="Z26" s="800">
        <f>SUM(X26:Y26)</f>
        <v>910</v>
      </c>
      <c r="AA26" s="801">
        <v>470</v>
      </c>
      <c r="AB26" s="799">
        <v>338</v>
      </c>
      <c r="AC26" s="800">
        <f>SUM(AA26:AB26)</f>
        <v>808</v>
      </c>
      <c r="AD26" s="801">
        <v>477</v>
      </c>
      <c r="AE26" s="799">
        <v>332</v>
      </c>
      <c r="AF26" s="800">
        <f>SUM(AD26:AE26)</f>
        <v>809</v>
      </c>
      <c r="AG26" s="801">
        <v>488</v>
      </c>
      <c r="AH26" s="799">
        <v>377</v>
      </c>
      <c r="AI26" s="800">
        <f>SUM(AG26:AH26)</f>
        <v>865</v>
      </c>
      <c r="AJ26" s="801">
        <v>428</v>
      </c>
      <c r="AK26" s="799">
        <v>332</v>
      </c>
      <c r="AL26" s="800">
        <f>SUM(AJ26:AK26)</f>
        <v>760</v>
      </c>
      <c r="AM26" s="801">
        <v>463</v>
      </c>
      <c r="AN26" s="799">
        <v>390</v>
      </c>
      <c r="AO26" s="800">
        <f>SUM(AM26:AN26)</f>
        <v>853</v>
      </c>
      <c r="AP26" s="801">
        <v>458</v>
      </c>
      <c r="AQ26" s="799">
        <v>302</v>
      </c>
      <c r="AR26" s="800">
        <f>SUM(AP26:AQ26)</f>
        <v>760</v>
      </c>
      <c r="AS26" s="801">
        <v>546</v>
      </c>
      <c r="AT26" s="799">
        <v>395</v>
      </c>
      <c r="AU26" s="800">
        <f>SUM(AS26:AT26)</f>
        <v>941</v>
      </c>
      <c r="AV26" s="4840">
        <v>518</v>
      </c>
      <c r="AW26" s="4841">
        <v>370</v>
      </c>
      <c r="AX26" s="4842">
        <f>SUM(AV26:AW26)</f>
        <v>888</v>
      </c>
      <c r="AY26" s="4840">
        <v>526</v>
      </c>
      <c r="AZ26" s="4841">
        <v>405</v>
      </c>
      <c r="BA26" s="4842">
        <f>SUM(AY26:AZ26)</f>
        <v>931</v>
      </c>
    </row>
    <row r="27" spans="2:53" x14ac:dyDescent="0.3">
      <c r="B27" s="154" t="s">
        <v>92</v>
      </c>
      <c r="C27" s="219">
        <v>576</v>
      </c>
      <c r="D27" s="218">
        <v>382</v>
      </c>
      <c r="E27" s="220">
        <f>SUM(C27:D27)</f>
        <v>958</v>
      </c>
      <c r="F27" s="218">
        <v>701</v>
      </c>
      <c r="G27" s="218">
        <v>405</v>
      </c>
      <c r="H27" s="218">
        <f>SUM(F27:G27)</f>
        <v>1106</v>
      </c>
      <c r="I27" s="219">
        <v>785</v>
      </c>
      <c r="J27" s="218">
        <v>441</v>
      </c>
      <c r="K27" s="220">
        <f>SUM(I27:J27)</f>
        <v>1226</v>
      </c>
      <c r="L27" s="802">
        <v>834</v>
      </c>
      <c r="M27" s="802">
        <v>450</v>
      </c>
      <c r="N27" s="803">
        <f>SUM(L27:M27)</f>
        <v>1284</v>
      </c>
      <c r="O27" s="802">
        <v>728</v>
      </c>
      <c r="P27" s="802">
        <v>462</v>
      </c>
      <c r="Q27" s="803">
        <f>SUM(O27:P27)</f>
        <v>1190</v>
      </c>
      <c r="R27" s="802">
        <v>721</v>
      </c>
      <c r="S27" s="802">
        <v>439</v>
      </c>
      <c r="T27" s="803">
        <f>SUM(R27:S27)</f>
        <v>1160</v>
      </c>
      <c r="U27" s="802">
        <v>765</v>
      </c>
      <c r="V27" s="802">
        <v>420</v>
      </c>
      <c r="W27" s="803">
        <f>SUM(U27:V27)</f>
        <v>1185</v>
      </c>
      <c r="X27" s="807">
        <v>699</v>
      </c>
      <c r="Y27" s="802">
        <v>446</v>
      </c>
      <c r="Z27" s="803">
        <f>SUM(X27:Y27)</f>
        <v>1145</v>
      </c>
      <c r="AA27" s="807">
        <v>717</v>
      </c>
      <c r="AB27" s="802">
        <v>410</v>
      </c>
      <c r="AC27" s="803">
        <f>SUM(AA27:AB27)</f>
        <v>1127</v>
      </c>
      <c r="AD27" s="807">
        <v>725</v>
      </c>
      <c r="AE27" s="802">
        <v>418</v>
      </c>
      <c r="AF27" s="803">
        <f>SUM(AD27:AE27)</f>
        <v>1143</v>
      </c>
      <c r="AG27" s="807">
        <v>667</v>
      </c>
      <c r="AH27" s="802">
        <v>403</v>
      </c>
      <c r="AI27" s="803">
        <f>SUM(AG27:AH27)</f>
        <v>1070</v>
      </c>
      <c r="AJ27" s="807">
        <v>713</v>
      </c>
      <c r="AK27" s="802">
        <v>408</v>
      </c>
      <c r="AL27" s="803">
        <f>SUM(AJ27:AK27)</f>
        <v>1121</v>
      </c>
      <c r="AM27" s="807">
        <v>719</v>
      </c>
      <c r="AN27" s="802">
        <v>383</v>
      </c>
      <c r="AO27" s="803">
        <f>SUM(AM27:AN27)</f>
        <v>1102</v>
      </c>
      <c r="AP27" s="807">
        <v>703</v>
      </c>
      <c r="AQ27" s="802">
        <v>353</v>
      </c>
      <c r="AR27" s="803">
        <f>SUM(AP27:AQ27)</f>
        <v>1056</v>
      </c>
      <c r="AS27" s="807">
        <v>741</v>
      </c>
      <c r="AT27" s="802">
        <v>390</v>
      </c>
      <c r="AU27" s="803">
        <f>SUM(AS27:AT27)</f>
        <v>1131</v>
      </c>
      <c r="AV27" s="4843">
        <v>796</v>
      </c>
      <c r="AW27" s="4844">
        <v>426</v>
      </c>
      <c r="AX27" s="4845">
        <f>SUM(AV27:AW27)</f>
        <v>1222</v>
      </c>
      <c r="AY27" s="4843">
        <v>789</v>
      </c>
      <c r="AZ27" s="4844">
        <v>421</v>
      </c>
      <c r="BA27" s="4845">
        <f>SUM(AY27:AZ27)</f>
        <v>1210</v>
      </c>
    </row>
    <row r="28" spans="2:53" x14ac:dyDescent="0.3">
      <c r="B28" s="154" t="s">
        <v>68</v>
      </c>
      <c r="C28" s="219">
        <v>141</v>
      </c>
      <c r="D28" s="218">
        <v>283</v>
      </c>
      <c r="E28" s="220">
        <f>SUM(C28:D28)</f>
        <v>424</v>
      </c>
      <c r="F28" s="218">
        <v>110</v>
      </c>
      <c r="G28" s="218">
        <v>265</v>
      </c>
      <c r="H28" s="218">
        <f>SUM(F28:G28)</f>
        <v>375</v>
      </c>
      <c r="I28" s="219">
        <v>173</v>
      </c>
      <c r="J28" s="218">
        <v>326</v>
      </c>
      <c r="K28" s="220">
        <f>SUM(I28:J28)</f>
        <v>499</v>
      </c>
      <c r="L28" s="802">
        <v>156</v>
      </c>
      <c r="M28" s="802">
        <v>307</v>
      </c>
      <c r="N28" s="803">
        <f>SUM(L28:M28)</f>
        <v>463</v>
      </c>
      <c r="O28" s="802">
        <v>157</v>
      </c>
      <c r="P28" s="802">
        <v>288</v>
      </c>
      <c r="Q28" s="803">
        <f>SUM(O28:P28)</f>
        <v>445</v>
      </c>
      <c r="R28" s="802">
        <v>132</v>
      </c>
      <c r="S28" s="802">
        <v>245</v>
      </c>
      <c r="T28" s="803">
        <f>SUM(R28:S28)</f>
        <v>377</v>
      </c>
      <c r="U28" s="802">
        <v>139</v>
      </c>
      <c r="V28" s="802">
        <v>233</v>
      </c>
      <c r="W28" s="803">
        <f>SUM(U28:V28)</f>
        <v>372</v>
      </c>
      <c r="X28" s="807">
        <v>170</v>
      </c>
      <c r="Y28" s="802">
        <v>266</v>
      </c>
      <c r="Z28" s="803">
        <f>SUM(X28:Y28)</f>
        <v>436</v>
      </c>
      <c r="AA28" s="807">
        <v>168</v>
      </c>
      <c r="AB28" s="802">
        <v>285</v>
      </c>
      <c r="AC28" s="803">
        <f>SUM(AA28:AB28)</f>
        <v>453</v>
      </c>
      <c r="AD28" s="807">
        <v>187</v>
      </c>
      <c r="AE28" s="802">
        <v>221</v>
      </c>
      <c r="AF28" s="803">
        <f>SUM(AD28:AE28)</f>
        <v>408</v>
      </c>
      <c r="AG28" s="807">
        <v>190</v>
      </c>
      <c r="AH28" s="802">
        <v>258</v>
      </c>
      <c r="AI28" s="803">
        <f>SUM(AG28:AH28)</f>
        <v>448</v>
      </c>
      <c r="AJ28" s="807">
        <v>175</v>
      </c>
      <c r="AK28" s="802">
        <v>225</v>
      </c>
      <c r="AL28" s="803">
        <f>SUM(AJ28:AK28)</f>
        <v>400</v>
      </c>
      <c r="AM28" s="807">
        <v>187</v>
      </c>
      <c r="AN28" s="802">
        <v>250</v>
      </c>
      <c r="AO28" s="803">
        <f>SUM(AM28:AN28)</f>
        <v>437</v>
      </c>
      <c r="AP28" s="807">
        <v>156</v>
      </c>
      <c r="AQ28" s="802">
        <v>271</v>
      </c>
      <c r="AR28" s="803">
        <f>SUM(AP28:AQ28)</f>
        <v>427</v>
      </c>
      <c r="AS28" s="807">
        <v>206</v>
      </c>
      <c r="AT28" s="802">
        <v>232</v>
      </c>
      <c r="AU28" s="803">
        <f>SUM(AS28:AT28)</f>
        <v>438</v>
      </c>
      <c r="AV28" s="4843">
        <v>202</v>
      </c>
      <c r="AW28" s="4846">
        <v>236</v>
      </c>
      <c r="AX28" s="4845">
        <f>SUM(AV28:AW28)</f>
        <v>438</v>
      </c>
      <c r="AY28" s="4843">
        <v>220</v>
      </c>
      <c r="AZ28" s="4846">
        <v>246</v>
      </c>
      <c r="BA28" s="4845">
        <f>SUM(AY28:AZ28)</f>
        <v>466</v>
      </c>
    </row>
    <row r="29" spans="2:53" x14ac:dyDescent="0.3">
      <c r="B29" s="188" t="s">
        <v>137</v>
      </c>
      <c r="C29" s="257">
        <f t="shared" ref="C29:AU29" si="12">SUM(C26:C28)</f>
        <v>1138</v>
      </c>
      <c r="D29" s="256">
        <f t="shared" si="12"/>
        <v>1005</v>
      </c>
      <c r="E29" s="258">
        <f t="shared" si="12"/>
        <v>2143</v>
      </c>
      <c r="F29" s="256">
        <f t="shared" si="12"/>
        <v>1277</v>
      </c>
      <c r="G29" s="256">
        <f t="shared" si="12"/>
        <v>1000</v>
      </c>
      <c r="H29" s="256">
        <f t="shared" si="12"/>
        <v>2277</v>
      </c>
      <c r="I29" s="257">
        <f t="shared" si="12"/>
        <v>1545</v>
      </c>
      <c r="J29" s="256">
        <f t="shared" si="12"/>
        <v>1173</v>
      </c>
      <c r="K29" s="258">
        <f t="shared" si="12"/>
        <v>2718</v>
      </c>
      <c r="L29" s="256">
        <f t="shared" si="12"/>
        <v>1555</v>
      </c>
      <c r="M29" s="256">
        <f t="shared" si="12"/>
        <v>1119</v>
      </c>
      <c r="N29" s="258">
        <f t="shared" si="12"/>
        <v>2674</v>
      </c>
      <c r="O29" s="256">
        <f t="shared" si="12"/>
        <v>1382</v>
      </c>
      <c r="P29" s="256">
        <f t="shared" si="12"/>
        <v>1138</v>
      </c>
      <c r="Q29" s="258">
        <f t="shared" si="12"/>
        <v>2520</v>
      </c>
      <c r="R29" s="256">
        <f t="shared" si="12"/>
        <v>1299</v>
      </c>
      <c r="S29" s="256">
        <f t="shared" si="12"/>
        <v>1054</v>
      </c>
      <c r="T29" s="258">
        <f t="shared" si="12"/>
        <v>2353</v>
      </c>
      <c r="U29" s="256">
        <f t="shared" si="12"/>
        <v>1372</v>
      </c>
      <c r="V29" s="256">
        <f t="shared" si="12"/>
        <v>979</v>
      </c>
      <c r="W29" s="258">
        <f t="shared" si="12"/>
        <v>2351</v>
      </c>
      <c r="X29" s="257">
        <f t="shared" si="12"/>
        <v>1423</v>
      </c>
      <c r="Y29" s="256">
        <f t="shared" si="12"/>
        <v>1068</v>
      </c>
      <c r="Z29" s="258">
        <f t="shared" si="12"/>
        <v>2491</v>
      </c>
      <c r="AA29" s="257">
        <f t="shared" si="12"/>
        <v>1355</v>
      </c>
      <c r="AB29" s="256">
        <f t="shared" si="12"/>
        <v>1033</v>
      </c>
      <c r="AC29" s="258">
        <f t="shared" si="12"/>
        <v>2388</v>
      </c>
      <c r="AD29" s="257">
        <f t="shared" si="12"/>
        <v>1389</v>
      </c>
      <c r="AE29" s="256">
        <f t="shared" si="12"/>
        <v>971</v>
      </c>
      <c r="AF29" s="258">
        <f t="shared" si="12"/>
        <v>2360</v>
      </c>
      <c r="AG29" s="257">
        <f t="shared" si="12"/>
        <v>1345</v>
      </c>
      <c r="AH29" s="256">
        <f t="shared" si="12"/>
        <v>1038</v>
      </c>
      <c r="AI29" s="258">
        <f t="shared" si="12"/>
        <v>2383</v>
      </c>
      <c r="AJ29" s="257">
        <f t="shared" si="12"/>
        <v>1316</v>
      </c>
      <c r="AK29" s="256">
        <f t="shared" si="12"/>
        <v>965</v>
      </c>
      <c r="AL29" s="258">
        <f t="shared" si="12"/>
        <v>2281</v>
      </c>
      <c r="AM29" s="257">
        <f t="shared" si="12"/>
        <v>1369</v>
      </c>
      <c r="AN29" s="256">
        <f t="shared" si="12"/>
        <v>1023</v>
      </c>
      <c r="AO29" s="258">
        <f t="shared" si="12"/>
        <v>2392</v>
      </c>
      <c r="AP29" s="257">
        <f t="shared" si="12"/>
        <v>1317</v>
      </c>
      <c r="AQ29" s="256">
        <f t="shared" si="12"/>
        <v>926</v>
      </c>
      <c r="AR29" s="258">
        <f t="shared" si="12"/>
        <v>2243</v>
      </c>
      <c r="AS29" s="257">
        <f t="shared" si="12"/>
        <v>1493</v>
      </c>
      <c r="AT29" s="256">
        <f t="shared" si="12"/>
        <v>1017</v>
      </c>
      <c r="AU29" s="258">
        <f t="shared" si="12"/>
        <v>2510</v>
      </c>
      <c r="AV29" s="257">
        <f t="shared" ref="AV29:AX29" si="13">SUM(AV26:AV28)</f>
        <v>1516</v>
      </c>
      <c r="AW29" s="256">
        <f t="shared" si="13"/>
        <v>1032</v>
      </c>
      <c r="AX29" s="258">
        <f t="shared" si="13"/>
        <v>2548</v>
      </c>
      <c r="AY29" s="257">
        <f t="shared" ref="AY29:BA29" si="14">SUM(AY26:AY28)</f>
        <v>1535</v>
      </c>
      <c r="AZ29" s="256">
        <f t="shared" si="14"/>
        <v>1072</v>
      </c>
      <c r="BA29" s="258">
        <f t="shared" si="14"/>
        <v>2607</v>
      </c>
    </row>
    <row r="30" spans="2:53" x14ac:dyDescent="0.3">
      <c r="B30" s="3"/>
      <c r="C30" s="808"/>
      <c r="D30" s="808"/>
      <c r="E30" s="808"/>
      <c r="F30" s="808"/>
      <c r="G30" s="808"/>
      <c r="H30" s="808"/>
      <c r="I30" s="808"/>
      <c r="J30" s="808"/>
      <c r="K30" s="808"/>
      <c r="L30" s="809"/>
      <c r="M30" s="809"/>
      <c r="N30" s="809"/>
      <c r="O30" s="809"/>
      <c r="P30" s="809"/>
      <c r="Q30" s="809"/>
      <c r="R30" s="809"/>
      <c r="S30" s="809"/>
      <c r="T30" s="809"/>
      <c r="U30" s="809"/>
      <c r="V30" s="809"/>
      <c r="W30" s="809"/>
      <c r="X30" s="809"/>
      <c r="Y30" s="809"/>
      <c r="Z30" s="809"/>
      <c r="AA30" s="809"/>
      <c r="AB30" s="809"/>
      <c r="AC30" s="809"/>
      <c r="AD30" s="809"/>
      <c r="AE30" s="809"/>
      <c r="AF30" s="809"/>
      <c r="AG30" s="809"/>
      <c r="AH30" s="809"/>
      <c r="AI30" s="809"/>
      <c r="AJ30" s="809"/>
      <c r="AK30" s="809"/>
      <c r="AL30" s="809"/>
      <c r="AM30" s="809"/>
      <c r="AN30" s="809"/>
      <c r="AO30" s="809"/>
      <c r="AP30" s="809"/>
      <c r="AQ30" s="809"/>
      <c r="AR30" s="809"/>
      <c r="AS30" s="809"/>
      <c r="AT30" s="809"/>
      <c r="AU30" s="809"/>
      <c r="AV30" s="809"/>
      <c r="AW30" s="809"/>
      <c r="AX30" s="809"/>
      <c r="AY30" s="809"/>
      <c r="AZ30" s="809"/>
      <c r="BA30" s="809"/>
    </row>
    <row r="31" spans="2:53" x14ac:dyDescent="0.3">
      <c r="B31" s="150" t="s">
        <v>59</v>
      </c>
      <c r="C31" s="214">
        <f t="shared" ref="C31:AC31" si="15">SUM(C6,C16)</f>
        <v>149</v>
      </c>
      <c r="D31" s="213">
        <f t="shared" si="15"/>
        <v>503</v>
      </c>
      <c r="E31" s="215">
        <f t="shared" si="15"/>
        <v>652</v>
      </c>
      <c r="F31" s="213">
        <f t="shared" si="15"/>
        <v>129</v>
      </c>
      <c r="G31" s="213">
        <f t="shared" si="15"/>
        <v>383</v>
      </c>
      <c r="H31" s="213">
        <f t="shared" si="15"/>
        <v>512</v>
      </c>
      <c r="I31" s="214">
        <f t="shared" si="15"/>
        <v>144</v>
      </c>
      <c r="J31" s="213">
        <f t="shared" si="15"/>
        <v>381</v>
      </c>
      <c r="K31" s="215">
        <f t="shared" si="15"/>
        <v>525</v>
      </c>
      <c r="L31" s="214">
        <f t="shared" si="15"/>
        <v>138</v>
      </c>
      <c r="M31" s="213">
        <f t="shared" si="15"/>
        <v>379</v>
      </c>
      <c r="N31" s="215">
        <f t="shared" si="15"/>
        <v>517</v>
      </c>
      <c r="O31" s="214">
        <f t="shared" si="15"/>
        <v>148</v>
      </c>
      <c r="P31" s="213">
        <f t="shared" si="15"/>
        <v>459</v>
      </c>
      <c r="Q31" s="215">
        <f t="shared" si="15"/>
        <v>607</v>
      </c>
      <c r="R31" s="214">
        <f t="shared" si="15"/>
        <v>163</v>
      </c>
      <c r="S31" s="213">
        <f t="shared" si="15"/>
        <v>420</v>
      </c>
      <c r="T31" s="215">
        <f t="shared" si="15"/>
        <v>583</v>
      </c>
      <c r="U31" s="214">
        <f t="shared" si="15"/>
        <v>156</v>
      </c>
      <c r="V31" s="213">
        <f t="shared" si="15"/>
        <v>408</v>
      </c>
      <c r="W31" s="215">
        <f t="shared" si="15"/>
        <v>564</v>
      </c>
      <c r="X31" s="214">
        <f t="shared" si="15"/>
        <v>205</v>
      </c>
      <c r="Y31" s="213">
        <f t="shared" si="15"/>
        <v>480</v>
      </c>
      <c r="Z31" s="215">
        <f t="shared" si="15"/>
        <v>685</v>
      </c>
      <c r="AA31" s="214">
        <f t="shared" si="15"/>
        <v>239</v>
      </c>
      <c r="AB31" s="213">
        <f t="shared" si="15"/>
        <v>547</v>
      </c>
      <c r="AC31" s="215">
        <f t="shared" si="15"/>
        <v>786</v>
      </c>
      <c r="AD31" s="214">
        <f>SUM(AD6,AD16,AD21)</f>
        <v>235</v>
      </c>
      <c r="AE31" s="213">
        <f>SUM(AE6,AE16,AE21)</f>
        <v>485</v>
      </c>
      <c r="AF31" s="215">
        <f t="shared" ref="AF31:AF36" si="16">SUM(AD31:AE31)</f>
        <v>720</v>
      </c>
      <c r="AG31" s="214">
        <f>SUM(AG6,AG16,AG21)</f>
        <v>234</v>
      </c>
      <c r="AH31" s="213">
        <f>SUM(AH6,AH16,AH21)</f>
        <v>521</v>
      </c>
      <c r="AI31" s="215">
        <f t="shared" ref="AI31:AI36" si="17">SUM(AG31:AH31)</f>
        <v>755</v>
      </c>
      <c r="AJ31" s="214">
        <f>SUM(AJ6,AJ16,AJ21)</f>
        <v>276</v>
      </c>
      <c r="AK31" s="213">
        <f>SUM(AK6,AK16,AK21)</f>
        <v>589</v>
      </c>
      <c r="AL31" s="215">
        <f t="shared" ref="AL31:AL36" si="18">SUM(AJ31:AK31)</f>
        <v>865</v>
      </c>
      <c r="AM31" s="214">
        <f>SUM(AM6,AM16,AM21)</f>
        <v>267</v>
      </c>
      <c r="AN31" s="213">
        <f>SUM(AN6,AN16,AN21)</f>
        <v>557</v>
      </c>
      <c r="AO31" s="215">
        <f t="shared" ref="AO31:AO36" si="19">SUM(AM31:AN31)</f>
        <v>824</v>
      </c>
      <c r="AP31" s="214">
        <f>SUM(AP6,AP16,AP21)</f>
        <v>267</v>
      </c>
      <c r="AQ31" s="213">
        <f>SUM(AQ6,AQ16,AQ21)</f>
        <v>540</v>
      </c>
      <c r="AR31" s="215">
        <f t="shared" ref="AR31:AR36" si="20">SUM(AP31:AQ31)</f>
        <v>807</v>
      </c>
      <c r="AS31" s="214">
        <f>SUM(AS6,AS16,AS21)</f>
        <v>188</v>
      </c>
      <c r="AT31" s="213">
        <f>SUM(AT6,AT16,AT21)</f>
        <v>371</v>
      </c>
      <c r="AU31" s="215">
        <f t="shared" ref="AU31:AU36" si="21">SUM(AS31:AT31)</f>
        <v>559</v>
      </c>
      <c r="AV31" s="4840">
        <f>SUM(AV6,AV16,AV21)</f>
        <v>255</v>
      </c>
      <c r="AW31" s="4841">
        <f>SUM(AW6,AW16,AW21)</f>
        <v>491</v>
      </c>
      <c r="AX31" s="4842">
        <f t="shared" ref="AX31:AX36" si="22">SUM(AV31:AW31)</f>
        <v>746</v>
      </c>
      <c r="AY31" s="4840">
        <f>SUM(AY6,AY16,AY21)</f>
        <v>310</v>
      </c>
      <c r="AZ31" s="4841">
        <f>SUM(AZ6,AZ16,AZ21)</f>
        <v>523</v>
      </c>
      <c r="BA31" s="4842">
        <f t="shared" ref="BA31:BA36" si="23">SUM(AY31:AZ31)</f>
        <v>833</v>
      </c>
    </row>
    <row r="32" spans="2:53" x14ac:dyDescent="0.3">
      <c r="B32" s="154" t="s">
        <v>64</v>
      </c>
      <c r="C32" s="219">
        <f t="shared" ref="C32:AC32" si="24">SUM(C7,C11,C17,C26)</f>
        <v>936</v>
      </c>
      <c r="D32" s="218">
        <f t="shared" si="24"/>
        <v>804</v>
      </c>
      <c r="E32" s="220">
        <f t="shared" si="24"/>
        <v>1740</v>
      </c>
      <c r="F32" s="218">
        <f t="shared" si="24"/>
        <v>987</v>
      </c>
      <c r="G32" s="218">
        <f t="shared" si="24"/>
        <v>766</v>
      </c>
      <c r="H32" s="218">
        <f t="shared" si="24"/>
        <v>1753</v>
      </c>
      <c r="I32" s="219">
        <f t="shared" si="24"/>
        <v>1097</v>
      </c>
      <c r="J32" s="218">
        <f t="shared" si="24"/>
        <v>821</v>
      </c>
      <c r="K32" s="220">
        <f t="shared" si="24"/>
        <v>1918</v>
      </c>
      <c r="L32" s="219">
        <f t="shared" si="24"/>
        <v>1139</v>
      </c>
      <c r="M32" s="218">
        <f t="shared" si="24"/>
        <v>817</v>
      </c>
      <c r="N32" s="220">
        <f t="shared" si="24"/>
        <v>1956</v>
      </c>
      <c r="O32" s="219">
        <f t="shared" si="24"/>
        <v>1092</v>
      </c>
      <c r="P32" s="218">
        <f t="shared" si="24"/>
        <v>873</v>
      </c>
      <c r="Q32" s="220">
        <f t="shared" si="24"/>
        <v>1965</v>
      </c>
      <c r="R32" s="219">
        <f t="shared" si="24"/>
        <v>956</v>
      </c>
      <c r="S32" s="218">
        <f t="shared" si="24"/>
        <v>832</v>
      </c>
      <c r="T32" s="220">
        <f t="shared" si="24"/>
        <v>1788</v>
      </c>
      <c r="U32" s="219">
        <f t="shared" si="24"/>
        <v>1096</v>
      </c>
      <c r="V32" s="218">
        <f t="shared" si="24"/>
        <v>841</v>
      </c>
      <c r="W32" s="220">
        <f t="shared" si="24"/>
        <v>1937</v>
      </c>
      <c r="X32" s="219">
        <f t="shared" si="24"/>
        <v>1382</v>
      </c>
      <c r="Y32" s="218">
        <f t="shared" si="24"/>
        <v>963</v>
      </c>
      <c r="Z32" s="220">
        <f t="shared" si="24"/>
        <v>2345</v>
      </c>
      <c r="AA32" s="219">
        <f t="shared" si="24"/>
        <v>1137</v>
      </c>
      <c r="AB32" s="218">
        <f t="shared" si="24"/>
        <v>817</v>
      </c>
      <c r="AC32" s="220">
        <f t="shared" si="24"/>
        <v>1954</v>
      </c>
      <c r="AD32" s="219">
        <f>SUM(AD7,AD11,AD17,AD22,AD26)</f>
        <v>1227</v>
      </c>
      <c r="AE32" s="218">
        <f>SUM(AE7,AE11,AE17,AE22,AE26)</f>
        <v>845</v>
      </c>
      <c r="AF32" s="220">
        <f t="shared" si="16"/>
        <v>2072</v>
      </c>
      <c r="AG32" s="219">
        <f>SUM(AG7,AG11,AG17,AG22,AG26)</f>
        <v>1175</v>
      </c>
      <c r="AH32" s="218">
        <f>SUM(AH7,AH11,AH17,AH22,AH26)</f>
        <v>841</v>
      </c>
      <c r="AI32" s="220">
        <f t="shared" si="17"/>
        <v>2016</v>
      </c>
      <c r="AJ32" s="219">
        <f>SUM(AJ7,AJ11,AJ17,AJ22,AJ26)</f>
        <v>1168</v>
      </c>
      <c r="AK32" s="218">
        <f>SUM(AK7,AK11,AK17,AK22,AK26)</f>
        <v>881</v>
      </c>
      <c r="AL32" s="220">
        <f t="shared" si="18"/>
        <v>2049</v>
      </c>
      <c r="AM32" s="219">
        <f>SUM(AM7,AM11,AM17,AM22,AM26)</f>
        <v>1200</v>
      </c>
      <c r="AN32" s="218">
        <f>SUM(AN7,AN11,AN17,AN22,AN26)</f>
        <v>918</v>
      </c>
      <c r="AO32" s="220">
        <f t="shared" si="19"/>
        <v>2118</v>
      </c>
      <c r="AP32" s="219">
        <f>SUM(AP7,AP11,AP17,AP22,AP26)</f>
        <v>1213</v>
      </c>
      <c r="AQ32" s="218">
        <f>SUM(AQ7,AQ11,AQ17,AQ22,AQ26)</f>
        <v>805</v>
      </c>
      <c r="AR32" s="220">
        <f t="shared" si="20"/>
        <v>2018</v>
      </c>
      <c r="AS32" s="219">
        <f>SUM(AS7,AS11,AS17,AS22,AS26)</f>
        <v>1321</v>
      </c>
      <c r="AT32" s="218">
        <f>SUM(AT7,AT11,AT17,AT22,AT26)</f>
        <v>920</v>
      </c>
      <c r="AU32" s="220">
        <f t="shared" si="21"/>
        <v>2241</v>
      </c>
      <c r="AV32" s="4843">
        <f>SUM(AV7,AV11,AV17,AV22,AV26)</f>
        <v>1250</v>
      </c>
      <c r="AW32" s="4844">
        <f>SUM(AW7,AW11,AW17,AW22,AW26)</f>
        <v>876</v>
      </c>
      <c r="AX32" s="4845">
        <f t="shared" si="22"/>
        <v>2126</v>
      </c>
      <c r="AY32" s="4843">
        <f>SUM(AY7,AY11,AY17,AY22,AY26)</f>
        <v>1228</v>
      </c>
      <c r="AZ32" s="4844">
        <f>SUM(AZ7,AZ11,AZ17,AZ22,AZ26)</f>
        <v>842</v>
      </c>
      <c r="BA32" s="4845">
        <f t="shared" si="23"/>
        <v>2070</v>
      </c>
    </row>
    <row r="33" spans="2:53" x14ac:dyDescent="0.3">
      <c r="B33" s="154" t="s">
        <v>92</v>
      </c>
      <c r="C33" s="219">
        <f t="shared" ref="C33:AC33" si="25">SUM(C18,C27)</f>
        <v>805</v>
      </c>
      <c r="D33" s="218">
        <f t="shared" si="25"/>
        <v>523</v>
      </c>
      <c r="E33" s="220">
        <f t="shared" si="25"/>
        <v>1328</v>
      </c>
      <c r="F33" s="218">
        <f t="shared" si="25"/>
        <v>902</v>
      </c>
      <c r="G33" s="218">
        <f t="shared" si="25"/>
        <v>515</v>
      </c>
      <c r="H33" s="218">
        <f t="shared" si="25"/>
        <v>1417</v>
      </c>
      <c r="I33" s="219">
        <f t="shared" si="25"/>
        <v>1010</v>
      </c>
      <c r="J33" s="218">
        <f t="shared" si="25"/>
        <v>563</v>
      </c>
      <c r="K33" s="220">
        <f t="shared" si="25"/>
        <v>1573</v>
      </c>
      <c r="L33" s="219">
        <f t="shared" si="25"/>
        <v>986</v>
      </c>
      <c r="M33" s="218">
        <f t="shared" si="25"/>
        <v>545</v>
      </c>
      <c r="N33" s="220">
        <f t="shared" si="25"/>
        <v>1531</v>
      </c>
      <c r="O33" s="219">
        <f t="shared" si="25"/>
        <v>912</v>
      </c>
      <c r="P33" s="218">
        <f t="shared" si="25"/>
        <v>581</v>
      </c>
      <c r="Q33" s="220">
        <f t="shared" si="25"/>
        <v>1493</v>
      </c>
      <c r="R33" s="219">
        <f t="shared" si="25"/>
        <v>891</v>
      </c>
      <c r="S33" s="218">
        <f t="shared" si="25"/>
        <v>524</v>
      </c>
      <c r="T33" s="220">
        <f t="shared" si="25"/>
        <v>1415</v>
      </c>
      <c r="U33" s="219">
        <f t="shared" si="25"/>
        <v>945</v>
      </c>
      <c r="V33" s="218">
        <f t="shared" si="25"/>
        <v>537</v>
      </c>
      <c r="W33" s="220">
        <f t="shared" si="25"/>
        <v>1482</v>
      </c>
      <c r="X33" s="219">
        <f t="shared" si="25"/>
        <v>929</v>
      </c>
      <c r="Y33" s="218">
        <f t="shared" si="25"/>
        <v>570</v>
      </c>
      <c r="Z33" s="220">
        <f t="shared" si="25"/>
        <v>1499</v>
      </c>
      <c r="AA33" s="219">
        <f t="shared" si="25"/>
        <v>935</v>
      </c>
      <c r="AB33" s="218">
        <f t="shared" si="25"/>
        <v>537</v>
      </c>
      <c r="AC33" s="220">
        <f t="shared" si="25"/>
        <v>1472</v>
      </c>
      <c r="AD33" s="219">
        <f>SUM(AD18,AD23,AD27)</f>
        <v>989</v>
      </c>
      <c r="AE33" s="218">
        <f>SUM(AE18,AE23,AE27)</f>
        <v>562</v>
      </c>
      <c r="AF33" s="220">
        <f t="shared" si="16"/>
        <v>1551</v>
      </c>
      <c r="AG33" s="219">
        <f>SUM(AG18,AG23,AG27)</f>
        <v>952</v>
      </c>
      <c r="AH33" s="218">
        <f>SUM(AH18,AH23,AH27)</f>
        <v>565</v>
      </c>
      <c r="AI33" s="220">
        <f t="shared" si="17"/>
        <v>1517</v>
      </c>
      <c r="AJ33" s="219">
        <f>SUM(AJ18,AJ23,AJ27)</f>
        <v>1015</v>
      </c>
      <c r="AK33" s="218">
        <f>SUM(AK18,AK23,AK27)</f>
        <v>591</v>
      </c>
      <c r="AL33" s="220">
        <f t="shared" si="18"/>
        <v>1606</v>
      </c>
      <c r="AM33" s="219">
        <f>SUM(AM18,AM23,AM27)</f>
        <v>1011</v>
      </c>
      <c r="AN33" s="218">
        <f>SUM(AN18,AN23,AN27)</f>
        <v>557</v>
      </c>
      <c r="AO33" s="220">
        <f t="shared" si="19"/>
        <v>1568</v>
      </c>
      <c r="AP33" s="219">
        <f>SUM(AP18,AP23,AP27)</f>
        <v>1005</v>
      </c>
      <c r="AQ33" s="218">
        <f>SUM(AQ18,AQ23,AQ27)</f>
        <v>539</v>
      </c>
      <c r="AR33" s="220">
        <f t="shared" si="20"/>
        <v>1544</v>
      </c>
      <c r="AS33" s="219">
        <f>SUM(AS18,AS23,AS27)</f>
        <v>1073</v>
      </c>
      <c r="AT33" s="218">
        <f>SUM(AT18,AT23,AT27)</f>
        <v>547</v>
      </c>
      <c r="AU33" s="220">
        <f t="shared" si="21"/>
        <v>1620</v>
      </c>
      <c r="AV33" s="4843">
        <f>SUM(AV18,AV23,AV27)</f>
        <v>1106</v>
      </c>
      <c r="AW33" s="4844">
        <f>SUM(AW18,AW23,AW27)</f>
        <v>582</v>
      </c>
      <c r="AX33" s="4845">
        <f t="shared" si="22"/>
        <v>1688</v>
      </c>
      <c r="AY33" s="4843">
        <f>SUM(AY18,AY23,AY27)</f>
        <v>1090</v>
      </c>
      <c r="AZ33" s="4844">
        <f>SUM(AZ18,AZ23,AZ27)</f>
        <v>555</v>
      </c>
      <c r="BA33" s="4845">
        <f t="shared" si="23"/>
        <v>1645</v>
      </c>
    </row>
    <row r="34" spans="2:53" x14ac:dyDescent="0.3">
      <c r="B34" s="154" t="s">
        <v>68</v>
      </c>
      <c r="C34" s="219">
        <f t="shared" ref="C34:AE34" si="26">SUM(C8,C28)</f>
        <v>270</v>
      </c>
      <c r="D34" s="218">
        <f t="shared" si="26"/>
        <v>508</v>
      </c>
      <c r="E34" s="220">
        <f t="shared" si="26"/>
        <v>778</v>
      </c>
      <c r="F34" s="218">
        <f t="shared" si="26"/>
        <v>269</v>
      </c>
      <c r="G34" s="218">
        <f t="shared" si="26"/>
        <v>475</v>
      </c>
      <c r="H34" s="218">
        <f t="shared" si="26"/>
        <v>744</v>
      </c>
      <c r="I34" s="219">
        <f t="shared" si="26"/>
        <v>305</v>
      </c>
      <c r="J34" s="218">
        <f t="shared" si="26"/>
        <v>536</v>
      </c>
      <c r="K34" s="220">
        <f t="shared" si="26"/>
        <v>841</v>
      </c>
      <c r="L34" s="219">
        <f t="shared" si="26"/>
        <v>286</v>
      </c>
      <c r="M34" s="218">
        <f t="shared" si="26"/>
        <v>541</v>
      </c>
      <c r="N34" s="220">
        <f t="shared" si="26"/>
        <v>827</v>
      </c>
      <c r="O34" s="219">
        <f t="shared" si="26"/>
        <v>301</v>
      </c>
      <c r="P34" s="218">
        <f t="shared" si="26"/>
        <v>465</v>
      </c>
      <c r="Q34" s="220">
        <f t="shared" si="26"/>
        <v>766</v>
      </c>
      <c r="R34" s="219">
        <f t="shared" si="26"/>
        <v>232</v>
      </c>
      <c r="S34" s="218">
        <f t="shared" si="26"/>
        <v>387</v>
      </c>
      <c r="T34" s="220">
        <f t="shared" si="26"/>
        <v>619</v>
      </c>
      <c r="U34" s="219">
        <f t="shared" si="26"/>
        <v>234</v>
      </c>
      <c r="V34" s="218">
        <f t="shared" si="26"/>
        <v>391</v>
      </c>
      <c r="W34" s="220">
        <f t="shared" si="26"/>
        <v>625</v>
      </c>
      <c r="X34" s="219">
        <f t="shared" si="26"/>
        <v>324</v>
      </c>
      <c r="Y34" s="218">
        <f t="shared" si="26"/>
        <v>445</v>
      </c>
      <c r="Z34" s="220">
        <f t="shared" si="26"/>
        <v>769</v>
      </c>
      <c r="AA34" s="219">
        <f t="shared" si="26"/>
        <v>349</v>
      </c>
      <c r="AB34" s="218">
        <f t="shared" si="26"/>
        <v>449</v>
      </c>
      <c r="AC34" s="220">
        <f t="shared" si="26"/>
        <v>798</v>
      </c>
      <c r="AD34" s="219">
        <f t="shared" si="26"/>
        <v>352</v>
      </c>
      <c r="AE34" s="218">
        <f t="shared" si="26"/>
        <v>399</v>
      </c>
      <c r="AF34" s="220">
        <f t="shared" si="16"/>
        <v>751</v>
      </c>
      <c r="AG34" s="219">
        <f>SUM(AG8,AG28)</f>
        <v>351</v>
      </c>
      <c r="AH34" s="218">
        <f>SUM(AH8,AH28)</f>
        <v>425</v>
      </c>
      <c r="AI34" s="220">
        <f t="shared" si="17"/>
        <v>776</v>
      </c>
      <c r="AJ34" s="219">
        <f>SUM(AJ8,AJ28)</f>
        <v>387</v>
      </c>
      <c r="AK34" s="218">
        <f>SUM(AK8,AK28)</f>
        <v>422</v>
      </c>
      <c r="AL34" s="220">
        <f t="shared" si="18"/>
        <v>809</v>
      </c>
      <c r="AM34" s="219">
        <f>SUM(AM8,AM28)</f>
        <v>367</v>
      </c>
      <c r="AN34" s="218">
        <f>SUM(AN8,AN28)</f>
        <v>401</v>
      </c>
      <c r="AO34" s="220">
        <f t="shared" si="19"/>
        <v>768</v>
      </c>
      <c r="AP34" s="219">
        <f>SUM(AP8,AP28)</f>
        <v>379</v>
      </c>
      <c r="AQ34" s="218">
        <f>SUM(AQ8,AQ28)</f>
        <v>446</v>
      </c>
      <c r="AR34" s="220">
        <f t="shared" si="20"/>
        <v>825</v>
      </c>
      <c r="AS34" s="219">
        <f>SUM(AS8,AS28)</f>
        <v>442</v>
      </c>
      <c r="AT34" s="218">
        <f>SUM(AT8,AT28)</f>
        <v>419</v>
      </c>
      <c r="AU34" s="220">
        <f t="shared" si="21"/>
        <v>861</v>
      </c>
      <c r="AV34" s="4843">
        <f>SUM(AV8,AV28)</f>
        <v>433</v>
      </c>
      <c r="AW34" s="4846">
        <f>SUM(AW8,AW28)</f>
        <v>422</v>
      </c>
      <c r="AX34" s="4845">
        <f t="shared" si="22"/>
        <v>855</v>
      </c>
      <c r="AY34" s="4843">
        <f>SUM(AY8,AY28)</f>
        <v>463</v>
      </c>
      <c r="AZ34" s="4846">
        <f>SUM(AZ8,AZ28)</f>
        <v>426</v>
      </c>
      <c r="BA34" s="4845">
        <f t="shared" si="23"/>
        <v>889</v>
      </c>
    </row>
    <row r="35" spans="2:53" x14ac:dyDescent="0.3">
      <c r="B35" s="154" t="s">
        <v>111</v>
      </c>
      <c r="C35" s="219">
        <f t="shared" ref="C35:AE36" si="27">SUM(C12)</f>
        <v>0</v>
      </c>
      <c r="D35" s="218">
        <f t="shared" si="27"/>
        <v>0</v>
      </c>
      <c r="E35" s="220">
        <f t="shared" si="27"/>
        <v>0</v>
      </c>
      <c r="F35" s="218">
        <f t="shared" si="27"/>
        <v>0</v>
      </c>
      <c r="G35" s="218">
        <f t="shared" si="27"/>
        <v>0</v>
      </c>
      <c r="H35" s="218">
        <f t="shared" si="27"/>
        <v>0</v>
      </c>
      <c r="I35" s="219">
        <f t="shared" si="27"/>
        <v>0</v>
      </c>
      <c r="J35" s="218">
        <f t="shared" si="27"/>
        <v>0</v>
      </c>
      <c r="K35" s="220">
        <f t="shared" si="27"/>
        <v>0</v>
      </c>
      <c r="L35" s="219">
        <f t="shared" si="27"/>
        <v>5</v>
      </c>
      <c r="M35" s="218">
        <f t="shared" si="27"/>
        <v>4</v>
      </c>
      <c r="N35" s="220">
        <f t="shared" si="27"/>
        <v>9</v>
      </c>
      <c r="O35" s="219">
        <f t="shared" si="27"/>
        <v>8</v>
      </c>
      <c r="P35" s="218">
        <f t="shared" si="27"/>
        <v>7</v>
      </c>
      <c r="Q35" s="220">
        <f t="shared" si="27"/>
        <v>15</v>
      </c>
      <c r="R35" s="219">
        <f t="shared" si="27"/>
        <v>21</v>
      </c>
      <c r="S35" s="218">
        <f t="shared" si="27"/>
        <v>11</v>
      </c>
      <c r="T35" s="220">
        <f t="shared" si="27"/>
        <v>32</v>
      </c>
      <c r="U35" s="219">
        <f t="shared" si="27"/>
        <v>23</v>
      </c>
      <c r="V35" s="218">
        <f t="shared" si="27"/>
        <v>25</v>
      </c>
      <c r="W35" s="220">
        <f t="shared" si="27"/>
        <v>48</v>
      </c>
      <c r="X35" s="219">
        <f t="shared" si="27"/>
        <v>15</v>
      </c>
      <c r="Y35" s="218">
        <f t="shared" si="27"/>
        <v>6</v>
      </c>
      <c r="Z35" s="220">
        <f t="shared" si="27"/>
        <v>21</v>
      </c>
      <c r="AA35" s="219">
        <f t="shared" si="27"/>
        <v>16</v>
      </c>
      <c r="AB35" s="218">
        <f t="shared" si="27"/>
        <v>15</v>
      </c>
      <c r="AC35" s="220">
        <f t="shared" si="27"/>
        <v>31</v>
      </c>
      <c r="AD35" s="219">
        <f t="shared" si="27"/>
        <v>18</v>
      </c>
      <c r="AE35" s="218">
        <f t="shared" si="27"/>
        <v>11</v>
      </c>
      <c r="AF35" s="220">
        <f t="shared" si="16"/>
        <v>29</v>
      </c>
      <c r="AG35" s="219">
        <f>SUM(AG12)</f>
        <v>18</v>
      </c>
      <c r="AH35" s="218">
        <f>SUM(AH12)</f>
        <v>21</v>
      </c>
      <c r="AI35" s="220">
        <f t="shared" si="17"/>
        <v>39</v>
      </c>
      <c r="AJ35" s="219">
        <f>SUM(AJ12)</f>
        <v>25</v>
      </c>
      <c r="AK35" s="218">
        <f>SUM(AK12)</f>
        <v>30</v>
      </c>
      <c r="AL35" s="220">
        <f t="shared" si="18"/>
        <v>55</v>
      </c>
      <c r="AM35" s="219">
        <f>SUM(AM12)</f>
        <v>24</v>
      </c>
      <c r="AN35" s="218">
        <f>SUM(AN12)</f>
        <v>35</v>
      </c>
      <c r="AO35" s="220">
        <f t="shared" si="19"/>
        <v>59</v>
      </c>
      <c r="AP35" s="219">
        <f>SUM(AP12)</f>
        <v>42</v>
      </c>
      <c r="AQ35" s="218">
        <f>SUM(AQ12)</f>
        <v>38</v>
      </c>
      <c r="AR35" s="220">
        <f t="shared" si="20"/>
        <v>80</v>
      </c>
      <c r="AS35" s="219">
        <f>SUM(AS12)</f>
        <v>36</v>
      </c>
      <c r="AT35" s="218">
        <f>SUM(AT12)</f>
        <v>24</v>
      </c>
      <c r="AU35" s="220">
        <f t="shared" si="21"/>
        <v>60</v>
      </c>
      <c r="AV35" s="4843">
        <f>SUM(AV12)</f>
        <v>52</v>
      </c>
      <c r="AW35" s="4844">
        <f>SUM(AW12)</f>
        <v>45</v>
      </c>
      <c r="AX35" s="4845">
        <f t="shared" si="22"/>
        <v>97</v>
      </c>
      <c r="AY35" s="4843">
        <f>SUM(AY12)</f>
        <v>50</v>
      </c>
      <c r="AZ35" s="4844">
        <f>SUM(AZ12)</f>
        <v>35</v>
      </c>
      <c r="BA35" s="4845">
        <f t="shared" si="23"/>
        <v>85</v>
      </c>
    </row>
    <row r="36" spans="2:53" x14ac:dyDescent="0.3">
      <c r="B36" s="263" t="s">
        <v>115</v>
      </c>
      <c r="C36" s="246">
        <f t="shared" si="27"/>
        <v>0</v>
      </c>
      <c r="D36" s="247">
        <f t="shared" si="27"/>
        <v>0</v>
      </c>
      <c r="E36" s="248">
        <f t="shared" si="27"/>
        <v>0</v>
      </c>
      <c r="F36" s="247">
        <f t="shared" si="27"/>
        <v>0</v>
      </c>
      <c r="G36" s="247">
        <f t="shared" si="27"/>
        <v>0</v>
      </c>
      <c r="H36" s="247">
        <f t="shared" si="27"/>
        <v>0</v>
      </c>
      <c r="I36" s="246">
        <f t="shared" si="27"/>
        <v>0</v>
      </c>
      <c r="J36" s="247">
        <f t="shared" si="27"/>
        <v>0</v>
      </c>
      <c r="K36" s="248">
        <f t="shared" si="27"/>
        <v>0</v>
      </c>
      <c r="L36" s="246">
        <f t="shared" si="27"/>
        <v>3</v>
      </c>
      <c r="M36" s="247">
        <f t="shared" si="27"/>
        <v>8</v>
      </c>
      <c r="N36" s="248">
        <f t="shared" si="27"/>
        <v>11</v>
      </c>
      <c r="O36" s="246">
        <f t="shared" si="27"/>
        <v>1</v>
      </c>
      <c r="P36" s="247">
        <f t="shared" si="27"/>
        <v>9</v>
      </c>
      <c r="Q36" s="248">
        <f t="shared" si="27"/>
        <v>10</v>
      </c>
      <c r="R36" s="246">
        <f t="shared" si="27"/>
        <v>2</v>
      </c>
      <c r="S36" s="247">
        <f t="shared" si="27"/>
        <v>9</v>
      </c>
      <c r="T36" s="248">
        <f t="shared" si="27"/>
        <v>11</v>
      </c>
      <c r="U36" s="246">
        <f t="shared" si="27"/>
        <v>8</v>
      </c>
      <c r="V36" s="247">
        <f t="shared" si="27"/>
        <v>10</v>
      </c>
      <c r="W36" s="248">
        <f t="shared" si="27"/>
        <v>18</v>
      </c>
      <c r="X36" s="246">
        <f t="shared" si="27"/>
        <v>4</v>
      </c>
      <c r="Y36" s="247">
        <f t="shared" si="27"/>
        <v>11</v>
      </c>
      <c r="Z36" s="248">
        <f t="shared" si="27"/>
        <v>15</v>
      </c>
      <c r="AA36" s="246">
        <f t="shared" si="27"/>
        <v>9</v>
      </c>
      <c r="AB36" s="247">
        <f t="shared" si="27"/>
        <v>13</v>
      </c>
      <c r="AC36" s="248">
        <f t="shared" si="27"/>
        <v>22</v>
      </c>
      <c r="AD36" s="246">
        <f t="shared" si="27"/>
        <v>11</v>
      </c>
      <c r="AE36" s="247">
        <f t="shared" si="27"/>
        <v>13</v>
      </c>
      <c r="AF36" s="248">
        <f t="shared" si="16"/>
        <v>24</v>
      </c>
      <c r="AG36" s="246">
        <f>SUM(AG13)</f>
        <v>19</v>
      </c>
      <c r="AH36" s="247">
        <f>SUM(AH13)</f>
        <v>23</v>
      </c>
      <c r="AI36" s="248">
        <f t="shared" si="17"/>
        <v>42</v>
      </c>
      <c r="AJ36" s="246">
        <f>SUM(AJ13)</f>
        <v>24</v>
      </c>
      <c r="AK36" s="247">
        <f>SUM(AK13)</f>
        <v>19</v>
      </c>
      <c r="AL36" s="248">
        <f t="shared" si="18"/>
        <v>43</v>
      </c>
      <c r="AM36" s="246">
        <f>SUM(AM13)</f>
        <v>29</v>
      </c>
      <c r="AN36" s="247">
        <f>SUM(AN13)</f>
        <v>42</v>
      </c>
      <c r="AO36" s="248">
        <f t="shared" si="19"/>
        <v>71</v>
      </c>
      <c r="AP36" s="246">
        <f>SUM(AP13)</f>
        <v>30</v>
      </c>
      <c r="AQ36" s="247">
        <f>SUM(AQ13)</f>
        <v>32</v>
      </c>
      <c r="AR36" s="248">
        <f t="shared" si="20"/>
        <v>62</v>
      </c>
      <c r="AS36" s="246">
        <f>SUM(AS13)</f>
        <v>20</v>
      </c>
      <c r="AT36" s="247">
        <f>SUM(AT13)</f>
        <v>25</v>
      </c>
      <c r="AU36" s="248">
        <f t="shared" si="21"/>
        <v>45</v>
      </c>
      <c r="AV36" s="4966">
        <f>SUM(AV13)</f>
        <v>45</v>
      </c>
      <c r="AW36" s="4967">
        <f>SUM(AW13)</f>
        <v>50</v>
      </c>
      <c r="AX36" s="4968">
        <f t="shared" si="22"/>
        <v>95</v>
      </c>
      <c r="AY36" s="4966">
        <f>SUM(AY13)</f>
        <v>38</v>
      </c>
      <c r="AZ36" s="4967">
        <f>SUM(AZ13)</f>
        <v>40</v>
      </c>
      <c r="BA36" s="4968">
        <f t="shared" si="23"/>
        <v>78</v>
      </c>
    </row>
    <row r="37" spans="2:53" x14ac:dyDescent="0.3">
      <c r="B37" s="267" t="s">
        <v>128</v>
      </c>
      <c r="C37" s="810">
        <f t="shared" ref="C37:N37" si="28">SUM(C31:C36)</f>
        <v>2160</v>
      </c>
      <c r="D37" s="811">
        <f t="shared" si="28"/>
        <v>2338</v>
      </c>
      <c r="E37" s="270">
        <f t="shared" si="28"/>
        <v>4498</v>
      </c>
      <c r="F37" s="811">
        <f t="shared" si="28"/>
        <v>2287</v>
      </c>
      <c r="G37" s="811">
        <f t="shared" si="28"/>
        <v>2139</v>
      </c>
      <c r="H37" s="811">
        <f t="shared" si="28"/>
        <v>4426</v>
      </c>
      <c r="I37" s="810">
        <f t="shared" si="28"/>
        <v>2556</v>
      </c>
      <c r="J37" s="811">
        <f t="shared" si="28"/>
        <v>2301</v>
      </c>
      <c r="K37" s="270">
        <f t="shared" si="28"/>
        <v>4857</v>
      </c>
      <c r="L37" s="811">
        <f t="shared" si="28"/>
        <v>2557</v>
      </c>
      <c r="M37" s="811">
        <f t="shared" si="28"/>
        <v>2294</v>
      </c>
      <c r="N37" s="270">
        <f t="shared" si="28"/>
        <v>4851</v>
      </c>
      <c r="O37" s="811">
        <f t="shared" ref="O37:AU37" si="29">SUM(O31:O36)</f>
        <v>2462</v>
      </c>
      <c r="P37" s="811">
        <f t="shared" si="29"/>
        <v>2394</v>
      </c>
      <c r="Q37" s="270">
        <f t="shared" si="29"/>
        <v>4856</v>
      </c>
      <c r="R37" s="811">
        <f t="shared" si="29"/>
        <v>2265</v>
      </c>
      <c r="S37" s="811">
        <f t="shared" si="29"/>
        <v>2183</v>
      </c>
      <c r="T37" s="270">
        <f t="shared" si="29"/>
        <v>4448</v>
      </c>
      <c r="U37" s="811">
        <f t="shared" si="29"/>
        <v>2462</v>
      </c>
      <c r="V37" s="811">
        <f t="shared" si="29"/>
        <v>2212</v>
      </c>
      <c r="W37" s="270">
        <f t="shared" si="29"/>
        <v>4674</v>
      </c>
      <c r="X37" s="811">
        <f t="shared" si="29"/>
        <v>2859</v>
      </c>
      <c r="Y37" s="811">
        <f t="shared" si="29"/>
        <v>2475</v>
      </c>
      <c r="Z37" s="270">
        <f t="shared" si="29"/>
        <v>5334</v>
      </c>
      <c r="AA37" s="811">
        <f t="shared" si="29"/>
        <v>2685</v>
      </c>
      <c r="AB37" s="811">
        <f t="shared" si="29"/>
        <v>2378</v>
      </c>
      <c r="AC37" s="270">
        <f t="shared" si="29"/>
        <v>5063</v>
      </c>
      <c r="AD37" s="811">
        <f t="shared" si="29"/>
        <v>2832</v>
      </c>
      <c r="AE37" s="811">
        <f t="shared" si="29"/>
        <v>2315</v>
      </c>
      <c r="AF37" s="270">
        <f t="shared" si="29"/>
        <v>5147</v>
      </c>
      <c r="AG37" s="811">
        <f t="shared" si="29"/>
        <v>2749</v>
      </c>
      <c r="AH37" s="811">
        <f t="shared" si="29"/>
        <v>2396</v>
      </c>
      <c r="AI37" s="270">
        <f t="shared" si="29"/>
        <v>5145</v>
      </c>
      <c r="AJ37" s="811">
        <f t="shared" si="29"/>
        <v>2895</v>
      </c>
      <c r="AK37" s="811">
        <f t="shared" si="29"/>
        <v>2532</v>
      </c>
      <c r="AL37" s="270">
        <f t="shared" si="29"/>
        <v>5427</v>
      </c>
      <c r="AM37" s="811">
        <f t="shared" si="29"/>
        <v>2898</v>
      </c>
      <c r="AN37" s="811">
        <f t="shared" si="29"/>
        <v>2510</v>
      </c>
      <c r="AO37" s="270">
        <f t="shared" si="29"/>
        <v>5408</v>
      </c>
      <c r="AP37" s="811">
        <f t="shared" si="29"/>
        <v>2936</v>
      </c>
      <c r="AQ37" s="811">
        <f t="shared" si="29"/>
        <v>2400</v>
      </c>
      <c r="AR37" s="270">
        <f t="shared" si="29"/>
        <v>5336</v>
      </c>
      <c r="AS37" s="811">
        <f t="shared" si="29"/>
        <v>3080</v>
      </c>
      <c r="AT37" s="811">
        <f t="shared" si="29"/>
        <v>2306</v>
      </c>
      <c r="AU37" s="270">
        <f t="shared" si="29"/>
        <v>5386</v>
      </c>
      <c r="AV37" s="4969">
        <f t="shared" ref="AV37:AX37" si="30">SUM(AV31:AV36)</f>
        <v>3141</v>
      </c>
      <c r="AW37" s="4970">
        <f t="shared" si="30"/>
        <v>2466</v>
      </c>
      <c r="AX37" s="4971">
        <f t="shared" si="30"/>
        <v>5607</v>
      </c>
      <c r="AY37" s="4969">
        <f t="shared" ref="AY37:BA37" si="31">SUM(AY31:AY36)</f>
        <v>3179</v>
      </c>
      <c r="AZ37" s="4970">
        <f t="shared" si="31"/>
        <v>2421</v>
      </c>
      <c r="BA37" s="4971">
        <f t="shared" si="31"/>
        <v>5600</v>
      </c>
    </row>
    <row r="38" spans="2:53" x14ac:dyDescent="0.3">
      <c r="AP38" s="812"/>
      <c r="AU38" s="747"/>
      <c r="AX38" s="4645"/>
      <c r="BA38" s="4645"/>
    </row>
    <row r="43" spans="2:53" x14ac:dyDescent="0.3">
      <c r="W43" s="813">
        <v>2006</v>
      </c>
    </row>
    <row r="44" spans="2:53" x14ac:dyDescent="0.3">
      <c r="W44" s="813">
        <v>2007</v>
      </c>
    </row>
    <row r="45" spans="2:53" x14ac:dyDescent="0.3">
      <c r="W45" s="813">
        <v>2008</v>
      </c>
    </row>
    <row r="46" spans="2:53" x14ac:dyDescent="0.3">
      <c r="W46" s="813">
        <v>2009</v>
      </c>
    </row>
    <row r="47" spans="2:53" x14ac:dyDescent="0.3">
      <c r="W47" s="813">
        <v>2010</v>
      </c>
    </row>
    <row r="48" spans="2:53" x14ac:dyDescent="0.3">
      <c r="W48" s="813">
        <v>2011</v>
      </c>
    </row>
    <row r="49" spans="23:23" x14ac:dyDescent="0.3">
      <c r="W49" s="813">
        <v>2012</v>
      </c>
    </row>
    <row r="50" spans="23:23" x14ac:dyDescent="0.3">
      <c r="W50" s="813">
        <v>2013</v>
      </c>
    </row>
    <row r="51" spans="23:23" x14ac:dyDescent="0.3">
      <c r="W51" s="813">
        <v>2014</v>
      </c>
    </row>
    <row r="52" spans="23:23" x14ac:dyDescent="0.3">
      <c r="W52" s="813">
        <v>2015</v>
      </c>
    </row>
    <row r="53" spans="23:23" x14ac:dyDescent="0.3">
      <c r="W53" s="813">
        <v>2016</v>
      </c>
    </row>
    <row r="54" spans="23:23" x14ac:dyDescent="0.3">
      <c r="W54" s="813">
        <v>2017</v>
      </c>
    </row>
    <row r="55" spans="23:23" x14ac:dyDescent="0.3">
      <c r="W55" s="813">
        <v>2018</v>
      </c>
    </row>
    <row r="56" spans="23:23" x14ac:dyDescent="0.3">
      <c r="W56" s="813">
        <v>2019</v>
      </c>
    </row>
    <row r="57" spans="23:23" x14ac:dyDescent="0.3">
      <c r="W57" s="813">
        <v>2020</v>
      </c>
    </row>
    <row r="58" spans="23:23" x14ac:dyDescent="0.3">
      <c r="W58" s="813">
        <v>2021</v>
      </c>
    </row>
    <row r="59" spans="23:23" x14ac:dyDescent="0.3">
      <c r="W59" s="813">
        <v>2022</v>
      </c>
    </row>
    <row r="69" spans="53:53" x14ac:dyDescent="0.3">
      <c r="BA69" s="4645"/>
    </row>
  </sheetData>
  <mergeCells count="18">
    <mergeCell ref="AG3:AI3"/>
    <mergeCell ref="O3:Q3"/>
    <mergeCell ref="B3:B4"/>
    <mergeCell ref="C3:E3"/>
    <mergeCell ref="F3:H3"/>
    <mergeCell ref="I3:K3"/>
    <mergeCell ref="L3:N3"/>
    <mergeCell ref="R3:T3"/>
    <mergeCell ref="U3:W3"/>
    <mergeCell ref="X3:Z3"/>
    <mergeCell ref="AA3:AC3"/>
    <mergeCell ref="AD3:AF3"/>
    <mergeCell ref="AY3:BA3"/>
    <mergeCell ref="AV3:AX3"/>
    <mergeCell ref="AJ3:AL3"/>
    <mergeCell ref="AM3:AO3"/>
    <mergeCell ref="AP3:AR3"/>
    <mergeCell ref="AS3:AU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70" firstPageNumber="34" pageOrder="overThenDown" orientation="landscape" useFirstPageNumber="1" r:id="rId1"/>
  <headerFooter scaleWithDoc="0" alignWithMargins="0">
    <oddFooter>&amp;R&amp;P</oddFooter>
  </headerFooter>
  <rowBreaks count="1" manualBreakCount="1">
    <brk id="38" max="16383" man="1"/>
  </rowBreaks>
  <colBreaks count="1" manualBreakCount="1">
    <brk id="17" max="1048575" man="1"/>
  </colBreaks>
  <ignoredErrors>
    <ignoredError sqref="C6:AU36 AX31:AX36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L98"/>
  <sheetViews>
    <sheetView showGridLines="0" zoomScale="120" zoomScaleNormal="120" workbookViewId="0">
      <selection activeCell="H35" sqref="H35"/>
    </sheetView>
  </sheetViews>
  <sheetFormatPr baseColWidth="10" defaultColWidth="11.44140625" defaultRowHeight="14.4" x14ac:dyDescent="0.3"/>
  <cols>
    <col min="1" max="1" width="22.88671875" style="5" customWidth="1"/>
    <col min="2" max="2" width="19.88671875" style="12" customWidth="1"/>
    <col min="3" max="3" width="11.44140625" style="5159"/>
    <col min="4" max="4" width="20.88671875" style="4" customWidth="1"/>
    <col min="5" max="5" width="15.88671875" style="4" customWidth="1"/>
    <col min="6" max="6" width="11.44140625" style="2341"/>
    <col min="7" max="7" width="23.5546875" style="4" customWidth="1"/>
    <col min="8" max="8" width="15.88671875" style="4" customWidth="1"/>
    <col min="9" max="9" width="11.44140625" style="12"/>
    <col min="10" max="10" width="22.88671875" style="4" customWidth="1"/>
    <col min="11" max="11" width="18.88671875" style="4" customWidth="1"/>
    <col min="12" max="12" width="11.44140625" style="5159"/>
    <col min="13" max="16384" width="11.44140625" style="4"/>
  </cols>
  <sheetData>
    <row r="1" spans="1:12" ht="45" customHeight="1" thickBot="1" x14ac:dyDescent="0.35">
      <c r="A1" s="5622"/>
      <c r="B1" s="5622"/>
      <c r="C1" s="5623"/>
      <c r="D1" s="5622"/>
      <c r="E1" s="5622"/>
      <c r="F1" s="5713" t="s">
        <v>1635</v>
      </c>
      <c r="G1" s="5713"/>
      <c r="H1" s="5713"/>
      <c r="I1" s="5713"/>
      <c r="J1" s="5713"/>
      <c r="K1" s="5713"/>
    </row>
    <row r="2" spans="1:12" ht="15" customHeight="1" x14ac:dyDescent="0.3">
      <c r="B2" s="6"/>
      <c r="C2" s="5158"/>
      <c r="G2" s="7"/>
      <c r="H2" s="6"/>
      <c r="I2" s="6"/>
      <c r="J2" s="6"/>
      <c r="K2" s="5028"/>
    </row>
    <row r="3" spans="1:12" ht="15" customHeight="1" x14ac:dyDescent="0.3">
      <c r="A3" s="8"/>
      <c r="B3" s="8"/>
      <c r="F3" s="5162"/>
      <c r="G3" s="9"/>
    </row>
    <row r="4" spans="1:12" ht="15.6" x14ac:dyDescent="0.3">
      <c r="A4" s="5714" t="s">
        <v>0</v>
      </c>
      <c r="B4" s="5714"/>
      <c r="D4" s="5715" t="s">
        <v>1</v>
      </c>
      <c r="E4" s="5715"/>
      <c r="F4" s="5163"/>
      <c r="G4" s="5716" t="s">
        <v>1542</v>
      </c>
      <c r="H4" s="5717"/>
      <c r="I4" s="5161"/>
      <c r="J4" s="5718" t="s">
        <v>3</v>
      </c>
      <c r="K4" s="5718"/>
    </row>
    <row r="5" spans="1:12" s="12" customFormat="1" ht="20.100000000000001" customHeight="1" x14ac:dyDescent="0.25">
      <c r="A5" s="10" t="s">
        <v>4</v>
      </c>
      <c r="B5" s="11" t="s">
        <v>5</v>
      </c>
      <c r="C5" s="5160"/>
      <c r="D5" s="10" t="s">
        <v>1532</v>
      </c>
      <c r="E5" s="11" t="s">
        <v>5</v>
      </c>
      <c r="F5" s="5161"/>
      <c r="G5" s="5710" t="s">
        <v>1519</v>
      </c>
      <c r="H5" s="11" t="s">
        <v>5</v>
      </c>
      <c r="I5" s="4481"/>
      <c r="J5" s="10" t="s">
        <v>8</v>
      </c>
      <c r="K5" s="11" t="s">
        <v>9</v>
      </c>
      <c r="L5" s="5160"/>
    </row>
    <row r="6" spans="1:12" s="12" customFormat="1" ht="20.100000000000001" customHeight="1" x14ac:dyDescent="0.25">
      <c r="A6" s="10"/>
      <c r="B6" s="11" t="s">
        <v>10</v>
      </c>
      <c r="C6" s="5160"/>
      <c r="D6" s="13"/>
      <c r="E6" s="14" t="s">
        <v>10</v>
      </c>
      <c r="F6" s="5161"/>
      <c r="G6" s="5709"/>
      <c r="H6" s="14"/>
      <c r="I6" s="4481"/>
      <c r="J6" s="10"/>
      <c r="K6" s="11" t="s">
        <v>11</v>
      </c>
      <c r="L6" s="5160"/>
    </row>
    <row r="7" spans="1:12" s="12" customFormat="1" ht="20.100000000000001" customHeight="1" x14ac:dyDescent="0.25">
      <c r="A7" s="13"/>
      <c r="B7" s="14" t="s">
        <v>11</v>
      </c>
      <c r="C7" s="5160"/>
      <c r="D7" s="10" t="s">
        <v>12</v>
      </c>
      <c r="E7" s="11" t="s">
        <v>5</v>
      </c>
      <c r="F7" s="5164"/>
      <c r="G7" s="5708" t="s">
        <v>1520</v>
      </c>
      <c r="H7" s="11" t="s">
        <v>5</v>
      </c>
      <c r="I7" s="4481"/>
      <c r="J7" s="10"/>
      <c r="K7" s="11" t="s">
        <v>13</v>
      </c>
      <c r="L7" s="5160"/>
    </row>
    <row r="8" spans="1:12" s="12" customFormat="1" ht="20.100000000000001" customHeight="1" x14ac:dyDescent="0.25">
      <c r="A8" s="10" t="s">
        <v>14</v>
      </c>
      <c r="B8" s="11" t="s">
        <v>5</v>
      </c>
      <c r="C8" s="5160"/>
      <c r="D8" s="13"/>
      <c r="E8" s="14" t="s">
        <v>10</v>
      </c>
      <c r="F8" s="5164"/>
      <c r="G8" s="5709"/>
      <c r="H8" s="14"/>
      <c r="I8" s="4481"/>
      <c r="J8" s="13"/>
      <c r="K8" s="14" t="s">
        <v>15</v>
      </c>
      <c r="L8" s="5160"/>
    </row>
    <row r="9" spans="1:12" s="12" customFormat="1" ht="20.100000000000001" customHeight="1" x14ac:dyDescent="0.25">
      <c r="A9" s="10"/>
      <c r="B9" s="11" t="s">
        <v>10</v>
      </c>
      <c r="C9" s="5160"/>
      <c r="D9" s="10" t="s">
        <v>16</v>
      </c>
      <c r="E9" s="11" t="s">
        <v>5</v>
      </c>
      <c r="F9" s="5161"/>
      <c r="G9" s="5708" t="s">
        <v>1521</v>
      </c>
      <c r="H9" s="11" t="s">
        <v>5</v>
      </c>
      <c r="I9" s="4481"/>
      <c r="J9" s="15" t="s">
        <v>17</v>
      </c>
      <c r="K9" s="14" t="s">
        <v>10</v>
      </c>
      <c r="L9" s="5158"/>
    </row>
    <row r="10" spans="1:12" s="12" customFormat="1" ht="20.100000000000001" customHeight="1" x14ac:dyDescent="0.25">
      <c r="A10" s="13"/>
      <c r="B10" s="14" t="s">
        <v>11</v>
      </c>
      <c r="C10" s="5160"/>
      <c r="D10" s="13"/>
      <c r="E10" s="14" t="s">
        <v>10</v>
      </c>
      <c r="F10" s="5161"/>
      <c r="G10" s="5709"/>
      <c r="H10" s="14"/>
      <c r="I10" s="4481"/>
      <c r="J10" s="15" t="s">
        <v>18</v>
      </c>
      <c r="K10" s="16" t="s">
        <v>7</v>
      </c>
      <c r="L10" s="5161"/>
    </row>
    <row r="11" spans="1:12" s="12" customFormat="1" ht="20.100000000000001" customHeight="1" x14ac:dyDescent="0.25">
      <c r="A11" s="10" t="s">
        <v>6</v>
      </c>
      <c r="B11" s="11" t="s">
        <v>5</v>
      </c>
      <c r="C11" s="5158"/>
      <c r="D11" s="10" t="s">
        <v>19</v>
      </c>
      <c r="E11" s="11" t="s">
        <v>5</v>
      </c>
      <c r="F11" s="5161"/>
      <c r="G11" s="5711" t="s">
        <v>1489</v>
      </c>
      <c r="H11" s="11" t="s">
        <v>5</v>
      </c>
      <c r="I11" s="4481"/>
      <c r="J11" s="10" t="s">
        <v>20</v>
      </c>
      <c r="K11" s="11" t="s">
        <v>21</v>
      </c>
      <c r="L11" s="5161"/>
    </row>
    <row r="12" spans="1:12" s="12" customFormat="1" ht="20.100000000000001" customHeight="1" x14ac:dyDescent="0.25">
      <c r="A12" s="13"/>
      <c r="B12" s="14" t="s">
        <v>10</v>
      </c>
      <c r="C12" s="5160"/>
      <c r="D12" s="13"/>
      <c r="E12" s="14" t="s">
        <v>10</v>
      </c>
      <c r="F12" s="5161"/>
      <c r="G12" s="5712"/>
      <c r="H12" s="14"/>
      <c r="I12" s="4481"/>
      <c r="J12" s="15" t="s">
        <v>22</v>
      </c>
      <c r="K12" s="16" t="s">
        <v>10</v>
      </c>
      <c r="L12" s="5161"/>
    </row>
    <row r="13" spans="1:12" s="12" customFormat="1" ht="20.100000000000001" customHeight="1" x14ac:dyDescent="0.25">
      <c r="A13" s="10" t="s">
        <v>12</v>
      </c>
      <c r="B13" s="11" t="s">
        <v>5</v>
      </c>
      <c r="C13" s="5160"/>
      <c r="D13" s="10" t="s">
        <v>23</v>
      </c>
      <c r="E13" s="11" t="s">
        <v>5</v>
      </c>
      <c r="F13" s="5161"/>
      <c r="G13" s="5708" t="s">
        <v>1522</v>
      </c>
      <c r="H13" s="11" t="s">
        <v>5</v>
      </c>
      <c r="I13" s="4481"/>
      <c r="J13" s="10" t="s">
        <v>24</v>
      </c>
      <c r="K13" s="11" t="s">
        <v>10</v>
      </c>
      <c r="L13" s="5161"/>
    </row>
    <row r="14" spans="1:12" s="12" customFormat="1" ht="20.100000000000001" customHeight="1" x14ac:dyDescent="0.25">
      <c r="A14" s="13"/>
      <c r="B14" s="14" t="s">
        <v>10</v>
      </c>
      <c r="C14" s="5160"/>
      <c r="D14" s="13"/>
      <c r="E14" s="14" t="s">
        <v>10</v>
      </c>
      <c r="F14" s="5161"/>
      <c r="G14" s="5709"/>
      <c r="H14" s="14"/>
      <c r="I14" s="4481"/>
      <c r="J14" s="17" t="s">
        <v>25</v>
      </c>
      <c r="K14" s="18" t="s">
        <v>10</v>
      </c>
      <c r="L14" s="5161"/>
    </row>
    <row r="15" spans="1:12" s="12" customFormat="1" ht="20.100000000000001" customHeight="1" x14ac:dyDescent="0.25">
      <c r="A15" s="4478" t="s">
        <v>29</v>
      </c>
      <c r="B15" s="11" t="s">
        <v>10</v>
      </c>
      <c r="C15" s="5161"/>
      <c r="D15" s="10" t="s">
        <v>26</v>
      </c>
      <c r="E15" s="11" t="s">
        <v>27</v>
      </c>
      <c r="F15" s="5161"/>
      <c r="G15" s="5708" t="s">
        <v>1523</v>
      </c>
      <c r="H15" s="18" t="s">
        <v>5</v>
      </c>
      <c r="I15" s="4481"/>
      <c r="J15" s="15" t="s">
        <v>28</v>
      </c>
      <c r="K15" s="16" t="s">
        <v>27</v>
      </c>
      <c r="L15" s="5161"/>
    </row>
    <row r="16" spans="1:12" s="12" customFormat="1" ht="20.100000000000001" customHeight="1" x14ac:dyDescent="0.25">
      <c r="A16" s="4479" t="s">
        <v>32</v>
      </c>
      <c r="B16" s="14" t="s">
        <v>10</v>
      </c>
      <c r="C16" s="5161"/>
      <c r="D16" s="13"/>
      <c r="E16" s="14" t="s">
        <v>30</v>
      </c>
      <c r="F16" s="5161"/>
      <c r="G16" s="5709"/>
      <c r="H16" s="14"/>
      <c r="I16" s="4481"/>
      <c r="J16" s="15" t="s">
        <v>31</v>
      </c>
      <c r="K16" s="16" t="s">
        <v>27</v>
      </c>
      <c r="L16" s="5161"/>
    </row>
    <row r="17" spans="1:12" s="12" customFormat="1" ht="20.100000000000001" customHeight="1" x14ac:dyDescent="0.25">
      <c r="A17" s="10" t="s">
        <v>16</v>
      </c>
      <c r="B17" s="11" t="s">
        <v>5</v>
      </c>
      <c r="C17" s="5158"/>
      <c r="F17" s="5164"/>
      <c r="G17" s="5719" t="s">
        <v>1524</v>
      </c>
      <c r="H17" s="18" t="s">
        <v>5</v>
      </c>
      <c r="I17" s="4481"/>
      <c r="J17" s="19"/>
      <c r="K17" s="11"/>
      <c r="L17" s="5158"/>
    </row>
    <row r="18" spans="1:12" s="12" customFormat="1" ht="20.100000000000001" customHeight="1" x14ac:dyDescent="0.25">
      <c r="A18" s="13"/>
      <c r="B18" s="14" t="s">
        <v>10</v>
      </c>
      <c r="C18" s="5158"/>
      <c r="F18" s="5164"/>
      <c r="G18" s="5710"/>
      <c r="H18" s="22"/>
      <c r="I18" s="4481"/>
      <c r="J18" s="19"/>
      <c r="K18" s="20"/>
      <c r="L18" s="5160"/>
    </row>
    <row r="19" spans="1:12" s="12" customFormat="1" ht="20.100000000000001" customHeight="1" x14ac:dyDescent="0.25">
      <c r="A19" s="4478" t="s">
        <v>19</v>
      </c>
      <c r="B19" s="11" t="s">
        <v>5</v>
      </c>
      <c r="C19" s="5161"/>
      <c r="D19" s="5722" t="s">
        <v>2</v>
      </c>
      <c r="E19" s="5722"/>
      <c r="F19" s="5161"/>
      <c r="G19" s="5709"/>
      <c r="H19" s="14"/>
      <c r="I19" s="4481"/>
      <c r="J19" s="5721" t="s">
        <v>33</v>
      </c>
      <c r="K19" s="5721"/>
      <c r="L19" s="5160"/>
    </row>
    <row r="20" spans="1:12" s="12" customFormat="1" ht="20.100000000000001" customHeight="1" x14ac:dyDescent="0.25">
      <c r="A20" s="4478"/>
      <c r="B20" s="11" t="s">
        <v>10</v>
      </c>
      <c r="C20" s="5161"/>
      <c r="D20" s="13" t="s">
        <v>1527</v>
      </c>
      <c r="E20" s="14" t="s">
        <v>7</v>
      </c>
      <c r="F20" s="5164"/>
      <c r="G20" s="5719" t="s">
        <v>1525</v>
      </c>
      <c r="H20" s="11" t="s">
        <v>5</v>
      </c>
      <c r="I20" s="4481"/>
      <c r="J20" s="13" t="s">
        <v>34</v>
      </c>
      <c r="K20" s="14" t="s">
        <v>7</v>
      </c>
      <c r="L20" s="5161"/>
    </row>
    <row r="21" spans="1:12" s="12" customFormat="1" ht="20.100000000000001" customHeight="1" x14ac:dyDescent="0.25">
      <c r="A21" s="4479"/>
      <c r="B21" s="14" t="s">
        <v>11</v>
      </c>
      <c r="C21" s="5161"/>
      <c r="D21" s="5711" t="s">
        <v>1606</v>
      </c>
      <c r="E21" s="11" t="s">
        <v>5</v>
      </c>
      <c r="F21" s="5164"/>
      <c r="G21" s="5710"/>
      <c r="H21" s="11"/>
      <c r="I21" s="4481"/>
      <c r="J21" s="10" t="s">
        <v>35</v>
      </c>
      <c r="K21" s="11" t="s">
        <v>13</v>
      </c>
      <c r="L21" s="5158"/>
    </row>
    <row r="22" spans="1:12" s="12" customFormat="1" ht="20.100000000000001" customHeight="1" x14ac:dyDescent="0.25">
      <c r="A22" s="4478" t="s">
        <v>23</v>
      </c>
      <c r="B22" s="11" t="s">
        <v>5</v>
      </c>
      <c r="C22" s="5161"/>
      <c r="D22" s="5712"/>
      <c r="E22" s="14" t="s">
        <v>10</v>
      </c>
      <c r="F22" s="5164"/>
      <c r="G22" s="5709"/>
      <c r="H22" s="14"/>
      <c r="I22" s="4481"/>
      <c r="J22" s="13"/>
      <c r="K22" s="14" t="s">
        <v>15</v>
      </c>
      <c r="L22" s="5158"/>
    </row>
    <row r="23" spans="1:12" s="12" customFormat="1" ht="21.9" customHeight="1" x14ac:dyDescent="0.25">
      <c r="A23" s="4479"/>
      <c r="B23" s="14" t="s">
        <v>10</v>
      </c>
      <c r="C23" s="5161"/>
      <c r="D23" s="15" t="s">
        <v>1492</v>
      </c>
      <c r="E23" s="16" t="s">
        <v>5</v>
      </c>
      <c r="F23" s="5164"/>
      <c r="G23" s="5720" t="s">
        <v>1500</v>
      </c>
      <c r="H23" s="4907" t="s">
        <v>5</v>
      </c>
      <c r="I23" s="4481"/>
      <c r="J23" s="15" t="s">
        <v>36</v>
      </c>
      <c r="K23" s="16" t="s">
        <v>10</v>
      </c>
      <c r="L23" s="5161"/>
    </row>
    <row r="24" spans="1:12" s="12" customFormat="1" ht="21.9" customHeight="1" x14ac:dyDescent="0.25">
      <c r="A24" s="4480" t="s">
        <v>37</v>
      </c>
      <c r="B24" s="22" t="s">
        <v>5</v>
      </c>
      <c r="C24" s="5161"/>
      <c r="D24" s="5720" t="s">
        <v>1497</v>
      </c>
      <c r="E24" s="4907" t="s">
        <v>5</v>
      </c>
      <c r="F24" s="5164"/>
      <c r="G24" s="5712"/>
      <c r="H24" s="14"/>
      <c r="I24" s="4481"/>
      <c r="J24" s="13" t="s">
        <v>38</v>
      </c>
      <c r="K24" s="14" t="s">
        <v>27</v>
      </c>
      <c r="L24" s="5161"/>
    </row>
    <row r="25" spans="1:12" s="12" customFormat="1" ht="20.100000000000001" customHeight="1" x14ac:dyDescent="0.25">
      <c r="A25" s="4480"/>
      <c r="B25" s="14" t="s">
        <v>10</v>
      </c>
      <c r="C25" s="5161"/>
      <c r="D25" s="5712"/>
      <c r="E25" s="14"/>
      <c r="F25" s="5164"/>
      <c r="G25" s="5723" t="s">
        <v>1490</v>
      </c>
      <c r="H25" s="11" t="s">
        <v>5</v>
      </c>
      <c r="I25" s="4481"/>
      <c r="J25" s="15" t="s">
        <v>39</v>
      </c>
      <c r="K25" s="16" t="s">
        <v>7</v>
      </c>
      <c r="L25" s="5161"/>
    </row>
    <row r="26" spans="1:12" s="12" customFormat="1" ht="30.75" customHeight="1" x14ac:dyDescent="0.25">
      <c r="A26" s="17" t="s">
        <v>26</v>
      </c>
      <c r="B26" s="18" t="s">
        <v>27</v>
      </c>
      <c r="C26" s="5161"/>
      <c r="D26" s="4763" t="s">
        <v>1493</v>
      </c>
      <c r="E26" s="4909" t="s">
        <v>5</v>
      </c>
      <c r="F26" s="5164"/>
      <c r="G26" s="5712"/>
      <c r="H26" s="14"/>
      <c r="I26" s="4481"/>
      <c r="J26" s="23"/>
      <c r="K26" s="22"/>
      <c r="L26" s="5158"/>
    </row>
    <row r="27" spans="1:12" s="12" customFormat="1" ht="24.9" customHeight="1" x14ac:dyDescent="0.25">
      <c r="A27" s="13"/>
      <c r="B27" s="14" t="s">
        <v>30</v>
      </c>
      <c r="C27" s="5161"/>
      <c r="D27" s="5720" t="s">
        <v>1488</v>
      </c>
      <c r="E27" s="4907" t="s">
        <v>5</v>
      </c>
      <c r="F27" s="5164"/>
      <c r="G27" s="5711" t="s">
        <v>1604</v>
      </c>
      <c r="H27" s="11" t="s">
        <v>5</v>
      </c>
      <c r="I27" s="4481"/>
      <c r="J27" s="23"/>
      <c r="K27" s="22"/>
      <c r="L27" s="5158"/>
    </row>
    <row r="28" spans="1:12" s="12" customFormat="1" ht="20.100000000000001" customHeight="1" x14ac:dyDescent="0.25">
      <c r="A28" s="10" t="s">
        <v>40</v>
      </c>
      <c r="B28" s="11" t="s">
        <v>41</v>
      </c>
      <c r="C28" s="5158"/>
      <c r="D28" s="5712"/>
      <c r="E28" s="14"/>
      <c r="F28" s="5164"/>
      <c r="G28" s="5712"/>
      <c r="H28" s="14"/>
      <c r="I28" s="4481"/>
      <c r="J28" s="23"/>
      <c r="K28" s="22"/>
      <c r="L28" s="5158"/>
    </row>
    <row r="29" spans="1:12" s="12" customFormat="1" ht="20.100000000000001" customHeight="1" x14ac:dyDescent="0.25">
      <c r="A29" s="4479" t="s">
        <v>42</v>
      </c>
      <c r="B29" s="14" t="s">
        <v>41</v>
      </c>
      <c r="C29" s="5161"/>
      <c r="D29" s="5719" t="s">
        <v>1515</v>
      </c>
      <c r="E29" s="4907" t="s">
        <v>5</v>
      </c>
      <c r="F29" s="5164"/>
      <c r="G29" s="5711" t="s">
        <v>1491</v>
      </c>
      <c r="H29" s="11" t="s">
        <v>5</v>
      </c>
      <c r="I29" s="4481"/>
      <c r="J29" s="4481"/>
      <c r="K29" s="4481"/>
      <c r="L29" s="5158"/>
    </row>
    <row r="30" spans="1:12" s="12" customFormat="1" ht="20.100000000000001" customHeight="1" x14ac:dyDescent="0.25">
      <c r="B30" s="21"/>
      <c r="C30" s="5158"/>
      <c r="D30" s="5710"/>
      <c r="E30" s="22"/>
      <c r="F30" s="5164"/>
      <c r="G30" s="5712"/>
      <c r="H30" s="14"/>
      <c r="I30" s="4481"/>
      <c r="K30" s="21"/>
      <c r="L30" s="5158"/>
    </row>
    <row r="31" spans="1:12" s="12" customFormat="1" ht="22.5" customHeight="1" x14ac:dyDescent="0.25">
      <c r="A31" s="5"/>
      <c r="C31" s="5158"/>
      <c r="D31" s="5709"/>
      <c r="E31" s="14"/>
      <c r="F31" s="5164"/>
      <c r="G31" s="5711" t="s">
        <v>1659</v>
      </c>
      <c r="H31" s="11" t="s">
        <v>5</v>
      </c>
      <c r="I31" s="4481"/>
      <c r="K31" s="21"/>
      <c r="L31" s="5165"/>
    </row>
    <row r="32" spans="1:12" s="12" customFormat="1" ht="22.5" customHeight="1" x14ac:dyDescent="0.25">
      <c r="C32" s="5158"/>
      <c r="D32" s="5719" t="s">
        <v>1516</v>
      </c>
      <c r="E32" s="18" t="s">
        <v>5</v>
      </c>
      <c r="F32" s="5164"/>
      <c r="G32" s="5712"/>
      <c r="H32" s="14"/>
      <c r="I32" s="4481"/>
      <c r="K32" s="21"/>
      <c r="L32" s="5158"/>
    </row>
    <row r="33" spans="3:12" s="12" customFormat="1" x14ac:dyDescent="0.25">
      <c r="C33" s="5158"/>
      <c r="D33" s="5710"/>
      <c r="E33" s="22"/>
      <c r="F33" s="5164"/>
      <c r="G33" s="5720" t="s">
        <v>1660</v>
      </c>
      <c r="H33" s="4907" t="s">
        <v>5</v>
      </c>
      <c r="I33" s="4481"/>
      <c r="L33" s="5158"/>
    </row>
    <row r="34" spans="3:12" s="12" customFormat="1" x14ac:dyDescent="0.25">
      <c r="C34" s="5158"/>
      <c r="D34" s="5709"/>
      <c r="E34" s="14"/>
      <c r="F34" s="5164"/>
      <c r="G34" s="5712"/>
      <c r="H34" s="14"/>
      <c r="I34" s="4481"/>
      <c r="L34" s="5160"/>
    </row>
    <row r="35" spans="3:12" s="12" customFormat="1" ht="24.9" customHeight="1" x14ac:dyDescent="0.25">
      <c r="C35" s="5158"/>
      <c r="D35" s="5719" t="s">
        <v>1517</v>
      </c>
      <c r="E35" s="22" t="s">
        <v>5</v>
      </c>
      <c r="F35" s="5164"/>
      <c r="G35" s="5720" t="s">
        <v>1661</v>
      </c>
      <c r="H35" s="4907" t="s">
        <v>5</v>
      </c>
      <c r="I35" s="4481"/>
      <c r="L35" s="5160"/>
    </row>
    <row r="36" spans="3:12" s="12" customFormat="1" x14ac:dyDescent="0.25">
      <c r="C36" s="5158"/>
      <c r="D36" s="5709"/>
      <c r="E36" s="14"/>
      <c r="F36" s="5164"/>
      <c r="G36" s="5712"/>
      <c r="H36" s="14"/>
      <c r="I36" s="4481"/>
      <c r="L36" s="5160"/>
    </row>
    <row r="37" spans="3:12" s="12" customFormat="1" x14ac:dyDescent="0.25">
      <c r="C37" s="5158"/>
      <c r="D37" s="5719" t="s">
        <v>1518</v>
      </c>
      <c r="E37" s="18" t="s">
        <v>5</v>
      </c>
      <c r="F37" s="5164"/>
      <c r="G37" s="5719" t="s">
        <v>1663</v>
      </c>
      <c r="H37" s="4907" t="s">
        <v>5</v>
      </c>
      <c r="I37" s="4481"/>
      <c r="L37" s="5160"/>
    </row>
    <row r="38" spans="3:12" s="12" customFormat="1" ht="24" customHeight="1" x14ac:dyDescent="0.25">
      <c r="C38" s="5160"/>
      <c r="D38" s="5709"/>
      <c r="E38" s="14"/>
      <c r="F38" s="5164"/>
      <c r="G38" s="5709"/>
      <c r="H38" s="4908"/>
      <c r="I38" s="4481"/>
      <c r="L38" s="5160"/>
    </row>
    <row r="39" spans="3:12" s="12" customFormat="1" ht="24.9" customHeight="1" x14ac:dyDescent="0.25">
      <c r="C39" s="5158"/>
      <c r="F39" s="5164"/>
      <c r="I39" s="4481"/>
      <c r="L39" s="5160"/>
    </row>
    <row r="40" spans="3:12" s="12" customFormat="1" ht="24.9" customHeight="1" x14ac:dyDescent="0.25">
      <c r="C40" s="5158"/>
      <c r="F40" s="5164"/>
      <c r="I40" s="4481"/>
      <c r="L40" s="5160"/>
    </row>
    <row r="41" spans="3:12" s="12" customFormat="1" ht="24.9" customHeight="1" x14ac:dyDescent="0.25">
      <c r="C41" s="5158"/>
      <c r="F41" s="5164"/>
      <c r="I41" s="4481"/>
      <c r="L41" s="5160"/>
    </row>
    <row r="42" spans="3:12" s="12" customFormat="1" ht="24.9" customHeight="1" x14ac:dyDescent="0.25">
      <c r="C42" s="5158"/>
      <c r="F42" s="5164"/>
      <c r="I42" s="4481"/>
      <c r="L42" s="5160"/>
    </row>
    <row r="43" spans="3:12" s="12" customFormat="1" ht="20.100000000000001" customHeight="1" x14ac:dyDescent="0.25">
      <c r="C43" s="5158"/>
      <c r="F43" s="5164"/>
      <c r="I43" s="4481"/>
      <c r="L43" s="5160"/>
    </row>
    <row r="44" spans="3:12" s="12" customFormat="1" ht="20.100000000000001" customHeight="1" x14ac:dyDescent="0.25">
      <c r="C44" s="5160"/>
      <c r="F44" s="5164"/>
      <c r="I44" s="4481"/>
      <c r="L44" s="5160"/>
    </row>
    <row r="45" spans="3:12" s="12" customFormat="1" ht="20.100000000000001" customHeight="1" x14ac:dyDescent="0.25">
      <c r="C45" s="5160"/>
      <c r="F45" s="5164"/>
      <c r="I45" s="4481"/>
      <c r="L45" s="5160"/>
    </row>
    <row r="46" spans="3:12" s="12" customFormat="1" ht="20.100000000000001" customHeight="1" x14ac:dyDescent="0.25">
      <c r="C46" s="5160"/>
      <c r="F46" s="5164"/>
      <c r="I46" s="4481"/>
      <c r="L46" s="5160"/>
    </row>
    <row r="47" spans="3:12" s="12" customFormat="1" ht="20.100000000000001" customHeight="1" x14ac:dyDescent="0.25">
      <c r="C47" s="5160"/>
      <c r="F47" s="5164"/>
      <c r="I47" s="4481"/>
      <c r="L47" s="5160"/>
    </row>
    <row r="48" spans="3:12" s="12" customFormat="1" ht="20.100000000000001" customHeight="1" x14ac:dyDescent="0.25">
      <c r="C48" s="5160"/>
      <c r="F48" s="5164"/>
      <c r="I48" s="4481"/>
      <c r="L48" s="5160"/>
    </row>
    <row r="49" spans="1:12" s="12" customFormat="1" ht="20.100000000000001" customHeight="1" x14ac:dyDescent="0.25">
      <c r="C49" s="5160"/>
      <c r="F49" s="5164"/>
      <c r="I49" s="4481"/>
      <c r="L49" s="5160"/>
    </row>
    <row r="50" spans="1:12" s="12" customFormat="1" ht="20.100000000000001" customHeight="1" x14ac:dyDescent="0.25">
      <c r="C50" s="5160"/>
      <c r="F50" s="5164"/>
      <c r="I50" s="4481"/>
      <c r="L50" s="5160"/>
    </row>
    <row r="51" spans="1:12" s="12" customFormat="1" ht="21.9" customHeight="1" x14ac:dyDescent="0.25">
      <c r="A51" s="5"/>
      <c r="C51" s="5160"/>
      <c r="F51" s="5164"/>
      <c r="I51" s="4481"/>
      <c r="L51" s="5160"/>
    </row>
    <row r="52" spans="1:12" s="12" customFormat="1" ht="21.9" customHeight="1" x14ac:dyDescent="0.25">
      <c r="A52" s="5"/>
      <c r="C52" s="5160"/>
      <c r="F52" s="5164"/>
      <c r="I52" s="4481"/>
      <c r="L52" s="5160"/>
    </row>
    <row r="53" spans="1:12" s="12" customFormat="1" x14ac:dyDescent="0.25">
      <c r="A53" s="5"/>
      <c r="C53" s="5160"/>
      <c r="F53" s="5164"/>
      <c r="I53" s="4481"/>
      <c r="L53" s="5160"/>
    </row>
    <row r="54" spans="1:12" s="12" customFormat="1" x14ac:dyDescent="0.25">
      <c r="A54" s="5"/>
      <c r="C54" s="5160"/>
      <c r="F54" s="5164"/>
      <c r="I54" s="4481"/>
      <c r="L54" s="5160"/>
    </row>
    <row r="55" spans="1:12" s="12" customFormat="1" x14ac:dyDescent="0.25">
      <c r="A55" s="5"/>
      <c r="C55" s="5160"/>
      <c r="F55" s="5164"/>
      <c r="I55" s="4481"/>
      <c r="L55" s="5160"/>
    </row>
    <row r="56" spans="1:12" s="12" customFormat="1" ht="20.100000000000001" customHeight="1" x14ac:dyDescent="0.25">
      <c r="A56" s="5"/>
      <c r="C56" s="5160"/>
      <c r="F56" s="5164"/>
      <c r="L56" s="5160"/>
    </row>
    <row r="57" spans="1:12" s="12" customFormat="1" ht="20.100000000000001" customHeight="1" x14ac:dyDescent="0.25">
      <c r="A57" s="5"/>
      <c r="C57" s="5160"/>
      <c r="F57" s="5164"/>
      <c r="L57" s="5160"/>
    </row>
    <row r="58" spans="1:12" s="12" customFormat="1" ht="20.100000000000001" customHeight="1" x14ac:dyDescent="0.25">
      <c r="A58" s="5"/>
      <c r="C58" s="5160"/>
      <c r="F58" s="5164"/>
      <c r="L58" s="5160"/>
    </row>
    <row r="59" spans="1:12" s="12" customFormat="1" ht="20.100000000000001" customHeight="1" x14ac:dyDescent="0.25">
      <c r="A59" s="5"/>
      <c r="C59" s="5160"/>
      <c r="F59" s="5164"/>
      <c r="L59" s="5160"/>
    </row>
    <row r="60" spans="1:12" s="12" customFormat="1" ht="20.100000000000001" customHeight="1" x14ac:dyDescent="0.25">
      <c r="A60" s="5"/>
      <c r="C60" s="5160"/>
      <c r="F60" s="5164"/>
      <c r="L60" s="5160"/>
    </row>
    <row r="61" spans="1:12" s="12" customFormat="1" ht="20.100000000000001" customHeight="1" x14ac:dyDescent="0.25">
      <c r="A61" s="5"/>
      <c r="C61" s="5160"/>
      <c r="F61" s="5164"/>
      <c r="L61" s="5160"/>
    </row>
    <row r="62" spans="1:12" s="12" customFormat="1" ht="20.100000000000001" customHeight="1" x14ac:dyDescent="0.25">
      <c r="A62" s="5"/>
      <c r="C62" s="5160"/>
      <c r="F62" s="5164"/>
      <c r="L62" s="5160"/>
    </row>
    <row r="63" spans="1:12" s="12" customFormat="1" ht="20.100000000000001" customHeight="1" x14ac:dyDescent="0.25">
      <c r="A63" s="5"/>
      <c r="C63" s="5160"/>
      <c r="F63" s="5164"/>
      <c r="L63" s="5160"/>
    </row>
    <row r="64" spans="1:12" s="12" customFormat="1" ht="20.100000000000001" customHeight="1" x14ac:dyDescent="0.25">
      <c r="A64" s="5"/>
      <c r="C64" s="5160"/>
      <c r="F64" s="5164"/>
      <c r="L64" s="5160"/>
    </row>
    <row r="65" spans="1:12" s="12" customFormat="1" ht="20.100000000000001" customHeight="1" x14ac:dyDescent="0.25">
      <c r="A65" s="5"/>
      <c r="C65" s="5160"/>
      <c r="F65" s="5164"/>
      <c r="L65" s="5160"/>
    </row>
    <row r="66" spans="1:12" s="12" customFormat="1" ht="20.100000000000001" customHeight="1" x14ac:dyDescent="0.25">
      <c r="A66" s="5"/>
      <c r="C66" s="5160"/>
      <c r="F66" s="5164"/>
      <c r="L66" s="5160"/>
    </row>
    <row r="67" spans="1:12" s="12" customFormat="1" ht="20.100000000000001" customHeight="1" x14ac:dyDescent="0.25">
      <c r="A67" s="5"/>
      <c r="C67" s="5160"/>
      <c r="F67" s="5164"/>
      <c r="L67" s="5160"/>
    </row>
    <row r="68" spans="1:12" s="12" customFormat="1" ht="20.100000000000001" customHeight="1" x14ac:dyDescent="0.25">
      <c r="C68" s="5160"/>
      <c r="F68" s="5164"/>
      <c r="L68" s="5160"/>
    </row>
    <row r="69" spans="1:12" s="12" customFormat="1" ht="20.100000000000001" customHeight="1" x14ac:dyDescent="0.25">
      <c r="C69" s="5160"/>
      <c r="F69" s="5164"/>
      <c r="L69" s="5160"/>
    </row>
    <row r="70" spans="1:12" s="12" customFormat="1" ht="20.100000000000001" customHeight="1" x14ac:dyDescent="0.25">
      <c r="C70" s="5160"/>
      <c r="F70" s="5164"/>
      <c r="L70" s="5160"/>
    </row>
    <row r="71" spans="1:12" s="12" customFormat="1" ht="20.100000000000001" customHeight="1" x14ac:dyDescent="0.25">
      <c r="C71" s="5160"/>
      <c r="F71" s="5164"/>
      <c r="L71" s="5160"/>
    </row>
    <row r="72" spans="1:12" s="12" customFormat="1" ht="20.100000000000001" customHeight="1" x14ac:dyDescent="0.25">
      <c r="C72" s="5160"/>
      <c r="F72" s="5164"/>
      <c r="L72" s="5160"/>
    </row>
    <row r="73" spans="1:12" s="12" customFormat="1" ht="20.100000000000001" customHeight="1" x14ac:dyDescent="0.25">
      <c r="A73" s="5"/>
      <c r="C73" s="5160"/>
      <c r="F73" s="5164"/>
      <c r="L73" s="5160"/>
    </row>
    <row r="74" spans="1:12" s="12" customFormat="1" ht="20.100000000000001" customHeight="1" x14ac:dyDescent="0.25">
      <c r="A74" s="5"/>
      <c r="C74" s="5160"/>
      <c r="F74" s="5164"/>
      <c r="L74" s="5160"/>
    </row>
    <row r="75" spans="1:12" s="12" customFormat="1" ht="20.100000000000001" customHeight="1" x14ac:dyDescent="0.25">
      <c r="A75" s="5"/>
      <c r="C75" s="5160"/>
      <c r="F75" s="5164"/>
      <c r="L75" s="5160"/>
    </row>
    <row r="76" spans="1:12" s="12" customFormat="1" ht="20.100000000000001" customHeight="1" x14ac:dyDescent="0.25">
      <c r="A76" s="5"/>
      <c r="C76" s="5160"/>
      <c r="F76" s="5164"/>
      <c r="L76" s="5160"/>
    </row>
    <row r="77" spans="1:12" s="12" customFormat="1" ht="20.100000000000001" customHeight="1" x14ac:dyDescent="0.25">
      <c r="A77" s="5"/>
      <c r="C77" s="5160"/>
      <c r="F77" s="5164"/>
      <c r="L77" s="5160"/>
    </row>
    <row r="78" spans="1:12" s="12" customFormat="1" ht="20.100000000000001" customHeight="1" x14ac:dyDescent="0.25">
      <c r="A78" s="5"/>
      <c r="C78" s="5160"/>
      <c r="F78" s="5164"/>
      <c r="L78" s="5160"/>
    </row>
    <row r="79" spans="1:12" s="12" customFormat="1" ht="20.100000000000001" customHeight="1" x14ac:dyDescent="0.25">
      <c r="A79" s="5"/>
      <c r="C79" s="5160"/>
      <c r="F79" s="5164"/>
      <c r="L79" s="5160"/>
    </row>
    <row r="80" spans="1:12" s="12" customFormat="1" ht="20.100000000000001" customHeight="1" x14ac:dyDescent="0.25">
      <c r="A80" s="5"/>
      <c r="C80" s="5160"/>
      <c r="F80" s="5164"/>
      <c r="L80" s="5160"/>
    </row>
    <row r="81" spans="1:12" s="12" customFormat="1" ht="20.100000000000001" customHeight="1" x14ac:dyDescent="0.25">
      <c r="A81" s="5"/>
      <c r="C81" s="5160"/>
      <c r="F81" s="5164"/>
      <c r="L81" s="5160"/>
    </row>
    <row r="82" spans="1:12" s="12" customFormat="1" ht="20.100000000000001" customHeight="1" x14ac:dyDescent="0.25">
      <c r="A82" s="5"/>
      <c r="C82" s="5160"/>
      <c r="F82" s="5164"/>
      <c r="L82" s="5160"/>
    </row>
    <row r="83" spans="1:12" s="12" customFormat="1" ht="20.100000000000001" customHeight="1" x14ac:dyDescent="0.25">
      <c r="A83" s="5"/>
      <c r="C83" s="5160"/>
      <c r="F83" s="5164"/>
      <c r="L83" s="5160"/>
    </row>
    <row r="84" spans="1:12" s="12" customFormat="1" ht="20.100000000000001" customHeight="1" x14ac:dyDescent="0.25">
      <c r="A84" s="5"/>
      <c r="C84" s="5160"/>
      <c r="F84" s="5164"/>
      <c r="L84" s="5160"/>
    </row>
    <row r="85" spans="1:12" s="12" customFormat="1" ht="20.100000000000001" customHeight="1" x14ac:dyDescent="0.25">
      <c r="A85" s="5"/>
      <c r="C85" s="5160"/>
      <c r="F85" s="5164"/>
      <c r="L85" s="5160"/>
    </row>
    <row r="86" spans="1:12" s="12" customFormat="1" ht="20.100000000000001" customHeight="1" x14ac:dyDescent="0.25">
      <c r="A86" s="5"/>
      <c r="C86" s="5160"/>
      <c r="F86" s="5164"/>
      <c r="L86" s="5160"/>
    </row>
    <row r="87" spans="1:12" s="12" customFormat="1" ht="20.100000000000001" customHeight="1" x14ac:dyDescent="0.25">
      <c r="A87" s="5"/>
      <c r="C87" s="5160"/>
      <c r="F87" s="5164"/>
      <c r="L87" s="5160"/>
    </row>
    <row r="88" spans="1:12" s="12" customFormat="1" ht="20.100000000000001" customHeight="1" x14ac:dyDescent="0.25">
      <c r="A88" s="5"/>
      <c r="C88" s="5160"/>
      <c r="F88" s="5164"/>
      <c r="L88" s="5160"/>
    </row>
    <row r="89" spans="1:12" s="12" customFormat="1" ht="20.100000000000001" customHeight="1" x14ac:dyDescent="0.25">
      <c r="A89" s="5"/>
      <c r="C89" s="5160"/>
      <c r="F89" s="5164"/>
      <c r="L89" s="5160"/>
    </row>
    <row r="90" spans="1:12" s="12" customFormat="1" ht="20.100000000000001" customHeight="1" x14ac:dyDescent="0.25">
      <c r="A90" s="5"/>
      <c r="C90" s="5160"/>
      <c r="F90" s="5164"/>
      <c r="L90" s="5160"/>
    </row>
    <row r="91" spans="1:12" s="12" customFormat="1" ht="20.100000000000001" customHeight="1" x14ac:dyDescent="0.25">
      <c r="A91" s="5"/>
      <c r="C91" s="5160"/>
      <c r="F91" s="5164"/>
      <c r="L91" s="5160"/>
    </row>
    <row r="92" spans="1:12" s="12" customFormat="1" ht="20.100000000000001" customHeight="1" x14ac:dyDescent="0.25">
      <c r="A92" s="5"/>
      <c r="C92" s="5160"/>
      <c r="F92" s="5164"/>
      <c r="L92" s="5160"/>
    </row>
    <row r="93" spans="1:12" s="12" customFormat="1" ht="20.100000000000001" customHeight="1" x14ac:dyDescent="0.25">
      <c r="A93" s="5"/>
      <c r="C93" s="5160"/>
      <c r="F93" s="5164"/>
      <c r="L93" s="5160"/>
    </row>
    <row r="94" spans="1:12" s="12" customFormat="1" ht="20.100000000000001" customHeight="1" x14ac:dyDescent="0.3">
      <c r="A94" s="5"/>
      <c r="C94" s="5160"/>
      <c r="F94" s="5164"/>
      <c r="G94" s="4"/>
      <c r="H94" s="4"/>
      <c r="L94" s="5160"/>
    </row>
    <row r="95" spans="1:12" s="12" customFormat="1" ht="20.100000000000001" customHeight="1" x14ac:dyDescent="0.3">
      <c r="A95" s="5"/>
      <c r="C95" s="5160"/>
      <c r="F95" s="5164"/>
      <c r="G95" s="4"/>
      <c r="H95" s="4"/>
      <c r="L95" s="5160"/>
    </row>
    <row r="96" spans="1:12" s="12" customFormat="1" ht="20.100000000000001" customHeight="1" x14ac:dyDescent="0.3">
      <c r="A96" s="5"/>
      <c r="C96" s="5160"/>
      <c r="F96" s="5164"/>
      <c r="G96" s="4"/>
      <c r="H96" s="4"/>
      <c r="L96" s="5160"/>
    </row>
    <row r="97" spans="4:5" x14ac:dyDescent="0.3">
      <c r="D97" s="12"/>
      <c r="E97" s="12"/>
    </row>
    <row r="98" spans="4:5" x14ac:dyDescent="0.3">
      <c r="D98" s="12"/>
      <c r="E98" s="12"/>
    </row>
  </sheetData>
  <mergeCells count="30">
    <mergeCell ref="G37:G38"/>
    <mergeCell ref="D37:D38"/>
    <mergeCell ref="G33:G34"/>
    <mergeCell ref="G35:G36"/>
    <mergeCell ref="D32:D34"/>
    <mergeCell ref="D35:D36"/>
    <mergeCell ref="G31:G32"/>
    <mergeCell ref="G27:G28"/>
    <mergeCell ref="G29:G30"/>
    <mergeCell ref="G25:G26"/>
    <mergeCell ref="D21:D22"/>
    <mergeCell ref="D27:D28"/>
    <mergeCell ref="D29:D31"/>
    <mergeCell ref="G17:G19"/>
    <mergeCell ref="G20:G22"/>
    <mergeCell ref="G23:G24"/>
    <mergeCell ref="D24:D25"/>
    <mergeCell ref="J19:K19"/>
    <mergeCell ref="D19:E19"/>
    <mergeCell ref="F1:K1"/>
    <mergeCell ref="A4:B4"/>
    <mergeCell ref="D4:E4"/>
    <mergeCell ref="G4:H4"/>
    <mergeCell ref="J4:K4"/>
    <mergeCell ref="G15:G16"/>
    <mergeCell ref="G5:G6"/>
    <mergeCell ref="G7:G8"/>
    <mergeCell ref="G9:G10"/>
    <mergeCell ref="G11:G12"/>
    <mergeCell ref="G13:G14"/>
  </mergeCells>
  <hyperlinks>
    <hyperlink ref="B5" location="'Aspirantes plan'!A1" display="Plan"/>
    <hyperlink ref="B6" location="'Aspirantes uni'!A1" display="División"/>
    <hyperlink ref="B7" location="'Asp x gen'!A1" display="Género"/>
    <hyperlink ref="B8" location="'Admitidos plan'!A1" display="Plan"/>
    <hyperlink ref="B9" location="'Admitidos uni'!A1" display="División"/>
    <hyperlink ref="B11" location="'Inscritos plan'!A1" display="Plan"/>
    <hyperlink ref="B12" location="'Inscritos uni'!A1" display="División"/>
    <hyperlink ref="B13" location="'Matrícula plan'!A1" display="Plan"/>
    <hyperlink ref="B14" location="'Matricula uni'!A1" display="División"/>
    <hyperlink ref="B15" location="'BAJAS-DEF uni'!A1" display="División"/>
    <hyperlink ref="B16" location="'BAJAS-REG uni'!A1" display="División"/>
    <hyperlink ref="B17" location="'ACTIVOS plan'!A1" display="Plan"/>
    <hyperlink ref="B18" location="'ACTIVOS uni'!A1" display="División"/>
    <hyperlink ref="B19" location="'EGRESO plan'!A1" display="Plan"/>
    <hyperlink ref="B20" location="'EGRESO uni'!A1" display="División"/>
    <hyperlink ref="B21" location="'egresados x gen'!A1" display="Género"/>
    <hyperlink ref="B22" location="'EGRESO-ACUM plan'!A1" display="Plan"/>
    <hyperlink ref="B23" location="'EGR-ACUM uni'!A1" display="División"/>
    <hyperlink ref="B28" location="'Activos Lic-Pos'!A1" display="Gráfica"/>
    <hyperlink ref="B29" location="'Egresados Lic-Pos'!A1" display="Gráfica"/>
    <hyperlink ref="K20" location="DEPORTES!A1" display="UAM"/>
    <hyperlink ref="K21" location="'ADMI X EDAD'!A1" display="Edad"/>
    <hyperlink ref="K22" location="'ADMI X ANTIG'!A1" display="Antigüedad"/>
    <hyperlink ref="K23" location="'RECURSOS EXT'!A1" display="División"/>
    <hyperlink ref="K24" location="Convenios!A1" display="Unidad"/>
    <hyperlink ref="E5" location="'INSC-POSG plan'!A1" display="Plan"/>
    <hyperlink ref="E6" location="'INSC-POSG uni'!A1" display="División"/>
    <hyperlink ref="E7" location="'MATRICULA-POS plan'!A1" display="Plan"/>
    <hyperlink ref="E8" location="'MATRICULA-POS uni'!A1" display="División"/>
    <hyperlink ref="E9" location="'ACTIVOS-POS plan'!A1" display="Plan"/>
    <hyperlink ref="E10" location="'ACTIVOS-POS uni'!A1" display="División"/>
    <hyperlink ref="E11" location="'EGRESO-POS plan'!A1" display="Plan"/>
    <hyperlink ref="E12" location="'EGRESO-POs uni'!A1" display="División"/>
    <hyperlink ref="E13" location="'EGRESO POS ACUM plan'!A1" display="Plan"/>
    <hyperlink ref="E14" location="'EGRESO-POS ACUM uni'!A1" display="División"/>
    <hyperlink ref="K5" location="'Definitivo x categoría'!A1" display="Categoria"/>
    <hyperlink ref="K6" location="'Definitivo x género'!A1" display="Género"/>
    <hyperlink ref="K7" location="'ACAD x EDAD'!A1" display="Edad"/>
    <hyperlink ref="K8" location="'ACAD x ANTIG'!A1" display="Antigüedad"/>
    <hyperlink ref="K10" location="'becas y estímulos'!A1" display="UAM"/>
    <hyperlink ref="K11" location="'PAD x GRADO'!A1" display="Departamento"/>
    <hyperlink ref="K12" location="'PRODEP PERFIL'!A1" display="División"/>
    <hyperlink ref="K13" location="SNI!A1" display="División"/>
    <hyperlink ref="K14" location="'Cuerpos Acad'!A1" display="División"/>
    <hyperlink ref="K15" location="'Act de Investigacion'!A1" display="Unidad"/>
    <hyperlink ref="K16" location="'TIPPA PROD TOTAL'!J67" display="Unidad"/>
    <hyperlink ref="K9" location="'Alumnos x PTC'!A1" display="División"/>
    <hyperlink ref="B26" location="'Planes de Lic.'!A1" display="Unidad"/>
    <hyperlink ref="E15" location="'Planes de Posgrado'!A1" display="Unidad"/>
    <hyperlink ref="E16" location="'planes de calidad resumen'!A1" display="Resumen"/>
    <hyperlink ref="B10" location="'Admitidos x gen'!A1" display="Género"/>
    <hyperlink ref="B27" location="'Planes de calidad-Resumen'!A1" display="Resumen"/>
    <hyperlink ref="H27" location="'16 Estancias de Inv.'!Área_de_impresión" display="Plan"/>
    <hyperlink ref="H29" location="'17 Superacion Acad'!A1" display="Plan"/>
    <hyperlink ref="K25" location="Patentes!A1" display="UAM"/>
    <hyperlink ref="H23" location="'14 Mov Nal Pos'!A1" display="Plan"/>
    <hyperlink ref="H17" location="'12 Mov Pos ext (Part)'!A1" display="Plan"/>
    <hyperlink ref="H31" location="'18. Apoyos Extra pos'!A1" display="Plan"/>
    <hyperlink ref="B24" location="'TITULADOS plan'!A1" display="Plan"/>
    <hyperlink ref="B25" location="'TITULADOS uni'!A1" display="División"/>
    <hyperlink ref="H37" location="'21. Monitores'!A1" display="Plan"/>
    <hyperlink ref="H20" location="'13 Mov Pos nal (Part)'!A1" display="Plan"/>
    <hyperlink ref="H25" location="'15 Movilidad virtual Lic'!A1" display="Plan"/>
    <hyperlink ref="H33" location="'19. Becas para espec'!A1" display="Plan"/>
    <hyperlink ref="H35" location="'20. Becas para Tit Pos'!A1" display="Plan"/>
    <hyperlink ref="E21" location="'Manutención plan'!A1" display="Plan"/>
    <hyperlink ref="E22" location="'Manutención uni'!A1" display="División"/>
    <hyperlink ref="E23" location="'1 Excelencia plan'!A1" display="Plan"/>
    <hyperlink ref="E24" location="'2 Gpos Vuln'!A1" display="Plan"/>
    <hyperlink ref="E20" location="'Becas UAM pagadas'!A1" display="UAM"/>
    <hyperlink ref="E26" location="'3 Serv Social'!A1" display="Plan"/>
    <hyperlink ref="E27" location="'4 Continuación'!A1" display="Plan"/>
    <hyperlink ref="E29" location="'5.1 Lenguas Ext_Lic'!A1" display="Plan"/>
    <hyperlink ref="E32" location="'5.2 Lenguas Ext_Pos'!A1" display="Plan"/>
    <hyperlink ref="E35" location="'5.3 Lenguas Ext_L'!A1" display="Plan"/>
    <hyperlink ref="E37" location="'5.4 Lenguas Ext_P'!A1" display="Plan"/>
    <hyperlink ref="H5" location="'6 Mov Inter Lic'!A1" display="Plan"/>
    <hyperlink ref="H7" location="'7 Mov Nal Lic'!A1" display="Plan"/>
    <hyperlink ref="H9" location="'8 Partic Lic'!A1" display="Plan"/>
    <hyperlink ref="H11" location="'9 Posgrado UAM'!A1" display="Plan"/>
    <hyperlink ref="H13" location="'10 Evento de difusión'!A1" display="Plan"/>
    <hyperlink ref="H15" location="'11 Movilidad Posgrado (Alum)'!A1" display="Plan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scale="62" orientation="landscape" r:id="rId1"/>
  <rowBreaks count="1" manualBreakCount="1">
    <brk id="54" max="16383" man="1"/>
  </rowBreaks>
  <colBreaks count="1" manualBreakCount="1">
    <brk id="12" max="1048575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1:U112"/>
  <sheetViews>
    <sheetView showGridLines="0" zoomScaleNormal="100" zoomScaleSheetLayoutView="80" workbookViewId="0">
      <pane xSplit="2" ySplit="3" topLeftCell="C97" activePane="bottomRight" state="frozen"/>
      <selection activeCell="Q31" sqref="Q31"/>
      <selection pane="topRight" activeCell="Q31" sqref="Q31"/>
      <selection pane="bottomLeft" activeCell="Q31" sqref="Q31"/>
      <selection pane="bottomRight" activeCell="U75" sqref="U75"/>
    </sheetView>
  </sheetViews>
  <sheetFormatPr baseColWidth="10" defaultColWidth="11.44140625" defaultRowHeight="13.2" x14ac:dyDescent="0.25"/>
  <cols>
    <col min="1" max="1" width="2.88671875" style="817" customWidth="1"/>
    <col min="2" max="2" width="37.88671875" style="817" customWidth="1"/>
    <col min="3" max="6" width="11.44140625" style="817" customWidth="1"/>
    <col min="7" max="8" width="9.88671875" style="817" hidden="1" customWidth="1"/>
    <col min="9" max="9" width="9.88671875" style="817" customWidth="1"/>
    <col min="10" max="11" width="9.88671875" style="817" hidden="1" customWidth="1"/>
    <col min="12" max="14" width="9.88671875" style="817" customWidth="1"/>
    <col min="15" max="17" width="11.44140625" style="817"/>
    <col min="18" max="18" width="11.44140625" style="817" customWidth="1"/>
    <col min="19" max="16384" width="11.44140625" style="817"/>
  </cols>
  <sheetData>
    <row r="1" spans="1:21" s="814" customFormat="1" ht="41.4" x14ac:dyDescent="0.3">
      <c r="B1" s="815" t="s">
        <v>179</v>
      </c>
    </row>
    <row r="2" spans="1:21" ht="51.75" customHeight="1" x14ac:dyDescent="0.3">
      <c r="A2" s="816"/>
      <c r="B2" s="374" t="s">
        <v>44</v>
      </c>
      <c r="G2" s="818" t="s">
        <v>170</v>
      </c>
      <c r="H2" s="818" t="s">
        <v>171</v>
      </c>
      <c r="I2" s="818"/>
      <c r="J2" s="818"/>
      <c r="K2" s="818"/>
      <c r="L2" s="818"/>
    </row>
    <row r="3" spans="1:21" s="820" customFormat="1" ht="16.8" x14ac:dyDescent="0.3">
      <c r="A3" s="816"/>
      <c r="B3" s="552" t="s">
        <v>45</v>
      </c>
      <c r="C3" s="819">
        <v>2008</v>
      </c>
      <c r="D3" s="819">
        <v>2009</v>
      </c>
      <c r="E3" s="819">
        <v>2010</v>
      </c>
      <c r="F3" s="819">
        <v>2011</v>
      </c>
      <c r="G3" s="819">
        <v>2012</v>
      </c>
      <c r="H3" s="819">
        <v>2012</v>
      </c>
      <c r="I3" s="819">
        <v>2012</v>
      </c>
      <c r="J3" s="819">
        <v>2013</v>
      </c>
      <c r="K3" s="819">
        <v>2013</v>
      </c>
      <c r="L3" s="819">
        <v>2013</v>
      </c>
      <c r="M3" s="819">
        <v>2014</v>
      </c>
      <c r="N3" s="819">
        <v>2015</v>
      </c>
      <c r="O3" s="819">
        <v>2016</v>
      </c>
      <c r="P3" s="819">
        <v>2017</v>
      </c>
      <c r="Q3" s="819">
        <v>2018</v>
      </c>
      <c r="R3" s="819">
        <v>2019</v>
      </c>
      <c r="S3" s="819">
        <v>2020</v>
      </c>
      <c r="T3" s="819">
        <v>2021</v>
      </c>
      <c r="U3" s="819">
        <v>2022</v>
      </c>
    </row>
    <row r="4" spans="1:21" s="826" customFormat="1" ht="15" customHeight="1" x14ac:dyDescent="0.3">
      <c r="A4" s="816"/>
      <c r="B4" s="32" t="s">
        <v>49</v>
      </c>
      <c r="C4" s="821">
        <v>530</v>
      </c>
      <c r="D4" s="822">
        <v>561</v>
      </c>
      <c r="E4" s="822">
        <v>589</v>
      </c>
      <c r="F4" s="822">
        <v>633</v>
      </c>
      <c r="G4" s="823">
        <v>642</v>
      </c>
      <c r="H4" s="824">
        <v>652</v>
      </c>
      <c r="I4" s="825">
        <v>674</v>
      </c>
      <c r="J4" s="823">
        <v>689</v>
      </c>
      <c r="K4" s="824">
        <v>710</v>
      </c>
      <c r="L4" s="825">
        <v>731</v>
      </c>
      <c r="M4" s="825">
        <v>789</v>
      </c>
      <c r="N4" s="825">
        <v>853</v>
      </c>
      <c r="O4" s="825">
        <v>910</v>
      </c>
      <c r="P4" s="825">
        <v>1033</v>
      </c>
      <c r="Q4" s="825">
        <v>1095</v>
      </c>
      <c r="R4" s="825">
        <v>1157</v>
      </c>
      <c r="S4" s="825">
        <v>1189</v>
      </c>
      <c r="T4" s="825">
        <v>1231</v>
      </c>
      <c r="U4" s="825">
        <v>1310</v>
      </c>
    </row>
    <row r="5" spans="1:21" s="826" customFormat="1" ht="15" customHeight="1" x14ac:dyDescent="0.3">
      <c r="A5" s="816"/>
      <c r="B5" s="39" t="s">
        <v>50</v>
      </c>
      <c r="C5" s="827">
        <v>1239</v>
      </c>
      <c r="D5" s="828">
        <v>1274</v>
      </c>
      <c r="E5" s="828">
        <v>1308</v>
      </c>
      <c r="F5" s="828">
        <v>1345</v>
      </c>
      <c r="G5" s="829">
        <v>1353</v>
      </c>
      <c r="H5" s="830">
        <v>1357</v>
      </c>
      <c r="I5" s="831">
        <v>1366</v>
      </c>
      <c r="J5" s="829">
        <v>1381</v>
      </c>
      <c r="K5" s="830">
        <v>1408</v>
      </c>
      <c r="L5" s="831">
        <v>1426</v>
      </c>
      <c r="M5" s="831">
        <v>1467</v>
      </c>
      <c r="N5" s="831">
        <v>1535</v>
      </c>
      <c r="O5" s="831">
        <v>1601</v>
      </c>
      <c r="P5" s="831">
        <v>1701</v>
      </c>
      <c r="Q5" s="831">
        <v>1777</v>
      </c>
      <c r="R5" s="831">
        <v>1828</v>
      </c>
      <c r="S5" s="831">
        <v>1886</v>
      </c>
      <c r="T5" s="831">
        <v>1940</v>
      </c>
      <c r="U5" s="831">
        <v>1995</v>
      </c>
    </row>
    <row r="6" spans="1:21" s="826" customFormat="1" ht="15" customHeight="1" x14ac:dyDescent="0.3">
      <c r="A6" s="816"/>
      <c r="B6" s="39" t="s">
        <v>51</v>
      </c>
      <c r="C6" s="827">
        <v>675</v>
      </c>
      <c r="D6" s="828">
        <v>693</v>
      </c>
      <c r="E6" s="828">
        <v>703</v>
      </c>
      <c r="F6" s="828">
        <v>719</v>
      </c>
      <c r="G6" s="829">
        <v>720</v>
      </c>
      <c r="H6" s="830">
        <v>728</v>
      </c>
      <c r="I6" s="831">
        <v>729</v>
      </c>
      <c r="J6" s="829">
        <v>735</v>
      </c>
      <c r="K6" s="830">
        <v>741</v>
      </c>
      <c r="L6" s="831">
        <v>746</v>
      </c>
      <c r="M6" s="831">
        <v>767</v>
      </c>
      <c r="N6" s="831">
        <v>789</v>
      </c>
      <c r="O6" s="831">
        <v>819</v>
      </c>
      <c r="P6" s="831">
        <v>859</v>
      </c>
      <c r="Q6" s="831">
        <v>888</v>
      </c>
      <c r="R6" s="831">
        <v>914</v>
      </c>
      <c r="S6" s="831">
        <v>922</v>
      </c>
      <c r="T6" s="831">
        <v>950</v>
      </c>
      <c r="U6" s="831">
        <v>966</v>
      </c>
    </row>
    <row r="7" spans="1:21" s="826" customFormat="1" ht="15" customHeight="1" x14ac:dyDescent="0.3">
      <c r="A7" s="816"/>
      <c r="B7" s="39" t="s">
        <v>52</v>
      </c>
      <c r="C7" s="827">
        <v>359</v>
      </c>
      <c r="D7" s="828">
        <v>382</v>
      </c>
      <c r="E7" s="828">
        <v>402</v>
      </c>
      <c r="F7" s="828">
        <v>415</v>
      </c>
      <c r="G7" s="829">
        <v>419</v>
      </c>
      <c r="H7" s="830">
        <v>427</v>
      </c>
      <c r="I7" s="831">
        <v>432</v>
      </c>
      <c r="J7" s="829">
        <v>435</v>
      </c>
      <c r="K7" s="830">
        <v>442</v>
      </c>
      <c r="L7" s="831">
        <v>452</v>
      </c>
      <c r="M7" s="831">
        <v>486</v>
      </c>
      <c r="N7" s="831">
        <v>506</v>
      </c>
      <c r="O7" s="831">
        <v>524</v>
      </c>
      <c r="P7" s="831">
        <v>549</v>
      </c>
      <c r="Q7" s="831">
        <v>586</v>
      </c>
      <c r="R7" s="831">
        <v>632</v>
      </c>
      <c r="S7" s="831">
        <v>665</v>
      </c>
      <c r="T7" s="831">
        <v>704</v>
      </c>
      <c r="U7" s="831">
        <v>744</v>
      </c>
    </row>
    <row r="8" spans="1:21" s="826" customFormat="1" ht="15" customHeight="1" x14ac:dyDescent="0.3">
      <c r="A8" s="816"/>
      <c r="B8" s="39" t="s">
        <v>53</v>
      </c>
      <c r="C8" s="827">
        <v>1922</v>
      </c>
      <c r="D8" s="828">
        <v>2010</v>
      </c>
      <c r="E8" s="828">
        <v>2102</v>
      </c>
      <c r="F8" s="828">
        <v>2173</v>
      </c>
      <c r="G8" s="829">
        <v>2197</v>
      </c>
      <c r="H8" s="830">
        <v>2216</v>
      </c>
      <c r="I8" s="831">
        <v>2243</v>
      </c>
      <c r="J8" s="829">
        <v>2271</v>
      </c>
      <c r="K8" s="830">
        <v>2326</v>
      </c>
      <c r="L8" s="831">
        <v>2365</v>
      </c>
      <c r="M8" s="831">
        <v>2463</v>
      </c>
      <c r="N8" s="831">
        <v>2548</v>
      </c>
      <c r="O8" s="831">
        <v>2640</v>
      </c>
      <c r="P8" s="831">
        <v>2739</v>
      </c>
      <c r="Q8" s="831">
        <v>2815</v>
      </c>
      <c r="R8" s="831">
        <v>2895</v>
      </c>
      <c r="S8" s="831">
        <v>2943</v>
      </c>
      <c r="T8" s="831">
        <v>3001</v>
      </c>
      <c r="U8" s="831">
        <v>3050</v>
      </c>
    </row>
    <row r="9" spans="1:21" s="826" customFormat="1" ht="15" customHeight="1" x14ac:dyDescent="0.3">
      <c r="A9" s="816"/>
      <c r="B9" s="39" t="s">
        <v>54</v>
      </c>
      <c r="C9" s="827">
        <v>1269</v>
      </c>
      <c r="D9" s="828">
        <v>1313</v>
      </c>
      <c r="E9" s="828">
        <v>1343</v>
      </c>
      <c r="F9" s="828">
        <v>1386</v>
      </c>
      <c r="G9" s="829">
        <v>1401</v>
      </c>
      <c r="H9" s="830">
        <v>1414</v>
      </c>
      <c r="I9" s="831">
        <v>1428</v>
      </c>
      <c r="J9" s="829">
        <v>1441</v>
      </c>
      <c r="K9" s="830">
        <v>1467</v>
      </c>
      <c r="L9" s="831">
        <v>1486</v>
      </c>
      <c r="M9" s="831">
        <v>1524</v>
      </c>
      <c r="N9" s="831">
        <v>1567</v>
      </c>
      <c r="O9" s="831">
        <v>1622</v>
      </c>
      <c r="P9" s="831">
        <v>1696</v>
      </c>
      <c r="Q9" s="831">
        <v>1758</v>
      </c>
      <c r="R9" s="831">
        <v>1814</v>
      </c>
      <c r="S9" s="831">
        <v>1846</v>
      </c>
      <c r="T9" s="831">
        <v>1887</v>
      </c>
      <c r="U9" s="831">
        <v>1946</v>
      </c>
    </row>
    <row r="10" spans="1:21" s="826" customFormat="1" ht="15" customHeight="1" x14ac:dyDescent="0.3">
      <c r="A10" s="816"/>
      <c r="B10" s="39" t="s">
        <v>55</v>
      </c>
      <c r="C10" s="827">
        <v>381</v>
      </c>
      <c r="D10" s="828">
        <v>387</v>
      </c>
      <c r="E10" s="828">
        <v>392</v>
      </c>
      <c r="F10" s="828">
        <v>397</v>
      </c>
      <c r="G10" s="829">
        <v>399</v>
      </c>
      <c r="H10" s="830">
        <v>400</v>
      </c>
      <c r="I10" s="831">
        <v>401</v>
      </c>
      <c r="J10" s="829">
        <v>402</v>
      </c>
      <c r="K10" s="830">
        <v>405</v>
      </c>
      <c r="L10" s="831">
        <v>411</v>
      </c>
      <c r="M10" s="831">
        <v>430</v>
      </c>
      <c r="N10" s="831">
        <v>448</v>
      </c>
      <c r="O10" s="831">
        <v>462</v>
      </c>
      <c r="P10" s="831">
        <v>487</v>
      </c>
      <c r="Q10" s="831">
        <v>506</v>
      </c>
      <c r="R10" s="831">
        <v>538</v>
      </c>
      <c r="S10" s="831">
        <v>543</v>
      </c>
      <c r="T10" s="831">
        <v>558</v>
      </c>
      <c r="U10" s="831">
        <v>611</v>
      </c>
    </row>
    <row r="11" spans="1:21" s="826" customFormat="1" ht="15" customHeight="1" x14ac:dyDescent="0.3">
      <c r="A11" s="816"/>
      <c r="B11" s="39" t="s">
        <v>56</v>
      </c>
      <c r="C11" s="827">
        <v>1322</v>
      </c>
      <c r="D11" s="828">
        <v>1355</v>
      </c>
      <c r="E11" s="828">
        <v>1407</v>
      </c>
      <c r="F11" s="828">
        <v>1454</v>
      </c>
      <c r="G11" s="829">
        <v>1466</v>
      </c>
      <c r="H11" s="830">
        <v>1486</v>
      </c>
      <c r="I11" s="831">
        <v>1491</v>
      </c>
      <c r="J11" s="829">
        <v>1507</v>
      </c>
      <c r="K11" s="830">
        <v>1525</v>
      </c>
      <c r="L11" s="831">
        <v>1546</v>
      </c>
      <c r="M11" s="831">
        <v>1631</v>
      </c>
      <c r="N11" s="831">
        <v>1701</v>
      </c>
      <c r="O11" s="831">
        <v>1757</v>
      </c>
      <c r="P11" s="831">
        <v>1826</v>
      </c>
      <c r="Q11" s="831">
        <v>1887</v>
      </c>
      <c r="R11" s="831">
        <v>1939</v>
      </c>
      <c r="S11" s="831">
        <v>1970</v>
      </c>
      <c r="T11" s="831">
        <v>2026</v>
      </c>
      <c r="U11" s="831">
        <v>2134</v>
      </c>
    </row>
    <row r="12" spans="1:21" s="826" customFormat="1" ht="15" customHeight="1" x14ac:dyDescent="0.3">
      <c r="A12" s="816"/>
      <c r="B12" s="39" t="s">
        <v>57</v>
      </c>
      <c r="C12" s="827">
        <v>2226</v>
      </c>
      <c r="D12" s="828">
        <v>2301</v>
      </c>
      <c r="E12" s="828">
        <v>2374</v>
      </c>
      <c r="F12" s="828">
        <v>2449</v>
      </c>
      <c r="G12" s="829">
        <v>2473</v>
      </c>
      <c r="H12" s="830">
        <v>2505</v>
      </c>
      <c r="I12" s="831">
        <v>2522</v>
      </c>
      <c r="J12" s="829">
        <v>2544</v>
      </c>
      <c r="K12" s="830">
        <v>2583</v>
      </c>
      <c r="L12" s="831">
        <v>2599</v>
      </c>
      <c r="M12" s="831">
        <v>2658</v>
      </c>
      <c r="N12" s="831">
        <v>2699</v>
      </c>
      <c r="O12" s="831">
        <v>2756</v>
      </c>
      <c r="P12" s="831">
        <v>2826</v>
      </c>
      <c r="Q12" s="831">
        <v>2881</v>
      </c>
      <c r="R12" s="831">
        <v>2949</v>
      </c>
      <c r="S12" s="831">
        <v>2996</v>
      </c>
      <c r="T12" s="831">
        <v>3026</v>
      </c>
      <c r="U12" s="831">
        <v>3055</v>
      </c>
    </row>
    <row r="13" spans="1:21" s="826" customFormat="1" ht="15" customHeight="1" x14ac:dyDescent="0.3">
      <c r="A13" s="816"/>
      <c r="B13" s="39" t="s">
        <v>58</v>
      </c>
      <c r="C13" s="827">
        <v>19</v>
      </c>
      <c r="D13" s="828">
        <v>42</v>
      </c>
      <c r="E13" s="828">
        <v>101</v>
      </c>
      <c r="F13" s="828">
        <v>165</v>
      </c>
      <c r="G13" s="829">
        <v>180</v>
      </c>
      <c r="H13" s="830">
        <v>199</v>
      </c>
      <c r="I13" s="831">
        <v>220</v>
      </c>
      <c r="J13" s="829">
        <v>241</v>
      </c>
      <c r="K13" s="830">
        <v>270</v>
      </c>
      <c r="L13" s="831">
        <v>295</v>
      </c>
      <c r="M13" s="831">
        <v>417</v>
      </c>
      <c r="N13" s="831">
        <v>498</v>
      </c>
      <c r="O13" s="831">
        <v>581</v>
      </c>
      <c r="P13" s="831">
        <v>676</v>
      </c>
      <c r="Q13" s="831">
        <v>735</v>
      </c>
      <c r="R13" s="831">
        <v>775</v>
      </c>
      <c r="S13" s="831">
        <v>826</v>
      </c>
      <c r="T13" s="831">
        <v>874</v>
      </c>
      <c r="U13" s="831">
        <v>923</v>
      </c>
    </row>
    <row r="14" spans="1:21" s="826" customFormat="1" ht="15" customHeight="1" x14ac:dyDescent="0.3">
      <c r="A14" s="816"/>
      <c r="B14" s="832" t="s">
        <v>59</v>
      </c>
      <c r="C14" s="833">
        <f t="shared" ref="C14:R14" si="0">SUM(C4:C13)</f>
        <v>9942</v>
      </c>
      <c r="D14" s="833">
        <f t="shared" si="0"/>
        <v>10318</v>
      </c>
      <c r="E14" s="833">
        <f t="shared" si="0"/>
        <v>10721</v>
      </c>
      <c r="F14" s="834">
        <f t="shared" si="0"/>
        <v>11136</v>
      </c>
      <c r="G14" s="834">
        <f t="shared" si="0"/>
        <v>11250</v>
      </c>
      <c r="H14" s="834">
        <f t="shared" si="0"/>
        <v>11384</v>
      </c>
      <c r="I14" s="834">
        <f>SUM(I4:I13)</f>
        <v>11506</v>
      </c>
      <c r="J14" s="834">
        <f t="shared" si="0"/>
        <v>11646</v>
      </c>
      <c r="K14" s="834">
        <f t="shared" si="0"/>
        <v>11877</v>
      </c>
      <c r="L14" s="834">
        <f t="shared" si="0"/>
        <v>12057</v>
      </c>
      <c r="M14" s="834">
        <f t="shared" si="0"/>
        <v>12632</v>
      </c>
      <c r="N14" s="834">
        <f t="shared" si="0"/>
        <v>13144</v>
      </c>
      <c r="O14" s="834">
        <f t="shared" si="0"/>
        <v>13672</v>
      </c>
      <c r="P14" s="834">
        <f t="shared" si="0"/>
        <v>14392</v>
      </c>
      <c r="Q14" s="834">
        <f t="shared" si="0"/>
        <v>14928</v>
      </c>
      <c r="R14" s="834">
        <f t="shared" si="0"/>
        <v>15441</v>
      </c>
      <c r="S14" s="834">
        <f>SUM(S4:S13)</f>
        <v>15786</v>
      </c>
      <c r="T14" s="834">
        <f>SUM(T4:T13)</f>
        <v>16197</v>
      </c>
      <c r="U14" s="834">
        <f>SUM(U4:U13)</f>
        <v>16734</v>
      </c>
    </row>
    <row r="15" spans="1:21" s="826" customFormat="1" ht="15" customHeight="1" x14ac:dyDescent="0.3">
      <c r="A15" s="816"/>
      <c r="B15" s="39" t="s">
        <v>60</v>
      </c>
      <c r="C15" s="827">
        <v>5139</v>
      </c>
      <c r="D15" s="828">
        <v>5296</v>
      </c>
      <c r="E15" s="828">
        <v>5433</v>
      </c>
      <c r="F15" s="828">
        <v>5574</v>
      </c>
      <c r="G15" s="829">
        <v>5642</v>
      </c>
      <c r="H15" s="830">
        <v>5707</v>
      </c>
      <c r="I15" s="831">
        <v>5757</v>
      </c>
      <c r="J15" s="829">
        <v>5825</v>
      </c>
      <c r="K15" s="830">
        <v>5900</v>
      </c>
      <c r="L15" s="831">
        <v>5969</v>
      </c>
      <c r="M15" s="831">
        <v>6148</v>
      </c>
      <c r="N15" s="831">
        <v>6338</v>
      </c>
      <c r="O15" s="831">
        <v>6507</v>
      </c>
      <c r="P15" s="831">
        <v>6705</v>
      </c>
      <c r="Q15" s="831">
        <v>6909</v>
      </c>
      <c r="R15" s="831">
        <v>7091</v>
      </c>
      <c r="S15" s="831">
        <v>7273</v>
      </c>
      <c r="T15" s="831">
        <v>7433</v>
      </c>
      <c r="U15" s="831">
        <v>7572</v>
      </c>
    </row>
    <row r="16" spans="1:21" s="826" customFormat="1" ht="15" customHeight="1" x14ac:dyDescent="0.3">
      <c r="A16" s="816"/>
      <c r="B16" s="39" t="s">
        <v>61</v>
      </c>
      <c r="C16" s="827">
        <v>6421</v>
      </c>
      <c r="D16" s="828">
        <f>6658</f>
        <v>6658</v>
      </c>
      <c r="E16" s="828">
        <f>6898</f>
        <v>6898</v>
      </c>
      <c r="F16" s="828">
        <f>7069</f>
        <v>7069</v>
      </c>
      <c r="G16" s="829">
        <v>7127</v>
      </c>
      <c r="H16" s="830">
        <v>7215</v>
      </c>
      <c r="I16" s="831">
        <f>7302</f>
        <v>7302</v>
      </c>
      <c r="J16" s="829">
        <v>7408</v>
      </c>
      <c r="K16" s="830">
        <v>7563</v>
      </c>
      <c r="L16" s="831">
        <f>7652</f>
        <v>7652</v>
      </c>
      <c r="M16" s="831">
        <f>7916-25</f>
        <v>7891</v>
      </c>
      <c r="N16" s="831">
        <v>8165</v>
      </c>
      <c r="O16" s="831">
        <v>8454</v>
      </c>
      <c r="P16" s="831">
        <v>8766</v>
      </c>
      <c r="Q16" s="831">
        <v>9092</v>
      </c>
      <c r="R16" s="831">
        <v>9384</v>
      </c>
      <c r="S16" s="831">
        <v>9733</v>
      </c>
      <c r="T16" s="831">
        <v>10023</v>
      </c>
      <c r="U16" s="831">
        <v>10218</v>
      </c>
    </row>
    <row r="17" spans="1:21" s="826" customFormat="1" ht="15" customHeight="1" x14ac:dyDescent="0.3">
      <c r="A17" s="816"/>
      <c r="B17" s="39" t="s">
        <v>62</v>
      </c>
      <c r="C17" s="827">
        <v>1847</v>
      </c>
      <c r="D17" s="828">
        <v>1910</v>
      </c>
      <c r="E17" s="828">
        <v>1987</v>
      </c>
      <c r="F17" s="828">
        <v>2043</v>
      </c>
      <c r="G17" s="829">
        <v>2066</v>
      </c>
      <c r="H17" s="830">
        <v>2088</v>
      </c>
      <c r="I17" s="831">
        <v>2112</v>
      </c>
      <c r="J17" s="829">
        <v>2141</v>
      </c>
      <c r="K17" s="830">
        <v>2175</v>
      </c>
      <c r="L17" s="831">
        <v>2199</v>
      </c>
      <c r="M17" s="831">
        <v>2263</v>
      </c>
      <c r="N17" s="831">
        <v>2352</v>
      </c>
      <c r="O17" s="831">
        <v>2422</v>
      </c>
      <c r="P17" s="831">
        <v>2505</v>
      </c>
      <c r="Q17" s="831">
        <v>2572</v>
      </c>
      <c r="R17" s="831">
        <v>2652</v>
      </c>
      <c r="S17" s="831">
        <v>2722</v>
      </c>
      <c r="T17" s="831">
        <v>2782</v>
      </c>
      <c r="U17" s="831">
        <v>2872</v>
      </c>
    </row>
    <row r="18" spans="1:21" s="826" customFormat="1" ht="15" customHeight="1" x14ac:dyDescent="0.3">
      <c r="A18" s="816"/>
      <c r="B18" s="39" t="s">
        <v>63</v>
      </c>
      <c r="C18" s="827">
        <v>1590</v>
      </c>
      <c r="D18" s="828">
        <v>1648</v>
      </c>
      <c r="E18" s="828">
        <v>1721</v>
      </c>
      <c r="F18" s="828">
        <v>1804</v>
      </c>
      <c r="G18" s="829">
        <v>1824</v>
      </c>
      <c r="H18" s="830">
        <v>1843</v>
      </c>
      <c r="I18" s="831">
        <v>1866</v>
      </c>
      <c r="J18" s="829">
        <v>1901</v>
      </c>
      <c r="K18" s="830">
        <v>1944</v>
      </c>
      <c r="L18" s="831">
        <v>1967</v>
      </c>
      <c r="M18" s="831">
        <v>2057</v>
      </c>
      <c r="N18" s="831">
        <v>2160</v>
      </c>
      <c r="O18" s="831">
        <v>2223</v>
      </c>
      <c r="P18" s="831">
        <v>2340</v>
      </c>
      <c r="Q18" s="831">
        <v>2425</v>
      </c>
      <c r="R18" s="831">
        <v>2530</v>
      </c>
      <c r="S18" s="831">
        <v>2607</v>
      </c>
      <c r="T18" s="831">
        <v>2705</v>
      </c>
      <c r="U18" s="831">
        <v>2792</v>
      </c>
    </row>
    <row r="19" spans="1:21" s="826" customFormat="1" ht="15" customHeight="1" x14ac:dyDescent="0.3">
      <c r="A19" s="816"/>
      <c r="B19" s="832" t="s">
        <v>64</v>
      </c>
      <c r="C19" s="833">
        <f t="shared" ref="C19:P19" si="1">SUM(C15:C18)</f>
        <v>14997</v>
      </c>
      <c r="D19" s="833">
        <f>SUM(D15:D18)</f>
        <v>15512</v>
      </c>
      <c r="E19" s="833">
        <f t="shared" si="1"/>
        <v>16039</v>
      </c>
      <c r="F19" s="834">
        <f t="shared" si="1"/>
        <v>16490</v>
      </c>
      <c r="G19" s="833">
        <f t="shared" si="1"/>
        <v>16659</v>
      </c>
      <c r="H19" s="835">
        <f t="shared" si="1"/>
        <v>16853</v>
      </c>
      <c r="I19" s="836">
        <f t="shared" si="1"/>
        <v>17037</v>
      </c>
      <c r="J19" s="833">
        <f t="shared" si="1"/>
        <v>17275</v>
      </c>
      <c r="K19" s="835">
        <f t="shared" si="1"/>
        <v>17582</v>
      </c>
      <c r="L19" s="836">
        <f t="shared" si="1"/>
        <v>17787</v>
      </c>
      <c r="M19" s="836">
        <f t="shared" si="1"/>
        <v>18359</v>
      </c>
      <c r="N19" s="836">
        <f t="shared" si="1"/>
        <v>19015</v>
      </c>
      <c r="O19" s="836">
        <f t="shared" si="1"/>
        <v>19606</v>
      </c>
      <c r="P19" s="836">
        <f t="shared" si="1"/>
        <v>20316</v>
      </c>
      <c r="Q19" s="836">
        <f>SUM(Q15:Q18)</f>
        <v>20998</v>
      </c>
      <c r="R19" s="836">
        <f>SUM(R15:R18)</f>
        <v>21657</v>
      </c>
      <c r="S19" s="836">
        <f>SUM(S15:S18)</f>
        <v>22335</v>
      </c>
      <c r="T19" s="836">
        <f>SUM(T15:T18)</f>
        <v>22943</v>
      </c>
      <c r="U19" s="836">
        <f>SUM(U15:U18)</f>
        <v>23454</v>
      </c>
    </row>
    <row r="20" spans="1:21" s="826" customFormat="1" ht="15" customHeight="1" x14ac:dyDescent="0.3">
      <c r="A20" s="816"/>
      <c r="B20" s="39" t="s">
        <v>65</v>
      </c>
      <c r="C20" s="827">
        <v>3600</v>
      </c>
      <c r="D20" s="828">
        <v>3750</v>
      </c>
      <c r="E20" s="828">
        <v>3867</v>
      </c>
      <c r="F20" s="828">
        <v>3958</v>
      </c>
      <c r="G20" s="829">
        <v>3987</v>
      </c>
      <c r="H20" s="830">
        <v>4030</v>
      </c>
      <c r="I20" s="831">
        <v>4043</v>
      </c>
      <c r="J20" s="829">
        <v>4092</v>
      </c>
      <c r="K20" s="830">
        <v>4153</v>
      </c>
      <c r="L20" s="831">
        <v>4182</v>
      </c>
      <c r="M20" s="831">
        <v>4300</v>
      </c>
      <c r="N20" s="831">
        <v>4436</v>
      </c>
      <c r="O20" s="831">
        <v>4542</v>
      </c>
      <c r="P20" s="831">
        <v>4691</v>
      </c>
      <c r="Q20" s="831">
        <v>4796</v>
      </c>
      <c r="R20" s="831">
        <v>4934</v>
      </c>
      <c r="S20" s="831">
        <v>5047</v>
      </c>
      <c r="T20" s="831">
        <v>5156</v>
      </c>
      <c r="U20" s="831">
        <v>5294</v>
      </c>
    </row>
    <row r="21" spans="1:21" s="826" customFormat="1" ht="15" customHeight="1" x14ac:dyDescent="0.3">
      <c r="A21" s="816"/>
      <c r="B21" s="39" t="s">
        <v>66</v>
      </c>
      <c r="C21" s="827">
        <v>3959</v>
      </c>
      <c r="D21" s="828">
        <v>4118</v>
      </c>
      <c r="E21" s="828">
        <v>4240</v>
      </c>
      <c r="F21" s="828">
        <v>4323</v>
      </c>
      <c r="G21" s="829">
        <v>4367</v>
      </c>
      <c r="H21" s="830">
        <v>4412</v>
      </c>
      <c r="I21" s="831">
        <v>4428</v>
      </c>
      <c r="J21" s="829">
        <v>4464</v>
      </c>
      <c r="K21" s="830">
        <v>4522</v>
      </c>
      <c r="L21" s="831">
        <v>4535</v>
      </c>
      <c r="M21" s="831">
        <v>4662</v>
      </c>
      <c r="N21" s="831">
        <v>4773</v>
      </c>
      <c r="O21" s="831">
        <v>4897</v>
      </c>
      <c r="P21" s="831">
        <v>5083</v>
      </c>
      <c r="Q21" s="831">
        <v>5222</v>
      </c>
      <c r="R21" s="831">
        <v>5385</v>
      </c>
      <c r="S21" s="831">
        <v>5585</v>
      </c>
      <c r="T21" s="831">
        <v>5755</v>
      </c>
      <c r="U21" s="831">
        <v>5934</v>
      </c>
    </row>
    <row r="22" spans="1:21" s="826" customFormat="1" ht="15" customHeight="1" x14ac:dyDescent="0.3">
      <c r="A22" s="816"/>
      <c r="B22" s="39" t="s">
        <v>67</v>
      </c>
      <c r="C22" s="827">
        <v>1621</v>
      </c>
      <c r="D22" s="828">
        <v>1677</v>
      </c>
      <c r="E22" s="828">
        <v>1766</v>
      </c>
      <c r="F22" s="828">
        <v>1836</v>
      </c>
      <c r="G22" s="829">
        <v>1858</v>
      </c>
      <c r="H22" s="830">
        <v>1890</v>
      </c>
      <c r="I22" s="831">
        <v>1900</v>
      </c>
      <c r="J22" s="829">
        <v>1929</v>
      </c>
      <c r="K22" s="830">
        <v>1980</v>
      </c>
      <c r="L22" s="831">
        <v>1990</v>
      </c>
      <c r="M22" s="831">
        <v>2090</v>
      </c>
      <c r="N22" s="831">
        <v>2187</v>
      </c>
      <c r="O22" s="831">
        <v>2287</v>
      </c>
      <c r="P22" s="831">
        <v>2401</v>
      </c>
      <c r="Q22" s="831">
        <v>2504</v>
      </c>
      <c r="R22" s="831">
        <v>2613</v>
      </c>
      <c r="S22" s="831">
        <v>2731</v>
      </c>
      <c r="T22" s="831">
        <v>2873</v>
      </c>
      <c r="U22" s="831">
        <v>2980</v>
      </c>
    </row>
    <row r="23" spans="1:21" s="826" customFormat="1" ht="15" customHeight="1" x14ac:dyDescent="0.3">
      <c r="A23" s="816"/>
      <c r="B23" s="436" t="s">
        <v>68</v>
      </c>
      <c r="C23" s="837">
        <f t="shared" ref="C23:O23" si="2">SUM(C20:C22)</f>
        <v>9180</v>
      </c>
      <c r="D23" s="837">
        <f t="shared" si="2"/>
        <v>9545</v>
      </c>
      <c r="E23" s="837">
        <f t="shared" si="2"/>
        <v>9873</v>
      </c>
      <c r="F23" s="838">
        <f t="shared" si="2"/>
        <v>10117</v>
      </c>
      <c r="G23" s="837">
        <f t="shared" si="2"/>
        <v>10212</v>
      </c>
      <c r="H23" s="839">
        <f t="shared" si="2"/>
        <v>10332</v>
      </c>
      <c r="I23" s="840">
        <f t="shared" si="2"/>
        <v>10371</v>
      </c>
      <c r="J23" s="837">
        <f t="shared" si="2"/>
        <v>10485</v>
      </c>
      <c r="K23" s="839">
        <f t="shared" si="2"/>
        <v>10655</v>
      </c>
      <c r="L23" s="840">
        <f t="shared" si="2"/>
        <v>10707</v>
      </c>
      <c r="M23" s="840">
        <f t="shared" si="2"/>
        <v>11052</v>
      </c>
      <c r="N23" s="840">
        <f t="shared" si="2"/>
        <v>11396</v>
      </c>
      <c r="O23" s="840">
        <f t="shared" si="2"/>
        <v>11726</v>
      </c>
      <c r="P23" s="840">
        <f t="shared" ref="P23:U23" si="3">SUM(P20:P22)</f>
        <v>12175</v>
      </c>
      <c r="Q23" s="840">
        <f t="shared" si="3"/>
        <v>12522</v>
      </c>
      <c r="R23" s="840">
        <f t="shared" si="3"/>
        <v>12932</v>
      </c>
      <c r="S23" s="840">
        <f t="shared" si="3"/>
        <v>13363</v>
      </c>
      <c r="T23" s="840">
        <f t="shared" si="3"/>
        <v>13784</v>
      </c>
      <c r="U23" s="840">
        <f t="shared" si="3"/>
        <v>14208</v>
      </c>
    </row>
    <row r="24" spans="1:21" s="826" customFormat="1" ht="15" customHeight="1" x14ac:dyDescent="0.3">
      <c r="A24" s="816"/>
      <c r="B24" s="841" t="s">
        <v>69</v>
      </c>
      <c r="C24" s="842">
        <f>SUM(C23,C19,C14)</f>
        <v>34119</v>
      </c>
      <c r="D24" s="842">
        <f>SUM(D14,D19,D23)</f>
        <v>35375</v>
      </c>
      <c r="E24" s="842">
        <f>SUM(E23,E19,E14)</f>
        <v>36633</v>
      </c>
      <c r="F24" s="843">
        <f>SUM(F23,F19,F14)</f>
        <v>37743</v>
      </c>
      <c r="G24" s="842">
        <f>SUM(G23,G19,G14)</f>
        <v>38121</v>
      </c>
      <c r="H24" s="844">
        <f>SUM(H14,H19,H23)</f>
        <v>38569</v>
      </c>
      <c r="I24" s="845">
        <f>SUM(I14,I19,I23)</f>
        <v>38914</v>
      </c>
      <c r="J24" s="842">
        <f>SUM(J23,J19,J14)</f>
        <v>39406</v>
      </c>
      <c r="K24" s="844">
        <f t="shared" ref="K24:P24" si="4">SUM(K14,K19,K23)</f>
        <v>40114</v>
      </c>
      <c r="L24" s="845">
        <f t="shared" si="4"/>
        <v>40551</v>
      </c>
      <c r="M24" s="845">
        <f t="shared" si="4"/>
        <v>42043</v>
      </c>
      <c r="N24" s="845">
        <f t="shared" si="4"/>
        <v>43555</v>
      </c>
      <c r="O24" s="845">
        <f t="shared" si="4"/>
        <v>45004</v>
      </c>
      <c r="P24" s="845">
        <f t="shared" si="4"/>
        <v>46883</v>
      </c>
      <c r="Q24" s="845">
        <f>SUM(Q14,Q19,Q23)</f>
        <v>48448</v>
      </c>
      <c r="R24" s="845">
        <f>SUM(R14,R19,R23)</f>
        <v>50030</v>
      </c>
      <c r="S24" s="845">
        <f>SUM(S14,S19,S23)</f>
        <v>51484</v>
      </c>
      <c r="T24" s="845">
        <f>SUM(T14,T19,T23)</f>
        <v>52924</v>
      </c>
      <c r="U24" s="845">
        <f>SUM(U14,U19,U23)</f>
        <v>54396</v>
      </c>
    </row>
    <row r="25" spans="1:21" s="826" customFormat="1" ht="15" customHeight="1" x14ac:dyDescent="0.3">
      <c r="A25" s="816"/>
      <c r="B25" s="846" t="s">
        <v>60</v>
      </c>
      <c r="C25" s="847"/>
      <c r="D25" s="847">
        <v>30</v>
      </c>
      <c r="E25" s="847">
        <v>54</v>
      </c>
      <c r="F25" s="847">
        <v>95</v>
      </c>
      <c r="G25" s="848">
        <v>102</v>
      </c>
      <c r="H25" s="849">
        <v>117</v>
      </c>
      <c r="I25" s="850">
        <v>125</v>
      </c>
      <c r="J25" s="848">
        <v>128</v>
      </c>
      <c r="K25" s="849">
        <v>141</v>
      </c>
      <c r="L25" s="850">
        <v>157</v>
      </c>
      <c r="M25" s="850">
        <v>187</v>
      </c>
      <c r="N25" s="850">
        <v>204</v>
      </c>
      <c r="O25" s="851">
        <v>230</v>
      </c>
      <c r="P25" s="851">
        <v>254</v>
      </c>
      <c r="Q25" s="851">
        <v>294</v>
      </c>
      <c r="R25" s="851">
        <v>340</v>
      </c>
      <c r="S25" s="851">
        <v>364</v>
      </c>
      <c r="T25" s="851">
        <v>399</v>
      </c>
      <c r="U25" s="851">
        <v>445</v>
      </c>
    </row>
    <row r="26" spans="1:21" s="826" customFormat="1" ht="15" customHeight="1" x14ac:dyDescent="0.3">
      <c r="A26" s="816"/>
      <c r="B26" s="852" t="s">
        <v>61</v>
      </c>
      <c r="C26" s="828"/>
      <c r="D26" s="828">
        <v>17</v>
      </c>
      <c r="E26" s="828">
        <v>23</v>
      </c>
      <c r="F26" s="828">
        <v>23</v>
      </c>
      <c r="G26" s="828">
        <v>23</v>
      </c>
      <c r="H26" s="828">
        <v>23</v>
      </c>
      <c r="I26" s="828">
        <v>23</v>
      </c>
      <c r="J26" s="828">
        <v>23</v>
      </c>
      <c r="K26" s="828">
        <v>23</v>
      </c>
      <c r="L26" s="828">
        <v>23</v>
      </c>
      <c r="M26" s="828">
        <v>25</v>
      </c>
      <c r="N26" s="828">
        <v>25</v>
      </c>
      <c r="O26" s="853">
        <v>25</v>
      </c>
      <c r="P26" s="853">
        <v>25</v>
      </c>
      <c r="Q26" s="853">
        <v>25</v>
      </c>
      <c r="R26" s="853">
        <v>38</v>
      </c>
      <c r="S26" s="853">
        <v>61</v>
      </c>
      <c r="T26" s="853">
        <v>85</v>
      </c>
      <c r="U26" s="853">
        <v>99</v>
      </c>
    </row>
    <row r="27" spans="1:21" s="826" customFormat="1" ht="15" customHeight="1" x14ac:dyDescent="0.3">
      <c r="A27" s="816"/>
      <c r="B27" s="852" t="s">
        <v>106</v>
      </c>
      <c r="C27" s="828"/>
      <c r="D27" s="828"/>
      <c r="E27" s="828"/>
      <c r="F27" s="828">
        <v>8</v>
      </c>
      <c r="G27" s="829">
        <v>9</v>
      </c>
      <c r="H27" s="830">
        <v>21</v>
      </c>
      <c r="I27" s="831">
        <v>25</v>
      </c>
      <c r="J27" s="829">
        <v>26</v>
      </c>
      <c r="K27" s="830">
        <v>30</v>
      </c>
      <c r="L27" s="831">
        <v>30</v>
      </c>
      <c r="M27" s="831">
        <v>38</v>
      </c>
      <c r="N27" s="831">
        <v>41</v>
      </c>
      <c r="O27" s="854">
        <v>46</v>
      </c>
      <c r="P27" s="854">
        <v>59</v>
      </c>
      <c r="Q27" s="854">
        <v>73</v>
      </c>
      <c r="R27" s="854">
        <v>101</v>
      </c>
      <c r="S27" s="854">
        <v>126</v>
      </c>
      <c r="T27" s="854">
        <v>162</v>
      </c>
      <c r="U27" s="854">
        <v>180</v>
      </c>
    </row>
    <row r="28" spans="1:21" s="826" customFormat="1" ht="15" customHeight="1" x14ac:dyDescent="0.3">
      <c r="A28" s="816"/>
      <c r="B28" s="39" t="s">
        <v>107</v>
      </c>
      <c r="C28" s="827"/>
      <c r="D28" s="828"/>
      <c r="E28" s="828"/>
      <c r="F28" s="828">
        <v>3</v>
      </c>
      <c r="G28" s="829">
        <v>7</v>
      </c>
      <c r="H28" s="830">
        <v>9</v>
      </c>
      <c r="I28" s="831">
        <v>10</v>
      </c>
      <c r="J28" s="829">
        <v>11</v>
      </c>
      <c r="K28" s="830">
        <v>13</v>
      </c>
      <c r="L28" s="831">
        <v>17</v>
      </c>
      <c r="M28" s="831">
        <v>20</v>
      </c>
      <c r="N28" s="831">
        <v>31</v>
      </c>
      <c r="O28" s="854">
        <v>39</v>
      </c>
      <c r="P28" s="854">
        <v>47</v>
      </c>
      <c r="Q28" s="854">
        <v>55</v>
      </c>
      <c r="R28" s="854">
        <v>69</v>
      </c>
      <c r="S28" s="854">
        <v>80</v>
      </c>
      <c r="T28" s="854">
        <v>99</v>
      </c>
      <c r="U28" s="854">
        <v>118</v>
      </c>
    </row>
    <row r="29" spans="1:21" s="826" customFormat="1" ht="15" customHeight="1" x14ac:dyDescent="0.3">
      <c r="A29" s="816"/>
      <c r="B29" s="832" t="s">
        <v>64</v>
      </c>
      <c r="C29" s="833">
        <f t="shared" ref="C29:N29" si="5">SUM(C25:C28)</f>
        <v>0</v>
      </c>
      <c r="D29" s="833">
        <f t="shared" si="5"/>
        <v>47</v>
      </c>
      <c r="E29" s="833">
        <f t="shared" si="5"/>
        <v>77</v>
      </c>
      <c r="F29" s="833">
        <f t="shared" si="5"/>
        <v>129</v>
      </c>
      <c r="G29" s="833">
        <f t="shared" si="5"/>
        <v>141</v>
      </c>
      <c r="H29" s="833">
        <f t="shared" si="5"/>
        <v>170</v>
      </c>
      <c r="I29" s="833">
        <f t="shared" si="5"/>
        <v>183</v>
      </c>
      <c r="J29" s="833">
        <f t="shared" si="5"/>
        <v>188</v>
      </c>
      <c r="K29" s="833">
        <f t="shared" si="5"/>
        <v>207</v>
      </c>
      <c r="L29" s="833">
        <f t="shared" si="5"/>
        <v>227</v>
      </c>
      <c r="M29" s="834">
        <f t="shared" si="5"/>
        <v>270</v>
      </c>
      <c r="N29" s="834">
        <f t="shared" si="5"/>
        <v>301</v>
      </c>
      <c r="O29" s="855">
        <f t="shared" ref="O29:S29" si="6">SUM(O25:O28)</f>
        <v>340</v>
      </c>
      <c r="P29" s="855">
        <f t="shared" si="6"/>
        <v>385</v>
      </c>
      <c r="Q29" s="855">
        <f t="shared" si="6"/>
        <v>447</v>
      </c>
      <c r="R29" s="855">
        <f t="shared" si="6"/>
        <v>548</v>
      </c>
      <c r="S29" s="855">
        <f t="shared" si="6"/>
        <v>631</v>
      </c>
      <c r="T29" s="855">
        <f>SUM(T25:T28)</f>
        <v>745</v>
      </c>
      <c r="U29" s="855">
        <f>SUM(U25:U28)</f>
        <v>842</v>
      </c>
    </row>
    <row r="30" spans="1:21" s="826" customFormat="1" ht="15" customHeight="1" x14ac:dyDescent="0.3">
      <c r="A30" s="816"/>
      <c r="B30" s="852" t="s">
        <v>108</v>
      </c>
      <c r="C30" s="828"/>
      <c r="D30" s="830">
        <v>9</v>
      </c>
      <c r="E30" s="828">
        <v>24</v>
      </c>
      <c r="F30" s="828">
        <v>39</v>
      </c>
      <c r="G30" s="829">
        <v>42</v>
      </c>
      <c r="H30" s="830">
        <v>53</v>
      </c>
      <c r="I30" s="831">
        <v>60</v>
      </c>
      <c r="J30" s="829">
        <v>61</v>
      </c>
      <c r="K30" s="830">
        <v>64</v>
      </c>
      <c r="L30" s="831">
        <v>68</v>
      </c>
      <c r="M30" s="831">
        <v>79</v>
      </c>
      <c r="N30" s="831">
        <v>92</v>
      </c>
      <c r="O30" s="854">
        <v>110</v>
      </c>
      <c r="P30" s="854">
        <v>140</v>
      </c>
      <c r="Q30" s="854">
        <v>172</v>
      </c>
      <c r="R30" s="854">
        <v>206</v>
      </c>
      <c r="S30" s="854">
        <v>240</v>
      </c>
      <c r="T30" s="854">
        <v>289</v>
      </c>
      <c r="U30" s="854">
        <v>319</v>
      </c>
    </row>
    <row r="31" spans="1:21" s="826" customFormat="1" ht="15" customHeight="1" x14ac:dyDescent="0.3">
      <c r="A31" s="816"/>
      <c r="B31" s="852" t="s">
        <v>109</v>
      </c>
      <c r="C31" s="828"/>
      <c r="D31" s="830"/>
      <c r="E31" s="828"/>
      <c r="F31" s="828">
        <v>2</v>
      </c>
      <c r="G31" s="829">
        <v>2</v>
      </c>
      <c r="H31" s="830">
        <v>3</v>
      </c>
      <c r="I31" s="831">
        <v>4</v>
      </c>
      <c r="J31" s="829">
        <v>5</v>
      </c>
      <c r="K31" s="830">
        <v>5</v>
      </c>
      <c r="L31" s="831">
        <v>5</v>
      </c>
      <c r="M31" s="831">
        <v>8</v>
      </c>
      <c r="N31" s="831">
        <v>19</v>
      </c>
      <c r="O31" s="854">
        <v>27</v>
      </c>
      <c r="P31" s="854">
        <v>35</v>
      </c>
      <c r="Q31" s="854">
        <v>51</v>
      </c>
      <c r="R31" s="854">
        <v>64</v>
      </c>
      <c r="S31" s="854">
        <v>70</v>
      </c>
      <c r="T31" s="854">
        <v>89</v>
      </c>
      <c r="U31" s="854">
        <v>107</v>
      </c>
    </row>
    <row r="32" spans="1:21" s="826" customFormat="1" ht="15" customHeight="1" x14ac:dyDescent="0.3">
      <c r="A32" s="816"/>
      <c r="B32" s="39" t="s">
        <v>110</v>
      </c>
      <c r="C32" s="827"/>
      <c r="D32" s="828"/>
      <c r="E32" s="828"/>
      <c r="F32" s="828">
        <v>15</v>
      </c>
      <c r="G32" s="829">
        <v>19</v>
      </c>
      <c r="H32" s="830">
        <v>35</v>
      </c>
      <c r="I32" s="831">
        <v>42</v>
      </c>
      <c r="J32" s="829">
        <v>42</v>
      </c>
      <c r="K32" s="830">
        <v>45</v>
      </c>
      <c r="L32" s="831">
        <v>57</v>
      </c>
      <c r="M32" s="831">
        <v>80</v>
      </c>
      <c r="N32" s="831">
        <v>97</v>
      </c>
      <c r="O32" s="854">
        <v>121</v>
      </c>
      <c r="P32" s="854">
        <v>162</v>
      </c>
      <c r="Q32" s="854">
        <v>200</v>
      </c>
      <c r="R32" s="854">
        <v>248</v>
      </c>
      <c r="S32" s="854">
        <v>293</v>
      </c>
      <c r="T32" s="854">
        <v>360</v>
      </c>
      <c r="U32" s="854">
        <v>417</v>
      </c>
    </row>
    <row r="33" spans="1:21" s="826" customFormat="1" ht="15" customHeight="1" x14ac:dyDescent="0.3">
      <c r="A33" s="816"/>
      <c r="B33" s="832" t="s">
        <v>111</v>
      </c>
      <c r="C33" s="833">
        <f t="shared" ref="C33:P33" si="7">SUM(C30:C32)</f>
        <v>0</v>
      </c>
      <c r="D33" s="833">
        <f t="shared" si="7"/>
        <v>9</v>
      </c>
      <c r="E33" s="833">
        <f t="shared" si="7"/>
        <v>24</v>
      </c>
      <c r="F33" s="834">
        <f t="shared" si="7"/>
        <v>56</v>
      </c>
      <c r="G33" s="833">
        <f t="shared" si="7"/>
        <v>63</v>
      </c>
      <c r="H33" s="835">
        <f t="shared" si="7"/>
        <v>91</v>
      </c>
      <c r="I33" s="836">
        <f t="shared" si="7"/>
        <v>106</v>
      </c>
      <c r="J33" s="833">
        <f t="shared" si="7"/>
        <v>108</v>
      </c>
      <c r="K33" s="835">
        <f t="shared" si="7"/>
        <v>114</v>
      </c>
      <c r="L33" s="836">
        <f t="shared" si="7"/>
        <v>130</v>
      </c>
      <c r="M33" s="836">
        <f t="shared" si="7"/>
        <v>167</v>
      </c>
      <c r="N33" s="836">
        <f t="shared" si="7"/>
        <v>208</v>
      </c>
      <c r="O33" s="856">
        <f t="shared" si="7"/>
        <v>258</v>
      </c>
      <c r="P33" s="856">
        <f t="shared" si="7"/>
        <v>337</v>
      </c>
      <c r="Q33" s="856">
        <f>SUM(Q30:Q32)</f>
        <v>423</v>
      </c>
      <c r="R33" s="856">
        <f>SUM(R30:R32)</f>
        <v>518</v>
      </c>
      <c r="S33" s="856">
        <f>SUM(S30:S32)</f>
        <v>603</v>
      </c>
      <c r="T33" s="856">
        <f>SUM(T30:T32)</f>
        <v>738</v>
      </c>
      <c r="U33" s="856">
        <f>SUM(U30:U32)</f>
        <v>843</v>
      </c>
    </row>
    <row r="34" spans="1:21" s="826" customFormat="1" ht="15" customHeight="1" x14ac:dyDescent="0.3">
      <c r="A34" s="816"/>
      <c r="B34" s="852" t="s">
        <v>58</v>
      </c>
      <c r="C34" s="828"/>
      <c r="D34" s="828">
        <v>10</v>
      </c>
      <c r="E34" s="828">
        <v>19</v>
      </c>
      <c r="F34" s="828">
        <v>29</v>
      </c>
      <c r="G34" s="829">
        <v>30</v>
      </c>
      <c r="H34" s="830">
        <v>33</v>
      </c>
      <c r="I34" s="831">
        <v>42</v>
      </c>
      <c r="J34" s="829">
        <v>44</v>
      </c>
      <c r="K34" s="830">
        <v>46</v>
      </c>
      <c r="L34" s="831">
        <v>52</v>
      </c>
      <c r="M34" s="831">
        <v>63</v>
      </c>
      <c r="N34" s="831">
        <v>71</v>
      </c>
      <c r="O34" s="854">
        <v>83</v>
      </c>
      <c r="P34" s="854">
        <v>90</v>
      </c>
      <c r="Q34" s="854">
        <v>120</v>
      </c>
      <c r="R34" s="854">
        <v>132</v>
      </c>
      <c r="S34" s="854">
        <v>140</v>
      </c>
      <c r="T34" s="854">
        <v>156</v>
      </c>
      <c r="U34" s="854">
        <v>183</v>
      </c>
    </row>
    <row r="35" spans="1:21" s="826" customFormat="1" ht="15" customHeight="1" x14ac:dyDescent="0.3">
      <c r="A35" s="816"/>
      <c r="B35" s="39" t="s">
        <v>112</v>
      </c>
      <c r="C35" s="827"/>
      <c r="D35" s="828">
        <v>1</v>
      </c>
      <c r="E35" s="828">
        <v>2</v>
      </c>
      <c r="F35" s="828">
        <v>3</v>
      </c>
      <c r="G35" s="829">
        <v>3</v>
      </c>
      <c r="H35" s="830">
        <v>5</v>
      </c>
      <c r="I35" s="831">
        <v>7</v>
      </c>
      <c r="J35" s="829">
        <v>7</v>
      </c>
      <c r="K35" s="830">
        <v>9</v>
      </c>
      <c r="L35" s="831">
        <v>10</v>
      </c>
      <c r="M35" s="831">
        <v>13</v>
      </c>
      <c r="N35" s="831">
        <v>20</v>
      </c>
      <c r="O35" s="854">
        <v>26</v>
      </c>
      <c r="P35" s="854">
        <v>36</v>
      </c>
      <c r="Q35" s="854">
        <v>48</v>
      </c>
      <c r="R35" s="854">
        <v>60</v>
      </c>
      <c r="S35" s="854">
        <v>67</v>
      </c>
      <c r="T35" s="854">
        <v>90</v>
      </c>
      <c r="U35" s="854">
        <v>106</v>
      </c>
    </row>
    <row r="36" spans="1:21" s="826" customFormat="1" ht="15" customHeight="1" x14ac:dyDescent="0.3">
      <c r="A36" s="816"/>
      <c r="B36" s="39" t="s">
        <v>113</v>
      </c>
      <c r="C36" s="40"/>
      <c r="D36" s="829"/>
      <c r="E36" s="829"/>
      <c r="F36" s="828"/>
      <c r="G36" s="829"/>
      <c r="H36" s="830"/>
      <c r="I36" s="831">
        <v>1</v>
      </c>
      <c r="J36" s="829">
        <v>1</v>
      </c>
      <c r="K36" s="830">
        <v>3</v>
      </c>
      <c r="L36" s="831">
        <v>3</v>
      </c>
      <c r="M36" s="831">
        <v>9</v>
      </c>
      <c r="N36" s="831">
        <v>16</v>
      </c>
      <c r="O36" s="854">
        <v>28</v>
      </c>
      <c r="P36" s="854">
        <v>41</v>
      </c>
      <c r="Q36" s="854">
        <v>56</v>
      </c>
      <c r="R36" s="854">
        <v>71</v>
      </c>
      <c r="S36" s="854">
        <v>95</v>
      </c>
      <c r="T36" s="854">
        <v>128</v>
      </c>
      <c r="U36" s="854">
        <v>140</v>
      </c>
    </row>
    <row r="37" spans="1:21" s="826" customFormat="1" ht="15" customHeight="1" x14ac:dyDescent="0.3">
      <c r="A37" s="816"/>
      <c r="B37" s="39" t="s">
        <v>114</v>
      </c>
      <c r="C37" s="40"/>
      <c r="D37" s="829"/>
      <c r="E37" s="829"/>
      <c r="F37" s="828"/>
      <c r="G37" s="829"/>
      <c r="H37" s="830"/>
      <c r="I37" s="831"/>
      <c r="J37" s="829"/>
      <c r="K37" s="830"/>
      <c r="L37" s="831"/>
      <c r="M37" s="831">
        <v>4</v>
      </c>
      <c r="N37" s="831">
        <v>10</v>
      </c>
      <c r="O37" s="854">
        <v>32</v>
      </c>
      <c r="P37" s="854">
        <v>60</v>
      </c>
      <c r="Q37" s="854">
        <v>89</v>
      </c>
      <c r="R37" s="854">
        <v>125</v>
      </c>
      <c r="S37" s="854">
        <v>145</v>
      </c>
      <c r="T37" s="854">
        <v>200</v>
      </c>
      <c r="U37" s="854">
        <v>243</v>
      </c>
    </row>
    <row r="38" spans="1:21" s="826" customFormat="1" ht="15" customHeight="1" x14ac:dyDescent="0.3">
      <c r="A38" s="816"/>
      <c r="B38" s="436" t="s">
        <v>115</v>
      </c>
      <c r="C38" s="837">
        <f t="shared" ref="C38:H38" si="8">SUM(C34:C35)</f>
        <v>0</v>
      </c>
      <c r="D38" s="837">
        <f t="shared" si="8"/>
        <v>11</v>
      </c>
      <c r="E38" s="837">
        <f t="shared" si="8"/>
        <v>21</v>
      </c>
      <c r="F38" s="838">
        <f t="shared" si="8"/>
        <v>32</v>
      </c>
      <c r="G38" s="837">
        <f t="shared" si="8"/>
        <v>33</v>
      </c>
      <c r="H38" s="839">
        <f t="shared" si="8"/>
        <v>38</v>
      </c>
      <c r="I38" s="840">
        <f>SUM(I34:I36)</f>
        <v>50</v>
      </c>
      <c r="J38" s="837">
        <f>SUM(J34:J36)</f>
        <v>52</v>
      </c>
      <c r="K38" s="839">
        <f>SUM(K34:K36)</f>
        <v>58</v>
      </c>
      <c r="L38" s="840">
        <f>SUM(L34:L36)</f>
        <v>65</v>
      </c>
      <c r="M38" s="840">
        <f t="shared" ref="M38:R38" si="9">SUM(M34:M37)</f>
        <v>89</v>
      </c>
      <c r="N38" s="840">
        <f t="shared" si="9"/>
        <v>117</v>
      </c>
      <c r="O38" s="840">
        <f t="shared" si="9"/>
        <v>169</v>
      </c>
      <c r="P38" s="840">
        <f t="shared" si="9"/>
        <v>227</v>
      </c>
      <c r="Q38" s="840">
        <f t="shared" si="9"/>
        <v>313</v>
      </c>
      <c r="R38" s="840">
        <f t="shared" si="9"/>
        <v>388</v>
      </c>
      <c r="S38" s="840">
        <f>SUM(S34:S37)</f>
        <v>447</v>
      </c>
      <c r="T38" s="840">
        <f>SUM(T34:T37)</f>
        <v>574</v>
      </c>
      <c r="U38" s="840">
        <f>SUM(U34:U37)</f>
        <v>672</v>
      </c>
    </row>
    <row r="39" spans="1:21" s="826" customFormat="1" ht="15" customHeight="1" x14ac:dyDescent="0.3">
      <c r="A39" s="816"/>
      <c r="B39" s="857" t="s">
        <v>116</v>
      </c>
      <c r="C39" s="858">
        <f>SUM(C38,C33,C29)</f>
        <v>0</v>
      </c>
      <c r="D39" s="858">
        <f>SUM(D38,D33,D29)</f>
        <v>67</v>
      </c>
      <c r="E39" s="858">
        <f>SUM(E38,E33,E29)</f>
        <v>122</v>
      </c>
      <c r="F39" s="859">
        <f>SUM(F38,F33,F29)</f>
        <v>217</v>
      </c>
      <c r="G39" s="858">
        <f>SUM(G38,G33,G29)</f>
        <v>237</v>
      </c>
      <c r="H39" s="860">
        <f>SUM(H29,H33,H38)</f>
        <v>299</v>
      </c>
      <c r="I39" s="861">
        <f>SUM(I29,I33,I38)</f>
        <v>339</v>
      </c>
      <c r="J39" s="858">
        <f>SUM(J38,J33,J29)</f>
        <v>348</v>
      </c>
      <c r="K39" s="860">
        <f t="shared" ref="K39:P39" si="10">SUM(K29,K33,K38)</f>
        <v>379</v>
      </c>
      <c r="L39" s="861">
        <f t="shared" si="10"/>
        <v>422</v>
      </c>
      <c r="M39" s="861">
        <f t="shared" si="10"/>
        <v>526</v>
      </c>
      <c r="N39" s="861">
        <f t="shared" si="10"/>
        <v>626</v>
      </c>
      <c r="O39" s="861">
        <f t="shared" si="10"/>
        <v>767</v>
      </c>
      <c r="P39" s="861">
        <f t="shared" si="10"/>
        <v>949</v>
      </c>
      <c r="Q39" s="861">
        <f>SUM(Q29,Q33,Q38)</f>
        <v>1183</v>
      </c>
      <c r="R39" s="861">
        <f>SUM(R29,R33,R38)</f>
        <v>1454</v>
      </c>
      <c r="S39" s="861">
        <f>SUM(S29,S33,S38)</f>
        <v>1681</v>
      </c>
      <c r="T39" s="861">
        <f>SUM(T29,T33,T38)</f>
        <v>2057</v>
      </c>
      <c r="U39" s="861">
        <f>SUM(U29,U33,U38)</f>
        <v>2357</v>
      </c>
    </row>
    <row r="40" spans="1:21" s="826" customFormat="1" ht="15" customHeight="1" x14ac:dyDescent="0.3">
      <c r="A40" s="816"/>
      <c r="B40" s="74" t="s">
        <v>70</v>
      </c>
      <c r="C40" s="862">
        <v>780</v>
      </c>
      <c r="D40" s="847">
        <v>818</v>
      </c>
      <c r="E40" s="847">
        <v>870</v>
      </c>
      <c r="F40" s="847">
        <v>898</v>
      </c>
      <c r="G40" s="848">
        <v>907</v>
      </c>
      <c r="H40" s="849">
        <v>920</v>
      </c>
      <c r="I40" s="850">
        <v>926</v>
      </c>
      <c r="J40" s="848">
        <v>931</v>
      </c>
      <c r="K40" s="849">
        <v>936</v>
      </c>
      <c r="L40" s="850">
        <v>948</v>
      </c>
      <c r="M40" s="850">
        <v>981</v>
      </c>
      <c r="N40" s="850">
        <v>1004</v>
      </c>
      <c r="O40" s="850">
        <v>1033</v>
      </c>
      <c r="P40" s="850">
        <v>1071</v>
      </c>
      <c r="Q40" s="850">
        <v>1132</v>
      </c>
      <c r="R40" s="850">
        <v>1193</v>
      </c>
      <c r="S40" s="850">
        <v>1227</v>
      </c>
      <c r="T40" s="850">
        <v>1284</v>
      </c>
      <c r="U40" s="850">
        <v>1335</v>
      </c>
    </row>
    <row r="41" spans="1:21" s="826" customFormat="1" ht="15" customHeight="1" x14ac:dyDescent="0.3">
      <c r="A41" s="816"/>
      <c r="B41" s="39" t="s">
        <v>71</v>
      </c>
      <c r="C41" s="827">
        <v>143</v>
      </c>
      <c r="D41" s="828">
        <v>150</v>
      </c>
      <c r="E41" s="828">
        <v>159</v>
      </c>
      <c r="F41" s="828">
        <v>165</v>
      </c>
      <c r="G41" s="829">
        <v>168</v>
      </c>
      <c r="H41" s="830">
        <v>170</v>
      </c>
      <c r="I41" s="831">
        <v>171</v>
      </c>
      <c r="J41" s="829">
        <v>171</v>
      </c>
      <c r="K41" s="830">
        <v>171</v>
      </c>
      <c r="L41" s="831">
        <v>171</v>
      </c>
      <c r="M41" s="831">
        <v>186</v>
      </c>
      <c r="N41" s="831">
        <v>191</v>
      </c>
      <c r="O41" s="831">
        <v>199</v>
      </c>
      <c r="P41" s="831">
        <v>206</v>
      </c>
      <c r="Q41" s="831">
        <v>209</v>
      </c>
      <c r="R41" s="831">
        <v>217</v>
      </c>
      <c r="S41" s="831">
        <v>225</v>
      </c>
      <c r="T41" s="831">
        <v>236</v>
      </c>
      <c r="U41" s="831">
        <v>251</v>
      </c>
    </row>
    <row r="42" spans="1:21" s="826" customFormat="1" ht="15" customHeight="1" x14ac:dyDescent="0.3">
      <c r="A42" s="816"/>
      <c r="B42" s="39" t="s">
        <v>56</v>
      </c>
      <c r="C42" s="827">
        <v>626</v>
      </c>
      <c r="D42" s="828">
        <v>643</v>
      </c>
      <c r="E42" s="828">
        <v>665</v>
      </c>
      <c r="F42" s="828">
        <v>691</v>
      </c>
      <c r="G42" s="829">
        <v>698</v>
      </c>
      <c r="H42" s="830">
        <v>706</v>
      </c>
      <c r="I42" s="831">
        <v>717</v>
      </c>
      <c r="J42" s="829">
        <v>724</v>
      </c>
      <c r="K42" s="830">
        <v>731</v>
      </c>
      <c r="L42" s="831">
        <v>738</v>
      </c>
      <c r="M42" s="831">
        <v>750</v>
      </c>
      <c r="N42" s="831">
        <v>772</v>
      </c>
      <c r="O42" s="831">
        <v>808</v>
      </c>
      <c r="P42" s="831">
        <v>845</v>
      </c>
      <c r="Q42" s="831">
        <v>889</v>
      </c>
      <c r="R42" s="831">
        <v>948</v>
      </c>
      <c r="S42" s="831">
        <v>992</v>
      </c>
      <c r="T42" s="831">
        <v>1045</v>
      </c>
      <c r="U42" s="831">
        <v>1084</v>
      </c>
    </row>
    <row r="43" spans="1:21" s="826" customFormat="1" ht="15" customHeight="1" x14ac:dyDescent="0.3">
      <c r="A43" s="816"/>
      <c r="B43" s="39" t="s">
        <v>72</v>
      </c>
      <c r="C43" s="827">
        <v>403</v>
      </c>
      <c r="D43" s="828">
        <v>416</v>
      </c>
      <c r="E43" s="828">
        <v>433</v>
      </c>
      <c r="F43" s="828">
        <v>451</v>
      </c>
      <c r="G43" s="829">
        <v>457</v>
      </c>
      <c r="H43" s="830">
        <v>465</v>
      </c>
      <c r="I43" s="831">
        <v>471</v>
      </c>
      <c r="J43" s="829">
        <v>474</v>
      </c>
      <c r="K43" s="830">
        <v>479</v>
      </c>
      <c r="L43" s="831">
        <v>485</v>
      </c>
      <c r="M43" s="831">
        <v>499</v>
      </c>
      <c r="N43" s="831">
        <v>521</v>
      </c>
      <c r="O43" s="831">
        <v>551</v>
      </c>
      <c r="P43" s="831">
        <v>571</v>
      </c>
      <c r="Q43" s="831">
        <v>612</v>
      </c>
      <c r="R43" s="831">
        <v>646</v>
      </c>
      <c r="S43" s="831">
        <v>679</v>
      </c>
      <c r="T43" s="831">
        <v>714</v>
      </c>
      <c r="U43" s="831">
        <v>756</v>
      </c>
    </row>
    <row r="44" spans="1:21" s="826" customFormat="1" ht="15" customHeight="1" x14ac:dyDescent="0.3">
      <c r="A44" s="816"/>
      <c r="B44" s="39" t="s">
        <v>73</v>
      </c>
      <c r="C44" s="827">
        <v>258</v>
      </c>
      <c r="D44" s="828">
        <v>264</v>
      </c>
      <c r="E44" s="828">
        <v>277</v>
      </c>
      <c r="F44" s="828">
        <v>288</v>
      </c>
      <c r="G44" s="829">
        <v>293</v>
      </c>
      <c r="H44" s="830">
        <v>296</v>
      </c>
      <c r="I44" s="831">
        <v>298</v>
      </c>
      <c r="J44" s="829">
        <v>302</v>
      </c>
      <c r="K44" s="830">
        <v>308</v>
      </c>
      <c r="L44" s="831">
        <v>310</v>
      </c>
      <c r="M44" s="831">
        <v>327</v>
      </c>
      <c r="N44" s="831">
        <v>346</v>
      </c>
      <c r="O44" s="831">
        <v>374</v>
      </c>
      <c r="P44" s="831">
        <v>402</v>
      </c>
      <c r="Q44" s="831">
        <v>431</v>
      </c>
      <c r="R44" s="831">
        <v>460</v>
      </c>
      <c r="S44" s="831">
        <v>495</v>
      </c>
      <c r="T44" s="831">
        <v>550</v>
      </c>
      <c r="U44" s="831">
        <v>588</v>
      </c>
    </row>
    <row r="45" spans="1:21" s="826" customFormat="1" ht="15" customHeight="1" x14ac:dyDescent="0.3">
      <c r="A45" s="816"/>
      <c r="B45" s="39" t="s">
        <v>57</v>
      </c>
      <c r="C45" s="827">
        <v>1628</v>
      </c>
      <c r="D45" s="828">
        <v>1663</v>
      </c>
      <c r="E45" s="828">
        <v>1714</v>
      </c>
      <c r="F45" s="828">
        <v>1742</v>
      </c>
      <c r="G45" s="829">
        <v>1756</v>
      </c>
      <c r="H45" s="830">
        <v>1778</v>
      </c>
      <c r="I45" s="831">
        <v>1788</v>
      </c>
      <c r="J45" s="829">
        <v>1793</v>
      </c>
      <c r="K45" s="830">
        <v>1802</v>
      </c>
      <c r="L45" s="831">
        <v>1811</v>
      </c>
      <c r="M45" s="831">
        <v>1848</v>
      </c>
      <c r="N45" s="831">
        <v>1876</v>
      </c>
      <c r="O45" s="831">
        <v>1904</v>
      </c>
      <c r="P45" s="831">
        <v>1936</v>
      </c>
      <c r="Q45" s="831">
        <v>1964</v>
      </c>
      <c r="R45" s="831">
        <v>2001</v>
      </c>
      <c r="S45" s="831">
        <v>2037</v>
      </c>
      <c r="T45" s="831">
        <v>2057</v>
      </c>
      <c r="U45" s="831">
        <v>2080</v>
      </c>
    </row>
    <row r="46" spans="1:21" s="826" customFormat="1" ht="15" customHeight="1" x14ac:dyDescent="0.3">
      <c r="A46" s="816"/>
      <c r="B46" s="39" t="s">
        <v>74</v>
      </c>
      <c r="C46" s="827">
        <v>329</v>
      </c>
      <c r="D46" s="828">
        <v>339</v>
      </c>
      <c r="E46" s="828">
        <v>358</v>
      </c>
      <c r="F46" s="828">
        <v>374</v>
      </c>
      <c r="G46" s="829">
        <v>376</v>
      </c>
      <c r="H46" s="830">
        <v>386</v>
      </c>
      <c r="I46" s="831">
        <v>391</v>
      </c>
      <c r="J46" s="829">
        <v>397</v>
      </c>
      <c r="K46" s="830">
        <v>404</v>
      </c>
      <c r="L46" s="831">
        <v>417</v>
      </c>
      <c r="M46" s="831">
        <v>456</v>
      </c>
      <c r="N46" s="831">
        <v>461</v>
      </c>
      <c r="O46" s="831">
        <v>480</v>
      </c>
      <c r="P46" s="831">
        <v>505</v>
      </c>
      <c r="Q46" s="831">
        <v>527</v>
      </c>
      <c r="R46" s="831">
        <v>547</v>
      </c>
      <c r="S46" s="831">
        <v>578</v>
      </c>
      <c r="T46" s="831">
        <v>599</v>
      </c>
      <c r="U46" s="831">
        <v>625</v>
      </c>
    </row>
    <row r="47" spans="1:21" s="826" customFormat="1" ht="15" customHeight="1" x14ac:dyDescent="0.3">
      <c r="A47" s="816"/>
      <c r="B47" s="39" t="s">
        <v>75</v>
      </c>
      <c r="C47" s="827">
        <v>152</v>
      </c>
      <c r="D47" s="828">
        <v>160</v>
      </c>
      <c r="E47" s="828">
        <v>167</v>
      </c>
      <c r="F47" s="828">
        <v>178</v>
      </c>
      <c r="G47" s="829">
        <v>179</v>
      </c>
      <c r="H47" s="830">
        <v>187</v>
      </c>
      <c r="I47" s="831">
        <v>192</v>
      </c>
      <c r="J47" s="829">
        <v>193</v>
      </c>
      <c r="K47" s="830">
        <v>195</v>
      </c>
      <c r="L47" s="831">
        <v>202</v>
      </c>
      <c r="M47" s="831">
        <v>213</v>
      </c>
      <c r="N47" s="831">
        <v>224</v>
      </c>
      <c r="O47" s="831">
        <v>241</v>
      </c>
      <c r="P47" s="831">
        <v>255</v>
      </c>
      <c r="Q47" s="831">
        <v>281</v>
      </c>
      <c r="R47" s="831">
        <v>303</v>
      </c>
      <c r="S47" s="831">
        <v>318</v>
      </c>
      <c r="T47" s="831">
        <v>351</v>
      </c>
      <c r="U47" s="831">
        <v>380</v>
      </c>
    </row>
    <row r="48" spans="1:21" s="826" customFormat="1" ht="15" customHeight="1" x14ac:dyDescent="0.3">
      <c r="A48" s="816"/>
      <c r="B48" s="39" t="s">
        <v>76</v>
      </c>
      <c r="C48" s="827">
        <v>1175</v>
      </c>
      <c r="D48" s="828">
        <v>1210</v>
      </c>
      <c r="E48" s="828">
        <v>1275</v>
      </c>
      <c r="F48" s="828">
        <v>1319</v>
      </c>
      <c r="G48" s="829">
        <v>1342</v>
      </c>
      <c r="H48" s="830">
        <v>1360</v>
      </c>
      <c r="I48" s="831">
        <v>1364</v>
      </c>
      <c r="J48" s="829">
        <v>1374</v>
      </c>
      <c r="K48" s="830">
        <v>1391</v>
      </c>
      <c r="L48" s="831">
        <v>1408</v>
      </c>
      <c r="M48" s="831">
        <v>1444</v>
      </c>
      <c r="N48" s="831">
        <v>1451</v>
      </c>
      <c r="O48" s="831">
        <v>1492</v>
      </c>
      <c r="P48" s="831">
        <v>1556</v>
      </c>
      <c r="Q48" s="831">
        <v>1610</v>
      </c>
      <c r="R48" s="831">
        <v>1661</v>
      </c>
      <c r="S48" s="831">
        <v>1691</v>
      </c>
      <c r="T48" s="831">
        <v>1739</v>
      </c>
      <c r="U48" s="831">
        <v>1763</v>
      </c>
    </row>
    <row r="49" spans="1:21" s="826" customFormat="1" ht="15" customHeight="1" x14ac:dyDescent="0.3">
      <c r="A49" s="816"/>
      <c r="B49" s="39" t="s">
        <v>77</v>
      </c>
      <c r="C49" s="40"/>
      <c r="D49" s="829"/>
      <c r="E49" s="829"/>
      <c r="F49" s="828"/>
      <c r="G49" s="829"/>
      <c r="H49" s="830"/>
      <c r="I49" s="831"/>
      <c r="J49" s="829"/>
      <c r="K49" s="830"/>
      <c r="L49" s="831"/>
      <c r="M49" s="831"/>
      <c r="N49" s="831"/>
      <c r="O49" s="831"/>
      <c r="P49" s="831"/>
      <c r="Q49" s="831"/>
      <c r="R49" s="831"/>
      <c r="S49" s="831"/>
      <c r="T49" s="831">
        <v>1</v>
      </c>
      <c r="U49" s="831">
        <v>1</v>
      </c>
    </row>
    <row r="50" spans="1:21" s="826" customFormat="1" ht="15" customHeight="1" x14ac:dyDescent="0.3">
      <c r="A50" s="816"/>
      <c r="B50" s="832" t="s">
        <v>59</v>
      </c>
      <c r="C50" s="833">
        <f t="shared" ref="C50:P50" si="11">SUM(C40:C48)</f>
        <v>5494</v>
      </c>
      <c r="D50" s="833">
        <f t="shared" si="11"/>
        <v>5663</v>
      </c>
      <c r="E50" s="833">
        <f t="shared" si="11"/>
        <v>5918</v>
      </c>
      <c r="F50" s="834">
        <f t="shared" si="11"/>
        <v>6106</v>
      </c>
      <c r="G50" s="833">
        <f t="shared" si="11"/>
        <v>6176</v>
      </c>
      <c r="H50" s="835">
        <f t="shared" si="11"/>
        <v>6268</v>
      </c>
      <c r="I50" s="836">
        <f t="shared" si="11"/>
        <v>6318</v>
      </c>
      <c r="J50" s="833">
        <f t="shared" si="11"/>
        <v>6359</v>
      </c>
      <c r="K50" s="835">
        <f t="shared" si="11"/>
        <v>6417</v>
      </c>
      <c r="L50" s="836">
        <f t="shared" si="11"/>
        <v>6490</v>
      </c>
      <c r="M50" s="836">
        <f t="shared" si="11"/>
        <v>6704</v>
      </c>
      <c r="N50" s="836">
        <f t="shared" si="11"/>
        <v>6846</v>
      </c>
      <c r="O50" s="836">
        <f t="shared" si="11"/>
        <v>7082</v>
      </c>
      <c r="P50" s="836">
        <f t="shared" si="11"/>
        <v>7347</v>
      </c>
      <c r="Q50" s="836">
        <f>SUM(Q40:Q48)</f>
        <v>7655</v>
      </c>
      <c r="R50" s="836">
        <f>SUM(R40:R48)</f>
        <v>7976</v>
      </c>
      <c r="S50" s="836">
        <f>SUM(S40:S48)</f>
        <v>8242</v>
      </c>
      <c r="T50" s="836">
        <f>SUM(T40:T49)</f>
        <v>8576</v>
      </c>
      <c r="U50" s="836">
        <f>SUM(U40:U49)</f>
        <v>8863</v>
      </c>
    </row>
    <row r="51" spans="1:21" s="826" customFormat="1" ht="15" customHeight="1" x14ac:dyDescent="0.3">
      <c r="A51" s="816"/>
      <c r="B51" s="39" t="s">
        <v>60</v>
      </c>
      <c r="C51" s="827">
        <v>4139</v>
      </c>
      <c r="D51" s="828">
        <v>4252</v>
      </c>
      <c r="E51" s="828">
        <v>4416</v>
      </c>
      <c r="F51" s="828">
        <v>4544</v>
      </c>
      <c r="G51" s="829">
        <v>4584</v>
      </c>
      <c r="H51" s="830">
        <v>4642</v>
      </c>
      <c r="I51" s="831">
        <v>4677</v>
      </c>
      <c r="J51" s="829">
        <v>4749</v>
      </c>
      <c r="K51" s="830">
        <v>4814</v>
      </c>
      <c r="L51" s="831">
        <v>4868</v>
      </c>
      <c r="M51" s="831">
        <v>5007</v>
      </c>
      <c r="N51" s="831">
        <v>5162</v>
      </c>
      <c r="O51" s="831">
        <v>5286</v>
      </c>
      <c r="P51" s="831">
        <v>5422</v>
      </c>
      <c r="Q51" s="831">
        <v>5563</v>
      </c>
      <c r="R51" s="831">
        <v>5697</v>
      </c>
      <c r="S51" s="831">
        <v>5841</v>
      </c>
      <c r="T51" s="831">
        <v>5981</v>
      </c>
      <c r="U51" s="831">
        <v>6108</v>
      </c>
    </row>
    <row r="52" spans="1:21" s="826" customFormat="1" ht="15" customHeight="1" x14ac:dyDescent="0.3">
      <c r="A52" s="816"/>
      <c r="B52" s="39" t="s">
        <v>78</v>
      </c>
      <c r="C52" s="827">
        <v>605</v>
      </c>
      <c r="D52" s="828">
        <v>629</v>
      </c>
      <c r="E52" s="828">
        <v>648</v>
      </c>
      <c r="F52" s="828">
        <v>672</v>
      </c>
      <c r="G52" s="829">
        <v>680</v>
      </c>
      <c r="H52" s="830">
        <v>696</v>
      </c>
      <c r="I52" s="831">
        <v>712</v>
      </c>
      <c r="J52" s="829">
        <v>726</v>
      </c>
      <c r="K52" s="830">
        <v>734</v>
      </c>
      <c r="L52" s="831">
        <v>746</v>
      </c>
      <c r="M52" s="831">
        <v>775</v>
      </c>
      <c r="N52" s="831">
        <v>809</v>
      </c>
      <c r="O52" s="831">
        <v>843</v>
      </c>
      <c r="P52" s="831">
        <v>878</v>
      </c>
      <c r="Q52" s="831">
        <v>902</v>
      </c>
      <c r="R52" s="831">
        <v>929</v>
      </c>
      <c r="S52" s="831">
        <v>956</v>
      </c>
      <c r="T52" s="831">
        <v>973</v>
      </c>
      <c r="U52" s="831">
        <v>996</v>
      </c>
    </row>
    <row r="53" spans="1:21" s="826" customFormat="1" ht="15" customHeight="1" x14ac:dyDescent="0.3">
      <c r="A53" s="816"/>
      <c r="B53" s="39" t="s">
        <v>79</v>
      </c>
      <c r="C53" s="828">
        <v>337</v>
      </c>
      <c r="D53" s="828">
        <v>367</v>
      </c>
      <c r="E53" s="828">
        <v>399</v>
      </c>
      <c r="F53" s="828">
        <v>433</v>
      </c>
      <c r="G53" s="829">
        <v>450</v>
      </c>
      <c r="H53" s="830">
        <v>464</v>
      </c>
      <c r="I53" s="831">
        <v>474</v>
      </c>
      <c r="J53" s="829">
        <v>488</v>
      </c>
      <c r="K53" s="830">
        <v>501</v>
      </c>
      <c r="L53" s="831">
        <v>515</v>
      </c>
      <c r="M53" s="831">
        <v>536</v>
      </c>
      <c r="N53" s="831">
        <v>570</v>
      </c>
      <c r="O53" s="831">
        <v>589</v>
      </c>
      <c r="P53" s="831">
        <v>616</v>
      </c>
      <c r="Q53" s="831">
        <v>655</v>
      </c>
      <c r="R53" s="831">
        <v>687</v>
      </c>
      <c r="S53" s="831">
        <v>719</v>
      </c>
      <c r="T53" s="831">
        <v>740</v>
      </c>
      <c r="U53" s="831">
        <v>782</v>
      </c>
    </row>
    <row r="54" spans="1:21" s="826" customFormat="1" ht="15" customHeight="1" x14ac:dyDescent="0.3">
      <c r="A54" s="816"/>
      <c r="B54" s="39" t="s">
        <v>80</v>
      </c>
      <c r="C54" s="828">
        <v>310</v>
      </c>
      <c r="D54" s="828">
        <v>341</v>
      </c>
      <c r="E54" s="828">
        <v>382</v>
      </c>
      <c r="F54" s="828">
        <v>423</v>
      </c>
      <c r="G54" s="829">
        <v>432</v>
      </c>
      <c r="H54" s="830">
        <v>439</v>
      </c>
      <c r="I54" s="831">
        <v>448</v>
      </c>
      <c r="J54" s="829">
        <v>462</v>
      </c>
      <c r="K54" s="830">
        <v>479</v>
      </c>
      <c r="L54" s="831">
        <v>492</v>
      </c>
      <c r="M54" s="831">
        <v>520</v>
      </c>
      <c r="N54" s="831">
        <v>563</v>
      </c>
      <c r="O54" s="831">
        <v>604</v>
      </c>
      <c r="P54" s="831">
        <v>633</v>
      </c>
      <c r="Q54" s="831">
        <v>666</v>
      </c>
      <c r="R54" s="831">
        <v>700</v>
      </c>
      <c r="S54" s="831">
        <v>727</v>
      </c>
      <c r="T54" s="831">
        <v>750</v>
      </c>
      <c r="U54" s="831">
        <v>768</v>
      </c>
    </row>
    <row r="55" spans="1:21" s="826" customFormat="1" ht="15" customHeight="1" x14ac:dyDescent="0.3">
      <c r="A55" s="816"/>
      <c r="B55" s="39" t="s">
        <v>62</v>
      </c>
      <c r="C55" s="827">
        <v>1512</v>
      </c>
      <c r="D55" s="828">
        <v>1559</v>
      </c>
      <c r="E55" s="828">
        <v>1632</v>
      </c>
      <c r="F55" s="828">
        <v>1666</v>
      </c>
      <c r="G55" s="829">
        <v>1668</v>
      </c>
      <c r="H55" s="830">
        <v>1687</v>
      </c>
      <c r="I55" s="831">
        <v>1704</v>
      </c>
      <c r="J55" s="829">
        <v>1711</v>
      </c>
      <c r="K55" s="830">
        <v>1738</v>
      </c>
      <c r="L55" s="831">
        <v>1761</v>
      </c>
      <c r="M55" s="831">
        <v>1803</v>
      </c>
      <c r="N55" s="831">
        <v>1863</v>
      </c>
      <c r="O55" s="831">
        <v>1905</v>
      </c>
      <c r="P55" s="831">
        <v>1967</v>
      </c>
      <c r="Q55" s="831">
        <v>1997</v>
      </c>
      <c r="R55" s="831">
        <v>2051</v>
      </c>
      <c r="S55" s="831">
        <v>2127</v>
      </c>
      <c r="T55" s="831">
        <v>2180</v>
      </c>
      <c r="U55" s="831">
        <v>2234</v>
      </c>
    </row>
    <row r="56" spans="1:21" s="826" customFormat="1" ht="15" customHeight="1" x14ac:dyDescent="0.3">
      <c r="A56" s="816"/>
      <c r="B56" s="39" t="s">
        <v>63</v>
      </c>
      <c r="C56" s="827">
        <v>1044</v>
      </c>
      <c r="D56" s="828">
        <v>1072</v>
      </c>
      <c r="E56" s="828">
        <v>1120</v>
      </c>
      <c r="F56" s="828">
        <v>1159</v>
      </c>
      <c r="G56" s="829">
        <v>1170</v>
      </c>
      <c r="H56" s="830">
        <v>1177</v>
      </c>
      <c r="I56" s="831">
        <v>1189</v>
      </c>
      <c r="J56" s="829">
        <v>1202</v>
      </c>
      <c r="K56" s="830">
        <v>1215</v>
      </c>
      <c r="L56" s="831">
        <v>1235</v>
      </c>
      <c r="M56" s="831">
        <v>1286</v>
      </c>
      <c r="N56" s="831">
        <v>1330</v>
      </c>
      <c r="O56" s="831">
        <v>1370</v>
      </c>
      <c r="P56" s="831">
        <v>1421</v>
      </c>
      <c r="Q56" s="831">
        <v>1465</v>
      </c>
      <c r="R56" s="831">
        <v>1505</v>
      </c>
      <c r="S56" s="831">
        <v>1542</v>
      </c>
      <c r="T56" s="831">
        <v>1581</v>
      </c>
      <c r="U56" s="831">
        <v>1617</v>
      </c>
    </row>
    <row r="57" spans="1:21" s="826" customFormat="1" ht="15" customHeight="1" x14ac:dyDescent="0.3">
      <c r="A57" s="816"/>
      <c r="B57" s="39" t="s">
        <v>81</v>
      </c>
      <c r="C57" s="827">
        <v>419</v>
      </c>
      <c r="D57" s="828">
        <v>453</v>
      </c>
      <c r="E57" s="828">
        <v>499</v>
      </c>
      <c r="F57" s="828">
        <v>530</v>
      </c>
      <c r="G57" s="829">
        <v>542</v>
      </c>
      <c r="H57" s="830">
        <v>558</v>
      </c>
      <c r="I57" s="831">
        <v>568</v>
      </c>
      <c r="J57" s="829">
        <v>576</v>
      </c>
      <c r="K57" s="830">
        <v>592</v>
      </c>
      <c r="L57" s="831">
        <v>605</v>
      </c>
      <c r="M57" s="831">
        <v>641</v>
      </c>
      <c r="N57" s="831">
        <v>682</v>
      </c>
      <c r="O57" s="831">
        <v>713</v>
      </c>
      <c r="P57" s="831">
        <v>750</v>
      </c>
      <c r="Q57" s="831">
        <v>789</v>
      </c>
      <c r="R57" s="831">
        <v>814</v>
      </c>
      <c r="S57" s="831">
        <v>835</v>
      </c>
      <c r="T57" s="831">
        <v>864</v>
      </c>
      <c r="U57" s="831">
        <v>892</v>
      </c>
    </row>
    <row r="58" spans="1:21" s="826" customFormat="1" ht="15" customHeight="1" x14ac:dyDescent="0.3">
      <c r="A58" s="816"/>
      <c r="B58" s="39" t="s">
        <v>82</v>
      </c>
      <c r="C58" s="827">
        <v>138</v>
      </c>
      <c r="D58" s="828">
        <v>152</v>
      </c>
      <c r="E58" s="828">
        <v>162</v>
      </c>
      <c r="F58" s="828">
        <v>175</v>
      </c>
      <c r="G58" s="829">
        <v>180</v>
      </c>
      <c r="H58" s="830">
        <v>187</v>
      </c>
      <c r="I58" s="831">
        <v>192</v>
      </c>
      <c r="J58" s="829">
        <v>195</v>
      </c>
      <c r="K58" s="830">
        <v>203</v>
      </c>
      <c r="L58" s="831">
        <v>208</v>
      </c>
      <c r="M58" s="831">
        <v>219</v>
      </c>
      <c r="N58" s="831">
        <v>241</v>
      </c>
      <c r="O58" s="831">
        <v>262</v>
      </c>
      <c r="P58" s="831">
        <v>285</v>
      </c>
      <c r="Q58" s="831">
        <v>309</v>
      </c>
      <c r="R58" s="831">
        <v>326</v>
      </c>
      <c r="S58" s="831">
        <v>353</v>
      </c>
      <c r="T58" s="831">
        <v>376</v>
      </c>
      <c r="U58" s="831">
        <v>401</v>
      </c>
    </row>
    <row r="59" spans="1:21" s="826" customFormat="1" ht="15" customHeight="1" x14ac:dyDescent="0.3">
      <c r="A59" s="816"/>
      <c r="B59" s="39" t="s">
        <v>83</v>
      </c>
      <c r="C59" s="827">
        <v>1136</v>
      </c>
      <c r="D59" s="828">
        <v>1170</v>
      </c>
      <c r="E59" s="828">
        <v>1214</v>
      </c>
      <c r="F59" s="828">
        <v>1261</v>
      </c>
      <c r="G59" s="829">
        <v>1280</v>
      </c>
      <c r="H59" s="830">
        <v>1299</v>
      </c>
      <c r="I59" s="831">
        <v>1323</v>
      </c>
      <c r="J59" s="829">
        <v>1340</v>
      </c>
      <c r="K59" s="830">
        <v>1379</v>
      </c>
      <c r="L59" s="831">
        <v>1403</v>
      </c>
      <c r="M59" s="831">
        <v>1458</v>
      </c>
      <c r="N59" s="831">
        <v>1519</v>
      </c>
      <c r="O59" s="831">
        <v>1558</v>
      </c>
      <c r="P59" s="831">
        <v>1634</v>
      </c>
      <c r="Q59" s="831">
        <v>1688</v>
      </c>
      <c r="R59" s="831">
        <v>1743</v>
      </c>
      <c r="S59" s="831">
        <v>1791</v>
      </c>
      <c r="T59" s="831">
        <v>1843</v>
      </c>
      <c r="U59" s="831">
        <v>1891</v>
      </c>
    </row>
    <row r="60" spans="1:21" s="826" customFormat="1" ht="15" customHeight="1" x14ac:dyDescent="0.3">
      <c r="A60" s="816"/>
      <c r="B60" s="39" t="s">
        <v>84</v>
      </c>
      <c r="C60" s="827">
        <v>2102</v>
      </c>
      <c r="D60" s="828">
        <v>2224</v>
      </c>
      <c r="E60" s="828">
        <v>2317</v>
      </c>
      <c r="F60" s="828">
        <v>2421</v>
      </c>
      <c r="G60" s="829">
        <v>2500</v>
      </c>
      <c r="H60" s="830">
        <v>2556</v>
      </c>
      <c r="I60" s="831">
        <v>2571</v>
      </c>
      <c r="J60" s="829">
        <v>2618</v>
      </c>
      <c r="K60" s="830">
        <v>2679</v>
      </c>
      <c r="L60" s="831">
        <v>2691</v>
      </c>
      <c r="M60" s="831">
        <v>2813</v>
      </c>
      <c r="N60" s="831">
        <v>2902</v>
      </c>
      <c r="O60" s="831">
        <v>3040</v>
      </c>
      <c r="P60" s="831">
        <v>3146</v>
      </c>
      <c r="Q60" s="831">
        <v>3241</v>
      </c>
      <c r="R60" s="831">
        <v>3360</v>
      </c>
      <c r="S60" s="831">
        <v>3451</v>
      </c>
      <c r="T60" s="831">
        <v>3582</v>
      </c>
      <c r="U60" s="831">
        <v>3676</v>
      </c>
    </row>
    <row r="61" spans="1:21" s="826" customFormat="1" ht="15" customHeight="1" x14ac:dyDescent="0.3">
      <c r="A61" s="816"/>
      <c r="B61" s="39" t="s">
        <v>85</v>
      </c>
      <c r="C61" s="828">
        <v>17</v>
      </c>
      <c r="D61" s="828">
        <v>25</v>
      </c>
      <c r="E61" s="828">
        <v>28</v>
      </c>
      <c r="F61" s="828">
        <v>32</v>
      </c>
      <c r="G61" s="829">
        <v>176</v>
      </c>
      <c r="H61" s="830">
        <v>176</v>
      </c>
      <c r="I61" s="831">
        <v>39</v>
      </c>
      <c r="J61" s="829">
        <v>176</v>
      </c>
      <c r="K61" s="830">
        <v>176</v>
      </c>
      <c r="L61" s="831">
        <v>46</v>
      </c>
      <c r="M61" s="831">
        <v>55</v>
      </c>
      <c r="N61" s="831">
        <v>67</v>
      </c>
      <c r="O61" s="831">
        <v>79</v>
      </c>
      <c r="P61" s="831">
        <v>95</v>
      </c>
      <c r="Q61" s="831">
        <v>118</v>
      </c>
      <c r="R61" s="831">
        <v>131</v>
      </c>
      <c r="S61" s="831">
        <v>176</v>
      </c>
      <c r="T61" s="831">
        <v>176</v>
      </c>
      <c r="U61" s="831">
        <v>176</v>
      </c>
    </row>
    <row r="62" spans="1:21" s="826" customFormat="1" ht="15" customHeight="1" x14ac:dyDescent="0.3">
      <c r="A62" s="816"/>
      <c r="B62" s="863" t="s">
        <v>107</v>
      </c>
      <c r="C62" s="827">
        <v>176</v>
      </c>
      <c r="D62" s="828">
        <v>176</v>
      </c>
      <c r="E62" s="828">
        <v>176</v>
      </c>
      <c r="F62" s="828">
        <v>176</v>
      </c>
      <c r="G62" s="829">
        <v>34</v>
      </c>
      <c r="H62" s="830">
        <v>37</v>
      </c>
      <c r="I62" s="831">
        <v>176</v>
      </c>
      <c r="J62" s="829">
        <v>40</v>
      </c>
      <c r="K62" s="830">
        <v>41</v>
      </c>
      <c r="L62" s="831">
        <v>176</v>
      </c>
      <c r="M62" s="831">
        <v>176</v>
      </c>
      <c r="N62" s="831">
        <v>176</v>
      </c>
      <c r="O62" s="831">
        <v>176</v>
      </c>
      <c r="P62" s="831">
        <v>176</v>
      </c>
      <c r="Q62" s="831">
        <v>176</v>
      </c>
      <c r="R62" s="831">
        <v>176</v>
      </c>
      <c r="S62" s="831">
        <v>155</v>
      </c>
      <c r="T62" s="831">
        <v>167</v>
      </c>
      <c r="U62" s="831">
        <v>178</v>
      </c>
    </row>
    <row r="63" spans="1:21" s="826" customFormat="1" ht="15" customHeight="1" x14ac:dyDescent="0.3">
      <c r="A63" s="816"/>
      <c r="B63" s="832" t="s">
        <v>64</v>
      </c>
      <c r="C63" s="833">
        <f t="shared" ref="C63:P63" si="12">SUM(C51:C62)</f>
        <v>11935</v>
      </c>
      <c r="D63" s="833">
        <f t="shared" si="12"/>
        <v>12420</v>
      </c>
      <c r="E63" s="833">
        <f t="shared" si="12"/>
        <v>12993</v>
      </c>
      <c r="F63" s="834">
        <f t="shared" si="12"/>
        <v>13492</v>
      </c>
      <c r="G63" s="833">
        <f t="shared" si="12"/>
        <v>13696</v>
      </c>
      <c r="H63" s="835">
        <f t="shared" si="12"/>
        <v>13918</v>
      </c>
      <c r="I63" s="836">
        <f t="shared" si="12"/>
        <v>14073</v>
      </c>
      <c r="J63" s="833">
        <f t="shared" si="12"/>
        <v>14283</v>
      </c>
      <c r="K63" s="835">
        <f t="shared" si="12"/>
        <v>14551</v>
      </c>
      <c r="L63" s="836">
        <f t="shared" si="12"/>
        <v>14746</v>
      </c>
      <c r="M63" s="836">
        <f t="shared" si="12"/>
        <v>15289</v>
      </c>
      <c r="N63" s="836">
        <f t="shared" si="12"/>
        <v>15884</v>
      </c>
      <c r="O63" s="836">
        <f t="shared" si="12"/>
        <v>16425</v>
      </c>
      <c r="P63" s="836">
        <f t="shared" si="12"/>
        <v>17023</v>
      </c>
      <c r="Q63" s="836">
        <f>SUM(Q51:Q62)</f>
        <v>17569</v>
      </c>
      <c r="R63" s="836">
        <f>SUM(R51:R62)</f>
        <v>18119</v>
      </c>
      <c r="S63" s="836">
        <f>SUM(S51:S62)</f>
        <v>18673</v>
      </c>
      <c r="T63" s="836">
        <f>SUM(T51:T62)</f>
        <v>19213</v>
      </c>
      <c r="U63" s="836">
        <f>SUM(U51:U62)</f>
        <v>19719</v>
      </c>
    </row>
    <row r="64" spans="1:21" s="826" customFormat="1" ht="15" customHeight="1" x14ac:dyDescent="0.3">
      <c r="A64" s="816"/>
      <c r="B64" s="39" t="s">
        <v>86</v>
      </c>
      <c r="C64" s="827">
        <v>1568</v>
      </c>
      <c r="D64" s="828">
        <v>1625</v>
      </c>
      <c r="E64" s="828">
        <v>1678</v>
      </c>
      <c r="F64" s="828">
        <v>1725</v>
      </c>
      <c r="G64" s="829">
        <v>1753</v>
      </c>
      <c r="H64" s="830">
        <v>1779</v>
      </c>
      <c r="I64" s="831">
        <v>1797</v>
      </c>
      <c r="J64" s="829">
        <v>1820</v>
      </c>
      <c r="K64" s="830">
        <v>1843</v>
      </c>
      <c r="L64" s="831">
        <v>1888</v>
      </c>
      <c r="M64" s="831">
        <v>1971</v>
      </c>
      <c r="N64" s="831">
        <v>2068</v>
      </c>
      <c r="O64" s="831">
        <v>2179</v>
      </c>
      <c r="P64" s="831">
        <v>2273</v>
      </c>
      <c r="Q64" s="831">
        <v>2358</v>
      </c>
      <c r="R64" s="831">
        <v>2472</v>
      </c>
      <c r="S64" s="831">
        <v>2547</v>
      </c>
      <c r="T64" s="831">
        <v>2635</v>
      </c>
      <c r="U64" s="831">
        <v>2715</v>
      </c>
    </row>
    <row r="65" spans="1:21" s="826" customFormat="1" ht="15" customHeight="1" x14ac:dyDescent="0.3">
      <c r="A65" s="816"/>
      <c r="B65" s="39" t="s">
        <v>87</v>
      </c>
      <c r="C65" s="827">
        <v>612</v>
      </c>
      <c r="D65" s="828">
        <v>671</v>
      </c>
      <c r="E65" s="828">
        <v>719</v>
      </c>
      <c r="F65" s="828">
        <v>771</v>
      </c>
      <c r="G65" s="829">
        <v>786</v>
      </c>
      <c r="H65" s="830">
        <v>806</v>
      </c>
      <c r="I65" s="831">
        <v>812</v>
      </c>
      <c r="J65" s="829">
        <v>830</v>
      </c>
      <c r="K65" s="830">
        <v>847</v>
      </c>
      <c r="L65" s="831">
        <v>864</v>
      </c>
      <c r="M65" s="831">
        <v>927</v>
      </c>
      <c r="N65" s="831">
        <v>984</v>
      </c>
      <c r="O65" s="831">
        <v>1047</v>
      </c>
      <c r="P65" s="831">
        <v>1108</v>
      </c>
      <c r="Q65" s="831">
        <v>1182</v>
      </c>
      <c r="R65" s="831">
        <v>1242</v>
      </c>
      <c r="S65" s="831">
        <v>1323</v>
      </c>
      <c r="T65" s="831">
        <v>1377</v>
      </c>
      <c r="U65" s="831">
        <v>1445</v>
      </c>
    </row>
    <row r="66" spans="1:21" s="826" customFormat="1" ht="15" customHeight="1" x14ac:dyDescent="0.3">
      <c r="A66" s="816"/>
      <c r="B66" s="39" t="s">
        <v>88</v>
      </c>
      <c r="C66" s="827">
        <v>617</v>
      </c>
      <c r="D66" s="828">
        <v>635</v>
      </c>
      <c r="E66" s="828">
        <v>658</v>
      </c>
      <c r="F66" s="828">
        <v>675</v>
      </c>
      <c r="G66" s="829">
        <v>686</v>
      </c>
      <c r="H66" s="830">
        <v>697</v>
      </c>
      <c r="I66" s="831">
        <v>706</v>
      </c>
      <c r="J66" s="829">
        <v>715</v>
      </c>
      <c r="K66" s="830">
        <v>726</v>
      </c>
      <c r="L66" s="831">
        <v>741</v>
      </c>
      <c r="M66" s="831">
        <v>761</v>
      </c>
      <c r="N66" s="831">
        <v>804</v>
      </c>
      <c r="O66" s="831">
        <v>850</v>
      </c>
      <c r="P66" s="831">
        <v>929</v>
      </c>
      <c r="Q66" s="831">
        <v>988</v>
      </c>
      <c r="R66" s="831">
        <v>1034</v>
      </c>
      <c r="S66" s="831">
        <v>1092</v>
      </c>
      <c r="T66" s="831">
        <v>1156</v>
      </c>
      <c r="U66" s="831">
        <v>1188</v>
      </c>
    </row>
    <row r="67" spans="1:21" s="826" customFormat="1" ht="15" customHeight="1" x14ac:dyDescent="0.3">
      <c r="A67" s="816"/>
      <c r="B67" s="39" t="s">
        <v>89</v>
      </c>
      <c r="C67" s="827">
        <v>203</v>
      </c>
      <c r="D67" s="828">
        <v>209</v>
      </c>
      <c r="E67" s="828">
        <v>220</v>
      </c>
      <c r="F67" s="828">
        <v>228</v>
      </c>
      <c r="G67" s="829">
        <v>234</v>
      </c>
      <c r="H67" s="830">
        <v>241</v>
      </c>
      <c r="I67" s="831">
        <v>242</v>
      </c>
      <c r="J67" s="829">
        <v>244</v>
      </c>
      <c r="K67" s="830">
        <v>260</v>
      </c>
      <c r="L67" s="831">
        <v>257</v>
      </c>
      <c r="M67" s="831">
        <v>271</v>
      </c>
      <c r="N67" s="831">
        <v>296</v>
      </c>
      <c r="O67" s="831">
        <v>320</v>
      </c>
      <c r="P67" s="831">
        <v>361</v>
      </c>
      <c r="Q67" s="831">
        <v>414</v>
      </c>
      <c r="R67" s="831">
        <v>472</v>
      </c>
      <c r="S67" s="831">
        <v>510</v>
      </c>
      <c r="T67" s="831">
        <v>551</v>
      </c>
      <c r="U67" s="831">
        <v>576</v>
      </c>
    </row>
    <row r="68" spans="1:21" s="826" customFormat="1" ht="15" customHeight="1" x14ac:dyDescent="0.3">
      <c r="A68" s="816"/>
      <c r="B68" s="39" t="s">
        <v>180</v>
      </c>
      <c r="C68" s="827">
        <v>1659</v>
      </c>
      <c r="D68" s="828">
        <v>1703</v>
      </c>
      <c r="E68" s="828">
        <v>1804</v>
      </c>
      <c r="F68" s="828">
        <v>1861</v>
      </c>
      <c r="G68" s="829">
        <v>1880</v>
      </c>
      <c r="H68" s="830">
        <v>1897</v>
      </c>
      <c r="I68" s="831">
        <v>1928</v>
      </c>
      <c r="J68" s="829">
        <v>1943</v>
      </c>
      <c r="K68" s="830">
        <v>1971</v>
      </c>
      <c r="L68" s="831">
        <v>2010</v>
      </c>
      <c r="M68" s="831">
        <v>2086</v>
      </c>
      <c r="N68" s="831">
        <v>2168</v>
      </c>
      <c r="O68" s="831">
        <v>2264</v>
      </c>
      <c r="P68" s="831">
        <v>2371</v>
      </c>
      <c r="Q68" s="831">
        <v>2475</v>
      </c>
      <c r="R68" s="831">
        <v>2586</v>
      </c>
      <c r="S68" s="831">
        <v>2689</v>
      </c>
      <c r="T68" s="831">
        <v>2806</v>
      </c>
      <c r="U68" s="831">
        <v>2905</v>
      </c>
    </row>
    <row r="69" spans="1:21" s="826" customFormat="1" ht="15" customHeight="1" x14ac:dyDescent="0.3">
      <c r="A69" s="816"/>
      <c r="B69" s="39" t="s">
        <v>91</v>
      </c>
      <c r="C69" s="827">
        <v>1959</v>
      </c>
      <c r="D69" s="828">
        <v>2023</v>
      </c>
      <c r="E69" s="828">
        <v>2092</v>
      </c>
      <c r="F69" s="828">
        <v>2167</v>
      </c>
      <c r="G69" s="829">
        <v>2185</v>
      </c>
      <c r="H69" s="830">
        <v>2203</v>
      </c>
      <c r="I69" s="831">
        <v>2240</v>
      </c>
      <c r="J69" s="829">
        <v>2263</v>
      </c>
      <c r="K69" s="830">
        <v>2295</v>
      </c>
      <c r="L69" s="831">
        <v>2321</v>
      </c>
      <c r="M69" s="831">
        <v>2407</v>
      </c>
      <c r="N69" s="831">
        <v>2491</v>
      </c>
      <c r="O69" s="831">
        <v>2588</v>
      </c>
      <c r="P69" s="831">
        <v>2668</v>
      </c>
      <c r="Q69" s="831">
        <v>2745</v>
      </c>
      <c r="R69" s="831">
        <v>2838</v>
      </c>
      <c r="S69" s="831">
        <v>2950</v>
      </c>
      <c r="T69" s="831">
        <v>3022</v>
      </c>
      <c r="U69" s="831">
        <v>3111</v>
      </c>
    </row>
    <row r="70" spans="1:21" s="826" customFormat="1" ht="15" customHeight="1" x14ac:dyDescent="0.3">
      <c r="A70" s="816"/>
      <c r="B70" s="436" t="s">
        <v>92</v>
      </c>
      <c r="C70" s="837">
        <f t="shared" ref="C70:N70" si="13">SUM(C64:C69)</f>
        <v>6618</v>
      </c>
      <c r="D70" s="837">
        <f t="shared" si="13"/>
        <v>6866</v>
      </c>
      <c r="E70" s="837">
        <f t="shared" si="13"/>
        <v>7171</v>
      </c>
      <c r="F70" s="838">
        <f t="shared" si="13"/>
        <v>7427</v>
      </c>
      <c r="G70" s="837">
        <f t="shared" si="13"/>
        <v>7524</v>
      </c>
      <c r="H70" s="839">
        <f t="shared" si="13"/>
        <v>7623</v>
      </c>
      <c r="I70" s="840">
        <f t="shared" si="13"/>
        <v>7725</v>
      </c>
      <c r="J70" s="837">
        <f t="shared" si="13"/>
        <v>7815</v>
      </c>
      <c r="K70" s="839">
        <f t="shared" si="13"/>
        <v>7942</v>
      </c>
      <c r="L70" s="840">
        <f t="shared" si="13"/>
        <v>8081</v>
      </c>
      <c r="M70" s="840">
        <f t="shared" si="13"/>
        <v>8423</v>
      </c>
      <c r="N70" s="840">
        <f t="shared" si="13"/>
        <v>8811</v>
      </c>
      <c r="O70" s="840">
        <f t="shared" ref="O70:T70" si="14">SUM(O64:O69)</f>
        <v>9248</v>
      </c>
      <c r="P70" s="840">
        <f t="shared" si="14"/>
        <v>9710</v>
      </c>
      <c r="Q70" s="840">
        <f t="shared" si="14"/>
        <v>10162</v>
      </c>
      <c r="R70" s="840">
        <f t="shared" si="14"/>
        <v>10644</v>
      </c>
      <c r="S70" s="840">
        <f t="shared" si="14"/>
        <v>11111</v>
      </c>
      <c r="T70" s="840">
        <f t="shared" si="14"/>
        <v>11547</v>
      </c>
      <c r="U70" s="840">
        <f t="shared" ref="U70" si="15">SUM(U64:U69)</f>
        <v>11940</v>
      </c>
    </row>
    <row r="71" spans="1:21" s="826" customFormat="1" ht="15" customHeight="1" x14ac:dyDescent="0.3">
      <c r="A71" s="816"/>
      <c r="B71" s="864" t="s">
        <v>93</v>
      </c>
      <c r="C71" s="865">
        <f>SUM(C70,C63,C50)</f>
        <v>24047</v>
      </c>
      <c r="D71" s="865">
        <f>SUM(D70,D63,D50)</f>
        <v>24949</v>
      </c>
      <c r="E71" s="865">
        <f>SUM(E70,E63,E50)</f>
        <v>26082</v>
      </c>
      <c r="F71" s="866">
        <f>SUM(F70,F63,F50)</f>
        <v>27025</v>
      </c>
      <c r="G71" s="865">
        <f>SUM(G70,G63,G50)</f>
        <v>27396</v>
      </c>
      <c r="H71" s="867">
        <f>SUM(H50,H63,H70)</f>
        <v>27809</v>
      </c>
      <c r="I71" s="868">
        <f>SUM(I50,I63,I70)</f>
        <v>28116</v>
      </c>
      <c r="J71" s="865">
        <f>SUM(J70,J63,J50)</f>
        <v>28457</v>
      </c>
      <c r="K71" s="867">
        <f t="shared" ref="K71:P71" si="16">SUM(K50,K63,K70)</f>
        <v>28910</v>
      </c>
      <c r="L71" s="868">
        <f t="shared" si="16"/>
        <v>29317</v>
      </c>
      <c r="M71" s="868">
        <f t="shared" si="16"/>
        <v>30416</v>
      </c>
      <c r="N71" s="868">
        <f t="shared" si="16"/>
        <v>31541</v>
      </c>
      <c r="O71" s="868">
        <f t="shared" si="16"/>
        <v>32755</v>
      </c>
      <c r="P71" s="868">
        <f t="shared" si="16"/>
        <v>34080</v>
      </c>
      <c r="Q71" s="868">
        <f>SUM(Q50,Q63,Q70)</f>
        <v>35386</v>
      </c>
      <c r="R71" s="868">
        <f>SUM(R50,R63,R70)</f>
        <v>36739</v>
      </c>
      <c r="S71" s="868">
        <f>SUM(S50,S63,S70)</f>
        <v>38026</v>
      </c>
      <c r="T71" s="868">
        <f>SUM(T50,T63,T70)</f>
        <v>39336</v>
      </c>
      <c r="U71" s="868">
        <f>SUM(U50,U63,U70)</f>
        <v>40522</v>
      </c>
    </row>
    <row r="72" spans="1:21" s="826" customFormat="1" ht="15" customHeight="1" x14ac:dyDescent="0.3">
      <c r="A72" s="816"/>
      <c r="B72" s="39" t="s">
        <v>117</v>
      </c>
      <c r="C72" s="827"/>
      <c r="D72" s="828"/>
      <c r="E72" s="828"/>
      <c r="F72" s="828"/>
      <c r="G72" s="829"/>
      <c r="H72" s="830"/>
      <c r="I72" s="831"/>
      <c r="J72" s="829"/>
      <c r="K72" s="830"/>
      <c r="L72" s="831"/>
      <c r="M72" s="831"/>
      <c r="N72" s="831">
        <v>20</v>
      </c>
      <c r="O72" s="831">
        <v>30</v>
      </c>
      <c r="P72" s="831">
        <v>43</v>
      </c>
      <c r="Q72" s="831">
        <v>53</v>
      </c>
      <c r="R72" s="831">
        <v>69</v>
      </c>
      <c r="S72" s="831">
        <v>87</v>
      </c>
      <c r="T72" s="831">
        <v>96</v>
      </c>
      <c r="U72" s="831">
        <v>109</v>
      </c>
    </row>
    <row r="73" spans="1:21" s="826" customFormat="1" ht="15" customHeight="1" x14ac:dyDescent="0.3">
      <c r="A73" s="816"/>
      <c r="B73" s="39" t="s">
        <v>118</v>
      </c>
      <c r="C73" s="827"/>
      <c r="D73" s="828"/>
      <c r="E73" s="828"/>
      <c r="F73" s="828"/>
      <c r="G73" s="829"/>
      <c r="H73" s="830"/>
      <c r="I73" s="831"/>
      <c r="J73" s="829"/>
      <c r="K73" s="830"/>
      <c r="L73" s="831"/>
      <c r="M73" s="831"/>
      <c r="N73" s="831"/>
      <c r="O73" s="831"/>
      <c r="P73" s="831"/>
      <c r="Q73" s="831"/>
      <c r="R73" s="831"/>
      <c r="S73" s="831"/>
      <c r="T73" s="831"/>
      <c r="U73" s="831">
        <v>2</v>
      </c>
    </row>
    <row r="74" spans="1:21" s="826" customFormat="1" ht="15" customHeight="1" x14ac:dyDescent="0.3">
      <c r="A74" s="816"/>
      <c r="B74" s="673" t="s">
        <v>59</v>
      </c>
      <c r="C74" s="870"/>
      <c r="D74" s="870"/>
      <c r="E74" s="870"/>
      <c r="F74" s="870"/>
      <c r="G74" s="870"/>
      <c r="H74" s="870"/>
      <c r="I74" s="870"/>
      <c r="J74" s="870"/>
      <c r="K74" s="870"/>
      <c r="L74" s="870"/>
      <c r="M74" s="870"/>
      <c r="N74" s="870">
        <f t="shared" ref="N74:S74" si="17">SUM(N72)</f>
        <v>20</v>
      </c>
      <c r="O74" s="870">
        <f t="shared" si="17"/>
        <v>30</v>
      </c>
      <c r="P74" s="870">
        <f t="shared" si="17"/>
        <v>43</v>
      </c>
      <c r="Q74" s="870">
        <f t="shared" si="17"/>
        <v>53</v>
      </c>
      <c r="R74" s="870">
        <f t="shared" si="17"/>
        <v>69</v>
      </c>
      <c r="S74" s="870">
        <f t="shared" si="17"/>
        <v>87</v>
      </c>
      <c r="T74" s="870">
        <f>SUM(T72)</f>
        <v>96</v>
      </c>
      <c r="U74" s="5636">
        <f>SUM(U72:U73)</f>
        <v>111</v>
      </c>
    </row>
    <row r="75" spans="1:21" s="826" customFormat="1" ht="15" customHeight="1" x14ac:dyDescent="0.3">
      <c r="A75" s="816"/>
      <c r="B75" s="657" t="s">
        <v>120</v>
      </c>
      <c r="C75" s="871"/>
      <c r="D75" s="871"/>
      <c r="E75" s="871"/>
      <c r="F75" s="871"/>
      <c r="G75" s="871"/>
      <c r="H75" s="871"/>
      <c r="I75" s="871"/>
      <c r="J75" s="871"/>
      <c r="K75" s="871"/>
      <c r="L75" s="871"/>
      <c r="M75" s="871"/>
      <c r="N75" s="872">
        <v>32</v>
      </c>
      <c r="O75" s="872">
        <v>43</v>
      </c>
      <c r="P75" s="872">
        <v>75</v>
      </c>
      <c r="Q75" s="872">
        <v>91</v>
      </c>
      <c r="R75" s="872">
        <v>99</v>
      </c>
      <c r="S75" s="872">
        <v>125</v>
      </c>
      <c r="T75" s="872">
        <v>150</v>
      </c>
      <c r="U75" s="872">
        <v>182</v>
      </c>
    </row>
    <row r="76" spans="1:21" s="826" customFormat="1" ht="15" customHeight="1" x14ac:dyDescent="0.3">
      <c r="A76" s="816"/>
      <c r="B76" s="657" t="s">
        <v>121</v>
      </c>
      <c r="C76" s="871"/>
      <c r="D76" s="871"/>
      <c r="E76" s="871"/>
      <c r="F76" s="871"/>
      <c r="G76" s="871"/>
      <c r="H76" s="871"/>
      <c r="I76" s="871"/>
      <c r="J76" s="871"/>
      <c r="K76" s="871"/>
      <c r="L76" s="871"/>
      <c r="M76" s="871"/>
      <c r="N76" s="872"/>
      <c r="O76" s="872"/>
      <c r="P76" s="872">
        <v>7</v>
      </c>
      <c r="Q76" s="872">
        <v>13</v>
      </c>
      <c r="R76" s="872">
        <v>25</v>
      </c>
      <c r="S76" s="872">
        <v>40</v>
      </c>
      <c r="T76" s="872">
        <v>47</v>
      </c>
      <c r="U76" s="872">
        <v>56</v>
      </c>
    </row>
    <row r="77" spans="1:21" s="826" customFormat="1" ht="15" customHeight="1" x14ac:dyDescent="0.3">
      <c r="A77" s="816"/>
      <c r="B77" s="665" t="s">
        <v>123</v>
      </c>
      <c r="C77" s="869"/>
      <c r="D77" s="869"/>
      <c r="E77" s="869"/>
      <c r="F77" s="869"/>
      <c r="G77" s="869"/>
      <c r="H77" s="869"/>
      <c r="I77" s="869"/>
      <c r="J77" s="869"/>
      <c r="K77" s="869"/>
      <c r="L77" s="869"/>
      <c r="M77" s="869"/>
      <c r="N77" s="873"/>
      <c r="O77" s="873"/>
      <c r="P77" s="873"/>
      <c r="Q77" s="873"/>
      <c r="R77" s="873"/>
      <c r="S77" s="873"/>
      <c r="T77" s="873"/>
      <c r="U77" s="873">
        <v>11</v>
      </c>
    </row>
    <row r="78" spans="1:21" s="826" customFormat="1" ht="15" customHeight="1" x14ac:dyDescent="0.3">
      <c r="A78" s="816"/>
      <c r="B78" s="673" t="s">
        <v>64</v>
      </c>
      <c r="C78" s="870"/>
      <c r="D78" s="870"/>
      <c r="E78" s="870"/>
      <c r="F78" s="870"/>
      <c r="G78" s="870"/>
      <c r="H78" s="870"/>
      <c r="I78" s="870"/>
      <c r="J78" s="870"/>
      <c r="K78" s="870"/>
      <c r="L78" s="870"/>
      <c r="M78" s="870"/>
      <c r="N78" s="870">
        <f t="shared" ref="N78:S78" si="18">SUM(N75:N76)</f>
        <v>32</v>
      </c>
      <c r="O78" s="870">
        <f t="shared" si="18"/>
        <v>43</v>
      </c>
      <c r="P78" s="870">
        <f t="shared" si="18"/>
        <v>82</v>
      </c>
      <c r="Q78" s="870">
        <f t="shared" si="18"/>
        <v>104</v>
      </c>
      <c r="R78" s="870">
        <f t="shared" si="18"/>
        <v>124</v>
      </c>
      <c r="S78" s="870">
        <f t="shared" si="18"/>
        <v>165</v>
      </c>
      <c r="T78" s="870">
        <f>SUM(T75:T76)</f>
        <v>197</v>
      </c>
      <c r="U78" s="870">
        <f>SUM(U75:U77)</f>
        <v>249</v>
      </c>
    </row>
    <row r="79" spans="1:21" s="826" customFormat="1" ht="15" customHeight="1" x14ac:dyDescent="0.3">
      <c r="A79" s="816"/>
      <c r="B79" s="665" t="s">
        <v>124</v>
      </c>
      <c r="C79" s="869"/>
      <c r="D79" s="869"/>
      <c r="E79" s="869"/>
      <c r="F79" s="869"/>
      <c r="G79" s="869"/>
      <c r="H79" s="869"/>
      <c r="I79" s="869"/>
      <c r="J79" s="869"/>
      <c r="K79" s="869"/>
      <c r="L79" s="869"/>
      <c r="M79" s="869"/>
      <c r="N79" s="873">
        <v>23</v>
      </c>
      <c r="O79" s="873">
        <v>37</v>
      </c>
      <c r="P79" s="873">
        <v>67</v>
      </c>
      <c r="Q79" s="873">
        <v>86</v>
      </c>
      <c r="R79" s="873">
        <v>93</v>
      </c>
      <c r="S79" s="873">
        <v>116</v>
      </c>
      <c r="T79" s="873">
        <v>135</v>
      </c>
      <c r="U79" s="873">
        <v>157</v>
      </c>
    </row>
    <row r="80" spans="1:21" s="826" customFormat="1" ht="15" customHeight="1" x14ac:dyDescent="0.3">
      <c r="A80" s="816"/>
      <c r="B80" s="665" t="s">
        <v>125</v>
      </c>
      <c r="C80" s="869"/>
      <c r="D80" s="869"/>
      <c r="E80" s="869"/>
      <c r="F80" s="869"/>
      <c r="G80" s="869"/>
      <c r="H80" s="869"/>
      <c r="I80" s="869"/>
      <c r="J80" s="869"/>
      <c r="K80" s="869"/>
      <c r="L80" s="869"/>
      <c r="M80" s="869"/>
      <c r="N80" s="873"/>
      <c r="O80" s="873"/>
      <c r="P80" s="873"/>
      <c r="Q80" s="873"/>
      <c r="R80" s="873"/>
      <c r="S80" s="873"/>
      <c r="T80" s="873">
        <v>12</v>
      </c>
      <c r="U80" s="873">
        <v>20</v>
      </c>
    </row>
    <row r="81" spans="1:21" s="826" customFormat="1" ht="15" customHeight="1" x14ac:dyDescent="0.3">
      <c r="A81" s="816"/>
      <c r="B81" s="5285" t="s">
        <v>247</v>
      </c>
      <c r="C81" s="869"/>
      <c r="D81" s="869"/>
      <c r="E81" s="869"/>
      <c r="F81" s="869"/>
      <c r="G81" s="869"/>
      <c r="H81" s="869"/>
      <c r="I81" s="869"/>
      <c r="J81" s="869"/>
      <c r="K81" s="869"/>
      <c r="L81" s="869"/>
      <c r="M81" s="869"/>
      <c r="N81" s="873"/>
      <c r="O81" s="873"/>
      <c r="P81" s="873"/>
      <c r="Q81" s="873"/>
      <c r="R81" s="873"/>
      <c r="S81" s="873"/>
      <c r="T81" s="873"/>
      <c r="U81" s="873">
        <v>15</v>
      </c>
    </row>
    <row r="82" spans="1:21" s="826" customFormat="1" ht="15" customHeight="1" x14ac:dyDescent="0.3">
      <c r="A82" s="816"/>
      <c r="B82" s="673" t="s">
        <v>92</v>
      </c>
      <c r="C82" s="870"/>
      <c r="D82" s="870"/>
      <c r="E82" s="870"/>
      <c r="F82" s="870"/>
      <c r="G82" s="870"/>
      <c r="H82" s="870"/>
      <c r="I82" s="870"/>
      <c r="J82" s="870"/>
      <c r="K82" s="870"/>
      <c r="L82" s="870"/>
      <c r="M82" s="870"/>
      <c r="N82" s="870">
        <f>SUM(N79)</f>
        <v>23</v>
      </c>
      <c r="O82" s="870">
        <f>SUM(O79)</f>
        <v>37</v>
      </c>
      <c r="P82" s="870">
        <f>SUM(P79)</f>
        <v>67</v>
      </c>
      <c r="Q82" s="870">
        <v>86</v>
      </c>
      <c r="R82" s="870">
        <f>SUM(R79)</f>
        <v>93</v>
      </c>
      <c r="S82" s="870">
        <f>SUM(S79)</f>
        <v>116</v>
      </c>
      <c r="T82" s="870">
        <f>SUM(T79:T80)</f>
        <v>147</v>
      </c>
      <c r="U82" s="870">
        <f>SUM(U79:U81)</f>
        <v>192</v>
      </c>
    </row>
    <row r="83" spans="1:21" s="826" customFormat="1" ht="15" customHeight="1" x14ac:dyDescent="0.3">
      <c r="A83" s="816"/>
      <c r="B83" s="480" t="s">
        <v>127</v>
      </c>
      <c r="C83" s="874"/>
      <c r="D83" s="874"/>
      <c r="E83" s="874"/>
      <c r="F83" s="874"/>
      <c r="G83" s="874"/>
      <c r="H83" s="874"/>
      <c r="I83" s="874"/>
      <c r="J83" s="874"/>
      <c r="K83" s="874"/>
      <c r="L83" s="874"/>
      <c r="M83" s="874"/>
      <c r="N83" s="875">
        <f t="shared" ref="N83:S83" si="19">SUM(N82,N78,N74)</f>
        <v>75</v>
      </c>
      <c r="O83" s="875">
        <f t="shared" si="19"/>
        <v>110</v>
      </c>
      <c r="P83" s="875">
        <f t="shared" si="19"/>
        <v>192</v>
      </c>
      <c r="Q83" s="875">
        <f t="shared" si="19"/>
        <v>243</v>
      </c>
      <c r="R83" s="875">
        <f t="shared" si="19"/>
        <v>286</v>
      </c>
      <c r="S83" s="875">
        <f t="shared" si="19"/>
        <v>368</v>
      </c>
      <c r="T83" s="875">
        <f t="shared" ref="T83:U83" si="20">SUM(T82,T78,T74)</f>
        <v>440</v>
      </c>
      <c r="U83" s="875">
        <f t="shared" si="20"/>
        <v>552</v>
      </c>
    </row>
    <row r="84" spans="1:21" s="826" customFormat="1" ht="15" customHeight="1" x14ac:dyDescent="0.3">
      <c r="A84" s="816"/>
      <c r="B84" s="74" t="s">
        <v>60</v>
      </c>
      <c r="C84" s="862">
        <v>3297</v>
      </c>
      <c r="D84" s="847">
        <v>3381</v>
      </c>
      <c r="E84" s="847">
        <v>3494</v>
      </c>
      <c r="F84" s="847">
        <v>3613</v>
      </c>
      <c r="G84" s="848">
        <v>3664</v>
      </c>
      <c r="H84" s="849">
        <v>3741</v>
      </c>
      <c r="I84" s="850">
        <v>3743</v>
      </c>
      <c r="J84" s="848">
        <v>3796</v>
      </c>
      <c r="K84" s="849">
        <v>3889</v>
      </c>
      <c r="L84" s="850">
        <v>3892</v>
      </c>
      <c r="M84" s="850">
        <v>3998</v>
      </c>
      <c r="N84" s="850">
        <v>4110</v>
      </c>
      <c r="O84" s="850">
        <v>4234</v>
      </c>
      <c r="P84" s="850">
        <v>4338</v>
      </c>
      <c r="Q84" s="850">
        <v>4478</v>
      </c>
      <c r="R84" s="850">
        <v>4624</v>
      </c>
      <c r="S84" s="850">
        <v>4775</v>
      </c>
      <c r="T84" s="850">
        <v>4925</v>
      </c>
      <c r="U84" s="850">
        <v>5058</v>
      </c>
    </row>
    <row r="85" spans="1:21" s="826" customFormat="1" ht="15" customHeight="1" x14ac:dyDescent="0.3">
      <c r="A85" s="816"/>
      <c r="B85" s="39" t="s">
        <v>94</v>
      </c>
      <c r="C85" s="827">
        <v>4765</v>
      </c>
      <c r="D85" s="828">
        <v>4957</v>
      </c>
      <c r="E85" s="828">
        <v>5151</v>
      </c>
      <c r="F85" s="828">
        <v>5327</v>
      </c>
      <c r="G85" s="829">
        <v>5402</v>
      </c>
      <c r="H85" s="830">
        <v>5498</v>
      </c>
      <c r="I85" s="831">
        <v>5498</v>
      </c>
      <c r="J85" s="829">
        <v>5570</v>
      </c>
      <c r="K85" s="830">
        <v>5681</v>
      </c>
      <c r="L85" s="831">
        <v>5673</v>
      </c>
      <c r="M85" s="831">
        <v>5847</v>
      </c>
      <c r="N85" s="831">
        <v>6018</v>
      </c>
      <c r="O85" s="831">
        <v>6200</v>
      </c>
      <c r="P85" s="831">
        <v>6373</v>
      </c>
      <c r="Q85" s="831">
        <v>6535</v>
      </c>
      <c r="R85" s="831">
        <v>6688</v>
      </c>
      <c r="S85" s="831">
        <v>6867</v>
      </c>
      <c r="T85" s="831">
        <v>7041</v>
      </c>
      <c r="U85" s="831">
        <v>7246</v>
      </c>
    </row>
    <row r="86" spans="1:21" s="826" customFormat="1" ht="15" customHeight="1" x14ac:dyDescent="0.3">
      <c r="A86" s="816"/>
      <c r="B86" s="39" t="s">
        <v>62</v>
      </c>
      <c r="C86" s="827">
        <v>1894</v>
      </c>
      <c r="D86" s="828">
        <v>1981</v>
      </c>
      <c r="E86" s="828">
        <v>2107</v>
      </c>
      <c r="F86" s="828">
        <v>2185</v>
      </c>
      <c r="G86" s="829">
        <v>2234</v>
      </c>
      <c r="H86" s="830">
        <v>2265</v>
      </c>
      <c r="I86" s="831">
        <v>2266</v>
      </c>
      <c r="J86" s="829">
        <v>2289</v>
      </c>
      <c r="K86" s="830">
        <v>2323</v>
      </c>
      <c r="L86" s="831">
        <v>2328</v>
      </c>
      <c r="M86" s="831">
        <v>2403</v>
      </c>
      <c r="N86" s="831">
        <v>2485</v>
      </c>
      <c r="O86" s="831">
        <v>2580</v>
      </c>
      <c r="P86" s="831">
        <v>2646</v>
      </c>
      <c r="Q86" s="831">
        <v>2780</v>
      </c>
      <c r="R86" s="831">
        <v>2854</v>
      </c>
      <c r="S86" s="831">
        <v>2996</v>
      </c>
      <c r="T86" s="831">
        <v>3105</v>
      </c>
      <c r="U86" s="831">
        <v>3253</v>
      </c>
    </row>
    <row r="87" spans="1:21" s="826" customFormat="1" ht="15" customHeight="1" x14ac:dyDescent="0.3">
      <c r="A87" s="816"/>
      <c r="B87" s="39" t="s">
        <v>95</v>
      </c>
      <c r="C87" s="827">
        <v>6886</v>
      </c>
      <c r="D87" s="828">
        <v>7270</v>
      </c>
      <c r="E87" s="828">
        <v>7558</v>
      </c>
      <c r="F87" s="828">
        <v>7831</v>
      </c>
      <c r="G87" s="829">
        <v>7940</v>
      </c>
      <c r="H87" s="830">
        <v>8092</v>
      </c>
      <c r="I87" s="831">
        <v>8092</v>
      </c>
      <c r="J87" s="829">
        <v>8239</v>
      </c>
      <c r="K87" s="830">
        <v>8423</v>
      </c>
      <c r="L87" s="831">
        <v>8424</v>
      </c>
      <c r="M87" s="831">
        <v>8719</v>
      </c>
      <c r="N87" s="831">
        <v>9004</v>
      </c>
      <c r="O87" s="831">
        <v>9307</v>
      </c>
      <c r="P87" s="831">
        <v>9590</v>
      </c>
      <c r="Q87" s="831">
        <v>9849</v>
      </c>
      <c r="R87" s="831">
        <v>10079</v>
      </c>
      <c r="S87" s="831">
        <v>10358</v>
      </c>
      <c r="T87" s="831">
        <v>10639</v>
      </c>
      <c r="U87" s="831">
        <v>10883</v>
      </c>
    </row>
    <row r="88" spans="1:21" s="826" customFormat="1" ht="15" customHeight="1" x14ac:dyDescent="0.3">
      <c r="A88" s="816"/>
      <c r="B88" s="39" t="s">
        <v>63</v>
      </c>
      <c r="C88" s="827">
        <v>2297</v>
      </c>
      <c r="D88" s="828">
        <v>2430</v>
      </c>
      <c r="E88" s="828">
        <v>2549</v>
      </c>
      <c r="F88" s="828">
        <v>2665</v>
      </c>
      <c r="G88" s="829">
        <v>2713</v>
      </c>
      <c r="H88" s="830">
        <v>2772</v>
      </c>
      <c r="I88" s="831">
        <v>2773</v>
      </c>
      <c r="J88" s="829">
        <v>2842</v>
      </c>
      <c r="K88" s="830">
        <v>2906</v>
      </c>
      <c r="L88" s="831">
        <v>2906</v>
      </c>
      <c r="M88" s="831">
        <v>3023</v>
      </c>
      <c r="N88" s="831">
        <v>3150</v>
      </c>
      <c r="O88" s="831">
        <v>3264</v>
      </c>
      <c r="P88" s="831">
        <v>3354</v>
      </c>
      <c r="Q88" s="831">
        <v>3475</v>
      </c>
      <c r="R88" s="831">
        <v>3573</v>
      </c>
      <c r="S88" s="831">
        <v>3701</v>
      </c>
      <c r="T88" s="831">
        <v>3799</v>
      </c>
      <c r="U88" s="831">
        <v>3927</v>
      </c>
    </row>
    <row r="89" spans="1:21" s="826" customFormat="1" ht="15" customHeight="1" x14ac:dyDescent="0.3">
      <c r="A89" s="816"/>
      <c r="B89" s="39" t="s">
        <v>96</v>
      </c>
      <c r="C89" s="827">
        <v>236</v>
      </c>
      <c r="D89" s="828">
        <v>282</v>
      </c>
      <c r="E89" s="828">
        <v>328</v>
      </c>
      <c r="F89" s="828">
        <v>381</v>
      </c>
      <c r="G89" s="829">
        <v>400</v>
      </c>
      <c r="H89" s="830">
        <v>426</v>
      </c>
      <c r="I89" s="831">
        <v>427</v>
      </c>
      <c r="J89" s="829">
        <v>453</v>
      </c>
      <c r="K89" s="830">
        <v>482</v>
      </c>
      <c r="L89" s="831">
        <v>482</v>
      </c>
      <c r="M89" s="831">
        <v>524</v>
      </c>
      <c r="N89" s="831">
        <v>557</v>
      </c>
      <c r="O89" s="831">
        <v>602</v>
      </c>
      <c r="P89" s="831">
        <v>649</v>
      </c>
      <c r="Q89" s="831">
        <v>693</v>
      </c>
      <c r="R89" s="831">
        <v>753</v>
      </c>
      <c r="S89" s="831">
        <v>815</v>
      </c>
      <c r="T89" s="831">
        <v>891</v>
      </c>
      <c r="U89" s="831">
        <v>969</v>
      </c>
    </row>
    <row r="90" spans="1:21" s="826" customFormat="1" ht="15" customHeight="1" x14ac:dyDescent="0.3">
      <c r="A90" s="816"/>
      <c r="B90" s="832" t="s">
        <v>64</v>
      </c>
      <c r="C90" s="833">
        <f t="shared" ref="C90:I90" si="21">SUM(C84:C89)</f>
        <v>19375</v>
      </c>
      <c r="D90" s="833">
        <f t="shared" si="21"/>
        <v>20301</v>
      </c>
      <c r="E90" s="833">
        <f t="shared" si="21"/>
        <v>21187</v>
      </c>
      <c r="F90" s="834">
        <f t="shared" si="21"/>
        <v>22002</v>
      </c>
      <c r="G90" s="833">
        <f t="shared" si="21"/>
        <v>22353</v>
      </c>
      <c r="H90" s="835">
        <f t="shared" si="21"/>
        <v>22794</v>
      </c>
      <c r="I90" s="836">
        <f t="shared" si="21"/>
        <v>22799</v>
      </c>
      <c r="J90" s="833">
        <f t="shared" ref="J90:P90" si="22">SUM(J84:J89)</f>
        <v>23189</v>
      </c>
      <c r="K90" s="835">
        <f t="shared" si="22"/>
        <v>23704</v>
      </c>
      <c r="L90" s="836">
        <f t="shared" si="22"/>
        <v>23705</v>
      </c>
      <c r="M90" s="836">
        <f t="shared" si="22"/>
        <v>24514</v>
      </c>
      <c r="N90" s="836">
        <f t="shared" si="22"/>
        <v>25324</v>
      </c>
      <c r="O90" s="836">
        <f t="shared" si="22"/>
        <v>26187</v>
      </c>
      <c r="P90" s="836">
        <f t="shared" si="22"/>
        <v>26950</v>
      </c>
      <c r="Q90" s="836">
        <f>SUM(Q84:Q89)</f>
        <v>27810</v>
      </c>
      <c r="R90" s="836">
        <f>SUM(R84:R89)</f>
        <v>28571</v>
      </c>
      <c r="S90" s="836">
        <f>SUM(S84:S89)</f>
        <v>29512</v>
      </c>
      <c r="T90" s="836">
        <f>SUM(T84:T89)</f>
        <v>30400</v>
      </c>
      <c r="U90" s="836">
        <f>SUM(U84:U89)</f>
        <v>31336</v>
      </c>
    </row>
    <row r="91" spans="1:21" s="826" customFormat="1" ht="15" customHeight="1" x14ac:dyDescent="0.3">
      <c r="A91" s="816"/>
      <c r="B91" s="39" t="s">
        <v>86</v>
      </c>
      <c r="C91" s="827">
        <v>2862</v>
      </c>
      <c r="D91" s="828">
        <v>3022</v>
      </c>
      <c r="E91" s="828">
        <v>3167</v>
      </c>
      <c r="F91" s="828">
        <v>3316</v>
      </c>
      <c r="G91" s="829">
        <v>3369</v>
      </c>
      <c r="H91" s="830">
        <v>3433</v>
      </c>
      <c r="I91" s="831">
        <v>3467</v>
      </c>
      <c r="J91" s="829">
        <v>3524</v>
      </c>
      <c r="K91" s="830">
        <v>3579</v>
      </c>
      <c r="L91" s="831">
        <v>3612</v>
      </c>
      <c r="M91" s="831">
        <v>3772</v>
      </c>
      <c r="N91" s="831">
        <v>3883</v>
      </c>
      <c r="O91" s="831">
        <v>4013</v>
      </c>
      <c r="P91" s="831">
        <v>4173</v>
      </c>
      <c r="Q91" s="831">
        <v>4339</v>
      </c>
      <c r="R91" s="831">
        <v>4469</v>
      </c>
      <c r="S91" s="831">
        <v>4604</v>
      </c>
      <c r="T91" s="831">
        <v>4781</v>
      </c>
      <c r="U91" s="831">
        <v>4950</v>
      </c>
    </row>
    <row r="92" spans="1:21" s="826" customFormat="1" ht="15" customHeight="1" x14ac:dyDescent="0.3">
      <c r="A92" s="816"/>
      <c r="B92" s="39" t="s">
        <v>97</v>
      </c>
      <c r="C92" s="827">
        <v>1387</v>
      </c>
      <c r="D92" s="828">
        <v>1479</v>
      </c>
      <c r="E92" s="828">
        <v>1592</v>
      </c>
      <c r="F92" s="828">
        <v>1704</v>
      </c>
      <c r="G92" s="829">
        <v>1756</v>
      </c>
      <c r="H92" s="830">
        <v>1819</v>
      </c>
      <c r="I92" s="831">
        <v>1844</v>
      </c>
      <c r="J92" s="829">
        <v>1885</v>
      </c>
      <c r="K92" s="830">
        <v>1947</v>
      </c>
      <c r="L92" s="831">
        <v>1970</v>
      </c>
      <c r="M92" s="831">
        <v>2082</v>
      </c>
      <c r="N92" s="831">
        <v>2191</v>
      </c>
      <c r="O92" s="831">
        <v>2292</v>
      </c>
      <c r="P92" s="831">
        <v>2394</v>
      </c>
      <c r="Q92" s="831">
        <v>2484</v>
      </c>
      <c r="R92" s="831">
        <v>2579</v>
      </c>
      <c r="S92" s="831">
        <v>2678</v>
      </c>
      <c r="T92" s="831">
        <v>2775</v>
      </c>
      <c r="U92" s="831">
        <v>2879</v>
      </c>
    </row>
    <row r="93" spans="1:21" s="826" customFormat="1" ht="15" customHeight="1" x14ac:dyDescent="0.3">
      <c r="A93" s="816"/>
      <c r="B93" s="39" t="s">
        <v>98</v>
      </c>
      <c r="C93" s="827">
        <v>5265</v>
      </c>
      <c r="D93" s="828">
        <v>5510</v>
      </c>
      <c r="E93" s="828">
        <v>5701</v>
      </c>
      <c r="F93" s="828">
        <v>5854</v>
      </c>
      <c r="G93" s="829">
        <v>5914</v>
      </c>
      <c r="H93" s="830">
        <v>5985</v>
      </c>
      <c r="I93" s="831">
        <v>6017</v>
      </c>
      <c r="J93" s="829">
        <v>6065</v>
      </c>
      <c r="K93" s="830">
        <v>6122</v>
      </c>
      <c r="L93" s="831">
        <v>6150</v>
      </c>
      <c r="M93" s="831">
        <v>6295</v>
      </c>
      <c r="N93" s="831">
        <v>6451</v>
      </c>
      <c r="O93" s="831">
        <v>6595</v>
      </c>
      <c r="P93" s="831">
        <v>6732</v>
      </c>
      <c r="Q93" s="831">
        <v>6903</v>
      </c>
      <c r="R93" s="831">
        <v>7025</v>
      </c>
      <c r="S93" s="831">
        <v>7187</v>
      </c>
      <c r="T93" s="831">
        <v>7341</v>
      </c>
      <c r="U93" s="831">
        <v>7479</v>
      </c>
    </row>
    <row r="94" spans="1:21" s="826" customFormat="1" ht="15" customHeight="1" x14ac:dyDescent="0.3">
      <c r="A94" s="816"/>
      <c r="B94" s="39" t="s">
        <v>99</v>
      </c>
      <c r="C94" s="827">
        <v>3566</v>
      </c>
      <c r="D94" s="828">
        <v>3735</v>
      </c>
      <c r="E94" s="828">
        <v>3942</v>
      </c>
      <c r="F94" s="828">
        <v>4116</v>
      </c>
      <c r="G94" s="829">
        <v>4174</v>
      </c>
      <c r="H94" s="830">
        <v>4260</v>
      </c>
      <c r="I94" s="831">
        <v>4344</v>
      </c>
      <c r="J94" s="829">
        <v>4400</v>
      </c>
      <c r="K94" s="830">
        <v>4470</v>
      </c>
      <c r="L94" s="831">
        <v>4522</v>
      </c>
      <c r="M94" s="831">
        <v>4680</v>
      </c>
      <c r="N94" s="831">
        <v>4853</v>
      </c>
      <c r="O94" s="831">
        <v>5004</v>
      </c>
      <c r="P94" s="831">
        <v>5211</v>
      </c>
      <c r="Q94" s="831">
        <v>5422</v>
      </c>
      <c r="R94" s="831">
        <v>5620</v>
      </c>
      <c r="S94" s="831">
        <v>5807</v>
      </c>
      <c r="T94" s="831">
        <v>6072</v>
      </c>
      <c r="U94" s="831">
        <v>6312</v>
      </c>
    </row>
    <row r="95" spans="1:21" s="826" customFormat="1" ht="15" customHeight="1" x14ac:dyDescent="0.3">
      <c r="A95" s="816"/>
      <c r="B95" s="39" t="s">
        <v>100</v>
      </c>
      <c r="C95" s="827">
        <v>4403</v>
      </c>
      <c r="D95" s="828">
        <v>4605</v>
      </c>
      <c r="E95" s="828">
        <v>4798</v>
      </c>
      <c r="F95" s="828">
        <v>5000</v>
      </c>
      <c r="G95" s="829">
        <v>5049</v>
      </c>
      <c r="H95" s="830">
        <v>5113</v>
      </c>
      <c r="I95" s="831">
        <v>5151</v>
      </c>
      <c r="J95" s="829">
        <v>5194</v>
      </c>
      <c r="K95" s="830">
        <v>5243</v>
      </c>
      <c r="L95" s="831">
        <v>5297</v>
      </c>
      <c r="M95" s="831">
        <v>5457</v>
      </c>
      <c r="N95" s="831">
        <v>5606</v>
      </c>
      <c r="O95" s="831">
        <v>5789</v>
      </c>
      <c r="P95" s="831">
        <v>5905</v>
      </c>
      <c r="Q95" s="831">
        <v>6025</v>
      </c>
      <c r="R95" s="831">
        <v>6186</v>
      </c>
      <c r="S95" s="831">
        <v>6367</v>
      </c>
      <c r="T95" s="831">
        <v>6555</v>
      </c>
      <c r="U95" s="831">
        <v>6726</v>
      </c>
    </row>
    <row r="96" spans="1:21" s="826" customFormat="1" ht="15" customHeight="1" x14ac:dyDescent="0.3">
      <c r="A96" s="816"/>
      <c r="B96" s="39" t="s">
        <v>101</v>
      </c>
      <c r="C96" s="827">
        <v>2447</v>
      </c>
      <c r="D96" s="828">
        <v>2490</v>
      </c>
      <c r="E96" s="828">
        <v>2559</v>
      </c>
      <c r="F96" s="828">
        <v>2643</v>
      </c>
      <c r="G96" s="829">
        <v>2680</v>
      </c>
      <c r="H96" s="830">
        <v>2735</v>
      </c>
      <c r="I96" s="831">
        <v>2754</v>
      </c>
      <c r="J96" s="829">
        <v>2787</v>
      </c>
      <c r="K96" s="830">
        <v>2837</v>
      </c>
      <c r="L96" s="831">
        <v>2867</v>
      </c>
      <c r="M96" s="831">
        <v>2977</v>
      </c>
      <c r="N96" s="831">
        <v>3105</v>
      </c>
      <c r="O96" s="831">
        <v>3224</v>
      </c>
      <c r="P96" s="831">
        <v>3328</v>
      </c>
      <c r="Q96" s="831">
        <v>3424</v>
      </c>
      <c r="R96" s="831">
        <v>3536</v>
      </c>
      <c r="S96" s="831">
        <v>3637</v>
      </c>
      <c r="T96" s="831">
        <v>3754</v>
      </c>
      <c r="U96" s="831">
        <v>3861</v>
      </c>
    </row>
    <row r="97" spans="1:21" s="826" customFormat="1" ht="15" customHeight="1" x14ac:dyDescent="0.3">
      <c r="A97" s="816"/>
      <c r="B97" s="39" t="s">
        <v>102</v>
      </c>
      <c r="C97" s="827">
        <v>4013</v>
      </c>
      <c r="D97" s="828">
        <v>4188</v>
      </c>
      <c r="E97" s="828">
        <v>4378</v>
      </c>
      <c r="F97" s="828">
        <v>4542</v>
      </c>
      <c r="G97" s="829">
        <v>4543</v>
      </c>
      <c r="H97" s="830">
        <v>4609</v>
      </c>
      <c r="I97" s="831">
        <v>4676</v>
      </c>
      <c r="J97" s="829">
        <v>4678</v>
      </c>
      <c r="K97" s="830">
        <v>4735</v>
      </c>
      <c r="L97" s="831">
        <v>4856</v>
      </c>
      <c r="M97" s="831">
        <v>5025</v>
      </c>
      <c r="N97" s="831">
        <v>5213</v>
      </c>
      <c r="O97" s="831">
        <v>5344</v>
      </c>
      <c r="P97" s="831">
        <v>5495</v>
      </c>
      <c r="Q97" s="831">
        <v>5628</v>
      </c>
      <c r="R97" s="831">
        <v>5748</v>
      </c>
      <c r="S97" s="831">
        <v>5880</v>
      </c>
      <c r="T97" s="831">
        <v>5985</v>
      </c>
      <c r="U97" s="831">
        <v>6146</v>
      </c>
    </row>
    <row r="98" spans="1:21" s="826" customFormat="1" ht="15" customHeight="1" x14ac:dyDescent="0.3">
      <c r="A98" s="816"/>
      <c r="B98" s="39" t="s">
        <v>103</v>
      </c>
      <c r="C98" s="827">
        <v>1791</v>
      </c>
      <c r="D98" s="828">
        <v>1999</v>
      </c>
      <c r="E98" s="828">
        <v>2084</v>
      </c>
      <c r="F98" s="828">
        <v>2207</v>
      </c>
      <c r="G98" s="829">
        <v>2249</v>
      </c>
      <c r="H98" s="830">
        <v>2303</v>
      </c>
      <c r="I98" s="831">
        <v>2314</v>
      </c>
      <c r="J98" s="829">
        <v>2358</v>
      </c>
      <c r="K98" s="830">
        <v>2407</v>
      </c>
      <c r="L98" s="831">
        <v>2437</v>
      </c>
      <c r="M98" s="831">
        <v>2552</v>
      </c>
      <c r="N98" s="831">
        <v>2683</v>
      </c>
      <c r="O98" s="831">
        <v>2796</v>
      </c>
      <c r="P98" s="831">
        <v>2942</v>
      </c>
      <c r="Q98" s="831">
        <v>3068</v>
      </c>
      <c r="R98" s="831">
        <v>3188</v>
      </c>
      <c r="S98" s="831">
        <v>3318</v>
      </c>
      <c r="T98" s="831">
        <v>3443</v>
      </c>
      <c r="U98" s="831">
        <v>3563</v>
      </c>
    </row>
    <row r="99" spans="1:21" s="826" customFormat="1" ht="15" customHeight="1" x14ac:dyDescent="0.3">
      <c r="A99" s="816"/>
      <c r="B99" s="832" t="s">
        <v>92</v>
      </c>
      <c r="C99" s="833">
        <f t="shared" ref="C99:P99" si="23">SUM(C91:C98)</f>
        <v>25734</v>
      </c>
      <c r="D99" s="833">
        <f t="shared" si="23"/>
        <v>27028</v>
      </c>
      <c r="E99" s="833">
        <f t="shared" si="23"/>
        <v>28221</v>
      </c>
      <c r="F99" s="834">
        <f t="shared" si="23"/>
        <v>29382</v>
      </c>
      <c r="G99" s="833">
        <f t="shared" si="23"/>
        <v>29734</v>
      </c>
      <c r="H99" s="835">
        <f t="shared" si="23"/>
        <v>30257</v>
      </c>
      <c r="I99" s="836">
        <f t="shared" si="23"/>
        <v>30567</v>
      </c>
      <c r="J99" s="833">
        <f t="shared" si="23"/>
        <v>30891</v>
      </c>
      <c r="K99" s="835">
        <f t="shared" si="23"/>
        <v>31340</v>
      </c>
      <c r="L99" s="836">
        <f t="shared" si="23"/>
        <v>31711</v>
      </c>
      <c r="M99" s="836">
        <f t="shared" si="23"/>
        <v>32840</v>
      </c>
      <c r="N99" s="836">
        <f t="shared" si="23"/>
        <v>33985</v>
      </c>
      <c r="O99" s="836">
        <f t="shared" si="23"/>
        <v>35057</v>
      </c>
      <c r="P99" s="836">
        <f t="shared" si="23"/>
        <v>36180</v>
      </c>
      <c r="Q99" s="836">
        <f>SUM(Q91:Q98)</f>
        <v>37293</v>
      </c>
      <c r="R99" s="836">
        <f>SUM(R91:R98)</f>
        <v>38351</v>
      </c>
      <c r="S99" s="836">
        <f>SUM(S91:S98)</f>
        <v>39478</v>
      </c>
      <c r="T99" s="836">
        <f>SUM(T91:T98)</f>
        <v>40706</v>
      </c>
      <c r="U99" s="836">
        <f>SUM(U91:U98)</f>
        <v>41916</v>
      </c>
    </row>
    <row r="100" spans="1:21" s="826" customFormat="1" ht="15" customHeight="1" x14ac:dyDescent="0.3">
      <c r="A100" s="816"/>
      <c r="B100" s="39" t="s">
        <v>65</v>
      </c>
      <c r="C100" s="827">
        <v>3187</v>
      </c>
      <c r="D100" s="828">
        <v>3398</v>
      </c>
      <c r="E100" s="828">
        <v>3607</v>
      </c>
      <c r="F100" s="828">
        <v>3796</v>
      </c>
      <c r="G100" s="829">
        <v>3873</v>
      </c>
      <c r="H100" s="830">
        <v>3977</v>
      </c>
      <c r="I100" s="831">
        <v>3979</v>
      </c>
      <c r="J100" s="829">
        <v>4066</v>
      </c>
      <c r="K100" s="830">
        <v>4141</v>
      </c>
      <c r="L100" s="831">
        <v>4148</v>
      </c>
      <c r="M100" s="831">
        <v>4357</v>
      </c>
      <c r="N100" s="831">
        <v>4525</v>
      </c>
      <c r="O100" s="831">
        <v>4670</v>
      </c>
      <c r="P100" s="831">
        <v>4831</v>
      </c>
      <c r="Q100" s="831">
        <v>5032</v>
      </c>
      <c r="R100" s="831">
        <v>5212</v>
      </c>
      <c r="S100" s="831">
        <v>5392</v>
      </c>
      <c r="T100" s="831">
        <v>5612</v>
      </c>
      <c r="U100" s="831">
        <v>5843</v>
      </c>
    </row>
    <row r="101" spans="1:21" s="826" customFormat="1" ht="15" customHeight="1" x14ac:dyDescent="0.3">
      <c r="A101" s="816"/>
      <c r="B101" s="39" t="s">
        <v>66</v>
      </c>
      <c r="C101" s="827">
        <v>2511</v>
      </c>
      <c r="D101" s="828">
        <v>2613</v>
      </c>
      <c r="E101" s="828">
        <v>2705</v>
      </c>
      <c r="F101" s="828">
        <v>2777</v>
      </c>
      <c r="G101" s="829">
        <v>2819</v>
      </c>
      <c r="H101" s="830">
        <v>2871</v>
      </c>
      <c r="I101" s="831">
        <v>2871</v>
      </c>
      <c r="J101" s="829">
        <v>2925</v>
      </c>
      <c r="K101" s="830">
        <v>2974</v>
      </c>
      <c r="L101" s="831">
        <v>2982</v>
      </c>
      <c r="M101" s="831">
        <v>3103</v>
      </c>
      <c r="N101" s="831">
        <v>3198</v>
      </c>
      <c r="O101" s="831">
        <v>3322</v>
      </c>
      <c r="P101" s="831">
        <v>3408</v>
      </c>
      <c r="Q101" s="831">
        <v>3504</v>
      </c>
      <c r="R101" s="831">
        <v>3590</v>
      </c>
      <c r="S101" s="831">
        <v>3703</v>
      </c>
      <c r="T101" s="831">
        <v>3801</v>
      </c>
      <c r="U101" s="831">
        <v>3889</v>
      </c>
    </row>
    <row r="102" spans="1:21" s="826" customFormat="1" ht="15" customHeight="1" x14ac:dyDescent="0.3">
      <c r="A102" s="816"/>
      <c r="B102" s="39" t="s">
        <v>67</v>
      </c>
      <c r="C102" s="827">
        <v>1848</v>
      </c>
      <c r="D102" s="828">
        <v>1955</v>
      </c>
      <c r="E102" s="828">
        <v>2034</v>
      </c>
      <c r="F102" s="828">
        <v>2109</v>
      </c>
      <c r="G102" s="829">
        <v>2133</v>
      </c>
      <c r="H102" s="830">
        <v>2156</v>
      </c>
      <c r="I102" s="831">
        <v>2156</v>
      </c>
      <c r="J102" s="829">
        <v>2200</v>
      </c>
      <c r="K102" s="830">
        <v>2231</v>
      </c>
      <c r="L102" s="831">
        <v>2231</v>
      </c>
      <c r="M102" s="831">
        <v>2304</v>
      </c>
      <c r="N102" s="831">
        <v>2376</v>
      </c>
      <c r="O102" s="831">
        <v>2471</v>
      </c>
      <c r="P102" s="831">
        <v>2562</v>
      </c>
      <c r="Q102" s="831">
        <v>2642</v>
      </c>
      <c r="R102" s="831">
        <v>2736</v>
      </c>
      <c r="S102" s="831">
        <v>2811</v>
      </c>
      <c r="T102" s="831">
        <v>2875</v>
      </c>
      <c r="U102" s="831">
        <v>2961</v>
      </c>
    </row>
    <row r="103" spans="1:21" s="826" customFormat="1" ht="15" customHeight="1" x14ac:dyDescent="0.3">
      <c r="A103" s="816"/>
      <c r="B103" s="39" t="s">
        <v>104</v>
      </c>
      <c r="C103" s="827">
        <v>888</v>
      </c>
      <c r="D103" s="828">
        <v>932</v>
      </c>
      <c r="E103" s="828">
        <v>998</v>
      </c>
      <c r="F103" s="828">
        <v>1039</v>
      </c>
      <c r="G103" s="829">
        <v>1063</v>
      </c>
      <c r="H103" s="830">
        <v>1090</v>
      </c>
      <c r="I103" s="831">
        <v>1090</v>
      </c>
      <c r="J103" s="829">
        <v>1124</v>
      </c>
      <c r="K103" s="830">
        <v>1169</v>
      </c>
      <c r="L103" s="831">
        <v>1169</v>
      </c>
      <c r="M103" s="831">
        <v>1219</v>
      </c>
      <c r="N103" s="831">
        <v>1292</v>
      </c>
      <c r="O103" s="831">
        <v>1377</v>
      </c>
      <c r="P103" s="831">
        <v>1442</v>
      </c>
      <c r="Q103" s="831">
        <v>1504</v>
      </c>
      <c r="R103" s="831">
        <v>1573</v>
      </c>
      <c r="S103" s="831">
        <v>1640</v>
      </c>
      <c r="T103" s="831">
        <v>1701</v>
      </c>
      <c r="U103" s="831">
        <v>1762</v>
      </c>
    </row>
    <row r="104" spans="1:21" s="826" customFormat="1" ht="15" customHeight="1" x14ac:dyDescent="0.3">
      <c r="A104" s="816"/>
      <c r="B104" s="436" t="s">
        <v>68</v>
      </c>
      <c r="C104" s="837">
        <f t="shared" ref="C104:N104" si="24">SUM(C100:C103)</f>
        <v>8434</v>
      </c>
      <c r="D104" s="837">
        <f t="shared" si="24"/>
        <v>8898</v>
      </c>
      <c r="E104" s="837">
        <f t="shared" si="24"/>
        <v>9344</v>
      </c>
      <c r="F104" s="838">
        <f t="shared" si="24"/>
        <v>9721</v>
      </c>
      <c r="G104" s="837">
        <f t="shared" si="24"/>
        <v>9888</v>
      </c>
      <c r="H104" s="839">
        <f t="shared" si="24"/>
        <v>10094</v>
      </c>
      <c r="I104" s="840">
        <f t="shared" si="24"/>
        <v>10096</v>
      </c>
      <c r="J104" s="837">
        <f t="shared" si="24"/>
        <v>10315</v>
      </c>
      <c r="K104" s="839">
        <f t="shared" si="24"/>
        <v>10515</v>
      </c>
      <c r="L104" s="840">
        <f t="shared" si="24"/>
        <v>10530</v>
      </c>
      <c r="M104" s="840">
        <f t="shared" si="24"/>
        <v>10983</v>
      </c>
      <c r="N104" s="840">
        <f t="shared" si="24"/>
        <v>11391</v>
      </c>
      <c r="O104" s="840">
        <f t="shared" ref="O104:T104" si="25">SUM(O100:O103)</f>
        <v>11840</v>
      </c>
      <c r="P104" s="840">
        <f t="shared" si="25"/>
        <v>12243</v>
      </c>
      <c r="Q104" s="840">
        <f t="shared" si="25"/>
        <v>12682</v>
      </c>
      <c r="R104" s="840">
        <f t="shared" si="25"/>
        <v>13111</v>
      </c>
      <c r="S104" s="840">
        <f t="shared" si="25"/>
        <v>13546</v>
      </c>
      <c r="T104" s="840">
        <f t="shared" si="25"/>
        <v>13989</v>
      </c>
      <c r="U104" s="840">
        <f>SUM(U100:U103)</f>
        <v>14455</v>
      </c>
    </row>
    <row r="105" spans="1:21" s="826" customFormat="1" ht="15" customHeight="1" x14ac:dyDescent="0.3">
      <c r="A105" s="816"/>
      <c r="B105" s="484" t="s">
        <v>105</v>
      </c>
      <c r="C105" s="876">
        <f>SUM(C104,C99,C90)</f>
        <v>53543</v>
      </c>
      <c r="D105" s="876">
        <f>SUM(D104,D99,D90)</f>
        <v>56227</v>
      </c>
      <c r="E105" s="876">
        <f>SUM(E104,E99,E90)</f>
        <v>58752</v>
      </c>
      <c r="F105" s="877">
        <f>SUM(F104,F99,F90)</f>
        <v>61105</v>
      </c>
      <c r="G105" s="876">
        <f>SUM(G104,G99,G90)</f>
        <v>61975</v>
      </c>
      <c r="H105" s="878">
        <f>SUM(H90,H99,H104)</f>
        <v>63145</v>
      </c>
      <c r="I105" s="879">
        <f>SUM(I90,I99,I104)</f>
        <v>63462</v>
      </c>
      <c r="J105" s="876">
        <f>SUM(J104,J99,J90)</f>
        <v>64395</v>
      </c>
      <c r="K105" s="878">
        <f t="shared" ref="K105:P105" si="26">SUM(K90,K99,K104)</f>
        <v>65559</v>
      </c>
      <c r="L105" s="879">
        <f t="shared" si="26"/>
        <v>65946</v>
      </c>
      <c r="M105" s="879">
        <f t="shared" si="26"/>
        <v>68337</v>
      </c>
      <c r="N105" s="879">
        <f t="shared" si="26"/>
        <v>70700</v>
      </c>
      <c r="O105" s="879">
        <f t="shared" si="26"/>
        <v>73084</v>
      </c>
      <c r="P105" s="879">
        <f t="shared" si="26"/>
        <v>75373</v>
      </c>
      <c r="Q105" s="879">
        <f>SUM(Q90,Q99,Q104)</f>
        <v>77785</v>
      </c>
      <c r="R105" s="879">
        <f>SUM(R90,R99,R104)</f>
        <v>80033</v>
      </c>
      <c r="S105" s="879">
        <f>SUM(S90,S99,S104)</f>
        <v>82536</v>
      </c>
      <c r="T105" s="879">
        <f>SUM(T90,T99,T104)</f>
        <v>85095</v>
      </c>
      <c r="U105" s="879">
        <f>SUM(U90,U99,U104)</f>
        <v>87707</v>
      </c>
    </row>
    <row r="106" spans="1:21" s="826" customFormat="1" ht="15" customHeight="1" x14ac:dyDescent="0.3">
      <c r="A106" s="816"/>
      <c r="B106" s="880"/>
      <c r="C106" s="127"/>
      <c r="D106" s="881"/>
      <c r="E106" s="881"/>
      <c r="F106" s="882"/>
      <c r="G106" s="882"/>
      <c r="H106" s="882"/>
      <c r="I106" s="882"/>
      <c r="J106" s="882"/>
      <c r="K106" s="882"/>
      <c r="L106" s="882"/>
      <c r="M106" s="882"/>
      <c r="N106" s="882"/>
      <c r="O106" s="882"/>
      <c r="P106" s="882"/>
      <c r="Q106" s="882"/>
      <c r="R106" s="882"/>
      <c r="S106" s="882"/>
      <c r="T106" s="882"/>
      <c r="U106" s="882"/>
    </row>
    <row r="107" spans="1:21" s="888" customFormat="1" ht="16.8" x14ac:dyDescent="0.3">
      <c r="A107" s="816"/>
      <c r="B107" s="883" t="s">
        <v>128</v>
      </c>
      <c r="C107" s="884">
        <f t="shared" ref="C107:I107" si="27">SUM(C24,C39,C71,C105)</f>
        <v>111709</v>
      </c>
      <c r="D107" s="884">
        <f>SUM(D24,D39,D71,D105)</f>
        <v>116618</v>
      </c>
      <c r="E107" s="884">
        <f t="shared" si="27"/>
        <v>121589</v>
      </c>
      <c r="F107" s="884">
        <f t="shared" si="27"/>
        <v>126090</v>
      </c>
      <c r="G107" s="885">
        <f t="shared" si="27"/>
        <v>127729</v>
      </c>
      <c r="H107" s="886">
        <f t="shared" si="27"/>
        <v>129822</v>
      </c>
      <c r="I107" s="887">
        <f t="shared" si="27"/>
        <v>130831</v>
      </c>
      <c r="J107" s="885">
        <f>SUM(J24,J39,J71,J105)</f>
        <v>132606</v>
      </c>
      <c r="K107" s="886">
        <f>SUM(K24,K39,K71,K105)</f>
        <v>134962</v>
      </c>
      <c r="L107" s="887">
        <f>SUM(L24,L39,L71,L105)</f>
        <v>136236</v>
      </c>
      <c r="M107" s="887">
        <f>SUM(M24,M39,M71,M105)</f>
        <v>141322</v>
      </c>
      <c r="N107" s="887">
        <f t="shared" ref="N107:S107" si="28">SUM(N24,N39,N71,N83,N105)</f>
        <v>146497</v>
      </c>
      <c r="O107" s="887">
        <f t="shared" si="28"/>
        <v>151720</v>
      </c>
      <c r="P107" s="887">
        <f t="shared" si="28"/>
        <v>157477</v>
      </c>
      <c r="Q107" s="887">
        <f t="shared" si="28"/>
        <v>163045</v>
      </c>
      <c r="R107" s="887">
        <f t="shared" si="28"/>
        <v>168542</v>
      </c>
      <c r="S107" s="887">
        <f t="shared" si="28"/>
        <v>174095</v>
      </c>
      <c r="T107" s="887">
        <f t="shared" ref="T107:U107" si="29">SUM(T24,T39,T71,T83,T105)</f>
        <v>179852</v>
      </c>
      <c r="U107" s="887">
        <f t="shared" si="29"/>
        <v>185534</v>
      </c>
    </row>
    <row r="108" spans="1:21" s="889" customFormat="1" ht="15" customHeight="1" x14ac:dyDescent="0.3">
      <c r="A108" s="816"/>
      <c r="C108" s="754"/>
      <c r="D108" s="890"/>
      <c r="E108" s="890"/>
      <c r="F108" s="891"/>
      <c r="R108" s="892"/>
      <c r="S108" s="747"/>
      <c r="T108" s="4645"/>
      <c r="U108" s="4645"/>
    </row>
    <row r="109" spans="1:21" s="889" customFormat="1" ht="15" customHeight="1" x14ac:dyDescent="0.3">
      <c r="A109" s="890"/>
      <c r="B109" s="795" t="s">
        <v>181</v>
      </c>
      <c r="C109" s="893"/>
      <c r="D109" s="890"/>
      <c r="E109" s="890"/>
      <c r="F109" s="890"/>
    </row>
    <row r="110" spans="1:21" x14ac:dyDescent="0.25">
      <c r="B110" s="393" t="s">
        <v>151</v>
      </c>
      <c r="D110" s="894"/>
      <c r="E110" s="894"/>
      <c r="L110" s="894"/>
    </row>
    <row r="111" spans="1:21" x14ac:dyDescent="0.25">
      <c r="E111" s="894"/>
      <c r="M111" s="894"/>
    </row>
    <row r="112" spans="1:21" x14ac:dyDescent="0.25">
      <c r="I112" s="894"/>
    </row>
  </sheetData>
  <hyperlinks>
    <hyperlink ref="B2" r:id="rId1" display="http://www.transparencia.uam.mx/inforganos/anuarios/_x000a_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scale="67" firstPageNumber="36" orientation="landscape" useFirstPageNumber="1" r:id="rId2"/>
  <headerFooter scaleWithDoc="0" alignWithMargins="0">
    <oddFooter>&amp;R&amp;P</oddFooter>
  </headerFooter>
  <rowBreaks count="3" manualBreakCount="3">
    <brk id="39" min="1" max="1" man="1"/>
    <brk id="39" min="11" max="20" man="1"/>
    <brk id="71" min="11" max="20" man="1"/>
  </rowBreaks>
  <ignoredErrors>
    <ignoredError sqref="C23:T24 C14:S22 C38:T39 C25:S37 C70:T71 C40:S69 C82:T83 C78:S80 C104:T107 C84:S103 C74:S76 C72:S72" formulaRange="1"/>
  </ignoredErrors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B1:Y71"/>
  <sheetViews>
    <sheetView showGridLines="0" zoomScaleNormal="100" zoomScaleSheetLayoutView="70" workbookViewId="0">
      <pane xSplit="2" ySplit="4" topLeftCell="C26" activePane="bottomRight" state="frozen"/>
      <selection activeCell="Q31" sqref="Q31"/>
      <selection pane="topRight" activeCell="Q31" sqref="Q31"/>
      <selection pane="bottomLeft" activeCell="Q31" sqref="Q31"/>
      <selection pane="bottomRight"/>
    </sheetView>
  </sheetViews>
  <sheetFormatPr baseColWidth="10" defaultColWidth="11.44140625" defaultRowHeight="13.2" x14ac:dyDescent="0.25"/>
  <cols>
    <col min="1" max="1" width="1.5546875" style="569" customWidth="1"/>
    <col min="2" max="2" width="17.5546875" style="569" customWidth="1"/>
    <col min="3" max="6" width="12.88671875" style="569" customWidth="1"/>
    <col min="7" max="8" width="9.88671875" style="569" hidden="1" customWidth="1"/>
    <col min="9" max="9" width="9.88671875" style="569" customWidth="1"/>
    <col min="10" max="11" width="9.88671875" style="569" hidden="1" customWidth="1"/>
    <col min="12" max="18" width="9.88671875" style="569" customWidth="1"/>
    <col min="19" max="19" width="9.5546875" style="569" customWidth="1"/>
    <col min="20" max="20" width="9.44140625" style="569" customWidth="1"/>
    <col min="21" max="21" width="9.5546875" style="569" customWidth="1"/>
    <col min="22" max="16384" width="11.44140625" style="569"/>
  </cols>
  <sheetData>
    <row r="1" spans="2:21" ht="82.8" x14ac:dyDescent="0.25">
      <c r="B1" s="815" t="s">
        <v>179</v>
      </c>
      <c r="C1" s="895"/>
      <c r="D1" s="895"/>
      <c r="E1" s="895"/>
    </row>
    <row r="2" spans="2:21" ht="15" x14ac:dyDescent="0.25">
      <c r="B2" s="896"/>
      <c r="C2" s="896"/>
    </row>
    <row r="3" spans="2:21" ht="14.4" x14ac:dyDescent="0.25">
      <c r="B3" s="552" t="s">
        <v>160</v>
      </c>
      <c r="C3" s="819">
        <v>2008</v>
      </c>
      <c r="D3" s="819">
        <v>2009</v>
      </c>
      <c r="E3" s="819">
        <v>2010</v>
      </c>
      <c r="F3" s="819">
        <v>2011</v>
      </c>
      <c r="G3" s="819">
        <v>2012</v>
      </c>
      <c r="H3" s="819">
        <v>2012</v>
      </c>
      <c r="I3" s="819">
        <v>2012</v>
      </c>
      <c r="J3" s="819">
        <v>2013</v>
      </c>
      <c r="K3" s="819">
        <v>2013</v>
      </c>
      <c r="L3" s="819">
        <v>2013</v>
      </c>
      <c r="M3" s="819">
        <v>2014</v>
      </c>
      <c r="N3" s="819">
        <v>2015</v>
      </c>
      <c r="O3" s="819">
        <v>2016</v>
      </c>
      <c r="P3" s="819">
        <v>2017</v>
      </c>
      <c r="Q3" s="819">
        <v>2018</v>
      </c>
      <c r="R3" s="819">
        <v>2019</v>
      </c>
      <c r="S3" s="819">
        <v>2020</v>
      </c>
      <c r="T3" s="819">
        <v>2021</v>
      </c>
      <c r="U3" s="819">
        <v>2022</v>
      </c>
    </row>
    <row r="4" spans="2:21" ht="13.8" x14ac:dyDescent="0.25">
      <c r="B4" s="557"/>
      <c r="C4" s="557"/>
      <c r="D4" s="557"/>
      <c r="E4" s="557"/>
      <c r="F4" s="557"/>
      <c r="G4" s="557"/>
      <c r="H4" s="557"/>
      <c r="I4" s="557"/>
      <c r="J4" s="557"/>
      <c r="K4" s="557"/>
      <c r="L4" s="557"/>
      <c r="M4" s="557"/>
      <c r="N4" s="557"/>
      <c r="O4" s="557"/>
      <c r="P4" s="557"/>
      <c r="Q4" s="557"/>
      <c r="R4" s="557"/>
      <c r="S4" s="557"/>
      <c r="T4" s="557"/>
      <c r="U4" s="557"/>
    </row>
    <row r="5" spans="2:21" ht="15" customHeight="1" x14ac:dyDescent="0.25">
      <c r="B5" s="897" t="s">
        <v>59</v>
      </c>
      <c r="C5" s="898">
        <f>SUM('EGRESO-ACUM plan'!C4:C13)</f>
        <v>9942</v>
      </c>
      <c r="D5" s="898">
        <f>SUM('EGRESO-ACUM plan'!D4:D13)</f>
        <v>10318</v>
      </c>
      <c r="E5" s="898">
        <f>SUM('EGRESO-ACUM plan'!E4:E13)</f>
        <v>10721</v>
      </c>
      <c r="F5" s="898">
        <f>SUM('EGRESO-ACUM plan'!F4:F13)</f>
        <v>11136</v>
      </c>
      <c r="G5" s="899">
        <f>SUM('EGRESO-ACUM plan'!G4:G13)</f>
        <v>11250</v>
      </c>
      <c r="H5" s="900">
        <f>SUM('EGRESO-ACUM plan'!H4:H13)</f>
        <v>11384</v>
      </c>
      <c r="I5" s="901">
        <f>SUM('EGRESO-ACUM plan'!I4:I13)</f>
        <v>11506</v>
      </c>
      <c r="J5" s="899">
        <f>SUM('EGRESO-ACUM plan'!J4:J13)</f>
        <v>11646</v>
      </c>
      <c r="K5" s="900">
        <f>SUM('EGRESO-ACUM plan'!K4:K13)</f>
        <v>11877</v>
      </c>
      <c r="L5" s="901">
        <f>SUM('EGRESO-ACUM plan'!L4:L13)</f>
        <v>12057</v>
      </c>
      <c r="M5" s="901">
        <f>SUM('EGRESO-ACUM plan'!M4:M13)</f>
        <v>12632</v>
      </c>
      <c r="N5" s="901">
        <f>SUM('EGRESO-ACUM plan'!N4:N13)</f>
        <v>13144</v>
      </c>
      <c r="O5" s="901">
        <f>SUM('EGRESO-ACUM plan'!O4:O13)</f>
        <v>13672</v>
      </c>
      <c r="P5" s="901">
        <f>SUM('EGRESO-ACUM plan'!P4:P13)</f>
        <v>14392</v>
      </c>
      <c r="Q5" s="901">
        <f>SUM('EGRESO-ACUM plan'!Q4:Q13)</f>
        <v>14928</v>
      </c>
      <c r="R5" s="901">
        <f>SUM('EGRESO-ACUM plan'!R4:R13)</f>
        <v>15441</v>
      </c>
      <c r="S5" s="901">
        <f>SUM('EGRESO-ACUM plan'!S4:S13)</f>
        <v>15786</v>
      </c>
      <c r="T5" s="901">
        <f>SUM('EGRESO-ACUM plan'!T4:T13)</f>
        <v>16197</v>
      </c>
      <c r="U5" s="901">
        <f>SUM('EGRESO-ACUM plan'!U4:U13)</f>
        <v>16734</v>
      </c>
    </row>
    <row r="6" spans="2:21" ht="15" customHeight="1" x14ac:dyDescent="0.25">
      <c r="B6" s="902" t="s">
        <v>64</v>
      </c>
      <c r="C6" s="903">
        <f>SUM('EGRESO-ACUM plan'!C15:C18)</f>
        <v>14997</v>
      </c>
      <c r="D6" s="903">
        <f>SUM('EGRESO-ACUM plan'!D15:D18)</f>
        <v>15512</v>
      </c>
      <c r="E6" s="903">
        <f>SUM('EGRESO-ACUM plan'!E15:E18)</f>
        <v>16039</v>
      </c>
      <c r="F6" s="903">
        <f>SUM('EGRESO-ACUM plan'!F15:F18)</f>
        <v>16490</v>
      </c>
      <c r="G6" s="904">
        <f>SUM('EGRESO-ACUM plan'!G15:G18)</f>
        <v>16659</v>
      </c>
      <c r="H6" s="881">
        <f>SUM('EGRESO-ACUM plan'!H15:H18)</f>
        <v>16853</v>
      </c>
      <c r="I6" s="905">
        <f>SUM('EGRESO-ACUM plan'!I15:I18)</f>
        <v>17037</v>
      </c>
      <c r="J6" s="904">
        <f>SUM('EGRESO-ACUM plan'!J15:J18)</f>
        <v>17275</v>
      </c>
      <c r="K6" s="881">
        <f>SUM('EGRESO-ACUM plan'!K15:K18)</f>
        <v>17582</v>
      </c>
      <c r="L6" s="905">
        <f>SUM('EGRESO-ACUM plan'!L15:L18)</f>
        <v>17787</v>
      </c>
      <c r="M6" s="905">
        <f>SUM('EGRESO-ACUM plan'!M15:M18)</f>
        <v>18359</v>
      </c>
      <c r="N6" s="905">
        <f>SUM('EGRESO-ACUM plan'!N15:N18)</f>
        <v>19015</v>
      </c>
      <c r="O6" s="905">
        <f>SUM('EGRESO-ACUM plan'!O15:O18)</f>
        <v>19606</v>
      </c>
      <c r="P6" s="905">
        <f>SUM('EGRESO-ACUM plan'!P15:P18)</f>
        <v>20316</v>
      </c>
      <c r="Q6" s="905">
        <f>SUM('EGRESO-ACUM plan'!Q15:Q18)</f>
        <v>20998</v>
      </c>
      <c r="R6" s="905">
        <f>SUM('EGRESO-ACUM plan'!R15:R18)</f>
        <v>21657</v>
      </c>
      <c r="S6" s="905">
        <f>SUM('EGRESO-ACUM plan'!S15:S18)</f>
        <v>22335</v>
      </c>
      <c r="T6" s="905">
        <f>SUM('EGRESO-ACUM plan'!T15:T18)</f>
        <v>22943</v>
      </c>
      <c r="U6" s="905">
        <f>SUM('EGRESO-ACUM plan'!U15:U18)</f>
        <v>23454</v>
      </c>
    </row>
    <row r="7" spans="2:21" ht="15" customHeight="1" x14ac:dyDescent="0.25">
      <c r="B7" s="902" t="s">
        <v>68</v>
      </c>
      <c r="C7" s="903">
        <f>SUM('EGRESO-ACUM plan'!C20:C22)</f>
        <v>9180</v>
      </c>
      <c r="D7" s="903">
        <f>SUM('EGRESO-ACUM plan'!D20:D22)</f>
        <v>9545</v>
      </c>
      <c r="E7" s="903">
        <f>SUM('EGRESO-ACUM plan'!E20:E22)</f>
        <v>9873</v>
      </c>
      <c r="F7" s="903">
        <f>SUM('EGRESO-ACUM plan'!F20:F22)</f>
        <v>10117</v>
      </c>
      <c r="G7" s="904">
        <f>SUM('EGRESO-ACUM plan'!G20:G22)</f>
        <v>10212</v>
      </c>
      <c r="H7" s="881">
        <f>SUM('EGRESO-ACUM plan'!H20:H22)</f>
        <v>10332</v>
      </c>
      <c r="I7" s="905">
        <f>SUM('EGRESO-ACUM plan'!I20:I22)</f>
        <v>10371</v>
      </c>
      <c r="J7" s="904">
        <f>SUM('EGRESO-ACUM plan'!J20:J22)</f>
        <v>10485</v>
      </c>
      <c r="K7" s="881">
        <f>SUM('EGRESO-ACUM plan'!K20:K22)</f>
        <v>10655</v>
      </c>
      <c r="L7" s="905">
        <f>SUM('EGRESO-ACUM plan'!L20:L22)</f>
        <v>10707</v>
      </c>
      <c r="M7" s="905">
        <f>SUM('EGRESO-ACUM plan'!M20:M22)</f>
        <v>11052</v>
      </c>
      <c r="N7" s="905">
        <f>SUM('EGRESO-ACUM plan'!N20:N22)</f>
        <v>11396</v>
      </c>
      <c r="O7" s="905">
        <f>SUM('EGRESO-ACUM plan'!O20:O22)</f>
        <v>11726</v>
      </c>
      <c r="P7" s="905">
        <f>SUM('EGRESO-ACUM plan'!P20:P22)</f>
        <v>12175</v>
      </c>
      <c r="Q7" s="905">
        <f>SUM('EGRESO-ACUM plan'!Q20:Q22)</f>
        <v>12522</v>
      </c>
      <c r="R7" s="905">
        <f>SUM('EGRESO-ACUM plan'!R20:R22)</f>
        <v>12932</v>
      </c>
      <c r="S7" s="905">
        <f>SUM('EGRESO-ACUM plan'!S20:S22)</f>
        <v>13363</v>
      </c>
      <c r="T7" s="905">
        <f>SUM('EGRESO-ACUM plan'!T20:T22)</f>
        <v>13784</v>
      </c>
      <c r="U7" s="905">
        <f>SUM('EGRESO-ACUM plan'!U20:U22)</f>
        <v>14208</v>
      </c>
    </row>
    <row r="8" spans="2:21" ht="15" customHeight="1" x14ac:dyDescent="0.25">
      <c r="B8" s="566" t="s">
        <v>138</v>
      </c>
      <c r="C8" s="906">
        <f t="shared" ref="C8:I8" si="0">SUM(C5:C7)</f>
        <v>34119</v>
      </c>
      <c r="D8" s="906">
        <f t="shared" si="0"/>
        <v>35375</v>
      </c>
      <c r="E8" s="906">
        <f t="shared" si="0"/>
        <v>36633</v>
      </c>
      <c r="F8" s="906">
        <f t="shared" si="0"/>
        <v>37743</v>
      </c>
      <c r="G8" s="907">
        <f t="shared" si="0"/>
        <v>38121</v>
      </c>
      <c r="H8" s="908">
        <f t="shared" si="0"/>
        <v>38569</v>
      </c>
      <c r="I8" s="909">
        <f t="shared" si="0"/>
        <v>38914</v>
      </c>
      <c r="J8" s="907">
        <f t="shared" ref="J8:O8" si="1">SUM(J5:J7)</f>
        <v>39406</v>
      </c>
      <c r="K8" s="908">
        <f t="shared" si="1"/>
        <v>40114</v>
      </c>
      <c r="L8" s="909">
        <f t="shared" si="1"/>
        <v>40551</v>
      </c>
      <c r="M8" s="909">
        <f t="shared" si="1"/>
        <v>42043</v>
      </c>
      <c r="N8" s="909">
        <f t="shared" si="1"/>
        <v>43555</v>
      </c>
      <c r="O8" s="909">
        <f t="shared" si="1"/>
        <v>45004</v>
      </c>
      <c r="P8" s="909">
        <f t="shared" ref="P8:U8" si="2">SUM(P5:P7)</f>
        <v>46883</v>
      </c>
      <c r="Q8" s="909">
        <f t="shared" si="2"/>
        <v>48448</v>
      </c>
      <c r="R8" s="909">
        <f t="shared" si="2"/>
        <v>50030</v>
      </c>
      <c r="S8" s="909">
        <f t="shared" si="2"/>
        <v>51484</v>
      </c>
      <c r="T8" s="909">
        <f t="shared" si="2"/>
        <v>52924</v>
      </c>
      <c r="U8" s="909">
        <f t="shared" si="2"/>
        <v>54396</v>
      </c>
    </row>
    <row r="9" spans="2:21" x14ac:dyDescent="0.25">
      <c r="C9" s="910"/>
      <c r="D9" s="910"/>
      <c r="E9" s="910"/>
      <c r="F9" s="910"/>
      <c r="G9" s="910"/>
      <c r="H9" s="910"/>
      <c r="I9" s="910"/>
      <c r="J9" s="910"/>
      <c r="K9" s="910"/>
      <c r="L9" s="910"/>
      <c r="M9" s="910"/>
      <c r="N9" s="910"/>
      <c r="O9" s="910"/>
      <c r="P9" s="910"/>
      <c r="Q9" s="910"/>
      <c r="R9" s="910"/>
      <c r="S9" s="910"/>
      <c r="T9" s="910"/>
      <c r="U9" s="910"/>
    </row>
    <row r="10" spans="2:21" ht="15" customHeight="1" x14ac:dyDescent="0.25">
      <c r="B10" s="897" t="s">
        <v>64</v>
      </c>
      <c r="C10" s="898"/>
      <c r="D10" s="898">
        <f>SUM('EGRESO-ACUM plan'!D25:D28)</f>
        <v>47</v>
      </c>
      <c r="E10" s="898">
        <f>SUM('EGRESO-ACUM plan'!E25:E28)</f>
        <v>77</v>
      </c>
      <c r="F10" s="898">
        <f>SUM('EGRESO-ACUM plan'!F25:F28)</f>
        <v>129</v>
      </c>
      <c r="G10" s="899">
        <f>SUM('EGRESO-ACUM plan'!G25:G28)</f>
        <v>141</v>
      </c>
      <c r="H10" s="900">
        <f>SUM('EGRESO-ACUM plan'!H25:H28)</f>
        <v>170</v>
      </c>
      <c r="I10" s="901">
        <f>SUM('EGRESO-ACUM plan'!I25:I28)</f>
        <v>183</v>
      </c>
      <c r="J10" s="899">
        <f>SUM('EGRESO-ACUM plan'!J25:J28)</f>
        <v>188</v>
      </c>
      <c r="K10" s="900">
        <f>SUM('EGRESO-ACUM plan'!K25:K28)</f>
        <v>207</v>
      </c>
      <c r="L10" s="901">
        <f>SUM('EGRESO-ACUM plan'!L25:L28)</f>
        <v>227</v>
      </c>
      <c r="M10" s="901">
        <f>SUM('EGRESO-ACUM plan'!M25:M28)</f>
        <v>270</v>
      </c>
      <c r="N10" s="901">
        <f>SUM('EGRESO-ACUM plan'!N25:N28)</f>
        <v>301</v>
      </c>
      <c r="O10" s="901">
        <f>SUM('EGRESO-ACUM plan'!O25:O28)</f>
        <v>340</v>
      </c>
      <c r="P10" s="901">
        <f>SUM('EGRESO-ACUM plan'!P25:P28)</f>
        <v>385</v>
      </c>
      <c r="Q10" s="901">
        <f>SUM('EGRESO-ACUM plan'!Q25:Q28)</f>
        <v>447</v>
      </c>
      <c r="R10" s="901">
        <f>SUM('EGRESO-ACUM plan'!R25:R28)</f>
        <v>548</v>
      </c>
      <c r="S10" s="901">
        <f>SUM('EGRESO-ACUM plan'!S25:S28)</f>
        <v>631</v>
      </c>
      <c r="T10" s="901">
        <f>SUM('EGRESO-ACUM plan'!T25:T28)</f>
        <v>745</v>
      </c>
      <c r="U10" s="901">
        <f>SUM('EGRESO-ACUM plan'!U25:U28)</f>
        <v>842</v>
      </c>
    </row>
    <row r="11" spans="2:21" ht="15" customHeight="1" x14ac:dyDescent="0.25">
      <c r="B11" s="902" t="s">
        <v>111</v>
      </c>
      <c r="C11" s="903"/>
      <c r="D11" s="903">
        <f>SUM('EGRESO-ACUM plan'!D30:D32)</f>
        <v>9</v>
      </c>
      <c r="E11" s="903">
        <f>SUM('EGRESO-ACUM plan'!E30:E32)</f>
        <v>24</v>
      </c>
      <c r="F11" s="903">
        <f>SUM('EGRESO-ACUM plan'!F30:F32)</f>
        <v>56</v>
      </c>
      <c r="G11" s="904">
        <f>SUM('EGRESO-ACUM plan'!G30:G32)</f>
        <v>63</v>
      </c>
      <c r="H11" s="881">
        <f>SUM('EGRESO-ACUM plan'!H30:H32)</f>
        <v>91</v>
      </c>
      <c r="I11" s="905">
        <f>SUM('EGRESO-ACUM plan'!I30:I32)</f>
        <v>106</v>
      </c>
      <c r="J11" s="904">
        <f>SUM('EGRESO-ACUM plan'!J30:J32)</f>
        <v>108</v>
      </c>
      <c r="K11" s="881">
        <f>SUM('EGRESO-ACUM plan'!K30:K32)</f>
        <v>114</v>
      </c>
      <c r="L11" s="905">
        <f>SUM('EGRESO-ACUM plan'!L30:L32)</f>
        <v>130</v>
      </c>
      <c r="M11" s="905">
        <f>SUM('EGRESO-ACUM plan'!M30:M32)</f>
        <v>167</v>
      </c>
      <c r="N11" s="905">
        <f>SUM('EGRESO-ACUM plan'!N30:N32)</f>
        <v>208</v>
      </c>
      <c r="O11" s="905">
        <f>SUM('EGRESO-ACUM plan'!O30:O32)</f>
        <v>258</v>
      </c>
      <c r="P11" s="905">
        <f>SUM('EGRESO-ACUM plan'!P30:P32)</f>
        <v>337</v>
      </c>
      <c r="Q11" s="905">
        <f>SUM('EGRESO-ACUM plan'!Q30:Q32)</f>
        <v>423</v>
      </c>
      <c r="R11" s="905">
        <f>SUM('EGRESO-ACUM plan'!R30:R32)</f>
        <v>518</v>
      </c>
      <c r="S11" s="905">
        <f>SUM('EGRESO-ACUM plan'!S30:S32)</f>
        <v>603</v>
      </c>
      <c r="T11" s="905">
        <f>SUM('EGRESO-ACUM plan'!T30:T32)</f>
        <v>738</v>
      </c>
      <c r="U11" s="905">
        <f>SUM('EGRESO-ACUM plan'!U30:U32)</f>
        <v>843</v>
      </c>
    </row>
    <row r="12" spans="2:21" ht="15" customHeight="1" x14ac:dyDescent="0.25">
      <c r="B12" s="902" t="s">
        <v>115</v>
      </c>
      <c r="C12" s="903"/>
      <c r="D12" s="903">
        <f>SUM('EGRESO-ACUM plan'!D34:D35)</f>
        <v>11</v>
      </c>
      <c r="E12" s="903">
        <f>SUM('EGRESO-ACUM plan'!E34:E35)</f>
        <v>21</v>
      </c>
      <c r="F12" s="903">
        <f>SUM('EGRESO-ACUM plan'!F34:F35)</f>
        <v>32</v>
      </c>
      <c r="G12" s="904">
        <f>SUM('EGRESO-ACUM plan'!G34:G36)</f>
        <v>33</v>
      </c>
      <c r="H12" s="881">
        <f>SUM('EGRESO-ACUM plan'!H34:H36)</f>
        <v>38</v>
      </c>
      <c r="I12" s="905">
        <f>SUM('EGRESO-ACUM plan'!I34:I36)</f>
        <v>50</v>
      </c>
      <c r="J12" s="904">
        <f>SUM('EGRESO-ACUM plan'!J34:J36)</f>
        <v>52</v>
      </c>
      <c r="K12" s="881">
        <f>SUM('EGRESO-ACUM plan'!K34:K36)</f>
        <v>58</v>
      </c>
      <c r="L12" s="905">
        <f>SUM('EGRESO-ACUM plan'!L34:L36)</f>
        <v>65</v>
      </c>
      <c r="M12" s="905">
        <f>SUM('EGRESO-ACUM plan'!M34:M37)</f>
        <v>89</v>
      </c>
      <c r="N12" s="905">
        <f>SUM('EGRESO-ACUM plan'!N34:N37)</f>
        <v>117</v>
      </c>
      <c r="O12" s="905">
        <f>SUM('EGRESO-ACUM plan'!O34:O37)</f>
        <v>169</v>
      </c>
      <c r="P12" s="905">
        <f>SUM('EGRESO-ACUM plan'!P34:P37)</f>
        <v>227</v>
      </c>
      <c r="Q12" s="905">
        <f>SUM('EGRESO-ACUM plan'!Q34:Q37)</f>
        <v>313</v>
      </c>
      <c r="R12" s="905">
        <f>SUM('EGRESO-ACUM plan'!R34:R37)</f>
        <v>388</v>
      </c>
      <c r="S12" s="905">
        <f>SUM('EGRESO-ACUM plan'!S34:S37)</f>
        <v>447</v>
      </c>
      <c r="T12" s="905">
        <f>SUM('EGRESO-ACUM plan'!T34:T37)</f>
        <v>574</v>
      </c>
      <c r="U12" s="905">
        <f>SUM('EGRESO-ACUM plan'!U34:U37)</f>
        <v>672</v>
      </c>
    </row>
    <row r="13" spans="2:21" ht="15" customHeight="1" x14ac:dyDescent="0.25">
      <c r="B13" s="572" t="s">
        <v>134</v>
      </c>
      <c r="C13" s="911"/>
      <c r="D13" s="911">
        <f t="shared" ref="D13:I13" si="3">SUM(D10:D12)</f>
        <v>67</v>
      </c>
      <c r="E13" s="911">
        <f t="shared" si="3"/>
        <v>122</v>
      </c>
      <c r="F13" s="911">
        <f t="shared" si="3"/>
        <v>217</v>
      </c>
      <c r="G13" s="912">
        <f t="shared" si="3"/>
        <v>237</v>
      </c>
      <c r="H13" s="913">
        <f t="shared" si="3"/>
        <v>299</v>
      </c>
      <c r="I13" s="914">
        <f t="shared" si="3"/>
        <v>339</v>
      </c>
      <c r="J13" s="912">
        <f t="shared" ref="J13:O13" si="4">SUM(J10:J12)</f>
        <v>348</v>
      </c>
      <c r="K13" s="913">
        <f t="shared" si="4"/>
        <v>379</v>
      </c>
      <c r="L13" s="914">
        <f t="shared" si="4"/>
        <v>422</v>
      </c>
      <c r="M13" s="914">
        <f t="shared" si="4"/>
        <v>526</v>
      </c>
      <c r="N13" s="914">
        <f t="shared" si="4"/>
        <v>626</v>
      </c>
      <c r="O13" s="914">
        <f t="shared" si="4"/>
        <v>767</v>
      </c>
      <c r="P13" s="914">
        <f t="shared" ref="P13:U13" si="5">SUM(P10:P12)</f>
        <v>949</v>
      </c>
      <c r="Q13" s="914">
        <f t="shared" si="5"/>
        <v>1183</v>
      </c>
      <c r="R13" s="914">
        <f t="shared" si="5"/>
        <v>1454</v>
      </c>
      <c r="S13" s="914">
        <f t="shared" si="5"/>
        <v>1681</v>
      </c>
      <c r="T13" s="914">
        <f t="shared" si="5"/>
        <v>2057</v>
      </c>
      <c r="U13" s="914">
        <f t="shared" si="5"/>
        <v>2357</v>
      </c>
    </row>
    <row r="14" spans="2:21" ht="13.8" x14ac:dyDescent="0.25">
      <c r="B14" s="557"/>
      <c r="C14" s="915"/>
      <c r="D14" s="915"/>
      <c r="E14" s="915"/>
      <c r="F14" s="915"/>
      <c r="G14" s="915"/>
      <c r="H14" s="915"/>
      <c r="I14" s="915"/>
      <c r="J14" s="915"/>
      <c r="K14" s="915"/>
      <c r="L14" s="915"/>
      <c r="M14" s="915"/>
      <c r="N14" s="915"/>
      <c r="O14" s="915"/>
      <c r="P14" s="915"/>
      <c r="Q14" s="915"/>
      <c r="R14" s="915"/>
      <c r="S14" s="915"/>
      <c r="T14" s="915"/>
      <c r="U14" s="915"/>
    </row>
    <row r="15" spans="2:21" ht="15" customHeight="1" x14ac:dyDescent="0.25">
      <c r="B15" s="897" t="s">
        <v>59</v>
      </c>
      <c r="C15" s="898">
        <f>SUM('EGRESO-ACUM plan'!C40:C48)</f>
        <v>5494</v>
      </c>
      <c r="D15" s="898">
        <f>SUM('EGRESO-ACUM plan'!D40:D48)</f>
        <v>5663</v>
      </c>
      <c r="E15" s="898">
        <f>SUM('EGRESO-ACUM plan'!E40:E48)</f>
        <v>5918</v>
      </c>
      <c r="F15" s="898">
        <f>SUM('EGRESO-ACUM plan'!F40:F48)</f>
        <v>6106</v>
      </c>
      <c r="G15" s="899">
        <f>SUM('EGRESO-ACUM plan'!G40:G48)</f>
        <v>6176</v>
      </c>
      <c r="H15" s="900">
        <f>SUM('EGRESO-ACUM plan'!H40:H48)</f>
        <v>6268</v>
      </c>
      <c r="I15" s="901">
        <f>SUM('EGRESO-ACUM plan'!I40:I48)</f>
        <v>6318</v>
      </c>
      <c r="J15" s="899">
        <f>SUM('EGRESO-ACUM plan'!J40:J48)</f>
        <v>6359</v>
      </c>
      <c r="K15" s="900">
        <f>SUM('EGRESO-ACUM plan'!K40:K48)</f>
        <v>6417</v>
      </c>
      <c r="L15" s="901">
        <f>SUM('EGRESO-ACUM plan'!L40:L48)</f>
        <v>6490</v>
      </c>
      <c r="M15" s="901">
        <f>SUM('EGRESO-ACUM plan'!M40:M48)</f>
        <v>6704</v>
      </c>
      <c r="N15" s="901">
        <f>SUM('EGRESO-ACUM plan'!N40:N48)</f>
        <v>6846</v>
      </c>
      <c r="O15" s="901">
        <f>SUM('EGRESO-ACUM plan'!O40:O48)</f>
        <v>7082</v>
      </c>
      <c r="P15" s="901">
        <f>SUM('EGRESO-ACUM plan'!P40:P48)</f>
        <v>7347</v>
      </c>
      <c r="Q15" s="901">
        <f>SUM('EGRESO-ACUM plan'!Q40:Q48)</f>
        <v>7655</v>
      </c>
      <c r="R15" s="901">
        <f>SUM('EGRESO-ACUM plan'!R40:R48)</f>
        <v>7976</v>
      </c>
      <c r="S15" s="901">
        <f>SUM('EGRESO-ACUM plan'!S40:S48)</f>
        <v>8242</v>
      </c>
      <c r="T15" s="901">
        <f>SUM('EGRESO-ACUM plan'!T40:T49)</f>
        <v>8576</v>
      </c>
      <c r="U15" s="901">
        <f>SUM('EGRESO-ACUM plan'!U40:U49)</f>
        <v>8863</v>
      </c>
    </row>
    <row r="16" spans="2:21" ht="15" customHeight="1" x14ac:dyDescent="0.25">
      <c r="B16" s="902" t="s">
        <v>64</v>
      </c>
      <c r="C16" s="903">
        <f>SUM('EGRESO-ACUM plan'!C51:C62)</f>
        <v>11935</v>
      </c>
      <c r="D16" s="903">
        <f>SUM('EGRESO-ACUM plan'!D51:D62)</f>
        <v>12420</v>
      </c>
      <c r="E16" s="903">
        <f>SUM('EGRESO-ACUM plan'!E51:E62)</f>
        <v>12993</v>
      </c>
      <c r="F16" s="903">
        <f>SUM('EGRESO-ACUM plan'!F51:F62)</f>
        <v>13492</v>
      </c>
      <c r="G16" s="904">
        <f>SUM('EGRESO-ACUM plan'!G51:G62)</f>
        <v>13696</v>
      </c>
      <c r="H16" s="881">
        <f>SUM('EGRESO-ACUM plan'!H51:H62)</f>
        <v>13918</v>
      </c>
      <c r="I16" s="905">
        <f>SUM('EGRESO-ACUM plan'!I51:I62)</f>
        <v>14073</v>
      </c>
      <c r="J16" s="904">
        <f>SUM('EGRESO-ACUM plan'!J51:J62)</f>
        <v>14283</v>
      </c>
      <c r="K16" s="881">
        <f>SUM('EGRESO-ACUM plan'!K51:K62)</f>
        <v>14551</v>
      </c>
      <c r="L16" s="905">
        <f>SUM('EGRESO-ACUM plan'!L51:L62)</f>
        <v>14746</v>
      </c>
      <c r="M16" s="905">
        <f>SUM('EGRESO-ACUM plan'!M51:M62)</f>
        <v>15289</v>
      </c>
      <c r="N16" s="905">
        <f>SUM('EGRESO-ACUM plan'!N51:N62)</f>
        <v>15884</v>
      </c>
      <c r="O16" s="905">
        <f>SUM('EGRESO-ACUM plan'!O51:O62)</f>
        <v>16425</v>
      </c>
      <c r="P16" s="905">
        <f>SUM('EGRESO-ACUM plan'!P51:P62)</f>
        <v>17023</v>
      </c>
      <c r="Q16" s="905">
        <f>SUM('EGRESO-ACUM plan'!Q51:Q62)</f>
        <v>17569</v>
      </c>
      <c r="R16" s="905">
        <f>SUM('EGRESO-ACUM plan'!R51:R62)</f>
        <v>18119</v>
      </c>
      <c r="S16" s="905">
        <f>SUM('EGRESO-ACUM plan'!S51:S62)</f>
        <v>18673</v>
      </c>
      <c r="T16" s="905">
        <f>SUM('EGRESO-ACUM plan'!T51:T62)</f>
        <v>19213</v>
      </c>
      <c r="U16" s="905">
        <f>SUM('EGRESO-ACUM plan'!U51:U62)</f>
        <v>19719</v>
      </c>
    </row>
    <row r="17" spans="2:21" ht="15" customHeight="1" x14ac:dyDescent="0.25">
      <c r="B17" s="902" t="s">
        <v>92</v>
      </c>
      <c r="C17" s="903">
        <f>SUM('EGRESO-ACUM plan'!C64:C69)</f>
        <v>6618</v>
      </c>
      <c r="D17" s="903">
        <f>SUM('EGRESO-ACUM plan'!D64:D69)</f>
        <v>6866</v>
      </c>
      <c r="E17" s="903">
        <f>SUM('EGRESO-ACUM plan'!E64:E69)</f>
        <v>7171</v>
      </c>
      <c r="F17" s="903">
        <f>SUM('EGRESO-ACUM plan'!F64:F69)</f>
        <v>7427</v>
      </c>
      <c r="G17" s="904">
        <f>SUM('EGRESO-ACUM plan'!G64:G69)</f>
        <v>7524</v>
      </c>
      <c r="H17" s="881">
        <f>SUM('EGRESO-ACUM plan'!H64:H69)</f>
        <v>7623</v>
      </c>
      <c r="I17" s="905">
        <f>SUM('EGRESO-ACUM plan'!I64:I69)</f>
        <v>7725</v>
      </c>
      <c r="J17" s="904">
        <f>SUM('EGRESO-ACUM plan'!J64:J69)</f>
        <v>7815</v>
      </c>
      <c r="K17" s="881">
        <f>SUM('EGRESO-ACUM plan'!K64:K69)</f>
        <v>7942</v>
      </c>
      <c r="L17" s="905">
        <f>SUM('EGRESO-ACUM plan'!L64:L69)</f>
        <v>8081</v>
      </c>
      <c r="M17" s="905">
        <f>SUM('EGRESO-ACUM plan'!M64:M69)</f>
        <v>8423</v>
      </c>
      <c r="N17" s="905">
        <f>SUM('EGRESO-ACUM plan'!N64:N69)</f>
        <v>8811</v>
      </c>
      <c r="O17" s="905">
        <f>SUM('EGRESO-ACUM plan'!O64:O69)</f>
        <v>9248</v>
      </c>
      <c r="P17" s="905">
        <f>SUM('EGRESO-ACUM plan'!P64:P69)</f>
        <v>9710</v>
      </c>
      <c r="Q17" s="905">
        <f>SUM('EGRESO-ACUM plan'!Q64:Q69)</f>
        <v>10162</v>
      </c>
      <c r="R17" s="905">
        <f>SUM('EGRESO-ACUM plan'!R64:R69)</f>
        <v>10644</v>
      </c>
      <c r="S17" s="905">
        <f>SUM('EGRESO-ACUM plan'!S64:S69)</f>
        <v>11111</v>
      </c>
      <c r="T17" s="905">
        <f>SUM('EGRESO-ACUM plan'!T64:T69)</f>
        <v>11547</v>
      </c>
      <c r="U17" s="905">
        <f>SUM('EGRESO-ACUM plan'!U64:U69)</f>
        <v>11940</v>
      </c>
    </row>
    <row r="18" spans="2:21" ht="15" customHeight="1" x14ac:dyDescent="0.25">
      <c r="B18" s="573" t="s">
        <v>135</v>
      </c>
      <c r="C18" s="916">
        <f t="shared" ref="C18:I18" si="6">SUM(C15:C17)</f>
        <v>24047</v>
      </c>
      <c r="D18" s="916">
        <f t="shared" si="6"/>
        <v>24949</v>
      </c>
      <c r="E18" s="916">
        <f t="shared" si="6"/>
        <v>26082</v>
      </c>
      <c r="F18" s="916">
        <f t="shared" si="6"/>
        <v>27025</v>
      </c>
      <c r="G18" s="917">
        <f t="shared" si="6"/>
        <v>27396</v>
      </c>
      <c r="H18" s="918">
        <f t="shared" si="6"/>
        <v>27809</v>
      </c>
      <c r="I18" s="919">
        <f t="shared" si="6"/>
        <v>28116</v>
      </c>
      <c r="J18" s="917">
        <f t="shared" ref="J18:O18" si="7">SUM(J15:J17)</f>
        <v>28457</v>
      </c>
      <c r="K18" s="918">
        <f t="shared" si="7"/>
        <v>28910</v>
      </c>
      <c r="L18" s="919">
        <f t="shared" si="7"/>
        <v>29317</v>
      </c>
      <c r="M18" s="919">
        <f t="shared" si="7"/>
        <v>30416</v>
      </c>
      <c r="N18" s="919">
        <f t="shared" si="7"/>
        <v>31541</v>
      </c>
      <c r="O18" s="919">
        <f t="shared" si="7"/>
        <v>32755</v>
      </c>
      <c r="P18" s="919">
        <f t="shared" ref="P18:U18" si="8">SUM(P15:P17)</f>
        <v>34080</v>
      </c>
      <c r="Q18" s="919">
        <f t="shared" si="8"/>
        <v>35386</v>
      </c>
      <c r="R18" s="919">
        <f t="shared" si="8"/>
        <v>36739</v>
      </c>
      <c r="S18" s="919">
        <f t="shared" si="8"/>
        <v>38026</v>
      </c>
      <c r="T18" s="919">
        <f t="shared" si="8"/>
        <v>39336</v>
      </c>
      <c r="U18" s="919">
        <f t="shared" si="8"/>
        <v>40522</v>
      </c>
    </row>
    <row r="19" spans="2:21" x14ac:dyDescent="0.25">
      <c r="C19" s="910"/>
      <c r="D19" s="910"/>
      <c r="E19" s="910"/>
      <c r="F19" s="910"/>
      <c r="G19" s="910"/>
      <c r="H19" s="910"/>
      <c r="I19" s="910"/>
      <c r="J19" s="910"/>
      <c r="K19" s="910"/>
      <c r="L19" s="910"/>
      <c r="M19" s="910"/>
      <c r="N19" s="910"/>
      <c r="O19" s="910"/>
      <c r="P19" s="910"/>
      <c r="Q19" s="910"/>
      <c r="R19" s="910"/>
      <c r="S19" s="910"/>
      <c r="T19" s="910"/>
      <c r="U19" s="910"/>
    </row>
    <row r="20" spans="2:21" ht="15" customHeight="1" x14ac:dyDescent="0.25">
      <c r="B20" s="897" t="s">
        <v>59</v>
      </c>
      <c r="C20" s="898"/>
      <c r="D20" s="898"/>
      <c r="E20" s="898"/>
      <c r="F20" s="898"/>
      <c r="G20" s="899"/>
      <c r="H20" s="900"/>
      <c r="I20" s="901"/>
      <c r="J20" s="899"/>
      <c r="K20" s="900"/>
      <c r="L20" s="901"/>
      <c r="M20" s="901"/>
      <c r="N20" s="901">
        <f>+'EGRESO-ACUM plan'!N74</f>
        <v>20</v>
      </c>
      <c r="O20" s="901">
        <f>+'EGRESO-ACUM plan'!O74</f>
        <v>30</v>
      </c>
      <c r="P20" s="901">
        <f>+'EGRESO-ACUM plan'!P74</f>
        <v>43</v>
      </c>
      <c r="Q20" s="901">
        <f>+'EGRESO-ACUM plan'!Q74</f>
        <v>53</v>
      </c>
      <c r="R20" s="901">
        <f>+'EGRESO-ACUM plan'!R74</f>
        <v>69</v>
      </c>
      <c r="S20" s="901">
        <f>+'EGRESO-ACUM plan'!S74</f>
        <v>87</v>
      </c>
      <c r="T20" s="901">
        <f>+'EGRESO-ACUM plan'!T74</f>
        <v>96</v>
      </c>
      <c r="U20" s="901">
        <f>+'EGRESO-ACUM plan'!U74</f>
        <v>111</v>
      </c>
    </row>
    <row r="21" spans="2:21" ht="15" customHeight="1" x14ac:dyDescent="0.25">
      <c r="B21" s="902" t="s">
        <v>64</v>
      </c>
      <c r="C21" s="903"/>
      <c r="D21" s="903"/>
      <c r="E21" s="903"/>
      <c r="F21" s="903"/>
      <c r="G21" s="904"/>
      <c r="H21" s="881"/>
      <c r="I21" s="905"/>
      <c r="J21" s="904"/>
      <c r="K21" s="881"/>
      <c r="L21" s="905"/>
      <c r="M21" s="905"/>
      <c r="N21" s="905">
        <f>+'EGRESO-ACUM plan'!N78</f>
        <v>32</v>
      </c>
      <c r="O21" s="905">
        <f>+'EGRESO-ACUM plan'!O78</f>
        <v>43</v>
      </c>
      <c r="P21" s="905">
        <f>+'EGRESO-ACUM plan'!P78</f>
        <v>82</v>
      </c>
      <c r="Q21" s="905">
        <f>+'EGRESO-ACUM plan'!Q78</f>
        <v>104</v>
      </c>
      <c r="R21" s="905">
        <f>+'EGRESO-ACUM plan'!R78</f>
        <v>124</v>
      </c>
      <c r="S21" s="905">
        <f>+'EGRESO-ACUM plan'!S78</f>
        <v>165</v>
      </c>
      <c r="T21" s="905">
        <f>+'EGRESO-ACUM plan'!T78</f>
        <v>197</v>
      </c>
      <c r="U21" s="905">
        <f>+'EGRESO-ACUM plan'!U78</f>
        <v>249</v>
      </c>
    </row>
    <row r="22" spans="2:21" ht="15" customHeight="1" x14ac:dyDescent="0.25">
      <c r="B22" s="902" t="s">
        <v>92</v>
      </c>
      <c r="C22" s="903"/>
      <c r="D22" s="903"/>
      <c r="E22" s="903"/>
      <c r="F22" s="903"/>
      <c r="G22" s="904"/>
      <c r="H22" s="881"/>
      <c r="I22" s="905"/>
      <c r="J22" s="904"/>
      <c r="K22" s="881"/>
      <c r="L22" s="905"/>
      <c r="M22" s="905"/>
      <c r="N22" s="905">
        <f>+'EGRESO-ACUM plan'!N82</f>
        <v>23</v>
      </c>
      <c r="O22" s="905">
        <f>+'EGRESO-ACUM plan'!O82</f>
        <v>37</v>
      </c>
      <c r="P22" s="905">
        <f>+'EGRESO-ACUM plan'!P82</f>
        <v>67</v>
      </c>
      <c r="Q22" s="905">
        <f>+'EGRESO-ACUM plan'!Q82</f>
        <v>86</v>
      </c>
      <c r="R22" s="905">
        <f>+'EGRESO-ACUM plan'!R82</f>
        <v>93</v>
      </c>
      <c r="S22" s="905">
        <f>+'EGRESO-ACUM plan'!S82</f>
        <v>116</v>
      </c>
      <c r="T22" s="905">
        <f>+'EGRESO-ACUM plan'!T82</f>
        <v>147</v>
      </c>
      <c r="U22" s="905">
        <f>+'EGRESO-ACUM plan'!U82</f>
        <v>192</v>
      </c>
    </row>
    <row r="23" spans="2:21" ht="15" customHeight="1" x14ac:dyDescent="0.25">
      <c r="B23" s="574" t="s">
        <v>136</v>
      </c>
      <c r="C23" s="920"/>
      <c r="D23" s="920"/>
      <c r="E23" s="920"/>
      <c r="F23" s="920"/>
      <c r="G23" s="921"/>
      <c r="H23" s="922"/>
      <c r="I23" s="923"/>
      <c r="J23" s="921"/>
      <c r="K23" s="922"/>
      <c r="L23" s="923"/>
      <c r="M23" s="923"/>
      <c r="N23" s="923">
        <f t="shared" ref="N23:S23" si="9">SUM(N20:N22)</f>
        <v>75</v>
      </c>
      <c r="O23" s="923">
        <f t="shared" si="9"/>
        <v>110</v>
      </c>
      <c r="P23" s="923">
        <f t="shared" si="9"/>
        <v>192</v>
      </c>
      <c r="Q23" s="923">
        <f t="shared" si="9"/>
        <v>243</v>
      </c>
      <c r="R23" s="923">
        <f t="shared" si="9"/>
        <v>286</v>
      </c>
      <c r="S23" s="923">
        <f t="shared" si="9"/>
        <v>368</v>
      </c>
      <c r="T23" s="923">
        <f t="shared" ref="T23:U23" si="10">SUM(T20:T22)</f>
        <v>440</v>
      </c>
      <c r="U23" s="923">
        <f t="shared" si="10"/>
        <v>552</v>
      </c>
    </row>
    <row r="24" spans="2:21" ht="13.8" x14ac:dyDescent="0.25">
      <c r="B24" s="557"/>
      <c r="C24" s="915"/>
      <c r="D24" s="915"/>
      <c r="E24" s="915"/>
      <c r="F24" s="915"/>
      <c r="G24" s="915"/>
      <c r="H24" s="915"/>
      <c r="I24" s="915"/>
      <c r="J24" s="915"/>
      <c r="K24" s="915"/>
      <c r="L24" s="915"/>
      <c r="M24" s="915"/>
      <c r="N24" s="915"/>
      <c r="O24" s="915"/>
      <c r="P24" s="915"/>
      <c r="Q24" s="915"/>
      <c r="R24" s="915"/>
      <c r="S24" s="915"/>
      <c r="T24" s="915"/>
      <c r="U24" s="915"/>
    </row>
    <row r="25" spans="2:21" ht="15" customHeight="1" x14ac:dyDescent="0.25">
      <c r="B25" s="897" t="s">
        <v>64</v>
      </c>
      <c r="C25" s="898">
        <f>SUM('EGRESO-ACUM plan'!C84:C89)</f>
        <v>19375</v>
      </c>
      <c r="D25" s="898">
        <f>SUM('EGRESO-ACUM plan'!D84:D89)</f>
        <v>20301</v>
      </c>
      <c r="E25" s="898">
        <f>SUM('EGRESO-ACUM plan'!E84:E89)</f>
        <v>21187</v>
      </c>
      <c r="F25" s="898">
        <f>SUM('EGRESO-ACUM plan'!F84:F89)</f>
        <v>22002</v>
      </c>
      <c r="G25" s="899">
        <f>SUM('EGRESO-ACUM plan'!G84:G89)</f>
        <v>22353</v>
      </c>
      <c r="H25" s="900">
        <f>SUM('EGRESO-ACUM plan'!H84:H89)</f>
        <v>22794</v>
      </c>
      <c r="I25" s="901">
        <f>SUM('EGRESO-ACUM plan'!I84:I89)</f>
        <v>22799</v>
      </c>
      <c r="J25" s="899">
        <f>SUM('EGRESO-ACUM plan'!J84:J89)</f>
        <v>23189</v>
      </c>
      <c r="K25" s="900">
        <f>SUM('EGRESO-ACUM plan'!K84:K89)</f>
        <v>23704</v>
      </c>
      <c r="L25" s="901">
        <f>SUM('EGRESO-ACUM plan'!L84:L89)</f>
        <v>23705</v>
      </c>
      <c r="M25" s="901">
        <f>SUM('EGRESO-ACUM plan'!M84:M89)</f>
        <v>24514</v>
      </c>
      <c r="N25" s="901">
        <f>SUM('EGRESO-ACUM plan'!N84:N89)</f>
        <v>25324</v>
      </c>
      <c r="O25" s="901">
        <f>SUM('EGRESO-ACUM plan'!O84:O89)</f>
        <v>26187</v>
      </c>
      <c r="P25" s="901">
        <f>SUM('EGRESO-ACUM plan'!P84:P89)</f>
        <v>26950</v>
      </c>
      <c r="Q25" s="901">
        <f>SUM('EGRESO-ACUM plan'!Q84:Q89)</f>
        <v>27810</v>
      </c>
      <c r="R25" s="901">
        <f>SUM('EGRESO-ACUM plan'!R84:R89)</f>
        <v>28571</v>
      </c>
      <c r="S25" s="901">
        <f>SUM('EGRESO-ACUM plan'!S84:S89)</f>
        <v>29512</v>
      </c>
      <c r="T25" s="901">
        <f>SUM('EGRESO-ACUM plan'!T84:T89)</f>
        <v>30400</v>
      </c>
      <c r="U25" s="901">
        <f>SUM('EGRESO-ACUM plan'!U84:U89)</f>
        <v>31336</v>
      </c>
    </row>
    <row r="26" spans="2:21" ht="15" customHeight="1" x14ac:dyDescent="0.25">
      <c r="B26" s="902" t="s">
        <v>92</v>
      </c>
      <c r="C26" s="903">
        <f>SUM('EGRESO-ACUM plan'!C91:C98)</f>
        <v>25734</v>
      </c>
      <c r="D26" s="903">
        <f>SUM('EGRESO-ACUM plan'!D91:D98)</f>
        <v>27028</v>
      </c>
      <c r="E26" s="903">
        <f>SUM('EGRESO-ACUM plan'!E91:E98)</f>
        <v>28221</v>
      </c>
      <c r="F26" s="903">
        <f>SUM('EGRESO-ACUM plan'!F91:F98)</f>
        <v>29382</v>
      </c>
      <c r="G26" s="904">
        <f>SUM('EGRESO-ACUM plan'!G91:G98)</f>
        <v>29734</v>
      </c>
      <c r="H26" s="881">
        <f>SUM('EGRESO-ACUM plan'!H91:H98)</f>
        <v>30257</v>
      </c>
      <c r="I26" s="905">
        <f>SUM('EGRESO-ACUM plan'!I91:I98)</f>
        <v>30567</v>
      </c>
      <c r="J26" s="904">
        <f>SUM('EGRESO-ACUM plan'!J91:J98)</f>
        <v>30891</v>
      </c>
      <c r="K26" s="881">
        <f>SUM('EGRESO-ACUM plan'!K91:K98)</f>
        <v>31340</v>
      </c>
      <c r="L26" s="905">
        <f>SUM('EGRESO-ACUM plan'!L91:L98)</f>
        <v>31711</v>
      </c>
      <c r="M26" s="905">
        <f>SUM('EGRESO-ACUM plan'!M91:M98)</f>
        <v>32840</v>
      </c>
      <c r="N26" s="905">
        <f>SUM('EGRESO-ACUM plan'!N91:N98)</f>
        <v>33985</v>
      </c>
      <c r="O26" s="905">
        <f>SUM('EGRESO-ACUM plan'!O91:O98)</f>
        <v>35057</v>
      </c>
      <c r="P26" s="905">
        <f>SUM('EGRESO-ACUM plan'!P91:P98)</f>
        <v>36180</v>
      </c>
      <c r="Q26" s="905">
        <f>SUM('EGRESO-ACUM plan'!Q91:Q98)</f>
        <v>37293</v>
      </c>
      <c r="R26" s="905">
        <f>SUM('EGRESO-ACUM plan'!R91:R98)</f>
        <v>38351</v>
      </c>
      <c r="S26" s="905">
        <f>SUM('EGRESO-ACUM plan'!S91:S98)</f>
        <v>39478</v>
      </c>
      <c r="T26" s="905">
        <f>SUM('EGRESO-ACUM plan'!T91:T98)</f>
        <v>40706</v>
      </c>
      <c r="U26" s="905">
        <f>SUM('EGRESO-ACUM plan'!U91:U98)</f>
        <v>41916</v>
      </c>
    </row>
    <row r="27" spans="2:21" ht="15" customHeight="1" x14ac:dyDescent="0.25">
      <c r="B27" s="902" t="s">
        <v>68</v>
      </c>
      <c r="C27" s="903">
        <f>SUM('EGRESO-ACUM plan'!C100:C103)</f>
        <v>8434</v>
      </c>
      <c r="D27" s="903">
        <f>SUM('EGRESO-ACUM plan'!D100:D103)</f>
        <v>8898</v>
      </c>
      <c r="E27" s="903">
        <f>SUM('EGRESO-ACUM plan'!E100:E103)</f>
        <v>9344</v>
      </c>
      <c r="F27" s="903">
        <f>SUM('EGRESO-ACUM plan'!F100:F103)</f>
        <v>9721</v>
      </c>
      <c r="G27" s="904">
        <f>SUM('EGRESO-ACUM plan'!G100:G103)</f>
        <v>9888</v>
      </c>
      <c r="H27" s="881">
        <f>SUM('EGRESO-ACUM plan'!H100:H103)</f>
        <v>10094</v>
      </c>
      <c r="I27" s="905">
        <f>SUM('EGRESO-ACUM plan'!I100:I103)</f>
        <v>10096</v>
      </c>
      <c r="J27" s="904">
        <f>SUM('EGRESO-ACUM plan'!J100:J103)</f>
        <v>10315</v>
      </c>
      <c r="K27" s="881">
        <f>SUM('EGRESO-ACUM plan'!K100:K103)</f>
        <v>10515</v>
      </c>
      <c r="L27" s="905">
        <f>SUM('EGRESO-ACUM plan'!L100:L103)</f>
        <v>10530</v>
      </c>
      <c r="M27" s="905">
        <f>SUM('EGRESO-ACUM plan'!M100:M103)</f>
        <v>10983</v>
      </c>
      <c r="N27" s="905">
        <f>SUM('EGRESO-ACUM plan'!N100:N103)</f>
        <v>11391</v>
      </c>
      <c r="O27" s="905">
        <f>SUM('EGRESO-ACUM plan'!O100:O103)</f>
        <v>11840</v>
      </c>
      <c r="P27" s="905">
        <f>SUM('EGRESO-ACUM plan'!P100:P103)</f>
        <v>12243</v>
      </c>
      <c r="Q27" s="905">
        <f>SUM('EGRESO-ACUM plan'!Q100:Q103)</f>
        <v>12682</v>
      </c>
      <c r="R27" s="905">
        <f>SUM('EGRESO-ACUM plan'!R100:R103)</f>
        <v>13111</v>
      </c>
      <c r="S27" s="905">
        <f>SUM('EGRESO-ACUM plan'!S100:S103)</f>
        <v>13546</v>
      </c>
      <c r="T27" s="905">
        <f>SUM('EGRESO-ACUM plan'!T100:T103)</f>
        <v>13989</v>
      </c>
      <c r="U27" s="905">
        <f>SUM('EGRESO-ACUM plan'!U100:U103)</f>
        <v>14455</v>
      </c>
    </row>
    <row r="28" spans="2:21" ht="15" customHeight="1" x14ac:dyDescent="0.25">
      <c r="B28" s="575" t="s">
        <v>137</v>
      </c>
      <c r="C28" s="924">
        <f t="shared" ref="C28:I28" si="11">SUM(C25:C27)</f>
        <v>53543</v>
      </c>
      <c r="D28" s="924">
        <f t="shared" si="11"/>
        <v>56227</v>
      </c>
      <c r="E28" s="924">
        <f t="shared" si="11"/>
        <v>58752</v>
      </c>
      <c r="F28" s="924">
        <f t="shared" si="11"/>
        <v>61105</v>
      </c>
      <c r="G28" s="925">
        <f t="shared" si="11"/>
        <v>61975</v>
      </c>
      <c r="H28" s="926">
        <f t="shared" si="11"/>
        <v>63145</v>
      </c>
      <c r="I28" s="927">
        <f t="shared" si="11"/>
        <v>63462</v>
      </c>
      <c r="J28" s="925">
        <f t="shared" ref="J28:O28" si="12">SUM(J25:J27)</f>
        <v>64395</v>
      </c>
      <c r="K28" s="926">
        <f t="shared" si="12"/>
        <v>65559</v>
      </c>
      <c r="L28" s="927">
        <f t="shared" si="12"/>
        <v>65946</v>
      </c>
      <c r="M28" s="927">
        <f t="shared" si="12"/>
        <v>68337</v>
      </c>
      <c r="N28" s="927">
        <f t="shared" si="12"/>
        <v>70700</v>
      </c>
      <c r="O28" s="927">
        <f t="shared" si="12"/>
        <v>73084</v>
      </c>
      <c r="P28" s="927">
        <f t="shared" ref="P28:U28" si="13">SUM(P25:P27)</f>
        <v>75373</v>
      </c>
      <c r="Q28" s="927">
        <f t="shared" si="13"/>
        <v>77785</v>
      </c>
      <c r="R28" s="927">
        <f t="shared" si="13"/>
        <v>80033</v>
      </c>
      <c r="S28" s="927">
        <f t="shared" si="13"/>
        <v>82536</v>
      </c>
      <c r="T28" s="927">
        <f t="shared" si="13"/>
        <v>85095</v>
      </c>
      <c r="U28" s="927">
        <f t="shared" si="13"/>
        <v>87707</v>
      </c>
    </row>
    <row r="29" spans="2:21" ht="13.8" x14ac:dyDescent="0.25">
      <c r="B29" s="557"/>
      <c r="C29" s="915"/>
      <c r="D29" s="915"/>
      <c r="E29" s="915"/>
      <c r="F29" s="915"/>
      <c r="G29" s="915"/>
      <c r="H29" s="915"/>
      <c r="I29" s="915"/>
      <c r="J29" s="915"/>
      <c r="K29" s="915"/>
      <c r="L29" s="915"/>
      <c r="M29" s="915"/>
      <c r="N29" s="915"/>
      <c r="O29" s="915"/>
      <c r="P29" s="915"/>
      <c r="Q29" s="915"/>
      <c r="R29" s="915"/>
      <c r="S29" s="915"/>
      <c r="T29" s="915"/>
      <c r="U29" s="915"/>
    </row>
    <row r="30" spans="2:21" ht="15" customHeight="1" x14ac:dyDescent="0.25">
      <c r="B30" s="897" t="s">
        <v>59</v>
      </c>
      <c r="C30" s="928">
        <f t="shared" ref="C30:I30" si="14">SUM(C5,C15)</f>
        <v>15436</v>
      </c>
      <c r="D30" s="928">
        <f t="shared" si="14"/>
        <v>15981</v>
      </c>
      <c r="E30" s="928">
        <f t="shared" si="14"/>
        <v>16639</v>
      </c>
      <c r="F30" s="928">
        <f t="shared" si="14"/>
        <v>17242</v>
      </c>
      <c r="G30" s="929">
        <f t="shared" si="14"/>
        <v>17426</v>
      </c>
      <c r="H30" s="930">
        <f t="shared" si="14"/>
        <v>17652</v>
      </c>
      <c r="I30" s="931">
        <f t="shared" si="14"/>
        <v>17824</v>
      </c>
      <c r="J30" s="929">
        <f>SUM(J5,J15)</f>
        <v>18005</v>
      </c>
      <c r="K30" s="930">
        <f>SUM(K5,K15)</f>
        <v>18294</v>
      </c>
      <c r="L30" s="931">
        <f>SUM(L5,L15)</f>
        <v>18547</v>
      </c>
      <c r="M30" s="931">
        <f>SUM(M5,M15)</f>
        <v>19336</v>
      </c>
      <c r="N30" s="931">
        <f t="shared" ref="N30:S30" si="15">SUM(N5,N15,N20)</f>
        <v>20010</v>
      </c>
      <c r="O30" s="931">
        <f t="shared" si="15"/>
        <v>20784</v>
      </c>
      <c r="P30" s="931">
        <f t="shared" si="15"/>
        <v>21782</v>
      </c>
      <c r="Q30" s="931">
        <f t="shared" si="15"/>
        <v>22636</v>
      </c>
      <c r="R30" s="931">
        <f t="shared" si="15"/>
        <v>23486</v>
      </c>
      <c r="S30" s="931">
        <f t="shared" si="15"/>
        <v>24115</v>
      </c>
      <c r="T30" s="931">
        <f t="shared" ref="T30:U30" si="16">SUM(T5,T15,T20)</f>
        <v>24869</v>
      </c>
      <c r="U30" s="931">
        <f t="shared" si="16"/>
        <v>25708</v>
      </c>
    </row>
    <row r="31" spans="2:21" ht="14.4" x14ac:dyDescent="0.25">
      <c r="B31" s="902" t="s">
        <v>64</v>
      </c>
      <c r="C31" s="932">
        <f t="shared" ref="C31:I31" si="17">SUM(C6,C10,C16,C25)</f>
        <v>46307</v>
      </c>
      <c r="D31" s="932">
        <f t="shared" si="17"/>
        <v>48280</v>
      </c>
      <c r="E31" s="932">
        <f t="shared" si="17"/>
        <v>50296</v>
      </c>
      <c r="F31" s="932">
        <f t="shared" si="17"/>
        <v>52113</v>
      </c>
      <c r="G31" s="933">
        <f t="shared" si="17"/>
        <v>52849</v>
      </c>
      <c r="H31" s="934">
        <f t="shared" si="17"/>
        <v>53735</v>
      </c>
      <c r="I31" s="935">
        <f t="shared" si="17"/>
        <v>54092</v>
      </c>
      <c r="J31" s="933">
        <f>SUM(J6,J10,J16,J25)</f>
        <v>54935</v>
      </c>
      <c r="K31" s="934">
        <f>SUM(K6,K10,K16,K25)</f>
        <v>56044</v>
      </c>
      <c r="L31" s="935">
        <f>SUM(L6,L10,L16,L25)</f>
        <v>56465</v>
      </c>
      <c r="M31" s="935">
        <f>SUM(M6,M10,M16,M25)</f>
        <v>58432</v>
      </c>
      <c r="N31" s="935">
        <f t="shared" ref="N31:S31" si="18">SUM(N6,N10,N16,N21,N25)</f>
        <v>60556</v>
      </c>
      <c r="O31" s="935">
        <f t="shared" si="18"/>
        <v>62601</v>
      </c>
      <c r="P31" s="935">
        <f t="shared" si="18"/>
        <v>64756</v>
      </c>
      <c r="Q31" s="935">
        <f t="shared" si="18"/>
        <v>66928</v>
      </c>
      <c r="R31" s="935">
        <f t="shared" si="18"/>
        <v>69019</v>
      </c>
      <c r="S31" s="935">
        <f t="shared" si="18"/>
        <v>71316</v>
      </c>
      <c r="T31" s="935">
        <f t="shared" ref="T31:U31" si="19">SUM(T6,T10,T16,T21,T25)</f>
        <v>73498</v>
      </c>
      <c r="U31" s="935">
        <f t="shared" si="19"/>
        <v>75600</v>
      </c>
    </row>
    <row r="32" spans="2:21" ht="14.4" x14ac:dyDescent="0.25">
      <c r="B32" s="902" t="s">
        <v>92</v>
      </c>
      <c r="C32" s="932">
        <f t="shared" ref="C32:I32" si="20">SUM(C17,C26)</f>
        <v>32352</v>
      </c>
      <c r="D32" s="932">
        <f t="shared" si="20"/>
        <v>33894</v>
      </c>
      <c r="E32" s="932">
        <f t="shared" si="20"/>
        <v>35392</v>
      </c>
      <c r="F32" s="932">
        <f t="shared" si="20"/>
        <v>36809</v>
      </c>
      <c r="G32" s="933">
        <f t="shared" si="20"/>
        <v>37258</v>
      </c>
      <c r="H32" s="934">
        <f t="shared" si="20"/>
        <v>37880</v>
      </c>
      <c r="I32" s="935">
        <f t="shared" si="20"/>
        <v>38292</v>
      </c>
      <c r="J32" s="933">
        <f>SUM(J17,J26)</f>
        <v>38706</v>
      </c>
      <c r="K32" s="934">
        <f>SUM(K17,K26)</f>
        <v>39282</v>
      </c>
      <c r="L32" s="935">
        <f>SUM(L17,L26)</f>
        <v>39792</v>
      </c>
      <c r="M32" s="935">
        <f>SUM(M17,M26)</f>
        <v>41263</v>
      </c>
      <c r="N32" s="935">
        <f t="shared" ref="N32:S32" si="21">SUM(N17,N22,N26)</f>
        <v>42819</v>
      </c>
      <c r="O32" s="935">
        <f t="shared" si="21"/>
        <v>44342</v>
      </c>
      <c r="P32" s="935">
        <f t="shared" si="21"/>
        <v>45957</v>
      </c>
      <c r="Q32" s="935">
        <f t="shared" si="21"/>
        <v>47541</v>
      </c>
      <c r="R32" s="935">
        <f t="shared" si="21"/>
        <v>49088</v>
      </c>
      <c r="S32" s="935">
        <f t="shared" si="21"/>
        <v>50705</v>
      </c>
      <c r="T32" s="935">
        <f t="shared" ref="T32:U32" si="22">SUM(T17,T22,T26)</f>
        <v>52400</v>
      </c>
      <c r="U32" s="935">
        <f t="shared" si="22"/>
        <v>54048</v>
      </c>
    </row>
    <row r="33" spans="2:25" ht="14.4" x14ac:dyDescent="0.25">
      <c r="B33" s="902" t="s">
        <v>68</v>
      </c>
      <c r="C33" s="932">
        <f t="shared" ref="C33:O33" si="23">SUM(C7,C27)</f>
        <v>17614</v>
      </c>
      <c r="D33" s="932">
        <f t="shared" si="23"/>
        <v>18443</v>
      </c>
      <c r="E33" s="932">
        <f t="shared" si="23"/>
        <v>19217</v>
      </c>
      <c r="F33" s="932">
        <f t="shared" si="23"/>
        <v>19838</v>
      </c>
      <c r="G33" s="933">
        <f t="shared" si="23"/>
        <v>20100</v>
      </c>
      <c r="H33" s="934">
        <f t="shared" si="23"/>
        <v>20426</v>
      </c>
      <c r="I33" s="935">
        <f t="shared" si="23"/>
        <v>20467</v>
      </c>
      <c r="J33" s="933">
        <f t="shared" si="23"/>
        <v>20800</v>
      </c>
      <c r="K33" s="934">
        <f t="shared" si="23"/>
        <v>21170</v>
      </c>
      <c r="L33" s="935">
        <f t="shared" si="23"/>
        <v>21237</v>
      </c>
      <c r="M33" s="935">
        <f t="shared" si="23"/>
        <v>22035</v>
      </c>
      <c r="N33" s="935">
        <f t="shared" si="23"/>
        <v>22787</v>
      </c>
      <c r="O33" s="935">
        <f t="shared" si="23"/>
        <v>23566</v>
      </c>
      <c r="P33" s="935">
        <f t="shared" ref="P33:U33" si="24">SUM(P7,P27)</f>
        <v>24418</v>
      </c>
      <c r="Q33" s="935">
        <f t="shared" si="24"/>
        <v>25204</v>
      </c>
      <c r="R33" s="935">
        <f t="shared" si="24"/>
        <v>26043</v>
      </c>
      <c r="S33" s="935">
        <f t="shared" si="24"/>
        <v>26909</v>
      </c>
      <c r="T33" s="935">
        <f t="shared" si="24"/>
        <v>27773</v>
      </c>
      <c r="U33" s="935">
        <f t="shared" si="24"/>
        <v>28663</v>
      </c>
    </row>
    <row r="34" spans="2:25" ht="14.4" x14ac:dyDescent="0.25">
      <c r="B34" s="902" t="s">
        <v>111</v>
      </c>
      <c r="C34" s="932">
        <f t="shared" ref="C34:Q35" si="25">SUM(C11)</f>
        <v>0</v>
      </c>
      <c r="D34" s="932">
        <f t="shared" si="25"/>
        <v>9</v>
      </c>
      <c r="E34" s="932">
        <f t="shared" si="25"/>
        <v>24</v>
      </c>
      <c r="F34" s="932">
        <f t="shared" si="25"/>
        <v>56</v>
      </c>
      <c r="G34" s="933">
        <f t="shared" si="25"/>
        <v>63</v>
      </c>
      <c r="H34" s="934">
        <f t="shared" si="25"/>
        <v>91</v>
      </c>
      <c r="I34" s="935">
        <f t="shared" si="25"/>
        <v>106</v>
      </c>
      <c r="J34" s="933">
        <f t="shared" si="25"/>
        <v>108</v>
      </c>
      <c r="K34" s="934">
        <f t="shared" si="25"/>
        <v>114</v>
      </c>
      <c r="L34" s="935">
        <f t="shared" si="25"/>
        <v>130</v>
      </c>
      <c r="M34" s="935">
        <f t="shared" si="25"/>
        <v>167</v>
      </c>
      <c r="N34" s="935">
        <f t="shared" si="25"/>
        <v>208</v>
      </c>
      <c r="O34" s="935">
        <f t="shared" si="25"/>
        <v>258</v>
      </c>
      <c r="P34" s="935">
        <f t="shared" si="25"/>
        <v>337</v>
      </c>
      <c r="Q34" s="935">
        <f t="shared" si="25"/>
        <v>423</v>
      </c>
      <c r="R34" s="935">
        <f t="shared" ref="R34:T35" si="26">SUM(R11)</f>
        <v>518</v>
      </c>
      <c r="S34" s="935">
        <f t="shared" si="26"/>
        <v>603</v>
      </c>
      <c r="T34" s="935">
        <f t="shared" si="26"/>
        <v>738</v>
      </c>
      <c r="U34" s="935">
        <f t="shared" ref="U34" si="27">SUM(U11)</f>
        <v>843</v>
      </c>
    </row>
    <row r="35" spans="2:25" ht="14.4" x14ac:dyDescent="0.25">
      <c r="B35" s="902" t="s">
        <v>115</v>
      </c>
      <c r="C35" s="936">
        <f t="shared" si="25"/>
        <v>0</v>
      </c>
      <c r="D35" s="936">
        <f t="shared" si="25"/>
        <v>11</v>
      </c>
      <c r="E35" s="936">
        <f t="shared" si="25"/>
        <v>21</v>
      </c>
      <c r="F35" s="936">
        <f t="shared" si="25"/>
        <v>32</v>
      </c>
      <c r="G35" s="937">
        <f t="shared" si="25"/>
        <v>33</v>
      </c>
      <c r="H35" s="938">
        <f t="shared" si="25"/>
        <v>38</v>
      </c>
      <c r="I35" s="939">
        <f t="shared" si="25"/>
        <v>50</v>
      </c>
      <c r="J35" s="937">
        <f t="shared" si="25"/>
        <v>52</v>
      </c>
      <c r="K35" s="938">
        <f t="shared" si="25"/>
        <v>58</v>
      </c>
      <c r="L35" s="939">
        <f t="shared" si="25"/>
        <v>65</v>
      </c>
      <c r="M35" s="939">
        <f t="shared" si="25"/>
        <v>89</v>
      </c>
      <c r="N35" s="939">
        <f t="shared" si="25"/>
        <v>117</v>
      </c>
      <c r="O35" s="939">
        <f t="shared" si="25"/>
        <v>169</v>
      </c>
      <c r="P35" s="939">
        <f t="shared" si="25"/>
        <v>227</v>
      </c>
      <c r="Q35" s="939">
        <f t="shared" si="25"/>
        <v>313</v>
      </c>
      <c r="R35" s="939">
        <f t="shared" si="26"/>
        <v>388</v>
      </c>
      <c r="S35" s="939">
        <f t="shared" si="26"/>
        <v>447</v>
      </c>
      <c r="T35" s="939">
        <f t="shared" si="26"/>
        <v>574</v>
      </c>
      <c r="U35" s="939">
        <f t="shared" ref="U35" si="28">SUM(U12)</f>
        <v>672</v>
      </c>
    </row>
    <row r="36" spans="2:25" ht="14.4" x14ac:dyDescent="0.25">
      <c r="B36" s="579" t="s">
        <v>128</v>
      </c>
      <c r="C36" s="940">
        <f t="shared" ref="C36:L36" si="29">SUM(C30:C35)</f>
        <v>111709</v>
      </c>
      <c r="D36" s="940">
        <f t="shared" si="29"/>
        <v>116618</v>
      </c>
      <c r="E36" s="940">
        <f t="shared" si="29"/>
        <v>121589</v>
      </c>
      <c r="F36" s="940">
        <f t="shared" si="29"/>
        <v>126090</v>
      </c>
      <c r="G36" s="941">
        <f t="shared" si="29"/>
        <v>127729</v>
      </c>
      <c r="H36" s="942">
        <f t="shared" si="29"/>
        <v>129822</v>
      </c>
      <c r="I36" s="943">
        <f t="shared" si="29"/>
        <v>130831</v>
      </c>
      <c r="J36" s="941">
        <f t="shared" si="29"/>
        <v>132606</v>
      </c>
      <c r="K36" s="942">
        <f t="shared" si="29"/>
        <v>134962</v>
      </c>
      <c r="L36" s="943">
        <f t="shared" si="29"/>
        <v>136236</v>
      </c>
      <c r="M36" s="943">
        <f t="shared" ref="M36:R36" si="30">SUM(M30:M35)</f>
        <v>141322</v>
      </c>
      <c r="N36" s="943">
        <f t="shared" si="30"/>
        <v>146497</v>
      </c>
      <c r="O36" s="943">
        <f t="shared" si="30"/>
        <v>151720</v>
      </c>
      <c r="P36" s="943">
        <f t="shared" si="30"/>
        <v>157477</v>
      </c>
      <c r="Q36" s="943">
        <f t="shared" si="30"/>
        <v>163045</v>
      </c>
      <c r="R36" s="943">
        <f t="shared" si="30"/>
        <v>168542</v>
      </c>
      <c r="S36" s="943">
        <f>SUM(S30:S35)</f>
        <v>174095</v>
      </c>
      <c r="T36" s="943">
        <f>SUM(T30:T35)</f>
        <v>179852</v>
      </c>
      <c r="U36" s="943">
        <f>SUM(U30:U35)</f>
        <v>185534</v>
      </c>
    </row>
    <row r="37" spans="2:25" ht="13.8" x14ac:dyDescent="0.25">
      <c r="R37" s="892"/>
      <c r="S37" s="747"/>
      <c r="T37" s="4645"/>
      <c r="U37" s="4645"/>
    </row>
    <row r="38" spans="2:25" x14ac:dyDescent="0.25">
      <c r="B38" s="748" t="s">
        <v>182</v>
      </c>
    </row>
    <row r="39" spans="2:25" x14ac:dyDescent="0.25">
      <c r="B39" s="393" t="s">
        <v>151</v>
      </c>
      <c r="C39" s="944"/>
    </row>
    <row r="44" spans="2:25" x14ac:dyDescent="0.25">
      <c r="Y44" s="5534"/>
    </row>
    <row r="56" spans="17:17" x14ac:dyDescent="0.25">
      <c r="Q56" s="797"/>
    </row>
    <row r="57" spans="17:17" x14ac:dyDescent="0.25">
      <c r="Q57" s="797"/>
    </row>
    <row r="58" spans="17:17" x14ac:dyDescent="0.25">
      <c r="Q58" s="797"/>
    </row>
    <row r="59" spans="17:17" x14ac:dyDescent="0.25">
      <c r="Q59" s="797"/>
    </row>
    <row r="60" spans="17:17" x14ac:dyDescent="0.25">
      <c r="Q60" s="797"/>
    </row>
    <row r="61" spans="17:17" x14ac:dyDescent="0.25">
      <c r="Q61" s="797"/>
    </row>
    <row r="62" spans="17:17" x14ac:dyDescent="0.25">
      <c r="Q62" s="797"/>
    </row>
    <row r="71" spans="20:20" ht="13.8" x14ac:dyDescent="0.25">
      <c r="T71" s="4645"/>
    </row>
  </sheetData>
  <printOptions horizontalCentered="1" verticalCentered="1"/>
  <pageMargins left="0.70866141732283472" right="0.70866141732283472" top="0.74803149606299213" bottom="0.74803149606299213" header="0.31496062992125984" footer="0.31496062992125984"/>
  <pageSetup scale="74" firstPageNumber="39" orientation="landscape" useFirstPageNumber="1" r:id="rId1"/>
  <headerFooter scaleWithDoc="0" alignWithMargins="0">
    <oddFooter>&amp;R&amp;P</oddFooter>
  </headerFooter>
  <rowBreaks count="1" manualBreakCount="1">
    <brk id="39" min="11" max="20" man="1"/>
  </rowBreaks>
  <ignoredErrors>
    <ignoredError sqref="C5:T5" formulaRange="1"/>
  </ignoredError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B1:AD111"/>
  <sheetViews>
    <sheetView showGridLines="0" zoomScaleNormal="100" workbookViewId="0">
      <pane xSplit="6" ySplit="4" topLeftCell="U95" activePane="bottomRight" state="frozen"/>
      <selection activeCell="Q31" sqref="Q31"/>
      <selection pane="topRight" activeCell="Q31" sqref="Q31"/>
      <selection pane="bottomLeft" activeCell="Q31" sqref="Q31"/>
      <selection pane="bottomRight" activeCell="AD101" sqref="AD101"/>
    </sheetView>
  </sheetViews>
  <sheetFormatPr baseColWidth="10" defaultColWidth="11.44140625" defaultRowHeight="13.2" x14ac:dyDescent="0.25"/>
  <cols>
    <col min="1" max="1" width="2.88671875" style="946" customWidth="1"/>
    <col min="2" max="2" width="37.109375" style="946" customWidth="1"/>
    <col min="3" max="6" width="11.44140625" style="946" hidden="1" customWidth="1"/>
    <col min="7" max="27" width="9.88671875" style="946" customWidth="1"/>
    <col min="28" max="65" width="9.5546875" style="946" customWidth="1"/>
    <col min="66" max="16384" width="11.44140625" style="946"/>
  </cols>
  <sheetData>
    <row r="1" spans="2:30" ht="13.8" x14ac:dyDescent="0.25">
      <c r="B1" s="945" t="s">
        <v>183</v>
      </c>
    </row>
    <row r="2" spans="2:30" ht="42.75" customHeight="1" x14ac:dyDescent="0.25">
      <c r="B2" s="374" t="s">
        <v>154</v>
      </c>
    </row>
    <row r="3" spans="2:30" ht="29.25" customHeight="1" x14ac:dyDescent="0.25">
      <c r="B3" s="740" t="s">
        <v>45</v>
      </c>
      <c r="C3" s="740">
        <v>2005</v>
      </c>
      <c r="D3" s="740">
        <v>2006</v>
      </c>
      <c r="E3" s="740">
        <v>2007</v>
      </c>
      <c r="F3" s="740">
        <v>2008</v>
      </c>
      <c r="G3" s="947">
        <v>1999</v>
      </c>
      <c r="H3" s="947">
        <v>2000</v>
      </c>
      <c r="I3" s="740">
        <v>2001</v>
      </c>
      <c r="J3" s="947">
        <v>2002</v>
      </c>
      <c r="K3" s="947">
        <v>2003</v>
      </c>
      <c r="L3" s="947">
        <v>2004</v>
      </c>
      <c r="M3" s="740">
        <v>2005</v>
      </c>
      <c r="N3" s="947">
        <v>2006</v>
      </c>
      <c r="O3" s="947">
        <v>2007</v>
      </c>
      <c r="P3" s="947">
        <v>2008</v>
      </c>
      <c r="Q3" s="740">
        <v>2009</v>
      </c>
      <c r="R3" s="947">
        <v>2010</v>
      </c>
      <c r="S3" s="947">
        <v>2011</v>
      </c>
      <c r="T3" s="947">
        <v>2012</v>
      </c>
      <c r="U3" s="947">
        <v>2013</v>
      </c>
      <c r="V3" s="947">
        <v>2014</v>
      </c>
      <c r="W3" s="947">
        <v>2015</v>
      </c>
      <c r="X3" s="947">
        <v>2016</v>
      </c>
      <c r="Y3" s="947">
        <v>2017</v>
      </c>
      <c r="Z3" s="947">
        <v>2018</v>
      </c>
      <c r="AA3" s="947">
        <v>2019</v>
      </c>
      <c r="AB3" s="947">
        <v>2020</v>
      </c>
      <c r="AC3" s="947">
        <v>2021</v>
      </c>
      <c r="AD3" s="947">
        <v>2022</v>
      </c>
    </row>
    <row r="4" spans="2:30" ht="14.4" x14ac:dyDescent="0.3">
      <c r="B4" s="948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</row>
    <row r="5" spans="2:30" ht="14.4" x14ac:dyDescent="0.25">
      <c r="B5" s="949" t="s">
        <v>49</v>
      </c>
      <c r="C5" s="950"/>
      <c r="D5" s="950"/>
      <c r="E5" s="950"/>
      <c r="F5" s="950"/>
      <c r="G5" s="951">
        <v>38</v>
      </c>
      <c r="H5" s="951">
        <v>22</v>
      </c>
      <c r="I5" s="951">
        <v>30</v>
      </c>
      <c r="J5" s="951">
        <v>30</v>
      </c>
      <c r="K5" s="951">
        <v>40</v>
      </c>
      <c r="L5" s="951">
        <v>28</v>
      </c>
      <c r="M5" s="951">
        <v>31</v>
      </c>
      <c r="N5" s="951">
        <v>34</v>
      </c>
      <c r="O5" s="951">
        <v>10</v>
      </c>
      <c r="P5" s="951">
        <v>18</v>
      </c>
      <c r="Q5" s="951">
        <v>22</v>
      </c>
      <c r="R5" s="952">
        <v>29</v>
      </c>
      <c r="S5" s="952">
        <v>32</v>
      </c>
      <c r="T5" s="952">
        <v>33</v>
      </c>
      <c r="U5" s="952">
        <v>49</v>
      </c>
      <c r="V5" s="952">
        <v>59</v>
      </c>
      <c r="W5" s="952">
        <v>44</v>
      </c>
      <c r="X5" s="952">
        <v>70</v>
      </c>
      <c r="Y5" s="952">
        <v>64</v>
      </c>
      <c r="Z5" s="952">
        <v>89</v>
      </c>
      <c r="AA5" s="952">
        <v>45</v>
      </c>
      <c r="AB5" s="952">
        <v>14</v>
      </c>
      <c r="AC5" s="952">
        <v>39</v>
      </c>
      <c r="AD5" s="952">
        <v>37</v>
      </c>
    </row>
    <row r="6" spans="2:30" ht="14.4" x14ac:dyDescent="0.25">
      <c r="B6" s="953" t="s">
        <v>50</v>
      </c>
      <c r="C6" s="954"/>
      <c r="D6" s="954"/>
      <c r="E6" s="954"/>
      <c r="F6" s="954"/>
      <c r="G6" s="955">
        <v>45</v>
      </c>
      <c r="H6" s="955">
        <v>42</v>
      </c>
      <c r="I6" s="955">
        <v>48</v>
      </c>
      <c r="J6" s="955">
        <v>39</v>
      </c>
      <c r="K6" s="955">
        <v>33</v>
      </c>
      <c r="L6" s="955">
        <v>34</v>
      </c>
      <c r="M6" s="955">
        <v>22</v>
      </c>
      <c r="N6" s="955">
        <v>30</v>
      </c>
      <c r="O6" s="955">
        <v>26</v>
      </c>
      <c r="P6" s="955">
        <v>24</v>
      </c>
      <c r="Q6" s="955">
        <v>27</v>
      </c>
      <c r="R6" s="956">
        <v>36</v>
      </c>
      <c r="S6" s="956">
        <v>31</v>
      </c>
      <c r="T6" s="956">
        <v>31</v>
      </c>
      <c r="U6" s="956">
        <v>35</v>
      </c>
      <c r="V6" s="956">
        <v>50</v>
      </c>
      <c r="W6" s="956">
        <v>40</v>
      </c>
      <c r="X6" s="956">
        <v>64</v>
      </c>
      <c r="Y6" s="956">
        <v>50</v>
      </c>
      <c r="Z6" s="956">
        <v>101</v>
      </c>
      <c r="AA6" s="956">
        <v>48</v>
      </c>
      <c r="AB6" s="956">
        <v>9</v>
      </c>
      <c r="AC6" s="956">
        <v>76</v>
      </c>
      <c r="AD6" s="956">
        <v>57</v>
      </c>
    </row>
    <row r="7" spans="2:30" ht="14.4" x14ac:dyDescent="0.25">
      <c r="B7" s="953" t="s">
        <v>51</v>
      </c>
      <c r="C7" s="954"/>
      <c r="D7" s="954"/>
      <c r="E7" s="954"/>
      <c r="F7" s="954"/>
      <c r="G7" s="955">
        <v>44</v>
      </c>
      <c r="H7" s="955">
        <v>18</v>
      </c>
      <c r="I7" s="955">
        <v>35</v>
      </c>
      <c r="J7" s="955">
        <v>19</v>
      </c>
      <c r="K7" s="955">
        <v>21</v>
      </c>
      <c r="L7" s="955">
        <v>26</v>
      </c>
      <c r="M7" s="955">
        <v>25</v>
      </c>
      <c r="N7" s="955">
        <v>18</v>
      </c>
      <c r="O7" s="955">
        <v>26</v>
      </c>
      <c r="P7" s="955">
        <v>21</v>
      </c>
      <c r="Q7" s="955">
        <v>16</v>
      </c>
      <c r="R7" s="956">
        <v>11</v>
      </c>
      <c r="S7" s="956">
        <v>13</v>
      </c>
      <c r="T7" s="956">
        <v>9</v>
      </c>
      <c r="U7" s="956">
        <v>10</v>
      </c>
      <c r="V7" s="956">
        <v>18</v>
      </c>
      <c r="W7" s="956">
        <v>20</v>
      </c>
      <c r="X7" s="956">
        <v>25</v>
      </c>
      <c r="Y7" s="956">
        <v>21</v>
      </c>
      <c r="Z7" s="956">
        <v>37</v>
      </c>
      <c r="AA7" s="956">
        <v>27</v>
      </c>
      <c r="AB7" s="956">
        <v>3</v>
      </c>
      <c r="AC7" s="956">
        <v>15</v>
      </c>
      <c r="AD7" s="956">
        <v>25</v>
      </c>
    </row>
    <row r="8" spans="2:30" ht="14.4" x14ac:dyDescent="0.25">
      <c r="B8" s="953" t="s">
        <v>52</v>
      </c>
      <c r="C8" s="954"/>
      <c r="D8" s="954"/>
      <c r="E8" s="954"/>
      <c r="F8" s="954"/>
      <c r="G8" s="955">
        <v>22</v>
      </c>
      <c r="H8" s="955">
        <v>11</v>
      </c>
      <c r="I8" s="955">
        <v>9</v>
      </c>
      <c r="J8" s="955">
        <v>10</v>
      </c>
      <c r="K8" s="955">
        <v>9</v>
      </c>
      <c r="L8" s="955">
        <v>13</v>
      </c>
      <c r="M8" s="955">
        <v>7</v>
      </c>
      <c r="N8" s="955">
        <v>28</v>
      </c>
      <c r="O8" s="955">
        <v>17</v>
      </c>
      <c r="P8" s="955">
        <v>16</v>
      </c>
      <c r="Q8" s="955">
        <v>14</v>
      </c>
      <c r="R8" s="956">
        <v>22</v>
      </c>
      <c r="S8" s="956">
        <v>13</v>
      </c>
      <c r="T8" s="956">
        <v>14</v>
      </c>
      <c r="U8" s="956">
        <v>14</v>
      </c>
      <c r="V8" s="956">
        <v>30</v>
      </c>
      <c r="W8" s="956">
        <v>20</v>
      </c>
      <c r="X8" s="956">
        <v>20</v>
      </c>
      <c r="Y8" s="956">
        <v>10</v>
      </c>
      <c r="Z8" s="956">
        <v>38</v>
      </c>
      <c r="AA8" s="956">
        <v>21</v>
      </c>
      <c r="AB8" s="956">
        <v>10</v>
      </c>
      <c r="AC8" s="956">
        <v>49</v>
      </c>
      <c r="AD8" s="956">
        <v>41</v>
      </c>
    </row>
    <row r="9" spans="2:30" ht="14.4" x14ac:dyDescent="0.25">
      <c r="B9" s="953" t="s">
        <v>53</v>
      </c>
      <c r="C9" s="954"/>
      <c r="D9" s="954"/>
      <c r="E9" s="954"/>
      <c r="F9" s="954"/>
      <c r="G9" s="955">
        <v>81</v>
      </c>
      <c r="H9" s="955">
        <v>53</v>
      </c>
      <c r="I9" s="955">
        <v>63</v>
      </c>
      <c r="J9" s="955">
        <v>59</v>
      </c>
      <c r="K9" s="955">
        <v>88</v>
      </c>
      <c r="L9" s="955">
        <v>68</v>
      </c>
      <c r="M9" s="955">
        <v>76</v>
      </c>
      <c r="N9" s="955">
        <v>78</v>
      </c>
      <c r="O9" s="955">
        <v>84</v>
      </c>
      <c r="P9" s="955">
        <v>83</v>
      </c>
      <c r="Q9" s="955">
        <v>79</v>
      </c>
      <c r="R9" s="956">
        <v>81</v>
      </c>
      <c r="S9" s="956">
        <v>75</v>
      </c>
      <c r="T9" s="956">
        <v>64</v>
      </c>
      <c r="U9" s="956">
        <v>80</v>
      </c>
      <c r="V9" s="956">
        <v>104</v>
      </c>
      <c r="W9" s="956">
        <v>53</v>
      </c>
      <c r="X9" s="956">
        <v>75</v>
      </c>
      <c r="Y9" s="956">
        <v>58</v>
      </c>
      <c r="Z9" s="956">
        <v>99</v>
      </c>
      <c r="AA9" s="956">
        <v>47</v>
      </c>
      <c r="AB9" s="956">
        <v>30</v>
      </c>
      <c r="AC9" s="956">
        <v>57</v>
      </c>
      <c r="AD9" s="956">
        <v>54</v>
      </c>
    </row>
    <row r="10" spans="2:30" ht="14.4" x14ac:dyDescent="0.25">
      <c r="B10" s="953" t="s">
        <v>54</v>
      </c>
      <c r="C10" s="954"/>
      <c r="D10" s="954"/>
      <c r="E10" s="954"/>
      <c r="F10" s="954"/>
      <c r="G10" s="955">
        <v>45</v>
      </c>
      <c r="H10" s="955">
        <v>51</v>
      </c>
      <c r="I10" s="955">
        <v>25</v>
      </c>
      <c r="J10" s="955">
        <v>50</v>
      </c>
      <c r="K10" s="955">
        <v>67</v>
      </c>
      <c r="L10" s="955">
        <v>38</v>
      </c>
      <c r="M10" s="955">
        <v>31</v>
      </c>
      <c r="N10" s="955">
        <v>53</v>
      </c>
      <c r="O10" s="955">
        <v>60</v>
      </c>
      <c r="P10" s="955">
        <v>39</v>
      </c>
      <c r="Q10" s="955">
        <v>38</v>
      </c>
      <c r="R10" s="956">
        <v>40</v>
      </c>
      <c r="S10" s="956">
        <v>38</v>
      </c>
      <c r="T10" s="956">
        <v>35</v>
      </c>
      <c r="U10" s="956">
        <v>42</v>
      </c>
      <c r="V10" s="956">
        <v>35</v>
      </c>
      <c r="W10" s="956">
        <v>37</v>
      </c>
      <c r="X10" s="956">
        <v>48</v>
      </c>
      <c r="Y10" s="956">
        <v>39</v>
      </c>
      <c r="Z10" s="956">
        <v>66</v>
      </c>
      <c r="AA10" s="956">
        <v>30</v>
      </c>
      <c r="AB10" s="956">
        <v>14</v>
      </c>
      <c r="AC10" s="956">
        <v>45</v>
      </c>
      <c r="AD10" s="956">
        <v>41</v>
      </c>
    </row>
    <row r="11" spans="2:30" ht="14.4" x14ac:dyDescent="0.25">
      <c r="B11" s="953" t="s">
        <v>55</v>
      </c>
      <c r="C11" s="954"/>
      <c r="D11" s="954"/>
      <c r="E11" s="954"/>
      <c r="F11" s="954"/>
      <c r="G11" s="955">
        <v>19</v>
      </c>
      <c r="H11" s="955">
        <v>20</v>
      </c>
      <c r="I11" s="955">
        <v>27</v>
      </c>
      <c r="J11" s="955">
        <v>15</v>
      </c>
      <c r="K11" s="955">
        <v>8</v>
      </c>
      <c r="L11" s="955">
        <v>11</v>
      </c>
      <c r="M11" s="955">
        <v>9</v>
      </c>
      <c r="N11" s="955">
        <v>11</v>
      </c>
      <c r="O11" s="955">
        <v>7</v>
      </c>
      <c r="P11" s="955">
        <v>1</v>
      </c>
      <c r="Q11" s="955">
        <v>7</v>
      </c>
      <c r="R11" s="956">
        <v>6</v>
      </c>
      <c r="S11" s="956">
        <v>3</v>
      </c>
      <c r="T11" s="956">
        <v>5</v>
      </c>
      <c r="U11" s="956">
        <v>6</v>
      </c>
      <c r="V11" s="956">
        <v>13</v>
      </c>
      <c r="W11" s="956">
        <v>13</v>
      </c>
      <c r="X11" s="956">
        <v>20</v>
      </c>
      <c r="Y11" s="956">
        <v>13</v>
      </c>
      <c r="Z11" s="956">
        <v>15</v>
      </c>
      <c r="AA11" s="956">
        <v>18</v>
      </c>
      <c r="AB11" s="956">
        <v>5</v>
      </c>
      <c r="AC11" s="956">
        <v>16</v>
      </c>
      <c r="AD11" s="956">
        <v>25</v>
      </c>
    </row>
    <row r="12" spans="2:30" ht="14.4" x14ac:dyDescent="0.25">
      <c r="B12" s="953" t="s">
        <v>56</v>
      </c>
      <c r="C12" s="954"/>
      <c r="D12" s="954"/>
      <c r="E12" s="954"/>
      <c r="F12" s="954"/>
      <c r="G12" s="955">
        <v>59</v>
      </c>
      <c r="H12" s="955">
        <v>40</v>
      </c>
      <c r="I12" s="955">
        <v>43</v>
      </c>
      <c r="J12" s="955">
        <v>39</v>
      </c>
      <c r="K12" s="955">
        <v>42</v>
      </c>
      <c r="L12" s="955">
        <v>43</v>
      </c>
      <c r="M12" s="955">
        <v>49</v>
      </c>
      <c r="N12" s="955">
        <v>38</v>
      </c>
      <c r="O12" s="955">
        <v>52</v>
      </c>
      <c r="P12" s="955">
        <v>30</v>
      </c>
      <c r="Q12" s="955">
        <v>55</v>
      </c>
      <c r="R12" s="956">
        <v>34</v>
      </c>
      <c r="S12" s="956">
        <v>56</v>
      </c>
      <c r="T12" s="956">
        <v>41</v>
      </c>
      <c r="U12" s="956">
        <v>34</v>
      </c>
      <c r="V12" s="956">
        <v>75</v>
      </c>
      <c r="W12" s="956">
        <v>47</v>
      </c>
      <c r="X12" s="956">
        <v>63</v>
      </c>
      <c r="Y12" s="956">
        <v>37</v>
      </c>
      <c r="Z12" s="956">
        <v>81</v>
      </c>
      <c r="AA12" s="956">
        <v>37</v>
      </c>
      <c r="AB12" s="956">
        <v>14</v>
      </c>
      <c r="AC12" s="956">
        <v>47</v>
      </c>
      <c r="AD12" s="956">
        <v>79</v>
      </c>
    </row>
    <row r="13" spans="2:30" ht="14.4" x14ac:dyDescent="0.25">
      <c r="B13" s="953" t="s">
        <v>57</v>
      </c>
      <c r="C13" s="954"/>
      <c r="D13" s="954"/>
      <c r="E13" s="954"/>
      <c r="F13" s="954"/>
      <c r="G13" s="955">
        <v>90</v>
      </c>
      <c r="H13" s="955">
        <v>79</v>
      </c>
      <c r="I13" s="955">
        <v>70</v>
      </c>
      <c r="J13" s="955">
        <v>79</v>
      </c>
      <c r="K13" s="955">
        <v>104</v>
      </c>
      <c r="L13" s="955">
        <v>104</v>
      </c>
      <c r="M13" s="955">
        <v>101</v>
      </c>
      <c r="N13" s="955">
        <v>105</v>
      </c>
      <c r="O13" s="955">
        <v>81</v>
      </c>
      <c r="P13" s="955">
        <v>64</v>
      </c>
      <c r="Q13" s="955">
        <v>80</v>
      </c>
      <c r="R13" s="956">
        <v>67</v>
      </c>
      <c r="S13" s="956">
        <v>51</v>
      </c>
      <c r="T13" s="956">
        <v>66</v>
      </c>
      <c r="U13" s="956">
        <v>64</v>
      </c>
      <c r="V13" s="956">
        <v>64</v>
      </c>
      <c r="W13" s="956">
        <v>43</v>
      </c>
      <c r="X13" s="956">
        <v>68</v>
      </c>
      <c r="Y13" s="956">
        <v>33</v>
      </c>
      <c r="Z13" s="956">
        <v>68</v>
      </c>
      <c r="AA13" s="956">
        <v>34</v>
      </c>
      <c r="AB13" s="956">
        <v>11</v>
      </c>
      <c r="AC13" s="956">
        <v>58</v>
      </c>
      <c r="AD13" s="956">
        <v>34</v>
      </c>
    </row>
    <row r="14" spans="2:30" ht="14.4" x14ac:dyDescent="0.25">
      <c r="B14" s="953" t="s">
        <v>58</v>
      </c>
      <c r="C14" s="954"/>
      <c r="D14" s="954"/>
      <c r="E14" s="954"/>
      <c r="F14" s="954"/>
      <c r="G14" s="955"/>
      <c r="H14" s="955"/>
      <c r="I14" s="955"/>
      <c r="J14" s="955"/>
      <c r="K14" s="955"/>
      <c r="L14" s="955"/>
      <c r="M14" s="955"/>
      <c r="N14" s="955"/>
      <c r="O14" s="955"/>
      <c r="P14" s="955">
        <v>7</v>
      </c>
      <c r="Q14" s="955">
        <v>13</v>
      </c>
      <c r="R14" s="956">
        <v>37</v>
      </c>
      <c r="S14" s="956">
        <v>41</v>
      </c>
      <c r="T14" s="956">
        <v>57</v>
      </c>
      <c r="U14" s="956">
        <v>58</v>
      </c>
      <c r="V14" s="956">
        <v>78</v>
      </c>
      <c r="W14" s="956">
        <v>75</v>
      </c>
      <c r="X14" s="956">
        <v>77</v>
      </c>
      <c r="Y14" s="956">
        <v>50</v>
      </c>
      <c r="Z14" s="956">
        <v>85</v>
      </c>
      <c r="AA14" s="956">
        <v>29</v>
      </c>
      <c r="AB14" s="956">
        <v>9</v>
      </c>
      <c r="AC14" s="956">
        <v>57</v>
      </c>
      <c r="AD14" s="956">
        <v>49</v>
      </c>
    </row>
    <row r="15" spans="2:30" ht="14.4" x14ac:dyDescent="0.25">
      <c r="B15" s="957" t="s">
        <v>59</v>
      </c>
      <c r="C15" s="958"/>
      <c r="D15" s="958"/>
      <c r="E15" s="958"/>
      <c r="F15" s="958"/>
      <c r="G15" s="959">
        <f t="shared" ref="G15:P15" si="0">SUM(G5:G14)</f>
        <v>443</v>
      </c>
      <c r="H15" s="959">
        <f t="shared" si="0"/>
        <v>336</v>
      </c>
      <c r="I15" s="959">
        <f t="shared" si="0"/>
        <v>350</v>
      </c>
      <c r="J15" s="959">
        <f t="shared" si="0"/>
        <v>340</v>
      </c>
      <c r="K15" s="959">
        <f t="shared" si="0"/>
        <v>412</v>
      </c>
      <c r="L15" s="959">
        <f t="shared" si="0"/>
        <v>365</v>
      </c>
      <c r="M15" s="959">
        <f t="shared" si="0"/>
        <v>351</v>
      </c>
      <c r="N15" s="959">
        <f t="shared" si="0"/>
        <v>395</v>
      </c>
      <c r="O15" s="959">
        <f t="shared" si="0"/>
        <v>363</v>
      </c>
      <c r="P15" s="959">
        <f t="shared" si="0"/>
        <v>303</v>
      </c>
      <c r="Q15" s="959">
        <f t="shared" ref="Q15:W15" si="1">SUM(Q5:Q14)</f>
        <v>351</v>
      </c>
      <c r="R15" s="959">
        <f t="shared" si="1"/>
        <v>363</v>
      </c>
      <c r="S15" s="959">
        <f t="shared" si="1"/>
        <v>353</v>
      </c>
      <c r="T15" s="959">
        <f t="shared" si="1"/>
        <v>355</v>
      </c>
      <c r="U15" s="959">
        <f t="shared" si="1"/>
        <v>392</v>
      </c>
      <c r="V15" s="959">
        <f t="shared" si="1"/>
        <v>526</v>
      </c>
      <c r="W15" s="959">
        <f t="shared" si="1"/>
        <v>392</v>
      </c>
      <c r="X15" s="959">
        <f t="shared" ref="X15:AB15" si="2">SUM(X5:X14)</f>
        <v>530</v>
      </c>
      <c r="Y15" s="959">
        <f t="shared" si="2"/>
        <v>375</v>
      </c>
      <c r="Z15" s="959">
        <f t="shared" si="2"/>
        <v>679</v>
      </c>
      <c r="AA15" s="959">
        <f t="shared" si="2"/>
        <v>336</v>
      </c>
      <c r="AB15" s="959">
        <f t="shared" si="2"/>
        <v>119</v>
      </c>
      <c r="AC15" s="959">
        <f>SUM(AC5:AC14)</f>
        <v>459</v>
      </c>
      <c r="AD15" s="959">
        <f>SUM(AD5:AD14)</f>
        <v>442</v>
      </c>
    </row>
    <row r="16" spans="2:30" ht="14.4" x14ac:dyDescent="0.25">
      <c r="B16" s="953" t="s">
        <v>60</v>
      </c>
      <c r="C16" s="954"/>
      <c r="D16" s="954"/>
      <c r="E16" s="954"/>
      <c r="F16" s="954"/>
      <c r="G16" s="955">
        <v>195</v>
      </c>
      <c r="H16" s="955">
        <v>201</v>
      </c>
      <c r="I16" s="955">
        <v>160</v>
      </c>
      <c r="J16" s="955">
        <v>151</v>
      </c>
      <c r="K16" s="955">
        <v>225</v>
      </c>
      <c r="L16" s="955">
        <v>144</v>
      </c>
      <c r="M16" s="955">
        <v>118</v>
      </c>
      <c r="N16" s="955">
        <v>125</v>
      </c>
      <c r="O16" s="955">
        <v>98</v>
      </c>
      <c r="P16" s="955">
        <v>62</v>
      </c>
      <c r="Q16" s="955">
        <v>79</v>
      </c>
      <c r="R16" s="956">
        <v>122</v>
      </c>
      <c r="S16" s="956">
        <v>93</v>
      </c>
      <c r="T16" s="956">
        <v>96</v>
      </c>
      <c r="U16" s="956">
        <v>112</v>
      </c>
      <c r="V16" s="956">
        <v>104</v>
      </c>
      <c r="W16" s="956">
        <v>124</v>
      </c>
      <c r="X16" s="956">
        <v>94</v>
      </c>
      <c r="Y16" s="956">
        <v>319</v>
      </c>
      <c r="Z16" s="956">
        <v>315</v>
      </c>
      <c r="AA16" s="956">
        <v>165</v>
      </c>
      <c r="AB16" s="956">
        <v>51</v>
      </c>
      <c r="AC16" s="956">
        <v>186</v>
      </c>
      <c r="AD16" s="956">
        <v>157</v>
      </c>
    </row>
    <row r="17" spans="2:30" ht="14.25" customHeight="1" x14ac:dyDescent="0.25">
      <c r="B17" s="953" t="s">
        <v>61</v>
      </c>
      <c r="C17" s="954"/>
      <c r="D17" s="954"/>
      <c r="E17" s="954"/>
      <c r="F17" s="954"/>
      <c r="G17" s="955">
        <v>255</v>
      </c>
      <c r="H17" s="955">
        <v>207</v>
      </c>
      <c r="I17" s="955">
        <v>237</v>
      </c>
      <c r="J17" s="955">
        <v>252</v>
      </c>
      <c r="K17" s="955">
        <v>201</v>
      </c>
      <c r="L17" s="955">
        <v>172</v>
      </c>
      <c r="M17" s="955">
        <v>191</v>
      </c>
      <c r="N17" s="955">
        <v>211</v>
      </c>
      <c r="O17" s="955">
        <v>205</v>
      </c>
      <c r="P17" s="955">
        <v>154</v>
      </c>
      <c r="Q17" s="955">
        <v>198</v>
      </c>
      <c r="R17" s="956">
        <v>167</v>
      </c>
      <c r="S17" s="956">
        <v>178</v>
      </c>
      <c r="T17" s="956">
        <v>154</v>
      </c>
      <c r="U17" s="956">
        <v>187</v>
      </c>
      <c r="V17" s="956">
        <v>167</v>
      </c>
      <c r="W17" s="956">
        <v>148</v>
      </c>
      <c r="X17" s="956">
        <v>258</v>
      </c>
      <c r="Y17" s="956">
        <v>170</v>
      </c>
      <c r="Z17" s="956">
        <v>950</v>
      </c>
      <c r="AA17" s="956">
        <v>261</v>
      </c>
      <c r="AB17" s="956">
        <v>49</v>
      </c>
      <c r="AC17" s="956">
        <v>127</v>
      </c>
      <c r="AD17" s="956">
        <v>213</v>
      </c>
    </row>
    <row r="18" spans="2:30" ht="14.25" customHeight="1" x14ac:dyDescent="0.25">
      <c r="B18" s="953" t="s">
        <v>62</v>
      </c>
      <c r="C18" s="954"/>
      <c r="D18" s="954"/>
      <c r="E18" s="954"/>
      <c r="F18" s="954"/>
      <c r="G18" s="955">
        <v>91</v>
      </c>
      <c r="H18" s="955">
        <v>86</v>
      </c>
      <c r="I18" s="955">
        <v>109</v>
      </c>
      <c r="J18" s="955">
        <v>77</v>
      </c>
      <c r="K18" s="955">
        <v>91</v>
      </c>
      <c r="L18" s="955">
        <v>105</v>
      </c>
      <c r="M18" s="955">
        <v>72</v>
      </c>
      <c r="N18" s="955">
        <v>63</v>
      </c>
      <c r="O18" s="955">
        <v>78</v>
      </c>
      <c r="P18" s="955">
        <v>57</v>
      </c>
      <c r="Q18" s="955">
        <v>63</v>
      </c>
      <c r="R18" s="956">
        <v>61</v>
      </c>
      <c r="S18" s="956">
        <v>60</v>
      </c>
      <c r="T18" s="956">
        <v>57</v>
      </c>
      <c r="U18" s="956">
        <v>87</v>
      </c>
      <c r="V18" s="956">
        <v>67</v>
      </c>
      <c r="W18" s="956">
        <v>50</v>
      </c>
      <c r="X18" s="956">
        <v>80</v>
      </c>
      <c r="Y18" s="956">
        <v>42</v>
      </c>
      <c r="Z18" s="956">
        <v>99</v>
      </c>
      <c r="AA18" s="956">
        <v>52</v>
      </c>
      <c r="AB18" s="956">
        <v>14</v>
      </c>
      <c r="AC18" s="956">
        <v>89</v>
      </c>
      <c r="AD18" s="956">
        <v>72</v>
      </c>
    </row>
    <row r="19" spans="2:30" ht="14.25" customHeight="1" x14ac:dyDescent="0.25">
      <c r="B19" s="953" t="s">
        <v>63</v>
      </c>
      <c r="C19" s="954"/>
      <c r="D19" s="954"/>
      <c r="E19" s="954"/>
      <c r="F19" s="954"/>
      <c r="G19" s="955">
        <v>61</v>
      </c>
      <c r="H19" s="955">
        <v>59</v>
      </c>
      <c r="I19" s="955">
        <v>79</v>
      </c>
      <c r="J19" s="955">
        <v>86</v>
      </c>
      <c r="K19" s="955">
        <v>85</v>
      </c>
      <c r="L19" s="955">
        <v>82</v>
      </c>
      <c r="M19" s="955">
        <v>70</v>
      </c>
      <c r="N19" s="955">
        <v>45</v>
      </c>
      <c r="O19" s="955">
        <v>68</v>
      </c>
      <c r="P19" s="955">
        <v>49</v>
      </c>
      <c r="Q19" s="955">
        <v>66</v>
      </c>
      <c r="R19" s="956">
        <v>60</v>
      </c>
      <c r="S19" s="956">
        <v>66</v>
      </c>
      <c r="T19" s="956">
        <v>73</v>
      </c>
      <c r="U19" s="956">
        <v>78</v>
      </c>
      <c r="V19" s="956">
        <v>65</v>
      </c>
      <c r="W19" s="956">
        <v>63</v>
      </c>
      <c r="X19" s="956">
        <v>93</v>
      </c>
      <c r="Y19" s="956">
        <v>57</v>
      </c>
      <c r="Z19" s="956">
        <v>119</v>
      </c>
      <c r="AA19" s="956">
        <v>81</v>
      </c>
      <c r="AB19" s="956">
        <v>27</v>
      </c>
      <c r="AC19" s="956">
        <v>92</v>
      </c>
      <c r="AD19" s="956">
        <v>79</v>
      </c>
    </row>
    <row r="20" spans="2:30" ht="14.25" customHeight="1" x14ac:dyDescent="0.25">
      <c r="B20" s="957" t="s">
        <v>64</v>
      </c>
      <c r="C20" s="958"/>
      <c r="D20" s="958"/>
      <c r="E20" s="958"/>
      <c r="F20" s="958"/>
      <c r="G20" s="959">
        <f t="shared" ref="G20:W20" si="3">SUM(G16:G19)</f>
        <v>602</v>
      </c>
      <c r="H20" s="959">
        <f t="shared" si="3"/>
        <v>553</v>
      </c>
      <c r="I20" s="959">
        <f t="shared" si="3"/>
        <v>585</v>
      </c>
      <c r="J20" s="959">
        <f t="shared" si="3"/>
        <v>566</v>
      </c>
      <c r="K20" s="959">
        <f t="shared" si="3"/>
        <v>602</v>
      </c>
      <c r="L20" s="959">
        <f t="shared" si="3"/>
        <v>503</v>
      </c>
      <c r="M20" s="959">
        <f t="shared" si="3"/>
        <v>451</v>
      </c>
      <c r="N20" s="959">
        <f t="shared" si="3"/>
        <v>444</v>
      </c>
      <c r="O20" s="959">
        <f t="shared" si="3"/>
        <v>449</v>
      </c>
      <c r="P20" s="959">
        <f t="shared" si="3"/>
        <v>322</v>
      </c>
      <c r="Q20" s="959">
        <f t="shared" si="3"/>
        <v>406</v>
      </c>
      <c r="R20" s="959">
        <f t="shared" si="3"/>
        <v>410</v>
      </c>
      <c r="S20" s="959">
        <f t="shared" si="3"/>
        <v>397</v>
      </c>
      <c r="T20" s="959">
        <f t="shared" si="3"/>
        <v>380</v>
      </c>
      <c r="U20" s="959">
        <f t="shared" si="3"/>
        <v>464</v>
      </c>
      <c r="V20" s="959">
        <f t="shared" si="3"/>
        <v>403</v>
      </c>
      <c r="W20" s="959">
        <f t="shared" si="3"/>
        <v>385</v>
      </c>
      <c r="X20" s="959">
        <f t="shared" ref="X20:AB20" si="4">SUM(X16:X19)</f>
        <v>525</v>
      </c>
      <c r="Y20" s="959">
        <f t="shared" si="4"/>
        <v>588</v>
      </c>
      <c r="Z20" s="959">
        <f t="shared" si="4"/>
        <v>1483</v>
      </c>
      <c r="AA20" s="959">
        <f t="shared" si="4"/>
        <v>559</v>
      </c>
      <c r="AB20" s="959">
        <f t="shared" si="4"/>
        <v>141</v>
      </c>
      <c r="AC20" s="959">
        <f>SUM(AC16:AC19)</f>
        <v>494</v>
      </c>
      <c r="AD20" s="959">
        <f>SUM(AD16:AD19)</f>
        <v>521</v>
      </c>
    </row>
    <row r="21" spans="2:30" ht="14.4" x14ac:dyDescent="0.25">
      <c r="B21" s="953" t="s">
        <v>65</v>
      </c>
      <c r="C21" s="954"/>
      <c r="D21" s="954"/>
      <c r="E21" s="954"/>
      <c r="F21" s="954"/>
      <c r="G21" s="955">
        <v>148</v>
      </c>
      <c r="H21" s="955">
        <v>167</v>
      </c>
      <c r="I21" s="955">
        <v>141</v>
      </c>
      <c r="J21" s="955">
        <v>120</v>
      </c>
      <c r="K21" s="955">
        <v>142</v>
      </c>
      <c r="L21" s="955">
        <v>123</v>
      </c>
      <c r="M21" s="955">
        <v>109</v>
      </c>
      <c r="N21" s="955">
        <v>102</v>
      </c>
      <c r="O21" s="955">
        <v>129</v>
      </c>
      <c r="P21" s="955">
        <v>110</v>
      </c>
      <c r="Q21" s="955">
        <v>160</v>
      </c>
      <c r="R21" s="956">
        <v>141</v>
      </c>
      <c r="S21" s="956">
        <v>98</v>
      </c>
      <c r="T21" s="956">
        <v>73</v>
      </c>
      <c r="U21" s="956">
        <v>98</v>
      </c>
      <c r="V21" s="956">
        <v>119</v>
      </c>
      <c r="W21" s="956">
        <v>89</v>
      </c>
      <c r="X21" s="956">
        <v>83</v>
      </c>
      <c r="Y21" s="956">
        <v>72</v>
      </c>
      <c r="Z21" s="956">
        <v>165</v>
      </c>
      <c r="AA21" s="956">
        <v>85</v>
      </c>
      <c r="AB21" s="956">
        <v>20</v>
      </c>
      <c r="AC21" s="956">
        <v>87</v>
      </c>
      <c r="AD21" s="956">
        <v>124</v>
      </c>
    </row>
    <row r="22" spans="2:30" ht="14.25" customHeight="1" x14ac:dyDescent="0.25">
      <c r="B22" s="953" t="s">
        <v>184</v>
      </c>
      <c r="C22" s="954"/>
      <c r="D22" s="954"/>
      <c r="E22" s="954"/>
      <c r="F22" s="954"/>
      <c r="G22" s="955">
        <v>126</v>
      </c>
      <c r="H22" s="955">
        <v>103</v>
      </c>
      <c r="I22" s="955">
        <v>169</v>
      </c>
      <c r="J22" s="955">
        <v>110</v>
      </c>
      <c r="K22" s="955">
        <v>107</v>
      </c>
      <c r="L22" s="955">
        <v>125</v>
      </c>
      <c r="M22" s="955">
        <v>95</v>
      </c>
      <c r="N22" s="955">
        <v>106</v>
      </c>
      <c r="O22" s="955">
        <v>145</v>
      </c>
      <c r="P22" s="955">
        <v>93</v>
      </c>
      <c r="Q22" s="955">
        <v>158</v>
      </c>
      <c r="R22" s="956">
        <v>123</v>
      </c>
      <c r="S22" s="956">
        <v>100</v>
      </c>
      <c r="T22" s="956">
        <v>82</v>
      </c>
      <c r="U22" s="956">
        <v>95</v>
      </c>
      <c r="V22" s="956">
        <v>114</v>
      </c>
      <c r="W22" s="956">
        <v>82</v>
      </c>
      <c r="X22" s="956">
        <v>102</v>
      </c>
      <c r="Y22" s="956">
        <v>56</v>
      </c>
      <c r="Z22" s="956">
        <v>134</v>
      </c>
      <c r="AA22" s="956">
        <v>86</v>
      </c>
      <c r="AB22" s="956">
        <v>34</v>
      </c>
      <c r="AC22" s="956">
        <v>124</v>
      </c>
      <c r="AD22" s="956">
        <v>153</v>
      </c>
    </row>
    <row r="23" spans="2:30" ht="14.25" customHeight="1" x14ac:dyDescent="0.25">
      <c r="B23" s="953" t="s">
        <v>67</v>
      </c>
      <c r="C23" s="954"/>
      <c r="D23" s="954"/>
      <c r="E23" s="954"/>
      <c r="F23" s="954"/>
      <c r="G23" s="955">
        <v>72</v>
      </c>
      <c r="H23" s="955">
        <v>64</v>
      </c>
      <c r="I23" s="955">
        <v>69</v>
      </c>
      <c r="J23" s="955">
        <v>48</v>
      </c>
      <c r="K23" s="955">
        <v>71</v>
      </c>
      <c r="L23" s="955">
        <v>63</v>
      </c>
      <c r="M23" s="955">
        <v>67</v>
      </c>
      <c r="N23" s="955">
        <v>63</v>
      </c>
      <c r="O23" s="955">
        <v>55</v>
      </c>
      <c r="P23" s="955">
        <v>42</v>
      </c>
      <c r="Q23" s="955">
        <v>68</v>
      </c>
      <c r="R23" s="956">
        <v>47</v>
      </c>
      <c r="S23" s="956">
        <v>79</v>
      </c>
      <c r="T23" s="956">
        <v>44</v>
      </c>
      <c r="U23" s="956">
        <v>69</v>
      </c>
      <c r="V23" s="956">
        <v>79</v>
      </c>
      <c r="W23" s="956">
        <v>53</v>
      </c>
      <c r="X23" s="956">
        <v>70</v>
      </c>
      <c r="Y23" s="956">
        <v>56</v>
      </c>
      <c r="Z23" s="956">
        <v>94</v>
      </c>
      <c r="AA23" s="956">
        <v>65</v>
      </c>
      <c r="AB23" s="956">
        <v>18</v>
      </c>
      <c r="AC23" s="956">
        <v>86</v>
      </c>
      <c r="AD23" s="956">
        <v>88</v>
      </c>
    </row>
    <row r="24" spans="2:30" ht="14.25" customHeight="1" x14ac:dyDescent="0.25">
      <c r="B24" s="957" t="s">
        <v>68</v>
      </c>
      <c r="C24" s="958"/>
      <c r="D24" s="958"/>
      <c r="E24" s="958"/>
      <c r="F24" s="958"/>
      <c r="G24" s="959">
        <f t="shared" ref="G24:W24" si="5">SUM(G21:G23)</f>
        <v>346</v>
      </c>
      <c r="H24" s="959">
        <f t="shared" si="5"/>
        <v>334</v>
      </c>
      <c r="I24" s="959">
        <f t="shared" si="5"/>
        <v>379</v>
      </c>
      <c r="J24" s="959">
        <f t="shared" si="5"/>
        <v>278</v>
      </c>
      <c r="K24" s="959">
        <f t="shared" si="5"/>
        <v>320</v>
      </c>
      <c r="L24" s="959">
        <f t="shared" si="5"/>
        <v>311</v>
      </c>
      <c r="M24" s="959">
        <f t="shared" si="5"/>
        <v>271</v>
      </c>
      <c r="N24" s="959">
        <f t="shared" si="5"/>
        <v>271</v>
      </c>
      <c r="O24" s="959">
        <f t="shared" si="5"/>
        <v>329</v>
      </c>
      <c r="P24" s="959">
        <f t="shared" si="5"/>
        <v>245</v>
      </c>
      <c r="Q24" s="959">
        <f t="shared" si="5"/>
        <v>386</v>
      </c>
      <c r="R24" s="959">
        <f t="shared" si="5"/>
        <v>311</v>
      </c>
      <c r="S24" s="959">
        <f t="shared" si="5"/>
        <v>277</v>
      </c>
      <c r="T24" s="959">
        <f t="shared" si="5"/>
        <v>199</v>
      </c>
      <c r="U24" s="959">
        <f t="shared" si="5"/>
        <v>262</v>
      </c>
      <c r="V24" s="959">
        <f t="shared" si="5"/>
        <v>312</v>
      </c>
      <c r="W24" s="959">
        <f t="shared" si="5"/>
        <v>224</v>
      </c>
      <c r="X24" s="959">
        <f t="shared" ref="X24:AC24" si="6">SUM(X21:X23)</f>
        <v>255</v>
      </c>
      <c r="Y24" s="959">
        <f t="shared" si="6"/>
        <v>184</v>
      </c>
      <c r="Z24" s="959">
        <f t="shared" si="6"/>
        <v>393</v>
      </c>
      <c r="AA24" s="959">
        <f t="shared" si="6"/>
        <v>236</v>
      </c>
      <c r="AB24" s="959">
        <f t="shared" si="6"/>
        <v>72</v>
      </c>
      <c r="AC24" s="959">
        <f t="shared" si="6"/>
        <v>297</v>
      </c>
      <c r="AD24" s="959">
        <f t="shared" ref="AD24" si="7">SUM(AD21:AD23)</f>
        <v>365</v>
      </c>
    </row>
    <row r="25" spans="2:30" ht="14.25" customHeight="1" x14ac:dyDescent="0.25">
      <c r="B25" s="960" t="s">
        <v>69</v>
      </c>
      <c r="C25" s="961"/>
      <c r="D25" s="961"/>
      <c r="E25" s="961"/>
      <c r="F25" s="961"/>
      <c r="G25" s="962">
        <f t="shared" ref="G25:AB25" si="8">SUM(G24,G20,G15)</f>
        <v>1391</v>
      </c>
      <c r="H25" s="962">
        <f t="shared" si="8"/>
        <v>1223</v>
      </c>
      <c r="I25" s="962">
        <f t="shared" si="8"/>
        <v>1314</v>
      </c>
      <c r="J25" s="962">
        <f t="shared" si="8"/>
        <v>1184</v>
      </c>
      <c r="K25" s="962">
        <f t="shared" si="8"/>
        <v>1334</v>
      </c>
      <c r="L25" s="962">
        <f t="shared" si="8"/>
        <v>1179</v>
      </c>
      <c r="M25" s="962">
        <f t="shared" si="8"/>
        <v>1073</v>
      </c>
      <c r="N25" s="962">
        <f t="shared" si="8"/>
        <v>1110</v>
      </c>
      <c r="O25" s="962">
        <f t="shared" si="8"/>
        <v>1141</v>
      </c>
      <c r="P25" s="962">
        <f t="shared" si="8"/>
        <v>870</v>
      </c>
      <c r="Q25" s="962">
        <f t="shared" si="8"/>
        <v>1143</v>
      </c>
      <c r="R25" s="962">
        <f t="shared" si="8"/>
        <v>1084</v>
      </c>
      <c r="S25" s="962">
        <f t="shared" si="8"/>
        <v>1027</v>
      </c>
      <c r="T25" s="962">
        <f t="shared" si="8"/>
        <v>934</v>
      </c>
      <c r="U25" s="962">
        <f t="shared" si="8"/>
        <v>1118</v>
      </c>
      <c r="V25" s="962">
        <f t="shared" si="8"/>
        <v>1241</v>
      </c>
      <c r="W25" s="962">
        <f t="shared" si="8"/>
        <v>1001</v>
      </c>
      <c r="X25" s="962">
        <f t="shared" si="8"/>
        <v>1310</v>
      </c>
      <c r="Y25" s="962">
        <f t="shared" si="8"/>
        <v>1147</v>
      </c>
      <c r="Z25" s="962">
        <f t="shared" si="8"/>
        <v>2555</v>
      </c>
      <c r="AA25" s="962">
        <f t="shared" si="8"/>
        <v>1131</v>
      </c>
      <c r="AB25" s="962">
        <f t="shared" si="8"/>
        <v>332</v>
      </c>
      <c r="AC25" s="962">
        <f t="shared" ref="AC25:AD25" si="9">SUM(AC24,AC20,AC15)</f>
        <v>1250</v>
      </c>
      <c r="AD25" s="962">
        <f t="shared" si="9"/>
        <v>1328</v>
      </c>
    </row>
    <row r="26" spans="2:30" ht="14.4" x14ac:dyDescent="0.25">
      <c r="B26" s="963" t="s">
        <v>70</v>
      </c>
      <c r="C26" s="964"/>
      <c r="D26" s="964"/>
      <c r="E26" s="964"/>
      <c r="F26" s="964"/>
      <c r="G26" s="965">
        <v>26</v>
      </c>
      <c r="H26" s="965">
        <v>29</v>
      </c>
      <c r="I26" s="965">
        <v>31</v>
      </c>
      <c r="J26" s="965">
        <v>29</v>
      </c>
      <c r="K26" s="965">
        <v>22</v>
      </c>
      <c r="L26" s="965">
        <v>26</v>
      </c>
      <c r="M26" s="965">
        <v>30</v>
      </c>
      <c r="N26" s="965">
        <v>44</v>
      </c>
      <c r="O26" s="965">
        <v>50</v>
      </c>
      <c r="P26" s="965">
        <v>38</v>
      </c>
      <c r="Q26" s="965">
        <v>28</v>
      </c>
      <c r="R26" s="966">
        <v>57</v>
      </c>
      <c r="S26" s="966">
        <v>36</v>
      </c>
      <c r="T26" s="966">
        <v>36</v>
      </c>
      <c r="U26" s="966">
        <v>22</v>
      </c>
      <c r="V26" s="966">
        <v>31</v>
      </c>
      <c r="W26" s="966">
        <v>25</v>
      </c>
      <c r="X26" s="966">
        <v>25</v>
      </c>
      <c r="Y26" s="966">
        <v>22</v>
      </c>
      <c r="Z26" s="966">
        <v>23</v>
      </c>
      <c r="AA26" s="966">
        <v>47</v>
      </c>
      <c r="AB26" s="966">
        <v>6</v>
      </c>
      <c r="AC26" s="966">
        <v>47</v>
      </c>
      <c r="AD26" s="966">
        <v>59</v>
      </c>
    </row>
    <row r="27" spans="2:30" ht="14.25" customHeight="1" x14ac:dyDescent="0.25">
      <c r="B27" s="953" t="s">
        <v>71</v>
      </c>
      <c r="C27" s="954"/>
      <c r="D27" s="954"/>
      <c r="E27" s="954"/>
      <c r="F27" s="954"/>
      <c r="G27" s="955">
        <v>1</v>
      </c>
      <c r="H27" s="955">
        <v>2</v>
      </c>
      <c r="I27" s="955">
        <v>2</v>
      </c>
      <c r="J27" s="955">
        <v>5</v>
      </c>
      <c r="K27" s="955">
        <v>4</v>
      </c>
      <c r="L27" s="955">
        <v>7</v>
      </c>
      <c r="M27" s="955">
        <v>4</v>
      </c>
      <c r="N27" s="955">
        <v>7</v>
      </c>
      <c r="O27" s="955">
        <v>6</v>
      </c>
      <c r="P27" s="955">
        <v>4</v>
      </c>
      <c r="Q27" s="955">
        <v>5</v>
      </c>
      <c r="R27" s="956">
        <v>5</v>
      </c>
      <c r="S27" s="956">
        <v>6</v>
      </c>
      <c r="T27" s="956">
        <v>8</v>
      </c>
      <c r="U27" s="956">
        <v>3</v>
      </c>
      <c r="V27" s="956">
        <v>1</v>
      </c>
      <c r="W27" s="956">
        <v>18</v>
      </c>
      <c r="X27" s="956">
        <v>5</v>
      </c>
      <c r="Y27" s="956">
        <v>5</v>
      </c>
      <c r="Z27" s="956">
        <v>4</v>
      </c>
      <c r="AA27" s="956">
        <v>4</v>
      </c>
      <c r="AB27" s="956"/>
      <c r="AC27" s="956">
        <v>7</v>
      </c>
      <c r="AD27" s="956">
        <v>15</v>
      </c>
    </row>
    <row r="28" spans="2:30" ht="14.25" customHeight="1" x14ac:dyDescent="0.25">
      <c r="B28" s="953" t="s">
        <v>56</v>
      </c>
      <c r="C28" s="954"/>
      <c r="D28" s="954"/>
      <c r="E28" s="954"/>
      <c r="F28" s="954"/>
      <c r="G28" s="955">
        <v>23</v>
      </c>
      <c r="H28" s="955">
        <v>17</v>
      </c>
      <c r="I28" s="955">
        <v>21</v>
      </c>
      <c r="J28" s="955">
        <v>18</v>
      </c>
      <c r="K28" s="955">
        <v>31</v>
      </c>
      <c r="L28" s="955">
        <v>33</v>
      </c>
      <c r="M28" s="955">
        <v>37</v>
      </c>
      <c r="N28" s="955">
        <v>26</v>
      </c>
      <c r="O28" s="955">
        <v>22</v>
      </c>
      <c r="P28" s="955">
        <v>25</v>
      </c>
      <c r="Q28" s="955">
        <v>16</v>
      </c>
      <c r="R28" s="956">
        <v>19</v>
      </c>
      <c r="S28" s="956">
        <v>23</v>
      </c>
      <c r="T28" s="956">
        <v>21</v>
      </c>
      <c r="U28" s="956">
        <v>24</v>
      </c>
      <c r="V28" s="956">
        <v>24</v>
      </c>
      <c r="W28" s="956">
        <v>17</v>
      </c>
      <c r="X28" s="956">
        <v>27</v>
      </c>
      <c r="Y28" s="956">
        <v>31</v>
      </c>
      <c r="Z28" s="956">
        <v>20</v>
      </c>
      <c r="AA28" s="956">
        <v>40</v>
      </c>
      <c r="AB28" s="956">
        <v>21</v>
      </c>
      <c r="AC28" s="956">
        <v>46</v>
      </c>
      <c r="AD28" s="956">
        <v>54</v>
      </c>
    </row>
    <row r="29" spans="2:30" ht="14.25" customHeight="1" x14ac:dyDescent="0.25">
      <c r="B29" s="953" t="s">
        <v>72</v>
      </c>
      <c r="C29" s="954"/>
      <c r="D29" s="954"/>
      <c r="E29" s="954"/>
      <c r="F29" s="954"/>
      <c r="G29" s="955">
        <v>15</v>
      </c>
      <c r="H29" s="955">
        <v>13</v>
      </c>
      <c r="I29" s="955">
        <v>14</v>
      </c>
      <c r="J29" s="955">
        <v>8</v>
      </c>
      <c r="K29" s="955">
        <v>9</v>
      </c>
      <c r="L29" s="955">
        <v>10</v>
      </c>
      <c r="M29" s="955">
        <v>15</v>
      </c>
      <c r="N29" s="955">
        <v>18</v>
      </c>
      <c r="O29" s="955">
        <v>22</v>
      </c>
      <c r="P29" s="955">
        <v>14</v>
      </c>
      <c r="Q29" s="955">
        <v>13</v>
      </c>
      <c r="R29" s="956">
        <v>9</v>
      </c>
      <c r="S29" s="956">
        <v>10</v>
      </c>
      <c r="T29" s="956">
        <v>17</v>
      </c>
      <c r="U29" s="956">
        <v>16</v>
      </c>
      <c r="V29" s="956">
        <v>21</v>
      </c>
      <c r="W29" s="956">
        <v>23</v>
      </c>
      <c r="X29" s="956">
        <v>20</v>
      </c>
      <c r="Y29" s="956">
        <v>17</v>
      </c>
      <c r="Z29" s="956">
        <v>15</v>
      </c>
      <c r="AA29" s="956">
        <v>28</v>
      </c>
      <c r="AB29" s="956">
        <v>7</v>
      </c>
      <c r="AC29" s="956">
        <v>34</v>
      </c>
      <c r="AD29" s="956">
        <v>41</v>
      </c>
    </row>
    <row r="30" spans="2:30" ht="14.4" x14ac:dyDescent="0.25">
      <c r="B30" s="953" t="s">
        <v>73</v>
      </c>
      <c r="C30" s="954"/>
      <c r="D30" s="954"/>
      <c r="E30" s="954"/>
      <c r="F30" s="954"/>
      <c r="G30" s="955">
        <v>4</v>
      </c>
      <c r="H30" s="955">
        <v>6</v>
      </c>
      <c r="I30" s="955">
        <v>8</v>
      </c>
      <c r="J30" s="955">
        <v>6</v>
      </c>
      <c r="K30" s="955">
        <v>5</v>
      </c>
      <c r="L30" s="955">
        <v>10</v>
      </c>
      <c r="M30" s="955">
        <v>11</v>
      </c>
      <c r="N30" s="955">
        <v>12</v>
      </c>
      <c r="O30" s="955">
        <v>8</v>
      </c>
      <c r="P30" s="955">
        <v>11</v>
      </c>
      <c r="Q30" s="955">
        <v>5</v>
      </c>
      <c r="R30" s="956">
        <v>7</v>
      </c>
      <c r="S30" s="956">
        <v>13</v>
      </c>
      <c r="T30" s="956">
        <v>12</v>
      </c>
      <c r="U30" s="956">
        <v>7</v>
      </c>
      <c r="V30" s="956">
        <v>17</v>
      </c>
      <c r="W30" s="956">
        <v>14</v>
      </c>
      <c r="X30" s="956">
        <v>26</v>
      </c>
      <c r="Y30" s="956">
        <v>24</v>
      </c>
      <c r="Z30" s="956">
        <v>16</v>
      </c>
      <c r="AA30" s="956">
        <v>22</v>
      </c>
      <c r="AB30" s="956">
        <v>9</v>
      </c>
      <c r="AC30" s="956">
        <v>33</v>
      </c>
      <c r="AD30" s="956">
        <v>53</v>
      </c>
    </row>
    <row r="31" spans="2:30" ht="14.4" x14ac:dyDescent="0.25">
      <c r="B31" s="953" t="s">
        <v>57</v>
      </c>
      <c r="C31" s="954"/>
      <c r="D31" s="954"/>
      <c r="E31" s="954"/>
      <c r="F31" s="954"/>
      <c r="G31" s="955">
        <v>57</v>
      </c>
      <c r="H31" s="955">
        <v>54</v>
      </c>
      <c r="I31" s="955">
        <v>59</v>
      </c>
      <c r="J31" s="955">
        <v>69</v>
      </c>
      <c r="K31" s="955">
        <v>65</v>
      </c>
      <c r="L31" s="955">
        <v>66</v>
      </c>
      <c r="M31" s="955">
        <v>49</v>
      </c>
      <c r="N31" s="955">
        <v>46</v>
      </c>
      <c r="O31" s="955">
        <v>45</v>
      </c>
      <c r="P31" s="955">
        <v>50</v>
      </c>
      <c r="Q31" s="955">
        <v>36</v>
      </c>
      <c r="R31" s="956">
        <v>48</v>
      </c>
      <c r="S31" s="956">
        <v>38</v>
      </c>
      <c r="T31" s="956">
        <v>31</v>
      </c>
      <c r="U31" s="956">
        <v>32</v>
      </c>
      <c r="V31" s="956">
        <v>33</v>
      </c>
      <c r="W31" s="956">
        <v>35</v>
      </c>
      <c r="X31" s="956">
        <v>33</v>
      </c>
      <c r="Y31" s="956">
        <v>30</v>
      </c>
      <c r="Z31" s="956">
        <v>8</v>
      </c>
      <c r="AA31" s="956">
        <v>33</v>
      </c>
      <c r="AB31" s="956">
        <v>5</v>
      </c>
      <c r="AC31" s="956">
        <v>37</v>
      </c>
      <c r="AD31" s="956">
        <v>29</v>
      </c>
    </row>
    <row r="32" spans="2:30" ht="14.25" customHeight="1" x14ac:dyDescent="0.25">
      <c r="B32" s="953" t="s">
        <v>74</v>
      </c>
      <c r="C32" s="954"/>
      <c r="D32" s="954"/>
      <c r="E32" s="954"/>
      <c r="F32" s="954"/>
      <c r="G32" s="955">
        <v>11</v>
      </c>
      <c r="H32" s="955">
        <v>17</v>
      </c>
      <c r="I32" s="955">
        <v>12</v>
      </c>
      <c r="J32" s="955">
        <v>9</v>
      </c>
      <c r="K32" s="955">
        <v>7</v>
      </c>
      <c r="L32" s="955">
        <v>17</v>
      </c>
      <c r="M32" s="955">
        <v>18</v>
      </c>
      <c r="N32" s="955">
        <v>21</v>
      </c>
      <c r="O32" s="955">
        <v>22</v>
      </c>
      <c r="P32" s="955">
        <v>13</v>
      </c>
      <c r="Q32" s="955">
        <v>7</v>
      </c>
      <c r="R32" s="956">
        <v>12</v>
      </c>
      <c r="S32" s="956">
        <v>16</v>
      </c>
      <c r="T32" s="956">
        <v>17</v>
      </c>
      <c r="U32" s="956">
        <v>18</v>
      </c>
      <c r="V32" s="956">
        <v>38</v>
      </c>
      <c r="W32" s="956">
        <v>18</v>
      </c>
      <c r="X32" s="956">
        <v>17</v>
      </c>
      <c r="Y32" s="956">
        <v>21</v>
      </c>
      <c r="Z32" s="956">
        <v>15</v>
      </c>
      <c r="AA32" s="956">
        <v>14</v>
      </c>
      <c r="AB32" s="956">
        <v>3</v>
      </c>
      <c r="AC32" s="956">
        <v>31</v>
      </c>
      <c r="AD32" s="956">
        <v>18</v>
      </c>
    </row>
    <row r="33" spans="2:30" ht="14.25" customHeight="1" x14ac:dyDescent="0.25">
      <c r="B33" s="953" t="s">
        <v>75</v>
      </c>
      <c r="C33" s="954"/>
      <c r="D33" s="954"/>
      <c r="E33" s="954"/>
      <c r="F33" s="954"/>
      <c r="G33" s="955">
        <v>5</v>
      </c>
      <c r="H33" s="955">
        <v>4</v>
      </c>
      <c r="I33" s="955">
        <v>6</v>
      </c>
      <c r="J33" s="955">
        <v>3</v>
      </c>
      <c r="K33" s="955">
        <v>9</v>
      </c>
      <c r="L33" s="955">
        <v>4</v>
      </c>
      <c r="M33" s="955">
        <v>16</v>
      </c>
      <c r="N33" s="955">
        <v>6</v>
      </c>
      <c r="O33" s="955">
        <v>4</v>
      </c>
      <c r="P33" s="955">
        <v>2</v>
      </c>
      <c r="Q33" s="955">
        <v>8</v>
      </c>
      <c r="R33" s="956">
        <v>7</v>
      </c>
      <c r="S33" s="956">
        <v>5</v>
      </c>
      <c r="T33" s="956">
        <v>12</v>
      </c>
      <c r="U33" s="956">
        <v>10</v>
      </c>
      <c r="V33" s="956">
        <v>11</v>
      </c>
      <c r="W33" s="956">
        <v>9</v>
      </c>
      <c r="X33" s="956">
        <v>14</v>
      </c>
      <c r="Y33" s="956">
        <v>13</v>
      </c>
      <c r="Z33" s="956">
        <v>9</v>
      </c>
      <c r="AA33" s="956">
        <v>14</v>
      </c>
      <c r="AB33" s="956">
        <v>5</v>
      </c>
      <c r="AC33" s="956">
        <v>19</v>
      </c>
      <c r="AD33" s="956">
        <v>36</v>
      </c>
    </row>
    <row r="34" spans="2:30" ht="14.25" customHeight="1" x14ac:dyDescent="0.25">
      <c r="B34" s="953" t="s">
        <v>76</v>
      </c>
      <c r="C34" s="954"/>
      <c r="D34" s="954"/>
      <c r="E34" s="954"/>
      <c r="F34" s="954"/>
      <c r="G34" s="955">
        <v>45</v>
      </c>
      <c r="H34" s="955">
        <v>59</v>
      </c>
      <c r="I34" s="955">
        <v>47</v>
      </c>
      <c r="J34" s="955">
        <v>48</v>
      </c>
      <c r="K34" s="955">
        <v>50</v>
      </c>
      <c r="L34" s="955">
        <v>54</v>
      </c>
      <c r="M34" s="955">
        <v>43</v>
      </c>
      <c r="N34" s="955">
        <v>54</v>
      </c>
      <c r="O34" s="955">
        <v>55</v>
      </c>
      <c r="P34" s="955">
        <v>36</v>
      </c>
      <c r="Q34" s="955">
        <v>35</v>
      </c>
      <c r="R34" s="956">
        <v>36</v>
      </c>
      <c r="S34" s="956">
        <v>54</v>
      </c>
      <c r="T34" s="956">
        <v>50</v>
      </c>
      <c r="U34" s="956">
        <v>42</v>
      </c>
      <c r="V34" s="956">
        <v>42</v>
      </c>
      <c r="W34" s="956">
        <v>24</v>
      </c>
      <c r="X34" s="956">
        <v>29</v>
      </c>
      <c r="Y34" s="956">
        <v>29</v>
      </c>
      <c r="Z34" s="956">
        <v>34</v>
      </c>
      <c r="AA34" s="956">
        <v>44</v>
      </c>
      <c r="AB34" s="956">
        <v>8</v>
      </c>
      <c r="AC34" s="956">
        <v>39</v>
      </c>
      <c r="AD34" s="956">
        <v>45</v>
      </c>
    </row>
    <row r="35" spans="2:30" ht="14.25" customHeight="1" x14ac:dyDescent="0.25">
      <c r="B35" s="953" t="s">
        <v>77</v>
      </c>
      <c r="C35" s="954"/>
      <c r="D35" s="954"/>
      <c r="E35" s="954"/>
      <c r="F35" s="954"/>
      <c r="G35" s="955"/>
      <c r="H35" s="955"/>
      <c r="I35" s="955"/>
      <c r="J35" s="955"/>
      <c r="K35" s="955"/>
      <c r="L35" s="955"/>
      <c r="M35" s="955"/>
      <c r="N35" s="955"/>
      <c r="O35" s="955"/>
      <c r="P35" s="955"/>
      <c r="Q35" s="955"/>
      <c r="R35" s="956"/>
      <c r="S35" s="956"/>
      <c r="T35" s="956"/>
      <c r="U35" s="956"/>
      <c r="V35" s="956"/>
      <c r="W35" s="956"/>
      <c r="X35" s="956"/>
      <c r="Y35" s="956"/>
      <c r="Z35" s="956"/>
      <c r="AA35" s="956"/>
      <c r="AB35" s="956"/>
      <c r="AC35" s="956">
        <v>1</v>
      </c>
      <c r="AD35" s="956"/>
    </row>
    <row r="36" spans="2:30" ht="14.25" customHeight="1" x14ac:dyDescent="0.25">
      <c r="B36" s="957" t="s">
        <v>59</v>
      </c>
      <c r="C36" s="958"/>
      <c r="D36" s="958"/>
      <c r="E36" s="958"/>
      <c r="F36" s="958"/>
      <c r="G36" s="959">
        <f t="shared" ref="G36:P36" si="10">SUM(G26:G34)</f>
        <v>187</v>
      </c>
      <c r="H36" s="959">
        <f t="shared" si="10"/>
        <v>201</v>
      </c>
      <c r="I36" s="959">
        <f t="shared" si="10"/>
        <v>200</v>
      </c>
      <c r="J36" s="959">
        <f t="shared" si="10"/>
        <v>195</v>
      </c>
      <c r="K36" s="959">
        <f t="shared" si="10"/>
        <v>202</v>
      </c>
      <c r="L36" s="959">
        <f t="shared" si="10"/>
        <v>227</v>
      </c>
      <c r="M36" s="959">
        <f t="shared" si="10"/>
        <v>223</v>
      </c>
      <c r="N36" s="959">
        <f t="shared" si="10"/>
        <v>234</v>
      </c>
      <c r="O36" s="959">
        <f t="shared" si="10"/>
        <v>234</v>
      </c>
      <c r="P36" s="959">
        <f t="shared" si="10"/>
        <v>193</v>
      </c>
      <c r="Q36" s="959">
        <f t="shared" ref="Q36:W36" si="11">SUM(Q26:Q34)</f>
        <v>153</v>
      </c>
      <c r="R36" s="959">
        <f t="shared" si="11"/>
        <v>200</v>
      </c>
      <c r="S36" s="959">
        <f t="shared" si="11"/>
        <v>201</v>
      </c>
      <c r="T36" s="959">
        <f t="shared" si="11"/>
        <v>204</v>
      </c>
      <c r="U36" s="959">
        <f t="shared" si="11"/>
        <v>174</v>
      </c>
      <c r="V36" s="959">
        <f t="shared" si="11"/>
        <v>218</v>
      </c>
      <c r="W36" s="959">
        <f t="shared" si="11"/>
        <v>183</v>
      </c>
      <c r="X36" s="959">
        <f t="shared" ref="X36:AB36" si="12">SUM(X26:X34)</f>
        <v>196</v>
      </c>
      <c r="Y36" s="959">
        <f t="shared" si="12"/>
        <v>192</v>
      </c>
      <c r="Z36" s="959">
        <f t="shared" si="12"/>
        <v>144</v>
      </c>
      <c r="AA36" s="959">
        <f t="shared" si="12"/>
        <v>246</v>
      </c>
      <c r="AB36" s="959">
        <f t="shared" si="12"/>
        <v>64</v>
      </c>
      <c r="AC36" s="959">
        <f>SUM(AC26:AC35)</f>
        <v>294</v>
      </c>
      <c r="AD36" s="959">
        <f>SUM(AD26:AD35)</f>
        <v>350</v>
      </c>
    </row>
    <row r="37" spans="2:30" ht="14.4" x14ac:dyDescent="0.25">
      <c r="B37" s="953" t="s">
        <v>60</v>
      </c>
      <c r="C37" s="954"/>
      <c r="D37" s="954"/>
      <c r="E37" s="954"/>
      <c r="F37" s="954"/>
      <c r="G37" s="955">
        <v>119</v>
      </c>
      <c r="H37" s="955">
        <v>129</v>
      </c>
      <c r="I37" s="955">
        <v>115</v>
      </c>
      <c r="J37" s="955">
        <v>133</v>
      </c>
      <c r="K37" s="955">
        <v>135</v>
      </c>
      <c r="L37" s="955">
        <v>131</v>
      </c>
      <c r="M37" s="955">
        <v>139</v>
      </c>
      <c r="N37" s="955">
        <v>154</v>
      </c>
      <c r="O37" s="955">
        <v>124</v>
      </c>
      <c r="P37" s="955">
        <v>129</v>
      </c>
      <c r="Q37" s="955">
        <v>100</v>
      </c>
      <c r="R37" s="956">
        <v>126</v>
      </c>
      <c r="S37" s="956">
        <v>147</v>
      </c>
      <c r="T37" s="956">
        <v>120</v>
      </c>
      <c r="U37" s="956">
        <v>142</v>
      </c>
      <c r="V37" s="956">
        <v>177</v>
      </c>
      <c r="W37" s="956">
        <v>101</v>
      </c>
      <c r="X37" s="956">
        <v>157</v>
      </c>
      <c r="Y37" s="956">
        <v>74</v>
      </c>
      <c r="Z37" s="956">
        <v>82</v>
      </c>
      <c r="AA37" s="956">
        <v>113</v>
      </c>
      <c r="AB37" s="956">
        <v>27</v>
      </c>
      <c r="AC37" s="956">
        <v>132</v>
      </c>
      <c r="AD37" s="956">
        <v>158</v>
      </c>
    </row>
    <row r="38" spans="2:30" ht="14.25" customHeight="1" x14ac:dyDescent="0.25">
      <c r="B38" s="953" t="s">
        <v>78</v>
      </c>
      <c r="C38" s="954"/>
      <c r="D38" s="954"/>
      <c r="E38" s="954"/>
      <c r="F38" s="954"/>
      <c r="G38" s="955">
        <v>32</v>
      </c>
      <c r="H38" s="955">
        <v>37</v>
      </c>
      <c r="I38" s="955">
        <v>30</v>
      </c>
      <c r="J38" s="955">
        <v>26</v>
      </c>
      <c r="K38" s="955">
        <v>40</v>
      </c>
      <c r="L38" s="955">
        <v>48</v>
      </c>
      <c r="M38" s="955">
        <v>29</v>
      </c>
      <c r="N38" s="955">
        <v>19</v>
      </c>
      <c r="O38" s="955">
        <v>28</v>
      </c>
      <c r="P38" s="955">
        <v>17</v>
      </c>
      <c r="Q38" s="955">
        <v>24</v>
      </c>
      <c r="R38" s="956">
        <v>18</v>
      </c>
      <c r="S38" s="956">
        <v>30</v>
      </c>
      <c r="T38" s="956">
        <v>24</v>
      </c>
      <c r="U38" s="956">
        <v>36</v>
      </c>
      <c r="V38" s="956">
        <v>41</v>
      </c>
      <c r="W38" s="956">
        <v>29</v>
      </c>
      <c r="X38" s="956">
        <v>27</v>
      </c>
      <c r="Y38" s="956">
        <v>30</v>
      </c>
      <c r="Z38" s="956">
        <v>12</v>
      </c>
      <c r="AA38" s="956">
        <v>17</v>
      </c>
      <c r="AB38" s="956">
        <v>10</v>
      </c>
      <c r="AC38" s="956">
        <v>30</v>
      </c>
      <c r="AD38" s="956">
        <v>23</v>
      </c>
    </row>
    <row r="39" spans="2:30" ht="14.25" customHeight="1" x14ac:dyDescent="0.25">
      <c r="B39" s="953" t="s">
        <v>79</v>
      </c>
      <c r="C39" s="954"/>
      <c r="D39" s="954"/>
      <c r="E39" s="954"/>
      <c r="F39" s="954"/>
      <c r="G39" s="955">
        <v>15</v>
      </c>
      <c r="H39" s="955">
        <v>13</v>
      </c>
      <c r="I39" s="955">
        <v>25</v>
      </c>
      <c r="J39" s="955">
        <v>16</v>
      </c>
      <c r="K39" s="955">
        <v>21</v>
      </c>
      <c r="L39" s="955">
        <v>21</v>
      </c>
      <c r="M39" s="955">
        <v>28</v>
      </c>
      <c r="N39" s="955">
        <v>33</v>
      </c>
      <c r="O39" s="955">
        <v>28</v>
      </c>
      <c r="P39" s="955">
        <v>18</v>
      </c>
      <c r="Q39" s="955">
        <v>23</v>
      </c>
      <c r="R39" s="956">
        <v>31</v>
      </c>
      <c r="S39" s="956">
        <v>33</v>
      </c>
      <c r="T39" s="956">
        <v>35</v>
      </c>
      <c r="U39" s="956">
        <v>31</v>
      </c>
      <c r="V39" s="956">
        <v>38</v>
      </c>
      <c r="W39" s="956">
        <v>25</v>
      </c>
      <c r="X39" s="956">
        <v>26</v>
      </c>
      <c r="Y39" s="956">
        <v>14</v>
      </c>
      <c r="Z39" s="956">
        <v>22</v>
      </c>
      <c r="AA39" s="956">
        <v>20</v>
      </c>
      <c r="AB39" s="956">
        <v>11</v>
      </c>
      <c r="AC39" s="956">
        <v>29</v>
      </c>
      <c r="AD39" s="956">
        <v>40</v>
      </c>
    </row>
    <row r="40" spans="2:30" ht="14.25" customHeight="1" x14ac:dyDescent="0.25">
      <c r="B40" s="953" t="s">
        <v>80</v>
      </c>
      <c r="C40" s="954"/>
      <c r="D40" s="954"/>
      <c r="E40" s="954"/>
      <c r="F40" s="954"/>
      <c r="G40" s="955">
        <v>14</v>
      </c>
      <c r="H40" s="955">
        <v>16</v>
      </c>
      <c r="I40" s="955">
        <v>22</v>
      </c>
      <c r="J40" s="955">
        <v>20</v>
      </c>
      <c r="K40" s="955">
        <v>17</v>
      </c>
      <c r="L40" s="955">
        <v>15</v>
      </c>
      <c r="M40" s="955">
        <v>20</v>
      </c>
      <c r="N40" s="955">
        <v>25</v>
      </c>
      <c r="O40" s="955">
        <v>36</v>
      </c>
      <c r="P40" s="955">
        <v>26</v>
      </c>
      <c r="Q40" s="955">
        <v>21</v>
      </c>
      <c r="R40" s="956">
        <v>36</v>
      </c>
      <c r="S40" s="956">
        <v>49</v>
      </c>
      <c r="T40" s="956">
        <v>32</v>
      </c>
      <c r="U40" s="956">
        <v>41</v>
      </c>
      <c r="V40" s="956">
        <v>37</v>
      </c>
      <c r="W40" s="956">
        <v>26</v>
      </c>
      <c r="X40" s="956">
        <v>40</v>
      </c>
      <c r="Y40" s="956">
        <v>26</v>
      </c>
      <c r="Z40" s="956">
        <v>16</v>
      </c>
      <c r="AA40" s="956">
        <v>31</v>
      </c>
      <c r="AB40" s="956">
        <v>6</v>
      </c>
      <c r="AC40" s="956">
        <v>29</v>
      </c>
      <c r="AD40" s="956">
        <v>28</v>
      </c>
    </row>
    <row r="41" spans="2:30" ht="14.25" customHeight="1" x14ac:dyDescent="0.25">
      <c r="B41" s="953" t="s">
        <v>62</v>
      </c>
      <c r="C41" s="954"/>
      <c r="D41" s="954"/>
      <c r="E41" s="954"/>
      <c r="F41" s="954"/>
      <c r="G41" s="955">
        <v>56</v>
      </c>
      <c r="H41" s="955">
        <v>65</v>
      </c>
      <c r="I41" s="955">
        <v>61</v>
      </c>
      <c r="J41" s="955">
        <v>40</v>
      </c>
      <c r="K41" s="955">
        <v>47</v>
      </c>
      <c r="L41" s="955">
        <v>45</v>
      </c>
      <c r="M41" s="955">
        <v>39</v>
      </c>
      <c r="N41" s="955">
        <v>39</v>
      </c>
      <c r="O41" s="955">
        <v>47</v>
      </c>
      <c r="P41" s="955">
        <v>50</v>
      </c>
      <c r="Q41" s="955">
        <v>58</v>
      </c>
      <c r="R41" s="956">
        <v>51</v>
      </c>
      <c r="S41" s="956">
        <v>46</v>
      </c>
      <c r="T41" s="956">
        <v>32</v>
      </c>
      <c r="U41" s="956">
        <v>53</v>
      </c>
      <c r="V41" s="956">
        <v>56</v>
      </c>
      <c r="W41" s="956">
        <v>39</v>
      </c>
      <c r="X41" s="956">
        <v>56</v>
      </c>
      <c r="Y41" s="956">
        <v>31</v>
      </c>
      <c r="Z41" s="956">
        <v>28</v>
      </c>
      <c r="AA41" s="956">
        <v>30</v>
      </c>
      <c r="AB41" s="956">
        <v>8</v>
      </c>
      <c r="AC41" s="956">
        <v>57</v>
      </c>
      <c r="AD41" s="956">
        <v>64</v>
      </c>
    </row>
    <row r="42" spans="2:30" ht="14.25" customHeight="1" x14ac:dyDescent="0.25">
      <c r="B42" s="953" t="s">
        <v>63</v>
      </c>
      <c r="C42" s="954"/>
      <c r="D42" s="954"/>
      <c r="E42" s="954"/>
      <c r="F42" s="954"/>
      <c r="G42" s="955">
        <v>30</v>
      </c>
      <c r="H42" s="955">
        <v>43</v>
      </c>
      <c r="I42" s="955">
        <v>67</v>
      </c>
      <c r="J42" s="955">
        <v>63</v>
      </c>
      <c r="K42" s="955">
        <v>57</v>
      </c>
      <c r="L42" s="955">
        <v>53</v>
      </c>
      <c r="M42" s="955">
        <v>48</v>
      </c>
      <c r="N42" s="955">
        <v>36</v>
      </c>
      <c r="O42" s="955">
        <v>46</v>
      </c>
      <c r="P42" s="955">
        <v>44</v>
      </c>
      <c r="Q42" s="955">
        <v>31</v>
      </c>
      <c r="R42" s="956">
        <v>44</v>
      </c>
      <c r="S42" s="956">
        <v>33</v>
      </c>
      <c r="T42" s="956">
        <v>40</v>
      </c>
      <c r="U42" s="956">
        <v>32</v>
      </c>
      <c r="V42" s="956">
        <v>31</v>
      </c>
      <c r="W42" s="956">
        <v>45</v>
      </c>
      <c r="X42" s="956">
        <v>51</v>
      </c>
      <c r="Y42" s="956">
        <v>28</v>
      </c>
      <c r="Z42" s="956">
        <v>28</v>
      </c>
      <c r="AA42" s="956">
        <v>37</v>
      </c>
      <c r="AB42" s="956">
        <v>8</v>
      </c>
      <c r="AC42" s="956">
        <v>37</v>
      </c>
      <c r="AD42" s="956">
        <v>40</v>
      </c>
    </row>
    <row r="43" spans="2:30" ht="14.25" customHeight="1" x14ac:dyDescent="0.25">
      <c r="B43" s="953" t="s">
        <v>81</v>
      </c>
      <c r="C43" s="954"/>
      <c r="D43" s="954"/>
      <c r="E43" s="954"/>
      <c r="F43" s="954"/>
      <c r="G43" s="955">
        <v>12</v>
      </c>
      <c r="H43" s="955">
        <v>31</v>
      </c>
      <c r="I43" s="955">
        <v>24</v>
      </c>
      <c r="J43" s="955">
        <v>31</v>
      </c>
      <c r="K43" s="955">
        <v>34</v>
      </c>
      <c r="L43" s="955">
        <v>38</v>
      </c>
      <c r="M43" s="955">
        <v>45</v>
      </c>
      <c r="N43" s="955">
        <v>32</v>
      </c>
      <c r="O43" s="955">
        <v>35</v>
      </c>
      <c r="P43" s="955">
        <v>34</v>
      </c>
      <c r="Q43" s="955">
        <v>31</v>
      </c>
      <c r="R43" s="956">
        <v>53</v>
      </c>
      <c r="S43" s="956">
        <v>28</v>
      </c>
      <c r="T43" s="956">
        <v>33</v>
      </c>
      <c r="U43" s="956">
        <v>26</v>
      </c>
      <c r="V43" s="956">
        <v>30</v>
      </c>
      <c r="W43" s="956">
        <v>36</v>
      </c>
      <c r="X43" s="956">
        <v>38</v>
      </c>
      <c r="Y43" s="956">
        <v>30</v>
      </c>
      <c r="Z43" s="956">
        <v>15</v>
      </c>
      <c r="AA43" s="956">
        <v>20</v>
      </c>
      <c r="AB43" s="956">
        <v>5</v>
      </c>
      <c r="AC43" s="956">
        <v>17</v>
      </c>
      <c r="AD43" s="956">
        <v>26</v>
      </c>
    </row>
    <row r="44" spans="2:30" ht="14.4" x14ac:dyDescent="0.25">
      <c r="B44" s="953" t="s">
        <v>82</v>
      </c>
      <c r="C44" s="954"/>
      <c r="D44" s="954"/>
      <c r="E44" s="954"/>
      <c r="F44" s="954"/>
      <c r="G44" s="955">
        <v>7</v>
      </c>
      <c r="H44" s="955">
        <v>4</v>
      </c>
      <c r="I44" s="955">
        <v>3</v>
      </c>
      <c r="J44" s="955">
        <v>9</v>
      </c>
      <c r="K44" s="955">
        <v>6</v>
      </c>
      <c r="L44" s="955">
        <v>13</v>
      </c>
      <c r="M44" s="955">
        <v>13</v>
      </c>
      <c r="N44" s="955">
        <v>6</v>
      </c>
      <c r="O44" s="955">
        <v>8</v>
      </c>
      <c r="P44" s="955">
        <v>20</v>
      </c>
      <c r="Q44" s="955">
        <v>9</v>
      </c>
      <c r="R44" s="956">
        <v>15</v>
      </c>
      <c r="S44" s="956">
        <v>8</v>
      </c>
      <c r="T44" s="956">
        <v>12</v>
      </c>
      <c r="U44" s="956">
        <v>10</v>
      </c>
      <c r="V44" s="956">
        <v>21</v>
      </c>
      <c r="W44" s="956">
        <v>9</v>
      </c>
      <c r="X44" s="956">
        <v>22</v>
      </c>
      <c r="Y44" s="956">
        <v>14</v>
      </c>
      <c r="Z44" s="956">
        <v>10</v>
      </c>
      <c r="AA44" s="956">
        <v>18</v>
      </c>
      <c r="AB44" s="956">
        <v>5</v>
      </c>
      <c r="AC44" s="956">
        <v>14</v>
      </c>
      <c r="AD44" s="956">
        <v>33</v>
      </c>
    </row>
    <row r="45" spans="2:30" ht="14.4" x14ac:dyDescent="0.25">
      <c r="B45" s="953" t="s">
        <v>83</v>
      </c>
      <c r="C45" s="954"/>
      <c r="D45" s="954"/>
      <c r="E45" s="954"/>
      <c r="F45" s="954"/>
      <c r="G45" s="955">
        <v>56</v>
      </c>
      <c r="H45" s="955">
        <v>72</v>
      </c>
      <c r="I45" s="955">
        <v>55</v>
      </c>
      <c r="J45" s="955">
        <v>40</v>
      </c>
      <c r="K45" s="955">
        <v>82</v>
      </c>
      <c r="L45" s="955">
        <v>62</v>
      </c>
      <c r="M45" s="955">
        <v>63</v>
      </c>
      <c r="N45" s="955">
        <v>57</v>
      </c>
      <c r="O45" s="955">
        <v>48</v>
      </c>
      <c r="P45" s="955">
        <v>41</v>
      </c>
      <c r="Q45" s="955">
        <v>28</v>
      </c>
      <c r="R45" s="956">
        <v>48</v>
      </c>
      <c r="S45" s="956">
        <v>44</v>
      </c>
      <c r="T45" s="956">
        <v>47</v>
      </c>
      <c r="U45" s="956">
        <v>64</v>
      </c>
      <c r="V45" s="956">
        <v>59</v>
      </c>
      <c r="W45" s="956">
        <v>48</v>
      </c>
      <c r="X45" s="956">
        <v>52</v>
      </c>
      <c r="Y45" s="956">
        <v>39</v>
      </c>
      <c r="Z45" s="956">
        <v>44</v>
      </c>
      <c r="AA45" s="956">
        <v>46</v>
      </c>
      <c r="AB45" s="956">
        <v>18</v>
      </c>
      <c r="AC45" s="956">
        <v>49</v>
      </c>
      <c r="AD45" s="956">
        <v>58</v>
      </c>
    </row>
    <row r="46" spans="2:30" ht="14.4" x14ac:dyDescent="0.25">
      <c r="B46" s="953" t="s">
        <v>84</v>
      </c>
      <c r="C46" s="954"/>
      <c r="D46" s="954"/>
      <c r="E46" s="954"/>
      <c r="F46" s="954"/>
      <c r="G46" s="955">
        <v>76</v>
      </c>
      <c r="H46" s="955">
        <v>67</v>
      </c>
      <c r="I46" s="955">
        <v>63</v>
      </c>
      <c r="J46" s="955">
        <v>92</v>
      </c>
      <c r="K46" s="955">
        <v>70</v>
      </c>
      <c r="L46" s="955">
        <v>73</v>
      </c>
      <c r="M46" s="955">
        <v>92</v>
      </c>
      <c r="N46" s="955">
        <v>65</v>
      </c>
      <c r="O46" s="955">
        <v>90</v>
      </c>
      <c r="P46" s="955">
        <v>102</v>
      </c>
      <c r="Q46" s="955">
        <v>92</v>
      </c>
      <c r="R46" s="956">
        <v>116</v>
      </c>
      <c r="S46" s="956">
        <v>107</v>
      </c>
      <c r="T46" s="956">
        <v>134</v>
      </c>
      <c r="U46" s="956">
        <v>99</v>
      </c>
      <c r="V46" s="956">
        <v>125</v>
      </c>
      <c r="W46" s="956">
        <v>86</v>
      </c>
      <c r="X46" s="956">
        <v>84</v>
      </c>
      <c r="Y46" s="956">
        <v>76</v>
      </c>
      <c r="Z46" s="956">
        <v>62</v>
      </c>
      <c r="AA46" s="956">
        <v>82</v>
      </c>
      <c r="AB46" s="956">
        <v>32</v>
      </c>
      <c r="AC46" s="956">
        <v>93</v>
      </c>
      <c r="AD46" s="956">
        <v>116</v>
      </c>
    </row>
    <row r="47" spans="2:30" ht="14.4" x14ac:dyDescent="0.25">
      <c r="B47" s="953" t="s">
        <v>85</v>
      </c>
      <c r="C47" s="954"/>
      <c r="D47" s="954"/>
      <c r="E47" s="954"/>
      <c r="F47" s="954"/>
      <c r="G47" s="955"/>
      <c r="H47" s="955"/>
      <c r="I47" s="955"/>
      <c r="J47" s="955"/>
      <c r="K47" s="955"/>
      <c r="L47" s="955"/>
      <c r="M47" s="955"/>
      <c r="N47" s="955"/>
      <c r="O47" s="955">
        <v>4</v>
      </c>
      <c r="P47" s="955">
        <v>5</v>
      </c>
      <c r="Q47" s="955">
        <v>10</v>
      </c>
      <c r="R47" s="956">
        <v>6</v>
      </c>
      <c r="S47" s="956">
        <v>5</v>
      </c>
      <c r="T47" s="956">
        <v>4</v>
      </c>
      <c r="U47" s="956">
        <v>4</v>
      </c>
      <c r="V47" s="956">
        <v>9</v>
      </c>
      <c r="W47" s="956">
        <v>4</v>
      </c>
      <c r="X47" s="956">
        <v>17</v>
      </c>
      <c r="Y47" s="956">
        <v>10</v>
      </c>
      <c r="Z47" s="956">
        <v>18</v>
      </c>
      <c r="AA47" s="956">
        <v>14</v>
      </c>
      <c r="AB47" s="956">
        <v>1</v>
      </c>
      <c r="AC47" s="956">
        <v>22</v>
      </c>
      <c r="AD47" s="956">
        <v>10</v>
      </c>
    </row>
    <row r="48" spans="2:30" ht="14.4" x14ac:dyDescent="0.25">
      <c r="B48" s="967" t="s">
        <v>107</v>
      </c>
      <c r="C48" s="954"/>
      <c r="D48" s="954"/>
      <c r="E48" s="954"/>
      <c r="F48" s="954"/>
      <c r="G48" s="955"/>
      <c r="H48" s="955">
        <v>1</v>
      </c>
      <c r="I48" s="955"/>
      <c r="J48" s="955"/>
      <c r="K48" s="955"/>
      <c r="L48" s="955">
        <v>1</v>
      </c>
      <c r="M48" s="955"/>
      <c r="N48" s="955"/>
      <c r="O48" s="955">
        <v>1</v>
      </c>
      <c r="P48" s="955">
        <v>1</v>
      </c>
      <c r="Q48" s="955"/>
      <c r="R48" s="956">
        <v>1</v>
      </c>
      <c r="S48" s="956">
        <v>1</v>
      </c>
      <c r="T48" s="956"/>
      <c r="U48" s="956"/>
      <c r="V48" s="956"/>
      <c r="W48" s="956"/>
      <c r="X48" s="956"/>
      <c r="Y48" s="956"/>
      <c r="Z48" s="956"/>
      <c r="AA48" s="956"/>
      <c r="AB48" s="956"/>
      <c r="AC48" s="956"/>
      <c r="AD48" s="956"/>
    </row>
    <row r="49" spans="2:30" ht="14.4" x14ac:dyDescent="0.25">
      <c r="B49" s="957" t="s">
        <v>64</v>
      </c>
      <c r="C49" s="958"/>
      <c r="D49" s="958"/>
      <c r="E49" s="958"/>
      <c r="F49" s="958"/>
      <c r="G49" s="959">
        <f t="shared" ref="G49:Z49" si="13">SUM(G37:G48)</f>
        <v>417</v>
      </c>
      <c r="H49" s="959">
        <f t="shared" si="13"/>
        <v>478</v>
      </c>
      <c r="I49" s="959">
        <f t="shared" si="13"/>
        <v>465</v>
      </c>
      <c r="J49" s="959">
        <f t="shared" si="13"/>
        <v>470</v>
      </c>
      <c r="K49" s="959">
        <f t="shared" si="13"/>
        <v>509</v>
      </c>
      <c r="L49" s="959">
        <f t="shared" si="13"/>
        <v>500</v>
      </c>
      <c r="M49" s="959">
        <f t="shared" si="13"/>
        <v>516</v>
      </c>
      <c r="N49" s="959">
        <f t="shared" si="13"/>
        <v>466</v>
      </c>
      <c r="O49" s="959">
        <f t="shared" si="13"/>
        <v>495</v>
      </c>
      <c r="P49" s="959">
        <f t="shared" si="13"/>
        <v>487</v>
      </c>
      <c r="Q49" s="959">
        <f t="shared" si="13"/>
        <v>427</v>
      </c>
      <c r="R49" s="959">
        <f t="shared" si="13"/>
        <v>545</v>
      </c>
      <c r="S49" s="959">
        <f t="shared" si="13"/>
        <v>531</v>
      </c>
      <c r="T49" s="959">
        <f t="shared" si="13"/>
        <v>513</v>
      </c>
      <c r="U49" s="959">
        <f t="shared" si="13"/>
        <v>538</v>
      </c>
      <c r="V49" s="959">
        <f t="shared" si="13"/>
        <v>624</v>
      </c>
      <c r="W49" s="959">
        <f t="shared" si="13"/>
        <v>448</v>
      </c>
      <c r="X49" s="959">
        <f t="shared" si="13"/>
        <v>570</v>
      </c>
      <c r="Y49" s="959">
        <f t="shared" si="13"/>
        <v>372</v>
      </c>
      <c r="Z49" s="959">
        <f t="shared" si="13"/>
        <v>337</v>
      </c>
      <c r="AA49" s="959">
        <f>SUM(AA37:AA48)</f>
        <v>428</v>
      </c>
      <c r="AB49" s="959">
        <f>SUM(AB37:AB48)</f>
        <v>131</v>
      </c>
      <c r="AC49" s="959">
        <f>SUM(AC37:AC48)</f>
        <v>509</v>
      </c>
      <c r="AD49" s="959">
        <f>SUM(AD37:AD48)</f>
        <v>596</v>
      </c>
    </row>
    <row r="50" spans="2:30" ht="14.4" x14ac:dyDescent="0.25">
      <c r="B50" s="953" t="s">
        <v>86</v>
      </c>
      <c r="C50" s="954"/>
      <c r="D50" s="954"/>
      <c r="E50" s="954"/>
      <c r="F50" s="954"/>
      <c r="G50" s="955">
        <v>27</v>
      </c>
      <c r="H50" s="955">
        <v>25</v>
      </c>
      <c r="I50" s="955">
        <v>40</v>
      </c>
      <c r="J50" s="955">
        <v>35</v>
      </c>
      <c r="K50" s="955">
        <v>52</v>
      </c>
      <c r="L50" s="955">
        <v>61</v>
      </c>
      <c r="M50" s="955">
        <v>53</v>
      </c>
      <c r="N50" s="955">
        <v>58</v>
      </c>
      <c r="O50" s="955">
        <v>51</v>
      </c>
      <c r="P50" s="955">
        <v>42</v>
      </c>
      <c r="Q50" s="955">
        <v>61</v>
      </c>
      <c r="R50" s="956">
        <v>50</v>
      </c>
      <c r="S50" s="956">
        <v>59</v>
      </c>
      <c r="T50" s="956">
        <v>56</v>
      </c>
      <c r="U50" s="956">
        <v>56</v>
      </c>
      <c r="V50" s="956">
        <v>94</v>
      </c>
      <c r="W50" s="956">
        <v>50</v>
      </c>
      <c r="X50" s="956">
        <v>78</v>
      </c>
      <c r="Y50" s="956">
        <v>76</v>
      </c>
      <c r="Z50" s="956">
        <v>37</v>
      </c>
      <c r="AA50" s="956">
        <v>81</v>
      </c>
      <c r="AB50" s="956">
        <v>14</v>
      </c>
      <c r="AC50" s="956">
        <v>68</v>
      </c>
      <c r="AD50" s="956">
        <v>89</v>
      </c>
    </row>
    <row r="51" spans="2:30" ht="14.4" x14ac:dyDescent="0.25">
      <c r="B51" s="953" t="s">
        <v>87</v>
      </c>
      <c r="C51" s="954"/>
      <c r="D51" s="954"/>
      <c r="E51" s="954"/>
      <c r="F51" s="954"/>
      <c r="G51" s="955">
        <v>16</v>
      </c>
      <c r="H51" s="955">
        <v>14</v>
      </c>
      <c r="I51" s="955">
        <v>21</v>
      </c>
      <c r="J51" s="955">
        <v>25</v>
      </c>
      <c r="K51" s="955">
        <v>50</v>
      </c>
      <c r="L51" s="955">
        <v>43</v>
      </c>
      <c r="M51" s="955">
        <v>45</v>
      </c>
      <c r="N51" s="955">
        <v>54</v>
      </c>
      <c r="O51" s="955">
        <v>56</v>
      </c>
      <c r="P51" s="955">
        <v>62</v>
      </c>
      <c r="Q51" s="955">
        <v>54</v>
      </c>
      <c r="R51" s="956">
        <v>54</v>
      </c>
      <c r="S51" s="956">
        <v>50</v>
      </c>
      <c r="T51" s="956">
        <v>49</v>
      </c>
      <c r="U51" s="956">
        <v>41</v>
      </c>
      <c r="V51" s="956">
        <v>59</v>
      </c>
      <c r="W51" s="956">
        <v>37</v>
      </c>
      <c r="X51" s="956">
        <v>66</v>
      </c>
      <c r="Y51" s="956">
        <v>35</v>
      </c>
      <c r="Z51" s="956">
        <v>28</v>
      </c>
      <c r="AA51" s="956">
        <v>50</v>
      </c>
      <c r="AB51" s="956">
        <v>17</v>
      </c>
      <c r="AC51" s="956">
        <v>55</v>
      </c>
      <c r="AD51" s="956">
        <v>70</v>
      </c>
    </row>
    <row r="52" spans="2:30" ht="14.4" x14ac:dyDescent="0.25">
      <c r="B52" s="953" t="s">
        <v>88</v>
      </c>
      <c r="C52" s="954"/>
      <c r="D52" s="954"/>
      <c r="E52" s="954"/>
      <c r="F52" s="954"/>
      <c r="G52" s="955">
        <v>15</v>
      </c>
      <c r="H52" s="955">
        <v>16</v>
      </c>
      <c r="I52" s="955">
        <v>20</v>
      </c>
      <c r="J52" s="955">
        <v>15</v>
      </c>
      <c r="K52" s="955">
        <v>13</v>
      </c>
      <c r="L52" s="955">
        <v>17</v>
      </c>
      <c r="M52" s="955">
        <v>21</v>
      </c>
      <c r="N52" s="955">
        <v>30</v>
      </c>
      <c r="O52" s="955">
        <v>28</v>
      </c>
      <c r="P52" s="955">
        <v>18</v>
      </c>
      <c r="Q52" s="955">
        <v>22</v>
      </c>
      <c r="R52" s="956">
        <v>22</v>
      </c>
      <c r="S52" s="956">
        <v>21</v>
      </c>
      <c r="T52" s="956">
        <v>24</v>
      </c>
      <c r="U52" s="956">
        <v>25</v>
      </c>
      <c r="V52" s="956">
        <v>30</v>
      </c>
      <c r="W52" s="956">
        <v>24</v>
      </c>
      <c r="X52" s="956">
        <v>36</v>
      </c>
      <c r="Y52" s="956">
        <v>27</v>
      </c>
      <c r="Z52" s="956">
        <v>33</v>
      </c>
      <c r="AA52" s="956">
        <v>41</v>
      </c>
      <c r="AB52" s="956">
        <v>6</v>
      </c>
      <c r="AC52" s="956">
        <v>42</v>
      </c>
      <c r="AD52" s="956">
        <v>69</v>
      </c>
    </row>
    <row r="53" spans="2:30" ht="14.4" x14ac:dyDescent="0.25">
      <c r="B53" s="953" t="s">
        <v>89</v>
      </c>
      <c r="C53" s="954"/>
      <c r="D53" s="954"/>
      <c r="E53" s="954"/>
      <c r="F53" s="954"/>
      <c r="G53" s="955">
        <v>9</v>
      </c>
      <c r="H53" s="955">
        <v>5</v>
      </c>
      <c r="I53" s="955">
        <v>9</v>
      </c>
      <c r="J53" s="955">
        <v>9</v>
      </c>
      <c r="K53" s="955">
        <v>16</v>
      </c>
      <c r="L53" s="955">
        <v>14</v>
      </c>
      <c r="M53" s="955">
        <v>7</v>
      </c>
      <c r="N53" s="955">
        <v>17</v>
      </c>
      <c r="O53" s="955">
        <v>4</v>
      </c>
      <c r="P53" s="955">
        <v>7</v>
      </c>
      <c r="Q53" s="955">
        <v>5</v>
      </c>
      <c r="R53" s="956">
        <v>10</v>
      </c>
      <c r="S53" s="956">
        <v>9</v>
      </c>
      <c r="T53" s="956">
        <v>8</v>
      </c>
      <c r="U53" s="956">
        <v>12</v>
      </c>
      <c r="V53" s="956">
        <v>10</v>
      </c>
      <c r="W53" s="956">
        <v>10</v>
      </c>
      <c r="X53" s="956">
        <v>20</v>
      </c>
      <c r="Y53" s="956">
        <v>12</v>
      </c>
      <c r="Z53" s="956">
        <v>15</v>
      </c>
      <c r="AA53" s="956">
        <v>37</v>
      </c>
      <c r="AB53" s="956">
        <v>9</v>
      </c>
      <c r="AC53" s="956">
        <v>45</v>
      </c>
      <c r="AD53" s="956">
        <v>42</v>
      </c>
    </row>
    <row r="54" spans="2:30" ht="14.4" x14ac:dyDescent="0.25">
      <c r="B54" s="953" t="s">
        <v>90</v>
      </c>
      <c r="C54" s="954"/>
      <c r="D54" s="954"/>
      <c r="E54" s="954"/>
      <c r="F54" s="954"/>
      <c r="G54" s="955">
        <v>55</v>
      </c>
      <c r="H54" s="955">
        <v>36</v>
      </c>
      <c r="I54" s="955">
        <v>54</v>
      </c>
      <c r="J54" s="955">
        <v>56</v>
      </c>
      <c r="K54" s="955">
        <v>63</v>
      </c>
      <c r="L54" s="955">
        <v>89</v>
      </c>
      <c r="M54" s="955">
        <v>97</v>
      </c>
      <c r="N54" s="955">
        <v>90</v>
      </c>
      <c r="O54" s="955">
        <v>91</v>
      </c>
      <c r="P54" s="955">
        <v>49</v>
      </c>
      <c r="Q54" s="955">
        <v>66</v>
      </c>
      <c r="R54" s="956">
        <v>59</v>
      </c>
      <c r="S54" s="956">
        <v>82</v>
      </c>
      <c r="T54" s="956">
        <v>52</v>
      </c>
      <c r="U54" s="956">
        <v>60</v>
      </c>
      <c r="V54" s="956">
        <v>92</v>
      </c>
      <c r="W54" s="956">
        <v>62</v>
      </c>
      <c r="X54" s="956">
        <v>73</v>
      </c>
      <c r="Y54" s="956">
        <v>57</v>
      </c>
      <c r="Z54" s="956">
        <v>53</v>
      </c>
      <c r="AA54" s="956">
        <v>101</v>
      </c>
      <c r="AB54" s="956">
        <v>20</v>
      </c>
      <c r="AC54" s="956">
        <v>80</v>
      </c>
      <c r="AD54" s="956">
        <v>134</v>
      </c>
    </row>
    <row r="55" spans="2:30" ht="14.4" x14ac:dyDescent="0.25">
      <c r="B55" s="953" t="s">
        <v>91</v>
      </c>
      <c r="C55" s="954"/>
      <c r="D55" s="954"/>
      <c r="E55" s="954"/>
      <c r="F55" s="954"/>
      <c r="G55" s="955">
        <v>65</v>
      </c>
      <c r="H55" s="955">
        <v>46</v>
      </c>
      <c r="I55" s="955">
        <v>56</v>
      </c>
      <c r="J55" s="955">
        <v>51</v>
      </c>
      <c r="K55" s="955">
        <v>67</v>
      </c>
      <c r="L55" s="955">
        <v>86</v>
      </c>
      <c r="M55" s="955">
        <v>100</v>
      </c>
      <c r="N55" s="955">
        <v>87</v>
      </c>
      <c r="O55" s="955">
        <v>97</v>
      </c>
      <c r="P55" s="955">
        <v>72</v>
      </c>
      <c r="Q55" s="955">
        <v>82</v>
      </c>
      <c r="R55" s="956">
        <v>64</v>
      </c>
      <c r="S55" s="956">
        <v>72</v>
      </c>
      <c r="T55" s="956">
        <v>60</v>
      </c>
      <c r="U55" s="956">
        <v>59</v>
      </c>
      <c r="V55" s="956">
        <v>84</v>
      </c>
      <c r="W55" s="956">
        <v>60</v>
      </c>
      <c r="X55" s="956">
        <v>78</v>
      </c>
      <c r="Y55" s="956">
        <v>56</v>
      </c>
      <c r="Z55" s="956">
        <v>46</v>
      </c>
      <c r="AA55" s="956">
        <v>73</v>
      </c>
      <c r="AB55" s="956">
        <v>15</v>
      </c>
      <c r="AC55" s="956">
        <v>67</v>
      </c>
      <c r="AD55" s="956">
        <v>86</v>
      </c>
    </row>
    <row r="56" spans="2:30" ht="14.4" x14ac:dyDescent="0.25">
      <c r="B56" s="957" t="s">
        <v>92</v>
      </c>
      <c r="C56" s="958"/>
      <c r="D56" s="958"/>
      <c r="E56" s="958"/>
      <c r="F56" s="958"/>
      <c r="G56" s="959">
        <f t="shared" ref="G56:W56" si="14">SUM(G50:G55)</f>
        <v>187</v>
      </c>
      <c r="H56" s="959">
        <f t="shared" si="14"/>
        <v>142</v>
      </c>
      <c r="I56" s="959">
        <f t="shared" si="14"/>
        <v>200</v>
      </c>
      <c r="J56" s="959">
        <f t="shared" si="14"/>
        <v>191</v>
      </c>
      <c r="K56" s="959">
        <f t="shared" si="14"/>
        <v>261</v>
      </c>
      <c r="L56" s="959">
        <f t="shared" si="14"/>
        <v>310</v>
      </c>
      <c r="M56" s="959">
        <f t="shared" si="14"/>
        <v>323</v>
      </c>
      <c r="N56" s="959">
        <f t="shared" si="14"/>
        <v>336</v>
      </c>
      <c r="O56" s="959">
        <f t="shared" si="14"/>
        <v>327</v>
      </c>
      <c r="P56" s="959">
        <f t="shared" si="14"/>
        <v>250</v>
      </c>
      <c r="Q56" s="959">
        <f t="shared" si="14"/>
        <v>290</v>
      </c>
      <c r="R56" s="959">
        <f t="shared" si="14"/>
        <v>259</v>
      </c>
      <c r="S56" s="959">
        <f t="shared" si="14"/>
        <v>293</v>
      </c>
      <c r="T56" s="959">
        <f t="shared" si="14"/>
        <v>249</v>
      </c>
      <c r="U56" s="959">
        <f t="shared" si="14"/>
        <v>253</v>
      </c>
      <c r="V56" s="959">
        <f t="shared" si="14"/>
        <v>369</v>
      </c>
      <c r="W56" s="959">
        <f t="shared" si="14"/>
        <v>243</v>
      </c>
      <c r="X56" s="959">
        <f t="shared" ref="X56:AC56" si="15">SUM(X50:X55)</f>
        <v>351</v>
      </c>
      <c r="Y56" s="959">
        <f t="shared" si="15"/>
        <v>263</v>
      </c>
      <c r="Z56" s="959">
        <f t="shared" si="15"/>
        <v>212</v>
      </c>
      <c r="AA56" s="959">
        <f t="shared" si="15"/>
        <v>383</v>
      </c>
      <c r="AB56" s="959">
        <f t="shared" si="15"/>
        <v>81</v>
      </c>
      <c r="AC56" s="959">
        <f t="shared" si="15"/>
        <v>357</v>
      </c>
      <c r="AD56" s="959">
        <f t="shared" ref="AD56" si="16">SUM(AD50:AD55)</f>
        <v>490</v>
      </c>
    </row>
    <row r="57" spans="2:30" ht="14.4" x14ac:dyDescent="0.25">
      <c r="B57" s="968" t="s">
        <v>93</v>
      </c>
      <c r="C57" s="969"/>
      <c r="D57" s="969"/>
      <c r="E57" s="969"/>
      <c r="F57" s="969"/>
      <c r="G57" s="970">
        <f t="shared" ref="G57:AB57" si="17">SUM(G56,G49,G36)</f>
        <v>791</v>
      </c>
      <c r="H57" s="970">
        <f t="shared" si="17"/>
        <v>821</v>
      </c>
      <c r="I57" s="970">
        <f t="shared" si="17"/>
        <v>865</v>
      </c>
      <c r="J57" s="970">
        <f t="shared" si="17"/>
        <v>856</v>
      </c>
      <c r="K57" s="970">
        <f t="shared" si="17"/>
        <v>972</v>
      </c>
      <c r="L57" s="970">
        <f t="shared" si="17"/>
        <v>1037</v>
      </c>
      <c r="M57" s="970">
        <f t="shared" si="17"/>
        <v>1062</v>
      </c>
      <c r="N57" s="970">
        <f t="shared" si="17"/>
        <v>1036</v>
      </c>
      <c r="O57" s="970">
        <f t="shared" si="17"/>
        <v>1056</v>
      </c>
      <c r="P57" s="970">
        <f t="shared" si="17"/>
        <v>930</v>
      </c>
      <c r="Q57" s="970">
        <f t="shared" si="17"/>
        <v>870</v>
      </c>
      <c r="R57" s="970">
        <f t="shared" si="17"/>
        <v>1004</v>
      </c>
      <c r="S57" s="970">
        <f t="shared" si="17"/>
        <v>1025</v>
      </c>
      <c r="T57" s="970">
        <f t="shared" si="17"/>
        <v>966</v>
      </c>
      <c r="U57" s="970">
        <f t="shared" si="17"/>
        <v>965</v>
      </c>
      <c r="V57" s="970">
        <f t="shared" si="17"/>
        <v>1211</v>
      </c>
      <c r="W57" s="970">
        <f t="shared" si="17"/>
        <v>874</v>
      </c>
      <c r="X57" s="970">
        <f t="shared" si="17"/>
        <v>1117</v>
      </c>
      <c r="Y57" s="970">
        <f t="shared" si="17"/>
        <v>827</v>
      </c>
      <c r="Z57" s="970">
        <f t="shared" si="17"/>
        <v>693</v>
      </c>
      <c r="AA57" s="970">
        <f t="shared" si="17"/>
        <v>1057</v>
      </c>
      <c r="AB57" s="970">
        <f t="shared" si="17"/>
        <v>276</v>
      </c>
      <c r="AC57" s="970">
        <f t="shared" ref="AC57:AD57" si="18">SUM(AC56,AC49,AC36)</f>
        <v>1160</v>
      </c>
      <c r="AD57" s="970">
        <f t="shared" si="18"/>
        <v>1436</v>
      </c>
    </row>
    <row r="58" spans="2:30" ht="14.4" x14ac:dyDescent="0.25">
      <c r="B58" s="963" t="s">
        <v>60</v>
      </c>
      <c r="C58" s="964"/>
      <c r="D58" s="964"/>
      <c r="E58" s="964"/>
      <c r="F58" s="964"/>
      <c r="G58" s="965">
        <v>126</v>
      </c>
      <c r="H58" s="965">
        <v>137</v>
      </c>
      <c r="I58" s="965">
        <v>101</v>
      </c>
      <c r="J58" s="965">
        <v>104</v>
      </c>
      <c r="K58" s="965">
        <v>123</v>
      </c>
      <c r="L58" s="965">
        <v>104</v>
      </c>
      <c r="M58" s="965">
        <v>102</v>
      </c>
      <c r="N58" s="965">
        <v>83</v>
      </c>
      <c r="O58" s="965">
        <v>103</v>
      </c>
      <c r="P58" s="965">
        <v>75</v>
      </c>
      <c r="Q58" s="965">
        <v>120</v>
      </c>
      <c r="R58" s="966">
        <v>97</v>
      </c>
      <c r="S58" s="966">
        <v>113</v>
      </c>
      <c r="T58" s="966">
        <v>76</v>
      </c>
      <c r="U58" s="966">
        <v>112</v>
      </c>
      <c r="V58" s="966">
        <v>119</v>
      </c>
      <c r="W58" s="966">
        <v>96</v>
      </c>
      <c r="X58" s="966">
        <v>109</v>
      </c>
      <c r="Y58" s="966">
        <v>65</v>
      </c>
      <c r="Z58" s="966">
        <v>123</v>
      </c>
      <c r="AA58" s="966">
        <v>88</v>
      </c>
      <c r="AB58" s="966">
        <v>28</v>
      </c>
      <c r="AC58" s="966">
        <v>98</v>
      </c>
      <c r="AD58" s="966">
        <v>143</v>
      </c>
    </row>
    <row r="59" spans="2:30" ht="14.4" x14ac:dyDescent="0.25">
      <c r="B59" s="953" t="s">
        <v>94</v>
      </c>
      <c r="C59" s="954"/>
      <c r="D59" s="954"/>
      <c r="E59" s="954"/>
      <c r="F59" s="954"/>
      <c r="G59" s="955">
        <v>171</v>
      </c>
      <c r="H59" s="955">
        <v>126</v>
      </c>
      <c r="I59" s="955">
        <v>152</v>
      </c>
      <c r="J59" s="955">
        <v>151</v>
      </c>
      <c r="K59" s="955">
        <v>159</v>
      </c>
      <c r="L59" s="955">
        <v>155</v>
      </c>
      <c r="M59" s="955">
        <v>150</v>
      </c>
      <c r="N59" s="955">
        <v>117</v>
      </c>
      <c r="O59" s="955">
        <v>161</v>
      </c>
      <c r="P59" s="955">
        <v>107</v>
      </c>
      <c r="Q59" s="955">
        <v>153</v>
      </c>
      <c r="R59" s="956">
        <v>155</v>
      </c>
      <c r="S59" s="956">
        <v>166</v>
      </c>
      <c r="T59" s="956">
        <v>154</v>
      </c>
      <c r="U59" s="956">
        <v>131</v>
      </c>
      <c r="V59" s="956">
        <v>147</v>
      </c>
      <c r="W59" s="956">
        <v>148</v>
      </c>
      <c r="X59" s="956">
        <v>145</v>
      </c>
      <c r="Y59" s="956">
        <v>86</v>
      </c>
      <c r="Z59" s="956">
        <v>116</v>
      </c>
      <c r="AA59" s="956">
        <v>122</v>
      </c>
      <c r="AB59" s="956">
        <v>36</v>
      </c>
      <c r="AC59" s="956">
        <v>149</v>
      </c>
      <c r="AD59" s="956">
        <v>153</v>
      </c>
    </row>
    <row r="60" spans="2:30" ht="14.4" x14ac:dyDescent="0.25">
      <c r="B60" s="953" t="s">
        <v>62</v>
      </c>
      <c r="C60" s="954"/>
      <c r="D60" s="954"/>
      <c r="E60" s="954"/>
      <c r="F60" s="954"/>
      <c r="G60" s="955">
        <v>72</v>
      </c>
      <c r="H60" s="955">
        <v>40</v>
      </c>
      <c r="I60" s="955">
        <v>73</v>
      </c>
      <c r="J60" s="955">
        <v>49</v>
      </c>
      <c r="K60" s="955">
        <v>61</v>
      </c>
      <c r="L60" s="955">
        <v>54</v>
      </c>
      <c r="M60" s="955">
        <v>53</v>
      </c>
      <c r="N60" s="955">
        <v>68</v>
      </c>
      <c r="O60" s="955">
        <v>55</v>
      </c>
      <c r="P60" s="955">
        <v>51</v>
      </c>
      <c r="Q60" s="955">
        <v>59</v>
      </c>
      <c r="R60" s="956">
        <v>81</v>
      </c>
      <c r="S60" s="956">
        <v>99</v>
      </c>
      <c r="T60" s="956">
        <v>78</v>
      </c>
      <c r="U60" s="956">
        <v>62</v>
      </c>
      <c r="V60" s="956">
        <v>54</v>
      </c>
      <c r="W60" s="956">
        <v>57</v>
      </c>
      <c r="X60" s="956">
        <v>71</v>
      </c>
      <c r="Y60" s="956">
        <v>61</v>
      </c>
      <c r="Z60" s="956">
        <v>60</v>
      </c>
      <c r="AA60" s="956">
        <v>72</v>
      </c>
      <c r="AB60" s="956">
        <v>17</v>
      </c>
      <c r="AC60" s="956">
        <v>85</v>
      </c>
      <c r="AD60" s="956">
        <v>99</v>
      </c>
    </row>
    <row r="61" spans="2:30" ht="14.4" x14ac:dyDescent="0.25">
      <c r="B61" s="953" t="s">
        <v>95</v>
      </c>
      <c r="C61" s="954"/>
      <c r="D61" s="954"/>
      <c r="E61" s="954"/>
      <c r="F61" s="954"/>
      <c r="G61" s="955">
        <v>251</v>
      </c>
      <c r="H61" s="955">
        <v>235</v>
      </c>
      <c r="I61" s="955">
        <v>305</v>
      </c>
      <c r="J61" s="955">
        <v>316</v>
      </c>
      <c r="K61" s="955">
        <v>318</v>
      </c>
      <c r="L61" s="955">
        <v>335</v>
      </c>
      <c r="M61" s="955">
        <v>247</v>
      </c>
      <c r="N61" s="955">
        <v>293</v>
      </c>
      <c r="O61" s="955">
        <v>253</v>
      </c>
      <c r="P61" s="955">
        <v>272</v>
      </c>
      <c r="Q61" s="955">
        <v>303</v>
      </c>
      <c r="R61" s="956">
        <v>340</v>
      </c>
      <c r="S61" s="956">
        <v>304</v>
      </c>
      <c r="T61" s="956">
        <v>290</v>
      </c>
      <c r="U61" s="956">
        <v>237</v>
      </c>
      <c r="V61" s="956">
        <v>272</v>
      </c>
      <c r="W61" s="956">
        <v>237</v>
      </c>
      <c r="X61" s="956">
        <v>252</v>
      </c>
      <c r="Y61" s="956">
        <v>175</v>
      </c>
      <c r="Z61" s="956">
        <v>238</v>
      </c>
      <c r="AA61" s="956">
        <v>187</v>
      </c>
      <c r="AB61" s="956">
        <v>44</v>
      </c>
      <c r="AC61" s="956">
        <v>197</v>
      </c>
      <c r="AD61" s="956">
        <v>256</v>
      </c>
    </row>
    <row r="62" spans="2:30" ht="14.4" x14ac:dyDescent="0.25">
      <c r="B62" s="953" t="s">
        <v>63</v>
      </c>
      <c r="C62" s="954"/>
      <c r="D62" s="954"/>
      <c r="E62" s="954"/>
      <c r="F62" s="954"/>
      <c r="G62" s="955">
        <v>59</v>
      </c>
      <c r="H62" s="955">
        <v>81</v>
      </c>
      <c r="I62" s="955">
        <v>80</v>
      </c>
      <c r="J62" s="955">
        <v>120</v>
      </c>
      <c r="K62" s="955">
        <v>123</v>
      </c>
      <c r="L62" s="955">
        <v>109</v>
      </c>
      <c r="M62" s="955">
        <v>103</v>
      </c>
      <c r="N62" s="955">
        <v>85</v>
      </c>
      <c r="O62" s="955">
        <v>108</v>
      </c>
      <c r="P62" s="955">
        <v>84</v>
      </c>
      <c r="Q62" s="955">
        <v>148</v>
      </c>
      <c r="R62" s="956">
        <v>121</v>
      </c>
      <c r="S62" s="956">
        <v>115</v>
      </c>
      <c r="T62" s="956">
        <v>100</v>
      </c>
      <c r="U62" s="956">
        <v>90</v>
      </c>
      <c r="V62" s="956">
        <v>114</v>
      </c>
      <c r="W62" s="956">
        <v>82</v>
      </c>
      <c r="X62" s="956">
        <v>111</v>
      </c>
      <c r="Y62" s="956">
        <v>67</v>
      </c>
      <c r="Z62" s="956">
        <v>83</v>
      </c>
      <c r="AA62" s="956">
        <v>75</v>
      </c>
      <c r="AB62" s="956">
        <v>21</v>
      </c>
      <c r="AC62" s="956">
        <v>77</v>
      </c>
      <c r="AD62" s="956">
        <v>119</v>
      </c>
    </row>
    <row r="63" spans="2:30" ht="14.4" x14ac:dyDescent="0.25">
      <c r="B63" s="953" t="s">
        <v>96</v>
      </c>
      <c r="C63" s="954"/>
      <c r="D63" s="954"/>
      <c r="E63" s="954"/>
      <c r="F63" s="954"/>
      <c r="G63" s="955"/>
      <c r="H63" s="955"/>
      <c r="I63" s="955">
        <v>3</v>
      </c>
      <c r="J63" s="955">
        <v>9</v>
      </c>
      <c r="K63" s="955">
        <v>20</v>
      </c>
      <c r="L63" s="955">
        <v>22</v>
      </c>
      <c r="M63" s="955">
        <v>24</v>
      </c>
      <c r="N63" s="955">
        <v>26</v>
      </c>
      <c r="O63" s="955">
        <v>36</v>
      </c>
      <c r="P63" s="955">
        <v>30</v>
      </c>
      <c r="Q63" s="955">
        <v>28</v>
      </c>
      <c r="R63" s="956">
        <v>41</v>
      </c>
      <c r="S63" s="956">
        <v>51</v>
      </c>
      <c r="T63" s="956">
        <v>42</v>
      </c>
      <c r="U63" s="956">
        <v>33</v>
      </c>
      <c r="V63" s="956">
        <v>44</v>
      </c>
      <c r="W63" s="956">
        <v>35</v>
      </c>
      <c r="X63" s="956">
        <v>40</v>
      </c>
      <c r="Y63" s="956">
        <v>22</v>
      </c>
      <c r="Z63" s="956">
        <v>32</v>
      </c>
      <c r="AA63" s="956">
        <v>36</v>
      </c>
      <c r="AB63" s="956">
        <v>10</v>
      </c>
      <c r="AC63" s="956">
        <v>51</v>
      </c>
      <c r="AD63" s="956">
        <v>49</v>
      </c>
    </row>
    <row r="64" spans="2:30" ht="14.4" x14ac:dyDescent="0.25">
      <c r="B64" s="957" t="s">
        <v>64</v>
      </c>
      <c r="C64" s="958"/>
      <c r="D64" s="958"/>
      <c r="E64" s="958"/>
      <c r="F64" s="958"/>
      <c r="G64" s="959">
        <f t="shared" ref="G64:P64" si="19">SUM(G58:G63)</f>
        <v>679</v>
      </c>
      <c r="H64" s="959">
        <f t="shared" si="19"/>
        <v>619</v>
      </c>
      <c r="I64" s="959">
        <f t="shared" si="19"/>
        <v>714</v>
      </c>
      <c r="J64" s="959">
        <f t="shared" si="19"/>
        <v>749</v>
      </c>
      <c r="K64" s="959">
        <f t="shared" si="19"/>
        <v>804</v>
      </c>
      <c r="L64" s="959">
        <f t="shared" si="19"/>
        <v>779</v>
      </c>
      <c r="M64" s="959">
        <f t="shared" si="19"/>
        <v>679</v>
      </c>
      <c r="N64" s="959">
        <f t="shared" si="19"/>
        <v>672</v>
      </c>
      <c r="O64" s="959">
        <f t="shared" si="19"/>
        <v>716</v>
      </c>
      <c r="P64" s="959">
        <f t="shared" si="19"/>
        <v>619</v>
      </c>
      <c r="Q64" s="959">
        <f t="shared" ref="Q64:V64" si="20">SUM(Q58:Q63)</f>
        <v>811</v>
      </c>
      <c r="R64" s="959">
        <f t="shared" si="20"/>
        <v>835</v>
      </c>
      <c r="S64" s="959">
        <f t="shared" si="20"/>
        <v>848</v>
      </c>
      <c r="T64" s="959">
        <f t="shared" si="20"/>
        <v>740</v>
      </c>
      <c r="U64" s="959">
        <f t="shared" si="20"/>
        <v>665</v>
      </c>
      <c r="V64" s="959">
        <f t="shared" si="20"/>
        <v>750</v>
      </c>
      <c r="W64" s="959">
        <v>655</v>
      </c>
      <c r="X64" s="959">
        <f t="shared" ref="X64:AC64" si="21">SUM(X58:X63)</f>
        <v>728</v>
      </c>
      <c r="Y64" s="959">
        <f t="shared" si="21"/>
        <v>476</v>
      </c>
      <c r="Z64" s="959">
        <f t="shared" si="21"/>
        <v>652</v>
      </c>
      <c r="AA64" s="959">
        <f t="shared" si="21"/>
        <v>580</v>
      </c>
      <c r="AB64" s="959">
        <f t="shared" si="21"/>
        <v>156</v>
      </c>
      <c r="AC64" s="959">
        <f t="shared" si="21"/>
        <v>657</v>
      </c>
      <c r="AD64" s="959">
        <f t="shared" ref="AD64" si="22">SUM(AD58:AD63)</f>
        <v>819</v>
      </c>
    </row>
    <row r="65" spans="2:30" ht="14.4" x14ac:dyDescent="0.25">
      <c r="B65" s="953" t="s">
        <v>86</v>
      </c>
      <c r="C65" s="954"/>
      <c r="D65" s="954"/>
      <c r="E65" s="954"/>
      <c r="F65" s="954"/>
      <c r="G65" s="955">
        <v>66</v>
      </c>
      <c r="H65" s="955">
        <v>92</v>
      </c>
      <c r="I65" s="955">
        <v>104</v>
      </c>
      <c r="J65" s="955">
        <v>121</v>
      </c>
      <c r="K65" s="955">
        <v>94</v>
      </c>
      <c r="L65" s="955">
        <v>102</v>
      </c>
      <c r="M65" s="955">
        <v>105</v>
      </c>
      <c r="N65" s="955">
        <v>84</v>
      </c>
      <c r="O65" s="955">
        <v>96</v>
      </c>
      <c r="P65" s="955">
        <v>86</v>
      </c>
      <c r="Q65" s="955">
        <v>91</v>
      </c>
      <c r="R65" s="956">
        <v>132</v>
      </c>
      <c r="S65" s="956">
        <v>126</v>
      </c>
      <c r="T65" s="956">
        <v>128</v>
      </c>
      <c r="U65" s="956">
        <v>137</v>
      </c>
      <c r="V65" s="956">
        <v>118</v>
      </c>
      <c r="W65" s="956">
        <v>151</v>
      </c>
      <c r="X65" s="956">
        <v>124</v>
      </c>
      <c r="Y65" s="956">
        <v>86</v>
      </c>
      <c r="Z65" s="956">
        <v>105</v>
      </c>
      <c r="AA65" s="956">
        <v>109</v>
      </c>
      <c r="AB65" s="956">
        <v>22</v>
      </c>
      <c r="AC65" s="956">
        <v>69</v>
      </c>
      <c r="AD65" s="956">
        <v>115</v>
      </c>
    </row>
    <row r="66" spans="2:30" ht="14.4" x14ac:dyDescent="0.25">
      <c r="B66" s="953" t="s">
        <v>97</v>
      </c>
      <c r="C66" s="954"/>
      <c r="D66" s="954"/>
      <c r="E66" s="954"/>
      <c r="F66" s="954"/>
      <c r="G66" s="955">
        <v>41</v>
      </c>
      <c r="H66" s="955">
        <v>51</v>
      </c>
      <c r="I66" s="955">
        <v>54</v>
      </c>
      <c r="J66" s="955">
        <v>108</v>
      </c>
      <c r="K66" s="955">
        <v>75</v>
      </c>
      <c r="L66" s="955">
        <v>68</v>
      </c>
      <c r="M66" s="955">
        <v>104</v>
      </c>
      <c r="N66" s="955">
        <v>45</v>
      </c>
      <c r="O66" s="955">
        <v>58</v>
      </c>
      <c r="P66" s="955">
        <v>70</v>
      </c>
      <c r="Q66" s="955">
        <v>67</v>
      </c>
      <c r="R66" s="956">
        <v>121</v>
      </c>
      <c r="S66" s="956">
        <v>109</v>
      </c>
      <c r="T66" s="956">
        <v>88</v>
      </c>
      <c r="U66" s="956">
        <v>114</v>
      </c>
      <c r="V66" s="956">
        <v>138</v>
      </c>
      <c r="W66" s="956">
        <v>116</v>
      </c>
      <c r="X66" s="956">
        <v>85</v>
      </c>
      <c r="Y66" s="956">
        <v>56</v>
      </c>
      <c r="Z66" s="956">
        <v>101</v>
      </c>
      <c r="AA66" s="956">
        <v>98</v>
      </c>
      <c r="AB66" s="956">
        <v>11</v>
      </c>
      <c r="AC66" s="956">
        <v>66</v>
      </c>
      <c r="AD66" s="956">
        <v>115</v>
      </c>
    </row>
    <row r="67" spans="2:30" ht="14.4" x14ac:dyDescent="0.25">
      <c r="B67" s="953" t="s">
        <v>98</v>
      </c>
      <c r="C67" s="954"/>
      <c r="D67" s="954"/>
      <c r="E67" s="954"/>
      <c r="F67" s="954"/>
      <c r="G67" s="955">
        <v>235</v>
      </c>
      <c r="H67" s="955">
        <v>205</v>
      </c>
      <c r="I67" s="955">
        <v>186</v>
      </c>
      <c r="J67" s="955">
        <v>218</v>
      </c>
      <c r="K67" s="955">
        <v>234</v>
      </c>
      <c r="L67" s="955">
        <v>148</v>
      </c>
      <c r="M67" s="955">
        <v>192</v>
      </c>
      <c r="N67" s="955">
        <v>99</v>
      </c>
      <c r="O67" s="955">
        <v>121</v>
      </c>
      <c r="P67" s="955">
        <v>134</v>
      </c>
      <c r="Q67" s="955">
        <v>151</v>
      </c>
      <c r="R67" s="956">
        <v>256</v>
      </c>
      <c r="S67" s="956">
        <v>261</v>
      </c>
      <c r="T67" s="956">
        <v>180</v>
      </c>
      <c r="U67" s="956">
        <v>139</v>
      </c>
      <c r="V67" s="956">
        <v>151</v>
      </c>
      <c r="W67" s="956">
        <v>101</v>
      </c>
      <c r="X67" s="956">
        <v>149</v>
      </c>
      <c r="Y67" s="956">
        <v>80</v>
      </c>
      <c r="Z67" s="956">
        <v>93</v>
      </c>
      <c r="AA67" s="956">
        <v>161</v>
      </c>
      <c r="AB67" s="956">
        <v>26</v>
      </c>
      <c r="AC67" s="956">
        <v>100</v>
      </c>
      <c r="AD67" s="956">
        <v>127</v>
      </c>
    </row>
    <row r="68" spans="2:30" ht="14.4" x14ac:dyDescent="0.25">
      <c r="B68" s="953" t="s">
        <v>99</v>
      </c>
      <c r="C68" s="954"/>
      <c r="D68" s="954"/>
      <c r="E68" s="954"/>
      <c r="F68" s="954"/>
      <c r="G68" s="955">
        <v>130</v>
      </c>
      <c r="H68" s="955">
        <v>134</v>
      </c>
      <c r="I68" s="955">
        <v>145</v>
      </c>
      <c r="J68" s="955">
        <v>122</v>
      </c>
      <c r="K68" s="955">
        <v>156</v>
      </c>
      <c r="L68" s="955">
        <v>153</v>
      </c>
      <c r="M68" s="955">
        <v>176</v>
      </c>
      <c r="N68" s="955">
        <v>117</v>
      </c>
      <c r="O68" s="955">
        <v>137</v>
      </c>
      <c r="P68" s="955">
        <v>144</v>
      </c>
      <c r="Q68" s="955">
        <v>193</v>
      </c>
      <c r="R68" s="956">
        <v>182</v>
      </c>
      <c r="S68" s="956">
        <v>180</v>
      </c>
      <c r="T68" s="956">
        <v>192</v>
      </c>
      <c r="U68" s="956">
        <v>201</v>
      </c>
      <c r="V68" s="956">
        <v>178</v>
      </c>
      <c r="W68" s="956">
        <v>154</v>
      </c>
      <c r="X68" s="956">
        <v>158</v>
      </c>
      <c r="Y68" s="956">
        <v>116</v>
      </c>
      <c r="Z68" s="956">
        <v>155</v>
      </c>
      <c r="AA68" s="956">
        <v>133</v>
      </c>
      <c r="AB68" s="956">
        <v>39</v>
      </c>
      <c r="AC68" s="956">
        <v>138</v>
      </c>
      <c r="AD68" s="956">
        <v>208</v>
      </c>
    </row>
    <row r="69" spans="2:30" ht="14.4" x14ac:dyDescent="0.25">
      <c r="B69" s="953" t="s">
        <v>100</v>
      </c>
      <c r="C69" s="954"/>
      <c r="D69" s="954"/>
      <c r="E69" s="954"/>
      <c r="F69" s="954"/>
      <c r="G69" s="955">
        <v>129</v>
      </c>
      <c r="H69" s="955">
        <v>141</v>
      </c>
      <c r="I69" s="955">
        <v>128</v>
      </c>
      <c r="J69" s="955">
        <v>124</v>
      </c>
      <c r="K69" s="955">
        <v>135</v>
      </c>
      <c r="L69" s="955">
        <v>164</v>
      </c>
      <c r="M69" s="955">
        <v>126</v>
      </c>
      <c r="N69" s="955">
        <v>129</v>
      </c>
      <c r="O69" s="955">
        <v>132</v>
      </c>
      <c r="P69" s="955">
        <v>105</v>
      </c>
      <c r="Q69" s="955">
        <v>167</v>
      </c>
      <c r="R69" s="956">
        <v>182</v>
      </c>
      <c r="S69" s="956">
        <v>205</v>
      </c>
      <c r="T69" s="956">
        <v>182</v>
      </c>
      <c r="U69" s="956">
        <v>149</v>
      </c>
      <c r="V69" s="956">
        <v>128</v>
      </c>
      <c r="W69" s="956">
        <v>116</v>
      </c>
      <c r="X69" s="956">
        <v>133</v>
      </c>
      <c r="Y69" s="956">
        <v>126</v>
      </c>
      <c r="Z69" s="956">
        <v>143</v>
      </c>
      <c r="AA69" s="956">
        <v>108</v>
      </c>
      <c r="AB69" s="956">
        <v>19</v>
      </c>
      <c r="AC69" s="956">
        <v>92</v>
      </c>
      <c r="AD69" s="956">
        <v>132</v>
      </c>
    </row>
    <row r="70" spans="2:30" ht="14.4" x14ac:dyDescent="0.25">
      <c r="B70" s="953" t="s">
        <v>101</v>
      </c>
      <c r="C70" s="954"/>
      <c r="D70" s="954"/>
      <c r="E70" s="954"/>
      <c r="F70" s="954"/>
      <c r="G70" s="955">
        <v>42</v>
      </c>
      <c r="H70" s="955">
        <v>58</v>
      </c>
      <c r="I70" s="955">
        <v>51</v>
      </c>
      <c r="J70" s="955">
        <v>60</v>
      </c>
      <c r="K70" s="955">
        <v>59</v>
      </c>
      <c r="L70" s="955">
        <v>56</v>
      </c>
      <c r="M70" s="955">
        <v>49</v>
      </c>
      <c r="N70" s="955">
        <v>33</v>
      </c>
      <c r="O70" s="955">
        <v>54</v>
      </c>
      <c r="P70" s="955">
        <v>38</v>
      </c>
      <c r="Q70" s="955">
        <v>41</v>
      </c>
      <c r="R70" s="956">
        <v>46</v>
      </c>
      <c r="S70" s="956">
        <v>59</v>
      </c>
      <c r="T70" s="956">
        <v>86</v>
      </c>
      <c r="U70" s="956">
        <v>94</v>
      </c>
      <c r="V70" s="956">
        <v>77</v>
      </c>
      <c r="W70" s="956">
        <v>80</v>
      </c>
      <c r="X70" s="956">
        <v>80</v>
      </c>
      <c r="Y70" s="956">
        <v>64</v>
      </c>
      <c r="Z70" s="956">
        <v>87</v>
      </c>
      <c r="AA70" s="956">
        <v>69</v>
      </c>
      <c r="AB70" s="956">
        <v>8</v>
      </c>
      <c r="AC70" s="956">
        <v>28</v>
      </c>
      <c r="AD70" s="956">
        <v>53</v>
      </c>
    </row>
    <row r="71" spans="2:30" ht="14.4" x14ac:dyDescent="0.25">
      <c r="B71" s="953" t="s">
        <v>102</v>
      </c>
      <c r="C71" s="954"/>
      <c r="D71" s="954"/>
      <c r="E71" s="954"/>
      <c r="F71" s="954"/>
      <c r="G71" s="955">
        <v>163</v>
      </c>
      <c r="H71" s="955">
        <v>139</v>
      </c>
      <c r="I71" s="955">
        <v>130</v>
      </c>
      <c r="J71" s="955">
        <v>146</v>
      </c>
      <c r="K71" s="955">
        <v>110</v>
      </c>
      <c r="L71" s="955">
        <v>99</v>
      </c>
      <c r="M71" s="955">
        <v>124</v>
      </c>
      <c r="N71" s="955">
        <v>96</v>
      </c>
      <c r="O71" s="955">
        <v>146</v>
      </c>
      <c r="P71" s="955">
        <v>132</v>
      </c>
      <c r="Q71" s="955">
        <v>151</v>
      </c>
      <c r="R71" s="956">
        <v>170</v>
      </c>
      <c r="S71" s="956">
        <v>163</v>
      </c>
      <c r="T71" s="956">
        <v>172</v>
      </c>
      <c r="U71" s="956">
        <v>169</v>
      </c>
      <c r="V71" s="956">
        <v>131</v>
      </c>
      <c r="W71" s="956">
        <v>154</v>
      </c>
      <c r="X71" s="956">
        <v>183</v>
      </c>
      <c r="Y71" s="956">
        <v>131</v>
      </c>
      <c r="Z71" s="956">
        <v>127</v>
      </c>
      <c r="AA71" s="956">
        <v>164</v>
      </c>
      <c r="AB71" s="956">
        <v>11</v>
      </c>
      <c r="AC71" s="956">
        <v>139</v>
      </c>
      <c r="AD71" s="956">
        <v>98</v>
      </c>
    </row>
    <row r="72" spans="2:30" ht="14.4" x14ac:dyDescent="0.25">
      <c r="B72" s="953" t="s">
        <v>103</v>
      </c>
      <c r="C72" s="954"/>
      <c r="D72" s="954"/>
      <c r="E72" s="954"/>
      <c r="F72" s="954"/>
      <c r="G72" s="955">
        <v>89</v>
      </c>
      <c r="H72" s="955">
        <v>69</v>
      </c>
      <c r="I72" s="955">
        <v>55</v>
      </c>
      <c r="J72" s="955">
        <v>95</v>
      </c>
      <c r="K72" s="955">
        <v>85</v>
      </c>
      <c r="L72" s="955">
        <v>89</v>
      </c>
      <c r="M72" s="955">
        <v>92</v>
      </c>
      <c r="N72" s="955">
        <v>92</v>
      </c>
      <c r="O72" s="955">
        <v>99</v>
      </c>
      <c r="P72" s="955">
        <v>99</v>
      </c>
      <c r="Q72" s="955">
        <v>126</v>
      </c>
      <c r="R72" s="956">
        <v>127</v>
      </c>
      <c r="S72" s="956">
        <v>125</v>
      </c>
      <c r="T72" s="956">
        <v>116</v>
      </c>
      <c r="U72" s="956">
        <v>106</v>
      </c>
      <c r="V72" s="956">
        <v>110</v>
      </c>
      <c r="W72" s="956">
        <v>72</v>
      </c>
      <c r="X72" s="956">
        <v>111</v>
      </c>
      <c r="Y72" s="956">
        <v>75</v>
      </c>
      <c r="Z72" s="956">
        <v>106</v>
      </c>
      <c r="AA72" s="956">
        <v>99</v>
      </c>
      <c r="AB72" s="956">
        <v>12</v>
      </c>
      <c r="AC72" s="956">
        <v>70</v>
      </c>
      <c r="AD72" s="956">
        <v>119</v>
      </c>
    </row>
    <row r="73" spans="2:30" ht="14.4" x14ac:dyDescent="0.25">
      <c r="B73" s="957" t="s">
        <v>92</v>
      </c>
      <c r="C73" s="958"/>
      <c r="D73" s="958"/>
      <c r="E73" s="958"/>
      <c r="F73" s="958"/>
      <c r="G73" s="959">
        <f t="shared" ref="G73:V73" si="23">SUM(G65:G72)</f>
        <v>895</v>
      </c>
      <c r="H73" s="959">
        <f t="shared" si="23"/>
        <v>889</v>
      </c>
      <c r="I73" s="959">
        <f t="shared" si="23"/>
        <v>853</v>
      </c>
      <c r="J73" s="959">
        <f t="shared" si="23"/>
        <v>994</v>
      </c>
      <c r="K73" s="959">
        <f t="shared" si="23"/>
        <v>948</v>
      </c>
      <c r="L73" s="959">
        <f t="shared" si="23"/>
        <v>879</v>
      </c>
      <c r="M73" s="959">
        <f t="shared" si="23"/>
        <v>968</v>
      </c>
      <c r="N73" s="959">
        <f t="shared" si="23"/>
        <v>695</v>
      </c>
      <c r="O73" s="959">
        <f t="shared" si="23"/>
        <v>843</v>
      </c>
      <c r="P73" s="959">
        <f t="shared" si="23"/>
        <v>808</v>
      </c>
      <c r="Q73" s="959">
        <f t="shared" si="23"/>
        <v>987</v>
      </c>
      <c r="R73" s="959">
        <f t="shared" si="23"/>
        <v>1216</v>
      </c>
      <c r="S73" s="959">
        <f t="shared" si="23"/>
        <v>1228</v>
      </c>
      <c r="T73" s="959">
        <f t="shared" si="23"/>
        <v>1144</v>
      </c>
      <c r="U73" s="959">
        <f t="shared" si="23"/>
        <v>1109</v>
      </c>
      <c r="V73" s="959">
        <f t="shared" si="23"/>
        <v>1031</v>
      </c>
      <c r="W73" s="959">
        <v>944</v>
      </c>
      <c r="X73" s="959">
        <f t="shared" ref="X73:AC73" si="24">SUM(X65:X72)</f>
        <v>1023</v>
      </c>
      <c r="Y73" s="959">
        <f t="shared" si="24"/>
        <v>734</v>
      </c>
      <c r="Z73" s="959">
        <f t="shared" si="24"/>
        <v>917</v>
      </c>
      <c r="AA73" s="959">
        <f t="shared" si="24"/>
        <v>941</v>
      </c>
      <c r="AB73" s="959">
        <f t="shared" si="24"/>
        <v>148</v>
      </c>
      <c r="AC73" s="959">
        <f t="shared" si="24"/>
        <v>702</v>
      </c>
      <c r="AD73" s="959">
        <f t="shared" ref="AD73" si="25">SUM(AD65:AD72)</f>
        <v>967</v>
      </c>
    </row>
    <row r="74" spans="2:30" ht="14.4" x14ac:dyDescent="0.25">
      <c r="B74" s="953" t="s">
        <v>65</v>
      </c>
      <c r="C74" s="954"/>
      <c r="D74" s="954"/>
      <c r="E74" s="954"/>
      <c r="F74" s="954"/>
      <c r="G74" s="955">
        <v>116</v>
      </c>
      <c r="H74" s="955">
        <v>84</v>
      </c>
      <c r="I74" s="955">
        <v>112</v>
      </c>
      <c r="J74" s="955">
        <v>146</v>
      </c>
      <c r="K74" s="955">
        <v>110</v>
      </c>
      <c r="L74" s="955">
        <v>111</v>
      </c>
      <c r="M74" s="955">
        <v>104</v>
      </c>
      <c r="N74" s="955">
        <v>113</v>
      </c>
      <c r="O74" s="955">
        <v>134</v>
      </c>
      <c r="P74" s="955">
        <v>103</v>
      </c>
      <c r="Q74" s="955">
        <v>168</v>
      </c>
      <c r="R74" s="956">
        <v>209</v>
      </c>
      <c r="S74" s="956">
        <v>175</v>
      </c>
      <c r="T74" s="956">
        <v>158</v>
      </c>
      <c r="U74" s="956">
        <v>155</v>
      </c>
      <c r="V74" s="956">
        <v>182</v>
      </c>
      <c r="W74" s="956">
        <v>178</v>
      </c>
      <c r="X74" s="956">
        <v>190</v>
      </c>
      <c r="Y74" s="956">
        <v>125</v>
      </c>
      <c r="Z74" s="956">
        <v>167</v>
      </c>
      <c r="AA74" s="956">
        <v>141</v>
      </c>
      <c r="AB74" s="956">
        <v>39</v>
      </c>
      <c r="AC74" s="956">
        <v>137</v>
      </c>
      <c r="AD74" s="956">
        <v>202</v>
      </c>
    </row>
    <row r="75" spans="2:30" ht="14.4" x14ac:dyDescent="0.25">
      <c r="B75" s="953" t="s">
        <v>184</v>
      </c>
      <c r="C75" s="954"/>
      <c r="D75" s="954"/>
      <c r="E75" s="954"/>
      <c r="F75" s="954"/>
      <c r="G75" s="955">
        <v>66</v>
      </c>
      <c r="H75" s="955">
        <v>70</v>
      </c>
      <c r="I75" s="955">
        <v>89</v>
      </c>
      <c r="J75" s="955">
        <v>107</v>
      </c>
      <c r="K75" s="955">
        <v>100</v>
      </c>
      <c r="L75" s="955">
        <v>70</v>
      </c>
      <c r="M75" s="955">
        <v>83</v>
      </c>
      <c r="N75" s="955">
        <v>86</v>
      </c>
      <c r="O75" s="955">
        <v>83</v>
      </c>
      <c r="P75" s="955">
        <v>84</v>
      </c>
      <c r="Q75" s="955">
        <v>98</v>
      </c>
      <c r="R75" s="956">
        <v>79</v>
      </c>
      <c r="S75" s="956">
        <v>70</v>
      </c>
      <c r="T75" s="956">
        <v>79</v>
      </c>
      <c r="U75" s="956">
        <v>67</v>
      </c>
      <c r="V75" s="956">
        <v>70</v>
      </c>
      <c r="W75" s="956">
        <v>79</v>
      </c>
      <c r="X75" s="956">
        <v>88</v>
      </c>
      <c r="Y75" s="956">
        <v>65</v>
      </c>
      <c r="Z75" s="956">
        <v>104</v>
      </c>
      <c r="AA75" s="956">
        <v>95</v>
      </c>
      <c r="AB75" s="956">
        <v>18</v>
      </c>
      <c r="AC75" s="956">
        <v>72</v>
      </c>
      <c r="AD75" s="956">
        <v>92</v>
      </c>
    </row>
    <row r="76" spans="2:30" ht="14.4" x14ac:dyDescent="0.25">
      <c r="B76" s="953" t="s">
        <v>67</v>
      </c>
      <c r="C76" s="954"/>
      <c r="D76" s="954"/>
      <c r="E76" s="954"/>
      <c r="F76" s="954"/>
      <c r="G76" s="955">
        <v>49</v>
      </c>
      <c r="H76" s="955">
        <v>43</v>
      </c>
      <c r="I76" s="955">
        <v>82</v>
      </c>
      <c r="J76" s="955">
        <v>84</v>
      </c>
      <c r="K76" s="955">
        <v>101</v>
      </c>
      <c r="L76" s="955">
        <v>75</v>
      </c>
      <c r="M76" s="955">
        <v>55</v>
      </c>
      <c r="N76" s="955">
        <v>74</v>
      </c>
      <c r="O76" s="955">
        <v>49</v>
      </c>
      <c r="P76" s="955">
        <v>53</v>
      </c>
      <c r="Q76" s="955">
        <v>53</v>
      </c>
      <c r="R76" s="956">
        <v>48</v>
      </c>
      <c r="S76" s="956">
        <v>48</v>
      </c>
      <c r="T76" s="956">
        <v>58</v>
      </c>
      <c r="U76" s="956">
        <v>52</v>
      </c>
      <c r="V76" s="956">
        <v>56</v>
      </c>
      <c r="W76" s="956">
        <v>49</v>
      </c>
      <c r="X76" s="956">
        <v>82</v>
      </c>
      <c r="Y76" s="956">
        <v>63</v>
      </c>
      <c r="Z76" s="956">
        <v>77</v>
      </c>
      <c r="AA76" s="956">
        <v>89</v>
      </c>
      <c r="AB76" s="956">
        <v>25</v>
      </c>
      <c r="AC76" s="956">
        <v>65</v>
      </c>
      <c r="AD76" s="956">
        <v>54</v>
      </c>
    </row>
    <row r="77" spans="2:30" ht="14.4" x14ac:dyDescent="0.25">
      <c r="B77" s="953" t="s">
        <v>104</v>
      </c>
      <c r="C77" s="954"/>
      <c r="D77" s="954"/>
      <c r="E77" s="954"/>
      <c r="F77" s="954"/>
      <c r="G77" s="955">
        <v>27</v>
      </c>
      <c r="H77" s="955">
        <v>39</v>
      </c>
      <c r="I77" s="955">
        <v>44</v>
      </c>
      <c r="J77" s="955">
        <v>37</v>
      </c>
      <c r="K77" s="955">
        <v>37</v>
      </c>
      <c r="L77" s="955">
        <v>29</v>
      </c>
      <c r="M77" s="955">
        <v>26</v>
      </c>
      <c r="N77" s="955">
        <v>27</v>
      </c>
      <c r="O77" s="955">
        <v>26</v>
      </c>
      <c r="P77" s="955">
        <v>20</v>
      </c>
      <c r="Q77" s="955">
        <v>50</v>
      </c>
      <c r="R77" s="956">
        <v>44</v>
      </c>
      <c r="S77" s="956">
        <v>51</v>
      </c>
      <c r="T77" s="956">
        <v>50</v>
      </c>
      <c r="U77" s="956">
        <v>45</v>
      </c>
      <c r="V77" s="956">
        <v>68</v>
      </c>
      <c r="W77" s="956">
        <v>43</v>
      </c>
      <c r="X77" s="956">
        <v>71</v>
      </c>
      <c r="Y77" s="956">
        <v>42</v>
      </c>
      <c r="Z77" s="956">
        <v>58</v>
      </c>
      <c r="AA77" s="956">
        <v>49</v>
      </c>
      <c r="AB77" s="956">
        <v>4</v>
      </c>
      <c r="AC77" s="956">
        <v>67</v>
      </c>
      <c r="AD77" s="956">
        <v>55</v>
      </c>
    </row>
    <row r="78" spans="2:30" ht="14.4" x14ac:dyDescent="0.25">
      <c r="B78" s="957" t="s">
        <v>68</v>
      </c>
      <c r="C78" s="958"/>
      <c r="D78" s="958"/>
      <c r="E78" s="958"/>
      <c r="F78" s="958"/>
      <c r="G78" s="959">
        <f t="shared" ref="G78:V78" si="26">SUM(G74:G77)</f>
        <v>258</v>
      </c>
      <c r="H78" s="959">
        <f t="shared" si="26"/>
        <v>236</v>
      </c>
      <c r="I78" s="959">
        <f t="shared" si="26"/>
        <v>327</v>
      </c>
      <c r="J78" s="959">
        <f t="shared" si="26"/>
        <v>374</v>
      </c>
      <c r="K78" s="959">
        <f t="shared" si="26"/>
        <v>348</v>
      </c>
      <c r="L78" s="959">
        <f t="shared" si="26"/>
        <v>285</v>
      </c>
      <c r="M78" s="959">
        <f t="shared" si="26"/>
        <v>268</v>
      </c>
      <c r="N78" s="959">
        <f t="shared" si="26"/>
        <v>300</v>
      </c>
      <c r="O78" s="959">
        <f t="shared" si="26"/>
        <v>292</v>
      </c>
      <c r="P78" s="959">
        <f t="shared" si="26"/>
        <v>260</v>
      </c>
      <c r="Q78" s="959">
        <f t="shared" si="26"/>
        <v>369</v>
      </c>
      <c r="R78" s="959">
        <f t="shared" si="26"/>
        <v>380</v>
      </c>
      <c r="S78" s="959">
        <f t="shared" si="26"/>
        <v>344</v>
      </c>
      <c r="T78" s="959">
        <f t="shared" si="26"/>
        <v>345</v>
      </c>
      <c r="U78" s="959">
        <f t="shared" si="26"/>
        <v>319</v>
      </c>
      <c r="V78" s="959">
        <f t="shared" si="26"/>
        <v>376</v>
      </c>
      <c r="W78" s="959">
        <v>349</v>
      </c>
      <c r="X78" s="959">
        <f t="shared" ref="X78:AC78" si="27">SUM(X74:X77)</f>
        <v>431</v>
      </c>
      <c r="Y78" s="959">
        <f t="shared" si="27"/>
        <v>295</v>
      </c>
      <c r="Z78" s="959">
        <f t="shared" si="27"/>
        <v>406</v>
      </c>
      <c r="AA78" s="959">
        <f t="shared" si="27"/>
        <v>374</v>
      </c>
      <c r="AB78" s="959">
        <f t="shared" si="27"/>
        <v>86</v>
      </c>
      <c r="AC78" s="959">
        <f t="shared" si="27"/>
        <v>341</v>
      </c>
      <c r="AD78" s="959">
        <f t="shared" ref="AD78" si="28">SUM(AD74:AD77)</f>
        <v>403</v>
      </c>
    </row>
    <row r="79" spans="2:30" ht="14.4" x14ac:dyDescent="0.25">
      <c r="B79" s="971" t="s">
        <v>105</v>
      </c>
      <c r="C79" s="972"/>
      <c r="D79" s="972"/>
      <c r="E79" s="972"/>
      <c r="F79" s="972"/>
      <c r="G79" s="973">
        <f t="shared" ref="G79:AB79" si="29">SUM(G78,G73,G64)</f>
        <v>1832</v>
      </c>
      <c r="H79" s="973">
        <f t="shared" si="29"/>
        <v>1744</v>
      </c>
      <c r="I79" s="973">
        <f t="shared" si="29"/>
        <v>1894</v>
      </c>
      <c r="J79" s="973">
        <f t="shared" si="29"/>
        <v>2117</v>
      </c>
      <c r="K79" s="973">
        <f t="shared" si="29"/>
        <v>2100</v>
      </c>
      <c r="L79" s="973">
        <f t="shared" si="29"/>
        <v>1943</v>
      </c>
      <c r="M79" s="973">
        <f t="shared" si="29"/>
        <v>1915</v>
      </c>
      <c r="N79" s="973">
        <f t="shared" si="29"/>
        <v>1667</v>
      </c>
      <c r="O79" s="973">
        <f t="shared" si="29"/>
        <v>1851</v>
      </c>
      <c r="P79" s="973">
        <f t="shared" si="29"/>
        <v>1687</v>
      </c>
      <c r="Q79" s="973">
        <f t="shared" si="29"/>
        <v>2167</v>
      </c>
      <c r="R79" s="973">
        <f t="shared" si="29"/>
        <v>2431</v>
      </c>
      <c r="S79" s="973">
        <f t="shared" si="29"/>
        <v>2420</v>
      </c>
      <c r="T79" s="973">
        <f t="shared" si="29"/>
        <v>2229</v>
      </c>
      <c r="U79" s="973">
        <f t="shared" si="29"/>
        <v>2093</v>
      </c>
      <c r="V79" s="973">
        <f t="shared" si="29"/>
        <v>2157</v>
      </c>
      <c r="W79" s="973">
        <f t="shared" si="29"/>
        <v>1948</v>
      </c>
      <c r="X79" s="973">
        <f t="shared" si="29"/>
        <v>2182</v>
      </c>
      <c r="Y79" s="973">
        <f t="shared" si="29"/>
        <v>1505</v>
      </c>
      <c r="Z79" s="973">
        <f t="shared" si="29"/>
        <v>1975</v>
      </c>
      <c r="AA79" s="973">
        <f t="shared" si="29"/>
        <v>1895</v>
      </c>
      <c r="AB79" s="973">
        <f t="shared" si="29"/>
        <v>390</v>
      </c>
      <c r="AC79" s="973">
        <f t="shared" ref="AC79:AD79" si="30">SUM(AC78,AC73,AC64)</f>
        <v>1700</v>
      </c>
      <c r="AD79" s="973">
        <f t="shared" si="30"/>
        <v>2189</v>
      </c>
    </row>
    <row r="80" spans="2:30" ht="14.4" x14ac:dyDescent="0.25">
      <c r="B80" s="963" t="s">
        <v>60</v>
      </c>
      <c r="C80" s="964"/>
      <c r="D80" s="964"/>
      <c r="E80" s="964"/>
      <c r="F80" s="965"/>
      <c r="G80" s="965"/>
      <c r="H80" s="965"/>
      <c r="I80" s="965"/>
      <c r="J80" s="965"/>
      <c r="K80" s="965"/>
      <c r="L80" s="965"/>
      <c r="M80" s="965"/>
      <c r="N80" s="965"/>
      <c r="O80" s="965"/>
      <c r="P80" s="965"/>
      <c r="Q80" s="965"/>
      <c r="R80" s="965">
        <v>7</v>
      </c>
      <c r="S80" s="965">
        <v>48</v>
      </c>
      <c r="T80" s="965">
        <v>25</v>
      </c>
      <c r="U80" s="965">
        <v>25</v>
      </c>
      <c r="V80" s="965">
        <v>23</v>
      </c>
      <c r="W80" s="965">
        <v>21</v>
      </c>
      <c r="X80" s="965">
        <v>26</v>
      </c>
      <c r="Y80" s="965">
        <v>14</v>
      </c>
      <c r="Z80" s="965">
        <v>24</v>
      </c>
      <c r="AA80" s="965">
        <v>11</v>
      </c>
      <c r="AB80" s="965">
        <v>12</v>
      </c>
      <c r="AC80" s="965">
        <v>37</v>
      </c>
      <c r="AD80" s="965">
        <v>42</v>
      </c>
    </row>
    <row r="81" spans="2:30" ht="14.4" x14ac:dyDescent="0.25">
      <c r="B81" s="953" t="s">
        <v>61</v>
      </c>
      <c r="C81" s="954"/>
      <c r="D81" s="954"/>
      <c r="E81" s="954"/>
      <c r="F81" s="955"/>
      <c r="G81" s="955"/>
      <c r="H81" s="955"/>
      <c r="I81" s="955"/>
      <c r="J81" s="955"/>
      <c r="K81" s="955"/>
      <c r="L81" s="955"/>
      <c r="M81" s="955"/>
      <c r="N81" s="955"/>
      <c r="O81" s="955"/>
      <c r="P81" s="955"/>
      <c r="Q81" s="955"/>
      <c r="R81" s="955">
        <v>3</v>
      </c>
      <c r="S81" s="955">
        <v>2</v>
      </c>
      <c r="T81" s="955"/>
      <c r="U81" s="955">
        <v>1</v>
      </c>
      <c r="V81" s="955"/>
      <c r="W81" s="955">
        <v>1</v>
      </c>
      <c r="X81" s="955"/>
      <c r="Y81" s="955"/>
      <c r="Z81" s="955"/>
      <c r="AA81" s="955"/>
      <c r="AB81" s="955">
        <v>6</v>
      </c>
      <c r="AC81" s="955">
        <v>23</v>
      </c>
      <c r="AD81" s="955">
        <v>21</v>
      </c>
    </row>
    <row r="82" spans="2:30" ht="14.4" x14ac:dyDescent="0.25">
      <c r="B82" s="953" t="s">
        <v>106</v>
      </c>
      <c r="C82" s="954"/>
      <c r="D82" s="954"/>
      <c r="E82" s="954"/>
      <c r="F82" s="955"/>
      <c r="G82" s="955"/>
      <c r="H82" s="955"/>
      <c r="I82" s="955"/>
      <c r="J82" s="955"/>
      <c r="K82" s="955"/>
      <c r="L82" s="955"/>
      <c r="M82" s="955"/>
      <c r="N82" s="955"/>
      <c r="O82" s="955"/>
      <c r="P82" s="955"/>
      <c r="Q82" s="955"/>
      <c r="R82" s="955"/>
      <c r="S82" s="955">
        <v>1</v>
      </c>
      <c r="T82" s="955">
        <v>12</v>
      </c>
      <c r="U82" s="955">
        <v>3</v>
      </c>
      <c r="V82" s="955">
        <v>4</v>
      </c>
      <c r="W82" s="955">
        <v>6</v>
      </c>
      <c r="X82" s="955">
        <v>3</v>
      </c>
      <c r="Y82" s="955">
        <v>2</v>
      </c>
      <c r="Z82" s="955">
        <v>7</v>
      </c>
      <c r="AA82" s="955">
        <v>7</v>
      </c>
      <c r="AB82" s="955">
        <v>4</v>
      </c>
      <c r="AC82" s="955">
        <v>42</v>
      </c>
      <c r="AD82" s="955">
        <v>27</v>
      </c>
    </row>
    <row r="83" spans="2:30" ht="14.4" x14ac:dyDescent="0.25">
      <c r="B83" s="953" t="s">
        <v>107</v>
      </c>
      <c r="C83" s="954"/>
      <c r="D83" s="954"/>
      <c r="E83" s="954"/>
      <c r="F83" s="955"/>
      <c r="G83" s="955"/>
      <c r="H83" s="955"/>
      <c r="I83" s="955"/>
      <c r="J83" s="955"/>
      <c r="K83" s="955"/>
      <c r="L83" s="955"/>
      <c r="M83" s="955"/>
      <c r="N83" s="955"/>
      <c r="O83" s="955"/>
      <c r="P83" s="955"/>
      <c r="Q83" s="955"/>
      <c r="R83" s="955"/>
      <c r="S83" s="955"/>
      <c r="T83" s="955">
        <v>2</v>
      </c>
      <c r="U83" s="955">
        <v>7</v>
      </c>
      <c r="V83" s="955">
        <v>6</v>
      </c>
      <c r="W83" s="955">
        <v>5</v>
      </c>
      <c r="X83" s="955">
        <v>4</v>
      </c>
      <c r="Y83" s="955">
        <v>5</v>
      </c>
      <c r="Z83" s="955">
        <v>12</v>
      </c>
      <c r="AA83" s="955">
        <v>8</v>
      </c>
      <c r="AB83" s="955">
        <v>4</v>
      </c>
      <c r="AC83" s="955">
        <v>15</v>
      </c>
      <c r="AD83" s="955">
        <v>22</v>
      </c>
    </row>
    <row r="84" spans="2:30" ht="14.4" x14ac:dyDescent="0.25">
      <c r="B84" s="957" t="s">
        <v>64</v>
      </c>
      <c r="C84" s="958"/>
      <c r="D84" s="958"/>
      <c r="E84" s="958"/>
      <c r="F84" s="958"/>
      <c r="G84" s="959"/>
      <c r="H84" s="959"/>
      <c r="I84" s="959"/>
      <c r="J84" s="959"/>
      <c r="K84" s="959"/>
      <c r="L84" s="959"/>
      <c r="M84" s="959"/>
      <c r="N84" s="959"/>
      <c r="O84" s="959"/>
      <c r="P84" s="959"/>
      <c r="Q84" s="959"/>
      <c r="R84" s="959">
        <f>SUM(R80:R83)</f>
        <v>10</v>
      </c>
      <c r="S84" s="959">
        <f>SUM(S80:S83)</f>
        <v>51</v>
      </c>
      <c r="T84" s="959">
        <f>SUM(T80:T83)</f>
        <v>39</v>
      </c>
      <c r="U84" s="959">
        <f>SUM(U80:U83)</f>
        <v>36</v>
      </c>
      <c r="V84" s="959">
        <f>SUM(V80:V83)</f>
        <v>33</v>
      </c>
      <c r="W84" s="959">
        <v>33</v>
      </c>
      <c r="X84" s="959">
        <f t="shared" ref="X84:AC84" si="31">SUM(X80:X83)</f>
        <v>33</v>
      </c>
      <c r="Y84" s="959">
        <f t="shared" si="31"/>
        <v>21</v>
      </c>
      <c r="Z84" s="959">
        <f t="shared" si="31"/>
        <v>43</v>
      </c>
      <c r="AA84" s="959">
        <f t="shared" si="31"/>
        <v>26</v>
      </c>
      <c r="AB84" s="959">
        <f t="shared" si="31"/>
        <v>26</v>
      </c>
      <c r="AC84" s="959">
        <f t="shared" si="31"/>
        <v>117</v>
      </c>
      <c r="AD84" s="959">
        <f t="shared" ref="AD84" si="32">SUM(AD80:AD83)</f>
        <v>112</v>
      </c>
    </row>
    <row r="85" spans="2:30" ht="14.4" x14ac:dyDescent="0.25">
      <c r="B85" s="953" t="s">
        <v>108</v>
      </c>
      <c r="C85" s="954"/>
      <c r="D85" s="954"/>
      <c r="E85" s="954"/>
      <c r="F85" s="954"/>
      <c r="G85" s="955"/>
      <c r="H85" s="955"/>
      <c r="I85" s="955"/>
      <c r="J85" s="955"/>
      <c r="K85" s="955"/>
      <c r="L85" s="955"/>
      <c r="M85" s="955"/>
      <c r="N85" s="955"/>
      <c r="O85" s="955"/>
      <c r="P85" s="955"/>
      <c r="Q85" s="955"/>
      <c r="R85" s="974">
        <v>3</v>
      </c>
      <c r="S85" s="955">
        <v>7</v>
      </c>
      <c r="T85" s="955">
        <v>17</v>
      </c>
      <c r="U85" s="955">
        <v>13</v>
      </c>
      <c r="V85" s="955">
        <v>16</v>
      </c>
      <c r="W85" s="955">
        <v>8</v>
      </c>
      <c r="X85" s="955">
        <v>16</v>
      </c>
      <c r="Y85" s="955">
        <v>8</v>
      </c>
      <c r="Z85" s="955">
        <v>17</v>
      </c>
      <c r="AA85" s="955">
        <v>19</v>
      </c>
      <c r="AB85" s="955">
        <v>3</v>
      </c>
      <c r="AC85" s="955">
        <v>22</v>
      </c>
      <c r="AD85" s="955">
        <v>36</v>
      </c>
    </row>
    <row r="86" spans="2:30" ht="14.4" x14ac:dyDescent="0.25">
      <c r="B86" s="953" t="s">
        <v>109</v>
      </c>
      <c r="C86" s="954"/>
      <c r="D86" s="954"/>
      <c r="E86" s="954"/>
      <c r="F86" s="954"/>
      <c r="G86" s="955"/>
      <c r="H86" s="955"/>
      <c r="I86" s="955"/>
      <c r="J86" s="955"/>
      <c r="K86" s="955"/>
      <c r="L86" s="955"/>
      <c r="M86" s="955"/>
      <c r="N86" s="955"/>
      <c r="O86" s="955"/>
      <c r="P86" s="955"/>
      <c r="Q86" s="955"/>
      <c r="R86" s="974"/>
      <c r="S86" s="955"/>
      <c r="T86" s="955">
        <v>2</v>
      </c>
      <c r="U86" s="955">
        <v>2</v>
      </c>
      <c r="V86" s="955">
        <v>1</v>
      </c>
      <c r="W86" s="955">
        <v>6</v>
      </c>
      <c r="X86" s="955">
        <v>5</v>
      </c>
      <c r="Y86" s="955">
        <v>3</v>
      </c>
      <c r="Z86" s="955">
        <v>6</v>
      </c>
      <c r="AA86" s="955">
        <v>6</v>
      </c>
      <c r="AB86" s="955">
        <v>1</v>
      </c>
      <c r="AC86" s="955">
        <v>9</v>
      </c>
      <c r="AD86" s="955">
        <v>19</v>
      </c>
    </row>
    <row r="87" spans="2:30" ht="14.4" x14ac:dyDescent="0.25">
      <c r="B87" s="953" t="s">
        <v>110</v>
      </c>
      <c r="C87" s="954"/>
      <c r="D87" s="954"/>
      <c r="E87" s="954"/>
      <c r="F87" s="955"/>
      <c r="G87" s="955"/>
      <c r="H87" s="955"/>
      <c r="I87" s="955"/>
      <c r="J87" s="955"/>
      <c r="K87" s="955"/>
      <c r="L87" s="955"/>
      <c r="M87" s="955"/>
      <c r="N87" s="955"/>
      <c r="O87" s="955"/>
      <c r="P87" s="955"/>
      <c r="Q87" s="955"/>
      <c r="R87" s="955"/>
      <c r="S87" s="955"/>
      <c r="T87" s="955">
        <v>12</v>
      </c>
      <c r="U87" s="955">
        <v>22</v>
      </c>
      <c r="V87" s="955">
        <v>13</v>
      </c>
      <c r="W87" s="955">
        <v>21</v>
      </c>
      <c r="X87" s="955">
        <v>13</v>
      </c>
      <c r="Y87" s="955">
        <v>21</v>
      </c>
      <c r="Z87" s="955">
        <v>25</v>
      </c>
      <c r="AA87" s="955">
        <v>14</v>
      </c>
      <c r="AB87" s="955">
        <v>9</v>
      </c>
      <c r="AC87" s="955">
        <v>53</v>
      </c>
      <c r="AD87" s="955">
        <v>57</v>
      </c>
    </row>
    <row r="88" spans="2:30" ht="14.4" x14ac:dyDescent="0.25">
      <c r="B88" s="957" t="s">
        <v>111</v>
      </c>
      <c r="C88" s="958"/>
      <c r="D88" s="958"/>
      <c r="E88" s="958"/>
      <c r="F88" s="958"/>
      <c r="G88" s="959"/>
      <c r="H88" s="959"/>
      <c r="I88" s="959"/>
      <c r="J88" s="959"/>
      <c r="K88" s="959"/>
      <c r="L88" s="959"/>
      <c r="M88" s="959"/>
      <c r="N88" s="959"/>
      <c r="O88" s="959"/>
      <c r="P88" s="959"/>
      <c r="Q88" s="959"/>
      <c r="R88" s="959">
        <f>SUM(R85:R87)</f>
        <v>3</v>
      </c>
      <c r="S88" s="959">
        <f>SUM(S85:S87)</f>
        <v>7</v>
      </c>
      <c r="T88" s="959">
        <f>SUM(T85:T87)</f>
        <v>31</v>
      </c>
      <c r="U88" s="959">
        <f>SUM(U85:U87)</f>
        <v>37</v>
      </c>
      <c r="V88" s="959">
        <f>SUM(V85:V87)</f>
        <v>30</v>
      </c>
      <c r="W88" s="959">
        <v>35</v>
      </c>
      <c r="X88" s="959">
        <f t="shared" ref="X88:AC88" si="33">SUM(X85:X87)</f>
        <v>34</v>
      </c>
      <c r="Y88" s="959">
        <f t="shared" si="33"/>
        <v>32</v>
      </c>
      <c r="Z88" s="959">
        <f t="shared" si="33"/>
        <v>48</v>
      </c>
      <c r="AA88" s="959">
        <f t="shared" si="33"/>
        <v>39</v>
      </c>
      <c r="AB88" s="959">
        <f t="shared" si="33"/>
        <v>13</v>
      </c>
      <c r="AC88" s="959">
        <f t="shared" si="33"/>
        <v>84</v>
      </c>
      <c r="AD88" s="959">
        <f t="shared" ref="AD88" si="34">SUM(AD85:AD87)</f>
        <v>112</v>
      </c>
    </row>
    <row r="89" spans="2:30" ht="14.4" x14ac:dyDescent="0.25">
      <c r="B89" s="953" t="s">
        <v>58</v>
      </c>
      <c r="C89" s="954"/>
      <c r="D89" s="954"/>
      <c r="E89" s="954"/>
      <c r="F89" s="954"/>
      <c r="G89" s="955"/>
      <c r="H89" s="955"/>
      <c r="I89" s="955"/>
      <c r="J89" s="955"/>
      <c r="K89" s="955"/>
      <c r="L89" s="955"/>
      <c r="M89" s="955"/>
      <c r="N89" s="955"/>
      <c r="O89" s="955"/>
      <c r="P89" s="955"/>
      <c r="Q89" s="955"/>
      <c r="R89" s="974">
        <v>5</v>
      </c>
      <c r="S89" s="955">
        <v>8</v>
      </c>
      <c r="T89" s="955">
        <v>5</v>
      </c>
      <c r="U89" s="955">
        <v>12</v>
      </c>
      <c r="V89" s="955">
        <v>9</v>
      </c>
      <c r="W89" s="955">
        <v>8</v>
      </c>
      <c r="X89" s="955">
        <v>10</v>
      </c>
      <c r="Y89" s="955">
        <v>6</v>
      </c>
      <c r="Z89" s="955">
        <v>7</v>
      </c>
      <c r="AA89" s="955">
        <v>19</v>
      </c>
      <c r="AB89" s="955">
        <v>1</v>
      </c>
      <c r="AC89" s="955">
        <v>14</v>
      </c>
      <c r="AD89" s="955">
        <v>20</v>
      </c>
    </row>
    <row r="90" spans="2:30" ht="14.4" x14ac:dyDescent="0.25">
      <c r="B90" s="953" t="s">
        <v>112</v>
      </c>
      <c r="C90" s="954"/>
      <c r="D90" s="954"/>
      <c r="E90" s="954"/>
      <c r="F90" s="955"/>
      <c r="G90" s="955"/>
      <c r="H90" s="955"/>
      <c r="I90" s="955"/>
      <c r="J90" s="955"/>
      <c r="K90" s="955"/>
      <c r="L90" s="955"/>
      <c r="M90" s="955"/>
      <c r="N90" s="955"/>
      <c r="O90" s="955"/>
      <c r="P90" s="955"/>
      <c r="Q90" s="955"/>
      <c r="R90" s="955"/>
      <c r="S90" s="955">
        <v>1</v>
      </c>
      <c r="T90" s="955">
        <v>1</v>
      </c>
      <c r="U90" s="955">
        <v>6</v>
      </c>
      <c r="V90" s="955">
        <v>1</v>
      </c>
      <c r="W90" s="955">
        <v>2</v>
      </c>
      <c r="X90" s="955">
        <v>4</v>
      </c>
      <c r="Y90" s="955">
        <v>4</v>
      </c>
      <c r="Z90" s="955">
        <v>5</v>
      </c>
      <c r="AA90" s="955">
        <v>11</v>
      </c>
      <c r="AB90" s="955">
        <v>1</v>
      </c>
      <c r="AC90" s="955">
        <v>7</v>
      </c>
      <c r="AD90" s="955">
        <v>24</v>
      </c>
    </row>
    <row r="91" spans="2:30" ht="14.4" x14ac:dyDescent="0.25">
      <c r="B91" s="953" t="s">
        <v>113</v>
      </c>
      <c r="C91" s="954"/>
      <c r="D91" s="954"/>
      <c r="E91" s="954"/>
      <c r="F91" s="955"/>
      <c r="G91" s="955"/>
      <c r="H91" s="955"/>
      <c r="I91" s="955"/>
      <c r="J91" s="955"/>
      <c r="K91" s="955"/>
      <c r="L91" s="955"/>
      <c r="M91" s="955"/>
      <c r="N91" s="955"/>
      <c r="O91" s="955"/>
      <c r="P91" s="955"/>
      <c r="Q91" s="955"/>
      <c r="R91" s="955"/>
      <c r="S91" s="955"/>
      <c r="T91" s="955"/>
      <c r="U91" s="955">
        <v>1</v>
      </c>
      <c r="V91" s="955">
        <v>8</v>
      </c>
      <c r="W91" s="955">
        <v>3</v>
      </c>
      <c r="X91" s="955">
        <v>7</v>
      </c>
      <c r="Y91" s="955">
        <v>8</v>
      </c>
      <c r="Z91" s="955">
        <v>5</v>
      </c>
      <c r="AA91" s="955">
        <v>14</v>
      </c>
      <c r="AB91" s="955">
        <v>2</v>
      </c>
      <c r="AC91" s="955">
        <v>25</v>
      </c>
      <c r="AD91" s="955">
        <v>23</v>
      </c>
    </row>
    <row r="92" spans="2:30" ht="14.4" x14ac:dyDescent="0.25">
      <c r="B92" s="953" t="s">
        <v>114</v>
      </c>
      <c r="C92" s="954"/>
      <c r="D92" s="954"/>
      <c r="E92" s="954"/>
      <c r="F92" s="955"/>
      <c r="G92" s="955"/>
      <c r="H92" s="955"/>
      <c r="I92" s="955"/>
      <c r="J92" s="955"/>
      <c r="K92" s="955"/>
      <c r="L92" s="955"/>
      <c r="M92" s="955"/>
      <c r="N92" s="955"/>
      <c r="O92" s="955"/>
      <c r="P92" s="955"/>
      <c r="Q92" s="955"/>
      <c r="R92" s="955"/>
      <c r="S92" s="955"/>
      <c r="T92" s="955"/>
      <c r="U92" s="955"/>
      <c r="V92" s="955"/>
      <c r="W92" s="955">
        <v>7</v>
      </c>
      <c r="X92" s="955">
        <v>14</v>
      </c>
      <c r="Y92" s="955">
        <v>18</v>
      </c>
      <c r="Z92" s="955">
        <v>18</v>
      </c>
      <c r="AA92" s="955">
        <v>26</v>
      </c>
      <c r="AB92" s="955">
        <v>8</v>
      </c>
      <c r="AC92" s="955">
        <v>31</v>
      </c>
      <c r="AD92" s="955">
        <v>39</v>
      </c>
    </row>
    <row r="93" spans="2:30" ht="14.4" x14ac:dyDescent="0.25">
      <c r="B93" s="957" t="s">
        <v>115</v>
      </c>
      <c r="C93" s="958"/>
      <c r="D93" s="958"/>
      <c r="E93" s="958"/>
      <c r="F93" s="958"/>
      <c r="G93" s="959"/>
      <c r="H93" s="959"/>
      <c r="I93" s="959"/>
      <c r="J93" s="959"/>
      <c r="K93" s="959"/>
      <c r="L93" s="959"/>
      <c r="M93" s="959"/>
      <c r="N93" s="959"/>
      <c r="O93" s="959"/>
      <c r="P93" s="959"/>
      <c r="Q93" s="959"/>
      <c r="R93" s="959">
        <f>SUM(R89:R91)</f>
        <v>5</v>
      </c>
      <c r="S93" s="959">
        <f>SUM(S89:S91)</f>
        <v>9</v>
      </c>
      <c r="T93" s="959">
        <f>SUM(T89:T91)</f>
        <v>6</v>
      </c>
      <c r="U93" s="959">
        <f>SUM(U89:U91)</f>
        <v>19</v>
      </c>
      <c r="V93" s="959">
        <f>SUM(V89:V91)</f>
        <v>18</v>
      </c>
      <c r="W93" s="959">
        <v>20</v>
      </c>
      <c r="X93" s="959">
        <f t="shared" ref="X93:AC93" si="35">SUM(X89:X92)</f>
        <v>35</v>
      </c>
      <c r="Y93" s="959">
        <f t="shared" si="35"/>
        <v>36</v>
      </c>
      <c r="Z93" s="959">
        <f t="shared" si="35"/>
        <v>35</v>
      </c>
      <c r="AA93" s="959">
        <f t="shared" si="35"/>
        <v>70</v>
      </c>
      <c r="AB93" s="959">
        <f t="shared" si="35"/>
        <v>12</v>
      </c>
      <c r="AC93" s="959">
        <f t="shared" si="35"/>
        <v>77</v>
      </c>
      <c r="AD93" s="959">
        <f t="shared" ref="AD93" si="36">SUM(AD89:AD92)</f>
        <v>106</v>
      </c>
    </row>
    <row r="94" spans="2:30" ht="14.4" x14ac:dyDescent="0.25">
      <c r="B94" s="975" t="s">
        <v>116</v>
      </c>
      <c r="C94" s="976"/>
      <c r="D94" s="976"/>
      <c r="E94" s="976"/>
      <c r="F94" s="976"/>
      <c r="G94" s="977"/>
      <c r="H94" s="977"/>
      <c r="I94" s="977"/>
      <c r="J94" s="977"/>
      <c r="K94" s="977"/>
      <c r="L94" s="977"/>
      <c r="M94" s="977"/>
      <c r="N94" s="977"/>
      <c r="O94" s="977"/>
      <c r="P94" s="977"/>
      <c r="Q94" s="977"/>
      <c r="R94" s="977">
        <f t="shared" ref="R94:X94" si="37">SUM(R93,R88,R84)</f>
        <v>18</v>
      </c>
      <c r="S94" s="977">
        <f t="shared" si="37"/>
        <v>67</v>
      </c>
      <c r="T94" s="977">
        <f t="shared" si="37"/>
        <v>76</v>
      </c>
      <c r="U94" s="977">
        <f t="shared" si="37"/>
        <v>92</v>
      </c>
      <c r="V94" s="977">
        <f t="shared" si="37"/>
        <v>81</v>
      </c>
      <c r="W94" s="977">
        <f t="shared" si="37"/>
        <v>88</v>
      </c>
      <c r="X94" s="977">
        <f t="shared" si="37"/>
        <v>102</v>
      </c>
      <c r="Y94" s="977">
        <f t="shared" ref="Y94:AD94" si="38">SUM(Y93,Y88,Y84)</f>
        <v>89</v>
      </c>
      <c r="Z94" s="977">
        <f t="shared" si="38"/>
        <v>126</v>
      </c>
      <c r="AA94" s="977">
        <f t="shared" si="38"/>
        <v>135</v>
      </c>
      <c r="AB94" s="977">
        <f t="shared" si="38"/>
        <v>51</v>
      </c>
      <c r="AC94" s="977">
        <f t="shared" si="38"/>
        <v>278</v>
      </c>
      <c r="AD94" s="977">
        <f t="shared" si="38"/>
        <v>330</v>
      </c>
    </row>
    <row r="95" spans="2:30" ht="14.4" x14ac:dyDescent="0.25">
      <c r="B95" s="978" t="s">
        <v>117</v>
      </c>
      <c r="C95" s="979"/>
      <c r="D95" s="979"/>
      <c r="E95" s="979"/>
      <c r="F95" s="979"/>
      <c r="G95" s="978"/>
      <c r="H95" s="978"/>
      <c r="I95" s="978"/>
      <c r="J95" s="978"/>
      <c r="K95" s="978"/>
      <c r="L95" s="978"/>
      <c r="M95" s="978"/>
      <c r="N95" s="978"/>
      <c r="O95" s="978"/>
      <c r="P95" s="978"/>
      <c r="Q95" s="978"/>
      <c r="R95" s="978"/>
      <c r="S95" s="978"/>
      <c r="T95" s="978"/>
      <c r="U95" s="978"/>
      <c r="V95" s="978"/>
      <c r="W95" s="965">
        <v>1</v>
      </c>
      <c r="X95" s="965">
        <v>20</v>
      </c>
      <c r="Y95" s="965">
        <v>3</v>
      </c>
      <c r="Z95" s="965">
        <v>8</v>
      </c>
      <c r="AA95" s="965">
        <v>8</v>
      </c>
      <c r="AB95" s="965">
        <v>1</v>
      </c>
      <c r="AC95" s="965">
        <v>13</v>
      </c>
      <c r="AD95" s="965">
        <v>11</v>
      </c>
    </row>
    <row r="96" spans="2:30" ht="14.4" x14ac:dyDescent="0.25">
      <c r="B96" s="980" t="s">
        <v>59</v>
      </c>
      <c r="C96" s="981"/>
      <c r="D96" s="981"/>
      <c r="E96" s="981"/>
      <c r="F96" s="981"/>
      <c r="G96" s="980"/>
      <c r="H96" s="980"/>
      <c r="I96" s="980"/>
      <c r="J96" s="980"/>
      <c r="K96" s="980"/>
      <c r="L96" s="980"/>
      <c r="M96" s="980"/>
      <c r="N96" s="980"/>
      <c r="O96" s="980"/>
      <c r="P96" s="980"/>
      <c r="Q96" s="980"/>
      <c r="R96" s="980"/>
      <c r="S96" s="980"/>
      <c r="T96" s="980"/>
      <c r="U96" s="980"/>
      <c r="V96" s="980"/>
      <c r="W96" s="959">
        <f t="shared" ref="W96:AB96" si="39">SUM(W95)</f>
        <v>1</v>
      </c>
      <c r="X96" s="959">
        <f t="shared" si="39"/>
        <v>20</v>
      </c>
      <c r="Y96" s="959">
        <f t="shared" si="39"/>
        <v>3</v>
      </c>
      <c r="Z96" s="959">
        <f t="shared" si="39"/>
        <v>8</v>
      </c>
      <c r="AA96" s="959">
        <f t="shared" si="39"/>
        <v>8</v>
      </c>
      <c r="AB96" s="959">
        <f t="shared" si="39"/>
        <v>1</v>
      </c>
      <c r="AC96" s="959">
        <f t="shared" ref="AC96:AD96" si="40">SUM(AC95)</f>
        <v>13</v>
      </c>
      <c r="AD96" s="959">
        <f t="shared" si="40"/>
        <v>11</v>
      </c>
    </row>
    <row r="97" spans="2:30" ht="14.4" x14ac:dyDescent="0.25">
      <c r="B97" s="982" t="s">
        <v>120</v>
      </c>
      <c r="C97" s="981"/>
      <c r="D97" s="981"/>
      <c r="E97" s="981"/>
      <c r="F97" s="981"/>
      <c r="G97" s="982"/>
      <c r="H97" s="982"/>
      <c r="I97" s="982"/>
      <c r="J97" s="982"/>
      <c r="K97" s="982"/>
      <c r="L97" s="982"/>
      <c r="M97" s="982"/>
      <c r="N97" s="982"/>
      <c r="O97" s="982"/>
      <c r="P97" s="982"/>
      <c r="Q97" s="982"/>
      <c r="R97" s="982"/>
      <c r="S97" s="982"/>
      <c r="T97" s="982"/>
      <c r="U97" s="982"/>
      <c r="V97" s="982"/>
      <c r="W97" s="955">
        <v>5</v>
      </c>
      <c r="X97" s="955">
        <v>16</v>
      </c>
      <c r="Y97" s="955">
        <v>6</v>
      </c>
      <c r="Z97" s="955">
        <v>22</v>
      </c>
      <c r="AA97" s="955">
        <v>14</v>
      </c>
      <c r="AB97" s="955">
        <v>2</v>
      </c>
      <c r="AC97" s="955">
        <v>18</v>
      </c>
      <c r="AD97" s="955">
        <v>26</v>
      </c>
    </row>
    <row r="98" spans="2:30" ht="14.4" x14ac:dyDescent="0.25">
      <c r="B98" s="982" t="s">
        <v>121</v>
      </c>
      <c r="C98" s="981"/>
      <c r="D98" s="981"/>
      <c r="E98" s="981"/>
      <c r="F98" s="981"/>
      <c r="G98" s="982"/>
      <c r="H98" s="982"/>
      <c r="I98" s="982"/>
      <c r="J98" s="982"/>
      <c r="K98" s="982"/>
      <c r="L98" s="982"/>
      <c r="M98" s="982"/>
      <c r="N98" s="982"/>
      <c r="O98" s="982"/>
      <c r="P98" s="982"/>
      <c r="Q98" s="982"/>
      <c r="R98" s="982"/>
      <c r="S98" s="982"/>
      <c r="T98" s="982"/>
      <c r="U98" s="982"/>
      <c r="V98" s="982"/>
      <c r="W98" s="983"/>
      <c r="X98" s="983"/>
      <c r="Y98" s="983"/>
      <c r="Z98" s="955">
        <v>3</v>
      </c>
      <c r="AA98" s="955">
        <v>5</v>
      </c>
      <c r="AB98" s="955">
        <v>1</v>
      </c>
      <c r="AC98" s="955">
        <v>5</v>
      </c>
      <c r="AD98" s="955">
        <v>18</v>
      </c>
    </row>
    <row r="99" spans="2:30" ht="14.4" x14ac:dyDescent="0.3">
      <c r="B99" s="5285" t="s">
        <v>123</v>
      </c>
      <c r="C99" s="981"/>
      <c r="D99" s="981"/>
      <c r="E99" s="981"/>
      <c r="F99" s="981"/>
      <c r="G99" s="982"/>
      <c r="H99" s="982"/>
      <c r="I99" s="982"/>
      <c r="J99" s="982"/>
      <c r="K99" s="982"/>
      <c r="L99" s="982"/>
      <c r="M99" s="982"/>
      <c r="N99" s="982"/>
      <c r="O99" s="982"/>
      <c r="P99" s="982"/>
      <c r="Q99" s="982"/>
      <c r="R99" s="982"/>
      <c r="S99" s="982"/>
      <c r="T99" s="982"/>
      <c r="U99" s="982"/>
      <c r="V99" s="982"/>
      <c r="W99" s="983"/>
      <c r="X99" s="983"/>
      <c r="Y99" s="983"/>
      <c r="Z99" s="955"/>
      <c r="AA99" s="955"/>
      <c r="AB99" s="955"/>
      <c r="AC99" s="955"/>
      <c r="AD99" s="955">
        <v>2</v>
      </c>
    </row>
    <row r="100" spans="2:30" ht="14.4" x14ac:dyDescent="0.25">
      <c r="B100" s="980" t="s">
        <v>64</v>
      </c>
      <c r="C100" s="981"/>
      <c r="D100" s="981"/>
      <c r="E100" s="981"/>
      <c r="F100" s="981"/>
      <c r="G100" s="980"/>
      <c r="H100" s="980"/>
      <c r="I100" s="980"/>
      <c r="J100" s="980"/>
      <c r="K100" s="980"/>
      <c r="L100" s="980"/>
      <c r="M100" s="980"/>
      <c r="N100" s="980"/>
      <c r="O100" s="980"/>
      <c r="P100" s="980"/>
      <c r="Q100" s="980"/>
      <c r="R100" s="980"/>
      <c r="S100" s="980"/>
      <c r="T100" s="980"/>
      <c r="U100" s="980"/>
      <c r="V100" s="980"/>
      <c r="W100" s="959">
        <f t="shared" ref="W100:AB100" si="41">SUM(W97:W98)</f>
        <v>5</v>
      </c>
      <c r="X100" s="959">
        <f t="shared" si="41"/>
        <v>16</v>
      </c>
      <c r="Y100" s="959">
        <f t="shared" si="41"/>
        <v>6</v>
      </c>
      <c r="Z100" s="959">
        <f t="shared" si="41"/>
        <v>25</v>
      </c>
      <c r="AA100" s="959">
        <f t="shared" si="41"/>
        <v>19</v>
      </c>
      <c r="AB100" s="959">
        <f t="shared" si="41"/>
        <v>3</v>
      </c>
      <c r="AC100" s="959">
        <f t="shared" ref="AC100" si="42">SUM(AC97:AC98)</f>
        <v>23</v>
      </c>
      <c r="AD100" s="959">
        <f>SUM(AD97:AD99)</f>
        <v>46</v>
      </c>
    </row>
    <row r="101" spans="2:30" ht="14.4" x14ac:dyDescent="0.25">
      <c r="B101" s="982" t="s">
        <v>124</v>
      </c>
      <c r="C101" s="981"/>
      <c r="D101" s="981"/>
      <c r="E101" s="981"/>
      <c r="F101" s="981"/>
      <c r="G101" s="982"/>
      <c r="H101" s="982"/>
      <c r="I101" s="982"/>
      <c r="J101" s="982"/>
      <c r="K101" s="982"/>
      <c r="L101" s="982"/>
      <c r="M101" s="982"/>
      <c r="N101" s="982"/>
      <c r="O101" s="982"/>
      <c r="P101" s="982"/>
      <c r="Q101" s="982"/>
      <c r="R101" s="982"/>
      <c r="S101" s="982"/>
      <c r="T101" s="982"/>
      <c r="U101" s="982"/>
      <c r="V101" s="982"/>
      <c r="W101" s="955">
        <v>6</v>
      </c>
      <c r="X101" s="955">
        <v>16</v>
      </c>
      <c r="Y101" s="955">
        <v>2</v>
      </c>
      <c r="Z101" s="955">
        <v>20</v>
      </c>
      <c r="AA101" s="955">
        <v>15</v>
      </c>
      <c r="AB101" s="955">
        <v>2</v>
      </c>
      <c r="AC101" s="955">
        <v>13</v>
      </c>
      <c r="AD101" s="955">
        <v>16</v>
      </c>
    </row>
    <row r="102" spans="2:30" ht="14.4" x14ac:dyDescent="0.25">
      <c r="B102" s="980" t="s">
        <v>92</v>
      </c>
      <c r="C102" s="981"/>
      <c r="D102" s="981"/>
      <c r="E102" s="981"/>
      <c r="F102" s="981"/>
      <c r="G102" s="980"/>
      <c r="H102" s="980"/>
      <c r="I102" s="980"/>
      <c r="J102" s="980"/>
      <c r="K102" s="980"/>
      <c r="L102" s="980"/>
      <c r="M102" s="980"/>
      <c r="N102" s="980"/>
      <c r="O102" s="980"/>
      <c r="P102" s="980"/>
      <c r="Q102" s="980"/>
      <c r="R102" s="980"/>
      <c r="S102" s="980"/>
      <c r="T102" s="980"/>
      <c r="U102" s="980"/>
      <c r="V102" s="980"/>
      <c r="W102" s="959">
        <f t="shared" ref="W102:AB102" si="43">SUM(W101)</f>
        <v>6</v>
      </c>
      <c r="X102" s="959">
        <f t="shared" si="43"/>
        <v>16</v>
      </c>
      <c r="Y102" s="959">
        <f t="shared" si="43"/>
        <v>2</v>
      </c>
      <c r="Z102" s="959">
        <f t="shared" si="43"/>
        <v>20</v>
      </c>
      <c r="AA102" s="959">
        <f t="shared" si="43"/>
        <v>15</v>
      </c>
      <c r="AB102" s="959">
        <f t="shared" si="43"/>
        <v>2</v>
      </c>
      <c r="AC102" s="959">
        <f t="shared" ref="AC102:AD102" si="44">SUM(AC101)</f>
        <v>13</v>
      </c>
      <c r="AD102" s="959">
        <f t="shared" si="44"/>
        <v>16</v>
      </c>
    </row>
    <row r="103" spans="2:30" ht="14.4" x14ac:dyDescent="0.25">
      <c r="B103" s="984" t="s">
        <v>127</v>
      </c>
      <c r="C103" s="985"/>
      <c r="D103" s="985"/>
      <c r="E103" s="985"/>
      <c r="F103" s="985"/>
      <c r="G103" s="986"/>
      <c r="H103" s="986"/>
      <c r="I103" s="986"/>
      <c r="J103" s="986"/>
      <c r="K103" s="986"/>
      <c r="L103" s="986"/>
      <c r="M103" s="986"/>
      <c r="N103" s="986"/>
      <c r="O103" s="986"/>
      <c r="P103" s="986"/>
      <c r="Q103" s="986"/>
      <c r="R103" s="986"/>
      <c r="S103" s="986"/>
      <c r="T103" s="986"/>
      <c r="U103" s="986"/>
      <c r="V103" s="986"/>
      <c r="W103" s="987">
        <f t="shared" ref="W103:AB103" si="45">SUM(W96,W100,W102)</f>
        <v>12</v>
      </c>
      <c r="X103" s="987">
        <f t="shared" si="45"/>
        <v>52</v>
      </c>
      <c r="Y103" s="987">
        <f t="shared" si="45"/>
        <v>11</v>
      </c>
      <c r="Z103" s="987">
        <f t="shared" si="45"/>
        <v>53</v>
      </c>
      <c r="AA103" s="987">
        <f t="shared" si="45"/>
        <v>42</v>
      </c>
      <c r="AB103" s="987">
        <f t="shared" si="45"/>
        <v>6</v>
      </c>
      <c r="AC103" s="987">
        <f t="shared" ref="AC103:AD103" si="46">SUM(AC96,AC100,AC102)</f>
        <v>49</v>
      </c>
      <c r="AD103" s="987">
        <f t="shared" si="46"/>
        <v>73</v>
      </c>
    </row>
    <row r="104" spans="2:30" ht="14.4" x14ac:dyDescent="0.25">
      <c r="B104" s="12"/>
      <c r="C104" s="12"/>
      <c r="D104" s="12"/>
      <c r="E104" s="12"/>
      <c r="F104" s="12"/>
      <c r="G104" s="988"/>
      <c r="H104" s="988"/>
      <c r="I104" s="988"/>
      <c r="J104" s="988"/>
      <c r="K104" s="988"/>
      <c r="L104" s="988"/>
      <c r="M104" s="988"/>
      <c r="N104" s="988"/>
      <c r="O104" s="988"/>
      <c r="P104" s="988"/>
      <c r="Q104" s="988"/>
      <c r="R104" s="988"/>
      <c r="S104" s="988"/>
      <c r="T104" s="988"/>
      <c r="U104" s="988"/>
      <c r="V104" s="988"/>
      <c r="W104" s="988"/>
      <c r="X104" s="988"/>
      <c r="Y104" s="988"/>
      <c r="Z104" s="988"/>
      <c r="AA104" s="988"/>
      <c r="AB104" s="988"/>
      <c r="AC104" s="988"/>
      <c r="AD104" s="988"/>
    </row>
    <row r="105" spans="2:30" ht="20.25" customHeight="1" x14ac:dyDescent="0.25">
      <c r="B105" s="989" t="s">
        <v>128</v>
      </c>
      <c r="C105" s="990"/>
      <c r="D105" s="990"/>
      <c r="E105" s="990"/>
      <c r="F105" s="990"/>
      <c r="G105" s="991">
        <f t="shared" ref="G105:V105" si="47">SUM(G94,G79,G57,G25)</f>
        <v>4014</v>
      </c>
      <c r="H105" s="991">
        <f t="shared" si="47"/>
        <v>3788</v>
      </c>
      <c r="I105" s="991">
        <f t="shared" si="47"/>
        <v>4073</v>
      </c>
      <c r="J105" s="991">
        <f t="shared" si="47"/>
        <v>4157</v>
      </c>
      <c r="K105" s="991">
        <f t="shared" si="47"/>
        <v>4406</v>
      </c>
      <c r="L105" s="991">
        <f t="shared" si="47"/>
        <v>4159</v>
      </c>
      <c r="M105" s="991">
        <f t="shared" si="47"/>
        <v>4050</v>
      </c>
      <c r="N105" s="991">
        <f t="shared" si="47"/>
        <v>3813</v>
      </c>
      <c r="O105" s="991">
        <f t="shared" si="47"/>
        <v>4048</v>
      </c>
      <c r="P105" s="991">
        <f t="shared" si="47"/>
        <v>3487</v>
      </c>
      <c r="Q105" s="991">
        <f t="shared" si="47"/>
        <v>4180</v>
      </c>
      <c r="R105" s="991">
        <f t="shared" si="47"/>
        <v>4537</v>
      </c>
      <c r="S105" s="991">
        <f t="shared" si="47"/>
        <v>4539</v>
      </c>
      <c r="T105" s="991">
        <f t="shared" si="47"/>
        <v>4205</v>
      </c>
      <c r="U105" s="991">
        <f t="shared" si="47"/>
        <v>4268</v>
      </c>
      <c r="V105" s="991">
        <f t="shared" si="47"/>
        <v>4690</v>
      </c>
      <c r="W105" s="991">
        <f t="shared" ref="W105:AB105" si="48">SUM(W25,W57,W79,W94,W103)</f>
        <v>3923</v>
      </c>
      <c r="X105" s="991">
        <f t="shared" si="48"/>
        <v>4763</v>
      </c>
      <c r="Y105" s="991">
        <f t="shared" si="48"/>
        <v>3579</v>
      </c>
      <c r="Z105" s="991">
        <f t="shared" si="48"/>
        <v>5402</v>
      </c>
      <c r="AA105" s="991">
        <f t="shared" si="48"/>
        <v>4260</v>
      </c>
      <c r="AB105" s="991">
        <f t="shared" si="48"/>
        <v>1055</v>
      </c>
      <c r="AC105" s="991">
        <f t="shared" ref="AC105:AD105" si="49">SUM(AC25,AC57,AC79,AC94,AC103)</f>
        <v>4437</v>
      </c>
      <c r="AD105" s="991">
        <f t="shared" si="49"/>
        <v>5356</v>
      </c>
    </row>
    <row r="106" spans="2:30" ht="12.75" customHeight="1" x14ac:dyDescent="0.25">
      <c r="AA106" s="992"/>
      <c r="AB106" s="992"/>
      <c r="AC106" s="4645"/>
      <c r="AD106" s="4645"/>
    </row>
    <row r="107" spans="2:30" x14ac:dyDescent="0.25">
      <c r="Z107" s="993"/>
      <c r="AA107" s="993"/>
      <c r="AB107" s="993"/>
      <c r="AC107" s="994"/>
    </row>
    <row r="108" spans="2:30" x14ac:dyDescent="0.25">
      <c r="AA108" s="992"/>
      <c r="AB108" s="994"/>
      <c r="AC108" s="994"/>
    </row>
    <row r="109" spans="2:30" x14ac:dyDescent="0.25">
      <c r="AB109" s="994"/>
      <c r="AC109" s="4972"/>
    </row>
    <row r="110" spans="2:30" x14ac:dyDescent="0.25">
      <c r="AB110" s="994"/>
      <c r="AC110" s="994"/>
    </row>
    <row r="111" spans="2:30" x14ac:dyDescent="0.25">
      <c r="AB111" s="994"/>
      <c r="AC111" s="994"/>
    </row>
  </sheetData>
  <hyperlinks>
    <hyperlink ref="B2" r:id="rId1" display="http://www.transparencia.uam.mx/inforganos/anuarios/_x000a_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scale="57" firstPageNumber="41" orientation="landscape" useFirstPageNumber="1" r:id="rId2"/>
  <headerFooter scaleWithDoc="0" alignWithMargins="0">
    <oddFooter>&amp;R&amp;P</oddFooter>
  </headerFooter>
  <rowBreaks count="1" manualBreakCount="1">
    <brk id="57" max="16383" man="1"/>
  </rowBreaks>
  <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B1:Z39"/>
  <sheetViews>
    <sheetView showGridLines="0" zoomScaleNormal="100" workbookViewId="0">
      <pane xSplit="2" ySplit="4" topLeftCell="I5" activePane="bottomRight" state="frozen"/>
      <selection activeCell="Q31" sqref="Q31"/>
      <selection pane="topRight" activeCell="Q31" sqref="Q31"/>
      <selection pane="bottomLeft" activeCell="Q31" sqref="Q31"/>
      <selection pane="bottomRight"/>
    </sheetView>
  </sheetViews>
  <sheetFormatPr baseColWidth="10" defaultRowHeight="13.2" x14ac:dyDescent="0.25"/>
  <cols>
    <col min="1" max="1" width="2.88671875" customWidth="1"/>
    <col min="2" max="2" width="17.6640625" customWidth="1"/>
    <col min="3" max="25" width="9.88671875" customWidth="1"/>
    <col min="27" max="55" width="9.88671875" customWidth="1"/>
  </cols>
  <sheetData>
    <row r="1" spans="2:26" ht="29.4" customHeight="1" x14ac:dyDescent="0.25">
      <c r="B1" s="995" t="s">
        <v>1528</v>
      </c>
    </row>
    <row r="2" spans="2:26" ht="15.6" x14ac:dyDescent="0.3">
      <c r="B2" s="548"/>
      <c r="C2" s="548"/>
      <c r="D2" s="548"/>
      <c r="E2" s="548"/>
      <c r="F2" s="548"/>
      <c r="G2" s="548"/>
      <c r="H2" s="548"/>
      <c r="I2" s="548"/>
      <c r="J2" s="548"/>
      <c r="K2" s="548"/>
      <c r="L2" s="548"/>
      <c r="M2" s="548"/>
      <c r="N2" s="548"/>
    </row>
    <row r="3" spans="2:26" ht="14.4" x14ac:dyDescent="0.25">
      <c r="B3" s="552" t="s">
        <v>160</v>
      </c>
      <c r="C3" s="996">
        <v>1999</v>
      </c>
      <c r="D3" s="996">
        <v>2000</v>
      </c>
      <c r="E3" s="996">
        <v>2001</v>
      </c>
      <c r="F3" s="996">
        <v>2002</v>
      </c>
      <c r="G3" s="996">
        <v>2003</v>
      </c>
      <c r="H3" s="996">
        <v>2004</v>
      </c>
      <c r="I3" s="996">
        <v>2005</v>
      </c>
      <c r="J3" s="996">
        <v>2006</v>
      </c>
      <c r="K3" s="996">
        <v>2007</v>
      </c>
      <c r="L3" s="996">
        <v>2008</v>
      </c>
      <c r="M3" s="996">
        <v>2009</v>
      </c>
      <c r="N3" s="996">
        <v>2010</v>
      </c>
      <c r="O3" s="996">
        <v>2011</v>
      </c>
      <c r="P3" s="996">
        <v>2012</v>
      </c>
      <c r="Q3" s="996">
        <v>2013</v>
      </c>
      <c r="R3" s="996">
        <v>2014</v>
      </c>
      <c r="S3" s="996">
        <v>2015</v>
      </c>
      <c r="T3" s="996">
        <v>2016</v>
      </c>
      <c r="U3" s="996">
        <v>2017</v>
      </c>
      <c r="V3" s="996">
        <v>2018</v>
      </c>
      <c r="W3" s="947">
        <v>2019</v>
      </c>
      <c r="X3" s="947">
        <v>2020</v>
      </c>
      <c r="Y3" s="947">
        <v>2021</v>
      </c>
      <c r="Z3" s="947">
        <v>2022</v>
      </c>
    </row>
    <row r="4" spans="2:26" ht="14.4" x14ac:dyDescent="0.3">
      <c r="B4" s="557"/>
      <c r="C4" s="754"/>
      <c r="D4" s="754"/>
      <c r="E4" s="754"/>
      <c r="F4" s="754"/>
      <c r="G4" s="754"/>
      <c r="H4" s="754"/>
      <c r="I4" s="754"/>
      <c r="J4" s="754"/>
      <c r="K4" s="754"/>
      <c r="L4" s="754"/>
      <c r="M4" s="997"/>
      <c r="N4" s="997"/>
      <c r="O4" s="997"/>
      <c r="P4" s="997"/>
      <c r="Q4" s="997"/>
      <c r="R4" s="997"/>
      <c r="S4" s="997"/>
      <c r="T4" s="997"/>
      <c r="U4" s="997"/>
      <c r="V4" s="997"/>
      <c r="W4" s="997"/>
      <c r="X4" s="997"/>
      <c r="Y4" s="997"/>
      <c r="Z4" s="997"/>
    </row>
    <row r="5" spans="2:26" ht="15" customHeight="1" x14ac:dyDescent="0.25">
      <c r="B5" s="559" t="s">
        <v>59</v>
      </c>
      <c r="C5" s="998">
        <f>SUM('TITULADOS plan'!G5:G14)</f>
        <v>443</v>
      </c>
      <c r="D5" s="998">
        <f>SUM('TITULADOS plan'!H5:H14)</f>
        <v>336</v>
      </c>
      <c r="E5" s="998">
        <f>SUM('TITULADOS plan'!I5:I14)</f>
        <v>350</v>
      </c>
      <c r="F5" s="998">
        <f>SUM('TITULADOS plan'!J5:J14)</f>
        <v>340</v>
      </c>
      <c r="G5" s="998">
        <f>SUM('TITULADOS plan'!K5:K14)</f>
        <v>412</v>
      </c>
      <c r="H5" s="998">
        <f>SUM('TITULADOS plan'!L5:L14)</f>
        <v>365</v>
      </c>
      <c r="I5" s="998">
        <f>SUM('TITULADOS plan'!M5:M14)</f>
        <v>351</v>
      </c>
      <c r="J5" s="998">
        <f>SUM('TITULADOS plan'!N5:N14)</f>
        <v>395</v>
      </c>
      <c r="K5" s="998">
        <f>SUM('TITULADOS plan'!O5:O14)</f>
        <v>363</v>
      </c>
      <c r="L5" s="998">
        <f>SUM('TITULADOS plan'!P5:P14)</f>
        <v>303</v>
      </c>
      <c r="M5" s="998">
        <f>SUM('TITULADOS plan'!Q5:Q14)</f>
        <v>351</v>
      </c>
      <c r="N5" s="998">
        <f>SUM('TITULADOS plan'!R5:R14)</f>
        <v>363</v>
      </c>
      <c r="O5" s="998">
        <f>SUM('TITULADOS plan'!S5:S14)</f>
        <v>353</v>
      </c>
      <c r="P5" s="998">
        <f>SUM('TITULADOS plan'!T5:T14)</f>
        <v>355</v>
      </c>
      <c r="Q5" s="998">
        <f>SUM('TITULADOS plan'!U5:U14)</f>
        <v>392</v>
      </c>
      <c r="R5" s="998">
        <f>SUM('TITULADOS plan'!V5:V14)</f>
        <v>526</v>
      </c>
      <c r="S5" s="998">
        <f>SUM('TITULADOS plan'!W5:W14)</f>
        <v>392</v>
      </c>
      <c r="T5" s="998">
        <f>SUM('TITULADOS plan'!X5:X14)</f>
        <v>530</v>
      </c>
      <c r="U5" s="998">
        <f>SUM('TITULADOS plan'!Y5:Y14)</f>
        <v>375</v>
      </c>
      <c r="V5" s="998">
        <f>SUM('TITULADOS plan'!Z5:Z14)</f>
        <v>679</v>
      </c>
      <c r="W5" s="998">
        <f>SUM('TITULADOS plan'!AA5:AA14)</f>
        <v>336</v>
      </c>
      <c r="X5" s="998">
        <f>SUM('TITULADOS plan'!AB5:AB14)</f>
        <v>119</v>
      </c>
      <c r="Y5" s="998">
        <f>SUM('TITULADOS plan'!AC5:AC14)</f>
        <v>459</v>
      </c>
      <c r="Z5" s="998">
        <f>SUM('TITULADOS plan'!AD5:AD14)</f>
        <v>442</v>
      </c>
    </row>
    <row r="6" spans="2:26" ht="15" customHeight="1" x14ac:dyDescent="0.25">
      <c r="B6" s="562" t="s">
        <v>64</v>
      </c>
      <c r="C6" s="999">
        <f>SUM('TITULADOS plan'!G16:G19)</f>
        <v>602</v>
      </c>
      <c r="D6" s="999">
        <f>SUM('TITULADOS plan'!H16:H19)</f>
        <v>553</v>
      </c>
      <c r="E6" s="999">
        <f>SUM('TITULADOS plan'!I16:I19)</f>
        <v>585</v>
      </c>
      <c r="F6" s="999">
        <f>SUM('TITULADOS plan'!J16:J19)</f>
        <v>566</v>
      </c>
      <c r="G6" s="999">
        <f>SUM('TITULADOS plan'!K16:K19)</f>
        <v>602</v>
      </c>
      <c r="H6" s="999">
        <f>SUM('TITULADOS plan'!L16:L19)</f>
        <v>503</v>
      </c>
      <c r="I6" s="999">
        <f>SUM('TITULADOS plan'!M16:M19)</f>
        <v>451</v>
      </c>
      <c r="J6" s="999">
        <f>SUM('TITULADOS plan'!N16:N19)</f>
        <v>444</v>
      </c>
      <c r="K6" s="999">
        <f>SUM('TITULADOS plan'!O16:O19)</f>
        <v>449</v>
      </c>
      <c r="L6" s="999">
        <f>SUM('TITULADOS plan'!P16:P19)</f>
        <v>322</v>
      </c>
      <c r="M6" s="999">
        <f>SUM('TITULADOS plan'!Q16:Q19)</f>
        <v>406</v>
      </c>
      <c r="N6" s="999">
        <f>SUM('TITULADOS plan'!R16:R19)</f>
        <v>410</v>
      </c>
      <c r="O6" s="999">
        <f>SUM('TITULADOS plan'!S16:S19)</f>
        <v>397</v>
      </c>
      <c r="P6" s="999">
        <f>SUM('TITULADOS plan'!T16:T19)</f>
        <v>380</v>
      </c>
      <c r="Q6" s="999">
        <f>SUM('TITULADOS plan'!U16:U19)</f>
        <v>464</v>
      </c>
      <c r="R6" s="999">
        <f>SUM('TITULADOS plan'!V16:V19)</f>
        <v>403</v>
      </c>
      <c r="S6" s="999">
        <f>SUM('TITULADOS plan'!W16:W19)</f>
        <v>385</v>
      </c>
      <c r="T6" s="999">
        <f>SUM('TITULADOS plan'!X16:X19)</f>
        <v>525</v>
      </c>
      <c r="U6" s="999">
        <f>SUM('TITULADOS plan'!Y16:Y19)</f>
        <v>588</v>
      </c>
      <c r="V6" s="999">
        <f>SUM('TITULADOS plan'!Z16:Z19)</f>
        <v>1483</v>
      </c>
      <c r="W6" s="999">
        <f>SUM('TITULADOS plan'!AA16:AA19)</f>
        <v>559</v>
      </c>
      <c r="X6" s="999">
        <f>SUM('TITULADOS plan'!AB16:AB19)</f>
        <v>141</v>
      </c>
      <c r="Y6" s="999">
        <f>SUM('TITULADOS plan'!AC16:AC19)</f>
        <v>494</v>
      </c>
      <c r="Z6" s="999">
        <f>SUM('TITULADOS plan'!AD16:AD19)</f>
        <v>521</v>
      </c>
    </row>
    <row r="7" spans="2:26" ht="15" customHeight="1" x14ac:dyDescent="0.25">
      <c r="B7" s="565" t="s">
        <v>68</v>
      </c>
      <c r="C7" s="999">
        <f>SUM('TITULADOS plan'!G21:G23)</f>
        <v>346</v>
      </c>
      <c r="D7" s="999">
        <f>SUM('TITULADOS plan'!H21:H23)</f>
        <v>334</v>
      </c>
      <c r="E7" s="999">
        <f>SUM('TITULADOS plan'!I21:I23)</f>
        <v>379</v>
      </c>
      <c r="F7" s="999">
        <f>SUM('TITULADOS plan'!J21:J23)</f>
        <v>278</v>
      </c>
      <c r="G7" s="999">
        <f>SUM('TITULADOS plan'!K21:K23)</f>
        <v>320</v>
      </c>
      <c r="H7" s="999">
        <f>SUM('TITULADOS plan'!L21:L23)</f>
        <v>311</v>
      </c>
      <c r="I7" s="999">
        <f>SUM('TITULADOS plan'!M21:M23)</f>
        <v>271</v>
      </c>
      <c r="J7" s="999">
        <f>SUM('TITULADOS plan'!N21:N23)</f>
        <v>271</v>
      </c>
      <c r="K7" s="999">
        <f>SUM('TITULADOS plan'!O21:O23)</f>
        <v>329</v>
      </c>
      <c r="L7" s="999">
        <f>SUM('TITULADOS plan'!P21:P23)</f>
        <v>245</v>
      </c>
      <c r="M7" s="999">
        <f>SUM('TITULADOS plan'!Q21:Q23)</f>
        <v>386</v>
      </c>
      <c r="N7" s="999">
        <f>SUM('TITULADOS plan'!R21:R23)</f>
        <v>311</v>
      </c>
      <c r="O7" s="999">
        <f>SUM('TITULADOS plan'!S21:S23)</f>
        <v>277</v>
      </c>
      <c r="P7" s="999">
        <f>SUM('TITULADOS plan'!T21:T23)</f>
        <v>199</v>
      </c>
      <c r="Q7" s="999">
        <f>SUM('TITULADOS plan'!U21:U23)</f>
        <v>262</v>
      </c>
      <c r="R7" s="999">
        <f>SUM('TITULADOS plan'!V21:V23)</f>
        <v>312</v>
      </c>
      <c r="S7" s="999">
        <f>SUM('TITULADOS plan'!W21:W23)</f>
        <v>224</v>
      </c>
      <c r="T7" s="999">
        <f>SUM('TITULADOS plan'!X21:X23)</f>
        <v>255</v>
      </c>
      <c r="U7" s="999">
        <f>SUM('TITULADOS plan'!Y21:Y23)</f>
        <v>184</v>
      </c>
      <c r="V7" s="999">
        <f>SUM('TITULADOS plan'!Z21:Z23)</f>
        <v>393</v>
      </c>
      <c r="W7" s="999">
        <f>SUM('TITULADOS plan'!AA21:AA23)</f>
        <v>236</v>
      </c>
      <c r="X7" s="999">
        <f>SUM('TITULADOS plan'!AB21:AB23)</f>
        <v>72</v>
      </c>
      <c r="Y7" s="999">
        <f>SUM('TITULADOS plan'!AC21:AC23)</f>
        <v>297</v>
      </c>
      <c r="Z7" s="999">
        <f>SUM('TITULADOS plan'!AD21:AD23)</f>
        <v>365</v>
      </c>
    </row>
    <row r="8" spans="2:26" ht="15" customHeight="1" x14ac:dyDescent="0.25">
      <c r="B8" s="566" t="s">
        <v>138</v>
      </c>
      <c r="C8" s="1000">
        <f t="shared" ref="C8:X8" si="0">C5+C6+C7</f>
        <v>1391</v>
      </c>
      <c r="D8" s="1000">
        <f t="shared" si="0"/>
        <v>1223</v>
      </c>
      <c r="E8" s="1000">
        <f t="shared" si="0"/>
        <v>1314</v>
      </c>
      <c r="F8" s="1000">
        <f t="shared" si="0"/>
        <v>1184</v>
      </c>
      <c r="G8" s="1000">
        <f t="shared" si="0"/>
        <v>1334</v>
      </c>
      <c r="H8" s="1000">
        <f t="shared" si="0"/>
        <v>1179</v>
      </c>
      <c r="I8" s="1000">
        <f t="shared" si="0"/>
        <v>1073</v>
      </c>
      <c r="J8" s="1000">
        <f t="shared" si="0"/>
        <v>1110</v>
      </c>
      <c r="K8" s="1000">
        <f t="shared" si="0"/>
        <v>1141</v>
      </c>
      <c r="L8" s="1000">
        <f t="shared" si="0"/>
        <v>870</v>
      </c>
      <c r="M8" s="1000">
        <f t="shared" si="0"/>
        <v>1143</v>
      </c>
      <c r="N8" s="1000">
        <f t="shared" si="0"/>
        <v>1084</v>
      </c>
      <c r="O8" s="1000">
        <f t="shared" si="0"/>
        <v>1027</v>
      </c>
      <c r="P8" s="1000">
        <f t="shared" si="0"/>
        <v>934</v>
      </c>
      <c r="Q8" s="1000">
        <f t="shared" si="0"/>
        <v>1118</v>
      </c>
      <c r="R8" s="1000">
        <f t="shared" si="0"/>
        <v>1241</v>
      </c>
      <c r="S8" s="1000">
        <f t="shared" si="0"/>
        <v>1001</v>
      </c>
      <c r="T8" s="1000">
        <f t="shared" si="0"/>
        <v>1310</v>
      </c>
      <c r="U8" s="1000">
        <f t="shared" si="0"/>
        <v>1147</v>
      </c>
      <c r="V8" s="1000">
        <f t="shared" si="0"/>
        <v>2555</v>
      </c>
      <c r="W8" s="1000">
        <f t="shared" si="0"/>
        <v>1131</v>
      </c>
      <c r="X8" s="1000">
        <f t="shared" si="0"/>
        <v>332</v>
      </c>
      <c r="Y8" s="1000">
        <f t="shared" ref="Y8:Z8" si="1">Y5+Y6+Y7</f>
        <v>1250</v>
      </c>
      <c r="Z8" s="1000">
        <f t="shared" si="1"/>
        <v>1328</v>
      </c>
    </row>
    <row r="9" spans="2:26" ht="13.8" x14ac:dyDescent="0.3">
      <c r="B9" s="569"/>
      <c r="C9" s="1001"/>
      <c r="D9" s="1001"/>
      <c r="E9" s="1001"/>
      <c r="F9" s="1001"/>
      <c r="G9" s="1001"/>
      <c r="H9" s="1001"/>
      <c r="I9" s="1001"/>
      <c r="J9" s="1001"/>
      <c r="K9" s="1001"/>
      <c r="L9" s="1001"/>
      <c r="M9" s="1001"/>
      <c r="N9" s="1001"/>
      <c r="O9" s="1001"/>
      <c r="P9" s="1001"/>
      <c r="Q9" s="1001"/>
      <c r="R9" s="1001"/>
      <c r="S9" s="1001"/>
      <c r="T9" s="1001"/>
      <c r="U9" s="1001"/>
      <c r="V9" s="1001"/>
      <c r="W9" s="1001"/>
      <c r="X9" s="1001"/>
      <c r="Y9" s="1001"/>
      <c r="Z9" s="1001"/>
    </row>
    <row r="10" spans="2:26" ht="15" customHeight="1" x14ac:dyDescent="0.25">
      <c r="B10" s="623" t="s">
        <v>64</v>
      </c>
      <c r="C10" s="1002"/>
      <c r="D10" s="1003"/>
      <c r="E10" s="1002"/>
      <c r="F10" s="1003"/>
      <c r="G10" s="1002"/>
      <c r="H10" s="1003"/>
      <c r="I10" s="1002"/>
      <c r="J10" s="1003"/>
      <c r="K10" s="1002"/>
      <c r="L10" s="1003"/>
      <c r="M10" s="998"/>
      <c r="N10" s="998">
        <f>SUM('TITULADOS plan'!R80:R83)</f>
        <v>10</v>
      </c>
      <c r="O10" s="998">
        <f>SUM('TITULADOS plan'!S80:S83)</f>
        <v>51</v>
      </c>
      <c r="P10" s="998">
        <f>SUM('TITULADOS plan'!T80:T83)</f>
        <v>39</v>
      </c>
      <c r="Q10" s="998">
        <f>SUM('TITULADOS plan'!U80:U83)</f>
        <v>36</v>
      </c>
      <c r="R10" s="998">
        <f>SUM('TITULADOS plan'!V80:V83)</f>
        <v>33</v>
      </c>
      <c r="S10" s="998">
        <f>SUM('TITULADOS plan'!W80:W83)</f>
        <v>33</v>
      </c>
      <c r="T10" s="998">
        <f>SUM('TITULADOS plan'!X80:X83)</f>
        <v>33</v>
      </c>
      <c r="U10" s="998">
        <f>SUM('TITULADOS plan'!Y80:Y83)</f>
        <v>21</v>
      </c>
      <c r="V10" s="998">
        <f>SUM('TITULADOS plan'!Z80:Z83)</f>
        <v>43</v>
      </c>
      <c r="W10" s="998">
        <f>SUM('TITULADOS plan'!AA80:AA83)</f>
        <v>26</v>
      </c>
      <c r="X10" s="998">
        <f>SUM('TITULADOS plan'!AB80:AB83)</f>
        <v>26</v>
      </c>
      <c r="Y10" s="998">
        <f>SUM('TITULADOS plan'!AC80:AC83)</f>
        <v>117</v>
      </c>
      <c r="Z10" s="998">
        <f>SUM('TITULADOS plan'!AD80:AD83)</f>
        <v>112</v>
      </c>
    </row>
    <row r="11" spans="2:26" ht="15" customHeight="1" x14ac:dyDescent="0.25">
      <c r="B11" s="624" t="s">
        <v>111</v>
      </c>
      <c r="C11" s="1004"/>
      <c r="D11" s="1005"/>
      <c r="E11" s="1004"/>
      <c r="F11" s="1005"/>
      <c r="G11" s="1004"/>
      <c r="H11" s="1005"/>
      <c r="I11" s="1004"/>
      <c r="J11" s="1005"/>
      <c r="K11" s="1004"/>
      <c r="L11" s="1005"/>
      <c r="M11" s="999"/>
      <c r="N11" s="999">
        <f>SUM('TITULADOS plan'!R85:R87)</f>
        <v>3</v>
      </c>
      <c r="O11" s="999">
        <f>SUM('TITULADOS plan'!S85:S87)</f>
        <v>7</v>
      </c>
      <c r="P11" s="999">
        <f>SUM('TITULADOS plan'!T85:T87)</f>
        <v>31</v>
      </c>
      <c r="Q11" s="999">
        <f>SUM('TITULADOS plan'!U85:U87)</f>
        <v>37</v>
      </c>
      <c r="R11" s="999">
        <f>SUM('TITULADOS plan'!V85:V87)</f>
        <v>30</v>
      </c>
      <c r="S11" s="999">
        <f>SUM('TITULADOS plan'!W85:W87)</f>
        <v>35</v>
      </c>
      <c r="T11" s="999">
        <f>SUM('TITULADOS plan'!X85:X87)</f>
        <v>34</v>
      </c>
      <c r="U11" s="999">
        <f>SUM('TITULADOS plan'!Y85:Y87)</f>
        <v>32</v>
      </c>
      <c r="V11" s="999">
        <f>SUM('TITULADOS plan'!Z85:Z87)</f>
        <v>48</v>
      </c>
      <c r="W11" s="999">
        <f>SUM('TITULADOS plan'!AA85:AA87)</f>
        <v>39</v>
      </c>
      <c r="X11" s="999">
        <f>SUM('TITULADOS plan'!AB85:AB87)</f>
        <v>13</v>
      </c>
      <c r="Y11" s="999">
        <f>SUM('TITULADOS plan'!AC85:AC87)</f>
        <v>84</v>
      </c>
      <c r="Z11" s="999">
        <f>SUM('TITULADOS plan'!AD85:AD87)</f>
        <v>112</v>
      </c>
    </row>
    <row r="12" spans="2:26" ht="15" customHeight="1" x14ac:dyDescent="0.25">
      <c r="B12" s="625" t="s">
        <v>115</v>
      </c>
      <c r="C12" s="1004"/>
      <c r="D12" s="1005"/>
      <c r="E12" s="1004"/>
      <c r="F12" s="1005"/>
      <c r="G12" s="1004"/>
      <c r="H12" s="1005"/>
      <c r="I12" s="1004"/>
      <c r="J12" s="1005"/>
      <c r="K12" s="1004"/>
      <c r="L12" s="1005"/>
      <c r="M12" s="999"/>
      <c r="N12" s="999">
        <f>SUM('TITULADOS plan'!R89:R90)</f>
        <v>5</v>
      </c>
      <c r="O12" s="999">
        <f>SUM('TITULADOS plan'!S89:S90)</f>
        <v>9</v>
      </c>
      <c r="P12" s="999">
        <f>SUM('TITULADOS plan'!T89:T90)</f>
        <v>6</v>
      </c>
      <c r="Q12" s="999">
        <f>SUM('TITULADOS plan'!U89:U91)</f>
        <v>19</v>
      </c>
      <c r="R12" s="999">
        <f>SUM('TITULADOS plan'!V89:V91)</f>
        <v>18</v>
      </c>
      <c r="S12" s="999">
        <f>SUM('TITULADOS plan'!W93)</f>
        <v>20</v>
      </c>
      <c r="T12" s="999">
        <f>SUM('TITULADOS plan'!X93)</f>
        <v>35</v>
      </c>
      <c r="U12" s="999">
        <f>SUM('TITULADOS plan'!Y93)</f>
        <v>36</v>
      </c>
      <c r="V12" s="999">
        <f>SUM('TITULADOS plan'!Z93)</f>
        <v>35</v>
      </c>
      <c r="W12" s="999">
        <f>SUM('TITULADOS plan'!AA93)</f>
        <v>70</v>
      </c>
      <c r="X12" s="999">
        <f>SUM('TITULADOS plan'!AB93)</f>
        <v>12</v>
      </c>
      <c r="Y12" s="999">
        <f>SUM('TITULADOS plan'!AC93)</f>
        <v>77</v>
      </c>
      <c r="Z12" s="999">
        <f>SUM('TITULADOS plan'!AD93)</f>
        <v>106</v>
      </c>
    </row>
    <row r="13" spans="2:26" ht="15" customHeight="1" x14ac:dyDescent="0.25">
      <c r="B13" s="1006" t="s">
        <v>134</v>
      </c>
      <c r="C13" s="1007"/>
      <c r="D13" s="1008"/>
      <c r="E13" s="1007"/>
      <c r="F13" s="1008"/>
      <c r="G13" s="1007"/>
      <c r="H13" s="1008"/>
      <c r="I13" s="1007"/>
      <c r="J13" s="1008"/>
      <c r="K13" s="1007"/>
      <c r="L13" s="1008"/>
      <c r="M13" s="1009"/>
      <c r="N13" s="1009">
        <f t="shared" ref="N13:S13" si="2">N10+N11+N12</f>
        <v>18</v>
      </c>
      <c r="O13" s="1009">
        <f t="shared" si="2"/>
        <v>67</v>
      </c>
      <c r="P13" s="1009">
        <f t="shared" si="2"/>
        <v>76</v>
      </c>
      <c r="Q13" s="1009">
        <f t="shared" si="2"/>
        <v>92</v>
      </c>
      <c r="R13" s="1009">
        <f t="shared" si="2"/>
        <v>81</v>
      </c>
      <c r="S13" s="1009">
        <f t="shared" si="2"/>
        <v>88</v>
      </c>
      <c r="T13" s="1009">
        <f t="shared" ref="T13:Y13" si="3">T10+T11+T12</f>
        <v>102</v>
      </c>
      <c r="U13" s="1009">
        <f t="shared" si="3"/>
        <v>89</v>
      </c>
      <c r="V13" s="1009">
        <f t="shared" si="3"/>
        <v>126</v>
      </c>
      <c r="W13" s="1009">
        <f t="shared" si="3"/>
        <v>135</v>
      </c>
      <c r="X13" s="1009">
        <f t="shared" si="3"/>
        <v>51</v>
      </c>
      <c r="Y13" s="1009">
        <f t="shared" si="3"/>
        <v>278</v>
      </c>
      <c r="Z13" s="1009">
        <f t="shared" ref="Z13" si="4">Z10+Z11+Z12</f>
        <v>330</v>
      </c>
    </row>
    <row r="14" spans="2:26" ht="15.75" customHeight="1" x14ac:dyDescent="0.25">
      <c r="B14" s="557"/>
      <c r="C14" s="1010"/>
      <c r="D14" s="1010"/>
      <c r="E14" s="1010"/>
      <c r="F14" s="1010"/>
      <c r="G14" s="1010"/>
      <c r="H14" s="1010"/>
      <c r="I14" s="1010"/>
      <c r="J14" s="1010"/>
      <c r="K14" s="1010"/>
      <c r="L14" s="1010"/>
      <c r="M14" s="1011"/>
      <c r="N14" s="1011"/>
      <c r="O14" s="1011"/>
      <c r="P14" s="1011"/>
      <c r="Q14" s="1011"/>
      <c r="R14" s="1011"/>
      <c r="S14" s="1011"/>
      <c r="T14" s="1011"/>
      <c r="U14" s="1011"/>
      <c r="V14" s="1011"/>
      <c r="W14" s="1011"/>
      <c r="X14" s="1011"/>
      <c r="Y14" s="1011"/>
      <c r="Z14" s="1011"/>
    </row>
    <row r="15" spans="2:26" ht="15" customHeight="1" x14ac:dyDescent="0.25">
      <c r="B15" s="559" t="s">
        <v>59</v>
      </c>
      <c r="C15" s="998">
        <f>SUM('TITULADOS plan'!G26:G34)</f>
        <v>187</v>
      </c>
      <c r="D15" s="998">
        <f>SUM('TITULADOS plan'!H26:H34)</f>
        <v>201</v>
      </c>
      <c r="E15" s="998">
        <f>SUM('TITULADOS plan'!I26:I34)</f>
        <v>200</v>
      </c>
      <c r="F15" s="998">
        <f>SUM('TITULADOS plan'!J26:J34)</f>
        <v>195</v>
      </c>
      <c r="G15" s="998">
        <f>SUM('TITULADOS plan'!K26:K34)</f>
        <v>202</v>
      </c>
      <c r="H15" s="998">
        <f>SUM('TITULADOS plan'!L26:L34)</f>
        <v>227</v>
      </c>
      <c r="I15" s="998">
        <f>SUM('TITULADOS plan'!M26:M34)</f>
        <v>223</v>
      </c>
      <c r="J15" s="998">
        <f>SUM('TITULADOS plan'!N26:N34)</f>
        <v>234</v>
      </c>
      <c r="K15" s="998">
        <f>SUM('TITULADOS plan'!O26:O34)</f>
        <v>234</v>
      </c>
      <c r="L15" s="998">
        <f>SUM('TITULADOS plan'!P26:P34)</f>
        <v>193</v>
      </c>
      <c r="M15" s="998">
        <f>SUM('TITULADOS plan'!Q26:Q34)</f>
        <v>153</v>
      </c>
      <c r="N15" s="998">
        <f>SUM('TITULADOS plan'!R26:R34)</f>
        <v>200</v>
      </c>
      <c r="O15" s="998">
        <f>SUM('TITULADOS plan'!S26:S34)</f>
        <v>201</v>
      </c>
      <c r="P15" s="998">
        <f>SUM('TITULADOS plan'!T26:T34)</f>
        <v>204</v>
      </c>
      <c r="Q15" s="998">
        <f>SUM('TITULADOS plan'!U26:U34)</f>
        <v>174</v>
      </c>
      <c r="R15" s="998">
        <f>SUM('TITULADOS plan'!V26:V34)</f>
        <v>218</v>
      </c>
      <c r="S15" s="998">
        <f>SUM('TITULADOS plan'!W26:W34)</f>
        <v>183</v>
      </c>
      <c r="T15" s="998">
        <f>SUM('TITULADOS plan'!X26:X34)</f>
        <v>196</v>
      </c>
      <c r="U15" s="998">
        <f>SUM('TITULADOS plan'!Y26:Y34)</f>
        <v>192</v>
      </c>
      <c r="V15" s="998">
        <f>SUM('TITULADOS plan'!Z26:Z34)</f>
        <v>144</v>
      </c>
      <c r="W15" s="998">
        <f>SUM('TITULADOS plan'!AA26:AA34)</f>
        <v>246</v>
      </c>
      <c r="X15" s="998">
        <f>SUM('TITULADOS plan'!AB26:AB34)</f>
        <v>64</v>
      </c>
      <c r="Y15" s="998">
        <f>SUM('TITULADOS plan'!AC26:AC35)</f>
        <v>294</v>
      </c>
      <c r="Z15" s="998">
        <f>SUM('TITULADOS plan'!AD26:AD35)</f>
        <v>350</v>
      </c>
    </row>
    <row r="16" spans="2:26" ht="15" customHeight="1" x14ac:dyDescent="0.25">
      <c r="B16" s="562" t="s">
        <v>64</v>
      </c>
      <c r="C16" s="999">
        <f>SUM('TITULADOS plan'!G37:G48)</f>
        <v>417</v>
      </c>
      <c r="D16" s="999">
        <f>SUM('TITULADOS plan'!H37:H48)</f>
        <v>478</v>
      </c>
      <c r="E16" s="999">
        <f>SUM('TITULADOS plan'!I37:I48)</f>
        <v>465</v>
      </c>
      <c r="F16" s="999">
        <f>SUM('TITULADOS plan'!J37:J48)</f>
        <v>470</v>
      </c>
      <c r="G16" s="999">
        <f>SUM('TITULADOS plan'!K37:K48)</f>
        <v>509</v>
      </c>
      <c r="H16" s="999">
        <f>SUM('TITULADOS plan'!L37:L48)</f>
        <v>500</v>
      </c>
      <c r="I16" s="999">
        <f>SUM('TITULADOS plan'!M37:M48)</f>
        <v>516</v>
      </c>
      <c r="J16" s="999">
        <f>SUM('TITULADOS plan'!N37:N48)</f>
        <v>466</v>
      </c>
      <c r="K16" s="999">
        <f>SUM('TITULADOS plan'!O37:O48)</f>
        <v>495</v>
      </c>
      <c r="L16" s="999">
        <f>SUM('TITULADOS plan'!P37:P48)</f>
        <v>487</v>
      </c>
      <c r="M16" s="999">
        <f>SUM('TITULADOS plan'!Q37:Q48)</f>
        <v>427</v>
      </c>
      <c r="N16" s="999">
        <f>SUM('TITULADOS plan'!R37:R48)</f>
        <v>545</v>
      </c>
      <c r="O16" s="999">
        <f>SUM('TITULADOS plan'!S37:S48)</f>
        <v>531</v>
      </c>
      <c r="P16" s="999">
        <f>SUM('TITULADOS plan'!T37:T48)</f>
        <v>513</v>
      </c>
      <c r="Q16" s="999">
        <f>SUM('TITULADOS plan'!U37:U48)</f>
        <v>538</v>
      </c>
      <c r="R16" s="999">
        <f>SUM('TITULADOS plan'!V37:V48)</f>
        <v>624</v>
      </c>
      <c r="S16" s="999">
        <f>SUM('TITULADOS plan'!W37:W48)</f>
        <v>448</v>
      </c>
      <c r="T16" s="999">
        <f>SUM('TITULADOS plan'!X37:X48)</f>
        <v>570</v>
      </c>
      <c r="U16" s="999">
        <f>SUM('TITULADOS plan'!Y37:Y48)</f>
        <v>372</v>
      </c>
      <c r="V16" s="999">
        <f>SUM('TITULADOS plan'!Z37:Z48)</f>
        <v>337</v>
      </c>
      <c r="W16" s="999">
        <f>SUM('TITULADOS plan'!AA37:AA48)</f>
        <v>428</v>
      </c>
      <c r="X16" s="999">
        <f>SUM('TITULADOS plan'!AB37:AB48)</f>
        <v>131</v>
      </c>
      <c r="Y16" s="999">
        <f>SUM('TITULADOS plan'!AC37:AC48)</f>
        <v>509</v>
      </c>
      <c r="Z16" s="999">
        <f>SUM('TITULADOS plan'!AD37:AD48)</f>
        <v>596</v>
      </c>
    </row>
    <row r="17" spans="2:26" ht="15" customHeight="1" x14ac:dyDescent="0.25">
      <c r="B17" s="565" t="s">
        <v>92</v>
      </c>
      <c r="C17" s="999">
        <f>SUM('TITULADOS plan'!G50:G55)</f>
        <v>187</v>
      </c>
      <c r="D17" s="999">
        <f>SUM('TITULADOS plan'!H50:H55)</f>
        <v>142</v>
      </c>
      <c r="E17" s="999">
        <f>SUM('TITULADOS plan'!I50:I55)</f>
        <v>200</v>
      </c>
      <c r="F17" s="999">
        <f>SUM('TITULADOS plan'!J50:J55)</f>
        <v>191</v>
      </c>
      <c r="G17" s="999">
        <f>SUM('TITULADOS plan'!K50:K55)</f>
        <v>261</v>
      </c>
      <c r="H17" s="999">
        <f>SUM('TITULADOS plan'!L50:L55)</f>
        <v>310</v>
      </c>
      <c r="I17" s="999">
        <f>SUM('TITULADOS plan'!M50:M55)</f>
        <v>323</v>
      </c>
      <c r="J17" s="999">
        <f>SUM('TITULADOS plan'!N50:N55)</f>
        <v>336</v>
      </c>
      <c r="K17" s="999">
        <f>SUM('TITULADOS plan'!O50:O55)</f>
        <v>327</v>
      </c>
      <c r="L17" s="999">
        <f>SUM('TITULADOS plan'!P50:P55)</f>
        <v>250</v>
      </c>
      <c r="M17" s="999">
        <f>SUM('TITULADOS plan'!Q50:Q55)</f>
        <v>290</v>
      </c>
      <c r="N17" s="999">
        <f>SUM('TITULADOS plan'!R50:R55)</f>
        <v>259</v>
      </c>
      <c r="O17" s="999">
        <f>SUM('TITULADOS plan'!S50:S55)</f>
        <v>293</v>
      </c>
      <c r="P17" s="999">
        <f>SUM('TITULADOS plan'!T50:T55)</f>
        <v>249</v>
      </c>
      <c r="Q17" s="999">
        <f>SUM('TITULADOS plan'!U50:U55)</f>
        <v>253</v>
      </c>
      <c r="R17" s="999">
        <f>SUM('TITULADOS plan'!V50:V55)</f>
        <v>369</v>
      </c>
      <c r="S17" s="999">
        <f>SUM('TITULADOS plan'!W50:W55)</f>
        <v>243</v>
      </c>
      <c r="T17" s="999">
        <f>SUM('TITULADOS plan'!X50:X55)</f>
        <v>351</v>
      </c>
      <c r="U17" s="999">
        <f>SUM('TITULADOS plan'!Y50:Y55)</f>
        <v>263</v>
      </c>
      <c r="V17" s="999">
        <f>SUM('TITULADOS plan'!Z50:Z55)</f>
        <v>212</v>
      </c>
      <c r="W17" s="999">
        <f>SUM('TITULADOS plan'!AA50:AA55)</f>
        <v>383</v>
      </c>
      <c r="X17" s="999">
        <f>SUM('TITULADOS plan'!AB50:AB55)</f>
        <v>81</v>
      </c>
      <c r="Y17" s="999">
        <f>SUM('TITULADOS plan'!AC50:AC55)</f>
        <v>357</v>
      </c>
      <c r="Z17" s="999">
        <f>SUM('TITULADOS plan'!AD50:AD55)</f>
        <v>490</v>
      </c>
    </row>
    <row r="18" spans="2:26" ht="15" customHeight="1" x14ac:dyDescent="0.25">
      <c r="B18" s="573" t="s">
        <v>135</v>
      </c>
      <c r="C18" s="1012">
        <f t="shared" ref="C18:X18" si="5">C15+C16+C17</f>
        <v>791</v>
      </c>
      <c r="D18" s="1012">
        <f t="shared" si="5"/>
        <v>821</v>
      </c>
      <c r="E18" s="1012">
        <f t="shared" si="5"/>
        <v>865</v>
      </c>
      <c r="F18" s="1012">
        <f t="shared" si="5"/>
        <v>856</v>
      </c>
      <c r="G18" s="1012">
        <f t="shared" si="5"/>
        <v>972</v>
      </c>
      <c r="H18" s="1012">
        <f t="shared" si="5"/>
        <v>1037</v>
      </c>
      <c r="I18" s="1012">
        <f t="shared" si="5"/>
        <v>1062</v>
      </c>
      <c r="J18" s="1012">
        <f t="shared" si="5"/>
        <v>1036</v>
      </c>
      <c r="K18" s="1012">
        <f t="shared" si="5"/>
        <v>1056</v>
      </c>
      <c r="L18" s="1012">
        <f t="shared" si="5"/>
        <v>930</v>
      </c>
      <c r="M18" s="1012">
        <f t="shared" si="5"/>
        <v>870</v>
      </c>
      <c r="N18" s="1012">
        <f t="shared" si="5"/>
        <v>1004</v>
      </c>
      <c r="O18" s="1012">
        <f t="shared" si="5"/>
        <v>1025</v>
      </c>
      <c r="P18" s="1012">
        <f t="shared" si="5"/>
        <v>966</v>
      </c>
      <c r="Q18" s="1012">
        <f t="shared" si="5"/>
        <v>965</v>
      </c>
      <c r="R18" s="1012">
        <f t="shared" si="5"/>
        <v>1211</v>
      </c>
      <c r="S18" s="1012">
        <f t="shared" si="5"/>
        <v>874</v>
      </c>
      <c r="T18" s="1012">
        <f t="shared" si="5"/>
        <v>1117</v>
      </c>
      <c r="U18" s="1012">
        <f t="shared" si="5"/>
        <v>827</v>
      </c>
      <c r="V18" s="1012">
        <f t="shared" si="5"/>
        <v>693</v>
      </c>
      <c r="W18" s="1012">
        <f t="shared" si="5"/>
        <v>1057</v>
      </c>
      <c r="X18" s="1012">
        <f t="shared" si="5"/>
        <v>276</v>
      </c>
      <c r="Y18" s="1012">
        <f t="shared" ref="Y18:Z18" si="6">Y15+Y16+Y17</f>
        <v>1160</v>
      </c>
      <c r="Z18" s="1012">
        <f t="shared" si="6"/>
        <v>1436</v>
      </c>
    </row>
    <row r="19" spans="2:26" x14ac:dyDescent="0.25">
      <c r="B19" s="569"/>
    </row>
    <row r="20" spans="2:26" ht="15" customHeight="1" x14ac:dyDescent="0.25">
      <c r="B20" s="559" t="s">
        <v>59</v>
      </c>
      <c r="C20" s="998"/>
      <c r="D20" s="998"/>
      <c r="E20" s="998"/>
      <c r="F20" s="998"/>
      <c r="G20" s="998"/>
      <c r="H20" s="998"/>
      <c r="I20" s="998"/>
      <c r="J20" s="998"/>
      <c r="K20" s="998"/>
      <c r="L20" s="998"/>
      <c r="M20" s="998"/>
      <c r="N20" s="998"/>
      <c r="O20" s="998"/>
      <c r="P20" s="998"/>
      <c r="Q20" s="998"/>
      <c r="R20" s="998"/>
      <c r="S20" s="998">
        <f>+'TITULADOS plan'!W96</f>
        <v>1</v>
      </c>
      <c r="T20" s="998">
        <f>+'TITULADOS plan'!X96</f>
        <v>20</v>
      </c>
      <c r="U20" s="998">
        <f>+'TITULADOS plan'!Y96</f>
        <v>3</v>
      </c>
      <c r="V20" s="998">
        <f>+'TITULADOS plan'!Z96</f>
        <v>8</v>
      </c>
      <c r="W20" s="998">
        <f>+'TITULADOS plan'!AA96</f>
        <v>8</v>
      </c>
      <c r="X20" s="998">
        <f>+'TITULADOS plan'!AB96</f>
        <v>1</v>
      </c>
      <c r="Y20" s="998">
        <f>+'TITULADOS plan'!AC96</f>
        <v>13</v>
      </c>
      <c r="Z20" s="998">
        <f>+'TITULADOS plan'!AD96</f>
        <v>11</v>
      </c>
    </row>
    <row r="21" spans="2:26" ht="15" customHeight="1" x14ac:dyDescent="0.25">
      <c r="B21" s="562" t="s">
        <v>64</v>
      </c>
      <c r="C21" s="999"/>
      <c r="D21" s="999"/>
      <c r="E21" s="999"/>
      <c r="F21" s="999"/>
      <c r="G21" s="999"/>
      <c r="H21" s="999"/>
      <c r="I21" s="999"/>
      <c r="J21" s="999"/>
      <c r="K21" s="999"/>
      <c r="L21" s="999"/>
      <c r="M21" s="999"/>
      <c r="N21" s="999"/>
      <c r="O21" s="999"/>
      <c r="P21" s="999"/>
      <c r="Q21" s="999"/>
      <c r="R21" s="999"/>
      <c r="S21" s="999">
        <f>+'TITULADOS plan'!W100</f>
        <v>5</v>
      </c>
      <c r="T21" s="999">
        <f>+'TITULADOS plan'!X100</f>
        <v>16</v>
      </c>
      <c r="U21" s="999">
        <f>+'TITULADOS plan'!Y100</f>
        <v>6</v>
      </c>
      <c r="V21" s="999">
        <f>+'TITULADOS plan'!Z100</f>
        <v>25</v>
      </c>
      <c r="W21" s="999">
        <f>+'TITULADOS plan'!AA100</f>
        <v>19</v>
      </c>
      <c r="X21" s="999">
        <f>+'TITULADOS plan'!AB100</f>
        <v>3</v>
      </c>
      <c r="Y21" s="999">
        <f>+'TITULADOS plan'!AC100</f>
        <v>23</v>
      </c>
      <c r="Z21" s="999">
        <f>+'TITULADOS plan'!AD100</f>
        <v>46</v>
      </c>
    </row>
    <row r="22" spans="2:26" ht="15" customHeight="1" x14ac:dyDescent="0.25">
      <c r="B22" s="565" t="s">
        <v>92</v>
      </c>
      <c r="C22" s="999"/>
      <c r="D22" s="999"/>
      <c r="E22" s="999"/>
      <c r="F22" s="999"/>
      <c r="G22" s="999"/>
      <c r="H22" s="999"/>
      <c r="I22" s="999"/>
      <c r="J22" s="999"/>
      <c r="K22" s="999"/>
      <c r="L22" s="999"/>
      <c r="M22" s="999"/>
      <c r="N22" s="999"/>
      <c r="O22" s="999"/>
      <c r="P22" s="999"/>
      <c r="Q22" s="999"/>
      <c r="R22" s="999"/>
      <c r="S22" s="999">
        <f>+'TITULADOS plan'!W102</f>
        <v>6</v>
      </c>
      <c r="T22" s="999">
        <f>+'TITULADOS plan'!X102</f>
        <v>16</v>
      </c>
      <c r="U22" s="999">
        <f>+'TITULADOS plan'!Y102</f>
        <v>2</v>
      </c>
      <c r="V22" s="999">
        <f>+'TITULADOS plan'!Z102</f>
        <v>20</v>
      </c>
      <c r="W22" s="999">
        <f>+'TITULADOS plan'!AA102</f>
        <v>15</v>
      </c>
      <c r="X22" s="999">
        <f>+'TITULADOS plan'!AB102</f>
        <v>2</v>
      </c>
      <c r="Y22" s="999">
        <f>+'TITULADOS plan'!AC102</f>
        <v>13</v>
      </c>
      <c r="Z22" s="999">
        <f>+'TITULADOS plan'!AD102</f>
        <v>16</v>
      </c>
    </row>
    <row r="23" spans="2:26" ht="15" customHeight="1" x14ac:dyDescent="0.25">
      <c r="B23" s="574" t="s">
        <v>136</v>
      </c>
      <c r="C23" s="1013"/>
      <c r="D23" s="1013"/>
      <c r="E23" s="1013"/>
      <c r="F23" s="1013"/>
      <c r="G23" s="1013"/>
      <c r="H23" s="1013"/>
      <c r="I23" s="1013"/>
      <c r="J23" s="1013"/>
      <c r="K23" s="1013"/>
      <c r="L23" s="1013"/>
      <c r="M23" s="1013"/>
      <c r="N23" s="1013"/>
      <c r="O23" s="1013"/>
      <c r="P23" s="1013"/>
      <c r="Q23" s="1013"/>
      <c r="R23" s="1013"/>
      <c r="S23" s="1013">
        <f t="shared" ref="S23:X23" si="7">S20+S21+S22</f>
        <v>12</v>
      </c>
      <c r="T23" s="1013">
        <f t="shared" si="7"/>
        <v>52</v>
      </c>
      <c r="U23" s="1013">
        <f t="shared" si="7"/>
        <v>11</v>
      </c>
      <c r="V23" s="1013">
        <f t="shared" si="7"/>
        <v>53</v>
      </c>
      <c r="W23" s="1013">
        <f t="shared" si="7"/>
        <v>42</v>
      </c>
      <c r="X23" s="1013">
        <f t="shared" si="7"/>
        <v>6</v>
      </c>
      <c r="Y23" s="1013">
        <f t="shared" ref="Y23:Z23" si="8">Y20+Y21+Y22</f>
        <v>49</v>
      </c>
      <c r="Z23" s="1013">
        <f t="shared" si="8"/>
        <v>73</v>
      </c>
    </row>
    <row r="24" spans="2:26" ht="14.4" x14ac:dyDescent="0.25">
      <c r="B24" s="557"/>
      <c r="C24" s="1010"/>
      <c r="D24" s="1010"/>
      <c r="E24" s="1010"/>
      <c r="F24" s="1010"/>
      <c r="G24" s="1010"/>
      <c r="H24" s="1010"/>
      <c r="I24" s="1010"/>
      <c r="J24" s="1010"/>
      <c r="K24" s="1010"/>
      <c r="L24" s="1010"/>
      <c r="M24" s="1011"/>
      <c r="N24" s="1011"/>
      <c r="O24" s="1011"/>
      <c r="P24" s="1011"/>
      <c r="Q24" s="1011"/>
      <c r="R24" s="1011"/>
      <c r="S24" s="1011"/>
      <c r="T24" s="1011"/>
      <c r="U24" s="1011"/>
      <c r="V24" s="1011"/>
      <c r="W24" s="1011"/>
      <c r="X24" s="1011"/>
      <c r="Y24" s="1011"/>
      <c r="Z24" s="1011"/>
    </row>
    <row r="25" spans="2:26" ht="15" customHeight="1" x14ac:dyDescent="0.25">
      <c r="B25" s="559" t="s">
        <v>64</v>
      </c>
      <c r="C25" s="998">
        <f>SUM('TITULADOS plan'!G58:G63)</f>
        <v>679</v>
      </c>
      <c r="D25" s="998">
        <f>SUM('TITULADOS plan'!H58:H63)</f>
        <v>619</v>
      </c>
      <c r="E25" s="998">
        <f>SUM('TITULADOS plan'!I58:I63)</f>
        <v>714</v>
      </c>
      <c r="F25" s="998">
        <f>SUM('TITULADOS plan'!J58:J63)</f>
        <v>749</v>
      </c>
      <c r="G25" s="998">
        <f>SUM('TITULADOS plan'!K58:K63)</f>
        <v>804</v>
      </c>
      <c r="H25" s="998">
        <f>SUM('TITULADOS plan'!L58:L63)</f>
        <v>779</v>
      </c>
      <c r="I25" s="998">
        <f>SUM('TITULADOS plan'!M58:M63)</f>
        <v>679</v>
      </c>
      <c r="J25" s="998">
        <f>SUM('TITULADOS plan'!N58:N63)</f>
        <v>672</v>
      </c>
      <c r="K25" s="998">
        <f>SUM('TITULADOS plan'!O58:O63)</f>
        <v>716</v>
      </c>
      <c r="L25" s="998">
        <f>SUM('TITULADOS plan'!P58:P63)</f>
        <v>619</v>
      </c>
      <c r="M25" s="998">
        <f>SUM('TITULADOS plan'!Q58:Q63)</f>
        <v>811</v>
      </c>
      <c r="N25" s="998">
        <f>SUM('TITULADOS plan'!R58:R63)</f>
        <v>835</v>
      </c>
      <c r="O25" s="998">
        <f>SUM('TITULADOS plan'!S58:S63)</f>
        <v>848</v>
      </c>
      <c r="P25" s="998">
        <f>SUM('TITULADOS plan'!T58:T63)</f>
        <v>740</v>
      </c>
      <c r="Q25" s="998">
        <f>SUM('TITULADOS plan'!U58:U63)</f>
        <v>665</v>
      </c>
      <c r="R25" s="998">
        <f>SUM('TITULADOS plan'!V58:V63)</f>
        <v>750</v>
      </c>
      <c r="S25" s="998">
        <f>SUM('TITULADOS plan'!W58:W63)</f>
        <v>655</v>
      </c>
      <c r="T25" s="998">
        <f>SUM('TITULADOS plan'!X58:X63)</f>
        <v>728</v>
      </c>
      <c r="U25" s="998">
        <f>SUM('TITULADOS plan'!Y58:Y63)</f>
        <v>476</v>
      </c>
      <c r="V25" s="998">
        <f>SUM('TITULADOS plan'!Z58:Z63)</f>
        <v>652</v>
      </c>
      <c r="W25" s="998">
        <f>SUM('TITULADOS plan'!AA58:AA63)</f>
        <v>580</v>
      </c>
      <c r="X25" s="998">
        <f>SUM('TITULADOS plan'!AB58:AB63)</f>
        <v>156</v>
      </c>
      <c r="Y25" s="998">
        <f>SUM('TITULADOS plan'!AC58:AC63)</f>
        <v>657</v>
      </c>
      <c r="Z25" s="998">
        <f>SUM('TITULADOS plan'!AD58:AD63)</f>
        <v>819</v>
      </c>
    </row>
    <row r="26" spans="2:26" ht="15" customHeight="1" x14ac:dyDescent="0.25">
      <c r="B26" s="562" t="s">
        <v>92</v>
      </c>
      <c r="C26" s="999">
        <f>SUM('TITULADOS plan'!G65:G72)</f>
        <v>895</v>
      </c>
      <c r="D26" s="999">
        <f>SUM('TITULADOS plan'!H65:H72)</f>
        <v>889</v>
      </c>
      <c r="E26" s="999">
        <f>SUM('TITULADOS plan'!I65:I72)</f>
        <v>853</v>
      </c>
      <c r="F26" s="999">
        <f>SUM('TITULADOS plan'!J65:J72)</f>
        <v>994</v>
      </c>
      <c r="G26" s="999">
        <f>SUM('TITULADOS plan'!K65:K72)</f>
        <v>948</v>
      </c>
      <c r="H26" s="999">
        <f>SUM('TITULADOS plan'!L65:L72)</f>
        <v>879</v>
      </c>
      <c r="I26" s="999">
        <f>SUM('TITULADOS plan'!M65:M72)</f>
        <v>968</v>
      </c>
      <c r="J26" s="999">
        <f>SUM('TITULADOS plan'!N65:N72)</f>
        <v>695</v>
      </c>
      <c r="K26" s="999">
        <f>SUM('TITULADOS plan'!O65:O72)</f>
        <v>843</v>
      </c>
      <c r="L26" s="999">
        <f>SUM('TITULADOS plan'!P65:P72)</f>
        <v>808</v>
      </c>
      <c r="M26" s="999">
        <f>SUM('TITULADOS plan'!Q65:Q72)</f>
        <v>987</v>
      </c>
      <c r="N26" s="999">
        <f>SUM('TITULADOS plan'!R65:R72)</f>
        <v>1216</v>
      </c>
      <c r="O26" s="999">
        <f>SUM('TITULADOS plan'!S65:S72)</f>
        <v>1228</v>
      </c>
      <c r="P26" s="999">
        <f>SUM('TITULADOS plan'!T65:T72)</f>
        <v>1144</v>
      </c>
      <c r="Q26" s="999">
        <f>SUM('TITULADOS plan'!U65:U72)</f>
        <v>1109</v>
      </c>
      <c r="R26" s="999">
        <f>SUM('TITULADOS plan'!V65:V72)</f>
        <v>1031</v>
      </c>
      <c r="S26" s="999">
        <f>SUM('TITULADOS plan'!W65:W72)</f>
        <v>944</v>
      </c>
      <c r="T26" s="999">
        <f>SUM('TITULADOS plan'!X65:X72)</f>
        <v>1023</v>
      </c>
      <c r="U26" s="999">
        <f>SUM('TITULADOS plan'!Y65:Y72)</f>
        <v>734</v>
      </c>
      <c r="V26" s="999">
        <f>SUM('TITULADOS plan'!Z65:Z72)</f>
        <v>917</v>
      </c>
      <c r="W26" s="999">
        <f>SUM('TITULADOS plan'!AA65:AA72)</f>
        <v>941</v>
      </c>
      <c r="X26" s="999">
        <f>SUM('TITULADOS plan'!AB65:AB72)</f>
        <v>148</v>
      </c>
      <c r="Y26" s="999">
        <f>SUM('TITULADOS plan'!AC65:AC72)</f>
        <v>702</v>
      </c>
      <c r="Z26" s="999">
        <f>SUM('TITULADOS plan'!AD65:AD72)</f>
        <v>967</v>
      </c>
    </row>
    <row r="27" spans="2:26" ht="15" customHeight="1" x14ac:dyDescent="0.25">
      <c r="B27" s="565" t="s">
        <v>68</v>
      </c>
      <c r="C27" s="999">
        <f>SUM('TITULADOS plan'!G74:G77)</f>
        <v>258</v>
      </c>
      <c r="D27" s="999">
        <f>SUM('TITULADOS plan'!H74:H77)</f>
        <v>236</v>
      </c>
      <c r="E27" s="999">
        <f>SUM('TITULADOS plan'!I74:I77)</f>
        <v>327</v>
      </c>
      <c r="F27" s="999">
        <f>SUM('TITULADOS plan'!J74:J77)</f>
        <v>374</v>
      </c>
      <c r="G27" s="999">
        <f>SUM('TITULADOS plan'!K74:K77)</f>
        <v>348</v>
      </c>
      <c r="H27" s="999">
        <f>SUM('TITULADOS plan'!L74:L77)</f>
        <v>285</v>
      </c>
      <c r="I27" s="999">
        <f>SUM('TITULADOS plan'!M74:M77)</f>
        <v>268</v>
      </c>
      <c r="J27" s="999">
        <f>SUM('TITULADOS plan'!N74:N77)</f>
        <v>300</v>
      </c>
      <c r="K27" s="999">
        <f>SUM('TITULADOS plan'!O74:O77)</f>
        <v>292</v>
      </c>
      <c r="L27" s="999">
        <f>SUM('TITULADOS plan'!P74:P77)</f>
        <v>260</v>
      </c>
      <c r="M27" s="999">
        <f>SUM('TITULADOS plan'!Q74:Q77)</f>
        <v>369</v>
      </c>
      <c r="N27" s="999">
        <f>SUM('TITULADOS plan'!R74:R77)</f>
        <v>380</v>
      </c>
      <c r="O27" s="999">
        <f>SUM('TITULADOS plan'!S74:S77)</f>
        <v>344</v>
      </c>
      <c r="P27" s="999">
        <f>SUM('TITULADOS plan'!T74:T77)</f>
        <v>345</v>
      </c>
      <c r="Q27" s="999">
        <f>SUM('TITULADOS plan'!U74:U77)</f>
        <v>319</v>
      </c>
      <c r="R27" s="999">
        <f>SUM('TITULADOS plan'!V74:V77)</f>
        <v>376</v>
      </c>
      <c r="S27" s="999">
        <f>SUM('TITULADOS plan'!W74:W77)</f>
        <v>349</v>
      </c>
      <c r="T27" s="999">
        <f>SUM('TITULADOS plan'!X74:X77)</f>
        <v>431</v>
      </c>
      <c r="U27" s="999">
        <f>SUM('TITULADOS plan'!Y74:Y77)</f>
        <v>295</v>
      </c>
      <c r="V27" s="999">
        <f>SUM('TITULADOS plan'!Z74:Z77)</f>
        <v>406</v>
      </c>
      <c r="W27" s="999">
        <f>SUM('TITULADOS plan'!AA74:AA77)</f>
        <v>374</v>
      </c>
      <c r="X27" s="999">
        <f>SUM('TITULADOS plan'!AB74:AB77)</f>
        <v>86</v>
      </c>
      <c r="Y27" s="999">
        <f>SUM('TITULADOS plan'!AC74:AC77)</f>
        <v>341</v>
      </c>
      <c r="Z27" s="999">
        <f>SUM('TITULADOS plan'!AD74:AD77)</f>
        <v>403</v>
      </c>
    </row>
    <row r="28" spans="2:26" ht="15" customHeight="1" x14ac:dyDescent="0.25">
      <c r="B28" s="575" t="s">
        <v>137</v>
      </c>
      <c r="C28" s="1014">
        <f t="shared" ref="C28:X28" si="9">C25+C26+C27</f>
        <v>1832</v>
      </c>
      <c r="D28" s="1014">
        <f t="shared" si="9"/>
        <v>1744</v>
      </c>
      <c r="E28" s="1014">
        <f t="shared" si="9"/>
        <v>1894</v>
      </c>
      <c r="F28" s="1014">
        <f t="shared" si="9"/>
        <v>2117</v>
      </c>
      <c r="G28" s="1014">
        <f t="shared" si="9"/>
        <v>2100</v>
      </c>
      <c r="H28" s="1014">
        <f t="shared" si="9"/>
        <v>1943</v>
      </c>
      <c r="I28" s="1014">
        <f t="shared" si="9"/>
        <v>1915</v>
      </c>
      <c r="J28" s="1014">
        <f t="shared" si="9"/>
        <v>1667</v>
      </c>
      <c r="K28" s="1014">
        <f t="shared" si="9"/>
        <v>1851</v>
      </c>
      <c r="L28" s="1014">
        <f t="shared" si="9"/>
        <v>1687</v>
      </c>
      <c r="M28" s="1014">
        <f t="shared" si="9"/>
        <v>2167</v>
      </c>
      <c r="N28" s="1014">
        <f t="shared" si="9"/>
        <v>2431</v>
      </c>
      <c r="O28" s="1014">
        <f t="shared" si="9"/>
        <v>2420</v>
      </c>
      <c r="P28" s="1014">
        <f t="shared" si="9"/>
        <v>2229</v>
      </c>
      <c r="Q28" s="1014">
        <f t="shared" si="9"/>
        <v>2093</v>
      </c>
      <c r="R28" s="1014">
        <f t="shared" si="9"/>
        <v>2157</v>
      </c>
      <c r="S28" s="1014">
        <f t="shared" si="9"/>
        <v>1948</v>
      </c>
      <c r="T28" s="1014">
        <f t="shared" si="9"/>
        <v>2182</v>
      </c>
      <c r="U28" s="1014">
        <f t="shared" si="9"/>
        <v>1505</v>
      </c>
      <c r="V28" s="1014">
        <f t="shared" si="9"/>
        <v>1975</v>
      </c>
      <c r="W28" s="1014">
        <f t="shared" si="9"/>
        <v>1895</v>
      </c>
      <c r="X28" s="1014">
        <f t="shared" si="9"/>
        <v>390</v>
      </c>
      <c r="Y28" s="1014">
        <f t="shared" ref="Y28:Z28" si="10">Y25+Y26+Y27</f>
        <v>1700</v>
      </c>
      <c r="Z28" s="1014">
        <f t="shared" si="10"/>
        <v>2189</v>
      </c>
    </row>
    <row r="29" spans="2:26" ht="14.4" x14ac:dyDescent="0.25">
      <c r="B29" s="557"/>
      <c r="C29" s="1015"/>
      <c r="D29" s="1015"/>
      <c r="E29" s="1015"/>
      <c r="F29" s="1015"/>
      <c r="G29" s="1015"/>
      <c r="H29" s="1015"/>
      <c r="I29" s="1015"/>
      <c r="J29" s="1015"/>
      <c r="K29" s="1015"/>
      <c r="L29" s="1015"/>
      <c r="M29" s="1016"/>
      <c r="N29" s="1016"/>
      <c r="O29" s="1016"/>
      <c r="P29" s="1016"/>
      <c r="Q29" s="1016"/>
      <c r="R29" s="1016"/>
      <c r="S29" s="1016"/>
      <c r="T29" s="1016"/>
      <c r="U29" s="1016"/>
      <c r="V29" s="1016"/>
      <c r="W29" s="1016"/>
      <c r="X29" s="1016"/>
      <c r="Y29" s="1016"/>
      <c r="Z29" s="1016"/>
    </row>
    <row r="30" spans="2:26" ht="14.4" x14ac:dyDescent="0.25">
      <c r="B30" s="559" t="s">
        <v>59</v>
      </c>
      <c r="C30" s="1017">
        <f t="shared" ref="C30:P30" si="11">SUM(C5,C15)</f>
        <v>630</v>
      </c>
      <c r="D30" s="1017">
        <f t="shared" si="11"/>
        <v>537</v>
      </c>
      <c r="E30" s="1017">
        <f t="shared" si="11"/>
        <v>550</v>
      </c>
      <c r="F30" s="1017">
        <f t="shared" si="11"/>
        <v>535</v>
      </c>
      <c r="G30" s="1017">
        <f t="shared" si="11"/>
        <v>614</v>
      </c>
      <c r="H30" s="1017">
        <f t="shared" si="11"/>
        <v>592</v>
      </c>
      <c r="I30" s="1017">
        <f t="shared" si="11"/>
        <v>574</v>
      </c>
      <c r="J30" s="1017">
        <f t="shared" si="11"/>
        <v>629</v>
      </c>
      <c r="K30" s="1017">
        <f t="shared" si="11"/>
        <v>597</v>
      </c>
      <c r="L30" s="1017">
        <f t="shared" si="11"/>
        <v>496</v>
      </c>
      <c r="M30" s="1017">
        <f t="shared" si="11"/>
        <v>504</v>
      </c>
      <c r="N30" s="998">
        <f t="shared" si="11"/>
        <v>563</v>
      </c>
      <c r="O30" s="998">
        <f t="shared" si="11"/>
        <v>554</v>
      </c>
      <c r="P30" s="998">
        <f t="shared" si="11"/>
        <v>559</v>
      </c>
      <c r="Q30" s="998">
        <f>SUM(Q5,Q15)</f>
        <v>566</v>
      </c>
      <c r="R30" s="998">
        <f>SUM(R5,R15)</f>
        <v>744</v>
      </c>
      <c r="S30" s="998">
        <f t="shared" ref="S30:X30" si="12">SUM(S5,S15,S20)</f>
        <v>576</v>
      </c>
      <c r="T30" s="998">
        <f t="shared" si="12"/>
        <v>746</v>
      </c>
      <c r="U30" s="998">
        <f t="shared" si="12"/>
        <v>570</v>
      </c>
      <c r="V30" s="998">
        <f t="shared" si="12"/>
        <v>831</v>
      </c>
      <c r="W30" s="998">
        <f t="shared" si="12"/>
        <v>590</v>
      </c>
      <c r="X30" s="998">
        <f t="shared" si="12"/>
        <v>184</v>
      </c>
      <c r="Y30" s="998">
        <f t="shared" ref="Y30:Z30" si="13">SUM(Y5,Y15,Y20)</f>
        <v>766</v>
      </c>
      <c r="Z30" s="998">
        <f t="shared" si="13"/>
        <v>803</v>
      </c>
    </row>
    <row r="31" spans="2:26" ht="14.4" x14ac:dyDescent="0.25">
      <c r="B31" s="562" t="s">
        <v>64</v>
      </c>
      <c r="C31" s="1018">
        <f t="shared" ref="C31:P31" si="14">SUM(C6,C10,C16,C25)</f>
        <v>1698</v>
      </c>
      <c r="D31" s="1018">
        <f t="shared" si="14"/>
        <v>1650</v>
      </c>
      <c r="E31" s="1018">
        <f t="shared" si="14"/>
        <v>1764</v>
      </c>
      <c r="F31" s="1018">
        <f t="shared" si="14"/>
        <v>1785</v>
      </c>
      <c r="G31" s="1018">
        <f t="shared" si="14"/>
        <v>1915</v>
      </c>
      <c r="H31" s="1018">
        <f t="shared" si="14"/>
        <v>1782</v>
      </c>
      <c r="I31" s="1018">
        <f t="shared" si="14"/>
        <v>1646</v>
      </c>
      <c r="J31" s="1018">
        <f t="shared" si="14"/>
        <v>1582</v>
      </c>
      <c r="K31" s="1018">
        <f t="shared" si="14"/>
        <v>1660</v>
      </c>
      <c r="L31" s="1018">
        <f t="shared" si="14"/>
        <v>1428</v>
      </c>
      <c r="M31" s="1018">
        <f t="shared" si="14"/>
        <v>1644</v>
      </c>
      <c r="N31" s="999">
        <f t="shared" si="14"/>
        <v>1800</v>
      </c>
      <c r="O31" s="999">
        <f t="shared" si="14"/>
        <v>1827</v>
      </c>
      <c r="P31" s="999">
        <f t="shared" si="14"/>
        <v>1672</v>
      </c>
      <c r="Q31" s="999">
        <f>SUM(Q6,Q10,Q16,Q25)</f>
        <v>1703</v>
      </c>
      <c r="R31" s="999">
        <f>SUM(R6,R10,R16,R25)</f>
        <v>1810</v>
      </c>
      <c r="S31" s="999">
        <f t="shared" ref="S31:X31" si="15">SUM(S6,S10,S16,S21,S25)</f>
        <v>1526</v>
      </c>
      <c r="T31" s="999">
        <f t="shared" si="15"/>
        <v>1872</v>
      </c>
      <c r="U31" s="999">
        <f t="shared" si="15"/>
        <v>1463</v>
      </c>
      <c r="V31" s="999">
        <f t="shared" si="15"/>
        <v>2540</v>
      </c>
      <c r="W31" s="999">
        <f t="shared" si="15"/>
        <v>1612</v>
      </c>
      <c r="X31" s="999">
        <f t="shared" si="15"/>
        <v>457</v>
      </c>
      <c r="Y31" s="999">
        <f t="shared" ref="Y31:Z31" si="16">SUM(Y6,Y10,Y16,Y21,Y25)</f>
        <v>1800</v>
      </c>
      <c r="Z31" s="999">
        <f t="shared" si="16"/>
        <v>2094</v>
      </c>
    </row>
    <row r="32" spans="2:26" ht="14.4" x14ac:dyDescent="0.25">
      <c r="B32" s="562" t="s">
        <v>92</v>
      </c>
      <c r="C32" s="1018">
        <f t="shared" ref="C32:P32" si="17">SUM(C17,C26)</f>
        <v>1082</v>
      </c>
      <c r="D32" s="1018">
        <f t="shared" si="17"/>
        <v>1031</v>
      </c>
      <c r="E32" s="1018">
        <f t="shared" si="17"/>
        <v>1053</v>
      </c>
      <c r="F32" s="1018">
        <f t="shared" si="17"/>
        <v>1185</v>
      </c>
      <c r="G32" s="1018">
        <f t="shared" si="17"/>
        <v>1209</v>
      </c>
      <c r="H32" s="1018">
        <f t="shared" si="17"/>
        <v>1189</v>
      </c>
      <c r="I32" s="1018">
        <f t="shared" si="17"/>
        <v>1291</v>
      </c>
      <c r="J32" s="1018">
        <f t="shared" si="17"/>
        <v>1031</v>
      </c>
      <c r="K32" s="1018">
        <f t="shared" si="17"/>
        <v>1170</v>
      </c>
      <c r="L32" s="1018">
        <f t="shared" si="17"/>
        <v>1058</v>
      </c>
      <c r="M32" s="1018">
        <f t="shared" si="17"/>
        <v>1277</v>
      </c>
      <c r="N32" s="999">
        <f t="shared" si="17"/>
        <v>1475</v>
      </c>
      <c r="O32" s="999">
        <f t="shared" si="17"/>
        <v>1521</v>
      </c>
      <c r="P32" s="999">
        <f t="shared" si="17"/>
        <v>1393</v>
      </c>
      <c r="Q32" s="999">
        <f>SUM(Q17,Q26)</f>
        <v>1362</v>
      </c>
      <c r="R32" s="999">
        <f>SUM(R17,R26)</f>
        <v>1400</v>
      </c>
      <c r="S32" s="999">
        <f t="shared" ref="S32:X32" si="18">SUM(S17,S22,S26)</f>
        <v>1193</v>
      </c>
      <c r="T32" s="999">
        <f t="shared" si="18"/>
        <v>1390</v>
      </c>
      <c r="U32" s="999">
        <f t="shared" si="18"/>
        <v>999</v>
      </c>
      <c r="V32" s="999">
        <f t="shared" si="18"/>
        <v>1149</v>
      </c>
      <c r="W32" s="999">
        <f t="shared" si="18"/>
        <v>1339</v>
      </c>
      <c r="X32" s="999">
        <f t="shared" si="18"/>
        <v>231</v>
      </c>
      <c r="Y32" s="999">
        <f t="shared" ref="Y32:Z32" si="19">SUM(Y17,Y22,Y26)</f>
        <v>1072</v>
      </c>
      <c r="Z32" s="999">
        <f t="shared" si="19"/>
        <v>1473</v>
      </c>
    </row>
    <row r="33" spans="2:26" ht="14.4" x14ac:dyDescent="0.25">
      <c r="B33" s="565" t="s">
        <v>68</v>
      </c>
      <c r="C33" s="1018">
        <f t="shared" ref="C33:V33" si="20">SUM(C7,C27)</f>
        <v>604</v>
      </c>
      <c r="D33" s="1018">
        <f t="shared" si="20"/>
        <v>570</v>
      </c>
      <c r="E33" s="1018">
        <f t="shared" si="20"/>
        <v>706</v>
      </c>
      <c r="F33" s="1018">
        <f t="shared" si="20"/>
        <v>652</v>
      </c>
      <c r="G33" s="1018">
        <f t="shared" si="20"/>
        <v>668</v>
      </c>
      <c r="H33" s="1018">
        <f t="shared" si="20"/>
        <v>596</v>
      </c>
      <c r="I33" s="1018">
        <f t="shared" si="20"/>
        <v>539</v>
      </c>
      <c r="J33" s="1018">
        <f t="shared" si="20"/>
        <v>571</v>
      </c>
      <c r="K33" s="1018">
        <f t="shared" si="20"/>
        <v>621</v>
      </c>
      <c r="L33" s="1018">
        <f t="shared" si="20"/>
        <v>505</v>
      </c>
      <c r="M33" s="1018">
        <f t="shared" si="20"/>
        <v>755</v>
      </c>
      <c r="N33" s="999">
        <f t="shared" si="20"/>
        <v>691</v>
      </c>
      <c r="O33" s="999">
        <f t="shared" si="20"/>
        <v>621</v>
      </c>
      <c r="P33" s="999">
        <f t="shared" si="20"/>
        <v>544</v>
      </c>
      <c r="Q33" s="999">
        <f t="shared" si="20"/>
        <v>581</v>
      </c>
      <c r="R33" s="999">
        <f t="shared" si="20"/>
        <v>688</v>
      </c>
      <c r="S33" s="999">
        <f t="shared" si="20"/>
        <v>573</v>
      </c>
      <c r="T33" s="999">
        <f t="shared" si="20"/>
        <v>686</v>
      </c>
      <c r="U33" s="999">
        <f t="shared" si="20"/>
        <v>479</v>
      </c>
      <c r="V33" s="999">
        <f t="shared" si="20"/>
        <v>799</v>
      </c>
      <c r="W33" s="999">
        <f>SUM(W7,W27)</f>
        <v>610</v>
      </c>
      <c r="X33" s="999">
        <f>SUM(X7,X27)</f>
        <v>158</v>
      </c>
      <c r="Y33" s="999">
        <f>SUM(Y7,Y27)</f>
        <v>638</v>
      </c>
      <c r="Z33" s="999">
        <f>SUM(Z7,Z27)</f>
        <v>768</v>
      </c>
    </row>
    <row r="34" spans="2:26" ht="14.4" x14ac:dyDescent="0.25">
      <c r="B34" s="562" t="s">
        <v>111</v>
      </c>
      <c r="C34" s="1018">
        <f t="shared" ref="C34:V35" si="21">SUM(C11)</f>
        <v>0</v>
      </c>
      <c r="D34" s="1018">
        <f t="shared" si="21"/>
        <v>0</v>
      </c>
      <c r="E34" s="1018">
        <f t="shared" si="21"/>
        <v>0</v>
      </c>
      <c r="F34" s="1018">
        <f t="shared" si="21"/>
        <v>0</v>
      </c>
      <c r="G34" s="1018">
        <f t="shared" si="21"/>
        <v>0</v>
      </c>
      <c r="H34" s="1018">
        <f t="shared" si="21"/>
        <v>0</v>
      </c>
      <c r="I34" s="1018">
        <f t="shared" si="21"/>
        <v>0</v>
      </c>
      <c r="J34" s="1018">
        <f t="shared" si="21"/>
        <v>0</v>
      </c>
      <c r="K34" s="1018">
        <f t="shared" si="21"/>
        <v>0</v>
      </c>
      <c r="L34" s="1018">
        <f t="shared" si="21"/>
        <v>0</v>
      </c>
      <c r="M34" s="1018">
        <f t="shared" si="21"/>
        <v>0</v>
      </c>
      <c r="N34" s="999">
        <f t="shared" si="21"/>
        <v>3</v>
      </c>
      <c r="O34" s="999">
        <f t="shared" si="21"/>
        <v>7</v>
      </c>
      <c r="P34" s="999">
        <f t="shared" si="21"/>
        <v>31</v>
      </c>
      <c r="Q34" s="999">
        <f t="shared" si="21"/>
        <v>37</v>
      </c>
      <c r="R34" s="999">
        <f t="shared" si="21"/>
        <v>30</v>
      </c>
      <c r="S34" s="999">
        <f t="shared" si="21"/>
        <v>35</v>
      </c>
      <c r="T34" s="999">
        <f t="shared" si="21"/>
        <v>34</v>
      </c>
      <c r="U34" s="999">
        <f t="shared" si="21"/>
        <v>32</v>
      </c>
      <c r="V34" s="999">
        <f t="shared" si="21"/>
        <v>48</v>
      </c>
      <c r="W34" s="999">
        <f t="shared" ref="W34:Y35" si="22">SUM(W11)</f>
        <v>39</v>
      </c>
      <c r="X34" s="999">
        <f t="shared" si="22"/>
        <v>13</v>
      </c>
      <c r="Y34" s="999">
        <f t="shared" si="22"/>
        <v>84</v>
      </c>
      <c r="Z34" s="999">
        <f t="shared" ref="Z34" si="23">SUM(Z11)</f>
        <v>112</v>
      </c>
    </row>
    <row r="35" spans="2:26" ht="14.4" x14ac:dyDescent="0.25">
      <c r="B35" s="565" t="s">
        <v>115</v>
      </c>
      <c r="C35" s="1019">
        <f t="shared" si="21"/>
        <v>0</v>
      </c>
      <c r="D35" s="1019">
        <f t="shared" si="21"/>
        <v>0</v>
      </c>
      <c r="E35" s="1019">
        <f t="shared" si="21"/>
        <v>0</v>
      </c>
      <c r="F35" s="1019">
        <f t="shared" si="21"/>
        <v>0</v>
      </c>
      <c r="G35" s="1019">
        <f t="shared" si="21"/>
        <v>0</v>
      </c>
      <c r="H35" s="1019">
        <f t="shared" si="21"/>
        <v>0</v>
      </c>
      <c r="I35" s="1019">
        <f t="shared" si="21"/>
        <v>0</v>
      </c>
      <c r="J35" s="1019">
        <f t="shared" si="21"/>
        <v>0</v>
      </c>
      <c r="K35" s="1019">
        <f t="shared" si="21"/>
        <v>0</v>
      </c>
      <c r="L35" s="1019">
        <f t="shared" si="21"/>
        <v>0</v>
      </c>
      <c r="M35" s="1019">
        <f t="shared" si="21"/>
        <v>0</v>
      </c>
      <c r="N35" s="1020">
        <f t="shared" si="21"/>
        <v>5</v>
      </c>
      <c r="O35" s="1020">
        <f t="shared" si="21"/>
        <v>9</v>
      </c>
      <c r="P35" s="1020">
        <f t="shared" si="21"/>
        <v>6</v>
      </c>
      <c r="Q35" s="1020">
        <f t="shared" si="21"/>
        <v>19</v>
      </c>
      <c r="R35" s="1020">
        <f t="shared" si="21"/>
        <v>18</v>
      </c>
      <c r="S35" s="1020">
        <f t="shared" si="21"/>
        <v>20</v>
      </c>
      <c r="T35" s="1020">
        <f t="shared" si="21"/>
        <v>35</v>
      </c>
      <c r="U35" s="1020">
        <f t="shared" si="21"/>
        <v>36</v>
      </c>
      <c r="V35" s="1020">
        <f t="shared" si="21"/>
        <v>35</v>
      </c>
      <c r="W35" s="1020">
        <f t="shared" si="22"/>
        <v>70</v>
      </c>
      <c r="X35" s="1020">
        <f t="shared" si="22"/>
        <v>12</v>
      </c>
      <c r="Y35" s="1020">
        <f t="shared" si="22"/>
        <v>77</v>
      </c>
      <c r="Z35" s="1020">
        <f t="shared" ref="Z35" si="24">SUM(Z12)</f>
        <v>106</v>
      </c>
    </row>
    <row r="36" spans="2:26" ht="14.4" x14ac:dyDescent="0.25">
      <c r="B36" s="579" t="s">
        <v>128</v>
      </c>
      <c r="C36" s="1021">
        <f t="shared" ref="C36:L36" si="25">SUM(C30:C35)</f>
        <v>4014</v>
      </c>
      <c r="D36" s="1021">
        <f t="shared" si="25"/>
        <v>3788</v>
      </c>
      <c r="E36" s="1021">
        <f t="shared" si="25"/>
        <v>4073</v>
      </c>
      <c r="F36" s="1021">
        <f t="shared" si="25"/>
        <v>4157</v>
      </c>
      <c r="G36" s="1021">
        <f t="shared" si="25"/>
        <v>4406</v>
      </c>
      <c r="H36" s="1021">
        <f t="shared" si="25"/>
        <v>4159</v>
      </c>
      <c r="I36" s="1021">
        <f t="shared" si="25"/>
        <v>4050</v>
      </c>
      <c r="J36" s="1021">
        <f t="shared" si="25"/>
        <v>3813</v>
      </c>
      <c r="K36" s="1021">
        <f t="shared" si="25"/>
        <v>4048</v>
      </c>
      <c r="L36" s="1021">
        <f t="shared" si="25"/>
        <v>3487</v>
      </c>
      <c r="M36" s="1021">
        <f t="shared" ref="M36:X36" si="26">SUM(M30:M35)</f>
        <v>4180</v>
      </c>
      <c r="N36" s="1021">
        <f t="shared" si="26"/>
        <v>4537</v>
      </c>
      <c r="O36" s="1021">
        <f t="shared" si="26"/>
        <v>4539</v>
      </c>
      <c r="P36" s="1021">
        <f t="shared" si="26"/>
        <v>4205</v>
      </c>
      <c r="Q36" s="1021">
        <f t="shared" si="26"/>
        <v>4268</v>
      </c>
      <c r="R36" s="1021">
        <f t="shared" si="26"/>
        <v>4690</v>
      </c>
      <c r="S36" s="1021">
        <f t="shared" si="26"/>
        <v>3923</v>
      </c>
      <c r="T36" s="1021">
        <f t="shared" si="26"/>
        <v>4763</v>
      </c>
      <c r="U36" s="1021">
        <f t="shared" si="26"/>
        <v>3579</v>
      </c>
      <c r="V36" s="1021">
        <f t="shared" si="26"/>
        <v>5402</v>
      </c>
      <c r="W36" s="1021">
        <f t="shared" si="26"/>
        <v>4260</v>
      </c>
      <c r="X36" s="1021">
        <f t="shared" si="26"/>
        <v>1055</v>
      </c>
      <c r="Y36" s="1021">
        <f t="shared" ref="Y36:Z36" si="27">SUM(Y30:Y35)</f>
        <v>4437</v>
      </c>
      <c r="Z36" s="1021">
        <f t="shared" si="27"/>
        <v>5356</v>
      </c>
    </row>
    <row r="37" spans="2:26" ht="13.8" x14ac:dyDescent="0.25">
      <c r="W37" s="992"/>
      <c r="Y37" s="4645"/>
      <c r="Z37" s="4645"/>
    </row>
    <row r="38" spans="2:26" x14ac:dyDescent="0.25">
      <c r="V38" s="1022"/>
      <c r="W38" s="1022"/>
      <c r="X38" s="1022"/>
    </row>
    <row r="39" spans="2:26" x14ac:dyDescent="0.25">
      <c r="W39" s="992"/>
      <c r="X39" s="992"/>
    </row>
  </sheetData>
  <printOptions horizontalCentered="1" verticalCentered="1"/>
  <pageMargins left="0.51181102362204722" right="0.51181102362204722" top="0.74803149606299213" bottom="0.74803149606299213" header="0.31496062992125984" footer="0.31496062992125984"/>
  <pageSetup scale="75" firstPageNumber="43" pageOrder="overThenDown" orientation="landscape" useFirstPageNumber="1" r:id="rId1"/>
  <headerFooter scaleWithDoc="0" alignWithMargins="0">
    <oddFooter>&amp;R&amp;P</oddFooter>
  </headerFooter>
  <rowBreaks count="1" manualBreakCount="1">
    <brk id="38" max="16383" man="1"/>
  </rowBreaks>
  <ignoredErrors>
    <ignoredError sqref="S10:S11" formulaRange="1"/>
  </ignoredError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B2:H140"/>
  <sheetViews>
    <sheetView showGridLines="0" zoomScale="120" zoomScaleNormal="120" workbookViewId="0">
      <selection activeCell="Q31" sqref="Q31"/>
    </sheetView>
  </sheetViews>
  <sheetFormatPr baseColWidth="10" defaultRowHeight="13.2" x14ac:dyDescent="0.25"/>
  <cols>
    <col min="1" max="1" width="2.88671875" customWidth="1"/>
    <col min="2" max="2" width="15.88671875" customWidth="1"/>
    <col min="3" max="3" width="37.88671875" bestFit="1" customWidth="1"/>
    <col min="4" max="4" width="17.88671875" customWidth="1"/>
    <col min="5" max="5" width="20.88671875" customWidth="1"/>
    <col min="6" max="6" width="31.109375" bestFit="1" customWidth="1"/>
    <col min="7" max="7" width="18.88671875" customWidth="1"/>
    <col min="8" max="8" width="20.88671875" customWidth="1"/>
  </cols>
  <sheetData>
    <row r="2" spans="2:8" ht="15.6" x14ac:dyDescent="0.3">
      <c r="B2" s="548" t="s">
        <v>185</v>
      </c>
      <c r="C2" s="548"/>
      <c r="D2" s="548"/>
      <c r="E2" s="548"/>
      <c r="F2" s="548"/>
      <c r="G2" s="548"/>
      <c r="H2" s="548"/>
    </row>
    <row r="5" spans="2:8" ht="15.6" x14ac:dyDescent="0.25">
      <c r="B5" s="748"/>
      <c r="C5" s="748"/>
      <c r="D5" s="748"/>
      <c r="E5" s="1023"/>
      <c r="F5" s="1024" t="s">
        <v>1556</v>
      </c>
    </row>
    <row r="6" spans="2:8" ht="29.4" thickBot="1" x14ac:dyDescent="0.3">
      <c r="B6" s="5201" t="s">
        <v>186</v>
      </c>
      <c r="C6" s="1025" t="s">
        <v>45</v>
      </c>
      <c r="D6" s="1025" t="s">
        <v>187</v>
      </c>
      <c r="E6" s="5201" t="s">
        <v>188</v>
      </c>
      <c r="F6" s="1025" t="s">
        <v>189</v>
      </c>
    </row>
    <row r="7" spans="2:8" ht="15" customHeight="1" x14ac:dyDescent="0.25">
      <c r="B7" s="748"/>
      <c r="C7" s="748"/>
      <c r="D7" s="748"/>
      <c r="E7" s="748"/>
      <c r="F7" s="748"/>
    </row>
    <row r="8" spans="2:8" ht="15" customHeight="1" x14ac:dyDescent="0.25">
      <c r="B8" s="5748" t="s">
        <v>190</v>
      </c>
      <c r="C8" s="1026" t="s">
        <v>191</v>
      </c>
      <c r="D8" s="1027" t="s">
        <v>192</v>
      </c>
      <c r="E8" s="1028">
        <v>45630</v>
      </c>
      <c r="F8" s="1029"/>
    </row>
    <row r="9" spans="2:8" ht="14.4" x14ac:dyDescent="0.25">
      <c r="B9" s="5760"/>
      <c r="C9" s="1030" t="s">
        <v>193</v>
      </c>
      <c r="D9" s="1031" t="s">
        <v>192</v>
      </c>
      <c r="E9" s="1028">
        <v>45630</v>
      </c>
      <c r="F9" s="1032"/>
    </row>
    <row r="10" spans="2:8" ht="14.4" x14ac:dyDescent="0.25">
      <c r="B10" s="5760"/>
      <c r="C10" s="1030" t="s">
        <v>194</v>
      </c>
      <c r="D10" s="1031" t="s">
        <v>192</v>
      </c>
      <c r="E10" s="1028">
        <v>44899</v>
      </c>
      <c r="F10" s="1032"/>
    </row>
    <row r="11" spans="2:8" ht="14.4" x14ac:dyDescent="0.25">
      <c r="B11" s="5760"/>
      <c r="C11" s="1030" t="s">
        <v>195</v>
      </c>
      <c r="D11" s="1031" t="s">
        <v>192</v>
      </c>
      <c r="E11" s="1028">
        <v>44899</v>
      </c>
      <c r="F11" s="1032"/>
    </row>
    <row r="12" spans="2:8" ht="14.4" x14ac:dyDescent="0.25">
      <c r="B12" s="5760"/>
      <c r="C12" s="1030" t="s">
        <v>196</v>
      </c>
      <c r="D12" s="1031" t="s">
        <v>192</v>
      </c>
      <c r="E12" s="1028">
        <v>45630</v>
      </c>
      <c r="F12" s="1032"/>
    </row>
    <row r="13" spans="2:8" ht="14.4" x14ac:dyDescent="0.25">
      <c r="B13" s="5760"/>
      <c r="C13" s="1030" t="s">
        <v>197</v>
      </c>
      <c r="D13" s="1031" t="s">
        <v>192</v>
      </c>
      <c r="E13" s="1028">
        <v>44899</v>
      </c>
      <c r="F13" s="1032"/>
    </row>
    <row r="14" spans="2:8" ht="14.4" x14ac:dyDescent="0.25">
      <c r="B14" s="5760"/>
      <c r="C14" s="1030" t="s">
        <v>198</v>
      </c>
      <c r="D14" s="1031" t="s">
        <v>192</v>
      </c>
      <c r="E14" s="1028">
        <v>44899</v>
      </c>
      <c r="F14" s="1032"/>
    </row>
    <row r="15" spans="2:8" ht="14.4" x14ac:dyDescent="0.25">
      <c r="B15" s="5760"/>
      <c r="C15" s="1030" t="s">
        <v>199</v>
      </c>
      <c r="D15" s="1031" t="s">
        <v>192</v>
      </c>
      <c r="E15" s="1028">
        <v>44899</v>
      </c>
      <c r="F15" s="1032"/>
    </row>
    <row r="16" spans="2:8" ht="14.4" x14ac:dyDescent="0.25">
      <c r="B16" s="5760"/>
      <c r="C16" s="1030" t="s">
        <v>200</v>
      </c>
      <c r="D16" s="1031" t="s">
        <v>192</v>
      </c>
      <c r="E16" s="1028">
        <v>44899</v>
      </c>
      <c r="F16" s="1032"/>
    </row>
    <row r="17" spans="2:6" ht="15" customHeight="1" x14ac:dyDescent="0.25">
      <c r="B17" s="5760"/>
      <c r="C17" s="1033" t="s">
        <v>58</v>
      </c>
      <c r="D17" s="1034" t="s">
        <v>192</v>
      </c>
      <c r="E17" s="1028">
        <v>45630</v>
      </c>
      <c r="F17" s="1035"/>
    </row>
    <row r="18" spans="2:6" ht="15" customHeight="1" x14ac:dyDescent="0.25">
      <c r="B18" s="5749" t="s">
        <v>201</v>
      </c>
      <c r="C18" s="4542" t="s">
        <v>60</v>
      </c>
      <c r="D18" s="4543" t="s">
        <v>202</v>
      </c>
      <c r="E18" s="4544">
        <v>44994</v>
      </c>
      <c r="F18" s="4545"/>
    </row>
    <row r="19" spans="2:6" ht="14.4" x14ac:dyDescent="0.25">
      <c r="B19" s="5749"/>
      <c r="C19" s="1030" t="s">
        <v>61</v>
      </c>
      <c r="D19" s="1036"/>
      <c r="E19" s="1037"/>
      <c r="F19" s="1032"/>
    </row>
    <row r="20" spans="2:6" ht="14.4" x14ac:dyDescent="0.25">
      <c r="B20" s="5749"/>
      <c r="C20" s="1030" t="s">
        <v>62</v>
      </c>
      <c r="D20" s="1036" t="s">
        <v>203</v>
      </c>
      <c r="E20" s="5203" t="s">
        <v>1400</v>
      </c>
      <c r="F20" s="1038"/>
    </row>
    <row r="21" spans="2:6" ht="15" customHeight="1" x14ac:dyDescent="0.25">
      <c r="B21" s="5749"/>
      <c r="C21" s="1039" t="s">
        <v>63</v>
      </c>
      <c r="D21" s="1040"/>
      <c r="E21" s="1041"/>
      <c r="F21" s="4546"/>
    </row>
    <row r="22" spans="2:6" ht="15" customHeight="1" x14ac:dyDescent="0.25">
      <c r="B22" s="5760" t="s">
        <v>205</v>
      </c>
      <c r="C22" s="4542" t="s">
        <v>65</v>
      </c>
      <c r="D22" s="4543" t="s">
        <v>206</v>
      </c>
      <c r="E22" s="4547">
        <v>45107</v>
      </c>
      <c r="F22" s="4545"/>
    </row>
    <row r="23" spans="2:6" ht="14.4" x14ac:dyDescent="0.25">
      <c r="B23" s="5760"/>
      <c r="C23" s="1030" t="s">
        <v>66</v>
      </c>
      <c r="D23" s="1036" t="s">
        <v>1401</v>
      </c>
      <c r="E23" s="1042" t="s">
        <v>1402</v>
      </c>
      <c r="F23" s="1029" t="s">
        <v>1403</v>
      </c>
    </row>
    <row r="24" spans="2:6" ht="12.75" customHeight="1" x14ac:dyDescent="0.25">
      <c r="B24" s="5760"/>
      <c r="C24" s="1039" t="s">
        <v>67</v>
      </c>
      <c r="D24" s="1040" t="s">
        <v>1401</v>
      </c>
      <c r="E24" s="1043" t="s">
        <v>1404</v>
      </c>
      <c r="F24" s="1044" t="s">
        <v>1403</v>
      </c>
    </row>
    <row r="25" spans="2:6" ht="12.75" customHeight="1" x14ac:dyDescent="0.25">
      <c r="B25" s="1045" t="s">
        <v>207</v>
      </c>
      <c r="C25" s="1046"/>
      <c r="D25" s="1046"/>
      <c r="E25" s="5746" t="s">
        <v>208</v>
      </c>
      <c r="F25" s="5746"/>
    </row>
    <row r="26" spans="2:6" x14ac:dyDescent="0.25">
      <c r="B26" s="1045" t="s">
        <v>209</v>
      </c>
      <c r="C26" s="1047"/>
      <c r="D26" s="1047"/>
      <c r="E26" s="5746"/>
      <c r="F26" s="5746"/>
    </row>
    <row r="27" spans="2:6" x14ac:dyDescent="0.25">
      <c r="B27" s="1045" t="s">
        <v>210</v>
      </c>
      <c r="C27" s="1045"/>
      <c r="D27" s="1045"/>
      <c r="E27" s="1048"/>
      <c r="F27" s="1048"/>
    </row>
    <row r="28" spans="2:6" x14ac:dyDescent="0.25">
      <c r="B28" s="1045" t="s">
        <v>211</v>
      </c>
      <c r="C28" s="1045"/>
      <c r="D28" s="1045"/>
      <c r="E28" s="1049"/>
      <c r="F28" s="1049"/>
    </row>
    <row r="29" spans="2:6" x14ac:dyDescent="0.25">
      <c r="B29" s="1050" t="s">
        <v>212</v>
      </c>
      <c r="C29" s="1045"/>
      <c r="D29" s="1045"/>
      <c r="E29" s="1049"/>
      <c r="F29" s="1049"/>
    </row>
    <row r="30" spans="2:6" x14ac:dyDescent="0.25">
      <c r="B30" s="1050" t="s">
        <v>213</v>
      </c>
      <c r="C30" s="1050"/>
      <c r="D30" s="1050"/>
      <c r="E30" s="1050"/>
      <c r="F30" s="1050"/>
    </row>
    <row r="31" spans="2:6" ht="12.75" customHeight="1" x14ac:dyDescent="0.25">
      <c r="B31" s="5761" t="s">
        <v>1405</v>
      </c>
      <c r="C31" s="5761"/>
      <c r="D31" s="5761"/>
      <c r="E31" s="5761"/>
      <c r="F31" s="1087"/>
    </row>
    <row r="32" spans="2:6" ht="21.75" customHeight="1" x14ac:dyDescent="0.25">
      <c r="B32" s="5761"/>
      <c r="C32" s="5761"/>
      <c r="D32" s="5761"/>
      <c r="E32" s="5761"/>
      <c r="F32" s="1087"/>
    </row>
    <row r="35" spans="2:6" ht="15.6" x14ac:dyDescent="0.25">
      <c r="B35" s="1051"/>
      <c r="C35" s="748"/>
      <c r="D35" s="1052"/>
      <c r="E35" s="1053"/>
      <c r="F35" s="1054" t="s">
        <v>1557</v>
      </c>
    </row>
    <row r="36" spans="2:6" ht="29.4" thickBot="1" x14ac:dyDescent="0.3">
      <c r="B36" s="5201" t="s">
        <v>186</v>
      </c>
      <c r="C36" s="1025" t="s">
        <v>45</v>
      </c>
      <c r="D36" s="1025" t="s">
        <v>187</v>
      </c>
      <c r="E36" s="5201" t="s">
        <v>188</v>
      </c>
      <c r="F36" s="1025" t="s">
        <v>189</v>
      </c>
    </row>
    <row r="37" spans="2:6" x14ac:dyDescent="0.25">
      <c r="B37" s="748"/>
      <c r="C37" s="748"/>
      <c r="D37" s="748"/>
      <c r="E37" s="748"/>
      <c r="F37" s="748"/>
    </row>
    <row r="38" spans="2:6" ht="15" customHeight="1" x14ac:dyDescent="0.3">
      <c r="B38" s="5762" t="s">
        <v>201</v>
      </c>
      <c r="C38" s="1055" t="s">
        <v>214</v>
      </c>
      <c r="D38" s="1056"/>
      <c r="E38" s="1057"/>
      <c r="F38" s="1058"/>
    </row>
    <row r="39" spans="2:6" ht="14.4" x14ac:dyDescent="0.3">
      <c r="B39" s="5758"/>
      <c r="C39" s="1059" t="s">
        <v>61</v>
      </c>
      <c r="D39" s="1060"/>
      <c r="E39" s="1061"/>
      <c r="F39" s="1062"/>
    </row>
    <row r="40" spans="2:6" ht="14.4" x14ac:dyDescent="0.3">
      <c r="B40" s="5758"/>
      <c r="C40" s="1059" t="s">
        <v>215</v>
      </c>
      <c r="D40" s="1060"/>
      <c r="E40" s="1061"/>
      <c r="F40" s="1062"/>
    </row>
    <row r="41" spans="2:6" ht="14.4" x14ac:dyDescent="0.3">
      <c r="B41" s="5759"/>
      <c r="C41" s="1063" t="s">
        <v>107</v>
      </c>
      <c r="D41" s="1064"/>
      <c r="E41" s="1065"/>
      <c r="F41" s="1066"/>
    </row>
    <row r="42" spans="2:6" ht="15" customHeight="1" x14ac:dyDescent="0.25">
      <c r="B42" s="5763" t="s">
        <v>216</v>
      </c>
      <c r="C42" s="4542" t="s">
        <v>108</v>
      </c>
      <c r="D42" s="4543"/>
      <c r="E42" s="4547"/>
      <c r="F42" s="5204" t="s">
        <v>1558</v>
      </c>
    </row>
    <row r="43" spans="2:6" ht="14.4" x14ac:dyDescent="0.3">
      <c r="B43" s="5764"/>
      <c r="C43" s="1030" t="s">
        <v>217</v>
      </c>
      <c r="D43" s="1067"/>
      <c r="E43" s="1068"/>
      <c r="F43" s="1069"/>
    </row>
    <row r="44" spans="2:6" ht="14.4" x14ac:dyDescent="0.3">
      <c r="B44" s="5765"/>
      <c r="C44" s="1039" t="s">
        <v>110</v>
      </c>
      <c r="D44" s="1040" t="s">
        <v>204</v>
      </c>
      <c r="E44" s="1070">
        <v>45034</v>
      </c>
      <c r="F44" s="1044"/>
    </row>
    <row r="45" spans="2:6" ht="15" customHeight="1" x14ac:dyDescent="0.3">
      <c r="B45" s="5757" t="s">
        <v>218</v>
      </c>
      <c r="C45" s="4542" t="s">
        <v>219</v>
      </c>
      <c r="D45" s="4548" t="s">
        <v>220</v>
      </c>
      <c r="E45" s="4549">
        <v>44695</v>
      </c>
      <c r="F45" s="4550"/>
    </row>
    <row r="46" spans="2:6" ht="14.4" x14ac:dyDescent="0.3">
      <c r="B46" s="5758"/>
      <c r="C46" s="1030" t="s">
        <v>112</v>
      </c>
      <c r="D46" s="1060" t="s">
        <v>221</v>
      </c>
      <c r="E46" s="1061">
        <v>45309</v>
      </c>
      <c r="F46" s="1062"/>
    </row>
    <row r="47" spans="2:6" ht="14.4" x14ac:dyDescent="0.3">
      <c r="B47" s="5758"/>
      <c r="C47" s="1030" t="s">
        <v>222</v>
      </c>
      <c r="D47" s="1060" t="s">
        <v>192</v>
      </c>
      <c r="E47" s="1061" t="s">
        <v>223</v>
      </c>
      <c r="F47" s="1071"/>
    </row>
    <row r="48" spans="2:6" ht="14.4" x14ac:dyDescent="0.3">
      <c r="B48" s="5759"/>
      <c r="C48" s="5205" t="s">
        <v>114</v>
      </c>
      <c r="D48" s="1064" t="s">
        <v>224</v>
      </c>
      <c r="E48" s="1065" t="s">
        <v>225</v>
      </c>
      <c r="F48" s="1072" t="s">
        <v>1406</v>
      </c>
    </row>
    <row r="49" spans="2:6" ht="12.75" customHeight="1" x14ac:dyDescent="0.25">
      <c r="B49" s="1050" t="s">
        <v>212</v>
      </c>
      <c r="C49" s="1046"/>
      <c r="D49" s="1046"/>
      <c r="E49" s="5746" t="s">
        <v>208</v>
      </c>
      <c r="F49" s="5746"/>
    </row>
    <row r="50" spans="2:6" x14ac:dyDescent="0.25">
      <c r="B50" s="1045" t="s">
        <v>210</v>
      </c>
      <c r="C50" s="1046"/>
      <c r="D50" s="1046"/>
      <c r="E50" s="5746"/>
      <c r="F50" s="5746"/>
    </row>
    <row r="51" spans="2:6" x14ac:dyDescent="0.25">
      <c r="B51" s="1045" t="s">
        <v>226</v>
      </c>
      <c r="C51" s="1073"/>
      <c r="D51" s="1073"/>
      <c r="E51" s="5746"/>
      <c r="F51" s="5746"/>
    </row>
    <row r="52" spans="2:6" x14ac:dyDescent="0.25">
      <c r="B52" s="1045" t="s">
        <v>227</v>
      </c>
      <c r="C52" s="1073"/>
      <c r="D52" s="1073"/>
      <c r="E52" s="5190"/>
      <c r="F52" s="5190"/>
    </row>
    <row r="53" spans="2:6" x14ac:dyDescent="0.25">
      <c r="B53" s="1045" t="s">
        <v>207</v>
      </c>
      <c r="C53" s="549"/>
      <c r="D53" s="549"/>
      <c r="E53" s="1049"/>
      <c r="F53" s="1049"/>
    </row>
    <row r="54" spans="2:6" x14ac:dyDescent="0.25">
      <c r="B54" s="1046" t="s">
        <v>228</v>
      </c>
      <c r="C54" s="549"/>
      <c r="D54" s="549"/>
      <c r="E54" s="1049"/>
      <c r="F54" s="1049"/>
    </row>
    <row r="57" spans="2:6" ht="15.6" x14ac:dyDescent="0.25">
      <c r="B57" s="748"/>
      <c r="C57" s="748"/>
      <c r="D57" s="1074"/>
      <c r="E57" s="1075"/>
      <c r="F57" s="1076" t="s">
        <v>1559</v>
      </c>
    </row>
    <row r="58" spans="2:6" ht="29.4" thickBot="1" x14ac:dyDescent="0.3">
      <c r="B58" s="5201" t="s">
        <v>186</v>
      </c>
      <c r="C58" s="1025" t="s">
        <v>45</v>
      </c>
      <c r="D58" s="1025" t="s">
        <v>187</v>
      </c>
      <c r="E58" s="5201" t="s">
        <v>188</v>
      </c>
      <c r="F58" s="1025" t="s">
        <v>189</v>
      </c>
    </row>
    <row r="59" spans="2:6" ht="14.4" x14ac:dyDescent="0.25">
      <c r="B59" s="754"/>
      <c r="C59" s="754"/>
      <c r="D59" s="754"/>
      <c r="E59" s="754"/>
      <c r="F59" s="754"/>
    </row>
    <row r="60" spans="2:6" ht="15" customHeight="1" x14ac:dyDescent="0.25">
      <c r="B60" s="5747" t="s">
        <v>190</v>
      </c>
      <c r="C60" s="1026" t="s">
        <v>229</v>
      </c>
      <c r="D60" s="1027"/>
      <c r="E60" s="1028"/>
      <c r="F60" s="1029"/>
    </row>
    <row r="61" spans="2:6" ht="14.4" x14ac:dyDescent="0.25">
      <c r="B61" s="5747"/>
      <c r="C61" s="1030" t="s">
        <v>230</v>
      </c>
      <c r="D61" s="1036"/>
      <c r="E61" s="1037"/>
      <c r="F61" s="1077"/>
    </row>
    <row r="62" spans="2:6" ht="14.4" x14ac:dyDescent="0.25">
      <c r="B62" s="5747"/>
      <c r="C62" s="1030" t="s">
        <v>199</v>
      </c>
      <c r="D62" s="1036"/>
      <c r="E62" s="1037"/>
      <c r="F62" s="5206"/>
    </row>
    <row r="63" spans="2:6" ht="14.4" x14ac:dyDescent="0.25">
      <c r="B63" s="5747"/>
      <c r="C63" s="1030" t="s">
        <v>72</v>
      </c>
      <c r="D63" s="1036" t="s">
        <v>192</v>
      </c>
      <c r="E63" s="1037">
        <v>45464</v>
      </c>
      <c r="F63" s="1032"/>
    </row>
    <row r="64" spans="2:6" ht="14.4" x14ac:dyDescent="0.25">
      <c r="B64" s="5747"/>
      <c r="C64" s="1030" t="s">
        <v>73</v>
      </c>
      <c r="D64" s="1079"/>
      <c r="E64" s="1037"/>
      <c r="F64" s="1077"/>
    </row>
    <row r="65" spans="2:6" ht="14.4" x14ac:dyDescent="0.25">
      <c r="B65" s="5747"/>
      <c r="C65" s="1030" t="s">
        <v>200</v>
      </c>
      <c r="D65" s="1036"/>
      <c r="E65" s="1037"/>
      <c r="F65" s="1080"/>
    </row>
    <row r="66" spans="2:6" ht="14.4" x14ac:dyDescent="0.25">
      <c r="B66" s="5747"/>
      <c r="C66" s="1030" t="s">
        <v>231</v>
      </c>
      <c r="D66" s="1036" t="s">
        <v>221</v>
      </c>
      <c r="E66" s="1037">
        <v>45143</v>
      </c>
      <c r="F66" s="1032"/>
    </row>
    <row r="67" spans="2:6" ht="14.4" x14ac:dyDescent="0.25">
      <c r="B67" s="5747"/>
      <c r="C67" s="1030" t="s">
        <v>75</v>
      </c>
      <c r="D67" s="1081" t="s">
        <v>232</v>
      </c>
      <c r="E67" s="1037">
        <v>44888</v>
      </c>
      <c r="F67" s="1032"/>
    </row>
    <row r="68" spans="2:6" ht="14.4" x14ac:dyDescent="0.25">
      <c r="B68" s="5747"/>
      <c r="C68" s="1030" t="s">
        <v>76</v>
      </c>
      <c r="D68" s="1036"/>
      <c r="E68" s="1037"/>
      <c r="F68" s="1077"/>
    </row>
    <row r="69" spans="2:6" ht="14.4" x14ac:dyDescent="0.25">
      <c r="B69" s="5748"/>
      <c r="C69" s="1039" t="s">
        <v>77</v>
      </c>
      <c r="D69" s="1082"/>
      <c r="E69" s="1043"/>
      <c r="F69" s="1083"/>
    </row>
    <row r="70" spans="2:6" ht="15" customHeight="1" x14ac:dyDescent="0.25">
      <c r="B70" s="5749" t="s">
        <v>233</v>
      </c>
      <c r="C70" s="1026" t="s">
        <v>60</v>
      </c>
      <c r="D70" s="1084"/>
      <c r="E70" s="5207"/>
      <c r="F70" s="1085"/>
    </row>
    <row r="71" spans="2:6" ht="14.4" x14ac:dyDescent="0.25">
      <c r="B71" s="5749"/>
      <c r="C71" s="1030" t="s">
        <v>78</v>
      </c>
      <c r="D71" s="1036"/>
      <c r="E71" s="1037"/>
      <c r="F71" s="1077"/>
    </row>
    <row r="72" spans="2:6" ht="14.4" x14ac:dyDescent="0.25">
      <c r="B72" s="5749"/>
      <c r="C72" s="1030" t="s">
        <v>79</v>
      </c>
      <c r="D72" s="1079"/>
      <c r="E72" s="1037"/>
      <c r="F72" s="1077"/>
    </row>
    <row r="73" spans="2:6" ht="14.4" x14ac:dyDescent="0.25">
      <c r="B73" s="5749"/>
      <c r="C73" s="1030" t="s">
        <v>80</v>
      </c>
      <c r="D73" s="1079"/>
      <c r="E73" s="1037"/>
      <c r="F73" s="1077"/>
    </row>
    <row r="74" spans="2:6" ht="14.4" x14ac:dyDescent="0.25">
      <c r="B74" s="5749"/>
      <c r="C74" s="1030" t="s">
        <v>62</v>
      </c>
      <c r="D74" s="1079"/>
      <c r="E74" s="1037"/>
      <c r="F74" s="1077"/>
    </row>
    <row r="75" spans="2:6" ht="14.4" x14ac:dyDescent="0.25">
      <c r="B75" s="5749"/>
      <c r="C75" s="1030" t="s">
        <v>63</v>
      </c>
      <c r="D75" s="1036"/>
      <c r="E75" s="1037"/>
      <c r="F75" s="1032"/>
    </row>
    <row r="76" spans="2:6" ht="14.4" x14ac:dyDescent="0.25">
      <c r="B76" s="5749"/>
      <c r="C76" s="1030" t="s">
        <v>81</v>
      </c>
      <c r="D76" s="1036"/>
      <c r="E76" s="1037"/>
      <c r="F76" s="1077"/>
    </row>
    <row r="77" spans="2:6" ht="14.4" x14ac:dyDescent="0.25">
      <c r="B77" s="5749"/>
      <c r="C77" s="1030" t="s">
        <v>234</v>
      </c>
      <c r="D77" s="1079"/>
      <c r="E77" s="1037"/>
      <c r="F77" s="1077"/>
    </row>
    <row r="78" spans="2:6" ht="14.4" x14ac:dyDescent="0.25">
      <c r="B78" s="5749"/>
      <c r="C78" s="1030" t="s">
        <v>83</v>
      </c>
      <c r="D78" s="1079"/>
      <c r="E78" s="1037"/>
      <c r="F78" s="1077"/>
    </row>
    <row r="79" spans="2:6" ht="14.4" x14ac:dyDescent="0.25">
      <c r="B79" s="5749"/>
      <c r="C79" s="1030" t="s">
        <v>84</v>
      </c>
      <c r="D79" s="1079"/>
      <c r="E79" s="1037"/>
      <c r="F79" s="1078"/>
    </row>
    <row r="80" spans="2:6" ht="14.4" x14ac:dyDescent="0.25">
      <c r="B80" s="5749"/>
      <c r="C80" s="1039" t="s">
        <v>235</v>
      </c>
      <c r="D80" s="1040"/>
      <c r="E80" s="1043"/>
      <c r="F80" s="1086"/>
    </row>
    <row r="81" spans="2:6" ht="15" customHeight="1" x14ac:dyDescent="0.25">
      <c r="B81" s="5750" t="s">
        <v>236</v>
      </c>
      <c r="C81" s="4542" t="s">
        <v>86</v>
      </c>
      <c r="D81" s="4551"/>
      <c r="E81" s="4544"/>
      <c r="F81" s="4552"/>
    </row>
    <row r="82" spans="2:6" ht="14.4" x14ac:dyDescent="0.25">
      <c r="B82" s="5750"/>
      <c r="C82" s="1030" t="s">
        <v>237</v>
      </c>
      <c r="D82" s="1036" t="s">
        <v>224</v>
      </c>
      <c r="E82" s="1037">
        <v>45046</v>
      </c>
      <c r="F82" s="1032"/>
    </row>
    <row r="83" spans="2:6" ht="14.4" x14ac:dyDescent="0.25">
      <c r="B83" s="5750"/>
      <c r="C83" s="1030" t="s">
        <v>88</v>
      </c>
      <c r="D83" s="1079"/>
      <c r="E83" s="1037"/>
      <c r="F83" s="1077"/>
    </row>
    <row r="84" spans="2:6" ht="14.4" x14ac:dyDescent="0.25">
      <c r="B84" s="5750"/>
      <c r="C84" s="1030" t="s">
        <v>89</v>
      </c>
      <c r="D84" s="1036"/>
      <c r="E84" s="1037"/>
      <c r="F84" s="1077"/>
    </row>
    <row r="85" spans="2:6" ht="14.4" x14ac:dyDescent="0.25">
      <c r="B85" s="5750"/>
      <c r="C85" s="1030" t="s">
        <v>90</v>
      </c>
      <c r="D85" s="1036"/>
      <c r="E85" s="1037"/>
      <c r="F85" s="1032"/>
    </row>
    <row r="86" spans="2:6" ht="14.4" x14ac:dyDescent="0.25">
      <c r="B86" s="5750"/>
      <c r="C86" s="1039" t="s">
        <v>91</v>
      </c>
      <c r="D86" s="1040"/>
      <c r="E86" s="1043"/>
      <c r="F86" s="1044"/>
    </row>
    <row r="87" spans="2:6" ht="12.75" customHeight="1" x14ac:dyDescent="0.25">
      <c r="B87" s="1046" t="s">
        <v>207</v>
      </c>
      <c r="C87" s="1046"/>
      <c r="D87" s="1046"/>
      <c r="E87" s="5746" t="s">
        <v>208</v>
      </c>
      <c r="F87" s="5746"/>
    </row>
    <row r="88" spans="2:6" x14ac:dyDescent="0.25">
      <c r="B88" s="1045" t="s">
        <v>238</v>
      </c>
      <c r="C88" s="1045"/>
      <c r="D88" s="1045"/>
      <c r="E88" s="5746"/>
      <c r="F88" s="5746"/>
    </row>
    <row r="89" spans="2:6" x14ac:dyDescent="0.25">
      <c r="B89" s="1045" t="s">
        <v>227</v>
      </c>
      <c r="C89" s="1045"/>
      <c r="D89" s="1045"/>
      <c r="E89" s="1049"/>
      <c r="F89" s="1049"/>
    </row>
    <row r="90" spans="2:6" x14ac:dyDescent="0.25">
      <c r="B90" s="1046" t="s">
        <v>228</v>
      </c>
      <c r="C90" s="1045"/>
      <c r="D90" s="1045"/>
      <c r="E90" s="1087"/>
      <c r="F90" s="1087"/>
    </row>
    <row r="93" spans="2:6" ht="15.6" x14ac:dyDescent="0.25">
      <c r="B93" s="1088"/>
      <c r="C93" s="1088"/>
      <c r="D93" s="1088"/>
      <c r="E93" s="1089"/>
      <c r="F93" s="1090" t="s">
        <v>1560</v>
      </c>
    </row>
    <row r="94" spans="2:6" ht="36.6" thickBot="1" x14ac:dyDescent="0.3">
      <c r="B94" s="5201" t="s">
        <v>186</v>
      </c>
      <c r="C94" s="1025" t="s">
        <v>45</v>
      </c>
      <c r="D94" s="1091" t="s">
        <v>239</v>
      </c>
      <c r="E94" s="5201" t="s">
        <v>188</v>
      </c>
      <c r="F94" s="1025" t="s">
        <v>240</v>
      </c>
    </row>
    <row r="95" spans="2:6" ht="14.4" x14ac:dyDescent="0.25">
      <c r="B95" s="754"/>
      <c r="C95" s="754"/>
      <c r="D95" s="754"/>
      <c r="E95" s="754"/>
      <c r="F95" s="754"/>
    </row>
    <row r="96" spans="2:6" ht="15" customHeight="1" x14ac:dyDescent="0.25">
      <c r="B96" s="5751" t="s">
        <v>190</v>
      </c>
      <c r="C96" s="1026" t="s">
        <v>241</v>
      </c>
      <c r="D96" s="1092" t="s">
        <v>242</v>
      </c>
      <c r="E96" s="5207">
        <v>44926</v>
      </c>
      <c r="F96" s="1093" t="s">
        <v>243</v>
      </c>
    </row>
    <row r="97" spans="2:6" ht="28.8" x14ac:dyDescent="0.25">
      <c r="B97" s="5751"/>
      <c r="C97" s="1094" t="s">
        <v>118</v>
      </c>
      <c r="D97" s="1095"/>
      <c r="E97" s="1096"/>
      <c r="F97" s="1032">
        <v>42691</v>
      </c>
    </row>
    <row r="98" spans="2:6" ht="28.8" x14ac:dyDescent="0.25">
      <c r="B98" s="5752"/>
      <c r="C98" s="1097" t="s">
        <v>244</v>
      </c>
      <c r="D98" s="1098"/>
      <c r="E98" s="1099"/>
      <c r="F98" s="1044">
        <v>43200</v>
      </c>
    </row>
    <row r="99" spans="2:6" ht="15" customHeight="1" x14ac:dyDescent="0.25">
      <c r="B99" s="5753" t="s">
        <v>201</v>
      </c>
      <c r="C99" s="4542" t="s">
        <v>245</v>
      </c>
      <c r="D99" s="4553"/>
      <c r="E99" s="4554"/>
      <c r="F99" s="4545"/>
    </row>
    <row r="100" spans="2:6" ht="14.4" x14ac:dyDescent="0.25">
      <c r="B100" s="5754"/>
      <c r="C100" s="1030" t="s">
        <v>121</v>
      </c>
      <c r="D100" s="1095"/>
      <c r="E100" s="1096"/>
      <c r="F100" s="1032"/>
    </row>
    <row r="101" spans="2:6" ht="14.4" x14ac:dyDescent="0.25">
      <c r="B101" s="5755"/>
      <c r="C101" s="1039" t="s">
        <v>123</v>
      </c>
      <c r="D101" s="1098"/>
      <c r="E101" s="1099"/>
      <c r="F101" s="1044">
        <v>42895</v>
      </c>
    </row>
    <row r="102" spans="2:6" ht="15" customHeight="1" x14ac:dyDescent="0.25">
      <c r="B102" s="5756" t="s">
        <v>246</v>
      </c>
      <c r="C102" s="4542" t="s">
        <v>124</v>
      </c>
      <c r="D102" s="4553"/>
      <c r="E102" s="4554"/>
      <c r="F102" s="4545"/>
    </row>
    <row r="103" spans="2:6" ht="14.4" x14ac:dyDescent="0.25">
      <c r="B103" s="5751"/>
      <c r="C103" s="1100" t="s">
        <v>125</v>
      </c>
      <c r="D103" s="5208" t="s">
        <v>1561</v>
      </c>
      <c r="E103" s="5209">
        <v>46113</v>
      </c>
      <c r="F103" s="5210" t="s">
        <v>960</v>
      </c>
    </row>
    <row r="104" spans="2:6" ht="14.4" x14ac:dyDescent="0.25">
      <c r="B104" s="5752"/>
      <c r="C104" s="1097" t="s">
        <v>247</v>
      </c>
      <c r="D104" s="1098"/>
      <c r="E104" s="1099"/>
      <c r="F104" s="1044">
        <v>43200</v>
      </c>
    </row>
    <row r="105" spans="2:6" x14ac:dyDescent="0.25">
      <c r="B105" s="1101" t="s">
        <v>248</v>
      </c>
      <c r="C105" s="549"/>
      <c r="D105" s="748"/>
      <c r="E105" s="748"/>
      <c r="F105" s="1102" t="s">
        <v>249</v>
      </c>
    </row>
    <row r="106" spans="2:6" x14ac:dyDescent="0.25">
      <c r="B106" s="1101" t="s">
        <v>1562</v>
      </c>
      <c r="C106" s="748"/>
      <c r="D106" s="748"/>
      <c r="E106" s="748"/>
      <c r="F106" s="748"/>
    </row>
    <row r="108" spans="2:6" ht="15.6" x14ac:dyDescent="0.25">
      <c r="B108" s="748"/>
      <c r="C108" s="748"/>
      <c r="D108" s="1103"/>
      <c r="E108" s="1104"/>
      <c r="F108" s="1105" t="s">
        <v>1563</v>
      </c>
    </row>
    <row r="109" spans="2:6" ht="29.4" thickBot="1" x14ac:dyDescent="0.3">
      <c r="B109" s="5201" t="s">
        <v>186</v>
      </c>
      <c r="C109" s="1025" t="s">
        <v>45</v>
      </c>
      <c r="D109" s="1025" t="s">
        <v>187</v>
      </c>
      <c r="E109" s="5201" t="s">
        <v>188</v>
      </c>
      <c r="F109" s="1025" t="s">
        <v>189</v>
      </c>
    </row>
    <row r="110" spans="2:6" x14ac:dyDescent="0.25">
      <c r="B110" s="748"/>
      <c r="C110" s="748"/>
      <c r="D110" s="748"/>
      <c r="E110" s="748"/>
      <c r="F110" s="748"/>
    </row>
    <row r="111" spans="2:6" ht="15" customHeight="1" x14ac:dyDescent="0.25">
      <c r="B111" s="5751" t="s">
        <v>201</v>
      </c>
      <c r="C111" s="1026" t="s">
        <v>60</v>
      </c>
      <c r="D111" s="1092" t="s">
        <v>202</v>
      </c>
      <c r="E111" s="5207">
        <v>45274</v>
      </c>
      <c r="F111" s="1029"/>
    </row>
    <row r="112" spans="2:6" ht="14.4" x14ac:dyDescent="0.25">
      <c r="B112" s="5751"/>
      <c r="C112" s="1030" t="s">
        <v>94</v>
      </c>
      <c r="D112" s="1036" t="s">
        <v>204</v>
      </c>
      <c r="E112" s="5203">
        <v>45034</v>
      </c>
      <c r="F112" s="1032"/>
    </row>
    <row r="113" spans="2:6" ht="14.4" x14ac:dyDescent="0.25">
      <c r="B113" s="5751"/>
      <c r="C113" s="1030" t="s">
        <v>62</v>
      </c>
      <c r="D113" s="1036"/>
      <c r="E113" s="5203"/>
      <c r="F113" s="1106"/>
    </row>
    <row r="114" spans="2:6" ht="15.6" x14ac:dyDescent="0.25">
      <c r="B114" s="5751"/>
      <c r="C114" s="1030" t="s">
        <v>250</v>
      </c>
      <c r="D114" s="1107" t="s">
        <v>251</v>
      </c>
      <c r="E114" s="1037">
        <v>45005</v>
      </c>
      <c r="F114" s="1032"/>
    </row>
    <row r="115" spans="2:6" ht="14.4" x14ac:dyDescent="0.25">
      <c r="B115" s="5751"/>
      <c r="C115" s="1030" t="s">
        <v>63</v>
      </c>
      <c r="D115" s="1036" t="s">
        <v>204</v>
      </c>
      <c r="E115" s="1037">
        <v>45102</v>
      </c>
      <c r="F115" s="1032"/>
    </row>
    <row r="116" spans="2:6" ht="14.4" x14ac:dyDescent="0.25">
      <c r="B116" s="5752"/>
      <c r="C116" s="1039" t="s">
        <v>96</v>
      </c>
      <c r="D116" s="1040" t="s">
        <v>204</v>
      </c>
      <c r="E116" s="5211">
        <v>45225</v>
      </c>
      <c r="F116" s="1044"/>
    </row>
    <row r="117" spans="2:6" ht="15" customHeight="1" x14ac:dyDescent="0.25">
      <c r="B117" s="5753" t="s">
        <v>236</v>
      </c>
      <c r="C117" s="4542" t="s">
        <v>86</v>
      </c>
      <c r="D117" s="4543" t="s">
        <v>224</v>
      </c>
      <c r="E117" s="4544">
        <v>46619</v>
      </c>
      <c r="F117" s="4555" t="s">
        <v>1407</v>
      </c>
    </row>
    <row r="118" spans="2:6" ht="14.4" x14ac:dyDescent="0.25">
      <c r="B118" s="5754"/>
      <c r="C118" s="1030" t="s">
        <v>97</v>
      </c>
      <c r="D118" s="1036"/>
      <c r="E118" s="1037"/>
      <c r="F118" s="5212" t="s">
        <v>1564</v>
      </c>
    </row>
    <row r="119" spans="2:6" ht="14.4" x14ac:dyDescent="0.25">
      <c r="B119" s="5754"/>
      <c r="C119" s="1030" t="s">
        <v>98</v>
      </c>
      <c r="D119" s="1036" t="s">
        <v>1565</v>
      </c>
      <c r="E119" s="1037">
        <v>45930</v>
      </c>
      <c r="F119" s="5213"/>
    </row>
    <row r="120" spans="2:6" ht="14.4" x14ac:dyDescent="0.25">
      <c r="B120" s="5754"/>
      <c r="C120" s="1030" t="s">
        <v>252</v>
      </c>
      <c r="D120" s="1036" t="s">
        <v>253</v>
      </c>
      <c r="E120" s="1037">
        <v>46360</v>
      </c>
      <c r="F120" s="1032"/>
    </row>
    <row r="121" spans="2:6" ht="14.4" x14ac:dyDescent="0.25">
      <c r="B121" s="5754"/>
      <c r="C121" s="1030" t="s">
        <v>100</v>
      </c>
      <c r="D121" s="1036"/>
      <c r="E121" s="1037"/>
      <c r="F121" s="1106"/>
    </row>
    <row r="122" spans="2:6" ht="14.4" x14ac:dyDescent="0.25">
      <c r="B122" s="5754"/>
      <c r="C122" s="1030" t="s">
        <v>101</v>
      </c>
      <c r="D122" s="1036" t="s">
        <v>254</v>
      </c>
      <c r="E122" s="1037">
        <v>44947</v>
      </c>
      <c r="F122" s="1032"/>
    </row>
    <row r="123" spans="2:6" ht="14.4" x14ac:dyDescent="0.25">
      <c r="B123" s="5754"/>
      <c r="C123" s="1030" t="s">
        <v>102</v>
      </c>
      <c r="D123" s="1036" t="s">
        <v>255</v>
      </c>
      <c r="E123" s="1037">
        <v>44739</v>
      </c>
      <c r="F123" s="5212"/>
    </row>
    <row r="124" spans="2:6" ht="14.4" x14ac:dyDescent="0.25">
      <c r="B124" s="5755"/>
      <c r="C124" s="1039" t="s">
        <v>103</v>
      </c>
      <c r="D124" s="1040" t="s">
        <v>256</v>
      </c>
      <c r="E124" s="1043">
        <v>44727</v>
      </c>
      <c r="F124" s="5214"/>
    </row>
    <row r="125" spans="2:6" ht="15" customHeight="1" x14ac:dyDescent="0.25">
      <c r="B125" s="5756" t="s">
        <v>257</v>
      </c>
      <c r="C125" s="4542" t="s">
        <v>65</v>
      </c>
      <c r="D125" s="4543" t="s">
        <v>206</v>
      </c>
      <c r="E125" s="4544">
        <v>45473</v>
      </c>
      <c r="F125" s="4556"/>
    </row>
    <row r="126" spans="2:6" ht="14.4" x14ac:dyDescent="0.25">
      <c r="B126" s="5751"/>
      <c r="C126" s="1030" t="s">
        <v>66</v>
      </c>
      <c r="D126" s="1079"/>
      <c r="E126" s="1037"/>
      <c r="F126" s="1106"/>
    </row>
    <row r="127" spans="2:6" ht="14.4" x14ac:dyDescent="0.25">
      <c r="B127" s="5751"/>
      <c r="C127" s="1030" t="s">
        <v>67</v>
      </c>
      <c r="D127" s="1036"/>
      <c r="E127" s="1037"/>
      <c r="F127" s="1106"/>
    </row>
    <row r="128" spans="2:6" ht="14.4" x14ac:dyDescent="0.25">
      <c r="B128" s="5752"/>
      <c r="C128" s="1039" t="s">
        <v>258</v>
      </c>
      <c r="D128" s="1040" t="s">
        <v>206</v>
      </c>
      <c r="E128" s="1043">
        <v>45107</v>
      </c>
      <c r="F128" s="1044"/>
    </row>
    <row r="129" spans="2:6" ht="12.75" customHeight="1" x14ac:dyDescent="0.25">
      <c r="B129" s="1045" t="s">
        <v>209</v>
      </c>
      <c r="C129" s="1046"/>
      <c r="D129" s="1046"/>
      <c r="E129" s="5746" t="s">
        <v>208</v>
      </c>
      <c r="F129" s="5746"/>
    </row>
    <row r="130" spans="2:6" x14ac:dyDescent="0.25">
      <c r="B130" s="1045" t="s">
        <v>210</v>
      </c>
      <c r="C130" s="1046"/>
      <c r="D130" s="1046"/>
      <c r="E130" s="5746"/>
      <c r="F130" s="5746"/>
    </row>
    <row r="131" spans="2:6" x14ac:dyDescent="0.25">
      <c r="B131" s="1046" t="s">
        <v>259</v>
      </c>
      <c r="C131" s="1045"/>
      <c r="D131" s="1045"/>
      <c r="E131" s="5746"/>
      <c r="F131" s="5746"/>
    </row>
    <row r="132" spans="2:6" x14ac:dyDescent="0.25">
      <c r="B132" s="1046" t="s">
        <v>228</v>
      </c>
      <c r="C132" s="1045"/>
      <c r="D132" s="1045"/>
      <c r="E132" s="1108"/>
      <c r="F132" s="1108"/>
    </row>
    <row r="133" spans="2:6" x14ac:dyDescent="0.25">
      <c r="B133" s="1046" t="s">
        <v>260</v>
      </c>
      <c r="C133" s="1045"/>
      <c r="D133" s="1045"/>
      <c r="E133" s="1087"/>
      <c r="F133" s="1087"/>
    </row>
    <row r="134" spans="2:6" x14ac:dyDescent="0.25">
      <c r="B134" s="1101" t="s">
        <v>261</v>
      </c>
      <c r="C134" s="1045"/>
      <c r="D134" s="1045"/>
      <c r="E134" s="1087"/>
      <c r="F134" s="1087"/>
    </row>
    <row r="135" spans="2:6" x14ac:dyDescent="0.25">
      <c r="B135" s="1046" t="s">
        <v>262</v>
      </c>
      <c r="C135" s="1045"/>
      <c r="D135" s="1045"/>
      <c r="E135" s="1045"/>
      <c r="F135" s="1045"/>
    </row>
    <row r="136" spans="2:6" x14ac:dyDescent="0.25">
      <c r="B136" s="1046" t="s">
        <v>263</v>
      </c>
      <c r="C136" s="1045"/>
      <c r="D136" s="1045"/>
      <c r="E136" s="1045"/>
      <c r="F136" s="1045"/>
    </row>
    <row r="137" spans="2:6" x14ac:dyDescent="0.25">
      <c r="B137" s="1046" t="s">
        <v>1566</v>
      </c>
      <c r="C137" s="1045"/>
      <c r="D137" s="1045"/>
      <c r="E137" s="1045"/>
      <c r="F137" s="1045"/>
    </row>
    <row r="138" spans="2:6" x14ac:dyDescent="0.25">
      <c r="B138" s="1046" t="s">
        <v>264</v>
      </c>
      <c r="C138" s="1045"/>
      <c r="D138" s="1045"/>
      <c r="E138" s="1045"/>
      <c r="F138" s="1045"/>
    </row>
    <row r="139" spans="2:6" x14ac:dyDescent="0.25">
      <c r="B139" s="1046" t="s">
        <v>265</v>
      </c>
      <c r="C139" s="1045"/>
      <c r="D139" s="1045"/>
      <c r="E139" s="1045"/>
      <c r="F139" s="1045"/>
    </row>
    <row r="140" spans="2:6" x14ac:dyDescent="0.25">
      <c r="B140" s="1046" t="s">
        <v>228</v>
      </c>
      <c r="C140" s="1045"/>
      <c r="D140" s="1045"/>
      <c r="E140" s="1045"/>
      <c r="F140" s="1045"/>
    </row>
  </sheetData>
  <mergeCells count="20">
    <mergeCell ref="B45:B48"/>
    <mergeCell ref="B8:B17"/>
    <mergeCell ref="B18:B21"/>
    <mergeCell ref="B22:B24"/>
    <mergeCell ref="E25:F26"/>
    <mergeCell ref="B31:E32"/>
    <mergeCell ref="B38:B41"/>
    <mergeCell ref="B42:B44"/>
    <mergeCell ref="E129:F131"/>
    <mergeCell ref="E49:F51"/>
    <mergeCell ref="B60:B69"/>
    <mergeCell ref="B70:B80"/>
    <mergeCell ref="B81:B86"/>
    <mergeCell ref="E87:F88"/>
    <mergeCell ref="B96:B98"/>
    <mergeCell ref="B99:B101"/>
    <mergeCell ref="B102:B104"/>
    <mergeCell ref="B111:B116"/>
    <mergeCell ref="B117:B124"/>
    <mergeCell ref="B125:B128"/>
  </mergeCells>
  <printOptions horizontalCentered="1" verticalCentered="1"/>
  <pageMargins left="0.51181102362204722" right="0.51181102362204722" top="0.55118110236220474" bottom="0.55118110236220474" header="0.31496062992125984" footer="0.31496062992125984"/>
  <pageSetup scale="86" firstPageNumber="45" orientation="landscape" useFirstPageNumber="1" r:id="rId1"/>
  <headerFooter scaleWithDoc="0" alignWithMargins="0">
    <oddFooter>&amp;R&amp;P</oddFooter>
  </headerFooter>
  <rowBreaks count="4" manualBreakCount="4">
    <brk id="33" max="16383" man="1"/>
    <brk id="55" max="16383" man="1"/>
    <brk id="91" max="16383" man="1"/>
    <brk id="106" max="16383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B2:L594"/>
  <sheetViews>
    <sheetView showGridLines="0" zoomScaleNormal="100" zoomScaleSheetLayoutView="70" workbookViewId="0">
      <selection activeCell="Q31" sqref="Q31"/>
    </sheetView>
  </sheetViews>
  <sheetFormatPr baseColWidth="10" defaultColWidth="11.44140625" defaultRowHeight="14.4" x14ac:dyDescent="0.3"/>
  <cols>
    <col min="1" max="1" width="1.88671875" style="558" customWidth="1"/>
    <col min="2" max="2" width="15" style="558" customWidth="1"/>
    <col min="3" max="3" width="11.44140625" style="558"/>
    <col min="4" max="4" width="12.109375" style="558" customWidth="1"/>
    <col min="5" max="5" width="13.5546875" style="558" customWidth="1"/>
    <col min="6" max="6" width="15.44140625" style="558" bestFit="1" customWidth="1"/>
    <col min="7" max="7" width="11.88671875" style="558" bestFit="1" customWidth="1"/>
    <col min="8" max="8" width="9.88671875" style="558" customWidth="1"/>
    <col min="9" max="9" width="10.5546875" style="558" bestFit="1" customWidth="1"/>
    <col min="10" max="10" width="9" style="558" bestFit="1" customWidth="1"/>
    <col min="11" max="11" width="7.109375" style="558" bestFit="1" customWidth="1"/>
    <col min="12" max="16384" width="11.44140625" style="558"/>
  </cols>
  <sheetData>
    <row r="2" spans="2:11" ht="18" x14ac:dyDescent="0.35">
      <c r="B2" s="5344" t="s">
        <v>1411</v>
      </c>
      <c r="C2" s="5314"/>
      <c r="D2" s="5314"/>
      <c r="E2" s="5314"/>
      <c r="F2" s="5314"/>
      <c r="G2" s="5314"/>
      <c r="H2" s="5314"/>
      <c r="I2" s="5314"/>
      <c r="J2" s="5314"/>
      <c r="K2" s="5314"/>
    </row>
    <row r="3" spans="2:11" x14ac:dyDescent="0.3">
      <c r="B3" s="5314"/>
      <c r="C3" s="5314"/>
      <c r="D3" s="5314"/>
      <c r="E3" s="5314"/>
      <c r="F3" s="5314"/>
      <c r="G3" s="5314"/>
      <c r="H3" s="5314"/>
      <c r="I3" s="5314"/>
      <c r="J3" s="5314"/>
      <c r="K3" s="5314"/>
    </row>
    <row r="4" spans="2:11" x14ac:dyDescent="0.3">
      <c r="B4" s="5315"/>
      <c r="C4" s="5315"/>
      <c r="D4" s="5315"/>
      <c r="E4" s="5315"/>
      <c r="F4" s="5766" t="s">
        <v>266</v>
      </c>
      <c r="G4" s="5766"/>
      <c r="H4" s="5766"/>
      <c r="I4" s="5766"/>
      <c r="J4" s="5314"/>
      <c r="K4" s="5314"/>
    </row>
    <row r="5" spans="2:11" x14ac:dyDescent="0.3">
      <c r="B5" s="5301"/>
      <c r="C5" s="5767" t="s">
        <v>1555</v>
      </c>
      <c r="D5" s="5767"/>
      <c r="E5" s="5767"/>
      <c r="F5" s="5768" t="s">
        <v>269</v>
      </c>
      <c r="G5" s="5768"/>
      <c r="H5" s="5769" t="s">
        <v>270</v>
      </c>
      <c r="I5" s="5769"/>
      <c r="J5" s="5314"/>
      <c r="K5" s="5314"/>
    </row>
    <row r="6" spans="2:11" ht="29.4" thickBot="1" x14ac:dyDescent="0.35">
      <c r="B6" s="5290" t="s">
        <v>267</v>
      </c>
      <c r="C6" s="1109" t="s">
        <v>48</v>
      </c>
      <c r="D6" s="1109" t="s">
        <v>266</v>
      </c>
      <c r="E6" s="1110" t="s">
        <v>271</v>
      </c>
      <c r="F6" s="1109" t="s">
        <v>48</v>
      </c>
      <c r="G6" s="1110" t="s">
        <v>272</v>
      </c>
      <c r="H6" s="1109" t="s">
        <v>48</v>
      </c>
      <c r="I6" s="1109" t="s">
        <v>272</v>
      </c>
      <c r="J6" s="5314"/>
      <c r="K6" s="5314"/>
    </row>
    <row r="7" spans="2:11" x14ac:dyDescent="0.3">
      <c r="B7" s="1111"/>
      <c r="C7" s="1111"/>
      <c r="D7" s="1111"/>
      <c r="E7" s="1111"/>
      <c r="F7" s="1111"/>
      <c r="G7" s="1111"/>
      <c r="H7" s="1111"/>
      <c r="I7" s="1111"/>
      <c r="J7" s="5314"/>
      <c r="K7" s="5314"/>
    </row>
    <row r="8" spans="2:11" x14ac:dyDescent="0.3">
      <c r="B8" s="1115" t="s">
        <v>59</v>
      </c>
      <c r="C8" s="1114">
        <v>10</v>
      </c>
      <c r="D8" s="1114">
        <v>10</v>
      </c>
      <c r="E8" s="1115">
        <f>C8-D8</f>
        <v>0</v>
      </c>
      <c r="F8" s="1114">
        <v>10</v>
      </c>
      <c r="G8" s="1116">
        <f>F8/D8</f>
        <v>1</v>
      </c>
      <c r="H8" s="1114">
        <f>D8-F8</f>
        <v>0</v>
      </c>
      <c r="I8" s="1117">
        <f t="shared" ref="I8:I33" si="0">1-G8</f>
        <v>0</v>
      </c>
      <c r="J8" s="5314"/>
      <c r="K8" s="5314"/>
    </row>
    <row r="9" spans="2:11" x14ac:dyDescent="0.3">
      <c r="B9" s="1121" t="s">
        <v>64</v>
      </c>
      <c r="C9" s="1120">
        <v>4</v>
      </c>
      <c r="D9" s="1120">
        <v>4</v>
      </c>
      <c r="E9" s="1121">
        <f t="shared" ref="E9:E30" si="1">C9-D9</f>
        <v>0</v>
      </c>
      <c r="F9" s="1120">
        <v>2</v>
      </c>
      <c r="G9" s="1122">
        <f>F9/D9</f>
        <v>0.5</v>
      </c>
      <c r="H9" s="1120">
        <f>D9-F9</f>
        <v>2</v>
      </c>
      <c r="I9" s="1123">
        <f t="shared" si="0"/>
        <v>0.5</v>
      </c>
      <c r="J9" s="5314"/>
      <c r="K9" s="5314"/>
    </row>
    <row r="10" spans="2:11" x14ac:dyDescent="0.3">
      <c r="B10" s="1121" t="s">
        <v>68</v>
      </c>
      <c r="C10" s="1120">
        <v>3</v>
      </c>
      <c r="D10" s="1120">
        <v>3</v>
      </c>
      <c r="E10" s="1121">
        <f t="shared" si="1"/>
        <v>0</v>
      </c>
      <c r="F10" s="1120">
        <v>3</v>
      </c>
      <c r="G10" s="1122">
        <f>F10/D10</f>
        <v>1</v>
      </c>
      <c r="H10" s="1120">
        <f>D10-F10</f>
        <v>0</v>
      </c>
      <c r="I10" s="1123">
        <f t="shared" si="0"/>
        <v>0</v>
      </c>
      <c r="J10" s="5314"/>
      <c r="K10" s="5314"/>
    </row>
    <row r="11" spans="2:11" x14ac:dyDescent="0.3">
      <c r="B11" s="1127" t="s">
        <v>138</v>
      </c>
      <c r="C11" s="1126">
        <f>SUM(C8:C10)</f>
        <v>17</v>
      </c>
      <c r="D11" s="1126">
        <f>SUM(D8:D10)</f>
        <v>17</v>
      </c>
      <c r="E11" s="1127">
        <f>SUM(E8:E10)</f>
        <v>0</v>
      </c>
      <c r="F11" s="1126">
        <f>SUM(F8:F10)</f>
        <v>15</v>
      </c>
      <c r="G11" s="1128">
        <f>F11/D11</f>
        <v>0.88235294117647056</v>
      </c>
      <c r="H11" s="1126">
        <f>D11-F11</f>
        <v>2</v>
      </c>
      <c r="I11" s="1129">
        <f t="shared" si="0"/>
        <v>0.11764705882352944</v>
      </c>
      <c r="J11" s="5314"/>
      <c r="K11" s="5314"/>
    </row>
    <row r="12" spans="2:11" x14ac:dyDescent="0.3">
      <c r="B12" s="5302"/>
      <c r="C12" s="5303"/>
      <c r="D12" s="5303"/>
      <c r="E12" s="5303"/>
      <c r="F12" s="5303"/>
      <c r="G12" s="5303"/>
      <c r="H12" s="5302"/>
      <c r="I12" s="5304"/>
      <c r="J12" s="5314"/>
      <c r="K12" s="5314"/>
    </row>
    <row r="13" spans="2:11" x14ac:dyDescent="0.3">
      <c r="B13" s="1115" t="s">
        <v>64</v>
      </c>
      <c r="C13" s="1114">
        <v>4</v>
      </c>
      <c r="D13" s="1114">
        <v>4</v>
      </c>
      <c r="E13" s="1115">
        <f t="shared" si="1"/>
        <v>0</v>
      </c>
      <c r="F13" s="1114"/>
      <c r="G13" s="1116"/>
      <c r="H13" s="1114">
        <f>D13-F13</f>
        <v>4</v>
      </c>
      <c r="I13" s="1117">
        <f t="shared" si="0"/>
        <v>1</v>
      </c>
      <c r="J13" s="5314"/>
      <c r="K13" s="5314"/>
    </row>
    <row r="14" spans="2:11" x14ac:dyDescent="0.3">
      <c r="B14" s="1121" t="s">
        <v>111</v>
      </c>
      <c r="C14" s="1120">
        <v>3</v>
      </c>
      <c r="D14" s="1120">
        <v>3</v>
      </c>
      <c r="E14" s="1121">
        <f t="shared" si="1"/>
        <v>0</v>
      </c>
      <c r="F14" s="1120">
        <v>1</v>
      </c>
      <c r="G14" s="1122">
        <f>F14/D14</f>
        <v>0.33333333333333331</v>
      </c>
      <c r="H14" s="1120">
        <f>D14-F14</f>
        <v>2</v>
      </c>
      <c r="I14" s="1123">
        <f t="shared" si="0"/>
        <v>0.66666666666666674</v>
      </c>
      <c r="J14" s="5314"/>
      <c r="K14" s="5314"/>
    </row>
    <row r="15" spans="2:11" x14ac:dyDescent="0.3">
      <c r="B15" s="1121" t="s">
        <v>115</v>
      </c>
      <c r="C15" s="1120">
        <v>4</v>
      </c>
      <c r="D15" s="1120">
        <v>4</v>
      </c>
      <c r="E15" s="1121">
        <f t="shared" si="1"/>
        <v>0</v>
      </c>
      <c r="F15" s="1120">
        <v>4</v>
      </c>
      <c r="G15" s="1122">
        <f>F15/D15</f>
        <v>1</v>
      </c>
      <c r="H15" s="1120">
        <f>D15-F15</f>
        <v>0</v>
      </c>
      <c r="I15" s="1123">
        <f t="shared" si="0"/>
        <v>0</v>
      </c>
      <c r="J15" s="5314"/>
      <c r="K15" s="5314"/>
    </row>
    <row r="16" spans="2:11" x14ac:dyDescent="0.3">
      <c r="B16" s="1133" t="s">
        <v>134</v>
      </c>
      <c r="C16" s="1132">
        <f>SUM(C13:C15)</f>
        <v>11</v>
      </c>
      <c r="D16" s="1132">
        <f>SUM(D13:D15)</f>
        <v>11</v>
      </c>
      <c r="E16" s="1133">
        <f>SUM(E13:E15)</f>
        <v>0</v>
      </c>
      <c r="F16" s="1132">
        <f>SUM(F13:F15)</f>
        <v>5</v>
      </c>
      <c r="G16" s="1134">
        <f>F16/D16</f>
        <v>0.45454545454545453</v>
      </c>
      <c r="H16" s="1132">
        <f>D16-F16</f>
        <v>6</v>
      </c>
      <c r="I16" s="1135">
        <f t="shared" si="0"/>
        <v>0.54545454545454541</v>
      </c>
      <c r="J16" s="5314"/>
      <c r="K16" s="5314"/>
    </row>
    <row r="17" spans="2:11" x14ac:dyDescent="0.3">
      <c r="B17" s="1136"/>
      <c r="C17" s="1137"/>
      <c r="D17" s="1137"/>
      <c r="E17" s="1137"/>
      <c r="F17" s="5305"/>
      <c r="G17" s="5305"/>
      <c r="H17" s="5305"/>
      <c r="I17" s="5306"/>
      <c r="J17" s="5314"/>
      <c r="K17" s="5314"/>
    </row>
    <row r="18" spans="2:11" x14ac:dyDescent="0.3">
      <c r="B18" s="1115" t="s">
        <v>59</v>
      </c>
      <c r="C18" s="1114">
        <v>10</v>
      </c>
      <c r="D18" s="1114">
        <v>9</v>
      </c>
      <c r="E18" s="1115">
        <f t="shared" si="1"/>
        <v>1</v>
      </c>
      <c r="F18" s="1114">
        <v>3</v>
      </c>
      <c r="G18" s="1116">
        <f>F18/D18</f>
        <v>0.33333333333333331</v>
      </c>
      <c r="H18" s="1114">
        <f>D18-F18</f>
        <v>6</v>
      </c>
      <c r="I18" s="1117">
        <f t="shared" si="0"/>
        <v>0.66666666666666674</v>
      </c>
      <c r="J18" s="5314"/>
      <c r="K18" s="5314"/>
    </row>
    <row r="19" spans="2:11" x14ac:dyDescent="0.3">
      <c r="B19" s="1121" t="s">
        <v>64</v>
      </c>
      <c r="C19" s="1120">
        <v>11</v>
      </c>
      <c r="D19" s="1120">
        <v>11</v>
      </c>
      <c r="E19" s="1121">
        <f t="shared" si="1"/>
        <v>0</v>
      </c>
      <c r="F19" s="1120"/>
      <c r="G19" s="1122"/>
      <c r="H19" s="1120">
        <f>D19-F19</f>
        <v>11</v>
      </c>
      <c r="I19" s="1123">
        <f t="shared" si="0"/>
        <v>1</v>
      </c>
      <c r="J19" s="5314"/>
      <c r="K19" s="5314"/>
    </row>
    <row r="20" spans="2:11" x14ac:dyDescent="0.3">
      <c r="B20" s="1121" t="s">
        <v>92</v>
      </c>
      <c r="C20" s="1120">
        <v>6</v>
      </c>
      <c r="D20" s="1120">
        <v>6</v>
      </c>
      <c r="E20" s="1121">
        <f t="shared" si="1"/>
        <v>0</v>
      </c>
      <c r="F20" s="1120">
        <v>1</v>
      </c>
      <c r="G20" s="1122">
        <f>F20/D20</f>
        <v>0.16666666666666666</v>
      </c>
      <c r="H20" s="1120">
        <f>D20-F20</f>
        <v>5</v>
      </c>
      <c r="I20" s="1123">
        <f t="shared" si="0"/>
        <v>0.83333333333333337</v>
      </c>
      <c r="J20" s="5314"/>
      <c r="K20" s="5314"/>
    </row>
    <row r="21" spans="2:11" x14ac:dyDescent="0.3">
      <c r="B21" s="1141" t="s">
        <v>135</v>
      </c>
      <c r="C21" s="1140">
        <f>SUM(C18:C20)</f>
        <v>27</v>
      </c>
      <c r="D21" s="1140">
        <f>SUM(D18:D20)</f>
        <v>26</v>
      </c>
      <c r="E21" s="1141">
        <f>SUM(E18:E20)</f>
        <v>1</v>
      </c>
      <c r="F21" s="1140">
        <f>SUM(F18:F20)</f>
        <v>4</v>
      </c>
      <c r="G21" s="1142">
        <f>F21/D21</f>
        <v>0.15384615384615385</v>
      </c>
      <c r="H21" s="1140">
        <f>D21-F21</f>
        <v>22</v>
      </c>
      <c r="I21" s="1143">
        <f t="shared" si="0"/>
        <v>0.84615384615384615</v>
      </c>
      <c r="J21" s="5314"/>
      <c r="K21" s="5314"/>
    </row>
    <row r="22" spans="2:11" x14ac:dyDescent="0.3">
      <c r="B22" s="1144"/>
      <c r="C22" s="1137"/>
      <c r="D22" s="1137"/>
      <c r="E22" s="1137"/>
      <c r="F22" s="5305"/>
      <c r="G22" s="5303"/>
      <c r="H22" s="5303"/>
      <c r="I22" s="5307"/>
      <c r="J22" s="5314"/>
      <c r="K22" s="5314"/>
    </row>
    <row r="23" spans="2:11" x14ac:dyDescent="0.3">
      <c r="B23" s="1115" t="s">
        <v>59</v>
      </c>
      <c r="C23" s="1114">
        <v>3</v>
      </c>
      <c r="D23" s="1114">
        <v>1</v>
      </c>
      <c r="E23" s="1115">
        <f t="shared" si="1"/>
        <v>2</v>
      </c>
      <c r="F23" s="1114">
        <v>1</v>
      </c>
      <c r="G23" s="1116">
        <f>F23/D23</f>
        <v>1</v>
      </c>
      <c r="H23" s="1114">
        <f>D23-F23</f>
        <v>0</v>
      </c>
      <c r="I23" s="1117">
        <f t="shared" si="0"/>
        <v>0</v>
      </c>
      <c r="J23" s="5314"/>
      <c r="K23" s="5314"/>
    </row>
    <row r="24" spans="2:11" x14ac:dyDescent="0.3">
      <c r="B24" s="1121" t="s">
        <v>64</v>
      </c>
      <c r="C24" s="1120">
        <v>3</v>
      </c>
      <c r="D24" s="1120">
        <v>2</v>
      </c>
      <c r="E24" s="1121">
        <f t="shared" si="1"/>
        <v>1</v>
      </c>
      <c r="F24" s="1120"/>
      <c r="G24" s="1116"/>
      <c r="H24" s="1120">
        <f>D24-F24</f>
        <v>2</v>
      </c>
      <c r="I24" s="1123">
        <f t="shared" si="0"/>
        <v>1</v>
      </c>
      <c r="J24" s="5314"/>
      <c r="K24" s="5314"/>
    </row>
    <row r="25" spans="2:11" x14ac:dyDescent="0.3">
      <c r="B25" s="1121" t="s">
        <v>92</v>
      </c>
      <c r="C25" s="1120">
        <v>3</v>
      </c>
      <c r="D25" s="1120">
        <v>2</v>
      </c>
      <c r="E25" s="1121">
        <f t="shared" si="1"/>
        <v>1</v>
      </c>
      <c r="F25" s="1120">
        <v>1</v>
      </c>
      <c r="G25" s="1116">
        <f t="shared" ref="G25" si="2">F25/D25</f>
        <v>0.5</v>
      </c>
      <c r="H25" s="1120">
        <f>D25-F25</f>
        <v>1</v>
      </c>
      <c r="I25" s="1123">
        <f t="shared" si="0"/>
        <v>0.5</v>
      </c>
      <c r="J25" s="5314"/>
      <c r="K25" s="5314"/>
    </row>
    <row r="26" spans="2:11" x14ac:dyDescent="0.3">
      <c r="B26" s="1148" t="s">
        <v>136</v>
      </c>
      <c r="C26" s="1147">
        <f>SUM(C23:C25)</f>
        <v>9</v>
      </c>
      <c r="D26" s="1147">
        <f>SUM(D23:D25)</f>
        <v>5</v>
      </c>
      <c r="E26" s="1148">
        <f>SUM(E23:E25)</f>
        <v>4</v>
      </c>
      <c r="F26" s="1147">
        <f>SUM(F23:F25)</f>
        <v>2</v>
      </c>
      <c r="G26" s="1149">
        <f>F26/D26</f>
        <v>0.4</v>
      </c>
      <c r="H26" s="1147">
        <f>D26-F26</f>
        <v>3</v>
      </c>
      <c r="I26" s="1150">
        <f t="shared" si="0"/>
        <v>0.6</v>
      </c>
      <c r="J26" s="5314"/>
      <c r="K26" s="5314"/>
    </row>
    <row r="27" spans="2:11" x14ac:dyDescent="0.3">
      <c r="B27" s="5301"/>
      <c r="C27" s="5305"/>
      <c r="D27" s="5305"/>
      <c r="E27" s="5305"/>
      <c r="F27" s="5305"/>
      <c r="G27" s="5305"/>
      <c r="H27" s="5305"/>
      <c r="I27" s="5306"/>
      <c r="J27" s="5314"/>
      <c r="K27" s="5314"/>
    </row>
    <row r="28" spans="2:11" x14ac:dyDescent="0.3">
      <c r="B28" s="1115" t="s">
        <v>64</v>
      </c>
      <c r="C28" s="1114">
        <v>6</v>
      </c>
      <c r="D28" s="1114">
        <v>6</v>
      </c>
      <c r="E28" s="1115">
        <f t="shared" si="1"/>
        <v>0</v>
      </c>
      <c r="F28" s="1114">
        <v>5</v>
      </c>
      <c r="G28" s="1116">
        <f>F28/D28</f>
        <v>0.83333333333333337</v>
      </c>
      <c r="H28" s="1114">
        <f>D28-F28</f>
        <v>1</v>
      </c>
      <c r="I28" s="1117">
        <f t="shared" si="0"/>
        <v>0.16666666666666663</v>
      </c>
      <c r="J28" s="5314"/>
      <c r="K28" s="5314"/>
    </row>
    <row r="29" spans="2:11" x14ac:dyDescent="0.3">
      <c r="B29" s="1121" t="s">
        <v>92</v>
      </c>
      <c r="C29" s="1120">
        <v>8</v>
      </c>
      <c r="D29" s="1120">
        <v>8</v>
      </c>
      <c r="E29" s="1121">
        <f t="shared" si="1"/>
        <v>0</v>
      </c>
      <c r="F29" s="1120">
        <v>6</v>
      </c>
      <c r="G29" s="1122">
        <f>F29/D29</f>
        <v>0.75</v>
      </c>
      <c r="H29" s="1120">
        <f>D29-F29</f>
        <v>2</v>
      </c>
      <c r="I29" s="1123">
        <f t="shared" si="0"/>
        <v>0.25</v>
      </c>
      <c r="J29" s="5314"/>
      <c r="K29" s="5314"/>
    </row>
    <row r="30" spans="2:11" x14ac:dyDescent="0.3">
      <c r="B30" s="1121" t="s">
        <v>68</v>
      </c>
      <c r="C30" s="1120">
        <v>4</v>
      </c>
      <c r="D30" s="1120">
        <v>4</v>
      </c>
      <c r="E30" s="1121">
        <f t="shared" si="1"/>
        <v>0</v>
      </c>
      <c r="F30" s="1120">
        <v>2</v>
      </c>
      <c r="G30" s="1122">
        <f>F30/D30</f>
        <v>0.5</v>
      </c>
      <c r="H30" s="1120">
        <f>D30-F30</f>
        <v>2</v>
      </c>
      <c r="I30" s="1123">
        <f t="shared" si="0"/>
        <v>0.5</v>
      </c>
      <c r="J30" s="5314"/>
      <c r="K30" s="5314"/>
    </row>
    <row r="31" spans="2:11" x14ac:dyDescent="0.3">
      <c r="B31" s="1154" t="s">
        <v>137</v>
      </c>
      <c r="C31" s="1153">
        <f>SUM(C28:C30)</f>
        <v>18</v>
      </c>
      <c r="D31" s="1153">
        <f>SUM(D28:D30)</f>
        <v>18</v>
      </c>
      <c r="E31" s="1154">
        <f>SUM(E28:E30)</f>
        <v>0</v>
      </c>
      <c r="F31" s="1153">
        <f>SUM(F28:F30)</f>
        <v>13</v>
      </c>
      <c r="G31" s="1155">
        <f>F31/D31</f>
        <v>0.72222222222222221</v>
      </c>
      <c r="H31" s="1153">
        <f>D31-F31</f>
        <v>5</v>
      </c>
      <c r="I31" s="1156">
        <f t="shared" si="0"/>
        <v>0.27777777777777779</v>
      </c>
      <c r="J31" s="5314"/>
      <c r="K31" s="5314"/>
    </row>
    <row r="32" spans="2:11" x14ac:dyDescent="0.3">
      <c r="B32" s="5301"/>
      <c r="C32" s="5305"/>
      <c r="D32" s="5305"/>
      <c r="E32" s="5305"/>
      <c r="F32" s="5305"/>
      <c r="G32" s="5305"/>
      <c r="H32" s="5305"/>
      <c r="I32" s="5306"/>
      <c r="J32" s="5314"/>
      <c r="K32" s="5314"/>
    </row>
    <row r="33" spans="2:11" x14ac:dyDescent="0.3">
      <c r="B33" s="4541" t="s">
        <v>7</v>
      </c>
      <c r="C33" s="1159">
        <f>SUM(C11,C16,C21,C26,C31)</f>
        <v>82</v>
      </c>
      <c r="D33" s="1159">
        <f t="shared" ref="D33:E33" si="3">SUM(D11,D21,D31,D16,D26)</f>
        <v>77</v>
      </c>
      <c r="E33" s="1160">
        <f t="shared" si="3"/>
        <v>5</v>
      </c>
      <c r="F33" s="1159">
        <f>SUM(F11,F16,F21,F26,F31)</f>
        <v>39</v>
      </c>
      <c r="G33" s="1161">
        <f>F33/D33</f>
        <v>0.50649350649350644</v>
      </c>
      <c r="H33" s="1159">
        <f>D33-F33</f>
        <v>38</v>
      </c>
      <c r="I33" s="1162">
        <f t="shared" si="0"/>
        <v>0.49350649350649356</v>
      </c>
      <c r="J33" s="5314"/>
      <c r="K33" s="5314"/>
    </row>
    <row r="34" spans="2:11" x14ac:dyDescent="0.3">
      <c r="B34" s="5314"/>
      <c r="C34" s="5314"/>
      <c r="D34" s="5314"/>
      <c r="E34" s="5314"/>
      <c r="F34" s="5314"/>
      <c r="G34" s="5314"/>
      <c r="H34" s="5314"/>
      <c r="I34" s="5314"/>
      <c r="J34" s="5314"/>
      <c r="K34" s="5314"/>
    </row>
    <row r="35" spans="2:11" ht="15.75" customHeight="1" x14ac:dyDescent="0.3">
      <c r="B35" s="5314"/>
      <c r="C35" s="5314"/>
      <c r="D35" s="5314"/>
      <c r="E35" s="5314"/>
      <c r="F35" s="5314"/>
      <c r="G35" s="5314"/>
      <c r="H35" s="5314"/>
      <c r="I35" s="5314"/>
      <c r="J35" s="5314"/>
      <c r="K35" s="5314"/>
    </row>
    <row r="36" spans="2:11" ht="15.75" customHeight="1" x14ac:dyDescent="0.3">
      <c r="B36" s="5315"/>
      <c r="C36" s="5315"/>
      <c r="D36" s="5315"/>
      <c r="E36" s="5315"/>
      <c r="F36" s="5766" t="s">
        <v>266</v>
      </c>
      <c r="G36" s="5766"/>
      <c r="H36" s="5766"/>
      <c r="I36" s="5766"/>
      <c r="J36" s="5314"/>
      <c r="K36" s="5314"/>
    </row>
    <row r="37" spans="2:11" ht="15.75" customHeight="1" x14ac:dyDescent="0.3">
      <c r="B37" s="5770" t="s">
        <v>267</v>
      </c>
      <c r="C37" s="5767" t="s">
        <v>1554</v>
      </c>
      <c r="D37" s="5767"/>
      <c r="E37" s="5767"/>
      <c r="F37" s="5768" t="s">
        <v>269</v>
      </c>
      <c r="G37" s="5768"/>
      <c r="H37" s="5769" t="s">
        <v>270</v>
      </c>
      <c r="I37" s="5769"/>
      <c r="J37" s="5314"/>
      <c r="K37" s="5314"/>
    </row>
    <row r="38" spans="2:11" ht="15.75" customHeight="1" thickBot="1" x14ac:dyDescent="0.35">
      <c r="B38" s="5771"/>
      <c r="C38" s="1109" t="s">
        <v>48</v>
      </c>
      <c r="D38" s="1109" t="s">
        <v>266</v>
      </c>
      <c r="E38" s="1110" t="s">
        <v>271</v>
      </c>
      <c r="F38" s="1109" t="s">
        <v>48</v>
      </c>
      <c r="G38" s="1110" t="s">
        <v>272</v>
      </c>
      <c r="H38" s="1109" t="s">
        <v>48</v>
      </c>
      <c r="I38" s="1109" t="s">
        <v>272</v>
      </c>
      <c r="J38" s="5314"/>
      <c r="K38" s="5314"/>
    </row>
    <row r="39" spans="2:11" ht="15.75" customHeight="1" x14ac:dyDescent="0.3">
      <c r="B39" s="1111"/>
      <c r="C39" s="1111"/>
      <c r="D39" s="1111"/>
      <c r="E39" s="1111"/>
      <c r="F39" s="1111"/>
      <c r="G39" s="1111"/>
      <c r="H39" s="1111"/>
      <c r="I39" s="1111"/>
      <c r="J39" s="5314"/>
      <c r="K39" s="5314"/>
    </row>
    <row r="40" spans="2:11" ht="15.75" customHeight="1" x14ac:dyDescent="0.3">
      <c r="B40" s="1115" t="s">
        <v>59</v>
      </c>
      <c r="C40" s="1114">
        <v>10</v>
      </c>
      <c r="D40" s="1114">
        <v>10</v>
      </c>
      <c r="E40" s="1115">
        <f>C40-D40</f>
        <v>0</v>
      </c>
      <c r="F40" s="1114">
        <v>10</v>
      </c>
      <c r="G40" s="1116">
        <f>F40/D40</f>
        <v>1</v>
      </c>
      <c r="H40" s="1114">
        <f>D40-F40</f>
        <v>0</v>
      </c>
      <c r="I40" s="1117">
        <f t="shared" ref="I40:I65" si="4">1-G40</f>
        <v>0</v>
      </c>
      <c r="J40" s="5314"/>
      <c r="K40" s="5314"/>
    </row>
    <row r="41" spans="2:11" ht="15.75" customHeight="1" x14ac:dyDescent="0.3">
      <c r="B41" s="1121" t="s">
        <v>64</v>
      </c>
      <c r="C41" s="1120">
        <v>4</v>
      </c>
      <c r="D41" s="1120">
        <v>4</v>
      </c>
      <c r="E41" s="1121">
        <f t="shared" ref="E41:E62" si="5">C41-D41</f>
        <v>0</v>
      </c>
      <c r="F41" s="1120">
        <v>2</v>
      </c>
      <c r="G41" s="1122">
        <f>F41/D41</f>
        <v>0.5</v>
      </c>
      <c r="H41" s="1120">
        <f>D41-F41</f>
        <v>2</v>
      </c>
      <c r="I41" s="1123">
        <f t="shared" si="4"/>
        <v>0.5</v>
      </c>
      <c r="J41" s="5314"/>
      <c r="K41" s="5314"/>
    </row>
    <row r="42" spans="2:11" ht="15.75" customHeight="1" x14ac:dyDescent="0.3">
      <c r="B42" s="1121" t="s">
        <v>68</v>
      </c>
      <c r="C42" s="1120">
        <v>3</v>
      </c>
      <c r="D42" s="1120">
        <v>3</v>
      </c>
      <c r="E42" s="1121">
        <f t="shared" si="5"/>
        <v>0</v>
      </c>
      <c r="F42" s="1120">
        <v>3</v>
      </c>
      <c r="G42" s="1122">
        <f>F42/D42</f>
        <v>1</v>
      </c>
      <c r="H42" s="1120">
        <f>D42-F42</f>
        <v>0</v>
      </c>
      <c r="I42" s="1123">
        <f t="shared" si="4"/>
        <v>0</v>
      </c>
      <c r="J42" s="5314"/>
      <c r="K42" s="5314"/>
    </row>
    <row r="43" spans="2:11" ht="15.75" customHeight="1" x14ac:dyDescent="0.3">
      <c r="B43" s="1127" t="s">
        <v>138</v>
      </c>
      <c r="C43" s="1126">
        <f>SUM(C40:C42)</f>
        <v>17</v>
      </c>
      <c r="D43" s="1126">
        <f>SUM(D40:D42)</f>
        <v>17</v>
      </c>
      <c r="E43" s="1127">
        <f>SUM(E40:E42)</f>
        <v>0</v>
      </c>
      <c r="F43" s="1126">
        <f>SUM(F40:F42)</f>
        <v>15</v>
      </c>
      <c r="G43" s="1128">
        <f>F43/D43</f>
        <v>0.88235294117647056</v>
      </c>
      <c r="H43" s="1126">
        <f>D43-F43</f>
        <v>2</v>
      </c>
      <c r="I43" s="1129">
        <f t="shared" si="4"/>
        <v>0.11764705882352944</v>
      </c>
      <c r="J43" s="5314"/>
      <c r="K43" s="5314"/>
    </row>
    <row r="44" spans="2:11" ht="15.75" customHeight="1" x14ac:dyDescent="0.3">
      <c r="B44" s="5302"/>
      <c r="C44" s="5303"/>
      <c r="D44" s="5303"/>
      <c r="E44" s="5303"/>
      <c r="F44" s="5303"/>
      <c r="G44" s="5303"/>
      <c r="H44" s="5302"/>
      <c r="I44" s="5304"/>
      <c r="J44" s="5314"/>
      <c r="K44" s="5314"/>
    </row>
    <row r="45" spans="2:11" ht="15.75" customHeight="1" x14ac:dyDescent="0.3">
      <c r="B45" s="1115" t="s">
        <v>64</v>
      </c>
      <c r="C45" s="1114">
        <v>4</v>
      </c>
      <c r="D45" s="1114">
        <v>3</v>
      </c>
      <c r="E45" s="1115">
        <f t="shared" si="5"/>
        <v>1</v>
      </c>
      <c r="F45" s="1114"/>
      <c r="G45" s="1116"/>
      <c r="H45" s="1114">
        <f>D45-F45</f>
        <v>3</v>
      </c>
      <c r="I45" s="1117">
        <f t="shared" si="4"/>
        <v>1</v>
      </c>
      <c r="J45" s="5314"/>
      <c r="K45" s="5314"/>
    </row>
    <row r="46" spans="2:11" ht="15.75" customHeight="1" x14ac:dyDescent="0.3">
      <c r="B46" s="1121" t="s">
        <v>111</v>
      </c>
      <c r="C46" s="1120">
        <v>3</v>
      </c>
      <c r="D46" s="1120">
        <v>3</v>
      </c>
      <c r="E46" s="1121">
        <f t="shared" si="5"/>
        <v>0</v>
      </c>
      <c r="F46" s="1120">
        <v>2</v>
      </c>
      <c r="G46" s="1122">
        <f>F46/D46</f>
        <v>0.66666666666666663</v>
      </c>
      <c r="H46" s="1120">
        <f>D46-F46</f>
        <v>1</v>
      </c>
      <c r="I46" s="1123">
        <f t="shared" si="4"/>
        <v>0.33333333333333337</v>
      </c>
      <c r="J46" s="5314"/>
      <c r="K46" s="5314"/>
    </row>
    <row r="47" spans="2:11" ht="15.75" customHeight="1" x14ac:dyDescent="0.3">
      <c r="B47" s="1121" t="s">
        <v>115</v>
      </c>
      <c r="C47" s="1120">
        <v>4</v>
      </c>
      <c r="D47" s="1120">
        <v>4</v>
      </c>
      <c r="E47" s="1121">
        <f t="shared" si="5"/>
        <v>0</v>
      </c>
      <c r="F47" s="1120">
        <v>4</v>
      </c>
      <c r="G47" s="1122">
        <f>F47/D47</f>
        <v>1</v>
      </c>
      <c r="H47" s="1120">
        <f>D47-F47</f>
        <v>0</v>
      </c>
      <c r="I47" s="1123">
        <f t="shared" si="4"/>
        <v>0</v>
      </c>
      <c r="J47" s="5314"/>
      <c r="K47" s="5314"/>
    </row>
    <row r="48" spans="2:11" ht="15.75" customHeight="1" x14ac:dyDescent="0.3">
      <c r="B48" s="1133" t="s">
        <v>134</v>
      </c>
      <c r="C48" s="1132">
        <f>SUM(C45:C47)</f>
        <v>11</v>
      </c>
      <c r="D48" s="1132">
        <f>SUM(D45:D47)</f>
        <v>10</v>
      </c>
      <c r="E48" s="1133">
        <f>SUM(E45:E47)</f>
        <v>1</v>
      </c>
      <c r="F48" s="1132">
        <f>SUM(F45:F47)</f>
        <v>6</v>
      </c>
      <c r="G48" s="1134">
        <f>F48/D48</f>
        <v>0.6</v>
      </c>
      <c r="H48" s="1132">
        <f>D48-F48</f>
        <v>4</v>
      </c>
      <c r="I48" s="1135">
        <f t="shared" si="4"/>
        <v>0.4</v>
      </c>
      <c r="J48" s="5314"/>
      <c r="K48" s="5314"/>
    </row>
    <row r="49" spans="2:11" ht="15.75" customHeight="1" x14ac:dyDescent="0.3">
      <c r="B49" s="1136"/>
      <c r="C49" s="1137"/>
      <c r="D49" s="1137"/>
      <c r="E49" s="1137"/>
      <c r="F49" s="5305"/>
      <c r="G49" s="5305"/>
      <c r="H49" s="5305"/>
      <c r="I49" s="5306"/>
      <c r="J49" s="5314"/>
      <c r="K49" s="5314"/>
    </row>
    <row r="50" spans="2:11" ht="15.75" customHeight="1" x14ac:dyDescent="0.3">
      <c r="B50" s="1115" t="s">
        <v>59</v>
      </c>
      <c r="C50" s="1114">
        <v>10</v>
      </c>
      <c r="D50" s="1114">
        <v>9</v>
      </c>
      <c r="E50" s="1115">
        <f t="shared" si="5"/>
        <v>1</v>
      </c>
      <c r="F50" s="1114">
        <v>4</v>
      </c>
      <c r="G50" s="1116">
        <f>F50/D50</f>
        <v>0.44444444444444442</v>
      </c>
      <c r="H50" s="1114">
        <f>D50-F50</f>
        <v>5</v>
      </c>
      <c r="I50" s="1117">
        <f t="shared" si="4"/>
        <v>0.55555555555555558</v>
      </c>
      <c r="J50" s="5314"/>
      <c r="K50" s="5314"/>
    </row>
    <row r="51" spans="2:11" ht="15.75" customHeight="1" x14ac:dyDescent="0.3">
      <c r="B51" s="1121" t="s">
        <v>64</v>
      </c>
      <c r="C51" s="1120">
        <v>11</v>
      </c>
      <c r="D51" s="1120">
        <v>11</v>
      </c>
      <c r="E51" s="1121">
        <f t="shared" si="5"/>
        <v>0</v>
      </c>
      <c r="F51" s="1120"/>
      <c r="G51" s="1122"/>
      <c r="H51" s="1120">
        <f>D51-F51</f>
        <v>11</v>
      </c>
      <c r="I51" s="1123">
        <f t="shared" si="4"/>
        <v>1</v>
      </c>
      <c r="J51" s="5314"/>
      <c r="K51" s="5314"/>
    </row>
    <row r="52" spans="2:11" ht="15.75" customHeight="1" x14ac:dyDescent="0.3">
      <c r="B52" s="1121" t="s">
        <v>92</v>
      </c>
      <c r="C52" s="1120">
        <v>6</v>
      </c>
      <c r="D52" s="1120">
        <v>6</v>
      </c>
      <c r="E52" s="1121">
        <f t="shared" si="5"/>
        <v>0</v>
      </c>
      <c r="F52" s="1120">
        <v>1</v>
      </c>
      <c r="G52" s="1122">
        <f>F52/D52</f>
        <v>0.16666666666666666</v>
      </c>
      <c r="H52" s="1120">
        <f>D52-F52</f>
        <v>5</v>
      </c>
      <c r="I52" s="1123">
        <f t="shared" si="4"/>
        <v>0.83333333333333337</v>
      </c>
      <c r="J52" s="5314"/>
      <c r="K52" s="5314"/>
    </row>
    <row r="53" spans="2:11" ht="15.75" customHeight="1" x14ac:dyDescent="0.3">
      <c r="B53" s="1141" t="s">
        <v>135</v>
      </c>
      <c r="C53" s="1140">
        <f>SUM(C50:C52)</f>
        <v>27</v>
      </c>
      <c r="D53" s="1140">
        <f>SUM(D50:D52)</f>
        <v>26</v>
      </c>
      <c r="E53" s="1141">
        <f>SUM(E50:E52)</f>
        <v>1</v>
      </c>
      <c r="F53" s="1140">
        <f>SUM(F50:F52)</f>
        <v>5</v>
      </c>
      <c r="G53" s="1142">
        <f>F53/D53</f>
        <v>0.19230769230769232</v>
      </c>
      <c r="H53" s="1140">
        <f>D53-F53</f>
        <v>21</v>
      </c>
      <c r="I53" s="1143">
        <f t="shared" si="4"/>
        <v>0.80769230769230771</v>
      </c>
      <c r="J53" s="5314"/>
      <c r="K53" s="5314"/>
    </row>
    <row r="54" spans="2:11" ht="15.75" customHeight="1" x14ac:dyDescent="0.3">
      <c r="B54" s="1144"/>
      <c r="C54" s="1137"/>
      <c r="D54" s="1137"/>
      <c r="E54" s="1137"/>
      <c r="F54" s="5305"/>
      <c r="G54" s="5303"/>
      <c r="H54" s="5303"/>
      <c r="I54" s="5307"/>
      <c r="J54" s="5314"/>
      <c r="K54" s="5314"/>
    </row>
    <row r="55" spans="2:11" ht="15.75" customHeight="1" x14ac:dyDescent="0.3">
      <c r="B55" s="1115" t="s">
        <v>59</v>
      </c>
      <c r="C55" s="1114">
        <v>3</v>
      </c>
      <c r="D55" s="1114">
        <v>1</v>
      </c>
      <c r="E55" s="1115">
        <f t="shared" si="5"/>
        <v>2</v>
      </c>
      <c r="F55" s="1114">
        <v>1</v>
      </c>
      <c r="G55" s="1116">
        <f>F55/D55</f>
        <v>1</v>
      </c>
      <c r="H55" s="1114">
        <f>D55-F55</f>
        <v>0</v>
      </c>
      <c r="I55" s="1117">
        <f t="shared" si="4"/>
        <v>0</v>
      </c>
      <c r="J55" s="5314"/>
      <c r="K55" s="5314"/>
    </row>
    <row r="56" spans="2:11" ht="15.75" customHeight="1" x14ac:dyDescent="0.3">
      <c r="B56" s="1121" t="s">
        <v>64</v>
      </c>
      <c r="C56" s="1120">
        <v>3</v>
      </c>
      <c r="D56" s="1120">
        <v>2</v>
      </c>
      <c r="E56" s="1121">
        <f t="shared" si="5"/>
        <v>1</v>
      </c>
      <c r="F56" s="1120"/>
      <c r="G56" s="1122"/>
      <c r="H56" s="1120">
        <f>D56-F56</f>
        <v>2</v>
      </c>
      <c r="I56" s="1123">
        <f t="shared" si="4"/>
        <v>1</v>
      </c>
      <c r="J56" s="5314"/>
      <c r="K56" s="5314"/>
    </row>
    <row r="57" spans="2:11" ht="15.75" customHeight="1" x14ac:dyDescent="0.3">
      <c r="B57" s="1121" t="s">
        <v>92</v>
      </c>
      <c r="C57" s="1120">
        <v>3</v>
      </c>
      <c r="D57" s="1120">
        <v>1</v>
      </c>
      <c r="E57" s="1121">
        <f t="shared" si="5"/>
        <v>2</v>
      </c>
      <c r="F57" s="1120"/>
      <c r="G57" s="1122"/>
      <c r="H57" s="1120">
        <f>D57-F57</f>
        <v>1</v>
      </c>
      <c r="I57" s="1123">
        <f t="shared" si="4"/>
        <v>1</v>
      </c>
      <c r="J57" s="5314"/>
      <c r="K57" s="5314"/>
    </row>
    <row r="58" spans="2:11" ht="15.75" customHeight="1" x14ac:dyDescent="0.3">
      <c r="B58" s="1148" t="s">
        <v>136</v>
      </c>
      <c r="C58" s="1147">
        <f>SUM(C55:C57)</f>
        <v>9</v>
      </c>
      <c r="D58" s="1147">
        <f>SUM(D55:D57)</f>
        <v>4</v>
      </c>
      <c r="E58" s="1148">
        <f>SUM(E55:E57)</f>
        <v>5</v>
      </c>
      <c r="F58" s="1147">
        <f>SUM(F55:F57)</f>
        <v>1</v>
      </c>
      <c r="G58" s="1149">
        <f>F58/D58</f>
        <v>0.25</v>
      </c>
      <c r="H58" s="1147">
        <f>D58-F58</f>
        <v>3</v>
      </c>
      <c r="I58" s="1150">
        <f t="shared" si="4"/>
        <v>0.75</v>
      </c>
      <c r="J58" s="5314"/>
      <c r="K58" s="5314"/>
    </row>
    <row r="59" spans="2:11" ht="15.75" customHeight="1" x14ac:dyDescent="0.3">
      <c r="B59" s="5301"/>
      <c r="C59" s="5305"/>
      <c r="D59" s="5305"/>
      <c r="E59" s="5305"/>
      <c r="F59" s="5305"/>
      <c r="G59" s="5305"/>
      <c r="H59" s="5305"/>
      <c r="I59" s="5306"/>
      <c r="J59" s="5314"/>
      <c r="K59" s="5314"/>
    </row>
    <row r="60" spans="2:11" ht="15.75" customHeight="1" x14ac:dyDescent="0.3">
      <c r="B60" s="1115" t="s">
        <v>64</v>
      </c>
      <c r="C60" s="1114">
        <v>6</v>
      </c>
      <c r="D60" s="1114">
        <v>6</v>
      </c>
      <c r="E60" s="1115">
        <f t="shared" si="5"/>
        <v>0</v>
      </c>
      <c r="F60" s="1114">
        <v>5</v>
      </c>
      <c r="G60" s="1116">
        <f>F60/D60</f>
        <v>0.83333333333333337</v>
      </c>
      <c r="H60" s="1114">
        <f>D60-F60</f>
        <v>1</v>
      </c>
      <c r="I60" s="1117">
        <f t="shared" si="4"/>
        <v>0.16666666666666663</v>
      </c>
      <c r="J60" s="5314"/>
      <c r="K60" s="5314"/>
    </row>
    <row r="61" spans="2:11" ht="15.75" customHeight="1" x14ac:dyDescent="0.3">
      <c r="B61" s="1121" t="s">
        <v>92</v>
      </c>
      <c r="C61" s="1120">
        <v>8</v>
      </c>
      <c r="D61" s="1120">
        <v>8</v>
      </c>
      <c r="E61" s="1121">
        <f t="shared" si="5"/>
        <v>0</v>
      </c>
      <c r="F61" s="1120">
        <v>5</v>
      </c>
      <c r="G61" s="1122">
        <f>F61/D61</f>
        <v>0.625</v>
      </c>
      <c r="H61" s="1120">
        <f>D61-F61</f>
        <v>3</v>
      </c>
      <c r="I61" s="1123">
        <f t="shared" si="4"/>
        <v>0.375</v>
      </c>
      <c r="J61" s="5314"/>
      <c r="K61" s="5314"/>
    </row>
    <row r="62" spans="2:11" ht="15.75" customHeight="1" x14ac:dyDescent="0.3">
      <c r="B62" s="1121" t="s">
        <v>68</v>
      </c>
      <c r="C62" s="1120">
        <v>4</v>
      </c>
      <c r="D62" s="1120">
        <v>4</v>
      </c>
      <c r="E62" s="1121">
        <f t="shared" si="5"/>
        <v>0</v>
      </c>
      <c r="F62" s="1120">
        <v>2</v>
      </c>
      <c r="G62" s="1122">
        <f>F62/D62</f>
        <v>0.5</v>
      </c>
      <c r="H62" s="1120">
        <f>D62-F62</f>
        <v>2</v>
      </c>
      <c r="I62" s="1123">
        <f t="shared" si="4"/>
        <v>0.5</v>
      </c>
      <c r="J62" s="5314"/>
      <c r="K62" s="5314"/>
    </row>
    <row r="63" spans="2:11" ht="15.75" customHeight="1" x14ac:dyDescent="0.3">
      <c r="B63" s="1154" t="s">
        <v>137</v>
      </c>
      <c r="C63" s="1153">
        <f>SUM(C60:C62)</f>
        <v>18</v>
      </c>
      <c r="D63" s="1153">
        <f>SUM(D60:D62)</f>
        <v>18</v>
      </c>
      <c r="E63" s="1154">
        <f>SUM(E60:E62)</f>
        <v>0</v>
      </c>
      <c r="F63" s="1153">
        <f>SUM(F60:F62)</f>
        <v>12</v>
      </c>
      <c r="G63" s="1155">
        <f>F63/D63</f>
        <v>0.66666666666666663</v>
      </c>
      <c r="H63" s="1153">
        <f>D63-F63</f>
        <v>6</v>
      </c>
      <c r="I63" s="1156">
        <f t="shared" si="4"/>
        <v>0.33333333333333337</v>
      </c>
      <c r="J63" s="5314"/>
      <c r="K63" s="5314"/>
    </row>
    <row r="64" spans="2:11" ht="15.75" customHeight="1" x14ac:dyDescent="0.3">
      <c r="B64" s="5301"/>
      <c r="C64" s="5305"/>
      <c r="D64" s="5305"/>
      <c r="E64" s="5305"/>
      <c r="F64" s="5305"/>
      <c r="G64" s="5305"/>
      <c r="H64" s="5305"/>
      <c r="I64" s="5306"/>
      <c r="J64" s="5314"/>
      <c r="K64" s="5314"/>
    </row>
    <row r="65" spans="2:11" ht="15.75" customHeight="1" x14ac:dyDescent="0.3">
      <c r="B65" s="4541" t="s">
        <v>7</v>
      </c>
      <c r="C65" s="1159">
        <f>SUM(C43,C53,C63,C48,C58)</f>
        <v>82</v>
      </c>
      <c r="D65" s="1159">
        <f t="shared" ref="D65:E65" si="6">SUM(D43,D53,D63,D48,D58)</f>
        <v>75</v>
      </c>
      <c r="E65" s="1160">
        <f t="shared" si="6"/>
        <v>7</v>
      </c>
      <c r="F65" s="1159">
        <f>SUM(F43,F48,F53,F58,F63)</f>
        <v>39</v>
      </c>
      <c r="G65" s="1161">
        <f>F65/D65</f>
        <v>0.52</v>
      </c>
      <c r="H65" s="1159">
        <f>D65-F65</f>
        <v>36</v>
      </c>
      <c r="I65" s="1162">
        <f t="shared" si="4"/>
        <v>0.48</v>
      </c>
      <c r="J65" s="5314"/>
      <c r="K65" s="5314"/>
    </row>
    <row r="66" spans="2:11" ht="15.75" customHeight="1" x14ac:dyDescent="0.3">
      <c r="B66" s="5314"/>
      <c r="C66" s="5314"/>
      <c r="D66" s="5314"/>
      <c r="E66" s="5314"/>
      <c r="F66" s="5314"/>
      <c r="G66" s="5314"/>
      <c r="H66" s="5314"/>
      <c r="I66" s="5314"/>
      <c r="J66" s="5314"/>
      <c r="K66" s="5314"/>
    </row>
    <row r="67" spans="2:11" ht="15.75" customHeight="1" x14ac:dyDescent="0.3">
      <c r="B67" s="5314"/>
      <c r="C67" s="5314"/>
      <c r="D67" s="5314"/>
      <c r="E67" s="5314"/>
      <c r="F67" s="5314"/>
      <c r="G67" s="5314"/>
      <c r="H67" s="5314"/>
      <c r="I67" s="5314"/>
      <c r="J67" s="5314"/>
      <c r="K67" s="5314"/>
    </row>
    <row r="68" spans="2:11" ht="15.75" customHeight="1" x14ac:dyDescent="0.3">
      <c r="B68" s="5315"/>
      <c r="C68" s="5315"/>
      <c r="D68" s="5315"/>
      <c r="E68" s="5315"/>
      <c r="F68" s="5766" t="s">
        <v>266</v>
      </c>
      <c r="G68" s="5766"/>
      <c r="H68" s="5766"/>
      <c r="I68" s="5766"/>
      <c r="J68" s="5314"/>
      <c r="K68" s="5314"/>
    </row>
    <row r="69" spans="2:11" ht="15.75" customHeight="1" x14ac:dyDescent="0.3">
      <c r="B69" s="5770" t="s">
        <v>267</v>
      </c>
      <c r="C69" s="5767" t="s">
        <v>268</v>
      </c>
      <c r="D69" s="5767"/>
      <c r="E69" s="5767"/>
      <c r="F69" s="5768" t="s">
        <v>269</v>
      </c>
      <c r="G69" s="5768"/>
      <c r="H69" s="5769" t="s">
        <v>270</v>
      </c>
      <c r="I69" s="5769"/>
      <c r="J69" s="5314"/>
      <c r="K69" s="5314"/>
    </row>
    <row r="70" spans="2:11" ht="15.75" customHeight="1" thickBot="1" x14ac:dyDescent="0.35">
      <c r="B70" s="5771"/>
      <c r="C70" s="1109" t="s">
        <v>48</v>
      </c>
      <c r="D70" s="1109" t="s">
        <v>266</v>
      </c>
      <c r="E70" s="1110" t="s">
        <v>271</v>
      </c>
      <c r="F70" s="1109" t="s">
        <v>48</v>
      </c>
      <c r="G70" s="1110" t="s">
        <v>272</v>
      </c>
      <c r="H70" s="1109" t="s">
        <v>48</v>
      </c>
      <c r="I70" s="1109" t="s">
        <v>272</v>
      </c>
      <c r="J70" s="5314"/>
      <c r="K70" s="5314"/>
    </row>
    <row r="71" spans="2:11" ht="15.75" customHeight="1" x14ac:dyDescent="0.3">
      <c r="B71" s="1111"/>
      <c r="C71" s="1111"/>
      <c r="D71" s="1111"/>
      <c r="E71" s="1111"/>
      <c r="F71" s="1111"/>
      <c r="G71" s="1111"/>
      <c r="H71" s="1111"/>
      <c r="I71" s="1111"/>
      <c r="J71" s="5314"/>
      <c r="K71" s="5314"/>
    </row>
    <row r="72" spans="2:11" ht="15.75" customHeight="1" x14ac:dyDescent="0.3">
      <c r="B72" s="1112" t="s">
        <v>59</v>
      </c>
      <c r="C72" s="1113">
        <v>10</v>
      </c>
      <c r="D72" s="1114">
        <v>10</v>
      </c>
      <c r="E72" s="1115">
        <f>C72-D72</f>
        <v>0</v>
      </c>
      <c r="F72" s="1114">
        <v>10</v>
      </c>
      <c r="G72" s="1116">
        <f>F72/D72</f>
        <v>1</v>
      </c>
      <c r="H72" s="1114">
        <f>D72-F72</f>
        <v>0</v>
      </c>
      <c r="I72" s="1117">
        <f t="shared" ref="I72:I97" si="7">1-G72</f>
        <v>0</v>
      </c>
      <c r="J72" s="5314"/>
      <c r="K72" s="5314"/>
    </row>
    <row r="73" spans="2:11" ht="15.75" customHeight="1" x14ac:dyDescent="0.3">
      <c r="B73" s="1118" t="s">
        <v>64</v>
      </c>
      <c r="C73" s="1119">
        <v>4</v>
      </c>
      <c r="D73" s="1120">
        <v>4</v>
      </c>
      <c r="E73" s="1121">
        <f t="shared" ref="E73:E94" si="8">C73-D73</f>
        <v>0</v>
      </c>
      <c r="F73" s="1120">
        <v>3</v>
      </c>
      <c r="G73" s="1122">
        <f>F73/D73</f>
        <v>0.75</v>
      </c>
      <c r="H73" s="1120">
        <f>D73-F73</f>
        <v>1</v>
      </c>
      <c r="I73" s="1123">
        <f t="shared" si="7"/>
        <v>0.25</v>
      </c>
      <c r="J73" s="5314"/>
      <c r="K73" s="5314"/>
    </row>
    <row r="74" spans="2:11" ht="15.75" customHeight="1" x14ac:dyDescent="0.3">
      <c r="B74" s="1118" t="s">
        <v>68</v>
      </c>
      <c r="C74" s="1119">
        <v>3</v>
      </c>
      <c r="D74" s="1120">
        <v>3</v>
      </c>
      <c r="E74" s="1121">
        <f t="shared" si="8"/>
        <v>0</v>
      </c>
      <c r="F74" s="1120">
        <v>3</v>
      </c>
      <c r="G74" s="1122">
        <f>F74/D74</f>
        <v>1</v>
      </c>
      <c r="H74" s="1120">
        <f>D74-F74</f>
        <v>0</v>
      </c>
      <c r="I74" s="1123">
        <f t="shared" si="7"/>
        <v>0</v>
      </c>
      <c r="J74" s="5314"/>
      <c r="K74" s="5314"/>
    </row>
    <row r="75" spans="2:11" ht="15.75" customHeight="1" x14ac:dyDescent="0.3">
      <c r="B75" s="1124" t="s">
        <v>138</v>
      </c>
      <c r="C75" s="1125">
        <f>SUM(C72:C74)</f>
        <v>17</v>
      </c>
      <c r="D75" s="1126">
        <f>SUM(D72:D74)</f>
        <v>17</v>
      </c>
      <c r="E75" s="1127">
        <f>SUM(E72:E74)</f>
        <v>0</v>
      </c>
      <c r="F75" s="1126">
        <f>SUM(F72:F74)</f>
        <v>16</v>
      </c>
      <c r="G75" s="1128">
        <f>F75/D75</f>
        <v>0.94117647058823528</v>
      </c>
      <c r="H75" s="1126">
        <f>D75-F75</f>
        <v>1</v>
      </c>
      <c r="I75" s="1129">
        <f t="shared" si="7"/>
        <v>5.8823529411764719E-2</v>
      </c>
      <c r="J75" s="5314"/>
      <c r="K75" s="5314"/>
    </row>
    <row r="76" spans="2:11" ht="15.75" customHeight="1" x14ac:dyDescent="0.3">
      <c r="B76" s="5302"/>
      <c r="C76" s="5303"/>
      <c r="D76" s="5303"/>
      <c r="E76" s="5303"/>
      <c r="F76" s="5303"/>
      <c r="G76" s="5303"/>
      <c r="H76" s="5302"/>
      <c r="I76" s="5304"/>
      <c r="J76" s="5314"/>
      <c r="K76" s="5314"/>
    </row>
    <row r="77" spans="2:11" ht="15.75" customHeight="1" x14ac:dyDescent="0.3">
      <c r="B77" s="1112" t="s">
        <v>64</v>
      </c>
      <c r="C77" s="1113">
        <v>4</v>
      </c>
      <c r="D77" s="1114">
        <v>3</v>
      </c>
      <c r="E77" s="1115">
        <f t="shared" si="8"/>
        <v>1</v>
      </c>
      <c r="F77" s="1114">
        <v>0</v>
      </c>
      <c r="G77" s="1116">
        <f>F77/D77</f>
        <v>0</v>
      </c>
      <c r="H77" s="1114">
        <f>D77-F77</f>
        <v>3</v>
      </c>
      <c r="I77" s="1117">
        <f t="shared" si="7"/>
        <v>1</v>
      </c>
      <c r="J77" s="5314"/>
      <c r="K77" s="5314"/>
    </row>
    <row r="78" spans="2:11" ht="15.75" customHeight="1" x14ac:dyDescent="0.3">
      <c r="B78" s="1118" t="s">
        <v>111</v>
      </c>
      <c r="C78" s="1119">
        <v>3</v>
      </c>
      <c r="D78" s="1120">
        <v>3</v>
      </c>
      <c r="E78" s="1121">
        <f t="shared" si="8"/>
        <v>0</v>
      </c>
      <c r="F78" s="1120">
        <v>2</v>
      </c>
      <c r="G78" s="1122">
        <f>F78/D78</f>
        <v>0.66666666666666663</v>
      </c>
      <c r="H78" s="1120">
        <f>D78-F78</f>
        <v>1</v>
      </c>
      <c r="I78" s="1123">
        <f t="shared" si="7"/>
        <v>0.33333333333333337</v>
      </c>
      <c r="J78" s="5314"/>
      <c r="K78" s="5314"/>
    </row>
    <row r="79" spans="2:11" ht="15.75" customHeight="1" x14ac:dyDescent="0.3">
      <c r="B79" s="1118" t="s">
        <v>115</v>
      </c>
      <c r="C79" s="1119">
        <v>4</v>
      </c>
      <c r="D79" s="1120">
        <v>4</v>
      </c>
      <c r="E79" s="1121">
        <f t="shared" si="8"/>
        <v>0</v>
      </c>
      <c r="F79" s="1120">
        <v>4</v>
      </c>
      <c r="G79" s="1122">
        <f>F79/D79</f>
        <v>1</v>
      </c>
      <c r="H79" s="1120">
        <f>D79-F79</f>
        <v>0</v>
      </c>
      <c r="I79" s="1123">
        <f t="shared" si="7"/>
        <v>0</v>
      </c>
      <c r="J79" s="5314"/>
      <c r="K79" s="5314"/>
    </row>
    <row r="80" spans="2:11" ht="15.75" customHeight="1" x14ac:dyDescent="0.3">
      <c r="B80" s="1130" t="s">
        <v>134</v>
      </c>
      <c r="C80" s="1131">
        <f>SUM(C77:C79)</f>
        <v>11</v>
      </c>
      <c r="D80" s="1132">
        <f>SUM(D77:D79)</f>
        <v>10</v>
      </c>
      <c r="E80" s="1133">
        <f>SUM(E77:E79)</f>
        <v>1</v>
      </c>
      <c r="F80" s="1132">
        <f>SUM(F77:F79)</f>
        <v>6</v>
      </c>
      <c r="G80" s="1134">
        <f>F80/D80</f>
        <v>0.6</v>
      </c>
      <c r="H80" s="1132">
        <f>D80-F80</f>
        <v>4</v>
      </c>
      <c r="I80" s="1135">
        <f t="shared" si="7"/>
        <v>0.4</v>
      </c>
      <c r="J80" s="5314"/>
      <c r="K80" s="5314"/>
    </row>
    <row r="81" spans="2:11" ht="15.75" customHeight="1" x14ac:dyDescent="0.3">
      <c r="B81" s="1136"/>
      <c r="C81" s="1137"/>
      <c r="D81" s="1137"/>
      <c r="E81" s="1137"/>
      <c r="F81" s="5305"/>
      <c r="G81" s="5305"/>
      <c r="H81" s="5305"/>
      <c r="I81" s="5306"/>
      <c r="J81" s="5314"/>
      <c r="K81" s="5314"/>
    </row>
    <row r="82" spans="2:11" ht="15.75" customHeight="1" x14ac:dyDescent="0.3">
      <c r="B82" s="1112" t="s">
        <v>59</v>
      </c>
      <c r="C82" s="1113">
        <v>10</v>
      </c>
      <c r="D82" s="1114">
        <v>9</v>
      </c>
      <c r="E82" s="1115">
        <f t="shared" si="8"/>
        <v>1</v>
      </c>
      <c r="F82" s="1114">
        <v>3</v>
      </c>
      <c r="G82" s="1116">
        <f>F82/D82</f>
        <v>0.33333333333333331</v>
      </c>
      <c r="H82" s="1114">
        <f>D82-F82</f>
        <v>6</v>
      </c>
      <c r="I82" s="1117">
        <f t="shared" si="7"/>
        <v>0.66666666666666674</v>
      </c>
      <c r="J82" s="5314"/>
      <c r="K82" s="5314"/>
    </row>
    <row r="83" spans="2:11" ht="15.75" customHeight="1" x14ac:dyDescent="0.3">
      <c r="B83" s="1118" t="s">
        <v>64</v>
      </c>
      <c r="C83" s="1119">
        <v>11</v>
      </c>
      <c r="D83" s="1120">
        <v>11</v>
      </c>
      <c r="E83" s="1121">
        <f t="shared" si="8"/>
        <v>0</v>
      </c>
      <c r="F83" s="1120">
        <v>0</v>
      </c>
      <c r="G83" s="1122">
        <f>F83/D83</f>
        <v>0</v>
      </c>
      <c r="H83" s="1120">
        <f>D83-F83</f>
        <v>11</v>
      </c>
      <c r="I83" s="1123">
        <f t="shared" si="7"/>
        <v>1</v>
      </c>
      <c r="J83" s="5314"/>
      <c r="K83" s="5314"/>
    </row>
    <row r="84" spans="2:11" ht="15.75" customHeight="1" x14ac:dyDescent="0.3">
      <c r="B84" s="1118" t="s">
        <v>92</v>
      </c>
      <c r="C84" s="1119">
        <v>6</v>
      </c>
      <c r="D84" s="1120">
        <v>6</v>
      </c>
      <c r="E84" s="1121">
        <f t="shared" si="8"/>
        <v>0</v>
      </c>
      <c r="F84" s="1120">
        <v>1</v>
      </c>
      <c r="G84" s="1122">
        <f>F84/D84</f>
        <v>0.16666666666666666</v>
      </c>
      <c r="H84" s="1120">
        <f>D84-F84</f>
        <v>5</v>
      </c>
      <c r="I84" s="1123">
        <f t="shared" si="7"/>
        <v>0.83333333333333337</v>
      </c>
      <c r="J84" s="5314"/>
      <c r="K84" s="5314"/>
    </row>
    <row r="85" spans="2:11" ht="15.75" customHeight="1" x14ac:dyDescent="0.3">
      <c r="B85" s="1138" t="s">
        <v>135</v>
      </c>
      <c r="C85" s="1139">
        <f>SUM(C82:C84)</f>
        <v>27</v>
      </c>
      <c r="D85" s="1140">
        <f>SUM(D82:D84)</f>
        <v>26</v>
      </c>
      <c r="E85" s="1141">
        <f>SUM(E82:E84)</f>
        <v>1</v>
      </c>
      <c r="F85" s="1140">
        <f>SUM(F82:F84)</f>
        <v>4</v>
      </c>
      <c r="G85" s="1142">
        <f>F85/D85</f>
        <v>0.15384615384615385</v>
      </c>
      <c r="H85" s="1140">
        <f>D85-F85</f>
        <v>22</v>
      </c>
      <c r="I85" s="1143">
        <f t="shared" si="7"/>
        <v>0.84615384615384615</v>
      </c>
      <c r="J85" s="5314"/>
      <c r="K85" s="5314"/>
    </row>
    <row r="86" spans="2:11" ht="15.75" customHeight="1" x14ac:dyDescent="0.3">
      <c r="B86" s="1144"/>
      <c r="C86" s="1137"/>
      <c r="D86" s="1137"/>
      <c r="E86" s="1137"/>
      <c r="F86" s="5305"/>
      <c r="G86" s="5303"/>
      <c r="H86" s="5303"/>
      <c r="I86" s="5307"/>
      <c r="J86" s="5314"/>
      <c r="K86" s="5314"/>
    </row>
    <row r="87" spans="2:11" ht="15.75" customHeight="1" x14ac:dyDescent="0.3">
      <c r="B87" s="1112" t="s">
        <v>59</v>
      </c>
      <c r="C87" s="1113">
        <v>3</v>
      </c>
      <c r="D87" s="1114">
        <v>1</v>
      </c>
      <c r="E87" s="1115">
        <f t="shared" si="8"/>
        <v>2</v>
      </c>
      <c r="F87" s="1114">
        <v>1</v>
      </c>
      <c r="G87" s="1116">
        <f>F87/D87</f>
        <v>1</v>
      </c>
      <c r="H87" s="1114">
        <f>D87-F87</f>
        <v>0</v>
      </c>
      <c r="I87" s="1117">
        <f t="shared" si="7"/>
        <v>0</v>
      </c>
      <c r="J87" s="5314"/>
      <c r="K87" s="5314"/>
    </row>
    <row r="88" spans="2:11" ht="15.75" customHeight="1" x14ac:dyDescent="0.3">
      <c r="B88" s="1118" t="s">
        <v>64</v>
      </c>
      <c r="C88" s="1119">
        <v>3</v>
      </c>
      <c r="D88" s="1120">
        <v>2</v>
      </c>
      <c r="E88" s="1121">
        <f t="shared" si="8"/>
        <v>1</v>
      </c>
      <c r="F88" s="1120">
        <v>0</v>
      </c>
      <c r="G88" s="1122">
        <f>F88/D88</f>
        <v>0</v>
      </c>
      <c r="H88" s="1120">
        <f>D88-F88</f>
        <v>2</v>
      </c>
      <c r="I88" s="1123">
        <f t="shared" si="7"/>
        <v>1</v>
      </c>
      <c r="J88" s="5314"/>
      <c r="K88" s="5314"/>
    </row>
    <row r="89" spans="2:11" ht="15.75" customHeight="1" x14ac:dyDescent="0.3">
      <c r="B89" s="1118" t="s">
        <v>92</v>
      </c>
      <c r="C89" s="1119">
        <v>3</v>
      </c>
      <c r="D89" s="1120">
        <v>1</v>
      </c>
      <c r="E89" s="1121">
        <f t="shared" si="8"/>
        <v>2</v>
      </c>
      <c r="F89" s="1120">
        <v>0</v>
      </c>
      <c r="G89" s="1122">
        <f>F89/D89</f>
        <v>0</v>
      </c>
      <c r="H89" s="1120">
        <f>D89-F89</f>
        <v>1</v>
      </c>
      <c r="I89" s="1123">
        <f t="shared" si="7"/>
        <v>1</v>
      </c>
      <c r="J89" s="5314"/>
      <c r="K89" s="5314"/>
    </row>
    <row r="90" spans="2:11" ht="15.75" customHeight="1" x14ac:dyDescent="0.3">
      <c r="B90" s="1145" t="s">
        <v>136</v>
      </c>
      <c r="C90" s="1146">
        <f>SUM(C87:C89)</f>
        <v>9</v>
      </c>
      <c r="D90" s="1147">
        <f>SUM(D87:D89)</f>
        <v>4</v>
      </c>
      <c r="E90" s="1148">
        <f>SUM(E87:E89)</f>
        <v>5</v>
      </c>
      <c r="F90" s="1147">
        <f>SUM(F87:F89)</f>
        <v>1</v>
      </c>
      <c r="G90" s="1149">
        <f>F90/D90</f>
        <v>0.25</v>
      </c>
      <c r="H90" s="1147">
        <f>D90-F90</f>
        <v>3</v>
      </c>
      <c r="I90" s="1150">
        <f t="shared" si="7"/>
        <v>0.75</v>
      </c>
      <c r="J90" s="5314"/>
      <c r="K90" s="5314"/>
    </row>
    <row r="91" spans="2:11" ht="15.75" customHeight="1" x14ac:dyDescent="0.3">
      <c r="B91" s="5301"/>
      <c r="C91" s="5305"/>
      <c r="D91" s="5305"/>
      <c r="E91" s="5305"/>
      <c r="F91" s="5305"/>
      <c r="G91" s="5305"/>
      <c r="H91" s="5305"/>
      <c r="I91" s="5306"/>
      <c r="J91" s="5314"/>
      <c r="K91" s="5314"/>
    </row>
    <row r="92" spans="2:11" ht="15.75" customHeight="1" x14ac:dyDescent="0.3">
      <c r="B92" s="1112" t="s">
        <v>64</v>
      </c>
      <c r="C92" s="1113">
        <v>6</v>
      </c>
      <c r="D92" s="1114">
        <v>6</v>
      </c>
      <c r="E92" s="1115">
        <f t="shared" si="8"/>
        <v>0</v>
      </c>
      <c r="F92" s="1114">
        <v>5</v>
      </c>
      <c r="G92" s="1116">
        <f>F92/D92</f>
        <v>0.83333333333333337</v>
      </c>
      <c r="H92" s="1114">
        <f>D92-F92</f>
        <v>1</v>
      </c>
      <c r="I92" s="1117">
        <f t="shared" si="7"/>
        <v>0.16666666666666663</v>
      </c>
      <c r="J92" s="5314"/>
      <c r="K92" s="5314"/>
    </row>
    <row r="93" spans="2:11" ht="15.75" customHeight="1" x14ac:dyDescent="0.3">
      <c r="B93" s="1118" t="s">
        <v>92</v>
      </c>
      <c r="C93" s="1119">
        <v>8</v>
      </c>
      <c r="D93" s="1120">
        <v>8</v>
      </c>
      <c r="E93" s="1121">
        <f t="shared" si="8"/>
        <v>0</v>
      </c>
      <c r="F93" s="1120">
        <v>6</v>
      </c>
      <c r="G93" s="1122">
        <f>F93/D93</f>
        <v>0.75</v>
      </c>
      <c r="H93" s="1120">
        <f>D93-F93</f>
        <v>2</v>
      </c>
      <c r="I93" s="1123">
        <f t="shared" si="7"/>
        <v>0.25</v>
      </c>
      <c r="J93" s="5314"/>
      <c r="K93" s="5314"/>
    </row>
    <row r="94" spans="2:11" ht="15.75" customHeight="1" x14ac:dyDescent="0.3">
      <c r="B94" s="1118" t="s">
        <v>68</v>
      </c>
      <c r="C94" s="1119">
        <v>4</v>
      </c>
      <c r="D94" s="1120">
        <v>4</v>
      </c>
      <c r="E94" s="1121">
        <f t="shared" si="8"/>
        <v>0</v>
      </c>
      <c r="F94" s="1120">
        <v>2</v>
      </c>
      <c r="G94" s="1122">
        <f>F94/D94</f>
        <v>0.5</v>
      </c>
      <c r="H94" s="1120">
        <f>D94-F94</f>
        <v>2</v>
      </c>
      <c r="I94" s="1123">
        <f t="shared" si="7"/>
        <v>0.5</v>
      </c>
      <c r="J94" s="5314"/>
      <c r="K94" s="5314"/>
    </row>
    <row r="95" spans="2:11" ht="15.75" customHeight="1" x14ac:dyDescent="0.3">
      <c r="B95" s="1151" t="s">
        <v>137</v>
      </c>
      <c r="C95" s="1152">
        <f>SUM(C92:C94)</f>
        <v>18</v>
      </c>
      <c r="D95" s="1153">
        <f>SUM(D92:D94)</f>
        <v>18</v>
      </c>
      <c r="E95" s="1154">
        <f>SUM(E92:E94)</f>
        <v>0</v>
      </c>
      <c r="F95" s="1153">
        <f>SUM(F92:F94)</f>
        <v>13</v>
      </c>
      <c r="G95" s="1155">
        <f>F95/D95</f>
        <v>0.72222222222222221</v>
      </c>
      <c r="H95" s="1153">
        <f>D95-F95</f>
        <v>5</v>
      </c>
      <c r="I95" s="1156">
        <f t="shared" si="7"/>
        <v>0.27777777777777779</v>
      </c>
      <c r="J95" s="5314"/>
      <c r="K95" s="5314"/>
    </row>
    <row r="96" spans="2:11" ht="15.75" customHeight="1" x14ac:dyDescent="0.3">
      <c r="B96" s="5301"/>
      <c r="C96" s="5305"/>
      <c r="D96" s="5305"/>
      <c r="E96" s="5305"/>
      <c r="F96" s="5305"/>
      <c r="G96" s="5305"/>
      <c r="H96" s="5305"/>
      <c r="I96" s="5306"/>
      <c r="J96" s="5314"/>
      <c r="K96" s="5314"/>
    </row>
    <row r="97" spans="2:11" ht="15.75" customHeight="1" x14ac:dyDescent="0.3">
      <c r="B97" s="1157" t="s">
        <v>7</v>
      </c>
      <c r="C97" s="1158">
        <f>SUM(C75,C85,C95,C80,C90)</f>
        <v>82</v>
      </c>
      <c r="D97" s="1159">
        <f>SUM(D75,D85,D95,D80,D90)</f>
        <v>75</v>
      </c>
      <c r="E97" s="1160">
        <f>SUM(E75,E85,E95,E80,E90)</f>
        <v>7</v>
      </c>
      <c r="F97" s="1159">
        <f>SUM(F75,F80,F85,F90,F95)</f>
        <v>40</v>
      </c>
      <c r="G97" s="1161">
        <f>F97/D97</f>
        <v>0.53333333333333333</v>
      </c>
      <c r="H97" s="1159">
        <f>D97-F97</f>
        <v>35</v>
      </c>
      <c r="I97" s="1162">
        <f t="shared" si="7"/>
        <v>0.46666666666666667</v>
      </c>
      <c r="J97" s="5314"/>
      <c r="K97" s="5314"/>
    </row>
    <row r="98" spans="2:11" ht="15.75" customHeight="1" x14ac:dyDescent="0.3">
      <c r="B98" s="5314"/>
      <c r="C98" s="5314"/>
      <c r="D98" s="5314"/>
      <c r="E98" s="5314"/>
      <c r="F98" s="5314"/>
      <c r="G98" s="5314"/>
      <c r="H98" s="5314"/>
      <c r="I98" s="5314"/>
      <c r="J98" s="5314"/>
      <c r="K98" s="5314"/>
    </row>
    <row r="99" spans="2:11" ht="15.75" customHeight="1" x14ac:dyDescent="0.3">
      <c r="B99" s="5314"/>
      <c r="C99" s="5314"/>
      <c r="D99" s="5314"/>
      <c r="E99" s="5314"/>
      <c r="F99" s="5314"/>
      <c r="G99" s="5314"/>
      <c r="H99" s="5314"/>
      <c r="I99" s="5314"/>
      <c r="J99" s="5314"/>
      <c r="K99" s="5314"/>
    </row>
    <row r="100" spans="2:11" ht="15.75" customHeight="1" x14ac:dyDescent="0.3">
      <c r="B100" s="5770" t="s">
        <v>267</v>
      </c>
      <c r="C100" s="5824" t="s">
        <v>273</v>
      </c>
      <c r="D100" s="5824"/>
      <c r="E100" s="5824"/>
      <c r="F100" s="5832" t="s">
        <v>269</v>
      </c>
      <c r="G100" s="5832"/>
      <c r="H100" s="5833" t="s">
        <v>270</v>
      </c>
      <c r="I100" s="5833"/>
    </row>
    <row r="101" spans="2:11" ht="15.75" customHeight="1" thickBot="1" x14ac:dyDescent="0.35">
      <c r="B101" s="5771"/>
      <c r="C101" s="1109" t="s">
        <v>48</v>
      </c>
      <c r="D101" s="1109" t="s">
        <v>266</v>
      </c>
      <c r="E101" s="1109" t="s">
        <v>271</v>
      </c>
      <c r="F101" s="1163" t="s">
        <v>48</v>
      </c>
      <c r="G101" s="1164" t="s">
        <v>272</v>
      </c>
      <c r="H101" s="1109" t="s">
        <v>48</v>
      </c>
      <c r="I101" s="1109" t="s">
        <v>272</v>
      </c>
    </row>
    <row r="102" spans="2:11" ht="15.75" customHeight="1" x14ac:dyDescent="0.3">
      <c r="B102" s="1111"/>
    </row>
    <row r="103" spans="2:11" ht="15.75" customHeight="1" x14ac:dyDescent="0.3">
      <c r="B103" s="1112" t="s">
        <v>59</v>
      </c>
      <c r="C103" s="1113">
        <v>10</v>
      </c>
      <c r="D103" s="1114">
        <v>10</v>
      </c>
      <c r="E103" s="1114">
        <f>C103-D103</f>
        <v>0</v>
      </c>
      <c r="F103" s="1113">
        <v>10</v>
      </c>
      <c r="G103" s="1165">
        <f>F103/D103</f>
        <v>1</v>
      </c>
      <c r="H103" s="1114">
        <f>D103-F103</f>
        <v>0</v>
      </c>
      <c r="I103" s="1166">
        <f>1-G103</f>
        <v>0</v>
      </c>
    </row>
    <row r="104" spans="2:11" ht="15.75" customHeight="1" x14ac:dyDescent="0.3">
      <c r="B104" s="1118" t="s">
        <v>64</v>
      </c>
      <c r="C104" s="1119">
        <v>4</v>
      </c>
      <c r="D104" s="1120">
        <v>4</v>
      </c>
      <c r="E104" s="1120">
        <f t="shared" ref="E104:E125" si="9">C104-D104</f>
        <v>0</v>
      </c>
      <c r="F104" s="1119">
        <v>2</v>
      </c>
      <c r="G104" s="1167">
        <f>F104/D104</f>
        <v>0.5</v>
      </c>
      <c r="H104" s="1120">
        <f>D104-F104</f>
        <v>2</v>
      </c>
      <c r="I104" s="1168">
        <f>1-G104</f>
        <v>0.5</v>
      </c>
    </row>
    <row r="105" spans="2:11" ht="15.75" customHeight="1" x14ac:dyDescent="0.3">
      <c r="B105" s="1118" t="s">
        <v>68</v>
      </c>
      <c r="C105" s="1119">
        <v>3</v>
      </c>
      <c r="D105" s="1120">
        <v>3</v>
      </c>
      <c r="E105" s="1120">
        <f t="shared" si="9"/>
        <v>0</v>
      </c>
      <c r="F105" s="1119">
        <v>3</v>
      </c>
      <c r="G105" s="1167">
        <f>F105/D105</f>
        <v>1</v>
      </c>
      <c r="H105" s="1120">
        <f>D105-F105</f>
        <v>0</v>
      </c>
      <c r="I105" s="1168">
        <f>1-G105</f>
        <v>0</v>
      </c>
    </row>
    <row r="106" spans="2:11" ht="15.75" customHeight="1" x14ac:dyDescent="0.3">
      <c r="B106" s="1124" t="s">
        <v>138</v>
      </c>
      <c r="C106" s="1125">
        <f>SUM(C103:C105)</f>
        <v>17</v>
      </c>
      <c r="D106" s="1126">
        <f>SUM(D103:D105)</f>
        <v>17</v>
      </c>
      <c r="E106" s="1126">
        <f>SUM(E103:E105)</f>
        <v>0</v>
      </c>
      <c r="F106" s="1125">
        <f>SUM(F103:F105)</f>
        <v>15</v>
      </c>
      <c r="G106" s="1169">
        <f>F106/D106</f>
        <v>0.88235294117647056</v>
      </c>
      <c r="H106" s="1126">
        <f>D106-F106</f>
        <v>2</v>
      </c>
      <c r="I106" s="1170">
        <f>1-G106</f>
        <v>0.11764705882352944</v>
      </c>
    </row>
    <row r="107" spans="2:11" ht="15.75" customHeight="1" x14ac:dyDescent="0.3">
      <c r="B107" s="5302"/>
      <c r="C107" s="5303"/>
    </row>
    <row r="108" spans="2:11" ht="15.75" customHeight="1" x14ac:dyDescent="0.3">
      <c r="B108" s="1112" t="s">
        <v>64</v>
      </c>
      <c r="C108" s="1113">
        <v>4</v>
      </c>
      <c r="D108" s="1114">
        <v>3</v>
      </c>
      <c r="E108" s="1114">
        <f t="shared" si="9"/>
        <v>1</v>
      </c>
      <c r="F108" s="1113">
        <v>0</v>
      </c>
      <c r="G108" s="1165">
        <f>F108/D108</f>
        <v>0</v>
      </c>
      <c r="H108" s="1114">
        <f>D108-F108</f>
        <v>3</v>
      </c>
      <c r="I108" s="1166">
        <f>1-G108</f>
        <v>1</v>
      </c>
    </row>
    <row r="109" spans="2:11" ht="15.75" customHeight="1" x14ac:dyDescent="0.3">
      <c r="B109" s="1118" t="s">
        <v>111</v>
      </c>
      <c r="C109" s="1119">
        <v>3</v>
      </c>
      <c r="D109" s="1120">
        <v>3</v>
      </c>
      <c r="E109" s="1120">
        <f t="shared" si="9"/>
        <v>0</v>
      </c>
      <c r="F109" s="1119">
        <v>2</v>
      </c>
      <c r="G109" s="1167">
        <f>F109/D109</f>
        <v>0.66666666666666663</v>
      </c>
      <c r="H109" s="1120">
        <f>D109-F109</f>
        <v>1</v>
      </c>
      <c r="I109" s="1168">
        <f>1-G109</f>
        <v>0.33333333333333337</v>
      </c>
    </row>
    <row r="110" spans="2:11" ht="15.75" customHeight="1" x14ac:dyDescent="0.3">
      <c r="B110" s="1118" t="s">
        <v>115</v>
      </c>
      <c r="C110" s="1119">
        <v>4</v>
      </c>
      <c r="D110" s="1120">
        <v>4</v>
      </c>
      <c r="E110" s="1120">
        <f t="shared" si="9"/>
        <v>0</v>
      </c>
      <c r="F110" s="1119">
        <v>4</v>
      </c>
      <c r="G110" s="1167">
        <f>F110/D110</f>
        <v>1</v>
      </c>
      <c r="H110" s="1120">
        <f>D110-F110</f>
        <v>0</v>
      </c>
      <c r="I110" s="1168">
        <f>1-G110</f>
        <v>0</v>
      </c>
    </row>
    <row r="111" spans="2:11" ht="15.75" customHeight="1" x14ac:dyDescent="0.3">
      <c r="B111" s="1130" t="s">
        <v>134</v>
      </c>
      <c r="C111" s="1131">
        <f>SUM(C108:C110)</f>
        <v>11</v>
      </c>
      <c r="D111" s="1132">
        <f>SUM(D108:D110)</f>
        <v>10</v>
      </c>
      <c r="E111" s="1132">
        <f>SUM(E108:E110)</f>
        <v>1</v>
      </c>
      <c r="F111" s="1131">
        <f>SUM(F108:F110)</f>
        <v>6</v>
      </c>
      <c r="G111" s="1171">
        <f>F111/D111</f>
        <v>0.6</v>
      </c>
      <c r="H111" s="1132">
        <f>D111-F111</f>
        <v>4</v>
      </c>
      <c r="I111" s="1172">
        <f>1-G111</f>
        <v>0.4</v>
      </c>
    </row>
    <row r="112" spans="2:11" ht="15.75" customHeight="1" x14ac:dyDescent="0.3">
      <c r="B112" s="1136"/>
      <c r="C112" s="1137"/>
      <c r="D112" s="1137"/>
    </row>
    <row r="113" spans="2:9" ht="15.75" customHeight="1" x14ac:dyDescent="0.3">
      <c r="B113" s="1112" t="s">
        <v>59</v>
      </c>
      <c r="C113" s="1113">
        <v>10</v>
      </c>
      <c r="D113" s="1114">
        <v>9</v>
      </c>
      <c r="E113" s="1114">
        <f t="shared" si="9"/>
        <v>1</v>
      </c>
      <c r="F113" s="1113">
        <v>4</v>
      </c>
      <c r="G113" s="1165">
        <f>F113/D113</f>
        <v>0.44444444444444442</v>
      </c>
      <c r="H113" s="1114">
        <f>D113-F113</f>
        <v>5</v>
      </c>
      <c r="I113" s="1166">
        <f>1-G113</f>
        <v>0.55555555555555558</v>
      </c>
    </row>
    <row r="114" spans="2:9" ht="15.75" customHeight="1" x14ac:dyDescent="0.3">
      <c r="B114" s="1118" t="s">
        <v>64</v>
      </c>
      <c r="C114" s="1119">
        <v>11</v>
      </c>
      <c r="D114" s="1120">
        <v>11</v>
      </c>
      <c r="E114" s="1120">
        <f t="shared" si="9"/>
        <v>0</v>
      </c>
      <c r="F114" s="1119">
        <v>0</v>
      </c>
      <c r="G114" s="1167">
        <f>F114/D114</f>
        <v>0</v>
      </c>
      <c r="H114" s="1120">
        <f>D114-F114</f>
        <v>11</v>
      </c>
      <c r="I114" s="1168">
        <f>1-G114</f>
        <v>1</v>
      </c>
    </row>
    <row r="115" spans="2:9" ht="15.75" customHeight="1" x14ac:dyDescent="0.3">
      <c r="B115" s="1118" t="s">
        <v>92</v>
      </c>
      <c r="C115" s="1119">
        <v>6</v>
      </c>
      <c r="D115" s="1120">
        <v>6</v>
      </c>
      <c r="E115" s="1120">
        <f t="shared" si="9"/>
        <v>0</v>
      </c>
      <c r="F115" s="1119">
        <v>1</v>
      </c>
      <c r="G115" s="1167">
        <f>F115/D115</f>
        <v>0.16666666666666666</v>
      </c>
      <c r="H115" s="1120">
        <f>D115-F115</f>
        <v>5</v>
      </c>
      <c r="I115" s="1168">
        <f>1-G115</f>
        <v>0.83333333333333337</v>
      </c>
    </row>
    <row r="116" spans="2:9" ht="15.75" customHeight="1" x14ac:dyDescent="0.3">
      <c r="B116" s="1138" t="s">
        <v>135</v>
      </c>
      <c r="C116" s="1139">
        <f>SUM(C113:C115)</f>
        <v>27</v>
      </c>
      <c r="D116" s="1140">
        <f>SUM(D113:D115)</f>
        <v>26</v>
      </c>
      <c r="E116" s="1140">
        <f>SUM(E113:E115)</f>
        <v>1</v>
      </c>
      <c r="F116" s="1139">
        <f>SUM(F113:F115)</f>
        <v>5</v>
      </c>
      <c r="G116" s="1173">
        <f>F116/D116</f>
        <v>0.19230769230769232</v>
      </c>
      <c r="H116" s="1140">
        <f>D116-F116</f>
        <v>21</v>
      </c>
      <c r="I116" s="1174">
        <f>1-G116</f>
        <v>0.80769230769230771</v>
      </c>
    </row>
    <row r="117" spans="2:9" ht="15.75" customHeight="1" x14ac:dyDescent="0.3">
      <c r="B117" s="1144"/>
      <c r="C117" s="1137"/>
      <c r="D117" s="1137"/>
    </row>
    <row r="118" spans="2:9" ht="15.75" customHeight="1" x14ac:dyDescent="0.3">
      <c r="B118" s="1112" t="s">
        <v>59</v>
      </c>
      <c r="C118" s="1113">
        <v>3</v>
      </c>
      <c r="D118" s="1114">
        <v>1</v>
      </c>
      <c r="E118" s="1114">
        <f t="shared" si="9"/>
        <v>2</v>
      </c>
      <c r="F118" s="1113">
        <v>1</v>
      </c>
      <c r="G118" s="1165">
        <f>F118/D118</f>
        <v>1</v>
      </c>
      <c r="H118" s="1114">
        <f>D118-F118</f>
        <v>0</v>
      </c>
      <c r="I118" s="1166">
        <f>1-G118</f>
        <v>0</v>
      </c>
    </row>
    <row r="119" spans="2:9" ht="15.75" customHeight="1" x14ac:dyDescent="0.3">
      <c r="B119" s="1118" t="s">
        <v>64</v>
      </c>
      <c r="C119" s="1119">
        <v>3</v>
      </c>
      <c r="D119" s="1120">
        <v>2</v>
      </c>
      <c r="E119" s="1120">
        <f t="shared" si="9"/>
        <v>1</v>
      </c>
      <c r="F119" s="1119">
        <v>0</v>
      </c>
      <c r="G119" s="1167">
        <f>F119/D119</f>
        <v>0</v>
      </c>
      <c r="H119" s="1120">
        <f>D119-F119</f>
        <v>2</v>
      </c>
      <c r="I119" s="1168">
        <f>1-G119</f>
        <v>1</v>
      </c>
    </row>
    <row r="120" spans="2:9" ht="15.75" customHeight="1" x14ac:dyDescent="0.3">
      <c r="B120" s="1118" t="s">
        <v>92</v>
      </c>
      <c r="C120" s="1119">
        <v>3</v>
      </c>
      <c r="D120" s="1120">
        <v>1</v>
      </c>
      <c r="E120" s="1120">
        <f t="shared" si="9"/>
        <v>2</v>
      </c>
      <c r="F120" s="1119">
        <v>0</v>
      </c>
      <c r="G120" s="1167">
        <f>F120/D120</f>
        <v>0</v>
      </c>
      <c r="H120" s="1120">
        <f>D120-F120</f>
        <v>1</v>
      </c>
      <c r="I120" s="1168">
        <f>1-G120</f>
        <v>1</v>
      </c>
    </row>
    <row r="121" spans="2:9" ht="15.75" customHeight="1" x14ac:dyDescent="0.3">
      <c r="B121" s="1145" t="s">
        <v>136</v>
      </c>
      <c r="C121" s="1146">
        <f>SUM(C118:C120)</f>
        <v>9</v>
      </c>
      <c r="D121" s="1147">
        <f>SUM(D118:D120)</f>
        <v>4</v>
      </c>
      <c r="E121" s="1147">
        <f>SUM(E118:E120)</f>
        <v>5</v>
      </c>
      <c r="F121" s="1146">
        <f>SUM(F118:F120)</f>
        <v>1</v>
      </c>
      <c r="G121" s="1175">
        <f>F121/D121</f>
        <v>0.25</v>
      </c>
      <c r="H121" s="1147">
        <f>D121-F121</f>
        <v>3</v>
      </c>
      <c r="I121" s="1176">
        <f>1-G121</f>
        <v>0.75</v>
      </c>
    </row>
    <row r="122" spans="2:9" ht="15.75" customHeight="1" x14ac:dyDescent="0.3">
      <c r="B122" s="5301"/>
      <c r="C122" s="5305"/>
      <c r="D122" s="5305"/>
    </row>
    <row r="123" spans="2:9" ht="15.75" customHeight="1" x14ac:dyDescent="0.3">
      <c r="B123" s="1112" t="s">
        <v>64</v>
      </c>
      <c r="C123" s="1113">
        <v>6</v>
      </c>
      <c r="D123" s="1114">
        <v>6</v>
      </c>
      <c r="E123" s="1114">
        <f t="shared" si="9"/>
        <v>0</v>
      </c>
      <c r="F123" s="1113">
        <v>5</v>
      </c>
      <c r="G123" s="1165">
        <f>F123/D123</f>
        <v>0.83333333333333337</v>
      </c>
      <c r="H123" s="1114">
        <f>D123-F123</f>
        <v>1</v>
      </c>
      <c r="I123" s="1166">
        <f>1-G123</f>
        <v>0.16666666666666663</v>
      </c>
    </row>
    <row r="124" spans="2:9" ht="15.75" customHeight="1" x14ac:dyDescent="0.3">
      <c r="B124" s="1118" t="s">
        <v>92</v>
      </c>
      <c r="C124" s="1119">
        <v>8</v>
      </c>
      <c r="D124" s="1120">
        <v>8</v>
      </c>
      <c r="E124" s="1120">
        <f t="shared" si="9"/>
        <v>0</v>
      </c>
      <c r="F124" s="1119">
        <v>6</v>
      </c>
      <c r="G124" s="1167">
        <f>F124/D124</f>
        <v>0.75</v>
      </c>
      <c r="H124" s="1120">
        <f>D124-F124</f>
        <v>2</v>
      </c>
      <c r="I124" s="1168">
        <f>1-G124</f>
        <v>0.25</v>
      </c>
    </row>
    <row r="125" spans="2:9" ht="15.75" customHeight="1" x14ac:dyDescent="0.3">
      <c r="B125" s="1118" t="s">
        <v>68</v>
      </c>
      <c r="C125" s="1119">
        <v>4</v>
      </c>
      <c r="D125" s="1120">
        <v>4</v>
      </c>
      <c r="E125" s="1120">
        <f t="shared" si="9"/>
        <v>0</v>
      </c>
      <c r="F125" s="1119">
        <v>2</v>
      </c>
      <c r="G125" s="1167">
        <f>F125/D125</f>
        <v>0.5</v>
      </c>
      <c r="H125" s="1120">
        <f>D125-F125</f>
        <v>2</v>
      </c>
      <c r="I125" s="1168">
        <f>1-G125</f>
        <v>0.5</v>
      </c>
    </row>
    <row r="126" spans="2:9" ht="15.75" customHeight="1" x14ac:dyDescent="0.3">
      <c r="B126" s="1151" t="s">
        <v>137</v>
      </c>
      <c r="C126" s="1152">
        <f>SUM(C123:C125)</f>
        <v>18</v>
      </c>
      <c r="D126" s="1153">
        <f>SUM(D123:D125)</f>
        <v>18</v>
      </c>
      <c r="E126" s="1153">
        <f>SUM(E123:E125)</f>
        <v>0</v>
      </c>
      <c r="F126" s="1152">
        <f>SUM(F123:F125)</f>
        <v>13</v>
      </c>
      <c r="G126" s="1177">
        <f>F126/D126</f>
        <v>0.72222222222222221</v>
      </c>
      <c r="H126" s="1153">
        <f>D126-F126</f>
        <v>5</v>
      </c>
      <c r="I126" s="1178">
        <f>1-G126</f>
        <v>0.27777777777777779</v>
      </c>
    </row>
    <row r="127" spans="2:9" ht="15.75" customHeight="1" x14ac:dyDescent="0.3">
      <c r="B127" s="5301"/>
      <c r="C127" s="5305"/>
      <c r="D127" s="5305"/>
      <c r="E127" s="5305"/>
      <c r="F127" s="5305"/>
      <c r="G127" s="5305"/>
      <c r="H127" s="5305"/>
      <c r="I127" s="5305"/>
    </row>
    <row r="128" spans="2:9" ht="15.75" customHeight="1" x14ac:dyDescent="0.3">
      <c r="B128" s="1157" t="s">
        <v>7</v>
      </c>
      <c r="C128" s="1158">
        <f>SUM(C106,C116,C126,C111,C121)</f>
        <v>82</v>
      </c>
      <c r="D128" s="1159">
        <f>SUM(D106,D116,D126,D111,D121)</f>
        <v>75</v>
      </c>
      <c r="E128" s="1159">
        <f>SUM(E106,E116,E126,E111,E121)</f>
        <v>7</v>
      </c>
      <c r="F128" s="1158">
        <f>SUM(F106,F111,F116,F121,F126)</f>
        <v>40</v>
      </c>
      <c r="G128" s="1179">
        <f>F128/D128</f>
        <v>0.53333333333333333</v>
      </c>
      <c r="H128" s="1159">
        <f>D128-F128</f>
        <v>35</v>
      </c>
      <c r="I128" s="1180">
        <f>1-G128</f>
        <v>0.46666666666666667</v>
      </c>
    </row>
    <row r="129" spans="2:11" ht="15.75" customHeight="1" x14ac:dyDescent="0.3">
      <c r="B129" s="5314"/>
      <c r="C129" s="5314"/>
      <c r="D129" s="5314"/>
      <c r="E129" s="5314"/>
      <c r="F129" s="5314"/>
      <c r="G129" s="5314"/>
      <c r="H129" s="5314"/>
      <c r="I129" s="5314"/>
      <c r="J129" s="5314"/>
      <c r="K129" s="5314"/>
    </row>
    <row r="130" spans="2:11" ht="15.75" customHeight="1" x14ac:dyDescent="0.3">
      <c r="B130" s="5314"/>
      <c r="C130" s="5314"/>
      <c r="D130" s="5314"/>
      <c r="E130" s="5314"/>
      <c r="F130" s="5314"/>
      <c r="G130" s="5314"/>
      <c r="H130" s="5314"/>
      <c r="I130" s="5314"/>
      <c r="J130" s="5314"/>
      <c r="K130" s="5314"/>
    </row>
    <row r="131" spans="2:11" ht="15.75" customHeight="1" x14ac:dyDescent="0.3">
      <c r="B131" s="5822" t="s">
        <v>267</v>
      </c>
      <c r="C131" s="5824" t="s">
        <v>274</v>
      </c>
      <c r="D131" s="5824"/>
      <c r="E131" s="5825" t="s">
        <v>275</v>
      </c>
      <c r="F131" s="5825"/>
      <c r="G131" s="5826" t="s">
        <v>270</v>
      </c>
      <c r="H131" s="5826"/>
    </row>
    <row r="132" spans="2:11" ht="15.75" customHeight="1" thickBot="1" x14ac:dyDescent="0.35">
      <c r="B132" s="5823"/>
      <c r="C132" s="1181" t="s">
        <v>48</v>
      </c>
      <c r="D132" s="1181" t="s">
        <v>266</v>
      </c>
      <c r="E132" s="1182" t="s">
        <v>48</v>
      </c>
      <c r="F132" s="1182" t="s">
        <v>272</v>
      </c>
      <c r="G132" s="1182" t="s">
        <v>48</v>
      </c>
      <c r="H132" s="1182" t="s">
        <v>272</v>
      </c>
    </row>
    <row r="133" spans="2:11" ht="15.75" customHeight="1" x14ac:dyDescent="0.3">
      <c r="B133" s="1111"/>
      <c r="C133" s="1111"/>
      <c r="D133" s="1111"/>
      <c r="E133" s="1111"/>
      <c r="F133" s="1111"/>
      <c r="G133" s="1111"/>
      <c r="H133" s="1111"/>
    </row>
    <row r="134" spans="2:11" ht="15.75" customHeight="1" x14ac:dyDescent="0.3">
      <c r="B134" s="1112" t="s">
        <v>59</v>
      </c>
      <c r="C134" s="1113">
        <v>10</v>
      </c>
      <c r="D134" s="1114">
        <v>10</v>
      </c>
      <c r="E134" s="1113">
        <v>10</v>
      </c>
      <c r="F134" s="1165">
        <f>E134/D134</f>
        <v>1</v>
      </c>
      <c r="G134" s="1114">
        <f>D134-E134</f>
        <v>0</v>
      </c>
      <c r="H134" s="1166">
        <f>1-F134</f>
        <v>0</v>
      </c>
    </row>
    <row r="135" spans="2:11" ht="15.75" customHeight="1" x14ac:dyDescent="0.3">
      <c r="B135" s="1118" t="s">
        <v>64</v>
      </c>
      <c r="C135" s="1119">
        <v>4</v>
      </c>
      <c r="D135" s="1120">
        <v>4</v>
      </c>
      <c r="E135" s="1119">
        <v>2</v>
      </c>
      <c r="F135" s="1167">
        <f>E135/D135</f>
        <v>0.5</v>
      </c>
      <c r="G135" s="1120">
        <f>D135-E135</f>
        <v>2</v>
      </c>
      <c r="H135" s="1168">
        <f>1-F135</f>
        <v>0.5</v>
      </c>
    </row>
    <row r="136" spans="2:11" ht="15.75" customHeight="1" x14ac:dyDescent="0.3">
      <c r="B136" s="1118" t="s">
        <v>68</v>
      </c>
      <c r="C136" s="1119">
        <v>3</v>
      </c>
      <c r="D136" s="1120">
        <v>3</v>
      </c>
      <c r="E136" s="1119">
        <v>3</v>
      </c>
      <c r="F136" s="1167">
        <f>E136/D136</f>
        <v>1</v>
      </c>
      <c r="G136" s="1120">
        <f>D136-E136</f>
        <v>0</v>
      </c>
      <c r="H136" s="1168">
        <f>1-F136</f>
        <v>0</v>
      </c>
    </row>
    <row r="137" spans="2:11" ht="15.75" customHeight="1" x14ac:dyDescent="0.3">
      <c r="B137" s="1183" t="s">
        <v>138</v>
      </c>
      <c r="C137" s="1184">
        <f>SUM(C134:C136)</f>
        <v>17</v>
      </c>
      <c r="D137" s="1185">
        <f>SUM(D134:D136)</f>
        <v>17</v>
      </c>
      <c r="E137" s="1184">
        <f>SUM(E134:E136)</f>
        <v>15</v>
      </c>
      <c r="F137" s="1186">
        <f>E137/D137</f>
        <v>0.88235294117647056</v>
      </c>
      <c r="G137" s="1185">
        <f>D137-E137</f>
        <v>2</v>
      </c>
      <c r="H137" s="1187">
        <f>1-F137</f>
        <v>0.11764705882352944</v>
      </c>
    </row>
    <row r="138" spans="2:11" ht="15.75" customHeight="1" x14ac:dyDescent="0.3">
      <c r="B138" s="5302"/>
      <c r="C138" s="5302"/>
    </row>
    <row r="139" spans="2:11" ht="15.75" customHeight="1" x14ac:dyDescent="0.3">
      <c r="B139" s="1112" t="s">
        <v>64</v>
      </c>
      <c r="C139" s="1113">
        <v>4</v>
      </c>
      <c r="D139" s="1114">
        <v>3</v>
      </c>
      <c r="E139" s="1113">
        <v>0</v>
      </c>
      <c r="F139" s="1165">
        <f>E139/D139</f>
        <v>0</v>
      </c>
      <c r="G139" s="1114">
        <f>D139-E139</f>
        <v>3</v>
      </c>
      <c r="H139" s="1166">
        <f>1-F139</f>
        <v>1</v>
      </c>
    </row>
    <row r="140" spans="2:11" ht="15.75" customHeight="1" x14ac:dyDescent="0.3">
      <c r="B140" s="1118" t="s">
        <v>111</v>
      </c>
      <c r="C140" s="1119">
        <v>3</v>
      </c>
      <c r="D140" s="1120">
        <v>3</v>
      </c>
      <c r="E140" s="1119">
        <v>2</v>
      </c>
      <c r="F140" s="1167">
        <f>E140/D140</f>
        <v>0.66666666666666663</v>
      </c>
      <c r="G140" s="1120">
        <f>D140-E140</f>
        <v>1</v>
      </c>
      <c r="H140" s="1168">
        <f>1-F140</f>
        <v>0.33333333333333337</v>
      </c>
    </row>
    <row r="141" spans="2:11" ht="15.75" customHeight="1" x14ac:dyDescent="0.3">
      <c r="B141" s="1118" t="s">
        <v>115</v>
      </c>
      <c r="C141" s="1119">
        <v>4</v>
      </c>
      <c r="D141" s="1120">
        <v>4</v>
      </c>
      <c r="E141" s="1119">
        <v>3</v>
      </c>
      <c r="F141" s="1167">
        <f>E141/D141</f>
        <v>0.75</v>
      </c>
      <c r="G141" s="1120">
        <f>D141-E141</f>
        <v>1</v>
      </c>
      <c r="H141" s="1168">
        <f>1-F141</f>
        <v>0.25</v>
      </c>
    </row>
    <row r="142" spans="2:11" ht="15.75" customHeight="1" x14ac:dyDescent="0.3">
      <c r="B142" s="1188" t="s">
        <v>134</v>
      </c>
      <c r="C142" s="1189">
        <f>SUM(C139:C141)</f>
        <v>11</v>
      </c>
      <c r="D142" s="1190">
        <f>SUM(D139:D141)</f>
        <v>10</v>
      </c>
      <c r="E142" s="1189">
        <f>SUM(E139:E141)</f>
        <v>5</v>
      </c>
      <c r="F142" s="1191">
        <f>E142/D142</f>
        <v>0.5</v>
      </c>
      <c r="G142" s="1190">
        <f>D142-E142</f>
        <v>5</v>
      </c>
      <c r="H142" s="1192">
        <f>1-F142</f>
        <v>0.5</v>
      </c>
    </row>
    <row r="143" spans="2:11" ht="15.75" customHeight="1" x14ac:dyDescent="0.3">
      <c r="B143" s="1136"/>
      <c r="C143" s="1136"/>
    </row>
    <row r="144" spans="2:11" ht="15.75" customHeight="1" x14ac:dyDescent="0.3">
      <c r="B144" s="1112" t="s">
        <v>59</v>
      </c>
      <c r="C144" s="1113">
        <v>10</v>
      </c>
      <c r="D144" s="1114">
        <v>9</v>
      </c>
      <c r="E144" s="1113">
        <v>4</v>
      </c>
      <c r="F144" s="1165">
        <f>E144/D144</f>
        <v>0.44444444444444442</v>
      </c>
      <c r="G144" s="1114">
        <f>D144-E144</f>
        <v>5</v>
      </c>
      <c r="H144" s="1166">
        <f>1-F144</f>
        <v>0.55555555555555558</v>
      </c>
    </row>
    <row r="145" spans="2:9" ht="15.75" customHeight="1" x14ac:dyDescent="0.3">
      <c r="B145" s="1118" t="s">
        <v>64</v>
      </c>
      <c r="C145" s="1119">
        <v>11</v>
      </c>
      <c r="D145" s="1120">
        <v>11</v>
      </c>
      <c r="E145" s="1119"/>
      <c r="F145" s="1167">
        <f>E145/D145</f>
        <v>0</v>
      </c>
      <c r="G145" s="1120">
        <f>D145-E145</f>
        <v>11</v>
      </c>
      <c r="H145" s="1168">
        <f>1-F145</f>
        <v>1</v>
      </c>
    </row>
    <row r="146" spans="2:9" ht="15.75" customHeight="1" x14ac:dyDescent="0.3">
      <c r="B146" s="1118" t="s">
        <v>92</v>
      </c>
      <c r="C146" s="1119">
        <v>6</v>
      </c>
      <c r="D146" s="1120">
        <v>6</v>
      </c>
      <c r="E146" s="1119">
        <v>1</v>
      </c>
      <c r="F146" s="1167">
        <f>E146/D146</f>
        <v>0.16666666666666666</v>
      </c>
      <c r="G146" s="1120">
        <f>D146-E146</f>
        <v>5</v>
      </c>
      <c r="H146" s="1168">
        <f>1-F146</f>
        <v>0.83333333333333337</v>
      </c>
    </row>
    <row r="147" spans="2:9" ht="15.75" customHeight="1" x14ac:dyDescent="0.3">
      <c r="B147" s="1193" t="s">
        <v>135</v>
      </c>
      <c r="C147" s="1194">
        <f>SUM(C144:C146)</f>
        <v>27</v>
      </c>
      <c r="D147" s="1195">
        <f>SUM(D144:D146)</f>
        <v>26</v>
      </c>
      <c r="E147" s="1194">
        <f>SUM(E144:E146)</f>
        <v>5</v>
      </c>
      <c r="F147" s="1196">
        <f>E147/D147</f>
        <v>0.19230769230769232</v>
      </c>
      <c r="G147" s="1195">
        <f>D147-E147</f>
        <v>21</v>
      </c>
      <c r="H147" s="1197">
        <f>1-F147</f>
        <v>0.80769230769230771</v>
      </c>
    </row>
    <row r="148" spans="2:9" ht="15.75" customHeight="1" x14ac:dyDescent="0.3">
      <c r="B148" s="1144"/>
      <c r="C148" s="1136"/>
    </row>
    <row r="149" spans="2:9" ht="15.75" customHeight="1" x14ac:dyDescent="0.3">
      <c r="B149" s="1112" t="s">
        <v>59</v>
      </c>
      <c r="C149" s="1113">
        <v>3</v>
      </c>
      <c r="D149" s="1114">
        <v>1</v>
      </c>
      <c r="E149" s="1113">
        <v>1</v>
      </c>
      <c r="F149" s="1165">
        <f>E149/D149</f>
        <v>1</v>
      </c>
      <c r="G149" s="1114">
        <f>D149-E149</f>
        <v>0</v>
      </c>
      <c r="H149" s="1166">
        <f>1-F149</f>
        <v>0</v>
      </c>
    </row>
    <row r="150" spans="2:9" ht="15.75" customHeight="1" x14ac:dyDescent="0.3">
      <c r="B150" s="1118" t="s">
        <v>64</v>
      </c>
      <c r="C150" s="1119">
        <v>3</v>
      </c>
      <c r="D150" s="1120">
        <v>2</v>
      </c>
      <c r="E150" s="1119"/>
      <c r="F150" s="1167">
        <f>E150/D150</f>
        <v>0</v>
      </c>
      <c r="G150" s="1120">
        <f>D150-E150</f>
        <v>2</v>
      </c>
      <c r="H150" s="1168">
        <f>1-F150</f>
        <v>1</v>
      </c>
    </row>
    <row r="151" spans="2:9" ht="15.75" customHeight="1" x14ac:dyDescent="0.3">
      <c r="B151" s="1118" t="s">
        <v>92</v>
      </c>
      <c r="C151" s="1119">
        <v>3</v>
      </c>
      <c r="D151" s="1120">
        <v>1</v>
      </c>
      <c r="E151" s="1119"/>
      <c r="F151" s="1167">
        <f>E151/D151</f>
        <v>0</v>
      </c>
      <c r="G151" s="1120">
        <f>D151-E151</f>
        <v>1</v>
      </c>
      <c r="H151" s="1168">
        <f>1-F151</f>
        <v>1</v>
      </c>
    </row>
    <row r="152" spans="2:9" ht="15.75" customHeight="1" x14ac:dyDescent="0.3">
      <c r="B152" s="1198" t="s">
        <v>136</v>
      </c>
      <c r="C152" s="1199">
        <f>SUM(C149:C151)</f>
        <v>9</v>
      </c>
      <c r="D152" s="1200">
        <f>SUM(D149:D151)</f>
        <v>4</v>
      </c>
      <c r="E152" s="1199">
        <f>SUM(E149:E151)</f>
        <v>1</v>
      </c>
      <c r="F152" s="1201">
        <f>E152/D152</f>
        <v>0.25</v>
      </c>
      <c r="G152" s="1200">
        <f>D152-E152</f>
        <v>3</v>
      </c>
      <c r="H152" s="1202">
        <f>1-F152</f>
        <v>0.75</v>
      </c>
    </row>
    <row r="153" spans="2:9" ht="15.75" customHeight="1" x14ac:dyDescent="0.3">
      <c r="B153" s="5301"/>
    </row>
    <row r="154" spans="2:9" ht="15.75" customHeight="1" x14ac:dyDescent="0.3">
      <c r="B154" s="1112" t="s">
        <v>64</v>
      </c>
      <c r="C154" s="1113">
        <v>6</v>
      </c>
      <c r="D154" s="1114">
        <v>6</v>
      </c>
      <c r="E154" s="1113">
        <v>4</v>
      </c>
      <c r="F154" s="1165">
        <f>E154/D154</f>
        <v>0.66666666666666663</v>
      </c>
      <c r="G154" s="1114">
        <f>D154-E154</f>
        <v>2</v>
      </c>
      <c r="H154" s="1166">
        <f>1-F154</f>
        <v>0.33333333333333337</v>
      </c>
    </row>
    <row r="155" spans="2:9" ht="15.75" customHeight="1" x14ac:dyDescent="0.3">
      <c r="B155" s="1118" t="s">
        <v>92</v>
      </c>
      <c r="C155" s="1119">
        <v>8</v>
      </c>
      <c r="D155" s="1120">
        <v>8</v>
      </c>
      <c r="E155" s="1119">
        <v>6</v>
      </c>
      <c r="F155" s="1167">
        <f>E155/D155</f>
        <v>0.75</v>
      </c>
      <c r="G155" s="1120">
        <f>D155-E155</f>
        <v>2</v>
      </c>
      <c r="H155" s="1168">
        <f>1-F155</f>
        <v>0.25</v>
      </c>
    </row>
    <row r="156" spans="2:9" ht="15.75" customHeight="1" x14ac:dyDescent="0.3">
      <c r="B156" s="1118" t="s">
        <v>68</v>
      </c>
      <c r="C156" s="1119">
        <v>4</v>
      </c>
      <c r="D156" s="1120">
        <v>4</v>
      </c>
      <c r="E156" s="1119">
        <v>2</v>
      </c>
      <c r="F156" s="1167">
        <f>E156/D156</f>
        <v>0.5</v>
      </c>
      <c r="G156" s="1120">
        <f>D156-E156</f>
        <v>2</v>
      </c>
      <c r="H156" s="1168">
        <f>1-F156</f>
        <v>0.5</v>
      </c>
    </row>
    <row r="157" spans="2:9" ht="15.75" customHeight="1" x14ac:dyDescent="0.3">
      <c r="B157" s="1203" t="s">
        <v>137</v>
      </c>
      <c r="C157" s="1204">
        <f>SUM(C154:C156)</f>
        <v>18</v>
      </c>
      <c r="D157" s="1205">
        <f>SUM(D154:D156)</f>
        <v>18</v>
      </c>
      <c r="E157" s="1204">
        <f>SUM(E154:E156)</f>
        <v>12</v>
      </c>
      <c r="F157" s="1206">
        <f>E157/D157</f>
        <v>0.66666666666666663</v>
      </c>
      <c r="G157" s="1205">
        <f>D157-E157</f>
        <v>6</v>
      </c>
      <c r="H157" s="1207">
        <f>1-F157</f>
        <v>0.33333333333333337</v>
      </c>
    </row>
    <row r="158" spans="2:9" ht="15.75" customHeight="1" x14ac:dyDescent="0.3">
      <c r="B158" s="5301"/>
    </row>
    <row r="159" spans="2:9" ht="15.75" customHeight="1" x14ac:dyDescent="0.3">
      <c r="B159" s="5294" t="s">
        <v>7</v>
      </c>
      <c r="C159" s="1208">
        <f>SUM(C137,C147,C157,C142,C152)</f>
        <v>82</v>
      </c>
      <c r="D159" s="1159">
        <f>SUM(D137,D147,D157,D142,D152)</f>
        <v>75</v>
      </c>
      <c r="E159" s="1208">
        <f>SUM(E137,E142,E147,E152,E157)</f>
        <v>38</v>
      </c>
      <c r="F159" s="1209">
        <f>E159/D159</f>
        <v>0.50666666666666671</v>
      </c>
      <c r="G159" s="1159">
        <f>D159-E159</f>
        <v>37</v>
      </c>
      <c r="H159" s="1180">
        <f>1-F159</f>
        <v>0.49333333333333329</v>
      </c>
    </row>
    <row r="160" spans="2:9" ht="15.75" customHeight="1" x14ac:dyDescent="0.3">
      <c r="B160" s="5308"/>
      <c r="C160" s="1210"/>
      <c r="D160" s="5309"/>
      <c r="E160" s="5309"/>
      <c r="F160" s="5310"/>
      <c r="G160" s="1211"/>
      <c r="H160" s="5310"/>
      <c r="I160" s="5311"/>
    </row>
    <row r="161" spans="2:11" ht="15.75" customHeight="1" x14ac:dyDescent="0.3">
      <c r="B161" s="5308"/>
      <c r="C161" s="1212" t="s">
        <v>271</v>
      </c>
      <c r="D161" s="1213">
        <f>C159-D159</f>
        <v>7</v>
      </c>
      <c r="E161" s="5293"/>
      <c r="F161" s="5309"/>
      <c r="G161" s="5310"/>
      <c r="H161" s="1211"/>
      <c r="I161" s="5310"/>
      <c r="J161" s="5311"/>
    </row>
    <row r="162" spans="2:11" ht="15.75" customHeight="1" x14ac:dyDescent="0.3">
      <c r="B162" s="5316"/>
      <c r="C162" s="5316"/>
      <c r="D162" s="5316"/>
      <c r="E162" s="5316"/>
      <c r="F162" s="5316"/>
      <c r="G162" s="5316"/>
      <c r="H162" s="5316"/>
      <c r="I162" s="5316"/>
      <c r="J162" s="5316"/>
      <c r="K162" s="5316"/>
    </row>
    <row r="163" spans="2:11" ht="15.75" customHeight="1" x14ac:dyDescent="0.3">
      <c r="B163" s="5316"/>
      <c r="C163" s="5316"/>
      <c r="D163" s="5316"/>
      <c r="E163" s="5316"/>
      <c r="F163" s="5316"/>
      <c r="G163" s="5316"/>
      <c r="H163" s="5316"/>
      <c r="I163" s="5316"/>
      <c r="J163" s="5316"/>
      <c r="K163" s="5316"/>
    </row>
    <row r="164" spans="2:11" ht="15.75" customHeight="1" x14ac:dyDescent="0.3">
      <c r="B164" s="5316"/>
      <c r="C164" s="5316"/>
      <c r="D164" s="5316"/>
      <c r="E164" s="5316"/>
      <c r="F164" s="5316"/>
      <c r="G164" s="5316"/>
      <c r="H164" s="5316"/>
      <c r="I164" s="5316"/>
      <c r="J164" s="5316"/>
      <c r="K164" s="5316"/>
    </row>
    <row r="165" spans="2:11" ht="15.75" customHeight="1" x14ac:dyDescent="0.3">
      <c r="B165" s="5827" t="s">
        <v>27</v>
      </c>
      <c r="C165" s="5827" t="s">
        <v>10</v>
      </c>
      <c r="D165" s="5828" t="s">
        <v>276</v>
      </c>
      <c r="E165" s="5828" t="s">
        <v>277</v>
      </c>
      <c r="F165" s="5830" t="s">
        <v>278</v>
      </c>
      <c r="G165" s="5831"/>
      <c r="H165" s="5301"/>
      <c r="I165" s="5311"/>
      <c r="J165" s="5316"/>
      <c r="K165" s="5316"/>
    </row>
    <row r="166" spans="2:11" ht="15.75" customHeight="1" x14ac:dyDescent="0.3">
      <c r="B166" s="5802"/>
      <c r="C166" s="5802"/>
      <c r="D166" s="5829"/>
      <c r="E166" s="5829"/>
      <c r="F166" s="1214" t="s">
        <v>48</v>
      </c>
      <c r="G166" s="1215" t="s">
        <v>272</v>
      </c>
      <c r="H166" s="5775" t="s">
        <v>270</v>
      </c>
      <c r="I166" s="5776"/>
      <c r="J166" s="5316"/>
      <c r="K166" s="5316"/>
    </row>
    <row r="167" spans="2:11" ht="15.75" customHeight="1" x14ac:dyDescent="0.3">
      <c r="B167" s="1111"/>
      <c r="C167" s="1111"/>
      <c r="D167" s="1111"/>
      <c r="E167" s="1111"/>
      <c r="F167" s="1111"/>
      <c r="G167" s="1111"/>
      <c r="H167" s="1111"/>
      <c r="I167" s="1111"/>
      <c r="J167" s="5316"/>
      <c r="K167" s="5316"/>
    </row>
    <row r="168" spans="2:11" ht="15.75" customHeight="1" x14ac:dyDescent="0.3">
      <c r="B168" s="5777" t="s">
        <v>138</v>
      </c>
      <c r="C168" s="1216" t="s">
        <v>59</v>
      </c>
      <c r="D168" s="1217">
        <v>10</v>
      </c>
      <c r="E168" s="1217">
        <v>10</v>
      </c>
      <c r="F168" s="1218">
        <v>10</v>
      </c>
      <c r="G168" s="1219">
        <f>F168/E168</f>
        <v>1</v>
      </c>
      <c r="H168" s="1218">
        <f>E168-F168</f>
        <v>0</v>
      </c>
      <c r="I168" s="1219">
        <f t="shared" ref="I168:I193" si="10">1-G168</f>
        <v>0</v>
      </c>
      <c r="J168" s="5316"/>
      <c r="K168" s="5316"/>
    </row>
    <row r="169" spans="2:11" ht="15.75" customHeight="1" x14ac:dyDescent="0.3">
      <c r="B169" s="5778"/>
      <c r="C169" s="1220" t="s">
        <v>64</v>
      </c>
      <c r="D169" s="1221">
        <v>4</v>
      </c>
      <c r="E169" s="1221">
        <v>4</v>
      </c>
      <c r="F169" s="1120">
        <v>1</v>
      </c>
      <c r="G169" s="1122">
        <f>F169/E169</f>
        <v>0.25</v>
      </c>
      <c r="H169" s="1120">
        <f>E169-F169</f>
        <v>3</v>
      </c>
      <c r="I169" s="1122">
        <f t="shared" si="10"/>
        <v>0.75</v>
      </c>
      <c r="J169" s="5316"/>
      <c r="K169" s="5316"/>
    </row>
    <row r="170" spans="2:11" ht="15.75" customHeight="1" x14ac:dyDescent="0.3">
      <c r="B170" s="5778"/>
      <c r="C170" s="1222" t="s">
        <v>68</v>
      </c>
      <c r="D170" s="1223">
        <v>3</v>
      </c>
      <c r="E170" s="1223">
        <v>3</v>
      </c>
      <c r="F170" s="1224">
        <v>3</v>
      </c>
      <c r="G170" s="1225">
        <f>F170/E170</f>
        <v>1</v>
      </c>
      <c r="H170" s="1224">
        <f>E170-F170</f>
        <v>0</v>
      </c>
      <c r="I170" s="1225">
        <f t="shared" si="10"/>
        <v>0</v>
      </c>
      <c r="J170" s="5316"/>
      <c r="K170" s="5316"/>
    </row>
    <row r="171" spans="2:11" ht="15.75" customHeight="1" x14ac:dyDescent="0.3">
      <c r="B171" s="5779"/>
      <c r="C171" s="1226" t="s">
        <v>279</v>
      </c>
      <c r="D171" s="1227">
        <f>SUM(D168:D170)</f>
        <v>17</v>
      </c>
      <c r="E171" s="1227">
        <f>SUM(E168:E170)</f>
        <v>17</v>
      </c>
      <c r="F171" s="1228">
        <f>SUM(F168:F170)</f>
        <v>14</v>
      </c>
      <c r="G171" s="1229">
        <f>F171/E171</f>
        <v>0.82352941176470584</v>
      </c>
      <c r="H171" s="1228">
        <f>E171-F171</f>
        <v>3</v>
      </c>
      <c r="I171" s="1229">
        <f t="shared" si="10"/>
        <v>0.17647058823529416</v>
      </c>
      <c r="J171" s="5316"/>
      <c r="K171" s="5316"/>
    </row>
    <row r="172" spans="2:11" ht="15.75" customHeight="1" x14ac:dyDescent="0.3">
      <c r="B172" s="1230"/>
      <c r="C172" s="5302"/>
      <c r="D172" s="5302"/>
      <c r="E172" s="5302"/>
      <c r="F172" s="5302"/>
      <c r="G172" s="5302"/>
      <c r="H172" s="5302"/>
      <c r="I172" s="1219"/>
      <c r="J172" s="5316"/>
      <c r="K172" s="5316"/>
    </row>
    <row r="173" spans="2:11" ht="15.75" customHeight="1" x14ac:dyDescent="0.3">
      <c r="B173" s="5786" t="s">
        <v>134</v>
      </c>
      <c r="C173" s="1216" t="s">
        <v>64</v>
      </c>
      <c r="D173" s="1217">
        <v>4</v>
      </c>
      <c r="E173" s="1217">
        <v>3</v>
      </c>
      <c r="F173" s="1218">
        <v>0</v>
      </c>
      <c r="G173" s="1219">
        <f>F173/E173</f>
        <v>0</v>
      </c>
      <c r="H173" s="1218">
        <f>E173-F173</f>
        <v>3</v>
      </c>
      <c r="I173" s="1219">
        <f t="shared" si="10"/>
        <v>1</v>
      </c>
      <c r="J173" s="5316"/>
      <c r="K173" s="5316"/>
    </row>
    <row r="174" spans="2:11" ht="15.75" customHeight="1" x14ac:dyDescent="0.3">
      <c r="B174" s="5787"/>
      <c r="C174" s="1220" t="s">
        <v>111</v>
      </c>
      <c r="D174" s="1221">
        <v>3</v>
      </c>
      <c r="E174" s="1221">
        <v>3</v>
      </c>
      <c r="F174" s="1120">
        <v>1</v>
      </c>
      <c r="G174" s="1122">
        <f>F174/E174</f>
        <v>0.33333333333333331</v>
      </c>
      <c r="H174" s="1120">
        <f>E174-F174</f>
        <v>2</v>
      </c>
      <c r="I174" s="1122">
        <f t="shared" si="10"/>
        <v>0.66666666666666674</v>
      </c>
      <c r="J174" s="5316"/>
      <c r="K174" s="5316"/>
    </row>
    <row r="175" spans="2:11" ht="15.75" customHeight="1" x14ac:dyDescent="0.3">
      <c r="B175" s="5787"/>
      <c r="C175" s="1222" t="s">
        <v>115</v>
      </c>
      <c r="D175" s="1223">
        <v>4</v>
      </c>
      <c r="E175" s="1223">
        <v>4</v>
      </c>
      <c r="F175" s="1224">
        <v>3</v>
      </c>
      <c r="G175" s="1225">
        <f>F175/E175</f>
        <v>0.75</v>
      </c>
      <c r="H175" s="1224">
        <f>E175-F175</f>
        <v>1</v>
      </c>
      <c r="I175" s="1225">
        <f t="shared" si="10"/>
        <v>0.25</v>
      </c>
      <c r="J175" s="5316"/>
      <c r="K175" s="5316"/>
    </row>
    <row r="176" spans="2:11" ht="15.75" customHeight="1" x14ac:dyDescent="0.3">
      <c r="B176" s="5788"/>
      <c r="C176" s="1226" t="s">
        <v>279</v>
      </c>
      <c r="D176" s="1227">
        <f>SUM(D173:D175)</f>
        <v>11</v>
      </c>
      <c r="E176" s="1227">
        <f>SUM(E173:E175)</f>
        <v>10</v>
      </c>
      <c r="F176" s="1228">
        <f>SUM(F173:F175)</f>
        <v>4</v>
      </c>
      <c r="G176" s="1229">
        <f>F176/E176</f>
        <v>0.4</v>
      </c>
      <c r="H176" s="1228">
        <f>E176-F176</f>
        <v>6</v>
      </c>
      <c r="I176" s="1229">
        <f t="shared" si="10"/>
        <v>0.6</v>
      </c>
      <c r="J176" s="5316"/>
      <c r="K176" s="5316"/>
    </row>
    <row r="177" spans="2:11" ht="15.75" customHeight="1" x14ac:dyDescent="0.3">
      <c r="B177" s="1231"/>
      <c r="C177" s="1136"/>
      <c r="D177" s="1136"/>
      <c r="E177" s="1136"/>
      <c r="F177" s="5301"/>
      <c r="G177" s="5301"/>
      <c r="H177" s="5301"/>
      <c r="I177" s="5301"/>
      <c r="J177" s="5316"/>
      <c r="K177" s="5316"/>
    </row>
    <row r="178" spans="2:11" ht="15.75" customHeight="1" x14ac:dyDescent="0.3">
      <c r="B178" s="5780" t="s">
        <v>135</v>
      </c>
      <c r="C178" s="1216" t="s">
        <v>59</v>
      </c>
      <c r="D178" s="1217">
        <v>10</v>
      </c>
      <c r="E178" s="1217">
        <v>9</v>
      </c>
      <c r="F178" s="1218">
        <v>2</v>
      </c>
      <c r="G178" s="1219">
        <f>F178/E178</f>
        <v>0.22222222222222221</v>
      </c>
      <c r="H178" s="1218">
        <f>E178-F178</f>
        <v>7</v>
      </c>
      <c r="I178" s="1219">
        <f t="shared" si="10"/>
        <v>0.77777777777777779</v>
      </c>
      <c r="J178" s="5316"/>
      <c r="K178" s="5316"/>
    </row>
    <row r="179" spans="2:11" ht="15.75" customHeight="1" x14ac:dyDescent="0.3">
      <c r="B179" s="5781"/>
      <c r="C179" s="1220" t="s">
        <v>64</v>
      </c>
      <c r="D179" s="1221">
        <v>11</v>
      </c>
      <c r="E179" s="1221">
        <v>11</v>
      </c>
      <c r="F179" s="1120"/>
      <c r="G179" s="1122">
        <f>F179/E179</f>
        <v>0</v>
      </c>
      <c r="H179" s="1120">
        <f>E179-F179</f>
        <v>11</v>
      </c>
      <c r="I179" s="1122">
        <f t="shared" si="10"/>
        <v>1</v>
      </c>
      <c r="J179" s="5316"/>
      <c r="K179" s="5316"/>
    </row>
    <row r="180" spans="2:11" ht="15.75" customHeight="1" x14ac:dyDescent="0.3">
      <c r="B180" s="5781"/>
      <c r="C180" s="1222" t="s">
        <v>92</v>
      </c>
      <c r="D180" s="1223">
        <v>6</v>
      </c>
      <c r="E180" s="1223">
        <v>6</v>
      </c>
      <c r="F180" s="1224">
        <v>2</v>
      </c>
      <c r="G180" s="1225">
        <f>F180/E180</f>
        <v>0.33333333333333331</v>
      </c>
      <c r="H180" s="1224">
        <f>E180-F180</f>
        <v>4</v>
      </c>
      <c r="I180" s="1225">
        <f t="shared" si="10"/>
        <v>0.66666666666666674</v>
      </c>
      <c r="J180" s="5316"/>
      <c r="K180" s="5316"/>
    </row>
    <row r="181" spans="2:11" ht="15.75" customHeight="1" x14ac:dyDescent="0.3">
      <c r="B181" s="5782"/>
      <c r="C181" s="1226" t="s">
        <v>279</v>
      </c>
      <c r="D181" s="1227">
        <f>SUM(D178:D180)</f>
        <v>27</v>
      </c>
      <c r="E181" s="1227">
        <f>SUM(E178:E180)</f>
        <v>26</v>
      </c>
      <c r="F181" s="1228">
        <f>SUM(F178:F180)</f>
        <v>4</v>
      </c>
      <c r="G181" s="1229">
        <f>F181/E181</f>
        <v>0.15384615384615385</v>
      </c>
      <c r="H181" s="1228">
        <f>E181-F181</f>
        <v>22</v>
      </c>
      <c r="I181" s="1229">
        <f t="shared" si="10"/>
        <v>0.84615384615384615</v>
      </c>
      <c r="J181" s="5316"/>
      <c r="K181" s="5316"/>
    </row>
    <row r="182" spans="2:11" ht="15.75" customHeight="1" x14ac:dyDescent="0.3">
      <c r="B182" s="1232"/>
      <c r="C182" s="1144"/>
      <c r="D182" s="1136"/>
      <c r="E182" s="1136"/>
      <c r="F182" s="5301"/>
      <c r="G182" s="5302"/>
      <c r="H182" s="5302"/>
      <c r="I182" s="5302"/>
      <c r="J182" s="5316"/>
      <c r="K182" s="5316"/>
    </row>
    <row r="183" spans="2:11" ht="15.75" customHeight="1" x14ac:dyDescent="0.3">
      <c r="B183" s="5796" t="s">
        <v>136</v>
      </c>
      <c r="C183" s="1216" t="s">
        <v>59</v>
      </c>
      <c r="D183" s="1217">
        <v>2</v>
      </c>
      <c r="E183" s="1217">
        <v>1</v>
      </c>
      <c r="F183" s="1218"/>
      <c r="G183" s="1219">
        <f>F183/E183</f>
        <v>0</v>
      </c>
      <c r="H183" s="1218">
        <f>E183-F183</f>
        <v>1</v>
      </c>
      <c r="I183" s="1219">
        <f t="shared" si="10"/>
        <v>1</v>
      </c>
      <c r="J183" s="5316"/>
      <c r="K183" s="5316"/>
    </row>
    <row r="184" spans="2:11" ht="15.75" customHeight="1" x14ac:dyDescent="0.3">
      <c r="B184" s="5797"/>
      <c r="C184" s="1220" t="s">
        <v>64</v>
      </c>
      <c r="D184" s="1221">
        <v>2</v>
      </c>
      <c r="E184" s="1221">
        <v>2</v>
      </c>
      <c r="F184" s="1120"/>
      <c r="G184" s="1122">
        <f>F184/E184</f>
        <v>0</v>
      </c>
      <c r="H184" s="1120">
        <f>E184-F184</f>
        <v>2</v>
      </c>
      <c r="I184" s="1122">
        <f t="shared" si="10"/>
        <v>1</v>
      </c>
      <c r="J184" s="5316"/>
      <c r="K184" s="5316"/>
    </row>
    <row r="185" spans="2:11" ht="15.75" customHeight="1" x14ac:dyDescent="0.3">
      <c r="B185" s="5797"/>
      <c r="C185" s="1222" t="s">
        <v>92</v>
      </c>
      <c r="D185" s="1223">
        <v>2</v>
      </c>
      <c r="E185" s="1223">
        <v>1</v>
      </c>
      <c r="F185" s="1224"/>
      <c r="G185" s="1225">
        <f>F185/E185</f>
        <v>0</v>
      </c>
      <c r="H185" s="1224">
        <f>E185-F185</f>
        <v>1</v>
      </c>
      <c r="I185" s="1225">
        <f t="shared" si="10"/>
        <v>1</v>
      </c>
      <c r="J185" s="5316"/>
      <c r="K185" s="5316"/>
    </row>
    <row r="186" spans="2:11" ht="15.75" customHeight="1" x14ac:dyDescent="0.3">
      <c r="B186" s="5798"/>
      <c r="C186" s="1226" t="s">
        <v>279</v>
      </c>
      <c r="D186" s="1227">
        <f>SUM(D183:D185)</f>
        <v>6</v>
      </c>
      <c r="E186" s="1227">
        <f>SUM(E183:E185)</f>
        <v>4</v>
      </c>
      <c r="F186" s="1228">
        <f>SUM(F183:F185)</f>
        <v>0</v>
      </c>
      <c r="G186" s="1229">
        <f>F186/E186</f>
        <v>0</v>
      </c>
      <c r="H186" s="1228">
        <f>E186-F186</f>
        <v>4</v>
      </c>
      <c r="I186" s="1229">
        <f t="shared" si="10"/>
        <v>1</v>
      </c>
      <c r="J186" s="5316"/>
      <c r="K186" s="5316"/>
    </row>
    <row r="187" spans="2:11" ht="15.75" customHeight="1" x14ac:dyDescent="0.3">
      <c r="B187" s="1230"/>
      <c r="C187" s="5301"/>
      <c r="D187" s="5301"/>
      <c r="E187" s="5301"/>
      <c r="F187" s="5301"/>
      <c r="G187" s="5301"/>
      <c r="H187" s="5301"/>
      <c r="I187" s="5301"/>
      <c r="J187" s="5316"/>
      <c r="K187" s="5316"/>
    </row>
    <row r="188" spans="2:11" ht="15.75" customHeight="1" x14ac:dyDescent="0.3">
      <c r="B188" s="5783" t="s">
        <v>137</v>
      </c>
      <c r="C188" s="1216" t="s">
        <v>64</v>
      </c>
      <c r="D188" s="1217">
        <v>6</v>
      </c>
      <c r="E188" s="1217">
        <v>6</v>
      </c>
      <c r="F188" s="1218"/>
      <c r="G188" s="1219">
        <f>F188/E188</f>
        <v>0</v>
      </c>
      <c r="H188" s="1218">
        <f>E188-F188</f>
        <v>6</v>
      </c>
      <c r="I188" s="1219">
        <f t="shared" si="10"/>
        <v>1</v>
      </c>
      <c r="J188" s="5316"/>
      <c r="K188" s="5316"/>
    </row>
    <row r="189" spans="2:11" ht="15.75" customHeight="1" x14ac:dyDescent="0.3">
      <c r="B189" s="5784"/>
      <c r="C189" s="1220" t="s">
        <v>92</v>
      </c>
      <c r="D189" s="1221">
        <v>8</v>
      </c>
      <c r="E189" s="1221">
        <v>8</v>
      </c>
      <c r="F189" s="1120">
        <v>5</v>
      </c>
      <c r="G189" s="1122">
        <f>F189/E189</f>
        <v>0.625</v>
      </c>
      <c r="H189" s="1120">
        <f>E189-F189</f>
        <v>3</v>
      </c>
      <c r="I189" s="1122">
        <f t="shared" si="10"/>
        <v>0.375</v>
      </c>
      <c r="J189" s="5316"/>
      <c r="K189" s="5316"/>
    </row>
    <row r="190" spans="2:11" ht="15.75" customHeight="1" x14ac:dyDescent="0.3">
      <c r="B190" s="5784"/>
      <c r="C190" s="1222" t="s">
        <v>68</v>
      </c>
      <c r="D190" s="1223">
        <v>4</v>
      </c>
      <c r="E190" s="1223">
        <v>4</v>
      </c>
      <c r="F190" s="1224">
        <v>1</v>
      </c>
      <c r="G190" s="1225">
        <f>F190/E190</f>
        <v>0.25</v>
      </c>
      <c r="H190" s="1224">
        <f>E190-F190</f>
        <v>3</v>
      </c>
      <c r="I190" s="1225">
        <f t="shared" si="10"/>
        <v>0.75</v>
      </c>
      <c r="J190" s="5316"/>
      <c r="K190" s="5316"/>
    </row>
    <row r="191" spans="2:11" ht="15.75" customHeight="1" x14ac:dyDescent="0.3">
      <c r="B191" s="5785"/>
      <c r="C191" s="1226" t="s">
        <v>279</v>
      </c>
      <c r="D191" s="1227">
        <f>SUM(D188:D190)</f>
        <v>18</v>
      </c>
      <c r="E191" s="1227">
        <f>SUM(E188:E190)</f>
        <v>18</v>
      </c>
      <c r="F191" s="1228">
        <f>SUM(F188:F190)</f>
        <v>6</v>
      </c>
      <c r="G191" s="1229">
        <f>F191/E191</f>
        <v>0.33333333333333331</v>
      </c>
      <c r="H191" s="1228">
        <f>E191-F191</f>
        <v>12</v>
      </c>
      <c r="I191" s="1229">
        <f t="shared" si="10"/>
        <v>0.66666666666666674</v>
      </c>
      <c r="J191" s="5316"/>
      <c r="K191" s="5316"/>
    </row>
    <row r="192" spans="2:11" ht="15.75" customHeight="1" x14ac:dyDescent="0.3">
      <c r="B192" s="5301"/>
      <c r="C192" s="5301"/>
      <c r="D192" s="5301"/>
      <c r="E192" s="5301"/>
      <c r="F192" s="5301"/>
      <c r="G192" s="5301"/>
      <c r="H192" s="5301"/>
      <c r="I192" s="5301"/>
      <c r="J192" s="5316"/>
      <c r="K192" s="5316"/>
    </row>
    <row r="193" spans="2:11" ht="15.75" customHeight="1" x14ac:dyDescent="0.3">
      <c r="B193" s="5820" t="s">
        <v>7</v>
      </c>
      <c r="C193" s="5821"/>
      <c r="D193" s="1233">
        <f>SUM(D171,D181,D191,D176,D186)</f>
        <v>79</v>
      </c>
      <c r="E193" s="1227">
        <f>SUM(E171,E181,E191,E176,E186)</f>
        <v>75</v>
      </c>
      <c r="F193" s="1226">
        <f>SUM(F171,F176,F181,F186,F191)</f>
        <v>28</v>
      </c>
      <c r="G193" s="1234">
        <f>F193/E193</f>
        <v>0.37333333333333335</v>
      </c>
      <c r="H193" s="1226">
        <f>E193-F193</f>
        <v>47</v>
      </c>
      <c r="I193" s="1229">
        <f t="shared" si="10"/>
        <v>0.62666666666666671</v>
      </c>
      <c r="J193" s="5316"/>
      <c r="K193" s="5316"/>
    </row>
    <row r="194" spans="2:11" ht="15.75" customHeight="1" x14ac:dyDescent="0.3">
      <c r="B194" s="5316"/>
      <c r="C194" s="5316"/>
      <c r="D194" s="5316"/>
      <c r="E194" s="5316"/>
      <c r="F194" s="5316"/>
      <c r="G194" s="5316"/>
      <c r="H194" s="5316"/>
      <c r="I194" s="5316"/>
      <c r="J194" s="5316"/>
      <c r="K194" s="5316"/>
    </row>
    <row r="195" spans="2:11" ht="15.75" customHeight="1" x14ac:dyDescent="0.3">
      <c r="B195" s="5316"/>
      <c r="C195" s="5316"/>
      <c r="D195" s="5316"/>
      <c r="E195" s="5316"/>
      <c r="F195" s="5316"/>
      <c r="G195" s="5316"/>
      <c r="H195" s="5316"/>
      <c r="I195" s="5316"/>
      <c r="J195" s="5316"/>
      <c r="K195" s="5316"/>
    </row>
    <row r="196" spans="2:11" ht="15.75" customHeight="1" x14ac:dyDescent="0.3">
      <c r="B196" s="5790" t="s">
        <v>27</v>
      </c>
      <c r="C196" s="5790" t="s">
        <v>10</v>
      </c>
      <c r="D196" s="5791" t="s">
        <v>280</v>
      </c>
      <c r="E196" s="5791" t="s">
        <v>277</v>
      </c>
      <c r="F196" s="5812" t="s">
        <v>281</v>
      </c>
      <c r="G196" s="5813"/>
      <c r="H196" s="5814"/>
      <c r="I196" s="5815"/>
      <c r="J196" s="5816" t="s">
        <v>270</v>
      </c>
      <c r="K196" s="5817"/>
    </row>
    <row r="197" spans="2:11" ht="15.75" customHeight="1" x14ac:dyDescent="0.3">
      <c r="B197" s="5790"/>
      <c r="C197" s="5790"/>
      <c r="D197" s="5791"/>
      <c r="E197" s="5791"/>
      <c r="F197" s="5292" t="s">
        <v>282</v>
      </c>
      <c r="G197" s="5292" t="s">
        <v>275</v>
      </c>
      <c r="H197" s="1214" t="s">
        <v>48</v>
      </c>
      <c r="I197" s="1215" t="s">
        <v>272</v>
      </c>
      <c r="J197" s="5818"/>
      <c r="K197" s="5819"/>
    </row>
    <row r="198" spans="2:11" ht="15.75" customHeight="1" x14ac:dyDescent="0.3">
      <c r="B198" s="1111"/>
      <c r="C198" s="1111"/>
      <c r="D198" s="1111"/>
      <c r="E198" s="1111"/>
      <c r="F198" s="1111"/>
      <c r="G198" s="1111"/>
      <c r="H198" s="1111"/>
      <c r="I198" s="1111"/>
      <c r="J198" s="1111"/>
      <c r="K198" s="1111"/>
    </row>
    <row r="199" spans="2:11" ht="15.75" customHeight="1" x14ac:dyDescent="0.3">
      <c r="B199" s="5777" t="s">
        <v>138</v>
      </c>
      <c r="C199" s="1216" t="s">
        <v>59</v>
      </c>
      <c r="D199" s="1217">
        <v>10</v>
      </c>
      <c r="E199" s="1218">
        <v>10</v>
      </c>
      <c r="F199" s="1216"/>
      <c r="G199" s="1217">
        <v>10</v>
      </c>
      <c r="H199" s="1218">
        <f>SUM(F199:G199)</f>
        <v>10</v>
      </c>
      <c r="I199" s="1219">
        <f>H199/E199</f>
        <v>1</v>
      </c>
      <c r="J199" s="1216">
        <f>E199-H199</f>
        <v>0</v>
      </c>
      <c r="K199" s="1219">
        <f>1-I199</f>
        <v>0</v>
      </c>
    </row>
    <row r="200" spans="2:11" ht="15.75" customHeight="1" x14ac:dyDescent="0.3">
      <c r="B200" s="5778"/>
      <c r="C200" s="1220" t="s">
        <v>64</v>
      </c>
      <c r="D200" s="1221">
        <v>4</v>
      </c>
      <c r="E200" s="1120">
        <v>4</v>
      </c>
      <c r="F200" s="1220"/>
      <c r="G200" s="1221">
        <v>2</v>
      </c>
      <c r="H200" s="1120">
        <f>SUM(F200:G200)</f>
        <v>2</v>
      </c>
      <c r="I200" s="1122">
        <f>H200/E200</f>
        <v>0.5</v>
      </c>
      <c r="J200" s="1220">
        <f>E200-H200</f>
        <v>2</v>
      </c>
      <c r="K200" s="1122">
        <f>1-I200</f>
        <v>0.5</v>
      </c>
    </row>
    <row r="201" spans="2:11" ht="15.75" customHeight="1" x14ac:dyDescent="0.3">
      <c r="B201" s="5778"/>
      <c r="C201" s="1222" t="s">
        <v>68</v>
      </c>
      <c r="D201" s="1223">
        <v>3</v>
      </c>
      <c r="E201" s="1224">
        <v>3</v>
      </c>
      <c r="F201" s="1222"/>
      <c r="G201" s="1223">
        <v>3</v>
      </c>
      <c r="H201" s="1224">
        <f>SUM(F201:G201)</f>
        <v>3</v>
      </c>
      <c r="I201" s="1225">
        <f>H201/E201</f>
        <v>1</v>
      </c>
      <c r="J201" s="1222">
        <f>E201-H201</f>
        <v>0</v>
      </c>
      <c r="K201" s="1225">
        <f>1-I201</f>
        <v>0</v>
      </c>
    </row>
    <row r="202" spans="2:11" ht="15.75" customHeight="1" x14ac:dyDescent="0.3">
      <c r="B202" s="5779"/>
      <c r="C202" s="1226" t="s">
        <v>279</v>
      </c>
      <c r="D202" s="1227">
        <f>SUM(D199:D201)</f>
        <v>17</v>
      </c>
      <c r="E202" s="1228">
        <f>SUM(E199:E201)</f>
        <v>17</v>
      </c>
      <c r="F202" s="1226">
        <f>SUM(F199:F201)</f>
        <v>0</v>
      </c>
      <c r="G202" s="1227">
        <f>SUM(G199:G201)</f>
        <v>15</v>
      </c>
      <c r="H202" s="1228">
        <f>SUM(F202:G202)</f>
        <v>15</v>
      </c>
      <c r="I202" s="1229">
        <f>H202/E202</f>
        <v>0.88235294117647056</v>
      </c>
      <c r="J202" s="1226">
        <f>E202-H202</f>
        <v>2</v>
      </c>
      <c r="K202" s="1229">
        <f>1-I202</f>
        <v>0.11764705882352944</v>
      </c>
    </row>
    <row r="203" spans="2:11" ht="15.75" customHeight="1" x14ac:dyDescent="0.3">
      <c r="B203" s="1230"/>
      <c r="C203" s="5302"/>
      <c r="D203" s="5302"/>
      <c r="E203" s="5302"/>
      <c r="F203" s="5302"/>
      <c r="G203" s="5302"/>
      <c r="H203" s="5302"/>
      <c r="I203" s="5302"/>
      <c r="J203" s="5302"/>
      <c r="K203" s="5302"/>
    </row>
    <row r="204" spans="2:11" ht="15.75" customHeight="1" x14ac:dyDescent="0.3">
      <c r="B204" s="5786" t="s">
        <v>134</v>
      </c>
      <c r="C204" s="1216" t="s">
        <v>64</v>
      </c>
      <c r="D204" s="1217">
        <v>4</v>
      </c>
      <c r="E204" s="1218">
        <v>3</v>
      </c>
      <c r="F204" s="1216"/>
      <c r="G204" s="1217"/>
      <c r="H204" s="1218">
        <f>SUM(F204:G204)</f>
        <v>0</v>
      </c>
      <c r="I204" s="1219">
        <f>H204/E204</f>
        <v>0</v>
      </c>
      <c r="J204" s="1216">
        <f>E204-H204</f>
        <v>3</v>
      </c>
      <c r="K204" s="1219">
        <f>1-I204</f>
        <v>1</v>
      </c>
    </row>
    <row r="205" spans="2:11" ht="15.75" customHeight="1" x14ac:dyDescent="0.3">
      <c r="B205" s="5787"/>
      <c r="C205" s="1220" t="s">
        <v>111</v>
      </c>
      <c r="D205" s="1221">
        <v>3</v>
      </c>
      <c r="E205" s="1120">
        <v>3</v>
      </c>
      <c r="F205" s="1220"/>
      <c r="G205" s="1221">
        <v>1</v>
      </c>
      <c r="H205" s="1120">
        <f>SUM(F205:G205)</f>
        <v>1</v>
      </c>
      <c r="I205" s="1122">
        <f>H205/E205</f>
        <v>0.33333333333333331</v>
      </c>
      <c r="J205" s="1220">
        <f>E205-H205</f>
        <v>2</v>
      </c>
      <c r="K205" s="1122">
        <f>1-I205</f>
        <v>0.66666666666666674</v>
      </c>
    </row>
    <row r="206" spans="2:11" ht="15.75" customHeight="1" x14ac:dyDescent="0.3">
      <c r="B206" s="5787"/>
      <c r="C206" s="1222" t="s">
        <v>115</v>
      </c>
      <c r="D206" s="1223">
        <v>4</v>
      </c>
      <c r="E206" s="1224">
        <v>3</v>
      </c>
      <c r="F206" s="1222"/>
      <c r="G206" s="1223"/>
      <c r="H206" s="1224">
        <f>SUM(F206:G206)</f>
        <v>0</v>
      </c>
      <c r="I206" s="1225">
        <f>H206/E206</f>
        <v>0</v>
      </c>
      <c r="J206" s="1222">
        <f>E206-H206</f>
        <v>3</v>
      </c>
      <c r="K206" s="1225">
        <f>1-I206</f>
        <v>1</v>
      </c>
    </row>
    <row r="207" spans="2:11" ht="15.75" customHeight="1" x14ac:dyDescent="0.3">
      <c r="B207" s="5788"/>
      <c r="C207" s="1226" t="s">
        <v>279</v>
      </c>
      <c r="D207" s="1227">
        <f>SUM(D204:D206)</f>
        <v>11</v>
      </c>
      <c r="E207" s="1228">
        <f>SUM(E204:E206)</f>
        <v>9</v>
      </c>
      <c r="F207" s="1226">
        <f>SUM(F204:F206)</f>
        <v>0</v>
      </c>
      <c r="G207" s="1227">
        <f>SUM(G204:G206)</f>
        <v>1</v>
      </c>
      <c r="H207" s="1228">
        <f>SUM(F207:G207)</f>
        <v>1</v>
      </c>
      <c r="I207" s="1229">
        <f>H207/E207</f>
        <v>0.1111111111111111</v>
      </c>
      <c r="J207" s="1226">
        <f>E207-H207</f>
        <v>8</v>
      </c>
      <c r="K207" s="1229">
        <f>1-I207</f>
        <v>0.88888888888888884</v>
      </c>
    </row>
    <row r="208" spans="2:11" ht="15.75" customHeight="1" x14ac:dyDescent="0.3">
      <c r="B208" s="1231"/>
      <c r="C208" s="1136"/>
      <c r="D208" s="1136"/>
      <c r="E208" s="1136"/>
      <c r="F208" s="1136"/>
      <c r="G208" s="5301"/>
      <c r="H208" s="5301"/>
      <c r="I208" s="5301"/>
      <c r="J208" s="5301"/>
      <c r="K208" s="5301"/>
    </row>
    <row r="209" spans="2:11" ht="15.75" customHeight="1" x14ac:dyDescent="0.3">
      <c r="B209" s="5780" t="s">
        <v>135</v>
      </c>
      <c r="C209" s="1216" t="s">
        <v>59</v>
      </c>
      <c r="D209" s="1217">
        <v>10</v>
      </c>
      <c r="E209" s="1218">
        <v>9</v>
      </c>
      <c r="F209" s="1235"/>
      <c r="G209" s="1217">
        <v>3</v>
      </c>
      <c r="H209" s="1218">
        <f>SUM(F209:G209)</f>
        <v>3</v>
      </c>
      <c r="I209" s="1219">
        <f>H209/E209</f>
        <v>0.33333333333333331</v>
      </c>
      <c r="J209" s="1216">
        <f>E209-H209</f>
        <v>6</v>
      </c>
      <c r="K209" s="1219">
        <f>1-I209</f>
        <v>0.66666666666666674</v>
      </c>
    </row>
    <row r="210" spans="2:11" ht="15.75" customHeight="1" x14ac:dyDescent="0.3">
      <c r="B210" s="5781"/>
      <c r="C210" s="1220" t="s">
        <v>64</v>
      </c>
      <c r="D210" s="1221">
        <v>11</v>
      </c>
      <c r="E210" s="1120">
        <v>11</v>
      </c>
      <c r="F210" s="1236"/>
      <c r="G210" s="1221">
        <v>1</v>
      </c>
      <c r="H210" s="1120">
        <f>SUM(F210:G210)</f>
        <v>1</v>
      </c>
      <c r="I210" s="1122">
        <f>H210/E210</f>
        <v>9.0909090909090912E-2</v>
      </c>
      <c r="J210" s="1220">
        <f>E210-H210</f>
        <v>10</v>
      </c>
      <c r="K210" s="1122">
        <f>1-I210</f>
        <v>0.90909090909090906</v>
      </c>
    </row>
    <row r="211" spans="2:11" ht="15.75" customHeight="1" x14ac:dyDescent="0.3">
      <c r="B211" s="5781"/>
      <c r="C211" s="1222" t="s">
        <v>92</v>
      </c>
      <c r="D211" s="1223">
        <v>6</v>
      </c>
      <c r="E211" s="1224">
        <v>6</v>
      </c>
      <c r="F211" s="1237"/>
      <c r="G211" s="1223">
        <v>2</v>
      </c>
      <c r="H211" s="1224">
        <f>SUM(F211:G211)</f>
        <v>2</v>
      </c>
      <c r="I211" s="1225">
        <f>H211/E211</f>
        <v>0.33333333333333331</v>
      </c>
      <c r="J211" s="1222">
        <f>E211-H211</f>
        <v>4</v>
      </c>
      <c r="K211" s="1225">
        <f>1-I211</f>
        <v>0.66666666666666674</v>
      </c>
    </row>
    <row r="212" spans="2:11" ht="15.75" customHeight="1" x14ac:dyDescent="0.3">
      <c r="B212" s="5782"/>
      <c r="C212" s="1226" t="s">
        <v>279</v>
      </c>
      <c r="D212" s="1227">
        <f>SUM(D209:D211)</f>
        <v>27</v>
      </c>
      <c r="E212" s="1228">
        <f>SUM(E209:E211)</f>
        <v>26</v>
      </c>
      <c r="F212" s="1226">
        <f>SUM(F209:F211)</f>
        <v>0</v>
      </c>
      <c r="G212" s="1227">
        <f>SUM(G209:G211)</f>
        <v>6</v>
      </c>
      <c r="H212" s="1228">
        <f>SUM(F212:G212)</f>
        <v>6</v>
      </c>
      <c r="I212" s="1229">
        <f>H212/E212</f>
        <v>0.23076923076923078</v>
      </c>
      <c r="J212" s="1226">
        <f>E212-H212</f>
        <v>20</v>
      </c>
      <c r="K212" s="1229">
        <f>1-I212</f>
        <v>0.76923076923076916</v>
      </c>
    </row>
    <row r="213" spans="2:11" ht="15.75" customHeight="1" x14ac:dyDescent="0.3">
      <c r="B213" s="1232"/>
      <c r="C213" s="1144"/>
      <c r="D213" s="1136"/>
      <c r="E213" s="1136"/>
      <c r="F213" s="1136"/>
      <c r="G213" s="5301"/>
      <c r="H213" s="5301"/>
      <c r="I213" s="5301"/>
      <c r="J213" s="5301"/>
      <c r="K213" s="5301"/>
    </row>
    <row r="214" spans="2:11" ht="15.75" customHeight="1" x14ac:dyDescent="0.3">
      <c r="B214" s="5796" t="s">
        <v>136</v>
      </c>
      <c r="C214" s="1216" t="s">
        <v>59</v>
      </c>
      <c r="D214" s="1217">
        <v>1</v>
      </c>
      <c r="E214" s="1218"/>
      <c r="F214" s="1216"/>
      <c r="G214" s="1217"/>
      <c r="H214" s="1218">
        <f>SUM(F214:G214)</f>
        <v>0</v>
      </c>
      <c r="I214" s="1219"/>
      <c r="J214" s="1216">
        <f>E214-H214</f>
        <v>0</v>
      </c>
      <c r="K214" s="1219"/>
    </row>
    <row r="215" spans="2:11" ht="15.75" customHeight="1" x14ac:dyDescent="0.3">
      <c r="B215" s="5797"/>
      <c r="C215" s="1220" t="s">
        <v>64</v>
      </c>
      <c r="D215" s="1221">
        <v>2</v>
      </c>
      <c r="E215" s="1120"/>
      <c r="F215" s="1220"/>
      <c r="G215" s="1221"/>
      <c r="H215" s="1120">
        <f>SUM(F215:G215)</f>
        <v>0</v>
      </c>
      <c r="I215" s="1122"/>
      <c r="J215" s="1220">
        <f>E215-H215</f>
        <v>0</v>
      </c>
      <c r="K215" s="1122"/>
    </row>
    <row r="216" spans="2:11" ht="15.75" customHeight="1" x14ac:dyDescent="0.3">
      <c r="B216" s="5797"/>
      <c r="C216" s="1222" t="s">
        <v>92</v>
      </c>
      <c r="D216" s="1223">
        <v>1</v>
      </c>
      <c r="E216" s="1224"/>
      <c r="F216" s="1222"/>
      <c r="G216" s="1223"/>
      <c r="H216" s="1224">
        <f>SUM(F216:G216)</f>
        <v>0</v>
      </c>
      <c r="I216" s="1225"/>
      <c r="J216" s="1222">
        <f>E216-H216</f>
        <v>0</v>
      </c>
      <c r="K216" s="1225"/>
    </row>
    <row r="217" spans="2:11" ht="15.75" customHeight="1" x14ac:dyDescent="0.3">
      <c r="B217" s="5798"/>
      <c r="C217" s="1226" t="s">
        <v>279</v>
      </c>
      <c r="D217" s="1227">
        <f>SUM(D214:D216)</f>
        <v>4</v>
      </c>
      <c r="E217" s="1228">
        <f>SUM(E214:E216)</f>
        <v>0</v>
      </c>
      <c r="F217" s="1226">
        <f>SUM(F214:F216)</f>
        <v>0</v>
      </c>
      <c r="G217" s="1227">
        <f>SUM(G214:G216)</f>
        <v>0</v>
      </c>
      <c r="H217" s="1228">
        <f>SUM(F217:G217)</f>
        <v>0</v>
      </c>
      <c r="I217" s="1229"/>
      <c r="J217" s="1226">
        <f>E217-H217</f>
        <v>0</v>
      </c>
      <c r="K217" s="1229"/>
    </row>
    <row r="218" spans="2:11" ht="15.75" customHeight="1" x14ac:dyDescent="0.3">
      <c r="B218" s="1230"/>
      <c r="C218" s="5301"/>
      <c r="D218" s="5301"/>
      <c r="E218" s="5301"/>
      <c r="F218" s="5301"/>
      <c r="G218" s="5301"/>
      <c r="H218" s="5301"/>
      <c r="I218" s="5301"/>
      <c r="J218" s="5301"/>
      <c r="K218" s="5301"/>
    </row>
    <row r="219" spans="2:11" ht="15.75" customHeight="1" x14ac:dyDescent="0.3">
      <c r="B219" s="5783" t="s">
        <v>137</v>
      </c>
      <c r="C219" s="1216" t="s">
        <v>64</v>
      </c>
      <c r="D219" s="1217">
        <v>6</v>
      </c>
      <c r="E219" s="1218">
        <v>6</v>
      </c>
      <c r="F219" s="1216"/>
      <c r="G219" s="1217">
        <v>5</v>
      </c>
      <c r="H219" s="1218">
        <f>SUM(F219:G219)</f>
        <v>5</v>
      </c>
      <c r="I219" s="1219">
        <f>H219/E219</f>
        <v>0.83333333333333337</v>
      </c>
      <c r="J219" s="1216">
        <f>E219-H219</f>
        <v>1</v>
      </c>
      <c r="K219" s="1219">
        <f>1-I219</f>
        <v>0.16666666666666663</v>
      </c>
    </row>
    <row r="220" spans="2:11" ht="15.75" customHeight="1" x14ac:dyDescent="0.3">
      <c r="B220" s="5784"/>
      <c r="C220" s="1220" t="s">
        <v>92</v>
      </c>
      <c r="D220" s="1221">
        <v>8</v>
      </c>
      <c r="E220" s="1120">
        <v>8</v>
      </c>
      <c r="F220" s="1220"/>
      <c r="G220" s="1221">
        <v>4</v>
      </c>
      <c r="H220" s="1120">
        <f>SUM(F220:G220)</f>
        <v>4</v>
      </c>
      <c r="I220" s="1122">
        <f>H220/E220</f>
        <v>0.5</v>
      </c>
      <c r="J220" s="1220">
        <f>E220-H220</f>
        <v>4</v>
      </c>
      <c r="K220" s="1122">
        <f>1-I220</f>
        <v>0.5</v>
      </c>
    </row>
    <row r="221" spans="2:11" ht="15.75" customHeight="1" x14ac:dyDescent="0.3">
      <c r="B221" s="5784"/>
      <c r="C221" s="1222" t="s">
        <v>68</v>
      </c>
      <c r="D221" s="1223">
        <v>4</v>
      </c>
      <c r="E221" s="1224">
        <v>4</v>
      </c>
      <c r="F221" s="1237"/>
      <c r="G221" s="1223">
        <v>1</v>
      </c>
      <c r="H221" s="1224">
        <f>SUM(F221:G221)</f>
        <v>1</v>
      </c>
      <c r="I221" s="1225">
        <f>H221/E221</f>
        <v>0.25</v>
      </c>
      <c r="J221" s="1222">
        <f>E221-H221</f>
        <v>3</v>
      </c>
      <c r="K221" s="1225">
        <f>1-I221</f>
        <v>0.75</v>
      </c>
    </row>
    <row r="222" spans="2:11" ht="15.75" customHeight="1" x14ac:dyDescent="0.3">
      <c r="B222" s="5785"/>
      <c r="C222" s="1226" t="s">
        <v>279</v>
      </c>
      <c r="D222" s="1227">
        <f>SUM(D219:D221)</f>
        <v>18</v>
      </c>
      <c r="E222" s="1228">
        <f>SUM(E219:E221)</f>
        <v>18</v>
      </c>
      <c r="F222" s="1226">
        <f>SUM(F219:F221)</f>
        <v>0</v>
      </c>
      <c r="G222" s="1227">
        <f>SUM(G219:G221)</f>
        <v>10</v>
      </c>
      <c r="H222" s="1228">
        <f>SUM(F222:G222)</f>
        <v>10</v>
      </c>
      <c r="I222" s="1229">
        <f>H222/E222</f>
        <v>0.55555555555555558</v>
      </c>
      <c r="J222" s="1226">
        <f>E222-H222</f>
        <v>8</v>
      </c>
      <c r="K222" s="1229">
        <f>1-I222</f>
        <v>0.44444444444444442</v>
      </c>
    </row>
    <row r="223" spans="2:11" ht="15.75" customHeight="1" x14ac:dyDescent="0.3">
      <c r="B223" s="5301"/>
      <c r="C223" s="5301"/>
      <c r="D223" s="5301"/>
      <c r="E223" s="5301"/>
      <c r="F223" s="5301"/>
      <c r="G223" s="5301"/>
      <c r="H223" s="5301"/>
      <c r="I223" s="5301"/>
      <c r="J223" s="5301"/>
      <c r="K223" s="5301"/>
    </row>
    <row r="224" spans="2:11" ht="15.75" customHeight="1" x14ac:dyDescent="0.3">
      <c r="B224" s="5789" t="s">
        <v>7</v>
      </c>
      <c r="C224" s="5789"/>
      <c r="D224" s="1233">
        <f>SUM(D202,D212,D222,D207,D217)</f>
        <v>77</v>
      </c>
      <c r="E224" s="1227">
        <f>SUM(E202,E212,E222,E207,E217)</f>
        <v>70</v>
      </c>
      <c r="F224" s="1227">
        <f>SUM(F202,F212,F222,F207,F217)</f>
        <v>0</v>
      </c>
      <c r="G224" s="1227">
        <f>SUM(G202,G212,G222,G207,G217)</f>
        <v>32</v>
      </c>
      <c r="H224" s="1226">
        <f>SUM(H202,H212,H222,H207,H217)</f>
        <v>32</v>
      </c>
      <c r="I224" s="1234">
        <f>H224/E224</f>
        <v>0.45714285714285713</v>
      </c>
      <c r="J224" s="1226">
        <f>E224-H224</f>
        <v>38</v>
      </c>
      <c r="K224" s="1229">
        <f>1-I224</f>
        <v>0.54285714285714293</v>
      </c>
    </row>
    <row r="225" spans="2:12" ht="15.75" customHeight="1" x14ac:dyDescent="0.3">
      <c r="B225" s="5316"/>
      <c r="C225" s="5316"/>
      <c r="D225" s="5316"/>
      <c r="E225" s="5316"/>
      <c r="F225" s="5316"/>
      <c r="G225" s="5316"/>
      <c r="H225" s="5316"/>
      <c r="I225" s="5316"/>
      <c r="J225" s="5316"/>
      <c r="K225" s="5316"/>
    </row>
    <row r="226" spans="2:12" ht="15.75" customHeight="1" x14ac:dyDescent="0.3">
      <c r="B226" s="5316"/>
      <c r="C226" s="5316"/>
      <c r="D226" s="5316"/>
      <c r="E226" s="5316"/>
      <c r="F226" s="5316"/>
      <c r="G226" s="5316"/>
      <c r="H226" s="5316"/>
      <c r="I226" s="5316"/>
      <c r="J226" s="5316"/>
      <c r="K226" s="5316"/>
    </row>
    <row r="227" spans="2:12" ht="15.75" customHeight="1" x14ac:dyDescent="0.3">
      <c r="B227" s="5790" t="s">
        <v>27</v>
      </c>
      <c r="C227" s="5790" t="s">
        <v>10</v>
      </c>
      <c r="D227" s="5791" t="s">
        <v>1586</v>
      </c>
      <c r="E227" s="5791" t="s">
        <v>277</v>
      </c>
      <c r="F227" s="5809" t="s">
        <v>283</v>
      </c>
      <c r="G227" s="5810"/>
      <c r="H227" s="5810"/>
      <c r="I227" s="5811"/>
      <c r="J227" s="5317"/>
      <c r="K227" s="5312"/>
      <c r="L227" s="5311"/>
    </row>
    <row r="228" spans="2:12" ht="15.75" customHeight="1" x14ac:dyDescent="0.3">
      <c r="B228" s="5790"/>
      <c r="C228" s="5790"/>
      <c r="D228" s="5791"/>
      <c r="E228" s="5791"/>
      <c r="F228" s="5292" t="s">
        <v>282</v>
      </c>
      <c r="G228" s="5292" t="s">
        <v>275</v>
      </c>
      <c r="H228" s="1238" t="s">
        <v>48</v>
      </c>
      <c r="I228" s="5292" t="s">
        <v>272</v>
      </c>
      <c r="J228" s="5775" t="s">
        <v>270</v>
      </c>
      <c r="K228" s="5776"/>
    </row>
    <row r="229" spans="2:12" ht="15.75" customHeight="1" x14ac:dyDescent="0.3">
      <c r="B229" s="5318"/>
      <c r="C229" s="5318"/>
      <c r="D229" s="5318"/>
      <c r="E229" s="5318"/>
      <c r="F229" s="5318"/>
      <c r="G229" s="5318"/>
      <c r="H229" s="5318"/>
      <c r="I229" s="5318"/>
      <c r="J229" s="5318"/>
      <c r="K229" s="5318"/>
    </row>
    <row r="230" spans="2:12" ht="15.75" customHeight="1" x14ac:dyDescent="0.3">
      <c r="B230" s="5777" t="s">
        <v>138</v>
      </c>
      <c r="C230" s="5319" t="s">
        <v>59</v>
      </c>
      <c r="D230" s="5320">
        <v>10</v>
      </c>
      <c r="E230" s="5321">
        <v>10</v>
      </c>
      <c r="F230" s="5319"/>
      <c r="G230" s="5320">
        <v>10</v>
      </c>
      <c r="H230" s="5321">
        <f>SUM(F230:G230)</f>
        <v>10</v>
      </c>
      <c r="I230" s="5322">
        <f>H230/E230</f>
        <v>1</v>
      </c>
      <c r="J230" s="5319">
        <f>E230-H230</f>
        <v>0</v>
      </c>
      <c r="K230" s="5323">
        <f>1-I230</f>
        <v>0</v>
      </c>
    </row>
    <row r="231" spans="2:12" ht="15.75" customHeight="1" x14ac:dyDescent="0.3">
      <c r="B231" s="5778"/>
      <c r="C231" s="5324" t="s">
        <v>64</v>
      </c>
      <c r="D231" s="5325">
        <v>4</v>
      </c>
      <c r="E231" s="5326">
        <v>4</v>
      </c>
      <c r="F231" s="5324"/>
      <c r="G231" s="5325">
        <v>3</v>
      </c>
      <c r="H231" s="5326">
        <f>SUM(F231:G231)</f>
        <v>3</v>
      </c>
      <c r="I231" s="5327">
        <f>H231/E231</f>
        <v>0.75</v>
      </c>
      <c r="J231" s="5324">
        <f>E231-H231</f>
        <v>1</v>
      </c>
      <c r="K231" s="5328">
        <f>1-I231</f>
        <v>0.25</v>
      </c>
    </row>
    <row r="232" spans="2:12" ht="15.75" customHeight="1" x14ac:dyDescent="0.3">
      <c r="B232" s="5778"/>
      <c r="C232" s="5329" t="s">
        <v>68</v>
      </c>
      <c r="D232" s="5330">
        <v>3</v>
      </c>
      <c r="E232" s="5331">
        <v>3</v>
      </c>
      <c r="F232" s="5329"/>
      <c r="G232" s="5330">
        <v>3</v>
      </c>
      <c r="H232" s="5331">
        <f>SUM(F232:G232)</f>
        <v>3</v>
      </c>
      <c r="I232" s="5332">
        <f>H232/E232</f>
        <v>1</v>
      </c>
      <c r="J232" s="5329">
        <f>E232-H232</f>
        <v>0</v>
      </c>
      <c r="K232" s="5333">
        <f>1-I232</f>
        <v>0</v>
      </c>
    </row>
    <row r="233" spans="2:12" ht="15.75" customHeight="1" x14ac:dyDescent="0.3">
      <c r="B233" s="5779"/>
      <c r="C233" s="5334" t="s">
        <v>279</v>
      </c>
      <c r="D233" s="5291">
        <f>SUM(D230:D232)</f>
        <v>17</v>
      </c>
      <c r="E233" s="5335">
        <f>SUM(E230:E232)</f>
        <v>17</v>
      </c>
      <c r="F233" s="5334">
        <f>SUM(F230:F232)</f>
        <v>0</v>
      </c>
      <c r="G233" s="5291">
        <f>SUM(G230:G232)</f>
        <v>16</v>
      </c>
      <c r="H233" s="5335">
        <f>SUM(F233:G233)</f>
        <v>16</v>
      </c>
      <c r="I233" s="5336">
        <f>H233/E233</f>
        <v>0.94117647058823528</v>
      </c>
      <c r="J233" s="5334">
        <f>E233-H233</f>
        <v>1</v>
      </c>
      <c r="K233" s="5337">
        <f>1-I233</f>
        <v>5.8823529411764719E-2</v>
      </c>
    </row>
    <row r="234" spans="2:12" ht="15.75" customHeight="1" x14ac:dyDescent="0.3">
      <c r="B234" s="1230"/>
      <c r="C234" s="5313"/>
      <c r="D234" s="5313"/>
      <c r="E234" s="5313"/>
      <c r="F234" s="5313"/>
      <c r="G234" s="5313"/>
      <c r="H234" s="5313"/>
      <c r="I234" s="5313"/>
      <c r="J234" s="5313"/>
      <c r="K234" s="5313"/>
    </row>
    <row r="235" spans="2:12" ht="15.75" customHeight="1" x14ac:dyDescent="0.3">
      <c r="B235" s="5786" t="s">
        <v>134</v>
      </c>
      <c r="C235" s="5319" t="s">
        <v>64</v>
      </c>
      <c r="D235" s="5320">
        <v>4</v>
      </c>
      <c r="E235" s="5321">
        <v>3</v>
      </c>
      <c r="F235" s="5319"/>
      <c r="G235" s="5320"/>
      <c r="H235" s="5321">
        <f>SUM(F235:G235)</f>
        <v>0</v>
      </c>
      <c r="I235" s="5322">
        <f>H235/E235</f>
        <v>0</v>
      </c>
      <c r="J235" s="5319">
        <f>E235-H235</f>
        <v>3</v>
      </c>
      <c r="K235" s="5323">
        <f>1-I235</f>
        <v>1</v>
      </c>
    </row>
    <row r="236" spans="2:12" ht="15.75" customHeight="1" x14ac:dyDescent="0.3">
      <c r="B236" s="5787"/>
      <c r="C236" s="5324" t="s">
        <v>111</v>
      </c>
      <c r="D236" s="5325">
        <v>3</v>
      </c>
      <c r="E236" s="5326">
        <v>3</v>
      </c>
      <c r="F236" s="5324"/>
      <c r="G236" s="5325"/>
      <c r="H236" s="5326">
        <f>SUM(F236:G236)</f>
        <v>0</v>
      </c>
      <c r="I236" s="5327">
        <f>H236/E236</f>
        <v>0</v>
      </c>
      <c r="J236" s="5324">
        <f>E236-H236</f>
        <v>3</v>
      </c>
      <c r="K236" s="5328">
        <f>1-I236</f>
        <v>1</v>
      </c>
    </row>
    <row r="237" spans="2:12" ht="15.75" customHeight="1" x14ac:dyDescent="0.3">
      <c r="B237" s="5787"/>
      <c r="C237" s="5329" t="s">
        <v>115</v>
      </c>
      <c r="D237" s="5330">
        <v>4</v>
      </c>
      <c r="E237" s="5331">
        <v>3</v>
      </c>
      <c r="F237" s="5329"/>
      <c r="G237" s="5330"/>
      <c r="H237" s="5331">
        <f>SUM(F237:G237)</f>
        <v>0</v>
      </c>
      <c r="I237" s="5332">
        <f>H237/E237</f>
        <v>0</v>
      </c>
      <c r="J237" s="5329">
        <f>E237-H237</f>
        <v>3</v>
      </c>
      <c r="K237" s="5333">
        <f>1-I237</f>
        <v>1</v>
      </c>
    </row>
    <row r="238" spans="2:12" ht="15.75" customHeight="1" x14ac:dyDescent="0.3">
      <c r="B238" s="5788"/>
      <c r="C238" s="5334" t="s">
        <v>279</v>
      </c>
      <c r="D238" s="5291">
        <f>SUM(D235:D237)</f>
        <v>11</v>
      </c>
      <c r="E238" s="5335">
        <f>SUM(E235:E237)</f>
        <v>9</v>
      </c>
      <c r="F238" s="5334">
        <f>SUM(F235:F237)</f>
        <v>0</v>
      </c>
      <c r="G238" s="5291">
        <f>SUM(G235:G237)</f>
        <v>0</v>
      </c>
      <c r="H238" s="5335">
        <f>SUM(F238:G238)</f>
        <v>0</v>
      </c>
      <c r="I238" s="5336">
        <f>H238/E238</f>
        <v>0</v>
      </c>
      <c r="J238" s="5334">
        <f>E238-H238</f>
        <v>9</v>
      </c>
      <c r="K238" s="5337">
        <f>1-I238</f>
        <v>1</v>
      </c>
    </row>
    <row r="239" spans="2:12" ht="15.75" customHeight="1" x14ac:dyDescent="0.3">
      <c r="B239" s="1231"/>
      <c r="C239" s="5338"/>
      <c r="D239" s="5338"/>
      <c r="E239" s="5338"/>
      <c r="F239" s="5338"/>
      <c r="G239" s="5312"/>
      <c r="H239" s="5312"/>
      <c r="I239" s="5312"/>
      <c r="J239" s="5312"/>
      <c r="K239" s="5312"/>
    </row>
    <row r="240" spans="2:12" ht="15.75" customHeight="1" x14ac:dyDescent="0.3">
      <c r="B240" s="5780" t="s">
        <v>135</v>
      </c>
      <c r="C240" s="5319" t="s">
        <v>59</v>
      </c>
      <c r="D240" s="5320">
        <v>9</v>
      </c>
      <c r="E240" s="5321">
        <v>9</v>
      </c>
      <c r="F240" s="5319">
        <v>4</v>
      </c>
      <c r="G240" s="5320">
        <v>2</v>
      </c>
      <c r="H240" s="5321">
        <f>SUM(F240:G240)</f>
        <v>6</v>
      </c>
      <c r="I240" s="5322">
        <f>H240/E240</f>
        <v>0.66666666666666663</v>
      </c>
      <c r="J240" s="5319">
        <f>E240-H240</f>
        <v>3</v>
      </c>
      <c r="K240" s="5323">
        <f>1-I240</f>
        <v>0.33333333333333337</v>
      </c>
    </row>
    <row r="241" spans="2:11" ht="15.75" customHeight="1" x14ac:dyDescent="0.3">
      <c r="B241" s="5781"/>
      <c r="C241" s="5324" t="s">
        <v>64</v>
      </c>
      <c r="D241" s="5325">
        <v>11</v>
      </c>
      <c r="E241" s="5326">
        <v>11</v>
      </c>
      <c r="F241" s="5324">
        <v>8</v>
      </c>
      <c r="G241" s="5325">
        <v>1</v>
      </c>
      <c r="H241" s="5326">
        <f>SUM(F241:G241)</f>
        <v>9</v>
      </c>
      <c r="I241" s="5327">
        <f>H241/E241</f>
        <v>0.81818181818181823</v>
      </c>
      <c r="J241" s="5324">
        <f>E241-H241</f>
        <v>2</v>
      </c>
      <c r="K241" s="5328">
        <f>1-I241</f>
        <v>0.18181818181818177</v>
      </c>
    </row>
    <row r="242" spans="2:11" ht="15.75" customHeight="1" x14ac:dyDescent="0.3">
      <c r="B242" s="5781"/>
      <c r="C242" s="5329" t="s">
        <v>92</v>
      </c>
      <c r="D242" s="5330">
        <v>6</v>
      </c>
      <c r="E242" s="5331">
        <v>6</v>
      </c>
      <c r="F242" s="5329">
        <v>3</v>
      </c>
      <c r="G242" s="5330">
        <v>2</v>
      </c>
      <c r="H242" s="5331">
        <f>SUM(F242:G242)</f>
        <v>5</v>
      </c>
      <c r="I242" s="5332">
        <f>H242/E242</f>
        <v>0.83333333333333337</v>
      </c>
      <c r="J242" s="5329">
        <f>E242-H242</f>
        <v>1</v>
      </c>
      <c r="K242" s="5333">
        <f>1-I242</f>
        <v>0.16666666666666663</v>
      </c>
    </row>
    <row r="243" spans="2:11" ht="15.75" customHeight="1" x14ac:dyDescent="0.3">
      <c r="B243" s="5782"/>
      <c r="C243" s="5334" t="s">
        <v>279</v>
      </c>
      <c r="D243" s="5291">
        <f>SUM(D240:D242)</f>
        <v>26</v>
      </c>
      <c r="E243" s="5335">
        <f>SUM(E240:E242)</f>
        <v>26</v>
      </c>
      <c r="F243" s="5334">
        <f>SUM(F240:F242)</f>
        <v>15</v>
      </c>
      <c r="G243" s="5291">
        <f>SUM(G240:G242)</f>
        <v>5</v>
      </c>
      <c r="H243" s="5335">
        <f>SUM(F243:G243)</f>
        <v>20</v>
      </c>
      <c r="I243" s="5336">
        <f>H243/E243</f>
        <v>0.76923076923076927</v>
      </c>
      <c r="J243" s="5334">
        <f>E243-H243</f>
        <v>6</v>
      </c>
      <c r="K243" s="5337">
        <f>1-I243</f>
        <v>0.23076923076923073</v>
      </c>
    </row>
    <row r="244" spans="2:11" ht="15.75" customHeight="1" x14ac:dyDescent="0.3">
      <c r="B244" s="1232"/>
      <c r="C244" s="5339"/>
      <c r="D244" s="5338"/>
      <c r="E244" s="5338"/>
      <c r="F244" s="5338"/>
      <c r="G244" s="5312"/>
      <c r="H244" s="5312"/>
      <c r="I244" s="5312"/>
      <c r="J244" s="5312"/>
      <c r="K244" s="5312"/>
    </row>
    <row r="245" spans="2:11" ht="15.75" customHeight="1" x14ac:dyDescent="0.3">
      <c r="B245" s="5796" t="s">
        <v>136</v>
      </c>
      <c r="C245" s="5319" t="s">
        <v>59</v>
      </c>
      <c r="D245" s="5320">
        <v>1</v>
      </c>
      <c r="E245" s="5321"/>
      <c r="F245" s="5319"/>
      <c r="G245" s="5320"/>
      <c r="H245" s="5321">
        <f>SUM(F245:G245)</f>
        <v>0</v>
      </c>
      <c r="I245" s="5322"/>
      <c r="J245" s="5319">
        <f>E245-H245</f>
        <v>0</v>
      </c>
      <c r="K245" s="5323"/>
    </row>
    <row r="246" spans="2:11" ht="15.75" customHeight="1" x14ac:dyDescent="0.3">
      <c r="B246" s="5797"/>
      <c r="C246" s="5324" t="s">
        <v>64</v>
      </c>
      <c r="D246" s="5325">
        <v>2</v>
      </c>
      <c r="E246" s="5326"/>
      <c r="F246" s="5324"/>
      <c r="G246" s="5325"/>
      <c r="H246" s="5326">
        <f>SUM(F246:G246)</f>
        <v>0</v>
      </c>
      <c r="I246" s="5327"/>
      <c r="J246" s="5324">
        <f>E246-H246</f>
        <v>0</v>
      </c>
      <c r="K246" s="5328"/>
    </row>
    <row r="247" spans="2:11" ht="15.75" customHeight="1" x14ac:dyDescent="0.3">
      <c r="B247" s="5797"/>
      <c r="C247" s="5329" t="s">
        <v>92</v>
      </c>
      <c r="D247" s="5330">
        <v>1</v>
      </c>
      <c r="E247" s="5331"/>
      <c r="F247" s="5329"/>
      <c r="G247" s="5330"/>
      <c r="H247" s="5331">
        <f>SUM(F247:G247)</f>
        <v>0</v>
      </c>
      <c r="I247" s="5332"/>
      <c r="J247" s="5329">
        <f>E247-H247</f>
        <v>0</v>
      </c>
      <c r="K247" s="5333"/>
    </row>
    <row r="248" spans="2:11" ht="15.75" customHeight="1" x14ac:dyDescent="0.3">
      <c r="B248" s="5798"/>
      <c r="C248" s="5334" t="s">
        <v>279</v>
      </c>
      <c r="D248" s="5291">
        <f>SUM(D245:D247)</f>
        <v>4</v>
      </c>
      <c r="E248" s="5335">
        <f>SUM(E245:E247)</f>
        <v>0</v>
      </c>
      <c r="F248" s="5334">
        <f>SUM(F245:F247)</f>
        <v>0</v>
      </c>
      <c r="G248" s="5291">
        <f>SUM(G245:G247)</f>
        <v>0</v>
      </c>
      <c r="H248" s="5335">
        <f>SUM(F248:G248)</f>
        <v>0</v>
      </c>
      <c r="I248" s="5336"/>
      <c r="J248" s="5334">
        <f>E248-H248</f>
        <v>0</v>
      </c>
      <c r="K248" s="5337"/>
    </row>
    <row r="249" spans="2:11" ht="15.75" customHeight="1" x14ac:dyDescent="0.3">
      <c r="B249" s="1230"/>
      <c r="C249" s="5312"/>
      <c r="D249" s="5312"/>
      <c r="E249" s="5312"/>
      <c r="F249" s="5312"/>
      <c r="G249" s="5312"/>
      <c r="H249" s="5312"/>
      <c r="I249" s="5312"/>
      <c r="J249" s="5312"/>
      <c r="K249" s="5312"/>
    </row>
    <row r="250" spans="2:11" ht="15.75" customHeight="1" x14ac:dyDescent="0.3">
      <c r="B250" s="5783" t="s">
        <v>137</v>
      </c>
      <c r="C250" s="5319" t="s">
        <v>64</v>
      </c>
      <c r="D250" s="5320">
        <v>6</v>
      </c>
      <c r="E250" s="5321">
        <v>6</v>
      </c>
      <c r="F250" s="5319"/>
      <c r="G250" s="5320">
        <v>5</v>
      </c>
      <c r="H250" s="5321">
        <f>SUM(F250:G250)</f>
        <v>5</v>
      </c>
      <c r="I250" s="5322">
        <f>H250/E250</f>
        <v>0.83333333333333337</v>
      </c>
      <c r="J250" s="5319">
        <f>E250-H250</f>
        <v>1</v>
      </c>
      <c r="K250" s="5323">
        <f>1-I250</f>
        <v>0.16666666666666663</v>
      </c>
    </row>
    <row r="251" spans="2:11" ht="15.75" customHeight="1" x14ac:dyDescent="0.3">
      <c r="B251" s="5784"/>
      <c r="C251" s="5324" t="s">
        <v>92</v>
      </c>
      <c r="D251" s="5325">
        <v>8</v>
      </c>
      <c r="E251" s="5326">
        <v>8</v>
      </c>
      <c r="F251" s="5324"/>
      <c r="G251" s="5325">
        <v>4</v>
      </c>
      <c r="H251" s="5326">
        <f>SUM(F251:G251)</f>
        <v>4</v>
      </c>
      <c r="I251" s="5327">
        <f>H251/E251</f>
        <v>0.5</v>
      </c>
      <c r="J251" s="5324">
        <f>E251-H251</f>
        <v>4</v>
      </c>
      <c r="K251" s="5328">
        <f>1-I251</f>
        <v>0.5</v>
      </c>
    </row>
    <row r="252" spans="2:11" ht="15.75" customHeight="1" x14ac:dyDescent="0.3">
      <c r="B252" s="5784"/>
      <c r="C252" s="5329" t="s">
        <v>68</v>
      </c>
      <c r="D252" s="5330">
        <v>4</v>
      </c>
      <c r="E252" s="5331">
        <v>4</v>
      </c>
      <c r="F252" s="5329">
        <v>2</v>
      </c>
      <c r="G252" s="5330">
        <v>1</v>
      </c>
      <c r="H252" s="5331">
        <f>SUM(F252:G252)</f>
        <v>3</v>
      </c>
      <c r="I252" s="5332">
        <f>H252/E252</f>
        <v>0.75</v>
      </c>
      <c r="J252" s="5329">
        <f>E252-H252</f>
        <v>1</v>
      </c>
      <c r="K252" s="5333">
        <f>1-I252</f>
        <v>0.25</v>
      </c>
    </row>
    <row r="253" spans="2:11" ht="15.75" customHeight="1" x14ac:dyDescent="0.3">
      <c r="B253" s="5785"/>
      <c r="C253" s="5334" t="s">
        <v>279</v>
      </c>
      <c r="D253" s="5291">
        <f>SUM(D250:D252)</f>
        <v>18</v>
      </c>
      <c r="E253" s="5335">
        <f>SUM(E250:E252)</f>
        <v>18</v>
      </c>
      <c r="F253" s="5334">
        <f>SUM(F250:F252)</f>
        <v>2</v>
      </c>
      <c r="G253" s="5291">
        <f>SUM(G250:G252)</f>
        <v>10</v>
      </c>
      <c r="H253" s="5335">
        <f>SUM(F253:G253)</f>
        <v>12</v>
      </c>
      <c r="I253" s="5336">
        <f>H253/E253</f>
        <v>0.66666666666666663</v>
      </c>
      <c r="J253" s="5334">
        <f>E253-H253</f>
        <v>6</v>
      </c>
      <c r="K253" s="5337">
        <f>1-I253</f>
        <v>0.33333333333333337</v>
      </c>
    </row>
    <row r="254" spans="2:11" ht="15.75" customHeight="1" x14ac:dyDescent="0.3">
      <c r="B254" s="5312"/>
      <c r="C254" s="5312"/>
      <c r="D254" s="5312"/>
      <c r="E254" s="5312"/>
      <c r="F254" s="5312"/>
      <c r="G254" s="5312"/>
      <c r="H254" s="5312"/>
      <c r="I254" s="5312"/>
      <c r="J254" s="5312"/>
      <c r="K254" s="5312"/>
    </row>
    <row r="255" spans="2:11" ht="15.75" customHeight="1" x14ac:dyDescent="0.3">
      <c r="B255" s="5808" t="s">
        <v>7</v>
      </c>
      <c r="C255" s="5808"/>
      <c r="D255" s="5340">
        <f>SUM(D233,D243,D253,D238,D248)</f>
        <v>76</v>
      </c>
      <c r="E255" s="5291">
        <f>SUM(E233,E243,E253,E238,E248)</f>
        <v>70</v>
      </c>
      <c r="F255" s="5334">
        <f>SUM(F233,F243,F253,F238,F248)</f>
        <v>17</v>
      </c>
      <c r="G255" s="5291">
        <f>SUM(G233,G243,G253,G238,G248)</f>
        <v>31</v>
      </c>
      <c r="H255" s="5335">
        <f>SUM(H233,H243,H253,H238,H248)</f>
        <v>48</v>
      </c>
      <c r="I255" s="5341">
        <f>H255/E255</f>
        <v>0.68571428571428572</v>
      </c>
      <c r="J255" s="5334">
        <f>E255-H255</f>
        <v>22</v>
      </c>
      <c r="K255" s="5337">
        <f>1-I255</f>
        <v>0.31428571428571428</v>
      </c>
    </row>
    <row r="256" spans="2:11" ht="15.75" customHeight="1" x14ac:dyDescent="0.3">
      <c r="B256" s="5316"/>
      <c r="C256" s="5316"/>
      <c r="D256" s="5316"/>
      <c r="E256" s="5316"/>
      <c r="F256" s="5316"/>
      <c r="G256" s="5316"/>
      <c r="H256" s="5316"/>
      <c r="I256" s="5316"/>
      <c r="J256" s="5316"/>
      <c r="K256" s="5316"/>
    </row>
    <row r="257" spans="2:11" x14ac:dyDescent="0.3">
      <c r="B257" s="5807"/>
      <c r="C257" s="5807"/>
      <c r="D257" s="5807"/>
      <c r="E257" s="5807"/>
      <c r="F257" s="5807"/>
      <c r="G257" s="5807"/>
      <c r="H257" s="5807"/>
      <c r="I257" s="5807"/>
      <c r="J257" s="5342"/>
      <c r="K257" s="5311"/>
    </row>
    <row r="258" spans="2:11" x14ac:dyDescent="0.3">
      <c r="B258" s="5790" t="s">
        <v>27</v>
      </c>
      <c r="C258" s="5790" t="s">
        <v>10</v>
      </c>
      <c r="D258" s="5791" t="s">
        <v>284</v>
      </c>
      <c r="E258" s="5791" t="s">
        <v>277</v>
      </c>
      <c r="F258" s="5772" t="s">
        <v>285</v>
      </c>
      <c r="G258" s="5773"/>
      <c r="H258" s="5773"/>
      <c r="I258" s="5774"/>
      <c r="J258" s="1211"/>
      <c r="K258" s="5311"/>
    </row>
    <row r="259" spans="2:11" ht="15" customHeight="1" x14ac:dyDescent="0.3">
      <c r="B259" s="5790"/>
      <c r="C259" s="5790"/>
      <c r="D259" s="5791"/>
      <c r="E259" s="5791"/>
      <c r="F259" s="5292" t="s">
        <v>282</v>
      </c>
      <c r="G259" s="5292" t="s">
        <v>275</v>
      </c>
      <c r="H259" s="1238" t="s">
        <v>48</v>
      </c>
      <c r="I259" s="5292" t="s">
        <v>272</v>
      </c>
      <c r="J259" s="5775" t="s">
        <v>270</v>
      </c>
      <c r="K259" s="5776"/>
    </row>
    <row r="260" spans="2:11" x14ac:dyDescent="0.3">
      <c r="B260" s="1111"/>
      <c r="C260" s="1111"/>
      <c r="D260" s="1111"/>
      <c r="E260" s="1111"/>
      <c r="F260" s="1111"/>
      <c r="G260" s="1111"/>
      <c r="H260" s="1111"/>
      <c r="I260" s="1111"/>
      <c r="J260" s="1111"/>
      <c r="K260" s="1111"/>
    </row>
    <row r="261" spans="2:11" ht="15" customHeight="1" x14ac:dyDescent="0.3">
      <c r="B261" s="5777" t="s">
        <v>286</v>
      </c>
      <c r="C261" s="1216" t="s">
        <v>59</v>
      </c>
      <c r="D261" s="1217">
        <v>10</v>
      </c>
      <c r="E261" s="1218">
        <v>10</v>
      </c>
      <c r="F261" s="1216"/>
      <c r="G261" s="1218">
        <v>10</v>
      </c>
      <c r="H261" s="1218">
        <f>SUM(F261:G261)</f>
        <v>10</v>
      </c>
      <c r="I261" s="1219">
        <f>H261/E261</f>
        <v>1</v>
      </c>
      <c r="J261" s="1216">
        <f>E261-H261</f>
        <v>0</v>
      </c>
      <c r="K261" s="1219">
        <f>1-I261</f>
        <v>0</v>
      </c>
    </row>
    <row r="262" spans="2:11" ht="15" customHeight="1" x14ac:dyDescent="0.3">
      <c r="B262" s="5778"/>
      <c r="C262" s="1220" t="s">
        <v>64</v>
      </c>
      <c r="D262" s="1221">
        <v>4</v>
      </c>
      <c r="E262" s="1120">
        <v>4</v>
      </c>
      <c r="F262" s="1220"/>
      <c r="G262" s="1120">
        <v>3</v>
      </c>
      <c r="H262" s="1120">
        <f>SUM(F262:G262)</f>
        <v>3</v>
      </c>
      <c r="I262" s="1122">
        <f>H262/E262</f>
        <v>0.75</v>
      </c>
      <c r="J262" s="1220">
        <f>E262-H262</f>
        <v>1</v>
      </c>
      <c r="K262" s="1122">
        <f>1-I262</f>
        <v>0.25</v>
      </c>
    </row>
    <row r="263" spans="2:11" x14ac:dyDescent="0.3">
      <c r="B263" s="5778"/>
      <c r="C263" s="1222" t="s">
        <v>68</v>
      </c>
      <c r="D263" s="1223">
        <v>3</v>
      </c>
      <c r="E263" s="1224">
        <v>3</v>
      </c>
      <c r="F263" s="1222"/>
      <c r="G263" s="1224">
        <v>3</v>
      </c>
      <c r="H263" s="1224">
        <f>SUM(F263:G263)</f>
        <v>3</v>
      </c>
      <c r="I263" s="1225">
        <f>H263/E263</f>
        <v>1</v>
      </c>
      <c r="J263" s="1222">
        <f>E263-H263</f>
        <v>0</v>
      </c>
      <c r="K263" s="1225">
        <f>1-I263</f>
        <v>0</v>
      </c>
    </row>
    <row r="264" spans="2:11" x14ac:dyDescent="0.3">
      <c r="B264" s="5779"/>
      <c r="C264" s="1226" t="s">
        <v>279</v>
      </c>
      <c r="D264" s="1227">
        <f>SUM(D261:D263)</f>
        <v>17</v>
      </c>
      <c r="E264" s="1228">
        <f>SUM(E261:E263)</f>
        <v>17</v>
      </c>
      <c r="F264" s="1226">
        <f>SUM(F261:F263)</f>
        <v>0</v>
      </c>
      <c r="G264" s="1228">
        <f>SUM(G261:G263)</f>
        <v>16</v>
      </c>
      <c r="H264" s="1228">
        <f>SUM(F264:G264)</f>
        <v>16</v>
      </c>
      <c r="I264" s="1229">
        <f>H264/E264</f>
        <v>0.94117647058823528</v>
      </c>
      <c r="J264" s="1226">
        <f>E264-H264</f>
        <v>1</v>
      </c>
      <c r="K264" s="1229">
        <f>1-I264</f>
        <v>5.8823529411764719E-2</v>
      </c>
    </row>
    <row r="265" spans="2:11" x14ac:dyDescent="0.3">
      <c r="B265" s="5302"/>
      <c r="C265" s="5302"/>
      <c r="D265" s="5302"/>
      <c r="E265" s="5302"/>
      <c r="F265" s="5302"/>
      <c r="G265" s="5302"/>
      <c r="H265" s="5302"/>
      <c r="I265" s="5302"/>
      <c r="J265" s="5302"/>
      <c r="K265" s="5302"/>
    </row>
    <row r="266" spans="2:11" x14ac:dyDescent="0.3">
      <c r="B266" s="5786" t="s">
        <v>287</v>
      </c>
      <c r="C266" s="1216" t="s">
        <v>64</v>
      </c>
      <c r="D266" s="1217">
        <v>4</v>
      </c>
      <c r="E266" s="1218">
        <v>1</v>
      </c>
      <c r="F266" s="1216"/>
      <c r="G266" s="1218"/>
      <c r="H266" s="1218">
        <f>SUM(F266:G266)</f>
        <v>0</v>
      </c>
      <c r="I266" s="1219">
        <f>H266/E266</f>
        <v>0</v>
      </c>
      <c r="J266" s="1216">
        <f>E266-H266</f>
        <v>1</v>
      </c>
      <c r="K266" s="1219">
        <f>1-I266</f>
        <v>1</v>
      </c>
    </row>
    <row r="267" spans="2:11" x14ac:dyDescent="0.3">
      <c r="B267" s="5787"/>
      <c r="C267" s="1220" t="s">
        <v>111</v>
      </c>
      <c r="D267" s="1221">
        <v>3</v>
      </c>
      <c r="E267" s="1120">
        <v>1</v>
      </c>
      <c r="F267" s="1220"/>
      <c r="G267" s="1120"/>
      <c r="H267" s="1120">
        <f>SUM(F267:G267)</f>
        <v>0</v>
      </c>
      <c r="I267" s="1122">
        <f>H267/E267</f>
        <v>0</v>
      </c>
      <c r="J267" s="1220">
        <f>E267-H267</f>
        <v>1</v>
      </c>
      <c r="K267" s="1122">
        <f>1-I267</f>
        <v>1</v>
      </c>
    </row>
    <row r="268" spans="2:11" x14ac:dyDescent="0.3">
      <c r="B268" s="5787"/>
      <c r="C268" s="1222" t="s">
        <v>115</v>
      </c>
      <c r="D268" s="1223">
        <v>4</v>
      </c>
      <c r="E268" s="1224">
        <v>2</v>
      </c>
      <c r="F268" s="1222"/>
      <c r="G268" s="1224"/>
      <c r="H268" s="1224">
        <f>SUM(F268:G268)</f>
        <v>0</v>
      </c>
      <c r="I268" s="1225">
        <f>H268/E268</f>
        <v>0</v>
      </c>
      <c r="J268" s="1222">
        <f>E268-H268</f>
        <v>2</v>
      </c>
      <c r="K268" s="1225">
        <f>1-I268</f>
        <v>1</v>
      </c>
    </row>
    <row r="269" spans="2:11" x14ac:dyDescent="0.3">
      <c r="B269" s="5788"/>
      <c r="C269" s="1226" t="s">
        <v>279</v>
      </c>
      <c r="D269" s="1227">
        <f>SUM(D266:D268)</f>
        <v>11</v>
      </c>
      <c r="E269" s="1228">
        <f>SUM(E266:E268)</f>
        <v>4</v>
      </c>
      <c r="F269" s="1226">
        <f>SUM(F266:F268)</f>
        <v>0</v>
      </c>
      <c r="G269" s="1228">
        <f>SUM(G266:G268)</f>
        <v>0</v>
      </c>
      <c r="H269" s="1228">
        <f>SUM(F269:G269)</f>
        <v>0</v>
      </c>
      <c r="I269" s="1229">
        <f>H269/E269</f>
        <v>0</v>
      </c>
      <c r="J269" s="1226">
        <f>E269-H269</f>
        <v>4</v>
      </c>
      <c r="K269" s="1229">
        <f>1-I269</f>
        <v>1</v>
      </c>
    </row>
    <row r="270" spans="2:11" x14ac:dyDescent="0.3">
      <c r="B270" s="1211"/>
      <c r="C270" s="1136"/>
      <c r="D270" s="1136"/>
      <c r="E270" s="1136"/>
      <c r="F270" s="1136"/>
      <c r="G270" s="5301"/>
      <c r="H270" s="5301"/>
      <c r="I270" s="5301"/>
      <c r="J270" s="5301"/>
      <c r="K270" s="5301"/>
    </row>
    <row r="271" spans="2:11" ht="15" customHeight="1" x14ac:dyDescent="0.3">
      <c r="B271" s="5780" t="s">
        <v>288</v>
      </c>
      <c r="C271" s="1216" t="s">
        <v>59</v>
      </c>
      <c r="D271" s="1217">
        <v>9</v>
      </c>
      <c r="E271" s="1218">
        <v>9</v>
      </c>
      <c r="F271" s="1216">
        <v>3</v>
      </c>
      <c r="G271" s="1218">
        <v>4</v>
      </c>
      <c r="H271" s="1218">
        <f>SUM(F271:G271)</f>
        <v>7</v>
      </c>
      <c r="I271" s="1219">
        <f>H271/E271</f>
        <v>0.77777777777777779</v>
      </c>
      <c r="J271" s="1216">
        <f>E271-H271</f>
        <v>2</v>
      </c>
      <c r="K271" s="1219">
        <f>1-I271</f>
        <v>0.22222222222222221</v>
      </c>
    </row>
    <row r="272" spans="2:11" ht="15" customHeight="1" x14ac:dyDescent="0.3">
      <c r="B272" s="5781"/>
      <c r="C272" s="1220" t="s">
        <v>64</v>
      </c>
      <c r="D272" s="1221">
        <v>11</v>
      </c>
      <c r="E272" s="1120">
        <v>11</v>
      </c>
      <c r="F272" s="1220">
        <v>6</v>
      </c>
      <c r="G272" s="1120">
        <v>3</v>
      </c>
      <c r="H272" s="1120">
        <f>SUM(F272:G272)</f>
        <v>9</v>
      </c>
      <c r="I272" s="1122">
        <f>H272/E272</f>
        <v>0.81818181818181823</v>
      </c>
      <c r="J272" s="1220">
        <f>E272-H272</f>
        <v>2</v>
      </c>
      <c r="K272" s="1122">
        <f>1-I272</f>
        <v>0.18181818181818177</v>
      </c>
    </row>
    <row r="273" spans="2:11" x14ac:dyDescent="0.3">
      <c r="B273" s="5781"/>
      <c r="C273" s="1222" t="s">
        <v>92</v>
      </c>
      <c r="D273" s="1223">
        <v>6</v>
      </c>
      <c r="E273" s="1224">
        <v>6</v>
      </c>
      <c r="F273" s="1222">
        <v>3</v>
      </c>
      <c r="G273" s="1224">
        <v>2</v>
      </c>
      <c r="H273" s="1224">
        <f>SUM(F273:G273)</f>
        <v>5</v>
      </c>
      <c r="I273" s="1225">
        <f>H273/E273</f>
        <v>0.83333333333333337</v>
      </c>
      <c r="J273" s="1222">
        <f>E273-H273</f>
        <v>1</v>
      </c>
      <c r="K273" s="1225">
        <f>1-I273</f>
        <v>0.16666666666666663</v>
      </c>
    </row>
    <row r="274" spans="2:11" x14ac:dyDescent="0.3">
      <c r="B274" s="5782"/>
      <c r="C274" s="1226" t="s">
        <v>279</v>
      </c>
      <c r="D274" s="1227">
        <f>SUM(D271:D273)</f>
        <v>26</v>
      </c>
      <c r="E274" s="1228">
        <f>SUM(E271:E273)</f>
        <v>26</v>
      </c>
      <c r="F274" s="1226">
        <f>SUM(F271:F273)</f>
        <v>12</v>
      </c>
      <c r="G274" s="1228">
        <f>SUM(G271:G273)</f>
        <v>9</v>
      </c>
      <c r="H274" s="1228">
        <f>SUM(F274:G274)</f>
        <v>21</v>
      </c>
      <c r="I274" s="1229">
        <f>H274/E274</f>
        <v>0.80769230769230771</v>
      </c>
      <c r="J274" s="1226">
        <f>E274-H274</f>
        <v>5</v>
      </c>
      <c r="K274" s="1229">
        <f>1-I274</f>
        <v>0.19230769230769229</v>
      </c>
    </row>
    <row r="275" spans="2:11" ht="15" customHeight="1" x14ac:dyDescent="0.3">
      <c r="B275" s="1239"/>
      <c r="C275" s="1144"/>
      <c r="D275" s="1136"/>
      <c r="E275" s="1136"/>
      <c r="F275" s="1136"/>
      <c r="G275" s="5301"/>
      <c r="H275" s="5301"/>
      <c r="I275" s="5301"/>
      <c r="J275" s="5301"/>
      <c r="K275" s="5301"/>
    </row>
    <row r="276" spans="2:11" ht="15" customHeight="1" x14ac:dyDescent="0.3">
      <c r="B276" s="5796" t="s">
        <v>289</v>
      </c>
      <c r="C276" s="1216" t="s">
        <v>59</v>
      </c>
      <c r="D276" s="1217">
        <v>1</v>
      </c>
      <c r="E276" s="1218"/>
      <c r="F276" s="1216"/>
      <c r="G276" s="1218"/>
      <c r="H276" s="1218">
        <f>SUM(F276:G276)</f>
        <v>0</v>
      </c>
      <c r="I276" s="1219"/>
      <c r="J276" s="1216">
        <f>E276-H276</f>
        <v>0</v>
      </c>
      <c r="K276" s="1219"/>
    </row>
    <row r="277" spans="2:11" x14ac:dyDescent="0.3">
      <c r="B277" s="5797"/>
      <c r="C277" s="1220" t="s">
        <v>64</v>
      </c>
      <c r="D277" s="1221">
        <v>2</v>
      </c>
      <c r="E277" s="1120"/>
      <c r="F277" s="1220"/>
      <c r="G277" s="1120"/>
      <c r="H277" s="1120">
        <f>SUM(F277:G277)</f>
        <v>0</v>
      </c>
      <c r="I277" s="1122"/>
      <c r="J277" s="1220">
        <f>E277-H277</f>
        <v>0</v>
      </c>
      <c r="K277" s="1122"/>
    </row>
    <row r="278" spans="2:11" ht="15" customHeight="1" x14ac:dyDescent="0.3">
      <c r="B278" s="5797"/>
      <c r="C278" s="1222" t="s">
        <v>92</v>
      </c>
      <c r="D278" s="1223">
        <v>1</v>
      </c>
      <c r="E278" s="1224"/>
      <c r="F278" s="1222"/>
      <c r="G278" s="1224"/>
      <c r="H278" s="1224">
        <f>SUM(F278:G278)</f>
        <v>0</v>
      </c>
      <c r="I278" s="1225"/>
      <c r="J278" s="1222">
        <f>E278-H278</f>
        <v>0</v>
      </c>
      <c r="K278" s="1225"/>
    </row>
    <row r="279" spans="2:11" ht="15" customHeight="1" x14ac:dyDescent="0.3">
      <c r="B279" s="5798"/>
      <c r="C279" s="1226" t="s">
        <v>279</v>
      </c>
      <c r="D279" s="1227">
        <f>SUM(D276:D278)</f>
        <v>4</v>
      </c>
      <c r="E279" s="1228">
        <f>SUM(E276:E278)</f>
        <v>0</v>
      </c>
      <c r="F279" s="1226">
        <f>SUM(F276:F278)</f>
        <v>0</v>
      </c>
      <c r="G279" s="1228">
        <f>SUM(G276:G278)</f>
        <v>0</v>
      </c>
      <c r="H279" s="1228">
        <f>SUM(F279:G279)</f>
        <v>0</v>
      </c>
      <c r="I279" s="1229"/>
      <c r="J279" s="1226">
        <f>E279-H279</f>
        <v>0</v>
      </c>
      <c r="K279" s="1229"/>
    </row>
    <row r="280" spans="2:11" x14ac:dyDescent="0.3">
      <c r="B280" s="1240"/>
      <c r="C280" s="5301"/>
      <c r="D280" s="5301"/>
      <c r="E280" s="5301"/>
      <c r="F280" s="5301"/>
      <c r="G280" s="5301"/>
      <c r="H280" s="5301"/>
      <c r="I280" s="5301"/>
      <c r="J280" s="5301"/>
      <c r="K280" s="5301"/>
    </row>
    <row r="281" spans="2:11" x14ac:dyDescent="0.3">
      <c r="B281" s="5783" t="s">
        <v>290</v>
      </c>
      <c r="C281" s="1216" t="s">
        <v>64</v>
      </c>
      <c r="D281" s="1217">
        <v>6</v>
      </c>
      <c r="E281" s="1218">
        <v>6</v>
      </c>
      <c r="F281" s="1216"/>
      <c r="G281" s="1218">
        <v>5</v>
      </c>
      <c r="H281" s="1218">
        <f>SUM(F281:G281)</f>
        <v>5</v>
      </c>
      <c r="I281" s="1219">
        <f>H281/E281</f>
        <v>0.83333333333333337</v>
      </c>
      <c r="J281" s="1216">
        <f>E281-H281</f>
        <v>1</v>
      </c>
      <c r="K281" s="1219">
        <f>1-I281</f>
        <v>0.16666666666666663</v>
      </c>
    </row>
    <row r="282" spans="2:11" x14ac:dyDescent="0.3">
      <c r="B282" s="5784"/>
      <c r="C282" s="1220" t="s">
        <v>92</v>
      </c>
      <c r="D282" s="1221">
        <v>8</v>
      </c>
      <c r="E282" s="1120">
        <v>8</v>
      </c>
      <c r="F282" s="1220"/>
      <c r="G282" s="1120">
        <v>5</v>
      </c>
      <c r="H282" s="1120">
        <f>SUM(F282:G282)</f>
        <v>5</v>
      </c>
      <c r="I282" s="1122">
        <f>H282/E282</f>
        <v>0.625</v>
      </c>
      <c r="J282" s="1220">
        <f>E282-H282</f>
        <v>3</v>
      </c>
      <c r="K282" s="1122">
        <f>1-I282</f>
        <v>0.375</v>
      </c>
    </row>
    <row r="283" spans="2:11" x14ac:dyDescent="0.3">
      <c r="B283" s="5784"/>
      <c r="C283" s="1222" t="s">
        <v>68</v>
      </c>
      <c r="D283" s="1223">
        <v>4</v>
      </c>
      <c r="E283" s="1224">
        <v>4</v>
      </c>
      <c r="F283" s="1222">
        <v>2</v>
      </c>
      <c r="G283" s="1224">
        <v>1</v>
      </c>
      <c r="H283" s="1224">
        <f>SUM(F283:G283)</f>
        <v>3</v>
      </c>
      <c r="I283" s="1225">
        <f>H283/E283</f>
        <v>0.75</v>
      </c>
      <c r="J283" s="1222">
        <f>E283-H283</f>
        <v>1</v>
      </c>
      <c r="K283" s="1225">
        <f>1-I283</f>
        <v>0.25</v>
      </c>
    </row>
    <row r="284" spans="2:11" x14ac:dyDescent="0.3">
      <c r="B284" s="5785"/>
      <c r="C284" s="1226" t="s">
        <v>279</v>
      </c>
      <c r="D284" s="1227">
        <f>SUM(D281:D283)</f>
        <v>18</v>
      </c>
      <c r="E284" s="1228">
        <f>SUM(E281:E283)</f>
        <v>18</v>
      </c>
      <c r="F284" s="1226">
        <f>SUM(F281:F283)</f>
        <v>2</v>
      </c>
      <c r="G284" s="1228">
        <f>SUM(G281:G283)</f>
        <v>11</v>
      </c>
      <c r="H284" s="1228">
        <f>SUM(F284:G284)</f>
        <v>13</v>
      </c>
      <c r="I284" s="1229">
        <f>H284/E284</f>
        <v>0.72222222222222221</v>
      </c>
      <c r="J284" s="1226">
        <f>E284-H284</f>
        <v>5</v>
      </c>
      <c r="K284" s="1229">
        <f>1-I284</f>
        <v>0.27777777777777779</v>
      </c>
    </row>
    <row r="285" spans="2:11" x14ac:dyDescent="0.3">
      <c r="B285" s="5301"/>
      <c r="C285" s="5301"/>
      <c r="D285" s="5301"/>
      <c r="E285" s="5301"/>
      <c r="F285" s="5301"/>
      <c r="G285" s="5301"/>
      <c r="H285" s="5301"/>
      <c r="I285" s="5301"/>
      <c r="J285" s="5301"/>
      <c r="K285" s="5301"/>
    </row>
    <row r="286" spans="2:11" x14ac:dyDescent="0.3">
      <c r="B286" s="5789" t="s">
        <v>7</v>
      </c>
      <c r="C286" s="5789"/>
      <c r="D286" s="1227">
        <f>SUM(D264,D274,D284,D269,D279)</f>
        <v>76</v>
      </c>
      <c r="E286" s="1227">
        <f>SUM(E264,E274,E284,E269,E279)</f>
        <v>65</v>
      </c>
      <c r="F286" s="1226">
        <f>SUM(F264,F274,F284,F269,F279)</f>
        <v>14</v>
      </c>
      <c r="G286" s="1228">
        <f>SUM(G264,G274,G284,G269,G279)</f>
        <v>36</v>
      </c>
      <c r="H286" s="1228">
        <f>SUM(H264,H274,H284,H269,H279)</f>
        <v>50</v>
      </c>
      <c r="I286" s="1229">
        <f>H286/E286</f>
        <v>0.76923076923076927</v>
      </c>
      <c r="J286" s="1226">
        <f>E286-H286</f>
        <v>15</v>
      </c>
      <c r="K286" s="1229">
        <f>1-I286</f>
        <v>0.23076923076923073</v>
      </c>
    </row>
    <row r="290" spans="2:11" ht="15" customHeight="1" x14ac:dyDescent="0.3">
      <c r="B290" s="5790" t="s">
        <v>27</v>
      </c>
      <c r="C290" s="5790" t="s">
        <v>10</v>
      </c>
      <c r="D290" s="5791" t="s">
        <v>291</v>
      </c>
      <c r="E290" s="5791" t="s">
        <v>277</v>
      </c>
      <c r="F290" s="5772" t="s">
        <v>292</v>
      </c>
      <c r="G290" s="5773"/>
      <c r="H290" s="5773"/>
      <c r="I290" s="5774"/>
      <c r="J290" s="5311"/>
    </row>
    <row r="291" spans="2:11" x14ac:dyDescent="0.3">
      <c r="B291" s="5790"/>
      <c r="C291" s="5790"/>
      <c r="D291" s="5791"/>
      <c r="E291" s="5791"/>
      <c r="F291" s="5292" t="s">
        <v>282</v>
      </c>
      <c r="G291" s="5292" t="s">
        <v>275</v>
      </c>
      <c r="H291" s="1238" t="s">
        <v>48</v>
      </c>
      <c r="I291" s="5292" t="s">
        <v>272</v>
      </c>
      <c r="J291" s="5775" t="s">
        <v>270</v>
      </c>
      <c r="K291" s="5776"/>
    </row>
    <row r="292" spans="2:11" x14ac:dyDescent="0.3">
      <c r="B292" s="1111"/>
      <c r="C292" s="1111"/>
      <c r="D292" s="1111"/>
      <c r="E292" s="1111"/>
      <c r="F292" s="1111"/>
      <c r="G292" s="1111"/>
      <c r="H292" s="1111"/>
      <c r="I292" s="1111"/>
      <c r="J292" s="1111"/>
    </row>
    <row r="293" spans="2:11" ht="12.75" customHeight="1" x14ac:dyDescent="0.3">
      <c r="B293" s="5803" t="s">
        <v>286</v>
      </c>
      <c r="C293" s="1216" t="s">
        <v>59</v>
      </c>
      <c r="D293" s="1217">
        <v>10</v>
      </c>
      <c r="E293" s="1218">
        <v>10</v>
      </c>
      <c r="F293" s="1217"/>
      <c r="G293" s="1218">
        <v>10</v>
      </c>
      <c r="H293" s="1217">
        <f>SUM(F293:G293)</f>
        <v>10</v>
      </c>
      <c r="I293" s="1219">
        <f>H293/E293</f>
        <v>1</v>
      </c>
      <c r="J293" s="1216">
        <f>E293-H293</f>
        <v>0</v>
      </c>
      <c r="K293" s="1219">
        <f>1-I293</f>
        <v>0</v>
      </c>
    </row>
    <row r="294" spans="2:11" ht="12.75" customHeight="1" x14ac:dyDescent="0.3">
      <c r="B294" s="5804"/>
      <c r="C294" s="1220" t="s">
        <v>64</v>
      </c>
      <c r="D294" s="1221">
        <v>4</v>
      </c>
      <c r="E294" s="1120">
        <v>4</v>
      </c>
      <c r="F294" s="1221"/>
      <c r="G294" s="1120">
        <v>3</v>
      </c>
      <c r="H294" s="1221">
        <f>SUM(F294:G294)</f>
        <v>3</v>
      </c>
      <c r="I294" s="1122">
        <f>H294/E294</f>
        <v>0.75</v>
      </c>
      <c r="J294" s="1220">
        <f t="shared" ref="J294:J318" si="11">E294-H294</f>
        <v>1</v>
      </c>
      <c r="K294" s="1122">
        <f>1-I294</f>
        <v>0.25</v>
      </c>
    </row>
    <row r="295" spans="2:11" ht="12.75" customHeight="1" x14ac:dyDescent="0.3">
      <c r="B295" s="5804"/>
      <c r="C295" s="1222" t="s">
        <v>68</v>
      </c>
      <c r="D295" s="1223">
        <v>3</v>
      </c>
      <c r="E295" s="1224">
        <v>3</v>
      </c>
      <c r="F295" s="1223"/>
      <c r="G295" s="1224">
        <v>3</v>
      </c>
      <c r="H295" s="1223">
        <f>SUM(F295:G295)</f>
        <v>3</v>
      </c>
      <c r="I295" s="1225">
        <f>H295/E295</f>
        <v>1</v>
      </c>
      <c r="J295" s="1222">
        <f t="shared" si="11"/>
        <v>0</v>
      </c>
      <c r="K295" s="1225">
        <f>1-I295</f>
        <v>0</v>
      </c>
    </row>
    <row r="296" spans="2:11" ht="12.75" customHeight="1" x14ac:dyDescent="0.3">
      <c r="B296" s="5805"/>
      <c r="C296" s="1226" t="s">
        <v>279</v>
      </c>
      <c r="D296" s="1227">
        <f>SUM(D293:D295)</f>
        <v>17</v>
      </c>
      <c r="E296" s="1228">
        <f>SUM(E293:E295)</f>
        <v>17</v>
      </c>
      <c r="F296" s="1227">
        <f>SUM(F293:F295)</f>
        <v>0</v>
      </c>
      <c r="G296" s="1228">
        <f>SUM(G293:G295)</f>
        <v>16</v>
      </c>
      <c r="H296" s="1227">
        <f>SUM(F296:G296)</f>
        <v>16</v>
      </c>
      <c r="I296" s="1229">
        <f>H296/E296</f>
        <v>0.94117647058823528</v>
      </c>
      <c r="J296" s="1226">
        <f t="shared" si="11"/>
        <v>1</v>
      </c>
      <c r="K296" s="1229">
        <f>1-I296</f>
        <v>5.8823529411764719E-2</v>
      </c>
    </row>
    <row r="297" spans="2:11" ht="15" customHeight="1" x14ac:dyDescent="0.3">
      <c r="B297" s="5302"/>
      <c r="C297" s="5302"/>
      <c r="D297" s="5302"/>
      <c r="E297" s="5302"/>
      <c r="F297" s="5302"/>
      <c r="G297" s="5302"/>
      <c r="H297" s="5302"/>
      <c r="I297" s="5302"/>
      <c r="J297" s="5302"/>
      <c r="K297" s="5302"/>
    </row>
    <row r="298" spans="2:11" ht="12.75" customHeight="1" x14ac:dyDescent="0.3">
      <c r="B298" s="5793" t="s">
        <v>287</v>
      </c>
      <c r="C298" s="1216" t="s">
        <v>64</v>
      </c>
      <c r="D298" s="1217">
        <v>4</v>
      </c>
      <c r="E298" s="1218">
        <v>2</v>
      </c>
      <c r="F298" s="1217"/>
      <c r="G298" s="1218"/>
      <c r="H298" s="1217">
        <f>SUM(F298:G298)</f>
        <v>0</v>
      </c>
      <c r="I298" s="1219">
        <f>H298/E298</f>
        <v>0</v>
      </c>
      <c r="J298" s="1216">
        <f t="shared" si="11"/>
        <v>2</v>
      </c>
      <c r="K298" s="1219">
        <f>1-I298</f>
        <v>1</v>
      </c>
    </row>
    <row r="299" spans="2:11" ht="12.75" customHeight="1" x14ac:dyDescent="0.3">
      <c r="B299" s="5794"/>
      <c r="C299" s="1220" t="s">
        <v>111</v>
      </c>
      <c r="D299" s="1221">
        <v>3</v>
      </c>
      <c r="E299" s="1120">
        <v>1</v>
      </c>
      <c r="F299" s="1221"/>
      <c r="G299" s="1120"/>
      <c r="H299" s="1221">
        <f>SUM(F299:G299)</f>
        <v>0</v>
      </c>
      <c r="I299" s="1122">
        <f>H299/E299</f>
        <v>0</v>
      </c>
      <c r="J299" s="1220">
        <f t="shared" si="11"/>
        <v>1</v>
      </c>
      <c r="K299" s="1122">
        <f>1-I299</f>
        <v>1</v>
      </c>
    </row>
    <row r="300" spans="2:11" ht="12.75" customHeight="1" x14ac:dyDescent="0.3">
      <c r="B300" s="5794"/>
      <c r="C300" s="1222" t="s">
        <v>115</v>
      </c>
      <c r="D300" s="1223">
        <v>4</v>
      </c>
      <c r="E300" s="1224">
        <v>2</v>
      </c>
      <c r="F300" s="1223"/>
      <c r="G300" s="1224"/>
      <c r="H300" s="1223">
        <f>SUM(F300:G300)</f>
        <v>0</v>
      </c>
      <c r="I300" s="1225">
        <f>H300/E300</f>
        <v>0</v>
      </c>
      <c r="J300" s="1222">
        <f t="shared" si="11"/>
        <v>2</v>
      </c>
      <c r="K300" s="1225">
        <f>1-I300</f>
        <v>1</v>
      </c>
    </row>
    <row r="301" spans="2:11" ht="12.75" customHeight="1" x14ac:dyDescent="0.3">
      <c r="B301" s="5795"/>
      <c r="C301" s="1226" t="s">
        <v>279</v>
      </c>
      <c r="D301" s="1227">
        <f>SUM(D298:D300)</f>
        <v>11</v>
      </c>
      <c r="E301" s="1228">
        <f>SUM(E298:E300)</f>
        <v>5</v>
      </c>
      <c r="F301" s="1227">
        <f>SUM(F298:F300)</f>
        <v>0</v>
      </c>
      <c r="G301" s="1228">
        <f>SUM(G298:G300)</f>
        <v>0</v>
      </c>
      <c r="H301" s="1227">
        <f>SUM(F301:G301)</f>
        <v>0</v>
      </c>
      <c r="I301" s="1229">
        <f>H301/E301</f>
        <v>0</v>
      </c>
      <c r="J301" s="1226">
        <f t="shared" si="11"/>
        <v>5</v>
      </c>
      <c r="K301" s="1229">
        <f>1-I301</f>
        <v>1</v>
      </c>
    </row>
    <row r="302" spans="2:11" x14ac:dyDescent="0.3">
      <c r="B302" s="1211"/>
      <c r="C302" s="1136"/>
      <c r="D302" s="1136"/>
      <c r="E302" s="1136"/>
      <c r="F302" s="1136"/>
      <c r="G302" s="5301"/>
      <c r="H302" s="5301"/>
      <c r="I302" s="5301"/>
      <c r="K302" s="5301"/>
    </row>
    <row r="303" spans="2:11" ht="12.75" customHeight="1" x14ac:dyDescent="0.3">
      <c r="B303" s="5780" t="s">
        <v>288</v>
      </c>
      <c r="C303" s="1216" t="s">
        <v>59</v>
      </c>
      <c r="D303" s="1217">
        <v>9</v>
      </c>
      <c r="E303" s="1218">
        <v>9</v>
      </c>
      <c r="F303" s="1217">
        <v>3</v>
      </c>
      <c r="G303" s="1218">
        <v>5</v>
      </c>
      <c r="H303" s="1217">
        <f>SUM(F303:G303)</f>
        <v>8</v>
      </c>
      <c r="I303" s="1219">
        <f>H303/E303</f>
        <v>0.88888888888888884</v>
      </c>
      <c r="J303" s="1216">
        <f t="shared" si="11"/>
        <v>1</v>
      </c>
      <c r="K303" s="1219">
        <f>1-I303</f>
        <v>0.11111111111111116</v>
      </c>
    </row>
    <row r="304" spans="2:11" ht="12.75" customHeight="1" x14ac:dyDescent="0.3">
      <c r="B304" s="5781"/>
      <c r="C304" s="1220" t="s">
        <v>64</v>
      </c>
      <c r="D304" s="1221">
        <v>11</v>
      </c>
      <c r="E304" s="1120">
        <v>11</v>
      </c>
      <c r="F304" s="1221">
        <v>6</v>
      </c>
      <c r="G304" s="1120">
        <v>3</v>
      </c>
      <c r="H304" s="1221">
        <f>SUM(F304:G304)</f>
        <v>9</v>
      </c>
      <c r="I304" s="1122">
        <f>H304/E304</f>
        <v>0.81818181818181823</v>
      </c>
      <c r="J304" s="1220">
        <f t="shared" si="11"/>
        <v>2</v>
      </c>
      <c r="K304" s="1122">
        <f>1-I304</f>
        <v>0.18181818181818177</v>
      </c>
    </row>
    <row r="305" spans="2:11" ht="12.75" customHeight="1" x14ac:dyDescent="0.3">
      <c r="B305" s="5781"/>
      <c r="C305" s="1222" t="s">
        <v>92</v>
      </c>
      <c r="D305" s="1223">
        <v>6</v>
      </c>
      <c r="E305" s="1224">
        <v>6</v>
      </c>
      <c r="F305" s="1223">
        <v>3</v>
      </c>
      <c r="G305" s="1224">
        <v>2</v>
      </c>
      <c r="H305" s="1223">
        <f>SUM(F305:G305)</f>
        <v>5</v>
      </c>
      <c r="I305" s="1225">
        <f>H305/E305</f>
        <v>0.83333333333333337</v>
      </c>
      <c r="J305" s="1222">
        <f t="shared" si="11"/>
        <v>1</v>
      </c>
      <c r="K305" s="1225">
        <f>1-I305</f>
        <v>0.16666666666666663</v>
      </c>
    </row>
    <row r="306" spans="2:11" ht="12.75" customHeight="1" x14ac:dyDescent="0.3">
      <c r="B306" s="5782"/>
      <c r="C306" s="1226" t="s">
        <v>279</v>
      </c>
      <c r="D306" s="1227">
        <f>SUM(D303:D305)</f>
        <v>26</v>
      </c>
      <c r="E306" s="1228">
        <f>SUM(E303:E305)</f>
        <v>26</v>
      </c>
      <c r="F306" s="1227">
        <f>SUM(F303:F305)</f>
        <v>12</v>
      </c>
      <c r="G306" s="1228">
        <f>SUM(G303:G305)</f>
        <v>10</v>
      </c>
      <c r="H306" s="1227">
        <f>SUM(F306:G306)</f>
        <v>22</v>
      </c>
      <c r="I306" s="1229">
        <f>H306/E306</f>
        <v>0.84615384615384615</v>
      </c>
      <c r="J306" s="1226">
        <f t="shared" si="11"/>
        <v>4</v>
      </c>
      <c r="K306" s="1229">
        <f>1-I306</f>
        <v>0.15384615384615385</v>
      </c>
    </row>
    <row r="307" spans="2:11" x14ac:dyDescent="0.3">
      <c r="B307" s="1239"/>
      <c r="C307" s="1144"/>
      <c r="D307" s="1136"/>
      <c r="E307" s="1136"/>
      <c r="F307" s="1136"/>
      <c r="G307" s="5301"/>
      <c r="H307" s="5301"/>
      <c r="I307" s="5301"/>
      <c r="J307" s="5301"/>
      <c r="K307" s="5301"/>
    </row>
    <row r="308" spans="2:11" ht="12.75" customHeight="1" x14ac:dyDescent="0.3">
      <c r="B308" s="5796" t="s">
        <v>289</v>
      </c>
      <c r="C308" s="1216" t="s">
        <v>59</v>
      </c>
      <c r="D308" s="1217">
        <v>1</v>
      </c>
      <c r="E308" s="1218"/>
      <c r="F308" s="1217"/>
      <c r="G308" s="1218"/>
      <c r="H308" s="1217">
        <f>SUM(F308:G308)</f>
        <v>0</v>
      </c>
      <c r="I308" s="1219"/>
      <c r="J308" s="1216">
        <f t="shared" si="11"/>
        <v>0</v>
      </c>
      <c r="K308" s="1219"/>
    </row>
    <row r="309" spans="2:11" ht="12.75" customHeight="1" x14ac:dyDescent="0.3">
      <c r="B309" s="5797"/>
      <c r="C309" s="1220" t="s">
        <v>64</v>
      </c>
      <c r="D309" s="1221">
        <v>2</v>
      </c>
      <c r="E309" s="1120"/>
      <c r="F309" s="1221"/>
      <c r="G309" s="1120"/>
      <c r="H309" s="1221">
        <f>SUM(F309:G309)</f>
        <v>0</v>
      </c>
      <c r="I309" s="1122"/>
      <c r="J309" s="1220">
        <f t="shared" si="11"/>
        <v>0</v>
      </c>
      <c r="K309" s="1122"/>
    </row>
    <row r="310" spans="2:11" ht="12.75" customHeight="1" x14ac:dyDescent="0.3">
      <c r="B310" s="5797"/>
      <c r="C310" s="1222" t="s">
        <v>92</v>
      </c>
      <c r="D310" s="1223">
        <v>1</v>
      </c>
      <c r="E310" s="1224"/>
      <c r="F310" s="1223"/>
      <c r="G310" s="1224"/>
      <c r="H310" s="1223">
        <f>SUM(F310:G310)</f>
        <v>0</v>
      </c>
      <c r="I310" s="1225"/>
      <c r="J310" s="1222">
        <f t="shared" si="11"/>
        <v>0</v>
      </c>
      <c r="K310" s="1225"/>
    </row>
    <row r="311" spans="2:11" x14ac:dyDescent="0.3">
      <c r="B311" s="5798"/>
      <c r="C311" s="5334" t="s">
        <v>279</v>
      </c>
      <c r="D311" s="5291">
        <f>SUM(D308:D310)</f>
        <v>4</v>
      </c>
      <c r="E311" s="5335">
        <f>SUM(E308:E310)</f>
        <v>0</v>
      </c>
      <c r="F311" s="5291">
        <f>SUM(F308:F310)</f>
        <v>0</v>
      </c>
      <c r="G311" s="5335">
        <f>SUM(G308:G310)</f>
        <v>0</v>
      </c>
      <c r="H311" s="5291">
        <f>SUM(F311:G311)</f>
        <v>0</v>
      </c>
      <c r="I311" s="5337"/>
      <c r="J311" s="1226">
        <f t="shared" si="11"/>
        <v>0</v>
      </c>
      <c r="K311" s="5337"/>
    </row>
    <row r="312" spans="2:11" x14ac:dyDescent="0.3">
      <c r="B312" s="1240"/>
      <c r="C312" s="5301"/>
      <c r="D312" s="5301"/>
      <c r="E312" s="5301"/>
      <c r="F312" s="5301"/>
      <c r="G312" s="5301"/>
      <c r="H312" s="5301"/>
      <c r="I312" s="5301"/>
      <c r="K312" s="5301"/>
    </row>
    <row r="313" spans="2:11" ht="12.75" customHeight="1" x14ac:dyDescent="0.3">
      <c r="B313" s="5783" t="s">
        <v>290</v>
      </c>
      <c r="C313" s="1216" t="s">
        <v>64</v>
      </c>
      <c r="D313" s="1217">
        <v>6</v>
      </c>
      <c r="E313" s="1218">
        <v>6</v>
      </c>
      <c r="F313" s="1217"/>
      <c r="G313" s="1218">
        <v>5</v>
      </c>
      <c r="H313" s="1217">
        <f>SUM(F313:G313)</f>
        <v>5</v>
      </c>
      <c r="I313" s="1219">
        <f>H313/E313</f>
        <v>0.83333333333333337</v>
      </c>
      <c r="J313" s="1216">
        <f t="shared" si="11"/>
        <v>1</v>
      </c>
      <c r="K313" s="1219">
        <f>1-I313</f>
        <v>0.16666666666666663</v>
      </c>
    </row>
    <row r="314" spans="2:11" ht="12.75" customHeight="1" x14ac:dyDescent="0.3">
      <c r="B314" s="5784"/>
      <c r="C314" s="1220" t="s">
        <v>92</v>
      </c>
      <c r="D314" s="1221">
        <v>8</v>
      </c>
      <c r="E314" s="1120">
        <v>8</v>
      </c>
      <c r="F314" s="1221">
        <v>1</v>
      </c>
      <c r="G314" s="1120">
        <v>5</v>
      </c>
      <c r="H314" s="1221">
        <f>SUM(F314:G314)</f>
        <v>6</v>
      </c>
      <c r="I314" s="1122">
        <f>H314/E314</f>
        <v>0.75</v>
      </c>
      <c r="J314" s="1220">
        <f t="shared" si="11"/>
        <v>2</v>
      </c>
      <c r="K314" s="1122">
        <f>1-I314</f>
        <v>0.25</v>
      </c>
    </row>
    <row r="315" spans="2:11" ht="12.75" customHeight="1" x14ac:dyDescent="0.3">
      <c r="B315" s="5784"/>
      <c r="C315" s="1222" t="s">
        <v>68</v>
      </c>
      <c r="D315" s="1223">
        <v>4</v>
      </c>
      <c r="E315" s="1224">
        <v>4</v>
      </c>
      <c r="F315" s="1223">
        <v>2</v>
      </c>
      <c r="G315" s="1224">
        <v>1</v>
      </c>
      <c r="H315" s="1223">
        <f>SUM(F315:G315)</f>
        <v>3</v>
      </c>
      <c r="I315" s="1225">
        <f>H315/E315</f>
        <v>0.75</v>
      </c>
      <c r="J315" s="1222">
        <f t="shared" si="11"/>
        <v>1</v>
      </c>
      <c r="K315" s="1225">
        <f>1-I315</f>
        <v>0.25</v>
      </c>
    </row>
    <row r="316" spans="2:11" ht="12.75" customHeight="1" x14ac:dyDescent="0.3">
      <c r="B316" s="5785"/>
      <c r="C316" s="1226" t="s">
        <v>279</v>
      </c>
      <c r="D316" s="1227">
        <f>SUM(D313:D315)</f>
        <v>18</v>
      </c>
      <c r="E316" s="1228">
        <f>SUM(E313:E315)</f>
        <v>18</v>
      </c>
      <c r="F316" s="1227">
        <f>SUM(F313:F315)</f>
        <v>3</v>
      </c>
      <c r="G316" s="1228">
        <f>SUM(G313:G315)</f>
        <v>11</v>
      </c>
      <c r="H316" s="1227">
        <f>SUM(F316:G316)</f>
        <v>14</v>
      </c>
      <c r="I316" s="1229">
        <f>H316/E316</f>
        <v>0.77777777777777779</v>
      </c>
      <c r="J316" s="1226">
        <f t="shared" si="11"/>
        <v>4</v>
      </c>
      <c r="K316" s="1229">
        <f>1-I316</f>
        <v>0.22222222222222221</v>
      </c>
    </row>
    <row r="317" spans="2:11" x14ac:dyDescent="0.3">
      <c r="B317" s="5301"/>
      <c r="C317" s="5301"/>
      <c r="D317" s="5301"/>
      <c r="E317" s="5301"/>
      <c r="F317" s="5301"/>
      <c r="G317" s="5301"/>
      <c r="H317" s="5301"/>
      <c r="I317" s="5301"/>
      <c r="K317" s="5301"/>
    </row>
    <row r="318" spans="2:11" s="754" customFormat="1" ht="16.5" customHeight="1" x14ac:dyDescent="0.3">
      <c r="B318" s="5806" t="s">
        <v>7</v>
      </c>
      <c r="C318" s="5806"/>
      <c r="D318" s="5291">
        <f>SUM(D296,D306,D316,D301,D311)</f>
        <v>76</v>
      </c>
      <c r="E318" s="5291">
        <f>SUM(E296,E306,E316,E301,E311)</f>
        <v>66</v>
      </c>
      <c r="F318" s="1226">
        <f>SUM(F296,F306,F316,F301,F311)</f>
        <v>15</v>
      </c>
      <c r="G318" s="1228">
        <f>SUM(G296,G306,G316,G301,G311)</f>
        <v>37</v>
      </c>
      <c r="H318" s="1228">
        <f>SUM(H296,H306,H316,H301,H311)</f>
        <v>52</v>
      </c>
      <c r="I318" s="1229">
        <f>H318/E318</f>
        <v>0.78787878787878785</v>
      </c>
      <c r="J318" s="1226">
        <f t="shared" si="11"/>
        <v>14</v>
      </c>
      <c r="K318" s="1229">
        <f>1-I318</f>
        <v>0.21212121212121215</v>
      </c>
    </row>
    <row r="322" spans="2:11" ht="15" customHeight="1" x14ac:dyDescent="0.3">
      <c r="B322" s="5790" t="s">
        <v>27</v>
      </c>
      <c r="C322" s="5790" t="s">
        <v>10</v>
      </c>
      <c r="D322" s="5791" t="s">
        <v>293</v>
      </c>
      <c r="E322" s="5791" t="s">
        <v>277</v>
      </c>
      <c r="F322" s="5772" t="s">
        <v>294</v>
      </c>
      <c r="G322" s="5773"/>
      <c r="H322" s="5773"/>
      <c r="I322" s="5774"/>
      <c r="J322" s="5311"/>
    </row>
    <row r="323" spans="2:11" x14ac:dyDescent="0.3">
      <c r="B323" s="5790"/>
      <c r="C323" s="5790"/>
      <c r="D323" s="5791"/>
      <c r="E323" s="5791"/>
      <c r="F323" s="5292" t="s">
        <v>282</v>
      </c>
      <c r="G323" s="5292" t="s">
        <v>275</v>
      </c>
      <c r="H323" s="1238" t="s">
        <v>48</v>
      </c>
      <c r="I323" s="5292" t="s">
        <v>272</v>
      </c>
      <c r="J323" s="5775" t="s">
        <v>270</v>
      </c>
      <c r="K323" s="5776"/>
    </row>
    <row r="324" spans="2:11" x14ac:dyDescent="0.3">
      <c r="B324" s="1111"/>
      <c r="C324" s="1111"/>
      <c r="D324" s="1111"/>
      <c r="E324" s="1111"/>
      <c r="F324" s="1111"/>
      <c r="G324" s="1111"/>
      <c r="H324" s="1111"/>
      <c r="I324" s="1111"/>
      <c r="J324" s="1111"/>
    </row>
    <row r="325" spans="2:11" ht="12.75" customHeight="1" x14ac:dyDescent="0.3">
      <c r="B325" s="5803" t="s">
        <v>286</v>
      </c>
      <c r="C325" s="1216" t="s">
        <v>59</v>
      </c>
      <c r="D325" s="1217">
        <v>10</v>
      </c>
      <c r="E325" s="1218">
        <v>10</v>
      </c>
      <c r="F325" s="1217"/>
      <c r="G325" s="1218">
        <v>10</v>
      </c>
      <c r="H325" s="1217">
        <f>SUM(F325:G325)</f>
        <v>10</v>
      </c>
      <c r="I325" s="1219">
        <f>H325/E325</f>
        <v>1</v>
      </c>
      <c r="J325" s="1216">
        <f>E325-H325</f>
        <v>0</v>
      </c>
      <c r="K325" s="1219">
        <f>1-I325</f>
        <v>0</v>
      </c>
    </row>
    <row r="326" spans="2:11" ht="12.75" customHeight="1" x14ac:dyDescent="0.3">
      <c r="B326" s="5804"/>
      <c r="C326" s="1220" t="s">
        <v>64</v>
      </c>
      <c r="D326" s="1221">
        <v>4</v>
      </c>
      <c r="E326" s="1120">
        <v>4</v>
      </c>
      <c r="F326" s="1221"/>
      <c r="G326" s="1120">
        <v>3</v>
      </c>
      <c r="H326" s="1221">
        <f>SUM(F326:G326)</f>
        <v>3</v>
      </c>
      <c r="I326" s="1122">
        <f>H326/E326</f>
        <v>0.75</v>
      </c>
      <c r="J326" s="1220">
        <f t="shared" ref="J326:J350" si="12">E326-H326</f>
        <v>1</v>
      </c>
      <c r="K326" s="1122">
        <f>1-I326</f>
        <v>0.25</v>
      </c>
    </row>
    <row r="327" spans="2:11" ht="12.75" customHeight="1" x14ac:dyDescent="0.3">
      <c r="B327" s="5804"/>
      <c r="C327" s="1222" t="s">
        <v>68</v>
      </c>
      <c r="D327" s="1223">
        <v>3</v>
      </c>
      <c r="E327" s="1224">
        <v>3</v>
      </c>
      <c r="F327" s="1223"/>
      <c r="G327" s="1224">
        <v>3</v>
      </c>
      <c r="H327" s="1223">
        <f>SUM(F327:G327)</f>
        <v>3</v>
      </c>
      <c r="I327" s="1225">
        <f>H327/E327</f>
        <v>1</v>
      </c>
      <c r="J327" s="1222">
        <f t="shared" si="12"/>
        <v>0</v>
      </c>
      <c r="K327" s="1225">
        <f>1-I327</f>
        <v>0</v>
      </c>
    </row>
    <row r="328" spans="2:11" ht="12.75" customHeight="1" x14ac:dyDescent="0.3">
      <c r="B328" s="5805"/>
      <c r="C328" s="1226" t="s">
        <v>279</v>
      </c>
      <c r="D328" s="1227">
        <f>SUM(D325:D327)</f>
        <v>17</v>
      </c>
      <c r="E328" s="1228">
        <f>SUM(E325:E327)</f>
        <v>17</v>
      </c>
      <c r="F328" s="1227">
        <f>SUM(F325:F327)</f>
        <v>0</v>
      </c>
      <c r="G328" s="1228">
        <f>SUM(G325:G327)</f>
        <v>16</v>
      </c>
      <c r="H328" s="1227">
        <f>SUM(F328:G328)</f>
        <v>16</v>
      </c>
      <c r="I328" s="1229">
        <f>H328/E328</f>
        <v>0.94117647058823528</v>
      </c>
      <c r="J328" s="1226">
        <f t="shared" si="12"/>
        <v>1</v>
      </c>
      <c r="K328" s="1229">
        <f>1-I328</f>
        <v>5.8823529411764719E-2</v>
      </c>
    </row>
    <row r="329" spans="2:11" x14ac:dyDescent="0.3">
      <c r="B329" s="5302"/>
      <c r="C329" s="5302"/>
      <c r="D329" s="5302"/>
      <c r="E329" s="5302"/>
      <c r="F329" s="5302"/>
      <c r="G329" s="5302"/>
      <c r="H329" s="5302"/>
      <c r="I329" s="5302"/>
      <c r="J329" s="5302"/>
      <c r="K329" s="5302"/>
    </row>
    <row r="330" spans="2:11" ht="12.75" customHeight="1" x14ac:dyDescent="0.3">
      <c r="B330" s="5793" t="s">
        <v>287</v>
      </c>
      <c r="C330" s="1216" t="s">
        <v>64</v>
      </c>
      <c r="D330" s="1217">
        <v>4</v>
      </c>
      <c r="E330" s="1218">
        <v>2</v>
      </c>
      <c r="F330" s="1217"/>
      <c r="G330" s="1218"/>
      <c r="H330" s="1217">
        <f>SUM(F330:G330)</f>
        <v>0</v>
      </c>
      <c r="I330" s="1219">
        <f>H330/E330</f>
        <v>0</v>
      </c>
      <c r="J330" s="1216">
        <f t="shared" si="12"/>
        <v>2</v>
      </c>
      <c r="K330" s="1219">
        <f>1-I330</f>
        <v>1</v>
      </c>
    </row>
    <row r="331" spans="2:11" ht="12.75" customHeight="1" x14ac:dyDescent="0.3">
      <c r="B331" s="5794"/>
      <c r="C331" s="1220" t="s">
        <v>111</v>
      </c>
      <c r="D331" s="1221">
        <v>3</v>
      </c>
      <c r="E331" s="1120">
        <v>1</v>
      </c>
      <c r="F331" s="1221"/>
      <c r="G331" s="1120"/>
      <c r="H331" s="1221">
        <f>SUM(F331:G331)</f>
        <v>0</v>
      </c>
      <c r="I331" s="1122">
        <f>H331/E331</f>
        <v>0</v>
      </c>
      <c r="J331" s="1220">
        <f t="shared" si="12"/>
        <v>1</v>
      </c>
      <c r="K331" s="1122">
        <f>1-I331</f>
        <v>1</v>
      </c>
    </row>
    <row r="332" spans="2:11" ht="12.75" customHeight="1" x14ac:dyDescent="0.3">
      <c r="B332" s="5794"/>
      <c r="C332" s="1222" t="s">
        <v>115</v>
      </c>
      <c r="D332" s="1223">
        <v>4</v>
      </c>
      <c r="E332" s="1224">
        <v>2</v>
      </c>
      <c r="F332" s="1223">
        <v>1</v>
      </c>
      <c r="G332" s="1224"/>
      <c r="H332" s="1223">
        <f>SUM(F332:G332)</f>
        <v>1</v>
      </c>
      <c r="I332" s="1225">
        <f>H332/E332</f>
        <v>0.5</v>
      </c>
      <c r="J332" s="1222">
        <f t="shared" si="12"/>
        <v>1</v>
      </c>
      <c r="K332" s="1225">
        <f>1-I332</f>
        <v>0.5</v>
      </c>
    </row>
    <row r="333" spans="2:11" ht="12.75" customHeight="1" x14ac:dyDescent="0.3">
      <c r="B333" s="5795"/>
      <c r="C333" s="1226" t="s">
        <v>279</v>
      </c>
      <c r="D333" s="1227">
        <f>SUM(D330:D332)</f>
        <v>11</v>
      </c>
      <c r="E333" s="1228">
        <f>SUM(E330:E332)</f>
        <v>5</v>
      </c>
      <c r="F333" s="1227">
        <f>SUM(F330:F332)</f>
        <v>1</v>
      </c>
      <c r="G333" s="1228">
        <f>SUM(G330:G332)</f>
        <v>0</v>
      </c>
      <c r="H333" s="1227">
        <f>SUM(F333:G333)</f>
        <v>1</v>
      </c>
      <c r="I333" s="1229">
        <f>H333/E333</f>
        <v>0.2</v>
      </c>
      <c r="J333" s="1226">
        <f t="shared" si="12"/>
        <v>4</v>
      </c>
      <c r="K333" s="1229">
        <f>1-I333</f>
        <v>0.8</v>
      </c>
    </row>
    <row r="334" spans="2:11" x14ac:dyDescent="0.3">
      <c r="B334" s="1211"/>
      <c r="C334" s="1136"/>
      <c r="D334" s="1136"/>
      <c r="E334" s="1136"/>
      <c r="F334" s="1136"/>
      <c r="G334" s="5301"/>
      <c r="H334" s="5301"/>
      <c r="I334" s="5301"/>
      <c r="K334" s="5301"/>
    </row>
    <row r="335" spans="2:11" ht="12.75" customHeight="1" x14ac:dyDescent="0.3">
      <c r="B335" s="5780" t="s">
        <v>288</v>
      </c>
      <c r="C335" s="1216" t="s">
        <v>59</v>
      </c>
      <c r="D335" s="1217">
        <v>9</v>
      </c>
      <c r="E335" s="1218">
        <v>9</v>
      </c>
      <c r="F335" s="1217">
        <v>3</v>
      </c>
      <c r="G335" s="1218">
        <v>5</v>
      </c>
      <c r="H335" s="1217">
        <f>SUM(F335:G335)</f>
        <v>8</v>
      </c>
      <c r="I335" s="1219">
        <f>H335/E335</f>
        <v>0.88888888888888884</v>
      </c>
      <c r="J335" s="1216">
        <f t="shared" si="12"/>
        <v>1</v>
      </c>
      <c r="K335" s="1219">
        <f>1-I335</f>
        <v>0.11111111111111116</v>
      </c>
    </row>
    <row r="336" spans="2:11" ht="12.75" customHeight="1" x14ac:dyDescent="0.3">
      <c r="B336" s="5781"/>
      <c r="C336" s="1220" t="s">
        <v>64</v>
      </c>
      <c r="D336" s="1221">
        <v>11</v>
      </c>
      <c r="E336" s="1120">
        <v>11</v>
      </c>
      <c r="F336" s="1221">
        <v>6</v>
      </c>
      <c r="G336" s="1120">
        <v>3</v>
      </c>
      <c r="H336" s="1221">
        <f>SUM(F336:G336)</f>
        <v>9</v>
      </c>
      <c r="I336" s="1122">
        <f>H336/E336</f>
        <v>0.81818181818181823</v>
      </c>
      <c r="J336" s="1220">
        <f t="shared" si="12"/>
        <v>2</v>
      </c>
      <c r="K336" s="1122">
        <f>1-I336</f>
        <v>0.18181818181818177</v>
      </c>
    </row>
    <row r="337" spans="2:11" ht="12.75" customHeight="1" x14ac:dyDescent="0.3">
      <c r="B337" s="5781"/>
      <c r="C337" s="1222" t="s">
        <v>92</v>
      </c>
      <c r="D337" s="1223">
        <v>6</v>
      </c>
      <c r="E337" s="1224">
        <v>6</v>
      </c>
      <c r="F337" s="1223">
        <v>3</v>
      </c>
      <c r="G337" s="1224">
        <v>2</v>
      </c>
      <c r="H337" s="1223">
        <f>SUM(F337:G337)</f>
        <v>5</v>
      </c>
      <c r="I337" s="1225">
        <f>H337/E337</f>
        <v>0.83333333333333337</v>
      </c>
      <c r="J337" s="1222">
        <f t="shared" si="12"/>
        <v>1</v>
      </c>
      <c r="K337" s="1225">
        <f>1-I337</f>
        <v>0.16666666666666663</v>
      </c>
    </row>
    <row r="338" spans="2:11" ht="12.75" customHeight="1" x14ac:dyDescent="0.3">
      <c r="B338" s="5782"/>
      <c r="C338" s="1226" t="s">
        <v>279</v>
      </c>
      <c r="D338" s="1227">
        <f>SUM(D335:D337)</f>
        <v>26</v>
      </c>
      <c r="E338" s="1228">
        <f>SUM(E335:E337)</f>
        <v>26</v>
      </c>
      <c r="F338" s="1227">
        <f>SUM(F335:F337)</f>
        <v>12</v>
      </c>
      <c r="G338" s="1228">
        <f>SUM(G335:G337)</f>
        <v>10</v>
      </c>
      <c r="H338" s="1227">
        <f>SUM(F338:G338)</f>
        <v>22</v>
      </c>
      <c r="I338" s="1229">
        <f>H338/E338</f>
        <v>0.84615384615384615</v>
      </c>
      <c r="J338" s="1226">
        <f t="shared" si="12"/>
        <v>4</v>
      </c>
      <c r="K338" s="1229">
        <f>1-I338</f>
        <v>0.15384615384615385</v>
      </c>
    </row>
    <row r="339" spans="2:11" ht="15" customHeight="1" x14ac:dyDescent="0.3">
      <c r="B339" s="1239"/>
      <c r="C339" s="1144"/>
      <c r="D339" s="1136"/>
      <c r="E339" s="1136"/>
      <c r="F339" s="1136"/>
      <c r="G339" s="5301"/>
      <c r="H339" s="5301"/>
      <c r="I339" s="5301"/>
      <c r="J339" s="5301"/>
      <c r="K339" s="5301"/>
    </row>
    <row r="340" spans="2:11" ht="12.75" customHeight="1" x14ac:dyDescent="0.3">
      <c r="B340" s="5796" t="s">
        <v>289</v>
      </c>
      <c r="C340" s="1216" t="s">
        <v>59</v>
      </c>
      <c r="D340" s="1217">
        <v>1</v>
      </c>
      <c r="E340" s="1218"/>
      <c r="F340" s="1217"/>
      <c r="G340" s="1218"/>
      <c r="H340" s="1217">
        <f>SUM(F340:G340)</f>
        <v>0</v>
      </c>
      <c r="I340" s="1219"/>
      <c r="J340" s="1216">
        <f t="shared" si="12"/>
        <v>0</v>
      </c>
      <c r="K340" s="1219"/>
    </row>
    <row r="341" spans="2:11" ht="12.75" customHeight="1" x14ac:dyDescent="0.3">
      <c r="B341" s="5797"/>
      <c r="C341" s="1220" t="s">
        <v>64</v>
      </c>
      <c r="D341" s="1221">
        <v>1</v>
      </c>
      <c r="E341" s="1120"/>
      <c r="F341" s="1221"/>
      <c r="G341" s="1120"/>
      <c r="H341" s="1221">
        <f>SUM(F341:G341)</f>
        <v>0</v>
      </c>
      <c r="I341" s="1122"/>
      <c r="J341" s="1220">
        <f t="shared" si="12"/>
        <v>0</v>
      </c>
      <c r="K341" s="1122"/>
    </row>
    <row r="342" spans="2:11" ht="12.75" customHeight="1" x14ac:dyDescent="0.3">
      <c r="B342" s="5797"/>
      <c r="C342" s="1222" t="s">
        <v>92</v>
      </c>
      <c r="D342" s="1223">
        <v>1</v>
      </c>
      <c r="E342" s="1224"/>
      <c r="F342" s="1223"/>
      <c r="G342" s="1224"/>
      <c r="H342" s="1223">
        <f>SUM(F342:G342)</f>
        <v>0</v>
      </c>
      <c r="I342" s="1225"/>
      <c r="J342" s="1222">
        <f t="shared" si="12"/>
        <v>0</v>
      </c>
      <c r="K342" s="1225"/>
    </row>
    <row r="343" spans="2:11" ht="12.75" customHeight="1" x14ac:dyDescent="0.3">
      <c r="B343" s="5798"/>
      <c r="C343" s="1226" t="s">
        <v>279</v>
      </c>
      <c r="D343" s="1227">
        <f>SUM(D340:D342)</f>
        <v>3</v>
      </c>
      <c r="E343" s="1228">
        <f>SUM(E340:E342)</f>
        <v>0</v>
      </c>
      <c r="F343" s="1227">
        <f>SUM(F340:F342)</f>
        <v>0</v>
      </c>
      <c r="G343" s="1228">
        <f>SUM(G340:G342)</f>
        <v>0</v>
      </c>
      <c r="H343" s="1227">
        <f>SUM(F343:G343)</f>
        <v>0</v>
      </c>
      <c r="I343" s="1229"/>
      <c r="J343" s="1226">
        <f t="shared" si="12"/>
        <v>0</v>
      </c>
      <c r="K343" s="1229"/>
    </row>
    <row r="344" spans="2:11" x14ac:dyDescent="0.3">
      <c r="B344" s="1240"/>
      <c r="C344" s="5301"/>
      <c r="D344" s="5301"/>
      <c r="E344" s="5301"/>
      <c r="F344" s="5301"/>
      <c r="G344" s="5301"/>
      <c r="H344" s="5301"/>
      <c r="I344" s="5301"/>
      <c r="K344" s="5301"/>
    </row>
    <row r="345" spans="2:11" ht="12.75" customHeight="1" x14ac:dyDescent="0.3">
      <c r="B345" s="5783" t="s">
        <v>290</v>
      </c>
      <c r="C345" s="1216" t="s">
        <v>64</v>
      </c>
      <c r="D345" s="1217">
        <v>6</v>
      </c>
      <c r="E345" s="1218">
        <v>6</v>
      </c>
      <c r="F345" s="1217"/>
      <c r="G345" s="1218">
        <v>6</v>
      </c>
      <c r="H345" s="1217">
        <f>SUM(F345:G345)</f>
        <v>6</v>
      </c>
      <c r="I345" s="1219">
        <f>H345/E345</f>
        <v>1</v>
      </c>
      <c r="J345" s="1216">
        <f t="shared" si="12"/>
        <v>0</v>
      </c>
      <c r="K345" s="1219">
        <f>1-I345</f>
        <v>0</v>
      </c>
    </row>
    <row r="346" spans="2:11" ht="12.75" customHeight="1" x14ac:dyDescent="0.3">
      <c r="B346" s="5784"/>
      <c r="C346" s="1220" t="s">
        <v>92</v>
      </c>
      <c r="D346" s="1221">
        <v>8</v>
      </c>
      <c r="E346" s="1120">
        <v>8</v>
      </c>
      <c r="F346" s="1221">
        <v>1</v>
      </c>
      <c r="G346" s="1120">
        <v>5</v>
      </c>
      <c r="H346" s="1221">
        <f>SUM(F346:G346)</f>
        <v>6</v>
      </c>
      <c r="I346" s="1122">
        <f>H346/E346</f>
        <v>0.75</v>
      </c>
      <c r="J346" s="1220">
        <f t="shared" si="12"/>
        <v>2</v>
      </c>
      <c r="K346" s="1122">
        <f>1-I346</f>
        <v>0.25</v>
      </c>
    </row>
    <row r="347" spans="2:11" ht="12.75" customHeight="1" x14ac:dyDescent="0.3">
      <c r="B347" s="5784"/>
      <c r="C347" s="1222" t="s">
        <v>68</v>
      </c>
      <c r="D347" s="1223">
        <v>4</v>
      </c>
      <c r="E347" s="1224">
        <v>4</v>
      </c>
      <c r="F347" s="1223">
        <v>2</v>
      </c>
      <c r="G347" s="1224">
        <v>1</v>
      </c>
      <c r="H347" s="1223">
        <f>SUM(F347:G347)</f>
        <v>3</v>
      </c>
      <c r="I347" s="1225">
        <f>H347/E347</f>
        <v>0.75</v>
      </c>
      <c r="J347" s="1222">
        <f t="shared" si="12"/>
        <v>1</v>
      </c>
      <c r="K347" s="1225">
        <f>1-I347</f>
        <v>0.25</v>
      </c>
    </row>
    <row r="348" spans="2:11" ht="12.75" customHeight="1" x14ac:dyDescent="0.3">
      <c r="B348" s="5785"/>
      <c r="C348" s="1226" t="s">
        <v>279</v>
      </c>
      <c r="D348" s="1227">
        <f>SUM(D345:D347)</f>
        <v>18</v>
      </c>
      <c r="E348" s="1228">
        <f>SUM(E345:E347)</f>
        <v>18</v>
      </c>
      <c r="F348" s="1227">
        <f>SUM(F345:F347)</f>
        <v>3</v>
      </c>
      <c r="G348" s="1228">
        <f>SUM(G345:G347)</f>
        <v>12</v>
      </c>
      <c r="H348" s="1227">
        <f>SUM(F348:G348)</f>
        <v>15</v>
      </c>
      <c r="I348" s="1229">
        <f>H348/E348</f>
        <v>0.83333333333333337</v>
      </c>
      <c r="J348" s="1226">
        <f t="shared" si="12"/>
        <v>3</v>
      </c>
      <c r="K348" s="1229">
        <f>1-I348</f>
        <v>0.16666666666666663</v>
      </c>
    </row>
    <row r="349" spans="2:11" x14ac:dyDescent="0.3">
      <c r="B349" s="5301"/>
      <c r="C349" s="5301"/>
      <c r="D349" s="5301"/>
      <c r="E349" s="5301"/>
      <c r="F349" s="5301"/>
      <c r="G349" s="5301"/>
      <c r="H349" s="5301"/>
      <c r="I349" s="5301"/>
      <c r="K349" s="5301"/>
    </row>
    <row r="350" spans="2:11" x14ac:dyDescent="0.3">
      <c r="B350" s="5799" t="s">
        <v>7</v>
      </c>
      <c r="C350" s="5800"/>
      <c r="D350" s="5291">
        <f>SUM(D328,D338,D348,D333,D343)</f>
        <v>75</v>
      </c>
      <c r="E350" s="5291">
        <f>SUM(E328,E338,E348,E333,E343)</f>
        <v>66</v>
      </c>
      <c r="F350" s="1226">
        <f>SUM(F328,F338,F348,F333,F343)</f>
        <v>16</v>
      </c>
      <c r="G350" s="1228">
        <f>SUM(G328,G338,G348,G333,G343)</f>
        <v>38</v>
      </c>
      <c r="H350" s="1228">
        <f>SUM(H328,H338,H348,H333,H343)</f>
        <v>54</v>
      </c>
      <c r="I350" s="1229">
        <f>H350/E350</f>
        <v>0.81818181818181823</v>
      </c>
      <c r="J350" s="1226">
        <f t="shared" si="12"/>
        <v>12</v>
      </c>
      <c r="K350" s="1229">
        <f>1-I350</f>
        <v>0.18181818181818177</v>
      </c>
    </row>
    <row r="354" spans="2:11" ht="12.75" customHeight="1" x14ac:dyDescent="0.3">
      <c r="B354" s="5801" t="s">
        <v>27</v>
      </c>
      <c r="C354" s="5790" t="s">
        <v>10</v>
      </c>
      <c r="D354" s="5791" t="s">
        <v>293</v>
      </c>
      <c r="E354" s="5791" t="s">
        <v>277</v>
      </c>
      <c r="F354" s="5772" t="s">
        <v>295</v>
      </c>
      <c r="G354" s="5773"/>
      <c r="H354" s="5773"/>
      <c r="I354" s="5774"/>
    </row>
    <row r="355" spans="2:11" x14ac:dyDescent="0.3">
      <c r="B355" s="5802"/>
      <c r="C355" s="5790"/>
      <c r="D355" s="5791"/>
      <c r="E355" s="5791"/>
      <c r="F355" s="5292" t="s">
        <v>282</v>
      </c>
      <c r="G355" s="5292" t="s">
        <v>275</v>
      </c>
      <c r="H355" s="1238" t="s">
        <v>48</v>
      </c>
      <c r="I355" s="5292" t="s">
        <v>272</v>
      </c>
      <c r="J355" s="5775" t="s">
        <v>270</v>
      </c>
      <c r="K355" s="5776"/>
    </row>
    <row r="356" spans="2:11" x14ac:dyDescent="0.3">
      <c r="B356" s="1111"/>
      <c r="C356" s="1111"/>
      <c r="D356" s="1111"/>
      <c r="E356" s="1111"/>
      <c r="F356" s="1111"/>
      <c r="G356" s="1111"/>
      <c r="H356" s="1111"/>
      <c r="I356" s="1111"/>
    </row>
    <row r="357" spans="2:11" x14ac:dyDescent="0.3">
      <c r="B357" s="5792" t="s">
        <v>286</v>
      </c>
      <c r="C357" s="1216" t="s">
        <v>59</v>
      </c>
      <c r="D357" s="1217">
        <v>10</v>
      </c>
      <c r="E357" s="1218">
        <v>10</v>
      </c>
      <c r="F357" s="1217"/>
      <c r="G357" s="1218">
        <v>10</v>
      </c>
      <c r="H357" s="1217">
        <f>SUM(F357:G357)</f>
        <v>10</v>
      </c>
      <c r="I357" s="1219">
        <f>H357/E357</f>
        <v>1</v>
      </c>
      <c r="J357" s="1216">
        <f>E357-H357</f>
        <v>0</v>
      </c>
      <c r="K357" s="1219">
        <f>1-I357</f>
        <v>0</v>
      </c>
    </row>
    <row r="358" spans="2:11" x14ac:dyDescent="0.3">
      <c r="B358" s="5778"/>
      <c r="C358" s="1220" t="s">
        <v>64</v>
      </c>
      <c r="D358" s="1221">
        <v>4</v>
      </c>
      <c r="E358" s="1120">
        <v>4</v>
      </c>
      <c r="F358" s="1221"/>
      <c r="G358" s="1120">
        <v>2</v>
      </c>
      <c r="H358" s="1221">
        <f>SUM(F358:G358)</f>
        <v>2</v>
      </c>
      <c r="I358" s="1122">
        <f>H358/E358</f>
        <v>0.5</v>
      </c>
      <c r="J358" s="1220">
        <f t="shared" ref="J358:J382" si="13">E358-H358</f>
        <v>2</v>
      </c>
      <c r="K358" s="1122">
        <f>1-I358</f>
        <v>0.5</v>
      </c>
    </row>
    <row r="359" spans="2:11" x14ac:dyDescent="0.3">
      <c r="B359" s="5778"/>
      <c r="C359" s="1222" t="s">
        <v>68</v>
      </c>
      <c r="D359" s="1223">
        <v>3</v>
      </c>
      <c r="E359" s="1224">
        <v>3</v>
      </c>
      <c r="F359" s="1223"/>
      <c r="G359" s="1224">
        <v>3</v>
      </c>
      <c r="H359" s="1223">
        <f>SUM(F359:G359)</f>
        <v>3</v>
      </c>
      <c r="I359" s="1225">
        <f>H359/E359</f>
        <v>1</v>
      </c>
      <c r="J359" s="1222">
        <f t="shared" si="13"/>
        <v>0</v>
      </c>
      <c r="K359" s="1225">
        <f>1-I359</f>
        <v>0</v>
      </c>
    </row>
    <row r="360" spans="2:11" x14ac:dyDescent="0.3">
      <c r="B360" s="5779"/>
      <c r="C360" s="1226" t="s">
        <v>279</v>
      </c>
      <c r="D360" s="1227">
        <f>SUM(D357:D359)</f>
        <v>17</v>
      </c>
      <c r="E360" s="1228">
        <f>SUM(E357:E359)</f>
        <v>17</v>
      </c>
      <c r="F360" s="1227">
        <f>SUM(F357:F359)</f>
        <v>0</v>
      </c>
      <c r="G360" s="1228">
        <f>SUM(G357:G359)</f>
        <v>15</v>
      </c>
      <c r="H360" s="1227">
        <f>SUM(F360:G360)</f>
        <v>15</v>
      </c>
      <c r="I360" s="1229">
        <f>H360/E360</f>
        <v>0.88235294117647056</v>
      </c>
      <c r="J360" s="1226">
        <f t="shared" si="13"/>
        <v>2</v>
      </c>
      <c r="K360" s="1229">
        <f>1-I360</f>
        <v>0.11764705882352944</v>
      </c>
    </row>
    <row r="361" spans="2:11" x14ac:dyDescent="0.3">
      <c r="B361" s="1211"/>
      <c r="C361" s="1136"/>
      <c r="D361" s="1136"/>
      <c r="E361" s="1136"/>
      <c r="F361" s="1136"/>
      <c r="G361" s="5301"/>
      <c r="H361" s="5301"/>
      <c r="I361" s="5301"/>
      <c r="J361" s="5302"/>
      <c r="K361" s="5302"/>
    </row>
    <row r="362" spans="2:11" x14ac:dyDescent="0.3">
      <c r="B362" s="5780" t="s">
        <v>288</v>
      </c>
      <c r="C362" s="1216" t="s">
        <v>59</v>
      </c>
      <c r="D362" s="5320">
        <v>9</v>
      </c>
      <c r="E362" s="5321">
        <v>9</v>
      </c>
      <c r="F362" s="5320">
        <v>3</v>
      </c>
      <c r="G362" s="5321">
        <v>5</v>
      </c>
      <c r="H362" s="5320">
        <f>SUM(F362:G362)</f>
        <v>8</v>
      </c>
      <c r="I362" s="5323">
        <f>H362/E362</f>
        <v>0.88888888888888884</v>
      </c>
      <c r="J362" s="1216">
        <f t="shared" si="13"/>
        <v>1</v>
      </c>
      <c r="K362" s="1219">
        <f>1-I362</f>
        <v>0.11111111111111116</v>
      </c>
    </row>
    <row r="363" spans="2:11" x14ac:dyDescent="0.3">
      <c r="B363" s="5781"/>
      <c r="C363" s="1220" t="s">
        <v>64</v>
      </c>
      <c r="D363" s="1221">
        <v>11</v>
      </c>
      <c r="E363" s="1120">
        <v>11</v>
      </c>
      <c r="F363" s="1221">
        <v>6</v>
      </c>
      <c r="G363" s="1120">
        <v>2</v>
      </c>
      <c r="H363" s="1221">
        <f>SUM(F363:G363)</f>
        <v>8</v>
      </c>
      <c r="I363" s="1122">
        <f>H363/E363</f>
        <v>0.72727272727272729</v>
      </c>
      <c r="J363" s="1220">
        <f t="shared" si="13"/>
        <v>3</v>
      </c>
      <c r="K363" s="1122">
        <f>1-I363</f>
        <v>0.27272727272727271</v>
      </c>
    </row>
    <row r="364" spans="2:11" ht="15" customHeight="1" x14ac:dyDescent="0.3">
      <c r="B364" s="5781"/>
      <c r="C364" s="1222" t="s">
        <v>92</v>
      </c>
      <c r="D364" s="1223">
        <v>6</v>
      </c>
      <c r="E364" s="1224">
        <v>6</v>
      </c>
      <c r="F364" s="1223">
        <v>2</v>
      </c>
      <c r="G364" s="1224">
        <v>1</v>
      </c>
      <c r="H364" s="1223">
        <f>SUM(F364:G364)</f>
        <v>3</v>
      </c>
      <c r="I364" s="1225">
        <f>H364/E364</f>
        <v>0.5</v>
      </c>
      <c r="J364" s="1222">
        <f t="shared" si="13"/>
        <v>3</v>
      </c>
      <c r="K364" s="1225">
        <f>1-I364</f>
        <v>0.5</v>
      </c>
    </row>
    <row r="365" spans="2:11" x14ac:dyDescent="0.3">
      <c r="B365" s="5782"/>
      <c r="C365" s="1226" t="s">
        <v>279</v>
      </c>
      <c r="D365" s="1227">
        <f>SUM(D362:D364)</f>
        <v>26</v>
      </c>
      <c r="E365" s="1228">
        <f>SUM(E362:E364)</f>
        <v>26</v>
      </c>
      <c r="F365" s="1227">
        <f>SUM(F362:F364)</f>
        <v>11</v>
      </c>
      <c r="G365" s="1228">
        <f>SUM(G362:G364)</f>
        <v>8</v>
      </c>
      <c r="H365" s="1227">
        <f>SUM(F365:G365)</f>
        <v>19</v>
      </c>
      <c r="I365" s="1229">
        <f>H365/E365</f>
        <v>0.73076923076923073</v>
      </c>
      <c r="J365" s="1226">
        <f t="shared" si="13"/>
        <v>7</v>
      </c>
      <c r="K365" s="1229">
        <f>1-I365</f>
        <v>0.26923076923076927</v>
      </c>
    </row>
    <row r="366" spans="2:11" x14ac:dyDescent="0.3">
      <c r="B366" s="1239"/>
      <c r="C366" s="1144"/>
      <c r="D366" s="1136"/>
      <c r="E366" s="1136"/>
      <c r="F366" s="1136"/>
      <c r="G366" s="5301"/>
      <c r="H366" s="5301"/>
      <c r="I366" s="5301"/>
      <c r="K366" s="5301"/>
    </row>
    <row r="367" spans="2:11" x14ac:dyDescent="0.3">
      <c r="B367" s="5783" t="s">
        <v>290</v>
      </c>
      <c r="C367" s="1216" t="s">
        <v>64</v>
      </c>
      <c r="D367" s="1217">
        <v>6</v>
      </c>
      <c r="E367" s="1218">
        <v>6</v>
      </c>
      <c r="F367" s="1217">
        <v>1</v>
      </c>
      <c r="G367" s="1218">
        <v>5</v>
      </c>
      <c r="H367" s="1217">
        <f>SUM(F367:G367)</f>
        <v>6</v>
      </c>
      <c r="I367" s="1219">
        <f>H367/E367</f>
        <v>1</v>
      </c>
      <c r="J367" s="1216">
        <f t="shared" si="13"/>
        <v>0</v>
      </c>
      <c r="K367" s="1219">
        <f>1-I367</f>
        <v>0</v>
      </c>
    </row>
    <row r="368" spans="2:11" x14ac:dyDescent="0.3">
      <c r="B368" s="5784"/>
      <c r="C368" s="1220" t="s">
        <v>92</v>
      </c>
      <c r="D368" s="1221">
        <v>8</v>
      </c>
      <c r="E368" s="1120">
        <v>8</v>
      </c>
      <c r="F368" s="1221"/>
      <c r="G368" s="1120">
        <v>6</v>
      </c>
      <c r="H368" s="1221">
        <f>SUM(F368:G368)</f>
        <v>6</v>
      </c>
      <c r="I368" s="1122">
        <f>H368/E368</f>
        <v>0.75</v>
      </c>
      <c r="J368" s="1220">
        <f t="shared" si="13"/>
        <v>2</v>
      </c>
      <c r="K368" s="1122">
        <f>1-I368</f>
        <v>0.25</v>
      </c>
    </row>
    <row r="369" spans="2:11" x14ac:dyDescent="0.3">
      <c r="B369" s="5784"/>
      <c r="C369" s="1222" t="s">
        <v>68</v>
      </c>
      <c r="D369" s="1223">
        <v>4</v>
      </c>
      <c r="E369" s="1224">
        <v>4</v>
      </c>
      <c r="F369" s="1223">
        <v>1</v>
      </c>
      <c r="G369" s="1224">
        <v>2</v>
      </c>
      <c r="H369" s="1223">
        <f>SUM(F369:G369)</f>
        <v>3</v>
      </c>
      <c r="I369" s="1225">
        <f>H369/E369</f>
        <v>0.75</v>
      </c>
      <c r="J369" s="1222">
        <f t="shared" si="13"/>
        <v>1</v>
      </c>
      <c r="K369" s="1225">
        <f>1-I369</f>
        <v>0.25</v>
      </c>
    </row>
    <row r="370" spans="2:11" ht="15" customHeight="1" x14ac:dyDescent="0.3">
      <c r="B370" s="5785"/>
      <c r="C370" s="1226" t="s">
        <v>279</v>
      </c>
      <c r="D370" s="1227">
        <f>SUM(D367:D369)</f>
        <v>18</v>
      </c>
      <c r="E370" s="1228">
        <f>SUM(E367:E369)</f>
        <v>18</v>
      </c>
      <c r="F370" s="1227">
        <f>SUM(F367:F369)</f>
        <v>2</v>
      </c>
      <c r="G370" s="1228">
        <f>SUM(G367:G369)</f>
        <v>13</v>
      </c>
      <c r="H370" s="1227">
        <f>SUM(F370:G370)</f>
        <v>15</v>
      </c>
      <c r="I370" s="1229">
        <f>H370/E370</f>
        <v>0.83333333333333337</v>
      </c>
      <c r="J370" s="1226">
        <f t="shared" si="13"/>
        <v>3</v>
      </c>
      <c r="K370" s="1229">
        <f>1-I370</f>
        <v>0.16666666666666663</v>
      </c>
    </row>
    <row r="371" spans="2:11" x14ac:dyDescent="0.3">
      <c r="B371" s="1240"/>
      <c r="C371" s="5301"/>
      <c r="D371" s="5301"/>
      <c r="E371" s="5301"/>
      <c r="F371" s="5301"/>
      <c r="G371" s="5301"/>
      <c r="H371" s="5301"/>
      <c r="I371" s="5301"/>
      <c r="J371" s="5301"/>
      <c r="K371" s="5301"/>
    </row>
    <row r="372" spans="2:11" x14ac:dyDescent="0.3">
      <c r="B372" s="5793" t="s">
        <v>287</v>
      </c>
      <c r="C372" s="1216" t="s">
        <v>64</v>
      </c>
      <c r="D372" s="1217">
        <v>4</v>
      </c>
      <c r="E372" s="1218"/>
      <c r="F372" s="1217"/>
      <c r="G372" s="1218"/>
      <c r="H372" s="1217">
        <f>SUM(F372:G372)</f>
        <v>0</v>
      </c>
      <c r="I372" s="1219"/>
      <c r="J372" s="1216">
        <f t="shared" si="13"/>
        <v>0</v>
      </c>
      <c r="K372" s="1219"/>
    </row>
    <row r="373" spans="2:11" x14ac:dyDescent="0.3">
      <c r="B373" s="5794"/>
      <c r="C373" s="1220" t="s">
        <v>111</v>
      </c>
      <c r="D373" s="1221">
        <v>3</v>
      </c>
      <c r="E373" s="1120"/>
      <c r="F373" s="1221"/>
      <c r="G373" s="1120"/>
      <c r="H373" s="1221">
        <f>SUM(F373:G373)</f>
        <v>0</v>
      </c>
      <c r="I373" s="1122"/>
      <c r="J373" s="1220">
        <f t="shared" si="13"/>
        <v>0</v>
      </c>
      <c r="K373" s="1122"/>
    </row>
    <row r="374" spans="2:11" x14ac:dyDescent="0.3">
      <c r="B374" s="5794"/>
      <c r="C374" s="1222" t="s">
        <v>115</v>
      </c>
      <c r="D374" s="1223">
        <v>4</v>
      </c>
      <c r="E374" s="1224"/>
      <c r="F374" s="1223"/>
      <c r="G374" s="1224"/>
      <c r="H374" s="1223">
        <f>SUM(F374:G374)</f>
        <v>0</v>
      </c>
      <c r="I374" s="1225"/>
      <c r="J374" s="1222">
        <f t="shared" si="13"/>
        <v>0</v>
      </c>
      <c r="K374" s="1225"/>
    </row>
    <row r="375" spans="2:11" x14ac:dyDescent="0.3">
      <c r="B375" s="5795"/>
      <c r="C375" s="1226" t="s">
        <v>279</v>
      </c>
      <c r="D375" s="1227">
        <f>SUM(D372:D374)</f>
        <v>11</v>
      </c>
      <c r="E375" s="1228">
        <f>SUM(E372:E374)</f>
        <v>0</v>
      </c>
      <c r="F375" s="1227">
        <f>SUM(F372:F374)</f>
        <v>0</v>
      </c>
      <c r="G375" s="1228">
        <f>SUM(G372:G374)</f>
        <v>0</v>
      </c>
      <c r="H375" s="1227">
        <f>SUM(F375:G375)</f>
        <v>0</v>
      </c>
      <c r="I375" s="1229"/>
      <c r="J375" s="1226">
        <f t="shared" si="13"/>
        <v>0</v>
      </c>
      <c r="K375" s="1229"/>
    </row>
    <row r="376" spans="2:11" x14ac:dyDescent="0.3">
      <c r="B376" s="1230"/>
      <c r="C376" s="5301"/>
      <c r="D376" s="5301"/>
      <c r="E376" s="5301"/>
      <c r="F376" s="5301"/>
      <c r="G376" s="5301"/>
      <c r="H376" s="5301"/>
      <c r="I376" s="5301"/>
      <c r="K376" s="5301"/>
    </row>
    <row r="377" spans="2:11" x14ac:dyDescent="0.3">
      <c r="B377" s="5796" t="s">
        <v>289</v>
      </c>
      <c r="C377" s="1216" t="s">
        <v>59</v>
      </c>
      <c r="D377" s="1217">
        <v>1</v>
      </c>
      <c r="E377" s="1218"/>
      <c r="F377" s="1217"/>
      <c r="G377" s="1218"/>
      <c r="H377" s="1217">
        <f>SUM(F377:G377)</f>
        <v>0</v>
      </c>
      <c r="I377" s="1219"/>
      <c r="J377" s="1216">
        <f t="shared" si="13"/>
        <v>0</v>
      </c>
      <c r="K377" s="1219">
        <f>1-I377</f>
        <v>1</v>
      </c>
    </row>
    <row r="378" spans="2:11" ht="15" customHeight="1" x14ac:dyDescent="0.3">
      <c r="B378" s="5797"/>
      <c r="C378" s="1220" t="s">
        <v>64</v>
      </c>
      <c r="D378" s="1221">
        <v>1</v>
      </c>
      <c r="E378" s="1120"/>
      <c r="F378" s="1221"/>
      <c r="G378" s="1120"/>
      <c r="H378" s="1221">
        <f>SUM(F378:G378)</f>
        <v>0</v>
      </c>
      <c r="I378" s="1122"/>
      <c r="J378" s="1220">
        <f t="shared" si="13"/>
        <v>0</v>
      </c>
      <c r="K378" s="1122">
        <f>1-I378</f>
        <v>1</v>
      </c>
    </row>
    <row r="379" spans="2:11" x14ac:dyDescent="0.3">
      <c r="B379" s="5797"/>
      <c r="C379" s="1222" t="s">
        <v>92</v>
      </c>
      <c r="D379" s="1223">
        <v>1</v>
      </c>
      <c r="E379" s="1224"/>
      <c r="F379" s="1223"/>
      <c r="G379" s="1224"/>
      <c r="H379" s="1223">
        <f>SUM(F379:G379)</f>
        <v>0</v>
      </c>
      <c r="I379" s="1225"/>
      <c r="J379" s="1222">
        <f t="shared" si="13"/>
        <v>0</v>
      </c>
      <c r="K379" s="1225">
        <f>1-I379</f>
        <v>1</v>
      </c>
    </row>
    <row r="380" spans="2:11" x14ac:dyDescent="0.3">
      <c r="B380" s="5798"/>
      <c r="C380" s="1226" t="s">
        <v>279</v>
      </c>
      <c r="D380" s="1227">
        <f>SUM(D377:D379)</f>
        <v>3</v>
      </c>
      <c r="E380" s="1228">
        <f>SUM(E377:E379)</f>
        <v>0</v>
      </c>
      <c r="F380" s="1227">
        <f>SUM(F377:F379)</f>
        <v>0</v>
      </c>
      <c r="G380" s="1228">
        <f>SUM(G377:G379)</f>
        <v>0</v>
      </c>
      <c r="H380" s="1227">
        <f>SUM(F380:G380)</f>
        <v>0</v>
      </c>
      <c r="I380" s="1229"/>
      <c r="J380" s="1226">
        <f t="shared" si="13"/>
        <v>0</v>
      </c>
      <c r="K380" s="1229">
        <f>1-I380</f>
        <v>1</v>
      </c>
    </row>
    <row r="381" spans="2:11" x14ac:dyDescent="0.3">
      <c r="B381" s="5301"/>
      <c r="C381" s="5301"/>
      <c r="D381" s="5301"/>
      <c r="E381" s="5301"/>
      <c r="F381" s="5301"/>
      <c r="G381" s="5301"/>
      <c r="H381" s="5301"/>
      <c r="I381" s="5301"/>
      <c r="K381" s="5301"/>
    </row>
    <row r="382" spans="2:11" ht="12.75" customHeight="1" x14ac:dyDescent="0.3">
      <c r="B382" s="5789" t="s">
        <v>7</v>
      </c>
      <c r="C382" s="5789"/>
      <c r="D382" s="1227">
        <f>SUM(D360,D365,D370,D375,D380)</f>
        <v>75</v>
      </c>
      <c r="E382" s="1227">
        <f>SUM(E360,E365,E370,E375,E380)</f>
        <v>61</v>
      </c>
      <c r="F382" s="1226">
        <f>SUM(F360,F365,F370,F375,F380)</f>
        <v>13</v>
      </c>
      <c r="G382" s="1228">
        <f>SUM(G360,G365,G370,G375,G380)</f>
        <v>36</v>
      </c>
      <c r="H382" s="1228">
        <f>SUM(H360,H365,H370,H375,H380)</f>
        <v>49</v>
      </c>
      <c r="I382" s="1229">
        <f>H382/E382</f>
        <v>0.80327868852459017</v>
      </c>
      <c r="J382" s="1226">
        <f t="shared" si="13"/>
        <v>12</v>
      </c>
      <c r="K382" s="1229">
        <f>1-I382</f>
        <v>0.19672131147540983</v>
      </c>
    </row>
    <row r="386" spans="2:11" x14ac:dyDescent="0.3">
      <c r="B386" s="5790" t="s">
        <v>27</v>
      </c>
      <c r="C386" s="5790" t="s">
        <v>10</v>
      </c>
      <c r="D386" s="5791" t="s">
        <v>293</v>
      </c>
      <c r="E386" s="5791" t="s">
        <v>277</v>
      </c>
      <c r="F386" s="5772" t="s">
        <v>296</v>
      </c>
      <c r="G386" s="5773"/>
      <c r="H386" s="5773"/>
      <c r="I386" s="5774"/>
    </row>
    <row r="387" spans="2:11" ht="30" customHeight="1" x14ac:dyDescent="0.3">
      <c r="B387" s="5790"/>
      <c r="C387" s="5790"/>
      <c r="D387" s="5791"/>
      <c r="E387" s="5791"/>
      <c r="F387" s="5292" t="s">
        <v>297</v>
      </c>
      <c r="G387" s="5292" t="s">
        <v>275</v>
      </c>
      <c r="H387" s="1238" t="s">
        <v>48</v>
      </c>
      <c r="I387" s="5292" t="s">
        <v>272</v>
      </c>
      <c r="J387" s="5775" t="s">
        <v>270</v>
      </c>
      <c r="K387" s="5776"/>
    </row>
    <row r="388" spans="2:11" ht="12.75" customHeight="1" x14ac:dyDescent="0.3">
      <c r="B388" s="5343"/>
      <c r="C388" s="5343"/>
      <c r="D388" s="5343"/>
      <c r="E388" s="5343"/>
      <c r="F388" s="5343"/>
      <c r="G388" s="1111"/>
      <c r="H388" s="1111"/>
      <c r="I388" s="1111"/>
      <c r="J388" s="1111"/>
      <c r="K388" s="1111"/>
    </row>
    <row r="389" spans="2:11" x14ac:dyDescent="0.3">
      <c r="B389" s="5777" t="s">
        <v>286</v>
      </c>
      <c r="C389" s="1216" t="s">
        <v>59</v>
      </c>
      <c r="D389" s="1217">
        <v>10</v>
      </c>
      <c r="E389" s="1218">
        <v>10</v>
      </c>
      <c r="F389" s="1216"/>
      <c r="G389" s="1218">
        <v>10</v>
      </c>
      <c r="H389" s="1218">
        <f>SUM(F389:G389)</f>
        <v>10</v>
      </c>
      <c r="I389" s="1219">
        <f>H389/E389</f>
        <v>1</v>
      </c>
      <c r="J389" s="1216">
        <f>E389-H389</f>
        <v>0</v>
      </c>
      <c r="K389" s="1219">
        <f>1-I389</f>
        <v>0</v>
      </c>
    </row>
    <row r="390" spans="2:11" x14ac:dyDescent="0.3">
      <c r="B390" s="5778"/>
      <c r="C390" s="1220" t="s">
        <v>64</v>
      </c>
      <c r="D390" s="1221">
        <v>4</v>
      </c>
      <c r="E390" s="1120">
        <v>4</v>
      </c>
      <c r="F390" s="1220"/>
      <c r="G390" s="1120">
        <v>2</v>
      </c>
      <c r="H390" s="1120">
        <f>SUM(F390:G390)</f>
        <v>2</v>
      </c>
      <c r="I390" s="1122">
        <f>H390/E390</f>
        <v>0.5</v>
      </c>
      <c r="J390" s="1220">
        <f>E390-H390</f>
        <v>2</v>
      </c>
      <c r="K390" s="1122">
        <f>1-I390</f>
        <v>0.5</v>
      </c>
    </row>
    <row r="391" spans="2:11" x14ac:dyDescent="0.3">
      <c r="B391" s="5778"/>
      <c r="C391" s="1222" t="s">
        <v>68</v>
      </c>
      <c r="D391" s="1223">
        <v>3</v>
      </c>
      <c r="E391" s="1224">
        <v>3</v>
      </c>
      <c r="F391" s="1222"/>
      <c r="G391" s="1224">
        <v>3</v>
      </c>
      <c r="H391" s="1224">
        <f>SUM(F391:G391)</f>
        <v>3</v>
      </c>
      <c r="I391" s="1225">
        <f>H391/E391</f>
        <v>1</v>
      </c>
      <c r="J391" s="1222">
        <f>E391-H391</f>
        <v>0</v>
      </c>
      <c r="K391" s="1225">
        <f>1-I391</f>
        <v>0</v>
      </c>
    </row>
    <row r="392" spans="2:11" x14ac:dyDescent="0.3">
      <c r="B392" s="5779"/>
      <c r="C392" s="1226" t="s">
        <v>279</v>
      </c>
      <c r="D392" s="1227">
        <f>SUM(D389:D391)</f>
        <v>17</v>
      </c>
      <c r="E392" s="1228">
        <f>SUM(E389:E391)</f>
        <v>17</v>
      </c>
      <c r="F392" s="1226">
        <f>SUM(F389:F391)</f>
        <v>0</v>
      </c>
      <c r="G392" s="1228">
        <f>SUM(G389:G391)</f>
        <v>15</v>
      </c>
      <c r="H392" s="1228">
        <f>SUM(F392:G392)</f>
        <v>15</v>
      </c>
      <c r="I392" s="1229">
        <f>H392/E392</f>
        <v>0.88235294117647056</v>
      </c>
      <c r="J392" s="1226">
        <f>E392-H392</f>
        <v>2</v>
      </c>
      <c r="K392" s="1229">
        <f>1-I392</f>
        <v>0.11764705882352944</v>
      </c>
    </row>
    <row r="393" spans="2:11" x14ac:dyDescent="0.3">
      <c r="B393" s="5302"/>
      <c r="C393" s="5302"/>
      <c r="D393" s="5302"/>
      <c r="E393" s="5302"/>
      <c r="F393" s="5302"/>
      <c r="G393" s="5302"/>
      <c r="H393" s="5302"/>
      <c r="I393" s="5302"/>
      <c r="J393" s="5302"/>
      <c r="K393" s="5302"/>
    </row>
    <row r="394" spans="2:11" x14ac:dyDescent="0.3">
      <c r="B394" s="5780" t="s">
        <v>288</v>
      </c>
      <c r="C394" s="1216" t="s">
        <v>59</v>
      </c>
      <c r="D394" s="1217">
        <v>9</v>
      </c>
      <c r="E394" s="1218">
        <v>9</v>
      </c>
      <c r="F394" s="1216">
        <v>3</v>
      </c>
      <c r="G394" s="1218">
        <v>4</v>
      </c>
      <c r="H394" s="1218">
        <f>SUM(F394:G394)</f>
        <v>7</v>
      </c>
      <c r="I394" s="1219">
        <f>H394/E394</f>
        <v>0.77777777777777779</v>
      </c>
      <c r="J394" s="1216">
        <f>E394-H394</f>
        <v>2</v>
      </c>
      <c r="K394" s="1219">
        <f>1-I394</f>
        <v>0.22222222222222221</v>
      </c>
    </row>
    <row r="395" spans="2:11" x14ac:dyDescent="0.3">
      <c r="B395" s="5781"/>
      <c r="C395" s="1220" t="s">
        <v>64</v>
      </c>
      <c r="D395" s="1221">
        <v>11</v>
      </c>
      <c r="E395" s="1120">
        <v>11</v>
      </c>
      <c r="F395" s="1220">
        <v>6</v>
      </c>
      <c r="G395" s="1120">
        <v>2</v>
      </c>
      <c r="H395" s="1120">
        <f>SUM(F395:G395)</f>
        <v>8</v>
      </c>
      <c r="I395" s="1122">
        <f>H395/E395</f>
        <v>0.72727272727272729</v>
      </c>
      <c r="J395" s="1220">
        <f>E395-H395</f>
        <v>3</v>
      </c>
      <c r="K395" s="1122">
        <f>1-I395</f>
        <v>0.27272727272727271</v>
      </c>
    </row>
    <row r="396" spans="2:11" x14ac:dyDescent="0.3">
      <c r="B396" s="5781"/>
      <c r="C396" s="1222" t="s">
        <v>92</v>
      </c>
      <c r="D396" s="1223">
        <v>6</v>
      </c>
      <c r="E396" s="1224">
        <v>6</v>
      </c>
      <c r="F396" s="1222">
        <v>2</v>
      </c>
      <c r="G396" s="1224">
        <v>1</v>
      </c>
      <c r="H396" s="1224">
        <f>SUM(F396:G396)</f>
        <v>3</v>
      </c>
      <c r="I396" s="1225">
        <f>H396/E396</f>
        <v>0.5</v>
      </c>
      <c r="J396" s="1222">
        <f>E396-H396</f>
        <v>3</v>
      </c>
      <c r="K396" s="1225">
        <f>1-I396</f>
        <v>0.5</v>
      </c>
    </row>
    <row r="397" spans="2:11" x14ac:dyDescent="0.3">
      <c r="B397" s="5782"/>
      <c r="C397" s="1226" t="s">
        <v>279</v>
      </c>
      <c r="D397" s="1227">
        <f>SUM(D394:D396)</f>
        <v>26</v>
      </c>
      <c r="E397" s="1228">
        <f>SUM(E394:E396)</f>
        <v>26</v>
      </c>
      <c r="F397" s="1226">
        <f>SUM(F394:F396)</f>
        <v>11</v>
      </c>
      <c r="G397" s="1228">
        <f>SUM(G394:G396)</f>
        <v>7</v>
      </c>
      <c r="H397" s="1228">
        <f>SUM(F397:G397)</f>
        <v>18</v>
      </c>
      <c r="I397" s="1229">
        <f>H397/E397</f>
        <v>0.69230769230769229</v>
      </c>
      <c r="J397" s="1226">
        <f>E397-H397</f>
        <v>8</v>
      </c>
      <c r="K397" s="1229">
        <f>1-I397</f>
        <v>0.30769230769230771</v>
      </c>
    </row>
    <row r="398" spans="2:11" x14ac:dyDescent="0.3">
      <c r="B398" s="1211"/>
      <c r="C398" s="1136"/>
      <c r="D398" s="1136"/>
      <c r="E398" s="1136"/>
      <c r="F398" s="1136"/>
      <c r="G398" s="5301"/>
      <c r="H398" s="5301"/>
    </row>
    <row r="399" spans="2:11" x14ac:dyDescent="0.3">
      <c r="B399" s="5783" t="s">
        <v>290</v>
      </c>
      <c r="C399" s="1216" t="s">
        <v>64</v>
      </c>
      <c r="D399" s="1217">
        <v>6</v>
      </c>
      <c r="E399" s="1218">
        <v>6</v>
      </c>
      <c r="F399" s="1216"/>
      <c r="G399" s="1218">
        <v>6</v>
      </c>
      <c r="H399" s="1218">
        <f>SUM(F399:G399)</f>
        <v>6</v>
      </c>
      <c r="I399" s="1219">
        <f>H399/E399</f>
        <v>1</v>
      </c>
      <c r="J399" s="1216">
        <f>E399-H399</f>
        <v>0</v>
      </c>
      <c r="K399" s="1219">
        <f>1-I399</f>
        <v>0</v>
      </c>
    </row>
    <row r="400" spans="2:11" x14ac:dyDescent="0.3">
      <c r="B400" s="5784"/>
      <c r="C400" s="1220" t="s">
        <v>92</v>
      </c>
      <c r="D400" s="1221">
        <v>8</v>
      </c>
      <c r="E400" s="1120">
        <v>8</v>
      </c>
      <c r="F400" s="1220"/>
      <c r="G400" s="1120">
        <v>6</v>
      </c>
      <c r="H400" s="1120">
        <f>SUM(F400:G400)</f>
        <v>6</v>
      </c>
      <c r="I400" s="1122">
        <f>H400/E400</f>
        <v>0.75</v>
      </c>
      <c r="J400" s="1220">
        <f>E400-H400</f>
        <v>2</v>
      </c>
      <c r="K400" s="1122">
        <f>1-I400</f>
        <v>0.25</v>
      </c>
    </row>
    <row r="401" spans="2:11" x14ac:dyDescent="0.3">
      <c r="B401" s="5784"/>
      <c r="C401" s="1222" t="s">
        <v>68</v>
      </c>
      <c r="D401" s="1223">
        <v>4</v>
      </c>
      <c r="E401" s="1224">
        <v>4</v>
      </c>
      <c r="F401" s="1222">
        <v>1</v>
      </c>
      <c r="G401" s="1224">
        <v>2</v>
      </c>
      <c r="H401" s="1224">
        <f>SUM(F401:G401)</f>
        <v>3</v>
      </c>
      <c r="I401" s="1225">
        <f>H401/E401</f>
        <v>0.75</v>
      </c>
      <c r="J401" s="1222">
        <f>E401-H401</f>
        <v>1</v>
      </c>
      <c r="K401" s="1225">
        <f>1-I401</f>
        <v>0.25</v>
      </c>
    </row>
    <row r="402" spans="2:11" x14ac:dyDescent="0.3">
      <c r="B402" s="5785"/>
      <c r="C402" s="1226" t="s">
        <v>279</v>
      </c>
      <c r="D402" s="1227">
        <f>SUM(D399:D401)</f>
        <v>18</v>
      </c>
      <c r="E402" s="1228">
        <f>SUM(E399:E401)</f>
        <v>18</v>
      </c>
      <c r="F402" s="1226">
        <f>SUM(F399:F401)</f>
        <v>1</v>
      </c>
      <c r="G402" s="1228">
        <f>SUM(G399:G401)</f>
        <v>14</v>
      </c>
      <c r="H402" s="1228">
        <f>SUM(H399:H401)</f>
        <v>15</v>
      </c>
      <c r="I402" s="1229">
        <f>H402/E402</f>
        <v>0.83333333333333337</v>
      </c>
      <c r="J402" s="1226">
        <f>E402-H402</f>
        <v>3</v>
      </c>
      <c r="K402" s="1229">
        <f>1-I402</f>
        <v>0.16666666666666663</v>
      </c>
    </row>
    <row r="403" spans="2:11" x14ac:dyDescent="0.3">
      <c r="B403" s="1240"/>
      <c r="C403" s="5301"/>
      <c r="D403" s="5301"/>
      <c r="E403" s="5301"/>
      <c r="F403" s="5301"/>
      <c r="G403" s="5301"/>
      <c r="H403" s="5301"/>
      <c r="I403" s="5301"/>
      <c r="J403" s="5301"/>
      <c r="K403" s="5301"/>
    </row>
    <row r="404" spans="2:11" x14ac:dyDescent="0.3">
      <c r="B404" s="5786" t="s">
        <v>287</v>
      </c>
      <c r="C404" s="1216" t="s">
        <v>64</v>
      </c>
      <c r="D404" s="1217">
        <v>4</v>
      </c>
      <c r="E404" s="1218"/>
      <c r="F404" s="1216"/>
      <c r="G404" s="1218"/>
      <c r="H404" s="1218"/>
      <c r="I404" s="1219"/>
      <c r="J404" s="1216"/>
      <c r="K404" s="1219">
        <f>1-I404</f>
        <v>1</v>
      </c>
    </row>
    <row r="405" spans="2:11" x14ac:dyDescent="0.3">
      <c r="B405" s="5787"/>
      <c r="C405" s="1220" t="s">
        <v>111</v>
      </c>
      <c r="D405" s="1221">
        <v>3</v>
      </c>
      <c r="E405" s="1120"/>
      <c r="F405" s="1220"/>
      <c r="G405" s="1120"/>
      <c r="H405" s="1120"/>
      <c r="I405" s="1122"/>
      <c r="J405" s="1220"/>
      <c r="K405" s="1122">
        <f>1-I405</f>
        <v>1</v>
      </c>
    </row>
    <row r="406" spans="2:11" x14ac:dyDescent="0.3">
      <c r="B406" s="5787"/>
      <c r="C406" s="1222" t="s">
        <v>115</v>
      </c>
      <c r="D406" s="1223">
        <v>4</v>
      </c>
      <c r="E406" s="1224"/>
      <c r="F406" s="1222"/>
      <c r="G406" s="1224"/>
      <c r="H406" s="1224"/>
      <c r="I406" s="1225"/>
      <c r="J406" s="1222"/>
      <c r="K406" s="1225">
        <f>1-I406</f>
        <v>1</v>
      </c>
    </row>
    <row r="407" spans="2:11" x14ac:dyDescent="0.3">
      <c r="B407" s="5788"/>
      <c r="C407" s="1226" t="s">
        <v>279</v>
      </c>
      <c r="D407" s="1227">
        <f>SUM(D404:D406)</f>
        <v>11</v>
      </c>
      <c r="E407" s="1228"/>
      <c r="F407" s="1226"/>
      <c r="G407" s="1228"/>
      <c r="H407" s="1228"/>
      <c r="I407" s="1229"/>
      <c r="J407" s="1226">
        <f>SUM(J404:J406)</f>
        <v>0</v>
      </c>
      <c r="K407" s="1229">
        <f>1-I407</f>
        <v>1</v>
      </c>
    </row>
    <row r="408" spans="2:11" x14ac:dyDescent="0.3">
      <c r="B408" s="5301"/>
      <c r="C408" s="5301"/>
      <c r="D408" s="5301"/>
      <c r="E408" s="5301"/>
      <c r="F408" s="5301"/>
      <c r="G408" s="5301"/>
      <c r="H408" s="5301"/>
      <c r="I408" s="5301"/>
      <c r="J408" s="5301"/>
      <c r="K408" s="5301"/>
    </row>
    <row r="409" spans="2:11" x14ac:dyDescent="0.3">
      <c r="B409" s="5789" t="s">
        <v>7</v>
      </c>
      <c r="C409" s="5789"/>
      <c r="D409" s="1227">
        <f>SUM(D392,D407,D397,D402)</f>
        <v>72</v>
      </c>
      <c r="E409" s="1227">
        <f>SUM(E392,E407,E397,E402)</f>
        <v>61</v>
      </c>
      <c r="F409" s="1226">
        <f>SUM(F392,F407,F397,F402)</f>
        <v>12</v>
      </c>
      <c r="G409" s="1228">
        <f>SUM(G392,G407,G397,G402)</f>
        <v>36</v>
      </c>
      <c r="H409" s="1228">
        <f>SUM(H392,H407,H397,H402)</f>
        <v>48</v>
      </c>
      <c r="I409" s="1229">
        <f>H409/E409</f>
        <v>0.78688524590163933</v>
      </c>
      <c r="J409" s="1226">
        <f>SUM(J392,J407,J397,J402)</f>
        <v>13</v>
      </c>
      <c r="K409" s="1229">
        <f>1-I409</f>
        <v>0.21311475409836067</v>
      </c>
    </row>
    <row r="413" spans="2:11" x14ac:dyDescent="0.3">
      <c r="B413" s="5790" t="s">
        <v>27</v>
      </c>
      <c r="C413" s="5790" t="s">
        <v>10</v>
      </c>
      <c r="D413" s="5791" t="s">
        <v>298</v>
      </c>
      <c r="E413" s="5791" t="s">
        <v>277</v>
      </c>
      <c r="F413" s="5772" t="s">
        <v>299</v>
      </c>
      <c r="G413" s="5773"/>
      <c r="H413" s="5773"/>
      <c r="I413" s="5774"/>
      <c r="J413" s="1211"/>
      <c r="K413" s="5311"/>
    </row>
    <row r="414" spans="2:11" ht="30" customHeight="1" x14ac:dyDescent="0.3">
      <c r="B414" s="5790"/>
      <c r="C414" s="5790"/>
      <c r="D414" s="5791"/>
      <c r="E414" s="5791"/>
      <c r="F414" s="5292" t="s">
        <v>297</v>
      </c>
      <c r="G414" s="5292" t="s">
        <v>275</v>
      </c>
      <c r="H414" s="1238" t="s">
        <v>48</v>
      </c>
      <c r="I414" s="5292" t="s">
        <v>272</v>
      </c>
      <c r="J414" s="5775" t="s">
        <v>270</v>
      </c>
      <c r="K414" s="5776"/>
    </row>
    <row r="415" spans="2:11" x14ac:dyDescent="0.3">
      <c r="B415" s="1111"/>
      <c r="C415" s="1111"/>
      <c r="D415" s="1111"/>
      <c r="E415" s="1111"/>
      <c r="F415" s="1111"/>
      <c r="G415" s="1111"/>
      <c r="H415" s="1111"/>
      <c r="I415" s="1111"/>
      <c r="J415" s="1111"/>
      <c r="K415" s="1111"/>
    </row>
    <row r="416" spans="2:11" x14ac:dyDescent="0.3">
      <c r="B416" s="5777" t="s">
        <v>286</v>
      </c>
      <c r="C416" s="1216" t="s">
        <v>59</v>
      </c>
      <c r="D416" s="1217">
        <v>10</v>
      </c>
      <c r="E416" s="1218">
        <v>10</v>
      </c>
      <c r="F416" s="1216"/>
      <c r="G416" s="1218">
        <v>9</v>
      </c>
      <c r="H416" s="1218">
        <f>SUM(F416:G416)</f>
        <v>9</v>
      </c>
      <c r="I416" s="1219">
        <f>H416/E416</f>
        <v>0.9</v>
      </c>
      <c r="J416" s="1216">
        <f>E416-H416</f>
        <v>1</v>
      </c>
      <c r="K416" s="1219">
        <f>1-I416</f>
        <v>9.9999999999999978E-2</v>
      </c>
    </row>
    <row r="417" spans="2:11" x14ac:dyDescent="0.3">
      <c r="B417" s="5778"/>
      <c r="C417" s="1220" t="s">
        <v>64</v>
      </c>
      <c r="D417" s="1221">
        <v>4</v>
      </c>
      <c r="E417" s="1120">
        <v>4</v>
      </c>
      <c r="F417" s="1220"/>
      <c r="G417" s="1120">
        <v>1</v>
      </c>
      <c r="H417" s="1120">
        <f>SUM(F417:G417)</f>
        <v>1</v>
      </c>
      <c r="I417" s="1122">
        <f>H417/E417</f>
        <v>0.25</v>
      </c>
      <c r="J417" s="1220">
        <f>E417-H417</f>
        <v>3</v>
      </c>
      <c r="K417" s="1122">
        <f>1-I417</f>
        <v>0.75</v>
      </c>
    </row>
    <row r="418" spans="2:11" x14ac:dyDescent="0.3">
      <c r="B418" s="5778"/>
      <c r="C418" s="1222" t="s">
        <v>68</v>
      </c>
      <c r="D418" s="1223">
        <v>3</v>
      </c>
      <c r="E418" s="1224">
        <v>3</v>
      </c>
      <c r="F418" s="1222"/>
      <c r="G418" s="1224">
        <v>3</v>
      </c>
      <c r="H418" s="1224">
        <f>SUM(F418:G418)</f>
        <v>3</v>
      </c>
      <c r="I418" s="1225">
        <f>H418/E418</f>
        <v>1</v>
      </c>
      <c r="J418" s="1222">
        <f>E418-H418</f>
        <v>0</v>
      </c>
      <c r="K418" s="1225">
        <f>1-I418</f>
        <v>0</v>
      </c>
    </row>
    <row r="419" spans="2:11" x14ac:dyDescent="0.3">
      <c r="B419" s="5779"/>
      <c r="C419" s="1226" t="s">
        <v>279</v>
      </c>
      <c r="D419" s="1227">
        <f>SUM(D416:D418)</f>
        <v>17</v>
      </c>
      <c r="E419" s="1228">
        <f>SUM(E416:E418)</f>
        <v>17</v>
      </c>
      <c r="F419" s="1226">
        <f>SUM(F416:F418)</f>
        <v>0</v>
      </c>
      <c r="G419" s="1228">
        <f>SUM(G416:G418)</f>
        <v>13</v>
      </c>
      <c r="H419" s="1228">
        <f>SUM(F419:G419)</f>
        <v>13</v>
      </c>
      <c r="I419" s="1229">
        <f>H419/E419</f>
        <v>0.76470588235294112</v>
      </c>
      <c r="J419" s="1226">
        <f>E419-H419</f>
        <v>4</v>
      </c>
      <c r="K419" s="1229">
        <f>1-I419</f>
        <v>0.23529411764705888</v>
      </c>
    </row>
    <row r="420" spans="2:11" x14ac:dyDescent="0.3">
      <c r="B420" s="5302"/>
      <c r="C420" s="5302"/>
      <c r="D420" s="5302"/>
      <c r="E420" s="5302"/>
      <c r="F420" s="5302"/>
      <c r="G420" s="5302"/>
      <c r="H420" s="5302"/>
      <c r="I420" s="5302"/>
      <c r="J420" s="5302"/>
      <c r="K420" s="5302"/>
    </row>
    <row r="421" spans="2:11" x14ac:dyDescent="0.3">
      <c r="B421" s="5786" t="s">
        <v>287</v>
      </c>
      <c r="C421" s="1216" t="s">
        <v>64</v>
      </c>
      <c r="D421" s="1217">
        <v>4</v>
      </c>
      <c r="E421" s="1218"/>
      <c r="F421" s="1216"/>
      <c r="G421" s="1218"/>
      <c r="H421" s="1218"/>
      <c r="I421" s="1219"/>
      <c r="J421" s="1216"/>
      <c r="K421" s="1219"/>
    </row>
    <row r="422" spans="2:11" x14ac:dyDescent="0.3">
      <c r="B422" s="5787"/>
      <c r="C422" s="1220" t="s">
        <v>111</v>
      </c>
      <c r="D422" s="1221">
        <v>3</v>
      </c>
      <c r="E422" s="1120"/>
      <c r="F422" s="1220"/>
      <c r="G422" s="1120"/>
      <c r="H422" s="1120"/>
      <c r="I422" s="1122"/>
      <c r="J422" s="1220"/>
      <c r="K422" s="1122"/>
    </row>
    <row r="423" spans="2:11" x14ac:dyDescent="0.3">
      <c r="B423" s="5787"/>
      <c r="C423" s="1222" t="s">
        <v>115</v>
      </c>
      <c r="D423" s="1223">
        <v>3</v>
      </c>
      <c r="E423" s="1224"/>
      <c r="F423" s="1222"/>
      <c r="G423" s="1224"/>
      <c r="H423" s="1224"/>
      <c r="I423" s="1225"/>
      <c r="J423" s="1222"/>
      <c r="K423" s="1225"/>
    </row>
    <row r="424" spans="2:11" x14ac:dyDescent="0.3">
      <c r="B424" s="5788"/>
      <c r="C424" s="1226" t="s">
        <v>279</v>
      </c>
      <c r="D424" s="1227">
        <f>SUM(D421:D423)</f>
        <v>10</v>
      </c>
      <c r="E424" s="1228"/>
      <c r="F424" s="1226"/>
      <c r="G424" s="1228"/>
      <c r="H424" s="1228"/>
      <c r="I424" s="1229"/>
      <c r="J424" s="1226"/>
      <c r="K424" s="1229"/>
    </row>
    <row r="425" spans="2:11" x14ac:dyDescent="0.3">
      <c r="B425" s="1211"/>
      <c r="C425" s="1136"/>
      <c r="D425" s="1136"/>
      <c r="E425" s="1136"/>
      <c r="F425" s="1136"/>
      <c r="G425" s="5301"/>
      <c r="H425" s="5301"/>
      <c r="I425" s="5301"/>
      <c r="J425" s="5301"/>
      <c r="K425" s="5301"/>
    </row>
    <row r="426" spans="2:11" x14ac:dyDescent="0.3">
      <c r="B426" s="5780" t="s">
        <v>288</v>
      </c>
      <c r="C426" s="1216" t="s">
        <v>59</v>
      </c>
      <c r="D426" s="1217">
        <v>9</v>
      </c>
      <c r="E426" s="1218">
        <v>9</v>
      </c>
      <c r="F426" s="1216">
        <v>3</v>
      </c>
      <c r="G426" s="1218">
        <v>5</v>
      </c>
      <c r="H426" s="1218">
        <f>SUM(F426:G426)</f>
        <v>8</v>
      </c>
      <c r="I426" s="1219">
        <f>H426/E426</f>
        <v>0.88888888888888884</v>
      </c>
      <c r="J426" s="1216">
        <f>E426-H426</f>
        <v>1</v>
      </c>
      <c r="K426" s="1219">
        <f>1-I426</f>
        <v>0.11111111111111116</v>
      </c>
    </row>
    <row r="427" spans="2:11" x14ac:dyDescent="0.3">
      <c r="B427" s="5781"/>
      <c r="C427" s="1220" t="s">
        <v>64</v>
      </c>
      <c r="D427" s="1221">
        <v>11</v>
      </c>
      <c r="E427" s="1120">
        <v>11</v>
      </c>
      <c r="F427" s="1220">
        <v>8</v>
      </c>
      <c r="G427" s="1120"/>
      <c r="H427" s="1120">
        <f>SUM(F427:G427)</f>
        <v>8</v>
      </c>
      <c r="I427" s="1122">
        <f>H427/E427</f>
        <v>0.72727272727272729</v>
      </c>
      <c r="J427" s="1220">
        <f>E427-H427</f>
        <v>3</v>
      </c>
      <c r="K427" s="1122">
        <f>1-I427</f>
        <v>0.27272727272727271</v>
      </c>
    </row>
    <row r="428" spans="2:11" x14ac:dyDescent="0.3">
      <c r="B428" s="5781"/>
      <c r="C428" s="1222" t="s">
        <v>92</v>
      </c>
      <c r="D428" s="1223">
        <v>6</v>
      </c>
      <c r="E428" s="1224">
        <v>6</v>
      </c>
      <c r="F428" s="1222">
        <v>2</v>
      </c>
      <c r="G428" s="1224">
        <v>3</v>
      </c>
      <c r="H428" s="1224">
        <f>SUM(F428:G428)</f>
        <v>5</v>
      </c>
      <c r="I428" s="1225">
        <f>H428/E428</f>
        <v>0.83333333333333337</v>
      </c>
      <c r="J428" s="1222">
        <f>E428-H428</f>
        <v>1</v>
      </c>
      <c r="K428" s="1225">
        <f>1-I428</f>
        <v>0.16666666666666663</v>
      </c>
    </row>
    <row r="429" spans="2:11" x14ac:dyDescent="0.3">
      <c r="B429" s="5782"/>
      <c r="C429" s="1226" t="s">
        <v>279</v>
      </c>
      <c r="D429" s="1227">
        <f>SUM(D426:D428)</f>
        <v>26</v>
      </c>
      <c r="E429" s="1228">
        <f>SUM(E426:E428)</f>
        <v>26</v>
      </c>
      <c r="F429" s="1226">
        <f>SUM(F426:F428)</f>
        <v>13</v>
      </c>
      <c r="G429" s="1228">
        <f>SUM(G426:G428)</f>
        <v>8</v>
      </c>
      <c r="H429" s="1228">
        <f>SUM(F429:G429)</f>
        <v>21</v>
      </c>
      <c r="I429" s="1229">
        <f>H429/E429</f>
        <v>0.80769230769230771</v>
      </c>
      <c r="J429" s="1226">
        <f>E429-H429</f>
        <v>5</v>
      </c>
      <c r="K429" s="1229">
        <f>1-I429</f>
        <v>0.19230769230769229</v>
      </c>
    </row>
    <row r="430" spans="2:11" x14ac:dyDescent="0.3">
      <c r="B430" s="1240"/>
      <c r="C430" s="5301"/>
      <c r="D430" s="5301"/>
      <c r="E430" s="5301"/>
      <c r="F430" s="5301"/>
      <c r="G430" s="5301"/>
      <c r="H430" s="5301"/>
      <c r="I430" s="5301"/>
      <c r="J430" s="5301"/>
      <c r="K430" s="5301"/>
    </row>
    <row r="431" spans="2:11" x14ac:dyDescent="0.3">
      <c r="B431" s="5783" t="s">
        <v>290</v>
      </c>
      <c r="C431" s="1216" t="s">
        <v>64</v>
      </c>
      <c r="D431" s="1217">
        <v>6</v>
      </c>
      <c r="E431" s="1218">
        <v>6</v>
      </c>
      <c r="F431" s="1216"/>
      <c r="G431" s="1218">
        <v>6</v>
      </c>
      <c r="H431" s="1218">
        <f>SUM(F431:G431)</f>
        <v>6</v>
      </c>
      <c r="I431" s="1219">
        <f>H431/E431</f>
        <v>1</v>
      </c>
      <c r="J431" s="1216">
        <f>E431-H431</f>
        <v>0</v>
      </c>
      <c r="K431" s="1219">
        <f>1-I431</f>
        <v>0</v>
      </c>
    </row>
    <row r="432" spans="2:11" x14ac:dyDescent="0.3">
      <c r="B432" s="5784"/>
      <c r="C432" s="1220" t="s">
        <v>92</v>
      </c>
      <c r="D432" s="1221">
        <v>8</v>
      </c>
      <c r="E432" s="1120">
        <v>8</v>
      </c>
      <c r="F432" s="1220"/>
      <c r="G432" s="1120">
        <v>5</v>
      </c>
      <c r="H432" s="1120">
        <f>SUM(F432:G432)</f>
        <v>5</v>
      </c>
      <c r="I432" s="1122">
        <f>H432/E432</f>
        <v>0.625</v>
      </c>
      <c r="J432" s="1220">
        <f>E432-H432</f>
        <v>3</v>
      </c>
      <c r="K432" s="1122">
        <f>1-I432</f>
        <v>0.375</v>
      </c>
    </row>
    <row r="433" spans="2:11" x14ac:dyDescent="0.3">
      <c r="B433" s="5784"/>
      <c r="C433" s="1222" t="s">
        <v>68</v>
      </c>
      <c r="D433" s="1223">
        <v>4</v>
      </c>
      <c r="E433" s="1224">
        <v>4</v>
      </c>
      <c r="F433" s="1222">
        <v>2</v>
      </c>
      <c r="G433" s="1224">
        <v>1</v>
      </c>
      <c r="H433" s="1224">
        <f>SUM(F433:G433)</f>
        <v>3</v>
      </c>
      <c r="I433" s="1225">
        <f>H433/E433</f>
        <v>0.75</v>
      </c>
      <c r="J433" s="1222">
        <f>E433-H433</f>
        <v>1</v>
      </c>
      <c r="K433" s="1225">
        <f>1-I433</f>
        <v>0.25</v>
      </c>
    </row>
    <row r="434" spans="2:11" x14ac:dyDescent="0.3">
      <c r="B434" s="5785"/>
      <c r="C434" s="1226" t="s">
        <v>279</v>
      </c>
      <c r="D434" s="1227">
        <f>SUM(D431:D433)</f>
        <v>18</v>
      </c>
      <c r="E434" s="1228">
        <f>SUM(E431:E433)</f>
        <v>18</v>
      </c>
      <c r="F434" s="1226">
        <f>SUM(F431:F433)</f>
        <v>2</v>
      </c>
      <c r="G434" s="1228">
        <f>SUM(G431:G433)</f>
        <v>12</v>
      </c>
      <c r="H434" s="1228">
        <f>SUM(F434:G434)</f>
        <v>14</v>
      </c>
      <c r="I434" s="1229">
        <f>H434/E434</f>
        <v>0.77777777777777779</v>
      </c>
      <c r="J434" s="1226">
        <f>E434-H434</f>
        <v>4</v>
      </c>
      <c r="K434" s="1229">
        <f>1-I434</f>
        <v>0.22222222222222221</v>
      </c>
    </row>
    <row r="435" spans="2:11" x14ac:dyDescent="0.3">
      <c r="B435" s="5301"/>
      <c r="C435" s="5301"/>
      <c r="D435" s="5301"/>
      <c r="E435" s="5301"/>
      <c r="F435" s="5301"/>
      <c r="G435" s="5301"/>
      <c r="H435" s="5301"/>
      <c r="I435" s="5301"/>
      <c r="J435" s="5301"/>
      <c r="K435" s="5301"/>
    </row>
    <row r="436" spans="2:11" x14ac:dyDescent="0.3">
      <c r="B436" s="5789" t="s">
        <v>7</v>
      </c>
      <c r="C436" s="5789"/>
      <c r="D436" s="1227">
        <f>SUM(D419,D424,D429,D434)</f>
        <v>71</v>
      </c>
      <c r="E436" s="1227">
        <f>SUM(E419,E424,E429,E434)</f>
        <v>61</v>
      </c>
      <c r="F436" s="1226">
        <f>SUM(F419,F424,F429,F434)</f>
        <v>15</v>
      </c>
      <c r="G436" s="1228">
        <f>SUM(G419,G424,G429,G434)</f>
        <v>33</v>
      </c>
      <c r="H436" s="1228">
        <f>SUM(H419,H424,H429,H434)</f>
        <v>48</v>
      </c>
      <c r="I436" s="1229">
        <f>H436/E436</f>
        <v>0.78688524590163933</v>
      </c>
      <c r="J436" s="1226">
        <f>E436-H436</f>
        <v>13</v>
      </c>
      <c r="K436" s="1229">
        <f>1-I436</f>
        <v>0.21311475409836067</v>
      </c>
    </row>
    <row r="437" spans="2:11" x14ac:dyDescent="0.3">
      <c r="B437" s="5308"/>
      <c r="C437" s="5308"/>
      <c r="D437" s="1210"/>
      <c r="E437" s="5309"/>
      <c r="F437" s="5309">
        <f>F436/E436</f>
        <v>0.24590163934426229</v>
      </c>
      <c r="G437" s="5309">
        <f>G436/E436</f>
        <v>0.54098360655737709</v>
      </c>
      <c r="H437" s="5301"/>
      <c r="I437" s="5310"/>
      <c r="J437" s="5310"/>
      <c r="K437" s="5311"/>
    </row>
    <row r="441" spans="2:11" x14ac:dyDescent="0.3">
      <c r="B441" s="5790" t="s">
        <v>27</v>
      </c>
      <c r="C441" s="5790" t="s">
        <v>10</v>
      </c>
      <c r="D441" s="5791" t="s">
        <v>300</v>
      </c>
      <c r="E441" s="5791" t="s">
        <v>277</v>
      </c>
      <c r="F441" s="5772" t="s">
        <v>301</v>
      </c>
      <c r="G441" s="5773"/>
      <c r="H441" s="5773"/>
      <c r="I441" s="5774"/>
      <c r="J441" s="1211"/>
      <c r="K441" s="5311"/>
    </row>
    <row r="442" spans="2:11" ht="30" customHeight="1" x14ac:dyDescent="0.3">
      <c r="B442" s="5790"/>
      <c r="C442" s="5790"/>
      <c r="D442" s="5791"/>
      <c r="E442" s="5791"/>
      <c r="F442" s="5292" t="s">
        <v>297</v>
      </c>
      <c r="G442" s="5292" t="s">
        <v>275</v>
      </c>
      <c r="H442" s="1238" t="s">
        <v>48</v>
      </c>
      <c r="I442" s="5292" t="s">
        <v>272</v>
      </c>
      <c r="J442" s="5775" t="s">
        <v>270</v>
      </c>
      <c r="K442" s="5776"/>
    </row>
    <row r="443" spans="2:11" x14ac:dyDescent="0.3">
      <c r="B443" s="1111"/>
      <c r="C443" s="1111"/>
      <c r="D443" s="1111"/>
      <c r="E443" s="1111"/>
      <c r="F443" s="1111"/>
      <c r="G443" s="1111"/>
      <c r="H443" s="1111"/>
      <c r="I443" s="1111"/>
      <c r="J443" s="1111"/>
      <c r="K443" s="1111"/>
    </row>
    <row r="444" spans="2:11" x14ac:dyDescent="0.3">
      <c r="B444" s="5777" t="s">
        <v>286</v>
      </c>
      <c r="C444" s="1216" t="s">
        <v>59</v>
      </c>
      <c r="D444" s="1217">
        <v>10</v>
      </c>
      <c r="E444" s="1218">
        <v>10</v>
      </c>
      <c r="F444" s="1216"/>
      <c r="G444" s="1218">
        <v>9</v>
      </c>
      <c r="H444" s="1218">
        <f>SUM(F444:G444)</f>
        <v>9</v>
      </c>
      <c r="I444" s="1219">
        <f>H444/E444</f>
        <v>0.9</v>
      </c>
      <c r="J444" s="1216">
        <f>E444-H444</f>
        <v>1</v>
      </c>
      <c r="K444" s="1219">
        <f>1-I444</f>
        <v>9.9999999999999978E-2</v>
      </c>
    </row>
    <row r="445" spans="2:11" x14ac:dyDescent="0.3">
      <c r="B445" s="5778"/>
      <c r="C445" s="1220" t="s">
        <v>64</v>
      </c>
      <c r="D445" s="1221">
        <v>4</v>
      </c>
      <c r="E445" s="1120">
        <v>4</v>
      </c>
      <c r="F445" s="1220"/>
      <c r="G445" s="1120">
        <v>1</v>
      </c>
      <c r="H445" s="1120">
        <f>SUM(F445:G445)</f>
        <v>1</v>
      </c>
      <c r="I445" s="1122">
        <f>H445/E445</f>
        <v>0.25</v>
      </c>
      <c r="J445" s="1220">
        <f>E445-H445</f>
        <v>3</v>
      </c>
      <c r="K445" s="1122">
        <f>1-I445</f>
        <v>0.75</v>
      </c>
    </row>
    <row r="446" spans="2:11" x14ac:dyDescent="0.3">
      <c r="B446" s="5778"/>
      <c r="C446" s="1222" t="s">
        <v>68</v>
      </c>
      <c r="D446" s="1223">
        <v>3</v>
      </c>
      <c r="E446" s="1224">
        <v>3</v>
      </c>
      <c r="F446" s="1222">
        <v>2</v>
      </c>
      <c r="G446" s="1224">
        <v>1</v>
      </c>
      <c r="H446" s="1224">
        <f>SUM(F446:G446)</f>
        <v>3</v>
      </c>
      <c r="I446" s="1225">
        <f>H446/E446</f>
        <v>1</v>
      </c>
      <c r="J446" s="1222">
        <f>E446-H446</f>
        <v>0</v>
      </c>
      <c r="K446" s="1225">
        <f>1-I446</f>
        <v>0</v>
      </c>
    </row>
    <row r="447" spans="2:11" x14ac:dyDescent="0.3">
      <c r="B447" s="5779"/>
      <c r="C447" s="1226" t="s">
        <v>279</v>
      </c>
      <c r="D447" s="1227">
        <f>SUM(D444:D446)</f>
        <v>17</v>
      </c>
      <c r="E447" s="1228">
        <f>SUM(E444:E446)</f>
        <v>17</v>
      </c>
      <c r="F447" s="1226">
        <f>SUM(F444:F446)</f>
        <v>2</v>
      </c>
      <c r="G447" s="1228">
        <f>SUM(G444:G446)</f>
        <v>11</v>
      </c>
      <c r="H447" s="1228">
        <f>SUM(F447:G447)</f>
        <v>13</v>
      </c>
      <c r="I447" s="1229">
        <f>H447/E447</f>
        <v>0.76470588235294112</v>
      </c>
      <c r="J447" s="1226">
        <f>E447-H447</f>
        <v>4</v>
      </c>
      <c r="K447" s="1229">
        <f>1-I447</f>
        <v>0.23529411764705888</v>
      </c>
    </row>
    <row r="448" spans="2:11" x14ac:dyDescent="0.3">
      <c r="B448" s="5302"/>
      <c r="C448" s="5302"/>
      <c r="D448" s="5302"/>
      <c r="E448" s="5302"/>
      <c r="F448" s="5302"/>
      <c r="G448" s="5302"/>
      <c r="H448" s="5302"/>
      <c r="I448" s="5302"/>
      <c r="J448" s="5302"/>
      <c r="K448" s="5302"/>
    </row>
    <row r="449" spans="2:11" x14ac:dyDescent="0.3">
      <c r="B449" s="5786" t="s">
        <v>287</v>
      </c>
      <c r="C449" s="1216" t="s">
        <v>64</v>
      </c>
      <c r="D449" s="1217">
        <v>4</v>
      </c>
      <c r="E449" s="1218"/>
      <c r="F449" s="1216"/>
      <c r="G449" s="1218"/>
      <c r="H449" s="1218"/>
      <c r="I449" s="1219"/>
      <c r="J449" s="1216"/>
      <c r="K449" s="1219"/>
    </row>
    <row r="450" spans="2:11" x14ac:dyDescent="0.3">
      <c r="B450" s="5787"/>
      <c r="C450" s="1220" t="s">
        <v>111</v>
      </c>
      <c r="D450" s="1221">
        <v>3</v>
      </c>
      <c r="E450" s="1120"/>
      <c r="F450" s="1220"/>
      <c r="G450" s="1120"/>
      <c r="H450" s="1120"/>
      <c r="I450" s="1122"/>
      <c r="J450" s="1220"/>
      <c r="K450" s="1122"/>
    </row>
    <row r="451" spans="2:11" x14ac:dyDescent="0.3">
      <c r="B451" s="5787"/>
      <c r="C451" s="1222" t="s">
        <v>115</v>
      </c>
      <c r="D451" s="1223">
        <v>3</v>
      </c>
      <c r="E451" s="1224"/>
      <c r="F451" s="1222"/>
      <c r="G451" s="1224"/>
      <c r="H451" s="1224"/>
      <c r="I451" s="1225"/>
      <c r="J451" s="1222"/>
      <c r="K451" s="1225"/>
    </row>
    <row r="452" spans="2:11" x14ac:dyDescent="0.3">
      <c r="B452" s="5788"/>
      <c r="C452" s="1226" t="s">
        <v>279</v>
      </c>
      <c r="D452" s="1227">
        <f>SUM(D449:D451)</f>
        <v>10</v>
      </c>
      <c r="E452" s="1228"/>
      <c r="F452" s="1226"/>
      <c r="G452" s="1228"/>
      <c r="H452" s="1228"/>
      <c r="I452" s="1229"/>
      <c r="J452" s="1226"/>
      <c r="K452" s="1229"/>
    </row>
    <row r="453" spans="2:11" x14ac:dyDescent="0.3">
      <c r="B453" s="1211"/>
      <c r="C453" s="1136"/>
      <c r="D453" s="1136"/>
      <c r="E453" s="1136"/>
      <c r="F453" s="1136"/>
      <c r="G453" s="5301"/>
      <c r="H453" s="5301"/>
      <c r="I453" s="5301"/>
      <c r="J453" s="5301"/>
      <c r="K453" s="5301"/>
    </row>
    <row r="454" spans="2:11" x14ac:dyDescent="0.3">
      <c r="B454" s="5780" t="s">
        <v>288</v>
      </c>
      <c r="C454" s="1216" t="s">
        <v>59</v>
      </c>
      <c r="D454" s="1217">
        <v>9</v>
      </c>
      <c r="E454" s="1218">
        <v>9</v>
      </c>
      <c r="F454" s="1216">
        <v>3</v>
      </c>
      <c r="G454" s="1218">
        <v>5</v>
      </c>
      <c r="H454" s="1218">
        <f>SUM(F454:G454)</f>
        <v>8</v>
      </c>
      <c r="I454" s="1219">
        <f>H454/E454</f>
        <v>0.88888888888888884</v>
      </c>
      <c r="J454" s="1216">
        <f>E454-H454</f>
        <v>1</v>
      </c>
      <c r="K454" s="1219">
        <f>1-I454</f>
        <v>0.11111111111111116</v>
      </c>
    </row>
    <row r="455" spans="2:11" x14ac:dyDescent="0.3">
      <c r="B455" s="5781"/>
      <c r="C455" s="1220" t="s">
        <v>64</v>
      </c>
      <c r="D455" s="1221">
        <v>11</v>
      </c>
      <c r="E455" s="1120">
        <v>11</v>
      </c>
      <c r="F455" s="1220">
        <v>8</v>
      </c>
      <c r="G455" s="1120"/>
      <c r="H455" s="1120">
        <f>SUM(F455:G455)</f>
        <v>8</v>
      </c>
      <c r="I455" s="1122">
        <f>H455/E455</f>
        <v>0.72727272727272729</v>
      </c>
      <c r="J455" s="1220">
        <f>E455-H455</f>
        <v>3</v>
      </c>
      <c r="K455" s="1122">
        <f>1-I455</f>
        <v>0.27272727272727271</v>
      </c>
    </row>
    <row r="456" spans="2:11" x14ac:dyDescent="0.3">
      <c r="B456" s="5781"/>
      <c r="C456" s="1222" t="s">
        <v>92</v>
      </c>
      <c r="D456" s="1223">
        <v>6</v>
      </c>
      <c r="E456" s="1224">
        <v>6</v>
      </c>
      <c r="F456" s="1222">
        <v>2</v>
      </c>
      <c r="G456" s="1224">
        <v>3</v>
      </c>
      <c r="H456" s="1224">
        <f>SUM(F456:G456)</f>
        <v>5</v>
      </c>
      <c r="I456" s="1225">
        <f>H456/E456</f>
        <v>0.83333333333333337</v>
      </c>
      <c r="J456" s="1222">
        <f>E456-H456</f>
        <v>1</v>
      </c>
      <c r="K456" s="1225">
        <f>1-I456</f>
        <v>0.16666666666666663</v>
      </c>
    </row>
    <row r="457" spans="2:11" x14ac:dyDescent="0.3">
      <c r="B457" s="5782"/>
      <c r="C457" s="1226" t="s">
        <v>279</v>
      </c>
      <c r="D457" s="1227">
        <f>SUM(D454:D456)</f>
        <v>26</v>
      </c>
      <c r="E457" s="1228">
        <f>SUM(E454:E456)</f>
        <v>26</v>
      </c>
      <c r="F457" s="1226">
        <f>SUM(F454:F456)</f>
        <v>13</v>
      </c>
      <c r="G457" s="1228">
        <f>SUM(G454:G456)</f>
        <v>8</v>
      </c>
      <c r="H457" s="1228">
        <f>SUM(F457:G457)</f>
        <v>21</v>
      </c>
      <c r="I457" s="1229">
        <f>H457/E457</f>
        <v>0.80769230769230771</v>
      </c>
      <c r="J457" s="1226">
        <f>E457-H457</f>
        <v>5</v>
      </c>
      <c r="K457" s="1229">
        <f>1-I457</f>
        <v>0.19230769230769229</v>
      </c>
    </row>
    <row r="458" spans="2:11" x14ac:dyDescent="0.3">
      <c r="B458" s="1240"/>
      <c r="C458" s="5301"/>
      <c r="D458" s="5301"/>
      <c r="E458" s="5301"/>
      <c r="F458" s="5301"/>
      <c r="G458" s="5301"/>
      <c r="H458" s="5301"/>
      <c r="I458" s="5301"/>
      <c r="J458" s="5301"/>
      <c r="K458" s="5301"/>
    </row>
    <row r="459" spans="2:11" x14ac:dyDescent="0.3">
      <c r="B459" s="5783" t="s">
        <v>290</v>
      </c>
      <c r="C459" s="1216" t="s">
        <v>64</v>
      </c>
      <c r="D459" s="1217">
        <v>6</v>
      </c>
      <c r="E459" s="1218">
        <v>6</v>
      </c>
      <c r="F459" s="1216"/>
      <c r="G459" s="1218">
        <v>6</v>
      </c>
      <c r="H459" s="1218">
        <f>SUM(F459:G459)</f>
        <v>6</v>
      </c>
      <c r="I459" s="1219">
        <f>H459/E459</f>
        <v>1</v>
      </c>
      <c r="J459" s="1216">
        <f>E459-H459</f>
        <v>0</v>
      </c>
      <c r="K459" s="1219">
        <f>1-I459</f>
        <v>0</v>
      </c>
    </row>
    <row r="460" spans="2:11" x14ac:dyDescent="0.3">
      <c r="B460" s="5784"/>
      <c r="C460" s="1220" t="s">
        <v>92</v>
      </c>
      <c r="D460" s="1221">
        <v>8</v>
      </c>
      <c r="E460" s="1120">
        <v>8</v>
      </c>
      <c r="F460" s="1220"/>
      <c r="G460" s="1120">
        <v>5</v>
      </c>
      <c r="H460" s="1120">
        <f>SUM(F460:G460)</f>
        <v>5</v>
      </c>
      <c r="I460" s="1122">
        <f>H460/E460</f>
        <v>0.625</v>
      </c>
      <c r="J460" s="1220">
        <f>E460-H460</f>
        <v>3</v>
      </c>
      <c r="K460" s="1122">
        <f>1-I460</f>
        <v>0.375</v>
      </c>
    </row>
    <row r="461" spans="2:11" x14ac:dyDescent="0.3">
      <c r="B461" s="5784"/>
      <c r="C461" s="1222" t="s">
        <v>68</v>
      </c>
      <c r="D461" s="1223">
        <v>4</v>
      </c>
      <c r="E461" s="1224">
        <v>4</v>
      </c>
      <c r="F461" s="1222">
        <v>1</v>
      </c>
      <c r="G461" s="1224">
        <v>1</v>
      </c>
      <c r="H461" s="1224">
        <f>SUM(F461:G461)</f>
        <v>2</v>
      </c>
      <c r="I461" s="1225">
        <f>H461/E461</f>
        <v>0.5</v>
      </c>
      <c r="J461" s="1222">
        <f>E461-H461</f>
        <v>2</v>
      </c>
      <c r="K461" s="1225">
        <f>1-I461</f>
        <v>0.5</v>
      </c>
    </row>
    <row r="462" spans="2:11" x14ac:dyDescent="0.3">
      <c r="B462" s="5785"/>
      <c r="C462" s="1226" t="s">
        <v>279</v>
      </c>
      <c r="D462" s="1227">
        <f>SUM(D459:D461)</f>
        <v>18</v>
      </c>
      <c r="E462" s="1228">
        <f>SUM(E459:E461)</f>
        <v>18</v>
      </c>
      <c r="F462" s="1226">
        <f>SUM(F459:F461)</f>
        <v>1</v>
      </c>
      <c r="G462" s="1228">
        <f>SUM(G459:G461)</f>
        <v>12</v>
      </c>
      <c r="H462" s="1228">
        <f>SUM(F462:G462)</f>
        <v>13</v>
      </c>
      <c r="I462" s="1229">
        <f>H462/E462</f>
        <v>0.72222222222222221</v>
      </c>
      <c r="J462" s="1226">
        <f>E462-H462</f>
        <v>5</v>
      </c>
      <c r="K462" s="1229">
        <f>1-I462</f>
        <v>0.27777777777777779</v>
      </c>
    </row>
    <row r="463" spans="2:11" x14ac:dyDescent="0.3">
      <c r="B463" s="5301"/>
      <c r="C463" s="5301"/>
      <c r="D463" s="5301"/>
      <c r="E463" s="5301"/>
      <c r="F463" s="5301"/>
      <c r="G463" s="5301"/>
      <c r="H463" s="5301"/>
      <c r="I463" s="5301"/>
      <c r="J463" s="5301"/>
      <c r="K463" s="5301"/>
    </row>
    <row r="464" spans="2:11" x14ac:dyDescent="0.3">
      <c r="B464" s="5789" t="s">
        <v>7</v>
      </c>
      <c r="C464" s="5789"/>
      <c r="D464" s="1227">
        <f>SUM(D447,D452,D457,D462)</f>
        <v>71</v>
      </c>
      <c r="E464" s="1227">
        <f>SUM(E447,E452,E457,E462)</f>
        <v>61</v>
      </c>
      <c r="F464" s="1226">
        <f>SUM(F447,F452,F457,F462)</f>
        <v>16</v>
      </c>
      <c r="G464" s="1228">
        <f>SUM(G447,G452,G457,G462)</f>
        <v>31</v>
      </c>
      <c r="H464" s="1228">
        <f>SUM(H447,H452,H457,H462)</f>
        <v>47</v>
      </c>
      <c r="I464" s="1229">
        <f>H464/E464</f>
        <v>0.77049180327868849</v>
      </c>
      <c r="J464" s="1226">
        <f>E464-H464</f>
        <v>14</v>
      </c>
      <c r="K464" s="1229">
        <f>1-I464</f>
        <v>0.22950819672131151</v>
      </c>
    </row>
    <row r="465" spans="2:11" x14ac:dyDescent="0.3">
      <c r="B465" s="5308"/>
      <c r="C465" s="5308"/>
      <c r="D465" s="1210"/>
      <c r="E465" s="5309"/>
      <c r="F465" s="5309">
        <f>F464/E464</f>
        <v>0.26229508196721313</v>
      </c>
      <c r="G465" s="5309">
        <f>G464/E464</f>
        <v>0.50819672131147542</v>
      </c>
      <c r="H465" s="5301"/>
      <c r="I465" s="5310"/>
      <c r="J465" s="5310"/>
      <c r="K465" s="5311"/>
    </row>
    <row r="469" spans="2:11" x14ac:dyDescent="0.3">
      <c r="B469" s="5790" t="s">
        <v>27</v>
      </c>
      <c r="C469" s="5790" t="s">
        <v>10</v>
      </c>
      <c r="D469" s="5791" t="s">
        <v>300</v>
      </c>
      <c r="E469" s="5791" t="s">
        <v>277</v>
      </c>
      <c r="F469" s="5772" t="s">
        <v>302</v>
      </c>
      <c r="G469" s="5773"/>
      <c r="H469" s="5773"/>
      <c r="I469" s="5774"/>
      <c r="J469" s="1211"/>
      <c r="K469" s="5311"/>
    </row>
    <row r="470" spans="2:11" ht="30" customHeight="1" x14ac:dyDescent="0.3">
      <c r="B470" s="5790"/>
      <c r="C470" s="5790"/>
      <c r="D470" s="5791"/>
      <c r="E470" s="5791"/>
      <c r="F470" s="5292" t="s">
        <v>297</v>
      </c>
      <c r="G470" s="5292" t="s">
        <v>275</v>
      </c>
      <c r="H470" s="1238" t="s">
        <v>48</v>
      </c>
      <c r="I470" s="5292" t="s">
        <v>272</v>
      </c>
      <c r="J470" s="5775" t="s">
        <v>270</v>
      </c>
      <c r="K470" s="5776"/>
    </row>
    <row r="471" spans="2:11" x14ac:dyDescent="0.3">
      <c r="B471" s="1111"/>
      <c r="C471" s="1111"/>
      <c r="D471" s="1111"/>
      <c r="E471" s="1111"/>
      <c r="F471" s="1111"/>
      <c r="G471" s="1111"/>
      <c r="H471" s="1111"/>
      <c r="I471" s="1111"/>
      <c r="J471" s="1111"/>
      <c r="K471" s="1111"/>
    </row>
    <row r="472" spans="2:11" x14ac:dyDescent="0.3">
      <c r="B472" s="5777" t="s">
        <v>286</v>
      </c>
      <c r="C472" s="1216" t="s">
        <v>59</v>
      </c>
      <c r="D472" s="1217">
        <v>10</v>
      </c>
      <c r="E472" s="1218">
        <v>9</v>
      </c>
      <c r="F472" s="1216"/>
      <c r="G472" s="1218">
        <v>9</v>
      </c>
      <c r="H472" s="1218">
        <f>SUM(F472:G472)</f>
        <v>9</v>
      </c>
      <c r="I472" s="1219">
        <f>H472/E472</f>
        <v>1</v>
      </c>
      <c r="J472" s="1216">
        <f>E472-H472</f>
        <v>0</v>
      </c>
      <c r="K472" s="1219">
        <f>1-I472</f>
        <v>0</v>
      </c>
    </row>
    <row r="473" spans="2:11" x14ac:dyDescent="0.3">
      <c r="B473" s="5778"/>
      <c r="C473" s="1220" t="s">
        <v>64</v>
      </c>
      <c r="D473" s="1221">
        <v>4</v>
      </c>
      <c r="E473" s="1120">
        <v>4</v>
      </c>
      <c r="F473" s="1220"/>
      <c r="G473" s="1120"/>
      <c r="H473" s="1120">
        <f>SUM(F473:G473)</f>
        <v>0</v>
      </c>
      <c r="I473" s="1122">
        <f>H473/E473</f>
        <v>0</v>
      </c>
      <c r="J473" s="1220">
        <f>E473-H473</f>
        <v>4</v>
      </c>
      <c r="K473" s="1122">
        <f>1-I473</f>
        <v>1</v>
      </c>
    </row>
    <row r="474" spans="2:11" x14ac:dyDescent="0.3">
      <c r="B474" s="5778"/>
      <c r="C474" s="1222" t="s">
        <v>68</v>
      </c>
      <c r="D474" s="1223">
        <v>3</v>
      </c>
      <c r="E474" s="1224">
        <v>3</v>
      </c>
      <c r="F474" s="1222">
        <v>3</v>
      </c>
      <c r="G474" s="1224"/>
      <c r="H474" s="1224">
        <f>SUM(F474:G474)</f>
        <v>3</v>
      </c>
      <c r="I474" s="1225">
        <f>H474/E474</f>
        <v>1</v>
      </c>
      <c r="J474" s="1222">
        <f>E474-H474</f>
        <v>0</v>
      </c>
      <c r="K474" s="1225">
        <f>1-I474</f>
        <v>0</v>
      </c>
    </row>
    <row r="475" spans="2:11" x14ac:dyDescent="0.3">
      <c r="B475" s="5779"/>
      <c r="C475" s="1226" t="s">
        <v>279</v>
      </c>
      <c r="D475" s="1227">
        <f>SUM(D472:D474)</f>
        <v>17</v>
      </c>
      <c r="E475" s="1228">
        <f>SUM(E472:E474)</f>
        <v>16</v>
      </c>
      <c r="F475" s="1226">
        <f>SUM(F472:F474)</f>
        <v>3</v>
      </c>
      <c r="G475" s="1228">
        <f>SUM(G472:G474)</f>
        <v>9</v>
      </c>
      <c r="H475" s="1228">
        <f>SUM(F475:G475)</f>
        <v>12</v>
      </c>
      <c r="I475" s="1229">
        <f>H475/E475</f>
        <v>0.75</v>
      </c>
      <c r="J475" s="1226">
        <f>E475-H475</f>
        <v>4</v>
      </c>
      <c r="K475" s="1229">
        <f>1-I475</f>
        <v>0.25</v>
      </c>
    </row>
    <row r="476" spans="2:11" x14ac:dyDescent="0.3">
      <c r="B476" s="5302"/>
      <c r="C476" s="5302"/>
      <c r="D476" s="5302"/>
      <c r="E476" s="5302"/>
      <c r="F476" s="5302"/>
      <c r="G476" s="5302"/>
      <c r="H476" s="5302"/>
      <c r="I476" s="5302"/>
      <c r="J476" s="5302"/>
      <c r="K476" s="5302"/>
    </row>
    <row r="477" spans="2:11" x14ac:dyDescent="0.3">
      <c r="B477" s="5786" t="s">
        <v>287</v>
      </c>
      <c r="C477" s="1216" t="s">
        <v>64</v>
      </c>
      <c r="D477" s="1217">
        <v>3</v>
      </c>
      <c r="E477" s="1218"/>
      <c r="F477" s="1216"/>
      <c r="G477" s="1218"/>
      <c r="H477" s="1218"/>
      <c r="I477" s="1219"/>
      <c r="J477" s="1216"/>
      <c r="K477" s="1219"/>
    </row>
    <row r="478" spans="2:11" x14ac:dyDescent="0.3">
      <c r="B478" s="5787"/>
      <c r="C478" s="1220" t="s">
        <v>111</v>
      </c>
      <c r="D478" s="1221">
        <v>3</v>
      </c>
      <c r="E478" s="1120"/>
      <c r="F478" s="1220"/>
      <c r="G478" s="1120"/>
      <c r="H478" s="1120"/>
      <c r="I478" s="1122"/>
      <c r="J478" s="1220"/>
      <c r="K478" s="1122"/>
    </row>
    <row r="479" spans="2:11" x14ac:dyDescent="0.3">
      <c r="B479" s="5787"/>
      <c r="C479" s="1222" t="s">
        <v>115</v>
      </c>
      <c r="D479" s="1223">
        <v>2</v>
      </c>
      <c r="E479" s="1224"/>
      <c r="F479" s="1222"/>
      <c r="G479" s="1224"/>
      <c r="H479" s="1224"/>
      <c r="I479" s="1225"/>
      <c r="J479" s="1222"/>
      <c r="K479" s="1225"/>
    </row>
    <row r="480" spans="2:11" x14ac:dyDescent="0.3">
      <c r="B480" s="5788"/>
      <c r="C480" s="1226" t="s">
        <v>279</v>
      </c>
      <c r="D480" s="1227">
        <f>SUM(D477:D479)</f>
        <v>8</v>
      </c>
      <c r="E480" s="1228"/>
      <c r="F480" s="1226"/>
      <c r="G480" s="1228"/>
      <c r="H480" s="1228"/>
      <c r="I480" s="1229"/>
      <c r="J480" s="1226"/>
      <c r="K480" s="1229"/>
    </row>
    <row r="481" spans="2:11" x14ac:dyDescent="0.3">
      <c r="B481" s="1211"/>
      <c r="C481" s="1136"/>
      <c r="D481" s="1136"/>
      <c r="E481" s="1136"/>
      <c r="F481" s="1136"/>
      <c r="G481" s="5301"/>
      <c r="H481" s="5301"/>
      <c r="I481" s="5301"/>
      <c r="J481" s="5301"/>
      <c r="K481" s="5301"/>
    </row>
    <row r="482" spans="2:11" x14ac:dyDescent="0.3">
      <c r="B482" s="5780" t="s">
        <v>288</v>
      </c>
      <c r="C482" s="1216" t="s">
        <v>59</v>
      </c>
      <c r="D482" s="1217">
        <v>9</v>
      </c>
      <c r="E482" s="1218">
        <v>9</v>
      </c>
      <c r="F482" s="1216"/>
      <c r="G482" s="1218">
        <v>5</v>
      </c>
      <c r="H482" s="1218">
        <f>SUM(F482:G482)</f>
        <v>5</v>
      </c>
      <c r="I482" s="1219">
        <f>H482/E482</f>
        <v>0.55555555555555558</v>
      </c>
      <c r="J482" s="1216">
        <f>E482-H482</f>
        <v>4</v>
      </c>
      <c r="K482" s="1219">
        <f>1-I482</f>
        <v>0.44444444444444442</v>
      </c>
    </row>
    <row r="483" spans="2:11" x14ac:dyDescent="0.3">
      <c r="B483" s="5781"/>
      <c r="C483" s="1220" t="s">
        <v>64</v>
      </c>
      <c r="D483" s="1221">
        <v>11</v>
      </c>
      <c r="E483" s="1120">
        <v>11</v>
      </c>
      <c r="F483" s="1220">
        <v>8</v>
      </c>
      <c r="G483" s="1120"/>
      <c r="H483" s="1120">
        <f>SUM(F483:G483)</f>
        <v>8</v>
      </c>
      <c r="I483" s="1122">
        <f>H483/E483</f>
        <v>0.72727272727272729</v>
      </c>
      <c r="J483" s="1220">
        <f>E483-H483</f>
        <v>3</v>
      </c>
      <c r="K483" s="1122">
        <f>1-I483</f>
        <v>0.27272727272727271</v>
      </c>
    </row>
    <row r="484" spans="2:11" x14ac:dyDescent="0.3">
      <c r="B484" s="5781"/>
      <c r="C484" s="1222" t="s">
        <v>92</v>
      </c>
      <c r="D484" s="1223">
        <v>6</v>
      </c>
      <c r="E484" s="1224">
        <v>6</v>
      </c>
      <c r="F484" s="1222">
        <v>2</v>
      </c>
      <c r="G484" s="1224">
        <v>3</v>
      </c>
      <c r="H484" s="1224">
        <f>SUM(F484:G484)</f>
        <v>5</v>
      </c>
      <c r="I484" s="1225">
        <f>H484/E484</f>
        <v>0.83333333333333337</v>
      </c>
      <c r="J484" s="1222">
        <f>E484-H484</f>
        <v>1</v>
      </c>
      <c r="K484" s="1225">
        <f>1-I484</f>
        <v>0.16666666666666663</v>
      </c>
    </row>
    <row r="485" spans="2:11" x14ac:dyDescent="0.3">
      <c r="B485" s="5782"/>
      <c r="C485" s="1226" t="s">
        <v>279</v>
      </c>
      <c r="D485" s="1227">
        <f>SUM(D482:D484)</f>
        <v>26</v>
      </c>
      <c r="E485" s="1228">
        <f>SUM(E482:E484)</f>
        <v>26</v>
      </c>
      <c r="F485" s="1226">
        <f>SUM(F482:F484)</f>
        <v>10</v>
      </c>
      <c r="G485" s="1228">
        <f>SUM(G482:G484)</f>
        <v>8</v>
      </c>
      <c r="H485" s="1228">
        <f>SUM(F485:G485)</f>
        <v>18</v>
      </c>
      <c r="I485" s="1229">
        <f>H485/E485</f>
        <v>0.69230769230769229</v>
      </c>
      <c r="J485" s="1226">
        <f>E485-H485</f>
        <v>8</v>
      </c>
      <c r="K485" s="1229">
        <f>1-I485</f>
        <v>0.30769230769230771</v>
      </c>
    </row>
    <row r="486" spans="2:11" x14ac:dyDescent="0.3">
      <c r="B486" s="1240"/>
      <c r="C486" s="5301"/>
      <c r="D486" s="5301"/>
      <c r="E486" s="5301"/>
      <c r="F486" s="5301"/>
      <c r="G486" s="5301"/>
      <c r="H486" s="5301"/>
      <c r="I486" s="5301"/>
      <c r="J486" s="5301"/>
      <c r="K486" s="5301"/>
    </row>
    <row r="487" spans="2:11" x14ac:dyDescent="0.3">
      <c r="B487" s="5783" t="s">
        <v>290</v>
      </c>
      <c r="C487" s="1216" t="s">
        <v>64</v>
      </c>
      <c r="D487" s="1217">
        <v>6</v>
      </c>
      <c r="E487" s="1218">
        <v>6</v>
      </c>
      <c r="F487" s="1216"/>
      <c r="G487" s="1218">
        <v>5</v>
      </c>
      <c r="H487" s="1218">
        <f>SUM(F487:G487)</f>
        <v>5</v>
      </c>
      <c r="I487" s="1219">
        <f>H487/E487</f>
        <v>0.83333333333333337</v>
      </c>
      <c r="J487" s="1216">
        <f>E487-H487</f>
        <v>1</v>
      </c>
      <c r="K487" s="1219">
        <f>1-I487</f>
        <v>0.16666666666666663</v>
      </c>
    </row>
    <row r="488" spans="2:11" x14ac:dyDescent="0.3">
      <c r="B488" s="5784"/>
      <c r="C488" s="1220" t="s">
        <v>92</v>
      </c>
      <c r="D488" s="1221">
        <v>8</v>
      </c>
      <c r="E488" s="1120">
        <v>8</v>
      </c>
      <c r="F488" s="1220"/>
      <c r="G488" s="1120">
        <v>5</v>
      </c>
      <c r="H488" s="1120">
        <v>4</v>
      </c>
      <c r="I488" s="1122">
        <f>H488/E488</f>
        <v>0.5</v>
      </c>
      <c r="J488" s="1220">
        <f>E488-H488</f>
        <v>4</v>
      </c>
      <c r="K488" s="1122">
        <f>1-I488</f>
        <v>0.5</v>
      </c>
    </row>
    <row r="489" spans="2:11" x14ac:dyDescent="0.3">
      <c r="B489" s="5784"/>
      <c r="C489" s="1222" t="s">
        <v>68</v>
      </c>
      <c r="D489" s="1223">
        <v>4</v>
      </c>
      <c r="E489" s="1224">
        <v>4</v>
      </c>
      <c r="F489" s="1222">
        <v>1</v>
      </c>
      <c r="G489" s="1224">
        <v>2</v>
      </c>
      <c r="H489" s="1224">
        <f>SUM(F489:G489)</f>
        <v>3</v>
      </c>
      <c r="I489" s="1225">
        <f>H489/E489</f>
        <v>0.75</v>
      </c>
      <c r="J489" s="1222">
        <f>E489-H489</f>
        <v>1</v>
      </c>
      <c r="K489" s="1225">
        <f>1-I489</f>
        <v>0.25</v>
      </c>
    </row>
    <row r="490" spans="2:11" x14ac:dyDescent="0.3">
      <c r="B490" s="5785"/>
      <c r="C490" s="1226" t="s">
        <v>279</v>
      </c>
      <c r="D490" s="1227">
        <f>SUM(D487:D489)</f>
        <v>18</v>
      </c>
      <c r="E490" s="1228">
        <f>SUM(E487:E489)</f>
        <v>18</v>
      </c>
      <c r="F490" s="1226">
        <f>SUM(F487:F489)</f>
        <v>1</v>
      </c>
      <c r="G490" s="1228">
        <f>SUM(G487:G489)</f>
        <v>12</v>
      </c>
      <c r="H490" s="1228">
        <f>SUM(F490:G490)</f>
        <v>13</v>
      </c>
      <c r="I490" s="1229">
        <f>H490/E490</f>
        <v>0.72222222222222221</v>
      </c>
      <c r="J490" s="1226">
        <f>E490-H490</f>
        <v>5</v>
      </c>
      <c r="K490" s="1229">
        <f>1-I490</f>
        <v>0.27777777777777779</v>
      </c>
    </row>
    <row r="491" spans="2:11" x14ac:dyDescent="0.3">
      <c r="B491" s="5301"/>
      <c r="C491" s="5301"/>
      <c r="D491" s="5301"/>
      <c r="E491" s="5301"/>
      <c r="F491" s="5301"/>
      <c r="G491" s="5301"/>
      <c r="H491" s="5301"/>
      <c r="I491" s="5301"/>
      <c r="J491" s="5301"/>
      <c r="K491" s="5301"/>
    </row>
    <row r="492" spans="2:11" x14ac:dyDescent="0.3">
      <c r="B492" s="5789" t="s">
        <v>7</v>
      </c>
      <c r="C492" s="5789"/>
      <c r="D492" s="1227">
        <f>SUM(D475,D480,D485,D490)</f>
        <v>69</v>
      </c>
      <c r="E492" s="1227">
        <f>SUM(E475,E480,E485,E490)</f>
        <v>60</v>
      </c>
      <c r="F492" s="1226">
        <f>SUM(F475,F480,F485,F490)</f>
        <v>14</v>
      </c>
      <c r="G492" s="1228">
        <f>SUM(G475,G480,G485,G490)</f>
        <v>29</v>
      </c>
      <c r="H492" s="1228">
        <f>SUM(H475,H480,H485,H490)</f>
        <v>43</v>
      </c>
      <c r="I492" s="1229">
        <f>H492/E492</f>
        <v>0.71666666666666667</v>
      </c>
      <c r="J492" s="1226">
        <f>E492-H492</f>
        <v>17</v>
      </c>
      <c r="K492" s="1229">
        <f>1-I492</f>
        <v>0.28333333333333333</v>
      </c>
    </row>
    <row r="493" spans="2:11" x14ac:dyDescent="0.3">
      <c r="B493" s="5308"/>
      <c r="C493" s="5308"/>
      <c r="D493" s="1210"/>
      <c r="E493" s="5309"/>
      <c r="F493" s="5309">
        <f>F492/E492</f>
        <v>0.23333333333333334</v>
      </c>
      <c r="G493" s="5309">
        <f>G492/E492</f>
        <v>0.48333333333333334</v>
      </c>
      <c r="H493" s="5301"/>
      <c r="I493" s="5310"/>
      <c r="J493" s="5310"/>
      <c r="K493" s="5311"/>
    </row>
    <row r="497" spans="2:11" x14ac:dyDescent="0.3">
      <c r="B497" s="5790" t="s">
        <v>27</v>
      </c>
      <c r="C497" s="5790" t="s">
        <v>10</v>
      </c>
      <c r="D497" s="5791" t="s">
        <v>300</v>
      </c>
      <c r="E497" s="5791" t="s">
        <v>277</v>
      </c>
      <c r="F497" s="5772" t="s">
        <v>303</v>
      </c>
      <c r="G497" s="5773"/>
      <c r="H497" s="5773"/>
      <c r="I497" s="5774"/>
      <c r="J497" s="1211"/>
      <c r="K497" s="5311"/>
    </row>
    <row r="498" spans="2:11" ht="28.8" x14ac:dyDescent="0.3">
      <c r="B498" s="5790"/>
      <c r="C498" s="5790"/>
      <c r="D498" s="5791"/>
      <c r="E498" s="5791"/>
      <c r="F498" s="5292" t="s">
        <v>297</v>
      </c>
      <c r="G498" s="5292" t="s">
        <v>275</v>
      </c>
      <c r="H498" s="1238" t="s">
        <v>48</v>
      </c>
      <c r="I498" s="5292" t="s">
        <v>272</v>
      </c>
      <c r="J498" s="5775" t="s">
        <v>270</v>
      </c>
      <c r="K498" s="5776"/>
    </row>
    <row r="499" spans="2:11" x14ac:dyDescent="0.3">
      <c r="B499" s="1111"/>
      <c r="C499" s="1111"/>
      <c r="D499" s="1111"/>
      <c r="E499" s="1111"/>
      <c r="F499" s="1111"/>
      <c r="G499" s="1111"/>
      <c r="H499" s="1111"/>
      <c r="I499" s="1111"/>
      <c r="J499" s="1111"/>
      <c r="K499" s="1111"/>
    </row>
    <row r="500" spans="2:11" x14ac:dyDescent="0.3">
      <c r="B500" s="5777" t="s">
        <v>286</v>
      </c>
      <c r="C500" s="1216" t="s">
        <v>59</v>
      </c>
      <c r="D500" s="1217">
        <v>10</v>
      </c>
      <c r="E500" s="1218">
        <v>9</v>
      </c>
      <c r="F500" s="1216"/>
      <c r="G500" s="1218">
        <v>9</v>
      </c>
      <c r="H500" s="1218">
        <f>SUM(F500:G500)</f>
        <v>9</v>
      </c>
      <c r="I500" s="1219">
        <f>H500/E500</f>
        <v>1</v>
      </c>
      <c r="J500" s="1216">
        <f>E500-H500</f>
        <v>0</v>
      </c>
      <c r="K500" s="1219">
        <f>1-I500</f>
        <v>0</v>
      </c>
    </row>
    <row r="501" spans="2:11" x14ac:dyDescent="0.3">
      <c r="B501" s="5778"/>
      <c r="C501" s="1220" t="s">
        <v>64</v>
      </c>
      <c r="D501" s="1221">
        <v>4</v>
      </c>
      <c r="E501" s="1120">
        <v>4</v>
      </c>
      <c r="F501" s="1220"/>
      <c r="G501" s="1120">
        <v>4</v>
      </c>
      <c r="H501" s="1120">
        <f>SUM(F501:G501)</f>
        <v>4</v>
      </c>
      <c r="I501" s="1122">
        <f>H501/E501</f>
        <v>1</v>
      </c>
      <c r="J501" s="1220">
        <f>E501-H501</f>
        <v>0</v>
      </c>
      <c r="K501" s="1122">
        <f>1-I501</f>
        <v>0</v>
      </c>
    </row>
    <row r="502" spans="2:11" x14ac:dyDescent="0.3">
      <c r="B502" s="5778"/>
      <c r="C502" s="1222" t="s">
        <v>68</v>
      </c>
      <c r="D502" s="1223">
        <v>3</v>
      </c>
      <c r="E502" s="1224">
        <v>3</v>
      </c>
      <c r="F502" s="1222">
        <v>3</v>
      </c>
      <c r="G502" s="1224"/>
      <c r="H502" s="1224">
        <f>SUM(F502:G502)</f>
        <v>3</v>
      </c>
      <c r="I502" s="1225">
        <f>H502/E502</f>
        <v>1</v>
      </c>
      <c r="J502" s="1222">
        <f>E502-H502</f>
        <v>0</v>
      </c>
      <c r="K502" s="1225">
        <f>1-I502</f>
        <v>0</v>
      </c>
    </row>
    <row r="503" spans="2:11" x14ac:dyDescent="0.3">
      <c r="B503" s="5779"/>
      <c r="C503" s="1226" t="s">
        <v>279</v>
      </c>
      <c r="D503" s="1227">
        <f>SUM(D500:D502)</f>
        <v>17</v>
      </c>
      <c r="E503" s="1228">
        <f>SUM(E500:E502)</f>
        <v>16</v>
      </c>
      <c r="F503" s="1226">
        <f>SUM(F500:F502)</f>
        <v>3</v>
      </c>
      <c r="G503" s="1228">
        <f>SUM(G500:G502)</f>
        <v>13</v>
      </c>
      <c r="H503" s="1228">
        <f>SUM(F503:G503)</f>
        <v>16</v>
      </c>
      <c r="I503" s="1229">
        <f>H503/E503</f>
        <v>1</v>
      </c>
      <c r="J503" s="1226">
        <f>E503-H503</f>
        <v>0</v>
      </c>
      <c r="K503" s="1229">
        <f>1-I503</f>
        <v>0</v>
      </c>
    </row>
    <row r="504" spans="2:11" x14ac:dyDescent="0.3">
      <c r="B504" s="5302"/>
      <c r="C504" s="5302"/>
      <c r="D504" s="5302"/>
      <c r="E504" s="5302"/>
      <c r="F504" s="5302"/>
      <c r="G504" s="5302"/>
      <c r="H504" s="5302"/>
      <c r="I504" s="5302"/>
      <c r="J504" s="5302"/>
      <c r="K504" s="5302"/>
    </row>
    <row r="505" spans="2:11" x14ac:dyDescent="0.3">
      <c r="B505" s="5780" t="s">
        <v>288</v>
      </c>
      <c r="C505" s="1216" t="s">
        <v>59</v>
      </c>
      <c r="D505" s="1217">
        <v>9</v>
      </c>
      <c r="E505" s="1218">
        <v>9</v>
      </c>
      <c r="F505" s="1216">
        <v>1</v>
      </c>
      <c r="G505" s="1218">
        <v>4</v>
      </c>
      <c r="H505" s="1218">
        <f>SUM(F505:G505)</f>
        <v>5</v>
      </c>
      <c r="I505" s="1219">
        <f>H505/E505</f>
        <v>0.55555555555555558</v>
      </c>
      <c r="J505" s="1216">
        <f>E505-H505</f>
        <v>4</v>
      </c>
      <c r="K505" s="1219">
        <f>1-I505</f>
        <v>0.44444444444444442</v>
      </c>
    </row>
    <row r="506" spans="2:11" x14ac:dyDescent="0.3">
      <c r="B506" s="5781"/>
      <c r="C506" s="1220" t="s">
        <v>64</v>
      </c>
      <c r="D506" s="1221">
        <v>11</v>
      </c>
      <c r="E506" s="1120">
        <v>10</v>
      </c>
      <c r="F506" s="1220">
        <v>8</v>
      </c>
      <c r="G506" s="1120"/>
      <c r="H506" s="1120">
        <f>SUM(F506:G506)</f>
        <v>8</v>
      </c>
      <c r="I506" s="1122">
        <f>H506/E506</f>
        <v>0.8</v>
      </c>
      <c r="J506" s="1220">
        <f>E506-H506</f>
        <v>2</v>
      </c>
      <c r="K506" s="1122">
        <f>1-I506</f>
        <v>0.19999999999999996</v>
      </c>
    </row>
    <row r="507" spans="2:11" x14ac:dyDescent="0.3">
      <c r="B507" s="5781"/>
      <c r="C507" s="1222" t="s">
        <v>92</v>
      </c>
      <c r="D507" s="1223">
        <v>6</v>
      </c>
      <c r="E507" s="1224">
        <v>6</v>
      </c>
      <c r="F507" s="1222">
        <v>2</v>
      </c>
      <c r="G507" s="1224">
        <v>2</v>
      </c>
      <c r="H507" s="1224">
        <f>SUM(F507:G507)</f>
        <v>4</v>
      </c>
      <c r="I507" s="1225">
        <f>H507/E507</f>
        <v>0.66666666666666663</v>
      </c>
      <c r="J507" s="1222">
        <f>E507-H507</f>
        <v>2</v>
      </c>
      <c r="K507" s="1225">
        <f>1-I507</f>
        <v>0.33333333333333337</v>
      </c>
    </row>
    <row r="508" spans="2:11" x14ac:dyDescent="0.3">
      <c r="B508" s="5782"/>
      <c r="C508" s="1226" t="s">
        <v>279</v>
      </c>
      <c r="D508" s="1227">
        <f>SUM(D505:D507)</f>
        <v>26</v>
      </c>
      <c r="E508" s="1228">
        <f>SUM(E505:E507)</f>
        <v>25</v>
      </c>
      <c r="F508" s="1226">
        <f>SUM(F505:F507)</f>
        <v>11</v>
      </c>
      <c r="G508" s="1228">
        <f>SUM(G505:G507)</f>
        <v>6</v>
      </c>
      <c r="H508" s="1228">
        <f>SUM(F508:G508)</f>
        <v>17</v>
      </c>
      <c r="I508" s="1229">
        <f>H508/E508</f>
        <v>0.68</v>
      </c>
      <c r="J508" s="1226">
        <f>E508-H508</f>
        <v>8</v>
      </c>
      <c r="K508" s="1229">
        <f>1-I508</f>
        <v>0.31999999999999995</v>
      </c>
    </row>
    <row r="509" spans="2:11" x14ac:dyDescent="0.3">
      <c r="B509" s="1240"/>
      <c r="C509" s="5301"/>
      <c r="D509" s="5301"/>
      <c r="E509" s="5301"/>
      <c r="F509" s="5301"/>
      <c r="G509" s="5301"/>
      <c r="H509" s="5301"/>
      <c r="I509" s="5301"/>
      <c r="J509" s="5301"/>
      <c r="K509" s="5301"/>
    </row>
    <row r="510" spans="2:11" x14ac:dyDescent="0.3">
      <c r="B510" s="5783" t="s">
        <v>290</v>
      </c>
      <c r="C510" s="1216" t="s">
        <v>64</v>
      </c>
      <c r="D510" s="1217">
        <v>6</v>
      </c>
      <c r="E510" s="1218">
        <v>6</v>
      </c>
      <c r="F510" s="1216">
        <v>3</v>
      </c>
      <c r="G510" s="1218"/>
      <c r="H510" s="1218">
        <f>SUM(F510:G510)</f>
        <v>3</v>
      </c>
      <c r="I510" s="1219">
        <f>H510/E510</f>
        <v>0.5</v>
      </c>
      <c r="J510" s="1216">
        <f>E510-H510</f>
        <v>3</v>
      </c>
      <c r="K510" s="1219">
        <f>1-I510</f>
        <v>0.5</v>
      </c>
    </row>
    <row r="511" spans="2:11" x14ac:dyDescent="0.3">
      <c r="B511" s="5784"/>
      <c r="C511" s="1220" t="s">
        <v>92</v>
      </c>
      <c r="D511" s="1221">
        <v>8</v>
      </c>
      <c r="E511" s="1120">
        <v>8</v>
      </c>
      <c r="F511" s="1220">
        <v>1</v>
      </c>
      <c r="G511" s="1120"/>
      <c r="H511" s="1120">
        <f>SUM(F511:G511)</f>
        <v>1</v>
      </c>
      <c r="I511" s="1122">
        <f>H511/E511</f>
        <v>0.125</v>
      </c>
      <c r="J511" s="1220">
        <f>E511-H511</f>
        <v>7</v>
      </c>
      <c r="K511" s="1122">
        <f>1-I511</f>
        <v>0.875</v>
      </c>
    </row>
    <row r="512" spans="2:11" x14ac:dyDescent="0.3">
      <c r="B512" s="5784"/>
      <c r="C512" s="1222" t="s">
        <v>68</v>
      </c>
      <c r="D512" s="1223">
        <v>4</v>
      </c>
      <c r="E512" s="1224">
        <v>4</v>
      </c>
      <c r="F512" s="1222">
        <v>2</v>
      </c>
      <c r="G512" s="1224"/>
      <c r="H512" s="1224">
        <f>SUM(F512:G512)</f>
        <v>2</v>
      </c>
      <c r="I512" s="1225">
        <f>H512/E512</f>
        <v>0.5</v>
      </c>
      <c r="J512" s="1222">
        <f>E512-H512</f>
        <v>2</v>
      </c>
      <c r="K512" s="1225">
        <f>1-I512</f>
        <v>0.5</v>
      </c>
    </row>
    <row r="513" spans="2:11" x14ac:dyDescent="0.3">
      <c r="B513" s="5785"/>
      <c r="C513" s="1226" t="s">
        <v>279</v>
      </c>
      <c r="D513" s="1227">
        <f>SUM(D510:D512)</f>
        <v>18</v>
      </c>
      <c r="E513" s="1228">
        <f>SUM(E510:E512)</f>
        <v>18</v>
      </c>
      <c r="F513" s="1226">
        <f>SUM(F510:F512)</f>
        <v>6</v>
      </c>
      <c r="G513" s="1228">
        <f>SUM(G510:G512)</f>
        <v>0</v>
      </c>
      <c r="H513" s="1228">
        <f>SUM(F513:G513)</f>
        <v>6</v>
      </c>
      <c r="I513" s="1229">
        <f>H513/E513</f>
        <v>0.33333333333333331</v>
      </c>
      <c r="J513" s="1226">
        <f>E513-H513</f>
        <v>12</v>
      </c>
      <c r="K513" s="1229">
        <f>1-I513</f>
        <v>0.66666666666666674</v>
      </c>
    </row>
    <row r="515" spans="2:11" x14ac:dyDescent="0.3">
      <c r="B515" s="5786" t="s">
        <v>287</v>
      </c>
      <c r="C515" s="1216" t="s">
        <v>64</v>
      </c>
      <c r="D515" s="1217">
        <v>2</v>
      </c>
      <c r="E515" s="1218"/>
      <c r="F515" s="1216"/>
      <c r="G515" s="1218"/>
      <c r="H515" s="1218"/>
      <c r="I515" s="1219"/>
      <c r="J515" s="1216"/>
      <c r="K515" s="1219"/>
    </row>
    <row r="516" spans="2:11" x14ac:dyDescent="0.3">
      <c r="B516" s="5787"/>
      <c r="C516" s="1220" t="s">
        <v>111</v>
      </c>
      <c r="D516" s="1221">
        <v>1</v>
      </c>
      <c r="E516" s="1120"/>
      <c r="F516" s="1220"/>
      <c r="G516" s="1120"/>
      <c r="H516" s="1120"/>
      <c r="I516" s="1122"/>
      <c r="J516" s="1220"/>
      <c r="K516" s="1122"/>
    </row>
    <row r="517" spans="2:11" x14ac:dyDescent="0.3">
      <c r="B517" s="5787"/>
      <c r="C517" s="1222" t="s">
        <v>115</v>
      </c>
      <c r="D517" s="1223">
        <v>2</v>
      </c>
      <c r="E517" s="1224"/>
      <c r="F517" s="1222"/>
      <c r="G517" s="1224"/>
      <c r="H517" s="1224"/>
      <c r="I517" s="1225"/>
      <c r="J517" s="1222"/>
      <c r="K517" s="1225"/>
    </row>
    <row r="518" spans="2:11" x14ac:dyDescent="0.3">
      <c r="B518" s="5788"/>
      <c r="C518" s="1226" t="s">
        <v>279</v>
      </c>
      <c r="D518" s="1227">
        <f>SUM(D515:D517)</f>
        <v>5</v>
      </c>
      <c r="E518" s="1228"/>
      <c r="F518" s="1226"/>
      <c r="G518" s="1228"/>
      <c r="H518" s="1228"/>
      <c r="I518" s="1229"/>
      <c r="J518" s="1226"/>
      <c r="K518" s="1229"/>
    </row>
    <row r="519" spans="2:11" x14ac:dyDescent="0.3">
      <c r="B519" s="5301"/>
      <c r="C519" s="5301"/>
      <c r="D519" s="5301"/>
      <c r="E519" s="5301"/>
      <c r="F519" s="5301"/>
      <c r="G519" s="5301"/>
      <c r="H519" s="5301"/>
      <c r="I519" s="5301"/>
      <c r="J519" s="5301"/>
      <c r="K519" s="5301"/>
    </row>
    <row r="520" spans="2:11" x14ac:dyDescent="0.3">
      <c r="B520" s="5789" t="s">
        <v>7</v>
      </c>
      <c r="C520" s="5789"/>
      <c r="D520" s="1227">
        <f>SUM(D503,D508,D513,D518)</f>
        <v>66</v>
      </c>
      <c r="E520" s="1227">
        <f>SUM(E503,E508,E513)</f>
        <v>59</v>
      </c>
      <c r="F520" s="1226">
        <f>SUM(F503,F508,F513)</f>
        <v>20</v>
      </c>
      <c r="G520" s="1228">
        <f>SUM(G503,G508,G513)</f>
        <v>19</v>
      </c>
      <c r="H520" s="1228">
        <f>SUM(H503,H508,H513)</f>
        <v>39</v>
      </c>
      <c r="I520" s="1229">
        <f>H520/E520</f>
        <v>0.66101694915254239</v>
      </c>
      <c r="J520" s="1226">
        <f>E520-H520</f>
        <v>20</v>
      </c>
      <c r="K520" s="1229">
        <f>1-I520</f>
        <v>0.33898305084745761</v>
      </c>
    </row>
    <row r="521" spans="2:11" x14ac:dyDescent="0.3">
      <c r="B521" s="5308"/>
      <c r="C521" s="5308"/>
      <c r="D521" s="1210"/>
      <c r="E521" s="5309"/>
      <c r="F521" s="5309">
        <f>F520/E520</f>
        <v>0.33898305084745761</v>
      </c>
      <c r="G521" s="5309">
        <f>G520/E520</f>
        <v>0.32203389830508472</v>
      </c>
      <c r="H521" s="5301"/>
      <c r="I521" s="5310"/>
      <c r="J521" s="5310"/>
      <c r="K521" s="5311"/>
    </row>
    <row r="524" spans="2:11" x14ac:dyDescent="0.3">
      <c r="B524" s="5790" t="s">
        <v>27</v>
      </c>
      <c r="C524" s="5790" t="s">
        <v>10</v>
      </c>
      <c r="D524" s="5791" t="s">
        <v>300</v>
      </c>
      <c r="E524" s="5791" t="s">
        <v>277</v>
      </c>
      <c r="F524" s="5772" t="s">
        <v>304</v>
      </c>
      <c r="G524" s="5773"/>
      <c r="H524" s="5773"/>
      <c r="I524" s="5774"/>
      <c r="J524" s="1211"/>
      <c r="K524" s="5311"/>
    </row>
    <row r="525" spans="2:11" ht="28.8" x14ac:dyDescent="0.3">
      <c r="B525" s="5790"/>
      <c r="C525" s="5790"/>
      <c r="D525" s="5791"/>
      <c r="E525" s="5791"/>
      <c r="F525" s="5292" t="s">
        <v>297</v>
      </c>
      <c r="G525" s="5292" t="s">
        <v>275</v>
      </c>
      <c r="H525" s="1238" t="s">
        <v>48</v>
      </c>
      <c r="I525" s="5292" t="s">
        <v>272</v>
      </c>
      <c r="J525" s="5775" t="s">
        <v>270</v>
      </c>
      <c r="K525" s="5776"/>
    </row>
    <row r="526" spans="2:11" x14ac:dyDescent="0.3">
      <c r="B526" s="1111"/>
      <c r="C526" s="1111"/>
      <c r="D526" s="1111"/>
      <c r="E526" s="1111"/>
      <c r="F526" s="1111"/>
      <c r="G526" s="1111"/>
      <c r="H526" s="1111"/>
      <c r="I526" s="1111"/>
      <c r="J526" s="1111"/>
      <c r="K526" s="1111"/>
    </row>
    <row r="527" spans="2:11" x14ac:dyDescent="0.3">
      <c r="B527" s="5777" t="s">
        <v>286</v>
      </c>
      <c r="C527" s="1216" t="s">
        <v>59</v>
      </c>
      <c r="D527" s="1217">
        <v>10</v>
      </c>
      <c r="E527" s="1218">
        <v>9</v>
      </c>
      <c r="F527" s="1216"/>
      <c r="G527" s="1218">
        <v>9</v>
      </c>
      <c r="H527" s="1218">
        <f>SUM(F527:G527)</f>
        <v>9</v>
      </c>
      <c r="I527" s="1219">
        <f>H527/E527</f>
        <v>1</v>
      </c>
      <c r="J527" s="1216">
        <f>E527-H527</f>
        <v>0</v>
      </c>
      <c r="K527" s="1219">
        <f>1-I527</f>
        <v>0</v>
      </c>
    </row>
    <row r="528" spans="2:11" x14ac:dyDescent="0.3">
      <c r="B528" s="5778"/>
      <c r="C528" s="1220" t="s">
        <v>64</v>
      </c>
      <c r="D528" s="1221">
        <v>4</v>
      </c>
      <c r="E528" s="1120">
        <v>4</v>
      </c>
      <c r="F528" s="1220"/>
      <c r="G528" s="1120"/>
      <c r="H528" s="1120">
        <f>SUM(F528:G528)</f>
        <v>0</v>
      </c>
      <c r="I528" s="1122">
        <f>H528/E528</f>
        <v>0</v>
      </c>
      <c r="J528" s="1220">
        <f>E528-H528</f>
        <v>4</v>
      </c>
      <c r="K528" s="1122">
        <f>1-I528</f>
        <v>1</v>
      </c>
    </row>
    <row r="529" spans="2:11" x14ac:dyDescent="0.3">
      <c r="B529" s="5778"/>
      <c r="C529" s="1222" t="s">
        <v>68</v>
      </c>
      <c r="D529" s="1223">
        <v>3</v>
      </c>
      <c r="E529" s="1224">
        <v>3</v>
      </c>
      <c r="F529" s="1222">
        <v>3</v>
      </c>
      <c r="G529" s="1224"/>
      <c r="H529" s="1224">
        <f>SUM(F529:G529)</f>
        <v>3</v>
      </c>
      <c r="I529" s="1225">
        <f>H529/E529</f>
        <v>1</v>
      </c>
      <c r="J529" s="1222">
        <f>E529-H529</f>
        <v>0</v>
      </c>
      <c r="K529" s="1225">
        <f>1-I529</f>
        <v>0</v>
      </c>
    </row>
    <row r="530" spans="2:11" x14ac:dyDescent="0.3">
      <c r="B530" s="5779"/>
      <c r="C530" s="1226" t="s">
        <v>279</v>
      </c>
      <c r="D530" s="1227">
        <f>SUM(D527:D529)</f>
        <v>17</v>
      </c>
      <c r="E530" s="1228">
        <f>SUM(E527:E529)</f>
        <v>16</v>
      </c>
      <c r="F530" s="1226">
        <f>SUM(F527:F529)</f>
        <v>3</v>
      </c>
      <c r="G530" s="1228">
        <f>SUM(G527:G529)</f>
        <v>9</v>
      </c>
      <c r="H530" s="1228">
        <f>SUM(F530:G530)</f>
        <v>12</v>
      </c>
      <c r="I530" s="1229">
        <f>H530/E530</f>
        <v>0.75</v>
      </c>
      <c r="J530" s="1226">
        <f>E530-H530</f>
        <v>4</v>
      </c>
      <c r="K530" s="1229">
        <f>1-I530</f>
        <v>0.25</v>
      </c>
    </row>
    <row r="531" spans="2:11" x14ac:dyDescent="0.3">
      <c r="B531" s="5302"/>
      <c r="C531" s="5302"/>
      <c r="D531" s="5302"/>
      <c r="E531" s="5302"/>
      <c r="F531" s="5302"/>
      <c r="G531" s="5302"/>
      <c r="H531" s="5302"/>
      <c r="I531" s="5302"/>
      <c r="J531" s="5302"/>
      <c r="K531" s="5302"/>
    </row>
    <row r="532" spans="2:11" x14ac:dyDescent="0.3">
      <c r="B532" s="5780" t="s">
        <v>288</v>
      </c>
      <c r="C532" s="1216" t="s">
        <v>59</v>
      </c>
      <c r="D532" s="1217">
        <v>9</v>
      </c>
      <c r="E532" s="1218">
        <v>9</v>
      </c>
      <c r="F532" s="1216">
        <v>1</v>
      </c>
      <c r="G532" s="1218">
        <v>5</v>
      </c>
      <c r="H532" s="1218">
        <f>SUM(F532:G532)</f>
        <v>6</v>
      </c>
      <c r="I532" s="1219">
        <f>H532/E532</f>
        <v>0.66666666666666663</v>
      </c>
      <c r="J532" s="1216">
        <f>E532-H532</f>
        <v>3</v>
      </c>
      <c r="K532" s="1219">
        <f>1-I532</f>
        <v>0.33333333333333337</v>
      </c>
    </row>
    <row r="533" spans="2:11" x14ac:dyDescent="0.3">
      <c r="B533" s="5781"/>
      <c r="C533" s="1220" t="s">
        <v>64</v>
      </c>
      <c r="D533" s="1221">
        <v>11</v>
      </c>
      <c r="E533" s="1120">
        <v>10</v>
      </c>
      <c r="F533" s="1220">
        <v>10</v>
      </c>
      <c r="G533" s="1120"/>
      <c r="H533" s="1120">
        <f>SUM(F533:G533)</f>
        <v>10</v>
      </c>
      <c r="I533" s="1122">
        <f>H533/E533</f>
        <v>1</v>
      </c>
      <c r="J533" s="1220">
        <f>E533-H533</f>
        <v>0</v>
      </c>
      <c r="K533" s="1122">
        <f>1-I533</f>
        <v>0</v>
      </c>
    </row>
    <row r="534" spans="2:11" x14ac:dyDescent="0.3">
      <c r="B534" s="5781"/>
      <c r="C534" s="1222" t="s">
        <v>92</v>
      </c>
      <c r="D534" s="1223">
        <v>6</v>
      </c>
      <c r="E534" s="1224">
        <v>6</v>
      </c>
      <c r="F534" s="1222"/>
      <c r="G534" s="1224">
        <v>2</v>
      </c>
      <c r="H534" s="1224">
        <f>SUM(F534:G534)</f>
        <v>2</v>
      </c>
      <c r="I534" s="1225">
        <f>H534/E534</f>
        <v>0.33333333333333331</v>
      </c>
      <c r="J534" s="1222">
        <f>E534-H534</f>
        <v>4</v>
      </c>
      <c r="K534" s="1225">
        <f>1-I534</f>
        <v>0.66666666666666674</v>
      </c>
    </row>
    <row r="535" spans="2:11" x14ac:dyDescent="0.3">
      <c r="B535" s="5782"/>
      <c r="C535" s="1226" t="s">
        <v>279</v>
      </c>
      <c r="D535" s="1227">
        <f>SUM(D532:D534)</f>
        <v>26</v>
      </c>
      <c r="E535" s="1228">
        <f>SUM(E532:E534)</f>
        <v>25</v>
      </c>
      <c r="F535" s="1226">
        <f>SUM(F532:F534)</f>
        <v>11</v>
      </c>
      <c r="G535" s="1228">
        <f>SUM(G532:G534)</f>
        <v>7</v>
      </c>
      <c r="H535" s="1228">
        <f>SUM(F535:G535)</f>
        <v>18</v>
      </c>
      <c r="I535" s="1229">
        <f>H535/E535</f>
        <v>0.72</v>
      </c>
      <c r="J535" s="1226">
        <f>E535-H535</f>
        <v>7</v>
      </c>
      <c r="K535" s="1229">
        <f>1-I535</f>
        <v>0.28000000000000003</v>
      </c>
    </row>
    <row r="536" spans="2:11" x14ac:dyDescent="0.3">
      <c r="B536" s="1240"/>
      <c r="C536" s="5301"/>
      <c r="D536" s="5301"/>
      <c r="E536" s="5301"/>
      <c r="F536" s="5301"/>
      <c r="G536" s="5301"/>
      <c r="H536" s="5301"/>
      <c r="I536" s="5301"/>
      <c r="J536" s="5301"/>
      <c r="K536" s="5301"/>
    </row>
    <row r="537" spans="2:11" x14ac:dyDescent="0.3">
      <c r="B537" s="5783" t="s">
        <v>290</v>
      </c>
      <c r="C537" s="1216" t="s">
        <v>64</v>
      </c>
      <c r="D537" s="1217">
        <v>6</v>
      </c>
      <c r="E537" s="1218">
        <v>6</v>
      </c>
      <c r="F537" s="1216">
        <v>2</v>
      </c>
      <c r="G537" s="1218"/>
      <c r="H537" s="1218">
        <f>SUM(F537:G537)</f>
        <v>2</v>
      </c>
      <c r="I537" s="1219">
        <f>H537/E537</f>
        <v>0.33333333333333331</v>
      </c>
      <c r="J537" s="1216">
        <f>E537-H537</f>
        <v>4</v>
      </c>
      <c r="K537" s="1219">
        <f>1-I537</f>
        <v>0.66666666666666674</v>
      </c>
    </row>
    <row r="538" spans="2:11" x14ac:dyDescent="0.3">
      <c r="B538" s="5784"/>
      <c r="C538" s="1220" t="s">
        <v>92</v>
      </c>
      <c r="D538" s="1221">
        <v>8</v>
      </c>
      <c r="E538" s="1120">
        <v>8</v>
      </c>
      <c r="F538" s="1220">
        <v>1</v>
      </c>
      <c r="G538" s="1120"/>
      <c r="H538" s="1120">
        <f>SUM(F538:G538)</f>
        <v>1</v>
      </c>
      <c r="I538" s="1122">
        <f>H538/E538</f>
        <v>0.125</v>
      </c>
      <c r="J538" s="1220">
        <f>E538-H538</f>
        <v>7</v>
      </c>
      <c r="K538" s="1122">
        <f>1-I538</f>
        <v>0.875</v>
      </c>
    </row>
    <row r="539" spans="2:11" x14ac:dyDescent="0.3">
      <c r="B539" s="5784"/>
      <c r="C539" s="1222" t="s">
        <v>68</v>
      </c>
      <c r="D539" s="1223">
        <v>4</v>
      </c>
      <c r="E539" s="1224">
        <v>4</v>
      </c>
      <c r="F539" s="1222">
        <v>2</v>
      </c>
      <c r="G539" s="1224"/>
      <c r="H539" s="1224">
        <f>SUM(F539:G539)</f>
        <v>2</v>
      </c>
      <c r="I539" s="1225">
        <f>H539/E539</f>
        <v>0.5</v>
      </c>
      <c r="J539" s="1222">
        <f>E539-H539</f>
        <v>2</v>
      </c>
      <c r="K539" s="1225">
        <f>1-I539</f>
        <v>0.5</v>
      </c>
    </row>
    <row r="540" spans="2:11" x14ac:dyDescent="0.3">
      <c r="B540" s="5785"/>
      <c r="C540" s="1226" t="s">
        <v>279</v>
      </c>
      <c r="D540" s="1227">
        <f>SUM(D537:D539)</f>
        <v>18</v>
      </c>
      <c r="E540" s="1228">
        <f>SUM(E537:E539)</f>
        <v>18</v>
      </c>
      <c r="F540" s="1226">
        <f>SUM(F537:F539)</f>
        <v>5</v>
      </c>
      <c r="G540" s="1228">
        <f>SUM(G537:G539)</f>
        <v>0</v>
      </c>
      <c r="H540" s="1228">
        <f>SUM(F540:G540)</f>
        <v>5</v>
      </c>
      <c r="I540" s="1229">
        <f>H540/E540</f>
        <v>0.27777777777777779</v>
      </c>
      <c r="J540" s="1226">
        <f>E540-H540</f>
        <v>13</v>
      </c>
      <c r="K540" s="1229">
        <f>1-I540</f>
        <v>0.72222222222222221</v>
      </c>
    </row>
    <row r="541" spans="2:11" x14ac:dyDescent="0.3">
      <c r="B541" s="5301"/>
      <c r="C541" s="5301"/>
      <c r="D541" s="5301"/>
      <c r="E541" s="5301"/>
      <c r="F541" s="5301"/>
      <c r="G541" s="5301"/>
      <c r="H541" s="5301"/>
      <c r="I541" s="5301"/>
      <c r="J541" s="5301"/>
      <c r="K541" s="5301"/>
    </row>
    <row r="542" spans="2:11" x14ac:dyDescent="0.3">
      <c r="B542" s="5786" t="s">
        <v>287</v>
      </c>
      <c r="C542" s="1216" t="s">
        <v>64</v>
      </c>
      <c r="D542" s="1217">
        <v>2</v>
      </c>
      <c r="E542" s="1218"/>
      <c r="F542" s="1216"/>
      <c r="G542" s="1218"/>
      <c r="H542" s="1218"/>
      <c r="I542" s="1219"/>
      <c r="J542" s="1216"/>
      <c r="K542" s="1219"/>
    </row>
    <row r="543" spans="2:11" x14ac:dyDescent="0.3">
      <c r="B543" s="5787"/>
      <c r="C543" s="1220" t="s">
        <v>111</v>
      </c>
      <c r="D543" s="1221">
        <v>1</v>
      </c>
      <c r="E543" s="1120"/>
      <c r="F543" s="1220"/>
      <c r="G543" s="1120"/>
      <c r="H543" s="1120"/>
      <c r="I543" s="1122"/>
      <c r="J543" s="1220"/>
      <c r="K543" s="1122"/>
    </row>
    <row r="544" spans="2:11" x14ac:dyDescent="0.3">
      <c r="B544" s="5787"/>
      <c r="C544" s="1222" t="s">
        <v>115</v>
      </c>
      <c r="D544" s="1223">
        <v>2</v>
      </c>
      <c r="E544" s="1224"/>
      <c r="F544" s="1222"/>
      <c r="G544" s="1224"/>
      <c r="H544" s="1224"/>
      <c r="I544" s="1225"/>
      <c r="J544" s="1222"/>
      <c r="K544" s="1225"/>
    </row>
    <row r="545" spans="2:11" x14ac:dyDescent="0.3">
      <c r="B545" s="5788"/>
      <c r="C545" s="1226" t="s">
        <v>279</v>
      </c>
      <c r="D545" s="1227">
        <f>SUM(D542:D544)</f>
        <v>5</v>
      </c>
      <c r="E545" s="1228"/>
      <c r="F545" s="1226"/>
      <c r="G545" s="1228"/>
      <c r="H545" s="1228"/>
      <c r="I545" s="1229"/>
      <c r="J545" s="1226"/>
      <c r="K545" s="1229"/>
    </row>
    <row r="546" spans="2:11" x14ac:dyDescent="0.3">
      <c r="B546" s="5301"/>
      <c r="C546" s="5301"/>
      <c r="D546" s="5301"/>
      <c r="E546" s="5301"/>
      <c r="F546" s="5301"/>
      <c r="G546" s="5301"/>
      <c r="H546" s="5301"/>
      <c r="I546" s="5301"/>
      <c r="J546" s="5301"/>
      <c r="K546" s="5301"/>
    </row>
    <row r="547" spans="2:11" x14ac:dyDescent="0.3">
      <c r="B547" s="5789" t="s">
        <v>7</v>
      </c>
      <c r="C547" s="5789"/>
      <c r="D547" s="1227">
        <f>SUM(D530,D535,D540,D545)</f>
        <v>66</v>
      </c>
      <c r="E547" s="1227">
        <f>SUM(E530,E535,E540)</f>
        <v>59</v>
      </c>
      <c r="F547" s="1226">
        <f>SUM(F530,F535,F540)</f>
        <v>19</v>
      </c>
      <c r="G547" s="1228">
        <f>SUM(G530,G535,G540)</f>
        <v>16</v>
      </c>
      <c r="H547" s="1228">
        <f>SUM(H530,H535,H540)</f>
        <v>35</v>
      </c>
      <c r="I547" s="1229">
        <f>H547/E547</f>
        <v>0.59322033898305082</v>
      </c>
      <c r="J547" s="1226">
        <f>E547-H547</f>
        <v>24</v>
      </c>
      <c r="K547" s="1229">
        <f>1-I547</f>
        <v>0.40677966101694918</v>
      </c>
    </row>
    <row r="548" spans="2:11" x14ac:dyDescent="0.3">
      <c r="B548" s="5308"/>
      <c r="C548" s="5308"/>
      <c r="D548" s="1210"/>
      <c r="E548" s="5309"/>
      <c r="F548" s="5309">
        <f>F547/E547</f>
        <v>0.32203389830508472</v>
      </c>
      <c r="G548" s="5309">
        <f>G547/E547</f>
        <v>0.2711864406779661</v>
      </c>
      <c r="H548" s="5301"/>
      <c r="I548" s="5310"/>
      <c r="J548" s="5310"/>
      <c r="K548" s="5311"/>
    </row>
    <row r="552" spans="2:11" x14ac:dyDescent="0.3">
      <c r="B552" s="5790" t="s">
        <v>27</v>
      </c>
      <c r="C552" s="5790" t="s">
        <v>10</v>
      </c>
      <c r="D552" s="5791" t="s">
        <v>300</v>
      </c>
      <c r="E552" s="5791" t="s">
        <v>277</v>
      </c>
      <c r="F552" s="5772" t="s">
        <v>305</v>
      </c>
      <c r="G552" s="5773"/>
      <c r="H552" s="5773"/>
      <c r="I552" s="5774"/>
      <c r="J552" s="1211"/>
      <c r="K552" s="5311"/>
    </row>
    <row r="553" spans="2:11" ht="28.8" x14ac:dyDescent="0.3">
      <c r="B553" s="5790"/>
      <c r="C553" s="5790"/>
      <c r="D553" s="5791"/>
      <c r="E553" s="5791"/>
      <c r="F553" s="5292" t="s">
        <v>297</v>
      </c>
      <c r="G553" s="5292" t="s">
        <v>275</v>
      </c>
      <c r="H553" s="1238" t="s">
        <v>48</v>
      </c>
      <c r="I553" s="5292" t="s">
        <v>272</v>
      </c>
      <c r="J553" s="5775" t="s">
        <v>270</v>
      </c>
      <c r="K553" s="5776"/>
    </row>
    <row r="554" spans="2:11" x14ac:dyDescent="0.3">
      <c r="B554" s="1111"/>
      <c r="C554" s="1111"/>
      <c r="D554" s="1111"/>
      <c r="E554" s="1111"/>
      <c r="F554" s="1111"/>
      <c r="G554" s="1111"/>
      <c r="H554" s="1111"/>
      <c r="I554" s="1111"/>
      <c r="J554" s="1111"/>
      <c r="K554" s="1111"/>
    </row>
    <row r="555" spans="2:11" x14ac:dyDescent="0.3">
      <c r="B555" s="5777" t="s">
        <v>286</v>
      </c>
      <c r="C555" s="1216" t="s">
        <v>59</v>
      </c>
      <c r="D555" s="1217">
        <v>10</v>
      </c>
      <c r="E555" s="1218">
        <v>9</v>
      </c>
      <c r="F555" s="1216"/>
      <c r="G555" s="1218">
        <v>9</v>
      </c>
      <c r="H555" s="1218">
        <f>SUM(F555:G555)</f>
        <v>9</v>
      </c>
      <c r="I555" s="1219">
        <f>H555/E555</f>
        <v>1</v>
      </c>
      <c r="J555" s="1216">
        <f>E555-H555</f>
        <v>0</v>
      </c>
      <c r="K555" s="1219">
        <f>1-I555</f>
        <v>0</v>
      </c>
    </row>
    <row r="556" spans="2:11" x14ac:dyDescent="0.3">
      <c r="B556" s="5778"/>
      <c r="C556" s="1220" t="s">
        <v>64</v>
      </c>
      <c r="D556" s="1221">
        <v>4</v>
      </c>
      <c r="E556" s="1120">
        <v>4</v>
      </c>
      <c r="F556" s="1220"/>
      <c r="G556" s="1120"/>
      <c r="H556" s="1120">
        <f>SUM(F556:G556)</f>
        <v>0</v>
      </c>
      <c r="I556" s="1122">
        <f>H556/E556</f>
        <v>0</v>
      </c>
      <c r="J556" s="1220">
        <f>E556-H556</f>
        <v>4</v>
      </c>
      <c r="K556" s="1122">
        <f>1-I556</f>
        <v>1</v>
      </c>
    </row>
    <row r="557" spans="2:11" x14ac:dyDescent="0.3">
      <c r="B557" s="5778"/>
      <c r="C557" s="1222" t="s">
        <v>68</v>
      </c>
      <c r="D557" s="1223">
        <v>3</v>
      </c>
      <c r="E557" s="1224">
        <v>3</v>
      </c>
      <c r="F557" s="1222">
        <v>3</v>
      </c>
      <c r="G557" s="1224"/>
      <c r="H557" s="1224">
        <f>SUM(F557:G557)</f>
        <v>3</v>
      </c>
      <c r="I557" s="1225">
        <f>H557/E557</f>
        <v>1</v>
      </c>
      <c r="J557" s="1222">
        <f>E557-H557</f>
        <v>0</v>
      </c>
      <c r="K557" s="1225">
        <f>1-I557</f>
        <v>0</v>
      </c>
    </row>
    <row r="558" spans="2:11" x14ac:dyDescent="0.3">
      <c r="B558" s="5779"/>
      <c r="C558" s="1226" t="s">
        <v>279</v>
      </c>
      <c r="D558" s="1227">
        <f>SUM(D555:D557)</f>
        <v>17</v>
      </c>
      <c r="E558" s="1228">
        <f>SUM(E555:E557)</f>
        <v>16</v>
      </c>
      <c r="F558" s="1226">
        <f>SUM(F555:F557)</f>
        <v>3</v>
      </c>
      <c r="G558" s="1228">
        <f>SUM(G555:G557)</f>
        <v>9</v>
      </c>
      <c r="H558" s="1228">
        <f>SUM(F558:G558)</f>
        <v>12</v>
      </c>
      <c r="I558" s="1229">
        <f>H558/E558</f>
        <v>0.75</v>
      </c>
      <c r="J558" s="1226">
        <f>E558-H558</f>
        <v>4</v>
      </c>
      <c r="K558" s="1229">
        <f>1-I558</f>
        <v>0.25</v>
      </c>
    </row>
    <row r="559" spans="2:11" x14ac:dyDescent="0.3">
      <c r="B559" s="5302"/>
      <c r="C559" s="5302"/>
      <c r="D559" s="5302"/>
      <c r="E559" s="5302"/>
      <c r="F559" s="5302"/>
      <c r="G559" s="5302"/>
      <c r="H559" s="5302"/>
      <c r="I559" s="5302"/>
      <c r="J559" s="5302"/>
      <c r="K559" s="5302"/>
    </row>
    <row r="560" spans="2:11" x14ac:dyDescent="0.3">
      <c r="B560" s="5780" t="s">
        <v>288</v>
      </c>
      <c r="C560" s="1216" t="s">
        <v>59</v>
      </c>
      <c r="D560" s="1217">
        <v>9</v>
      </c>
      <c r="E560" s="1218">
        <v>9</v>
      </c>
      <c r="F560" s="1216">
        <v>1</v>
      </c>
      <c r="G560" s="1218">
        <v>5</v>
      </c>
      <c r="H560" s="1218">
        <f>SUM(F560:G560)</f>
        <v>6</v>
      </c>
      <c r="I560" s="1219">
        <f>H560/E560</f>
        <v>0.66666666666666663</v>
      </c>
      <c r="J560" s="1216">
        <f>E560-H560</f>
        <v>3</v>
      </c>
      <c r="K560" s="1219">
        <f>1-I560</f>
        <v>0.33333333333333337</v>
      </c>
    </row>
    <row r="561" spans="2:11" x14ac:dyDescent="0.3">
      <c r="B561" s="5781"/>
      <c r="C561" s="1220" t="s">
        <v>64</v>
      </c>
      <c r="D561" s="1221">
        <v>11</v>
      </c>
      <c r="E561" s="1120">
        <v>10</v>
      </c>
      <c r="F561" s="1220">
        <v>10</v>
      </c>
      <c r="G561" s="1120"/>
      <c r="H561" s="1120">
        <f>SUM(F561:G561)</f>
        <v>10</v>
      </c>
      <c r="I561" s="1122">
        <f>H561/E561</f>
        <v>1</v>
      </c>
      <c r="J561" s="1220">
        <f>E561-H561</f>
        <v>0</v>
      </c>
      <c r="K561" s="1122">
        <f>1-I561</f>
        <v>0</v>
      </c>
    </row>
    <row r="562" spans="2:11" x14ac:dyDescent="0.3">
      <c r="B562" s="5781"/>
      <c r="C562" s="1222" t="s">
        <v>92</v>
      </c>
      <c r="D562" s="1223">
        <v>6</v>
      </c>
      <c r="E562" s="1224">
        <v>6</v>
      </c>
      <c r="F562" s="1222"/>
      <c r="G562" s="1224">
        <v>2</v>
      </c>
      <c r="H562" s="1224">
        <f>SUM(F562:G562)</f>
        <v>2</v>
      </c>
      <c r="I562" s="1225">
        <f>H562/E562</f>
        <v>0.33333333333333331</v>
      </c>
      <c r="J562" s="1222">
        <f>E562-H562</f>
        <v>4</v>
      </c>
      <c r="K562" s="1225">
        <f>1-I562</f>
        <v>0.66666666666666674</v>
      </c>
    </row>
    <row r="563" spans="2:11" x14ac:dyDescent="0.3">
      <c r="B563" s="5782"/>
      <c r="C563" s="1226" t="s">
        <v>279</v>
      </c>
      <c r="D563" s="1227">
        <f>SUM(D560:D562)</f>
        <v>26</v>
      </c>
      <c r="E563" s="1228">
        <f>SUM(E560:E562)</f>
        <v>25</v>
      </c>
      <c r="F563" s="1226">
        <f>SUM(F560:F562)</f>
        <v>11</v>
      </c>
      <c r="G563" s="1228">
        <f>SUM(G560:G562)</f>
        <v>7</v>
      </c>
      <c r="H563" s="1228">
        <f>SUM(F563:G563)</f>
        <v>18</v>
      </c>
      <c r="I563" s="1229">
        <f>H563/E563</f>
        <v>0.72</v>
      </c>
      <c r="J563" s="1226">
        <f>E563-H563</f>
        <v>7</v>
      </c>
      <c r="K563" s="1229">
        <f>1-I563</f>
        <v>0.28000000000000003</v>
      </c>
    </row>
    <row r="564" spans="2:11" x14ac:dyDescent="0.3">
      <c r="B564" s="1240"/>
      <c r="C564" s="5301"/>
      <c r="D564" s="5301"/>
      <c r="E564" s="5301"/>
      <c r="F564" s="5301"/>
      <c r="G564" s="5301"/>
      <c r="H564" s="5301"/>
      <c r="I564" s="5301"/>
      <c r="J564" s="5301"/>
      <c r="K564" s="5301"/>
    </row>
    <row r="565" spans="2:11" x14ac:dyDescent="0.3">
      <c r="B565" s="5783" t="s">
        <v>290</v>
      </c>
      <c r="C565" s="1216" t="s">
        <v>64</v>
      </c>
      <c r="D565" s="1217">
        <v>6</v>
      </c>
      <c r="E565" s="1218">
        <v>6</v>
      </c>
      <c r="F565" s="1216">
        <v>2</v>
      </c>
      <c r="G565" s="1218"/>
      <c r="H565" s="1218">
        <f>SUM(F565:G565)</f>
        <v>2</v>
      </c>
      <c r="I565" s="1219">
        <f>H565/E565</f>
        <v>0.33333333333333331</v>
      </c>
      <c r="J565" s="1216">
        <f>E565-H565</f>
        <v>4</v>
      </c>
      <c r="K565" s="1219">
        <f>1-I565</f>
        <v>0.66666666666666674</v>
      </c>
    </row>
    <row r="566" spans="2:11" x14ac:dyDescent="0.3">
      <c r="B566" s="5784"/>
      <c r="C566" s="1220" t="s">
        <v>92</v>
      </c>
      <c r="D566" s="1221">
        <v>8</v>
      </c>
      <c r="E566" s="1120">
        <v>8</v>
      </c>
      <c r="F566" s="1220"/>
      <c r="G566" s="1120"/>
      <c r="H566" s="1120">
        <f>SUM(F566:G566)</f>
        <v>0</v>
      </c>
      <c r="I566" s="1122">
        <f>H566/E566</f>
        <v>0</v>
      </c>
      <c r="J566" s="1220">
        <f>E566-H566</f>
        <v>8</v>
      </c>
      <c r="K566" s="1122">
        <f>1-I566</f>
        <v>1</v>
      </c>
    </row>
    <row r="567" spans="2:11" x14ac:dyDescent="0.3">
      <c r="B567" s="5784"/>
      <c r="C567" s="1222" t="s">
        <v>68</v>
      </c>
      <c r="D567" s="1223">
        <v>4</v>
      </c>
      <c r="E567" s="1224">
        <v>4</v>
      </c>
      <c r="F567" s="1222">
        <v>2</v>
      </c>
      <c r="G567" s="1224"/>
      <c r="H567" s="1224">
        <f>SUM(F567:G567)</f>
        <v>2</v>
      </c>
      <c r="I567" s="1225">
        <f>H567/E567</f>
        <v>0.5</v>
      </c>
      <c r="J567" s="1222">
        <f>E567-H567</f>
        <v>2</v>
      </c>
      <c r="K567" s="1225">
        <f>1-I567</f>
        <v>0.5</v>
      </c>
    </row>
    <row r="568" spans="2:11" x14ac:dyDescent="0.3">
      <c r="B568" s="5785"/>
      <c r="C568" s="1226" t="s">
        <v>279</v>
      </c>
      <c r="D568" s="1227">
        <f>SUM(D565:D567)</f>
        <v>18</v>
      </c>
      <c r="E568" s="1228">
        <f>SUM(E565:E567)</f>
        <v>18</v>
      </c>
      <c r="F568" s="1226">
        <f>SUM(F565:F567)</f>
        <v>4</v>
      </c>
      <c r="G568" s="1228">
        <f>SUM(G565:G567)</f>
        <v>0</v>
      </c>
      <c r="H568" s="1228">
        <f>SUM(F568:G568)</f>
        <v>4</v>
      </c>
      <c r="I568" s="1229">
        <f>H568/E568</f>
        <v>0.22222222222222221</v>
      </c>
      <c r="J568" s="1226">
        <f>E568-H568</f>
        <v>14</v>
      </c>
      <c r="K568" s="1229">
        <f>1-I568</f>
        <v>0.77777777777777779</v>
      </c>
    </row>
    <row r="569" spans="2:11" x14ac:dyDescent="0.3">
      <c r="B569" s="5301"/>
      <c r="C569" s="5301"/>
      <c r="D569" s="5301"/>
      <c r="E569" s="5301"/>
      <c r="F569" s="5301"/>
      <c r="G569" s="5301"/>
      <c r="H569" s="5301"/>
      <c r="I569" s="5301"/>
      <c r="J569" s="5301"/>
      <c r="K569" s="5301"/>
    </row>
    <row r="570" spans="2:11" x14ac:dyDescent="0.3">
      <c r="B570" s="5789" t="s">
        <v>7</v>
      </c>
      <c r="C570" s="5789"/>
      <c r="D570" s="1227">
        <f>SUM(D558,D563,D568)</f>
        <v>61</v>
      </c>
      <c r="E570" s="1227">
        <f>SUM(E558,E563,E568)</f>
        <v>59</v>
      </c>
      <c r="F570" s="1226">
        <f>SUM(F558,F563,F568)</f>
        <v>18</v>
      </c>
      <c r="G570" s="1228">
        <f>SUM(G558,G563,G568)</f>
        <v>16</v>
      </c>
      <c r="H570" s="1228">
        <f>SUM(H558,H563,H568)</f>
        <v>34</v>
      </c>
      <c r="I570" s="1229">
        <f>H570/E570</f>
        <v>0.57627118644067798</v>
      </c>
      <c r="J570" s="1226">
        <f>E570-H570</f>
        <v>25</v>
      </c>
      <c r="K570" s="1229">
        <f>1-I570</f>
        <v>0.42372881355932202</v>
      </c>
    </row>
    <row r="571" spans="2:11" x14ac:dyDescent="0.3">
      <c r="B571" s="5308"/>
      <c r="C571" s="5308"/>
      <c r="D571" s="1210"/>
      <c r="E571" s="5309"/>
      <c r="F571" s="5309">
        <f>F570/E570</f>
        <v>0.30508474576271188</v>
      </c>
      <c r="G571" s="5309">
        <f>G570/E570</f>
        <v>0.2711864406779661</v>
      </c>
      <c r="H571" s="5301"/>
      <c r="I571" s="5310"/>
      <c r="J571" s="5310"/>
      <c r="K571" s="5311"/>
    </row>
    <row r="575" spans="2:11" x14ac:dyDescent="0.3">
      <c r="B575" s="5790" t="s">
        <v>27</v>
      </c>
      <c r="C575" s="5790" t="s">
        <v>10</v>
      </c>
      <c r="D575" s="5791" t="s">
        <v>300</v>
      </c>
      <c r="E575" s="5791" t="s">
        <v>277</v>
      </c>
      <c r="F575" s="5772" t="s">
        <v>306</v>
      </c>
      <c r="G575" s="5773"/>
      <c r="H575" s="5773"/>
      <c r="I575" s="5774"/>
      <c r="J575" s="1211"/>
      <c r="K575" s="5311"/>
    </row>
    <row r="576" spans="2:11" ht="28.8" x14ac:dyDescent="0.3">
      <c r="B576" s="5790"/>
      <c r="C576" s="5790"/>
      <c r="D576" s="5791"/>
      <c r="E576" s="5791"/>
      <c r="F576" s="5292" t="s">
        <v>297</v>
      </c>
      <c r="G576" s="5292" t="s">
        <v>275</v>
      </c>
      <c r="H576" s="1238" t="s">
        <v>48</v>
      </c>
      <c r="I576" s="5292" t="s">
        <v>272</v>
      </c>
      <c r="J576" s="5775" t="s">
        <v>270</v>
      </c>
      <c r="K576" s="5776"/>
    </row>
    <row r="577" spans="2:11" x14ac:dyDescent="0.3">
      <c r="B577" s="1111"/>
      <c r="C577" s="1111"/>
      <c r="D577" s="1111"/>
      <c r="E577" s="1111"/>
      <c r="F577" s="1111"/>
      <c r="G577" s="1111"/>
      <c r="H577" s="1111"/>
      <c r="I577" s="1111"/>
      <c r="J577" s="1111"/>
      <c r="K577" s="1111"/>
    </row>
    <row r="578" spans="2:11" x14ac:dyDescent="0.3">
      <c r="B578" s="5777" t="s">
        <v>286</v>
      </c>
      <c r="C578" s="1216" t="s">
        <v>59</v>
      </c>
      <c r="D578" s="1217">
        <v>9</v>
      </c>
      <c r="E578" s="1218">
        <v>9</v>
      </c>
      <c r="F578" s="1216"/>
      <c r="G578" s="1218">
        <v>9</v>
      </c>
      <c r="H578" s="1218">
        <f>SUM(F578:G578)</f>
        <v>9</v>
      </c>
      <c r="I578" s="1219">
        <f>H578/E578</f>
        <v>1</v>
      </c>
      <c r="J578" s="1216">
        <f>E578-H578</f>
        <v>0</v>
      </c>
      <c r="K578" s="1219">
        <f>1-I578</f>
        <v>0</v>
      </c>
    </row>
    <row r="579" spans="2:11" x14ac:dyDescent="0.3">
      <c r="B579" s="5778"/>
      <c r="C579" s="1220" t="s">
        <v>64</v>
      </c>
      <c r="D579" s="1221">
        <v>4</v>
      </c>
      <c r="E579" s="1120">
        <v>4</v>
      </c>
      <c r="F579" s="1220"/>
      <c r="G579" s="1120"/>
      <c r="H579" s="1120">
        <f>SUM(F579:G579)</f>
        <v>0</v>
      </c>
      <c r="I579" s="1122">
        <f>H579/E579</f>
        <v>0</v>
      </c>
      <c r="J579" s="1220">
        <f>E579-H579</f>
        <v>4</v>
      </c>
      <c r="K579" s="1122">
        <f>1-I579</f>
        <v>1</v>
      </c>
    </row>
    <row r="580" spans="2:11" x14ac:dyDescent="0.3">
      <c r="B580" s="5778"/>
      <c r="C580" s="1222" t="s">
        <v>68</v>
      </c>
      <c r="D580" s="1223">
        <v>3</v>
      </c>
      <c r="E580" s="1224">
        <v>3</v>
      </c>
      <c r="F580" s="1222">
        <v>2</v>
      </c>
      <c r="G580" s="1224"/>
      <c r="H580" s="1224">
        <f>SUM(F580:G580)</f>
        <v>2</v>
      </c>
      <c r="I580" s="1225">
        <f>H580/E580</f>
        <v>0.66666666666666663</v>
      </c>
      <c r="J580" s="1222">
        <f>E580-H580</f>
        <v>1</v>
      </c>
      <c r="K580" s="1225">
        <f>1-I580</f>
        <v>0.33333333333333337</v>
      </c>
    </row>
    <row r="581" spans="2:11" x14ac:dyDescent="0.3">
      <c r="B581" s="5779"/>
      <c r="C581" s="1226" t="s">
        <v>279</v>
      </c>
      <c r="D581" s="1227">
        <f>SUM(D578:D580)</f>
        <v>16</v>
      </c>
      <c r="E581" s="1228">
        <f>SUM(E578:E580)</f>
        <v>16</v>
      </c>
      <c r="F581" s="1226">
        <f>SUM(F578:F580)</f>
        <v>2</v>
      </c>
      <c r="G581" s="1228">
        <f>SUM(G578:G580)</f>
        <v>9</v>
      </c>
      <c r="H581" s="1228">
        <f>SUM(F581:G581)</f>
        <v>11</v>
      </c>
      <c r="I581" s="1229">
        <f>H581/E581</f>
        <v>0.6875</v>
      </c>
      <c r="J581" s="1226">
        <f>E581-H581</f>
        <v>5</v>
      </c>
      <c r="K581" s="1229">
        <f>1-I581</f>
        <v>0.3125</v>
      </c>
    </row>
    <row r="582" spans="2:11" x14ac:dyDescent="0.3">
      <c r="B582" s="5302"/>
      <c r="C582" s="5302"/>
      <c r="D582" s="5302"/>
      <c r="E582" s="5302"/>
      <c r="F582" s="5302"/>
      <c r="G582" s="5302"/>
      <c r="H582" s="5302"/>
      <c r="I582" s="5302"/>
      <c r="J582" s="5302"/>
      <c r="K582" s="5302"/>
    </row>
    <row r="583" spans="2:11" x14ac:dyDescent="0.3">
      <c r="B583" s="5780" t="s">
        <v>288</v>
      </c>
      <c r="C583" s="1216" t="s">
        <v>59</v>
      </c>
      <c r="D583" s="1217">
        <v>9</v>
      </c>
      <c r="E583" s="1218">
        <v>9</v>
      </c>
      <c r="F583" s="1216">
        <v>1</v>
      </c>
      <c r="G583" s="1218"/>
      <c r="H583" s="1218">
        <f>SUM(F583:G583)</f>
        <v>1</v>
      </c>
      <c r="I583" s="1219">
        <f>H583/E583</f>
        <v>0.1111111111111111</v>
      </c>
      <c r="J583" s="1216">
        <f>E583-H583</f>
        <v>8</v>
      </c>
      <c r="K583" s="1219">
        <f>1-I583</f>
        <v>0.88888888888888884</v>
      </c>
    </row>
    <row r="584" spans="2:11" x14ac:dyDescent="0.3">
      <c r="B584" s="5781"/>
      <c r="C584" s="1220" t="s">
        <v>64</v>
      </c>
      <c r="D584" s="1221">
        <v>11</v>
      </c>
      <c r="E584" s="1120">
        <v>10</v>
      </c>
      <c r="F584" s="1220">
        <v>4</v>
      </c>
      <c r="G584" s="1120"/>
      <c r="H584" s="1120">
        <f>SUM(F584:G584)</f>
        <v>4</v>
      </c>
      <c r="I584" s="1122">
        <f>H584/E584</f>
        <v>0.4</v>
      </c>
      <c r="J584" s="1220">
        <f>E584-H584</f>
        <v>6</v>
      </c>
      <c r="K584" s="1122">
        <f>1-I584</f>
        <v>0.6</v>
      </c>
    </row>
    <row r="585" spans="2:11" x14ac:dyDescent="0.3">
      <c r="B585" s="5781"/>
      <c r="C585" s="1222" t="s">
        <v>92</v>
      </c>
      <c r="D585" s="1223">
        <v>6</v>
      </c>
      <c r="E585" s="1224">
        <v>6</v>
      </c>
      <c r="F585" s="1222"/>
      <c r="G585" s="1224"/>
      <c r="H585" s="1224">
        <f>SUM(F585:G585)</f>
        <v>0</v>
      </c>
      <c r="I585" s="1225">
        <f>H585/E585</f>
        <v>0</v>
      </c>
      <c r="J585" s="1222">
        <f>E585-H585</f>
        <v>6</v>
      </c>
      <c r="K585" s="1225">
        <f>1-I585</f>
        <v>1</v>
      </c>
    </row>
    <row r="586" spans="2:11" x14ac:dyDescent="0.3">
      <c r="B586" s="5782"/>
      <c r="C586" s="1226" t="s">
        <v>279</v>
      </c>
      <c r="D586" s="1227">
        <f>SUM(D583:D585)</f>
        <v>26</v>
      </c>
      <c r="E586" s="1228">
        <f>SUM(E583:E585)</f>
        <v>25</v>
      </c>
      <c r="F586" s="1226">
        <f>SUM(F583:F585)</f>
        <v>5</v>
      </c>
      <c r="G586" s="1228">
        <f>SUM(G583:G585)</f>
        <v>0</v>
      </c>
      <c r="H586" s="1228">
        <f>SUM(F586:G586)</f>
        <v>5</v>
      </c>
      <c r="I586" s="1229">
        <f>H586/E586</f>
        <v>0.2</v>
      </c>
      <c r="J586" s="1226">
        <f>E586-H586</f>
        <v>20</v>
      </c>
      <c r="K586" s="1229">
        <f>1-I586</f>
        <v>0.8</v>
      </c>
    </row>
    <row r="587" spans="2:11" x14ac:dyDescent="0.3">
      <c r="B587" s="1240"/>
      <c r="C587" s="5301"/>
      <c r="D587" s="5301"/>
      <c r="E587" s="5301"/>
      <c r="F587" s="5301"/>
      <c r="G587" s="5301"/>
      <c r="H587" s="5301"/>
      <c r="I587" s="5301"/>
      <c r="J587" s="5301"/>
      <c r="K587" s="5301"/>
    </row>
    <row r="588" spans="2:11" x14ac:dyDescent="0.3">
      <c r="B588" s="5783" t="s">
        <v>290</v>
      </c>
      <c r="C588" s="1216" t="s">
        <v>64</v>
      </c>
      <c r="D588" s="1217">
        <v>6</v>
      </c>
      <c r="E588" s="1218">
        <v>6</v>
      </c>
      <c r="F588" s="1216">
        <v>2</v>
      </c>
      <c r="G588" s="1218"/>
      <c r="H588" s="1218">
        <f>SUM(F588:G588)</f>
        <v>2</v>
      </c>
      <c r="I588" s="1219">
        <f>H588/E588</f>
        <v>0.33333333333333331</v>
      </c>
      <c r="J588" s="1216">
        <f>E588-H588</f>
        <v>4</v>
      </c>
      <c r="K588" s="1219">
        <f>1-I588</f>
        <v>0.66666666666666674</v>
      </c>
    </row>
    <row r="589" spans="2:11" x14ac:dyDescent="0.3">
      <c r="B589" s="5784"/>
      <c r="C589" s="1220" t="s">
        <v>92</v>
      </c>
      <c r="D589" s="1221">
        <v>8</v>
      </c>
      <c r="E589" s="1120">
        <v>8</v>
      </c>
      <c r="F589" s="1220"/>
      <c r="G589" s="1120">
        <v>1</v>
      </c>
      <c r="H589" s="1120">
        <f>SUM(F589:G589)</f>
        <v>1</v>
      </c>
      <c r="I589" s="1122">
        <f>H589/E589</f>
        <v>0.125</v>
      </c>
      <c r="J589" s="1220">
        <f>E589-H589</f>
        <v>7</v>
      </c>
      <c r="K589" s="1122">
        <f>1-I589</f>
        <v>0.875</v>
      </c>
    </row>
    <row r="590" spans="2:11" x14ac:dyDescent="0.3">
      <c r="B590" s="5784"/>
      <c r="C590" s="1222" t="s">
        <v>68</v>
      </c>
      <c r="D590" s="1223">
        <v>4</v>
      </c>
      <c r="E590" s="1224">
        <v>4</v>
      </c>
      <c r="F590" s="1222">
        <v>2</v>
      </c>
      <c r="G590" s="1224"/>
      <c r="H590" s="1224">
        <f>SUM(F590:G590)</f>
        <v>2</v>
      </c>
      <c r="I590" s="1225">
        <f>H590/E590</f>
        <v>0.5</v>
      </c>
      <c r="J590" s="1222">
        <f>E590-H590</f>
        <v>2</v>
      </c>
      <c r="K590" s="1225">
        <f>1-I590</f>
        <v>0.5</v>
      </c>
    </row>
    <row r="591" spans="2:11" x14ac:dyDescent="0.3">
      <c r="B591" s="5785"/>
      <c r="C591" s="1226" t="s">
        <v>279</v>
      </c>
      <c r="D591" s="1227">
        <f>SUM(D588:D590)</f>
        <v>18</v>
      </c>
      <c r="E591" s="1228">
        <f>SUM(E588:E590)</f>
        <v>18</v>
      </c>
      <c r="F591" s="1226">
        <f>SUM(F588:F590)</f>
        <v>4</v>
      </c>
      <c r="G591" s="1228">
        <f>SUM(G588:G590)</f>
        <v>1</v>
      </c>
      <c r="H591" s="1228">
        <f>SUM(F591:G591)</f>
        <v>5</v>
      </c>
      <c r="I591" s="1229">
        <f>H591/E591</f>
        <v>0.27777777777777779</v>
      </c>
      <c r="J591" s="1226">
        <f>E591-H591</f>
        <v>13</v>
      </c>
      <c r="K591" s="1229">
        <f>1-I591</f>
        <v>0.72222222222222221</v>
      </c>
    </row>
    <row r="592" spans="2:11" x14ac:dyDescent="0.3">
      <c r="B592" s="5301"/>
      <c r="C592" s="5301"/>
      <c r="D592" s="5301"/>
      <c r="E592" s="5301"/>
      <c r="F592" s="5301"/>
      <c r="G592" s="5301"/>
      <c r="H592" s="5301"/>
      <c r="I592" s="5301"/>
      <c r="J592" s="5301"/>
      <c r="K592" s="5301"/>
    </row>
    <row r="593" spans="2:11" x14ac:dyDescent="0.3">
      <c r="B593" s="5789" t="s">
        <v>7</v>
      </c>
      <c r="C593" s="5789"/>
      <c r="D593" s="1227">
        <f>SUM(D581,D586,D591)</f>
        <v>60</v>
      </c>
      <c r="E593" s="1227">
        <f>SUM(E581,E586,E591)</f>
        <v>59</v>
      </c>
      <c r="F593" s="1226">
        <f>SUM(F581,F586,F591)</f>
        <v>11</v>
      </c>
      <c r="G593" s="1228">
        <f>SUM(G581,G586,G591)</f>
        <v>10</v>
      </c>
      <c r="H593" s="1228">
        <f>SUM(H581,H586,H591)</f>
        <v>21</v>
      </c>
      <c r="I593" s="1229">
        <f>H593/E593</f>
        <v>0.3559322033898305</v>
      </c>
      <c r="J593" s="1226">
        <f>E593-H593</f>
        <v>38</v>
      </c>
      <c r="K593" s="1229">
        <f>1-I593</f>
        <v>0.64406779661016955</v>
      </c>
    </row>
    <row r="594" spans="2:11" x14ac:dyDescent="0.3">
      <c r="B594" s="5308"/>
      <c r="C594" s="5308"/>
      <c r="D594" s="1210"/>
      <c r="E594" s="5309"/>
      <c r="F594" s="5309">
        <f>F593/E593</f>
        <v>0.1864406779661017</v>
      </c>
      <c r="G594" s="5309">
        <f>G593/E593</f>
        <v>0.16949152542372881</v>
      </c>
      <c r="H594" s="5301"/>
      <c r="I594" s="5310"/>
      <c r="J594" s="5310"/>
      <c r="K594" s="5311"/>
    </row>
  </sheetData>
  <mergeCells count="193">
    <mergeCell ref="F68:I68"/>
    <mergeCell ref="B69:B70"/>
    <mergeCell ref="C69:E69"/>
    <mergeCell ref="F69:G69"/>
    <mergeCell ref="H69:I69"/>
    <mergeCell ref="B100:B101"/>
    <mergeCell ref="C100:E100"/>
    <mergeCell ref="F100:G100"/>
    <mergeCell ref="H100:I100"/>
    <mergeCell ref="B131:B132"/>
    <mergeCell ref="C131:D131"/>
    <mergeCell ref="E131:F131"/>
    <mergeCell ref="G131:H131"/>
    <mergeCell ref="B165:B166"/>
    <mergeCell ref="C165:C166"/>
    <mergeCell ref="D165:D166"/>
    <mergeCell ref="E165:E166"/>
    <mergeCell ref="F165:G165"/>
    <mergeCell ref="H166:I166"/>
    <mergeCell ref="B196:B197"/>
    <mergeCell ref="C196:C197"/>
    <mergeCell ref="D196:D197"/>
    <mergeCell ref="E196:E197"/>
    <mergeCell ref="F196:I196"/>
    <mergeCell ref="J196:K197"/>
    <mergeCell ref="B168:B171"/>
    <mergeCell ref="B173:B176"/>
    <mergeCell ref="B178:B181"/>
    <mergeCell ref="B183:B186"/>
    <mergeCell ref="B188:B191"/>
    <mergeCell ref="B193:C193"/>
    <mergeCell ref="B227:B228"/>
    <mergeCell ref="C227:C228"/>
    <mergeCell ref="D227:D228"/>
    <mergeCell ref="E227:E228"/>
    <mergeCell ref="F227:I227"/>
    <mergeCell ref="J228:K228"/>
    <mergeCell ref="B199:B202"/>
    <mergeCell ref="B204:B207"/>
    <mergeCell ref="B209:B212"/>
    <mergeCell ref="B214:B217"/>
    <mergeCell ref="B219:B222"/>
    <mergeCell ref="B224:C224"/>
    <mergeCell ref="B257:I257"/>
    <mergeCell ref="B258:B259"/>
    <mergeCell ref="C258:C259"/>
    <mergeCell ref="D258:D259"/>
    <mergeCell ref="E258:E259"/>
    <mergeCell ref="F258:I258"/>
    <mergeCell ref="B230:B233"/>
    <mergeCell ref="B235:B238"/>
    <mergeCell ref="B240:B243"/>
    <mergeCell ref="B245:B248"/>
    <mergeCell ref="B250:B253"/>
    <mergeCell ref="B255:C255"/>
    <mergeCell ref="B286:C286"/>
    <mergeCell ref="B290:B291"/>
    <mergeCell ref="C290:C291"/>
    <mergeCell ref="D290:D291"/>
    <mergeCell ref="E290:E291"/>
    <mergeCell ref="F290:I290"/>
    <mergeCell ref="J259:K259"/>
    <mergeCell ref="B261:B264"/>
    <mergeCell ref="B266:B269"/>
    <mergeCell ref="B271:B274"/>
    <mergeCell ref="B276:B279"/>
    <mergeCell ref="B281:B284"/>
    <mergeCell ref="B318:C318"/>
    <mergeCell ref="B322:B323"/>
    <mergeCell ref="C322:C323"/>
    <mergeCell ref="D322:D323"/>
    <mergeCell ref="E322:E323"/>
    <mergeCell ref="F322:I322"/>
    <mergeCell ref="J291:K291"/>
    <mergeCell ref="B293:B296"/>
    <mergeCell ref="B298:B301"/>
    <mergeCell ref="B303:B306"/>
    <mergeCell ref="B308:B311"/>
    <mergeCell ref="B313:B316"/>
    <mergeCell ref="B350:C350"/>
    <mergeCell ref="B354:B355"/>
    <mergeCell ref="C354:C355"/>
    <mergeCell ref="D354:D355"/>
    <mergeCell ref="E354:E355"/>
    <mergeCell ref="F354:I354"/>
    <mergeCell ref="J323:K323"/>
    <mergeCell ref="B325:B328"/>
    <mergeCell ref="B330:B333"/>
    <mergeCell ref="B335:B338"/>
    <mergeCell ref="B340:B343"/>
    <mergeCell ref="B345:B348"/>
    <mergeCell ref="J355:K355"/>
    <mergeCell ref="B386:B387"/>
    <mergeCell ref="C386:C387"/>
    <mergeCell ref="D386:D387"/>
    <mergeCell ref="E386:E387"/>
    <mergeCell ref="F386:I386"/>
    <mergeCell ref="J387:K387"/>
    <mergeCell ref="B357:B360"/>
    <mergeCell ref="B362:B365"/>
    <mergeCell ref="B367:B370"/>
    <mergeCell ref="B372:B375"/>
    <mergeCell ref="B377:B380"/>
    <mergeCell ref="B382:C382"/>
    <mergeCell ref="J414:K414"/>
    <mergeCell ref="B416:B419"/>
    <mergeCell ref="B421:B424"/>
    <mergeCell ref="B389:B392"/>
    <mergeCell ref="B394:B397"/>
    <mergeCell ref="B399:B402"/>
    <mergeCell ref="B404:B407"/>
    <mergeCell ref="B409:C409"/>
    <mergeCell ref="B413:B414"/>
    <mergeCell ref="C413:C414"/>
    <mergeCell ref="B426:B429"/>
    <mergeCell ref="B431:B434"/>
    <mergeCell ref="B436:C436"/>
    <mergeCell ref="B441:B442"/>
    <mergeCell ref="C441:C442"/>
    <mergeCell ref="D441:D442"/>
    <mergeCell ref="D413:D414"/>
    <mergeCell ref="E413:E414"/>
    <mergeCell ref="F413:I413"/>
    <mergeCell ref="B459:B462"/>
    <mergeCell ref="B464:C464"/>
    <mergeCell ref="B469:B470"/>
    <mergeCell ref="C469:C470"/>
    <mergeCell ref="D469:D470"/>
    <mergeCell ref="E469:E470"/>
    <mergeCell ref="E441:E442"/>
    <mergeCell ref="F441:I441"/>
    <mergeCell ref="J442:K442"/>
    <mergeCell ref="B444:B447"/>
    <mergeCell ref="B449:B452"/>
    <mergeCell ref="B454:B457"/>
    <mergeCell ref="B593:C593"/>
    <mergeCell ref="B565:B568"/>
    <mergeCell ref="B570:C570"/>
    <mergeCell ref="B575:B576"/>
    <mergeCell ref="C575:C576"/>
    <mergeCell ref="D575:D576"/>
    <mergeCell ref="E575:E576"/>
    <mergeCell ref="D552:D553"/>
    <mergeCell ref="E552:E553"/>
    <mergeCell ref="B555:B558"/>
    <mergeCell ref="B560:B563"/>
    <mergeCell ref="B552:B553"/>
    <mergeCell ref="C552:C553"/>
    <mergeCell ref="B588:B591"/>
    <mergeCell ref="B492:C492"/>
    <mergeCell ref="B497:B498"/>
    <mergeCell ref="C497:C498"/>
    <mergeCell ref="D497:D498"/>
    <mergeCell ref="E497:E498"/>
    <mergeCell ref="F497:I497"/>
    <mergeCell ref="F469:I469"/>
    <mergeCell ref="J470:K470"/>
    <mergeCell ref="B472:B475"/>
    <mergeCell ref="B477:B480"/>
    <mergeCell ref="B482:B485"/>
    <mergeCell ref="B487:B490"/>
    <mergeCell ref="F575:I575"/>
    <mergeCell ref="J576:K576"/>
    <mergeCell ref="B578:B581"/>
    <mergeCell ref="B583:B586"/>
    <mergeCell ref="J498:K498"/>
    <mergeCell ref="B500:B503"/>
    <mergeCell ref="B505:B508"/>
    <mergeCell ref="B510:B513"/>
    <mergeCell ref="B515:B518"/>
    <mergeCell ref="B520:C520"/>
    <mergeCell ref="F552:I552"/>
    <mergeCell ref="J553:K553"/>
    <mergeCell ref="B527:B530"/>
    <mergeCell ref="B532:B535"/>
    <mergeCell ref="B537:B540"/>
    <mergeCell ref="B542:B545"/>
    <mergeCell ref="B547:C547"/>
    <mergeCell ref="B524:B525"/>
    <mergeCell ref="C524:C525"/>
    <mergeCell ref="D524:D525"/>
    <mergeCell ref="E524:E525"/>
    <mergeCell ref="F524:I524"/>
    <mergeCell ref="J525:K525"/>
    <mergeCell ref="F4:I4"/>
    <mergeCell ref="C5:E5"/>
    <mergeCell ref="F5:G5"/>
    <mergeCell ref="H5:I5"/>
    <mergeCell ref="B37:B38"/>
    <mergeCell ref="F36:I36"/>
    <mergeCell ref="C37:E37"/>
    <mergeCell ref="F37:G37"/>
    <mergeCell ref="H37:I3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49" firstPageNumber="50" orientation="landscape" useFirstPageNumber="1" r:id="rId1"/>
  <headerFooter scaleWithDoc="0" alignWithMargins="0">
    <oddFooter>&amp;R&amp;P</oddFooter>
  </headerFooter>
  <rowBreaks count="8" manualBreakCount="8">
    <brk id="129" max="16383" man="1"/>
    <brk id="194" max="16383" man="1"/>
    <brk id="256" max="16383" man="1"/>
    <brk id="319" max="16383" man="1"/>
    <brk id="383" max="16383" man="1"/>
    <brk id="438" max="16383" man="1"/>
    <brk id="494" max="16383" man="1"/>
    <brk id="549" max="16383" man="1"/>
  </rowBreaks>
  <ignoredErrors>
    <ignoredError sqref="H293:H315" formulaRange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  <pageSetUpPr fitToPage="1"/>
  </sheetPr>
  <dimension ref="A1:V35"/>
  <sheetViews>
    <sheetView showGridLines="0" zoomScale="120" zoomScaleNormal="120" workbookViewId="0">
      <selection activeCell="Q31" sqref="Q31"/>
    </sheetView>
  </sheetViews>
  <sheetFormatPr baseColWidth="10" defaultRowHeight="13.2" x14ac:dyDescent="0.25"/>
  <cols>
    <col min="2" max="20" width="6.44140625" customWidth="1"/>
  </cols>
  <sheetData>
    <row r="1" spans="7:22" ht="17.399999999999999" x14ac:dyDescent="0.3">
      <c r="G1" s="1243"/>
    </row>
    <row r="8" spans="7:22" ht="13.8" x14ac:dyDescent="0.3">
      <c r="V8" s="4476" t="s">
        <v>147</v>
      </c>
    </row>
    <row r="9" spans="7:22" ht="13.8" x14ac:dyDescent="0.3">
      <c r="V9" s="4476" t="s">
        <v>148</v>
      </c>
    </row>
    <row r="10" spans="7:22" ht="13.8" x14ac:dyDescent="0.3">
      <c r="V10" s="4475">
        <v>2003</v>
      </c>
    </row>
    <row r="11" spans="7:22" ht="13.8" x14ac:dyDescent="0.3">
      <c r="V11" s="4475">
        <v>2004</v>
      </c>
    </row>
    <row r="12" spans="7:22" ht="13.8" x14ac:dyDescent="0.3">
      <c r="V12" s="4475">
        <v>2005</v>
      </c>
    </row>
    <row r="13" spans="7:22" ht="13.8" x14ac:dyDescent="0.3">
      <c r="V13" s="4475">
        <v>2006</v>
      </c>
    </row>
    <row r="14" spans="7:22" ht="13.8" x14ac:dyDescent="0.3">
      <c r="V14" s="4475">
        <v>2007</v>
      </c>
    </row>
    <row r="15" spans="7:22" ht="13.8" x14ac:dyDescent="0.3">
      <c r="V15" s="4475">
        <v>2008</v>
      </c>
    </row>
    <row r="16" spans="7:22" ht="13.8" x14ac:dyDescent="0.3">
      <c r="V16" s="4475">
        <v>2009</v>
      </c>
    </row>
    <row r="17" spans="22:22" ht="13.8" x14ac:dyDescent="0.3">
      <c r="V17" s="4475">
        <v>2010</v>
      </c>
    </row>
    <row r="18" spans="22:22" ht="13.8" x14ac:dyDescent="0.3">
      <c r="V18" s="4475">
        <v>2011</v>
      </c>
    </row>
    <row r="19" spans="22:22" ht="13.8" x14ac:dyDescent="0.3">
      <c r="V19" s="4475">
        <v>2012</v>
      </c>
    </row>
    <row r="20" spans="22:22" ht="13.8" x14ac:dyDescent="0.3">
      <c r="V20" s="4475">
        <v>2013</v>
      </c>
    </row>
    <row r="21" spans="22:22" ht="13.8" x14ac:dyDescent="0.3">
      <c r="V21" s="4475">
        <v>2014</v>
      </c>
    </row>
    <row r="22" spans="22:22" ht="13.8" x14ac:dyDescent="0.3">
      <c r="V22" s="4475">
        <v>2015</v>
      </c>
    </row>
    <row r="23" spans="22:22" ht="13.8" x14ac:dyDescent="0.3">
      <c r="V23" s="4475">
        <v>2016</v>
      </c>
    </row>
    <row r="24" spans="22:22" ht="13.8" x14ac:dyDescent="0.3">
      <c r="V24" s="4475">
        <v>2017</v>
      </c>
    </row>
    <row r="25" spans="22:22" ht="13.8" x14ac:dyDescent="0.3">
      <c r="V25" s="4475">
        <v>2018</v>
      </c>
    </row>
    <row r="26" spans="22:22" ht="13.8" x14ac:dyDescent="0.3">
      <c r="V26" s="4475">
        <v>2019</v>
      </c>
    </row>
    <row r="27" spans="22:22" ht="13.8" x14ac:dyDescent="0.3">
      <c r="V27" s="4475">
        <v>2020</v>
      </c>
    </row>
    <row r="28" spans="22:22" ht="13.8" x14ac:dyDescent="0.3">
      <c r="V28" s="4475">
        <v>2021</v>
      </c>
    </row>
    <row r="29" spans="22:22" ht="13.8" x14ac:dyDescent="0.3">
      <c r="V29" s="4475">
        <v>2022</v>
      </c>
    </row>
    <row r="34" spans="1:21" x14ac:dyDescent="0.25">
      <c r="A34" s="1244" t="s">
        <v>279</v>
      </c>
      <c r="B34" s="1245">
        <v>44389</v>
      </c>
      <c r="C34" s="1245">
        <v>45510</v>
      </c>
      <c r="D34" s="1245">
        <v>46837</v>
      </c>
      <c r="E34" s="1245">
        <v>47792</v>
      </c>
      <c r="F34" s="1245">
        <v>48884</v>
      </c>
      <c r="G34" s="1245">
        <v>50130</v>
      </c>
      <c r="H34" s="1245">
        <v>50392</v>
      </c>
      <c r="I34" s="1245">
        <v>51922</v>
      </c>
      <c r="J34" s="1245">
        <v>52888</v>
      </c>
      <c r="K34" s="1245">
        <v>54364</v>
      </c>
      <c r="L34" s="1245">
        <v>55967</v>
      </c>
      <c r="M34" s="1245">
        <v>56606</v>
      </c>
      <c r="N34" s="1245">
        <v>57092</v>
      </c>
      <c r="O34" s="1245">
        <v>57742</v>
      </c>
      <c r="P34" s="1245">
        <v>57827</v>
      </c>
      <c r="Q34" s="1245">
        <v>58623</v>
      </c>
      <c r="R34" s="1245">
        <v>59705</v>
      </c>
      <c r="S34" s="1245">
        <v>59709</v>
      </c>
      <c r="T34" s="1245">
        <v>60865</v>
      </c>
      <c r="U34" s="5153">
        <v>61908</v>
      </c>
    </row>
    <row r="35" spans="1:21" x14ac:dyDescent="0.25">
      <c r="Q35" s="1245"/>
      <c r="S35" s="1246"/>
    </row>
  </sheetData>
  <printOptions horizontalCentered="1" verticalCentered="1"/>
  <pageMargins left="0.70866141732283472" right="0.70866141732283472" top="0.74803149606299213" bottom="0.74803149606299213" header="0.31496062992125984" footer="0.31496062992125984"/>
  <pageSetup scale="85" firstPageNumber="53" orientation="landscape" useFirstPageNumber="1" r:id="rId1"/>
  <headerFooter scaleWithDoc="0" alignWithMargins="0">
    <oddFooter>&amp;R&amp;P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  <pageSetUpPr fitToPage="1"/>
  </sheetPr>
  <dimension ref="A3:AA36"/>
  <sheetViews>
    <sheetView showGridLines="0" zoomScaleNormal="100" zoomScaleSheetLayoutView="65" workbookViewId="0"/>
  </sheetViews>
  <sheetFormatPr baseColWidth="10" defaultRowHeight="13.2" x14ac:dyDescent="0.25"/>
  <cols>
    <col min="2" max="19" width="7.88671875" customWidth="1"/>
    <col min="20" max="20" width="9.5546875" customWidth="1"/>
    <col min="21" max="45" width="7.88671875" customWidth="1"/>
  </cols>
  <sheetData>
    <row r="3" spans="27:27" ht="13.8" x14ac:dyDescent="0.3">
      <c r="AA3" s="4477" t="s">
        <v>147</v>
      </c>
    </row>
    <row r="4" spans="27:27" ht="13.8" x14ac:dyDescent="0.3">
      <c r="AA4" s="4477" t="s">
        <v>148</v>
      </c>
    </row>
    <row r="5" spans="27:27" ht="13.8" x14ac:dyDescent="0.3">
      <c r="AA5" s="1247">
        <v>2003</v>
      </c>
    </row>
    <row r="6" spans="27:27" ht="13.8" x14ac:dyDescent="0.3">
      <c r="AA6" s="1247">
        <v>2004</v>
      </c>
    </row>
    <row r="7" spans="27:27" ht="13.8" x14ac:dyDescent="0.3">
      <c r="AA7" s="1247">
        <v>2005</v>
      </c>
    </row>
    <row r="8" spans="27:27" ht="13.8" x14ac:dyDescent="0.3">
      <c r="AA8" s="1247">
        <v>2006</v>
      </c>
    </row>
    <row r="9" spans="27:27" ht="13.8" x14ac:dyDescent="0.3">
      <c r="AA9" s="1247">
        <v>2007</v>
      </c>
    </row>
    <row r="10" spans="27:27" ht="13.8" x14ac:dyDescent="0.3">
      <c r="AA10" s="1247">
        <v>2008</v>
      </c>
    </row>
    <row r="11" spans="27:27" ht="13.8" x14ac:dyDescent="0.3">
      <c r="AA11" s="1247">
        <v>2009</v>
      </c>
    </row>
    <row r="12" spans="27:27" ht="13.8" x14ac:dyDescent="0.3">
      <c r="AA12" s="1247">
        <v>2010</v>
      </c>
    </row>
    <row r="13" spans="27:27" ht="13.8" x14ac:dyDescent="0.3">
      <c r="AA13" s="1247">
        <v>2011</v>
      </c>
    </row>
    <row r="14" spans="27:27" ht="13.8" x14ac:dyDescent="0.3">
      <c r="AA14" s="1247">
        <v>2012</v>
      </c>
    </row>
    <row r="15" spans="27:27" ht="13.8" x14ac:dyDescent="0.3">
      <c r="AA15" s="1247">
        <v>2013</v>
      </c>
    </row>
    <row r="16" spans="27:27" ht="13.8" x14ac:dyDescent="0.3">
      <c r="AA16" s="1247">
        <v>2014</v>
      </c>
    </row>
    <row r="17" spans="1:27" ht="13.8" x14ac:dyDescent="0.3">
      <c r="AA17" s="1247">
        <v>2015</v>
      </c>
    </row>
    <row r="18" spans="1:27" ht="13.8" x14ac:dyDescent="0.3">
      <c r="AA18" s="1247">
        <v>2016</v>
      </c>
    </row>
    <row r="19" spans="1:27" ht="13.8" x14ac:dyDescent="0.3">
      <c r="AA19" s="1247">
        <v>2017</v>
      </c>
    </row>
    <row r="20" spans="1:27" ht="13.8" x14ac:dyDescent="0.3">
      <c r="AA20" s="1247">
        <v>2018</v>
      </c>
    </row>
    <row r="21" spans="1:27" ht="13.8" x14ac:dyDescent="0.3">
      <c r="AA21" s="1247">
        <v>2019</v>
      </c>
    </row>
    <row r="22" spans="1:27" ht="13.8" x14ac:dyDescent="0.3">
      <c r="AA22" s="1247">
        <v>2020</v>
      </c>
    </row>
    <row r="23" spans="1:27" ht="13.8" x14ac:dyDescent="0.3">
      <c r="AA23" s="1247">
        <v>2021</v>
      </c>
    </row>
    <row r="24" spans="1:27" ht="13.8" x14ac:dyDescent="0.3">
      <c r="T24" s="371"/>
      <c r="AA24" s="1247">
        <v>2022</v>
      </c>
    </row>
    <row r="25" spans="1:27" x14ac:dyDescent="0.25">
      <c r="T25" s="371"/>
    </row>
    <row r="31" spans="1:27" ht="13.8" x14ac:dyDescent="0.25">
      <c r="A31" s="1248" t="s">
        <v>279</v>
      </c>
      <c r="B31" s="1249">
        <v>5082</v>
      </c>
      <c r="C31" s="1245">
        <v>4920</v>
      </c>
      <c r="D31" s="1245">
        <v>4935</v>
      </c>
      <c r="E31" s="1245">
        <v>5061</v>
      </c>
      <c r="F31" s="1245">
        <v>4966</v>
      </c>
      <c r="G31" s="1245">
        <v>5419</v>
      </c>
      <c r="H31" s="1245">
        <v>5478</v>
      </c>
      <c r="I31" s="1245">
        <v>5591</v>
      </c>
      <c r="J31" s="1245">
        <v>5309</v>
      </c>
      <c r="K31" s="1245">
        <v>5337</v>
      </c>
      <c r="L31" s="1245">
        <v>6066</v>
      </c>
      <c r="M31" s="1245">
        <v>5878</v>
      </c>
      <c r="N31" s="1245">
        <v>5806</v>
      </c>
      <c r="O31" s="1245">
        <v>5969</v>
      </c>
      <c r="P31" s="1245">
        <v>6198</v>
      </c>
      <c r="Q31" s="1245">
        <v>6270</v>
      </c>
      <c r="R31" s="1249">
        <v>6080</v>
      </c>
      <c r="S31" s="1245">
        <v>5995</v>
      </c>
      <c r="T31" s="1245">
        <f>SUM('EGRESO uni'!CP37+'EGRESO-POs uni'!CP84)</f>
        <v>6233</v>
      </c>
      <c r="U31" s="1245">
        <v>6255</v>
      </c>
    </row>
    <row r="32" spans="1:27" x14ac:dyDescent="0.25">
      <c r="S32" s="1250"/>
    </row>
    <row r="33" spans="18:21" ht="13.8" x14ac:dyDescent="0.25">
      <c r="R33" s="892"/>
      <c r="U33" s="4645"/>
    </row>
    <row r="35" spans="18:21" x14ac:dyDescent="0.25">
      <c r="T35" s="1251"/>
    </row>
    <row r="36" spans="18:21" x14ac:dyDescent="0.25">
      <c r="S36" s="1245"/>
    </row>
  </sheetData>
  <printOptions horizontalCentered="1" verticalCentered="1"/>
  <pageMargins left="0.70866141732283472" right="0.70866141732283472" top="0.74803149606299213" bottom="0.74803149606299213" header="0.31496062992125984" footer="0.31496062992125984"/>
  <pageSetup scale="70" firstPageNumber="54" orientation="landscape" useFirstPageNumber="1" r:id="rId1"/>
  <headerFooter scaleWithDoc="0" alignWithMargins="0">
    <oddFooter>&amp;R&amp;P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7A519"/>
  </sheetPr>
  <dimension ref="A1:CU166"/>
  <sheetViews>
    <sheetView showGridLines="0" zoomScaleNormal="100" workbookViewId="0">
      <pane xSplit="3" ySplit="4" topLeftCell="CD5" activePane="bottomRight" state="frozen"/>
      <selection activeCell="Q31" sqref="Q31"/>
      <selection pane="topRight" activeCell="Q31" sqref="Q31"/>
      <selection pane="bottomLeft" activeCell="Q31" sqref="Q31"/>
      <selection pane="bottomRight" activeCell="Q31" sqref="Q31"/>
    </sheetView>
  </sheetViews>
  <sheetFormatPr baseColWidth="10" defaultRowHeight="13.2" x14ac:dyDescent="0.25"/>
  <cols>
    <col min="1" max="1" width="2.88671875" style="25" customWidth="1"/>
    <col min="2" max="2" width="17.109375" style="1332" customWidth="1"/>
    <col min="3" max="3" width="69.44140625" style="25" bestFit="1" customWidth="1"/>
    <col min="4" max="10" width="7.88671875" style="25" customWidth="1"/>
    <col min="11" max="11" width="10.44140625" style="25" customWidth="1"/>
    <col min="12" max="18" width="7.88671875" style="25" customWidth="1"/>
    <col min="19" max="19" width="10.44140625" style="25" customWidth="1"/>
    <col min="20" max="22" width="7.88671875" style="25" customWidth="1"/>
    <col min="23" max="23" width="7.88671875" style="1330" customWidth="1"/>
    <col min="24" max="26" width="7.88671875" style="25" customWidth="1"/>
    <col min="27" max="27" width="7.88671875" style="1330" customWidth="1"/>
    <col min="28" max="30" width="7.88671875" style="25" customWidth="1"/>
    <col min="31" max="31" width="7.88671875" style="1330" customWidth="1"/>
    <col min="32" max="34" width="7.88671875" style="25" customWidth="1"/>
    <col min="35" max="35" width="7.88671875" style="1330" customWidth="1"/>
    <col min="36" max="38" width="7.88671875" style="25" customWidth="1"/>
    <col min="39" max="39" width="7.88671875" style="1330" customWidth="1"/>
    <col min="40" max="42" width="7.88671875" style="25" customWidth="1"/>
    <col min="43" max="43" width="7.88671875" style="1330" customWidth="1"/>
    <col min="44" max="46" width="7.88671875" style="25" customWidth="1"/>
    <col min="47" max="47" width="7.88671875" style="1330" customWidth="1"/>
    <col min="48" max="58" width="7.88671875" style="25" customWidth="1"/>
    <col min="59" max="59" width="9.44140625" style="25" customWidth="1"/>
    <col min="60" max="66" width="7.88671875" style="25" customWidth="1"/>
    <col min="67" max="67" width="9" style="25" customWidth="1"/>
    <col min="68" max="95" width="7.88671875" style="25" customWidth="1"/>
    <col min="96" max="125" width="8.6640625" style="25" customWidth="1"/>
    <col min="126" max="263" width="11.5546875" style="25"/>
    <col min="264" max="264" width="2" style="25" customWidth="1"/>
    <col min="265" max="265" width="18.109375" style="25" customWidth="1"/>
    <col min="266" max="266" width="13.5546875" style="25" customWidth="1"/>
    <col min="267" max="267" width="52" style="25" customWidth="1"/>
    <col min="268" max="269" width="6.5546875" style="25" customWidth="1"/>
    <col min="270" max="270" width="7.5546875" style="25" customWidth="1"/>
    <col min="271" max="271" width="7.44140625" style="25" customWidth="1"/>
    <col min="272" max="272" width="8.44140625" style="25" customWidth="1"/>
    <col min="273" max="273" width="7.109375" style="25" customWidth="1"/>
    <col min="274" max="274" width="7.5546875" style="25" customWidth="1"/>
    <col min="275" max="275" width="7.88671875" style="25" customWidth="1"/>
    <col min="276" max="277" width="6.44140625" style="25" customWidth="1"/>
    <col min="278" max="278" width="7.109375" style="25" customWidth="1"/>
    <col min="279" max="279" width="7.88671875" style="25" customWidth="1"/>
    <col min="280" max="280" width="6.44140625" style="25" customWidth="1"/>
    <col min="281" max="281" width="7.109375" style="25" customWidth="1"/>
    <col min="282" max="282" width="7.5546875" style="25" customWidth="1"/>
    <col min="283" max="283" width="8" style="25" customWidth="1"/>
    <col min="284" max="285" width="6.44140625" style="25" customWidth="1"/>
    <col min="286" max="286" width="7.109375" style="25" customWidth="1"/>
    <col min="287" max="287" width="8.109375" style="25" customWidth="1"/>
    <col min="288" max="289" width="10.44140625" style="25" customWidth="1"/>
    <col min="290" max="290" width="7.109375" style="25" customWidth="1"/>
    <col min="291" max="291" width="8.109375" style="25" customWidth="1"/>
    <col min="292" max="293" width="10.44140625" style="25" customWidth="1"/>
    <col min="294" max="294" width="7.109375" style="25" customWidth="1"/>
    <col min="295" max="295" width="8.109375" style="25" customWidth="1"/>
    <col min="296" max="296" width="11.5546875" style="25" customWidth="1"/>
    <col min="297" max="519" width="11.5546875" style="25"/>
    <col min="520" max="520" width="2" style="25" customWidth="1"/>
    <col min="521" max="521" width="18.109375" style="25" customWidth="1"/>
    <col min="522" max="522" width="13.5546875" style="25" customWidth="1"/>
    <col min="523" max="523" width="52" style="25" customWidth="1"/>
    <col min="524" max="525" width="6.5546875" style="25" customWidth="1"/>
    <col min="526" max="526" width="7.5546875" style="25" customWidth="1"/>
    <col min="527" max="527" width="7.44140625" style="25" customWidth="1"/>
    <col min="528" max="528" width="8.44140625" style="25" customWidth="1"/>
    <col min="529" max="529" width="7.109375" style="25" customWidth="1"/>
    <col min="530" max="530" width="7.5546875" style="25" customWidth="1"/>
    <col min="531" max="531" width="7.88671875" style="25" customWidth="1"/>
    <col min="532" max="533" width="6.44140625" style="25" customWidth="1"/>
    <col min="534" max="534" width="7.109375" style="25" customWidth="1"/>
    <col min="535" max="535" width="7.88671875" style="25" customWidth="1"/>
    <col min="536" max="536" width="6.44140625" style="25" customWidth="1"/>
    <col min="537" max="537" width="7.109375" style="25" customWidth="1"/>
    <col min="538" max="538" width="7.5546875" style="25" customWidth="1"/>
    <col min="539" max="539" width="8" style="25" customWidth="1"/>
    <col min="540" max="541" width="6.44140625" style="25" customWidth="1"/>
    <col min="542" max="542" width="7.109375" style="25" customWidth="1"/>
    <col min="543" max="543" width="8.109375" style="25" customWidth="1"/>
    <col min="544" max="545" width="10.44140625" style="25" customWidth="1"/>
    <col min="546" max="546" width="7.109375" style="25" customWidth="1"/>
    <col min="547" max="547" width="8.109375" style="25" customWidth="1"/>
    <col min="548" max="549" width="10.44140625" style="25" customWidth="1"/>
    <col min="550" max="550" width="7.109375" style="25" customWidth="1"/>
    <col min="551" max="551" width="8.109375" style="25" customWidth="1"/>
    <col min="552" max="552" width="11.5546875" style="25" customWidth="1"/>
    <col min="553" max="775" width="11.5546875" style="25"/>
    <col min="776" max="776" width="2" style="25" customWidth="1"/>
    <col min="777" max="777" width="18.109375" style="25" customWidth="1"/>
    <col min="778" max="778" width="13.5546875" style="25" customWidth="1"/>
    <col min="779" max="779" width="52" style="25" customWidth="1"/>
    <col min="780" max="781" width="6.5546875" style="25" customWidth="1"/>
    <col min="782" max="782" width="7.5546875" style="25" customWidth="1"/>
    <col min="783" max="783" width="7.44140625" style="25" customWidth="1"/>
    <col min="784" max="784" width="8.44140625" style="25" customWidth="1"/>
    <col min="785" max="785" width="7.109375" style="25" customWidth="1"/>
    <col min="786" max="786" width="7.5546875" style="25" customWidth="1"/>
    <col min="787" max="787" width="7.88671875" style="25" customWidth="1"/>
    <col min="788" max="789" width="6.44140625" style="25" customWidth="1"/>
    <col min="790" max="790" width="7.109375" style="25" customWidth="1"/>
    <col min="791" max="791" width="7.88671875" style="25" customWidth="1"/>
    <col min="792" max="792" width="6.44140625" style="25" customWidth="1"/>
    <col min="793" max="793" width="7.109375" style="25" customWidth="1"/>
    <col min="794" max="794" width="7.5546875" style="25" customWidth="1"/>
    <col min="795" max="795" width="8" style="25" customWidth="1"/>
    <col min="796" max="797" width="6.44140625" style="25" customWidth="1"/>
    <col min="798" max="798" width="7.109375" style="25" customWidth="1"/>
    <col min="799" max="799" width="8.109375" style="25" customWidth="1"/>
    <col min="800" max="801" width="10.44140625" style="25" customWidth="1"/>
    <col min="802" max="802" width="7.109375" style="25" customWidth="1"/>
    <col min="803" max="803" width="8.109375" style="25" customWidth="1"/>
    <col min="804" max="805" width="10.44140625" style="25" customWidth="1"/>
    <col min="806" max="806" width="7.109375" style="25" customWidth="1"/>
    <col min="807" max="807" width="8.109375" style="25" customWidth="1"/>
    <col min="808" max="808" width="11.5546875" style="25" customWidth="1"/>
    <col min="809" max="1031" width="11.5546875" style="25"/>
    <col min="1032" max="1032" width="2" style="25" customWidth="1"/>
    <col min="1033" max="1033" width="18.109375" style="25" customWidth="1"/>
    <col min="1034" max="1034" width="13.5546875" style="25" customWidth="1"/>
    <col min="1035" max="1035" width="52" style="25" customWidth="1"/>
    <col min="1036" max="1037" width="6.5546875" style="25" customWidth="1"/>
    <col min="1038" max="1038" width="7.5546875" style="25" customWidth="1"/>
    <col min="1039" max="1039" width="7.44140625" style="25" customWidth="1"/>
    <col min="1040" max="1040" width="8.44140625" style="25" customWidth="1"/>
    <col min="1041" max="1041" width="7.109375" style="25" customWidth="1"/>
    <col min="1042" max="1042" width="7.5546875" style="25" customWidth="1"/>
    <col min="1043" max="1043" width="7.88671875" style="25" customWidth="1"/>
    <col min="1044" max="1045" width="6.44140625" style="25" customWidth="1"/>
    <col min="1046" max="1046" width="7.109375" style="25" customWidth="1"/>
    <col min="1047" max="1047" width="7.88671875" style="25" customWidth="1"/>
    <col min="1048" max="1048" width="6.44140625" style="25" customWidth="1"/>
    <col min="1049" max="1049" width="7.109375" style="25" customWidth="1"/>
    <col min="1050" max="1050" width="7.5546875" style="25" customWidth="1"/>
    <col min="1051" max="1051" width="8" style="25" customWidth="1"/>
    <col min="1052" max="1053" width="6.44140625" style="25" customWidth="1"/>
    <col min="1054" max="1054" width="7.109375" style="25" customWidth="1"/>
    <col min="1055" max="1055" width="8.109375" style="25" customWidth="1"/>
    <col min="1056" max="1057" width="10.44140625" style="25" customWidth="1"/>
    <col min="1058" max="1058" width="7.109375" style="25" customWidth="1"/>
    <col min="1059" max="1059" width="8.109375" style="25" customWidth="1"/>
    <col min="1060" max="1061" width="10.44140625" style="25" customWidth="1"/>
    <col min="1062" max="1062" width="7.109375" style="25" customWidth="1"/>
    <col min="1063" max="1063" width="8.109375" style="25" customWidth="1"/>
    <col min="1064" max="1064" width="11.5546875" style="25" customWidth="1"/>
    <col min="1065" max="1287" width="11.5546875" style="25"/>
    <col min="1288" max="1288" width="2" style="25" customWidth="1"/>
    <col min="1289" max="1289" width="18.109375" style="25" customWidth="1"/>
    <col min="1290" max="1290" width="13.5546875" style="25" customWidth="1"/>
    <col min="1291" max="1291" width="52" style="25" customWidth="1"/>
    <col min="1292" max="1293" width="6.5546875" style="25" customWidth="1"/>
    <col min="1294" max="1294" width="7.5546875" style="25" customWidth="1"/>
    <col min="1295" max="1295" width="7.44140625" style="25" customWidth="1"/>
    <col min="1296" max="1296" width="8.44140625" style="25" customWidth="1"/>
    <col min="1297" max="1297" width="7.109375" style="25" customWidth="1"/>
    <col min="1298" max="1298" width="7.5546875" style="25" customWidth="1"/>
    <col min="1299" max="1299" width="7.88671875" style="25" customWidth="1"/>
    <col min="1300" max="1301" width="6.44140625" style="25" customWidth="1"/>
    <col min="1302" max="1302" width="7.109375" style="25" customWidth="1"/>
    <col min="1303" max="1303" width="7.88671875" style="25" customWidth="1"/>
    <col min="1304" max="1304" width="6.44140625" style="25" customWidth="1"/>
    <col min="1305" max="1305" width="7.109375" style="25" customWidth="1"/>
    <col min="1306" max="1306" width="7.5546875" style="25" customWidth="1"/>
    <col min="1307" max="1307" width="8" style="25" customWidth="1"/>
    <col min="1308" max="1309" width="6.44140625" style="25" customWidth="1"/>
    <col min="1310" max="1310" width="7.109375" style="25" customWidth="1"/>
    <col min="1311" max="1311" width="8.109375" style="25" customWidth="1"/>
    <col min="1312" max="1313" width="10.44140625" style="25" customWidth="1"/>
    <col min="1314" max="1314" width="7.109375" style="25" customWidth="1"/>
    <col min="1315" max="1315" width="8.109375" style="25" customWidth="1"/>
    <col min="1316" max="1317" width="10.44140625" style="25" customWidth="1"/>
    <col min="1318" max="1318" width="7.109375" style="25" customWidth="1"/>
    <col min="1319" max="1319" width="8.109375" style="25" customWidth="1"/>
    <col min="1320" max="1320" width="11.5546875" style="25" customWidth="1"/>
    <col min="1321" max="1543" width="11.5546875" style="25"/>
    <col min="1544" max="1544" width="2" style="25" customWidth="1"/>
    <col min="1545" max="1545" width="18.109375" style="25" customWidth="1"/>
    <col min="1546" max="1546" width="13.5546875" style="25" customWidth="1"/>
    <col min="1547" max="1547" width="52" style="25" customWidth="1"/>
    <col min="1548" max="1549" width="6.5546875" style="25" customWidth="1"/>
    <col min="1550" max="1550" width="7.5546875" style="25" customWidth="1"/>
    <col min="1551" max="1551" width="7.44140625" style="25" customWidth="1"/>
    <col min="1552" max="1552" width="8.44140625" style="25" customWidth="1"/>
    <col min="1553" max="1553" width="7.109375" style="25" customWidth="1"/>
    <col min="1554" max="1554" width="7.5546875" style="25" customWidth="1"/>
    <col min="1555" max="1555" width="7.88671875" style="25" customWidth="1"/>
    <col min="1556" max="1557" width="6.44140625" style="25" customWidth="1"/>
    <col min="1558" max="1558" width="7.109375" style="25" customWidth="1"/>
    <col min="1559" max="1559" width="7.88671875" style="25" customWidth="1"/>
    <col min="1560" max="1560" width="6.44140625" style="25" customWidth="1"/>
    <col min="1561" max="1561" width="7.109375" style="25" customWidth="1"/>
    <col min="1562" max="1562" width="7.5546875" style="25" customWidth="1"/>
    <col min="1563" max="1563" width="8" style="25" customWidth="1"/>
    <col min="1564" max="1565" width="6.44140625" style="25" customWidth="1"/>
    <col min="1566" max="1566" width="7.109375" style="25" customWidth="1"/>
    <col min="1567" max="1567" width="8.109375" style="25" customWidth="1"/>
    <col min="1568" max="1569" width="10.44140625" style="25" customWidth="1"/>
    <col min="1570" max="1570" width="7.109375" style="25" customWidth="1"/>
    <col min="1571" max="1571" width="8.109375" style="25" customWidth="1"/>
    <col min="1572" max="1573" width="10.44140625" style="25" customWidth="1"/>
    <col min="1574" max="1574" width="7.109375" style="25" customWidth="1"/>
    <col min="1575" max="1575" width="8.109375" style="25" customWidth="1"/>
    <col min="1576" max="1576" width="11.5546875" style="25" customWidth="1"/>
    <col min="1577" max="1799" width="11.5546875" style="25"/>
    <col min="1800" max="1800" width="2" style="25" customWidth="1"/>
    <col min="1801" max="1801" width="18.109375" style="25" customWidth="1"/>
    <col min="1802" max="1802" width="13.5546875" style="25" customWidth="1"/>
    <col min="1803" max="1803" width="52" style="25" customWidth="1"/>
    <col min="1804" max="1805" width="6.5546875" style="25" customWidth="1"/>
    <col min="1806" max="1806" width="7.5546875" style="25" customWidth="1"/>
    <col min="1807" max="1807" width="7.44140625" style="25" customWidth="1"/>
    <col min="1808" max="1808" width="8.44140625" style="25" customWidth="1"/>
    <col min="1809" max="1809" width="7.109375" style="25" customWidth="1"/>
    <col min="1810" max="1810" width="7.5546875" style="25" customWidth="1"/>
    <col min="1811" max="1811" width="7.88671875" style="25" customWidth="1"/>
    <col min="1812" max="1813" width="6.44140625" style="25" customWidth="1"/>
    <col min="1814" max="1814" width="7.109375" style="25" customWidth="1"/>
    <col min="1815" max="1815" width="7.88671875" style="25" customWidth="1"/>
    <col min="1816" max="1816" width="6.44140625" style="25" customWidth="1"/>
    <col min="1817" max="1817" width="7.109375" style="25" customWidth="1"/>
    <col min="1818" max="1818" width="7.5546875" style="25" customWidth="1"/>
    <col min="1819" max="1819" width="8" style="25" customWidth="1"/>
    <col min="1820" max="1821" width="6.44140625" style="25" customWidth="1"/>
    <col min="1822" max="1822" width="7.109375" style="25" customWidth="1"/>
    <col min="1823" max="1823" width="8.109375" style="25" customWidth="1"/>
    <col min="1824" max="1825" width="10.44140625" style="25" customWidth="1"/>
    <col min="1826" max="1826" width="7.109375" style="25" customWidth="1"/>
    <col min="1827" max="1827" width="8.109375" style="25" customWidth="1"/>
    <col min="1828" max="1829" width="10.44140625" style="25" customWidth="1"/>
    <col min="1830" max="1830" width="7.109375" style="25" customWidth="1"/>
    <col min="1831" max="1831" width="8.109375" style="25" customWidth="1"/>
    <col min="1832" max="1832" width="11.5546875" style="25" customWidth="1"/>
    <col min="1833" max="2055" width="11.5546875" style="25"/>
    <col min="2056" max="2056" width="2" style="25" customWidth="1"/>
    <col min="2057" max="2057" width="18.109375" style="25" customWidth="1"/>
    <col min="2058" max="2058" width="13.5546875" style="25" customWidth="1"/>
    <col min="2059" max="2059" width="52" style="25" customWidth="1"/>
    <col min="2060" max="2061" width="6.5546875" style="25" customWidth="1"/>
    <col min="2062" max="2062" width="7.5546875" style="25" customWidth="1"/>
    <col min="2063" max="2063" width="7.44140625" style="25" customWidth="1"/>
    <col min="2064" max="2064" width="8.44140625" style="25" customWidth="1"/>
    <col min="2065" max="2065" width="7.109375" style="25" customWidth="1"/>
    <col min="2066" max="2066" width="7.5546875" style="25" customWidth="1"/>
    <col min="2067" max="2067" width="7.88671875" style="25" customWidth="1"/>
    <col min="2068" max="2069" width="6.44140625" style="25" customWidth="1"/>
    <col min="2070" max="2070" width="7.109375" style="25" customWidth="1"/>
    <col min="2071" max="2071" width="7.88671875" style="25" customWidth="1"/>
    <col min="2072" max="2072" width="6.44140625" style="25" customWidth="1"/>
    <col min="2073" max="2073" width="7.109375" style="25" customWidth="1"/>
    <col min="2074" max="2074" width="7.5546875" style="25" customWidth="1"/>
    <col min="2075" max="2075" width="8" style="25" customWidth="1"/>
    <col min="2076" max="2077" width="6.44140625" style="25" customWidth="1"/>
    <col min="2078" max="2078" width="7.109375" style="25" customWidth="1"/>
    <col min="2079" max="2079" width="8.109375" style="25" customWidth="1"/>
    <col min="2080" max="2081" width="10.44140625" style="25" customWidth="1"/>
    <col min="2082" max="2082" width="7.109375" style="25" customWidth="1"/>
    <col min="2083" max="2083" width="8.109375" style="25" customWidth="1"/>
    <col min="2084" max="2085" width="10.44140625" style="25" customWidth="1"/>
    <col min="2086" max="2086" width="7.109375" style="25" customWidth="1"/>
    <col min="2087" max="2087" width="8.109375" style="25" customWidth="1"/>
    <col min="2088" max="2088" width="11.5546875" style="25" customWidth="1"/>
    <col min="2089" max="2311" width="11.5546875" style="25"/>
    <col min="2312" max="2312" width="2" style="25" customWidth="1"/>
    <col min="2313" max="2313" width="18.109375" style="25" customWidth="1"/>
    <col min="2314" max="2314" width="13.5546875" style="25" customWidth="1"/>
    <col min="2315" max="2315" width="52" style="25" customWidth="1"/>
    <col min="2316" max="2317" width="6.5546875" style="25" customWidth="1"/>
    <col min="2318" max="2318" width="7.5546875" style="25" customWidth="1"/>
    <col min="2319" max="2319" width="7.44140625" style="25" customWidth="1"/>
    <col min="2320" max="2320" width="8.44140625" style="25" customWidth="1"/>
    <col min="2321" max="2321" width="7.109375" style="25" customWidth="1"/>
    <col min="2322" max="2322" width="7.5546875" style="25" customWidth="1"/>
    <col min="2323" max="2323" width="7.88671875" style="25" customWidth="1"/>
    <col min="2324" max="2325" width="6.44140625" style="25" customWidth="1"/>
    <col min="2326" max="2326" width="7.109375" style="25" customWidth="1"/>
    <col min="2327" max="2327" width="7.88671875" style="25" customWidth="1"/>
    <col min="2328" max="2328" width="6.44140625" style="25" customWidth="1"/>
    <col min="2329" max="2329" width="7.109375" style="25" customWidth="1"/>
    <col min="2330" max="2330" width="7.5546875" style="25" customWidth="1"/>
    <col min="2331" max="2331" width="8" style="25" customWidth="1"/>
    <col min="2332" max="2333" width="6.44140625" style="25" customWidth="1"/>
    <col min="2334" max="2334" width="7.109375" style="25" customWidth="1"/>
    <col min="2335" max="2335" width="8.109375" style="25" customWidth="1"/>
    <col min="2336" max="2337" width="10.44140625" style="25" customWidth="1"/>
    <col min="2338" max="2338" width="7.109375" style="25" customWidth="1"/>
    <col min="2339" max="2339" width="8.109375" style="25" customWidth="1"/>
    <col min="2340" max="2341" width="10.44140625" style="25" customWidth="1"/>
    <col min="2342" max="2342" width="7.109375" style="25" customWidth="1"/>
    <col min="2343" max="2343" width="8.109375" style="25" customWidth="1"/>
    <col min="2344" max="2344" width="11.5546875" style="25" customWidth="1"/>
    <col min="2345" max="2567" width="11.5546875" style="25"/>
    <col min="2568" max="2568" width="2" style="25" customWidth="1"/>
    <col min="2569" max="2569" width="18.109375" style="25" customWidth="1"/>
    <col min="2570" max="2570" width="13.5546875" style="25" customWidth="1"/>
    <col min="2571" max="2571" width="52" style="25" customWidth="1"/>
    <col min="2572" max="2573" width="6.5546875" style="25" customWidth="1"/>
    <col min="2574" max="2574" width="7.5546875" style="25" customWidth="1"/>
    <col min="2575" max="2575" width="7.44140625" style="25" customWidth="1"/>
    <col min="2576" max="2576" width="8.44140625" style="25" customWidth="1"/>
    <col min="2577" max="2577" width="7.109375" style="25" customWidth="1"/>
    <col min="2578" max="2578" width="7.5546875" style="25" customWidth="1"/>
    <col min="2579" max="2579" width="7.88671875" style="25" customWidth="1"/>
    <col min="2580" max="2581" width="6.44140625" style="25" customWidth="1"/>
    <col min="2582" max="2582" width="7.109375" style="25" customWidth="1"/>
    <col min="2583" max="2583" width="7.88671875" style="25" customWidth="1"/>
    <col min="2584" max="2584" width="6.44140625" style="25" customWidth="1"/>
    <col min="2585" max="2585" width="7.109375" style="25" customWidth="1"/>
    <col min="2586" max="2586" width="7.5546875" style="25" customWidth="1"/>
    <col min="2587" max="2587" width="8" style="25" customWidth="1"/>
    <col min="2588" max="2589" width="6.44140625" style="25" customWidth="1"/>
    <col min="2590" max="2590" width="7.109375" style="25" customWidth="1"/>
    <col min="2591" max="2591" width="8.109375" style="25" customWidth="1"/>
    <col min="2592" max="2593" width="10.44140625" style="25" customWidth="1"/>
    <col min="2594" max="2594" width="7.109375" style="25" customWidth="1"/>
    <col min="2595" max="2595" width="8.109375" style="25" customWidth="1"/>
    <col min="2596" max="2597" width="10.44140625" style="25" customWidth="1"/>
    <col min="2598" max="2598" width="7.109375" style="25" customWidth="1"/>
    <col min="2599" max="2599" width="8.109375" style="25" customWidth="1"/>
    <col min="2600" max="2600" width="11.5546875" style="25" customWidth="1"/>
    <col min="2601" max="2823" width="11.5546875" style="25"/>
    <col min="2824" max="2824" width="2" style="25" customWidth="1"/>
    <col min="2825" max="2825" width="18.109375" style="25" customWidth="1"/>
    <col min="2826" max="2826" width="13.5546875" style="25" customWidth="1"/>
    <col min="2827" max="2827" width="52" style="25" customWidth="1"/>
    <col min="2828" max="2829" width="6.5546875" style="25" customWidth="1"/>
    <col min="2830" max="2830" width="7.5546875" style="25" customWidth="1"/>
    <col min="2831" max="2831" width="7.44140625" style="25" customWidth="1"/>
    <col min="2832" max="2832" width="8.44140625" style="25" customWidth="1"/>
    <col min="2833" max="2833" width="7.109375" style="25" customWidth="1"/>
    <col min="2834" max="2834" width="7.5546875" style="25" customWidth="1"/>
    <col min="2835" max="2835" width="7.88671875" style="25" customWidth="1"/>
    <col min="2836" max="2837" width="6.44140625" style="25" customWidth="1"/>
    <col min="2838" max="2838" width="7.109375" style="25" customWidth="1"/>
    <col min="2839" max="2839" width="7.88671875" style="25" customWidth="1"/>
    <col min="2840" max="2840" width="6.44140625" style="25" customWidth="1"/>
    <col min="2841" max="2841" width="7.109375" style="25" customWidth="1"/>
    <col min="2842" max="2842" width="7.5546875" style="25" customWidth="1"/>
    <col min="2843" max="2843" width="8" style="25" customWidth="1"/>
    <col min="2844" max="2845" width="6.44140625" style="25" customWidth="1"/>
    <col min="2846" max="2846" width="7.109375" style="25" customWidth="1"/>
    <col min="2847" max="2847" width="8.109375" style="25" customWidth="1"/>
    <col min="2848" max="2849" width="10.44140625" style="25" customWidth="1"/>
    <col min="2850" max="2850" width="7.109375" style="25" customWidth="1"/>
    <col min="2851" max="2851" width="8.109375" style="25" customWidth="1"/>
    <col min="2852" max="2853" width="10.44140625" style="25" customWidth="1"/>
    <col min="2854" max="2854" width="7.109375" style="25" customWidth="1"/>
    <col min="2855" max="2855" width="8.109375" style="25" customWidth="1"/>
    <col min="2856" max="2856" width="11.5546875" style="25" customWidth="1"/>
    <col min="2857" max="3079" width="11.5546875" style="25"/>
    <col min="3080" max="3080" width="2" style="25" customWidth="1"/>
    <col min="3081" max="3081" width="18.109375" style="25" customWidth="1"/>
    <col min="3082" max="3082" width="13.5546875" style="25" customWidth="1"/>
    <col min="3083" max="3083" width="52" style="25" customWidth="1"/>
    <col min="3084" max="3085" width="6.5546875" style="25" customWidth="1"/>
    <col min="3086" max="3086" width="7.5546875" style="25" customWidth="1"/>
    <col min="3087" max="3087" width="7.44140625" style="25" customWidth="1"/>
    <col min="3088" max="3088" width="8.44140625" style="25" customWidth="1"/>
    <col min="3089" max="3089" width="7.109375" style="25" customWidth="1"/>
    <col min="3090" max="3090" width="7.5546875" style="25" customWidth="1"/>
    <col min="3091" max="3091" width="7.88671875" style="25" customWidth="1"/>
    <col min="3092" max="3093" width="6.44140625" style="25" customWidth="1"/>
    <col min="3094" max="3094" width="7.109375" style="25" customWidth="1"/>
    <col min="3095" max="3095" width="7.88671875" style="25" customWidth="1"/>
    <col min="3096" max="3096" width="6.44140625" style="25" customWidth="1"/>
    <col min="3097" max="3097" width="7.109375" style="25" customWidth="1"/>
    <col min="3098" max="3098" width="7.5546875" style="25" customWidth="1"/>
    <col min="3099" max="3099" width="8" style="25" customWidth="1"/>
    <col min="3100" max="3101" width="6.44140625" style="25" customWidth="1"/>
    <col min="3102" max="3102" width="7.109375" style="25" customWidth="1"/>
    <col min="3103" max="3103" width="8.109375" style="25" customWidth="1"/>
    <col min="3104" max="3105" width="10.44140625" style="25" customWidth="1"/>
    <col min="3106" max="3106" width="7.109375" style="25" customWidth="1"/>
    <col min="3107" max="3107" width="8.109375" style="25" customWidth="1"/>
    <col min="3108" max="3109" width="10.44140625" style="25" customWidth="1"/>
    <col min="3110" max="3110" width="7.109375" style="25" customWidth="1"/>
    <col min="3111" max="3111" width="8.109375" style="25" customWidth="1"/>
    <col min="3112" max="3112" width="11.5546875" style="25" customWidth="1"/>
    <col min="3113" max="3335" width="11.5546875" style="25"/>
    <col min="3336" max="3336" width="2" style="25" customWidth="1"/>
    <col min="3337" max="3337" width="18.109375" style="25" customWidth="1"/>
    <col min="3338" max="3338" width="13.5546875" style="25" customWidth="1"/>
    <col min="3339" max="3339" width="52" style="25" customWidth="1"/>
    <col min="3340" max="3341" width="6.5546875" style="25" customWidth="1"/>
    <col min="3342" max="3342" width="7.5546875" style="25" customWidth="1"/>
    <col min="3343" max="3343" width="7.44140625" style="25" customWidth="1"/>
    <col min="3344" max="3344" width="8.44140625" style="25" customWidth="1"/>
    <col min="3345" max="3345" width="7.109375" style="25" customWidth="1"/>
    <col min="3346" max="3346" width="7.5546875" style="25" customWidth="1"/>
    <col min="3347" max="3347" width="7.88671875" style="25" customWidth="1"/>
    <col min="3348" max="3349" width="6.44140625" style="25" customWidth="1"/>
    <col min="3350" max="3350" width="7.109375" style="25" customWidth="1"/>
    <col min="3351" max="3351" width="7.88671875" style="25" customWidth="1"/>
    <col min="3352" max="3352" width="6.44140625" style="25" customWidth="1"/>
    <col min="3353" max="3353" width="7.109375" style="25" customWidth="1"/>
    <col min="3354" max="3354" width="7.5546875" style="25" customWidth="1"/>
    <col min="3355" max="3355" width="8" style="25" customWidth="1"/>
    <col min="3356" max="3357" width="6.44140625" style="25" customWidth="1"/>
    <col min="3358" max="3358" width="7.109375" style="25" customWidth="1"/>
    <col min="3359" max="3359" width="8.109375" style="25" customWidth="1"/>
    <col min="3360" max="3361" width="10.44140625" style="25" customWidth="1"/>
    <col min="3362" max="3362" width="7.109375" style="25" customWidth="1"/>
    <col min="3363" max="3363" width="8.109375" style="25" customWidth="1"/>
    <col min="3364" max="3365" width="10.44140625" style="25" customWidth="1"/>
    <col min="3366" max="3366" width="7.109375" style="25" customWidth="1"/>
    <col min="3367" max="3367" width="8.109375" style="25" customWidth="1"/>
    <col min="3368" max="3368" width="11.5546875" style="25" customWidth="1"/>
    <col min="3369" max="3591" width="11.5546875" style="25"/>
    <col min="3592" max="3592" width="2" style="25" customWidth="1"/>
    <col min="3593" max="3593" width="18.109375" style="25" customWidth="1"/>
    <col min="3594" max="3594" width="13.5546875" style="25" customWidth="1"/>
    <col min="3595" max="3595" width="52" style="25" customWidth="1"/>
    <col min="3596" max="3597" width="6.5546875" style="25" customWidth="1"/>
    <col min="3598" max="3598" width="7.5546875" style="25" customWidth="1"/>
    <col min="3599" max="3599" width="7.44140625" style="25" customWidth="1"/>
    <col min="3600" max="3600" width="8.44140625" style="25" customWidth="1"/>
    <col min="3601" max="3601" width="7.109375" style="25" customWidth="1"/>
    <col min="3602" max="3602" width="7.5546875" style="25" customWidth="1"/>
    <col min="3603" max="3603" width="7.88671875" style="25" customWidth="1"/>
    <col min="3604" max="3605" width="6.44140625" style="25" customWidth="1"/>
    <col min="3606" max="3606" width="7.109375" style="25" customWidth="1"/>
    <col min="3607" max="3607" width="7.88671875" style="25" customWidth="1"/>
    <col min="3608" max="3608" width="6.44140625" style="25" customWidth="1"/>
    <col min="3609" max="3609" width="7.109375" style="25" customWidth="1"/>
    <col min="3610" max="3610" width="7.5546875" style="25" customWidth="1"/>
    <col min="3611" max="3611" width="8" style="25" customWidth="1"/>
    <col min="3612" max="3613" width="6.44140625" style="25" customWidth="1"/>
    <col min="3614" max="3614" width="7.109375" style="25" customWidth="1"/>
    <col min="3615" max="3615" width="8.109375" style="25" customWidth="1"/>
    <col min="3616" max="3617" width="10.44140625" style="25" customWidth="1"/>
    <col min="3618" max="3618" width="7.109375" style="25" customWidth="1"/>
    <col min="3619" max="3619" width="8.109375" style="25" customWidth="1"/>
    <col min="3620" max="3621" width="10.44140625" style="25" customWidth="1"/>
    <col min="3622" max="3622" width="7.109375" style="25" customWidth="1"/>
    <col min="3623" max="3623" width="8.109375" style="25" customWidth="1"/>
    <col min="3624" max="3624" width="11.5546875" style="25" customWidth="1"/>
    <col min="3625" max="3847" width="11.5546875" style="25"/>
    <col min="3848" max="3848" width="2" style="25" customWidth="1"/>
    <col min="3849" max="3849" width="18.109375" style="25" customWidth="1"/>
    <col min="3850" max="3850" width="13.5546875" style="25" customWidth="1"/>
    <col min="3851" max="3851" width="52" style="25" customWidth="1"/>
    <col min="3852" max="3853" width="6.5546875" style="25" customWidth="1"/>
    <col min="3854" max="3854" width="7.5546875" style="25" customWidth="1"/>
    <col min="3855" max="3855" width="7.44140625" style="25" customWidth="1"/>
    <col min="3856" max="3856" width="8.44140625" style="25" customWidth="1"/>
    <col min="3857" max="3857" width="7.109375" style="25" customWidth="1"/>
    <col min="3858" max="3858" width="7.5546875" style="25" customWidth="1"/>
    <col min="3859" max="3859" width="7.88671875" style="25" customWidth="1"/>
    <col min="3860" max="3861" width="6.44140625" style="25" customWidth="1"/>
    <col min="3862" max="3862" width="7.109375" style="25" customWidth="1"/>
    <col min="3863" max="3863" width="7.88671875" style="25" customWidth="1"/>
    <col min="3864" max="3864" width="6.44140625" style="25" customWidth="1"/>
    <col min="3865" max="3865" width="7.109375" style="25" customWidth="1"/>
    <col min="3866" max="3866" width="7.5546875" style="25" customWidth="1"/>
    <col min="3867" max="3867" width="8" style="25" customWidth="1"/>
    <col min="3868" max="3869" width="6.44140625" style="25" customWidth="1"/>
    <col min="3870" max="3870" width="7.109375" style="25" customWidth="1"/>
    <col min="3871" max="3871" width="8.109375" style="25" customWidth="1"/>
    <col min="3872" max="3873" width="10.44140625" style="25" customWidth="1"/>
    <col min="3874" max="3874" width="7.109375" style="25" customWidth="1"/>
    <col min="3875" max="3875" width="8.109375" style="25" customWidth="1"/>
    <col min="3876" max="3877" width="10.44140625" style="25" customWidth="1"/>
    <col min="3878" max="3878" width="7.109375" style="25" customWidth="1"/>
    <col min="3879" max="3879" width="8.109375" style="25" customWidth="1"/>
    <col min="3880" max="3880" width="11.5546875" style="25" customWidth="1"/>
    <col min="3881" max="4103" width="11.5546875" style="25"/>
    <col min="4104" max="4104" width="2" style="25" customWidth="1"/>
    <col min="4105" max="4105" width="18.109375" style="25" customWidth="1"/>
    <col min="4106" max="4106" width="13.5546875" style="25" customWidth="1"/>
    <col min="4107" max="4107" width="52" style="25" customWidth="1"/>
    <col min="4108" max="4109" width="6.5546875" style="25" customWidth="1"/>
    <col min="4110" max="4110" width="7.5546875" style="25" customWidth="1"/>
    <col min="4111" max="4111" width="7.44140625" style="25" customWidth="1"/>
    <col min="4112" max="4112" width="8.44140625" style="25" customWidth="1"/>
    <col min="4113" max="4113" width="7.109375" style="25" customWidth="1"/>
    <col min="4114" max="4114" width="7.5546875" style="25" customWidth="1"/>
    <col min="4115" max="4115" width="7.88671875" style="25" customWidth="1"/>
    <col min="4116" max="4117" width="6.44140625" style="25" customWidth="1"/>
    <col min="4118" max="4118" width="7.109375" style="25" customWidth="1"/>
    <col min="4119" max="4119" width="7.88671875" style="25" customWidth="1"/>
    <col min="4120" max="4120" width="6.44140625" style="25" customWidth="1"/>
    <col min="4121" max="4121" width="7.109375" style="25" customWidth="1"/>
    <col min="4122" max="4122" width="7.5546875" style="25" customWidth="1"/>
    <col min="4123" max="4123" width="8" style="25" customWidth="1"/>
    <col min="4124" max="4125" width="6.44140625" style="25" customWidth="1"/>
    <col min="4126" max="4126" width="7.109375" style="25" customWidth="1"/>
    <col min="4127" max="4127" width="8.109375" style="25" customWidth="1"/>
    <col min="4128" max="4129" width="10.44140625" style="25" customWidth="1"/>
    <col min="4130" max="4130" width="7.109375" style="25" customWidth="1"/>
    <col min="4131" max="4131" width="8.109375" style="25" customWidth="1"/>
    <col min="4132" max="4133" width="10.44140625" style="25" customWidth="1"/>
    <col min="4134" max="4134" width="7.109375" style="25" customWidth="1"/>
    <col min="4135" max="4135" width="8.109375" style="25" customWidth="1"/>
    <col min="4136" max="4136" width="11.5546875" style="25" customWidth="1"/>
    <col min="4137" max="4359" width="11.5546875" style="25"/>
    <col min="4360" max="4360" width="2" style="25" customWidth="1"/>
    <col min="4361" max="4361" width="18.109375" style="25" customWidth="1"/>
    <col min="4362" max="4362" width="13.5546875" style="25" customWidth="1"/>
    <col min="4363" max="4363" width="52" style="25" customWidth="1"/>
    <col min="4364" max="4365" width="6.5546875" style="25" customWidth="1"/>
    <col min="4366" max="4366" width="7.5546875" style="25" customWidth="1"/>
    <col min="4367" max="4367" width="7.44140625" style="25" customWidth="1"/>
    <col min="4368" max="4368" width="8.44140625" style="25" customWidth="1"/>
    <col min="4369" max="4369" width="7.109375" style="25" customWidth="1"/>
    <col min="4370" max="4370" width="7.5546875" style="25" customWidth="1"/>
    <col min="4371" max="4371" width="7.88671875" style="25" customWidth="1"/>
    <col min="4372" max="4373" width="6.44140625" style="25" customWidth="1"/>
    <col min="4374" max="4374" width="7.109375" style="25" customWidth="1"/>
    <col min="4375" max="4375" width="7.88671875" style="25" customWidth="1"/>
    <col min="4376" max="4376" width="6.44140625" style="25" customWidth="1"/>
    <col min="4377" max="4377" width="7.109375" style="25" customWidth="1"/>
    <col min="4378" max="4378" width="7.5546875" style="25" customWidth="1"/>
    <col min="4379" max="4379" width="8" style="25" customWidth="1"/>
    <col min="4380" max="4381" width="6.44140625" style="25" customWidth="1"/>
    <col min="4382" max="4382" width="7.109375" style="25" customWidth="1"/>
    <col min="4383" max="4383" width="8.109375" style="25" customWidth="1"/>
    <col min="4384" max="4385" width="10.44140625" style="25" customWidth="1"/>
    <col min="4386" max="4386" width="7.109375" style="25" customWidth="1"/>
    <col min="4387" max="4387" width="8.109375" style="25" customWidth="1"/>
    <col min="4388" max="4389" width="10.44140625" style="25" customWidth="1"/>
    <col min="4390" max="4390" width="7.109375" style="25" customWidth="1"/>
    <col min="4391" max="4391" width="8.109375" style="25" customWidth="1"/>
    <col min="4392" max="4392" width="11.5546875" style="25" customWidth="1"/>
    <col min="4393" max="4615" width="11.5546875" style="25"/>
    <col min="4616" max="4616" width="2" style="25" customWidth="1"/>
    <col min="4617" max="4617" width="18.109375" style="25" customWidth="1"/>
    <col min="4618" max="4618" width="13.5546875" style="25" customWidth="1"/>
    <col min="4619" max="4619" width="52" style="25" customWidth="1"/>
    <col min="4620" max="4621" width="6.5546875" style="25" customWidth="1"/>
    <col min="4622" max="4622" width="7.5546875" style="25" customWidth="1"/>
    <col min="4623" max="4623" width="7.44140625" style="25" customWidth="1"/>
    <col min="4624" max="4624" width="8.44140625" style="25" customWidth="1"/>
    <col min="4625" max="4625" width="7.109375" style="25" customWidth="1"/>
    <col min="4626" max="4626" width="7.5546875" style="25" customWidth="1"/>
    <col min="4627" max="4627" width="7.88671875" style="25" customWidth="1"/>
    <col min="4628" max="4629" width="6.44140625" style="25" customWidth="1"/>
    <col min="4630" max="4630" width="7.109375" style="25" customWidth="1"/>
    <col min="4631" max="4631" width="7.88671875" style="25" customWidth="1"/>
    <col min="4632" max="4632" width="6.44140625" style="25" customWidth="1"/>
    <col min="4633" max="4633" width="7.109375" style="25" customWidth="1"/>
    <col min="4634" max="4634" width="7.5546875" style="25" customWidth="1"/>
    <col min="4635" max="4635" width="8" style="25" customWidth="1"/>
    <col min="4636" max="4637" width="6.44140625" style="25" customWidth="1"/>
    <col min="4638" max="4638" width="7.109375" style="25" customWidth="1"/>
    <col min="4639" max="4639" width="8.109375" style="25" customWidth="1"/>
    <col min="4640" max="4641" width="10.44140625" style="25" customWidth="1"/>
    <col min="4642" max="4642" width="7.109375" style="25" customWidth="1"/>
    <col min="4643" max="4643" width="8.109375" style="25" customWidth="1"/>
    <col min="4644" max="4645" width="10.44140625" style="25" customWidth="1"/>
    <col min="4646" max="4646" width="7.109375" style="25" customWidth="1"/>
    <col min="4647" max="4647" width="8.109375" style="25" customWidth="1"/>
    <col min="4648" max="4648" width="11.5546875" style="25" customWidth="1"/>
    <col min="4649" max="4871" width="11.5546875" style="25"/>
    <col min="4872" max="4872" width="2" style="25" customWidth="1"/>
    <col min="4873" max="4873" width="18.109375" style="25" customWidth="1"/>
    <col min="4874" max="4874" width="13.5546875" style="25" customWidth="1"/>
    <col min="4875" max="4875" width="52" style="25" customWidth="1"/>
    <col min="4876" max="4877" width="6.5546875" style="25" customWidth="1"/>
    <col min="4878" max="4878" width="7.5546875" style="25" customWidth="1"/>
    <col min="4879" max="4879" width="7.44140625" style="25" customWidth="1"/>
    <col min="4880" max="4880" width="8.44140625" style="25" customWidth="1"/>
    <col min="4881" max="4881" width="7.109375" style="25" customWidth="1"/>
    <col min="4882" max="4882" width="7.5546875" style="25" customWidth="1"/>
    <col min="4883" max="4883" width="7.88671875" style="25" customWidth="1"/>
    <col min="4884" max="4885" width="6.44140625" style="25" customWidth="1"/>
    <col min="4886" max="4886" width="7.109375" style="25" customWidth="1"/>
    <col min="4887" max="4887" width="7.88671875" style="25" customWidth="1"/>
    <col min="4888" max="4888" width="6.44140625" style="25" customWidth="1"/>
    <col min="4889" max="4889" width="7.109375" style="25" customWidth="1"/>
    <col min="4890" max="4890" width="7.5546875" style="25" customWidth="1"/>
    <col min="4891" max="4891" width="8" style="25" customWidth="1"/>
    <col min="4892" max="4893" width="6.44140625" style="25" customWidth="1"/>
    <col min="4894" max="4894" width="7.109375" style="25" customWidth="1"/>
    <col min="4895" max="4895" width="8.109375" style="25" customWidth="1"/>
    <col min="4896" max="4897" width="10.44140625" style="25" customWidth="1"/>
    <col min="4898" max="4898" width="7.109375" style="25" customWidth="1"/>
    <col min="4899" max="4899" width="8.109375" style="25" customWidth="1"/>
    <col min="4900" max="4901" width="10.44140625" style="25" customWidth="1"/>
    <col min="4902" max="4902" width="7.109375" style="25" customWidth="1"/>
    <col min="4903" max="4903" width="8.109375" style="25" customWidth="1"/>
    <col min="4904" max="4904" width="11.5546875" style="25" customWidth="1"/>
    <col min="4905" max="5127" width="11.5546875" style="25"/>
    <col min="5128" max="5128" width="2" style="25" customWidth="1"/>
    <col min="5129" max="5129" width="18.109375" style="25" customWidth="1"/>
    <col min="5130" max="5130" width="13.5546875" style="25" customWidth="1"/>
    <col min="5131" max="5131" width="52" style="25" customWidth="1"/>
    <col min="5132" max="5133" width="6.5546875" style="25" customWidth="1"/>
    <col min="5134" max="5134" width="7.5546875" style="25" customWidth="1"/>
    <col min="5135" max="5135" width="7.44140625" style="25" customWidth="1"/>
    <col min="5136" max="5136" width="8.44140625" style="25" customWidth="1"/>
    <col min="5137" max="5137" width="7.109375" style="25" customWidth="1"/>
    <col min="5138" max="5138" width="7.5546875" style="25" customWidth="1"/>
    <col min="5139" max="5139" width="7.88671875" style="25" customWidth="1"/>
    <col min="5140" max="5141" width="6.44140625" style="25" customWidth="1"/>
    <col min="5142" max="5142" width="7.109375" style="25" customWidth="1"/>
    <col min="5143" max="5143" width="7.88671875" style="25" customWidth="1"/>
    <col min="5144" max="5144" width="6.44140625" style="25" customWidth="1"/>
    <col min="5145" max="5145" width="7.109375" style="25" customWidth="1"/>
    <col min="5146" max="5146" width="7.5546875" style="25" customWidth="1"/>
    <col min="5147" max="5147" width="8" style="25" customWidth="1"/>
    <col min="5148" max="5149" width="6.44140625" style="25" customWidth="1"/>
    <col min="5150" max="5150" width="7.109375" style="25" customWidth="1"/>
    <col min="5151" max="5151" width="8.109375" style="25" customWidth="1"/>
    <col min="5152" max="5153" width="10.44140625" style="25" customWidth="1"/>
    <col min="5154" max="5154" width="7.109375" style="25" customWidth="1"/>
    <col min="5155" max="5155" width="8.109375" style="25" customWidth="1"/>
    <col min="5156" max="5157" width="10.44140625" style="25" customWidth="1"/>
    <col min="5158" max="5158" width="7.109375" style="25" customWidth="1"/>
    <col min="5159" max="5159" width="8.109375" style="25" customWidth="1"/>
    <col min="5160" max="5160" width="11.5546875" style="25" customWidth="1"/>
    <col min="5161" max="5383" width="11.5546875" style="25"/>
    <col min="5384" max="5384" width="2" style="25" customWidth="1"/>
    <col min="5385" max="5385" width="18.109375" style="25" customWidth="1"/>
    <col min="5386" max="5386" width="13.5546875" style="25" customWidth="1"/>
    <col min="5387" max="5387" width="52" style="25" customWidth="1"/>
    <col min="5388" max="5389" width="6.5546875" style="25" customWidth="1"/>
    <col min="5390" max="5390" width="7.5546875" style="25" customWidth="1"/>
    <col min="5391" max="5391" width="7.44140625" style="25" customWidth="1"/>
    <col min="5392" max="5392" width="8.44140625" style="25" customWidth="1"/>
    <col min="5393" max="5393" width="7.109375" style="25" customWidth="1"/>
    <col min="5394" max="5394" width="7.5546875" style="25" customWidth="1"/>
    <col min="5395" max="5395" width="7.88671875" style="25" customWidth="1"/>
    <col min="5396" max="5397" width="6.44140625" style="25" customWidth="1"/>
    <col min="5398" max="5398" width="7.109375" style="25" customWidth="1"/>
    <col min="5399" max="5399" width="7.88671875" style="25" customWidth="1"/>
    <col min="5400" max="5400" width="6.44140625" style="25" customWidth="1"/>
    <col min="5401" max="5401" width="7.109375" style="25" customWidth="1"/>
    <col min="5402" max="5402" width="7.5546875" style="25" customWidth="1"/>
    <col min="5403" max="5403" width="8" style="25" customWidth="1"/>
    <col min="5404" max="5405" width="6.44140625" style="25" customWidth="1"/>
    <col min="5406" max="5406" width="7.109375" style="25" customWidth="1"/>
    <col min="5407" max="5407" width="8.109375" style="25" customWidth="1"/>
    <col min="5408" max="5409" width="10.44140625" style="25" customWidth="1"/>
    <col min="5410" max="5410" width="7.109375" style="25" customWidth="1"/>
    <col min="5411" max="5411" width="8.109375" style="25" customWidth="1"/>
    <col min="5412" max="5413" width="10.44140625" style="25" customWidth="1"/>
    <col min="5414" max="5414" width="7.109375" style="25" customWidth="1"/>
    <col min="5415" max="5415" width="8.109375" style="25" customWidth="1"/>
    <col min="5416" max="5416" width="11.5546875" style="25" customWidth="1"/>
    <col min="5417" max="5639" width="11.5546875" style="25"/>
    <col min="5640" max="5640" width="2" style="25" customWidth="1"/>
    <col min="5641" max="5641" width="18.109375" style="25" customWidth="1"/>
    <col min="5642" max="5642" width="13.5546875" style="25" customWidth="1"/>
    <col min="5643" max="5643" width="52" style="25" customWidth="1"/>
    <col min="5644" max="5645" width="6.5546875" style="25" customWidth="1"/>
    <col min="5646" max="5646" width="7.5546875" style="25" customWidth="1"/>
    <col min="5647" max="5647" width="7.44140625" style="25" customWidth="1"/>
    <col min="5648" max="5648" width="8.44140625" style="25" customWidth="1"/>
    <col min="5649" max="5649" width="7.109375" style="25" customWidth="1"/>
    <col min="5650" max="5650" width="7.5546875" style="25" customWidth="1"/>
    <col min="5651" max="5651" width="7.88671875" style="25" customWidth="1"/>
    <col min="5652" max="5653" width="6.44140625" style="25" customWidth="1"/>
    <col min="5654" max="5654" width="7.109375" style="25" customWidth="1"/>
    <col min="5655" max="5655" width="7.88671875" style="25" customWidth="1"/>
    <col min="5656" max="5656" width="6.44140625" style="25" customWidth="1"/>
    <col min="5657" max="5657" width="7.109375" style="25" customWidth="1"/>
    <col min="5658" max="5658" width="7.5546875" style="25" customWidth="1"/>
    <col min="5659" max="5659" width="8" style="25" customWidth="1"/>
    <col min="5660" max="5661" width="6.44140625" style="25" customWidth="1"/>
    <col min="5662" max="5662" width="7.109375" style="25" customWidth="1"/>
    <col min="5663" max="5663" width="8.109375" style="25" customWidth="1"/>
    <col min="5664" max="5665" width="10.44140625" style="25" customWidth="1"/>
    <col min="5666" max="5666" width="7.109375" style="25" customWidth="1"/>
    <col min="5667" max="5667" width="8.109375" style="25" customWidth="1"/>
    <col min="5668" max="5669" width="10.44140625" style="25" customWidth="1"/>
    <col min="5670" max="5670" width="7.109375" style="25" customWidth="1"/>
    <col min="5671" max="5671" width="8.109375" style="25" customWidth="1"/>
    <col min="5672" max="5672" width="11.5546875" style="25" customWidth="1"/>
    <col min="5673" max="5895" width="11.5546875" style="25"/>
    <col min="5896" max="5896" width="2" style="25" customWidth="1"/>
    <col min="5897" max="5897" width="18.109375" style="25" customWidth="1"/>
    <col min="5898" max="5898" width="13.5546875" style="25" customWidth="1"/>
    <col min="5899" max="5899" width="52" style="25" customWidth="1"/>
    <col min="5900" max="5901" width="6.5546875" style="25" customWidth="1"/>
    <col min="5902" max="5902" width="7.5546875" style="25" customWidth="1"/>
    <col min="5903" max="5903" width="7.44140625" style="25" customWidth="1"/>
    <col min="5904" max="5904" width="8.44140625" style="25" customWidth="1"/>
    <col min="5905" max="5905" width="7.109375" style="25" customWidth="1"/>
    <col min="5906" max="5906" width="7.5546875" style="25" customWidth="1"/>
    <col min="5907" max="5907" width="7.88671875" style="25" customWidth="1"/>
    <col min="5908" max="5909" width="6.44140625" style="25" customWidth="1"/>
    <col min="5910" max="5910" width="7.109375" style="25" customWidth="1"/>
    <col min="5911" max="5911" width="7.88671875" style="25" customWidth="1"/>
    <col min="5912" max="5912" width="6.44140625" style="25" customWidth="1"/>
    <col min="5913" max="5913" width="7.109375" style="25" customWidth="1"/>
    <col min="5914" max="5914" width="7.5546875" style="25" customWidth="1"/>
    <col min="5915" max="5915" width="8" style="25" customWidth="1"/>
    <col min="5916" max="5917" width="6.44140625" style="25" customWidth="1"/>
    <col min="5918" max="5918" width="7.109375" style="25" customWidth="1"/>
    <col min="5919" max="5919" width="8.109375" style="25" customWidth="1"/>
    <col min="5920" max="5921" width="10.44140625" style="25" customWidth="1"/>
    <col min="5922" max="5922" width="7.109375" style="25" customWidth="1"/>
    <col min="5923" max="5923" width="8.109375" style="25" customWidth="1"/>
    <col min="5924" max="5925" width="10.44140625" style="25" customWidth="1"/>
    <col min="5926" max="5926" width="7.109375" style="25" customWidth="1"/>
    <col min="5927" max="5927" width="8.109375" style="25" customWidth="1"/>
    <col min="5928" max="5928" width="11.5546875" style="25" customWidth="1"/>
    <col min="5929" max="6151" width="11.5546875" style="25"/>
    <col min="6152" max="6152" width="2" style="25" customWidth="1"/>
    <col min="6153" max="6153" width="18.109375" style="25" customWidth="1"/>
    <col min="6154" max="6154" width="13.5546875" style="25" customWidth="1"/>
    <col min="6155" max="6155" width="52" style="25" customWidth="1"/>
    <col min="6156" max="6157" width="6.5546875" style="25" customWidth="1"/>
    <col min="6158" max="6158" width="7.5546875" style="25" customWidth="1"/>
    <col min="6159" max="6159" width="7.44140625" style="25" customWidth="1"/>
    <col min="6160" max="6160" width="8.44140625" style="25" customWidth="1"/>
    <col min="6161" max="6161" width="7.109375" style="25" customWidth="1"/>
    <col min="6162" max="6162" width="7.5546875" style="25" customWidth="1"/>
    <col min="6163" max="6163" width="7.88671875" style="25" customWidth="1"/>
    <col min="6164" max="6165" width="6.44140625" style="25" customWidth="1"/>
    <col min="6166" max="6166" width="7.109375" style="25" customWidth="1"/>
    <col min="6167" max="6167" width="7.88671875" style="25" customWidth="1"/>
    <col min="6168" max="6168" width="6.44140625" style="25" customWidth="1"/>
    <col min="6169" max="6169" width="7.109375" style="25" customWidth="1"/>
    <col min="6170" max="6170" width="7.5546875" style="25" customWidth="1"/>
    <col min="6171" max="6171" width="8" style="25" customWidth="1"/>
    <col min="6172" max="6173" width="6.44140625" style="25" customWidth="1"/>
    <col min="6174" max="6174" width="7.109375" style="25" customWidth="1"/>
    <col min="6175" max="6175" width="8.109375" style="25" customWidth="1"/>
    <col min="6176" max="6177" width="10.44140625" style="25" customWidth="1"/>
    <col min="6178" max="6178" width="7.109375" style="25" customWidth="1"/>
    <col min="6179" max="6179" width="8.109375" style="25" customWidth="1"/>
    <col min="6180" max="6181" width="10.44140625" style="25" customWidth="1"/>
    <col min="6182" max="6182" width="7.109375" style="25" customWidth="1"/>
    <col min="6183" max="6183" width="8.109375" style="25" customWidth="1"/>
    <col min="6184" max="6184" width="11.5546875" style="25" customWidth="1"/>
    <col min="6185" max="6407" width="11.5546875" style="25"/>
    <col min="6408" max="6408" width="2" style="25" customWidth="1"/>
    <col min="6409" max="6409" width="18.109375" style="25" customWidth="1"/>
    <col min="6410" max="6410" width="13.5546875" style="25" customWidth="1"/>
    <col min="6411" max="6411" width="52" style="25" customWidth="1"/>
    <col min="6412" max="6413" width="6.5546875" style="25" customWidth="1"/>
    <col min="6414" max="6414" width="7.5546875" style="25" customWidth="1"/>
    <col min="6415" max="6415" width="7.44140625" style="25" customWidth="1"/>
    <col min="6416" max="6416" width="8.44140625" style="25" customWidth="1"/>
    <col min="6417" max="6417" width="7.109375" style="25" customWidth="1"/>
    <col min="6418" max="6418" width="7.5546875" style="25" customWidth="1"/>
    <col min="6419" max="6419" width="7.88671875" style="25" customWidth="1"/>
    <col min="6420" max="6421" width="6.44140625" style="25" customWidth="1"/>
    <col min="6422" max="6422" width="7.109375" style="25" customWidth="1"/>
    <col min="6423" max="6423" width="7.88671875" style="25" customWidth="1"/>
    <col min="6424" max="6424" width="6.44140625" style="25" customWidth="1"/>
    <col min="6425" max="6425" width="7.109375" style="25" customWidth="1"/>
    <col min="6426" max="6426" width="7.5546875" style="25" customWidth="1"/>
    <col min="6427" max="6427" width="8" style="25" customWidth="1"/>
    <col min="6428" max="6429" width="6.44140625" style="25" customWidth="1"/>
    <col min="6430" max="6430" width="7.109375" style="25" customWidth="1"/>
    <col min="6431" max="6431" width="8.109375" style="25" customWidth="1"/>
    <col min="6432" max="6433" width="10.44140625" style="25" customWidth="1"/>
    <col min="6434" max="6434" width="7.109375" style="25" customWidth="1"/>
    <col min="6435" max="6435" width="8.109375" style="25" customWidth="1"/>
    <col min="6436" max="6437" width="10.44140625" style="25" customWidth="1"/>
    <col min="6438" max="6438" width="7.109375" style="25" customWidth="1"/>
    <col min="6439" max="6439" width="8.109375" style="25" customWidth="1"/>
    <col min="6440" max="6440" width="11.5546875" style="25" customWidth="1"/>
    <col min="6441" max="6663" width="11.5546875" style="25"/>
    <col min="6664" max="6664" width="2" style="25" customWidth="1"/>
    <col min="6665" max="6665" width="18.109375" style="25" customWidth="1"/>
    <col min="6666" max="6666" width="13.5546875" style="25" customWidth="1"/>
    <col min="6667" max="6667" width="52" style="25" customWidth="1"/>
    <col min="6668" max="6669" width="6.5546875" style="25" customWidth="1"/>
    <col min="6670" max="6670" width="7.5546875" style="25" customWidth="1"/>
    <col min="6671" max="6671" width="7.44140625" style="25" customWidth="1"/>
    <col min="6672" max="6672" width="8.44140625" style="25" customWidth="1"/>
    <col min="6673" max="6673" width="7.109375" style="25" customWidth="1"/>
    <col min="6674" max="6674" width="7.5546875" style="25" customWidth="1"/>
    <col min="6675" max="6675" width="7.88671875" style="25" customWidth="1"/>
    <col min="6676" max="6677" width="6.44140625" style="25" customWidth="1"/>
    <col min="6678" max="6678" width="7.109375" style="25" customWidth="1"/>
    <col min="6679" max="6679" width="7.88671875" style="25" customWidth="1"/>
    <col min="6680" max="6680" width="6.44140625" style="25" customWidth="1"/>
    <col min="6681" max="6681" width="7.109375" style="25" customWidth="1"/>
    <col min="6682" max="6682" width="7.5546875" style="25" customWidth="1"/>
    <col min="6683" max="6683" width="8" style="25" customWidth="1"/>
    <col min="6684" max="6685" width="6.44140625" style="25" customWidth="1"/>
    <col min="6686" max="6686" width="7.109375" style="25" customWidth="1"/>
    <col min="6687" max="6687" width="8.109375" style="25" customWidth="1"/>
    <col min="6688" max="6689" width="10.44140625" style="25" customWidth="1"/>
    <col min="6690" max="6690" width="7.109375" style="25" customWidth="1"/>
    <col min="6691" max="6691" width="8.109375" style="25" customWidth="1"/>
    <col min="6692" max="6693" width="10.44140625" style="25" customWidth="1"/>
    <col min="6694" max="6694" width="7.109375" style="25" customWidth="1"/>
    <col min="6695" max="6695" width="8.109375" style="25" customWidth="1"/>
    <col min="6696" max="6696" width="11.5546875" style="25" customWidth="1"/>
    <col min="6697" max="6919" width="11.5546875" style="25"/>
    <col min="6920" max="6920" width="2" style="25" customWidth="1"/>
    <col min="6921" max="6921" width="18.109375" style="25" customWidth="1"/>
    <col min="6922" max="6922" width="13.5546875" style="25" customWidth="1"/>
    <col min="6923" max="6923" width="52" style="25" customWidth="1"/>
    <col min="6924" max="6925" width="6.5546875" style="25" customWidth="1"/>
    <col min="6926" max="6926" width="7.5546875" style="25" customWidth="1"/>
    <col min="6927" max="6927" width="7.44140625" style="25" customWidth="1"/>
    <col min="6928" max="6928" width="8.44140625" style="25" customWidth="1"/>
    <col min="6929" max="6929" width="7.109375" style="25" customWidth="1"/>
    <col min="6930" max="6930" width="7.5546875" style="25" customWidth="1"/>
    <col min="6931" max="6931" width="7.88671875" style="25" customWidth="1"/>
    <col min="6932" max="6933" width="6.44140625" style="25" customWidth="1"/>
    <col min="6934" max="6934" width="7.109375" style="25" customWidth="1"/>
    <col min="6935" max="6935" width="7.88671875" style="25" customWidth="1"/>
    <col min="6936" max="6936" width="6.44140625" style="25" customWidth="1"/>
    <col min="6937" max="6937" width="7.109375" style="25" customWidth="1"/>
    <col min="6938" max="6938" width="7.5546875" style="25" customWidth="1"/>
    <col min="6939" max="6939" width="8" style="25" customWidth="1"/>
    <col min="6940" max="6941" width="6.44140625" style="25" customWidth="1"/>
    <col min="6942" max="6942" width="7.109375" style="25" customWidth="1"/>
    <col min="6943" max="6943" width="8.109375" style="25" customWidth="1"/>
    <col min="6944" max="6945" width="10.44140625" style="25" customWidth="1"/>
    <col min="6946" max="6946" width="7.109375" style="25" customWidth="1"/>
    <col min="6947" max="6947" width="8.109375" style="25" customWidth="1"/>
    <col min="6948" max="6949" width="10.44140625" style="25" customWidth="1"/>
    <col min="6950" max="6950" width="7.109375" style="25" customWidth="1"/>
    <col min="6951" max="6951" width="8.109375" style="25" customWidth="1"/>
    <col min="6952" max="6952" width="11.5546875" style="25" customWidth="1"/>
    <col min="6953" max="7175" width="11.5546875" style="25"/>
    <col min="7176" max="7176" width="2" style="25" customWidth="1"/>
    <col min="7177" max="7177" width="18.109375" style="25" customWidth="1"/>
    <col min="7178" max="7178" width="13.5546875" style="25" customWidth="1"/>
    <col min="7179" max="7179" width="52" style="25" customWidth="1"/>
    <col min="7180" max="7181" width="6.5546875" style="25" customWidth="1"/>
    <col min="7182" max="7182" width="7.5546875" style="25" customWidth="1"/>
    <col min="7183" max="7183" width="7.44140625" style="25" customWidth="1"/>
    <col min="7184" max="7184" width="8.44140625" style="25" customWidth="1"/>
    <col min="7185" max="7185" width="7.109375" style="25" customWidth="1"/>
    <col min="7186" max="7186" width="7.5546875" style="25" customWidth="1"/>
    <col min="7187" max="7187" width="7.88671875" style="25" customWidth="1"/>
    <col min="7188" max="7189" width="6.44140625" style="25" customWidth="1"/>
    <col min="7190" max="7190" width="7.109375" style="25" customWidth="1"/>
    <col min="7191" max="7191" width="7.88671875" style="25" customWidth="1"/>
    <col min="7192" max="7192" width="6.44140625" style="25" customWidth="1"/>
    <col min="7193" max="7193" width="7.109375" style="25" customWidth="1"/>
    <col min="7194" max="7194" width="7.5546875" style="25" customWidth="1"/>
    <col min="7195" max="7195" width="8" style="25" customWidth="1"/>
    <col min="7196" max="7197" width="6.44140625" style="25" customWidth="1"/>
    <col min="7198" max="7198" width="7.109375" style="25" customWidth="1"/>
    <col min="7199" max="7199" width="8.109375" style="25" customWidth="1"/>
    <col min="7200" max="7201" width="10.44140625" style="25" customWidth="1"/>
    <col min="7202" max="7202" width="7.109375" style="25" customWidth="1"/>
    <col min="7203" max="7203" width="8.109375" style="25" customWidth="1"/>
    <col min="7204" max="7205" width="10.44140625" style="25" customWidth="1"/>
    <col min="7206" max="7206" width="7.109375" style="25" customWidth="1"/>
    <col min="7207" max="7207" width="8.109375" style="25" customWidth="1"/>
    <col min="7208" max="7208" width="11.5546875" style="25" customWidth="1"/>
    <col min="7209" max="7431" width="11.5546875" style="25"/>
    <col min="7432" max="7432" width="2" style="25" customWidth="1"/>
    <col min="7433" max="7433" width="18.109375" style="25" customWidth="1"/>
    <col min="7434" max="7434" width="13.5546875" style="25" customWidth="1"/>
    <col min="7435" max="7435" width="52" style="25" customWidth="1"/>
    <col min="7436" max="7437" width="6.5546875" style="25" customWidth="1"/>
    <col min="7438" max="7438" width="7.5546875" style="25" customWidth="1"/>
    <col min="7439" max="7439" width="7.44140625" style="25" customWidth="1"/>
    <col min="7440" max="7440" width="8.44140625" style="25" customWidth="1"/>
    <col min="7441" max="7441" width="7.109375" style="25" customWidth="1"/>
    <col min="7442" max="7442" width="7.5546875" style="25" customWidth="1"/>
    <col min="7443" max="7443" width="7.88671875" style="25" customWidth="1"/>
    <col min="7444" max="7445" width="6.44140625" style="25" customWidth="1"/>
    <col min="7446" max="7446" width="7.109375" style="25" customWidth="1"/>
    <col min="7447" max="7447" width="7.88671875" style="25" customWidth="1"/>
    <col min="7448" max="7448" width="6.44140625" style="25" customWidth="1"/>
    <col min="7449" max="7449" width="7.109375" style="25" customWidth="1"/>
    <col min="7450" max="7450" width="7.5546875" style="25" customWidth="1"/>
    <col min="7451" max="7451" width="8" style="25" customWidth="1"/>
    <col min="7452" max="7453" width="6.44140625" style="25" customWidth="1"/>
    <col min="7454" max="7454" width="7.109375" style="25" customWidth="1"/>
    <col min="7455" max="7455" width="8.109375" style="25" customWidth="1"/>
    <col min="7456" max="7457" width="10.44140625" style="25" customWidth="1"/>
    <col min="7458" max="7458" width="7.109375" style="25" customWidth="1"/>
    <col min="7459" max="7459" width="8.109375" style="25" customWidth="1"/>
    <col min="7460" max="7461" width="10.44140625" style="25" customWidth="1"/>
    <col min="7462" max="7462" width="7.109375" style="25" customWidth="1"/>
    <col min="7463" max="7463" width="8.109375" style="25" customWidth="1"/>
    <col min="7464" max="7464" width="11.5546875" style="25" customWidth="1"/>
    <col min="7465" max="7687" width="11.5546875" style="25"/>
    <col min="7688" max="7688" width="2" style="25" customWidth="1"/>
    <col min="7689" max="7689" width="18.109375" style="25" customWidth="1"/>
    <col min="7690" max="7690" width="13.5546875" style="25" customWidth="1"/>
    <col min="7691" max="7691" width="52" style="25" customWidth="1"/>
    <col min="7692" max="7693" width="6.5546875" style="25" customWidth="1"/>
    <col min="7694" max="7694" width="7.5546875" style="25" customWidth="1"/>
    <col min="7695" max="7695" width="7.44140625" style="25" customWidth="1"/>
    <col min="7696" max="7696" width="8.44140625" style="25" customWidth="1"/>
    <col min="7697" max="7697" width="7.109375" style="25" customWidth="1"/>
    <col min="7698" max="7698" width="7.5546875" style="25" customWidth="1"/>
    <col min="7699" max="7699" width="7.88671875" style="25" customWidth="1"/>
    <col min="7700" max="7701" width="6.44140625" style="25" customWidth="1"/>
    <col min="7702" max="7702" width="7.109375" style="25" customWidth="1"/>
    <col min="7703" max="7703" width="7.88671875" style="25" customWidth="1"/>
    <col min="7704" max="7704" width="6.44140625" style="25" customWidth="1"/>
    <col min="7705" max="7705" width="7.109375" style="25" customWidth="1"/>
    <col min="7706" max="7706" width="7.5546875" style="25" customWidth="1"/>
    <col min="7707" max="7707" width="8" style="25" customWidth="1"/>
    <col min="7708" max="7709" width="6.44140625" style="25" customWidth="1"/>
    <col min="7710" max="7710" width="7.109375" style="25" customWidth="1"/>
    <col min="7711" max="7711" width="8.109375" style="25" customWidth="1"/>
    <col min="7712" max="7713" width="10.44140625" style="25" customWidth="1"/>
    <col min="7714" max="7714" width="7.109375" style="25" customWidth="1"/>
    <col min="7715" max="7715" width="8.109375" style="25" customWidth="1"/>
    <col min="7716" max="7717" width="10.44140625" style="25" customWidth="1"/>
    <col min="7718" max="7718" width="7.109375" style="25" customWidth="1"/>
    <col min="7719" max="7719" width="8.109375" style="25" customWidth="1"/>
    <col min="7720" max="7720" width="11.5546875" style="25" customWidth="1"/>
    <col min="7721" max="7943" width="11.5546875" style="25"/>
    <col min="7944" max="7944" width="2" style="25" customWidth="1"/>
    <col min="7945" max="7945" width="18.109375" style="25" customWidth="1"/>
    <col min="7946" max="7946" width="13.5546875" style="25" customWidth="1"/>
    <col min="7947" max="7947" width="52" style="25" customWidth="1"/>
    <col min="7948" max="7949" width="6.5546875" style="25" customWidth="1"/>
    <col min="7950" max="7950" width="7.5546875" style="25" customWidth="1"/>
    <col min="7951" max="7951" width="7.44140625" style="25" customWidth="1"/>
    <col min="7952" max="7952" width="8.44140625" style="25" customWidth="1"/>
    <col min="7953" max="7953" width="7.109375" style="25" customWidth="1"/>
    <col min="7954" max="7954" width="7.5546875" style="25" customWidth="1"/>
    <col min="7955" max="7955" width="7.88671875" style="25" customWidth="1"/>
    <col min="7956" max="7957" width="6.44140625" style="25" customWidth="1"/>
    <col min="7958" max="7958" width="7.109375" style="25" customWidth="1"/>
    <col min="7959" max="7959" width="7.88671875" style="25" customWidth="1"/>
    <col min="7960" max="7960" width="6.44140625" style="25" customWidth="1"/>
    <col min="7961" max="7961" width="7.109375" style="25" customWidth="1"/>
    <col min="7962" max="7962" width="7.5546875" style="25" customWidth="1"/>
    <col min="7963" max="7963" width="8" style="25" customWidth="1"/>
    <col min="7964" max="7965" width="6.44140625" style="25" customWidth="1"/>
    <col min="7966" max="7966" width="7.109375" style="25" customWidth="1"/>
    <col min="7967" max="7967" width="8.109375" style="25" customWidth="1"/>
    <col min="7968" max="7969" width="10.44140625" style="25" customWidth="1"/>
    <col min="7970" max="7970" width="7.109375" style="25" customWidth="1"/>
    <col min="7971" max="7971" width="8.109375" style="25" customWidth="1"/>
    <col min="7972" max="7973" width="10.44140625" style="25" customWidth="1"/>
    <col min="7974" max="7974" width="7.109375" style="25" customWidth="1"/>
    <col min="7975" max="7975" width="8.109375" style="25" customWidth="1"/>
    <col min="7976" max="7976" width="11.5546875" style="25" customWidth="1"/>
    <col min="7977" max="8199" width="11.5546875" style="25"/>
    <col min="8200" max="8200" width="2" style="25" customWidth="1"/>
    <col min="8201" max="8201" width="18.109375" style="25" customWidth="1"/>
    <col min="8202" max="8202" width="13.5546875" style="25" customWidth="1"/>
    <col min="8203" max="8203" width="52" style="25" customWidth="1"/>
    <col min="8204" max="8205" width="6.5546875" style="25" customWidth="1"/>
    <col min="8206" max="8206" width="7.5546875" style="25" customWidth="1"/>
    <col min="8207" max="8207" width="7.44140625" style="25" customWidth="1"/>
    <col min="8208" max="8208" width="8.44140625" style="25" customWidth="1"/>
    <col min="8209" max="8209" width="7.109375" style="25" customWidth="1"/>
    <col min="8210" max="8210" width="7.5546875" style="25" customWidth="1"/>
    <col min="8211" max="8211" width="7.88671875" style="25" customWidth="1"/>
    <col min="8212" max="8213" width="6.44140625" style="25" customWidth="1"/>
    <col min="8214" max="8214" width="7.109375" style="25" customWidth="1"/>
    <col min="8215" max="8215" width="7.88671875" style="25" customWidth="1"/>
    <col min="8216" max="8216" width="6.44140625" style="25" customWidth="1"/>
    <col min="8217" max="8217" width="7.109375" style="25" customWidth="1"/>
    <col min="8218" max="8218" width="7.5546875" style="25" customWidth="1"/>
    <col min="8219" max="8219" width="8" style="25" customWidth="1"/>
    <col min="8220" max="8221" width="6.44140625" style="25" customWidth="1"/>
    <col min="8222" max="8222" width="7.109375" style="25" customWidth="1"/>
    <col min="8223" max="8223" width="8.109375" style="25" customWidth="1"/>
    <col min="8224" max="8225" width="10.44140625" style="25" customWidth="1"/>
    <col min="8226" max="8226" width="7.109375" style="25" customWidth="1"/>
    <col min="8227" max="8227" width="8.109375" style="25" customWidth="1"/>
    <col min="8228" max="8229" width="10.44140625" style="25" customWidth="1"/>
    <col min="8230" max="8230" width="7.109375" style="25" customWidth="1"/>
    <col min="8231" max="8231" width="8.109375" style="25" customWidth="1"/>
    <col min="8232" max="8232" width="11.5546875" style="25" customWidth="1"/>
    <col min="8233" max="8455" width="11.5546875" style="25"/>
    <col min="8456" max="8456" width="2" style="25" customWidth="1"/>
    <col min="8457" max="8457" width="18.109375" style="25" customWidth="1"/>
    <col min="8458" max="8458" width="13.5546875" style="25" customWidth="1"/>
    <col min="8459" max="8459" width="52" style="25" customWidth="1"/>
    <col min="8460" max="8461" width="6.5546875" style="25" customWidth="1"/>
    <col min="8462" max="8462" width="7.5546875" style="25" customWidth="1"/>
    <col min="8463" max="8463" width="7.44140625" style="25" customWidth="1"/>
    <col min="8464" max="8464" width="8.44140625" style="25" customWidth="1"/>
    <col min="8465" max="8465" width="7.109375" style="25" customWidth="1"/>
    <col min="8466" max="8466" width="7.5546875" style="25" customWidth="1"/>
    <col min="8467" max="8467" width="7.88671875" style="25" customWidth="1"/>
    <col min="8468" max="8469" width="6.44140625" style="25" customWidth="1"/>
    <col min="8470" max="8470" width="7.109375" style="25" customWidth="1"/>
    <col min="8471" max="8471" width="7.88671875" style="25" customWidth="1"/>
    <col min="8472" max="8472" width="6.44140625" style="25" customWidth="1"/>
    <col min="8473" max="8473" width="7.109375" style="25" customWidth="1"/>
    <col min="8474" max="8474" width="7.5546875" style="25" customWidth="1"/>
    <col min="8475" max="8475" width="8" style="25" customWidth="1"/>
    <col min="8476" max="8477" width="6.44140625" style="25" customWidth="1"/>
    <col min="8478" max="8478" width="7.109375" style="25" customWidth="1"/>
    <col min="8479" max="8479" width="8.109375" style="25" customWidth="1"/>
    <col min="8480" max="8481" width="10.44140625" style="25" customWidth="1"/>
    <col min="8482" max="8482" width="7.109375" style="25" customWidth="1"/>
    <col min="8483" max="8483" width="8.109375" style="25" customWidth="1"/>
    <col min="8484" max="8485" width="10.44140625" style="25" customWidth="1"/>
    <col min="8486" max="8486" width="7.109375" style="25" customWidth="1"/>
    <col min="8487" max="8487" width="8.109375" style="25" customWidth="1"/>
    <col min="8488" max="8488" width="11.5546875" style="25" customWidth="1"/>
    <col min="8489" max="8711" width="11.5546875" style="25"/>
    <col min="8712" max="8712" width="2" style="25" customWidth="1"/>
    <col min="8713" max="8713" width="18.109375" style="25" customWidth="1"/>
    <col min="8714" max="8714" width="13.5546875" style="25" customWidth="1"/>
    <col min="8715" max="8715" width="52" style="25" customWidth="1"/>
    <col min="8716" max="8717" width="6.5546875" style="25" customWidth="1"/>
    <col min="8718" max="8718" width="7.5546875" style="25" customWidth="1"/>
    <col min="8719" max="8719" width="7.44140625" style="25" customWidth="1"/>
    <col min="8720" max="8720" width="8.44140625" style="25" customWidth="1"/>
    <col min="8721" max="8721" width="7.109375" style="25" customWidth="1"/>
    <col min="8722" max="8722" width="7.5546875" style="25" customWidth="1"/>
    <col min="8723" max="8723" width="7.88671875" style="25" customWidth="1"/>
    <col min="8724" max="8725" width="6.44140625" style="25" customWidth="1"/>
    <col min="8726" max="8726" width="7.109375" style="25" customWidth="1"/>
    <col min="8727" max="8727" width="7.88671875" style="25" customWidth="1"/>
    <col min="8728" max="8728" width="6.44140625" style="25" customWidth="1"/>
    <col min="8729" max="8729" width="7.109375" style="25" customWidth="1"/>
    <col min="8730" max="8730" width="7.5546875" style="25" customWidth="1"/>
    <col min="8731" max="8731" width="8" style="25" customWidth="1"/>
    <col min="8732" max="8733" width="6.44140625" style="25" customWidth="1"/>
    <col min="8734" max="8734" width="7.109375" style="25" customWidth="1"/>
    <col min="8735" max="8735" width="8.109375" style="25" customWidth="1"/>
    <col min="8736" max="8737" width="10.44140625" style="25" customWidth="1"/>
    <col min="8738" max="8738" width="7.109375" style="25" customWidth="1"/>
    <col min="8739" max="8739" width="8.109375" style="25" customWidth="1"/>
    <col min="8740" max="8741" width="10.44140625" style="25" customWidth="1"/>
    <col min="8742" max="8742" width="7.109375" style="25" customWidth="1"/>
    <col min="8743" max="8743" width="8.109375" style="25" customWidth="1"/>
    <col min="8744" max="8744" width="11.5546875" style="25" customWidth="1"/>
    <col min="8745" max="8967" width="11.5546875" style="25"/>
    <col min="8968" max="8968" width="2" style="25" customWidth="1"/>
    <col min="8969" max="8969" width="18.109375" style="25" customWidth="1"/>
    <col min="8970" max="8970" width="13.5546875" style="25" customWidth="1"/>
    <col min="8971" max="8971" width="52" style="25" customWidth="1"/>
    <col min="8972" max="8973" width="6.5546875" style="25" customWidth="1"/>
    <col min="8974" max="8974" width="7.5546875" style="25" customWidth="1"/>
    <col min="8975" max="8975" width="7.44140625" style="25" customWidth="1"/>
    <col min="8976" max="8976" width="8.44140625" style="25" customWidth="1"/>
    <col min="8977" max="8977" width="7.109375" style="25" customWidth="1"/>
    <col min="8978" max="8978" width="7.5546875" style="25" customWidth="1"/>
    <col min="8979" max="8979" width="7.88671875" style="25" customWidth="1"/>
    <col min="8980" max="8981" width="6.44140625" style="25" customWidth="1"/>
    <col min="8982" max="8982" width="7.109375" style="25" customWidth="1"/>
    <col min="8983" max="8983" width="7.88671875" style="25" customWidth="1"/>
    <col min="8984" max="8984" width="6.44140625" style="25" customWidth="1"/>
    <col min="8985" max="8985" width="7.109375" style="25" customWidth="1"/>
    <col min="8986" max="8986" width="7.5546875" style="25" customWidth="1"/>
    <col min="8987" max="8987" width="8" style="25" customWidth="1"/>
    <col min="8988" max="8989" width="6.44140625" style="25" customWidth="1"/>
    <col min="8990" max="8990" width="7.109375" style="25" customWidth="1"/>
    <col min="8991" max="8991" width="8.109375" style="25" customWidth="1"/>
    <col min="8992" max="8993" width="10.44140625" style="25" customWidth="1"/>
    <col min="8994" max="8994" width="7.109375" style="25" customWidth="1"/>
    <col min="8995" max="8995" width="8.109375" style="25" customWidth="1"/>
    <col min="8996" max="8997" width="10.44140625" style="25" customWidth="1"/>
    <col min="8998" max="8998" width="7.109375" style="25" customWidth="1"/>
    <col min="8999" max="8999" width="8.109375" style="25" customWidth="1"/>
    <col min="9000" max="9000" width="11.5546875" style="25" customWidth="1"/>
    <col min="9001" max="9223" width="11.5546875" style="25"/>
    <col min="9224" max="9224" width="2" style="25" customWidth="1"/>
    <col min="9225" max="9225" width="18.109375" style="25" customWidth="1"/>
    <col min="9226" max="9226" width="13.5546875" style="25" customWidth="1"/>
    <col min="9227" max="9227" width="52" style="25" customWidth="1"/>
    <col min="9228" max="9229" width="6.5546875" style="25" customWidth="1"/>
    <col min="9230" max="9230" width="7.5546875" style="25" customWidth="1"/>
    <col min="9231" max="9231" width="7.44140625" style="25" customWidth="1"/>
    <col min="9232" max="9232" width="8.44140625" style="25" customWidth="1"/>
    <col min="9233" max="9233" width="7.109375" style="25" customWidth="1"/>
    <col min="9234" max="9234" width="7.5546875" style="25" customWidth="1"/>
    <col min="9235" max="9235" width="7.88671875" style="25" customWidth="1"/>
    <col min="9236" max="9237" width="6.44140625" style="25" customWidth="1"/>
    <col min="9238" max="9238" width="7.109375" style="25" customWidth="1"/>
    <col min="9239" max="9239" width="7.88671875" style="25" customWidth="1"/>
    <col min="9240" max="9240" width="6.44140625" style="25" customWidth="1"/>
    <col min="9241" max="9241" width="7.109375" style="25" customWidth="1"/>
    <col min="9242" max="9242" width="7.5546875" style="25" customWidth="1"/>
    <col min="9243" max="9243" width="8" style="25" customWidth="1"/>
    <col min="9244" max="9245" width="6.44140625" style="25" customWidth="1"/>
    <col min="9246" max="9246" width="7.109375" style="25" customWidth="1"/>
    <col min="9247" max="9247" width="8.109375" style="25" customWidth="1"/>
    <col min="9248" max="9249" width="10.44140625" style="25" customWidth="1"/>
    <col min="9250" max="9250" width="7.109375" style="25" customWidth="1"/>
    <col min="9251" max="9251" width="8.109375" style="25" customWidth="1"/>
    <col min="9252" max="9253" width="10.44140625" style="25" customWidth="1"/>
    <col min="9254" max="9254" width="7.109375" style="25" customWidth="1"/>
    <col min="9255" max="9255" width="8.109375" style="25" customWidth="1"/>
    <col min="9256" max="9256" width="11.5546875" style="25" customWidth="1"/>
    <col min="9257" max="9479" width="11.5546875" style="25"/>
    <col min="9480" max="9480" width="2" style="25" customWidth="1"/>
    <col min="9481" max="9481" width="18.109375" style="25" customWidth="1"/>
    <col min="9482" max="9482" width="13.5546875" style="25" customWidth="1"/>
    <col min="9483" max="9483" width="52" style="25" customWidth="1"/>
    <col min="9484" max="9485" width="6.5546875" style="25" customWidth="1"/>
    <col min="9486" max="9486" width="7.5546875" style="25" customWidth="1"/>
    <col min="9487" max="9487" width="7.44140625" style="25" customWidth="1"/>
    <col min="9488" max="9488" width="8.44140625" style="25" customWidth="1"/>
    <col min="9489" max="9489" width="7.109375" style="25" customWidth="1"/>
    <col min="9490" max="9490" width="7.5546875" style="25" customWidth="1"/>
    <col min="9491" max="9491" width="7.88671875" style="25" customWidth="1"/>
    <col min="9492" max="9493" width="6.44140625" style="25" customWidth="1"/>
    <col min="9494" max="9494" width="7.109375" style="25" customWidth="1"/>
    <col min="9495" max="9495" width="7.88671875" style="25" customWidth="1"/>
    <col min="9496" max="9496" width="6.44140625" style="25" customWidth="1"/>
    <col min="9497" max="9497" width="7.109375" style="25" customWidth="1"/>
    <col min="9498" max="9498" width="7.5546875" style="25" customWidth="1"/>
    <col min="9499" max="9499" width="8" style="25" customWidth="1"/>
    <col min="9500" max="9501" width="6.44140625" style="25" customWidth="1"/>
    <col min="9502" max="9502" width="7.109375" style="25" customWidth="1"/>
    <col min="9503" max="9503" width="8.109375" style="25" customWidth="1"/>
    <col min="9504" max="9505" width="10.44140625" style="25" customWidth="1"/>
    <col min="9506" max="9506" width="7.109375" style="25" customWidth="1"/>
    <col min="9507" max="9507" width="8.109375" style="25" customWidth="1"/>
    <col min="9508" max="9509" width="10.44140625" style="25" customWidth="1"/>
    <col min="9510" max="9510" width="7.109375" style="25" customWidth="1"/>
    <col min="9511" max="9511" width="8.109375" style="25" customWidth="1"/>
    <col min="9512" max="9512" width="11.5546875" style="25" customWidth="1"/>
    <col min="9513" max="9735" width="11.5546875" style="25"/>
    <col min="9736" max="9736" width="2" style="25" customWidth="1"/>
    <col min="9737" max="9737" width="18.109375" style="25" customWidth="1"/>
    <col min="9738" max="9738" width="13.5546875" style="25" customWidth="1"/>
    <col min="9739" max="9739" width="52" style="25" customWidth="1"/>
    <col min="9740" max="9741" width="6.5546875" style="25" customWidth="1"/>
    <col min="9742" max="9742" width="7.5546875" style="25" customWidth="1"/>
    <col min="9743" max="9743" width="7.44140625" style="25" customWidth="1"/>
    <col min="9744" max="9744" width="8.44140625" style="25" customWidth="1"/>
    <col min="9745" max="9745" width="7.109375" style="25" customWidth="1"/>
    <col min="9746" max="9746" width="7.5546875" style="25" customWidth="1"/>
    <col min="9747" max="9747" width="7.88671875" style="25" customWidth="1"/>
    <col min="9748" max="9749" width="6.44140625" style="25" customWidth="1"/>
    <col min="9750" max="9750" width="7.109375" style="25" customWidth="1"/>
    <col min="9751" max="9751" width="7.88671875" style="25" customWidth="1"/>
    <col min="9752" max="9752" width="6.44140625" style="25" customWidth="1"/>
    <col min="9753" max="9753" width="7.109375" style="25" customWidth="1"/>
    <col min="9754" max="9754" width="7.5546875" style="25" customWidth="1"/>
    <col min="9755" max="9755" width="8" style="25" customWidth="1"/>
    <col min="9756" max="9757" width="6.44140625" style="25" customWidth="1"/>
    <col min="9758" max="9758" width="7.109375" style="25" customWidth="1"/>
    <col min="9759" max="9759" width="8.109375" style="25" customWidth="1"/>
    <col min="9760" max="9761" width="10.44140625" style="25" customWidth="1"/>
    <col min="9762" max="9762" width="7.109375" style="25" customWidth="1"/>
    <col min="9763" max="9763" width="8.109375" style="25" customWidth="1"/>
    <col min="9764" max="9765" width="10.44140625" style="25" customWidth="1"/>
    <col min="9766" max="9766" width="7.109375" style="25" customWidth="1"/>
    <col min="9767" max="9767" width="8.109375" style="25" customWidth="1"/>
    <col min="9768" max="9768" width="11.5546875" style="25" customWidth="1"/>
    <col min="9769" max="9991" width="11.5546875" style="25"/>
    <col min="9992" max="9992" width="2" style="25" customWidth="1"/>
    <col min="9993" max="9993" width="18.109375" style="25" customWidth="1"/>
    <col min="9994" max="9994" width="13.5546875" style="25" customWidth="1"/>
    <col min="9995" max="9995" width="52" style="25" customWidth="1"/>
    <col min="9996" max="9997" width="6.5546875" style="25" customWidth="1"/>
    <col min="9998" max="9998" width="7.5546875" style="25" customWidth="1"/>
    <col min="9999" max="9999" width="7.44140625" style="25" customWidth="1"/>
    <col min="10000" max="10000" width="8.44140625" style="25" customWidth="1"/>
    <col min="10001" max="10001" width="7.109375" style="25" customWidth="1"/>
    <col min="10002" max="10002" width="7.5546875" style="25" customWidth="1"/>
    <col min="10003" max="10003" width="7.88671875" style="25" customWidth="1"/>
    <col min="10004" max="10005" width="6.44140625" style="25" customWidth="1"/>
    <col min="10006" max="10006" width="7.109375" style="25" customWidth="1"/>
    <col min="10007" max="10007" width="7.88671875" style="25" customWidth="1"/>
    <col min="10008" max="10008" width="6.44140625" style="25" customWidth="1"/>
    <col min="10009" max="10009" width="7.109375" style="25" customWidth="1"/>
    <col min="10010" max="10010" width="7.5546875" style="25" customWidth="1"/>
    <col min="10011" max="10011" width="8" style="25" customWidth="1"/>
    <col min="10012" max="10013" width="6.44140625" style="25" customWidth="1"/>
    <col min="10014" max="10014" width="7.109375" style="25" customWidth="1"/>
    <col min="10015" max="10015" width="8.109375" style="25" customWidth="1"/>
    <col min="10016" max="10017" width="10.44140625" style="25" customWidth="1"/>
    <col min="10018" max="10018" width="7.109375" style="25" customWidth="1"/>
    <col min="10019" max="10019" width="8.109375" style="25" customWidth="1"/>
    <col min="10020" max="10021" width="10.44140625" style="25" customWidth="1"/>
    <col min="10022" max="10022" width="7.109375" style="25" customWidth="1"/>
    <col min="10023" max="10023" width="8.109375" style="25" customWidth="1"/>
    <col min="10024" max="10024" width="11.5546875" style="25" customWidth="1"/>
    <col min="10025" max="10247" width="11.5546875" style="25"/>
    <col min="10248" max="10248" width="2" style="25" customWidth="1"/>
    <col min="10249" max="10249" width="18.109375" style="25" customWidth="1"/>
    <col min="10250" max="10250" width="13.5546875" style="25" customWidth="1"/>
    <col min="10251" max="10251" width="52" style="25" customWidth="1"/>
    <col min="10252" max="10253" width="6.5546875" style="25" customWidth="1"/>
    <col min="10254" max="10254" width="7.5546875" style="25" customWidth="1"/>
    <col min="10255" max="10255" width="7.44140625" style="25" customWidth="1"/>
    <col min="10256" max="10256" width="8.44140625" style="25" customWidth="1"/>
    <col min="10257" max="10257" width="7.109375" style="25" customWidth="1"/>
    <col min="10258" max="10258" width="7.5546875" style="25" customWidth="1"/>
    <col min="10259" max="10259" width="7.88671875" style="25" customWidth="1"/>
    <col min="10260" max="10261" width="6.44140625" style="25" customWidth="1"/>
    <col min="10262" max="10262" width="7.109375" style="25" customWidth="1"/>
    <col min="10263" max="10263" width="7.88671875" style="25" customWidth="1"/>
    <col min="10264" max="10264" width="6.44140625" style="25" customWidth="1"/>
    <col min="10265" max="10265" width="7.109375" style="25" customWidth="1"/>
    <col min="10266" max="10266" width="7.5546875" style="25" customWidth="1"/>
    <col min="10267" max="10267" width="8" style="25" customWidth="1"/>
    <col min="10268" max="10269" width="6.44140625" style="25" customWidth="1"/>
    <col min="10270" max="10270" width="7.109375" style="25" customWidth="1"/>
    <col min="10271" max="10271" width="8.109375" style="25" customWidth="1"/>
    <col min="10272" max="10273" width="10.44140625" style="25" customWidth="1"/>
    <col min="10274" max="10274" width="7.109375" style="25" customWidth="1"/>
    <col min="10275" max="10275" width="8.109375" style="25" customWidth="1"/>
    <col min="10276" max="10277" width="10.44140625" style="25" customWidth="1"/>
    <col min="10278" max="10278" width="7.109375" style="25" customWidth="1"/>
    <col min="10279" max="10279" width="8.109375" style="25" customWidth="1"/>
    <col min="10280" max="10280" width="11.5546875" style="25" customWidth="1"/>
    <col min="10281" max="10503" width="11.5546875" style="25"/>
    <col min="10504" max="10504" width="2" style="25" customWidth="1"/>
    <col min="10505" max="10505" width="18.109375" style="25" customWidth="1"/>
    <col min="10506" max="10506" width="13.5546875" style="25" customWidth="1"/>
    <col min="10507" max="10507" width="52" style="25" customWidth="1"/>
    <col min="10508" max="10509" width="6.5546875" style="25" customWidth="1"/>
    <col min="10510" max="10510" width="7.5546875" style="25" customWidth="1"/>
    <col min="10511" max="10511" width="7.44140625" style="25" customWidth="1"/>
    <col min="10512" max="10512" width="8.44140625" style="25" customWidth="1"/>
    <col min="10513" max="10513" width="7.109375" style="25" customWidth="1"/>
    <col min="10514" max="10514" width="7.5546875" style="25" customWidth="1"/>
    <col min="10515" max="10515" width="7.88671875" style="25" customWidth="1"/>
    <col min="10516" max="10517" width="6.44140625" style="25" customWidth="1"/>
    <col min="10518" max="10518" width="7.109375" style="25" customWidth="1"/>
    <col min="10519" max="10519" width="7.88671875" style="25" customWidth="1"/>
    <col min="10520" max="10520" width="6.44140625" style="25" customWidth="1"/>
    <col min="10521" max="10521" width="7.109375" style="25" customWidth="1"/>
    <col min="10522" max="10522" width="7.5546875" style="25" customWidth="1"/>
    <col min="10523" max="10523" width="8" style="25" customWidth="1"/>
    <col min="10524" max="10525" width="6.44140625" style="25" customWidth="1"/>
    <col min="10526" max="10526" width="7.109375" style="25" customWidth="1"/>
    <col min="10527" max="10527" width="8.109375" style="25" customWidth="1"/>
    <col min="10528" max="10529" width="10.44140625" style="25" customWidth="1"/>
    <col min="10530" max="10530" width="7.109375" style="25" customWidth="1"/>
    <col min="10531" max="10531" width="8.109375" style="25" customWidth="1"/>
    <col min="10532" max="10533" width="10.44140625" style="25" customWidth="1"/>
    <col min="10534" max="10534" width="7.109375" style="25" customWidth="1"/>
    <col min="10535" max="10535" width="8.109375" style="25" customWidth="1"/>
    <col min="10536" max="10536" width="11.5546875" style="25" customWidth="1"/>
    <col min="10537" max="10759" width="11.5546875" style="25"/>
    <col min="10760" max="10760" width="2" style="25" customWidth="1"/>
    <col min="10761" max="10761" width="18.109375" style="25" customWidth="1"/>
    <col min="10762" max="10762" width="13.5546875" style="25" customWidth="1"/>
    <col min="10763" max="10763" width="52" style="25" customWidth="1"/>
    <col min="10764" max="10765" width="6.5546875" style="25" customWidth="1"/>
    <col min="10766" max="10766" width="7.5546875" style="25" customWidth="1"/>
    <col min="10767" max="10767" width="7.44140625" style="25" customWidth="1"/>
    <col min="10768" max="10768" width="8.44140625" style="25" customWidth="1"/>
    <col min="10769" max="10769" width="7.109375" style="25" customWidth="1"/>
    <col min="10770" max="10770" width="7.5546875" style="25" customWidth="1"/>
    <col min="10771" max="10771" width="7.88671875" style="25" customWidth="1"/>
    <col min="10772" max="10773" width="6.44140625" style="25" customWidth="1"/>
    <col min="10774" max="10774" width="7.109375" style="25" customWidth="1"/>
    <col min="10775" max="10775" width="7.88671875" style="25" customWidth="1"/>
    <col min="10776" max="10776" width="6.44140625" style="25" customWidth="1"/>
    <col min="10777" max="10777" width="7.109375" style="25" customWidth="1"/>
    <col min="10778" max="10778" width="7.5546875" style="25" customWidth="1"/>
    <col min="10779" max="10779" width="8" style="25" customWidth="1"/>
    <col min="10780" max="10781" width="6.44140625" style="25" customWidth="1"/>
    <col min="10782" max="10782" width="7.109375" style="25" customWidth="1"/>
    <col min="10783" max="10783" width="8.109375" style="25" customWidth="1"/>
    <col min="10784" max="10785" width="10.44140625" style="25" customWidth="1"/>
    <col min="10786" max="10786" width="7.109375" style="25" customWidth="1"/>
    <col min="10787" max="10787" width="8.109375" style="25" customWidth="1"/>
    <col min="10788" max="10789" width="10.44140625" style="25" customWidth="1"/>
    <col min="10790" max="10790" width="7.109375" style="25" customWidth="1"/>
    <col min="10791" max="10791" width="8.109375" style="25" customWidth="1"/>
    <col min="10792" max="10792" width="11.5546875" style="25" customWidth="1"/>
    <col min="10793" max="11015" width="11.5546875" style="25"/>
    <col min="11016" max="11016" width="2" style="25" customWidth="1"/>
    <col min="11017" max="11017" width="18.109375" style="25" customWidth="1"/>
    <col min="11018" max="11018" width="13.5546875" style="25" customWidth="1"/>
    <col min="11019" max="11019" width="52" style="25" customWidth="1"/>
    <col min="11020" max="11021" width="6.5546875" style="25" customWidth="1"/>
    <col min="11022" max="11022" width="7.5546875" style="25" customWidth="1"/>
    <col min="11023" max="11023" width="7.44140625" style="25" customWidth="1"/>
    <col min="11024" max="11024" width="8.44140625" style="25" customWidth="1"/>
    <col min="11025" max="11025" width="7.109375" style="25" customWidth="1"/>
    <col min="11026" max="11026" width="7.5546875" style="25" customWidth="1"/>
    <col min="11027" max="11027" width="7.88671875" style="25" customWidth="1"/>
    <col min="11028" max="11029" width="6.44140625" style="25" customWidth="1"/>
    <col min="11030" max="11030" width="7.109375" style="25" customWidth="1"/>
    <col min="11031" max="11031" width="7.88671875" style="25" customWidth="1"/>
    <col min="11032" max="11032" width="6.44140625" style="25" customWidth="1"/>
    <col min="11033" max="11033" width="7.109375" style="25" customWidth="1"/>
    <col min="11034" max="11034" width="7.5546875" style="25" customWidth="1"/>
    <col min="11035" max="11035" width="8" style="25" customWidth="1"/>
    <col min="11036" max="11037" width="6.44140625" style="25" customWidth="1"/>
    <col min="11038" max="11038" width="7.109375" style="25" customWidth="1"/>
    <col min="11039" max="11039" width="8.109375" style="25" customWidth="1"/>
    <col min="11040" max="11041" width="10.44140625" style="25" customWidth="1"/>
    <col min="11042" max="11042" width="7.109375" style="25" customWidth="1"/>
    <col min="11043" max="11043" width="8.109375" style="25" customWidth="1"/>
    <col min="11044" max="11045" width="10.44140625" style="25" customWidth="1"/>
    <col min="11046" max="11046" width="7.109375" style="25" customWidth="1"/>
    <col min="11047" max="11047" width="8.109375" style="25" customWidth="1"/>
    <col min="11048" max="11048" width="11.5546875" style="25" customWidth="1"/>
    <col min="11049" max="11271" width="11.5546875" style="25"/>
    <col min="11272" max="11272" width="2" style="25" customWidth="1"/>
    <col min="11273" max="11273" width="18.109375" style="25" customWidth="1"/>
    <col min="11274" max="11274" width="13.5546875" style="25" customWidth="1"/>
    <col min="11275" max="11275" width="52" style="25" customWidth="1"/>
    <col min="11276" max="11277" width="6.5546875" style="25" customWidth="1"/>
    <col min="11278" max="11278" width="7.5546875" style="25" customWidth="1"/>
    <col min="11279" max="11279" width="7.44140625" style="25" customWidth="1"/>
    <col min="11280" max="11280" width="8.44140625" style="25" customWidth="1"/>
    <col min="11281" max="11281" width="7.109375" style="25" customWidth="1"/>
    <col min="11282" max="11282" width="7.5546875" style="25" customWidth="1"/>
    <col min="11283" max="11283" width="7.88671875" style="25" customWidth="1"/>
    <col min="11284" max="11285" width="6.44140625" style="25" customWidth="1"/>
    <col min="11286" max="11286" width="7.109375" style="25" customWidth="1"/>
    <col min="11287" max="11287" width="7.88671875" style="25" customWidth="1"/>
    <col min="11288" max="11288" width="6.44140625" style="25" customWidth="1"/>
    <col min="11289" max="11289" width="7.109375" style="25" customWidth="1"/>
    <col min="11290" max="11290" width="7.5546875" style="25" customWidth="1"/>
    <col min="11291" max="11291" width="8" style="25" customWidth="1"/>
    <col min="11292" max="11293" width="6.44140625" style="25" customWidth="1"/>
    <col min="11294" max="11294" width="7.109375" style="25" customWidth="1"/>
    <col min="11295" max="11295" width="8.109375" style="25" customWidth="1"/>
    <col min="11296" max="11297" width="10.44140625" style="25" customWidth="1"/>
    <col min="11298" max="11298" width="7.109375" style="25" customWidth="1"/>
    <col min="11299" max="11299" width="8.109375" style="25" customWidth="1"/>
    <col min="11300" max="11301" width="10.44140625" style="25" customWidth="1"/>
    <col min="11302" max="11302" width="7.109375" style="25" customWidth="1"/>
    <col min="11303" max="11303" width="8.109375" style="25" customWidth="1"/>
    <col min="11304" max="11304" width="11.5546875" style="25" customWidth="1"/>
    <col min="11305" max="11527" width="11.5546875" style="25"/>
    <col min="11528" max="11528" width="2" style="25" customWidth="1"/>
    <col min="11529" max="11529" width="18.109375" style="25" customWidth="1"/>
    <col min="11530" max="11530" width="13.5546875" style="25" customWidth="1"/>
    <col min="11531" max="11531" width="52" style="25" customWidth="1"/>
    <col min="11532" max="11533" width="6.5546875" style="25" customWidth="1"/>
    <col min="11534" max="11534" width="7.5546875" style="25" customWidth="1"/>
    <col min="11535" max="11535" width="7.44140625" style="25" customWidth="1"/>
    <col min="11536" max="11536" width="8.44140625" style="25" customWidth="1"/>
    <col min="11537" max="11537" width="7.109375" style="25" customWidth="1"/>
    <col min="11538" max="11538" width="7.5546875" style="25" customWidth="1"/>
    <col min="11539" max="11539" width="7.88671875" style="25" customWidth="1"/>
    <col min="11540" max="11541" width="6.44140625" style="25" customWidth="1"/>
    <col min="11542" max="11542" width="7.109375" style="25" customWidth="1"/>
    <col min="11543" max="11543" width="7.88671875" style="25" customWidth="1"/>
    <col min="11544" max="11544" width="6.44140625" style="25" customWidth="1"/>
    <col min="11545" max="11545" width="7.109375" style="25" customWidth="1"/>
    <col min="11546" max="11546" width="7.5546875" style="25" customWidth="1"/>
    <col min="11547" max="11547" width="8" style="25" customWidth="1"/>
    <col min="11548" max="11549" width="6.44140625" style="25" customWidth="1"/>
    <col min="11550" max="11550" width="7.109375" style="25" customWidth="1"/>
    <col min="11551" max="11551" width="8.109375" style="25" customWidth="1"/>
    <col min="11552" max="11553" width="10.44140625" style="25" customWidth="1"/>
    <col min="11554" max="11554" width="7.109375" style="25" customWidth="1"/>
    <col min="11555" max="11555" width="8.109375" style="25" customWidth="1"/>
    <col min="11556" max="11557" width="10.44140625" style="25" customWidth="1"/>
    <col min="11558" max="11558" width="7.109375" style="25" customWidth="1"/>
    <col min="11559" max="11559" width="8.109375" style="25" customWidth="1"/>
    <col min="11560" max="11560" width="11.5546875" style="25" customWidth="1"/>
    <col min="11561" max="11783" width="11.5546875" style="25"/>
    <col min="11784" max="11784" width="2" style="25" customWidth="1"/>
    <col min="11785" max="11785" width="18.109375" style="25" customWidth="1"/>
    <col min="11786" max="11786" width="13.5546875" style="25" customWidth="1"/>
    <col min="11787" max="11787" width="52" style="25" customWidth="1"/>
    <col min="11788" max="11789" width="6.5546875" style="25" customWidth="1"/>
    <col min="11790" max="11790" width="7.5546875" style="25" customWidth="1"/>
    <col min="11791" max="11791" width="7.44140625" style="25" customWidth="1"/>
    <col min="11792" max="11792" width="8.44140625" style="25" customWidth="1"/>
    <col min="11793" max="11793" width="7.109375" style="25" customWidth="1"/>
    <col min="11794" max="11794" width="7.5546875" style="25" customWidth="1"/>
    <col min="11795" max="11795" width="7.88671875" style="25" customWidth="1"/>
    <col min="11796" max="11797" width="6.44140625" style="25" customWidth="1"/>
    <col min="11798" max="11798" width="7.109375" style="25" customWidth="1"/>
    <col min="11799" max="11799" width="7.88671875" style="25" customWidth="1"/>
    <col min="11800" max="11800" width="6.44140625" style="25" customWidth="1"/>
    <col min="11801" max="11801" width="7.109375" style="25" customWidth="1"/>
    <col min="11802" max="11802" width="7.5546875" style="25" customWidth="1"/>
    <col min="11803" max="11803" width="8" style="25" customWidth="1"/>
    <col min="11804" max="11805" width="6.44140625" style="25" customWidth="1"/>
    <col min="11806" max="11806" width="7.109375" style="25" customWidth="1"/>
    <col min="11807" max="11807" width="8.109375" style="25" customWidth="1"/>
    <col min="11808" max="11809" width="10.44140625" style="25" customWidth="1"/>
    <col min="11810" max="11810" width="7.109375" style="25" customWidth="1"/>
    <col min="11811" max="11811" width="8.109375" style="25" customWidth="1"/>
    <col min="11812" max="11813" width="10.44140625" style="25" customWidth="1"/>
    <col min="11814" max="11814" width="7.109375" style="25" customWidth="1"/>
    <col min="11815" max="11815" width="8.109375" style="25" customWidth="1"/>
    <col min="11816" max="11816" width="11.5546875" style="25" customWidth="1"/>
    <col min="11817" max="12039" width="11.5546875" style="25"/>
    <col min="12040" max="12040" width="2" style="25" customWidth="1"/>
    <col min="12041" max="12041" width="18.109375" style="25" customWidth="1"/>
    <col min="12042" max="12042" width="13.5546875" style="25" customWidth="1"/>
    <col min="12043" max="12043" width="52" style="25" customWidth="1"/>
    <col min="12044" max="12045" width="6.5546875" style="25" customWidth="1"/>
    <col min="12046" max="12046" width="7.5546875" style="25" customWidth="1"/>
    <col min="12047" max="12047" width="7.44140625" style="25" customWidth="1"/>
    <col min="12048" max="12048" width="8.44140625" style="25" customWidth="1"/>
    <col min="12049" max="12049" width="7.109375" style="25" customWidth="1"/>
    <col min="12050" max="12050" width="7.5546875" style="25" customWidth="1"/>
    <col min="12051" max="12051" width="7.88671875" style="25" customWidth="1"/>
    <col min="12052" max="12053" width="6.44140625" style="25" customWidth="1"/>
    <col min="12054" max="12054" width="7.109375" style="25" customWidth="1"/>
    <col min="12055" max="12055" width="7.88671875" style="25" customWidth="1"/>
    <col min="12056" max="12056" width="6.44140625" style="25" customWidth="1"/>
    <col min="12057" max="12057" width="7.109375" style="25" customWidth="1"/>
    <col min="12058" max="12058" width="7.5546875" style="25" customWidth="1"/>
    <col min="12059" max="12059" width="8" style="25" customWidth="1"/>
    <col min="12060" max="12061" width="6.44140625" style="25" customWidth="1"/>
    <col min="12062" max="12062" width="7.109375" style="25" customWidth="1"/>
    <col min="12063" max="12063" width="8.109375" style="25" customWidth="1"/>
    <col min="12064" max="12065" width="10.44140625" style="25" customWidth="1"/>
    <col min="12066" max="12066" width="7.109375" style="25" customWidth="1"/>
    <col min="12067" max="12067" width="8.109375" style="25" customWidth="1"/>
    <col min="12068" max="12069" width="10.44140625" style="25" customWidth="1"/>
    <col min="12070" max="12070" width="7.109375" style="25" customWidth="1"/>
    <col min="12071" max="12071" width="8.109375" style="25" customWidth="1"/>
    <col min="12072" max="12072" width="11.5546875" style="25" customWidth="1"/>
    <col min="12073" max="12295" width="11.5546875" style="25"/>
    <col min="12296" max="12296" width="2" style="25" customWidth="1"/>
    <col min="12297" max="12297" width="18.109375" style="25" customWidth="1"/>
    <col min="12298" max="12298" width="13.5546875" style="25" customWidth="1"/>
    <col min="12299" max="12299" width="52" style="25" customWidth="1"/>
    <col min="12300" max="12301" width="6.5546875" style="25" customWidth="1"/>
    <col min="12302" max="12302" width="7.5546875" style="25" customWidth="1"/>
    <col min="12303" max="12303" width="7.44140625" style="25" customWidth="1"/>
    <col min="12304" max="12304" width="8.44140625" style="25" customWidth="1"/>
    <col min="12305" max="12305" width="7.109375" style="25" customWidth="1"/>
    <col min="12306" max="12306" width="7.5546875" style="25" customWidth="1"/>
    <col min="12307" max="12307" width="7.88671875" style="25" customWidth="1"/>
    <col min="12308" max="12309" width="6.44140625" style="25" customWidth="1"/>
    <col min="12310" max="12310" width="7.109375" style="25" customWidth="1"/>
    <col min="12311" max="12311" width="7.88671875" style="25" customWidth="1"/>
    <col min="12312" max="12312" width="6.44140625" style="25" customWidth="1"/>
    <col min="12313" max="12313" width="7.109375" style="25" customWidth="1"/>
    <col min="12314" max="12314" width="7.5546875" style="25" customWidth="1"/>
    <col min="12315" max="12315" width="8" style="25" customWidth="1"/>
    <col min="12316" max="12317" width="6.44140625" style="25" customWidth="1"/>
    <col min="12318" max="12318" width="7.109375" style="25" customWidth="1"/>
    <col min="12319" max="12319" width="8.109375" style="25" customWidth="1"/>
    <col min="12320" max="12321" width="10.44140625" style="25" customWidth="1"/>
    <col min="12322" max="12322" width="7.109375" style="25" customWidth="1"/>
    <col min="12323" max="12323" width="8.109375" style="25" customWidth="1"/>
    <col min="12324" max="12325" width="10.44140625" style="25" customWidth="1"/>
    <col min="12326" max="12326" width="7.109375" style="25" customWidth="1"/>
    <col min="12327" max="12327" width="8.109375" style="25" customWidth="1"/>
    <col min="12328" max="12328" width="11.5546875" style="25" customWidth="1"/>
    <col min="12329" max="12551" width="11.5546875" style="25"/>
    <col min="12552" max="12552" width="2" style="25" customWidth="1"/>
    <col min="12553" max="12553" width="18.109375" style="25" customWidth="1"/>
    <col min="12554" max="12554" width="13.5546875" style="25" customWidth="1"/>
    <col min="12555" max="12555" width="52" style="25" customWidth="1"/>
    <col min="12556" max="12557" width="6.5546875" style="25" customWidth="1"/>
    <col min="12558" max="12558" width="7.5546875" style="25" customWidth="1"/>
    <col min="12559" max="12559" width="7.44140625" style="25" customWidth="1"/>
    <col min="12560" max="12560" width="8.44140625" style="25" customWidth="1"/>
    <col min="12561" max="12561" width="7.109375" style="25" customWidth="1"/>
    <col min="12562" max="12562" width="7.5546875" style="25" customWidth="1"/>
    <col min="12563" max="12563" width="7.88671875" style="25" customWidth="1"/>
    <col min="12564" max="12565" width="6.44140625" style="25" customWidth="1"/>
    <col min="12566" max="12566" width="7.109375" style="25" customWidth="1"/>
    <col min="12567" max="12567" width="7.88671875" style="25" customWidth="1"/>
    <col min="12568" max="12568" width="6.44140625" style="25" customWidth="1"/>
    <col min="12569" max="12569" width="7.109375" style="25" customWidth="1"/>
    <col min="12570" max="12570" width="7.5546875" style="25" customWidth="1"/>
    <col min="12571" max="12571" width="8" style="25" customWidth="1"/>
    <col min="12572" max="12573" width="6.44140625" style="25" customWidth="1"/>
    <col min="12574" max="12574" width="7.109375" style="25" customWidth="1"/>
    <col min="12575" max="12575" width="8.109375" style="25" customWidth="1"/>
    <col min="12576" max="12577" width="10.44140625" style="25" customWidth="1"/>
    <col min="12578" max="12578" width="7.109375" style="25" customWidth="1"/>
    <col min="12579" max="12579" width="8.109375" style="25" customWidth="1"/>
    <col min="12580" max="12581" width="10.44140625" style="25" customWidth="1"/>
    <col min="12582" max="12582" width="7.109375" style="25" customWidth="1"/>
    <col min="12583" max="12583" width="8.109375" style="25" customWidth="1"/>
    <col min="12584" max="12584" width="11.5546875" style="25" customWidth="1"/>
    <col min="12585" max="12807" width="11.5546875" style="25"/>
    <col min="12808" max="12808" width="2" style="25" customWidth="1"/>
    <col min="12809" max="12809" width="18.109375" style="25" customWidth="1"/>
    <col min="12810" max="12810" width="13.5546875" style="25" customWidth="1"/>
    <col min="12811" max="12811" width="52" style="25" customWidth="1"/>
    <col min="12812" max="12813" width="6.5546875" style="25" customWidth="1"/>
    <col min="12814" max="12814" width="7.5546875" style="25" customWidth="1"/>
    <col min="12815" max="12815" width="7.44140625" style="25" customWidth="1"/>
    <col min="12816" max="12816" width="8.44140625" style="25" customWidth="1"/>
    <col min="12817" max="12817" width="7.109375" style="25" customWidth="1"/>
    <col min="12818" max="12818" width="7.5546875" style="25" customWidth="1"/>
    <col min="12819" max="12819" width="7.88671875" style="25" customWidth="1"/>
    <col min="12820" max="12821" width="6.44140625" style="25" customWidth="1"/>
    <col min="12822" max="12822" width="7.109375" style="25" customWidth="1"/>
    <col min="12823" max="12823" width="7.88671875" style="25" customWidth="1"/>
    <col min="12824" max="12824" width="6.44140625" style="25" customWidth="1"/>
    <col min="12825" max="12825" width="7.109375" style="25" customWidth="1"/>
    <col min="12826" max="12826" width="7.5546875" style="25" customWidth="1"/>
    <col min="12827" max="12827" width="8" style="25" customWidth="1"/>
    <col min="12828" max="12829" width="6.44140625" style="25" customWidth="1"/>
    <col min="12830" max="12830" width="7.109375" style="25" customWidth="1"/>
    <col min="12831" max="12831" width="8.109375" style="25" customWidth="1"/>
    <col min="12832" max="12833" width="10.44140625" style="25" customWidth="1"/>
    <col min="12834" max="12834" width="7.109375" style="25" customWidth="1"/>
    <col min="12835" max="12835" width="8.109375" style="25" customWidth="1"/>
    <col min="12836" max="12837" width="10.44140625" style="25" customWidth="1"/>
    <col min="12838" max="12838" width="7.109375" style="25" customWidth="1"/>
    <col min="12839" max="12839" width="8.109375" style="25" customWidth="1"/>
    <col min="12840" max="12840" width="11.5546875" style="25" customWidth="1"/>
    <col min="12841" max="13063" width="11.5546875" style="25"/>
    <col min="13064" max="13064" width="2" style="25" customWidth="1"/>
    <col min="13065" max="13065" width="18.109375" style="25" customWidth="1"/>
    <col min="13066" max="13066" width="13.5546875" style="25" customWidth="1"/>
    <col min="13067" max="13067" width="52" style="25" customWidth="1"/>
    <col min="13068" max="13069" width="6.5546875" style="25" customWidth="1"/>
    <col min="13070" max="13070" width="7.5546875" style="25" customWidth="1"/>
    <col min="13071" max="13071" width="7.44140625" style="25" customWidth="1"/>
    <col min="13072" max="13072" width="8.44140625" style="25" customWidth="1"/>
    <col min="13073" max="13073" width="7.109375" style="25" customWidth="1"/>
    <col min="13074" max="13074" width="7.5546875" style="25" customWidth="1"/>
    <col min="13075" max="13075" width="7.88671875" style="25" customWidth="1"/>
    <col min="13076" max="13077" width="6.44140625" style="25" customWidth="1"/>
    <col min="13078" max="13078" width="7.109375" style="25" customWidth="1"/>
    <col min="13079" max="13079" width="7.88671875" style="25" customWidth="1"/>
    <col min="13080" max="13080" width="6.44140625" style="25" customWidth="1"/>
    <col min="13081" max="13081" width="7.109375" style="25" customWidth="1"/>
    <col min="13082" max="13082" width="7.5546875" style="25" customWidth="1"/>
    <col min="13083" max="13083" width="8" style="25" customWidth="1"/>
    <col min="13084" max="13085" width="6.44140625" style="25" customWidth="1"/>
    <col min="13086" max="13086" width="7.109375" style="25" customWidth="1"/>
    <col min="13087" max="13087" width="8.109375" style="25" customWidth="1"/>
    <col min="13088" max="13089" width="10.44140625" style="25" customWidth="1"/>
    <col min="13090" max="13090" width="7.109375" style="25" customWidth="1"/>
    <col min="13091" max="13091" width="8.109375" style="25" customWidth="1"/>
    <col min="13092" max="13093" width="10.44140625" style="25" customWidth="1"/>
    <col min="13094" max="13094" width="7.109375" style="25" customWidth="1"/>
    <col min="13095" max="13095" width="8.109375" style="25" customWidth="1"/>
    <col min="13096" max="13096" width="11.5546875" style="25" customWidth="1"/>
    <col min="13097" max="13319" width="11.5546875" style="25"/>
    <col min="13320" max="13320" width="2" style="25" customWidth="1"/>
    <col min="13321" max="13321" width="18.109375" style="25" customWidth="1"/>
    <col min="13322" max="13322" width="13.5546875" style="25" customWidth="1"/>
    <col min="13323" max="13323" width="52" style="25" customWidth="1"/>
    <col min="13324" max="13325" width="6.5546875" style="25" customWidth="1"/>
    <col min="13326" max="13326" width="7.5546875" style="25" customWidth="1"/>
    <col min="13327" max="13327" width="7.44140625" style="25" customWidth="1"/>
    <col min="13328" max="13328" width="8.44140625" style="25" customWidth="1"/>
    <col min="13329" max="13329" width="7.109375" style="25" customWidth="1"/>
    <col min="13330" max="13330" width="7.5546875" style="25" customWidth="1"/>
    <col min="13331" max="13331" width="7.88671875" style="25" customWidth="1"/>
    <col min="13332" max="13333" width="6.44140625" style="25" customWidth="1"/>
    <col min="13334" max="13334" width="7.109375" style="25" customWidth="1"/>
    <col min="13335" max="13335" width="7.88671875" style="25" customWidth="1"/>
    <col min="13336" max="13336" width="6.44140625" style="25" customWidth="1"/>
    <col min="13337" max="13337" width="7.109375" style="25" customWidth="1"/>
    <col min="13338" max="13338" width="7.5546875" style="25" customWidth="1"/>
    <col min="13339" max="13339" width="8" style="25" customWidth="1"/>
    <col min="13340" max="13341" width="6.44140625" style="25" customWidth="1"/>
    <col min="13342" max="13342" width="7.109375" style="25" customWidth="1"/>
    <col min="13343" max="13343" width="8.109375" style="25" customWidth="1"/>
    <col min="13344" max="13345" width="10.44140625" style="25" customWidth="1"/>
    <col min="13346" max="13346" width="7.109375" style="25" customWidth="1"/>
    <col min="13347" max="13347" width="8.109375" style="25" customWidth="1"/>
    <col min="13348" max="13349" width="10.44140625" style="25" customWidth="1"/>
    <col min="13350" max="13350" width="7.109375" style="25" customWidth="1"/>
    <col min="13351" max="13351" width="8.109375" style="25" customWidth="1"/>
    <col min="13352" max="13352" width="11.5546875" style="25" customWidth="1"/>
    <col min="13353" max="13575" width="11.5546875" style="25"/>
    <col min="13576" max="13576" width="2" style="25" customWidth="1"/>
    <col min="13577" max="13577" width="18.109375" style="25" customWidth="1"/>
    <col min="13578" max="13578" width="13.5546875" style="25" customWidth="1"/>
    <col min="13579" max="13579" width="52" style="25" customWidth="1"/>
    <col min="13580" max="13581" width="6.5546875" style="25" customWidth="1"/>
    <col min="13582" max="13582" width="7.5546875" style="25" customWidth="1"/>
    <col min="13583" max="13583" width="7.44140625" style="25" customWidth="1"/>
    <col min="13584" max="13584" width="8.44140625" style="25" customWidth="1"/>
    <col min="13585" max="13585" width="7.109375" style="25" customWidth="1"/>
    <col min="13586" max="13586" width="7.5546875" style="25" customWidth="1"/>
    <col min="13587" max="13587" width="7.88671875" style="25" customWidth="1"/>
    <col min="13588" max="13589" width="6.44140625" style="25" customWidth="1"/>
    <col min="13590" max="13590" width="7.109375" style="25" customWidth="1"/>
    <col min="13591" max="13591" width="7.88671875" style="25" customWidth="1"/>
    <col min="13592" max="13592" width="6.44140625" style="25" customWidth="1"/>
    <col min="13593" max="13593" width="7.109375" style="25" customWidth="1"/>
    <col min="13594" max="13594" width="7.5546875" style="25" customWidth="1"/>
    <col min="13595" max="13595" width="8" style="25" customWidth="1"/>
    <col min="13596" max="13597" width="6.44140625" style="25" customWidth="1"/>
    <col min="13598" max="13598" width="7.109375" style="25" customWidth="1"/>
    <col min="13599" max="13599" width="8.109375" style="25" customWidth="1"/>
    <col min="13600" max="13601" width="10.44140625" style="25" customWidth="1"/>
    <col min="13602" max="13602" width="7.109375" style="25" customWidth="1"/>
    <col min="13603" max="13603" width="8.109375" style="25" customWidth="1"/>
    <col min="13604" max="13605" width="10.44140625" style="25" customWidth="1"/>
    <col min="13606" max="13606" width="7.109375" style="25" customWidth="1"/>
    <col min="13607" max="13607" width="8.109375" style="25" customWidth="1"/>
    <col min="13608" max="13608" width="11.5546875" style="25" customWidth="1"/>
    <col min="13609" max="13831" width="11.5546875" style="25"/>
    <col min="13832" max="13832" width="2" style="25" customWidth="1"/>
    <col min="13833" max="13833" width="18.109375" style="25" customWidth="1"/>
    <col min="13834" max="13834" width="13.5546875" style="25" customWidth="1"/>
    <col min="13835" max="13835" width="52" style="25" customWidth="1"/>
    <col min="13836" max="13837" width="6.5546875" style="25" customWidth="1"/>
    <col min="13838" max="13838" width="7.5546875" style="25" customWidth="1"/>
    <col min="13839" max="13839" width="7.44140625" style="25" customWidth="1"/>
    <col min="13840" max="13840" width="8.44140625" style="25" customWidth="1"/>
    <col min="13841" max="13841" width="7.109375" style="25" customWidth="1"/>
    <col min="13842" max="13842" width="7.5546875" style="25" customWidth="1"/>
    <col min="13843" max="13843" width="7.88671875" style="25" customWidth="1"/>
    <col min="13844" max="13845" width="6.44140625" style="25" customWidth="1"/>
    <col min="13846" max="13846" width="7.109375" style="25" customWidth="1"/>
    <col min="13847" max="13847" width="7.88671875" style="25" customWidth="1"/>
    <col min="13848" max="13848" width="6.44140625" style="25" customWidth="1"/>
    <col min="13849" max="13849" width="7.109375" style="25" customWidth="1"/>
    <col min="13850" max="13850" width="7.5546875" style="25" customWidth="1"/>
    <col min="13851" max="13851" width="8" style="25" customWidth="1"/>
    <col min="13852" max="13853" width="6.44140625" style="25" customWidth="1"/>
    <col min="13854" max="13854" width="7.109375" style="25" customWidth="1"/>
    <col min="13855" max="13855" width="8.109375" style="25" customWidth="1"/>
    <col min="13856" max="13857" width="10.44140625" style="25" customWidth="1"/>
    <col min="13858" max="13858" width="7.109375" style="25" customWidth="1"/>
    <col min="13859" max="13859" width="8.109375" style="25" customWidth="1"/>
    <col min="13860" max="13861" width="10.44140625" style="25" customWidth="1"/>
    <col min="13862" max="13862" width="7.109375" style="25" customWidth="1"/>
    <col min="13863" max="13863" width="8.109375" style="25" customWidth="1"/>
    <col min="13864" max="13864" width="11.5546875" style="25" customWidth="1"/>
    <col min="13865" max="14087" width="11.5546875" style="25"/>
    <col min="14088" max="14088" width="2" style="25" customWidth="1"/>
    <col min="14089" max="14089" width="18.109375" style="25" customWidth="1"/>
    <col min="14090" max="14090" width="13.5546875" style="25" customWidth="1"/>
    <col min="14091" max="14091" width="52" style="25" customWidth="1"/>
    <col min="14092" max="14093" width="6.5546875" style="25" customWidth="1"/>
    <col min="14094" max="14094" width="7.5546875" style="25" customWidth="1"/>
    <col min="14095" max="14095" width="7.44140625" style="25" customWidth="1"/>
    <col min="14096" max="14096" width="8.44140625" style="25" customWidth="1"/>
    <col min="14097" max="14097" width="7.109375" style="25" customWidth="1"/>
    <col min="14098" max="14098" width="7.5546875" style="25" customWidth="1"/>
    <col min="14099" max="14099" width="7.88671875" style="25" customWidth="1"/>
    <col min="14100" max="14101" width="6.44140625" style="25" customWidth="1"/>
    <col min="14102" max="14102" width="7.109375" style="25" customWidth="1"/>
    <col min="14103" max="14103" width="7.88671875" style="25" customWidth="1"/>
    <col min="14104" max="14104" width="6.44140625" style="25" customWidth="1"/>
    <col min="14105" max="14105" width="7.109375" style="25" customWidth="1"/>
    <col min="14106" max="14106" width="7.5546875" style="25" customWidth="1"/>
    <col min="14107" max="14107" width="8" style="25" customWidth="1"/>
    <col min="14108" max="14109" width="6.44140625" style="25" customWidth="1"/>
    <col min="14110" max="14110" width="7.109375" style="25" customWidth="1"/>
    <col min="14111" max="14111" width="8.109375" style="25" customWidth="1"/>
    <col min="14112" max="14113" width="10.44140625" style="25" customWidth="1"/>
    <col min="14114" max="14114" width="7.109375" style="25" customWidth="1"/>
    <col min="14115" max="14115" width="8.109375" style="25" customWidth="1"/>
    <col min="14116" max="14117" width="10.44140625" style="25" customWidth="1"/>
    <col min="14118" max="14118" width="7.109375" style="25" customWidth="1"/>
    <col min="14119" max="14119" width="8.109375" style="25" customWidth="1"/>
    <col min="14120" max="14120" width="11.5546875" style="25" customWidth="1"/>
    <col min="14121" max="14343" width="11.5546875" style="25"/>
    <col min="14344" max="14344" width="2" style="25" customWidth="1"/>
    <col min="14345" max="14345" width="18.109375" style="25" customWidth="1"/>
    <col min="14346" max="14346" width="13.5546875" style="25" customWidth="1"/>
    <col min="14347" max="14347" width="52" style="25" customWidth="1"/>
    <col min="14348" max="14349" width="6.5546875" style="25" customWidth="1"/>
    <col min="14350" max="14350" width="7.5546875" style="25" customWidth="1"/>
    <col min="14351" max="14351" width="7.44140625" style="25" customWidth="1"/>
    <col min="14352" max="14352" width="8.44140625" style="25" customWidth="1"/>
    <col min="14353" max="14353" width="7.109375" style="25" customWidth="1"/>
    <col min="14354" max="14354" width="7.5546875" style="25" customWidth="1"/>
    <col min="14355" max="14355" width="7.88671875" style="25" customWidth="1"/>
    <col min="14356" max="14357" width="6.44140625" style="25" customWidth="1"/>
    <col min="14358" max="14358" width="7.109375" style="25" customWidth="1"/>
    <col min="14359" max="14359" width="7.88671875" style="25" customWidth="1"/>
    <col min="14360" max="14360" width="6.44140625" style="25" customWidth="1"/>
    <col min="14361" max="14361" width="7.109375" style="25" customWidth="1"/>
    <col min="14362" max="14362" width="7.5546875" style="25" customWidth="1"/>
    <col min="14363" max="14363" width="8" style="25" customWidth="1"/>
    <col min="14364" max="14365" width="6.44140625" style="25" customWidth="1"/>
    <col min="14366" max="14366" width="7.109375" style="25" customWidth="1"/>
    <col min="14367" max="14367" width="8.109375" style="25" customWidth="1"/>
    <col min="14368" max="14369" width="10.44140625" style="25" customWidth="1"/>
    <col min="14370" max="14370" width="7.109375" style="25" customWidth="1"/>
    <col min="14371" max="14371" width="8.109375" style="25" customWidth="1"/>
    <col min="14372" max="14373" width="10.44140625" style="25" customWidth="1"/>
    <col min="14374" max="14374" width="7.109375" style="25" customWidth="1"/>
    <col min="14375" max="14375" width="8.109375" style="25" customWidth="1"/>
    <col min="14376" max="14376" width="11.5546875" style="25" customWidth="1"/>
    <col min="14377" max="14599" width="11.5546875" style="25"/>
    <col min="14600" max="14600" width="2" style="25" customWidth="1"/>
    <col min="14601" max="14601" width="18.109375" style="25" customWidth="1"/>
    <col min="14602" max="14602" width="13.5546875" style="25" customWidth="1"/>
    <col min="14603" max="14603" width="52" style="25" customWidth="1"/>
    <col min="14604" max="14605" width="6.5546875" style="25" customWidth="1"/>
    <col min="14606" max="14606" width="7.5546875" style="25" customWidth="1"/>
    <col min="14607" max="14607" width="7.44140625" style="25" customWidth="1"/>
    <col min="14608" max="14608" width="8.44140625" style="25" customWidth="1"/>
    <col min="14609" max="14609" width="7.109375" style="25" customWidth="1"/>
    <col min="14610" max="14610" width="7.5546875" style="25" customWidth="1"/>
    <col min="14611" max="14611" width="7.88671875" style="25" customWidth="1"/>
    <col min="14612" max="14613" width="6.44140625" style="25" customWidth="1"/>
    <col min="14614" max="14614" width="7.109375" style="25" customWidth="1"/>
    <col min="14615" max="14615" width="7.88671875" style="25" customWidth="1"/>
    <col min="14616" max="14616" width="6.44140625" style="25" customWidth="1"/>
    <col min="14617" max="14617" width="7.109375" style="25" customWidth="1"/>
    <col min="14618" max="14618" width="7.5546875" style="25" customWidth="1"/>
    <col min="14619" max="14619" width="8" style="25" customWidth="1"/>
    <col min="14620" max="14621" width="6.44140625" style="25" customWidth="1"/>
    <col min="14622" max="14622" width="7.109375" style="25" customWidth="1"/>
    <col min="14623" max="14623" width="8.109375" style="25" customWidth="1"/>
    <col min="14624" max="14625" width="10.44140625" style="25" customWidth="1"/>
    <col min="14626" max="14626" width="7.109375" style="25" customWidth="1"/>
    <col min="14627" max="14627" width="8.109375" style="25" customWidth="1"/>
    <col min="14628" max="14629" width="10.44140625" style="25" customWidth="1"/>
    <col min="14630" max="14630" width="7.109375" style="25" customWidth="1"/>
    <col min="14631" max="14631" width="8.109375" style="25" customWidth="1"/>
    <col min="14632" max="14632" width="11.5546875" style="25" customWidth="1"/>
    <col min="14633" max="14855" width="11.5546875" style="25"/>
    <col min="14856" max="14856" width="2" style="25" customWidth="1"/>
    <col min="14857" max="14857" width="18.109375" style="25" customWidth="1"/>
    <col min="14858" max="14858" width="13.5546875" style="25" customWidth="1"/>
    <col min="14859" max="14859" width="52" style="25" customWidth="1"/>
    <col min="14860" max="14861" width="6.5546875" style="25" customWidth="1"/>
    <col min="14862" max="14862" width="7.5546875" style="25" customWidth="1"/>
    <col min="14863" max="14863" width="7.44140625" style="25" customWidth="1"/>
    <col min="14864" max="14864" width="8.44140625" style="25" customWidth="1"/>
    <col min="14865" max="14865" width="7.109375" style="25" customWidth="1"/>
    <col min="14866" max="14866" width="7.5546875" style="25" customWidth="1"/>
    <col min="14867" max="14867" width="7.88671875" style="25" customWidth="1"/>
    <col min="14868" max="14869" width="6.44140625" style="25" customWidth="1"/>
    <col min="14870" max="14870" width="7.109375" style="25" customWidth="1"/>
    <col min="14871" max="14871" width="7.88671875" style="25" customWidth="1"/>
    <col min="14872" max="14872" width="6.44140625" style="25" customWidth="1"/>
    <col min="14873" max="14873" width="7.109375" style="25" customWidth="1"/>
    <col min="14874" max="14874" width="7.5546875" style="25" customWidth="1"/>
    <col min="14875" max="14875" width="8" style="25" customWidth="1"/>
    <col min="14876" max="14877" width="6.44140625" style="25" customWidth="1"/>
    <col min="14878" max="14878" width="7.109375" style="25" customWidth="1"/>
    <col min="14879" max="14879" width="8.109375" style="25" customWidth="1"/>
    <col min="14880" max="14881" width="10.44140625" style="25" customWidth="1"/>
    <col min="14882" max="14882" width="7.109375" style="25" customWidth="1"/>
    <col min="14883" max="14883" width="8.109375" style="25" customWidth="1"/>
    <col min="14884" max="14885" width="10.44140625" style="25" customWidth="1"/>
    <col min="14886" max="14886" width="7.109375" style="25" customWidth="1"/>
    <col min="14887" max="14887" width="8.109375" style="25" customWidth="1"/>
    <col min="14888" max="14888" width="11.5546875" style="25" customWidth="1"/>
    <col min="14889" max="15111" width="11.5546875" style="25"/>
    <col min="15112" max="15112" width="2" style="25" customWidth="1"/>
    <col min="15113" max="15113" width="18.109375" style="25" customWidth="1"/>
    <col min="15114" max="15114" width="13.5546875" style="25" customWidth="1"/>
    <col min="15115" max="15115" width="52" style="25" customWidth="1"/>
    <col min="15116" max="15117" width="6.5546875" style="25" customWidth="1"/>
    <col min="15118" max="15118" width="7.5546875" style="25" customWidth="1"/>
    <col min="15119" max="15119" width="7.44140625" style="25" customWidth="1"/>
    <col min="15120" max="15120" width="8.44140625" style="25" customWidth="1"/>
    <col min="15121" max="15121" width="7.109375" style="25" customWidth="1"/>
    <col min="15122" max="15122" width="7.5546875" style="25" customWidth="1"/>
    <col min="15123" max="15123" width="7.88671875" style="25" customWidth="1"/>
    <col min="15124" max="15125" width="6.44140625" style="25" customWidth="1"/>
    <col min="15126" max="15126" width="7.109375" style="25" customWidth="1"/>
    <col min="15127" max="15127" width="7.88671875" style="25" customWidth="1"/>
    <col min="15128" max="15128" width="6.44140625" style="25" customWidth="1"/>
    <col min="15129" max="15129" width="7.109375" style="25" customWidth="1"/>
    <col min="15130" max="15130" width="7.5546875" style="25" customWidth="1"/>
    <col min="15131" max="15131" width="8" style="25" customWidth="1"/>
    <col min="15132" max="15133" width="6.44140625" style="25" customWidth="1"/>
    <col min="15134" max="15134" width="7.109375" style="25" customWidth="1"/>
    <col min="15135" max="15135" width="8.109375" style="25" customWidth="1"/>
    <col min="15136" max="15137" width="10.44140625" style="25" customWidth="1"/>
    <col min="15138" max="15138" width="7.109375" style="25" customWidth="1"/>
    <col min="15139" max="15139" width="8.109375" style="25" customWidth="1"/>
    <col min="15140" max="15141" width="10.44140625" style="25" customWidth="1"/>
    <col min="15142" max="15142" width="7.109375" style="25" customWidth="1"/>
    <col min="15143" max="15143" width="8.109375" style="25" customWidth="1"/>
    <col min="15144" max="15144" width="11.5546875" style="25" customWidth="1"/>
    <col min="15145" max="15367" width="11.5546875" style="25"/>
    <col min="15368" max="15368" width="2" style="25" customWidth="1"/>
    <col min="15369" max="15369" width="18.109375" style="25" customWidth="1"/>
    <col min="15370" max="15370" width="13.5546875" style="25" customWidth="1"/>
    <col min="15371" max="15371" width="52" style="25" customWidth="1"/>
    <col min="15372" max="15373" width="6.5546875" style="25" customWidth="1"/>
    <col min="15374" max="15374" width="7.5546875" style="25" customWidth="1"/>
    <col min="15375" max="15375" width="7.44140625" style="25" customWidth="1"/>
    <col min="15376" max="15376" width="8.44140625" style="25" customWidth="1"/>
    <col min="15377" max="15377" width="7.109375" style="25" customWidth="1"/>
    <col min="15378" max="15378" width="7.5546875" style="25" customWidth="1"/>
    <col min="15379" max="15379" width="7.88671875" style="25" customWidth="1"/>
    <col min="15380" max="15381" width="6.44140625" style="25" customWidth="1"/>
    <col min="15382" max="15382" width="7.109375" style="25" customWidth="1"/>
    <col min="15383" max="15383" width="7.88671875" style="25" customWidth="1"/>
    <col min="15384" max="15384" width="6.44140625" style="25" customWidth="1"/>
    <col min="15385" max="15385" width="7.109375" style="25" customWidth="1"/>
    <col min="15386" max="15386" width="7.5546875" style="25" customWidth="1"/>
    <col min="15387" max="15387" width="8" style="25" customWidth="1"/>
    <col min="15388" max="15389" width="6.44140625" style="25" customWidth="1"/>
    <col min="15390" max="15390" width="7.109375" style="25" customWidth="1"/>
    <col min="15391" max="15391" width="8.109375" style="25" customWidth="1"/>
    <col min="15392" max="15393" width="10.44140625" style="25" customWidth="1"/>
    <col min="15394" max="15394" width="7.109375" style="25" customWidth="1"/>
    <col min="15395" max="15395" width="8.109375" style="25" customWidth="1"/>
    <col min="15396" max="15397" width="10.44140625" style="25" customWidth="1"/>
    <col min="15398" max="15398" width="7.109375" style="25" customWidth="1"/>
    <col min="15399" max="15399" width="8.109375" style="25" customWidth="1"/>
    <col min="15400" max="15400" width="11.5546875" style="25" customWidth="1"/>
    <col min="15401" max="15623" width="11.5546875" style="25"/>
    <col min="15624" max="15624" width="2" style="25" customWidth="1"/>
    <col min="15625" max="15625" width="18.109375" style="25" customWidth="1"/>
    <col min="15626" max="15626" width="13.5546875" style="25" customWidth="1"/>
    <col min="15627" max="15627" width="52" style="25" customWidth="1"/>
    <col min="15628" max="15629" width="6.5546875" style="25" customWidth="1"/>
    <col min="15630" max="15630" width="7.5546875" style="25" customWidth="1"/>
    <col min="15631" max="15631" width="7.44140625" style="25" customWidth="1"/>
    <col min="15632" max="15632" width="8.44140625" style="25" customWidth="1"/>
    <col min="15633" max="15633" width="7.109375" style="25" customWidth="1"/>
    <col min="15634" max="15634" width="7.5546875" style="25" customWidth="1"/>
    <col min="15635" max="15635" width="7.88671875" style="25" customWidth="1"/>
    <col min="15636" max="15637" width="6.44140625" style="25" customWidth="1"/>
    <col min="15638" max="15638" width="7.109375" style="25" customWidth="1"/>
    <col min="15639" max="15639" width="7.88671875" style="25" customWidth="1"/>
    <col min="15640" max="15640" width="6.44140625" style="25" customWidth="1"/>
    <col min="15641" max="15641" width="7.109375" style="25" customWidth="1"/>
    <col min="15642" max="15642" width="7.5546875" style="25" customWidth="1"/>
    <col min="15643" max="15643" width="8" style="25" customWidth="1"/>
    <col min="15644" max="15645" width="6.44140625" style="25" customWidth="1"/>
    <col min="15646" max="15646" width="7.109375" style="25" customWidth="1"/>
    <col min="15647" max="15647" width="8.109375" style="25" customWidth="1"/>
    <col min="15648" max="15649" width="10.44140625" style="25" customWidth="1"/>
    <col min="15650" max="15650" width="7.109375" style="25" customWidth="1"/>
    <col min="15651" max="15651" width="8.109375" style="25" customWidth="1"/>
    <col min="15652" max="15653" width="10.44140625" style="25" customWidth="1"/>
    <col min="15654" max="15654" width="7.109375" style="25" customWidth="1"/>
    <col min="15655" max="15655" width="8.109375" style="25" customWidth="1"/>
    <col min="15656" max="15656" width="11.5546875" style="25" customWidth="1"/>
    <col min="15657" max="15879" width="11.5546875" style="25"/>
    <col min="15880" max="15880" width="2" style="25" customWidth="1"/>
    <col min="15881" max="15881" width="18.109375" style="25" customWidth="1"/>
    <col min="15882" max="15882" width="13.5546875" style="25" customWidth="1"/>
    <col min="15883" max="15883" width="52" style="25" customWidth="1"/>
    <col min="15884" max="15885" width="6.5546875" style="25" customWidth="1"/>
    <col min="15886" max="15886" width="7.5546875" style="25" customWidth="1"/>
    <col min="15887" max="15887" width="7.44140625" style="25" customWidth="1"/>
    <col min="15888" max="15888" width="8.44140625" style="25" customWidth="1"/>
    <col min="15889" max="15889" width="7.109375" style="25" customWidth="1"/>
    <col min="15890" max="15890" width="7.5546875" style="25" customWidth="1"/>
    <col min="15891" max="15891" width="7.88671875" style="25" customWidth="1"/>
    <col min="15892" max="15893" width="6.44140625" style="25" customWidth="1"/>
    <col min="15894" max="15894" width="7.109375" style="25" customWidth="1"/>
    <col min="15895" max="15895" width="7.88671875" style="25" customWidth="1"/>
    <col min="15896" max="15896" width="6.44140625" style="25" customWidth="1"/>
    <col min="15897" max="15897" width="7.109375" style="25" customWidth="1"/>
    <col min="15898" max="15898" width="7.5546875" style="25" customWidth="1"/>
    <col min="15899" max="15899" width="8" style="25" customWidth="1"/>
    <col min="15900" max="15901" width="6.44140625" style="25" customWidth="1"/>
    <col min="15902" max="15902" width="7.109375" style="25" customWidth="1"/>
    <col min="15903" max="15903" width="8.109375" style="25" customWidth="1"/>
    <col min="15904" max="15905" width="10.44140625" style="25" customWidth="1"/>
    <col min="15906" max="15906" width="7.109375" style="25" customWidth="1"/>
    <col min="15907" max="15907" width="8.109375" style="25" customWidth="1"/>
    <col min="15908" max="15909" width="10.44140625" style="25" customWidth="1"/>
    <col min="15910" max="15910" width="7.109375" style="25" customWidth="1"/>
    <col min="15911" max="15911" width="8.109375" style="25" customWidth="1"/>
    <col min="15912" max="15912" width="11.5546875" style="25" customWidth="1"/>
    <col min="15913" max="16135" width="11.5546875" style="25"/>
    <col min="16136" max="16136" width="2" style="25" customWidth="1"/>
    <col min="16137" max="16137" width="18.109375" style="25" customWidth="1"/>
    <col min="16138" max="16138" width="13.5546875" style="25" customWidth="1"/>
    <col min="16139" max="16139" width="52" style="25" customWidth="1"/>
    <col min="16140" max="16141" width="6.5546875" style="25" customWidth="1"/>
    <col min="16142" max="16142" width="7.5546875" style="25" customWidth="1"/>
    <col min="16143" max="16143" width="7.44140625" style="25" customWidth="1"/>
    <col min="16144" max="16144" width="8.44140625" style="25" customWidth="1"/>
    <col min="16145" max="16145" width="7.109375" style="25" customWidth="1"/>
    <col min="16146" max="16146" width="7.5546875" style="25" customWidth="1"/>
    <col min="16147" max="16147" width="7.88671875" style="25" customWidth="1"/>
    <col min="16148" max="16149" width="6.44140625" style="25" customWidth="1"/>
    <col min="16150" max="16150" width="7.109375" style="25" customWidth="1"/>
    <col min="16151" max="16151" width="7.88671875" style="25" customWidth="1"/>
    <col min="16152" max="16152" width="6.44140625" style="25" customWidth="1"/>
    <col min="16153" max="16153" width="7.109375" style="25" customWidth="1"/>
    <col min="16154" max="16154" width="7.5546875" style="25" customWidth="1"/>
    <col min="16155" max="16155" width="8" style="25" customWidth="1"/>
    <col min="16156" max="16157" width="6.44140625" style="25" customWidth="1"/>
    <col min="16158" max="16158" width="7.109375" style="25" customWidth="1"/>
    <col min="16159" max="16159" width="8.109375" style="25" customWidth="1"/>
    <col min="16160" max="16161" width="10.44140625" style="25" customWidth="1"/>
    <col min="16162" max="16162" width="7.109375" style="25" customWidth="1"/>
    <col min="16163" max="16163" width="8.109375" style="25" customWidth="1"/>
    <col min="16164" max="16165" width="10.44140625" style="25" customWidth="1"/>
    <col min="16166" max="16166" width="7.109375" style="25" customWidth="1"/>
    <col min="16167" max="16167" width="8.109375" style="25" customWidth="1"/>
    <col min="16168" max="16168" width="11.5546875" style="25" customWidth="1"/>
    <col min="16169" max="16381" width="11.5546875" style="25"/>
    <col min="16382" max="16384" width="10.88671875" style="25" customWidth="1"/>
  </cols>
  <sheetData>
    <row r="1" spans="2:99" ht="21" x14ac:dyDescent="0.25">
      <c r="B1" s="161" t="s">
        <v>1533</v>
      </c>
      <c r="D1" s="1252"/>
      <c r="E1" s="1252"/>
      <c r="F1" s="1252"/>
      <c r="G1" s="1252"/>
      <c r="H1" s="1252"/>
      <c r="I1" s="1252"/>
      <c r="J1" s="1252"/>
      <c r="K1" s="1252"/>
      <c r="L1" s="1252"/>
      <c r="M1" s="1252"/>
      <c r="N1" s="1252"/>
      <c r="O1" s="1252"/>
      <c r="P1" s="1252"/>
      <c r="Q1" s="1252"/>
      <c r="R1" s="1252"/>
      <c r="S1" s="1252"/>
      <c r="T1" s="1252"/>
      <c r="U1" s="1252"/>
      <c r="V1" s="1252"/>
      <c r="W1" s="1252"/>
      <c r="X1" s="1252"/>
      <c r="Y1" s="1252"/>
      <c r="Z1" s="1252"/>
      <c r="AA1" s="1252"/>
      <c r="AB1" s="1252"/>
      <c r="AC1" s="1252"/>
      <c r="AD1" s="1252"/>
      <c r="AE1" s="1252"/>
      <c r="AF1" s="1252"/>
      <c r="AG1" s="1252"/>
      <c r="AH1" s="1252"/>
      <c r="AI1" s="1252"/>
      <c r="AJ1" s="1252"/>
      <c r="AK1" s="1252"/>
      <c r="AL1" s="1252"/>
      <c r="AM1" s="1252"/>
      <c r="AN1" s="1252"/>
      <c r="AO1" s="1252"/>
      <c r="AP1" s="1252"/>
      <c r="AQ1" s="1252"/>
      <c r="AR1" s="1252"/>
      <c r="AS1" s="1252"/>
      <c r="AT1" s="1252"/>
      <c r="AU1" s="1252"/>
    </row>
    <row r="2" spans="2:99" ht="15.75" customHeight="1" x14ac:dyDescent="0.25">
      <c r="B2" s="1253"/>
      <c r="C2" s="1253"/>
      <c r="D2" s="1253"/>
      <c r="E2" s="1253"/>
      <c r="F2" s="1253"/>
      <c r="G2" s="1253"/>
      <c r="H2" s="1253"/>
      <c r="I2" s="1253"/>
      <c r="J2" s="1253"/>
      <c r="K2" s="1253"/>
      <c r="L2" s="1253"/>
      <c r="M2" s="1253"/>
      <c r="N2" s="1253"/>
      <c r="O2" s="1253"/>
      <c r="P2" s="1253"/>
      <c r="Q2" s="1253"/>
      <c r="R2" s="1253"/>
      <c r="S2" s="1253"/>
      <c r="T2" s="1253"/>
      <c r="U2" s="1253"/>
      <c r="V2" s="1253"/>
      <c r="W2" s="1254"/>
      <c r="X2" s="1253"/>
      <c r="Y2" s="1253"/>
      <c r="Z2" s="1253"/>
      <c r="AA2" s="1254"/>
      <c r="AB2" s="1253"/>
      <c r="AC2" s="1253"/>
      <c r="AD2" s="1253"/>
      <c r="AE2" s="1254"/>
      <c r="AF2" s="1253"/>
      <c r="AG2" s="1253"/>
      <c r="AH2" s="1253"/>
      <c r="AI2" s="1254"/>
      <c r="AJ2" s="1253"/>
      <c r="AK2" s="1253"/>
      <c r="AL2" s="1253"/>
      <c r="AM2" s="1254"/>
      <c r="AN2" s="1253"/>
      <c r="AO2" s="1253"/>
      <c r="AP2" s="1253"/>
      <c r="AQ2" s="1254"/>
      <c r="AR2" s="1253"/>
      <c r="AS2" s="1253"/>
      <c r="AT2" s="1253"/>
      <c r="AU2" s="1254"/>
    </row>
    <row r="3" spans="2:99" ht="12.75" customHeight="1" x14ac:dyDescent="0.25">
      <c r="B3" s="5727" t="s">
        <v>307</v>
      </c>
      <c r="C3" s="5733" t="s">
        <v>45</v>
      </c>
      <c r="D3" s="5724">
        <v>1999</v>
      </c>
      <c r="E3" s="5725"/>
      <c r="F3" s="5725"/>
      <c r="G3" s="5726"/>
      <c r="H3" s="5724">
        <v>2000</v>
      </c>
      <c r="I3" s="5725"/>
      <c r="J3" s="5725"/>
      <c r="K3" s="5726"/>
      <c r="L3" s="5724">
        <v>2001</v>
      </c>
      <c r="M3" s="5725"/>
      <c r="N3" s="5725"/>
      <c r="O3" s="5726"/>
      <c r="P3" s="5724">
        <v>2002</v>
      </c>
      <c r="Q3" s="5725"/>
      <c r="R3" s="5725"/>
      <c r="S3" s="5726"/>
      <c r="T3" s="5724">
        <v>2003</v>
      </c>
      <c r="U3" s="5725"/>
      <c r="V3" s="5725"/>
      <c r="W3" s="5726"/>
      <c r="X3" s="5724">
        <v>2004</v>
      </c>
      <c r="Y3" s="5725"/>
      <c r="Z3" s="5725"/>
      <c r="AA3" s="5726"/>
      <c r="AB3" s="5724">
        <v>2005</v>
      </c>
      <c r="AC3" s="5725"/>
      <c r="AD3" s="5725"/>
      <c r="AE3" s="5726"/>
      <c r="AF3" s="5724">
        <v>2006</v>
      </c>
      <c r="AG3" s="5725"/>
      <c r="AH3" s="5725"/>
      <c r="AI3" s="5726"/>
      <c r="AJ3" s="5724">
        <v>2007</v>
      </c>
      <c r="AK3" s="5725"/>
      <c r="AL3" s="5725"/>
      <c r="AM3" s="5726"/>
      <c r="AN3" s="5724">
        <v>2008</v>
      </c>
      <c r="AO3" s="5725"/>
      <c r="AP3" s="5725"/>
      <c r="AQ3" s="5726"/>
      <c r="AR3" s="5724">
        <v>2009</v>
      </c>
      <c r="AS3" s="5725"/>
      <c r="AT3" s="5725"/>
      <c r="AU3" s="5726"/>
      <c r="AV3" s="5724">
        <v>2010</v>
      </c>
      <c r="AW3" s="5725"/>
      <c r="AX3" s="5725"/>
      <c r="AY3" s="5726"/>
      <c r="AZ3" s="5724">
        <v>2011</v>
      </c>
      <c r="BA3" s="5725"/>
      <c r="BB3" s="5725"/>
      <c r="BC3" s="5726"/>
      <c r="BD3" s="5724">
        <v>2012</v>
      </c>
      <c r="BE3" s="5725"/>
      <c r="BF3" s="5725"/>
      <c r="BG3" s="5726"/>
      <c r="BH3" s="5724">
        <v>2013</v>
      </c>
      <c r="BI3" s="5725"/>
      <c r="BJ3" s="5725"/>
      <c r="BK3" s="5726"/>
      <c r="BL3" s="5724">
        <v>2014</v>
      </c>
      <c r="BM3" s="5725"/>
      <c r="BN3" s="5725"/>
      <c r="BO3" s="5726"/>
      <c r="BP3" s="5724">
        <v>2015</v>
      </c>
      <c r="BQ3" s="5725"/>
      <c r="BR3" s="5725"/>
      <c r="BS3" s="5726"/>
      <c r="BT3" s="5724">
        <v>2016</v>
      </c>
      <c r="BU3" s="5725"/>
      <c r="BV3" s="5725"/>
      <c r="BW3" s="5726"/>
      <c r="BX3" s="5724">
        <v>2017</v>
      </c>
      <c r="BY3" s="5725"/>
      <c r="BZ3" s="5725"/>
      <c r="CA3" s="5726"/>
      <c r="CB3" s="5724">
        <v>2018</v>
      </c>
      <c r="CC3" s="5725"/>
      <c r="CD3" s="5725"/>
      <c r="CE3" s="5726"/>
      <c r="CF3" s="5724">
        <v>2019</v>
      </c>
      <c r="CG3" s="5725"/>
      <c r="CH3" s="5725"/>
      <c r="CI3" s="5726"/>
      <c r="CJ3" s="5724">
        <v>2020</v>
      </c>
      <c r="CK3" s="5725"/>
      <c r="CL3" s="5725"/>
      <c r="CM3" s="5726"/>
      <c r="CN3" s="5724">
        <v>2021</v>
      </c>
      <c r="CO3" s="5725"/>
      <c r="CP3" s="5725"/>
      <c r="CQ3" s="5726"/>
      <c r="CR3" s="5724">
        <v>2022</v>
      </c>
      <c r="CS3" s="5725"/>
      <c r="CT3" s="5725"/>
      <c r="CU3" s="5726"/>
    </row>
    <row r="4" spans="2:99" ht="14.4" x14ac:dyDescent="0.25">
      <c r="B4" s="5728"/>
      <c r="C4" s="5727"/>
      <c r="D4" s="136" t="s">
        <v>1529</v>
      </c>
      <c r="E4" s="411" t="s">
        <v>1530</v>
      </c>
      <c r="F4" s="412" t="s">
        <v>1531</v>
      </c>
      <c r="G4" s="1255" t="s">
        <v>48</v>
      </c>
      <c r="H4" s="4973" t="s">
        <v>1529</v>
      </c>
      <c r="I4" s="411" t="s">
        <v>1530</v>
      </c>
      <c r="J4" s="4974" t="s">
        <v>1531</v>
      </c>
      <c r="K4" s="1255" t="s">
        <v>48</v>
      </c>
      <c r="L4" s="4973" t="s">
        <v>1529</v>
      </c>
      <c r="M4" s="411" t="s">
        <v>1530</v>
      </c>
      <c r="N4" s="4974" t="s">
        <v>1531</v>
      </c>
      <c r="O4" s="1255" t="s">
        <v>48</v>
      </c>
      <c r="P4" s="4973" t="s">
        <v>1529</v>
      </c>
      <c r="Q4" s="411" t="s">
        <v>1530</v>
      </c>
      <c r="R4" s="4974" t="s">
        <v>1531</v>
      </c>
      <c r="S4" s="1255" t="s">
        <v>48</v>
      </c>
      <c r="T4" s="4973" t="s">
        <v>1529</v>
      </c>
      <c r="U4" s="411" t="s">
        <v>1530</v>
      </c>
      <c r="V4" s="4974" t="s">
        <v>1531</v>
      </c>
      <c r="W4" s="1255" t="s">
        <v>48</v>
      </c>
      <c r="X4" s="4973" t="s">
        <v>1529</v>
      </c>
      <c r="Y4" s="411" t="s">
        <v>1530</v>
      </c>
      <c r="Z4" s="4974" t="s">
        <v>1531</v>
      </c>
      <c r="AA4" s="1255" t="s">
        <v>48</v>
      </c>
      <c r="AB4" s="4973" t="s">
        <v>1529</v>
      </c>
      <c r="AC4" s="411" t="s">
        <v>1530</v>
      </c>
      <c r="AD4" s="4974" t="s">
        <v>1531</v>
      </c>
      <c r="AE4" s="1255" t="s">
        <v>48</v>
      </c>
      <c r="AF4" s="4973" t="s">
        <v>1529</v>
      </c>
      <c r="AG4" s="411" t="s">
        <v>1530</v>
      </c>
      <c r="AH4" s="4974" t="s">
        <v>1531</v>
      </c>
      <c r="AI4" s="1255" t="s">
        <v>48</v>
      </c>
      <c r="AJ4" s="4973" t="s">
        <v>1529</v>
      </c>
      <c r="AK4" s="411" t="s">
        <v>1530</v>
      </c>
      <c r="AL4" s="4974" t="s">
        <v>1531</v>
      </c>
      <c r="AM4" s="1255" t="s">
        <v>48</v>
      </c>
      <c r="AN4" s="4973" t="s">
        <v>1529</v>
      </c>
      <c r="AO4" s="411" t="s">
        <v>1530</v>
      </c>
      <c r="AP4" s="4974" t="s">
        <v>1531</v>
      </c>
      <c r="AQ4" s="1255" t="s">
        <v>48</v>
      </c>
      <c r="AR4" s="4973" t="s">
        <v>1529</v>
      </c>
      <c r="AS4" s="411" t="s">
        <v>1530</v>
      </c>
      <c r="AT4" s="4974" t="s">
        <v>1531</v>
      </c>
      <c r="AU4" s="1255" t="s">
        <v>48</v>
      </c>
      <c r="AV4" s="4973" t="s">
        <v>1529</v>
      </c>
      <c r="AW4" s="411" t="s">
        <v>1530</v>
      </c>
      <c r="AX4" s="4974" t="s">
        <v>1531</v>
      </c>
      <c r="AY4" s="1255" t="s">
        <v>48</v>
      </c>
      <c r="AZ4" s="4973" t="s">
        <v>1529</v>
      </c>
      <c r="BA4" s="411" t="s">
        <v>1530</v>
      </c>
      <c r="BB4" s="4974" t="s">
        <v>1531</v>
      </c>
      <c r="BC4" s="1255" t="s">
        <v>48</v>
      </c>
      <c r="BD4" s="4973" t="s">
        <v>1529</v>
      </c>
      <c r="BE4" s="411" t="s">
        <v>1530</v>
      </c>
      <c r="BF4" s="4974" t="s">
        <v>1531</v>
      </c>
      <c r="BG4" s="1255" t="s">
        <v>48</v>
      </c>
      <c r="BH4" s="4973" t="s">
        <v>1529</v>
      </c>
      <c r="BI4" s="411" t="s">
        <v>1530</v>
      </c>
      <c r="BJ4" s="4974" t="s">
        <v>1531</v>
      </c>
      <c r="BK4" s="1255" t="s">
        <v>48</v>
      </c>
      <c r="BL4" s="4973" t="s">
        <v>1529</v>
      </c>
      <c r="BM4" s="411" t="s">
        <v>1530</v>
      </c>
      <c r="BN4" s="4974" t="s">
        <v>1531</v>
      </c>
      <c r="BO4" s="1255" t="s">
        <v>48</v>
      </c>
      <c r="BP4" s="4973" t="s">
        <v>1529</v>
      </c>
      <c r="BQ4" s="411" t="s">
        <v>1530</v>
      </c>
      <c r="BR4" s="4974" t="s">
        <v>1531</v>
      </c>
      <c r="BS4" s="1255" t="s">
        <v>48</v>
      </c>
      <c r="BT4" s="4973" t="s">
        <v>1529</v>
      </c>
      <c r="BU4" s="411" t="s">
        <v>1530</v>
      </c>
      <c r="BV4" s="4974" t="s">
        <v>1531</v>
      </c>
      <c r="BW4" s="1255" t="s">
        <v>48</v>
      </c>
      <c r="BX4" s="4973" t="s">
        <v>1529</v>
      </c>
      <c r="BY4" s="411" t="s">
        <v>1530</v>
      </c>
      <c r="BZ4" s="4974" t="s">
        <v>1531</v>
      </c>
      <c r="CA4" s="1255" t="s">
        <v>48</v>
      </c>
      <c r="CB4" s="4973" t="s">
        <v>1529</v>
      </c>
      <c r="CC4" s="411" t="s">
        <v>1530</v>
      </c>
      <c r="CD4" s="4974" t="s">
        <v>1531</v>
      </c>
      <c r="CE4" s="1255" t="s">
        <v>48</v>
      </c>
      <c r="CF4" s="4973" t="s">
        <v>1529</v>
      </c>
      <c r="CG4" s="411" t="s">
        <v>1530</v>
      </c>
      <c r="CH4" s="4974" t="s">
        <v>1531</v>
      </c>
      <c r="CI4" s="1255" t="s">
        <v>48</v>
      </c>
      <c r="CJ4" s="4973" t="s">
        <v>1529</v>
      </c>
      <c r="CK4" s="411" t="s">
        <v>1530</v>
      </c>
      <c r="CL4" s="4974" t="s">
        <v>1531</v>
      </c>
      <c r="CM4" s="1255" t="s">
        <v>48</v>
      </c>
      <c r="CN4" s="4973" t="s">
        <v>1529</v>
      </c>
      <c r="CO4" s="411" t="s">
        <v>1530</v>
      </c>
      <c r="CP4" s="4974" t="s">
        <v>1531</v>
      </c>
      <c r="CQ4" s="1255" t="s">
        <v>48</v>
      </c>
      <c r="CR4" s="4973" t="s">
        <v>1529</v>
      </c>
      <c r="CS4" s="411" t="s">
        <v>1530</v>
      </c>
      <c r="CT4" s="4974" t="s">
        <v>1531</v>
      </c>
      <c r="CU4" s="1255" t="s">
        <v>48</v>
      </c>
    </row>
    <row r="5" spans="2:99" ht="15" customHeight="1" x14ac:dyDescent="0.3">
      <c r="B5" s="1256" t="s">
        <v>308</v>
      </c>
      <c r="C5" s="1257" t="s">
        <v>309</v>
      </c>
      <c r="D5" s="1258">
        <v>22</v>
      </c>
      <c r="E5" s="1259"/>
      <c r="F5" s="1259">
        <v>12</v>
      </c>
      <c r="G5" s="1260">
        <v>34</v>
      </c>
      <c r="H5" s="1258">
        <v>26</v>
      </c>
      <c r="I5" s="1259"/>
      <c r="J5" s="1259">
        <v>19</v>
      </c>
      <c r="K5" s="1260">
        <v>45</v>
      </c>
      <c r="L5" s="1258"/>
      <c r="M5" s="1259">
        <v>5</v>
      </c>
      <c r="N5" s="1259">
        <v>10</v>
      </c>
      <c r="O5" s="1260">
        <v>15</v>
      </c>
      <c r="P5" s="1258">
        <v>3</v>
      </c>
      <c r="Q5" s="1259"/>
      <c r="R5" s="1259"/>
      <c r="S5" s="1260">
        <v>3</v>
      </c>
      <c r="T5" s="1258"/>
      <c r="U5" s="1259"/>
      <c r="V5" s="1259"/>
      <c r="W5" s="1260"/>
      <c r="X5" s="1259"/>
      <c r="Y5" s="1259"/>
      <c r="Z5" s="1259"/>
      <c r="AA5" s="1260"/>
      <c r="AB5" s="1259"/>
      <c r="AC5" s="1259"/>
      <c r="AD5" s="1259"/>
      <c r="AE5" s="1260"/>
      <c r="AF5" s="1259"/>
      <c r="AG5" s="1259"/>
      <c r="AH5" s="1259"/>
      <c r="AI5" s="1260"/>
      <c r="AJ5" s="1259"/>
      <c r="AK5" s="1259"/>
      <c r="AL5" s="1259"/>
      <c r="AM5" s="1260"/>
      <c r="AN5" s="1259"/>
      <c r="AO5" s="1259"/>
      <c r="AP5" s="1259"/>
      <c r="AQ5" s="1260"/>
      <c r="AR5" s="1259"/>
      <c r="AS5" s="1259"/>
      <c r="AT5" s="1259"/>
      <c r="AU5" s="1260"/>
      <c r="AV5" s="1259"/>
      <c r="AW5" s="1259"/>
      <c r="AX5" s="1259"/>
      <c r="AY5" s="1260"/>
      <c r="AZ5" s="1259"/>
      <c r="BA5" s="1259"/>
      <c r="BB5" s="1259"/>
      <c r="BC5" s="1260"/>
      <c r="BD5" s="1259"/>
      <c r="BE5" s="1259"/>
      <c r="BF5" s="1259"/>
      <c r="BG5" s="1260"/>
      <c r="BH5" s="1259"/>
      <c r="BI5" s="1259"/>
      <c r="BJ5" s="1259"/>
      <c r="BK5" s="1260"/>
      <c r="BL5" s="1259"/>
      <c r="BM5" s="1259"/>
      <c r="BN5" s="1259"/>
      <c r="BO5" s="1260">
        <f>SUM(BL5:BN5)</f>
        <v>0</v>
      </c>
      <c r="BP5" s="1259"/>
      <c r="BQ5" s="1259"/>
      <c r="BR5" s="1259"/>
      <c r="BS5" s="1260">
        <f>SUM(BP5:BR5)</f>
        <v>0</v>
      </c>
      <c r="BT5" s="1259"/>
      <c r="BU5" s="1259"/>
      <c r="BV5" s="1259"/>
      <c r="BW5" s="1260">
        <f>SUM(BT5:BV5)</f>
        <v>0</v>
      </c>
      <c r="BX5" s="1259"/>
      <c r="BY5" s="1259"/>
      <c r="BZ5" s="1259"/>
      <c r="CA5" s="1260">
        <f>SUM(BX5:BZ5)</f>
        <v>0</v>
      </c>
      <c r="CB5" s="1259"/>
      <c r="CC5" s="1259"/>
      <c r="CD5" s="1259"/>
      <c r="CE5" s="1260">
        <f>SUM(CB5:CD5)</f>
        <v>0</v>
      </c>
      <c r="CF5" s="1259"/>
      <c r="CG5" s="1259"/>
      <c r="CH5" s="1259"/>
      <c r="CI5" s="1260">
        <f>SUM(CF5:CH5)</f>
        <v>0</v>
      </c>
      <c r="CJ5" s="1259"/>
      <c r="CK5" s="1259"/>
      <c r="CL5" s="1259"/>
      <c r="CM5" s="1260">
        <f>SUM(CJ5:CL5)</f>
        <v>0</v>
      </c>
      <c r="CN5" s="1259"/>
      <c r="CO5" s="1259"/>
      <c r="CP5" s="1259"/>
      <c r="CQ5" s="1260">
        <f>SUM(CN5:CP5)</f>
        <v>0</v>
      </c>
      <c r="CR5" s="1259"/>
      <c r="CS5" s="1259"/>
      <c r="CT5" s="1259"/>
      <c r="CU5" s="1260">
        <f>SUM(CR5:CT5)</f>
        <v>0</v>
      </c>
    </row>
    <row r="6" spans="2:99" ht="14.4" x14ac:dyDescent="0.3">
      <c r="B6" s="5837" t="s">
        <v>310</v>
      </c>
      <c r="C6" s="4402" t="s">
        <v>311</v>
      </c>
      <c r="D6" s="4403">
        <v>19</v>
      </c>
      <c r="E6" s="4404"/>
      <c r="F6" s="4404">
        <v>6</v>
      </c>
      <c r="G6" s="4405">
        <v>25</v>
      </c>
      <c r="H6" s="4403">
        <v>24</v>
      </c>
      <c r="I6" s="4404"/>
      <c r="J6" s="4404">
        <v>23</v>
      </c>
      <c r="K6" s="4405">
        <v>47</v>
      </c>
      <c r="L6" s="4403">
        <v>1</v>
      </c>
      <c r="M6" s="4404">
        <v>5</v>
      </c>
      <c r="N6" s="4404">
        <v>14</v>
      </c>
      <c r="O6" s="4405">
        <v>20</v>
      </c>
      <c r="P6" s="4403">
        <v>5</v>
      </c>
      <c r="Q6" s="4404"/>
      <c r="R6" s="4404">
        <v>8</v>
      </c>
      <c r="S6" s="4405">
        <v>13</v>
      </c>
      <c r="T6" s="4403">
        <v>15</v>
      </c>
      <c r="U6" s="4404"/>
      <c r="V6" s="4404">
        <v>7</v>
      </c>
      <c r="W6" s="4405">
        <f>SUM(T6:V6)</f>
        <v>22</v>
      </c>
      <c r="X6" s="4404">
        <v>7</v>
      </c>
      <c r="Y6" s="4404">
        <v>5</v>
      </c>
      <c r="Z6" s="4404">
        <v>15</v>
      </c>
      <c r="AA6" s="4405">
        <f>SUM(X6:Z6)</f>
        <v>27</v>
      </c>
      <c r="AB6" s="4404">
        <v>9</v>
      </c>
      <c r="AC6" s="4404"/>
      <c r="AD6" s="4404">
        <v>15</v>
      </c>
      <c r="AE6" s="4405">
        <f>SUM(AB6:AD6)</f>
        <v>24</v>
      </c>
      <c r="AF6" s="4404">
        <v>14</v>
      </c>
      <c r="AG6" s="4404"/>
      <c r="AH6" s="4404">
        <v>12</v>
      </c>
      <c r="AI6" s="4405">
        <f>SUM(AF6:AH6)</f>
        <v>26</v>
      </c>
      <c r="AJ6" s="4404">
        <v>2</v>
      </c>
      <c r="AK6" s="4404">
        <v>6</v>
      </c>
      <c r="AL6" s="4404">
        <v>1</v>
      </c>
      <c r="AM6" s="4405">
        <f>SUM(AJ6:AL6)</f>
        <v>9</v>
      </c>
      <c r="AN6" s="4404">
        <v>2</v>
      </c>
      <c r="AO6" s="4404"/>
      <c r="AP6" s="4404">
        <v>21</v>
      </c>
      <c r="AQ6" s="4405">
        <f>SUM(AN6:AP6)</f>
        <v>23</v>
      </c>
      <c r="AR6" s="4404">
        <v>9</v>
      </c>
      <c r="AS6" s="4404" t="s">
        <v>122</v>
      </c>
      <c r="AT6" s="4404">
        <v>19</v>
      </c>
      <c r="AU6" s="4405">
        <f>SUM(AR6:AT6)</f>
        <v>28</v>
      </c>
      <c r="AV6" s="4404">
        <v>9</v>
      </c>
      <c r="AW6" s="4404"/>
      <c r="AX6" s="4404">
        <v>7</v>
      </c>
      <c r="AY6" s="4405">
        <f>AV6+AW6+AX6</f>
        <v>16</v>
      </c>
      <c r="AZ6" s="4404">
        <v>3</v>
      </c>
      <c r="BA6" s="4404"/>
      <c r="BB6" s="4404">
        <v>10</v>
      </c>
      <c r="BC6" s="4405">
        <f>AZ6+BA6+BB6</f>
        <v>13</v>
      </c>
      <c r="BD6" s="4404">
        <v>8</v>
      </c>
      <c r="BE6" s="4404"/>
      <c r="BF6" s="4404">
        <v>11</v>
      </c>
      <c r="BG6" s="4405">
        <f>BD6+BE6+BF6</f>
        <v>19</v>
      </c>
      <c r="BH6" s="4404">
        <v>11</v>
      </c>
      <c r="BI6" s="4404"/>
      <c r="BJ6" s="4404">
        <v>22</v>
      </c>
      <c r="BK6" s="4405">
        <f>BH6+BI6+BJ6</f>
        <v>33</v>
      </c>
      <c r="BL6" s="4404">
        <v>15</v>
      </c>
      <c r="BM6" s="4404"/>
      <c r="BN6" s="4404">
        <v>27</v>
      </c>
      <c r="BO6" s="4405">
        <f>BL6+BM6+BN6</f>
        <v>42</v>
      </c>
      <c r="BP6" s="4404">
        <v>7</v>
      </c>
      <c r="BQ6" s="4404"/>
      <c r="BR6" s="4404">
        <v>18</v>
      </c>
      <c r="BS6" s="4405">
        <f>BP6+BQ6+BR6</f>
        <v>25</v>
      </c>
      <c r="BT6" s="4404">
        <v>9</v>
      </c>
      <c r="BU6" s="4404"/>
      <c r="BV6" s="4404">
        <v>23</v>
      </c>
      <c r="BW6" s="4405">
        <f>BT6+BU6+BV6</f>
        <v>32</v>
      </c>
      <c r="BX6" s="4404">
        <v>5</v>
      </c>
      <c r="BY6" s="4404"/>
      <c r="BZ6" s="4404">
        <v>23</v>
      </c>
      <c r="CA6" s="4405">
        <f>BX6+BY6+BZ6</f>
        <v>28</v>
      </c>
      <c r="CB6" s="4404">
        <v>3</v>
      </c>
      <c r="CC6" s="4404"/>
      <c r="CD6" s="4404">
        <v>17</v>
      </c>
      <c r="CE6" s="4405">
        <f>CB6+CC6+CD6</f>
        <v>20</v>
      </c>
      <c r="CF6" s="4404">
        <v>9</v>
      </c>
      <c r="CG6" s="4404">
        <v>7</v>
      </c>
      <c r="CH6" s="4404">
        <v>8</v>
      </c>
      <c r="CI6" s="4405">
        <f>CF6+CG6+CH6</f>
        <v>24</v>
      </c>
      <c r="CJ6" s="4404">
        <v>4</v>
      </c>
      <c r="CK6" s="4404">
        <v>9</v>
      </c>
      <c r="CL6" s="4404">
        <v>2</v>
      </c>
      <c r="CM6" s="4405">
        <f>CJ6+CK6+CL6</f>
        <v>15</v>
      </c>
      <c r="CN6" s="4404"/>
      <c r="CO6" s="4404">
        <v>7</v>
      </c>
      <c r="CP6" s="4404"/>
      <c r="CQ6" s="4405">
        <f>CN6+CO6+CP6</f>
        <v>7</v>
      </c>
      <c r="CR6" s="4404"/>
      <c r="CS6" s="4404">
        <v>7</v>
      </c>
      <c r="CT6" s="4404">
        <v>10</v>
      </c>
      <c r="CU6" s="4405">
        <f>CR6+CS6+CT6</f>
        <v>17</v>
      </c>
    </row>
    <row r="7" spans="2:99" ht="14.4" x14ac:dyDescent="0.3">
      <c r="B7" s="5838"/>
      <c r="C7" s="4406" t="s">
        <v>312</v>
      </c>
      <c r="D7" s="4403"/>
      <c r="E7" s="4404"/>
      <c r="F7" s="4404"/>
      <c r="G7" s="4405"/>
      <c r="H7" s="4403"/>
      <c r="I7" s="4404"/>
      <c r="J7" s="4404"/>
      <c r="K7" s="4405"/>
      <c r="L7" s="4403"/>
      <c r="M7" s="4404"/>
      <c r="N7" s="4404">
        <v>8</v>
      </c>
      <c r="O7" s="4405">
        <v>8</v>
      </c>
      <c r="P7" s="4403"/>
      <c r="Q7" s="4404"/>
      <c r="R7" s="4404">
        <v>7</v>
      </c>
      <c r="S7" s="4405">
        <v>7</v>
      </c>
      <c r="T7" s="4403"/>
      <c r="U7" s="4404"/>
      <c r="V7" s="4404">
        <v>4</v>
      </c>
      <c r="W7" s="4405">
        <f>SUM(T7:V7)</f>
        <v>4</v>
      </c>
      <c r="X7" s="4404"/>
      <c r="Y7" s="4404"/>
      <c r="Z7" s="4404">
        <v>9</v>
      </c>
      <c r="AA7" s="4405">
        <f>SUM(X7:Z7)</f>
        <v>9</v>
      </c>
      <c r="AB7" s="4404"/>
      <c r="AC7" s="4404"/>
      <c r="AD7" s="4404">
        <v>10</v>
      </c>
      <c r="AE7" s="4405">
        <f>SUM(AB7:AD7)</f>
        <v>10</v>
      </c>
      <c r="AF7" s="4404"/>
      <c r="AG7" s="4404"/>
      <c r="AH7" s="4404">
        <v>3</v>
      </c>
      <c r="AI7" s="4405">
        <f>SUM(AF7:AH7)</f>
        <v>3</v>
      </c>
      <c r="AJ7" s="4404">
        <v>2</v>
      </c>
      <c r="AK7" s="4404"/>
      <c r="AL7" s="4404">
        <v>9</v>
      </c>
      <c r="AM7" s="4405">
        <f>SUM(AJ7:AL7)</f>
        <v>11</v>
      </c>
      <c r="AN7" s="4407"/>
      <c r="AO7" s="4407"/>
      <c r="AP7" s="4407">
        <v>5</v>
      </c>
      <c r="AQ7" s="4405">
        <f>SUM(AN7:AP7)</f>
        <v>5</v>
      </c>
      <c r="AR7" s="4407" t="s">
        <v>122</v>
      </c>
      <c r="AS7" s="4407" t="s">
        <v>122</v>
      </c>
      <c r="AT7" s="4407">
        <v>6</v>
      </c>
      <c r="AU7" s="4405">
        <f>SUM(AR7:AT7)</f>
        <v>6</v>
      </c>
      <c r="AV7" s="4407">
        <v>2</v>
      </c>
      <c r="AW7" s="4407"/>
      <c r="AX7" s="4407">
        <v>13</v>
      </c>
      <c r="AY7" s="4405">
        <f>AV7+AW7+AX7</f>
        <v>15</v>
      </c>
      <c r="AZ7" s="4407"/>
      <c r="BA7" s="4407"/>
      <c r="BB7" s="4407">
        <v>16</v>
      </c>
      <c r="BC7" s="4405">
        <f>AZ7+BA7+BB7</f>
        <v>16</v>
      </c>
      <c r="BD7" s="4407"/>
      <c r="BE7" s="4407"/>
      <c r="BF7" s="4407">
        <v>10</v>
      </c>
      <c r="BG7" s="4405">
        <f>BD7+BE7+BF7</f>
        <v>10</v>
      </c>
      <c r="BH7" s="4407"/>
      <c r="BI7" s="4407"/>
      <c r="BJ7" s="4407">
        <v>14</v>
      </c>
      <c r="BK7" s="4405">
        <f>BH7+BI7+BJ7</f>
        <v>14</v>
      </c>
      <c r="BL7" s="4407"/>
      <c r="BM7" s="4407"/>
      <c r="BN7" s="4407">
        <v>18</v>
      </c>
      <c r="BO7" s="4405">
        <f>BL7+BM7+BN7</f>
        <v>18</v>
      </c>
      <c r="BP7" s="4407"/>
      <c r="BQ7" s="4407"/>
      <c r="BR7" s="4407">
        <v>16</v>
      </c>
      <c r="BS7" s="4405">
        <f>BP7+BQ7+BR7</f>
        <v>16</v>
      </c>
      <c r="BT7" s="4407"/>
      <c r="BU7" s="4407"/>
      <c r="BV7" s="4407">
        <v>18</v>
      </c>
      <c r="BW7" s="4405">
        <f>BT7+BU7+BV7</f>
        <v>18</v>
      </c>
      <c r="BX7" s="4407">
        <v>4</v>
      </c>
      <c r="BY7" s="4407"/>
      <c r="BZ7" s="4407">
        <v>21</v>
      </c>
      <c r="CA7" s="4405">
        <f>BX7+BY7+BZ7</f>
        <v>25</v>
      </c>
      <c r="CB7" s="4407"/>
      <c r="CC7" s="4407"/>
      <c r="CD7" s="4407">
        <v>15</v>
      </c>
      <c r="CE7" s="4405">
        <f>CB7+CC7+CD7</f>
        <v>15</v>
      </c>
      <c r="CF7" s="4407"/>
      <c r="CG7" s="4407">
        <v>11</v>
      </c>
      <c r="CH7" s="4407"/>
      <c r="CI7" s="4405">
        <f>CF7+CG7+CH7</f>
        <v>11</v>
      </c>
      <c r="CJ7" s="4407"/>
      <c r="CK7" s="4407">
        <v>14</v>
      </c>
      <c r="CL7" s="4407"/>
      <c r="CM7" s="4405">
        <f>CJ7+CK7+CL7</f>
        <v>14</v>
      </c>
      <c r="CN7" s="4407"/>
      <c r="CO7" s="4407">
        <v>9</v>
      </c>
      <c r="CP7" s="4407"/>
      <c r="CQ7" s="4405">
        <f>CN7+CO7+CP7</f>
        <v>9</v>
      </c>
      <c r="CR7" s="4407"/>
      <c r="CS7" s="4407">
        <v>5</v>
      </c>
      <c r="CT7" s="4407"/>
      <c r="CU7" s="4405">
        <f>CR7+CS7+CT7</f>
        <v>5</v>
      </c>
    </row>
    <row r="8" spans="2:99" ht="14.4" x14ac:dyDescent="0.3">
      <c r="B8" s="5838"/>
      <c r="C8" s="4406" t="s">
        <v>313</v>
      </c>
      <c r="D8" s="4403"/>
      <c r="E8" s="4404">
        <v>14</v>
      </c>
      <c r="F8" s="4404">
        <v>12</v>
      </c>
      <c r="G8" s="4405">
        <v>26</v>
      </c>
      <c r="H8" s="4403">
        <v>7</v>
      </c>
      <c r="I8" s="4404">
        <v>10</v>
      </c>
      <c r="J8" s="4404">
        <v>9</v>
      </c>
      <c r="K8" s="4405">
        <v>26</v>
      </c>
      <c r="L8" s="4403">
        <v>1</v>
      </c>
      <c r="M8" s="4404">
        <v>6</v>
      </c>
      <c r="N8" s="4404">
        <v>17</v>
      </c>
      <c r="O8" s="4405">
        <v>24</v>
      </c>
      <c r="P8" s="4403"/>
      <c r="Q8" s="4404">
        <v>4</v>
      </c>
      <c r="R8" s="4404">
        <v>8</v>
      </c>
      <c r="S8" s="4405">
        <v>12</v>
      </c>
      <c r="T8" s="4403"/>
      <c r="U8" s="4404">
        <v>4</v>
      </c>
      <c r="V8" s="4404">
        <v>6</v>
      </c>
      <c r="W8" s="4405">
        <f>SUM(T8:V8)</f>
        <v>10</v>
      </c>
      <c r="X8" s="4404"/>
      <c r="Y8" s="4404"/>
      <c r="Z8" s="4404"/>
      <c r="AA8" s="4405"/>
      <c r="AB8" s="4404"/>
      <c r="AC8" s="4404"/>
      <c r="AD8" s="4404">
        <v>4</v>
      </c>
      <c r="AE8" s="4405">
        <f>SUM(AB8:AD8)</f>
        <v>4</v>
      </c>
      <c r="AF8" s="4404">
        <v>3</v>
      </c>
      <c r="AG8" s="4404"/>
      <c r="AH8" s="4404"/>
      <c r="AI8" s="4405">
        <f>SUM(AF8:AH8)</f>
        <v>3</v>
      </c>
      <c r="AJ8" s="4404"/>
      <c r="AK8" s="4404"/>
      <c r="AL8" s="4404"/>
      <c r="AM8" s="4405"/>
      <c r="AN8" s="4404"/>
      <c r="AO8" s="4404"/>
      <c r="AP8" s="4404">
        <v>6</v>
      </c>
      <c r="AQ8" s="4405">
        <f>SUM(AN8:AP8)</f>
        <v>6</v>
      </c>
      <c r="AR8" s="4404">
        <v>3</v>
      </c>
      <c r="AS8" s="4404" t="s">
        <v>122</v>
      </c>
      <c r="AT8" s="4404">
        <v>7</v>
      </c>
      <c r="AU8" s="4405">
        <f>SUM(AR8:AT8)</f>
        <v>10</v>
      </c>
      <c r="AV8" s="4404">
        <v>7</v>
      </c>
      <c r="AW8" s="4404"/>
      <c r="AX8" s="4404">
        <v>5</v>
      </c>
      <c r="AY8" s="4405">
        <f>AV8+AW8+AX8</f>
        <v>12</v>
      </c>
      <c r="AZ8" s="4404">
        <v>3</v>
      </c>
      <c r="BA8" s="4404"/>
      <c r="BB8" s="4404"/>
      <c r="BC8" s="4405">
        <f>AZ8+BA8+BB8</f>
        <v>3</v>
      </c>
      <c r="BD8" s="4404"/>
      <c r="BE8" s="4404"/>
      <c r="BF8" s="4404"/>
      <c r="BG8" s="4405"/>
      <c r="BH8" s="4404"/>
      <c r="BI8" s="4404"/>
      <c r="BJ8" s="4404"/>
      <c r="BK8" s="4405"/>
      <c r="BL8" s="4404"/>
      <c r="BM8" s="4404"/>
      <c r="BN8" s="4404"/>
      <c r="BO8" s="4405">
        <f>BL8+BM8+BN8</f>
        <v>0</v>
      </c>
      <c r="BP8" s="4404">
        <v>2</v>
      </c>
      <c r="BQ8" s="4404"/>
      <c r="BR8" s="4404">
        <v>4</v>
      </c>
      <c r="BS8" s="4405">
        <f>BP8+BQ8+BR8</f>
        <v>6</v>
      </c>
      <c r="BT8" s="4404">
        <v>5</v>
      </c>
      <c r="BU8" s="4404"/>
      <c r="BV8" s="4404">
        <v>2</v>
      </c>
      <c r="BW8" s="4405">
        <f>BT8+BU8+BV8</f>
        <v>7</v>
      </c>
      <c r="BX8" s="4404"/>
      <c r="BY8" s="4404"/>
      <c r="BZ8" s="4404">
        <v>2</v>
      </c>
      <c r="CA8" s="4405">
        <f>BX8+BY8+BZ8</f>
        <v>2</v>
      </c>
      <c r="CB8" s="4404">
        <v>4</v>
      </c>
      <c r="CC8" s="4404"/>
      <c r="CD8" s="4404">
        <v>3</v>
      </c>
      <c r="CE8" s="4405">
        <f>CB8+CC8+CD8</f>
        <v>7</v>
      </c>
      <c r="CF8" s="4404">
        <v>6</v>
      </c>
      <c r="CG8" s="4404">
        <v>2</v>
      </c>
      <c r="CH8" s="4404"/>
      <c r="CI8" s="4405">
        <f>CF8+CG8+CH8</f>
        <v>8</v>
      </c>
      <c r="CJ8" s="4404">
        <v>8</v>
      </c>
      <c r="CK8" s="4404"/>
      <c r="CL8" s="4404">
        <v>5</v>
      </c>
      <c r="CM8" s="4405">
        <f>CJ8+CK8+CL8</f>
        <v>13</v>
      </c>
      <c r="CN8" s="4404">
        <v>4</v>
      </c>
      <c r="CO8" s="4404"/>
      <c r="CP8" s="4404">
        <v>4</v>
      </c>
      <c r="CQ8" s="4405">
        <f>CN8+CO8+CP8</f>
        <v>8</v>
      </c>
      <c r="CR8" s="4404">
        <v>4</v>
      </c>
      <c r="CS8" s="4404"/>
      <c r="CT8" s="4404">
        <v>6</v>
      </c>
      <c r="CU8" s="4405">
        <f>CR8+CS8+CT8</f>
        <v>10</v>
      </c>
    </row>
    <row r="9" spans="2:99" ht="14.4" x14ac:dyDescent="0.3">
      <c r="B9" s="5838"/>
      <c r="C9" s="4406" t="s">
        <v>314</v>
      </c>
      <c r="D9" s="4403"/>
      <c r="E9" s="4404"/>
      <c r="F9" s="4404"/>
      <c r="G9" s="4405"/>
      <c r="H9" s="4403"/>
      <c r="I9" s="4404"/>
      <c r="J9" s="4404"/>
      <c r="K9" s="4405"/>
      <c r="L9" s="4403"/>
      <c r="M9" s="4404"/>
      <c r="N9" s="4404"/>
      <c r="O9" s="4405"/>
      <c r="P9" s="4403"/>
      <c r="Q9" s="4404"/>
      <c r="R9" s="4404"/>
      <c r="S9" s="4405"/>
      <c r="T9" s="4403"/>
      <c r="U9" s="4404"/>
      <c r="V9" s="4404"/>
      <c r="W9" s="4405"/>
      <c r="X9" s="4404"/>
      <c r="Y9" s="4404"/>
      <c r="Z9" s="4404"/>
      <c r="AA9" s="4405"/>
      <c r="AB9" s="4404"/>
      <c r="AC9" s="4404"/>
      <c r="AD9" s="4404"/>
      <c r="AE9" s="4405"/>
      <c r="AF9" s="4404"/>
      <c r="AG9" s="4404"/>
      <c r="AH9" s="4404"/>
      <c r="AI9" s="4405"/>
      <c r="AJ9" s="4404"/>
      <c r="AK9" s="4404"/>
      <c r="AL9" s="4404"/>
      <c r="AM9" s="4405"/>
      <c r="AN9" s="4404"/>
      <c r="AO9" s="4404"/>
      <c r="AP9" s="4404"/>
      <c r="AQ9" s="4405"/>
      <c r="AR9" s="4404"/>
      <c r="AS9" s="4404"/>
      <c r="AT9" s="4404"/>
      <c r="AU9" s="4405"/>
      <c r="AV9" s="4404"/>
      <c r="AW9" s="4404"/>
      <c r="AX9" s="4404"/>
      <c r="AY9" s="4405"/>
      <c r="AZ9" s="4404"/>
      <c r="BA9" s="4404"/>
      <c r="BB9" s="4404"/>
      <c r="BC9" s="4405"/>
      <c r="BD9" s="4404"/>
      <c r="BE9" s="4404">
        <v>7</v>
      </c>
      <c r="BF9" s="4404">
        <v>5</v>
      </c>
      <c r="BG9" s="4405">
        <f>SUM(BD9:BF9)</f>
        <v>12</v>
      </c>
      <c r="BH9" s="4404">
        <v>6</v>
      </c>
      <c r="BI9" s="4404"/>
      <c r="BJ9" s="4404">
        <v>6</v>
      </c>
      <c r="BK9" s="4405">
        <f>SUM(BH9:BJ9)</f>
        <v>12</v>
      </c>
      <c r="BL9" s="4404">
        <v>8</v>
      </c>
      <c r="BM9" s="4404"/>
      <c r="BN9" s="4404">
        <v>7</v>
      </c>
      <c r="BO9" s="4405">
        <f>SUM(BL9:BN9)</f>
        <v>15</v>
      </c>
      <c r="BP9" s="4404">
        <v>8</v>
      </c>
      <c r="BQ9" s="4404"/>
      <c r="BR9" s="4404">
        <v>8</v>
      </c>
      <c r="BS9" s="4405">
        <f>SUM(BP9:BR9)</f>
        <v>16</v>
      </c>
      <c r="BT9" s="4404">
        <v>6</v>
      </c>
      <c r="BU9" s="4404"/>
      <c r="BV9" s="4404">
        <v>8</v>
      </c>
      <c r="BW9" s="4405">
        <f>SUM(BT9:BV9)</f>
        <v>14</v>
      </c>
      <c r="BX9" s="4404">
        <v>7</v>
      </c>
      <c r="BY9" s="4404"/>
      <c r="BZ9" s="4404">
        <v>6</v>
      </c>
      <c r="CA9" s="4405">
        <f>SUM(BX9:BZ9)</f>
        <v>13</v>
      </c>
      <c r="CB9" s="4404">
        <v>7</v>
      </c>
      <c r="CC9" s="4404"/>
      <c r="CD9" s="4404">
        <v>7</v>
      </c>
      <c r="CE9" s="4405">
        <f>SUM(CB9:CD9)</f>
        <v>14</v>
      </c>
      <c r="CF9" s="4404">
        <v>4</v>
      </c>
      <c r="CG9" s="4404"/>
      <c r="CH9" s="4404">
        <v>6</v>
      </c>
      <c r="CI9" s="4405">
        <f>SUM(CF9:CH9)</f>
        <v>10</v>
      </c>
      <c r="CJ9" s="4404"/>
      <c r="CK9" s="4404"/>
      <c r="CL9" s="4404">
        <v>4</v>
      </c>
      <c r="CM9" s="4405">
        <f>SUM(CJ9:CL9)</f>
        <v>4</v>
      </c>
      <c r="CN9" s="4404"/>
      <c r="CO9" s="4404">
        <v>6</v>
      </c>
      <c r="CP9" s="4404"/>
      <c r="CQ9" s="4405">
        <f>SUM(CN9:CP9)</f>
        <v>6</v>
      </c>
      <c r="CR9" s="4404"/>
      <c r="CS9" s="4404">
        <v>6</v>
      </c>
      <c r="CT9" s="4404"/>
      <c r="CU9" s="4405">
        <f>SUM(CR9:CT9)</f>
        <v>6</v>
      </c>
    </row>
    <row r="10" spans="2:99" ht="14.4" x14ac:dyDescent="0.3">
      <c r="B10" s="5838"/>
      <c r="C10" s="4406" t="s">
        <v>315</v>
      </c>
      <c r="D10" s="4403"/>
      <c r="E10" s="4404"/>
      <c r="F10" s="4404"/>
      <c r="G10" s="4405"/>
      <c r="H10" s="4403"/>
      <c r="I10" s="4404"/>
      <c r="J10" s="4404"/>
      <c r="K10" s="4405"/>
      <c r="L10" s="4403"/>
      <c r="M10" s="4404"/>
      <c r="N10" s="4404"/>
      <c r="O10" s="4405"/>
      <c r="P10" s="4403"/>
      <c r="Q10" s="4404"/>
      <c r="R10" s="4404"/>
      <c r="S10" s="4405"/>
      <c r="T10" s="4403"/>
      <c r="U10" s="4404"/>
      <c r="V10" s="4404"/>
      <c r="W10" s="4405"/>
      <c r="X10" s="4404"/>
      <c r="Y10" s="4404"/>
      <c r="Z10" s="4404"/>
      <c r="AA10" s="4405"/>
      <c r="AB10" s="4404"/>
      <c r="AC10" s="4404"/>
      <c r="AD10" s="4404"/>
      <c r="AE10" s="4405"/>
      <c r="AF10" s="4404"/>
      <c r="AG10" s="4404"/>
      <c r="AH10" s="4404"/>
      <c r="AI10" s="4405"/>
      <c r="AJ10" s="4404"/>
      <c r="AK10" s="4404"/>
      <c r="AL10" s="4404"/>
      <c r="AM10" s="4405"/>
      <c r="AN10" s="4404"/>
      <c r="AO10" s="4404"/>
      <c r="AP10" s="4404"/>
      <c r="AQ10" s="4405"/>
      <c r="AR10" s="4404"/>
      <c r="AS10" s="4404"/>
      <c r="AT10" s="4404"/>
      <c r="AU10" s="4405"/>
      <c r="AV10" s="4404"/>
      <c r="AW10" s="4404"/>
      <c r="AX10" s="4404"/>
      <c r="AY10" s="4405"/>
      <c r="AZ10" s="4404"/>
      <c r="BA10" s="4404"/>
      <c r="BB10" s="4404"/>
      <c r="BC10" s="4405"/>
      <c r="BD10" s="4404"/>
      <c r="BE10" s="4404">
        <v>1</v>
      </c>
      <c r="BF10" s="4404">
        <v>3</v>
      </c>
      <c r="BG10" s="4405">
        <f>SUM(BD10:BF10)</f>
        <v>4</v>
      </c>
      <c r="BH10" s="4404"/>
      <c r="BI10" s="4404"/>
      <c r="BJ10" s="4404">
        <v>4</v>
      </c>
      <c r="BK10" s="4405">
        <f>SUM(BH10:BJ10)</f>
        <v>4</v>
      </c>
      <c r="BL10" s="4404"/>
      <c r="BM10" s="4404"/>
      <c r="BN10" s="4404">
        <v>3</v>
      </c>
      <c r="BO10" s="4405">
        <f>SUM(BL10:BN10)</f>
        <v>3</v>
      </c>
      <c r="BP10" s="4404">
        <v>2</v>
      </c>
      <c r="BQ10" s="4404"/>
      <c r="BR10" s="4404">
        <v>3</v>
      </c>
      <c r="BS10" s="4405">
        <f>SUM(BP10:BR10)</f>
        <v>5</v>
      </c>
      <c r="BT10" s="4404">
        <v>3</v>
      </c>
      <c r="BU10" s="4404"/>
      <c r="BV10" s="4404">
        <v>4</v>
      </c>
      <c r="BW10" s="4405">
        <f>SUM(BT10:BV10)</f>
        <v>7</v>
      </c>
      <c r="BX10" s="4404"/>
      <c r="BY10" s="4404"/>
      <c r="BZ10" s="4404">
        <v>4</v>
      </c>
      <c r="CA10" s="4405">
        <f>SUM(BX10:BZ10)</f>
        <v>4</v>
      </c>
      <c r="CB10" s="4404">
        <v>1</v>
      </c>
      <c r="CC10" s="4404"/>
      <c r="CD10" s="4404">
        <v>3</v>
      </c>
      <c r="CE10" s="4405">
        <f>SUM(CB10:CD10)</f>
        <v>4</v>
      </c>
      <c r="CF10" s="4404"/>
      <c r="CG10" s="4404"/>
      <c r="CH10" s="4404">
        <v>1</v>
      </c>
      <c r="CI10" s="4405">
        <f>SUM(CF10:CH10)</f>
        <v>1</v>
      </c>
      <c r="CJ10" s="4404"/>
      <c r="CK10" s="4404">
        <v>3</v>
      </c>
      <c r="CL10" s="4404"/>
      <c r="CM10" s="4405">
        <f>SUM(CJ10:CL10)</f>
        <v>3</v>
      </c>
      <c r="CN10" s="4404"/>
      <c r="CO10" s="4404">
        <v>2</v>
      </c>
      <c r="CP10" s="4404"/>
      <c r="CQ10" s="4405">
        <f>SUM(CN10:CP10)</f>
        <v>2</v>
      </c>
      <c r="CR10" s="4404"/>
      <c r="CS10" s="4404"/>
      <c r="CT10" s="4404"/>
      <c r="CU10" s="4405">
        <f>SUM(CR10:CT10)</f>
        <v>0</v>
      </c>
    </row>
    <row r="11" spans="2:99" ht="14.4" x14ac:dyDescent="0.3">
      <c r="B11" s="5839"/>
      <c r="C11" s="4406" t="s">
        <v>316</v>
      </c>
      <c r="D11" s="4403"/>
      <c r="E11" s="4404"/>
      <c r="F11" s="4404"/>
      <c r="G11" s="4405"/>
      <c r="H11" s="4403"/>
      <c r="I11" s="4404"/>
      <c r="J11" s="4404"/>
      <c r="K11" s="4405"/>
      <c r="L11" s="4403"/>
      <c r="M11" s="4404"/>
      <c r="N11" s="4404"/>
      <c r="O11" s="4405"/>
      <c r="P11" s="4403"/>
      <c r="Q11" s="4404"/>
      <c r="R11" s="4404"/>
      <c r="S11" s="4405"/>
      <c r="T11" s="4403"/>
      <c r="U11" s="4404"/>
      <c r="V11" s="4404"/>
      <c r="W11" s="4405"/>
      <c r="X11" s="4404"/>
      <c r="Y11" s="4404"/>
      <c r="Z11" s="4404"/>
      <c r="AA11" s="4405"/>
      <c r="AB11" s="4404"/>
      <c r="AC11" s="4404"/>
      <c r="AD11" s="4404"/>
      <c r="AE11" s="4405"/>
      <c r="AF11" s="4404"/>
      <c r="AG11" s="4404"/>
      <c r="AH11" s="4404"/>
      <c r="AI11" s="4405"/>
      <c r="AJ11" s="4404"/>
      <c r="AK11" s="4404"/>
      <c r="AL11" s="4404"/>
      <c r="AM11" s="4405"/>
      <c r="AN11" s="4404"/>
      <c r="AO11" s="4404"/>
      <c r="AP11" s="4404"/>
      <c r="AQ11" s="4405"/>
      <c r="AR11" s="4404"/>
      <c r="AS11" s="4404"/>
      <c r="AT11" s="4404"/>
      <c r="AU11" s="4405"/>
      <c r="AV11" s="4404"/>
      <c r="AW11" s="4404"/>
      <c r="AX11" s="4404"/>
      <c r="AY11" s="4405"/>
      <c r="AZ11" s="4404"/>
      <c r="BA11" s="4404"/>
      <c r="BB11" s="4404"/>
      <c r="BC11" s="4405"/>
      <c r="BD11" s="4404"/>
      <c r="BE11" s="4404"/>
      <c r="BF11" s="4404"/>
      <c r="BG11" s="4405"/>
      <c r="BH11" s="4404"/>
      <c r="BI11" s="4404"/>
      <c r="BJ11" s="4404"/>
      <c r="BK11" s="4405"/>
      <c r="BL11" s="4404"/>
      <c r="BM11" s="4404"/>
      <c r="BN11" s="4404"/>
      <c r="BO11" s="4405"/>
      <c r="BP11" s="4404"/>
      <c r="BQ11" s="4404"/>
      <c r="BR11" s="4404"/>
      <c r="BS11" s="4405"/>
      <c r="BT11" s="4404"/>
      <c r="BU11" s="4404"/>
      <c r="BV11" s="4404"/>
      <c r="BW11" s="4405"/>
      <c r="BX11" s="4404"/>
      <c r="BY11" s="4404"/>
      <c r="BZ11" s="4404"/>
      <c r="CA11" s="4405"/>
      <c r="CB11" s="4404"/>
      <c r="CC11" s="4404"/>
      <c r="CD11" s="4404">
        <v>6</v>
      </c>
      <c r="CE11" s="4405">
        <f>SUM(CB11:CD11)</f>
        <v>6</v>
      </c>
      <c r="CF11" s="4404"/>
      <c r="CG11" s="4404">
        <v>3</v>
      </c>
      <c r="CH11" s="4404">
        <v>3</v>
      </c>
      <c r="CI11" s="4405">
        <f>SUM(CF11:CH11)</f>
        <v>6</v>
      </c>
      <c r="CJ11" s="4404"/>
      <c r="CK11" s="4404">
        <v>5</v>
      </c>
      <c r="CL11" s="4404">
        <v>2</v>
      </c>
      <c r="CM11" s="4405">
        <f>SUM(CJ11:CL11)</f>
        <v>7</v>
      </c>
      <c r="CN11" s="4404"/>
      <c r="CO11" s="4404">
        <v>5</v>
      </c>
      <c r="CP11" s="4404">
        <v>4</v>
      </c>
      <c r="CQ11" s="4405">
        <f>SUM(CN11:CP11)</f>
        <v>9</v>
      </c>
      <c r="CR11" s="4404"/>
      <c r="CS11" s="4404">
        <v>7</v>
      </c>
      <c r="CT11" s="4404">
        <v>3</v>
      </c>
      <c r="CU11" s="4405">
        <f>SUM(CR11:CT11)</f>
        <v>10</v>
      </c>
    </row>
    <row r="12" spans="2:99" ht="13.5" customHeight="1" x14ac:dyDescent="0.3">
      <c r="B12" s="5840" t="s">
        <v>317</v>
      </c>
      <c r="C12" s="1261" t="s">
        <v>318</v>
      </c>
      <c r="D12" s="1262"/>
      <c r="E12" s="1263">
        <v>1</v>
      </c>
      <c r="F12" s="1263">
        <v>1</v>
      </c>
      <c r="G12" s="1264">
        <v>2</v>
      </c>
      <c r="H12" s="1262">
        <v>4</v>
      </c>
      <c r="I12" s="1263">
        <v>3</v>
      </c>
      <c r="J12" s="1263">
        <v>2</v>
      </c>
      <c r="K12" s="1264">
        <v>9</v>
      </c>
      <c r="L12" s="1262">
        <v>3</v>
      </c>
      <c r="M12" s="1263"/>
      <c r="N12" s="1263">
        <v>4</v>
      </c>
      <c r="O12" s="1264">
        <v>7</v>
      </c>
      <c r="P12" s="1262">
        <v>3</v>
      </c>
      <c r="Q12" s="1263">
        <v>2</v>
      </c>
      <c r="R12" s="1263">
        <v>1</v>
      </c>
      <c r="S12" s="1264">
        <v>6</v>
      </c>
      <c r="T12" s="1262">
        <v>2</v>
      </c>
      <c r="U12" s="1263">
        <v>1</v>
      </c>
      <c r="V12" s="1263">
        <v>3</v>
      </c>
      <c r="W12" s="1264">
        <f>SUM(T12:V12)</f>
        <v>6</v>
      </c>
      <c r="X12" s="1263">
        <v>1</v>
      </c>
      <c r="Y12" s="1263">
        <v>2</v>
      </c>
      <c r="Z12" s="1263">
        <v>1</v>
      </c>
      <c r="AA12" s="1264">
        <f>SUM(X12:Z12)</f>
        <v>4</v>
      </c>
      <c r="AB12" s="1263">
        <v>1</v>
      </c>
      <c r="AC12" s="1263"/>
      <c r="AD12" s="1263">
        <v>3</v>
      </c>
      <c r="AE12" s="1264">
        <f>SUM(AB12:AD12)</f>
        <v>4</v>
      </c>
      <c r="AF12" s="1263"/>
      <c r="AG12" s="1263">
        <v>1</v>
      </c>
      <c r="AH12" s="1263">
        <v>2</v>
      </c>
      <c r="AI12" s="1264">
        <f>SUM(AF12:AH12)</f>
        <v>3</v>
      </c>
      <c r="AJ12" s="1263">
        <v>5</v>
      </c>
      <c r="AK12" s="1263">
        <v>4</v>
      </c>
      <c r="AL12" s="1263">
        <v>2</v>
      </c>
      <c r="AM12" s="1264">
        <f>SUM(AJ12:AL12)</f>
        <v>11</v>
      </c>
      <c r="AN12" s="1263"/>
      <c r="AO12" s="1263">
        <v>2</v>
      </c>
      <c r="AP12" s="1263">
        <v>1</v>
      </c>
      <c r="AQ12" s="1264">
        <f>SUM(AN12:AP12)</f>
        <v>3</v>
      </c>
      <c r="AR12" s="1263">
        <v>2</v>
      </c>
      <c r="AS12" s="1263" t="s">
        <v>122</v>
      </c>
      <c r="AT12" s="1263">
        <v>1</v>
      </c>
      <c r="AU12" s="1264">
        <f>SUM(AR12:AT12)</f>
        <v>3</v>
      </c>
      <c r="AV12" s="1263">
        <v>2</v>
      </c>
      <c r="AW12" s="1263">
        <v>1</v>
      </c>
      <c r="AX12" s="1263"/>
      <c r="AY12" s="1264">
        <f>AV12+AW12+AX12</f>
        <v>3</v>
      </c>
      <c r="AZ12" s="1263">
        <v>2</v>
      </c>
      <c r="BA12" s="1263">
        <v>4</v>
      </c>
      <c r="BB12" s="1263">
        <v>1</v>
      </c>
      <c r="BC12" s="1264">
        <f>AZ12+BA12+BB12</f>
        <v>7</v>
      </c>
      <c r="BD12" s="1263">
        <v>1</v>
      </c>
      <c r="BE12" s="1263"/>
      <c r="BF12" s="1263">
        <v>4</v>
      </c>
      <c r="BG12" s="1264">
        <f>BD12+BE12+BF12</f>
        <v>5</v>
      </c>
      <c r="BH12" s="1263">
        <v>1</v>
      </c>
      <c r="BI12" s="1263">
        <v>2</v>
      </c>
      <c r="BJ12" s="1263">
        <v>2</v>
      </c>
      <c r="BK12" s="1264">
        <f>BH12+BI12+BJ12</f>
        <v>5</v>
      </c>
      <c r="BL12" s="1263"/>
      <c r="BM12" s="1263">
        <v>3</v>
      </c>
      <c r="BN12" s="1263">
        <v>6</v>
      </c>
      <c r="BO12" s="1264">
        <f>BL12+BM12+BN12</f>
        <v>9</v>
      </c>
      <c r="BP12" s="1263">
        <v>4</v>
      </c>
      <c r="BQ12" s="1263"/>
      <c r="BR12" s="1263">
        <v>2</v>
      </c>
      <c r="BS12" s="1264">
        <f>BP12+BQ12+BR12</f>
        <v>6</v>
      </c>
      <c r="BT12" s="1263">
        <v>3</v>
      </c>
      <c r="BU12" s="1263">
        <v>4</v>
      </c>
      <c r="BV12" s="1263">
        <v>4</v>
      </c>
      <c r="BW12" s="1264">
        <f>BT12+BU12+BV12</f>
        <v>11</v>
      </c>
      <c r="BX12" s="1263"/>
      <c r="BY12" s="1263">
        <v>1</v>
      </c>
      <c r="BZ12" s="1263">
        <v>3</v>
      </c>
      <c r="CA12" s="1264">
        <f>BX12+BY12+BZ12</f>
        <v>4</v>
      </c>
      <c r="CB12" s="1263">
        <v>3</v>
      </c>
      <c r="CC12" s="1263">
        <v>2</v>
      </c>
      <c r="CD12" s="1263">
        <v>4</v>
      </c>
      <c r="CE12" s="1264">
        <f>CB12+CC12+CD12</f>
        <v>9</v>
      </c>
      <c r="CF12" s="1263">
        <v>4</v>
      </c>
      <c r="CG12" s="1263">
        <v>2</v>
      </c>
      <c r="CH12" s="1263">
        <v>4</v>
      </c>
      <c r="CI12" s="1264">
        <f>CF12+CG12+CH12</f>
        <v>10</v>
      </c>
      <c r="CJ12" s="1263"/>
      <c r="CK12" s="1263">
        <v>1</v>
      </c>
      <c r="CL12" s="1263">
        <v>1</v>
      </c>
      <c r="CM12" s="1264">
        <f>CJ12+CK12+CL12</f>
        <v>2</v>
      </c>
      <c r="CN12" s="1263"/>
      <c r="CO12" s="1263">
        <v>2</v>
      </c>
      <c r="CP12" s="1263"/>
      <c r="CQ12" s="1264">
        <f>CN12+CO12+CP12</f>
        <v>2</v>
      </c>
      <c r="CR12" s="1263"/>
      <c r="CS12" s="1263">
        <v>1</v>
      </c>
      <c r="CT12" s="1263"/>
      <c r="CU12" s="1264">
        <f>CR12+CS12+CT12</f>
        <v>1</v>
      </c>
    </row>
    <row r="13" spans="2:99" ht="14.4" x14ac:dyDescent="0.3">
      <c r="B13" s="5841"/>
      <c r="C13" s="1265" t="s">
        <v>319</v>
      </c>
      <c r="D13" s="1262"/>
      <c r="E13" s="1263"/>
      <c r="F13" s="1263"/>
      <c r="G13" s="1264"/>
      <c r="H13" s="1262"/>
      <c r="I13" s="1263"/>
      <c r="J13" s="1263"/>
      <c r="K13" s="1264"/>
      <c r="L13" s="1262"/>
      <c r="M13" s="1263"/>
      <c r="N13" s="1263"/>
      <c r="O13" s="1264"/>
      <c r="P13" s="1262"/>
      <c r="Q13" s="1263"/>
      <c r="R13" s="1263"/>
      <c r="S13" s="1264"/>
      <c r="T13" s="1262"/>
      <c r="U13" s="1263"/>
      <c r="V13" s="1263">
        <v>5</v>
      </c>
      <c r="W13" s="1264">
        <f>SUM(T13:V13)</f>
        <v>5</v>
      </c>
      <c r="X13" s="1263"/>
      <c r="Y13" s="1263"/>
      <c r="Z13" s="1263">
        <v>1</v>
      </c>
      <c r="AA13" s="1264">
        <f>SUM(X13:Z13)</f>
        <v>1</v>
      </c>
      <c r="AB13" s="1263"/>
      <c r="AC13" s="1263"/>
      <c r="AD13" s="1263">
        <v>2</v>
      </c>
      <c r="AE13" s="1264">
        <f>SUM(AB13:AD13)</f>
        <v>2</v>
      </c>
      <c r="AF13" s="1263"/>
      <c r="AG13" s="1263"/>
      <c r="AH13" s="1263">
        <v>2</v>
      </c>
      <c r="AI13" s="1264">
        <f>SUM(AF13:AH13)</f>
        <v>2</v>
      </c>
      <c r="AJ13" s="1263"/>
      <c r="AK13" s="1263"/>
      <c r="AL13" s="1263"/>
      <c r="AM13" s="1264"/>
      <c r="AN13" s="1263">
        <v>1</v>
      </c>
      <c r="AO13" s="1263"/>
      <c r="AP13" s="1263">
        <v>1</v>
      </c>
      <c r="AQ13" s="1264">
        <f>SUM(AN13:AP13)</f>
        <v>2</v>
      </c>
      <c r="AR13" s="1263" t="s">
        <v>122</v>
      </c>
      <c r="AS13" s="1263">
        <v>1</v>
      </c>
      <c r="AT13" s="1263">
        <v>1</v>
      </c>
      <c r="AU13" s="1264">
        <f>SUM(AR13:AT13)</f>
        <v>2</v>
      </c>
      <c r="AV13" s="1263"/>
      <c r="AW13" s="1263"/>
      <c r="AX13" s="1263"/>
      <c r="AY13" s="1264"/>
      <c r="AZ13" s="1263"/>
      <c r="BA13" s="1263"/>
      <c r="BB13" s="1263"/>
      <c r="BC13" s="1264"/>
      <c r="BD13" s="1263"/>
      <c r="BE13" s="1263"/>
      <c r="BF13" s="1263"/>
      <c r="BG13" s="1264"/>
      <c r="BH13" s="1263"/>
      <c r="BI13" s="1263"/>
      <c r="BJ13" s="1263">
        <v>1</v>
      </c>
      <c r="BK13" s="1264">
        <f>BH13+BI13+BJ13</f>
        <v>1</v>
      </c>
      <c r="BL13" s="1263">
        <v>1</v>
      </c>
      <c r="BM13" s="1263"/>
      <c r="BN13" s="1263">
        <v>1</v>
      </c>
      <c r="BO13" s="1264">
        <f>BL13+BM13+BN13</f>
        <v>2</v>
      </c>
      <c r="BP13" s="1263"/>
      <c r="BQ13" s="1263"/>
      <c r="BR13" s="1263">
        <v>1</v>
      </c>
      <c r="BS13" s="1264">
        <f>BP13+BQ13+BR13</f>
        <v>1</v>
      </c>
      <c r="BT13" s="1263">
        <v>2</v>
      </c>
      <c r="BU13" s="1263"/>
      <c r="BV13" s="1263"/>
      <c r="BW13" s="1264">
        <f>BT13+BU13+BV13</f>
        <v>2</v>
      </c>
      <c r="BX13" s="1263">
        <v>3</v>
      </c>
      <c r="BY13" s="1263"/>
      <c r="BZ13" s="1263">
        <v>3</v>
      </c>
      <c r="CA13" s="1264">
        <f>BX13+BY13+BZ13</f>
        <v>6</v>
      </c>
      <c r="CB13" s="1263"/>
      <c r="CC13" s="1263">
        <v>1</v>
      </c>
      <c r="CD13" s="1263"/>
      <c r="CE13" s="1264">
        <f>CB13+CC13+CD13</f>
        <v>1</v>
      </c>
      <c r="CF13" s="1263"/>
      <c r="CG13" s="1263"/>
      <c r="CH13" s="1263"/>
      <c r="CI13" s="1264">
        <f>CF13+CG13+CH13</f>
        <v>0</v>
      </c>
      <c r="CJ13" s="1263"/>
      <c r="CK13" s="1263">
        <v>1</v>
      </c>
      <c r="CL13" s="1263">
        <v>2</v>
      </c>
      <c r="CM13" s="1264">
        <f>CJ13+CK13+CL13</f>
        <v>3</v>
      </c>
      <c r="CN13" s="1263">
        <v>1</v>
      </c>
      <c r="CO13" s="1263"/>
      <c r="CP13" s="1263"/>
      <c r="CQ13" s="1264">
        <f>CN13+CO13+CP13</f>
        <v>1</v>
      </c>
      <c r="CR13" s="1263"/>
      <c r="CS13" s="1263"/>
      <c r="CT13" s="1263"/>
      <c r="CU13" s="1264">
        <f>CR13+CS13+CT13</f>
        <v>0</v>
      </c>
    </row>
    <row r="14" spans="2:99" ht="14.4" x14ac:dyDescent="0.3">
      <c r="B14" s="5841"/>
      <c r="C14" s="1265" t="s">
        <v>320</v>
      </c>
      <c r="D14" s="1267"/>
      <c r="E14" s="1268"/>
      <c r="F14" s="1268"/>
      <c r="G14" s="1269"/>
      <c r="H14" s="1267"/>
      <c r="I14" s="1268"/>
      <c r="J14" s="1268"/>
      <c r="K14" s="1269"/>
      <c r="L14" s="1267"/>
      <c r="M14" s="1268"/>
      <c r="N14" s="1268"/>
      <c r="O14" s="1269"/>
      <c r="P14" s="1267"/>
      <c r="Q14" s="1268"/>
      <c r="R14" s="1268"/>
      <c r="S14" s="1269"/>
      <c r="T14" s="1267"/>
      <c r="U14" s="1268"/>
      <c r="V14" s="1268"/>
      <c r="W14" s="1269"/>
      <c r="X14" s="1268"/>
      <c r="Y14" s="1268"/>
      <c r="Z14" s="1268"/>
      <c r="AA14" s="1269"/>
      <c r="AB14" s="1268"/>
      <c r="AC14" s="1268"/>
      <c r="AD14" s="1268"/>
      <c r="AE14" s="1269"/>
      <c r="AF14" s="1268"/>
      <c r="AG14" s="1268"/>
      <c r="AH14" s="1268"/>
      <c r="AI14" s="1269"/>
      <c r="AJ14" s="1268"/>
      <c r="AK14" s="1268"/>
      <c r="AL14" s="1268"/>
      <c r="AM14" s="1269"/>
      <c r="AN14" s="1268"/>
      <c r="AO14" s="1268"/>
      <c r="AP14" s="1268"/>
      <c r="AQ14" s="1269"/>
      <c r="AR14" s="1268"/>
      <c r="AS14" s="1268"/>
      <c r="AT14" s="1268"/>
      <c r="AU14" s="1269"/>
      <c r="AV14" s="1268"/>
      <c r="AW14" s="1268"/>
      <c r="AX14" s="1268"/>
      <c r="AY14" s="1269"/>
      <c r="AZ14" s="1268"/>
      <c r="BA14" s="1268"/>
      <c r="BB14" s="1268"/>
      <c r="BC14" s="1269"/>
      <c r="BD14" s="1268"/>
      <c r="BE14" s="1268"/>
      <c r="BF14" s="1268"/>
      <c r="BG14" s="1269"/>
      <c r="BH14" s="1268"/>
      <c r="BI14" s="1268"/>
      <c r="BJ14" s="1268">
        <v>3</v>
      </c>
      <c r="BK14" s="1264">
        <f>BH14+BI14+BJ14</f>
        <v>3</v>
      </c>
      <c r="BL14" s="1268"/>
      <c r="BM14" s="1268"/>
      <c r="BN14" s="1268"/>
      <c r="BO14" s="1264">
        <f>BL14+BM14+BN14</f>
        <v>0</v>
      </c>
      <c r="BP14" s="1268">
        <v>2</v>
      </c>
      <c r="BQ14" s="1268"/>
      <c r="BR14" s="1268">
        <v>4</v>
      </c>
      <c r="BS14" s="1264">
        <f>BP14+BQ14+BR14</f>
        <v>6</v>
      </c>
      <c r="BT14" s="1268"/>
      <c r="BU14" s="1268"/>
      <c r="BV14" s="1268"/>
      <c r="BW14" s="1264">
        <f>BT14+BU14+BV14</f>
        <v>0</v>
      </c>
      <c r="BX14" s="1268"/>
      <c r="BY14" s="1268">
        <v>2</v>
      </c>
      <c r="BZ14" s="1268"/>
      <c r="CA14" s="1264">
        <f>BX14+BY14+BZ14</f>
        <v>2</v>
      </c>
      <c r="CB14" s="1268">
        <v>4</v>
      </c>
      <c r="CC14" s="1268">
        <v>2</v>
      </c>
      <c r="CD14" s="1268"/>
      <c r="CE14" s="1264">
        <f>CB14+CC14+CD14</f>
        <v>6</v>
      </c>
      <c r="CF14" s="1268"/>
      <c r="CG14" s="1268"/>
      <c r="CH14" s="1268">
        <v>4</v>
      </c>
      <c r="CI14" s="1264">
        <f>CF14+CG14+CH14</f>
        <v>4</v>
      </c>
      <c r="CJ14" s="1268"/>
      <c r="CK14" s="1268"/>
      <c r="CL14" s="1268">
        <v>1</v>
      </c>
      <c r="CM14" s="1264">
        <f>CJ14+CK14+CL14</f>
        <v>1</v>
      </c>
      <c r="CN14" s="1268"/>
      <c r="CO14" s="1268">
        <v>3</v>
      </c>
      <c r="CP14" s="1268"/>
      <c r="CQ14" s="1264">
        <f>CN14+CO14+CP14</f>
        <v>3</v>
      </c>
      <c r="CR14" s="1268"/>
      <c r="CS14" s="1268">
        <v>3</v>
      </c>
      <c r="CT14" s="1268"/>
      <c r="CU14" s="1264">
        <f>CR14+CS14+CT14</f>
        <v>3</v>
      </c>
    </row>
    <row r="15" spans="2:99" ht="14.4" x14ac:dyDescent="0.3">
      <c r="B15" s="5842"/>
      <c r="C15" s="1265" t="s">
        <v>321</v>
      </c>
      <c r="D15" s="1267"/>
      <c r="E15" s="1268"/>
      <c r="F15" s="1268"/>
      <c r="G15" s="1269"/>
      <c r="H15" s="1267"/>
      <c r="I15" s="1268"/>
      <c r="J15" s="1268"/>
      <c r="K15" s="1269"/>
      <c r="L15" s="1267"/>
      <c r="M15" s="1268"/>
      <c r="N15" s="1268"/>
      <c r="O15" s="1269"/>
      <c r="P15" s="1267"/>
      <c r="Q15" s="1268"/>
      <c r="R15" s="1268"/>
      <c r="S15" s="1269"/>
      <c r="T15" s="1267"/>
      <c r="U15" s="1268"/>
      <c r="V15" s="1268"/>
      <c r="W15" s="1269"/>
      <c r="X15" s="1268"/>
      <c r="Y15" s="1268"/>
      <c r="Z15" s="1268"/>
      <c r="AA15" s="1269"/>
      <c r="AB15" s="1268"/>
      <c r="AC15" s="1268"/>
      <c r="AD15" s="1268"/>
      <c r="AE15" s="1269"/>
      <c r="AF15" s="1268"/>
      <c r="AG15" s="1268"/>
      <c r="AH15" s="1268"/>
      <c r="AI15" s="1269"/>
      <c r="AJ15" s="1268"/>
      <c r="AK15" s="1268"/>
      <c r="AL15" s="1268"/>
      <c r="AM15" s="1269"/>
      <c r="AN15" s="1268"/>
      <c r="AO15" s="1268"/>
      <c r="AP15" s="1268"/>
      <c r="AQ15" s="1269"/>
      <c r="AR15" s="1268"/>
      <c r="AS15" s="1268"/>
      <c r="AT15" s="1268"/>
      <c r="AU15" s="1269"/>
      <c r="AV15" s="1268"/>
      <c r="AW15" s="1268"/>
      <c r="AX15" s="1268"/>
      <c r="AY15" s="1269"/>
      <c r="AZ15" s="1268"/>
      <c r="BA15" s="1268"/>
      <c r="BB15" s="1268"/>
      <c r="BC15" s="1269"/>
      <c r="BD15" s="1268"/>
      <c r="BE15" s="1268"/>
      <c r="BF15" s="1268"/>
      <c r="BG15" s="1269"/>
      <c r="BH15" s="1268"/>
      <c r="BI15" s="1268"/>
      <c r="BJ15" s="1268">
        <v>2</v>
      </c>
      <c r="BK15" s="1264">
        <f>BH15+BI15+BJ15</f>
        <v>2</v>
      </c>
      <c r="BL15" s="1268"/>
      <c r="BM15" s="1268"/>
      <c r="BN15" s="1268"/>
      <c r="BO15" s="1264">
        <f>BL15+BM15+BN15</f>
        <v>0</v>
      </c>
      <c r="BP15" s="1268">
        <v>1</v>
      </c>
      <c r="BQ15" s="1268"/>
      <c r="BR15" s="1268"/>
      <c r="BS15" s="1264">
        <f>BP15+BQ15+BR15</f>
        <v>1</v>
      </c>
      <c r="BT15" s="1268"/>
      <c r="BU15" s="1268">
        <v>1</v>
      </c>
      <c r="BV15" s="1268">
        <v>2</v>
      </c>
      <c r="BW15" s="1264">
        <f>BT15+BU15+BV15</f>
        <v>3</v>
      </c>
      <c r="BX15" s="1268"/>
      <c r="BY15" s="1268"/>
      <c r="BZ15" s="1268"/>
      <c r="CA15" s="1264">
        <f>BX15+BY15+BZ15</f>
        <v>0</v>
      </c>
      <c r="CB15" s="1268"/>
      <c r="CC15" s="1268"/>
      <c r="CD15" s="1268"/>
      <c r="CE15" s="1264">
        <f>CB15+CC15+CD15</f>
        <v>0</v>
      </c>
      <c r="CF15" s="1268"/>
      <c r="CG15" s="1268"/>
      <c r="CH15" s="1268">
        <v>1</v>
      </c>
      <c r="CI15" s="1264">
        <f>CF15+CG15+CH15</f>
        <v>1</v>
      </c>
      <c r="CJ15" s="1268"/>
      <c r="CK15" s="1268"/>
      <c r="CL15" s="1268"/>
      <c r="CM15" s="1264">
        <f>CJ15+CK15+CL15</f>
        <v>0</v>
      </c>
      <c r="CN15" s="1268"/>
      <c r="CO15" s="1268"/>
      <c r="CP15" s="1268">
        <v>1</v>
      </c>
      <c r="CQ15" s="1264">
        <f>CN15+CO15+CP15</f>
        <v>1</v>
      </c>
      <c r="CR15" s="1268"/>
      <c r="CS15" s="1268"/>
      <c r="CT15" s="1268"/>
      <c r="CU15" s="1264">
        <f>CR15+CS15+CT15</f>
        <v>0</v>
      </c>
    </row>
    <row r="16" spans="2:99" ht="14.4" x14ac:dyDescent="0.3">
      <c r="B16" s="1270"/>
      <c r="C16" s="1271" t="s">
        <v>59</v>
      </c>
      <c r="D16" s="1272">
        <f t="shared" ref="D16:AI16" si="0">SUM(D5:D13)</f>
        <v>41</v>
      </c>
      <c r="E16" s="1273">
        <f t="shared" si="0"/>
        <v>15</v>
      </c>
      <c r="F16" s="1273">
        <f t="shared" si="0"/>
        <v>31</v>
      </c>
      <c r="G16" s="1274">
        <f t="shared" si="0"/>
        <v>87</v>
      </c>
      <c r="H16" s="1272">
        <f t="shared" si="0"/>
        <v>61</v>
      </c>
      <c r="I16" s="1273">
        <f t="shared" si="0"/>
        <v>13</v>
      </c>
      <c r="J16" s="1273">
        <f t="shared" si="0"/>
        <v>53</v>
      </c>
      <c r="K16" s="1274">
        <f t="shared" si="0"/>
        <v>127</v>
      </c>
      <c r="L16" s="1272">
        <f t="shared" si="0"/>
        <v>5</v>
      </c>
      <c r="M16" s="1273">
        <f t="shared" si="0"/>
        <v>16</v>
      </c>
      <c r="N16" s="1273">
        <f t="shared" si="0"/>
        <v>53</v>
      </c>
      <c r="O16" s="1274">
        <f t="shared" si="0"/>
        <v>74</v>
      </c>
      <c r="P16" s="1272">
        <f t="shared" si="0"/>
        <v>11</v>
      </c>
      <c r="Q16" s="1273">
        <f t="shared" si="0"/>
        <v>6</v>
      </c>
      <c r="R16" s="1273">
        <f t="shared" si="0"/>
        <v>24</v>
      </c>
      <c r="S16" s="1274">
        <f t="shared" si="0"/>
        <v>41</v>
      </c>
      <c r="T16" s="1272">
        <f t="shared" si="0"/>
        <v>17</v>
      </c>
      <c r="U16" s="1273">
        <f t="shared" si="0"/>
        <v>5</v>
      </c>
      <c r="V16" s="1273">
        <f t="shared" si="0"/>
        <v>25</v>
      </c>
      <c r="W16" s="1274">
        <f t="shared" si="0"/>
        <v>47</v>
      </c>
      <c r="X16" s="1273">
        <f t="shared" si="0"/>
        <v>8</v>
      </c>
      <c r="Y16" s="1273">
        <f t="shared" si="0"/>
        <v>7</v>
      </c>
      <c r="Z16" s="1273">
        <f t="shared" si="0"/>
        <v>26</v>
      </c>
      <c r="AA16" s="1274">
        <f t="shared" si="0"/>
        <v>41</v>
      </c>
      <c r="AB16" s="1273">
        <f t="shared" si="0"/>
        <v>10</v>
      </c>
      <c r="AC16" s="1273">
        <f t="shared" si="0"/>
        <v>0</v>
      </c>
      <c r="AD16" s="1273">
        <f t="shared" si="0"/>
        <v>34</v>
      </c>
      <c r="AE16" s="1274">
        <f t="shared" si="0"/>
        <v>44</v>
      </c>
      <c r="AF16" s="1273">
        <f t="shared" si="0"/>
        <v>17</v>
      </c>
      <c r="AG16" s="1273">
        <f t="shared" si="0"/>
        <v>1</v>
      </c>
      <c r="AH16" s="1273">
        <f t="shared" si="0"/>
        <v>19</v>
      </c>
      <c r="AI16" s="1274">
        <f t="shared" si="0"/>
        <v>37</v>
      </c>
      <c r="AJ16" s="1273">
        <f t="shared" ref="AJ16:BG16" si="1">SUM(AJ5:AJ13)</f>
        <v>9</v>
      </c>
      <c r="AK16" s="1273">
        <f t="shared" si="1"/>
        <v>10</v>
      </c>
      <c r="AL16" s="1273">
        <f t="shared" si="1"/>
        <v>12</v>
      </c>
      <c r="AM16" s="1274">
        <f t="shared" si="1"/>
        <v>31</v>
      </c>
      <c r="AN16" s="1273">
        <f t="shared" si="1"/>
        <v>3</v>
      </c>
      <c r="AO16" s="1273">
        <f t="shared" si="1"/>
        <v>2</v>
      </c>
      <c r="AP16" s="1273">
        <f t="shared" si="1"/>
        <v>34</v>
      </c>
      <c r="AQ16" s="1274">
        <f t="shared" si="1"/>
        <v>39</v>
      </c>
      <c r="AR16" s="1273">
        <f t="shared" si="1"/>
        <v>14</v>
      </c>
      <c r="AS16" s="1273">
        <f t="shared" si="1"/>
        <v>1</v>
      </c>
      <c r="AT16" s="1273">
        <f t="shared" si="1"/>
        <v>34</v>
      </c>
      <c r="AU16" s="1274">
        <f t="shared" si="1"/>
        <v>49</v>
      </c>
      <c r="AV16" s="1273">
        <f t="shared" si="1"/>
        <v>20</v>
      </c>
      <c r="AW16" s="1273">
        <f t="shared" si="1"/>
        <v>1</v>
      </c>
      <c r="AX16" s="1273">
        <f t="shared" si="1"/>
        <v>25</v>
      </c>
      <c r="AY16" s="1274">
        <f t="shared" si="1"/>
        <v>46</v>
      </c>
      <c r="AZ16" s="1273">
        <f t="shared" si="1"/>
        <v>8</v>
      </c>
      <c r="BA16" s="1273">
        <f t="shared" si="1"/>
        <v>4</v>
      </c>
      <c r="BB16" s="1273">
        <f t="shared" si="1"/>
        <v>27</v>
      </c>
      <c r="BC16" s="1274">
        <f t="shared" si="1"/>
        <v>39</v>
      </c>
      <c r="BD16" s="1273">
        <f t="shared" si="1"/>
        <v>9</v>
      </c>
      <c r="BE16" s="1273">
        <f t="shared" si="1"/>
        <v>8</v>
      </c>
      <c r="BF16" s="1273">
        <f t="shared" si="1"/>
        <v>33</v>
      </c>
      <c r="BG16" s="1274">
        <f t="shared" si="1"/>
        <v>50</v>
      </c>
      <c r="BH16" s="1273">
        <f>SUM(BH5:BH15)</f>
        <v>18</v>
      </c>
      <c r="BI16" s="1273">
        <f>SUM(BI5:BI15)</f>
        <v>2</v>
      </c>
      <c r="BJ16" s="1273">
        <f>SUM(BJ5:BJ15)</f>
        <v>54</v>
      </c>
      <c r="BK16" s="1274">
        <f>SUM(BK5:BK15)</f>
        <v>74</v>
      </c>
      <c r="BL16" s="1272">
        <f t="shared" ref="BL16:BP16" si="2">SUM(BL5:BL15)</f>
        <v>24</v>
      </c>
      <c r="BM16" s="1273">
        <f t="shared" si="2"/>
        <v>3</v>
      </c>
      <c r="BN16" s="1273">
        <f t="shared" si="2"/>
        <v>62</v>
      </c>
      <c r="BO16" s="1274">
        <f t="shared" si="2"/>
        <v>89</v>
      </c>
      <c r="BP16" s="1272">
        <f t="shared" si="2"/>
        <v>26</v>
      </c>
      <c r="BQ16" s="1273">
        <f>SUM(BQ6:BQ15)</f>
        <v>0</v>
      </c>
      <c r="BR16" s="1273">
        <f>SUM(BR6:BR15)</f>
        <v>56</v>
      </c>
      <c r="BS16" s="1274">
        <f>SUM(BS6:BS15)</f>
        <v>82</v>
      </c>
      <c r="BT16" s="1272">
        <f>SUM(BT5:BT15)</f>
        <v>28</v>
      </c>
      <c r="BU16" s="1273">
        <f>SUM(BU6:BU15)</f>
        <v>5</v>
      </c>
      <c r="BV16" s="1273">
        <f>SUM(BV6:BV15)</f>
        <v>61</v>
      </c>
      <c r="BW16" s="1274">
        <f>SUM(BW6:BW15)</f>
        <v>94</v>
      </c>
      <c r="BX16" s="1272">
        <f>SUM(BX5:BX15)</f>
        <v>19</v>
      </c>
      <c r="BY16" s="1273">
        <f>SUM(BY6:BY15)</f>
        <v>3</v>
      </c>
      <c r="BZ16" s="1273">
        <f>SUM(BZ6:BZ15)</f>
        <v>62</v>
      </c>
      <c r="CA16" s="1274">
        <f>SUM(CA6:CA15)</f>
        <v>84</v>
      </c>
      <c r="CB16" s="1272">
        <f>SUM(CB5:CB15)</f>
        <v>22</v>
      </c>
      <c r="CC16" s="1273">
        <f>SUM(CC6:CC15)</f>
        <v>5</v>
      </c>
      <c r="CD16" s="1273">
        <f>SUM(CD6:CD15)</f>
        <v>55</v>
      </c>
      <c r="CE16" s="1274">
        <f>SUM(CE6:CE15)</f>
        <v>82</v>
      </c>
      <c r="CF16" s="1272">
        <f>SUM(CF5:CF15)</f>
        <v>23</v>
      </c>
      <c r="CG16" s="1273">
        <f>SUM(CG6:CG15)</f>
        <v>25</v>
      </c>
      <c r="CH16" s="1273">
        <f>SUM(CH6:CH15)</f>
        <v>27</v>
      </c>
      <c r="CI16" s="1274">
        <f>SUM(CI6:CI15)</f>
        <v>75</v>
      </c>
      <c r="CJ16" s="1272">
        <f>SUM(CJ5:CJ15)</f>
        <v>12</v>
      </c>
      <c r="CK16" s="1273">
        <f>SUM(CK6:CK15)</f>
        <v>33</v>
      </c>
      <c r="CL16" s="1273">
        <f>SUM(CL6:CL15)</f>
        <v>17</v>
      </c>
      <c r="CM16" s="1274">
        <f>SUM(CM6:CM15)</f>
        <v>62</v>
      </c>
      <c r="CN16" s="1272">
        <f>SUM(CN5:CN15)</f>
        <v>5</v>
      </c>
      <c r="CO16" s="1273">
        <f>SUM(CO6:CO15)</f>
        <v>34</v>
      </c>
      <c r="CP16" s="1273">
        <f>SUM(CP6:CP15)</f>
        <v>9</v>
      </c>
      <c r="CQ16" s="1274">
        <f>SUM(CQ6:CQ15)</f>
        <v>48</v>
      </c>
      <c r="CR16" s="1272">
        <f>SUM(CR5:CR15)</f>
        <v>4</v>
      </c>
      <c r="CS16" s="1273">
        <f>SUM(CS6:CS15)</f>
        <v>29</v>
      </c>
      <c r="CT16" s="1273">
        <f>SUM(CT6:CT15)</f>
        <v>19</v>
      </c>
      <c r="CU16" s="1274">
        <f>SUM(CU6:CU15)</f>
        <v>52</v>
      </c>
    </row>
    <row r="17" spans="2:99" ht="14.4" x14ac:dyDescent="0.3">
      <c r="B17" s="5840" t="s">
        <v>308</v>
      </c>
      <c r="C17" s="1275" t="s">
        <v>322</v>
      </c>
      <c r="D17" s="1276"/>
      <c r="E17" s="1277"/>
      <c r="F17" s="1277">
        <v>25</v>
      </c>
      <c r="G17" s="1278">
        <v>25</v>
      </c>
      <c r="H17" s="1276"/>
      <c r="I17" s="1277"/>
      <c r="J17" s="1277">
        <v>15</v>
      </c>
      <c r="K17" s="1278">
        <v>15</v>
      </c>
      <c r="L17" s="1276"/>
      <c r="M17" s="1277"/>
      <c r="N17" s="1277">
        <v>20</v>
      </c>
      <c r="O17" s="1278">
        <v>20</v>
      </c>
      <c r="P17" s="1276"/>
      <c r="Q17" s="1277"/>
      <c r="R17" s="1277">
        <v>23</v>
      </c>
      <c r="S17" s="1278">
        <v>23</v>
      </c>
      <c r="T17" s="1276"/>
      <c r="U17" s="1277"/>
      <c r="V17" s="1277">
        <v>27</v>
      </c>
      <c r="W17" s="1278">
        <f>SUM(T17:V17)</f>
        <v>27</v>
      </c>
      <c r="X17" s="1279"/>
      <c r="Y17" s="1279"/>
      <c r="Z17" s="1279">
        <v>18</v>
      </c>
      <c r="AA17" s="1278">
        <f>SUM(X17:Z17)</f>
        <v>18</v>
      </c>
      <c r="AB17" s="1279"/>
      <c r="AC17" s="1279"/>
      <c r="AD17" s="1279">
        <v>23</v>
      </c>
      <c r="AE17" s="1278">
        <f>SUM(AB17:AD17)</f>
        <v>23</v>
      </c>
      <c r="AF17" s="1279"/>
      <c r="AG17" s="1279"/>
      <c r="AH17" s="1279">
        <v>13</v>
      </c>
      <c r="AI17" s="1278">
        <f>SUM(AF17:AH17)</f>
        <v>13</v>
      </c>
      <c r="AJ17" s="1279"/>
      <c r="AK17" s="1279"/>
      <c r="AL17" s="1279">
        <v>21</v>
      </c>
      <c r="AM17" s="1278">
        <f>SUM(AJ17:AL17)</f>
        <v>21</v>
      </c>
      <c r="AN17" s="1279"/>
      <c r="AO17" s="1279"/>
      <c r="AP17" s="1279">
        <v>17</v>
      </c>
      <c r="AQ17" s="1278">
        <f>SUM(AN17:AP17)</f>
        <v>17</v>
      </c>
      <c r="AR17" s="1279"/>
      <c r="AS17" s="1279"/>
      <c r="AT17" s="1279">
        <v>18</v>
      </c>
      <c r="AU17" s="1278">
        <f>SUM(AR17:AT17)</f>
        <v>18</v>
      </c>
      <c r="AV17" s="1279"/>
      <c r="AW17" s="1279"/>
      <c r="AX17" s="1279">
        <v>14</v>
      </c>
      <c r="AY17" s="1278">
        <f>AV17+AW17+AX17</f>
        <v>14</v>
      </c>
      <c r="AZ17" s="1279"/>
      <c r="BA17" s="1279"/>
      <c r="BB17" s="1279">
        <v>16</v>
      </c>
      <c r="BC17" s="1278">
        <f>AZ17+BA17+BB17</f>
        <v>16</v>
      </c>
      <c r="BD17" s="1279"/>
      <c r="BE17" s="1279"/>
      <c r="BF17" s="1279">
        <v>16</v>
      </c>
      <c r="BG17" s="1278">
        <f>BD17+BE17+BF17</f>
        <v>16</v>
      </c>
      <c r="BH17" s="1279"/>
      <c r="BI17" s="1279"/>
      <c r="BJ17" s="1279">
        <v>19</v>
      </c>
      <c r="BK17" s="1278">
        <f>BH17+BI17+BJ17</f>
        <v>19</v>
      </c>
      <c r="BL17" s="1279"/>
      <c r="BM17" s="1279"/>
      <c r="BN17" s="1279">
        <v>18</v>
      </c>
      <c r="BO17" s="1278">
        <f>BL17+BM17+BN17</f>
        <v>18</v>
      </c>
      <c r="BP17" s="1279"/>
      <c r="BQ17" s="1279"/>
      <c r="BR17" s="1279">
        <v>21</v>
      </c>
      <c r="BS17" s="1278">
        <f>BP17+BQ17+BR17</f>
        <v>21</v>
      </c>
      <c r="BT17" s="1279"/>
      <c r="BU17" s="1279"/>
      <c r="BV17" s="1279">
        <v>20</v>
      </c>
      <c r="BW17" s="1278">
        <f>BT17+BU17+BV17</f>
        <v>20</v>
      </c>
      <c r="BX17" s="1279"/>
      <c r="BY17" s="1279"/>
      <c r="BZ17" s="1279">
        <v>20</v>
      </c>
      <c r="CA17" s="1278">
        <f>BX17+BY17+BZ17</f>
        <v>20</v>
      </c>
      <c r="CB17" s="1279"/>
      <c r="CC17" s="1279"/>
      <c r="CD17" s="1279">
        <v>14</v>
      </c>
      <c r="CE17" s="1278">
        <f>CB17+CC17+CD17</f>
        <v>14</v>
      </c>
      <c r="CF17" s="1279"/>
      <c r="CG17" s="1279"/>
      <c r="CH17" s="1279">
        <v>16</v>
      </c>
      <c r="CI17" s="1278">
        <f>CF17+CG17+CH17</f>
        <v>16</v>
      </c>
      <c r="CJ17" s="1279"/>
      <c r="CK17" s="1279"/>
      <c r="CL17" s="1279">
        <v>8</v>
      </c>
      <c r="CM17" s="1278">
        <f>CJ17+CK17+CL17</f>
        <v>8</v>
      </c>
      <c r="CN17" s="1279"/>
      <c r="CO17" s="1279"/>
      <c r="CP17" s="1279">
        <v>13</v>
      </c>
      <c r="CQ17" s="1278">
        <f>CN17+CO17+CP17</f>
        <v>13</v>
      </c>
      <c r="CR17" s="1279"/>
      <c r="CS17" s="1279"/>
      <c r="CT17" s="1279">
        <v>11</v>
      </c>
      <c r="CU17" s="1278">
        <f>CR17+CS17+CT17</f>
        <v>11</v>
      </c>
    </row>
    <row r="18" spans="2:99" ht="14.4" x14ac:dyDescent="0.3">
      <c r="B18" s="5841"/>
      <c r="C18" s="1275" t="s">
        <v>323</v>
      </c>
      <c r="D18" s="1276"/>
      <c r="E18" s="1277"/>
      <c r="F18" s="1277"/>
      <c r="G18" s="1278"/>
      <c r="H18" s="1276"/>
      <c r="I18" s="1277"/>
      <c r="J18" s="1277"/>
      <c r="K18" s="1278"/>
      <c r="L18" s="1276"/>
      <c r="M18" s="1277"/>
      <c r="N18" s="1277"/>
      <c r="O18" s="1278"/>
      <c r="P18" s="1276"/>
      <c r="Q18" s="1277"/>
      <c r="R18" s="1277"/>
      <c r="S18" s="1278"/>
      <c r="T18" s="1276"/>
      <c r="U18" s="1277"/>
      <c r="V18" s="1277"/>
      <c r="W18" s="1278"/>
      <c r="X18" s="1279"/>
      <c r="Y18" s="1279"/>
      <c r="Z18" s="1279"/>
      <c r="AA18" s="1278"/>
      <c r="AB18" s="1279"/>
      <c r="AC18" s="1279"/>
      <c r="AD18" s="1279"/>
      <c r="AE18" s="1278"/>
      <c r="AF18" s="1279"/>
      <c r="AG18" s="1279"/>
      <c r="AH18" s="1279"/>
      <c r="AI18" s="1278"/>
      <c r="AJ18" s="1279"/>
      <c r="AK18" s="1279"/>
      <c r="AL18" s="1279"/>
      <c r="AM18" s="1278"/>
      <c r="AN18" s="1279"/>
      <c r="AO18" s="1279"/>
      <c r="AP18" s="1279"/>
      <c r="AQ18" s="1278"/>
      <c r="AR18" s="1279"/>
      <c r="AS18" s="1279"/>
      <c r="AT18" s="1279"/>
      <c r="AU18" s="1278"/>
      <c r="AV18" s="1279"/>
      <c r="AW18" s="1279"/>
      <c r="AX18" s="1279"/>
      <c r="AY18" s="1278"/>
      <c r="AZ18" s="1279"/>
      <c r="BA18" s="1279"/>
      <c r="BB18" s="1279"/>
      <c r="BC18" s="1278"/>
      <c r="BD18" s="1279"/>
      <c r="BE18" s="1279"/>
      <c r="BF18" s="1279"/>
      <c r="BG18" s="1278"/>
      <c r="BH18" s="1279"/>
      <c r="BI18" s="1279"/>
      <c r="BJ18" s="1279"/>
      <c r="BK18" s="1278"/>
      <c r="BL18" s="1279"/>
      <c r="BM18" s="1279"/>
      <c r="BN18" s="1279"/>
      <c r="BO18" s="1278"/>
      <c r="BP18" s="1279"/>
      <c r="BQ18" s="1279"/>
      <c r="BR18" s="1279"/>
      <c r="BS18" s="1278"/>
      <c r="BT18" s="1279"/>
      <c r="BU18" s="1279"/>
      <c r="BV18" s="1279"/>
      <c r="BW18" s="1278"/>
      <c r="BX18" s="1279"/>
      <c r="BY18" s="1279"/>
      <c r="BZ18" s="1279"/>
      <c r="CA18" s="1278"/>
      <c r="CB18" s="1279"/>
      <c r="CC18" s="1279"/>
      <c r="CD18" s="1279"/>
      <c r="CE18" s="1278"/>
      <c r="CF18" s="1279"/>
      <c r="CG18" s="1279">
        <v>8</v>
      </c>
      <c r="CH18" s="1279"/>
      <c r="CI18" s="1264">
        <f>CF18+CG18+CH18</f>
        <v>8</v>
      </c>
      <c r="CJ18" s="1279"/>
      <c r="CK18" s="1279">
        <v>6</v>
      </c>
      <c r="CL18" s="1279"/>
      <c r="CM18" s="1264">
        <f>CJ18+CK18+CL18</f>
        <v>6</v>
      </c>
      <c r="CN18" s="1279"/>
      <c r="CO18" s="1279">
        <v>13</v>
      </c>
      <c r="CP18" s="1279"/>
      <c r="CQ18" s="1264">
        <f>CN18+CO18+CP18</f>
        <v>13</v>
      </c>
      <c r="CR18" s="1279"/>
      <c r="CS18" s="1279">
        <v>14</v>
      </c>
      <c r="CT18" s="1279"/>
      <c r="CU18" s="1264">
        <f>CR18+CS18+CT18</f>
        <v>14</v>
      </c>
    </row>
    <row r="19" spans="2:99" ht="14.4" x14ac:dyDescent="0.3">
      <c r="B19" s="5841"/>
      <c r="C19" s="1275" t="s">
        <v>1537</v>
      </c>
      <c r="D19" s="1276"/>
      <c r="E19" s="1277"/>
      <c r="F19" s="1277"/>
      <c r="G19" s="1278"/>
      <c r="H19" s="1276"/>
      <c r="I19" s="1277"/>
      <c r="J19" s="1277"/>
      <c r="K19" s="1278"/>
      <c r="L19" s="1276"/>
      <c r="M19" s="1277"/>
      <c r="N19" s="1277"/>
      <c r="O19" s="1278"/>
      <c r="P19" s="1276"/>
      <c r="Q19" s="1277"/>
      <c r="R19" s="1277"/>
      <c r="S19" s="1278"/>
      <c r="T19" s="1276"/>
      <c r="U19" s="1277"/>
      <c r="V19" s="1277"/>
      <c r="W19" s="1278"/>
      <c r="X19" s="1279"/>
      <c r="Y19" s="1279"/>
      <c r="Z19" s="1279"/>
      <c r="AA19" s="1278"/>
      <c r="AB19" s="1279"/>
      <c r="AC19" s="1279"/>
      <c r="AD19" s="1279"/>
      <c r="AE19" s="1278"/>
      <c r="AF19" s="1279"/>
      <c r="AG19" s="1279"/>
      <c r="AH19" s="1279"/>
      <c r="AI19" s="1278"/>
      <c r="AJ19" s="1279"/>
      <c r="AK19" s="1279"/>
      <c r="AL19" s="1279"/>
      <c r="AM19" s="1278"/>
      <c r="AN19" s="1279"/>
      <c r="AO19" s="1279"/>
      <c r="AP19" s="1279"/>
      <c r="AQ19" s="1278"/>
      <c r="AR19" s="1279"/>
      <c r="AS19" s="1279"/>
      <c r="AT19" s="1279"/>
      <c r="AU19" s="1278"/>
      <c r="AV19" s="1279"/>
      <c r="AW19" s="1279"/>
      <c r="AX19" s="1279"/>
      <c r="AY19" s="1278"/>
      <c r="AZ19" s="1279"/>
      <c r="BA19" s="1279"/>
      <c r="BB19" s="1279"/>
      <c r="BC19" s="1278"/>
      <c r="BD19" s="1279"/>
      <c r="BE19" s="1279"/>
      <c r="BF19" s="1279"/>
      <c r="BG19" s="1278"/>
      <c r="BH19" s="1279"/>
      <c r="BI19" s="1279"/>
      <c r="BJ19" s="1279"/>
      <c r="BK19" s="1278"/>
      <c r="BL19" s="1279"/>
      <c r="BM19" s="1279"/>
      <c r="BN19" s="1279"/>
      <c r="BO19" s="1278"/>
      <c r="BP19" s="1279"/>
      <c r="BQ19" s="1279"/>
      <c r="BR19" s="1279"/>
      <c r="BS19" s="1278"/>
      <c r="BT19" s="1279"/>
      <c r="BU19" s="1279"/>
      <c r="BV19" s="1279"/>
      <c r="BW19" s="1278"/>
      <c r="BX19" s="1279"/>
      <c r="BY19" s="1279"/>
      <c r="BZ19" s="1279"/>
      <c r="CA19" s="1278"/>
      <c r="CB19" s="1279"/>
      <c r="CC19" s="1279"/>
      <c r="CD19" s="1279"/>
      <c r="CE19" s="1278"/>
      <c r="CF19" s="1279"/>
      <c r="CG19" s="1279"/>
      <c r="CH19" s="1279"/>
      <c r="CI19" s="1264"/>
      <c r="CJ19" s="1279"/>
      <c r="CK19" s="1279"/>
      <c r="CL19" s="1279"/>
      <c r="CM19" s="1264"/>
      <c r="CN19" s="1279"/>
      <c r="CO19" s="1279"/>
      <c r="CP19" s="1279"/>
      <c r="CQ19" s="1264"/>
      <c r="CR19" s="1279"/>
      <c r="CS19" s="1279">
        <v>9</v>
      </c>
      <c r="CT19" s="1279"/>
      <c r="CU19" s="1264">
        <f>CR19+CS19+CT19</f>
        <v>9</v>
      </c>
    </row>
    <row r="20" spans="2:99" ht="14.4" x14ac:dyDescent="0.3">
      <c r="B20" s="5841"/>
      <c r="C20" s="1261" t="s">
        <v>324</v>
      </c>
      <c r="D20" s="1262"/>
      <c r="E20" s="1280"/>
      <c r="F20" s="1280"/>
      <c r="G20" s="1264"/>
      <c r="H20" s="1262"/>
      <c r="I20" s="1280"/>
      <c r="J20" s="1280"/>
      <c r="K20" s="1264"/>
      <c r="L20" s="1262"/>
      <c r="M20" s="1280"/>
      <c r="N20" s="1280"/>
      <c r="O20" s="1264"/>
      <c r="P20" s="1262"/>
      <c r="Q20" s="1280"/>
      <c r="R20" s="1280"/>
      <c r="S20" s="1264"/>
      <c r="T20" s="1262"/>
      <c r="U20" s="1280"/>
      <c r="V20" s="1280"/>
      <c r="W20" s="1264"/>
      <c r="X20" s="1263"/>
      <c r="Y20" s="1263"/>
      <c r="Z20" s="1263">
        <v>18</v>
      </c>
      <c r="AA20" s="1264">
        <f>SUM(X20:Z20)</f>
        <v>18</v>
      </c>
      <c r="AB20" s="1263"/>
      <c r="AC20" s="1263"/>
      <c r="AD20" s="1263">
        <v>9</v>
      </c>
      <c r="AE20" s="1264">
        <f>SUM(AB20:AD20)</f>
        <v>9</v>
      </c>
      <c r="AF20" s="1263"/>
      <c r="AG20" s="1263"/>
      <c r="AH20" s="1263">
        <v>20</v>
      </c>
      <c r="AI20" s="1264">
        <f>SUM(AF20:AH20)</f>
        <v>20</v>
      </c>
      <c r="AJ20" s="1263"/>
      <c r="AK20" s="1263"/>
      <c r="AL20" s="1263">
        <v>13</v>
      </c>
      <c r="AM20" s="1264">
        <f>SUM(AJ20:AL20)</f>
        <v>13</v>
      </c>
      <c r="AN20" s="1263"/>
      <c r="AO20" s="1263"/>
      <c r="AP20" s="1263">
        <v>11</v>
      </c>
      <c r="AQ20" s="1264">
        <f>SUM(AN20:AP20)</f>
        <v>11</v>
      </c>
      <c r="AR20" s="1263"/>
      <c r="AS20" s="1263"/>
      <c r="AT20" s="1263"/>
      <c r="AU20" s="1264"/>
      <c r="AV20" s="1263"/>
      <c r="AW20" s="1263"/>
      <c r="AX20" s="1263">
        <v>12</v>
      </c>
      <c r="AY20" s="1264">
        <f>AV20+AW20+AX20</f>
        <v>12</v>
      </c>
      <c r="AZ20" s="1263"/>
      <c r="BA20" s="1263"/>
      <c r="BB20" s="1263">
        <v>10</v>
      </c>
      <c r="BC20" s="1264">
        <f>AZ20+BA20+BB20</f>
        <v>10</v>
      </c>
      <c r="BD20" s="1263"/>
      <c r="BE20" s="1263"/>
      <c r="BF20" s="1263"/>
      <c r="BG20" s="1264"/>
      <c r="BH20" s="1263"/>
      <c r="BI20" s="1263"/>
      <c r="BJ20" s="1263">
        <v>10</v>
      </c>
      <c r="BK20" s="1264">
        <f>BH20+BI20+BJ20</f>
        <v>10</v>
      </c>
      <c r="BL20" s="1263"/>
      <c r="BM20" s="1263"/>
      <c r="BN20" s="1263"/>
      <c r="BO20" s="1264">
        <f>BL20+BM20+BN20</f>
        <v>0</v>
      </c>
      <c r="BP20" s="1263"/>
      <c r="BQ20" s="1263"/>
      <c r="BR20" s="1263">
        <v>9</v>
      </c>
      <c r="BS20" s="1264">
        <f>BP20+BQ20+BR20</f>
        <v>9</v>
      </c>
      <c r="BT20" s="1263"/>
      <c r="BU20" s="1263"/>
      <c r="BV20" s="1263"/>
      <c r="BW20" s="1264">
        <f>BT20+BU20+BV20</f>
        <v>0</v>
      </c>
      <c r="BX20" s="1263"/>
      <c r="BY20" s="1263"/>
      <c r="BZ20" s="1263"/>
      <c r="CA20" s="1264">
        <f>BX20+BY20+BZ20</f>
        <v>0</v>
      </c>
      <c r="CB20" s="1263"/>
      <c r="CC20" s="1263"/>
      <c r="CD20" s="1263"/>
      <c r="CE20" s="1264">
        <f>CB20+CC20+CD20</f>
        <v>0</v>
      </c>
      <c r="CF20" s="1263"/>
      <c r="CG20" s="1263">
        <v>7</v>
      </c>
      <c r="CH20" s="1263"/>
      <c r="CI20" s="1264">
        <f>CF20+CG20+CH20</f>
        <v>7</v>
      </c>
      <c r="CJ20" s="1263"/>
      <c r="CK20" s="1263"/>
      <c r="CL20" s="1263"/>
      <c r="CM20" s="1264">
        <f>CJ20+CK20+CL20</f>
        <v>0</v>
      </c>
      <c r="CN20" s="1263"/>
      <c r="CO20" s="1263"/>
      <c r="CP20" s="1263"/>
      <c r="CQ20" s="1264">
        <f>CN20+CO20+CP20</f>
        <v>0</v>
      </c>
      <c r="CR20" s="1263"/>
      <c r="CS20" s="1263"/>
      <c r="CT20" s="1263"/>
      <c r="CU20" s="1264">
        <f>CR20+CS20+CT20</f>
        <v>0</v>
      </c>
    </row>
    <row r="21" spans="2:99" ht="14.4" x14ac:dyDescent="0.3">
      <c r="B21" s="5842"/>
      <c r="C21" s="1261" t="s">
        <v>325</v>
      </c>
      <c r="D21" s="1262"/>
      <c r="E21" s="1280"/>
      <c r="F21" s="1280"/>
      <c r="G21" s="1264"/>
      <c r="H21" s="1262"/>
      <c r="I21" s="1280"/>
      <c r="J21" s="1280"/>
      <c r="K21" s="1264"/>
      <c r="L21" s="1262"/>
      <c r="M21" s="1280"/>
      <c r="N21" s="1280"/>
      <c r="O21" s="1264"/>
      <c r="P21" s="1262"/>
      <c r="Q21" s="1280"/>
      <c r="R21" s="1280"/>
      <c r="S21" s="1264"/>
      <c r="T21" s="1262"/>
      <c r="U21" s="1280"/>
      <c r="V21" s="1280"/>
      <c r="W21" s="1264"/>
      <c r="X21" s="1263"/>
      <c r="Y21" s="1263"/>
      <c r="Z21" s="1263"/>
      <c r="AA21" s="1264"/>
      <c r="AB21" s="1263"/>
      <c r="AC21" s="1263"/>
      <c r="AD21" s="1263"/>
      <c r="AE21" s="1264"/>
      <c r="AF21" s="1263"/>
      <c r="AG21" s="1263"/>
      <c r="AH21" s="1263"/>
      <c r="AI21" s="1264"/>
      <c r="AJ21" s="1263"/>
      <c r="AK21" s="1263"/>
      <c r="AL21" s="1263">
        <v>5</v>
      </c>
      <c r="AM21" s="1264">
        <f>SUM(AJ21:AL21)</f>
        <v>5</v>
      </c>
      <c r="AN21" s="1263"/>
      <c r="AO21" s="1263"/>
      <c r="AP21" s="1263"/>
      <c r="AQ21" s="1264"/>
      <c r="AR21" s="1263"/>
      <c r="AS21" s="1263"/>
      <c r="AT21" s="1263"/>
      <c r="AU21" s="1264"/>
      <c r="AV21" s="1263"/>
      <c r="AW21" s="1263"/>
      <c r="AX21" s="1263"/>
      <c r="AY21" s="1264"/>
      <c r="AZ21" s="1263"/>
      <c r="BA21" s="1263"/>
      <c r="BB21" s="1263"/>
      <c r="BC21" s="1264"/>
      <c r="BD21" s="1263"/>
      <c r="BE21" s="1263">
        <v>1</v>
      </c>
      <c r="BF21" s="1263"/>
      <c r="BG21" s="1264">
        <f>SUM(BD21:BF21)</f>
        <v>1</v>
      </c>
      <c r="BH21" s="1263"/>
      <c r="BI21" s="1263"/>
      <c r="BJ21" s="1263"/>
      <c r="BK21" s="1264">
        <f t="shared" ref="BK21:BK32" si="3">BH21+BI21+BJ21</f>
        <v>0</v>
      </c>
      <c r="BL21" s="1263"/>
      <c r="BM21" s="1263"/>
      <c r="BN21" s="1263"/>
      <c r="BO21" s="1264">
        <f t="shared" ref="BO21:BO32" si="4">BL21+BM21+BN21</f>
        <v>0</v>
      </c>
      <c r="BP21" s="1263"/>
      <c r="BQ21" s="1263"/>
      <c r="BR21" s="1263"/>
      <c r="BS21" s="1264">
        <f t="shared" ref="BS21:BS32" si="5">BP21+BQ21+BR21</f>
        <v>0</v>
      </c>
      <c r="BT21" s="1263"/>
      <c r="BU21" s="1263"/>
      <c r="BV21" s="1263"/>
      <c r="BW21" s="1264">
        <f t="shared" ref="BW21:BW32" si="6">BT21+BU21+BV21</f>
        <v>0</v>
      </c>
      <c r="BX21" s="1263"/>
      <c r="BY21" s="1263"/>
      <c r="BZ21" s="1263"/>
      <c r="CA21" s="1264">
        <f t="shared" ref="CA21:CA35" si="7">BX21+BY21+BZ21</f>
        <v>0</v>
      </c>
      <c r="CB21" s="1263"/>
      <c r="CC21" s="1263"/>
      <c r="CD21" s="1263"/>
      <c r="CE21" s="1264">
        <f t="shared" ref="CE21:CE35" si="8">CB21+CC21+CD21</f>
        <v>0</v>
      </c>
      <c r="CF21" s="1263"/>
      <c r="CG21" s="1263"/>
      <c r="CH21" s="1263"/>
      <c r="CI21" s="1264">
        <f t="shared" ref="CI21:CI35" si="9">CF21+CG21+CH21</f>
        <v>0</v>
      </c>
      <c r="CJ21" s="1263"/>
      <c r="CK21" s="1263"/>
      <c r="CL21" s="1263"/>
      <c r="CM21" s="1264">
        <f t="shared" ref="CM21:CM35" si="10">CJ21+CK21+CL21</f>
        <v>0</v>
      </c>
      <c r="CN21" s="1263"/>
      <c r="CO21" s="1263"/>
      <c r="CP21" s="1263"/>
      <c r="CQ21" s="1264">
        <f t="shared" ref="CQ21:CQ35" si="11">CN21+CO21+CP21</f>
        <v>0</v>
      </c>
      <c r="CR21" s="1263"/>
      <c r="CS21" s="1263"/>
      <c r="CT21" s="1263"/>
      <c r="CU21" s="1264">
        <f t="shared" ref="CU21:CU35" si="12">CR21+CS21+CT21</f>
        <v>0</v>
      </c>
    </row>
    <row r="22" spans="2:99" ht="14.4" x14ac:dyDescent="0.3">
      <c r="B22" s="5837" t="s">
        <v>310</v>
      </c>
      <c r="C22" s="4402" t="s">
        <v>326</v>
      </c>
      <c r="D22" s="4403"/>
      <c r="E22" s="4408"/>
      <c r="F22" s="4408"/>
      <c r="G22" s="4405"/>
      <c r="H22" s="4403"/>
      <c r="I22" s="4408"/>
      <c r="J22" s="4408"/>
      <c r="K22" s="4405"/>
      <c r="L22" s="4403"/>
      <c r="M22" s="4408"/>
      <c r="N22" s="4408"/>
      <c r="O22" s="4405"/>
      <c r="P22" s="4403"/>
      <c r="Q22" s="4408"/>
      <c r="R22" s="4408"/>
      <c r="S22" s="4405"/>
      <c r="T22" s="4403"/>
      <c r="U22" s="4408"/>
      <c r="V22" s="4408"/>
      <c r="W22" s="4405"/>
      <c r="X22" s="4404"/>
      <c r="Y22" s="4404"/>
      <c r="Z22" s="4404"/>
      <c r="AA22" s="4405"/>
      <c r="AB22" s="4404"/>
      <c r="AC22" s="4404"/>
      <c r="AD22" s="4404"/>
      <c r="AE22" s="4405"/>
      <c r="AF22" s="4404"/>
      <c r="AG22" s="4404"/>
      <c r="AH22" s="4404"/>
      <c r="AI22" s="4405"/>
      <c r="AJ22" s="4404"/>
      <c r="AK22" s="4404"/>
      <c r="AL22" s="4404">
        <v>10</v>
      </c>
      <c r="AM22" s="4405">
        <f>SUM(AJ22:AL22)</f>
        <v>10</v>
      </c>
      <c r="AN22" s="4404"/>
      <c r="AO22" s="4404"/>
      <c r="AP22" s="4404"/>
      <c r="AQ22" s="4405"/>
      <c r="AR22" s="4404"/>
      <c r="AS22" s="4404"/>
      <c r="AT22" s="4404">
        <v>14</v>
      </c>
      <c r="AU22" s="4405">
        <f>SUM(AR22:AT22)</f>
        <v>14</v>
      </c>
      <c r="AV22" s="4404"/>
      <c r="AW22" s="4404"/>
      <c r="AX22" s="4404"/>
      <c r="AY22" s="4405"/>
      <c r="AZ22" s="4404"/>
      <c r="BA22" s="4404"/>
      <c r="BB22" s="4404">
        <v>10</v>
      </c>
      <c r="BC22" s="4405">
        <f>AZ22+BA22+BB22</f>
        <v>10</v>
      </c>
      <c r="BD22" s="4404"/>
      <c r="BE22" s="4404"/>
      <c r="BF22" s="4404"/>
      <c r="BG22" s="4405"/>
      <c r="BH22" s="4404"/>
      <c r="BI22" s="4404"/>
      <c r="BJ22" s="4404">
        <v>12</v>
      </c>
      <c r="BK22" s="4405">
        <f t="shared" si="3"/>
        <v>12</v>
      </c>
      <c r="BL22" s="4404"/>
      <c r="BM22" s="4404"/>
      <c r="BN22" s="4404"/>
      <c r="BO22" s="4405">
        <f t="shared" si="4"/>
        <v>0</v>
      </c>
      <c r="BP22" s="4404"/>
      <c r="BQ22" s="4404"/>
      <c r="BR22" s="4404">
        <v>6</v>
      </c>
      <c r="BS22" s="4405">
        <f t="shared" si="5"/>
        <v>6</v>
      </c>
      <c r="BT22" s="4404"/>
      <c r="BU22" s="4404"/>
      <c r="BV22" s="4404"/>
      <c r="BW22" s="4405">
        <f t="shared" si="6"/>
        <v>0</v>
      </c>
      <c r="BX22" s="4404"/>
      <c r="BY22" s="4404"/>
      <c r="BZ22" s="4404">
        <v>7</v>
      </c>
      <c r="CA22" s="4405">
        <f t="shared" si="7"/>
        <v>7</v>
      </c>
      <c r="CB22" s="4404"/>
      <c r="CC22" s="4404"/>
      <c r="CD22" s="4404"/>
      <c r="CE22" s="4405">
        <f t="shared" si="8"/>
        <v>0</v>
      </c>
      <c r="CF22" s="4404"/>
      <c r="CG22" s="4404"/>
      <c r="CH22" s="4404">
        <v>9</v>
      </c>
      <c r="CI22" s="4405">
        <f t="shared" si="9"/>
        <v>9</v>
      </c>
      <c r="CJ22" s="4404"/>
      <c r="CK22" s="4404"/>
      <c r="CL22" s="4404"/>
      <c r="CM22" s="4405">
        <f t="shared" si="10"/>
        <v>0</v>
      </c>
      <c r="CN22" s="4404"/>
      <c r="CO22" s="4404"/>
      <c r="CP22" s="4404">
        <v>5</v>
      </c>
      <c r="CQ22" s="4405">
        <f t="shared" si="11"/>
        <v>5</v>
      </c>
      <c r="CR22" s="4404"/>
      <c r="CS22" s="4404"/>
      <c r="CT22" s="4404"/>
      <c r="CU22" s="4405">
        <f t="shared" si="12"/>
        <v>0</v>
      </c>
    </row>
    <row r="23" spans="2:99" ht="14.4" x14ac:dyDescent="0.3">
      <c r="B23" s="5838"/>
      <c r="C23" s="4402" t="s">
        <v>327</v>
      </c>
      <c r="D23" s="4403"/>
      <c r="E23" s="4408"/>
      <c r="F23" s="4408">
        <v>7</v>
      </c>
      <c r="G23" s="4405">
        <v>7</v>
      </c>
      <c r="H23" s="4403"/>
      <c r="I23" s="4408"/>
      <c r="J23" s="4408">
        <v>26</v>
      </c>
      <c r="K23" s="4405">
        <v>26</v>
      </c>
      <c r="L23" s="4403"/>
      <c r="M23" s="4408"/>
      <c r="N23" s="4408"/>
      <c r="O23" s="4405"/>
      <c r="P23" s="4403"/>
      <c r="Q23" s="4408"/>
      <c r="R23" s="4408">
        <v>14</v>
      </c>
      <c r="S23" s="4405">
        <v>14</v>
      </c>
      <c r="T23" s="4403"/>
      <c r="U23" s="4408"/>
      <c r="V23" s="4408"/>
      <c r="W23" s="4405"/>
      <c r="X23" s="4404"/>
      <c r="Y23" s="4404"/>
      <c r="Z23" s="4404">
        <v>26</v>
      </c>
      <c r="AA23" s="4405">
        <f>SUM(X23:Z23)</f>
        <v>26</v>
      </c>
      <c r="AB23" s="4404"/>
      <c r="AC23" s="4404"/>
      <c r="AD23" s="4404"/>
      <c r="AE23" s="4405"/>
      <c r="AF23" s="4404"/>
      <c r="AG23" s="4404"/>
      <c r="AH23" s="4404"/>
      <c r="AI23" s="4405"/>
      <c r="AJ23" s="4404"/>
      <c r="AK23" s="4404"/>
      <c r="AL23" s="4404"/>
      <c r="AM23" s="4405"/>
      <c r="AN23" s="4404"/>
      <c r="AO23" s="4404"/>
      <c r="AP23" s="4404"/>
      <c r="AQ23" s="4405"/>
      <c r="AR23" s="4404"/>
      <c r="AS23" s="4404"/>
      <c r="AT23" s="4404"/>
      <c r="AU23" s="4405"/>
      <c r="AV23" s="4404"/>
      <c r="AW23" s="4404"/>
      <c r="AX23" s="4404"/>
      <c r="AY23" s="4405"/>
      <c r="AZ23" s="4404"/>
      <c r="BA23" s="4404"/>
      <c r="BB23" s="4404"/>
      <c r="BC23" s="4405"/>
      <c r="BD23" s="4404"/>
      <c r="BE23" s="4404"/>
      <c r="BF23" s="4404"/>
      <c r="BG23" s="4405"/>
      <c r="BH23" s="4404"/>
      <c r="BI23" s="4404"/>
      <c r="BJ23" s="4404"/>
      <c r="BK23" s="4405">
        <f t="shared" si="3"/>
        <v>0</v>
      </c>
      <c r="BL23" s="4404"/>
      <c r="BM23" s="4404"/>
      <c r="BN23" s="4404"/>
      <c r="BO23" s="4405">
        <f t="shared" si="4"/>
        <v>0</v>
      </c>
      <c r="BP23" s="4404"/>
      <c r="BQ23" s="4404"/>
      <c r="BR23" s="4404"/>
      <c r="BS23" s="4405">
        <f t="shared" si="5"/>
        <v>0</v>
      </c>
      <c r="BT23" s="4404"/>
      <c r="BU23" s="4404"/>
      <c r="BV23" s="4404"/>
      <c r="BW23" s="4405">
        <f t="shared" si="6"/>
        <v>0</v>
      </c>
      <c r="BX23" s="4404"/>
      <c r="BY23" s="4404"/>
      <c r="BZ23" s="4404"/>
      <c r="CA23" s="4405">
        <f t="shared" si="7"/>
        <v>0</v>
      </c>
      <c r="CB23" s="4404"/>
      <c r="CC23" s="4404"/>
      <c r="CD23" s="4404"/>
      <c r="CE23" s="4405">
        <f t="shared" si="8"/>
        <v>0</v>
      </c>
      <c r="CF23" s="4404"/>
      <c r="CG23" s="4404"/>
      <c r="CH23" s="4404"/>
      <c r="CI23" s="4405">
        <f t="shared" si="9"/>
        <v>0</v>
      </c>
      <c r="CJ23" s="4404"/>
      <c r="CK23" s="4404"/>
      <c r="CL23" s="4404"/>
      <c r="CM23" s="4405">
        <f t="shared" si="10"/>
        <v>0</v>
      </c>
      <c r="CN23" s="4404"/>
      <c r="CO23" s="4404"/>
      <c r="CP23" s="4404"/>
      <c r="CQ23" s="4405">
        <f t="shared" si="11"/>
        <v>0</v>
      </c>
      <c r="CR23" s="4404"/>
      <c r="CS23" s="4404"/>
      <c r="CT23" s="4404"/>
      <c r="CU23" s="4405">
        <f t="shared" si="12"/>
        <v>0</v>
      </c>
    </row>
    <row r="24" spans="2:99" ht="14.4" x14ac:dyDescent="0.3">
      <c r="B24" s="5838"/>
      <c r="C24" s="4406" t="s">
        <v>328</v>
      </c>
      <c r="D24" s="4403"/>
      <c r="E24" s="4408"/>
      <c r="F24" s="4408"/>
      <c r="G24" s="4405"/>
      <c r="H24" s="4403"/>
      <c r="I24" s="4408"/>
      <c r="J24" s="4408"/>
      <c r="K24" s="4405"/>
      <c r="L24" s="4403"/>
      <c r="M24" s="4408"/>
      <c r="N24" s="4408"/>
      <c r="O24" s="4405"/>
      <c r="P24" s="4403"/>
      <c r="Q24" s="4408"/>
      <c r="R24" s="4408"/>
      <c r="S24" s="4405"/>
      <c r="T24" s="4403"/>
      <c r="U24" s="4408"/>
      <c r="V24" s="4408"/>
      <c r="W24" s="4405"/>
      <c r="X24" s="4404"/>
      <c r="Y24" s="4404"/>
      <c r="Z24" s="4404"/>
      <c r="AA24" s="4405"/>
      <c r="AB24" s="4404"/>
      <c r="AC24" s="4404"/>
      <c r="AD24" s="4404"/>
      <c r="AE24" s="4405"/>
      <c r="AF24" s="4404">
        <v>2</v>
      </c>
      <c r="AG24" s="4404"/>
      <c r="AH24" s="4404"/>
      <c r="AI24" s="4405">
        <f>SUM(AF24:AH24)</f>
        <v>2</v>
      </c>
      <c r="AJ24" s="4404"/>
      <c r="AK24" s="4404"/>
      <c r="AL24" s="4404"/>
      <c r="AM24" s="4405"/>
      <c r="AN24" s="4404"/>
      <c r="AO24" s="4404"/>
      <c r="AP24" s="4404"/>
      <c r="AQ24" s="4405"/>
      <c r="AR24" s="4404"/>
      <c r="AS24" s="4404"/>
      <c r="AT24" s="4404"/>
      <c r="AU24" s="4405"/>
      <c r="AV24" s="4404"/>
      <c r="AW24" s="4404"/>
      <c r="AX24" s="4404"/>
      <c r="AY24" s="4405"/>
      <c r="AZ24" s="4404"/>
      <c r="BA24" s="4404"/>
      <c r="BB24" s="4404"/>
      <c r="BC24" s="4405"/>
      <c r="BD24" s="4404"/>
      <c r="BE24" s="4404"/>
      <c r="BF24" s="4404"/>
      <c r="BG24" s="4405"/>
      <c r="BH24" s="4404"/>
      <c r="BI24" s="4404"/>
      <c r="BJ24" s="4404"/>
      <c r="BK24" s="4405">
        <f t="shared" si="3"/>
        <v>0</v>
      </c>
      <c r="BL24" s="4404"/>
      <c r="BM24" s="4404"/>
      <c r="BN24" s="4404"/>
      <c r="BO24" s="4405">
        <f t="shared" si="4"/>
        <v>0</v>
      </c>
      <c r="BP24" s="4404"/>
      <c r="BQ24" s="4404"/>
      <c r="BR24" s="4404"/>
      <c r="BS24" s="4405">
        <f t="shared" si="5"/>
        <v>0</v>
      </c>
      <c r="BT24" s="4404"/>
      <c r="BU24" s="4404"/>
      <c r="BV24" s="4404"/>
      <c r="BW24" s="4405">
        <f t="shared" si="6"/>
        <v>0</v>
      </c>
      <c r="BX24" s="4404"/>
      <c r="BY24" s="4404"/>
      <c r="BZ24" s="4404"/>
      <c r="CA24" s="4405">
        <f t="shared" si="7"/>
        <v>0</v>
      </c>
      <c r="CB24" s="4404"/>
      <c r="CC24" s="4404"/>
      <c r="CD24" s="4404"/>
      <c r="CE24" s="4405">
        <f t="shared" si="8"/>
        <v>0</v>
      </c>
      <c r="CF24" s="4404">
        <v>10</v>
      </c>
      <c r="CG24" s="4404"/>
      <c r="CH24" s="4404"/>
      <c r="CI24" s="4405">
        <f t="shared" si="9"/>
        <v>10</v>
      </c>
      <c r="CJ24" s="4404">
        <v>11</v>
      </c>
      <c r="CK24" s="4404"/>
      <c r="CL24" s="4404"/>
      <c r="CM24" s="4405">
        <f t="shared" si="10"/>
        <v>11</v>
      </c>
      <c r="CN24" s="4404"/>
      <c r="CO24" s="4404"/>
      <c r="CP24" s="4404"/>
      <c r="CQ24" s="4405">
        <f t="shared" si="11"/>
        <v>0</v>
      </c>
      <c r="CR24" s="4404"/>
      <c r="CS24" s="4404"/>
      <c r="CT24" s="4404"/>
      <c r="CU24" s="4405">
        <f t="shared" si="12"/>
        <v>0</v>
      </c>
    </row>
    <row r="25" spans="2:99" ht="14.4" x14ac:dyDescent="0.3">
      <c r="B25" s="5838"/>
      <c r="C25" s="4402" t="s">
        <v>329</v>
      </c>
      <c r="D25" s="4409"/>
      <c r="E25" s="4408"/>
      <c r="F25" s="4408"/>
      <c r="G25" s="4405"/>
      <c r="H25" s="4409"/>
      <c r="I25" s="4408"/>
      <c r="J25" s="4408"/>
      <c r="K25" s="4405"/>
      <c r="L25" s="4409"/>
      <c r="M25" s="4408"/>
      <c r="N25" s="4408"/>
      <c r="O25" s="4405"/>
      <c r="P25" s="4409"/>
      <c r="Q25" s="4408"/>
      <c r="R25" s="4408"/>
      <c r="S25" s="4405"/>
      <c r="T25" s="4409"/>
      <c r="U25" s="4408"/>
      <c r="V25" s="4408"/>
      <c r="W25" s="4405"/>
      <c r="X25" s="4404"/>
      <c r="Y25" s="4404"/>
      <c r="Z25" s="4404"/>
      <c r="AA25" s="4405"/>
      <c r="AB25" s="4404"/>
      <c r="AC25" s="4404"/>
      <c r="AD25" s="4404">
        <v>20</v>
      </c>
      <c r="AE25" s="4405">
        <f>SUM(AB25:AD25)</f>
        <v>20</v>
      </c>
      <c r="AF25" s="4404"/>
      <c r="AG25" s="4404"/>
      <c r="AH25" s="4404"/>
      <c r="AI25" s="4405"/>
      <c r="AJ25" s="4404"/>
      <c r="AK25" s="4404"/>
      <c r="AL25" s="4404">
        <v>22</v>
      </c>
      <c r="AM25" s="4405">
        <f>SUM(AJ25:AL25)</f>
        <v>22</v>
      </c>
      <c r="AN25" s="4404"/>
      <c r="AO25" s="4404"/>
      <c r="AP25" s="4404"/>
      <c r="AQ25" s="4405"/>
      <c r="AR25" s="4404"/>
      <c r="AS25" s="4404"/>
      <c r="AT25" s="4404">
        <v>15</v>
      </c>
      <c r="AU25" s="4405">
        <f>SUM(AR25:AT25)</f>
        <v>15</v>
      </c>
      <c r="AV25" s="4404"/>
      <c r="AW25" s="4404"/>
      <c r="AX25" s="4404"/>
      <c r="AY25" s="4405"/>
      <c r="AZ25" s="4404"/>
      <c r="BA25" s="4404"/>
      <c r="BB25" s="4404"/>
      <c r="BC25" s="4405"/>
      <c r="BD25" s="4404">
        <v>15</v>
      </c>
      <c r="BE25" s="4404"/>
      <c r="BF25" s="4404"/>
      <c r="BG25" s="4405">
        <f>BD25+BE25+BF25</f>
        <v>15</v>
      </c>
      <c r="BH25" s="4404"/>
      <c r="BI25" s="4404"/>
      <c r="BJ25" s="4404"/>
      <c r="BK25" s="4405">
        <f t="shared" si="3"/>
        <v>0</v>
      </c>
      <c r="BL25" s="4404">
        <v>24</v>
      </c>
      <c r="BM25" s="4404"/>
      <c r="BN25" s="4404"/>
      <c r="BO25" s="4405">
        <f t="shared" si="4"/>
        <v>24</v>
      </c>
      <c r="BP25" s="4404"/>
      <c r="BQ25" s="4404"/>
      <c r="BR25" s="4404">
        <v>17</v>
      </c>
      <c r="BS25" s="4405">
        <f t="shared" si="5"/>
        <v>17</v>
      </c>
      <c r="BT25" s="4404"/>
      <c r="BU25" s="4404"/>
      <c r="BV25" s="4404"/>
      <c r="BW25" s="4405">
        <f t="shared" si="6"/>
        <v>0</v>
      </c>
      <c r="BX25" s="4404"/>
      <c r="BY25" s="4404"/>
      <c r="BZ25" s="4404">
        <v>21</v>
      </c>
      <c r="CA25" s="4405">
        <f t="shared" si="7"/>
        <v>21</v>
      </c>
      <c r="CB25" s="4404"/>
      <c r="CC25" s="4404"/>
      <c r="CD25" s="4404"/>
      <c r="CE25" s="4405">
        <f t="shared" si="8"/>
        <v>0</v>
      </c>
      <c r="CF25" s="4404"/>
      <c r="CG25" s="4404"/>
      <c r="CH25" s="4404">
        <v>19</v>
      </c>
      <c r="CI25" s="4405">
        <f t="shared" si="9"/>
        <v>19</v>
      </c>
      <c r="CJ25" s="4404"/>
      <c r="CK25" s="4404"/>
      <c r="CL25" s="4404"/>
      <c r="CM25" s="4405">
        <f t="shared" si="10"/>
        <v>0</v>
      </c>
      <c r="CN25" s="4404"/>
      <c r="CO25" s="4404"/>
      <c r="CP25" s="4404"/>
      <c r="CQ25" s="4405">
        <f t="shared" si="11"/>
        <v>0</v>
      </c>
      <c r="CR25" s="4404">
        <v>27</v>
      </c>
      <c r="CS25" s="4404"/>
      <c r="CT25" s="4404"/>
      <c r="CU25" s="4405">
        <f t="shared" si="12"/>
        <v>27</v>
      </c>
    </row>
    <row r="26" spans="2:99" ht="14.4" x14ac:dyDescent="0.3">
      <c r="B26" s="5838"/>
      <c r="C26" s="4402" t="s">
        <v>330</v>
      </c>
      <c r="D26" s="4409"/>
      <c r="E26" s="4408"/>
      <c r="F26" s="4408">
        <v>16</v>
      </c>
      <c r="G26" s="4405">
        <v>16</v>
      </c>
      <c r="H26" s="4409"/>
      <c r="I26" s="4408"/>
      <c r="J26" s="4408"/>
      <c r="K26" s="4405"/>
      <c r="L26" s="4409"/>
      <c r="M26" s="4408"/>
      <c r="N26" s="4408"/>
      <c r="O26" s="4405"/>
      <c r="P26" s="4409">
        <v>16</v>
      </c>
      <c r="Q26" s="4408"/>
      <c r="R26" s="4408">
        <v>0</v>
      </c>
      <c r="S26" s="4405">
        <v>16</v>
      </c>
      <c r="T26" s="4409"/>
      <c r="U26" s="4408"/>
      <c r="V26" s="4408"/>
      <c r="W26" s="4405"/>
      <c r="X26" s="4404">
        <v>9</v>
      </c>
      <c r="Y26" s="4404"/>
      <c r="Z26" s="4404"/>
      <c r="AA26" s="4405">
        <f>SUM(X26:Z26)</f>
        <v>9</v>
      </c>
      <c r="AB26" s="4404">
        <v>8</v>
      </c>
      <c r="AC26" s="4404"/>
      <c r="AD26" s="4404"/>
      <c r="AE26" s="4405">
        <f>SUM(AB26:AD26)</f>
        <v>8</v>
      </c>
      <c r="AF26" s="4404"/>
      <c r="AG26" s="4404"/>
      <c r="AH26" s="4404"/>
      <c r="AI26" s="4405"/>
      <c r="AJ26" s="4404">
        <v>15</v>
      </c>
      <c r="AK26" s="4404"/>
      <c r="AL26" s="4404"/>
      <c r="AM26" s="4405">
        <f>SUM(AJ26:AL26)</f>
        <v>15</v>
      </c>
      <c r="AN26" s="4404">
        <v>9</v>
      </c>
      <c r="AO26" s="4404"/>
      <c r="AP26" s="4404"/>
      <c r="AQ26" s="4405">
        <f>SUM(AN26:AP26)</f>
        <v>9</v>
      </c>
      <c r="AR26" s="4404"/>
      <c r="AS26" s="4404"/>
      <c r="AT26" s="4404">
        <v>18</v>
      </c>
      <c r="AU26" s="4405">
        <f>SUM(AR26:AT26)</f>
        <v>18</v>
      </c>
      <c r="AV26" s="4404"/>
      <c r="AW26" s="4404"/>
      <c r="AX26" s="4404">
        <v>8</v>
      </c>
      <c r="AY26" s="4405">
        <f>AV26+AW26+AX26</f>
        <v>8</v>
      </c>
      <c r="AZ26" s="4404"/>
      <c r="BA26" s="4404"/>
      <c r="BB26" s="4404">
        <v>13</v>
      </c>
      <c r="BC26" s="4405">
        <f>AZ26+BA26+BB26</f>
        <v>13</v>
      </c>
      <c r="BD26" s="4404"/>
      <c r="BE26" s="4404"/>
      <c r="BF26" s="4404">
        <v>12</v>
      </c>
      <c r="BG26" s="4405">
        <f>BD26+BE26+BF26</f>
        <v>12</v>
      </c>
      <c r="BH26" s="4404"/>
      <c r="BI26" s="4404"/>
      <c r="BJ26" s="4404">
        <v>18</v>
      </c>
      <c r="BK26" s="4405">
        <f t="shared" si="3"/>
        <v>18</v>
      </c>
      <c r="BL26" s="4404"/>
      <c r="BM26" s="4404"/>
      <c r="BN26" s="4404">
        <v>10</v>
      </c>
      <c r="BO26" s="4405">
        <f t="shared" si="4"/>
        <v>10</v>
      </c>
      <c r="BP26" s="4404"/>
      <c r="BQ26" s="4404"/>
      <c r="BR26" s="4404"/>
      <c r="BS26" s="4405">
        <f t="shared" si="5"/>
        <v>0</v>
      </c>
      <c r="BT26" s="4404"/>
      <c r="BU26" s="4404"/>
      <c r="BV26" s="4404">
        <v>13</v>
      </c>
      <c r="BW26" s="4405">
        <f t="shared" si="6"/>
        <v>13</v>
      </c>
      <c r="BX26" s="4404"/>
      <c r="BY26" s="4404"/>
      <c r="BZ26" s="4404">
        <v>11</v>
      </c>
      <c r="CA26" s="4405">
        <f t="shared" si="7"/>
        <v>11</v>
      </c>
      <c r="CB26" s="4404"/>
      <c r="CC26" s="4404"/>
      <c r="CD26" s="4404">
        <v>11</v>
      </c>
      <c r="CE26" s="4405">
        <f t="shared" si="8"/>
        <v>11</v>
      </c>
      <c r="CF26" s="4404"/>
      <c r="CG26" s="4404"/>
      <c r="CH26" s="4404">
        <v>13</v>
      </c>
      <c r="CI26" s="4405">
        <f t="shared" si="9"/>
        <v>13</v>
      </c>
      <c r="CJ26" s="4404"/>
      <c r="CK26" s="4404"/>
      <c r="CL26" s="4404"/>
      <c r="CM26" s="4405">
        <f t="shared" si="10"/>
        <v>0</v>
      </c>
      <c r="CN26" s="4404"/>
      <c r="CO26" s="4404"/>
      <c r="CP26" s="4404">
        <v>8</v>
      </c>
      <c r="CQ26" s="4405">
        <f t="shared" si="11"/>
        <v>8</v>
      </c>
      <c r="CR26" s="4404"/>
      <c r="CS26" s="4404"/>
      <c r="CT26" s="4404">
        <v>9</v>
      </c>
      <c r="CU26" s="4405">
        <f t="shared" si="12"/>
        <v>9</v>
      </c>
    </row>
    <row r="27" spans="2:99" ht="14.4" x14ac:dyDescent="0.3">
      <c r="B27" s="5838"/>
      <c r="C27" s="4410" t="s">
        <v>331</v>
      </c>
      <c r="D27" s="4411"/>
      <c r="E27" s="4412"/>
      <c r="F27" s="4412"/>
      <c r="G27" s="4413"/>
      <c r="H27" s="4411"/>
      <c r="I27" s="4412"/>
      <c r="J27" s="4412"/>
      <c r="K27" s="4413"/>
      <c r="L27" s="4411"/>
      <c r="M27" s="4412"/>
      <c r="N27" s="4412"/>
      <c r="O27" s="4413"/>
      <c r="P27" s="4411"/>
      <c r="Q27" s="4412"/>
      <c r="R27" s="4412"/>
      <c r="S27" s="4413"/>
      <c r="T27" s="4411"/>
      <c r="U27" s="4412"/>
      <c r="V27" s="4412"/>
      <c r="W27" s="4413"/>
      <c r="X27" s="4414"/>
      <c r="Y27" s="4414"/>
      <c r="Z27" s="4414"/>
      <c r="AA27" s="4413"/>
      <c r="AB27" s="4414"/>
      <c r="AC27" s="4414"/>
      <c r="AD27" s="4414"/>
      <c r="AE27" s="4413"/>
      <c r="AF27" s="4414"/>
      <c r="AG27" s="4414"/>
      <c r="AH27" s="4414"/>
      <c r="AI27" s="4413"/>
      <c r="AJ27" s="4414"/>
      <c r="AK27" s="4414"/>
      <c r="AL27" s="4414"/>
      <c r="AM27" s="4413"/>
      <c r="AN27" s="4414"/>
      <c r="AO27" s="4414"/>
      <c r="AP27" s="4414"/>
      <c r="AQ27" s="4413"/>
      <c r="AR27" s="4414"/>
      <c r="AS27" s="4414"/>
      <c r="AT27" s="4414"/>
      <c r="AU27" s="4413"/>
      <c r="AV27" s="4414"/>
      <c r="AW27" s="4414"/>
      <c r="AX27" s="4414"/>
      <c r="AY27" s="4405"/>
      <c r="AZ27" s="4414"/>
      <c r="BA27" s="4414"/>
      <c r="BB27" s="4414"/>
      <c r="BC27" s="4405"/>
      <c r="BD27" s="4414"/>
      <c r="BE27" s="4414"/>
      <c r="BF27" s="4414">
        <v>8</v>
      </c>
      <c r="BG27" s="4405">
        <f>BD27+BE27+BF27</f>
        <v>8</v>
      </c>
      <c r="BH27" s="4414"/>
      <c r="BI27" s="4414"/>
      <c r="BJ27" s="4414"/>
      <c r="BK27" s="4405">
        <f t="shared" si="3"/>
        <v>0</v>
      </c>
      <c r="BL27" s="4414"/>
      <c r="BM27" s="4414"/>
      <c r="BN27" s="4414">
        <v>17</v>
      </c>
      <c r="BO27" s="4405">
        <f t="shared" si="4"/>
        <v>17</v>
      </c>
      <c r="BP27" s="4414"/>
      <c r="BQ27" s="4414"/>
      <c r="BR27" s="4414"/>
      <c r="BS27" s="4405">
        <f t="shared" si="5"/>
        <v>0</v>
      </c>
      <c r="BT27" s="4414"/>
      <c r="BU27" s="4414"/>
      <c r="BV27" s="4414">
        <v>14</v>
      </c>
      <c r="BW27" s="4405">
        <f t="shared" si="6"/>
        <v>14</v>
      </c>
      <c r="BX27" s="4414"/>
      <c r="BY27" s="4414"/>
      <c r="BZ27" s="4414"/>
      <c r="CA27" s="4405">
        <f t="shared" si="7"/>
        <v>0</v>
      </c>
      <c r="CB27" s="4414"/>
      <c r="CC27" s="4414"/>
      <c r="CD27" s="4414">
        <v>18</v>
      </c>
      <c r="CE27" s="4405">
        <f t="shared" si="8"/>
        <v>18</v>
      </c>
      <c r="CF27" s="4414"/>
      <c r="CG27" s="4414"/>
      <c r="CH27" s="4414"/>
      <c r="CI27" s="4405">
        <f t="shared" si="9"/>
        <v>0</v>
      </c>
      <c r="CJ27" s="4414"/>
      <c r="CK27" s="4414"/>
      <c r="CL27" s="4414"/>
      <c r="CM27" s="4405">
        <f t="shared" si="10"/>
        <v>0</v>
      </c>
      <c r="CN27" s="4414">
        <v>20</v>
      </c>
      <c r="CO27" s="4414"/>
      <c r="CP27" s="4414"/>
      <c r="CQ27" s="4405">
        <f t="shared" si="11"/>
        <v>20</v>
      </c>
      <c r="CR27" s="4414"/>
      <c r="CS27" s="4414"/>
      <c r="CT27" s="4414"/>
      <c r="CU27" s="4405">
        <f t="shared" si="12"/>
        <v>0</v>
      </c>
    </row>
    <row r="28" spans="2:99" ht="14.4" x14ac:dyDescent="0.25">
      <c r="B28" s="5838"/>
      <c r="C28" s="4415" t="s">
        <v>332</v>
      </c>
      <c r="D28" s="4403"/>
      <c r="E28" s="4404"/>
      <c r="F28" s="4404"/>
      <c r="G28" s="4405"/>
      <c r="H28" s="4403">
        <v>20</v>
      </c>
      <c r="I28" s="4404"/>
      <c r="J28" s="4404"/>
      <c r="K28" s="4405">
        <v>20</v>
      </c>
      <c r="L28" s="4403"/>
      <c r="M28" s="4404"/>
      <c r="N28" s="4404">
        <v>22</v>
      </c>
      <c r="O28" s="4405">
        <v>22</v>
      </c>
      <c r="P28" s="4403"/>
      <c r="Q28" s="4404"/>
      <c r="R28" s="4404"/>
      <c r="S28" s="4405"/>
      <c r="T28" s="4403"/>
      <c r="U28" s="4404"/>
      <c r="V28" s="4404"/>
      <c r="W28" s="4405"/>
      <c r="X28" s="4404">
        <v>11</v>
      </c>
      <c r="Y28" s="4404"/>
      <c r="Z28" s="4404"/>
      <c r="AA28" s="4405">
        <f>SUM(X28:Z28)</f>
        <v>11</v>
      </c>
      <c r="AB28" s="4404"/>
      <c r="AC28" s="4404"/>
      <c r="AD28" s="4404"/>
      <c r="AE28" s="4405"/>
      <c r="AF28" s="4404">
        <v>15</v>
      </c>
      <c r="AG28" s="4404"/>
      <c r="AH28" s="4404"/>
      <c r="AI28" s="4405">
        <f>SUM(AF28:AH28)</f>
        <v>15</v>
      </c>
      <c r="AJ28" s="4404"/>
      <c r="AK28" s="4404"/>
      <c r="AL28" s="4404"/>
      <c r="AM28" s="4405"/>
      <c r="AN28" s="4404">
        <v>18</v>
      </c>
      <c r="AO28" s="4404"/>
      <c r="AP28" s="4404"/>
      <c r="AQ28" s="4405">
        <f>SUM(AN28:AP28)</f>
        <v>18</v>
      </c>
      <c r="AR28" s="4404"/>
      <c r="AS28" s="4404"/>
      <c r="AT28" s="4404">
        <v>18</v>
      </c>
      <c r="AU28" s="4405">
        <f>SUM(AR28:AT28)</f>
        <v>18</v>
      </c>
      <c r="AV28" s="4404"/>
      <c r="AW28" s="4404"/>
      <c r="AX28" s="4404"/>
      <c r="AY28" s="4405"/>
      <c r="AZ28" s="4404"/>
      <c r="BA28" s="4404"/>
      <c r="BB28" s="4404">
        <v>25</v>
      </c>
      <c r="BC28" s="4405">
        <f>AZ28+BA28+BB28</f>
        <v>25</v>
      </c>
      <c r="BD28" s="4404"/>
      <c r="BE28" s="4404"/>
      <c r="BF28" s="4404"/>
      <c r="BG28" s="4405"/>
      <c r="BH28" s="4404"/>
      <c r="BI28" s="4404"/>
      <c r="BJ28" s="4404">
        <v>25</v>
      </c>
      <c r="BK28" s="4405">
        <f t="shared" si="3"/>
        <v>25</v>
      </c>
      <c r="BL28" s="4404"/>
      <c r="BM28" s="4404"/>
      <c r="BN28" s="4404"/>
      <c r="BO28" s="4405">
        <f t="shared" si="4"/>
        <v>0</v>
      </c>
      <c r="BP28" s="4404"/>
      <c r="BQ28" s="4404"/>
      <c r="BR28" s="4404">
        <v>11</v>
      </c>
      <c r="BS28" s="4405">
        <f t="shared" si="5"/>
        <v>11</v>
      </c>
      <c r="BT28" s="4404"/>
      <c r="BU28" s="4404"/>
      <c r="BV28" s="4404"/>
      <c r="BW28" s="4405">
        <f t="shared" si="6"/>
        <v>0</v>
      </c>
      <c r="BX28" s="4404"/>
      <c r="BY28" s="4404"/>
      <c r="BZ28" s="4404">
        <v>12</v>
      </c>
      <c r="CA28" s="4405">
        <f t="shared" si="7"/>
        <v>12</v>
      </c>
      <c r="CB28" s="4404"/>
      <c r="CC28" s="4404"/>
      <c r="CD28" s="4404"/>
      <c r="CE28" s="4405">
        <f t="shared" si="8"/>
        <v>0</v>
      </c>
      <c r="CF28" s="4404"/>
      <c r="CG28" s="4404"/>
      <c r="CH28" s="4404">
        <v>16</v>
      </c>
      <c r="CI28" s="4405">
        <f t="shared" si="9"/>
        <v>16</v>
      </c>
      <c r="CJ28" s="4404"/>
      <c r="CK28" s="4404"/>
      <c r="CL28" s="4404"/>
      <c r="CM28" s="4405">
        <f t="shared" si="10"/>
        <v>0</v>
      </c>
      <c r="CN28" s="4404"/>
      <c r="CO28" s="4404"/>
      <c r="CP28" s="4404">
        <v>13</v>
      </c>
      <c r="CQ28" s="4405">
        <f t="shared" si="11"/>
        <v>13</v>
      </c>
      <c r="CR28" s="4404"/>
      <c r="CS28" s="4404"/>
      <c r="CT28" s="4404"/>
      <c r="CU28" s="4405">
        <f t="shared" si="12"/>
        <v>0</v>
      </c>
    </row>
    <row r="29" spans="2:99" ht="14.4" x14ac:dyDescent="0.25">
      <c r="B29" s="5838"/>
      <c r="C29" s="4415" t="s">
        <v>333</v>
      </c>
      <c r="D29" s="4403"/>
      <c r="E29" s="4404"/>
      <c r="F29" s="4404"/>
      <c r="G29" s="4405"/>
      <c r="H29" s="4403"/>
      <c r="I29" s="4404"/>
      <c r="J29" s="4404"/>
      <c r="K29" s="4405"/>
      <c r="L29" s="4403"/>
      <c r="M29" s="4404"/>
      <c r="N29" s="4404"/>
      <c r="O29" s="4405"/>
      <c r="P29" s="4403"/>
      <c r="Q29" s="4404"/>
      <c r="R29" s="4404"/>
      <c r="S29" s="4405"/>
      <c r="T29" s="4403"/>
      <c r="U29" s="4404"/>
      <c r="V29" s="4404"/>
      <c r="W29" s="4405"/>
      <c r="X29" s="4404"/>
      <c r="Y29" s="4404"/>
      <c r="Z29" s="4404"/>
      <c r="AA29" s="4405"/>
      <c r="AB29" s="4404"/>
      <c r="AC29" s="4404"/>
      <c r="AD29" s="4404"/>
      <c r="AE29" s="4405"/>
      <c r="AF29" s="4404"/>
      <c r="AG29" s="4404"/>
      <c r="AH29" s="4404"/>
      <c r="AI29" s="4405"/>
      <c r="AJ29" s="4404"/>
      <c r="AK29" s="4404"/>
      <c r="AL29" s="4404"/>
      <c r="AM29" s="4405"/>
      <c r="AN29" s="4404"/>
      <c r="AO29" s="4404"/>
      <c r="AP29" s="4404"/>
      <c r="AQ29" s="4405"/>
      <c r="AR29" s="4404"/>
      <c r="AS29" s="4404"/>
      <c r="AT29" s="4404"/>
      <c r="AU29" s="4405"/>
      <c r="AV29" s="4404"/>
      <c r="AW29" s="4404"/>
      <c r="AX29" s="4404"/>
      <c r="AY29" s="4405"/>
      <c r="AZ29" s="4404"/>
      <c r="BA29" s="4404"/>
      <c r="BB29" s="4404"/>
      <c r="BC29" s="4405"/>
      <c r="BD29" s="4404"/>
      <c r="BE29" s="4404"/>
      <c r="BF29" s="4404"/>
      <c r="BG29" s="4405"/>
      <c r="BH29" s="4404"/>
      <c r="BI29" s="4404"/>
      <c r="BJ29" s="4404"/>
      <c r="BK29" s="4405"/>
      <c r="BL29" s="4404"/>
      <c r="BM29" s="4404"/>
      <c r="BN29" s="4404"/>
      <c r="BO29" s="4405"/>
      <c r="BP29" s="4404"/>
      <c r="BQ29" s="4404"/>
      <c r="BR29" s="4404"/>
      <c r="BS29" s="4405"/>
      <c r="BT29" s="4404"/>
      <c r="BU29" s="4404"/>
      <c r="BV29" s="4404"/>
      <c r="BW29" s="4405"/>
      <c r="BX29" s="4404">
        <v>52</v>
      </c>
      <c r="BY29" s="4404"/>
      <c r="BZ29" s="4404"/>
      <c r="CA29" s="4405">
        <f t="shared" si="7"/>
        <v>52</v>
      </c>
      <c r="CB29" s="4404"/>
      <c r="CC29" s="4404"/>
      <c r="CD29" s="4404"/>
      <c r="CE29" s="4405">
        <f t="shared" si="8"/>
        <v>0</v>
      </c>
      <c r="CF29" s="4404">
        <v>34</v>
      </c>
      <c r="CG29" s="4404"/>
      <c r="CH29" s="4404"/>
      <c r="CI29" s="4405">
        <f t="shared" si="9"/>
        <v>34</v>
      </c>
      <c r="CJ29" s="4404"/>
      <c r="CK29" s="4404"/>
      <c r="CL29" s="4404"/>
      <c r="CM29" s="4405">
        <f t="shared" si="10"/>
        <v>0</v>
      </c>
      <c r="CN29" s="4404">
        <v>36</v>
      </c>
      <c r="CO29" s="4404"/>
      <c r="CP29" s="4404"/>
      <c r="CQ29" s="4405">
        <f t="shared" si="11"/>
        <v>36</v>
      </c>
      <c r="CR29" s="4404"/>
      <c r="CS29" s="4404"/>
      <c r="CT29" s="4404"/>
      <c r="CU29" s="4405">
        <f t="shared" si="12"/>
        <v>0</v>
      </c>
    </row>
    <row r="30" spans="2:99" ht="14.4" x14ac:dyDescent="0.25">
      <c r="B30" s="5839"/>
      <c r="C30" s="4415" t="s">
        <v>334</v>
      </c>
      <c r="D30" s="4403"/>
      <c r="E30" s="4404"/>
      <c r="F30" s="4404"/>
      <c r="G30" s="4405"/>
      <c r="H30" s="4403"/>
      <c r="I30" s="4404"/>
      <c r="J30" s="4404"/>
      <c r="K30" s="4405"/>
      <c r="L30" s="4403"/>
      <c r="M30" s="4404"/>
      <c r="N30" s="4404"/>
      <c r="O30" s="4405"/>
      <c r="P30" s="4403"/>
      <c r="Q30" s="4404"/>
      <c r="R30" s="4404"/>
      <c r="S30" s="4405"/>
      <c r="T30" s="4403"/>
      <c r="U30" s="4404"/>
      <c r="V30" s="4404"/>
      <c r="W30" s="4405"/>
      <c r="X30" s="4404"/>
      <c r="Y30" s="4404"/>
      <c r="Z30" s="4404"/>
      <c r="AA30" s="4405"/>
      <c r="AB30" s="4404"/>
      <c r="AC30" s="4404"/>
      <c r="AD30" s="4404"/>
      <c r="AE30" s="4405"/>
      <c r="AF30" s="4404"/>
      <c r="AG30" s="4404"/>
      <c r="AH30" s="4404"/>
      <c r="AI30" s="4405"/>
      <c r="AJ30" s="4404"/>
      <c r="AK30" s="4404"/>
      <c r="AL30" s="4404"/>
      <c r="AM30" s="4405"/>
      <c r="AN30" s="4404"/>
      <c r="AO30" s="4404"/>
      <c r="AP30" s="4404"/>
      <c r="AQ30" s="4405"/>
      <c r="AR30" s="4404"/>
      <c r="AS30" s="4404"/>
      <c r="AT30" s="4404"/>
      <c r="AU30" s="4405"/>
      <c r="AV30" s="4404"/>
      <c r="AW30" s="4404"/>
      <c r="AX30" s="4404"/>
      <c r="AY30" s="4405"/>
      <c r="AZ30" s="4404"/>
      <c r="BA30" s="4404"/>
      <c r="BB30" s="4404"/>
      <c r="BC30" s="4405"/>
      <c r="BD30" s="4404"/>
      <c r="BE30" s="4404"/>
      <c r="BF30" s="4404"/>
      <c r="BG30" s="4405"/>
      <c r="BH30" s="4404"/>
      <c r="BI30" s="4404"/>
      <c r="BJ30" s="4404"/>
      <c r="BK30" s="4405"/>
      <c r="BL30" s="4404"/>
      <c r="BM30" s="4404"/>
      <c r="BN30" s="4404"/>
      <c r="BO30" s="4405"/>
      <c r="BP30" s="4404"/>
      <c r="BQ30" s="4404"/>
      <c r="BR30" s="4404"/>
      <c r="BS30" s="4405"/>
      <c r="BT30" s="4404"/>
      <c r="BU30" s="4404"/>
      <c r="BV30" s="4404"/>
      <c r="BW30" s="4405"/>
      <c r="BX30" s="4404">
        <v>13</v>
      </c>
      <c r="BY30" s="4404"/>
      <c r="BZ30" s="4404"/>
      <c r="CA30" s="4405">
        <f t="shared" si="7"/>
        <v>13</v>
      </c>
      <c r="CB30" s="4404"/>
      <c r="CC30" s="4404"/>
      <c r="CD30" s="4404"/>
      <c r="CE30" s="4405">
        <f t="shared" si="8"/>
        <v>0</v>
      </c>
      <c r="CF30" s="4404">
        <v>6</v>
      </c>
      <c r="CG30" s="4404"/>
      <c r="CH30" s="4404"/>
      <c r="CI30" s="4405">
        <f t="shared" si="9"/>
        <v>6</v>
      </c>
      <c r="CJ30" s="4404"/>
      <c r="CK30" s="4404"/>
      <c r="CL30" s="4404"/>
      <c r="CM30" s="4405">
        <f t="shared" si="10"/>
        <v>0</v>
      </c>
      <c r="CN30" s="4404">
        <v>6</v>
      </c>
      <c r="CO30" s="4404">
        <v>2</v>
      </c>
      <c r="CP30" s="4404"/>
      <c r="CQ30" s="4405">
        <f t="shared" si="11"/>
        <v>8</v>
      </c>
      <c r="CR30" s="4404"/>
      <c r="CS30" s="4404"/>
      <c r="CT30" s="4404"/>
      <c r="CU30" s="4405">
        <f t="shared" si="12"/>
        <v>0</v>
      </c>
    </row>
    <row r="31" spans="2:99" ht="14.4" x14ac:dyDescent="0.3">
      <c r="B31" s="5840" t="s">
        <v>317</v>
      </c>
      <c r="C31" s="1261" t="s">
        <v>325</v>
      </c>
      <c r="D31" s="1262"/>
      <c r="E31" s="1280"/>
      <c r="F31" s="1280"/>
      <c r="G31" s="1264"/>
      <c r="H31" s="1262"/>
      <c r="I31" s="1280"/>
      <c r="J31" s="1280"/>
      <c r="K31" s="1264"/>
      <c r="L31" s="1262"/>
      <c r="M31" s="1280"/>
      <c r="N31" s="1280"/>
      <c r="O31" s="1264"/>
      <c r="P31" s="1262"/>
      <c r="Q31" s="1280"/>
      <c r="R31" s="1280"/>
      <c r="S31" s="1264"/>
      <c r="T31" s="1262"/>
      <c r="U31" s="1280"/>
      <c r="V31" s="1280"/>
      <c r="W31" s="1264"/>
      <c r="X31" s="1263"/>
      <c r="Y31" s="1263"/>
      <c r="Z31" s="1263"/>
      <c r="AA31" s="1264"/>
      <c r="AB31" s="1263"/>
      <c r="AC31" s="1263"/>
      <c r="AD31" s="1263"/>
      <c r="AE31" s="1264"/>
      <c r="AF31" s="1263"/>
      <c r="AG31" s="1263"/>
      <c r="AH31" s="1263"/>
      <c r="AI31" s="1264"/>
      <c r="AJ31" s="1263"/>
      <c r="AK31" s="1263"/>
      <c r="AL31" s="1263">
        <v>16</v>
      </c>
      <c r="AM31" s="1264">
        <f>SUM(AJ31:AL31)</f>
        <v>16</v>
      </c>
      <c r="AN31" s="1263"/>
      <c r="AO31" s="1263"/>
      <c r="AP31" s="1263"/>
      <c r="AQ31" s="1264"/>
      <c r="AR31" s="1263"/>
      <c r="AS31" s="1263"/>
      <c r="AT31" s="1263">
        <v>6</v>
      </c>
      <c r="AU31" s="1264">
        <f>SUM(AR31:AT31)</f>
        <v>6</v>
      </c>
      <c r="AV31" s="1263"/>
      <c r="AW31" s="1263">
        <v>16</v>
      </c>
      <c r="AX31" s="1263"/>
      <c r="AY31" s="1264">
        <f>AV31+AW31+AX31</f>
        <v>16</v>
      </c>
      <c r="AZ31" s="1263"/>
      <c r="BA31" s="1263"/>
      <c r="BB31" s="1263">
        <v>11</v>
      </c>
      <c r="BC31" s="1264">
        <f>AZ31+BA31+BB31</f>
        <v>11</v>
      </c>
      <c r="BD31" s="1263"/>
      <c r="BE31" s="1263"/>
      <c r="BF31" s="1263"/>
      <c r="BG31" s="1264"/>
      <c r="BH31" s="1263"/>
      <c r="BI31" s="1263"/>
      <c r="BJ31" s="1263">
        <v>9</v>
      </c>
      <c r="BK31" s="1264">
        <f t="shared" si="3"/>
        <v>9</v>
      </c>
      <c r="BL31" s="1263"/>
      <c r="BM31" s="1263"/>
      <c r="BN31" s="1263"/>
      <c r="BO31" s="1264">
        <f t="shared" si="4"/>
        <v>0</v>
      </c>
      <c r="BP31" s="1263"/>
      <c r="BQ31" s="1263"/>
      <c r="BR31" s="1263">
        <v>5</v>
      </c>
      <c r="BS31" s="1264">
        <f t="shared" si="5"/>
        <v>5</v>
      </c>
      <c r="BT31" s="1263"/>
      <c r="BU31" s="1263"/>
      <c r="BV31" s="1263"/>
      <c r="BW31" s="1264">
        <f t="shared" si="6"/>
        <v>0</v>
      </c>
      <c r="BX31" s="1263"/>
      <c r="BY31" s="1263"/>
      <c r="BZ31" s="1263">
        <v>4</v>
      </c>
      <c r="CA31" s="1264">
        <f t="shared" si="7"/>
        <v>4</v>
      </c>
      <c r="CB31" s="1263"/>
      <c r="CC31" s="1263"/>
      <c r="CD31" s="1263"/>
      <c r="CE31" s="1264">
        <f t="shared" si="8"/>
        <v>0</v>
      </c>
      <c r="CF31" s="1263"/>
      <c r="CG31" s="1263"/>
      <c r="CH31" s="1263"/>
      <c r="CI31" s="1264">
        <f t="shared" si="9"/>
        <v>0</v>
      </c>
      <c r="CJ31" s="1263"/>
      <c r="CK31" s="1263"/>
      <c r="CL31" s="1263"/>
      <c r="CM31" s="1264">
        <f t="shared" si="10"/>
        <v>0</v>
      </c>
      <c r="CN31" s="1263"/>
      <c r="CO31" s="1263"/>
      <c r="CP31" s="1263">
        <v>11</v>
      </c>
      <c r="CQ31" s="1264">
        <f t="shared" si="11"/>
        <v>11</v>
      </c>
      <c r="CR31" s="1263"/>
      <c r="CS31" s="1263"/>
      <c r="CT31" s="1263"/>
      <c r="CU31" s="1264">
        <f t="shared" si="12"/>
        <v>0</v>
      </c>
    </row>
    <row r="32" spans="2:99" ht="14.4" x14ac:dyDescent="0.3">
      <c r="B32" s="5841"/>
      <c r="C32" s="1265" t="s">
        <v>335</v>
      </c>
      <c r="D32" s="1281"/>
      <c r="E32" s="1280"/>
      <c r="F32" s="1280"/>
      <c r="G32" s="1264"/>
      <c r="H32" s="1281">
        <v>2</v>
      </c>
      <c r="I32" s="1280"/>
      <c r="J32" s="1280"/>
      <c r="K32" s="1264">
        <v>2</v>
      </c>
      <c r="L32" s="1281"/>
      <c r="M32" s="1280"/>
      <c r="N32" s="1280"/>
      <c r="O32" s="1264"/>
      <c r="P32" s="1281"/>
      <c r="Q32" s="1280"/>
      <c r="R32" s="1280"/>
      <c r="S32" s="1264"/>
      <c r="T32" s="1281">
        <v>1</v>
      </c>
      <c r="U32" s="1280"/>
      <c r="V32" s="1280"/>
      <c r="W32" s="1264">
        <f>SUM(T32:V32)</f>
        <v>1</v>
      </c>
      <c r="X32" s="1263">
        <v>3</v>
      </c>
      <c r="Y32" s="1263"/>
      <c r="Z32" s="1263"/>
      <c r="AA32" s="1264">
        <f>SUM(X32:Z32)</f>
        <v>3</v>
      </c>
      <c r="AB32" s="1263"/>
      <c r="AC32" s="1263"/>
      <c r="AD32" s="1263"/>
      <c r="AE32" s="1264"/>
      <c r="AF32" s="1263">
        <v>1</v>
      </c>
      <c r="AG32" s="1263"/>
      <c r="AH32" s="1263"/>
      <c r="AI32" s="1264">
        <f>SUM(AF32:AH32)</f>
        <v>1</v>
      </c>
      <c r="AJ32" s="1263"/>
      <c r="AK32" s="1263"/>
      <c r="AL32" s="1263"/>
      <c r="AM32" s="1264"/>
      <c r="AN32" s="1263"/>
      <c r="AO32" s="1263"/>
      <c r="AP32" s="1263"/>
      <c r="AQ32" s="1264"/>
      <c r="AR32" s="1263"/>
      <c r="AS32" s="1263"/>
      <c r="AT32" s="1263"/>
      <c r="AU32" s="1264"/>
      <c r="AV32" s="1263"/>
      <c r="AW32" s="1263"/>
      <c r="AX32" s="1263"/>
      <c r="AY32" s="1264"/>
      <c r="AZ32" s="1263"/>
      <c r="BA32" s="1263"/>
      <c r="BB32" s="1263"/>
      <c r="BC32" s="1264"/>
      <c r="BD32" s="1263"/>
      <c r="BE32" s="1263"/>
      <c r="BF32" s="1263"/>
      <c r="BG32" s="1264"/>
      <c r="BH32" s="1263"/>
      <c r="BI32" s="1263"/>
      <c r="BJ32" s="1263"/>
      <c r="BK32" s="1264">
        <f t="shared" si="3"/>
        <v>0</v>
      </c>
      <c r="BL32" s="1263"/>
      <c r="BM32" s="1263"/>
      <c r="BN32" s="1263"/>
      <c r="BO32" s="1264">
        <f t="shared" si="4"/>
        <v>0</v>
      </c>
      <c r="BP32" s="1263"/>
      <c r="BQ32" s="1263"/>
      <c r="BR32" s="1263"/>
      <c r="BS32" s="1264">
        <f t="shared" si="5"/>
        <v>0</v>
      </c>
      <c r="BT32" s="1263"/>
      <c r="BU32" s="1263"/>
      <c r="BV32" s="1263"/>
      <c r="BW32" s="1264">
        <f t="shared" si="6"/>
        <v>0</v>
      </c>
      <c r="BX32" s="1263"/>
      <c r="BY32" s="1263"/>
      <c r="BZ32" s="1263"/>
      <c r="CA32" s="1264">
        <f t="shared" si="7"/>
        <v>0</v>
      </c>
      <c r="CB32" s="1263"/>
      <c r="CC32" s="1263"/>
      <c r="CD32" s="1263"/>
      <c r="CE32" s="1264">
        <f t="shared" si="8"/>
        <v>0</v>
      </c>
      <c r="CF32" s="1263">
        <v>13</v>
      </c>
      <c r="CG32" s="1263"/>
      <c r="CH32" s="1263"/>
      <c r="CI32" s="1264">
        <f t="shared" si="9"/>
        <v>13</v>
      </c>
      <c r="CJ32" s="1263">
        <v>11</v>
      </c>
      <c r="CK32" s="1263"/>
      <c r="CL32" s="1263"/>
      <c r="CM32" s="1264">
        <f t="shared" si="10"/>
        <v>11</v>
      </c>
      <c r="CN32" s="1263"/>
      <c r="CO32" s="1263"/>
      <c r="CP32" s="1263"/>
      <c r="CQ32" s="1264">
        <f t="shared" si="11"/>
        <v>0</v>
      </c>
      <c r="CR32" s="1263"/>
      <c r="CS32" s="1263"/>
      <c r="CT32" s="1263"/>
      <c r="CU32" s="1264">
        <f t="shared" si="12"/>
        <v>0</v>
      </c>
    </row>
    <row r="33" spans="2:99" ht="14.4" x14ac:dyDescent="0.3">
      <c r="B33" s="5841"/>
      <c r="C33" s="1261" t="s">
        <v>336</v>
      </c>
      <c r="D33" s="1281"/>
      <c r="E33" s="1280"/>
      <c r="F33" s="1280"/>
      <c r="G33" s="1264"/>
      <c r="H33" s="1281"/>
      <c r="I33" s="1280"/>
      <c r="J33" s="1280"/>
      <c r="K33" s="1264"/>
      <c r="L33" s="1281"/>
      <c r="M33" s="1280"/>
      <c r="N33" s="1280"/>
      <c r="O33" s="1264"/>
      <c r="P33" s="1281"/>
      <c r="Q33" s="1280"/>
      <c r="R33" s="1280"/>
      <c r="S33" s="1264"/>
      <c r="T33" s="1281"/>
      <c r="U33" s="1280"/>
      <c r="V33" s="1280"/>
      <c r="W33" s="1264"/>
      <c r="X33" s="1263"/>
      <c r="Y33" s="1263"/>
      <c r="Z33" s="1263"/>
      <c r="AA33" s="1264"/>
      <c r="AB33" s="1263"/>
      <c r="AC33" s="1263"/>
      <c r="AD33" s="1263">
        <v>12</v>
      </c>
      <c r="AE33" s="1264">
        <f>SUM(AB33:AD33)</f>
        <v>12</v>
      </c>
      <c r="AF33" s="1263"/>
      <c r="AG33" s="1263"/>
      <c r="AH33" s="1263"/>
      <c r="AI33" s="1264"/>
      <c r="AJ33" s="1263"/>
      <c r="AK33" s="1263"/>
      <c r="AL33" s="1263">
        <v>13</v>
      </c>
      <c r="AM33" s="1264">
        <f>SUM(AJ33:AL33)</f>
        <v>13</v>
      </c>
      <c r="AN33" s="1263"/>
      <c r="AO33" s="1263"/>
      <c r="AP33" s="1263"/>
      <c r="AQ33" s="1264"/>
      <c r="AR33" s="1263"/>
      <c r="AS33" s="1263"/>
      <c r="AT33" s="1263"/>
      <c r="AU33" s="1264"/>
      <c r="AV33" s="1263"/>
      <c r="AW33" s="1263"/>
      <c r="AX33" s="1263"/>
      <c r="AY33" s="1264"/>
      <c r="AZ33" s="1263"/>
      <c r="BA33" s="1263"/>
      <c r="BB33" s="1263"/>
      <c r="BC33" s="1264"/>
      <c r="BD33" s="1263"/>
      <c r="BE33" s="1263"/>
      <c r="BF33" s="1263">
        <v>11</v>
      </c>
      <c r="BG33" s="1264">
        <f>BD33+BE33+BF33</f>
        <v>11</v>
      </c>
      <c r="BH33" s="1263"/>
      <c r="BI33" s="1263"/>
      <c r="BJ33" s="1263"/>
      <c r="BK33" s="1264">
        <f>BH33+BI33+BJ33</f>
        <v>0</v>
      </c>
      <c r="BL33" s="1263"/>
      <c r="BM33" s="1263"/>
      <c r="BN33" s="1263">
        <v>11</v>
      </c>
      <c r="BO33" s="1264">
        <f>BL33+BM33+BN33</f>
        <v>11</v>
      </c>
      <c r="BP33" s="1263"/>
      <c r="BQ33" s="1263"/>
      <c r="BR33" s="1263"/>
      <c r="BS33" s="1264">
        <f>BP33+BQ33+BR33</f>
        <v>0</v>
      </c>
      <c r="BT33" s="1263"/>
      <c r="BU33" s="1263"/>
      <c r="BV33" s="1263">
        <v>28</v>
      </c>
      <c r="BW33" s="1264">
        <f>BT33+BU33+BV33</f>
        <v>28</v>
      </c>
      <c r="BX33" s="1263"/>
      <c r="BY33" s="1263"/>
      <c r="BZ33" s="1263"/>
      <c r="CA33" s="1264">
        <f t="shared" si="7"/>
        <v>0</v>
      </c>
      <c r="CB33" s="1263"/>
      <c r="CC33" s="1263"/>
      <c r="CD33" s="1263">
        <v>25</v>
      </c>
      <c r="CE33" s="1264">
        <f t="shared" si="8"/>
        <v>25</v>
      </c>
      <c r="CF33" s="1263"/>
      <c r="CG33" s="1263"/>
      <c r="CH33" s="1263">
        <v>7</v>
      </c>
      <c r="CI33" s="1264">
        <f t="shared" si="9"/>
        <v>7</v>
      </c>
      <c r="CJ33" s="1263"/>
      <c r="CK33" s="1263"/>
      <c r="CL33" s="1263">
        <v>11</v>
      </c>
      <c r="CM33" s="1264">
        <f t="shared" si="10"/>
        <v>11</v>
      </c>
      <c r="CN33" s="1263"/>
      <c r="CO33" s="1263"/>
      <c r="CP33" s="1263"/>
      <c r="CQ33" s="1264">
        <f t="shared" si="11"/>
        <v>0</v>
      </c>
      <c r="CR33" s="1263"/>
      <c r="CS33" s="1263"/>
      <c r="CT33" s="1263">
        <v>11</v>
      </c>
      <c r="CU33" s="1264">
        <f t="shared" si="12"/>
        <v>11</v>
      </c>
    </row>
    <row r="34" spans="2:99" ht="14.4" x14ac:dyDescent="0.3">
      <c r="B34" s="5841"/>
      <c r="C34" s="1282" t="s">
        <v>1391</v>
      </c>
      <c r="D34" s="1283"/>
      <c r="E34" s="1284"/>
      <c r="F34" s="1284"/>
      <c r="G34" s="1269"/>
      <c r="H34" s="1283"/>
      <c r="I34" s="1284"/>
      <c r="J34" s="1284"/>
      <c r="K34" s="1269"/>
      <c r="L34" s="1283"/>
      <c r="M34" s="1284"/>
      <c r="N34" s="1284"/>
      <c r="O34" s="1269"/>
      <c r="P34" s="1283"/>
      <c r="Q34" s="1284"/>
      <c r="R34" s="1284"/>
      <c r="S34" s="1269"/>
      <c r="T34" s="1283"/>
      <c r="U34" s="1284"/>
      <c r="V34" s="1284"/>
      <c r="W34" s="1269"/>
      <c r="X34" s="1268"/>
      <c r="Y34" s="1268"/>
      <c r="Z34" s="1268"/>
      <c r="AA34" s="1269"/>
      <c r="AB34" s="1268"/>
      <c r="AC34" s="1268"/>
      <c r="AD34" s="1268"/>
      <c r="AE34" s="1269"/>
      <c r="AF34" s="1268"/>
      <c r="AG34" s="1268"/>
      <c r="AH34" s="1268"/>
      <c r="AI34" s="1269"/>
      <c r="AJ34" s="1268"/>
      <c r="AK34" s="1268"/>
      <c r="AL34" s="1268"/>
      <c r="AM34" s="1269"/>
      <c r="AN34" s="1268"/>
      <c r="AO34" s="1268"/>
      <c r="AP34" s="1268"/>
      <c r="AQ34" s="1269"/>
      <c r="AR34" s="1268"/>
      <c r="AS34" s="1268"/>
      <c r="AT34" s="1268"/>
      <c r="AU34" s="1269"/>
      <c r="AV34" s="1268"/>
      <c r="AW34" s="1268"/>
      <c r="AX34" s="1268"/>
      <c r="AY34" s="1269"/>
      <c r="AZ34" s="1268"/>
      <c r="BA34" s="1268"/>
      <c r="BB34" s="1268"/>
      <c r="BC34" s="1269"/>
      <c r="BD34" s="1268"/>
      <c r="BE34" s="1268"/>
      <c r="BF34" s="1268"/>
      <c r="BG34" s="1269"/>
      <c r="BH34" s="1268"/>
      <c r="BI34" s="1268"/>
      <c r="BJ34" s="1268"/>
      <c r="BK34" s="1269"/>
      <c r="BL34" s="1268"/>
      <c r="BM34" s="1268"/>
      <c r="BN34" s="1268"/>
      <c r="BO34" s="1269"/>
      <c r="BP34" s="1268"/>
      <c r="BQ34" s="1268"/>
      <c r="BR34" s="1268"/>
      <c r="BS34" s="1269"/>
      <c r="BT34" s="1268"/>
      <c r="BU34" s="1268"/>
      <c r="BV34" s="1268"/>
      <c r="BW34" s="1269"/>
      <c r="BX34" s="1268"/>
      <c r="BY34" s="1268"/>
      <c r="BZ34" s="1268"/>
      <c r="CA34" s="1264"/>
      <c r="CB34" s="1268"/>
      <c r="CC34" s="1268"/>
      <c r="CD34" s="1268"/>
      <c r="CE34" s="1264"/>
      <c r="CF34" s="1268"/>
      <c r="CG34" s="1268"/>
      <c r="CH34" s="1268"/>
      <c r="CI34" s="1264"/>
      <c r="CJ34" s="1268"/>
      <c r="CK34" s="1268"/>
      <c r="CL34" s="1268"/>
      <c r="CM34" s="1264"/>
      <c r="CN34" s="1268"/>
      <c r="CO34" s="1268"/>
      <c r="CP34" s="1268"/>
      <c r="CQ34" s="1264"/>
      <c r="CR34" s="1268"/>
      <c r="CS34" s="1268"/>
      <c r="CT34" s="1268"/>
      <c r="CU34" s="1264">
        <f t="shared" si="12"/>
        <v>0</v>
      </c>
    </row>
    <row r="35" spans="2:99" ht="14.4" x14ac:dyDescent="0.3">
      <c r="B35" s="5842"/>
      <c r="C35" s="1282" t="s">
        <v>334</v>
      </c>
      <c r="D35" s="1283"/>
      <c r="E35" s="1284"/>
      <c r="F35" s="1284"/>
      <c r="G35" s="1269"/>
      <c r="H35" s="1283"/>
      <c r="I35" s="1284"/>
      <c r="J35" s="1284"/>
      <c r="K35" s="1269"/>
      <c r="L35" s="1283"/>
      <c r="M35" s="1284"/>
      <c r="N35" s="1284"/>
      <c r="O35" s="1269"/>
      <c r="P35" s="1283"/>
      <c r="Q35" s="1284"/>
      <c r="R35" s="1284"/>
      <c r="S35" s="1269"/>
      <c r="T35" s="1283"/>
      <c r="U35" s="1284"/>
      <c r="V35" s="1284"/>
      <c r="W35" s="1269"/>
      <c r="X35" s="1268"/>
      <c r="Y35" s="1268"/>
      <c r="Z35" s="1268"/>
      <c r="AA35" s="1269"/>
      <c r="AB35" s="1268"/>
      <c r="AC35" s="1268"/>
      <c r="AD35" s="1268"/>
      <c r="AE35" s="1269"/>
      <c r="AF35" s="1268"/>
      <c r="AG35" s="1268"/>
      <c r="AH35" s="1268"/>
      <c r="AI35" s="1269"/>
      <c r="AJ35" s="1268"/>
      <c r="AK35" s="1268"/>
      <c r="AL35" s="1268"/>
      <c r="AM35" s="1269"/>
      <c r="AN35" s="1268"/>
      <c r="AO35" s="1268"/>
      <c r="AP35" s="1268"/>
      <c r="AQ35" s="1269"/>
      <c r="AR35" s="1268"/>
      <c r="AS35" s="1268"/>
      <c r="AT35" s="1268"/>
      <c r="AU35" s="1269"/>
      <c r="AV35" s="1268"/>
      <c r="AW35" s="1268"/>
      <c r="AX35" s="1268"/>
      <c r="AY35" s="1269"/>
      <c r="AZ35" s="1268"/>
      <c r="BA35" s="1268"/>
      <c r="BB35" s="1268"/>
      <c r="BC35" s="1269"/>
      <c r="BD35" s="1268"/>
      <c r="BE35" s="1268"/>
      <c r="BF35" s="1268"/>
      <c r="BG35" s="1269"/>
      <c r="BH35" s="1268"/>
      <c r="BI35" s="1268"/>
      <c r="BJ35" s="1268"/>
      <c r="BK35" s="1269"/>
      <c r="BL35" s="1268"/>
      <c r="BM35" s="1268"/>
      <c r="BN35" s="1268"/>
      <c r="BO35" s="1269"/>
      <c r="BP35" s="1268"/>
      <c r="BQ35" s="1268"/>
      <c r="BR35" s="1268"/>
      <c r="BS35" s="1269"/>
      <c r="BT35" s="1268"/>
      <c r="BU35" s="1268"/>
      <c r="BV35" s="1268"/>
      <c r="BW35" s="1269"/>
      <c r="BX35" s="1268">
        <v>3</v>
      </c>
      <c r="BY35" s="1268"/>
      <c r="BZ35" s="1268"/>
      <c r="CA35" s="1264">
        <f t="shared" si="7"/>
        <v>3</v>
      </c>
      <c r="CB35" s="1268"/>
      <c r="CC35" s="1268"/>
      <c r="CD35" s="1268"/>
      <c r="CE35" s="1264">
        <f t="shared" si="8"/>
        <v>0</v>
      </c>
      <c r="CF35" s="1268">
        <v>7</v>
      </c>
      <c r="CG35" s="1268">
        <v>2</v>
      </c>
      <c r="CH35" s="1268"/>
      <c r="CI35" s="1264">
        <f t="shared" si="9"/>
        <v>9</v>
      </c>
      <c r="CJ35" s="1268"/>
      <c r="CK35" s="1268"/>
      <c r="CL35" s="1268"/>
      <c r="CM35" s="1264">
        <f t="shared" si="10"/>
        <v>0</v>
      </c>
      <c r="CN35" s="1268">
        <v>5</v>
      </c>
      <c r="CO35" s="1268">
        <v>1</v>
      </c>
      <c r="CP35" s="1268"/>
      <c r="CQ35" s="1264">
        <f t="shared" si="11"/>
        <v>6</v>
      </c>
      <c r="CR35" s="1268"/>
      <c r="CS35" s="1268"/>
      <c r="CT35" s="1268"/>
      <c r="CU35" s="1264">
        <f t="shared" si="12"/>
        <v>0</v>
      </c>
    </row>
    <row r="36" spans="2:99" ht="14.4" x14ac:dyDescent="0.3">
      <c r="B36" s="1270"/>
      <c r="C36" s="1271" t="s">
        <v>64</v>
      </c>
      <c r="D36" s="1272"/>
      <c r="E36" s="1273"/>
      <c r="F36" s="1273">
        <f>SUM(F17:F33)</f>
        <v>48</v>
      </c>
      <c r="G36" s="1274">
        <f>SUM(G17:G33)</f>
        <v>48</v>
      </c>
      <c r="H36" s="1272">
        <f>SUM(H17:H33)</f>
        <v>22</v>
      </c>
      <c r="I36" s="1273"/>
      <c r="J36" s="1273">
        <f>SUM(J17:J33)</f>
        <v>41</v>
      </c>
      <c r="K36" s="1274">
        <f>SUM(K17:K33)</f>
        <v>63</v>
      </c>
      <c r="L36" s="1272"/>
      <c r="M36" s="1273"/>
      <c r="N36" s="1273">
        <f>SUM(N17:N33)</f>
        <v>42</v>
      </c>
      <c r="O36" s="1274">
        <f>SUM(O17:O33)</f>
        <v>42</v>
      </c>
      <c r="P36" s="1272">
        <f>SUM(P17:P33)</f>
        <v>16</v>
      </c>
      <c r="Q36" s="1273"/>
      <c r="R36" s="1273">
        <f>SUM(R17:R33)</f>
        <v>37</v>
      </c>
      <c r="S36" s="1274">
        <f>SUM(S17:S33)</f>
        <v>53</v>
      </c>
      <c r="T36" s="1272">
        <f>SUM(T17:T33)</f>
        <v>1</v>
      </c>
      <c r="U36" s="1273"/>
      <c r="V36" s="1273">
        <f>SUM(V17:V33)</f>
        <v>27</v>
      </c>
      <c r="W36" s="1274">
        <f>SUM(W17:W33)</f>
        <v>28</v>
      </c>
      <c r="X36" s="1273">
        <f>SUM(X17:X33)</f>
        <v>23</v>
      </c>
      <c r="Y36" s="1273"/>
      <c r="Z36" s="1273">
        <f>SUM(Z17:Z33)</f>
        <v>62</v>
      </c>
      <c r="AA36" s="1274">
        <f>SUM(AA17:AA33)</f>
        <v>85</v>
      </c>
      <c r="AB36" s="1273">
        <f>SUM(AB17:AB33)</f>
        <v>8</v>
      </c>
      <c r="AC36" s="1273"/>
      <c r="AD36" s="1273">
        <f>SUM(AD17:AD33)</f>
        <v>64</v>
      </c>
      <c r="AE36" s="1274">
        <f>SUM(AE17:AE33)</f>
        <v>72</v>
      </c>
      <c r="AF36" s="1273">
        <f>SUM(AF17:AF33)</f>
        <v>18</v>
      </c>
      <c r="AG36" s="1273"/>
      <c r="AH36" s="1273">
        <f>SUM(AH17:AH33)</f>
        <v>33</v>
      </c>
      <c r="AI36" s="1274">
        <f>SUM(AI17:AI33)</f>
        <v>51</v>
      </c>
      <c r="AJ36" s="1273">
        <f>SUM(AJ17:AJ33)</f>
        <v>15</v>
      </c>
      <c r="AK36" s="1273"/>
      <c r="AL36" s="1273">
        <f>SUM(AL17:AL33)</f>
        <v>100</v>
      </c>
      <c r="AM36" s="1274">
        <f>SUM(AM17:AM33)</f>
        <v>115</v>
      </c>
      <c r="AN36" s="1273">
        <f>SUM(AN17:AN33)</f>
        <v>27</v>
      </c>
      <c r="AO36" s="1273"/>
      <c r="AP36" s="1273">
        <f>SUM(AP17:AP33)</f>
        <v>28</v>
      </c>
      <c r="AQ36" s="1274">
        <f>SUM(AQ17:AQ33)</f>
        <v>55</v>
      </c>
      <c r="AR36" s="1273"/>
      <c r="AS36" s="1273"/>
      <c r="AT36" s="1273">
        <f>SUM(AT17:AT33)</f>
        <v>89</v>
      </c>
      <c r="AU36" s="1274">
        <f>SUM(AU17:AU33)</f>
        <v>89</v>
      </c>
      <c r="AV36" s="1273"/>
      <c r="AW36" s="1273">
        <f>SUM(AW17:AW33)</f>
        <v>16</v>
      </c>
      <c r="AX36" s="1273">
        <f>SUM(AX17:AX33)</f>
        <v>34</v>
      </c>
      <c r="AY36" s="1274">
        <f>SUM(AY17:AY33)</f>
        <v>50</v>
      </c>
      <c r="AZ36" s="1273"/>
      <c r="BA36" s="1273"/>
      <c r="BB36" s="1273">
        <f t="shared" ref="BB36:BG36" si="13">SUM(BB17:BB33)</f>
        <v>85</v>
      </c>
      <c r="BC36" s="1274">
        <f t="shared" si="13"/>
        <v>85</v>
      </c>
      <c r="BD36" s="1273">
        <f t="shared" si="13"/>
        <v>15</v>
      </c>
      <c r="BE36" s="1273">
        <f t="shared" si="13"/>
        <v>1</v>
      </c>
      <c r="BF36" s="1273">
        <f t="shared" si="13"/>
        <v>47</v>
      </c>
      <c r="BG36" s="1274">
        <f t="shared" si="13"/>
        <v>63</v>
      </c>
      <c r="BH36" s="1273"/>
      <c r="BI36" s="1273"/>
      <c r="BJ36" s="1273">
        <f t="shared" ref="BJ36:BW36" si="14">SUM(BJ17:BJ33)</f>
        <v>93</v>
      </c>
      <c r="BK36" s="1274">
        <f t="shared" si="14"/>
        <v>93</v>
      </c>
      <c r="BL36" s="1273">
        <f t="shared" si="14"/>
        <v>24</v>
      </c>
      <c r="BM36" s="1273">
        <f t="shared" si="14"/>
        <v>0</v>
      </c>
      <c r="BN36" s="1273">
        <f t="shared" si="14"/>
        <v>56</v>
      </c>
      <c r="BO36" s="1274">
        <f t="shared" si="14"/>
        <v>80</v>
      </c>
      <c r="BP36" s="1273">
        <f t="shared" si="14"/>
        <v>0</v>
      </c>
      <c r="BQ36" s="1273">
        <f t="shared" si="14"/>
        <v>0</v>
      </c>
      <c r="BR36" s="1273">
        <f t="shared" si="14"/>
        <v>69</v>
      </c>
      <c r="BS36" s="1274">
        <f t="shared" si="14"/>
        <v>69</v>
      </c>
      <c r="BT36" s="1273">
        <f t="shared" si="14"/>
        <v>0</v>
      </c>
      <c r="BU36" s="1273">
        <f t="shared" si="14"/>
        <v>0</v>
      </c>
      <c r="BV36" s="1273">
        <f t="shared" si="14"/>
        <v>75</v>
      </c>
      <c r="BW36" s="1274">
        <f t="shared" si="14"/>
        <v>75</v>
      </c>
      <c r="BX36" s="1272">
        <f t="shared" ref="BX36:CI36" si="15">SUM(BX17:BX35)</f>
        <v>68</v>
      </c>
      <c r="BY36" s="1273">
        <f t="shared" si="15"/>
        <v>0</v>
      </c>
      <c r="BZ36" s="1273">
        <f t="shared" si="15"/>
        <v>75</v>
      </c>
      <c r="CA36" s="1274">
        <f>SUM(CA17:CA35)</f>
        <v>143</v>
      </c>
      <c r="CB36" s="1272">
        <f t="shared" si="15"/>
        <v>0</v>
      </c>
      <c r="CC36" s="1273">
        <f t="shared" si="15"/>
        <v>0</v>
      </c>
      <c r="CD36" s="1273">
        <f t="shared" si="15"/>
        <v>68</v>
      </c>
      <c r="CE36" s="1274">
        <f t="shared" si="15"/>
        <v>68</v>
      </c>
      <c r="CF36" s="1272">
        <f t="shared" si="15"/>
        <v>70</v>
      </c>
      <c r="CG36" s="1273">
        <f t="shared" si="15"/>
        <v>17</v>
      </c>
      <c r="CH36" s="1273">
        <f t="shared" si="15"/>
        <v>80</v>
      </c>
      <c r="CI36" s="1274">
        <f t="shared" si="15"/>
        <v>167</v>
      </c>
      <c r="CJ36" s="1272">
        <f t="shared" ref="CJ36:CQ36" si="16">SUM(CJ17:CJ35)</f>
        <v>22</v>
      </c>
      <c r="CK36" s="1273">
        <f t="shared" si="16"/>
        <v>6</v>
      </c>
      <c r="CL36" s="1273">
        <f t="shared" si="16"/>
        <v>19</v>
      </c>
      <c r="CM36" s="1274">
        <f t="shared" si="16"/>
        <v>47</v>
      </c>
      <c r="CN36" s="1272">
        <f t="shared" si="16"/>
        <v>67</v>
      </c>
      <c r="CO36" s="1273">
        <f t="shared" si="16"/>
        <v>16</v>
      </c>
      <c r="CP36" s="1273">
        <f t="shared" si="16"/>
        <v>50</v>
      </c>
      <c r="CQ36" s="1274">
        <f t="shared" si="16"/>
        <v>133</v>
      </c>
      <c r="CR36" s="1272">
        <f t="shared" ref="CR36:CU36" si="17">SUM(CR17:CR35)</f>
        <v>27</v>
      </c>
      <c r="CS36" s="1273">
        <f t="shared" si="17"/>
        <v>23</v>
      </c>
      <c r="CT36" s="1273">
        <f t="shared" si="17"/>
        <v>31</v>
      </c>
      <c r="CU36" s="1274">
        <f t="shared" si="17"/>
        <v>81</v>
      </c>
    </row>
    <row r="37" spans="2:99" ht="14.4" x14ac:dyDescent="0.3">
      <c r="B37" s="5841" t="s">
        <v>308</v>
      </c>
      <c r="C37" s="1285" t="s">
        <v>337</v>
      </c>
      <c r="D37" s="1262">
        <v>38</v>
      </c>
      <c r="E37" s="1280"/>
      <c r="F37" s="1280">
        <v>17</v>
      </c>
      <c r="G37" s="1264">
        <v>55</v>
      </c>
      <c r="H37" s="1262">
        <v>21</v>
      </c>
      <c r="I37" s="1280"/>
      <c r="J37" s="1280">
        <v>30</v>
      </c>
      <c r="K37" s="1264">
        <v>51</v>
      </c>
      <c r="L37" s="1262"/>
      <c r="M37" s="1280"/>
      <c r="N37" s="1280">
        <v>46</v>
      </c>
      <c r="O37" s="1264">
        <v>46</v>
      </c>
      <c r="P37" s="1262"/>
      <c r="Q37" s="1280"/>
      <c r="R37" s="1280">
        <v>40</v>
      </c>
      <c r="S37" s="1264">
        <v>40</v>
      </c>
      <c r="T37" s="1262"/>
      <c r="U37" s="1280"/>
      <c r="V37" s="1280">
        <v>10</v>
      </c>
      <c r="W37" s="1264">
        <f>SUM(T37:V37)</f>
        <v>10</v>
      </c>
      <c r="X37" s="1263"/>
      <c r="Y37" s="1263"/>
      <c r="Z37" s="1263">
        <v>21</v>
      </c>
      <c r="AA37" s="1264">
        <f>SUM(X37:Z37)</f>
        <v>21</v>
      </c>
      <c r="AB37" s="1263"/>
      <c r="AC37" s="1263"/>
      <c r="AD37" s="1263">
        <v>12</v>
      </c>
      <c r="AE37" s="1264">
        <f>SUM(AB37:AD37)</f>
        <v>12</v>
      </c>
      <c r="AF37" s="1263"/>
      <c r="AG37" s="1263"/>
      <c r="AH37" s="1263">
        <v>23</v>
      </c>
      <c r="AI37" s="1264">
        <f>SUM(AF37:AH37)</f>
        <v>23</v>
      </c>
      <c r="AJ37" s="1263"/>
      <c r="AK37" s="1263"/>
      <c r="AL37" s="1263">
        <v>42</v>
      </c>
      <c r="AM37" s="1264">
        <f>SUM(AJ37:AL37)</f>
        <v>42</v>
      </c>
      <c r="AN37" s="1263"/>
      <c r="AO37" s="1263"/>
      <c r="AP37" s="1263">
        <v>47</v>
      </c>
      <c r="AQ37" s="1264">
        <f>SUM(AN37:AP37)</f>
        <v>47</v>
      </c>
      <c r="AR37" s="1263"/>
      <c r="AS37" s="1263"/>
      <c r="AT37" s="1263">
        <v>53</v>
      </c>
      <c r="AU37" s="1264">
        <f>SUM(AR37:AT37)</f>
        <v>53</v>
      </c>
      <c r="AV37" s="1263"/>
      <c r="AW37" s="1263"/>
      <c r="AX37" s="1263">
        <v>82</v>
      </c>
      <c r="AY37" s="1264">
        <f>AV37+AW37+AX37</f>
        <v>82</v>
      </c>
      <c r="AZ37" s="1263"/>
      <c r="BA37" s="1263"/>
      <c r="BB37" s="1263"/>
      <c r="BC37" s="1264"/>
      <c r="BD37" s="1263"/>
      <c r="BE37" s="1263"/>
      <c r="BF37" s="1263">
        <v>73</v>
      </c>
      <c r="BG37" s="1264">
        <f>BD37+BE37+BF37</f>
        <v>73</v>
      </c>
      <c r="BH37" s="1263"/>
      <c r="BI37" s="1263"/>
      <c r="BJ37" s="1263"/>
      <c r="BK37" s="1264">
        <f>BH37+BI37+BJ37</f>
        <v>0</v>
      </c>
      <c r="BL37" s="1263"/>
      <c r="BM37" s="1263"/>
      <c r="BN37" s="1263">
        <v>65</v>
      </c>
      <c r="BO37" s="1264">
        <f>BL37+BM37+BN37</f>
        <v>65</v>
      </c>
      <c r="BP37" s="1263"/>
      <c r="BQ37" s="1263"/>
      <c r="BR37" s="1263"/>
      <c r="BS37" s="1264">
        <f>BP37+BQ37+BR37</f>
        <v>0</v>
      </c>
      <c r="BT37" s="1263"/>
      <c r="BU37" s="1263"/>
      <c r="BV37" s="1263"/>
      <c r="BW37" s="1264">
        <f>BT37+BU37+BV37</f>
        <v>0</v>
      </c>
      <c r="BX37" s="1263"/>
      <c r="BY37" s="1263"/>
      <c r="BZ37" s="1263"/>
      <c r="CA37" s="1264">
        <f>BX37+BY37+BZ37</f>
        <v>0</v>
      </c>
      <c r="CB37" s="1263"/>
      <c r="CC37" s="1263"/>
      <c r="CD37" s="1263"/>
      <c r="CE37" s="1264">
        <f>CB37+CC37+CD37</f>
        <v>0</v>
      </c>
      <c r="CF37" s="1263"/>
      <c r="CG37" s="1263"/>
      <c r="CH37" s="1263"/>
      <c r="CI37" s="1264">
        <f>CF37+CG37+CH37</f>
        <v>0</v>
      </c>
      <c r="CJ37" s="1263"/>
      <c r="CK37" s="1263"/>
      <c r="CL37" s="1263"/>
      <c r="CM37" s="1264">
        <f>CJ37+CK37+CL37</f>
        <v>0</v>
      </c>
      <c r="CN37" s="1263"/>
      <c r="CO37" s="1263"/>
      <c r="CP37" s="1263"/>
      <c r="CQ37" s="1264">
        <f>CN37+CO37+CP37</f>
        <v>0</v>
      </c>
      <c r="CR37" s="1263"/>
      <c r="CS37" s="1263"/>
      <c r="CT37" s="1263"/>
      <c r="CU37" s="1264">
        <f>CR37+CS37+CT37</f>
        <v>0</v>
      </c>
    </row>
    <row r="38" spans="2:99" ht="14.4" x14ac:dyDescent="0.3">
      <c r="B38" s="5841"/>
      <c r="C38" s="1275" t="s">
        <v>338</v>
      </c>
      <c r="D38" s="1276"/>
      <c r="E38" s="1277"/>
      <c r="F38" s="1277"/>
      <c r="G38" s="1278"/>
      <c r="H38" s="1276"/>
      <c r="I38" s="1277"/>
      <c r="J38" s="1277"/>
      <c r="K38" s="1278"/>
      <c r="L38" s="1276"/>
      <c r="M38" s="1277"/>
      <c r="N38" s="1277"/>
      <c r="O38" s="1278"/>
      <c r="P38" s="1276"/>
      <c r="Q38" s="1277"/>
      <c r="R38" s="1277"/>
      <c r="S38" s="1278"/>
      <c r="T38" s="1276"/>
      <c r="U38" s="1277"/>
      <c r="V38" s="1277"/>
      <c r="W38" s="1278"/>
      <c r="X38" s="1279"/>
      <c r="Y38" s="1279"/>
      <c r="Z38" s="1279"/>
      <c r="AA38" s="1278"/>
      <c r="AB38" s="1279"/>
      <c r="AC38" s="1279"/>
      <c r="AD38" s="1279"/>
      <c r="AE38" s="1278"/>
      <c r="AF38" s="1279"/>
      <c r="AG38" s="1279"/>
      <c r="AH38" s="1279"/>
      <c r="AI38" s="1278"/>
      <c r="AJ38" s="1279"/>
      <c r="AK38" s="1279"/>
      <c r="AL38" s="1279"/>
      <c r="AM38" s="1278"/>
      <c r="AN38" s="1279"/>
      <c r="AO38" s="1279"/>
      <c r="AP38" s="1279"/>
      <c r="AQ38" s="1278"/>
      <c r="AR38" s="1279"/>
      <c r="AS38" s="1279"/>
      <c r="AT38" s="1279"/>
      <c r="AU38" s="1278"/>
      <c r="AV38" s="1279"/>
      <c r="AW38" s="1279"/>
      <c r="AX38" s="1279"/>
      <c r="AY38" s="1278"/>
      <c r="AZ38" s="1279"/>
      <c r="BA38" s="1279"/>
      <c r="BB38" s="1279"/>
      <c r="BC38" s="1278"/>
      <c r="BD38" s="1279"/>
      <c r="BE38" s="1279"/>
      <c r="BF38" s="1279"/>
      <c r="BG38" s="1278"/>
      <c r="BH38" s="1279"/>
      <c r="BI38" s="1279"/>
      <c r="BJ38" s="1279"/>
      <c r="BK38" s="1278"/>
      <c r="BL38" s="1279"/>
      <c r="BM38" s="1279"/>
      <c r="BN38" s="1279"/>
      <c r="BO38" s="1278"/>
      <c r="BP38" s="1279"/>
      <c r="BQ38" s="1279"/>
      <c r="BR38" s="1279"/>
      <c r="BS38" s="1264"/>
      <c r="BT38" s="1279"/>
      <c r="BU38" s="1279"/>
      <c r="BV38" s="1279"/>
      <c r="BW38" s="1264"/>
      <c r="BX38" s="1279"/>
      <c r="BY38" s="1279"/>
      <c r="BZ38" s="1279">
        <v>5</v>
      </c>
      <c r="CA38" s="1264">
        <f>BX38+BY38+BZ38</f>
        <v>5</v>
      </c>
      <c r="CB38" s="1279"/>
      <c r="CC38" s="1279"/>
      <c r="CD38" s="1279">
        <v>6</v>
      </c>
      <c r="CE38" s="1264">
        <f>CB38+CC38+CD38</f>
        <v>6</v>
      </c>
      <c r="CF38" s="1279"/>
      <c r="CG38" s="1279"/>
      <c r="CH38" s="1279"/>
      <c r="CI38" s="1264">
        <f>CF38+CG38+CH38</f>
        <v>0</v>
      </c>
      <c r="CJ38" s="1279">
        <v>6</v>
      </c>
      <c r="CK38" s="1279"/>
      <c r="CL38" s="1279"/>
      <c r="CM38" s="1264">
        <f>CJ38+CK38+CL38</f>
        <v>6</v>
      </c>
      <c r="CN38" s="1279"/>
      <c r="CO38" s="1279">
        <v>8</v>
      </c>
      <c r="CP38" s="1279"/>
      <c r="CQ38" s="1264">
        <f>CN38+CO38+CP38</f>
        <v>8</v>
      </c>
      <c r="CR38" s="1279"/>
      <c r="CS38" s="1279">
        <v>11</v>
      </c>
      <c r="CT38" s="1279"/>
      <c r="CU38" s="1264">
        <f>CR38+CS38+CT38</f>
        <v>11</v>
      </c>
    </row>
    <row r="39" spans="2:99" ht="14.4" x14ac:dyDescent="0.3">
      <c r="B39" s="5842"/>
      <c r="C39" s="1286" t="s">
        <v>339</v>
      </c>
      <c r="D39" s="1287"/>
      <c r="E39" s="1277"/>
      <c r="F39" s="1277"/>
      <c r="G39" s="1278"/>
      <c r="H39" s="1287"/>
      <c r="I39" s="1277"/>
      <c r="J39" s="1277"/>
      <c r="K39" s="1278"/>
      <c r="L39" s="1287"/>
      <c r="M39" s="1277"/>
      <c r="N39" s="1277"/>
      <c r="O39" s="1278"/>
      <c r="P39" s="1287"/>
      <c r="Q39" s="1277"/>
      <c r="R39" s="1277"/>
      <c r="S39" s="1278"/>
      <c r="T39" s="1287"/>
      <c r="U39" s="1277"/>
      <c r="V39" s="1277"/>
      <c r="W39" s="1278"/>
      <c r="X39" s="1279"/>
      <c r="Y39" s="1279"/>
      <c r="Z39" s="1279"/>
      <c r="AA39" s="1278"/>
      <c r="AB39" s="1279"/>
      <c r="AC39" s="1279"/>
      <c r="AD39" s="1279"/>
      <c r="AE39" s="1278"/>
      <c r="AF39" s="1279"/>
      <c r="AG39" s="1279"/>
      <c r="AH39" s="1279"/>
      <c r="AI39" s="1278"/>
      <c r="AJ39" s="1279"/>
      <c r="AK39" s="1279"/>
      <c r="AL39" s="1279"/>
      <c r="AM39" s="1278"/>
      <c r="AN39" s="1279"/>
      <c r="AO39" s="1279"/>
      <c r="AP39" s="1279"/>
      <c r="AQ39" s="1278"/>
      <c r="AR39" s="1279"/>
      <c r="AS39" s="1279"/>
      <c r="AT39" s="1279"/>
      <c r="AU39" s="1278"/>
      <c r="AV39" s="1279"/>
      <c r="AW39" s="1279"/>
      <c r="AX39" s="1279"/>
      <c r="AY39" s="1278"/>
      <c r="AZ39" s="1279"/>
      <c r="BA39" s="1279"/>
      <c r="BB39" s="1279"/>
      <c r="BC39" s="1278"/>
      <c r="BD39" s="1279"/>
      <c r="BE39" s="1279"/>
      <c r="BF39" s="1279"/>
      <c r="BG39" s="1278"/>
      <c r="BH39" s="1279"/>
      <c r="BI39" s="1279"/>
      <c r="BJ39" s="1279"/>
      <c r="BK39" s="1278"/>
      <c r="BL39" s="1279"/>
      <c r="BM39" s="1279"/>
      <c r="BN39" s="1279"/>
      <c r="BO39" s="1278"/>
      <c r="BP39" s="1279"/>
      <c r="BQ39" s="1279"/>
      <c r="BR39" s="1279"/>
      <c r="BS39" s="1264">
        <f>BP39+BQ39+BR39</f>
        <v>0</v>
      </c>
      <c r="BT39" s="1279"/>
      <c r="BU39" s="1279"/>
      <c r="BV39" s="1279">
        <v>9</v>
      </c>
      <c r="BW39" s="1264">
        <f>BT39+BU39+BV39</f>
        <v>9</v>
      </c>
      <c r="BX39" s="1279"/>
      <c r="BY39" s="1279"/>
      <c r="BZ39" s="1279">
        <v>7</v>
      </c>
      <c r="CA39" s="1264">
        <f>BX39+BY39+BZ39</f>
        <v>7</v>
      </c>
      <c r="CB39" s="1279"/>
      <c r="CC39" s="1279"/>
      <c r="CD39" s="1279">
        <v>7</v>
      </c>
      <c r="CE39" s="1264">
        <f>CB39+CC39+CD39</f>
        <v>7</v>
      </c>
      <c r="CF39" s="1279"/>
      <c r="CG39" s="1279"/>
      <c r="CH39" s="1279"/>
      <c r="CI39" s="1264">
        <f>CF39+CG39+CH39</f>
        <v>0</v>
      </c>
      <c r="CJ39" s="1279">
        <v>6</v>
      </c>
      <c r="CK39" s="1279"/>
      <c r="CL39" s="1279"/>
      <c r="CM39" s="1264">
        <f>CJ39+CK39+CL39</f>
        <v>6</v>
      </c>
      <c r="CN39" s="1279"/>
      <c r="CO39" s="1279">
        <v>7</v>
      </c>
      <c r="CP39" s="1279"/>
      <c r="CQ39" s="1264">
        <f>CN39+CO39+CP39</f>
        <v>7</v>
      </c>
      <c r="CR39" s="1279"/>
      <c r="CS39" s="1279">
        <v>6</v>
      </c>
      <c r="CT39" s="1279"/>
      <c r="CU39" s="1264">
        <f>CR39+CS39+CT39</f>
        <v>6</v>
      </c>
    </row>
    <row r="40" spans="2:99" ht="14.4" x14ac:dyDescent="0.3">
      <c r="B40" s="5837" t="s">
        <v>310</v>
      </c>
      <c r="C40" s="4416" t="s">
        <v>340</v>
      </c>
      <c r="D40" s="4409">
        <v>15</v>
      </c>
      <c r="E40" s="4408"/>
      <c r="F40" s="4408"/>
      <c r="G40" s="4405">
        <v>15</v>
      </c>
      <c r="H40" s="4409">
        <v>12</v>
      </c>
      <c r="I40" s="4408"/>
      <c r="J40" s="4408">
        <v>16</v>
      </c>
      <c r="K40" s="4405">
        <v>28</v>
      </c>
      <c r="L40" s="4409">
        <v>4</v>
      </c>
      <c r="M40" s="4408">
        <v>17</v>
      </c>
      <c r="N40" s="4408">
        <v>1</v>
      </c>
      <c r="O40" s="4405">
        <v>22</v>
      </c>
      <c r="P40" s="4409"/>
      <c r="Q40" s="4408"/>
      <c r="R40" s="4408">
        <v>25</v>
      </c>
      <c r="S40" s="4405">
        <v>25</v>
      </c>
      <c r="T40" s="4409"/>
      <c r="U40" s="4408"/>
      <c r="V40" s="4408">
        <v>19</v>
      </c>
      <c r="W40" s="4405">
        <f>SUM(T40:V40)</f>
        <v>19</v>
      </c>
      <c r="X40" s="4404"/>
      <c r="Y40" s="4404"/>
      <c r="Z40" s="4404">
        <v>11</v>
      </c>
      <c r="AA40" s="4405">
        <f>SUM(X40:Z40)</f>
        <v>11</v>
      </c>
      <c r="AB40" s="4404"/>
      <c r="AC40" s="4404"/>
      <c r="AD40" s="4404">
        <v>20</v>
      </c>
      <c r="AE40" s="4405">
        <f>SUM(AB40:AD40)</f>
        <v>20</v>
      </c>
      <c r="AF40" s="4404"/>
      <c r="AG40" s="4404"/>
      <c r="AH40" s="4404">
        <v>21</v>
      </c>
      <c r="AI40" s="4405">
        <f>SUM(AF40:AH40)</f>
        <v>21</v>
      </c>
      <c r="AJ40" s="4404"/>
      <c r="AK40" s="4404"/>
      <c r="AL40" s="4404">
        <v>5</v>
      </c>
      <c r="AM40" s="4405">
        <f>SUM(AJ40:AL40)</f>
        <v>5</v>
      </c>
      <c r="AN40" s="4404"/>
      <c r="AO40" s="4404"/>
      <c r="AP40" s="4404">
        <v>6</v>
      </c>
      <c r="AQ40" s="4405">
        <f>SUM(AN40:AP40)</f>
        <v>6</v>
      </c>
      <c r="AR40" s="4404"/>
      <c r="AS40" s="4404"/>
      <c r="AT40" s="4404">
        <v>7</v>
      </c>
      <c r="AU40" s="4405">
        <f>SUM(AR40:AT40)</f>
        <v>7</v>
      </c>
      <c r="AV40" s="4404"/>
      <c r="AW40" s="4404"/>
      <c r="AX40" s="4404">
        <v>3</v>
      </c>
      <c r="AY40" s="4405">
        <f>AV40+AW40+AX40</f>
        <v>3</v>
      </c>
      <c r="AZ40" s="4404"/>
      <c r="BA40" s="4404"/>
      <c r="BB40" s="4404">
        <v>59</v>
      </c>
      <c r="BC40" s="4405">
        <f>AZ40+BA40+BB40</f>
        <v>59</v>
      </c>
      <c r="BD40" s="4404"/>
      <c r="BE40" s="4404"/>
      <c r="BF40" s="4404">
        <v>7</v>
      </c>
      <c r="BG40" s="4405">
        <f>BD40+BE40+BF40</f>
        <v>7</v>
      </c>
      <c r="BH40" s="4404"/>
      <c r="BI40" s="4404"/>
      <c r="BJ40" s="4404">
        <v>47</v>
      </c>
      <c r="BK40" s="4405">
        <f>BH40+BI40+BJ40</f>
        <v>47</v>
      </c>
      <c r="BL40" s="4404"/>
      <c r="BM40" s="4404"/>
      <c r="BN40" s="4404">
        <v>7</v>
      </c>
      <c r="BO40" s="4405">
        <f>BL40+BM40+BN40</f>
        <v>7</v>
      </c>
      <c r="BP40" s="4404"/>
      <c r="BQ40" s="4404"/>
      <c r="BR40" s="4404"/>
      <c r="BS40" s="4405">
        <f>BP40+BQ40+BR40</f>
        <v>0</v>
      </c>
      <c r="BT40" s="4404"/>
      <c r="BU40" s="4404"/>
      <c r="BV40" s="4404"/>
      <c r="BW40" s="4405">
        <f>BT40+BU40+BV40</f>
        <v>0</v>
      </c>
      <c r="BX40" s="4404"/>
      <c r="BY40" s="4404"/>
      <c r="BZ40" s="4404"/>
      <c r="CA40" s="4405">
        <f>BX40+BY40+BZ40</f>
        <v>0</v>
      </c>
      <c r="CB40" s="4404"/>
      <c r="CC40" s="4404"/>
      <c r="CD40" s="4404"/>
      <c r="CE40" s="4405">
        <f>CB40+CC40+CD40</f>
        <v>0</v>
      </c>
      <c r="CF40" s="4404"/>
      <c r="CG40" s="4404"/>
      <c r="CH40" s="4404"/>
      <c r="CI40" s="4405">
        <f>CF40+CG40+CH40</f>
        <v>0</v>
      </c>
      <c r="CJ40" s="4404"/>
      <c r="CK40" s="4404"/>
      <c r="CL40" s="4404"/>
      <c r="CM40" s="4405">
        <f>CJ40+CK40+CL40</f>
        <v>0</v>
      </c>
      <c r="CN40" s="4404"/>
      <c r="CO40" s="4404"/>
      <c r="CP40" s="4404"/>
      <c r="CQ40" s="4405">
        <f>CN40+CO40+CP40</f>
        <v>0</v>
      </c>
      <c r="CR40" s="4404"/>
      <c r="CS40" s="4404"/>
      <c r="CT40" s="4404"/>
      <c r="CU40" s="4405">
        <f>CR40+CS40+CT40</f>
        <v>0</v>
      </c>
    </row>
    <row r="41" spans="2:99" ht="14.4" x14ac:dyDescent="0.3">
      <c r="B41" s="5838"/>
      <c r="C41" s="4406" t="s">
        <v>341</v>
      </c>
      <c r="D41" s="4409"/>
      <c r="E41" s="4408"/>
      <c r="F41" s="4408"/>
      <c r="G41" s="4405"/>
      <c r="H41" s="4409"/>
      <c r="I41" s="4408"/>
      <c r="J41" s="4408"/>
      <c r="K41" s="4405"/>
      <c r="L41" s="4409"/>
      <c r="M41" s="4408"/>
      <c r="N41" s="4408"/>
      <c r="O41" s="4405"/>
      <c r="P41" s="4409"/>
      <c r="Q41" s="4408"/>
      <c r="R41" s="4408"/>
      <c r="S41" s="4405"/>
      <c r="T41" s="4409"/>
      <c r="U41" s="4408"/>
      <c r="V41" s="4408"/>
      <c r="W41" s="4405"/>
      <c r="X41" s="4404"/>
      <c r="Y41" s="4404"/>
      <c r="Z41" s="4404"/>
      <c r="AA41" s="4405"/>
      <c r="AB41" s="4404"/>
      <c r="AC41" s="4404"/>
      <c r="AD41" s="4404"/>
      <c r="AE41" s="4405"/>
      <c r="AF41" s="4404"/>
      <c r="AG41" s="4404"/>
      <c r="AH41" s="4404"/>
      <c r="AI41" s="4405"/>
      <c r="AJ41" s="4404"/>
      <c r="AK41" s="4404"/>
      <c r="AL41" s="4404"/>
      <c r="AM41" s="4405"/>
      <c r="AN41" s="4404"/>
      <c r="AO41" s="4404"/>
      <c r="AP41" s="4404"/>
      <c r="AQ41" s="4405"/>
      <c r="AR41" s="4404"/>
      <c r="AS41" s="4404"/>
      <c r="AT41" s="4404"/>
      <c r="AU41" s="4405"/>
      <c r="AV41" s="4404"/>
      <c r="AW41" s="4404"/>
      <c r="AX41" s="4404"/>
      <c r="AY41" s="4405"/>
      <c r="AZ41" s="4404"/>
      <c r="BA41" s="4404"/>
      <c r="BB41" s="4404"/>
      <c r="BC41" s="4405"/>
      <c r="BD41" s="4404"/>
      <c r="BE41" s="4404"/>
      <c r="BF41" s="4404"/>
      <c r="BG41" s="4405"/>
      <c r="BH41" s="4404"/>
      <c r="BI41" s="4404"/>
      <c r="BJ41" s="4404"/>
      <c r="BK41" s="4405"/>
      <c r="BL41" s="4404"/>
      <c r="BM41" s="4404"/>
      <c r="BN41" s="4404"/>
      <c r="BO41" s="4405"/>
      <c r="BP41" s="4404"/>
      <c r="BQ41" s="4404">
        <v>6</v>
      </c>
      <c r="BR41" s="4404">
        <v>5</v>
      </c>
      <c r="BS41" s="4405">
        <f t="shared" ref="BS41:BS46" si="18">BP41+BQ41+BR41</f>
        <v>11</v>
      </c>
      <c r="BT41" s="4404"/>
      <c r="BU41" s="4404"/>
      <c r="BV41" s="4404">
        <v>2</v>
      </c>
      <c r="BW41" s="4405">
        <f t="shared" ref="BW41:BW46" si="19">BT41+BU41+BV41</f>
        <v>2</v>
      </c>
      <c r="BX41" s="4404"/>
      <c r="BY41" s="4404"/>
      <c r="BZ41" s="4404"/>
      <c r="CA41" s="4405">
        <f t="shared" ref="CA41:CA46" si="20">BX41+BY41+BZ41</f>
        <v>0</v>
      </c>
      <c r="CB41" s="4404"/>
      <c r="CC41" s="4404"/>
      <c r="CD41" s="4404">
        <v>2</v>
      </c>
      <c r="CE41" s="4405">
        <f t="shared" ref="CE41:CE46" si="21">CB41+CC41+CD41</f>
        <v>2</v>
      </c>
      <c r="CF41" s="4404"/>
      <c r="CG41" s="4404"/>
      <c r="CH41" s="4404"/>
      <c r="CI41" s="4405">
        <f t="shared" ref="CI41:CI46" si="22">CF41+CG41+CH41</f>
        <v>0</v>
      </c>
      <c r="CJ41" s="4404">
        <v>8</v>
      </c>
      <c r="CK41" s="4404">
        <v>1</v>
      </c>
      <c r="CL41" s="4404"/>
      <c r="CM41" s="4405">
        <f t="shared" ref="CM41:CM46" si="23">CJ41+CK41+CL41</f>
        <v>9</v>
      </c>
      <c r="CN41" s="4404"/>
      <c r="CO41" s="4404">
        <v>9</v>
      </c>
      <c r="CP41" s="4404"/>
      <c r="CQ41" s="4405">
        <f t="shared" ref="CQ41:CQ46" si="24">CN41+CO41+CP41</f>
        <v>9</v>
      </c>
      <c r="CR41" s="4404"/>
      <c r="CS41" s="4404">
        <v>3</v>
      </c>
      <c r="CT41" s="4404"/>
      <c r="CU41" s="4405">
        <f t="shared" ref="CU41:CU46" si="25">CR41+CS41+CT41</f>
        <v>3</v>
      </c>
    </row>
    <row r="42" spans="2:99" ht="14.4" x14ac:dyDescent="0.3">
      <c r="B42" s="5838"/>
      <c r="C42" s="4406" t="s">
        <v>342</v>
      </c>
      <c r="D42" s="4409"/>
      <c r="E42" s="4408"/>
      <c r="F42" s="4408"/>
      <c r="G42" s="4405"/>
      <c r="H42" s="4409"/>
      <c r="I42" s="4408"/>
      <c r="J42" s="4408"/>
      <c r="K42" s="4405"/>
      <c r="L42" s="4409"/>
      <c r="M42" s="4408"/>
      <c r="N42" s="4408"/>
      <c r="O42" s="4405"/>
      <c r="P42" s="4409"/>
      <c r="Q42" s="4408"/>
      <c r="R42" s="4408"/>
      <c r="S42" s="4405"/>
      <c r="T42" s="4409"/>
      <c r="U42" s="4408"/>
      <c r="V42" s="4408"/>
      <c r="W42" s="4405"/>
      <c r="X42" s="4404"/>
      <c r="Y42" s="4404"/>
      <c r="Z42" s="4404"/>
      <c r="AA42" s="4405"/>
      <c r="AB42" s="4404"/>
      <c r="AC42" s="4404"/>
      <c r="AD42" s="4404"/>
      <c r="AE42" s="4405"/>
      <c r="AF42" s="4404"/>
      <c r="AG42" s="4404"/>
      <c r="AH42" s="4404"/>
      <c r="AI42" s="4405"/>
      <c r="AJ42" s="4404"/>
      <c r="AK42" s="4404"/>
      <c r="AL42" s="4404"/>
      <c r="AM42" s="4405"/>
      <c r="AN42" s="4404"/>
      <c r="AO42" s="4404"/>
      <c r="AP42" s="4404"/>
      <c r="AQ42" s="4405"/>
      <c r="AR42" s="4404"/>
      <c r="AS42" s="4404"/>
      <c r="AT42" s="4404"/>
      <c r="AU42" s="4405"/>
      <c r="AV42" s="4404"/>
      <c r="AW42" s="4404"/>
      <c r="AX42" s="4404"/>
      <c r="AY42" s="4405"/>
      <c r="AZ42" s="4404"/>
      <c r="BA42" s="4404"/>
      <c r="BB42" s="4404"/>
      <c r="BC42" s="4405"/>
      <c r="BD42" s="4404"/>
      <c r="BE42" s="4404"/>
      <c r="BF42" s="4404"/>
      <c r="BG42" s="4405"/>
      <c r="BH42" s="4404"/>
      <c r="BI42" s="4404"/>
      <c r="BJ42" s="4404"/>
      <c r="BK42" s="4405"/>
      <c r="BL42" s="4404"/>
      <c r="BM42" s="4404"/>
      <c r="BN42" s="4404"/>
      <c r="BO42" s="4405"/>
      <c r="BP42" s="4404"/>
      <c r="BQ42" s="4404">
        <v>3</v>
      </c>
      <c r="BR42" s="4404">
        <v>5</v>
      </c>
      <c r="BS42" s="4405">
        <f t="shared" si="18"/>
        <v>8</v>
      </c>
      <c r="BT42" s="4404"/>
      <c r="BU42" s="4404"/>
      <c r="BV42" s="4404">
        <v>2</v>
      </c>
      <c r="BW42" s="4405">
        <f t="shared" si="19"/>
        <v>2</v>
      </c>
      <c r="BX42" s="4404"/>
      <c r="BY42" s="4404"/>
      <c r="BZ42" s="4404">
        <v>4</v>
      </c>
      <c r="CA42" s="4405">
        <f t="shared" si="20"/>
        <v>4</v>
      </c>
      <c r="CB42" s="4404"/>
      <c r="CC42" s="4404"/>
      <c r="CD42" s="4404"/>
      <c r="CE42" s="4405">
        <f t="shared" si="21"/>
        <v>0</v>
      </c>
      <c r="CF42" s="4404">
        <v>7</v>
      </c>
      <c r="CG42" s="4404"/>
      <c r="CH42" s="4404"/>
      <c r="CI42" s="4405">
        <f t="shared" si="22"/>
        <v>7</v>
      </c>
      <c r="CJ42" s="4404">
        <v>2</v>
      </c>
      <c r="CK42" s="4404"/>
      <c r="CL42" s="4404">
        <v>1</v>
      </c>
      <c r="CM42" s="4405">
        <f t="shared" si="23"/>
        <v>3</v>
      </c>
      <c r="CN42" s="4404"/>
      <c r="CO42" s="4404">
        <v>3</v>
      </c>
      <c r="CP42" s="4404"/>
      <c r="CQ42" s="4405">
        <f t="shared" si="24"/>
        <v>3</v>
      </c>
      <c r="CR42" s="4404"/>
      <c r="CS42" s="4404">
        <v>4</v>
      </c>
      <c r="CT42" s="4404"/>
      <c r="CU42" s="4405">
        <f t="shared" si="25"/>
        <v>4</v>
      </c>
    </row>
    <row r="43" spans="2:99" ht="14.4" x14ac:dyDescent="0.3">
      <c r="B43" s="5838"/>
      <c r="C43" s="4406" t="s">
        <v>343</v>
      </c>
      <c r="D43" s="4409"/>
      <c r="E43" s="4408"/>
      <c r="F43" s="4408"/>
      <c r="G43" s="4405"/>
      <c r="H43" s="4409"/>
      <c r="I43" s="4408"/>
      <c r="J43" s="4408"/>
      <c r="K43" s="4405"/>
      <c r="L43" s="4409"/>
      <c r="M43" s="4408"/>
      <c r="N43" s="4408"/>
      <c r="O43" s="4405"/>
      <c r="P43" s="4409"/>
      <c r="Q43" s="4408"/>
      <c r="R43" s="4408"/>
      <c r="S43" s="4405"/>
      <c r="T43" s="4409"/>
      <c r="U43" s="4408"/>
      <c r="V43" s="4408"/>
      <c r="W43" s="4405"/>
      <c r="X43" s="4404"/>
      <c r="Y43" s="4404"/>
      <c r="Z43" s="4404"/>
      <c r="AA43" s="4405"/>
      <c r="AB43" s="4404"/>
      <c r="AC43" s="4404"/>
      <c r="AD43" s="4404"/>
      <c r="AE43" s="4405"/>
      <c r="AF43" s="4404"/>
      <c r="AG43" s="4404"/>
      <c r="AH43" s="4404"/>
      <c r="AI43" s="4405"/>
      <c r="AJ43" s="4404"/>
      <c r="AK43" s="4404"/>
      <c r="AL43" s="4404"/>
      <c r="AM43" s="4405"/>
      <c r="AN43" s="4404"/>
      <c r="AO43" s="4404"/>
      <c r="AP43" s="4404"/>
      <c r="AQ43" s="4405"/>
      <c r="AR43" s="4404"/>
      <c r="AS43" s="4404"/>
      <c r="AT43" s="4404"/>
      <c r="AU43" s="4405"/>
      <c r="AV43" s="4404"/>
      <c r="AW43" s="4404"/>
      <c r="AX43" s="4404"/>
      <c r="AY43" s="4405"/>
      <c r="AZ43" s="4404"/>
      <c r="BA43" s="4404"/>
      <c r="BB43" s="4404"/>
      <c r="BC43" s="4405"/>
      <c r="BD43" s="4404"/>
      <c r="BE43" s="4404"/>
      <c r="BF43" s="4404"/>
      <c r="BG43" s="4405"/>
      <c r="BH43" s="4404"/>
      <c r="BI43" s="4404"/>
      <c r="BJ43" s="4404"/>
      <c r="BK43" s="4405"/>
      <c r="BL43" s="4404"/>
      <c r="BM43" s="4404"/>
      <c r="BN43" s="4404"/>
      <c r="BO43" s="4405"/>
      <c r="BP43" s="4404"/>
      <c r="BQ43" s="4404">
        <v>20</v>
      </c>
      <c r="BR43" s="4404"/>
      <c r="BS43" s="4405">
        <f t="shared" si="18"/>
        <v>20</v>
      </c>
      <c r="BT43" s="4404"/>
      <c r="BU43" s="4404"/>
      <c r="BV43" s="4404">
        <v>5</v>
      </c>
      <c r="BW43" s="4405">
        <f t="shared" si="19"/>
        <v>5</v>
      </c>
      <c r="BX43" s="4404"/>
      <c r="BY43" s="4404"/>
      <c r="BZ43" s="4404">
        <v>5</v>
      </c>
      <c r="CA43" s="4405">
        <f t="shared" si="20"/>
        <v>5</v>
      </c>
      <c r="CB43" s="4404"/>
      <c r="CC43" s="4404"/>
      <c r="CD43" s="4404"/>
      <c r="CE43" s="4405">
        <f t="shared" si="21"/>
        <v>0</v>
      </c>
      <c r="CF43" s="4404">
        <v>5</v>
      </c>
      <c r="CG43" s="4404"/>
      <c r="CH43" s="4404"/>
      <c r="CI43" s="4405">
        <f t="shared" si="22"/>
        <v>5</v>
      </c>
      <c r="CJ43" s="4404">
        <v>9</v>
      </c>
      <c r="CK43" s="4404"/>
      <c r="CL43" s="4404"/>
      <c r="CM43" s="4405">
        <f t="shared" si="23"/>
        <v>9</v>
      </c>
      <c r="CN43" s="4404"/>
      <c r="CO43" s="4404">
        <v>9</v>
      </c>
      <c r="CP43" s="4404"/>
      <c r="CQ43" s="4405">
        <f t="shared" si="24"/>
        <v>9</v>
      </c>
      <c r="CR43" s="4404"/>
      <c r="CS43" s="4404">
        <v>15</v>
      </c>
      <c r="CT43" s="4404"/>
      <c r="CU43" s="4405">
        <f t="shared" si="25"/>
        <v>15</v>
      </c>
    </row>
    <row r="44" spans="2:99" ht="14.4" x14ac:dyDescent="0.3">
      <c r="B44" s="5838"/>
      <c r="C44" s="4406" t="s">
        <v>339</v>
      </c>
      <c r="D44" s="4409"/>
      <c r="E44" s="4408"/>
      <c r="F44" s="4408"/>
      <c r="G44" s="4405"/>
      <c r="H44" s="4409"/>
      <c r="I44" s="4408"/>
      <c r="J44" s="4408"/>
      <c r="K44" s="4405"/>
      <c r="L44" s="4409"/>
      <c r="M44" s="4408"/>
      <c r="N44" s="4408"/>
      <c r="O44" s="4405"/>
      <c r="P44" s="4409"/>
      <c r="Q44" s="4408"/>
      <c r="R44" s="4408"/>
      <c r="S44" s="4405"/>
      <c r="T44" s="4409"/>
      <c r="U44" s="4408"/>
      <c r="V44" s="4408"/>
      <c r="W44" s="4405"/>
      <c r="X44" s="4404"/>
      <c r="Y44" s="4404"/>
      <c r="Z44" s="4404"/>
      <c r="AA44" s="4405"/>
      <c r="AB44" s="4404"/>
      <c r="AC44" s="4404"/>
      <c r="AD44" s="4404"/>
      <c r="AE44" s="4405"/>
      <c r="AF44" s="4404"/>
      <c r="AG44" s="4404"/>
      <c r="AH44" s="4404"/>
      <c r="AI44" s="4405"/>
      <c r="AJ44" s="4404"/>
      <c r="AK44" s="4404"/>
      <c r="AL44" s="4404"/>
      <c r="AM44" s="4405"/>
      <c r="AN44" s="4404"/>
      <c r="AO44" s="4404"/>
      <c r="AP44" s="4404"/>
      <c r="AQ44" s="4405"/>
      <c r="AR44" s="4404"/>
      <c r="AS44" s="4404"/>
      <c r="AT44" s="4404"/>
      <c r="AU44" s="4405"/>
      <c r="AV44" s="4404"/>
      <c r="AW44" s="4404"/>
      <c r="AX44" s="4404"/>
      <c r="AY44" s="4405"/>
      <c r="AZ44" s="4404"/>
      <c r="BA44" s="4404"/>
      <c r="BB44" s="4404"/>
      <c r="BC44" s="4405"/>
      <c r="BD44" s="4404"/>
      <c r="BE44" s="4404"/>
      <c r="BF44" s="4404"/>
      <c r="BG44" s="4405"/>
      <c r="BH44" s="4404"/>
      <c r="BI44" s="4404"/>
      <c r="BJ44" s="4404"/>
      <c r="BK44" s="4405"/>
      <c r="BL44" s="4404"/>
      <c r="BM44" s="4404"/>
      <c r="BN44" s="4404"/>
      <c r="BO44" s="4405"/>
      <c r="BP44" s="4404">
        <v>2</v>
      </c>
      <c r="BQ44" s="4404"/>
      <c r="BR44" s="4404">
        <v>5</v>
      </c>
      <c r="BS44" s="4405">
        <f t="shared" si="18"/>
        <v>7</v>
      </c>
      <c r="BT44" s="4404"/>
      <c r="BU44" s="4404"/>
      <c r="BV44" s="4404"/>
      <c r="BW44" s="4405">
        <f t="shared" si="19"/>
        <v>0</v>
      </c>
      <c r="BX44" s="4404"/>
      <c r="BY44" s="4404"/>
      <c r="BZ44" s="4404">
        <v>2</v>
      </c>
      <c r="CA44" s="4405">
        <f t="shared" si="20"/>
        <v>2</v>
      </c>
      <c r="CB44" s="4404"/>
      <c r="CC44" s="4404"/>
      <c r="CD44" s="4404">
        <v>4</v>
      </c>
      <c r="CE44" s="4405">
        <f t="shared" si="21"/>
        <v>4</v>
      </c>
      <c r="CF44" s="4404"/>
      <c r="CG44" s="4404"/>
      <c r="CH44" s="4404"/>
      <c r="CI44" s="4405">
        <f t="shared" si="22"/>
        <v>0</v>
      </c>
      <c r="CJ44" s="4404">
        <v>6</v>
      </c>
      <c r="CK44" s="4404"/>
      <c r="CL44" s="4404"/>
      <c r="CM44" s="4405">
        <f t="shared" si="23"/>
        <v>6</v>
      </c>
      <c r="CN44" s="4404"/>
      <c r="CO44" s="4404"/>
      <c r="CP44" s="4404"/>
      <c r="CQ44" s="4405">
        <f t="shared" si="24"/>
        <v>0</v>
      </c>
      <c r="CR44" s="4404"/>
      <c r="CS44" s="4404">
        <v>7</v>
      </c>
      <c r="CT44" s="4404"/>
      <c r="CU44" s="4405">
        <f t="shared" si="25"/>
        <v>7</v>
      </c>
    </row>
    <row r="45" spans="2:99" ht="14.4" x14ac:dyDescent="0.3">
      <c r="B45" s="5838"/>
      <c r="C45" s="4406" t="s">
        <v>344</v>
      </c>
      <c r="D45" s="4409"/>
      <c r="E45" s="4408"/>
      <c r="F45" s="4408"/>
      <c r="G45" s="4405"/>
      <c r="H45" s="4409"/>
      <c r="I45" s="4408"/>
      <c r="J45" s="4408"/>
      <c r="K45" s="4405"/>
      <c r="L45" s="4409"/>
      <c r="M45" s="4408"/>
      <c r="N45" s="4408"/>
      <c r="O45" s="4405"/>
      <c r="P45" s="4409"/>
      <c r="Q45" s="4408"/>
      <c r="R45" s="4408"/>
      <c r="S45" s="4405"/>
      <c r="T45" s="4409"/>
      <c r="U45" s="4408"/>
      <c r="V45" s="4408"/>
      <c r="W45" s="4405"/>
      <c r="X45" s="4404"/>
      <c r="Y45" s="4404"/>
      <c r="Z45" s="4404"/>
      <c r="AA45" s="4405"/>
      <c r="AB45" s="4404"/>
      <c r="AC45" s="4404"/>
      <c r="AD45" s="4404"/>
      <c r="AE45" s="4405"/>
      <c r="AF45" s="4404"/>
      <c r="AG45" s="4404"/>
      <c r="AH45" s="4404"/>
      <c r="AI45" s="4405"/>
      <c r="AJ45" s="4404"/>
      <c r="AK45" s="4404"/>
      <c r="AL45" s="4404"/>
      <c r="AM45" s="4405"/>
      <c r="AN45" s="4404"/>
      <c r="AO45" s="4404"/>
      <c r="AP45" s="4404"/>
      <c r="AQ45" s="4405"/>
      <c r="AR45" s="4404"/>
      <c r="AS45" s="4404"/>
      <c r="AT45" s="4404"/>
      <c r="AU45" s="4405"/>
      <c r="AV45" s="4404"/>
      <c r="AW45" s="4404"/>
      <c r="AX45" s="4404"/>
      <c r="AY45" s="4405"/>
      <c r="AZ45" s="4404"/>
      <c r="BA45" s="4404"/>
      <c r="BB45" s="4404"/>
      <c r="BC45" s="4405"/>
      <c r="BD45" s="4404"/>
      <c r="BE45" s="4404"/>
      <c r="BF45" s="4404"/>
      <c r="BG45" s="4405"/>
      <c r="BH45" s="4404"/>
      <c r="BI45" s="4404"/>
      <c r="BJ45" s="4404"/>
      <c r="BK45" s="4405"/>
      <c r="BL45" s="4404"/>
      <c r="BM45" s="4404"/>
      <c r="BN45" s="4404"/>
      <c r="BO45" s="4405"/>
      <c r="BP45" s="4404"/>
      <c r="BQ45" s="4404">
        <v>6</v>
      </c>
      <c r="BR45" s="4404">
        <v>5</v>
      </c>
      <c r="BS45" s="4405">
        <f t="shared" si="18"/>
        <v>11</v>
      </c>
      <c r="BT45" s="4404"/>
      <c r="BU45" s="4404">
        <v>1</v>
      </c>
      <c r="BV45" s="4404">
        <v>4</v>
      </c>
      <c r="BW45" s="4405">
        <f t="shared" si="19"/>
        <v>5</v>
      </c>
      <c r="BX45" s="4404"/>
      <c r="BY45" s="4404"/>
      <c r="BZ45" s="4404">
        <v>5</v>
      </c>
      <c r="CA45" s="4405">
        <f t="shared" si="20"/>
        <v>5</v>
      </c>
      <c r="CB45" s="4404"/>
      <c r="CC45" s="4404"/>
      <c r="CD45" s="4404"/>
      <c r="CE45" s="4405">
        <f t="shared" si="21"/>
        <v>0</v>
      </c>
      <c r="CF45" s="4404">
        <v>4</v>
      </c>
      <c r="CG45" s="4404"/>
      <c r="CH45" s="4404"/>
      <c r="CI45" s="4405">
        <f t="shared" si="22"/>
        <v>4</v>
      </c>
      <c r="CJ45" s="4404">
        <v>4</v>
      </c>
      <c r="CK45" s="4404"/>
      <c r="CL45" s="4404"/>
      <c r="CM45" s="4405">
        <f t="shared" si="23"/>
        <v>4</v>
      </c>
      <c r="CN45" s="4404"/>
      <c r="CO45" s="4404">
        <v>4</v>
      </c>
      <c r="CP45" s="4404"/>
      <c r="CQ45" s="4405">
        <f t="shared" si="24"/>
        <v>4</v>
      </c>
      <c r="CR45" s="4404"/>
      <c r="CS45" s="4404">
        <v>1</v>
      </c>
      <c r="CT45" s="4404"/>
      <c r="CU45" s="4405">
        <f t="shared" si="25"/>
        <v>1</v>
      </c>
    </row>
    <row r="46" spans="2:99" ht="28.8" x14ac:dyDescent="0.3">
      <c r="B46" s="5839"/>
      <c r="C46" s="4406" t="s">
        <v>345</v>
      </c>
      <c r="D46" s="4409"/>
      <c r="E46" s="4408"/>
      <c r="F46" s="4408"/>
      <c r="G46" s="4405"/>
      <c r="H46" s="4409"/>
      <c r="I46" s="4408"/>
      <c r="J46" s="4408"/>
      <c r="K46" s="4405"/>
      <c r="L46" s="4409"/>
      <c r="M46" s="4408"/>
      <c r="N46" s="4408"/>
      <c r="O46" s="4405"/>
      <c r="P46" s="4409"/>
      <c r="Q46" s="4408"/>
      <c r="R46" s="4408"/>
      <c r="S46" s="4405"/>
      <c r="T46" s="4409"/>
      <c r="U46" s="4408"/>
      <c r="V46" s="4408"/>
      <c r="W46" s="4405"/>
      <c r="X46" s="4404"/>
      <c r="Y46" s="4404"/>
      <c r="Z46" s="4404"/>
      <c r="AA46" s="4405"/>
      <c r="AB46" s="4404"/>
      <c r="AC46" s="4404"/>
      <c r="AD46" s="4404"/>
      <c r="AE46" s="4405"/>
      <c r="AF46" s="4404"/>
      <c r="AG46" s="4404"/>
      <c r="AH46" s="4404"/>
      <c r="AI46" s="4405"/>
      <c r="AJ46" s="4404"/>
      <c r="AK46" s="4404"/>
      <c r="AL46" s="4404"/>
      <c r="AM46" s="4405"/>
      <c r="AN46" s="4404"/>
      <c r="AO46" s="4404"/>
      <c r="AP46" s="4404"/>
      <c r="AQ46" s="4405"/>
      <c r="AR46" s="4404"/>
      <c r="AS46" s="4404"/>
      <c r="AT46" s="4404"/>
      <c r="AU46" s="4405"/>
      <c r="AV46" s="4404"/>
      <c r="AW46" s="4404"/>
      <c r="AX46" s="4404"/>
      <c r="AY46" s="4405"/>
      <c r="AZ46" s="4404"/>
      <c r="BA46" s="4404"/>
      <c r="BB46" s="4404"/>
      <c r="BC46" s="4405"/>
      <c r="BD46" s="4404"/>
      <c r="BE46" s="4404"/>
      <c r="BF46" s="4404"/>
      <c r="BG46" s="4405"/>
      <c r="BH46" s="4404"/>
      <c r="BI46" s="4404"/>
      <c r="BJ46" s="4404"/>
      <c r="BK46" s="4405"/>
      <c r="BL46" s="4404"/>
      <c r="BM46" s="4404"/>
      <c r="BN46" s="4404"/>
      <c r="BO46" s="4405"/>
      <c r="BP46" s="4404"/>
      <c r="BQ46" s="4404">
        <v>3</v>
      </c>
      <c r="BR46" s="4404">
        <v>4</v>
      </c>
      <c r="BS46" s="4405">
        <f t="shared" si="18"/>
        <v>7</v>
      </c>
      <c r="BT46" s="4404"/>
      <c r="BU46" s="4404"/>
      <c r="BV46" s="4404">
        <v>2</v>
      </c>
      <c r="BW46" s="4405">
        <f t="shared" si="19"/>
        <v>2</v>
      </c>
      <c r="BX46" s="4404"/>
      <c r="BY46" s="4404"/>
      <c r="BZ46" s="4404"/>
      <c r="CA46" s="4405">
        <f t="shared" si="20"/>
        <v>0</v>
      </c>
      <c r="CB46" s="4404"/>
      <c r="CC46" s="4404"/>
      <c r="CD46" s="4404"/>
      <c r="CE46" s="4405">
        <f t="shared" si="21"/>
        <v>0</v>
      </c>
      <c r="CF46" s="4404">
        <v>3</v>
      </c>
      <c r="CG46" s="4404"/>
      <c r="CH46" s="4404"/>
      <c r="CI46" s="4405">
        <f t="shared" si="22"/>
        <v>3</v>
      </c>
      <c r="CJ46" s="4404">
        <v>3</v>
      </c>
      <c r="CK46" s="4404"/>
      <c r="CL46" s="4404"/>
      <c r="CM46" s="4405">
        <f t="shared" si="23"/>
        <v>3</v>
      </c>
      <c r="CN46" s="4404"/>
      <c r="CO46" s="4404"/>
      <c r="CP46" s="4404"/>
      <c r="CQ46" s="4405">
        <f t="shared" si="24"/>
        <v>0</v>
      </c>
      <c r="CR46" s="4404"/>
      <c r="CS46" s="4404">
        <v>3</v>
      </c>
      <c r="CT46" s="4404"/>
      <c r="CU46" s="4405">
        <f t="shared" si="25"/>
        <v>3</v>
      </c>
    </row>
    <row r="47" spans="2:99" ht="14.4" x14ac:dyDescent="0.3">
      <c r="B47" s="5840" t="s">
        <v>317</v>
      </c>
      <c r="C47" s="1288" t="s">
        <v>346</v>
      </c>
      <c r="D47" s="1262">
        <v>4</v>
      </c>
      <c r="E47" s="1263"/>
      <c r="F47" s="1263">
        <v>14</v>
      </c>
      <c r="G47" s="1264">
        <v>18</v>
      </c>
      <c r="H47" s="1262">
        <v>2</v>
      </c>
      <c r="I47" s="1263">
        <v>1</v>
      </c>
      <c r="J47" s="1263"/>
      <c r="K47" s="1264">
        <v>3</v>
      </c>
      <c r="L47" s="1262"/>
      <c r="M47" s="1263"/>
      <c r="N47" s="1263">
        <v>12</v>
      </c>
      <c r="O47" s="1264">
        <v>12</v>
      </c>
      <c r="P47" s="1262">
        <v>1</v>
      </c>
      <c r="Q47" s="1263"/>
      <c r="R47" s="1263">
        <v>5</v>
      </c>
      <c r="S47" s="1264">
        <v>6</v>
      </c>
      <c r="T47" s="1262"/>
      <c r="U47" s="1263"/>
      <c r="V47" s="1263"/>
      <c r="W47" s="1264"/>
      <c r="X47" s="1263"/>
      <c r="Y47" s="1263"/>
      <c r="Z47" s="1263"/>
      <c r="AA47" s="1264"/>
      <c r="AB47" s="1263"/>
      <c r="AC47" s="1263"/>
      <c r="AD47" s="1263">
        <v>6</v>
      </c>
      <c r="AE47" s="1264">
        <f>SUM(AB47:AD47)</f>
        <v>6</v>
      </c>
      <c r="AF47" s="1263"/>
      <c r="AG47" s="1263"/>
      <c r="AH47" s="1263">
        <v>4</v>
      </c>
      <c r="AI47" s="1264">
        <f>SUM(AF47:AH47)</f>
        <v>4</v>
      </c>
      <c r="AJ47" s="1263"/>
      <c r="AK47" s="1263"/>
      <c r="AL47" s="1263">
        <v>8</v>
      </c>
      <c r="AM47" s="1264">
        <f>SUM(AJ47:AL47)</f>
        <v>8</v>
      </c>
      <c r="AN47" s="1263"/>
      <c r="AO47" s="1263"/>
      <c r="AP47" s="1263">
        <v>11</v>
      </c>
      <c r="AQ47" s="1264">
        <f>SUM(AN47:AP47)</f>
        <v>11</v>
      </c>
      <c r="AR47" s="1263"/>
      <c r="AS47" s="1263"/>
      <c r="AT47" s="1263">
        <v>12</v>
      </c>
      <c r="AU47" s="1264">
        <f>SUM(AR47:AT47)</f>
        <v>12</v>
      </c>
      <c r="AV47" s="1263"/>
      <c r="AW47" s="1263"/>
      <c r="AX47" s="1263">
        <v>15</v>
      </c>
      <c r="AY47" s="1264">
        <f>AV47+AW47+AX47</f>
        <v>15</v>
      </c>
      <c r="AZ47" s="1263"/>
      <c r="BA47" s="1263"/>
      <c r="BB47" s="1263">
        <v>3</v>
      </c>
      <c r="BC47" s="1264">
        <f>AZ47+BA47+BB47</f>
        <v>3</v>
      </c>
      <c r="BD47" s="1263"/>
      <c r="BE47" s="1263"/>
      <c r="BF47" s="1263">
        <v>24</v>
      </c>
      <c r="BG47" s="1264">
        <f>BD47+BE47+BF47</f>
        <v>24</v>
      </c>
      <c r="BH47" s="1263"/>
      <c r="BI47" s="1263"/>
      <c r="BJ47" s="1263">
        <v>3</v>
      </c>
      <c r="BK47" s="1264">
        <f>BH47+BI47+BJ47</f>
        <v>3</v>
      </c>
      <c r="BL47" s="1263"/>
      <c r="BM47" s="1263"/>
      <c r="BN47" s="1263">
        <v>39</v>
      </c>
      <c r="BO47" s="1264">
        <f>BL47+BM47+BN47</f>
        <v>39</v>
      </c>
      <c r="BP47" s="1263"/>
      <c r="BQ47" s="1263"/>
      <c r="BR47" s="1263"/>
      <c r="BS47" s="1264">
        <f>BP47+BQ47+BR47</f>
        <v>0</v>
      </c>
      <c r="BT47" s="1263"/>
      <c r="BU47" s="1263"/>
      <c r="BV47" s="1263"/>
      <c r="BW47" s="1264">
        <f>BT47+BU47+BV47</f>
        <v>0</v>
      </c>
      <c r="BX47" s="1263"/>
      <c r="BY47" s="1263"/>
      <c r="BZ47" s="1263"/>
      <c r="CA47" s="1264">
        <f>BX47+BY47+BZ47</f>
        <v>0</v>
      </c>
      <c r="CB47" s="1263"/>
      <c r="CC47" s="1263"/>
      <c r="CD47" s="1263"/>
      <c r="CE47" s="1264">
        <f>CB47+CC47+CD47</f>
        <v>0</v>
      </c>
      <c r="CF47" s="1263"/>
      <c r="CG47" s="1263"/>
      <c r="CH47" s="1263"/>
      <c r="CI47" s="1264">
        <f>CF47+CG47+CH47</f>
        <v>0</v>
      </c>
      <c r="CJ47" s="1263"/>
      <c r="CK47" s="1263"/>
      <c r="CL47" s="1263"/>
      <c r="CM47" s="1264">
        <f>CJ47+CK47+CL47</f>
        <v>0</v>
      </c>
      <c r="CN47" s="1263"/>
      <c r="CO47" s="1263"/>
      <c r="CP47" s="1263"/>
      <c r="CQ47" s="1264">
        <f>CN47+CO47+CP47</f>
        <v>0</v>
      </c>
      <c r="CR47" s="1263"/>
      <c r="CS47" s="1263"/>
      <c r="CT47" s="1263"/>
      <c r="CU47" s="1264">
        <f>CR47+CS47+CT47</f>
        <v>0</v>
      </c>
    </row>
    <row r="48" spans="2:99" ht="14.4" x14ac:dyDescent="0.3">
      <c r="B48" s="5841"/>
      <c r="C48" s="1265" t="s">
        <v>341</v>
      </c>
      <c r="D48" s="1267"/>
      <c r="E48" s="1268"/>
      <c r="F48" s="1268"/>
      <c r="G48" s="1269"/>
      <c r="H48" s="1267"/>
      <c r="I48" s="1268"/>
      <c r="J48" s="1268"/>
      <c r="K48" s="1269"/>
      <c r="L48" s="1267"/>
      <c r="M48" s="1268"/>
      <c r="N48" s="1268"/>
      <c r="O48" s="1269"/>
      <c r="P48" s="1267"/>
      <c r="Q48" s="1268"/>
      <c r="R48" s="1268"/>
      <c r="S48" s="1269"/>
      <c r="T48" s="1267"/>
      <c r="U48" s="1268"/>
      <c r="V48" s="1268"/>
      <c r="W48" s="1269"/>
      <c r="X48" s="1268"/>
      <c r="Y48" s="1268"/>
      <c r="Z48" s="1268"/>
      <c r="AA48" s="1269"/>
      <c r="AB48" s="1268"/>
      <c r="AC48" s="1268"/>
      <c r="AD48" s="1268"/>
      <c r="AE48" s="1269"/>
      <c r="AF48" s="1268"/>
      <c r="AG48" s="1268"/>
      <c r="AH48" s="1268"/>
      <c r="AI48" s="1269"/>
      <c r="AJ48" s="1268"/>
      <c r="AK48" s="1268"/>
      <c r="AL48" s="1268"/>
      <c r="AM48" s="1269"/>
      <c r="AN48" s="1268"/>
      <c r="AO48" s="1268"/>
      <c r="AP48" s="1268"/>
      <c r="AQ48" s="1269"/>
      <c r="AR48" s="1268"/>
      <c r="AS48" s="1268"/>
      <c r="AT48" s="1268"/>
      <c r="AU48" s="1269"/>
      <c r="AV48" s="1268"/>
      <c r="AW48" s="1268"/>
      <c r="AX48" s="1268"/>
      <c r="AY48" s="1269"/>
      <c r="AZ48" s="1268"/>
      <c r="BA48" s="1268"/>
      <c r="BB48" s="1268"/>
      <c r="BC48" s="1269"/>
      <c r="BD48" s="1268"/>
      <c r="BE48" s="1268"/>
      <c r="BF48" s="1268"/>
      <c r="BG48" s="1269"/>
      <c r="BH48" s="1268"/>
      <c r="BI48" s="1268"/>
      <c r="BJ48" s="1268"/>
      <c r="BK48" s="1269"/>
      <c r="BL48" s="1268"/>
      <c r="BM48" s="1268"/>
      <c r="BN48" s="1268"/>
      <c r="BO48" s="1269"/>
      <c r="BP48" s="1268"/>
      <c r="BQ48" s="1268"/>
      <c r="BR48" s="1268"/>
      <c r="BS48" s="1264">
        <f t="shared" ref="BS48:BS53" si="26">BP48+BQ48+BR48</f>
        <v>0</v>
      </c>
      <c r="BT48" s="1268"/>
      <c r="BU48" s="1268"/>
      <c r="BV48" s="1268"/>
      <c r="BW48" s="1264">
        <f t="shared" ref="BW48:BW53" si="27">BT48+BU48+BV48</f>
        <v>0</v>
      </c>
      <c r="BX48" s="1268"/>
      <c r="BY48" s="1268"/>
      <c r="BZ48" s="1268">
        <v>3</v>
      </c>
      <c r="CA48" s="1264">
        <f t="shared" ref="CA48:CA53" si="28">BX48+BY48+BZ48</f>
        <v>3</v>
      </c>
      <c r="CB48" s="1268"/>
      <c r="CC48" s="1268"/>
      <c r="CD48" s="1268">
        <v>1</v>
      </c>
      <c r="CE48" s="1264">
        <f t="shared" ref="CE48:CE53" si="29">CB48+CC48+CD48</f>
        <v>1</v>
      </c>
      <c r="CF48" s="1268"/>
      <c r="CG48" s="1268"/>
      <c r="CH48" s="1268"/>
      <c r="CI48" s="1264">
        <f t="shared" ref="CI48:CI53" si="30">CF48+CG48+CH48</f>
        <v>0</v>
      </c>
      <c r="CJ48" s="1268">
        <v>4</v>
      </c>
      <c r="CK48" s="1268"/>
      <c r="CL48" s="1268"/>
      <c r="CM48" s="1264">
        <f t="shared" ref="CM48:CM53" si="31">CJ48+CK48+CL48</f>
        <v>4</v>
      </c>
      <c r="CN48" s="1268"/>
      <c r="CO48" s="1268"/>
      <c r="CP48" s="1268"/>
      <c r="CQ48" s="1264">
        <f t="shared" ref="CQ48:CQ53" si="32">CN48+CO48+CP48</f>
        <v>0</v>
      </c>
      <c r="CR48" s="1268"/>
      <c r="CS48" s="1268">
        <v>2</v>
      </c>
      <c r="CT48" s="1268"/>
      <c r="CU48" s="1264">
        <f t="shared" ref="CU48:CU53" si="33">CR48+CS48+CT48</f>
        <v>2</v>
      </c>
    </row>
    <row r="49" spans="2:99" ht="14.4" x14ac:dyDescent="0.3">
      <c r="B49" s="5841"/>
      <c r="C49" s="1265" t="s">
        <v>342</v>
      </c>
      <c r="D49" s="1267"/>
      <c r="E49" s="1268"/>
      <c r="F49" s="1268"/>
      <c r="G49" s="1269"/>
      <c r="H49" s="1267"/>
      <c r="I49" s="1268"/>
      <c r="J49" s="1268"/>
      <c r="K49" s="1269"/>
      <c r="L49" s="1267"/>
      <c r="M49" s="1268"/>
      <c r="N49" s="1268"/>
      <c r="O49" s="1269"/>
      <c r="P49" s="1267"/>
      <c r="Q49" s="1268"/>
      <c r="R49" s="1268"/>
      <c r="S49" s="1269"/>
      <c r="T49" s="1267"/>
      <c r="U49" s="1268"/>
      <c r="V49" s="1268"/>
      <c r="W49" s="1269"/>
      <c r="X49" s="1268"/>
      <c r="Y49" s="1268"/>
      <c r="Z49" s="1268"/>
      <c r="AA49" s="1269"/>
      <c r="AB49" s="1268"/>
      <c r="AC49" s="1268"/>
      <c r="AD49" s="1268"/>
      <c r="AE49" s="1269"/>
      <c r="AF49" s="1268"/>
      <c r="AG49" s="1268"/>
      <c r="AH49" s="1268"/>
      <c r="AI49" s="1269"/>
      <c r="AJ49" s="1268"/>
      <c r="AK49" s="1268"/>
      <c r="AL49" s="1268"/>
      <c r="AM49" s="1269"/>
      <c r="AN49" s="1268"/>
      <c r="AO49" s="1268"/>
      <c r="AP49" s="1268"/>
      <c r="AQ49" s="1269"/>
      <c r="AR49" s="1268"/>
      <c r="AS49" s="1268"/>
      <c r="AT49" s="1268"/>
      <c r="AU49" s="1269"/>
      <c r="AV49" s="1268"/>
      <c r="AW49" s="1268"/>
      <c r="AX49" s="1268"/>
      <c r="AY49" s="1269"/>
      <c r="AZ49" s="1268"/>
      <c r="BA49" s="1268"/>
      <c r="BB49" s="1268"/>
      <c r="BC49" s="1269"/>
      <c r="BD49" s="1268"/>
      <c r="BE49" s="1268"/>
      <c r="BF49" s="1268"/>
      <c r="BG49" s="1269"/>
      <c r="BH49" s="1268"/>
      <c r="BI49" s="1268"/>
      <c r="BJ49" s="1268"/>
      <c r="BK49" s="1269"/>
      <c r="BL49" s="1268"/>
      <c r="BM49" s="1268"/>
      <c r="BN49" s="1268"/>
      <c r="BO49" s="1269"/>
      <c r="BP49" s="1268">
        <v>2</v>
      </c>
      <c r="BQ49" s="1268"/>
      <c r="BR49" s="1268"/>
      <c r="BS49" s="1264">
        <f t="shared" si="26"/>
        <v>2</v>
      </c>
      <c r="BT49" s="1268"/>
      <c r="BU49" s="1268"/>
      <c r="BV49" s="1268"/>
      <c r="BW49" s="1264">
        <f t="shared" si="27"/>
        <v>0</v>
      </c>
      <c r="BX49" s="1268"/>
      <c r="BY49" s="1268"/>
      <c r="BZ49" s="1268">
        <v>3</v>
      </c>
      <c r="CA49" s="1264">
        <f t="shared" si="28"/>
        <v>3</v>
      </c>
      <c r="CB49" s="1268"/>
      <c r="CC49" s="1268"/>
      <c r="CD49" s="1268"/>
      <c r="CE49" s="1264">
        <f t="shared" si="29"/>
        <v>0</v>
      </c>
      <c r="CF49" s="1268">
        <v>4</v>
      </c>
      <c r="CG49" s="1268"/>
      <c r="CH49" s="1268"/>
      <c r="CI49" s="1264">
        <f t="shared" si="30"/>
        <v>4</v>
      </c>
      <c r="CJ49" s="1268">
        <v>2</v>
      </c>
      <c r="CK49" s="1268"/>
      <c r="CL49" s="1268"/>
      <c r="CM49" s="1264">
        <f t="shared" si="31"/>
        <v>2</v>
      </c>
      <c r="CN49" s="1268"/>
      <c r="CO49" s="1268"/>
      <c r="CP49" s="1268"/>
      <c r="CQ49" s="1264">
        <f t="shared" si="32"/>
        <v>0</v>
      </c>
      <c r="CR49" s="1268"/>
      <c r="CS49" s="1268">
        <v>1</v>
      </c>
      <c r="CT49" s="1268"/>
      <c r="CU49" s="1264">
        <f t="shared" si="33"/>
        <v>1</v>
      </c>
    </row>
    <row r="50" spans="2:99" ht="14.4" x14ac:dyDescent="0.3">
      <c r="B50" s="5841"/>
      <c r="C50" s="1265" t="s">
        <v>343</v>
      </c>
      <c r="D50" s="1267"/>
      <c r="E50" s="1268"/>
      <c r="F50" s="1268"/>
      <c r="G50" s="1269"/>
      <c r="H50" s="1267"/>
      <c r="I50" s="1268"/>
      <c r="J50" s="1268"/>
      <c r="K50" s="1269"/>
      <c r="L50" s="1267"/>
      <c r="M50" s="1268"/>
      <c r="N50" s="1268"/>
      <c r="O50" s="1269"/>
      <c r="P50" s="1267"/>
      <c r="Q50" s="1268"/>
      <c r="R50" s="1268"/>
      <c r="S50" s="1269"/>
      <c r="T50" s="1267"/>
      <c r="U50" s="1268"/>
      <c r="V50" s="1268"/>
      <c r="W50" s="1269"/>
      <c r="X50" s="1268"/>
      <c r="Y50" s="1268"/>
      <c r="Z50" s="1268"/>
      <c r="AA50" s="1269"/>
      <c r="AB50" s="1268"/>
      <c r="AC50" s="1268"/>
      <c r="AD50" s="1268"/>
      <c r="AE50" s="1269"/>
      <c r="AF50" s="1268"/>
      <c r="AG50" s="1268"/>
      <c r="AH50" s="1268"/>
      <c r="AI50" s="1269"/>
      <c r="AJ50" s="1268"/>
      <c r="AK50" s="1268"/>
      <c r="AL50" s="1268"/>
      <c r="AM50" s="1269"/>
      <c r="AN50" s="1268"/>
      <c r="AO50" s="1268"/>
      <c r="AP50" s="1268"/>
      <c r="AQ50" s="1269"/>
      <c r="AR50" s="1268"/>
      <c r="AS50" s="1268"/>
      <c r="AT50" s="1268"/>
      <c r="AU50" s="1269"/>
      <c r="AV50" s="1268"/>
      <c r="AW50" s="1268"/>
      <c r="AX50" s="1268"/>
      <c r="AY50" s="1269"/>
      <c r="AZ50" s="1268"/>
      <c r="BA50" s="1268"/>
      <c r="BB50" s="1268"/>
      <c r="BC50" s="1269"/>
      <c r="BD50" s="1268"/>
      <c r="BE50" s="1268"/>
      <c r="BF50" s="1268"/>
      <c r="BG50" s="1269"/>
      <c r="BH50" s="1268"/>
      <c r="BI50" s="1268"/>
      <c r="BJ50" s="1268"/>
      <c r="BK50" s="1269"/>
      <c r="BL50" s="1268"/>
      <c r="BM50" s="1268"/>
      <c r="BN50" s="1268"/>
      <c r="BO50" s="1269"/>
      <c r="BP50" s="1268">
        <v>4</v>
      </c>
      <c r="BQ50" s="1268"/>
      <c r="BR50" s="1268"/>
      <c r="BS50" s="1264">
        <f t="shared" si="26"/>
        <v>4</v>
      </c>
      <c r="BT50" s="1268"/>
      <c r="BU50" s="1268"/>
      <c r="BV50" s="1268">
        <v>3</v>
      </c>
      <c r="BW50" s="1264">
        <f t="shared" si="27"/>
        <v>3</v>
      </c>
      <c r="BX50" s="1268"/>
      <c r="BY50" s="1268"/>
      <c r="BZ50" s="1268">
        <v>4</v>
      </c>
      <c r="CA50" s="1264">
        <f t="shared" si="28"/>
        <v>4</v>
      </c>
      <c r="CB50" s="1268"/>
      <c r="CC50" s="1268"/>
      <c r="CD50" s="1268"/>
      <c r="CE50" s="1264">
        <f t="shared" si="29"/>
        <v>0</v>
      </c>
      <c r="CF50" s="1268">
        <v>3</v>
      </c>
      <c r="CG50" s="1268"/>
      <c r="CH50" s="1268"/>
      <c r="CI50" s="1264">
        <f t="shared" si="30"/>
        <v>3</v>
      </c>
      <c r="CJ50" s="1268">
        <v>7</v>
      </c>
      <c r="CK50" s="1268"/>
      <c r="CL50" s="1268"/>
      <c r="CM50" s="1264">
        <f t="shared" si="31"/>
        <v>7</v>
      </c>
      <c r="CN50" s="1268"/>
      <c r="CO50" s="1268">
        <v>11</v>
      </c>
      <c r="CP50" s="1268"/>
      <c r="CQ50" s="1264">
        <f t="shared" si="32"/>
        <v>11</v>
      </c>
      <c r="CR50" s="1268"/>
      <c r="CS50" s="1268">
        <v>6</v>
      </c>
      <c r="CT50" s="1268"/>
      <c r="CU50" s="1264">
        <f t="shared" si="33"/>
        <v>6</v>
      </c>
    </row>
    <row r="51" spans="2:99" ht="14.4" x14ac:dyDescent="0.3">
      <c r="B51" s="5841"/>
      <c r="C51" s="1265" t="s">
        <v>339</v>
      </c>
      <c r="D51" s="1267"/>
      <c r="E51" s="1268"/>
      <c r="F51" s="1268"/>
      <c r="G51" s="1269"/>
      <c r="H51" s="1267"/>
      <c r="I51" s="1268"/>
      <c r="J51" s="1268"/>
      <c r="K51" s="1269"/>
      <c r="L51" s="1267"/>
      <c r="M51" s="1268"/>
      <c r="N51" s="1268"/>
      <c r="O51" s="1269"/>
      <c r="P51" s="1267"/>
      <c r="Q51" s="1268"/>
      <c r="R51" s="1268"/>
      <c r="S51" s="1269"/>
      <c r="T51" s="1267"/>
      <c r="U51" s="1268"/>
      <c r="V51" s="1268"/>
      <c r="W51" s="1269"/>
      <c r="X51" s="1268"/>
      <c r="Y51" s="1268"/>
      <c r="Z51" s="1268"/>
      <c r="AA51" s="1269"/>
      <c r="AB51" s="1268"/>
      <c r="AC51" s="1268"/>
      <c r="AD51" s="1268"/>
      <c r="AE51" s="1269"/>
      <c r="AF51" s="1268"/>
      <c r="AG51" s="1268"/>
      <c r="AH51" s="1268"/>
      <c r="AI51" s="1269"/>
      <c r="AJ51" s="1268"/>
      <c r="AK51" s="1268"/>
      <c r="AL51" s="1268"/>
      <c r="AM51" s="1269"/>
      <c r="AN51" s="1268"/>
      <c r="AO51" s="1268"/>
      <c r="AP51" s="1268"/>
      <c r="AQ51" s="1269"/>
      <c r="AR51" s="1268"/>
      <c r="AS51" s="1268"/>
      <c r="AT51" s="1268"/>
      <c r="AU51" s="1269"/>
      <c r="AV51" s="1268"/>
      <c r="AW51" s="1268"/>
      <c r="AX51" s="1268"/>
      <c r="AY51" s="1269"/>
      <c r="AZ51" s="1268"/>
      <c r="BA51" s="1268"/>
      <c r="BB51" s="1268"/>
      <c r="BC51" s="1269"/>
      <c r="BD51" s="1268"/>
      <c r="BE51" s="1268"/>
      <c r="BF51" s="1268"/>
      <c r="BG51" s="1269"/>
      <c r="BH51" s="1268"/>
      <c r="BI51" s="1268"/>
      <c r="BJ51" s="1268"/>
      <c r="BK51" s="1269"/>
      <c r="BL51" s="1268"/>
      <c r="BM51" s="1268"/>
      <c r="BN51" s="1268"/>
      <c r="BO51" s="1269"/>
      <c r="BP51" s="1268"/>
      <c r="BQ51" s="1268"/>
      <c r="BR51" s="1268"/>
      <c r="BS51" s="1264">
        <f t="shared" si="26"/>
        <v>0</v>
      </c>
      <c r="BT51" s="1268"/>
      <c r="BU51" s="1268"/>
      <c r="BV51" s="1268"/>
      <c r="BW51" s="1264">
        <f t="shared" si="27"/>
        <v>0</v>
      </c>
      <c r="BX51" s="1268"/>
      <c r="BY51" s="1268"/>
      <c r="BZ51" s="1268">
        <v>3</v>
      </c>
      <c r="CA51" s="1264">
        <f t="shared" si="28"/>
        <v>3</v>
      </c>
      <c r="CB51" s="1268"/>
      <c r="CC51" s="1268"/>
      <c r="CD51" s="1268"/>
      <c r="CE51" s="1264">
        <f t="shared" si="29"/>
        <v>0</v>
      </c>
      <c r="CF51" s="1268"/>
      <c r="CG51" s="1268"/>
      <c r="CH51" s="1268"/>
      <c r="CI51" s="1264">
        <f t="shared" si="30"/>
        <v>0</v>
      </c>
      <c r="CJ51" s="1268"/>
      <c r="CK51" s="1268"/>
      <c r="CL51" s="1268"/>
      <c r="CM51" s="1264">
        <f t="shared" si="31"/>
        <v>0</v>
      </c>
      <c r="CN51" s="1268"/>
      <c r="CO51" s="1268"/>
      <c r="CP51" s="1268"/>
      <c r="CQ51" s="1264">
        <f t="shared" si="32"/>
        <v>0</v>
      </c>
      <c r="CR51" s="1268"/>
      <c r="CS51" s="1268"/>
      <c r="CT51" s="1268"/>
      <c r="CU51" s="1264">
        <f t="shared" si="33"/>
        <v>0</v>
      </c>
    </row>
    <row r="52" spans="2:99" ht="14.4" x14ac:dyDescent="0.3">
      <c r="B52" s="5841"/>
      <c r="C52" s="1265" t="s">
        <v>344</v>
      </c>
      <c r="D52" s="1267"/>
      <c r="E52" s="1268"/>
      <c r="F52" s="1268"/>
      <c r="G52" s="1269"/>
      <c r="H52" s="1267"/>
      <c r="I52" s="1268"/>
      <c r="J52" s="1268"/>
      <c r="K52" s="1269"/>
      <c r="L52" s="1267"/>
      <c r="M52" s="1268"/>
      <c r="N52" s="1268"/>
      <c r="O52" s="1269"/>
      <c r="P52" s="1267"/>
      <c r="Q52" s="1268"/>
      <c r="R52" s="1268"/>
      <c r="S52" s="1269"/>
      <c r="T52" s="1267"/>
      <c r="U52" s="1268"/>
      <c r="V52" s="1268"/>
      <c r="W52" s="1269"/>
      <c r="X52" s="1268"/>
      <c r="Y52" s="1268"/>
      <c r="Z52" s="1268"/>
      <c r="AA52" s="1269"/>
      <c r="AB52" s="1268"/>
      <c r="AC52" s="1268"/>
      <c r="AD52" s="1268"/>
      <c r="AE52" s="1269"/>
      <c r="AF52" s="1268"/>
      <c r="AG52" s="1268"/>
      <c r="AH52" s="1268"/>
      <c r="AI52" s="1269"/>
      <c r="AJ52" s="1268"/>
      <c r="AK52" s="1268"/>
      <c r="AL52" s="1268"/>
      <c r="AM52" s="1269"/>
      <c r="AN52" s="1268"/>
      <c r="AO52" s="1268"/>
      <c r="AP52" s="1268"/>
      <c r="AQ52" s="1269"/>
      <c r="AR52" s="1268"/>
      <c r="AS52" s="1268"/>
      <c r="AT52" s="1268"/>
      <c r="AU52" s="1269"/>
      <c r="AV52" s="1268"/>
      <c r="AW52" s="1268"/>
      <c r="AX52" s="1268"/>
      <c r="AY52" s="1269"/>
      <c r="AZ52" s="1268"/>
      <c r="BA52" s="1268"/>
      <c r="BB52" s="1268"/>
      <c r="BC52" s="1269"/>
      <c r="BD52" s="1268"/>
      <c r="BE52" s="1268"/>
      <c r="BF52" s="1268"/>
      <c r="BG52" s="1269"/>
      <c r="BH52" s="1268"/>
      <c r="BI52" s="1268"/>
      <c r="BJ52" s="1268"/>
      <c r="BK52" s="1269"/>
      <c r="BL52" s="1268"/>
      <c r="BM52" s="1268"/>
      <c r="BN52" s="1268"/>
      <c r="BO52" s="1269"/>
      <c r="BP52" s="1268">
        <v>1</v>
      </c>
      <c r="BQ52" s="1268"/>
      <c r="BR52" s="1268"/>
      <c r="BS52" s="1264">
        <f t="shared" si="26"/>
        <v>1</v>
      </c>
      <c r="BT52" s="1268"/>
      <c r="BU52" s="1268"/>
      <c r="BV52" s="1268">
        <v>4</v>
      </c>
      <c r="BW52" s="1264">
        <f t="shared" si="27"/>
        <v>4</v>
      </c>
      <c r="BX52" s="1268"/>
      <c r="BY52" s="1268"/>
      <c r="BZ52" s="1268">
        <v>5</v>
      </c>
      <c r="CA52" s="1264">
        <f t="shared" si="28"/>
        <v>5</v>
      </c>
      <c r="CB52" s="1268"/>
      <c r="CC52" s="1268"/>
      <c r="CD52" s="1268"/>
      <c r="CE52" s="1264">
        <f t="shared" si="29"/>
        <v>0</v>
      </c>
      <c r="CF52" s="1268">
        <v>2</v>
      </c>
      <c r="CG52" s="1268"/>
      <c r="CH52" s="1268"/>
      <c r="CI52" s="1264">
        <f t="shared" si="30"/>
        <v>2</v>
      </c>
      <c r="CJ52" s="1268">
        <v>2</v>
      </c>
      <c r="CK52" s="1268"/>
      <c r="CL52" s="1268"/>
      <c r="CM52" s="1264">
        <f t="shared" si="31"/>
        <v>2</v>
      </c>
      <c r="CN52" s="1268"/>
      <c r="CO52" s="1268">
        <v>4</v>
      </c>
      <c r="CP52" s="1268"/>
      <c r="CQ52" s="1264">
        <f t="shared" si="32"/>
        <v>4</v>
      </c>
      <c r="CR52" s="1268"/>
      <c r="CS52" s="1268">
        <v>2</v>
      </c>
      <c r="CT52" s="1268"/>
      <c r="CU52" s="1264">
        <f t="shared" si="33"/>
        <v>2</v>
      </c>
    </row>
    <row r="53" spans="2:99" ht="28.8" x14ac:dyDescent="0.3">
      <c r="B53" s="5842"/>
      <c r="C53" s="1265" t="s">
        <v>345</v>
      </c>
      <c r="D53" s="1267"/>
      <c r="E53" s="1268"/>
      <c r="F53" s="1268"/>
      <c r="G53" s="1269"/>
      <c r="H53" s="1267"/>
      <c r="I53" s="1268"/>
      <c r="J53" s="1268"/>
      <c r="K53" s="1269"/>
      <c r="L53" s="1267"/>
      <c r="M53" s="1268"/>
      <c r="N53" s="1268"/>
      <c r="O53" s="1269"/>
      <c r="P53" s="1267"/>
      <c r="Q53" s="1268"/>
      <c r="R53" s="1268"/>
      <c r="S53" s="1269"/>
      <c r="T53" s="1267"/>
      <c r="U53" s="1268"/>
      <c r="V53" s="1268"/>
      <c r="W53" s="1269"/>
      <c r="X53" s="1268"/>
      <c r="Y53" s="1268"/>
      <c r="Z53" s="1268"/>
      <c r="AA53" s="1269"/>
      <c r="AB53" s="1268"/>
      <c r="AC53" s="1268"/>
      <c r="AD53" s="1268"/>
      <c r="AE53" s="1269"/>
      <c r="AF53" s="1268"/>
      <c r="AG53" s="1268"/>
      <c r="AH53" s="1268"/>
      <c r="AI53" s="1269"/>
      <c r="AJ53" s="1268"/>
      <c r="AK53" s="1268"/>
      <c r="AL53" s="1268"/>
      <c r="AM53" s="1269"/>
      <c r="AN53" s="1268"/>
      <c r="AO53" s="1268"/>
      <c r="AP53" s="1268"/>
      <c r="AQ53" s="1269"/>
      <c r="AR53" s="1268"/>
      <c r="AS53" s="1268"/>
      <c r="AT53" s="1268"/>
      <c r="AU53" s="1269"/>
      <c r="AV53" s="1268"/>
      <c r="AW53" s="1268"/>
      <c r="AX53" s="1268"/>
      <c r="AY53" s="1269"/>
      <c r="AZ53" s="1268"/>
      <c r="BA53" s="1268"/>
      <c r="BB53" s="1268"/>
      <c r="BC53" s="1269"/>
      <c r="BD53" s="1268"/>
      <c r="BE53" s="1268"/>
      <c r="BF53" s="1268"/>
      <c r="BG53" s="1269"/>
      <c r="BH53" s="1268"/>
      <c r="BI53" s="1268"/>
      <c r="BJ53" s="1268"/>
      <c r="BK53" s="1269"/>
      <c r="BL53" s="1268"/>
      <c r="BM53" s="1268"/>
      <c r="BN53" s="1268"/>
      <c r="BO53" s="1269"/>
      <c r="BP53" s="1268"/>
      <c r="BQ53" s="1268"/>
      <c r="BR53" s="1268"/>
      <c r="BS53" s="1264">
        <f t="shared" si="26"/>
        <v>0</v>
      </c>
      <c r="BT53" s="1268"/>
      <c r="BU53" s="1268"/>
      <c r="BV53" s="1268"/>
      <c r="BW53" s="1264">
        <f t="shared" si="27"/>
        <v>0</v>
      </c>
      <c r="BX53" s="1268"/>
      <c r="BY53" s="1268"/>
      <c r="BZ53" s="1268">
        <v>1</v>
      </c>
      <c r="CA53" s="1264">
        <f t="shared" si="28"/>
        <v>1</v>
      </c>
      <c r="CB53" s="1268">
        <v>1</v>
      </c>
      <c r="CC53" s="1268"/>
      <c r="CD53" s="1268"/>
      <c r="CE53" s="1264">
        <f t="shared" si="29"/>
        <v>1</v>
      </c>
      <c r="CF53" s="1268">
        <v>3</v>
      </c>
      <c r="CG53" s="1268"/>
      <c r="CH53" s="1268"/>
      <c r="CI53" s="1264">
        <f t="shared" si="30"/>
        <v>3</v>
      </c>
      <c r="CJ53" s="1268">
        <v>2</v>
      </c>
      <c r="CK53" s="1268"/>
      <c r="CL53" s="1268"/>
      <c r="CM53" s="1264">
        <f t="shared" si="31"/>
        <v>2</v>
      </c>
      <c r="CN53" s="1268"/>
      <c r="CO53" s="1268"/>
      <c r="CP53" s="1268"/>
      <c r="CQ53" s="1264">
        <f t="shared" si="32"/>
        <v>0</v>
      </c>
      <c r="CR53" s="1268"/>
      <c r="CS53" s="1268">
        <v>3</v>
      </c>
      <c r="CT53" s="1268"/>
      <c r="CU53" s="1264">
        <f t="shared" si="33"/>
        <v>3</v>
      </c>
    </row>
    <row r="54" spans="2:99" ht="14.4" x14ac:dyDescent="0.3">
      <c r="B54" s="1289"/>
      <c r="C54" s="1271" t="s">
        <v>68</v>
      </c>
      <c r="D54" s="1272">
        <f>SUM(D37:D47)</f>
        <v>57</v>
      </c>
      <c r="E54" s="1273"/>
      <c r="F54" s="1273">
        <f t="shared" ref="F54:P54" si="34">SUM(F37:F47)</f>
        <v>31</v>
      </c>
      <c r="G54" s="1274">
        <f t="shared" si="34"/>
        <v>88</v>
      </c>
      <c r="H54" s="1272">
        <f t="shared" si="34"/>
        <v>35</v>
      </c>
      <c r="I54" s="1273">
        <f t="shared" si="34"/>
        <v>1</v>
      </c>
      <c r="J54" s="1273">
        <f t="shared" si="34"/>
        <v>46</v>
      </c>
      <c r="K54" s="1274">
        <f t="shared" si="34"/>
        <v>82</v>
      </c>
      <c r="L54" s="1272">
        <f t="shared" si="34"/>
        <v>4</v>
      </c>
      <c r="M54" s="1273">
        <f t="shared" si="34"/>
        <v>17</v>
      </c>
      <c r="N54" s="1273">
        <f t="shared" si="34"/>
        <v>59</v>
      </c>
      <c r="O54" s="1274">
        <f t="shared" si="34"/>
        <v>80</v>
      </c>
      <c r="P54" s="1272">
        <f t="shared" si="34"/>
        <v>1</v>
      </c>
      <c r="Q54" s="1273"/>
      <c r="R54" s="1273">
        <f>SUM(R37:R47)</f>
        <v>70</v>
      </c>
      <c r="S54" s="1274">
        <f>SUM(S37:S47)</f>
        <v>71</v>
      </c>
      <c r="T54" s="1272"/>
      <c r="U54" s="1273"/>
      <c r="V54" s="1273">
        <f>SUM(V37:V47)</f>
        <v>29</v>
      </c>
      <c r="W54" s="1274">
        <f>SUM(W37:W47)</f>
        <v>29</v>
      </c>
      <c r="X54" s="1273"/>
      <c r="Y54" s="1273"/>
      <c r="Z54" s="1273">
        <f>SUM(Z37:Z47)</f>
        <v>32</v>
      </c>
      <c r="AA54" s="1274">
        <f>SUM(AA37:AA47)</f>
        <v>32</v>
      </c>
      <c r="AB54" s="1273"/>
      <c r="AC54" s="1273"/>
      <c r="AD54" s="1273">
        <f>SUM(AD37:AD47)</f>
        <v>38</v>
      </c>
      <c r="AE54" s="1274">
        <f>SUM(AE37:AE47)</f>
        <v>38</v>
      </c>
      <c r="AF54" s="1273"/>
      <c r="AG54" s="1273"/>
      <c r="AH54" s="1273">
        <f>SUM(AH37:AH47)</f>
        <v>48</v>
      </c>
      <c r="AI54" s="1274">
        <f>SUM(AI37:AI47)</f>
        <v>48</v>
      </c>
      <c r="AJ54" s="1273"/>
      <c r="AK54" s="1273"/>
      <c r="AL54" s="1273">
        <f>SUM(AL37:AL47)</f>
        <v>55</v>
      </c>
      <c r="AM54" s="1274">
        <f>SUM(AM37:AM47)</f>
        <v>55</v>
      </c>
      <c r="AN54" s="1273"/>
      <c r="AO54" s="1273"/>
      <c r="AP54" s="1273">
        <f>SUM(AP37:AP47)</f>
        <v>64</v>
      </c>
      <c r="AQ54" s="1274">
        <f>SUM(AQ37:AQ47)</f>
        <v>64</v>
      </c>
      <c r="AR54" s="1273"/>
      <c r="AS54" s="1273"/>
      <c r="AT54" s="1273">
        <f>SUM(AT37:AT47)</f>
        <v>72</v>
      </c>
      <c r="AU54" s="1274">
        <f>SUM(AU37:AU47)</f>
        <v>72</v>
      </c>
      <c r="AV54" s="1273"/>
      <c r="AW54" s="1273"/>
      <c r="AX54" s="1273">
        <f>SUM(AX37:AX47)</f>
        <v>100</v>
      </c>
      <c r="AY54" s="1274">
        <f>SUM(AY37:AY47)</f>
        <v>100</v>
      </c>
      <c r="AZ54" s="1273"/>
      <c r="BA54" s="1273"/>
      <c r="BB54" s="1273">
        <f>SUM(BB37:BB47)</f>
        <v>62</v>
      </c>
      <c r="BC54" s="1274">
        <f>SUM(BC37:BC47)</f>
        <v>62</v>
      </c>
      <c r="BD54" s="1273"/>
      <c r="BE54" s="1273"/>
      <c r="BF54" s="1273">
        <f>SUM(BF37:BF47)</f>
        <v>104</v>
      </c>
      <c r="BG54" s="1274">
        <f>SUM(BG37:BG47)</f>
        <v>104</v>
      </c>
      <c r="BH54" s="1273"/>
      <c r="BI54" s="1273"/>
      <c r="BJ54" s="1273">
        <f>SUM(BJ37:BJ47)</f>
        <v>50</v>
      </c>
      <c r="BK54" s="1274">
        <f>SUM(BK37:BK47)</f>
        <v>50</v>
      </c>
      <c r="BL54" s="1273"/>
      <c r="BM54" s="1273"/>
      <c r="BN54" s="1273">
        <f>SUM(BN37:BN47)</f>
        <v>111</v>
      </c>
      <c r="BO54" s="1274">
        <f>SUM(BO37:BO47)</f>
        <v>111</v>
      </c>
      <c r="BP54" s="1273">
        <f t="shared" ref="BP54:CI54" si="35">SUM(BP37:BP53)</f>
        <v>9</v>
      </c>
      <c r="BQ54" s="1273">
        <f t="shared" si="35"/>
        <v>38</v>
      </c>
      <c r="BR54" s="1273">
        <f t="shared" si="35"/>
        <v>24</v>
      </c>
      <c r="BS54" s="1274">
        <f t="shared" si="35"/>
        <v>71</v>
      </c>
      <c r="BT54" s="1273">
        <f t="shared" si="35"/>
        <v>0</v>
      </c>
      <c r="BU54" s="1273">
        <f t="shared" si="35"/>
        <v>1</v>
      </c>
      <c r="BV54" s="1273">
        <f t="shared" si="35"/>
        <v>31</v>
      </c>
      <c r="BW54" s="1274">
        <f t="shared" si="35"/>
        <v>32</v>
      </c>
      <c r="BX54" s="1273">
        <f t="shared" si="35"/>
        <v>0</v>
      </c>
      <c r="BY54" s="1273">
        <f t="shared" si="35"/>
        <v>0</v>
      </c>
      <c r="BZ54" s="1273">
        <f t="shared" si="35"/>
        <v>47</v>
      </c>
      <c r="CA54" s="1274">
        <f t="shared" si="35"/>
        <v>47</v>
      </c>
      <c r="CB54" s="1273">
        <f t="shared" si="35"/>
        <v>1</v>
      </c>
      <c r="CC54" s="1273">
        <f t="shared" si="35"/>
        <v>0</v>
      </c>
      <c r="CD54" s="1273">
        <f t="shared" si="35"/>
        <v>20</v>
      </c>
      <c r="CE54" s="1274">
        <f t="shared" si="35"/>
        <v>21</v>
      </c>
      <c r="CF54" s="1273">
        <f t="shared" si="35"/>
        <v>31</v>
      </c>
      <c r="CG54" s="1273">
        <f t="shared" si="35"/>
        <v>0</v>
      </c>
      <c r="CH54" s="1273">
        <f t="shared" si="35"/>
        <v>0</v>
      </c>
      <c r="CI54" s="1274">
        <f t="shared" si="35"/>
        <v>31</v>
      </c>
      <c r="CJ54" s="1273">
        <f t="shared" ref="CJ54:CQ54" si="36">SUM(CJ37:CJ53)</f>
        <v>61</v>
      </c>
      <c r="CK54" s="1273">
        <f t="shared" si="36"/>
        <v>1</v>
      </c>
      <c r="CL54" s="1273">
        <f t="shared" si="36"/>
        <v>1</v>
      </c>
      <c r="CM54" s="1274">
        <f t="shared" si="36"/>
        <v>63</v>
      </c>
      <c r="CN54" s="1273">
        <f t="shared" si="36"/>
        <v>0</v>
      </c>
      <c r="CO54" s="1273">
        <f t="shared" si="36"/>
        <v>55</v>
      </c>
      <c r="CP54" s="1273">
        <f t="shared" si="36"/>
        <v>0</v>
      </c>
      <c r="CQ54" s="1274">
        <f t="shared" si="36"/>
        <v>55</v>
      </c>
      <c r="CR54" s="1273">
        <f t="shared" ref="CR54:CU54" si="37">SUM(CR37:CR53)</f>
        <v>0</v>
      </c>
      <c r="CS54" s="1273">
        <f t="shared" si="37"/>
        <v>64</v>
      </c>
      <c r="CT54" s="1273">
        <f t="shared" si="37"/>
        <v>0</v>
      </c>
      <c r="CU54" s="1274">
        <f t="shared" si="37"/>
        <v>64</v>
      </c>
    </row>
    <row r="55" spans="2:99" ht="14.4" x14ac:dyDescent="0.25">
      <c r="B55" s="1290"/>
      <c r="C55" s="1291" t="s">
        <v>347</v>
      </c>
      <c r="D55" s="1292">
        <f t="shared" ref="D55:AY55" si="38">SUM(D54,D36,D16)</f>
        <v>98</v>
      </c>
      <c r="E55" s="1293">
        <f t="shared" si="38"/>
        <v>15</v>
      </c>
      <c r="F55" s="1293">
        <f t="shared" si="38"/>
        <v>110</v>
      </c>
      <c r="G55" s="1294">
        <f t="shared" si="38"/>
        <v>223</v>
      </c>
      <c r="H55" s="1292">
        <f t="shared" si="38"/>
        <v>118</v>
      </c>
      <c r="I55" s="1293">
        <f t="shared" si="38"/>
        <v>14</v>
      </c>
      <c r="J55" s="1293">
        <f t="shared" si="38"/>
        <v>140</v>
      </c>
      <c r="K55" s="1294">
        <f t="shared" si="38"/>
        <v>272</v>
      </c>
      <c r="L55" s="1292">
        <f t="shared" si="38"/>
        <v>9</v>
      </c>
      <c r="M55" s="1293">
        <f t="shared" si="38"/>
        <v>33</v>
      </c>
      <c r="N55" s="1293">
        <f t="shared" si="38"/>
        <v>154</v>
      </c>
      <c r="O55" s="1294">
        <f t="shared" si="38"/>
        <v>196</v>
      </c>
      <c r="P55" s="1292">
        <f t="shared" si="38"/>
        <v>28</v>
      </c>
      <c r="Q55" s="1293">
        <f t="shared" si="38"/>
        <v>6</v>
      </c>
      <c r="R55" s="1293">
        <f t="shared" si="38"/>
        <v>131</v>
      </c>
      <c r="S55" s="1294">
        <f t="shared" si="38"/>
        <v>165</v>
      </c>
      <c r="T55" s="1292">
        <f t="shared" si="38"/>
        <v>18</v>
      </c>
      <c r="U55" s="1293">
        <f t="shared" si="38"/>
        <v>5</v>
      </c>
      <c r="V55" s="1293">
        <f t="shared" si="38"/>
        <v>81</v>
      </c>
      <c r="W55" s="1294">
        <f t="shared" si="38"/>
        <v>104</v>
      </c>
      <c r="X55" s="1293">
        <f t="shared" si="38"/>
        <v>31</v>
      </c>
      <c r="Y55" s="1293">
        <f t="shared" si="38"/>
        <v>7</v>
      </c>
      <c r="Z55" s="1293">
        <f t="shared" si="38"/>
        <v>120</v>
      </c>
      <c r="AA55" s="1294">
        <f t="shared" si="38"/>
        <v>158</v>
      </c>
      <c r="AB55" s="1293">
        <f t="shared" si="38"/>
        <v>18</v>
      </c>
      <c r="AC55" s="1293">
        <f t="shared" si="38"/>
        <v>0</v>
      </c>
      <c r="AD55" s="1293">
        <f t="shared" si="38"/>
        <v>136</v>
      </c>
      <c r="AE55" s="1294">
        <f t="shared" si="38"/>
        <v>154</v>
      </c>
      <c r="AF55" s="1293">
        <f t="shared" si="38"/>
        <v>35</v>
      </c>
      <c r="AG55" s="1293">
        <f t="shared" si="38"/>
        <v>1</v>
      </c>
      <c r="AH55" s="1293">
        <f t="shared" si="38"/>
        <v>100</v>
      </c>
      <c r="AI55" s="1294">
        <f t="shared" si="38"/>
        <v>136</v>
      </c>
      <c r="AJ55" s="1293">
        <f t="shared" si="38"/>
        <v>24</v>
      </c>
      <c r="AK55" s="1293">
        <f t="shared" si="38"/>
        <v>10</v>
      </c>
      <c r="AL55" s="1293">
        <f t="shared" si="38"/>
        <v>167</v>
      </c>
      <c r="AM55" s="1294">
        <f t="shared" si="38"/>
        <v>201</v>
      </c>
      <c r="AN55" s="1293">
        <f t="shared" si="38"/>
        <v>30</v>
      </c>
      <c r="AO55" s="1293">
        <f t="shared" si="38"/>
        <v>2</v>
      </c>
      <c r="AP55" s="1293">
        <f t="shared" si="38"/>
        <v>126</v>
      </c>
      <c r="AQ55" s="1294">
        <f t="shared" si="38"/>
        <v>158</v>
      </c>
      <c r="AR55" s="1293">
        <f t="shared" si="38"/>
        <v>14</v>
      </c>
      <c r="AS55" s="1293">
        <f t="shared" si="38"/>
        <v>1</v>
      </c>
      <c r="AT55" s="1293">
        <f t="shared" si="38"/>
        <v>195</v>
      </c>
      <c r="AU55" s="1294">
        <f t="shared" si="38"/>
        <v>210</v>
      </c>
      <c r="AV55" s="1293">
        <f t="shared" si="38"/>
        <v>20</v>
      </c>
      <c r="AW55" s="1293">
        <f t="shared" si="38"/>
        <v>17</v>
      </c>
      <c r="AX55" s="1293">
        <f t="shared" si="38"/>
        <v>159</v>
      </c>
      <c r="AY55" s="1293">
        <f t="shared" si="38"/>
        <v>196</v>
      </c>
      <c r="AZ55" s="1293">
        <f>SUM(AZ16,AZ36,AZ54)</f>
        <v>8</v>
      </c>
      <c r="BA55" s="1293">
        <f t="shared" ref="BA55:CI55" si="39">SUM(BA54,BA36,BA16)</f>
        <v>4</v>
      </c>
      <c r="BB55" s="1293">
        <f t="shared" si="39"/>
        <v>174</v>
      </c>
      <c r="BC55" s="1294">
        <f t="shared" si="39"/>
        <v>186</v>
      </c>
      <c r="BD55" s="1293">
        <f t="shared" si="39"/>
        <v>24</v>
      </c>
      <c r="BE55" s="1293">
        <f t="shared" si="39"/>
        <v>9</v>
      </c>
      <c r="BF55" s="1293">
        <f t="shared" si="39"/>
        <v>184</v>
      </c>
      <c r="BG55" s="1294">
        <f t="shared" si="39"/>
        <v>217</v>
      </c>
      <c r="BH55" s="1293">
        <f t="shared" si="39"/>
        <v>18</v>
      </c>
      <c r="BI55" s="1293">
        <f t="shared" si="39"/>
        <v>2</v>
      </c>
      <c r="BJ55" s="1293">
        <f t="shared" si="39"/>
        <v>197</v>
      </c>
      <c r="BK55" s="1294">
        <f t="shared" si="39"/>
        <v>217</v>
      </c>
      <c r="BL55" s="1293">
        <f t="shared" si="39"/>
        <v>48</v>
      </c>
      <c r="BM55" s="1293">
        <f t="shared" si="39"/>
        <v>3</v>
      </c>
      <c r="BN55" s="1293">
        <f t="shared" si="39"/>
        <v>229</v>
      </c>
      <c r="BO55" s="1294">
        <f t="shared" si="39"/>
        <v>280</v>
      </c>
      <c r="BP55" s="1293">
        <f t="shared" si="39"/>
        <v>35</v>
      </c>
      <c r="BQ55" s="1293">
        <f t="shared" si="39"/>
        <v>38</v>
      </c>
      <c r="BR55" s="1293">
        <f t="shared" si="39"/>
        <v>149</v>
      </c>
      <c r="BS55" s="1294">
        <f t="shared" si="39"/>
        <v>222</v>
      </c>
      <c r="BT55" s="1293">
        <f t="shared" si="39"/>
        <v>28</v>
      </c>
      <c r="BU55" s="1293">
        <f t="shared" si="39"/>
        <v>6</v>
      </c>
      <c r="BV55" s="1293">
        <f t="shared" si="39"/>
        <v>167</v>
      </c>
      <c r="BW55" s="1294">
        <f t="shared" si="39"/>
        <v>201</v>
      </c>
      <c r="BX55" s="1293">
        <f t="shared" si="39"/>
        <v>87</v>
      </c>
      <c r="BY55" s="1293">
        <f t="shared" si="39"/>
        <v>3</v>
      </c>
      <c r="BZ55" s="1293">
        <f t="shared" si="39"/>
        <v>184</v>
      </c>
      <c r="CA55" s="1294">
        <f t="shared" si="39"/>
        <v>274</v>
      </c>
      <c r="CB55" s="1293">
        <f t="shared" si="39"/>
        <v>23</v>
      </c>
      <c r="CC55" s="1293">
        <f t="shared" si="39"/>
        <v>5</v>
      </c>
      <c r="CD55" s="1293">
        <f t="shared" si="39"/>
        <v>143</v>
      </c>
      <c r="CE55" s="1294">
        <f t="shared" si="39"/>
        <v>171</v>
      </c>
      <c r="CF55" s="1293">
        <f t="shared" si="39"/>
        <v>124</v>
      </c>
      <c r="CG55" s="1293">
        <f t="shared" si="39"/>
        <v>42</v>
      </c>
      <c r="CH55" s="1293">
        <f t="shared" si="39"/>
        <v>107</v>
      </c>
      <c r="CI55" s="1294">
        <f t="shared" si="39"/>
        <v>273</v>
      </c>
      <c r="CJ55" s="1293">
        <f t="shared" ref="CJ55:CQ55" si="40">SUM(CJ54,CJ36,CJ16)</f>
        <v>95</v>
      </c>
      <c r="CK55" s="1293">
        <f t="shared" si="40"/>
        <v>40</v>
      </c>
      <c r="CL55" s="1293">
        <f t="shared" si="40"/>
        <v>37</v>
      </c>
      <c r="CM55" s="1294">
        <f t="shared" si="40"/>
        <v>172</v>
      </c>
      <c r="CN55" s="1293">
        <f t="shared" si="40"/>
        <v>72</v>
      </c>
      <c r="CO55" s="1293">
        <f t="shared" si="40"/>
        <v>105</v>
      </c>
      <c r="CP55" s="1293">
        <f t="shared" si="40"/>
        <v>59</v>
      </c>
      <c r="CQ55" s="1294">
        <f t="shared" si="40"/>
        <v>236</v>
      </c>
      <c r="CR55" s="1293">
        <f t="shared" ref="CR55:CU55" si="41">SUM(CR54,CR36,CR16)</f>
        <v>31</v>
      </c>
      <c r="CS55" s="1293">
        <f t="shared" si="41"/>
        <v>116</v>
      </c>
      <c r="CT55" s="1293">
        <f t="shared" si="41"/>
        <v>50</v>
      </c>
      <c r="CU55" s="1294">
        <f t="shared" si="41"/>
        <v>197</v>
      </c>
    </row>
    <row r="56" spans="2:99" ht="15" customHeight="1" x14ac:dyDescent="0.3">
      <c r="B56" s="4431" t="s">
        <v>310</v>
      </c>
      <c r="C56" s="4433" t="s">
        <v>348</v>
      </c>
      <c r="D56" s="4426"/>
      <c r="E56" s="4427"/>
      <c r="F56" s="4427"/>
      <c r="G56" s="4428"/>
      <c r="H56" s="4426"/>
      <c r="I56" s="4427"/>
      <c r="J56" s="4427"/>
      <c r="K56" s="4428"/>
      <c r="L56" s="4426"/>
      <c r="M56" s="4427"/>
      <c r="N56" s="4427"/>
      <c r="O56" s="4428"/>
      <c r="P56" s="4426"/>
      <c r="Q56" s="4427"/>
      <c r="R56" s="4427"/>
      <c r="S56" s="4428"/>
      <c r="T56" s="4426"/>
      <c r="U56" s="4427"/>
      <c r="V56" s="4427"/>
      <c r="W56" s="4428"/>
      <c r="X56" s="4434"/>
      <c r="Y56" s="4429"/>
      <c r="Z56" s="4429"/>
      <c r="AA56" s="4428"/>
      <c r="AB56" s="4429"/>
      <c r="AC56" s="4429"/>
      <c r="AD56" s="4429"/>
      <c r="AE56" s="4435"/>
      <c r="AF56" s="4434"/>
      <c r="AG56" s="4429"/>
      <c r="AH56" s="4429"/>
      <c r="AI56" s="4428"/>
      <c r="AJ56" s="4429"/>
      <c r="AK56" s="4429"/>
      <c r="AL56" s="4429"/>
      <c r="AM56" s="4435"/>
      <c r="AN56" s="4434"/>
      <c r="AO56" s="4429"/>
      <c r="AP56" s="4429"/>
      <c r="AQ56" s="4428"/>
      <c r="AR56" s="4429"/>
      <c r="AS56" s="4429"/>
      <c r="AT56" s="4429"/>
      <c r="AU56" s="4435"/>
      <c r="AV56" s="4434"/>
      <c r="AW56" s="4429"/>
      <c r="AX56" s="4429"/>
      <c r="AY56" s="4428"/>
      <c r="AZ56" s="4429">
        <v>20</v>
      </c>
      <c r="BA56" s="4429"/>
      <c r="BB56" s="4429"/>
      <c r="BC56" s="4428">
        <f>AZ56+BA56+BB56</f>
        <v>20</v>
      </c>
      <c r="BD56" s="4434">
        <v>13</v>
      </c>
      <c r="BE56" s="4429"/>
      <c r="BF56" s="4429"/>
      <c r="BG56" s="4428">
        <f>BD56+BE56+BF56</f>
        <v>13</v>
      </c>
      <c r="BH56" s="4434">
        <v>23</v>
      </c>
      <c r="BI56" s="4429"/>
      <c r="BJ56" s="4429"/>
      <c r="BK56" s="4428">
        <f>BH56+BI56+BJ56</f>
        <v>23</v>
      </c>
      <c r="BL56" s="4434"/>
      <c r="BM56" s="4429"/>
      <c r="BN56" s="4429">
        <v>13</v>
      </c>
      <c r="BO56" s="4428">
        <f>BL56+BM56+BN56</f>
        <v>13</v>
      </c>
      <c r="BP56" s="4434"/>
      <c r="BQ56" s="4429"/>
      <c r="BR56" s="4429">
        <v>21</v>
      </c>
      <c r="BS56" s="4428">
        <f>BP56+BQ56+BR56</f>
        <v>21</v>
      </c>
      <c r="BT56" s="4434"/>
      <c r="BU56" s="4429"/>
      <c r="BV56" s="4429">
        <v>8</v>
      </c>
      <c r="BW56" s="4428">
        <f>BT56+BU56+BV56</f>
        <v>8</v>
      </c>
      <c r="BX56" s="4434"/>
      <c r="BY56" s="4429"/>
      <c r="BZ56" s="4429">
        <v>12</v>
      </c>
      <c r="CA56" s="4428">
        <f>BX56+BY56+BZ56</f>
        <v>12</v>
      </c>
      <c r="CB56" s="4434"/>
      <c r="CC56" s="4429"/>
      <c r="CD56" s="4429">
        <v>10</v>
      </c>
      <c r="CE56" s="4428">
        <f>CB56+CC56+CD56</f>
        <v>10</v>
      </c>
      <c r="CF56" s="4434"/>
      <c r="CG56" s="4429"/>
      <c r="CH56" s="4429">
        <v>14</v>
      </c>
      <c r="CI56" s="4428">
        <f>CF56+CG56+CH56</f>
        <v>14</v>
      </c>
      <c r="CJ56" s="4434"/>
      <c r="CK56" s="4429"/>
      <c r="CL56" s="4429"/>
      <c r="CM56" s="4428">
        <f>CJ56+CK56+CL56</f>
        <v>0</v>
      </c>
      <c r="CN56" s="4434"/>
      <c r="CO56" s="4429"/>
      <c r="CP56" s="4429">
        <v>11</v>
      </c>
      <c r="CQ56" s="4428">
        <f>CN56+CO56+CP56</f>
        <v>11</v>
      </c>
      <c r="CR56" s="4434"/>
      <c r="CS56" s="4429"/>
      <c r="CT56" s="4429">
        <v>19</v>
      </c>
      <c r="CU56" s="4428">
        <f>CR56+CS56+CT56</f>
        <v>19</v>
      </c>
    </row>
    <row r="57" spans="2:99" ht="14.4" x14ac:dyDescent="0.3">
      <c r="B57" s="1295" t="s">
        <v>317</v>
      </c>
      <c r="C57" s="1265" t="s">
        <v>349</v>
      </c>
      <c r="D57" s="1262"/>
      <c r="E57" s="1263"/>
      <c r="F57" s="1263"/>
      <c r="G57" s="1264"/>
      <c r="H57" s="1262"/>
      <c r="I57" s="1263"/>
      <c r="J57" s="1263"/>
      <c r="K57" s="1264"/>
      <c r="L57" s="1262"/>
      <c r="M57" s="1263"/>
      <c r="N57" s="1263"/>
      <c r="O57" s="1264"/>
      <c r="P57" s="1262"/>
      <c r="Q57" s="1263"/>
      <c r="R57" s="1263"/>
      <c r="S57" s="1264"/>
      <c r="T57" s="1262"/>
      <c r="U57" s="1263"/>
      <c r="V57" s="1263"/>
      <c r="W57" s="1264"/>
      <c r="X57" s="1263"/>
      <c r="Y57" s="1263"/>
      <c r="Z57" s="1263"/>
      <c r="AA57" s="1264"/>
      <c r="AB57" s="1263"/>
      <c r="AC57" s="1263"/>
      <c r="AD57" s="1263"/>
      <c r="AE57" s="1264"/>
      <c r="AF57" s="1263"/>
      <c r="AG57" s="1263"/>
      <c r="AH57" s="1263"/>
      <c r="AI57" s="1264"/>
      <c r="AJ57" s="1263"/>
      <c r="AK57" s="1263"/>
      <c r="AL57" s="1263"/>
      <c r="AM57" s="1264"/>
      <c r="AN57" s="1263"/>
      <c r="AO57" s="1263"/>
      <c r="AP57" s="1263"/>
      <c r="AQ57" s="1264"/>
      <c r="AR57" s="1263"/>
      <c r="AS57" s="1263"/>
      <c r="AT57" s="1263"/>
      <c r="AU57" s="1264"/>
      <c r="AV57" s="1263"/>
      <c r="AW57" s="1263"/>
      <c r="AX57" s="1263"/>
      <c r="AY57" s="1264"/>
      <c r="AZ57" s="1263">
        <v>12</v>
      </c>
      <c r="BA57" s="1263"/>
      <c r="BB57" s="1263"/>
      <c r="BC57" s="1264">
        <f>AZ57+BA57+BB57</f>
        <v>12</v>
      </c>
      <c r="BD57" s="1263">
        <v>10</v>
      </c>
      <c r="BE57" s="1263"/>
      <c r="BF57" s="1263"/>
      <c r="BG57" s="1264">
        <f>BD57+BE57+BF57</f>
        <v>10</v>
      </c>
      <c r="BH57" s="1263"/>
      <c r="BI57" s="1263">
        <v>2</v>
      </c>
      <c r="BJ57" s="1263">
        <v>15</v>
      </c>
      <c r="BK57" s="1264">
        <f>BH57+BI57+BJ57</f>
        <v>17</v>
      </c>
      <c r="BL57" s="1263"/>
      <c r="BM57" s="1263"/>
      <c r="BN57" s="1263">
        <v>17</v>
      </c>
      <c r="BO57" s="1264">
        <f>BL57+BM57+BN57</f>
        <v>17</v>
      </c>
      <c r="BP57" s="1263"/>
      <c r="BQ57" s="1263"/>
      <c r="BR57" s="1263">
        <v>19</v>
      </c>
      <c r="BS57" s="1264">
        <f>BP57+BQ57+BR57</f>
        <v>19</v>
      </c>
      <c r="BT57" s="1263"/>
      <c r="BU57" s="1263"/>
      <c r="BV57" s="1263">
        <v>10</v>
      </c>
      <c r="BW57" s="1264">
        <f>BT57+BU57+BV57</f>
        <v>10</v>
      </c>
      <c r="BX57" s="1263"/>
      <c r="BY57" s="1263"/>
      <c r="BZ57" s="1263">
        <v>10</v>
      </c>
      <c r="CA57" s="1264">
        <f>BX57+BY57+BZ57</f>
        <v>10</v>
      </c>
      <c r="CB57" s="1263"/>
      <c r="CC57" s="1263"/>
      <c r="CD57" s="1263">
        <v>11</v>
      </c>
      <c r="CE57" s="1264">
        <f>CB57+CC57+CD57</f>
        <v>11</v>
      </c>
      <c r="CF57" s="1263"/>
      <c r="CG57" s="1263"/>
      <c r="CH57" s="1263">
        <v>12</v>
      </c>
      <c r="CI57" s="1264">
        <f>CF57+CG57+CH57</f>
        <v>12</v>
      </c>
      <c r="CJ57" s="1263"/>
      <c r="CK57" s="1263"/>
      <c r="CL57" s="1263"/>
      <c r="CM57" s="1264">
        <f>CJ57+CK57+CL57</f>
        <v>0</v>
      </c>
      <c r="CN57" s="1263"/>
      <c r="CO57" s="1263"/>
      <c r="CP57" s="1263">
        <v>11</v>
      </c>
      <c r="CQ57" s="1264">
        <f>CN57+CO57+CP57</f>
        <v>11</v>
      </c>
      <c r="CR57" s="1263"/>
      <c r="CS57" s="1263"/>
      <c r="CT57" s="1263">
        <v>9</v>
      </c>
      <c r="CU57" s="1264">
        <f>CR57+CS57+CT57</f>
        <v>9</v>
      </c>
    </row>
    <row r="58" spans="2:99" ht="14.4" x14ac:dyDescent="0.3">
      <c r="B58" s="1299"/>
      <c r="C58" s="1271" t="s">
        <v>64</v>
      </c>
      <c r="D58" s="1272"/>
      <c r="E58" s="1273"/>
      <c r="F58" s="1273"/>
      <c r="G58" s="1274"/>
      <c r="H58" s="1272"/>
      <c r="I58" s="1273"/>
      <c r="J58" s="1273"/>
      <c r="K58" s="1274"/>
      <c r="L58" s="1272"/>
      <c r="M58" s="1273"/>
      <c r="N58" s="1273"/>
      <c r="O58" s="1274"/>
      <c r="P58" s="1272"/>
      <c r="Q58" s="1273"/>
      <c r="R58" s="1273"/>
      <c r="S58" s="1274"/>
      <c r="T58" s="1272"/>
      <c r="U58" s="1273"/>
      <c r="V58" s="1273"/>
      <c r="W58" s="1274"/>
      <c r="X58" s="1273"/>
      <c r="Y58" s="1273"/>
      <c r="Z58" s="1273"/>
      <c r="AA58" s="1274"/>
      <c r="AB58" s="1273"/>
      <c r="AC58" s="1273"/>
      <c r="AD58" s="1273"/>
      <c r="AE58" s="1274"/>
      <c r="AF58" s="1273"/>
      <c r="AG58" s="1273"/>
      <c r="AH58" s="1273"/>
      <c r="AI58" s="1274"/>
      <c r="AJ58" s="1273"/>
      <c r="AK58" s="1273"/>
      <c r="AL58" s="1273"/>
      <c r="AM58" s="1274"/>
      <c r="AN58" s="1273"/>
      <c r="AO58" s="1273"/>
      <c r="AP58" s="1273"/>
      <c r="AQ58" s="1274"/>
      <c r="AR58" s="1273"/>
      <c r="AS58" s="1273"/>
      <c r="AT58" s="1273"/>
      <c r="AU58" s="1274"/>
      <c r="AV58" s="1273"/>
      <c r="AW58" s="1273"/>
      <c r="AX58" s="1273"/>
      <c r="AY58" s="1274"/>
      <c r="AZ58" s="1273">
        <f>SUM(AZ56:AZ57)</f>
        <v>32</v>
      </c>
      <c r="BA58" s="1273"/>
      <c r="BB58" s="1273"/>
      <c r="BC58" s="1274">
        <f>SUM(BC56:BC57)</f>
        <v>32</v>
      </c>
      <c r="BD58" s="1273">
        <f>SUM(BD56:BD57)</f>
        <v>23</v>
      </c>
      <c r="BE58" s="1273"/>
      <c r="BF58" s="1273"/>
      <c r="BG58" s="1274">
        <f t="shared" ref="BG58:BO58" si="42">SUM(BG56:BG57)</f>
        <v>23</v>
      </c>
      <c r="BH58" s="1273">
        <f t="shared" si="42"/>
        <v>23</v>
      </c>
      <c r="BI58" s="1273">
        <f t="shared" si="42"/>
        <v>2</v>
      </c>
      <c r="BJ58" s="1273">
        <f t="shared" si="42"/>
        <v>15</v>
      </c>
      <c r="BK58" s="1274">
        <f t="shared" si="42"/>
        <v>40</v>
      </c>
      <c r="BL58" s="1273"/>
      <c r="BM58" s="1273"/>
      <c r="BN58" s="1273">
        <f t="shared" si="42"/>
        <v>30</v>
      </c>
      <c r="BO58" s="1274">
        <f t="shared" si="42"/>
        <v>30</v>
      </c>
      <c r="BP58" s="1273"/>
      <c r="BQ58" s="1273"/>
      <c r="BR58" s="1273">
        <f>SUM(BR56:BR57)</f>
        <v>40</v>
      </c>
      <c r="BS58" s="1274">
        <f>SUM(BS56:BS57)</f>
        <v>40</v>
      </c>
      <c r="BT58" s="1273"/>
      <c r="BU58" s="1273"/>
      <c r="BV58" s="1273">
        <f>SUM(BV56:BV57)</f>
        <v>18</v>
      </c>
      <c r="BW58" s="1274">
        <f>SUM(BW56:BW57)</f>
        <v>18</v>
      </c>
      <c r="BX58" s="1273"/>
      <c r="BY58" s="1273"/>
      <c r="BZ58" s="1273">
        <f>SUM(BZ56:BZ57)</f>
        <v>22</v>
      </c>
      <c r="CA58" s="1274">
        <f>SUM(CA56:CA57)</f>
        <v>22</v>
      </c>
      <c r="CB58" s="1273"/>
      <c r="CC58" s="1273"/>
      <c r="CD58" s="1273">
        <f>SUM(CD56:CD57)</f>
        <v>21</v>
      </c>
      <c r="CE58" s="1274">
        <f>SUM(CE56:CE57)</f>
        <v>21</v>
      </c>
      <c r="CF58" s="1273"/>
      <c r="CG58" s="1273"/>
      <c r="CH58" s="1273">
        <f>SUM(CH56:CH57)</f>
        <v>26</v>
      </c>
      <c r="CI58" s="1274">
        <f>SUM(CI56:CI57)</f>
        <v>26</v>
      </c>
      <c r="CJ58" s="1273"/>
      <c r="CK58" s="1273"/>
      <c r="CL58" s="1273">
        <f>SUM(CL56:CL57)</f>
        <v>0</v>
      </c>
      <c r="CM58" s="1274">
        <f>SUM(CM56:CM57)</f>
        <v>0</v>
      </c>
      <c r="CN58" s="1273"/>
      <c r="CO58" s="1273"/>
      <c r="CP58" s="1273">
        <f>SUM(CP56:CP57)</f>
        <v>22</v>
      </c>
      <c r="CQ58" s="1274">
        <f>SUM(CQ56:CQ57)</f>
        <v>22</v>
      </c>
      <c r="CR58" s="1273">
        <f>SUM(CR56:CR57)</f>
        <v>0</v>
      </c>
      <c r="CS58" s="1273"/>
      <c r="CT58" s="1273">
        <f>SUM(CT56:CT57)</f>
        <v>28</v>
      </c>
      <c r="CU58" s="1274">
        <f>SUM(CU56:CU57)</f>
        <v>28</v>
      </c>
    </row>
    <row r="59" spans="2:99" ht="14.4" x14ac:dyDescent="0.3">
      <c r="B59" s="1295" t="s">
        <v>310</v>
      </c>
      <c r="C59" s="1265" t="s">
        <v>350</v>
      </c>
      <c r="D59" s="1262"/>
      <c r="E59" s="1263"/>
      <c r="F59" s="1263"/>
      <c r="G59" s="1264"/>
      <c r="H59" s="1262"/>
      <c r="I59" s="1263"/>
      <c r="J59" s="1263"/>
      <c r="K59" s="1264"/>
      <c r="L59" s="1262"/>
      <c r="M59" s="1263"/>
      <c r="N59" s="1263"/>
      <c r="O59" s="1264"/>
      <c r="P59" s="1262"/>
      <c r="Q59" s="1263"/>
      <c r="R59" s="1263"/>
      <c r="S59" s="1264"/>
      <c r="T59" s="1262"/>
      <c r="U59" s="1263"/>
      <c r="V59" s="1263"/>
      <c r="W59" s="1264"/>
      <c r="X59" s="1263"/>
      <c r="Y59" s="1263"/>
      <c r="Z59" s="1263"/>
      <c r="AA59" s="1264"/>
      <c r="AB59" s="1263"/>
      <c r="AC59" s="1263"/>
      <c r="AD59" s="1263"/>
      <c r="AE59" s="1264"/>
      <c r="AF59" s="1263"/>
      <c r="AG59" s="1263"/>
      <c r="AH59" s="1263"/>
      <c r="AI59" s="1264"/>
      <c r="AJ59" s="1263"/>
      <c r="AK59" s="1263"/>
      <c r="AL59" s="1263"/>
      <c r="AM59" s="1264"/>
      <c r="AN59" s="1263"/>
      <c r="AO59" s="1263"/>
      <c r="AP59" s="1263"/>
      <c r="AQ59" s="1264"/>
      <c r="AR59" s="1263"/>
      <c r="AS59" s="1263"/>
      <c r="AT59" s="1263"/>
      <c r="AU59" s="1264"/>
      <c r="AV59" s="1263"/>
      <c r="AW59" s="1263"/>
      <c r="AX59" s="1263"/>
      <c r="AY59" s="1264"/>
      <c r="AZ59" s="1263"/>
      <c r="BA59" s="1263"/>
      <c r="BB59" s="1263"/>
      <c r="BC59" s="1264"/>
      <c r="BD59" s="1263"/>
      <c r="BE59" s="1263"/>
      <c r="BF59" s="1263">
        <v>12</v>
      </c>
      <c r="BG59" s="1264">
        <f>SUM(BD59:BF59)</f>
        <v>12</v>
      </c>
      <c r="BH59" s="1263"/>
      <c r="BI59" s="1263"/>
      <c r="BJ59" s="1263">
        <v>12</v>
      </c>
      <c r="BK59" s="1264">
        <f>SUM(BH59:BJ59)</f>
        <v>12</v>
      </c>
      <c r="BL59" s="1263"/>
      <c r="BM59" s="1263"/>
      <c r="BN59" s="1263">
        <v>20</v>
      </c>
      <c r="BO59" s="1264">
        <f>SUM(BL59:BN59)</f>
        <v>20</v>
      </c>
      <c r="BP59" s="1263"/>
      <c r="BQ59" s="1263"/>
      <c r="BR59" s="1263">
        <v>18</v>
      </c>
      <c r="BS59" s="1264">
        <f>SUM(BP59:BR59)</f>
        <v>18</v>
      </c>
      <c r="BT59" s="1263"/>
      <c r="BU59" s="1263"/>
      <c r="BV59" s="1263">
        <v>22</v>
      </c>
      <c r="BW59" s="1264">
        <f>SUM(BT59:BV59)</f>
        <v>22</v>
      </c>
      <c r="BX59" s="1263"/>
      <c r="BY59" s="1263"/>
      <c r="BZ59" s="1263">
        <v>22</v>
      </c>
      <c r="CA59" s="1264">
        <f>SUM(BX59:BZ59)</f>
        <v>22</v>
      </c>
      <c r="CB59" s="1263"/>
      <c r="CC59" s="1263"/>
      <c r="CD59" s="1263">
        <v>22</v>
      </c>
      <c r="CE59" s="1264">
        <f>SUM(CB59:CD59)</f>
        <v>22</v>
      </c>
      <c r="CF59" s="1263"/>
      <c r="CG59" s="1263"/>
      <c r="CH59" s="1263">
        <v>21</v>
      </c>
      <c r="CI59" s="1264">
        <f>SUM(CF59:CH59)</f>
        <v>21</v>
      </c>
      <c r="CJ59" s="1263"/>
      <c r="CK59" s="1263"/>
      <c r="CL59" s="1263">
        <v>20</v>
      </c>
      <c r="CM59" s="1264">
        <f>SUM(CJ59:CL59)</f>
        <v>20</v>
      </c>
      <c r="CN59" s="1263"/>
      <c r="CO59" s="1263"/>
      <c r="CP59" s="1263">
        <v>21</v>
      </c>
      <c r="CQ59" s="1264">
        <f>SUM(CN59:CP59)</f>
        <v>21</v>
      </c>
      <c r="CR59" s="1263"/>
      <c r="CS59" s="1263"/>
      <c r="CT59" s="1263">
        <v>19</v>
      </c>
      <c r="CU59" s="1264">
        <f>SUM(CR59:CT59)</f>
        <v>19</v>
      </c>
    </row>
    <row r="60" spans="2:99" ht="14.4" x14ac:dyDescent="0.3">
      <c r="B60" s="1299"/>
      <c r="C60" s="1271" t="s">
        <v>111</v>
      </c>
      <c r="D60" s="1272"/>
      <c r="E60" s="1273"/>
      <c r="F60" s="1273"/>
      <c r="G60" s="1274"/>
      <c r="H60" s="1272"/>
      <c r="I60" s="1273"/>
      <c r="J60" s="1273"/>
      <c r="K60" s="1274"/>
      <c r="L60" s="1272"/>
      <c r="M60" s="1273"/>
      <c r="N60" s="1273"/>
      <c r="O60" s="1274"/>
      <c r="P60" s="1272"/>
      <c r="Q60" s="1273"/>
      <c r="R60" s="1273"/>
      <c r="S60" s="1274"/>
      <c r="T60" s="1272"/>
      <c r="U60" s="1273"/>
      <c r="V60" s="1273"/>
      <c r="W60" s="1274"/>
      <c r="X60" s="1273"/>
      <c r="Y60" s="1273"/>
      <c r="Z60" s="1273"/>
      <c r="AA60" s="1274"/>
      <c r="AB60" s="1273"/>
      <c r="AC60" s="1273"/>
      <c r="AD60" s="1273"/>
      <c r="AE60" s="1274"/>
      <c r="AF60" s="1273"/>
      <c r="AG60" s="1273"/>
      <c r="AH60" s="1273"/>
      <c r="AI60" s="1274"/>
      <c r="AJ60" s="1273"/>
      <c r="AK60" s="1273"/>
      <c r="AL60" s="1273"/>
      <c r="AM60" s="1274"/>
      <c r="AN60" s="1273"/>
      <c r="AO60" s="1273"/>
      <c r="AP60" s="1273"/>
      <c r="AQ60" s="1274"/>
      <c r="AR60" s="1273"/>
      <c r="AS60" s="1273"/>
      <c r="AT60" s="1273"/>
      <c r="AU60" s="1274"/>
      <c r="AV60" s="1273"/>
      <c r="AW60" s="1273"/>
      <c r="AX60" s="1273"/>
      <c r="AY60" s="1274"/>
      <c r="AZ60" s="1273"/>
      <c r="BA60" s="1273"/>
      <c r="BB60" s="1273"/>
      <c r="BC60" s="1274"/>
      <c r="BD60" s="1273"/>
      <c r="BE60" s="1273"/>
      <c r="BF60" s="1273">
        <f>SUM(BF59)</f>
        <v>12</v>
      </c>
      <c r="BG60" s="1274">
        <f>SUM(BG59)</f>
        <v>12</v>
      </c>
      <c r="BH60" s="1273"/>
      <c r="BI60" s="1273"/>
      <c r="BJ60" s="1273">
        <f>SUM(BJ59)</f>
        <v>12</v>
      </c>
      <c r="BK60" s="1274">
        <f>SUM(BK59)</f>
        <v>12</v>
      </c>
      <c r="BL60" s="1273"/>
      <c r="BM60" s="1273"/>
      <c r="BN60" s="1273">
        <f>SUM(BN59)</f>
        <v>20</v>
      </c>
      <c r="BO60" s="1274">
        <f>SUM(BO59)</f>
        <v>20</v>
      </c>
      <c r="BP60" s="1273"/>
      <c r="BQ60" s="1273"/>
      <c r="BR60" s="1273">
        <f>SUM(BR59)</f>
        <v>18</v>
      </c>
      <c r="BS60" s="1274">
        <f>SUM(BS59)</f>
        <v>18</v>
      </c>
      <c r="BT60" s="1273"/>
      <c r="BU60" s="1273"/>
      <c r="BV60" s="1273">
        <f>SUM(BV59)</f>
        <v>22</v>
      </c>
      <c r="BW60" s="1274">
        <f>SUM(BW59)</f>
        <v>22</v>
      </c>
      <c r="BX60" s="1273"/>
      <c r="BY60" s="1273"/>
      <c r="BZ60" s="1273">
        <f>SUM(BZ59)</f>
        <v>22</v>
      </c>
      <c r="CA60" s="1274">
        <f>SUM(CA59)</f>
        <v>22</v>
      </c>
      <c r="CB60" s="1273"/>
      <c r="CC60" s="1273"/>
      <c r="CD60" s="1273">
        <f>SUM(CD59)</f>
        <v>22</v>
      </c>
      <c r="CE60" s="1274">
        <f>SUM(CE59)</f>
        <v>22</v>
      </c>
      <c r="CF60" s="1273"/>
      <c r="CG60" s="1273"/>
      <c r="CH60" s="1273">
        <f>SUM(CH59)</f>
        <v>21</v>
      </c>
      <c r="CI60" s="1274">
        <f>SUM(CI59)</f>
        <v>21</v>
      </c>
      <c r="CJ60" s="1273"/>
      <c r="CK60" s="1273"/>
      <c r="CL60" s="1273">
        <f>SUM(CL59)</f>
        <v>20</v>
      </c>
      <c r="CM60" s="1274">
        <f>SUM(CM59)</f>
        <v>20</v>
      </c>
      <c r="CN60" s="1273"/>
      <c r="CO60" s="1273"/>
      <c r="CP60" s="1273">
        <f>SUM(CP59)</f>
        <v>21</v>
      </c>
      <c r="CQ60" s="1274">
        <f>SUM(CQ59)</f>
        <v>21</v>
      </c>
      <c r="CR60" s="1273">
        <f>SUM(CR59)</f>
        <v>0</v>
      </c>
      <c r="CS60" s="1273"/>
      <c r="CT60" s="1273">
        <f>SUM(CT59)</f>
        <v>19</v>
      </c>
      <c r="CU60" s="1274">
        <f>SUM(CU59)</f>
        <v>19</v>
      </c>
    </row>
    <row r="61" spans="2:99" ht="14.4" x14ac:dyDescent="0.3">
      <c r="B61" s="1295" t="s">
        <v>308</v>
      </c>
      <c r="C61" s="1275" t="s">
        <v>351</v>
      </c>
      <c r="D61" s="1296"/>
      <c r="E61" s="1297"/>
      <c r="F61" s="1297"/>
      <c r="G61" s="1260"/>
      <c r="H61" s="1296"/>
      <c r="I61" s="1297"/>
      <c r="J61" s="1297"/>
      <c r="K61" s="1260"/>
      <c r="L61" s="1296"/>
      <c r="M61" s="1297"/>
      <c r="N61" s="1297"/>
      <c r="O61" s="1260"/>
      <c r="P61" s="1296"/>
      <c r="Q61" s="1297"/>
      <c r="R61" s="1297"/>
      <c r="S61" s="1260"/>
      <c r="T61" s="1296"/>
      <c r="U61" s="1297"/>
      <c r="V61" s="1297"/>
      <c r="W61" s="1260"/>
      <c r="X61" s="1259"/>
      <c r="Y61" s="1259"/>
      <c r="Z61" s="1259"/>
      <c r="AA61" s="1260"/>
      <c r="AB61" s="1259"/>
      <c r="AC61" s="1259"/>
      <c r="AD61" s="1259"/>
      <c r="AE61" s="1260"/>
      <c r="AF61" s="1259"/>
      <c r="AG61" s="1259"/>
      <c r="AH61" s="1259"/>
      <c r="AI61" s="1260"/>
      <c r="AJ61" s="1259"/>
      <c r="AK61" s="1259"/>
      <c r="AL61" s="1259"/>
      <c r="AM61" s="1260"/>
      <c r="AN61" s="1259"/>
      <c r="AO61" s="1259"/>
      <c r="AP61" s="1259"/>
      <c r="AQ61" s="1260"/>
      <c r="AR61" s="1259"/>
      <c r="AS61" s="1259"/>
      <c r="AT61" s="1259"/>
      <c r="AU61" s="1260"/>
      <c r="AV61" s="1259"/>
      <c r="AW61" s="1259"/>
      <c r="AX61" s="1259"/>
      <c r="AY61" s="1260"/>
      <c r="AZ61" s="1259"/>
      <c r="BA61" s="1259"/>
      <c r="BB61" s="1259"/>
      <c r="BC61" s="1260"/>
      <c r="BD61" s="1259"/>
      <c r="BE61" s="1259">
        <v>2</v>
      </c>
      <c r="BF61" s="1259">
        <v>1</v>
      </c>
      <c r="BG61" s="1278">
        <f>SUM(BD61:BF61)</f>
        <v>3</v>
      </c>
      <c r="BH61" s="1259">
        <v>1</v>
      </c>
      <c r="BI61" s="1259"/>
      <c r="BJ61" s="1259">
        <v>1</v>
      </c>
      <c r="BK61" s="1278">
        <f>SUM(BH61:BJ61)</f>
        <v>2</v>
      </c>
      <c r="BL61" s="1259">
        <v>2</v>
      </c>
      <c r="BM61" s="1259"/>
      <c r="BN61" s="1259">
        <v>1</v>
      </c>
      <c r="BO61" s="1278">
        <f>SUM(BL61:BN61)</f>
        <v>3</v>
      </c>
      <c r="BP61" s="1259">
        <v>2</v>
      </c>
      <c r="BQ61" s="1259">
        <v>1</v>
      </c>
      <c r="BR61" s="1259">
        <v>4</v>
      </c>
      <c r="BS61" s="1278">
        <f>SUM(BP61:BR61)</f>
        <v>7</v>
      </c>
      <c r="BT61" s="1259">
        <v>2</v>
      </c>
      <c r="BU61" s="1259">
        <v>1</v>
      </c>
      <c r="BV61" s="1259">
        <v>2</v>
      </c>
      <c r="BW61" s="1278">
        <f>SUM(BT61:BV61)</f>
        <v>5</v>
      </c>
      <c r="BX61" s="1259">
        <v>2</v>
      </c>
      <c r="BY61" s="1259"/>
      <c r="BZ61" s="1259">
        <v>1</v>
      </c>
      <c r="CA61" s="1278">
        <f>SUM(BX61:BZ61)</f>
        <v>3</v>
      </c>
      <c r="CB61" s="1259">
        <v>2</v>
      </c>
      <c r="CC61" s="1259"/>
      <c r="CD61" s="1259"/>
      <c r="CE61" s="1278">
        <f>SUM(CB61:CD61)</f>
        <v>2</v>
      </c>
      <c r="CF61" s="1259"/>
      <c r="CG61" s="1259"/>
      <c r="CH61" s="1259"/>
      <c r="CI61" s="1278">
        <f>SUM(CF61:CH61)</f>
        <v>0</v>
      </c>
      <c r="CJ61" s="1259">
        <v>2</v>
      </c>
      <c r="CK61" s="1259">
        <v>1</v>
      </c>
      <c r="CL61" s="1259"/>
      <c r="CM61" s="1278">
        <f>SUM(CJ61:CL61)</f>
        <v>3</v>
      </c>
      <c r="CN61" s="1259"/>
      <c r="CO61" s="1259"/>
      <c r="CP61" s="1259"/>
      <c r="CQ61" s="1278">
        <f>SUM(CN61:CP61)</f>
        <v>0</v>
      </c>
      <c r="CR61" s="1259">
        <v>1</v>
      </c>
      <c r="CS61" s="1259"/>
      <c r="CT61" s="1259"/>
      <c r="CU61" s="1278">
        <f>SUM(CR61:CT61)</f>
        <v>1</v>
      </c>
    </row>
    <row r="62" spans="2:99" ht="14.4" x14ac:dyDescent="0.3">
      <c r="B62" s="4431" t="s">
        <v>310</v>
      </c>
      <c r="C62" s="4432" t="s">
        <v>352</v>
      </c>
      <c r="D62" s="4409"/>
      <c r="E62" s="4408"/>
      <c r="F62" s="4408"/>
      <c r="G62" s="4405"/>
      <c r="H62" s="4409"/>
      <c r="I62" s="4408"/>
      <c r="J62" s="4408"/>
      <c r="K62" s="4405"/>
      <c r="L62" s="4409"/>
      <c r="M62" s="4408"/>
      <c r="N62" s="4408"/>
      <c r="O62" s="4405"/>
      <c r="P62" s="4409"/>
      <c r="Q62" s="4408"/>
      <c r="R62" s="4408"/>
      <c r="S62" s="4405"/>
      <c r="T62" s="4409"/>
      <c r="U62" s="4408"/>
      <c r="V62" s="4408"/>
      <c r="W62" s="4405"/>
      <c r="X62" s="4404"/>
      <c r="Y62" s="4404"/>
      <c r="Z62" s="4404"/>
      <c r="AA62" s="4405"/>
      <c r="AB62" s="4404"/>
      <c r="AC62" s="4404"/>
      <c r="AD62" s="4404"/>
      <c r="AE62" s="4405"/>
      <c r="AF62" s="4404"/>
      <c r="AG62" s="4404"/>
      <c r="AH62" s="4404"/>
      <c r="AI62" s="4405"/>
      <c r="AJ62" s="4404"/>
      <c r="AK62" s="4404"/>
      <c r="AL62" s="4404"/>
      <c r="AM62" s="4405"/>
      <c r="AN62" s="4404"/>
      <c r="AO62" s="4404"/>
      <c r="AP62" s="4404"/>
      <c r="AQ62" s="4405"/>
      <c r="AR62" s="4404"/>
      <c r="AS62" s="4404"/>
      <c r="AT62" s="4404"/>
      <c r="AU62" s="4405"/>
      <c r="AV62" s="4404"/>
      <c r="AW62" s="4404"/>
      <c r="AX62" s="4404"/>
      <c r="AY62" s="4405"/>
      <c r="AZ62" s="4404"/>
      <c r="BA62" s="4404"/>
      <c r="BB62" s="4404"/>
      <c r="BC62" s="4405"/>
      <c r="BD62" s="4404"/>
      <c r="BE62" s="4404"/>
      <c r="BF62" s="4404">
        <v>9</v>
      </c>
      <c r="BG62" s="4405">
        <f>SUM(BD62:BF62)</f>
        <v>9</v>
      </c>
      <c r="BH62" s="4404"/>
      <c r="BI62" s="4404"/>
      <c r="BJ62" s="4404">
        <v>13</v>
      </c>
      <c r="BK62" s="4405">
        <f>SUM(BH62:BJ62)</f>
        <v>13</v>
      </c>
      <c r="BL62" s="4404"/>
      <c r="BM62" s="4404"/>
      <c r="BN62" s="4404">
        <v>12</v>
      </c>
      <c r="BO62" s="4405">
        <f>SUM(BL62:BN62)</f>
        <v>12</v>
      </c>
      <c r="BP62" s="4404"/>
      <c r="BQ62" s="4404"/>
      <c r="BR62" s="4404">
        <v>13</v>
      </c>
      <c r="BS62" s="4405">
        <f>SUM(BP62:BR62)</f>
        <v>13</v>
      </c>
      <c r="BT62" s="4404"/>
      <c r="BU62" s="4404"/>
      <c r="BV62" s="4404">
        <v>12</v>
      </c>
      <c r="BW62" s="4405">
        <f>SUM(BT62:BV62)</f>
        <v>12</v>
      </c>
      <c r="BX62" s="4404"/>
      <c r="BY62" s="4404"/>
      <c r="BZ62" s="4404">
        <v>10</v>
      </c>
      <c r="CA62" s="4405">
        <f>SUM(BX62:BZ62)</f>
        <v>10</v>
      </c>
      <c r="CB62" s="4404"/>
      <c r="CC62" s="4404"/>
      <c r="CD62" s="4404">
        <v>7</v>
      </c>
      <c r="CE62" s="4405">
        <f>SUM(CB62:CD62)</f>
        <v>7</v>
      </c>
      <c r="CF62" s="4404"/>
      <c r="CG62" s="4404"/>
      <c r="CH62" s="4404">
        <v>9</v>
      </c>
      <c r="CI62" s="4405">
        <f>SUM(CF62:CH62)</f>
        <v>9</v>
      </c>
      <c r="CJ62" s="4404"/>
      <c r="CK62" s="4404">
        <v>3</v>
      </c>
      <c r="CL62" s="4404"/>
      <c r="CM62" s="4405">
        <f>SUM(CJ62:CL62)</f>
        <v>3</v>
      </c>
      <c r="CN62" s="4404"/>
      <c r="CO62" s="4404">
        <v>10</v>
      </c>
      <c r="CP62" s="4404"/>
      <c r="CQ62" s="4405">
        <f>SUM(CN62:CP62)</f>
        <v>10</v>
      </c>
      <c r="CR62" s="4404"/>
      <c r="CS62" s="4404"/>
      <c r="CT62" s="4404">
        <v>11</v>
      </c>
      <c r="CU62" s="4405">
        <f>SUM(CR62:CT62)</f>
        <v>11</v>
      </c>
    </row>
    <row r="63" spans="2:99" ht="14.4" x14ac:dyDescent="0.3">
      <c r="B63" s="5843" t="s">
        <v>317</v>
      </c>
      <c r="C63" s="1265" t="s">
        <v>353</v>
      </c>
      <c r="D63" s="1262"/>
      <c r="E63" s="1263"/>
      <c r="F63" s="1263"/>
      <c r="G63" s="1264"/>
      <c r="H63" s="1262"/>
      <c r="I63" s="1263"/>
      <c r="J63" s="1263"/>
      <c r="K63" s="1264"/>
      <c r="L63" s="1262"/>
      <c r="M63" s="1263"/>
      <c r="N63" s="1263"/>
      <c r="O63" s="1264"/>
      <c r="P63" s="1262"/>
      <c r="Q63" s="1263"/>
      <c r="R63" s="1263"/>
      <c r="S63" s="1264"/>
      <c r="T63" s="1262"/>
      <c r="U63" s="1263"/>
      <c r="V63" s="1263"/>
      <c r="W63" s="1264"/>
      <c r="X63" s="1263"/>
      <c r="Y63" s="1263"/>
      <c r="Z63" s="1263"/>
      <c r="AA63" s="1264"/>
      <c r="AB63" s="1263"/>
      <c r="AC63" s="1263"/>
      <c r="AD63" s="1263"/>
      <c r="AE63" s="1264"/>
      <c r="AF63" s="1263"/>
      <c r="AG63" s="1263"/>
      <c r="AH63" s="1263"/>
      <c r="AI63" s="1264"/>
      <c r="AJ63" s="1263"/>
      <c r="AK63" s="1263"/>
      <c r="AL63" s="1263"/>
      <c r="AM63" s="1264"/>
      <c r="AN63" s="1263"/>
      <c r="AO63" s="1263"/>
      <c r="AP63" s="1263"/>
      <c r="AQ63" s="1264"/>
      <c r="AR63" s="1263"/>
      <c r="AS63" s="1263"/>
      <c r="AT63" s="1263"/>
      <c r="AU63" s="1264"/>
      <c r="AV63" s="1263"/>
      <c r="AW63" s="1263"/>
      <c r="AX63" s="1263"/>
      <c r="AY63" s="1264"/>
      <c r="AZ63" s="1263"/>
      <c r="BA63" s="1263"/>
      <c r="BB63" s="1263"/>
      <c r="BC63" s="1264"/>
      <c r="BD63" s="1263"/>
      <c r="BE63" s="1263">
        <v>2</v>
      </c>
      <c r="BF63" s="1263">
        <v>5</v>
      </c>
      <c r="BG63" s="1264">
        <f>SUM(BD63:BF63)</f>
        <v>7</v>
      </c>
      <c r="BH63" s="1263">
        <v>2</v>
      </c>
      <c r="BI63" s="1263">
        <v>2</v>
      </c>
      <c r="BJ63" s="1263">
        <v>2</v>
      </c>
      <c r="BK63" s="1264">
        <f>SUM(BH63:BJ63)</f>
        <v>6</v>
      </c>
      <c r="BL63" s="1263">
        <v>2</v>
      </c>
      <c r="BM63" s="1263">
        <v>4</v>
      </c>
      <c r="BN63" s="1263">
        <v>2</v>
      </c>
      <c r="BO63" s="1264">
        <f>SUM(BL63:BN63)</f>
        <v>8</v>
      </c>
      <c r="BP63" s="1263">
        <v>3</v>
      </c>
      <c r="BQ63" s="1263">
        <v>3</v>
      </c>
      <c r="BR63" s="1263">
        <v>6</v>
      </c>
      <c r="BS63" s="1264">
        <f>SUM(BP63:BR63)</f>
        <v>12</v>
      </c>
      <c r="BT63" s="1263">
        <v>2</v>
      </c>
      <c r="BU63" s="1263">
        <v>1</v>
      </c>
      <c r="BV63" s="1263">
        <v>1</v>
      </c>
      <c r="BW63" s="1264">
        <f>SUM(BT63:BV63)</f>
        <v>4</v>
      </c>
      <c r="BX63" s="1263"/>
      <c r="BY63" s="1263">
        <v>1</v>
      </c>
      <c r="BZ63" s="1263">
        <v>2</v>
      </c>
      <c r="CA63" s="1264">
        <f>SUM(BX63:BZ63)</f>
        <v>3</v>
      </c>
      <c r="CB63" s="1263">
        <v>4</v>
      </c>
      <c r="CC63" s="1263">
        <v>2</v>
      </c>
      <c r="CD63" s="1263">
        <v>2</v>
      </c>
      <c r="CE63" s="1264">
        <f>SUM(CB63:CD63)</f>
        <v>8</v>
      </c>
      <c r="CF63" s="1263"/>
      <c r="CG63" s="1263"/>
      <c r="CH63" s="1263">
        <v>1</v>
      </c>
      <c r="CI63" s="1264">
        <f>SUM(CF63:CH63)</f>
        <v>1</v>
      </c>
      <c r="CJ63" s="1263">
        <v>3</v>
      </c>
      <c r="CK63" s="1263"/>
      <c r="CL63" s="1263"/>
      <c r="CM63" s="1264">
        <f>SUM(CJ63:CL63)</f>
        <v>3</v>
      </c>
      <c r="CN63" s="1263">
        <v>3</v>
      </c>
      <c r="CO63" s="1263"/>
      <c r="CP63" s="1263"/>
      <c r="CQ63" s="1264">
        <f>SUM(CN63:CP63)</f>
        <v>3</v>
      </c>
      <c r="CR63" s="1263">
        <v>3</v>
      </c>
      <c r="CS63" s="1263"/>
      <c r="CT63" s="1263">
        <v>2</v>
      </c>
      <c r="CU63" s="1264">
        <f>SUM(CR63:CT63)</f>
        <v>5</v>
      </c>
    </row>
    <row r="64" spans="2:99" ht="14.4" x14ac:dyDescent="0.3">
      <c r="B64" s="5844"/>
      <c r="C64" s="1265" t="s">
        <v>354</v>
      </c>
      <c r="D64" s="1267"/>
      <c r="E64" s="1268"/>
      <c r="F64" s="1268"/>
      <c r="G64" s="1269"/>
      <c r="H64" s="1267"/>
      <c r="I64" s="1268"/>
      <c r="J64" s="1268"/>
      <c r="K64" s="1269"/>
      <c r="L64" s="1267"/>
      <c r="M64" s="1268"/>
      <c r="N64" s="1268"/>
      <c r="O64" s="1269"/>
      <c r="P64" s="1267"/>
      <c r="Q64" s="1268"/>
      <c r="R64" s="1268"/>
      <c r="S64" s="1269"/>
      <c r="T64" s="1267"/>
      <c r="U64" s="1268"/>
      <c r="V64" s="1268"/>
      <c r="W64" s="1269"/>
      <c r="X64" s="1268"/>
      <c r="Y64" s="1268"/>
      <c r="Z64" s="1268"/>
      <c r="AA64" s="1269"/>
      <c r="AB64" s="1268"/>
      <c r="AC64" s="1268"/>
      <c r="AD64" s="1268"/>
      <c r="AE64" s="1269"/>
      <c r="AF64" s="1268"/>
      <c r="AG64" s="1268"/>
      <c r="AH64" s="1268"/>
      <c r="AI64" s="1269"/>
      <c r="AJ64" s="1268"/>
      <c r="AK64" s="1268"/>
      <c r="AL64" s="1268"/>
      <c r="AM64" s="1269"/>
      <c r="AN64" s="1268"/>
      <c r="AO64" s="1268"/>
      <c r="AP64" s="1268"/>
      <c r="AQ64" s="1269"/>
      <c r="AR64" s="1268"/>
      <c r="AS64" s="1268"/>
      <c r="AT64" s="1268"/>
      <c r="AU64" s="1269"/>
      <c r="AV64" s="1268"/>
      <c r="AW64" s="1268"/>
      <c r="AX64" s="1268"/>
      <c r="AY64" s="1269"/>
      <c r="AZ64" s="1268"/>
      <c r="BA64" s="1268"/>
      <c r="BB64" s="1268"/>
      <c r="BC64" s="1269"/>
      <c r="BD64" s="1268"/>
      <c r="BE64" s="1268"/>
      <c r="BF64" s="1268"/>
      <c r="BG64" s="1269"/>
      <c r="BH64" s="1268"/>
      <c r="BI64" s="1268"/>
      <c r="BJ64" s="1268"/>
      <c r="BK64" s="1269"/>
      <c r="BL64" s="1268"/>
      <c r="BM64" s="1268"/>
      <c r="BN64" s="1268"/>
      <c r="BO64" s="1269"/>
      <c r="BP64" s="1268"/>
      <c r="BQ64" s="1268"/>
      <c r="BR64" s="1268"/>
      <c r="BS64" s="1269"/>
      <c r="BT64" s="1268"/>
      <c r="BU64" s="1268"/>
      <c r="BV64" s="1268">
        <v>2</v>
      </c>
      <c r="BW64" s="1269">
        <f>SUM(BT64:BV64)</f>
        <v>2</v>
      </c>
      <c r="BX64" s="1268"/>
      <c r="BY64" s="1268"/>
      <c r="BZ64" s="1268"/>
      <c r="CA64" s="1269">
        <f>SUM(BX64:BZ64)</f>
        <v>0</v>
      </c>
      <c r="CB64" s="1268"/>
      <c r="CC64" s="1268"/>
      <c r="CD64" s="1268"/>
      <c r="CE64" s="1269">
        <f>SUM(CB64:CD64)</f>
        <v>0</v>
      </c>
      <c r="CF64" s="1268">
        <v>1</v>
      </c>
      <c r="CG64" s="1268"/>
      <c r="CH64" s="1268"/>
      <c r="CI64" s="1269">
        <f>SUM(CF64:CH64)</f>
        <v>1</v>
      </c>
      <c r="CJ64" s="1268"/>
      <c r="CK64" s="1268">
        <v>1</v>
      </c>
      <c r="CL64" s="1268">
        <v>1</v>
      </c>
      <c r="CM64" s="1269">
        <f>SUM(CJ64:CL64)</f>
        <v>2</v>
      </c>
      <c r="CN64" s="1268"/>
      <c r="CO64" s="1268"/>
      <c r="CP64" s="1268"/>
      <c r="CQ64" s="1269">
        <f>SUM(CN64:CP64)</f>
        <v>0</v>
      </c>
      <c r="CR64" s="1268">
        <v>2</v>
      </c>
      <c r="CS64" s="1268"/>
      <c r="CT64" s="1268"/>
      <c r="CU64" s="1269">
        <f>SUM(CR64:CT64)</f>
        <v>2</v>
      </c>
    </row>
    <row r="65" spans="2:99" ht="14.4" x14ac:dyDescent="0.3">
      <c r="B65" s="1289"/>
      <c r="C65" s="1271" t="s">
        <v>115</v>
      </c>
      <c r="D65" s="1272"/>
      <c r="E65" s="1273"/>
      <c r="F65" s="1273"/>
      <c r="G65" s="1274"/>
      <c r="H65" s="1272"/>
      <c r="I65" s="1273"/>
      <c r="J65" s="1273"/>
      <c r="K65" s="1274"/>
      <c r="L65" s="1272"/>
      <c r="M65" s="1273"/>
      <c r="N65" s="1273"/>
      <c r="O65" s="1274"/>
      <c r="P65" s="1272"/>
      <c r="Q65" s="1273"/>
      <c r="R65" s="1273"/>
      <c r="S65" s="1274"/>
      <c r="T65" s="1272"/>
      <c r="U65" s="1273"/>
      <c r="V65" s="1273"/>
      <c r="W65" s="1274"/>
      <c r="X65" s="1273"/>
      <c r="Y65" s="1273"/>
      <c r="Z65" s="1273"/>
      <c r="AA65" s="1274"/>
      <c r="AB65" s="1273"/>
      <c r="AC65" s="1273"/>
      <c r="AD65" s="1273"/>
      <c r="AE65" s="1274"/>
      <c r="AF65" s="1273"/>
      <c r="AG65" s="1273"/>
      <c r="AH65" s="1273"/>
      <c r="AI65" s="1274"/>
      <c r="AJ65" s="1273"/>
      <c r="AK65" s="1273"/>
      <c r="AL65" s="1273"/>
      <c r="AM65" s="1274"/>
      <c r="AN65" s="1273"/>
      <c r="AO65" s="1273"/>
      <c r="AP65" s="1273"/>
      <c r="AQ65" s="1274"/>
      <c r="AR65" s="1273"/>
      <c r="AS65" s="1273"/>
      <c r="AT65" s="1273"/>
      <c r="AU65" s="1274"/>
      <c r="AV65" s="1273"/>
      <c r="AW65" s="1273"/>
      <c r="AX65" s="1273"/>
      <c r="AY65" s="1274"/>
      <c r="AZ65" s="1273"/>
      <c r="BA65" s="1273"/>
      <c r="BB65" s="1273"/>
      <c r="BC65" s="1274"/>
      <c r="BD65" s="1273"/>
      <c r="BE65" s="1273">
        <f t="shared" ref="BE65:BS65" si="43">SUM(BE61:BE63)</f>
        <v>4</v>
      </c>
      <c r="BF65" s="1273">
        <f t="shared" si="43"/>
        <v>15</v>
      </c>
      <c r="BG65" s="1274">
        <f t="shared" si="43"/>
        <v>19</v>
      </c>
      <c r="BH65" s="1273">
        <f t="shared" si="43"/>
        <v>3</v>
      </c>
      <c r="BI65" s="1273">
        <f t="shared" si="43"/>
        <v>2</v>
      </c>
      <c r="BJ65" s="1273">
        <f t="shared" si="43"/>
        <v>16</v>
      </c>
      <c r="BK65" s="1274">
        <f t="shared" si="43"/>
        <v>21</v>
      </c>
      <c r="BL65" s="1273">
        <f t="shared" si="43"/>
        <v>4</v>
      </c>
      <c r="BM65" s="1273">
        <f t="shared" si="43"/>
        <v>4</v>
      </c>
      <c r="BN65" s="1273">
        <f t="shared" si="43"/>
        <v>15</v>
      </c>
      <c r="BO65" s="1274">
        <f t="shared" si="43"/>
        <v>23</v>
      </c>
      <c r="BP65" s="1273">
        <f t="shared" si="43"/>
        <v>5</v>
      </c>
      <c r="BQ65" s="1273">
        <f t="shared" si="43"/>
        <v>4</v>
      </c>
      <c r="BR65" s="1273">
        <f t="shared" si="43"/>
        <v>23</v>
      </c>
      <c r="BS65" s="1274">
        <f t="shared" si="43"/>
        <v>32</v>
      </c>
      <c r="BT65" s="1273">
        <f>SUM(BT61:BT63)</f>
        <v>4</v>
      </c>
      <c r="BU65" s="1273">
        <f>SUM(BU61:BU63)</f>
        <v>2</v>
      </c>
      <c r="BV65" s="1273">
        <f>SUM(BV61:BV64)</f>
        <v>17</v>
      </c>
      <c r="BW65" s="1274">
        <f>SUM(BW61:BW64)</f>
        <v>23</v>
      </c>
      <c r="BX65" s="1273">
        <f>SUM(BX61:BX63)</f>
        <v>2</v>
      </c>
      <c r="BY65" s="1273">
        <f>SUM(BY61:BY63)</f>
        <v>1</v>
      </c>
      <c r="BZ65" s="1273">
        <f>SUM(BZ61:BZ64)</f>
        <v>13</v>
      </c>
      <c r="CA65" s="1274">
        <f>SUM(CA61:CA64)</f>
        <v>16</v>
      </c>
      <c r="CB65" s="1273">
        <f>SUM(CB61:CB63)</f>
        <v>6</v>
      </c>
      <c r="CC65" s="1273">
        <f>SUM(CC61:CC63)</f>
        <v>2</v>
      </c>
      <c r="CD65" s="1273">
        <f>SUM(CD61:CD64)</f>
        <v>9</v>
      </c>
      <c r="CE65" s="1274">
        <f>SUM(CE61:CE64)</f>
        <v>17</v>
      </c>
      <c r="CF65" s="1273">
        <f>SUM(CF61:CF64)</f>
        <v>1</v>
      </c>
      <c r="CG65" s="1273">
        <f>SUM(CG61:CG63)</f>
        <v>0</v>
      </c>
      <c r="CH65" s="1273">
        <f t="shared" ref="CH65:CM65" si="44">SUM(CH61:CH64)</f>
        <v>10</v>
      </c>
      <c r="CI65" s="1274">
        <f t="shared" si="44"/>
        <v>11</v>
      </c>
      <c r="CJ65" s="1273">
        <f t="shared" si="44"/>
        <v>5</v>
      </c>
      <c r="CK65" s="1273">
        <f t="shared" si="44"/>
        <v>5</v>
      </c>
      <c r="CL65" s="1273">
        <f t="shared" si="44"/>
        <v>1</v>
      </c>
      <c r="CM65" s="1274">
        <f t="shared" si="44"/>
        <v>11</v>
      </c>
      <c r="CN65" s="1273">
        <f t="shared" ref="CN65:CQ65" si="45">SUM(CN61:CN64)</f>
        <v>3</v>
      </c>
      <c r="CO65" s="1273">
        <f t="shared" si="45"/>
        <v>10</v>
      </c>
      <c r="CP65" s="1273">
        <f t="shared" si="45"/>
        <v>0</v>
      </c>
      <c r="CQ65" s="1274">
        <f t="shared" si="45"/>
        <v>13</v>
      </c>
      <c r="CR65" s="1273">
        <f t="shared" ref="CR65:CU65" si="46">SUM(CR61:CR64)</f>
        <v>6</v>
      </c>
      <c r="CS65" s="1273">
        <f t="shared" si="46"/>
        <v>0</v>
      </c>
      <c r="CT65" s="1273">
        <f t="shared" si="46"/>
        <v>13</v>
      </c>
      <c r="CU65" s="1274">
        <f t="shared" si="46"/>
        <v>19</v>
      </c>
    </row>
    <row r="66" spans="2:99" ht="14.4" x14ac:dyDescent="0.25">
      <c r="B66" s="1300"/>
      <c r="C66" s="1301" t="s">
        <v>355</v>
      </c>
      <c r="D66" s="1302"/>
      <c r="E66" s="1303"/>
      <c r="F66" s="1303"/>
      <c r="G66" s="1304"/>
      <c r="H66" s="1302"/>
      <c r="I66" s="1303"/>
      <c r="J66" s="1303"/>
      <c r="K66" s="1304"/>
      <c r="L66" s="1302"/>
      <c r="M66" s="1303"/>
      <c r="N66" s="1303"/>
      <c r="O66" s="1304"/>
      <c r="P66" s="1302"/>
      <c r="Q66" s="1303"/>
      <c r="R66" s="1303"/>
      <c r="S66" s="1304"/>
      <c r="T66" s="1302"/>
      <c r="U66" s="1303"/>
      <c r="V66" s="1303"/>
      <c r="W66" s="1304"/>
      <c r="X66" s="1303"/>
      <c r="Y66" s="1303"/>
      <c r="Z66" s="1303"/>
      <c r="AA66" s="1304"/>
      <c r="AB66" s="1303"/>
      <c r="AC66" s="1303"/>
      <c r="AD66" s="1303"/>
      <c r="AE66" s="1304"/>
      <c r="AF66" s="1303"/>
      <c r="AG66" s="1303"/>
      <c r="AH66" s="1303"/>
      <c r="AI66" s="1304"/>
      <c r="AJ66" s="1303"/>
      <c r="AK66" s="1303"/>
      <c r="AL66" s="1303"/>
      <c r="AM66" s="1304"/>
      <c r="AN66" s="1303"/>
      <c r="AO66" s="1303"/>
      <c r="AP66" s="1303"/>
      <c r="AQ66" s="1304"/>
      <c r="AR66" s="1303"/>
      <c r="AS66" s="1303"/>
      <c r="AT66" s="1303"/>
      <c r="AU66" s="1304"/>
      <c r="AV66" s="1303"/>
      <c r="AW66" s="1303"/>
      <c r="AX66" s="1303"/>
      <c r="AY66" s="1304"/>
      <c r="AZ66" s="1303">
        <f>SUM(AZ58,AZ60,AZ65)</f>
        <v>32</v>
      </c>
      <c r="BA66" s="1303"/>
      <c r="BB66" s="1303"/>
      <c r="BC66" s="1304">
        <f t="shared" ref="BC66:CI66" si="47">SUM(BC58,BC60,BC65)</f>
        <v>32</v>
      </c>
      <c r="BD66" s="1303">
        <f t="shared" si="47"/>
        <v>23</v>
      </c>
      <c r="BE66" s="1303">
        <f t="shared" si="47"/>
        <v>4</v>
      </c>
      <c r="BF66" s="1303">
        <f t="shared" si="47"/>
        <v>27</v>
      </c>
      <c r="BG66" s="1304">
        <f t="shared" si="47"/>
        <v>54</v>
      </c>
      <c r="BH66" s="1303">
        <f t="shared" si="47"/>
        <v>26</v>
      </c>
      <c r="BI66" s="1303">
        <f t="shared" si="47"/>
        <v>4</v>
      </c>
      <c r="BJ66" s="1303">
        <f t="shared" si="47"/>
        <v>43</v>
      </c>
      <c r="BK66" s="1304">
        <f t="shared" si="47"/>
        <v>73</v>
      </c>
      <c r="BL66" s="1303">
        <f t="shared" si="47"/>
        <v>4</v>
      </c>
      <c r="BM66" s="1303">
        <f t="shared" si="47"/>
        <v>4</v>
      </c>
      <c r="BN66" s="1303">
        <f t="shared" si="47"/>
        <v>65</v>
      </c>
      <c r="BO66" s="1304">
        <f t="shared" si="47"/>
        <v>73</v>
      </c>
      <c r="BP66" s="1303">
        <f t="shared" si="47"/>
        <v>5</v>
      </c>
      <c r="BQ66" s="1303">
        <f t="shared" si="47"/>
        <v>4</v>
      </c>
      <c r="BR66" s="1303">
        <f t="shared" si="47"/>
        <v>81</v>
      </c>
      <c r="BS66" s="1304">
        <f t="shared" si="47"/>
        <v>90</v>
      </c>
      <c r="BT66" s="1303">
        <f t="shared" si="47"/>
        <v>4</v>
      </c>
      <c r="BU66" s="1303">
        <f t="shared" si="47"/>
        <v>2</v>
      </c>
      <c r="BV66" s="1303">
        <f t="shared" si="47"/>
        <v>57</v>
      </c>
      <c r="BW66" s="1304">
        <f t="shared" si="47"/>
        <v>63</v>
      </c>
      <c r="BX66" s="1303">
        <f t="shared" si="47"/>
        <v>2</v>
      </c>
      <c r="BY66" s="1303">
        <f t="shared" si="47"/>
        <v>1</v>
      </c>
      <c r="BZ66" s="1303">
        <f t="shared" si="47"/>
        <v>57</v>
      </c>
      <c r="CA66" s="1304">
        <f t="shared" si="47"/>
        <v>60</v>
      </c>
      <c r="CB66" s="1303">
        <f t="shared" si="47"/>
        <v>6</v>
      </c>
      <c r="CC66" s="1303">
        <f t="shared" si="47"/>
        <v>2</v>
      </c>
      <c r="CD66" s="1303">
        <f t="shared" si="47"/>
        <v>52</v>
      </c>
      <c r="CE66" s="1304">
        <f t="shared" si="47"/>
        <v>60</v>
      </c>
      <c r="CF66" s="1303">
        <f t="shared" si="47"/>
        <v>1</v>
      </c>
      <c r="CG66" s="1303">
        <f t="shared" si="47"/>
        <v>0</v>
      </c>
      <c r="CH66" s="1303">
        <f t="shared" si="47"/>
        <v>57</v>
      </c>
      <c r="CI66" s="1304">
        <f t="shared" si="47"/>
        <v>58</v>
      </c>
      <c r="CJ66" s="1303">
        <f t="shared" ref="CJ66:CQ66" si="48">SUM(CJ58,CJ60,CJ65)</f>
        <v>5</v>
      </c>
      <c r="CK66" s="1303">
        <f t="shared" si="48"/>
        <v>5</v>
      </c>
      <c r="CL66" s="1303">
        <f t="shared" si="48"/>
        <v>21</v>
      </c>
      <c r="CM66" s="1304">
        <f t="shared" si="48"/>
        <v>31</v>
      </c>
      <c r="CN66" s="1303">
        <f t="shared" si="48"/>
        <v>3</v>
      </c>
      <c r="CO66" s="1303">
        <f t="shared" si="48"/>
        <v>10</v>
      </c>
      <c r="CP66" s="1303">
        <f t="shared" si="48"/>
        <v>43</v>
      </c>
      <c r="CQ66" s="1304">
        <f t="shared" si="48"/>
        <v>56</v>
      </c>
      <c r="CR66" s="1303">
        <f t="shared" ref="CR66:CU66" si="49">SUM(CR58,CR60,CR65)</f>
        <v>6</v>
      </c>
      <c r="CS66" s="1303">
        <f t="shared" si="49"/>
        <v>0</v>
      </c>
      <c r="CT66" s="1303">
        <f t="shared" si="49"/>
        <v>60</v>
      </c>
      <c r="CU66" s="1304">
        <f t="shared" si="49"/>
        <v>66</v>
      </c>
    </row>
    <row r="67" spans="2:99" ht="15" customHeight="1" x14ac:dyDescent="0.3">
      <c r="B67" s="1305" t="s">
        <v>308</v>
      </c>
      <c r="C67" s="1275" t="s">
        <v>356</v>
      </c>
      <c r="D67" s="1296"/>
      <c r="E67" s="1297"/>
      <c r="F67" s="1297"/>
      <c r="G67" s="1260"/>
      <c r="H67" s="1296"/>
      <c r="I67" s="1297"/>
      <c r="J67" s="1297"/>
      <c r="K67" s="1260"/>
      <c r="L67" s="1296"/>
      <c r="M67" s="1297"/>
      <c r="N67" s="1297"/>
      <c r="O67" s="1260"/>
      <c r="P67" s="1296"/>
      <c r="Q67" s="1297"/>
      <c r="R67" s="1297"/>
      <c r="S67" s="1260"/>
      <c r="T67" s="1296"/>
      <c r="U67" s="1297"/>
      <c r="V67" s="1297"/>
      <c r="W67" s="1260"/>
      <c r="X67" s="1259"/>
      <c r="Y67" s="1259"/>
      <c r="Z67" s="1259"/>
      <c r="AA67" s="1260"/>
      <c r="AB67" s="1259"/>
      <c r="AC67" s="1259"/>
      <c r="AD67" s="1259"/>
      <c r="AE67" s="1260"/>
      <c r="AF67" s="1259"/>
      <c r="AG67" s="1259"/>
      <c r="AH67" s="1259"/>
      <c r="AI67" s="1260"/>
      <c r="AJ67" s="1259"/>
      <c r="AK67" s="1259"/>
      <c r="AL67" s="1259"/>
      <c r="AM67" s="1260"/>
      <c r="AN67" s="1259"/>
      <c r="AO67" s="1259"/>
      <c r="AP67" s="1259"/>
      <c r="AQ67" s="1260"/>
      <c r="AR67" s="1259"/>
      <c r="AS67" s="1259"/>
      <c r="AT67" s="1259"/>
      <c r="AU67" s="1260"/>
      <c r="AV67" s="1259"/>
      <c r="AW67" s="1259"/>
      <c r="AX67" s="1259"/>
      <c r="AY67" s="1260"/>
      <c r="AZ67" s="1259"/>
      <c r="BA67" s="1259"/>
      <c r="BB67" s="1259"/>
      <c r="BC67" s="1260"/>
      <c r="BD67" s="1259"/>
      <c r="BE67" s="1259"/>
      <c r="BF67" s="1259"/>
      <c r="BG67" s="1278"/>
      <c r="BH67" s="1259"/>
      <c r="BI67" s="1259"/>
      <c r="BJ67" s="1259"/>
      <c r="BK67" s="1278"/>
      <c r="BL67" s="1259"/>
      <c r="BM67" s="1259"/>
      <c r="BN67" s="1259"/>
      <c r="BO67" s="1278"/>
      <c r="BP67" s="1259"/>
      <c r="BQ67" s="1259"/>
      <c r="BR67" s="1259"/>
      <c r="BS67" s="1278"/>
      <c r="BT67" s="1258"/>
      <c r="BU67" s="1259">
        <v>2</v>
      </c>
      <c r="BV67" s="1259"/>
      <c r="BW67" s="1278">
        <f>BT67+BU67+BV67</f>
        <v>2</v>
      </c>
      <c r="BX67" s="1258"/>
      <c r="BY67" s="1259">
        <v>2</v>
      </c>
      <c r="BZ67" s="1259"/>
      <c r="CA67" s="1278">
        <f>BX67+BY67+BZ67</f>
        <v>2</v>
      </c>
      <c r="CB67" s="1258"/>
      <c r="CC67" s="1259">
        <v>1</v>
      </c>
      <c r="CD67" s="1259"/>
      <c r="CE67" s="1278">
        <f>CB67+CC67+CD67</f>
        <v>1</v>
      </c>
      <c r="CF67" s="1258"/>
      <c r="CG67" s="1259"/>
      <c r="CH67" s="1259"/>
      <c r="CI67" s="1278">
        <f>CF67+CG67+CH67</f>
        <v>0</v>
      </c>
      <c r="CJ67" s="1258">
        <v>2</v>
      </c>
      <c r="CK67" s="1259"/>
      <c r="CL67" s="1259"/>
      <c r="CM67" s="1278">
        <f>CJ67+CK67+CL67</f>
        <v>2</v>
      </c>
      <c r="CN67" s="1258">
        <v>1</v>
      </c>
      <c r="CO67" s="1259"/>
      <c r="CP67" s="1259"/>
      <c r="CQ67" s="1278">
        <f>CN67+CO67+CP67</f>
        <v>1</v>
      </c>
      <c r="CR67" s="1258">
        <v>3</v>
      </c>
      <c r="CS67" s="1259"/>
      <c r="CT67" s="1259"/>
      <c r="CU67" s="1278">
        <f>CR67+CS67+CT67</f>
        <v>3</v>
      </c>
    </row>
    <row r="68" spans="2:99" ht="15" customHeight="1" x14ac:dyDescent="0.3">
      <c r="B68" s="5834" t="s">
        <v>310</v>
      </c>
      <c r="C68" s="4417" t="s">
        <v>357</v>
      </c>
      <c r="D68" s="4418">
        <v>2</v>
      </c>
      <c r="E68" s="4419">
        <v>3</v>
      </c>
      <c r="F68" s="4419">
        <v>5</v>
      </c>
      <c r="G68" s="4420">
        <v>10</v>
      </c>
      <c r="H68" s="4418">
        <v>6</v>
      </c>
      <c r="I68" s="4419">
        <v>3</v>
      </c>
      <c r="J68" s="4419">
        <v>6</v>
      </c>
      <c r="K68" s="4420">
        <v>15</v>
      </c>
      <c r="L68" s="4418">
        <v>3</v>
      </c>
      <c r="M68" s="4419">
        <v>4</v>
      </c>
      <c r="N68" s="4419">
        <v>2</v>
      </c>
      <c r="O68" s="4420">
        <v>9</v>
      </c>
      <c r="P68" s="4418">
        <v>6</v>
      </c>
      <c r="Q68" s="4419">
        <v>2</v>
      </c>
      <c r="R68" s="4419">
        <v>6</v>
      </c>
      <c r="S68" s="4420">
        <v>14</v>
      </c>
      <c r="T68" s="4418"/>
      <c r="U68" s="4419"/>
      <c r="V68" s="4419"/>
      <c r="W68" s="4420"/>
      <c r="X68" s="4421"/>
      <c r="Y68" s="4421"/>
      <c r="Z68" s="4421"/>
      <c r="AA68" s="4420"/>
      <c r="AB68" s="4421">
        <v>1</v>
      </c>
      <c r="AC68" s="4421"/>
      <c r="AD68" s="4421">
        <v>1</v>
      </c>
      <c r="AE68" s="4420">
        <f t="shared" ref="AE68:AE73" si="50">SUM(AB68:AD68)</f>
        <v>2</v>
      </c>
      <c r="AF68" s="4421"/>
      <c r="AG68" s="4421">
        <v>2</v>
      </c>
      <c r="AH68" s="4421">
        <v>5</v>
      </c>
      <c r="AI68" s="4420">
        <f t="shared" ref="AI68:AI73" si="51">SUM(AF68:AH68)</f>
        <v>7</v>
      </c>
      <c r="AJ68" s="4421">
        <v>1</v>
      </c>
      <c r="AK68" s="4421">
        <v>1</v>
      </c>
      <c r="AL68" s="4421">
        <v>3</v>
      </c>
      <c r="AM68" s="4420">
        <f t="shared" ref="AM68:AM73" si="52">SUM(AJ68:AL68)</f>
        <v>5</v>
      </c>
      <c r="AN68" s="4421"/>
      <c r="AO68" s="4421">
        <v>3</v>
      </c>
      <c r="AP68" s="4421"/>
      <c r="AQ68" s="4420">
        <f t="shared" ref="AQ68:AQ73" si="53">SUM(AN68:AP68)</f>
        <v>3</v>
      </c>
      <c r="AR68" s="4421"/>
      <c r="AS68" s="4421"/>
      <c r="AT68" s="4421"/>
      <c r="AU68" s="4420"/>
      <c r="AV68" s="4421"/>
      <c r="AW68" s="4421">
        <v>2</v>
      </c>
      <c r="AX68" s="4421">
        <v>3</v>
      </c>
      <c r="AY68" s="4420">
        <f t="shared" ref="AY68:AY73" si="54">AV68+AW68+AX68</f>
        <v>5</v>
      </c>
      <c r="AZ68" s="4421"/>
      <c r="BA68" s="4421">
        <v>3</v>
      </c>
      <c r="BB68" s="4421">
        <v>2</v>
      </c>
      <c r="BC68" s="4420">
        <f t="shared" ref="BC68:BC73" si="55">SUM(AZ68:BB68)</f>
        <v>5</v>
      </c>
      <c r="BD68" s="4421">
        <v>4</v>
      </c>
      <c r="BE68" s="4421">
        <v>3</v>
      </c>
      <c r="BF68" s="4421">
        <v>7</v>
      </c>
      <c r="BG68" s="4420">
        <f t="shared" ref="BG68:BG80" si="56">BD68+BE68+BF68</f>
        <v>14</v>
      </c>
      <c r="BH68" s="4421">
        <v>3</v>
      </c>
      <c r="BI68" s="4421">
        <v>1</v>
      </c>
      <c r="BJ68" s="4421">
        <v>4</v>
      </c>
      <c r="BK68" s="4420">
        <f>BH68+BI68+BJ68</f>
        <v>8</v>
      </c>
      <c r="BL68" s="4421">
        <v>5</v>
      </c>
      <c r="BM68" s="4421">
        <v>1</v>
      </c>
      <c r="BN68" s="4421">
        <v>6</v>
      </c>
      <c r="BO68" s="4420">
        <f>BL68+BM68+BN68</f>
        <v>12</v>
      </c>
      <c r="BP68" s="4421">
        <v>7</v>
      </c>
      <c r="BQ68" s="4421">
        <v>6</v>
      </c>
      <c r="BR68" s="4421">
        <v>3</v>
      </c>
      <c r="BS68" s="4420">
        <f>BP68+BQ68+BR68</f>
        <v>16</v>
      </c>
      <c r="BT68" s="4422">
        <v>4</v>
      </c>
      <c r="BU68" s="4421">
        <v>6</v>
      </c>
      <c r="BV68" s="4421">
        <v>11</v>
      </c>
      <c r="BW68" s="4420">
        <f>BT68+BU68+BV68</f>
        <v>21</v>
      </c>
      <c r="BX68" s="4422">
        <v>5</v>
      </c>
      <c r="BY68" s="4421">
        <v>9</v>
      </c>
      <c r="BZ68" s="4421">
        <v>7</v>
      </c>
      <c r="CA68" s="4420">
        <f>BX68+BY68+BZ68</f>
        <v>21</v>
      </c>
      <c r="CB68" s="4422">
        <v>7</v>
      </c>
      <c r="CC68" s="4421">
        <v>8</v>
      </c>
      <c r="CD68" s="4421">
        <v>4</v>
      </c>
      <c r="CE68" s="4420">
        <f>CB68+CC68+CD68</f>
        <v>19</v>
      </c>
      <c r="CF68" s="4422">
        <v>9</v>
      </c>
      <c r="CG68" s="4421">
        <v>7</v>
      </c>
      <c r="CH68" s="4404">
        <v>4</v>
      </c>
      <c r="CI68" s="4420">
        <f>CF68+CG68+CH68</f>
        <v>20</v>
      </c>
      <c r="CJ68" s="4422">
        <v>3</v>
      </c>
      <c r="CK68" s="4421">
        <v>7</v>
      </c>
      <c r="CL68" s="4404">
        <v>6</v>
      </c>
      <c r="CM68" s="4420">
        <f>CJ68+CK68+CL68</f>
        <v>16</v>
      </c>
      <c r="CN68" s="4422"/>
      <c r="CO68" s="4421">
        <v>5</v>
      </c>
      <c r="CP68" s="4404"/>
      <c r="CQ68" s="4420">
        <f>CN68+CO68+CP68</f>
        <v>5</v>
      </c>
      <c r="CR68" s="4422">
        <v>11</v>
      </c>
      <c r="CS68" s="4421">
        <v>7</v>
      </c>
      <c r="CT68" s="4404">
        <v>6</v>
      </c>
      <c r="CU68" s="4420">
        <f>CR68+CS68+CT68</f>
        <v>24</v>
      </c>
    </row>
    <row r="69" spans="2:99" ht="14.4" x14ac:dyDescent="0.3">
      <c r="B69" s="5835"/>
      <c r="C69" s="4406" t="s">
        <v>358</v>
      </c>
      <c r="D69" s="4409">
        <v>2</v>
      </c>
      <c r="E69" s="4408">
        <v>2</v>
      </c>
      <c r="F69" s="4408">
        <v>4</v>
      </c>
      <c r="G69" s="4405">
        <v>8</v>
      </c>
      <c r="H69" s="4409">
        <v>7</v>
      </c>
      <c r="I69" s="4408">
        <v>3</v>
      </c>
      <c r="J69" s="4408">
        <v>7</v>
      </c>
      <c r="K69" s="4405">
        <v>17</v>
      </c>
      <c r="L69" s="4409">
        <v>6</v>
      </c>
      <c r="M69" s="4408">
        <v>5</v>
      </c>
      <c r="N69" s="4408">
        <v>4</v>
      </c>
      <c r="O69" s="4405">
        <v>15</v>
      </c>
      <c r="P69" s="4409">
        <v>3</v>
      </c>
      <c r="Q69" s="4408"/>
      <c r="R69" s="4408">
        <v>10</v>
      </c>
      <c r="S69" s="4405">
        <v>13</v>
      </c>
      <c r="T69" s="4409">
        <v>1</v>
      </c>
      <c r="U69" s="4408"/>
      <c r="V69" s="4408">
        <v>2</v>
      </c>
      <c r="W69" s="4405">
        <f>SUM(T69:V69)</f>
        <v>3</v>
      </c>
      <c r="X69" s="4404"/>
      <c r="Y69" s="4404">
        <v>3</v>
      </c>
      <c r="Z69" s="4404">
        <v>11</v>
      </c>
      <c r="AA69" s="4405">
        <f>SUM(X69:Z69)</f>
        <v>14</v>
      </c>
      <c r="AB69" s="4404">
        <v>6</v>
      </c>
      <c r="AC69" s="4404">
        <v>10</v>
      </c>
      <c r="AD69" s="4404">
        <v>12</v>
      </c>
      <c r="AE69" s="4405">
        <f t="shared" si="50"/>
        <v>28</v>
      </c>
      <c r="AF69" s="4404"/>
      <c r="AG69" s="4404">
        <v>5</v>
      </c>
      <c r="AH69" s="4404">
        <v>10</v>
      </c>
      <c r="AI69" s="4405">
        <f t="shared" si="51"/>
        <v>15</v>
      </c>
      <c r="AJ69" s="4404"/>
      <c r="AK69" s="4404">
        <v>2</v>
      </c>
      <c r="AL69" s="4404">
        <v>5</v>
      </c>
      <c r="AM69" s="4405">
        <f t="shared" si="52"/>
        <v>7</v>
      </c>
      <c r="AN69" s="4404">
        <v>4</v>
      </c>
      <c r="AO69" s="4404">
        <v>4</v>
      </c>
      <c r="AP69" s="4404">
        <v>15</v>
      </c>
      <c r="AQ69" s="4405">
        <f t="shared" si="53"/>
        <v>23</v>
      </c>
      <c r="AR69" s="4404">
        <v>1</v>
      </c>
      <c r="AS69" s="4404">
        <v>2</v>
      </c>
      <c r="AT69" s="4404">
        <v>13</v>
      </c>
      <c r="AU69" s="4405">
        <f>SUM(AR69:AT69)</f>
        <v>16</v>
      </c>
      <c r="AV69" s="4404">
        <v>1</v>
      </c>
      <c r="AW69" s="4404">
        <v>2</v>
      </c>
      <c r="AX69" s="4404">
        <v>11</v>
      </c>
      <c r="AY69" s="4405">
        <f t="shared" si="54"/>
        <v>14</v>
      </c>
      <c r="AZ69" s="4404">
        <v>4</v>
      </c>
      <c r="BA69" s="4404">
        <v>7</v>
      </c>
      <c r="BB69" s="4404">
        <v>20</v>
      </c>
      <c r="BC69" s="4420">
        <f t="shared" si="55"/>
        <v>31</v>
      </c>
      <c r="BD69" s="4404">
        <v>2</v>
      </c>
      <c r="BE69" s="4404"/>
      <c r="BF69" s="4404">
        <v>16</v>
      </c>
      <c r="BG69" s="4405">
        <f>BD69+BE69+BF69</f>
        <v>18</v>
      </c>
      <c r="BH69" s="4404"/>
      <c r="BI69" s="4404">
        <v>1</v>
      </c>
      <c r="BJ69" s="4404">
        <v>19</v>
      </c>
      <c r="BK69" s="4405">
        <f t="shared" ref="BK69:BK81" si="57">BH69+BI69+BJ69</f>
        <v>20</v>
      </c>
      <c r="BL69" s="4404"/>
      <c r="BM69" s="4404">
        <v>4</v>
      </c>
      <c r="BN69" s="4404">
        <v>16</v>
      </c>
      <c r="BO69" s="4405">
        <f t="shared" ref="BO69:BO81" si="58">BL69+BM69+BN69</f>
        <v>20</v>
      </c>
      <c r="BP69" s="4404"/>
      <c r="BQ69" s="4404">
        <v>4</v>
      </c>
      <c r="BR69" s="4404">
        <v>15</v>
      </c>
      <c r="BS69" s="4405">
        <f t="shared" ref="BS69:BS81" si="59">BP69+BQ69+BR69</f>
        <v>19</v>
      </c>
      <c r="BT69" s="4403"/>
      <c r="BU69" s="4404">
        <v>2</v>
      </c>
      <c r="BV69" s="4404">
        <v>11</v>
      </c>
      <c r="BW69" s="4405">
        <f t="shared" ref="BW69:BW82" si="60">BT69+BU69+BV69</f>
        <v>13</v>
      </c>
      <c r="BX69" s="4403"/>
      <c r="BY69" s="4404"/>
      <c r="BZ69" s="4404">
        <v>18</v>
      </c>
      <c r="CA69" s="4405">
        <f t="shared" ref="CA69:CA82" si="61">BX69+BY69+BZ69</f>
        <v>18</v>
      </c>
      <c r="CB69" s="4403"/>
      <c r="CC69" s="4404">
        <v>3</v>
      </c>
      <c r="CD69" s="4404">
        <v>11</v>
      </c>
      <c r="CE69" s="4405">
        <f t="shared" ref="CE69:CE82" si="62">CB69+CC69+CD69</f>
        <v>14</v>
      </c>
      <c r="CF69" s="4403"/>
      <c r="CG69" s="4404">
        <v>6</v>
      </c>
      <c r="CH69" s="4404">
        <v>9</v>
      </c>
      <c r="CI69" s="4405">
        <f t="shared" ref="CI69:CI82" si="63">CF69+CG69+CH69</f>
        <v>15</v>
      </c>
      <c r="CJ69" s="4403"/>
      <c r="CK69" s="4404">
        <v>8</v>
      </c>
      <c r="CL69" s="4404"/>
      <c r="CM69" s="4405">
        <f t="shared" ref="CM69:CM82" si="64">CJ69+CK69+CL69</f>
        <v>8</v>
      </c>
      <c r="CN69" s="4403">
        <v>1</v>
      </c>
      <c r="CO69" s="4404">
        <v>10</v>
      </c>
      <c r="CP69" s="4404">
        <v>1</v>
      </c>
      <c r="CQ69" s="4405">
        <f t="shared" ref="CQ69:CQ82" si="65">CN69+CO69+CP69</f>
        <v>12</v>
      </c>
      <c r="CR69" s="4403"/>
      <c r="CS69" s="4404">
        <v>5</v>
      </c>
      <c r="CT69" s="4404">
        <v>5</v>
      </c>
      <c r="CU69" s="4405">
        <f t="shared" ref="CU69:CU82" si="66">CR69+CS69+CT69</f>
        <v>10</v>
      </c>
    </row>
    <row r="70" spans="2:99" ht="14.4" x14ac:dyDescent="0.3">
      <c r="B70" s="5835"/>
      <c r="C70" s="4406" t="s">
        <v>359</v>
      </c>
      <c r="D70" s="4409">
        <v>12</v>
      </c>
      <c r="E70" s="4408">
        <v>3</v>
      </c>
      <c r="F70" s="4408">
        <v>10</v>
      </c>
      <c r="G70" s="4405">
        <v>25</v>
      </c>
      <c r="H70" s="4409">
        <v>6</v>
      </c>
      <c r="I70" s="4408">
        <v>1</v>
      </c>
      <c r="J70" s="4408">
        <v>7</v>
      </c>
      <c r="K70" s="4405">
        <v>14</v>
      </c>
      <c r="L70" s="4409">
        <v>10</v>
      </c>
      <c r="M70" s="4408">
        <v>2</v>
      </c>
      <c r="N70" s="4408">
        <v>15</v>
      </c>
      <c r="O70" s="4405">
        <v>27</v>
      </c>
      <c r="P70" s="4409">
        <v>6</v>
      </c>
      <c r="Q70" s="4408">
        <v>4</v>
      </c>
      <c r="R70" s="4408">
        <v>5</v>
      </c>
      <c r="S70" s="4405">
        <v>15</v>
      </c>
      <c r="T70" s="4409"/>
      <c r="U70" s="4408">
        <v>2</v>
      </c>
      <c r="V70" s="4408">
        <v>4</v>
      </c>
      <c r="W70" s="4405">
        <f>SUM(T70:V70)</f>
        <v>6</v>
      </c>
      <c r="X70" s="4404">
        <v>2</v>
      </c>
      <c r="Y70" s="4404">
        <v>1</v>
      </c>
      <c r="Z70" s="4404">
        <v>5</v>
      </c>
      <c r="AA70" s="4405">
        <f>SUM(X70:Z70)</f>
        <v>8</v>
      </c>
      <c r="AB70" s="4404">
        <v>1</v>
      </c>
      <c r="AC70" s="4404"/>
      <c r="AD70" s="4404">
        <v>4</v>
      </c>
      <c r="AE70" s="4405">
        <f t="shared" si="50"/>
        <v>5</v>
      </c>
      <c r="AF70" s="4404"/>
      <c r="AG70" s="4404">
        <v>1</v>
      </c>
      <c r="AH70" s="4404">
        <v>4</v>
      </c>
      <c r="AI70" s="4405">
        <f t="shared" si="51"/>
        <v>5</v>
      </c>
      <c r="AJ70" s="4404">
        <v>7</v>
      </c>
      <c r="AK70" s="4404"/>
      <c r="AL70" s="4404">
        <v>2</v>
      </c>
      <c r="AM70" s="4405">
        <f t="shared" si="52"/>
        <v>9</v>
      </c>
      <c r="AN70" s="4404">
        <v>2</v>
      </c>
      <c r="AO70" s="4404"/>
      <c r="AP70" s="4404">
        <v>4</v>
      </c>
      <c r="AQ70" s="4405">
        <f t="shared" si="53"/>
        <v>6</v>
      </c>
      <c r="AR70" s="4404">
        <v>2</v>
      </c>
      <c r="AS70" s="4404" t="s">
        <v>122</v>
      </c>
      <c r="AT70" s="4404">
        <v>6</v>
      </c>
      <c r="AU70" s="4405">
        <f>SUM(AR70:AT70)</f>
        <v>8</v>
      </c>
      <c r="AV70" s="4404">
        <v>3</v>
      </c>
      <c r="AW70" s="4404"/>
      <c r="AX70" s="4404">
        <v>5</v>
      </c>
      <c r="AY70" s="4405">
        <f t="shared" si="54"/>
        <v>8</v>
      </c>
      <c r="AZ70" s="4404">
        <v>3</v>
      </c>
      <c r="BA70" s="4404"/>
      <c r="BB70" s="4404">
        <v>6</v>
      </c>
      <c r="BC70" s="4420">
        <f t="shared" si="55"/>
        <v>9</v>
      </c>
      <c r="BD70" s="4404">
        <v>6</v>
      </c>
      <c r="BE70" s="4404"/>
      <c r="BF70" s="4404">
        <v>11</v>
      </c>
      <c r="BG70" s="4405">
        <f>BD70+BE70+BF70</f>
        <v>17</v>
      </c>
      <c r="BH70" s="4404">
        <v>6</v>
      </c>
      <c r="BI70" s="4404"/>
      <c r="BJ70" s="4404">
        <v>2</v>
      </c>
      <c r="BK70" s="4405">
        <f t="shared" si="57"/>
        <v>8</v>
      </c>
      <c r="BL70" s="4404">
        <v>5</v>
      </c>
      <c r="BM70" s="4404"/>
      <c r="BN70" s="4404">
        <v>3</v>
      </c>
      <c r="BO70" s="4405">
        <f t="shared" si="58"/>
        <v>8</v>
      </c>
      <c r="BP70" s="4404">
        <v>3</v>
      </c>
      <c r="BQ70" s="4404"/>
      <c r="BR70" s="4404">
        <v>7</v>
      </c>
      <c r="BS70" s="4405">
        <f t="shared" si="59"/>
        <v>10</v>
      </c>
      <c r="BT70" s="4403">
        <v>9</v>
      </c>
      <c r="BU70" s="4404"/>
      <c r="BV70" s="4404">
        <v>9</v>
      </c>
      <c r="BW70" s="4405">
        <f t="shared" si="60"/>
        <v>18</v>
      </c>
      <c r="BX70" s="4403">
        <v>6</v>
      </c>
      <c r="BY70" s="4404"/>
      <c r="BZ70" s="4404">
        <v>6</v>
      </c>
      <c r="CA70" s="4405">
        <f t="shared" si="61"/>
        <v>12</v>
      </c>
      <c r="CB70" s="4403">
        <v>3</v>
      </c>
      <c r="CC70" s="4404"/>
      <c r="CD70" s="4404"/>
      <c r="CE70" s="4405">
        <f t="shared" si="62"/>
        <v>3</v>
      </c>
      <c r="CF70" s="4403">
        <v>3</v>
      </c>
      <c r="CG70" s="4404">
        <v>1</v>
      </c>
      <c r="CH70" s="4404">
        <v>4</v>
      </c>
      <c r="CI70" s="4405">
        <f t="shared" si="63"/>
        <v>8</v>
      </c>
      <c r="CJ70" s="4403">
        <v>3</v>
      </c>
      <c r="CK70" s="4404"/>
      <c r="CL70" s="4404"/>
      <c r="CM70" s="4405">
        <f t="shared" si="64"/>
        <v>3</v>
      </c>
      <c r="CN70" s="4403"/>
      <c r="CO70" s="4404"/>
      <c r="CP70" s="4404"/>
      <c r="CQ70" s="4405">
        <f t="shared" si="65"/>
        <v>0</v>
      </c>
      <c r="CR70" s="4403">
        <v>4</v>
      </c>
      <c r="CS70" s="4404">
        <v>2</v>
      </c>
      <c r="CT70" s="4404">
        <v>10</v>
      </c>
      <c r="CU70" s="4405">
        <f t="shared" si="66"/>
        <v>16</v>
      </c>
    </row>
    <row r="71" spans="2:99" ht="14.4" x14ac:dyDescent="0.3">
      <c r="B71" s="5835"/>
      <c r="C71" s="4406" t="s">
        <v>360</v>
      </c>
      <c r="D71" s="4409"/>
      <c r="E71" s="4408"/>
      <c r="F71" s="4408">
        <v>20</v>
      </c>
      <c r="G71" s="4405">
        <v>20</v>
      </c>
      <c r="H71" s="4409"/>
      <c r="I71" s="4408">
        <v>1</v>
      </c>
      <c r="J71" s="4408">
        <v>13</v>
      </c>
      <c r="K71" s="4405">
        <v>14</v>
      </c>
      <c r="L71" s="4409">
        <v>3</v>
      </c>
      <c r="M71" s="4408">
        <v>1</v>
      </c>
      <c r="N71" s="4408">
        <v>23</v>
      </c>
      <c r="O71" s="4405">
        <v>27</v>
      </c>
      <c r="P71" s="4409">
        <v>5</v>
      </c>
      <c r="Q71" s="4408"/>
      <c r="R71" s="4408">
        <v>18</v>
      </c>
      <c r="S71" s="4405">
        <f>SUM(P71:R71)</f>
        <v>23</v>
      </c>
      <c r="T71" s="4409"/>
      <c r="U71" s="4408"/>
      <c r="V71" s="4408">
        <v>8</v>
      </c>
      <c r="W71" s="4405">
        <f>SUM(T71:V71)</f>
        <v>8</v>
      </c>
      <c r="X71" s="4404"/>
      <c r="Y71" s="4404"/>
      <c r="Z71" s="4404">
        <v>4</v>
      </c>
      <c r="AA71" s="4405">
        <f>SUM(X71:Z71)</f>
        <v>4</v>
      </c>
      <c r="AB71" s="4404"/>
      <c r="AC71" s="4404"/>
      <c r="AD71" s="4404">
        <v>6</v>
      </c>
      <c r="AE71" s="4405">
        <f t="shared" si="50"/>
        <v>6</v>
      </c>
      <c r="AF71" s="4404"/>
      <c r="AG71" s="4404"/>
      <c r="AH71" s="4404">
        <v>9</v>
      </c>
      <c r="AI71" s="4405">
        <f t="shared" si="51"/>
        <v>9</v>
      </c>
      <c r="AJ71" s="4404"/>
      <c r="AK71" s="4404"/>
      <c r="AL71" s="4404">
        <v>4</v>
      </c>
      <c r="AM71" s="4405">
        <f t="shared" si="52"/>
        <v>4</v>
      </c>
      <c r="AN71" s="4404"/>
      <c r="AO71" s="4404"/>
      <c r="AP71" s="4404">
        <v>9</v>
      </c>
      <c r="AQ71" s="4405">
        <f t="shared" si="53"/>
        <v>9</v>
      </c>
      <c r="AR71" s="4404" t="s">
        <v>122</v>
      </c>
      <c r="AS71" s="4404" t="s">
        <v>122</v>
      </c>
      <c r="AT71" s="4404">
        <v>13</v>
      </c>
      <c r="AU71" s="4405">
        <f>SUM(AR71:AT71)</f>
        <v>13</v>
      </c>
      <c r="AV71" s="4404">
        <v>1</v>
      </c>
      <c r="AW71" s="4404"/>
      <c r="AX71" s="4404">
        <v>9</v>
      </c>
      <c r="AY71" s="4405">
        <f t="shared" si="54"/>
        <v>10</v>
      </c>
      <c r="AZ71" s="4404"/>
      <c r="BA71" s="4404"/>
      <c r="BB71" s="4404">
        <v>6</v>
      </c>
      <c r="BC71" s="4420">
        <f t="shared" si="55"/>
        <v>6</v>
      </c>
      <c r="BD71" s="4404"/>
      <c r="BE71" s="4404"/>
      <c r="BF71" s="4404">
        <v>9</v>
      </c>
      <c r="BG71" s="4405">
        <f>BD71+BE71+BF71</f>
        <v>9</v>
      </c>
      <c r="BH71" s="4404"/>
      <c r="BI71" s="4404"/>
      <c r="BJ71" s="4404">
        <v>13</v>
      </c>
      <c r="BK71" s="4405">
        <f t="shared" si="57"/>
        <v>13</v>
      </c>
      <c r="BL71" s="4404"/>
      <c r="BM71" s="4404"/>
      <c r="BN71" s="4404">
        <v>9</v>
      </c>
      <c r="BO71" s="4405">
        <f t="shared" si="58"/>
        <v>9</v>
      </c>
      <c r="BP71" s="4404">
        <v>1</v>
      </c>
      <c r="BQ71" s="4404"/>
      <c r="BR71" s="4404">
        <v>13</v>
      </c>
      <c r="BS71" s="4405">
        <f t="shared" si="59"/>
        <v>14</v>
      </c>
      <c r="BT71" s="4403"/>
      <c r="BU71" s="4404">
        <v>2</v>
      </c>
      <c r="BV71" s="4404">
        <v>8</v>
      </c>
      <c r="BW71" s="4405">
        <f t="shared" si="60"/>
        <v>10</v>
      </c>
      <c r="BX71" s="4403"/>
      <c r="BY71" s="4404"/>
      <c r="BZ71" s="4404">
        <v>9</v>
      </c>
      <c r="CA71" s="4405">
        <f t="shared" si="61"/>
        <v>9</v>
      </c>
      <c r="CB71" s="4403"/>
      <c r="CC71" s="4404"/>
      <c r="CD71" s="4404">
        <v>13</v>
      </c>
      <c r="CE71" s="4405">
        <f t="shared" si="62"/>
        <v>13</v>
      </c>
      <c r="CF71" s="4403"/>
      <c r="CG71" s="4404">
        <v>7</v>
      </c>
      <c r="CH71" s="4404">
        <v>1</v>
      </c>
      <c r="CI71" s="4405">
        <f t="shared" si="63"/>
        <v>8</v>
      </c>
      <c r="CJ71" s="4403"/>
      <c r="CK71" s="4404">
        <v>11</v>
      </c>
      <c r="CL71" s="4404"/>
      <c r="CM71" s="4405">
        <f t="shared" si="64"/>
        <v>11</v>
      </c>
      <c r="CN71" s="4403"/>
      <c r="CO71" s="4404">
        <v>5</v>
      </c>
      <c r="CP71" s="4404"/>
      <c r="CQ71" s="4405">
        <f t="shared" si="65"/>
        <v>5</v>
      </c>
      <c r="CR71" s="4403">
        <v>3</v>
      </c>
      <c r="CS71" s="4404"/>
      <c r="CT71" s="4404">
        <v>10</v>
      </c>
      <c r="CU71" s="4405">
        <f t="shared" si="66"/>
        <v>13</v>
      </c>
    </row>
    <row r="72" spans="2:99" ht="14.4" x14ac:dyDescent="0.3">
      <c r="B72" s="5835"/>
      <c r="C72" s="4406" t="s">
        <v>361</v>
      </c>
      <c r="D72" s="4409">
        <v>2</v>
      </c>
      <c r="E72" s="4408">
        <v>1</v>
      </c>
      <c r="F72" s="4408">
        <v>7</v>
      </c>
      <c r="G72" s="4405">
        <v>10</v>
      </c>
      <c r="H72" s="4409">
        <v>8</v>
      </c>
      <c r="I72" s="4408">
        <v>4</v>
      </c>
      <c r="J72" s="4408">
        <v>3</v>
      </c>
      <c r="K72" s="4405">
        <v>15</v>
      </c>
      <c r="L72" s="4409">
        <v>7</v>
      </c>
      <c r="M72" s="4408">
        <v>3</v>
      </c>
      <c r="N72" s="4408">
        <v>4</v>
      </c>
      <c r="O72" s="4405">
        <v>14</v>
      </c>
      <c r="P72" s="4409">
        <v>5</v>
      </c>
      <c r="Q72" s="4408">
        <v>4</v>
      </c>
      <c r="R72" s="4408">
        <v>5</v>
      </c>
      <c r="S72" s="4405">
        <v>14</v>
      </c>
      <c r="T72" s="4409">
        <v>1</v>
      </c>
      <c r="U72" s="4408">
        <v>3</v>
      </c>
      <c r="V72" s="4408">
        <v>9</v>
      </c>
      <c r="W72" s="4405">
        <f>SUM(T72:V72)</f>
        <v>13</v>
      </c>
      <c r="X72" s="4404">
        <v>4</v>
      </c>
      <c r="Y72" s="4404">
        <v>4</v>
      </c>
      <c r="Z72" s="4404">
        <v>2</v>
      </c>
      <c r="AA72" s="4405">
        <f>SUM(X72:Z72)</f>
        <v>10</v>
      </c>
      <c r="AB72" s="4404">
        <v>6</v>
      </c>
      <c r="AC72" s="4404">
        <v>3</v>
      </c>
      <c r="AD72" s="4404">
        <v>8</v>
      </c>
      <c r="AE72" s="4405">
        <f t="shared" si="50"/>
        <v>17</v>
      </c>
      <c r="AF72" s="4404">
        <v>7</v>
      </c>
      <c r="AG72" s="4404">
        <v>4</v>
      </c>
      <c r="AH72" s="4404">
        <v>3</v>
      </c>
      <c r="AI72" s="4405">
        <f t="shared" si="51"/>
        <v>14</v>
      </c>
      <c r="AJ72" s="4404">
        <v>6</v>
      </c>
      <c r="AK72" s="4404">
        <v>5</v>
      </c>
      <c r="AL72" s="4404">
        <v>6</v>
      </c>
      <c r="AM72" s="4405">
        <f t="shared" si="52"/>
        <v>17</v>
      </c>
      <c r="AN72" s="4404">
        <v>10</v>
      </c>
      <c r="AO72" s="4404">
        <v>1</v>
      </c>
      <c r="AP72" s="4404">
        <v>4</v>
      </c>
      <c r="AQ72" s="4405">
        <f t="shared" si="53"/>
        <v>15</v>
      </c>
      <c r="AR72" s="4404">
        <v>4</v>
      </c>
      <c r="AS72" s="4404">
        <v>2</v>
      </c>
      <c r="AT72" s="4404">
        <v>10</v>
      </c>
      <c r="AU72" s="4405">
        <f>SUM(AR72:AT72)</f>
        <v>16</v>
      </c>
      <c r="AV72" s="4404">
        <v>7</v>
      </c>
      <c r="AW72" s="4404">
        <v>3</v>
      </c>
      <c r="AX72" s="4404">
        <v>4</v>
      </c>
      <c r="AY72" s="4405">
        <f t="shared" si="54"/>
        <v>14</v>
      </c>
      <c r="AZ72" s="4404">
        <v>8</v>
      </c>
      <c r="BA72" s="4404">
        <v>6</v>
      </c>
      <c r="BB72" s="4404">
        <v>6</v>
      </c>
      <c r="BC72" s="4420">
        <f t="shared" si="55"/>
        <v>20</v>
      </c>
      <c r="BD72" s="4404">
        <v>4</v>
      </c>
      <c r="BE72" s="4404">
        <v>4</v>
      </c>
      <c r="BF72" s="4404">
        <v>6</v>
      </c>
      <c r="BG72" s="4405">
        <f>BD72+BE72+BF72</f>
        <v>14</v>
      </c>
      <c r="BH72" s="4404">
        <v>1</v>
      </c>
      <c r="BI72" s="4404">
        <v>3</v>
      </c>
      <c r="BJ72" s="4404">
        <v>4</v>
      </c>
      <c r="BK72" s="4405">
        <f t="shared" si="57"/>
        <v>8</v>
      </c>
      <c r="BL72" s="4404">
        <v>2</v>
      </c>
      <c r="BM72" s="4404"/>
      <c r="BN72" s="4404">
        <v>4</v>
      </c>
      <c r="BO72" s="4405">
        <f t="shared" si="58"/>
        <v>6</v>
      </c>
      <c r="BP72" s="4404">
        <v>2</v>
      </c>
      <c r="BQ72" s="4404">
        <v>3</v>
      </c>
      <c r="BR72" s="4404">
        <v>3</v>
      </c>
      <c r="BS72" s="4405">
        <f t="shared" si="59"/>
        <v>8</v>
      </c>
      <c r="BT72" s="4403">
        <v>4</v>
      </c>
      <c r="BU72" s="4404"/>
      <c r="BV72" s="4404">
        <v>5</v>
      </c>
      <c r="BW72" s="4405">
        <f t="shared" si="60"/>
        <v>9</v>
      </c>
      <c r="BX72" s="4403">
        <v>1</v>
      </c>
      <c r="BY72" s="4404">
        <v>5</v>
      </c>
      <c r="BZ72" s="4404">
        <v>4</v>
      </c>
      <c r="CA72" s="4405">
        <f t="shared" si="61"/>
        <v>10</v>
      </c>
      <c r="CB72" s="4403">
        <v>1</v>
      </c>
      <c r="CC72" s="4404">
        <v>3</v>
      </c>
      <c r="CD72" s="4404">
        <v>5</v>
      </c>
      <c r="CE72" s="4405">
        <f t="shared" si="62"/>
        <v>9</v>
      </c>
      <c r="CF72" s="4403">
        <v>6</v>
      </c>
      <c r="CG72" s="4404">
        <v>2</v>
      </c>
      <c r="CH72" s="4404">
        <v>2</v>
      </c>
      <c r="CI72" s="4405">
        <f t="shared" si="63"/>
        <v>10</v>
      </c>
      <c r="CJ72" s="4403"/>
      <c r="CK72" s="4404">
        <v>4</v>
      </c>
      <c r="CL72" s="4404"/>
      <c r="CM72" s="4405">
        <f t="shared" si="64"/>
        <v>4</v>
      </c>
      <c r="CN72" s="4403"/>
      <c r="CO72" s="4404"/>
      <c r="CP72" s="4404"/>
      <c r="CQ72" s="4405">
        <f t="shared" si="65"/>
        <v>0</v>
      </c>
      <c r="CR72" s="4403"/>
      <c r="CS72" s="4404"/>
      <c r="CT72" s="4404">
        <v>5</v>
      </c>
      <c r="CU72" s="4405">
        <f t="shared" si="66"/>
        <v>5</v>
      </c>
    </row>
    <row r="73" spans="2:99" ht="14.4" x14ac:dyDescent="0.3">
      <c r="B73" s="5835"/>
      <c r="C73" s="4406" t="s">
        <v>362</v>
      </c>
      <c r="D73" s="4409"/>
      <c r="E73" s="4408"/>
      <c r="F73" s="4408"/>
      <c r="G73" s="4405"/>
      <c r="H73" s="4409"/>
      <c r="I73" s="4408"/>
      <c r="J73" s="4408"/>
      <c r="K73" s="4405"/>
      <c r="L73" s="4409"/>
      <c r="M73" s="4408"/>
      <c r="N73" s="4408"/>
      <c r="O73" s="4405"/>
      <c r="P73" s="4409"/>
      <c r="Q73" s="4408"/>
      <c r="R73" s="4408"/>
      <c r="S73" s="4405"/>
      <c r="T73" s="4409"/>
      <c r="U73" s="4408"/>
      <c r="V73" s="4408"/>
      <c r="W73" s="4405"/>
      <c r="X73" s="4404"/>
      <c r="Y73" s="4404"/>
      <c r="Z73" s="4404"/>
      <c r="AA73" s="4405"/>
      <c r="AB73" s="4404"/>
      <c r="AC73" s="4404"/>
      <c r="AD73" s="4404">
        <v>11</v>
      </c>
      <c r="AE73" s="4405">
        <f t="shared" si="50"/>
        <v>11</v>
      </c>
      <c r="AF73" s="4404"/>
      <c r="AG73" s="4404"/>
      <c r="AH73" s="4404">
        <v>12</v>
      </c>
      <c r="AI73" s="4405">
        <f t="shared" si="51"/>
        <v>12</v>
      </c>
      <c r="AJ73" s="4404"/>
      <c r="AK73" s="4404"/>
      <c r="AL73" s="4404">
        <v>8</v>
      </c>
      <c r="AM73" s="4405">
        <f t="shared" si="52"/>
        <v>8</v>
      </c>
      <c r="AN73" s="4404"/>
      <c r="AO73" s="4404"/>
      <c r="AP73" s="4404">
        <v>14</v>
      </c>
      <c r="AQ73" s="4405">
        <f t="shared" si="53"/>
        <v>14</v>
      </c>
      <c r="AR73" s="4404" t="s">
        <v>122</v>
      </c>
      <c r="AS73" s="4404" t="s">
        <v>122</v>
      </c>
      <c r="AT73" s="4404">
        <v>16</v>
      </c>
      <c r="AU73" s="4405">
        <f>SUM(AR73:AT73)</f>
        <v>16</v>
      </c>
      <c r="AV73" s="4404"/>
      <c r="AW73" s="4404"/>
      <c r="AX73" s="4404">
        <v>15</v>
      </c>
      <c r="AY73" s="4405">
        <f t="shared" si="54"/>
        <v>15</v>
      </c>
      <c r="AZ73" s="4404"/>
      <c r="BA73" s="4404"/>
      <c r="BB73" s="4404">
        <v>17</v>
      </c>
      <c r="BC73" s="4420">
        <f t="shared" si="55"/>
        <v>17</v>
      </c>
      <c r="BD73" s="4404"/>
      <c r="BE73" s="4404"/>
      <c r="BF73" s="4404">
        <v>12</v>
      </c>
      <c r="BG73" s="4405">
        <f>BD73+BE73+BF73</f>
        <v>12</v>
      </c>
      <c r="BH73" s="4404"/>
      <c r="BI73" s="4404"/>
      <c r="BJ73" s="4404">
        <v>12</v>
      </c>
      <c r="BK73" s="4405">
        <f t="shared" si="57"/>
        <v>12</v>
      </c>
      <c r="BL73" s="4404"/>
      <c r="BM73" s="4404"/>
      <c r="BN73" s="4404">
        <v>11</v>
      </c>
      <c r="BO73" s="4405">
        <f t="shared" si="58"/>
        <v>11</v>
      </c>
      <c r="BP73" s="4404"/>
      <c r="BQ73" s="4404"/>
      <c r="BR73" s="4404">
        <v>13</v>
      </c>
      <c r="BS73" s="4405">
        <f t="shared" si="59"/>
        <v>13</v>
      </c>
      <c r="BT73" s="4403"/>
      <c r="BU73" s="4404"/>
      <c r="BV73" s="4404">
        <v>6</v>
      </c>
      <c r="BW73" s="4405">
        <f t="shared" si="60"/>
        <v>6</v>
      </c>
      <c r="BX73" s="4403"/>
      <c r="BY73" s="4404"/>
      <c r="BZ73" s="4404">
        <v>10</v>
      </c>
      <c r="CA73" s="4405">
        <f t="shared" si="61"/>
        <v>10</v>
      </c>
      <c r="CB73" s="4403"/>
      <c r="CC73" s="4404"/>
      <c r="CD73" s="4404">
        <v>8</v>
      </c>
      <c r="CE73" s="4405">
        <f t="shared" si="62"/>
        <v>8</v>
      </c>
      <c r="CF73" s="4403"/>
      <c r="CG73" s="4404">
        <v>7</v>
      </c>
      <c r="CH73" s="4414"/>
      <c r="CI73" s="4405">
        <f t="shared" si="63"/>
        <v>7</v>
      </c>
      <c r="CJ73" s="4403"/>
      <c r="CK73" s="4404">
        <v>10</v>
      </c>
      <c r="CL73" s="4414"/>
      <c r="CM73" s="4405">
        <f t="shared" si="64"/>
        <v>10</v>
      </c>
      <c r="CN73" s="4403"/>
      <c r="CO73" s="4404">
        <v>5</v>
      </c>
      <c r="CP73" s="4414"/>
      <c r="CQ73" s="4405">
        <f t="shared" si="65"/>
        <v>5</v>
      </c>
      <c r="CR73" s="4403"/>
      <c r="CS73" s="4404">
        <v>3</v>
      </c>
      <c r="CT73" s="4414"/>
      <c r="CU73" s="4405">
        <f t="shared" si="66"/>
        <v>3</v>
      </c>
    </row>
    <row r="74" spans="2:99" ht="14.4" x14ac:dyDescent="0.3">
      <c r="B74" s="5836"/>
      <c r="C74" s="4406" t="s">
        <v>363</v>
      </c>
      <c r="D74" s="4409"/>
      <c r="E74" s="4408"/>
      <c r="F74" s="4408"/>
      <c r="G74" s="4405"/>
      <c r="H74" s="4409"/>
      <c r="I74" s="4408"/>
      <c r="J74" s="4408"/>
      <c r="K74" s="4405"/>
      <c r="L74" s="4409"/>
      <c r="M74" s="4408"/>
      <c r="N74" s="4408"/>
      <c r="O74" s="4405"/>
      <c r="P74" s="4409"/>
      <c r="Q74" s="4408"/>
      <c r="R74" s="4408"/>
      <c r="S74" s="4405"/>
      <c r="T74" s="4409"/>
      <c r="U74" s="4408"/>
      <c r="V74" s="4408"/>
      <c r="W74" s="4405"/>
      <c r="X74" s="4404"/>
      <c r="Y74" s="4404"/>
      <c r="Z74" s="4404"/>
      <c r="AA74" s="4405"/>
      <c r="AB74" s="4404"/>
      <c r="AC74" s="4404"/>
      <c r="AD74" s="4404"/>
      <c r="AE74" s="4405"/>
      <c r="AF74" s="4404"/>
      <c r="AG74" s="4404"/>
      <c r="AH74" s="4404"/>
      <c r="AI74" s="4405"/>
      <c r="AJ74" s="4404"/>
      <c r="AK74" s="4404"/>
      <c r="AL74" s="4404"/>
      <c r="AM74" s="4405"/>
      <c r="AN74" s="4404"/>
      <c r="AO74" s="4404"/>
      <c r="AP74" s="4404"/>
      <c r="AQ74" s="4405"/>
      <c r="AR74" s="4404"/>
      <c r="AS74" s="4404"/>
      <c r="AT74" s="4404"/>
      <c r="AU74" s="4405"/>
      <c r="AV74" s="4404"/>
      <c r="AW74" s="4404"/>
      <c r="AX74" s="4404"/>
      <c r="AY74" s="4405"/>
      <c r="AZ74" s="4404"/>
      <c r="BA74" s="4404"/>
      <c r="BB74" s="4404"/>
      <c r="BC74" s="4420"/>
      <c r="BD74" s="4404"/>
      <c r="BE74" s="4404"/>
      <c r="BF74" s="4404"/>
      <c r="BG74" s="4405"/>
      <c r="BH74" s="4404">
        <v>25</v>
      </c>
      <c r="BI74" s="4404"/>
      <c r="BJ74" s="4404"/>
      <c r="BK74" s="4405">
        <f t="shared" si="57"/>
        <v>25</v>
      </c>
      <c r="BL74" s="4404">
        <v>12</v>
      </c>
      <c r="BM74" s="4404"/>
      <c r="BN74" s="4404"/>
      <c r="BO74" s="4405">
        <f t="shared" si="58"/>
        <v>12</v>
      </c>
      <c r="BP74" s="4404">
        <v>15</v>
      </c>
      <c r="BQ74" s="4404"/>
      <c r="BR74" s="4404"/>
      <c r="BS74" s="4405">
        <f t="shared" si="59"/>
        <v>15</v>
      </c>
      <c r="BT74" s="4403">
        <v>28</v>
      </c>
      <c r="BU74" s="4404"/>
      <c r="BV74" s="4404"/>
      <c r="BW74" s="4405">
        <f t="shared" si="60"/>
        <v>28</v>
      </c>
      <c r="BX74" s="4403">
        <v>14</v>
      </c>
      <c r="BY74" s="4404"/>
      <c r="BZ74" s="4404"/>
      <c r="CA74" s="4405">
        <f t="shared" si="61"/>
        <v>14</v>
      </c>
      <c r="CB74" s="4403">
        <v>15</v>
      </c>
      <c r="CC74" s="4404"/>
      <c r="CD74" s="4404"/>
      <c r="CE74" s="4405">
        <f t="shared" si="62"/>
        <v>15</v>
      </c>
      <c r="CF74" s="4403">
        <v>17</v>
      </c>
      <c r="CG74" s="4404"/>
      <c r="CH74" s="4404">
        <v>17</v>
      </c>
      <c r="CI74" s="4405">
        <f t="shared" si="63"/>
        <v>34</v>
      </c>
      <c r="CJ74" s="4403"/>
      <c r="CK74" s="4404"/>
      <c r="CL74" s="4404"/>
      <c r="CM74" s="4405">
        <f t="shared" si="64"/>
        <v>0</v>
      </c>
      <c r="CN74" s="4403"/>
      <c r="CO74" s="4404"/>
      <c r="CP74" s="4404">
        <v>20</v>
      </c>
      <c r="CQ74" s="4405">
        <f t="shared" si="65"/>
        <v>20</v>
      </c>
      <c r="CR74" s="4403"/>
      <c r="CS74" s="4404"/>
      <c r="CT74" s="4404">
        <v>22</v>
      </c>
      <c r="CU74" s="4405">
        <f t="shared" si="66"/>
        <v>22</v>
      </c>
    </row>
    <row r="75" spans="2:99" ht="14.4" x14ac:dyDescent="0.3">
      <c r="B75" s="5845" t="s">
        <v>317</v>
      </c>
      <c r="C75" s="1265" t="s">
        <v>364</v>
      </c>
      <c r="D75" s="1281"/>
      <c r="E75" s="1280"/>
      <c r="F75" s="1280"/>
      <c r="G75" s="1264"/>
      <c r="H75" s="1281"/>
      <c r="I75" s="1280"/>
      <c r="J75" s="1280">
        <v>3</v>
      </c>
      <c r="K75" s="1264">
        <v>3</v>
      </c>
      <c r="L75" s="1281">
        <v>5</v>
      </c>
      <c r="M75" s="1280">
        <v>2</v>
      </c>
      <c r="N75" s="1280">
        <v>2</v>
      </c>
      <c r="O75" s="1264">
        <v>9</v>
      </c>
      <c r="P75" s="1281">
        <v>5</v>
      </c>
      <c r="Q75" s="1280">
        <v>3</v>
      </c>
      <c r="R75" s="1280">
        <v>3</v>
      </c>
      <c r="S75" s="1264">
        <v>11</v>
      </c>
      <c r="T75" s="1281">
        <v>4</v>
      </c>
      <c r="U75" s="1280"/>
      <c r="V75" s="1280">
        <v>1</v>
      </c>
      <c r="W75" s="1264">
        <f>SUM(T75:V75)</f>
        <v>5</v>
      </c>
      <c r="X75" s="1263"/>
      <c r="Y75" s="1263"/>
      <c r="Z75" s="1263">
        <v>4</v>
      </c>
      <c r="AA75" s="1264">
        <f>SUM(X75:Z75)</f>
        <v>4</v>
      </c>
      <c r="AB75" s="1263">
        <v>2</v>
      </c>
      <c r="AC75" s="1263">
        <v>2</v>
      </c>
      <c r="AD75" s="1263">
        <v>3</v>
      </c>
      <c r="AE75" s="1264">
        <f>SUM(AB75:AD75)</f>
        <v>7</v>
      </c>
      <c r="AF75" s="1263">
        <v>2</v>
      </c>
      <c r="AG75" s="1263">
        <v>1</v>
      </c>
      <c r="AH75" s="1263"/>
      <c r="AI75" s="1264">
        <f>SUM(AF75:AH75)</f>
        <v>3</v>
      </c>
      <c r="AJ75" s="1263"/>
      <c r="AK75" s="1263">
        <v>1</v>
      </c>
      <c r="AL75" s="1263">
        <v>2</v>
      </c>
      <c r="AM75" s="1264">
        <f>SUM(AJ75:AL75)</f>
        <v>3</v>
      </c>
      <c r="AN75" s="1263"/>
      <c r="AO75" s="1263"/>
      <c r="AP75" s="1263">
        <v>2</v>
      </c>
      <c r="AQ75" s="1264">
        <f>SUM(AN75:AP75)</f>
        <v>2</v>
      </c>
      <c r="AR75" s="1263">
        <v>1</v>
      </c>
      <c r="AS75" s="1263" t="s">
        <v>122</v>
      </c>
      <c r="AT75" s="1263">
        <v>2</v>
      </c>
      <c r="AU75" s="1264">
        <f>SUM(AR75:AT75)</f>
        <v>3</v>
      </c>
      <c r="AV75" s="1263"/>
      <c r="AW75" s="1263">
        <v>1</v>
      </c>
      <c r="AX75" s="1263"/>
      <c r="AY75" s="1264">
        <f>AV75+AW75+AX75</f>
        <v>1</v>
      </c>
      <c r="AZ75" s="1263"/>
      <c r="BA75" s="1263"/>
      <c r="BB75" s="1263">
        <v>1</v>
      </c>
      <c r="BC75" s="1278">
        <f t="shared" ref="BC75:BC80" si="67">SUM(AZ75:BB75)</f>
        <v>1</v>
      </c>
      <c r="BD75" s="1263"/>
      <c r="BE75" s="1263">
        <v>2</v>
      </c>
      <c r="BF75" s="1263"/>
      <c r="BG75" s="1264">
        <f t="shared" si="56"/>
        <v>2</v>
      </c>
      <c r="BH75" s="1263"/>
      <c r="BI75" s="1263"/>
      <c r="BJ75" s="1263">
        <v>2</v>
      </c>
      <c r="BK75" s="1264">
        <f t="shared" si="57"/>
        <v>2</v>
      </c>
      <c r="BL75" s="1263">
        <v>2</v>
      </c>
      <c r="BM75" s="1263">
        <v>1</v>
      </c>
      <c r="BN75" s="1263">
        <v>4</v>
      </c>
      <c r="BO75" s="1264">
        <f t="shared" si="58"/>
        <v>7</v>
      </c>
      <c r="BP75" s="1263">
        <v>6</v>
      </c>
      <c r="BQ75" s="1263"/>
      <c r="BR75" s="1263">
        <v>4</v>
      </c>
      <c r="BS75" s="1264">
        <f t="shared" si="59"/>
        <v>10</v>
      </c>
      <c r="BT75" s="1262">
        <v>2</v>
      </c>
      <c r="BU75" s="1263"/>
      <c r="BV75" s="1263">
        <v>1</v>
      </c>
      <c r="BW75" s="1264">
        <f t="shared" si="60"/>
        <v>3</v>
      </c>
      <c r="BX75" s="1262">
        <v>1</v>
      </c>
      <c r="BY75" s="1263">
        <v>1</v>
      </c>
      <c r="BZ75" s="1263">
        <v>1</v>
      </c>
      <c r="CA75" s="1264">
        <f t="shared" si="61"/>
        <v>3</v>
      </c>
      <c r="CB75" s="1262">
        <v>4</v>
      </c>
      <c r="CC75" s="1263">
        <v>1</v>
      </c>
      <c r="CD75" s="1263">
        <v>3</v>
      </c>
      <c r="CE75" s="1264">
        <f t="shared" si="62"/>
        <v>8</v>
      </c>
      <c r="CF75" s="1262">
        <v>4</v>
      </c>
      <c r="CG75" s="1263">
        <v>3</v>
      </c>
      <c r="CH75" s="1263"/>
      <c r="CI75" s="1264">
        <f t="shared" si="63"/>
        <v>7</v>
      </c>
      <c r="CJ75" s="1262">
        <v>3</v>
      </c>
      <c r="CK75" s="1263">
        <v>3</v>
      </c>
      <c r="CL75" s="1263">
        <v>4</v>
      </c>
      <c r="CM75" s="1264">
        <f t="shared" si="64"/>
        <v>10</v>
      </c>
      <c r="CN75" s="1262">
        <v>2</v>
      </c>
      <c r="CO75" s="1263">
        <v>1</v>
      </c>
      <c r="CP75" s="1263">
        <v>1</v>
      </c>
      <c r="CQ75" s="1264">
        <f t="shared" si="65"/>
        <v>4</v>
      </c>
      <c r="CR75" s="1262">
        <v>2</v>
      </c>
      <c r="CS75" s="1263">
        <v>4</v>
      </c>
      <c r="CT75" s="1263">
        <v>5</v>
      </c>
      <c r="CU75" s="1264">
        <f t="shared" si="66"/>
        <v>11</v>
      </c>
    </row>
    <row r="76" spans="2:99" ht="14.4" x14ac:dyDescent="0.3">
      <c r="B76" s="5846"/>
      <c r="C76" s="1265" t="s">
        <v>365</v>
      </c>
      <c r="D76" s="1281"/>
      <c r="E76" s="1280"/>
      <c r="F76" s="1280">
        <v>1</v>
      </c>
      <c r="G76" s="1264">
        <v>1</v>
      </c>
      <c r="H76" s="1281"/>
      <c r="I76" s="1280"/>
      <c r="J76" s="1280">
        <v>1</v>
      </c>
      <c r="K76" s="1264">
        <v>1</v>
      </c>
      <c r="L76" s="1281">
        <v>3</v>
      </c>
      <c r="M76" s="1280">
        <v>1</v>
      </c>
      <c r="N76" s="1280"/>
      <c r="O76" s="1264">
        <v>4</v>
      </c>
      <c r="P76" s="1281">
        <v>3</v>
      </c>
      <c r="Q76" s="1280">
        <v>1</v>
      </c>
      <c r="R76" s="1280">
        <v>3</v>
      </c>
      <c r="S76" s="1264">
        <v>7</v>
      </c>
      <c r="T76" s="1281">
        <v>1</v>
      </c>
      <c r="U76" s="1280">
        <v>2</v>
      </c>
      <c r="V76" s="1280">
        <v>2</v>
      </c>
      <c r="W76" s="1264">
        <f>SUM(T76:V76)</f>
        <v>5</v>
      </c>
      <c r="X76" s="1263">
        <v>2</v>
      </c>
      <c r="Y76" s="1263">
        <v>2</v>
      </c>
      <c r="Z76" s="1263">
        <v>2</v>
      </c>
      <c r="AA76" s="1264">
        <f>SUM(X76:Z76)</f>
        <v>6</v>
      </c>
      <c r="AB76" s="1263">
        <v>2</v>
      </c>
      <c r="AC76" s="1263">
        <v>3</v>
      </c>
      <c r="AD76" s="1263">
        <v>2</v>
      </c>
      <c r="AE76" s="1264">
        <f>SUM(AB76:AD76)</f>
        <v>7</v>
      </c>
      <c r="AF76" s="1263">
        <v>2</v>
      </c>
      <c r="AG76" s="1263">
        <v>1</v>
      </c>
      <c r="AH76" s="1263">
        <v>2</v>
      </c>
      <c r="AI76" s="1264">
        <f>SUM(AF76:AH76)</f>
        <v>5</v>
      </c>
      <c r="AJ76" s="1263"/>
      <c r="AK76" s="1263">
        <v>1</v>
      </c>
      <c r="AL76" s="1263">
        <v>2</v>
      </c>
      <c r="AM76" s="1264">
        <f>SUM(AJ76:AL76)</f>
        <v>3</v>
      </c>
      <c r="AN76" s="1263">
        <v>1</v>
      </c>
      <c r="AO76" s="1263">
        <v>2</v>
      </c>
      <c r="AP76" s="1263">
        <v>2</v>
      </c>
      <c r="AQ76" s="1264">
        <f>SUM(AN76:AP76)</f>
        <v>5</v>
      </c>
      <c r="AR76" s="1263" t="s">
        <v>122</v>
      </c>
      <c r="AS76" s="1263">
        <v>4</v>
      </c>
      <c r="AT76" s="1263">
        <v>2</v>
      </c>
      <c r="AU76" s="1264">
        <f>SUM(AR76:AT76)</f>
        <v>6</v>
      </c>
      <c r="AV76" s="1263">
        <v>3</v>
      </c>
      <c r="AW76" s="1263">
        <v>1</v>
      </c>
      <c r="AX76" s="1263">
        <v>3</v>
      </c>
      <c r="AY76" s="1264">
        <f>AV76+AW76+AX76</f>
        <v>7</v>
      </c>
      <c r="AZ76" s="1263">
        <v>5</v>
      </c>
      <c r="BA76" s="1263">
        <v>3</v>
      </c>
      <c r="BB76" s="1263">
        <v>5</v>
      </c>
      <c r="BC76" s="1278">
        <f t="shared" si="67"/>
        <v>13</v>
      </c>
      <c r="BD76" s="1263">
        <v>6</v>
      </c>
      <c r="BE76" s="1263"/>
      <c r="BF76" s="1263">
        <v>5</v>
      </c>
      <c r="BG76" s="1264">
        <f t="shared" si="56"/>
        <v>11</v>
      </c>
      <c r="BH76" s="1263">
        <v>3</v>
      </c>
      <c r="BI76" s="1263">
        <v>4</v>
      </c>
      <c r="BJ76" s="1263">
        <v>2</v>
      </c>
      <c r="BK76" s="1264">
        <f t="shared" si="57"/>
        <v>9</v>
      </c>
      <c r="BL76" s="1263">
        <v>2</v>
      </c>
      <c r="BM76" s="1263">
        <v>3</v>
      </c>
      <c r="BN76" s="1263">
        <v>5</v>
      </c>
      <c r="BO76" s="1264">
        <f t="shared" si="58"/>
        <v>10</v>
      </c>
      <c r="BP76" s="1263">
        <v>2</v>
      </c>
      <c r="BQ76" s="1263">
        <v>3</v>
      </c>
      <c r="BR76" s="1263">
        <v>6</v>
      </c>
      <c r="BS76" s="1264">
        <f t="shared" si="59"/>
        <v>11</v>
      </c>
      <c r="BT76" s="1262">
        <v>1</v>
      </c>
      <c r="BU76" s="1263">
        <v>2</v>
      </c>
      <c r="BV76" s="1263">
        <v>3</v>
      </c>
      <c r="BW76" s="1264">
        <f t="shared" si="60"/>
        <v>6</v>
      </c>
      <c r="BX76" s="1262">
        <v>4</v>
      </c>
      <c r="BY76" s="1263">
        <v>2</v>
      </c>
      <c r="BZ76" s="1263"/>
      <c r="CA76" s="1264">
        <f t="shared" si="61"/>
        <v>6</v>
      </c>
      <c r="CB76" s="1262">
        <v>2</v>
      </c>
      <c r="CC76" s="1263">
        <v>1</v>
      </c>
      <c r="CD76" s="1263">
        <v>2</v>
      </c>
      <c r="CE76" s="1264">
        <f t="shared" si="62"/>
        <v>5</v>
      </c>
      <c r="CF76" s="1262"/>
      <c r="CG76" s="1263">
        <v>3</v>
      </c>
      <c r="CH76" s="1263">
        <v>2</v>
      </c>
      <c r="CI76" s="1264">
        <f t="shared" si="63"/>
        <v>5</v>
      </c>
      <c r="CJ76" s="1262">
        <v>3</v>
      </c>
      <c r="CK76" s="1263">
        <v>5</v>
      </c>
      <c r="CL76" s="1263">
        <v>1</v>
      </c>
      <c r="CM76" s="1264">
        <f t="shared" si="64"/>
        <v>9</v>
      </c>
      <c r="CN76" s="1262">
        <v>1</v>
      </c>
      <c r="CO76" s="1263">
        <v>3</v>
      </c>
      <c r="CP76" s="1263">
        <v>4</v>
      </c>
      <c r="CQ76" s="1264">
        <f t="shared" si="65"/>
        <v>8</v>
      </c>
      <c r="CR76" s="1262">
        <v>1</v>
      </c>
      <c r="CS76" s="1263">
        <v>1</v>
      </c>
      <c r="CT76" s="1263">
        <v>1</v>
      </c>
      <c r="CU76" s="1264">
        <f t="shared" si="66"/>
        <v>3</v>
      </c>
    </row>
    <row r="77" spans="2:99" ht="14.4" x14ac:dyDescent="0.3">
      <c r="B77" s="5846"/>
      <c r="C77" s="1265" t="s">
        <v>366</v>
      </c>
      <c r="D77" s="1281"/>
      <c r="E77" s="1280"/>
      <c r="F77" s="1280">
        <v>6</v>
      </c>
      <c r="G77" s="1264">
        <v>6</v>
      </c>
      <c r="H77" s="1281">
        <v>9</v>
      </c>
      <c r="I77" s="1280">
        <v>2</v>
      </c>
      <c r="J77" s="1280">
        <v>13</v>
      </c>
      <c r="K77" s="1264">
        <v>24</v>
      </c>
      <c r="L77" s="1281">
        <v>10</v>
      </c>
      <c r="M77" s="1280">
        <v>7</v>
      </c>
      <c r="N77" s="1280">
        <v>1</v>
      </c>
      <c r="O77" s="1264">
        <v>18</v>
      </c>
      <c r="P77" s="1281">
        <v>5</v>
      </c>
      <c r="Q77" s="1280">
        <v>1</v>
      </c>
      <c r="R77" s="1280">
        <v>3</v>
      </c>
      <c r="S77" s="1264">
        <v>9</v>
      </c>
      <c r="T77" s="1281">
        <v>4</v>
      </c>
      <c r="U77" s="1280">
        <v>6</v>
      </c>
      <c r="V77" s="1280">
        <v>6</v>
      </c>
      <c r="W77" s="1264">
        <f>SUM(T77:V77)</f>
        <v>16</v>
      </c>
      <c r="X77" s="1263">
        <v>9</v>
      </c>
      <c r="Y77" s="1263">
        <v>7</v>
      </c>
      <c r="Z77" s="1263">
        <v>5</v>
      </c>
      <c r="AA77" s="1264">
        <f>SUM(X77:Z77)</f>
        <v>21</v>
      </c>
      <c r="AB77" s="1263">
        <v>10</v>
      </c>
      <c r="AC77" s="1263">
        <v>6</v>
      </c>
      <c r="AD77" s="1263">
        <v>4</v>
      </c>
      <c r="AE77" s="1264">
        <f>SUM(AB77:AD77)</f>
        <v>20</v>
      </c>
      <c r="AF77" s="1263">
        <v>3</v>
      </c>
      <c r="AG77" s="1263"/>
      <c r="AH77" s="1263">
        <v>2</v>
      </c>
      <c r="AI77" s="1264">
        <f>SUM(AF77:AH77)</f>
        <v>5</v>
      </c>
      <c r="AJ77" s="1263">
        <v>1</v>
      </c>
      <c r="AK77" s="1263"/>
      <c r="AL77" s="1263">
        <v>2</v>
      </c>
      <c r="AM77" s="1264">
        <f>SUM(AJ77:AL77)</f>
        <v>3</v>
      </c>
      <c r="AN77" s="1263">
        <v>1</v>
      </c>
      <c r="AO77" s="1263"/>
      <c r="AP77" s="1263">
        <v>8</v>
      </c>
      <c r="AQ77" s="1264">
        <f>SUM(AN77:AP77)</f>
        <v>9</v>
      </c>
      <c r="AR77" s="1263">
        <v>3</v>
      </c>
      <c r="AS77" s="1263" t="s">
        <v>122</v>
      </c>
      <c r="AT77" s="1263">
        <v>6</v>
      </c>
      <c r="AU77" s="1264">
        <f>SUM(AR77:AT77)</f>
        <v>9</v>
      </c>
      <c r="AV77" s="1263">
        <v>9</v>
      </c>
      <c r="AW77" s="1263"/>
      <c r="AX77" s="1263">
        <v>5</v>
      </c>
      <c r="AY77" s="1264">
        <f>AV77+AW77+AX77</f>
        <v>14</v>
      </c>
      <c r="AZ77" s="1263">
        <v>6</v>
      </c>
      <c r="BA77" s="1263">
        <v>1</v>
      </c>
      <c r="BB77" s="1263"/>
      <c r="BC77" s="1278">
        <f t="shared" si="67"/>
        <v>7</v>
      </c>
      <c r="BD77" s="1263">
        <v>5</v>
      </c>
      <c r="BE77" s="1263">
        <v>1</v>
      </c>
      <c r="BF77" s="1263">
        <v>5</v>
      </c>
      <c r="BG77" s="1264">
        <f t="shared" si="56"/>
        <v>11</v>
      </c>
      <c r="BH77" s="1263">
        <v>12</v>
      </c>
      <c r="BI77" s="1263">
        <v>2</v>
      </c>
      <c r="BJ77" s="1263">
        <v>4</v>
      </c>
      <c r="BK77" s="1264">
        <f t="shared" si="57"/>
        <v>18</v>
      </c>
      <c r="BL77" s="1263">
        <v>1</v>
      </c>
      <c r="BM77" s="1263">
        <v>1</v>
      </c>
      <c r="BN77" s="1263">
        <v>8</v>
      </c>
      <c r="BO77" s="1264">
        <f t="shared" si="58"/>
        <v>10</v>
      </c>
      <c r="BP77" s="1263">
        <v>1</v>
      </c>
      <c r="BQ77" s="1263"/>
      <c r="BR77" s="1263">
        <v>2</v>
      </c>
      <c r="BS77" s="1264">
        <f t="shared" si="59"/>
        <v>3</v>
      </c>
      <c r="BT77" s="1262">
        <v>1</v>
      </c>
      <c r="BU77" s="1263">
        <v>1</v>
      </c>
      <c r="BV77" s="1263">
        <v>1</v>
      </c>
      <c r="BW77" s="1264">
        <f t="shared" si="60"/>
        <v>3</v>
      </c>
      <c r="BX77" s="1262">
        <v>1</v>
      </c>
      <c r="BY77" s="1263">
        <v>1</v>
      </c>
      <c r="BZ77" s="1263">
        <v>5</v>
      </c>
      <c r="CA77" s="1264">
        <f t="shared" si="61"/>
        <v>7</v>
      </c>
      <c r="CB77" s="1262">
        <v>7</v>
      </c>
      <c r="CC77" s="1263"/>
      <c r="CD77" s="1263">
        <v>3</v>
      </c>
      <c r="CE77" s="1264">
        <f t="shared" si="62"/>
        <v>10</v>
      </c>
      <c r="CF77" s="1262">
        <v>4</v>
      </c>
      <c r="CG77" s="1263">
        <v>3</v>
      </c>
      <c r="CH77" s="1263">
        <v>3</v>
      </c>
      <c r="CI77" s="1264">
        <f t="shared" si="63"/>
        <v>10</v>
      </c>
      <c r="CJ77" s="1262"/>
      <c r="CK77" s="1263">
        <v>1</v>
      </c>
      <c r="CL77" s="1263"/>
      <c r="CM77" s="1264">
        <f t="shared" si="64"/>
        <v>1</v>
      </c>
      <c r="CN77" s="1262">
        <v>1</v>
      </c>
      <c r="CO77" s="1263"/>
      <c r="CP77" s="1263">
        <v>1</v>
      </c>
      <c r="CQ77" s="1264">
        <f t="shared" si="65"/>
        <v>2</v>
      </c>
      <c r="CR77" s="1262">
        <v>1</v>
      </c>
      <c r="CS77" s="1263"/>
      <c r="CT77" s="1263"/>
      <c r="CU77" s="1264">
        <f t="shared" si="66"/>
        <v>1</v>
      </c>
    </row>
    <row r="78" spans="2:99" ht="14.4" x14ac:dyDescent="0.3">
      <c r="B78" s="5846"/>
      <c r="C78" s="1265" t="s">
        <v>360</v>
      </c>
      <c r="D78" s="1281"/>
      <c r="E78" s="1280"/>
      <c r="F78" s="1280">
        <v>2</v>
      </c>
      <c r="G78" s="1264">
        <v>2</v>
      </c>
      <c r="H78" s="1281">
        <v>2</v>
      </c>
      <c r="I78" s="1280">
        <v>1</v>
      </c>
      <c r="J78" s="1280">
        <v>9</v>
      </c>
      <c r="K78" s="1264">
        <v>12</v>
      </c>
      <c r="L78" s="1281">
        <v>6</v>
      </c>
      <c r="M78" s="1280">
        <v>1</v>
      </c>
      <c r="N78" s="1280">
        <v>6</v>
      </c>
      <c r="O78" s="1264">
        <v>13</v>
      </c>
      <c r="P78" s="1281">
        <v>4</v>
      </c>
      <c r="Q78" s="1280">
        <v>3</v>
      </c>
      <c r="R78" s="1280">
        <v>4</v>
      </c>
      <c r="S78" s="1264">
        <v>11</v>
      </c>
      <c r="T78" s="1281">
        <v>1</v>
      </c>
      <c r="U78" s="1280"/>
      <c r="V78" s="1280">
        <v>8</v>
      </c>
      <c r="W78" s="1264">
        <f>SUM(T78:V78)</f>
        <v>9</v>
      </c>
      <c r="X78" s="1263">
        <v>2</v>
      </c>
      <c r="Y78" s="1263"/>
      <c r="Z78" s="1263">
        <v>6</v>
      </c>
      <c r="AA78" s="1264">
        <f>SUM(X78:Z78)</f>
        <v>8</v>
      </c>
      <c r="AB78" s="1263">
        <v>2</v>
      </c>
      <c r="AC78" s="1263"/>
      <c r="AD78" s="1263">
        <v>2</v>
      </c>
      <c r="AE78" s="1264">
        <f>SUM(AB78:AD78)</f>
        <v>4</v>
      </c>
      <c r="AF78" s="1263"/>
      <c r="AG78" s="1263"/>
      <c r="AH78" s="1263">
        <v>2</v>
      </c>
      <c r="AI78" s="1264">
        <f>SUM(AF78:AH78)</f>
        <v>2</v>
      </c>
      <c r="AJ78" s="1263"/>
      <c r="AK78" s="1263"/>
      <c r="AL78" s="1263"/>
      <c r="AM78" s="1264"/>
      <c r="AN78" s="1263">
        <v>2</v>
      </c>
      <c r="AO78" s="1263"/>
      <c r="AP78" s="1263">
        <v>1</v>
      </c>
      <c r="AQ78" s="1264">
        <f>SUM(AN78:AP78)</f>
        <v>3</v>
      </c>
      <c r="AR78" s="1263" t="s">
        <v>122</v>
      </c>
      <c r="AS78" s="1263" t="s">
        <v>122</v>
      </c>
      <c r="AT78" s="1263">
        <v>2</v>
      </c>
      <c r="AU78" s="1264">
        <f>SUM(AR78:AT78)</f>
        <v>2</v>
      </c>
      <c r="AV78" s="1263"/>
      <c r="AW78" s="1263"/>
      <c r="AX78" s="1263">
        <v>1</v>
      </c>
      <c r="AY78" s="1264">
        <f>AV78+AW78+AX78</f>
        <v>1</v>
      </c>
      <c r="AZ78" s="1263">
        <v>4</v>
      </c>
      <c r="BA78" s="1263">
        <v>1</v>
      </c>
      <c r="BB78" s="1263">
        <v>11</v>
      </c>
      <c r="BC78" s="1278">
        <f t="shared" si="67"/>
        <v>16</v>
      </c>
      <c r="BD78" s="1263"/>
      <c r="BE78" s="1263">
        <v>2</v>
      </c>
      <c r="BF78" s="1263">
        <v>3</v>
      </c>
      <c r="BG78" s="1264">
        <f t="shared" si="56"/>
        <v>5</v>
      </c>
      <c r="BH78" s="1263">
        <v>2</v>
      </c>
      <c r="BI78" s="1263">
        <v>3</v>
      </c>
      <c r="BJ78" s="1263">
        <v>1</v>
      </c>
      <c r="BK78" s="1264">
        <f t="shared" si="57"/>
        <v>6</v>
      </c>
      <c r="BL78" s="1263"/>
      <c r="BM78" s="1263">
        <v>1</v>
      </c>
      <c r="BN78" s="1263">
        <v>3</v>
      </c>
      <c r="BO78" s="1264">
        <f t="shared" si="58"/>
        <v>4</v>
      </c>
      <c r="BP78" s="1263"/>
      <c r="BQ78" s="1263">
        <v>3</v>
      </c>
      <c r="BR78" s="1263">
        <v>3</v>
      </c>
      <c r="BS78" s="1264">
        <f t="shared" si="59"/>
        <v>6</v>
      </c>
      <c r="BT78" s="1262">
        <v>4</v>
      </c>
      <c r="BU78" s="1263">
        <v>1</v>
      </c>
      <c r="BV78" s="1263"/>
      <c r="BW78" s="1264">
        <f t="shared" si="60"/>
        <v>5</v>
      </c>
      <c r="BX78" s="1262">
        <v>1</v>
      </c>
      <c r="BY78" s="1263">
        <v>2</v>
      </c>
      <c r="BZ78" s="1263">
        <v>2</v>
      </c>
      <c r="CA78" s="1264">
        <f t="shared" si="61"/>
        <v>5</v>
      </c>
      <c r="CB78" s="1262">
        <v>4</v>
      </c>
      <c r="CC78" s="1263">
        <v>5</v>
      </c>
      <c r="CD78" s="1263">
        <v>2</v>
      </c>
      <c r="CE78" s="1264">
        <f t="shared" si="62"/>
        <v>11</v>
      </c>
      <c r="CF78" s="1262">
        <v>2</v>
      </c>
      <c r="CG78" s="1263">
        <v>3</v>
      </c>
      <c r="CH78" s="1263">
        <v>1</v>
      </c>
      <c r="CI78" s="1264">
        <f t="shared" si="63"/>
        <v>6</v>
      </c>
      <c r="CJ78" s="1262">
        <v>1</v>
      </c>
      <c r="CK78" s="1263">
        <v>1</v>
      </c>
      <c r="CL78" s="1263">
        <v>2</v>
      </c>
      <c r="CM78" s="1264">
        <f t="shared" si="64"/>
        <v>4</v>
      </c>
      <c r="CN78" s="1262"/>
      <c r="CO78" s="1263"/>
      <c r="CP78" s="1263"/>
      <c r="CQ78" s="1264">
        <f t="shared" si="65"/>
        <v>0</v>
      </c>
      <c r="CR78" s="1262"/>
      <c r="CS78" s="1263"/>
      <c r="CT78" s="1263">
        <v>1</v>
      </c>
      <c r="CU78" s="1264">
        <f t="shared" si="66"/>
        <v>1</v>
      </c>
    </row>
    <row r="79" spans="2:99" ht="14.4" x14ac:dyDescent="0.3">
      <c r="B79" s="5846"/>
      <c r="C79" s="1265" t="s">
        <v>361</v>
      </c>
      <c r="D79" s="1281">
        <v>1</v>
      </c>
      <c r="E79" s="1280"/>
      <c r="F79" s="1280">
        <v>1</v>
      </c>
      <c r="G79" s="1264">
        <v>2</v>
      </c>
      <c r="H79" s="1281">
        <v>2</v>
      </c>
      <c r="I79" s="1280"/>
      <c r="J79" s="1280">
        <v>3</v>
      </c>
      <c r="K79" s="1264">
        <v>5</v>
      </c>
      <c r="L79" s="1281">
        <v>1</v>
      </c>
      <c r="M79" s="1280">
        <v>1</v>
      </c>
      <c r="N79" s="1280"/>
      <c r="O79" s="1264">
        <v>2</v>
      </c>
      <c r="P79" s="1281">
        <v>2</v>
      </c>
      <c r="Q79" s="1280">
        <v>1</v>
      </c>
      <c r="R79" s="1280"/>
      <c r="S79" s="1264">
        <v>3</v>
      </c>
      <c r="T79" s="1281">
        <v>1</v>
      </c>
      <c r="U79" s="1280"/>
      <c r="V79" s="1280"/>
      <c r="W79" s="1264">
        <f>SUM(T79:V79)</f>
        <v>1</v>
      </c>
      <c r="X79" s="1263"/>
      <c r="Y79" s="1263"/>
      <c r="Z79" s="1263">
        <v>1</v>
      </c>
      <c r="AA79" s="1264">
        <f>SUM(X79:Z79)</f>
        <v>1</v>
      </c>
      <c r="AB79" s="1263">
        <v>1</v>
      </c>
      <c r="AC79" s="1263">
        <v>1</v>
      </c>
      <c r="AD79" s="1263">
        <v>1</v>
      </c>
      <c r="AE79" s="1264">
        <f>SUM(AB79:AD79)</f>
        <v>3</v>
      </c>
      <c r="AF79" s="1263"/>
      <c r="AG79" s="1263">
        <v>2</v>
      </c>
      <c r="AH79" s="1263"/>
      <c r="AI79" s="1264">
        <f>SUM(AF79:AH79)</f>
        <v>2</v>
      </c>
      <c r="AJ79" s="1263"/>
      <c r="AK79" s="1263"/>
      <c r="AL79" s="1263">
        <v>1</v>
      </c>
      <c r="AM79" s="1264">
        <f>SUM(AJ79:AL79)</f>
        <v>1</v>
      </c>
      <c r="AN79" s="1263"/>
      <c r="AO79" s="1263"/>
      <c r="AP79" s="1263">
        <v>1</v>
      </c>
      <c r="AQ79" s="1264">
        <f>SUM(AN79:AP79)</f>
        <v>1</v>
      </c>
      <c r="AR79" s="1263"/>
      <c r="AS79" s="1263"/>
      <c r="AT79" s="1263"/>
      <c r="AU79" s="1264"/>
      <c r="AV79" s="1263">
        <v>1</v>
      </c>
      <c r="AW79" s="1263"/>
      <c r="AX79" s="1263">
        <v>1</v>
      </c>
      <c r="AY79" s="1264">
        <f>AV79+AW79+AX79</f>
        <v>2</v>
      </c>
      <c r="AZ79" s="1263">
        <v>1</v>
      </c>
      <c r="BA79" s="1263"/>
      <c r="BB79" s="1263">
        <v>2</v>
      </c>
      <c r="BC79" s="1278">
        <f t="shared" si="67"/>
        <v>3</v>
      </c>
      <c r="BD79" s="1263"/>
      <c r="BE79" s="1263">
        <v>2</v>
      </c>
      <c r="BF79" s="1263"/>
      <c r="BG79" s="1264">
        <f t="shared" si="56"/>
        <v>2</v>
      </c>
      <c r="BH79" s="1263">
        <v>2</v>
      </c>
      <c r="BI79" s="1263">
        <v>1</v>
      </c>
      <c r="BJ79" s="1263">
        <v>3</v>
      </c>
      <c r="BK79" s="1264">
        <f t="shared" si="57"/>
        <v>6</v>
      </c>
      <c r="BL79" s="1263">
        <v>1</v>
      </c>
      <c r="BM79" s="1263">
        <v>2</v>
      </c>
      <c r="BN79" s="1263"/>
      <c r="BO79" s="1264">
        <f t="shared" si="58"/>
        <v>3</v>
      </c>
      <c r="BP79" s="1263">
        <v>4</v>
      </c>
      <c r="BQ79" s="1263">
        <v>1</v>
      </c>
      <c r="BR79" s="1263">
        <v>2</v>
      </c>
      <c r="BS79" s="1264">
        <f t="shared" si="59"/>
        <v>7</v>
      </c>
      <c r="BT79" s="1262">
        <v>1</v>
      </c>
      <c r="BU79" s="1263"/>
      <c r="BV79" s="1263"/>
      <c r="BW79" s="1264">
        <f t="shared" si="60"/>
        <v>1</v>
      </c>
      <c r="BX79" s="1262">
        <v>1</v>
      </c>
      <c r="BY79" s="1263"/>
      <c r="BZ79" s="1263">
        <v>1</v>
      </c>
      <c r="CA79" s="1264">
        <f t="shared" si="61"/>
        <v>2</v>
      </c>
      <c r="CB79" s="1262">
        <v>1</v>
      </c>
      <c r="CC79" s="1263">
        <v>3</v>
      </c>
      <c r="CD79" s="1263"/>
      <c r="CE79" s="1264">
        <f t="shared" si="62"/>
        <v>4</v>
      </c>
      <c r="CF79" s="1262">
        <v>2</v>
      </c>
      <c r="CG79" s="1263">
        <v>2</v>
      </c>
      <c r="CH79" s="1263"/>
      <c r="CI79" s="1264">
        <f t="shared" si="63"/>
        <v>4</v>
      </c>
      <c r="CJ79" s="1262">
        <v>1</v>
      </c>
      <c r="CK79" s="1263">
        <v>1</v>
      </c>
      <c r="CL79" s="1263"/>
      <c r="CM79" s="1264">
        <f t="shared" si="64"/>
        <v>2</v>
      </c>
      <c r="CN79" s="1262"/>
      <c r="CO79" s="1263">
        <v>2</v>
      </c>
      <c r="CP79" s="1263"/>
      <c r="CQ79" s="1264">
        <f t="shared" si="65"/>
        <v>2</v>
      </c>
      <c r="CR79" s="1262"/>
      <c r="CS79" s="1263">
        <v>2</v>
      </c>
      <c r="CT79" s="1263"/>
      <c r="CU79" s="1264">
        <f t="shared" si="66"/>
        <v>2</v>
      </c>
    </row>
    <row r="80" spans="2:99" ht="14.4" x14ac:dyDescent="0.3">
      <c r="B80" s="5846"/>
      <c r="C80" s="1265" t="s">
        <v>367</v>
      </c>
      <c r="D80" s="1283"/>
      <c r="E80" s="1284"/>
      <c r="F80" s="1284"/>
      <c r="G80" s="1269"/>
      <c r="H80" s="1283"/>
      <c r="I80" s="1284"/>
      <c r="J80" s="1284"/>
      <c r="K80" s="1269"/>
      <c r="L80" s="1283"/>
      <c r="M80" s="1284"/>
      <c r="N80" s="1284"/>
      <c r="O80" s="1269"/>
      <c r="P80" s="1283"/>
      <c r="Q80" s="1284"/>
      <c r="R80" s="1284"/>
      <c r="S80" s="1269"/>
      <c r="T80" s="1283"/>
      <c r="U80" s="1284"/>
      <c r="V80" s="1284"/>
      <c r="W80" s="1269"/>
      <c r="X80" s="1268"/>
      <c r="Y80" s="1268"/>
      <c r="Z80" s="1268"/>
      <c r="AA80" s="1269"/>
      <c r="AB80" s="1268"/>
      <c r="AC80" s="1268"/>
      <c r="AD80" s="1268"/>
      <c r="AE80" s="1269"/>
      <c r="AF80" s="1268"/>
      <c r="AG80" s="1268"/>
      <c r="AH80" s="1268"/>
      <c r="AI80" s="1269"/>
      <c r="AJ80" s="1268"/>
      <c r="AK80" s="1268"/>
      <c r="AL80" s="1268"/>
      <c r="AM80" s="1269"/>
      <c r="AN80" s="1268"/>
      <c r="AO80" s="1268"/>
      <c r="AP80" s="1268"/>
      <c r="AQ80" s="1269"/>
      <c r="AR80" s="1268"/>
      <c r="AS80" s="1268"/>
      <c r="AT80" s="1268"/>
      <c r="AU80" s="1269"/>
      <c r="AV80" s="1268"/>
      <c r="AW80" s="1268"/>
      <c r="AX80" s="1268"/>
      <c r="AY80" s="1269"/>
      <c r="AZ80" s="1268">
        <v>2</v>
      </c>
      <c r="BA80" s="1268">
        <v>1</v>
      </c>
      <c r="BB80" s="1268">
        <v>3</v>
      </c>
      <c r="BC80" s="1278">
        <f t="shared" si="67"/>
        <v>6</v>
      </c>
      <c r="BD80" s="1268">
        <v>6</v>
      </c>
      <c r="BE80" s="1268">
        <v>2</v>
      </c>
      <c r="BF80" s="1268">
        <v>3</v>
      </c>
      <c r="BG80" s="1264">
        <f t="shared" si="56"/>
        <v>11</v>
      </c>
      <c r="BH80" s="1268">
        <v>2</v>
      </c>
      <c r="BI80" s="1268">
        <v>1</v>
      </c>
      <c r="BJ80" s="1268">
        <v>4</v>
      </c>
      <c r="BK80" s="1264">
        <f t="shared" si="57"/>
        <v>7</v>
      </c>
      <c r="BL80" s="1268">
        <v>2</v>
      </c>
      <c r="BM80" s="1268">
        <v>2</v>
      </c>
      <c r="BN80" s="1268">
        <v>3</v>
      </c>
      <c r="BO80" s="1264">
        <f t="shared" si="58"/>
        <v>7</v>
      </c>
      <c r="BP80" s="1268"/>
      <c r="BQ80" s="1268">
        <v>2</v>
      </c>
      <c r="BR80" s="1268">
        <v>1</v>
      </c>
      <c r="BS80" s="1264">
        <f t="shared" si="59"/>
        <v>3</v>
      </c>
      <c r="BT80" s="1267">
        <v>4</v>
      </c>
      <c r="BU80" s="1268"/>
      <c r="BV80" s="1268"/>
      <c r="BW80" s="1264">
        <f t="shared" si="60"/>
        <v>4</v>
      </c>
      <c r="BX80" s="1267"/>
      <c r="BY80" s="1268"/>
      <c r="BZ80" s="1268">
        <v>1</v>
      </c>
      <c r="CA80" s="1264">
        <f t="shared" si="61"/>
        <v>1</v>
      </c>
      <c r="CB80" s="1267">
        <v>3</v>
      </c>
      <c r="CC80" s="1268"/>
      <c r="CD80" s="1268">
        <v>2</v>
      </c>
      <c r="CE80" s="1264">
        <f t="shared" si="62"/>
        <v>5</v>
      </c>
      <c r="CF80" s="1267">
        <v>1</v>
      </c>
      <c r="CG80" s="1268">
        <v>1</v>
      </c>
      <c r="CH80" s="1268">
        <v>4</v>
      </c>
      <c r="CI80" s="1264">
        <f t="shared" si="63"/>
        <v>6</v>
      </c>
      <c r="CJ80" s="1267"/>
      <c r="CK80" s="1268"/>
      <c r="CL80" s="1268">
        <v>2</v>
      </c>
      <c r="CM80" s="1264">
        <f t="shared" si="64"/>
        <v>2</v>
      </c>
      <c r="CN80" s="1267"/>
      <c r="CO80" s="1268">
        <v>2</v>
      </c>
      <c r="CP80" s="1268"/>
      <c r="CQ80" s="1264">
        <f t="shared" si="65"/>
        <v>2</v>
      </c>
      <c r="CR80" s="1267"/>
      <c r="CS80" s="1268"/>
      <c r="CT80" s="1268"/>
      <c r="CU80" s="1264">
        <f t="shared" si="66"/>
        <v>0</v>
      </c>
    </row>
    <row r="81" spans="2:99" ht="14.4" x14ac:dyDescent="0.3">
      <c r="B81" s="5846"/>
      <c r="C81" s="1265" t="s">
        <v>368</v>
      </c>
      <c r="D81" s="1283"/>
      <c r="E81" s="1284"/>
      <c r="F81" s="1284"/>
      <c r="G81" s="1269"/>
      <c r="H81" s="1283"/>
      <c r="I81" s="1284"/>
      <c r="J81" s="1284"/>
      <c r="K81" s="1269"/>
      <c r="L81" s="1283"/>
      <c r="M81" s="1284"/>
      <c r="N81" s="1284"/>
      <c r="O81" s="1269"/>
      <c r="P81" s="1283"/>
      <c r="Q81" s="1284"/>
      <c r="R81" s="1284"/>
      <c r="S81" s="1269"/>
      <c r="T81" s="1283"/>
      <c r="U81" s="1284"/>
      <c r="V81" s="1284"/>
      <c r="W81" s="1269"/>
      <c r="X81" s="1268"/>
      <c r="Y81" s="1268"/>
      <c r="Z81" s="1268"/>
      <c r="AA81" s="1269"/>
      <c r="AB81" s="1268"/>
      <c r="AC81" s="1268"/>
      <c r="AD81" s="1268"/>
      <c r="AE81" s="1269"/>
      <c r="AF81" s="1268"/>
      <c r="AG81" s="1268"/>
      <c r="AH81" s="1268"/>
      <c r="AI81" s="1269"/>
      <c r="AJ81" s="1268"/>
      <c r="AK81" s="1268"/>
      <c r="AL81" s="1268"/>
      <c r="AM81" s="1269"/>
      <c r="AN81" s="1268"/>
      <c r="AO81" s="1268"/>
      <c r="AP81" s="1268"/>
      <c r="AQ81" s="1269"/>
      <c r="AR81" s="1268"/>
      <c r="AS81" s="1268"/>
      <c r="AT81" s="1268"/>
      <c r="AU81" s="1269"/>
      <c r="AV81" s="1268"/>
      <c r="AW81" s="1268"/>
      <c r="AX81" s="1268"/>
      <c r="AY81" s="1269"/>
      <c r="AZ81" s="1268"/>
      <c r="BA81" s="1268"/>
      <c r="BB81" s="1268"/>
      <c r="BC81" s="1278"/>
      <c r="BD81" s="1268"/>
      <c r="BE81" s="1268"/>
      <c r="BF81" s="1268"/>
      <c r="BG81" s="1264"/>
      <c r="BH81" s="1268">
        <v>5</v>
      </c>
      <c r="BI81" s="1268"/>
      <c r="BJ81" s="1268"/>
      <c r="BK81" s="1264">
        <f t="shared" si="57"/>
        <v>5</v>
      </c>
      <c r="BL81" s="1268">
        <v>3</v>
      </c>
      <c r="BM81" s="1268"/>
      <c r="BN81" s="1268"/>
      <c r="BO81" s="1264">
        <f t="shared" si="58"/>
        <v>3</v>
      </c>
      <c r="BP81" s="1268">
        <v>1</v>
      </c>
      <c r="BQ81" s="1268"/>
      <c r="BR81" s="1268">
        <v>2</v>
      </c>
      <c r="BS81" s="1264">
        <f t="shared" si="59"/>
        <v>3</v>
      </c>
      <c r="BT81" s="1267">
        <v>5</v>
      </c>
      <c r="BU81" s="1268"/>
      <c r="BV81" s="1268"/>
      <c r="BW81" s="1264">
        <f t="shared" si="60"/>
        <v>5</v>
      </c>
      <c r="BX81" s="1267"/>
      <c r="BY81" s="1268">
        <v>1</v>
      </c>
      <c r="BZ81" s="1268"/>
      <c r="CA81" s="1264">
        <f t="shared" si="61"/>
        <v>1</v>
      </c>
      <c r="CB81" s="1267">
        <v>1</v>
      </c>
      <c r="CC81" s="1268">
        <v>1</v>
      </c>
      <c r="CD81" s="1268">
        <v>3</v>
      </c>
      <c r="CE81" s="1264">
        <f t="shared" si="62"/>
        <v>5</v>
      </c>
      <c r="CF81" s="1267">
        <v>2</v>
      </c>
      <c r="CG81" s="1268"/>
      <c r="CH81" s="1268"/>
      <c r="CI81" s="1264">
        <f t="shared" si="63"/>
        <v>2</v>
      </c>
      <c r="CJ81" s="1267"/>
      <c r="CK81" s="1268">
        <v>1</v>
      </c>
      <c r="CL81" s="1268">
        <v>1</v>
      </c>
      <c r="CM81" s="1264">
        <f t="shared" si="64"/>
        <v>2</v>
      </c>
      <c r="CN81" s="1267"/>
      <c r="CO81" s="1268"/>
      <c r="CP81" s="1268">
        <v>3</v>
      </c>
      <c r="CQ81" s="1264">
        <f t="shared" si="65"/>
        <v>3</v>
      </c>
      <c r="CR81" s="1267">
        <v>2</v>
      </c>
      <c r="CS81" s="1268">
        <v>2</v>
      </c>
      <c r="CT81" s="1268">
        <v>1</v>
      </c>
      <c r="CU81" s="1264">
        <f t="shared" si="66"/>
        <v>5</v>
      </c>
    </row>
    <row r="82" spans="2:99" ht="14.4" x14ac:dyDescent="0.3">
      <c r="B82" s="5847"/>
      <c r="C82" s="1265" t="s">
        <v>369</v>
      </c>
      <c r="D82" s="1262">
        <v>9</v>
      </c>
      <c r="E82" s="1263">
        <v>10</v>
      </c>
      <c r="F82" s="1263"/>
      <c r="G82" s="1264">
        <v>19</v>
      </c>
      <c r="H82" s="1262"/>
      <c r="I82" s="1263"/>
      <c r="J82" s="1263"/>
      <c r="K82" s="1264"/>
      <c r="L82" s="1262"/>
      <c r="M82" s="1263"/>
      <c r="N82" s="1263"/>
      <c r="O82" s="1264"/>
      <c r="P82" s="1262"/>
      <c r="Q82" s="1263"/>
      <c r="R82" s="1263"/>
      <c r="S82" s="1264"/>
      <c r="T82" s="1262"/>
      <c r="U82" s="1263"/>
      <c r="V82" s="1263"/>
      <c r="W82" s="1264"/>
      <c r="X82" s="1263"/>
      <c r="Y82" s="1263"/>
      <c r="Z82" s="1263"/>
      <c r="AA82" s="1264"/>
      <c r="AB82" s="1263"/>
      <c r="AC82" s="1263"/>
      <c r="AD82" s="1263"/>
      <c r="AE82" s="1264"/>
      <c r="AF82" s="1263"/>
      <c r="AG82" s="1263"/>
      <c r="AH82" s="1263"/>
      <c r="AI82" s="1264">
        <v>0</v>
      </c>
      <c r="AJ82" s="1263"/>
      <c r="AK82" s="1263"/>
      <c r="AL82" s="1263"/>
      <c r="AM82" s="1264"/>
      <c r="AN82" s="1263"/>
      <c r="AO82" s="1263"/>
      <c r="AP82" s="1263"/>
      <c r="AQ82" s="1264"/>
      <c r="AR82" s="1263"/>
      <c r="AS82" s="1263"/>
      <c r="AT82" s="1263"/>
      <c r="AU82" s="1264"/>
      <c r="AV82" s="1263"/>
      <c r="AW82" s="1263"/>
      <c r="AX82" s="1263"/>
      <c r="AY82" s="1264"/>
      <c r="AZ82" s="1263"/>
      <c r="BA82" s="1263"/>
      <c r="BB82" s="1263"/>
      <c r="BC82" s="1278"/>
      <c r="BD82" s="1263"/>
      <c r="BE82" s="1263"/>
      <c r="BF82" s="1263"/>
      <c r="BG82" s="1264"/>
      <c r="BH82" s="1263"/>
      <c r="BI82" s="1263"/>
      <c r="BJ82" s="1263"/>
      <c r="BK82" s="1264"/>
      <c r="BL82" s="1263"/>
      <c r="BM82" s="1263"/>
      <c r="BN82" s="1263"/>
      <c r="BO82" s="1264"/>
      <c r="BP82" s="1263"/>
      <c r="BQ82" s="1263"/>
      <c r="BR82" s="1263"/>
      <c r="BS82" s="1264"/>
      <c r="BT82" s="1262"/>
      <c r="BU82" s="1263"/>
      <c r="BV82" s="1263"/>
      <c r="BW82" s="1264">
        <f t="shared" si="60"/>
        <v>0</v>
      </c>
      <c r="BX82" s="1262"/>
      <c r="BY82" s="1263"/>
      <c r="BZ82" s="1263"/>
      <c r="CA82" s="1264">
        <f t="shared" si="61"/>
        <v>0</v>
      </c>
      <c r="CB82" s="1262"/>
      <c r="CC82" s="1263"/>
      <c r="CD82" s="1263"/>
      <c r="CE82" s="1264">
        <f t="shared" si="62"/>
        <v>0</v>
      </c>
      <c r="CF82" s="1262"/>
      <c r="CG82" s="1263"/>
      <c r="CH82" s="1263"/>
      <c r="CI82" s="1264">
        <f t="shared" si="63"/>
        <v>0</v>
      </c>
      <c r="CJ82" s="1262"/>
      <c r="CK82" s="1263"/>
      <c r="CL82" s="1263"/>
      <c r="CM82" s="1264">
        <f t="shared" si="64"/>
        <v>0</v>
      </c>
      <c r="CN82" s="1262"/>
      <c r="CO82" s="1263"/>
      <c r="CP82" s="1263"/>
      <c r="CQ82" s="1264">
        <f t="shared" si="65"/>
        <v>0</v>
      </c>
      <c r="CR82" s="1262"/>
      <c r="CS82" s="1263"/>
      <c r="CT82" s="1263"/>
      <c r="CU82" s="1264">
        <f t="shared" si="66"/>
        <v>0</v>
      </c>
    </row>
    <row r="83" spans="2:99" ht="14.4" x14ac:dyDescent="0.3">
      <c r="B83" s="1307"/>
      <c r="C83" s="1271" t="s">
        <v>59</v>
      </c>
      <c r="D83" s="1272">
        <f t="shared" ref="D83:AI83" si="68">SUM(D68:D82)</f>
        <v>28</v>
      </c>
      <c r="E83" s="1273">
        <f t="shared" si="68"/>
        <v>19</v>
      </c>
      <c r="F83" s="1273">
        <f t="shared" si="68"/>
        <v>56</v>
      </c>
      <c r="G83" s="1274">
        <f t="shared" si="68"/>
        <v>103</v>
      </c>
      <c r="H83" s="1272">
        <f t="shared" si="68"/>
        <v>40</v>
      </c>
      <c r="I83" s="1273">
        <f t="shared" si="68"/>
        <v>15</v>
      </c>
      <c r="J83" s="1273">
        <f t="shared" si="68"/>
        <v>65</v>
      </c>
      <c r="K83" s="1274">
        <f t="shared" si="68"/>
        <v>120</v>
      </c>
      <c r="L83" s="1272">
        <f t="shared" si="68"/>
        <v>54</v>
      </c>
      <c r="M83" s="1273">
        <f t="shared" si="68"/>
        <v>27</v>
      </c>
      <c r="N83" s="1273">
        <f t="shared" si="68"/>
        <v>57</v>
      </c>
      <c r="O83" s="1274">
        <f t="shared" si="68"/>
        <v>138</v>
      </c>
      <c r="P83" s="1272">
        <f t="shared" si="68"/>
        <v>44</v>
      </c>
      <c r="Q83" s="1273">
        <f t="shared" si="68"/>
        <v>19</v>
      </c>
      <c r="R83" s="1273">
        <f t="shared" si="68"/>
        <v>57</v>
      </c>
      <c r="S83" s="1274">
        <f t="shared" si="68"/>
        <v>120</v>
      </c>
      <c r="T83" s="1272">
        <f t="shared" si="68"/>
        <v>13</v>
      </c>
      <c r="U83" s="1273">
        <f t="shared" si="68"/>
        <v>13</v>
      </c>
      <c r="V83" s="1273">
        <f t="shared" si="68"/>
        <v>40</v>
      </c>
      <c r="W83" s="1274">
        <f t="shared" si="68"/>
        <v>66</v>
      </c>
      <c r="X83" s="1273">
        <f t="shared" si="68"/>
        <v>19</v>
      </c>
      <c r="Y83" s="1273">
        <f t="shared" si="68"/>
        <v>17</v>
      </c>
      <c r="Z83" s="1273">
        <f t="shared" si="68"/>
        <v>40</v>
      </c>
      <c r="AA83" s="1274">
        <f t="shared" si="68"/>
        <v>76</v>
      </c>
      <c r="AB83" s="1273">
        <f t="shared" si="68"/>
        <v>31</v>
      </c>
      <c r="AC83" s="1273">
        <f t="shared" si="68"/>
        <v>25</v>
      </c>
      <c r="AD83" s="1273">
        <f t="shared" si="68"/>
        <v>54</v>
      </c>
      <c r="AE83" s="1274">
        <f t="shared" si="68"/>
        <v>110</v>
      </c>
      <c r="AF83" s="1273">
        <f t="shared" si="68"/>
        <v>14</v>
      </c>
      <c r="AG83" s="1273">
        <f t="shared" si="68"/>
        <v>16</v>
      </c>
      <c r="AH83" s="1273">
        <f t="shared" si="68"/>
        <v>49</v>
      </c>
      <c r="AI83" s="1274">
        <f t="shared" si="68"/>
        <v>79</v>
      </c>
      <c r="AJ83" s="1273">
        <f t="shared" ref="AJ83:BC83" si="69">SUM(AJ68:AJ82)</f>
        <v>15</v>
      </c>
      <c r="AK83" s="1273">
        <f t="shared" si="69"/>
        <v>10</v>
      </c>
      <c r="AL83" s="1273">
        <f t="shared" si="69"/>
        <v>35</v>
      </c>
      <c r="AM83" s="1274">
        <f t="shared" si="69"/>
        <v>60</v>
      </c>
      <c r="AN83" s="1273">
        <f t="shared" si="69"/>
        <v>20</v>
      </c>
      <c r="AO83" s="1273">
        <f t="shared" si="69"/>
        <v>10</v>
      </c>
      <c r="AP83" s="1273">
        <f t="shared" si="69"/>
        <v>60</v>
      </c>
      <c r="AQ83" s="1274">
        <f t="shared" si="69"/>
        <v>90</v>
      </c>
      <c r="AR83" s="1273">
        <f t="shared" si="69"/>
        <v>11</v>
      </c>
      <c r="AS83" s="1273">
        <f t="shared" si="69"/>
        <v>8</v>
      </c>
      <c r="AT83" s="1273">
        <f t="shared" si="69"/>
        <v>70</v>
      </c>
      <c r="AU83" s="1274">
        <f t="shared" si="69"/>
        <v>89</v>
      </c>
      <c r="AV83" s="1273">
        <f t="shared" si="69"/>
        <v>25</v>
      </c>
      <c r="AW83" s="1273">
        <f t="shared" si="69"/>
        <v>9</v>
      </c>
      <c r="AX83" s="1273">
        <f t="shared" si="69"/>
        <v>57</v>
      </c>
      <c r="AY83" s="1274">
        <f t="shared" si="69"/>
        <v>91</v>
      </c>
      <c r="AZ83" s="1273">
        <f t="shared" si="69"/>
        <v>33</v>
      </c>
      <c r="BA83" s="1273">
        <f t="shared" si="69"/>
        <v>22</v>
      </c>
      <c r="BB83" s="1273">
        <f t="shared" si="69"/>
        <v>79</v>
      </c>
      <c r="BC83" s="1274">
        <f t="shared" si="69"/>
        <v>134</v>
      </c>
      <c r="BD83" s="1273">
        <f>SUM(BD66:BD82)</f>
        <v>56</v>
      </c>
      <c r="BE83" s="1273">
        <f>SUM(BE66:BE82)</f>
        <v>20</v>
      </c>
      <c r="BF83" s="1273">
        <f>SUM(BF66:BF82)</f>
        <v>104</v>
      </c>
      <c r="BG83" s="1274">
        <f t="shared" ref="BG83:BO83" si="70">SUM(BG68:BG82)</f>
        <v>126</v>
      </c>
      <c r="BH83" s="1273">
        <f t="shared" si="70"/>
        <v>61</v>
      </c>
      <c r="BI83" s="1273">
        <f t="shared" si="70"/>
        <v>16</v>
      </c>
      <c r="BJ83" s="1273">
        <f t="shared" si="70"/>
        <v>70</v>
      </c>
      <c r="BK83" s="1274">
        <f t="shared" si="70"/>
        <v>147</v>
      </c>
      <c r="BL83" s="1273">
        <f t="shared" si="70"/>
        <v>35</v>
      </c>
      <c r="BM83" s="1273">
        <f t="shared" si="70"/>
        <v>15</v>
      </c>
      <c r="BN83" s="1273">
        <f t="shared" si="70"/>
        <v>72</v>
      </c>
      <c r="BO83" s="1274">
        <f t="shared" si="70"/>
        <v>122</v>
      </c>
      <c r="BP83" s="1273">
        <f>SUM(BP68:BP82)</f>
        <v>42</v>
      </c>
      <c r="BQ83" s="1273">
        <f>SUM(BQ68:BQ82)</f>
        <v>22</v>
      </c>
      <c r="BR83" s="1273">
        <f>SUM(BR68:BR82)</f>
        <v>74</v>
      </c>
      <c r="BS83" s="1274">
        <f>SUM(BS68:BS82)</f>
        <v>138</v>
      </c>
      <c r="BT83" s="1272">
        <f t="shared" ref="BT83:CI83" si="71">SUM(BT67:BT82)</f>
        <v>63</v>
      </c>
      <c r="BU83" s="1273">
        <f t="shared" si="71"/>
        <v>16</v>
      </c>
      <c r="BV83" s="1273">
        <f t="shared" si="71"/>
        <v>55</v>
      </c>
      <c r="BW83" s="1274">
        <f t="shared" si="71"/>
        <v>134</v>
      </c>
      <c r="BX83" s="1272">
        <f t="shared" si="71"/>
        <v>34</v>
      </c>
      <c r="BY83" s="1273">
        <f t="shared" si="71"/>
        <v>23</v>
      </c>
      <c r="BZ83" s="1273">
        <f t="shared" si="71"/>
        <v>64</v>
      </c>
      <c r="CA83" s="1274">
        <f t="shared" si="71"/>
        <v>121</v>
      </c>
      <c r="CB83" s="1272">
        <f t="shared" si="71"/>
        <v>48</v>
      </c>
      <c r="CC83" s="1273">
        <f t="shared" si="71"/>
        <v>26</v>
      </c>
      <c r="CD83" s="1273">
        <f t="shared" si="71"/>
        <v>56</v>
      </c>
      <c r="CE83" s="1274">
        <f t="shared" si="71"/>
        <v>130</v>
      </c>
      <c r="CF83" s="1272">
        <f t="shared" si="71"/>
        <v>50</v>
      </c>
      <c r="CG83" s="1273">
        <f t="shared" si="71"/>
        <v>45</v>
      </c>
      <c r="CH83" s="1273">
        <f t="shared" si="71"/>
        <v>47</v>
      </c>
      <c r="CI83" s="1274">
        <f t="shared" si="71"/>
        <v>142</v>
      </c>
      <c r="CJ83" s="1272">
        <f t="shared" ref="CJ83:CQ83" si="72">SUM(CJ67:CJ82)</f>
        <v>16</v>
      </c>
      <c r="CK83" s="1273">
        <f t="shared" si="72"/>
        <v>52</v>
      </c>
      <c r="CL83" s="1273">
        <f t="shared" si="72"/>
        <v>16</v>
      </c>
      <c r="CM83" s="1274">
        <f t="shared" si="72"/>
        <v>84</v>
      </c>
      <c r="CN83" s="1272">
        <f t="shared" si="72"/>
        <v>6</v>
      </c>
      <c r="CO83" s="1273">
        <f t="shared" si="72"/>
        <v>33</v>
      </c>
      <c r="CP83" s="1273">
        <f t="shared" si="72"/>
        <v>30</v>
      </c>
      <c r="CQ83" s="1274">
        <f t="shared" si="72"/>
        <v>69</v>
      </c>
      <c r="CR83" s="1272">
        <f>SUM(CR67:CR82)</f>
        <v>27</v>
      </c>
      <c r="CS83" s="1273">
        <f t="shared" ref="CS83:CU83" si="73">SUM(CS67:CS82)</f>
        <v>26</v>
      </c>
      <c r="CT83" s="1273">
        <f t="shared" si="73"/>
        <v>66</v>
      </c>
      <c r="CU83" s="1274">
        <f t="shared" si="73"/>
        <v>119</v>
      </c>
    </row>
    <row r="84" spans="2:99" ht="14.4" x14ac:dyDescent="0.3">
      <c r="B84" s="1305" t="s">
        <v>308</v>
      </c>
      <c r="C84" s="1306" t="s">
        <v>370</v>
      </c>
      <c r="D84" s="1296"/>
      <c r="E84" s="1297"/>
      <c r="F84" s="1297">
        <v>12</v>
      </c>
      <c r="G84" s="1260">
        <v>12</v>
      </c>
      <c r="H84" s="1296"/>
      <c r="I84" s="1297"/>
      <c r="J84" s="1297">
        <v>9</v>
      </c>
      <c r="K84" s="1260">
        <v>9</v>
      </c>
      <c r="L84" s="1296"/>
      <c r="M84" s="1297"/>
      <c r="N84" s="1297">
        <v>13</v>
      </c>
      <c r="O84" s="1260">
        <v>13</v>
      </c>
      <c r="P84" s="1296"/>
      <c r="Q84" s="1297"/>
      <c r="R84" s="1297">
        <v>25</v>
      </c>
      <c r="S84" s="1260">
        <v>25</v>
      </c>
      <c r="T84" s="1296"/>
      <c r="U84" s="1297"/>
      <c r="V84" s="1297">
        <v>41</v>
      </c>
      <c r="W84" s="1260">
        <f>SUM(T84:V84)</f>
        <v>41</v>
      </c>
      <c r="X84" s="1259"/>
      <c r="Y84" s="1259"/>
      <c r="Z84" s="1259">
        <v>73</v>
      </c>
      <c r="AA84" s="1260">
        <f>SUM(X84:Z84)</f>
        <v>73</v>
      </c>
      <c r="AB84" s="1259"/>
      <c r="AC84" s="1259"/>
      <c r="AD84" s="1259"/>
      <c r="AE84" s="1260"/>
      <c r="AF84" s="1259">
        <v>86</v>
      </c>
      <c r="AG84" s="1259"/>
      <c r="AH84" s="1259"/>
      <c r="AI84" s="1260">
        <f>SUM(AF84:AH84)</f>
        <v>86</v>
      </c>
      <c r="AJ84" s="1259">
        <v>90</v>
      </c>
      <c r="AK84" s="1259"/>
      <c r="AL84" s="1259">
        <v>19</v>
      </c>
      <c r="AM84" s="1260">
        <f t="shared" ref="AM84:AM89" si="74">SUM(AJ84:AL84)</f>
        <v>109</v>
      </c>
      <c r="AN84" s="1259">
        <v>101</v>
      </c>
      <c r="AO84" s="1259"/>
      <c r="AP84" s="1259"/>
      <c r="AQ84" s="1260">
        <f>SUM(AN84:AP84)</f>
        <v>101</v>
      </c>
      <c r="AR84" s="1259" t="s">
        <v>122</v>
      </c>
      <c r="AS84" s="1259">
        <v>99</v>
      </c>
      <c r="AT84" s="1259">
        <v>16</v>
      </c>
      <c r="AU84" s="1260">
        <f>SUM(AR84:AT84)</f>
        <v>115</v>
      </c>
      <c r="AV84" s="1259"/>
      <c r="AW84" s="1259"/>
      <c r="AX84" s="1259">
        <v>104</v>
      </c>
      <c r="AY84" s="1260">
        <f>AV84+AW84+AX84</f>
        <v>104</v>
      </c>
      <c r="AZ84" s="1259"/>
      <c r="BA84" s="1259"/>
      <c r="BB84" s="1259">
        <v>72</v>
      </c>
      <c r="BC84" s="1260">
        <f>AZ84+BA84+BB84</f>
        <v>72</v>
      </c>
      <c r="BD84" s="1259"/>
      <c r="BE84" s="1259"/>
      <c r="BF84" s="1259"/>
      <c r="BG84" s="1260"/>
      <c r="BH84" s="1259"/>
      <c r="BI84" s="1259"/>
      <c r="BJ84" s="1259">
        <v>36</v>
      </c>
      <c r="BK84" s="1264">
        <f>BH84+BI84+BJ84</f>
        <v>36</v>
      </c>
      <c r="BL84" s="1259"/>
      <c r="BM84" s="1259"/>
      <c r="BN84" s="1259">
        <v>15</v>
      </c>
      <c r="BO84" s="1264">
        <f>BL84+BM84+BN84</f>
        <v>15</v>
      </c>
      <c r="BP84" s="1259">
        <v>33</v>
      </c>
      <c r="BQ84" s="1259">
        <v>1</v>
      </c>
      <c r="BR84" s="1259">
        <v>24</v>
      </c>
      <c r="BS84" s="1264">
        <f>BP84+BQ84+BR84</f>
        <v>58</v>
      </c>
      <c r="BT84" s="1259"/>
      <c r="BU84" s="1259"/>
      <c r="BV84" s="1259">
        <v>12</v>
      </c>
      <c r="BW84" s="1264">
        <f>BT84+BU84+BV84</f>
        <v>12</v>
      </c>
      <c r="BX84" s="1259"/>
      <c r="BY84" s="1259">
        <v>61</v>
      </c>
      <c r="BZ84" s="1259"/>
      <c r="CA84" s="1264">
        <f>BX84+BY84+BZ84</f>
        <v>61</v>
      </c>
      <c r="CB84" s="1259"/>
      <c r="CC84" s="1259">
        <v>44</v>
      </c>
      <c r="CD84" s="1259">
        <v>11</v>
      </c>
      <c r="CE84" s="1264">
        <f>CB84+CC84+CD84</f>
        <v>55</v>
      </c>
      <c r="CF84" s="1259"/>
      <c r="CG84" s="1259">
        <v>27</v>
      </c>
      <c r="CH84" s="1259"/>
      <c r="CI84" s="1264">
        <f>CF84+CG84+CH84</f>
        <v>27</v>
      </c>
      <c r="CJ84" s="1259"/>
      <c r="CK84" s="1259">
        <v>57</v>
      </c>
      <c r="CL84" s="1259"/>
      <c r="CM84" s="1264">
        <f>CJ84+CK84+CL84</f>
        <v>57</v>
      </c>
      <c r="CN84" s="1259"/>
      <c r="CO84" s="1259"/>
      <c r="CP84" s="1259"/>
      <c r="CQ84" s="1264">
        <f>CN84+CO84+CP84</f>
        <v>0</v>
      </c>
      <c r="CR84" s="1259"/>
      <c r="CS84" s="1259"/>
      <c r="CT84" s="1259">
        <v>9</v>
      </c>
      <c r="CU84" s="1264">
        <f>CR84+CS84+CT84</f>
        <v>9</v>
      </c>
    </row>
    <row r="85" spans="2:99" ht="14.4" x14ac:dyDescent="0.3">
      <c r="B85" s="5834" t="s">
        <v>310</v>
      </c>
      <c r="C85" s="4406" t="s">
        <v>371</v>
      </c>
      <c r="D85" s="4409"/>
      <c r="E85" s="4408"/>
      <c r="F85" s="4408">
        <v>20</v>
      </c>
      <c r="G85" s="4405">
        <v>20</v>
      </c>
      <c r="H85" s="4409">
        <v>5</v>
      </c>
      <c r="I85" s="4408"/>
      <c r="J85" s="4408">
        <v>22</v>
      </c>
      <c r="K85" s="4405">
        <v>27</v>
      </c>
      <c r="L85" s="4409"/>
      <c r="M85" s="4408"/>
      <c r="N85" s="4408">
        <v>9</v>
      </c>
      <c r="O85" s="4405">
        <v>9</v>
      </c>
      <c r="P85" s="4409"/>
      <c r="Q85" s="4408"/>
      <c r="R85" s="4408">
        <v>17</v>
      </c>
      <c r="S85" s="4405">
        <v>17</v>
      </c>
      <c r="T85" s="4409"/>
      <c r="U85" s="4408"/>
      <c r="V85" s="4408">
        <v>1</v>
      </c>
      <c r="W85" s="4405">
        <f>SUM(T85:V85)</f>
        <v>1</v>
      </c>
      <c r="X85" s="4404"/>
      <c r="Y85" s="4404"/>
      <c r="Z85" s="4404">
        <v>1</v>
      </c>
      <c r="AA85" s="4405">
        <f>SUM(X85:Z85)</f>
        <v>1</v>
      </c>
      <c r="AB85" s="4404"/>
      <c r="AC85" s="4404"/>
      <c r="AD85" s="4404">
        <v>5</v>
      </c>
      <c r="AE85" s="4405">
        <f>SUM(AB85:AD85)</f>
        <v>5</v>
      </c>
      <c r="AF85" s="4404"/>
      <c r="AG85" s="4404"/>
      <c r="AH85" s="4404">
        <v>3</v>
      </c>
      <c r="AI85" s="4405">
        <f>SUM(AF85:AH85)</f>
        <v>3</v>
      </c>
      <c r="AJ85" s="4404">
        <v>3</v>
      </c>
      <c r="AK85" s="4404"/>
      <c r="AL85" s="4404"/>
      <c r="AM85" s="4405">
        <f t="shared" si="74"/>
        <v>3</v>
      </c>
      <c r="AN85" s="4404"/>
      <c r="AO85" s="4404"/>
      <c r="AP85" s="4404"/>
      <c r="AQ85" s="4405"/>
      <c r="AR85" s="4404"/>
      <c r="AS85" s="4404"/>
      <c r="AT85" s="4404"/>
      <c r="AU85" s="4405"/>
      <c r="AV85" s="4404"/>
      <c r="AW85" s="4404"/>
      <c r="AX85" s="4404"/>
      <c r="AY85" s="4405"/>
      <c r="AZ85" s="4404"/>
      <c r="BA85" s="4404"/>
      <c r="BB85" s="4404"/>
      <c r="BC85" s="4405"/>
      <c r="BD85" s="4404"/>
      <c r="BE85" s="4404"/>
      <c r="BF85" s="4404">
        <v>14</v>
      </c>
      <c r="BG85" s="4405">
        <f>BD85+BE85+BF85</f>
        <v>14</v>
      </c>
      <c r="BH85" s="4404"/>
      <c r="BI85" s="4404"/>
      <c r="BJ85" s="4404">
        <v>14</v>
      </c>
      <c r="BK85" s="4405">
        <f>BH85+BI85+BJ85</f>
        <v>14</v>
      </c>
      <c r="BL85" s="4404"/>
      <c r="BM85" s="4404"/>
      <c r="BN85" s="4404"/>
      <c r="BO85" s="4405">
        <f>BL85+BM85+BN85</f>
        <v>0</v>
      </c>
      <c r="BP85" s="4404"/>
      <c r="BQ85" s="4404"/>
      <c r="BR85" s="4404">
        <v>15</v>
      </c>
      <c r="BS85" s="4405">
        <f>BP85+BQ85+BR85</f>
        <v>15</v>
      </c>
      <c r="BT85" s="4404"/>
      <c r="BU85" s="4404"/>
      <c r="BV85" s="4404"/>
      <c r="BW85" s="4405">
        <f>BT85+BU85+BV85</f>
        <v>0</v>
      </c>
      <c r="BX85" s="4404"/>
      <c r="BY85" s="4404"/>
      <c r="BZ85" s="4404">
        <v>12</v>
      </c>
      <c r="CA85" s="4405">
        <f>BX85+BY85+BZ85</f>
        <v>12</v>
      </c>
      <c r="CB85" s="4404"/>
      <c r="CC85" s="4404"/>
      <c r="CD85" s="4404"/>
      <c r="CE85" s="4405">
        <f>CB85+CC85+CD85</f>
        <v>0</v>
      </c>
      <c r="CF85" s="4404"/>
      <c r="CG85" s="4404"/>
      <c r="CH85" s="4404">
        <v>11</v>
      </c>
      <c r="CI85" s="4405">
        <f>CF85+CG85+CH85</f>
        <v>11</v>
      </c>
      <c r="CJ85" s="4404"/>
      <c r="CK85" s="4404"/>
      <c r="CL85" s="4404"/>
      <c r="CM85" s="4405">
        <f>CJ85+CK85+CL85</f>
        <v>0</v>
      </c>
      <c r="CN85" s="4404"/>
      <c r="CO85" s="4404"/>
      <c r="CP85" s="4404">
        <v>11</v>
      </c>
      <c r="CQ85" s="4405">
        <f>CN85+CO85+CP85</f>
        <v>11</v>
      </c>
      <c r="CR85" s="4404"/>
      <c r="CS85" s="4404"/>
      <c r="CT85" s="4404"/>
      <c r="CU85" s="4405">
        <f>CR85+CS85+CT85</f>
        <v>0</v>
      </c>
    </row>
    <row r="86" spans="2:99" ht="14.4" x14ac:dyDescent="0.3">
      <c r="B86" s="5835"/>
      <c r="C86" s="4406" t="s">
        <v>372</v>
      </c>
      <c r="D86" s="4409"/>
      <c r="E86" s="4408"/>
      <c r="F86" s="4408">
        <v>46</v>
      </c>
      <c r="G86" s="4405">
        <v>46</v>
      </c>
      <c r="H86" s="4409">
        <v>1</v>
      </c>
      <c r="I86" s="4408"/>
      <c r="J86" s="4408"/>
      <c r="K86" s="4405">
        <v>1</v>
      </c>
      <c r="L86" s="4409"/>
      <c r="M86" s="4408"/>
      <c r="N86" s="4408">
        <v>14</v>
      </c>
      <c r="O86" s="4405">
        <v>14</v>
      </c>
      <c r="P86" s="4409"/>
      <c r="Q86" s="4408"/>
      <c r="R86" s="4408"/>
      <c r="S86" s="4405"/>
      <c r="T86" s="4409"/>
      <c r="U86" s="4408"/>
      <c r="V86" s="4408">
        <v>13</v>
      </c>
      <c r="W86" s="4405">
        <f>SUM(T86:V86)</f>
        <v>13</v>
      </c>
      <c r="X86" s="4404"/>
      <c r="Y86" s="4404"/>
      <c r="Z86" s="4404">
        <v>1</v>
      </c>
      <c r="AA86" s="4405">
        <f>SUM(X86:Z86)</f>
        <v>1</v>
      </c>
      <c r="AB86" s="4404"/>
      <c r="AC86" s="4404"/>
      <c r="AD86" s="4404">
        <v>11</v>
      </c>
      <c r="AE86" s="4405">
        <f>SUM(AB86:AD86)</f>
        <v>11</v>
      </c>
      <c r="AF86" s="4404"/>
      <c r="AG86" s="4404"/>
      <c r="AH86" s="4404"/>
      <c r="AI86" s="4405"/>
      <c r="AJ86" s="4404"/>
      <c r="AK86" s="4404"/>
      <c r="AL86" s="4404">
        <v>14</v>
      </c>
      <c r="AM86" s="4405">
        <f t="shared" si="74"/>
        <v>14</v>
      </c>
      <c r="AN86" s="4404"/>
      <c r="AO86" s="4404"/>
      <c r="AP86" s="4404">
        <v>21</v>
      </c>
      <c r="AQ86" s="4405">
        <f t="shared" ref="AQ86:AQ96" si="75">SUM(AN86:AP86)</f>
        <v>21</v>
      </c>
      <c r="AR86" s="4404" t="s">
        <v>122</v>
      </c>
      <c r="AS86" s="4404" t="s">
        <v>122</v>
      </c>
      <c r="AT86" s="4404">
        <v>14</v>
      </c>
      <c r="AU86" s="4405">
        <f>SUM(AR86:AT86)</f>
        <v>14</v>
      </c>
      <c r="AV86" s="4404"/>
      <c r="AW86" s="4404"/>
      <c r="AX86" s="4404"/>
      <c r="AY86" s="4405"/>
      <c r="AZ86" s="4404"/>
      <c r="BA86" s="4404"/>
      <c r="BB86" s="4404">
        <v>18</v>
      </c>
      <c r="BC86" s="4405">
        <f>AZ86+BA86+BB86</f>
        <v>18</v>
      </c>
      <c r="BD86" s="4404"/>
      <c r="BE86" s="4404"/>
      <c r="BF86" s="4404"/>
      <c r="BG86" s="4405"/>
      <c r="BH86" s="4404"/>
      <c r="BI86" s="4404"/>
      <c r="BJ86" s="4404"/>
      <c r="BK86" s="4405">
        <f>BH86+BI86+BJ86</f>
        <v>0</v>
      </c>
      <c r="BL86" s="4404"/>
      <c r="BM86" s="4404">
        <v>15</v>
      </c>
      <c r="BN86" s="4404"/>
      <c r="BO86" s="4405">
        <f>BL86+BM86+BN86</f>
        <v>15</v>
      </c>
      <c r="BP86" s="4404"/>
      <c r="BQ86" s="4404"/>
      <c r="BR86" s="4404">
        <v>31</v>
      </c>
      <c r="BS86" s="4405">
        <f>BP86+BQ86+BR86</f>
        <v>31</v>
      </c>
      <c r="BT86" s="4404"/>
      <c r="BU86" s="4404"/>
      <c r="BV86" s="4404"/>
      <c r="BW86" s="4405">
        <f>BT86+BU86+BV86</f>
        <v>0</v>
      </c>
      <c r="BX86" s="4404"/>
      <c r="BY86" s="4404"/>
      <c r="BZ86" s="4404">
        <v>25</v>
      </c>
      <c r="CA86" s="4405">
        <f t="shared" ref="CA86:CA98" si="76">BX86+BY86+BZ86</f>
        <v>25</v>
      </c>
      <c r="CB86" s="4404"/>
      <c r="CC86" s="4404"/>
      <c r="CD86" s="4404"/>
      <c r="CE86" s="4405">
        <f t="shared" ref="CE86:CE98" si="77">CB86+CC86+CD86</f>
        <v>0</v>
      </c>
      <c r="CF86" s="4404"/>
      <c r="CG86" s="4404"/>
      <c r="CH86" s="4404">
        <v>25</v>
      </c>
      <c r="CI86" s="4405">
        <f t="shared" ref="CI86:CI98" si="78">CF86+CG86+CH86</f>
        <v>25</v>
      </c>
      <c r="CJ86" s="4404"/>
      <c r="CK86" s="4404"/>
      <c r="CL86" s="4404"/>
      <c r="CM86" s="4405">
        <f t="shared" ref="CM86:CM98" si="79">CJ86+CK86+CL86</f>
        <v>0</v>
      </c>
      <c r="CN86" s="4404"/>
      <c r="CO86" s="4404"/>
      <c r="CP86" s="4404">
        <v>23</v>
      </c>
      <c r="CQ86" s="4405">
        <f t="shared" ref="CQ86:CQ96" si="80">CN86+CO86+CP86</f>
        <v>23</v>
      </c>
      <c r="CR86" s="4404">
        <v>19</v>
      </c>
      <c r="CS86" s="4404"/>
      <c r="CT86" s="4404"/>
      <c r="CU86" s="4405">
        <f t="shared" ref="CU86:CU98" si="81">CR86+CS86+CT86</f>
        <v>19</v>
      </c>
    </row>
    <row r="87" spans="2:99" ht="14.4" x14ac:dyDescent="0.3">
      <c r="B87" s="5835"/>
      <c r="C87" s="4406" t="s">
        <v>373</v>
      </c>
      <c r="D87" s="4409"/>
      <c r="E87" s="4408"/>
      <c r="F87" s="4408">
        <v>13</v>
      </c>
      <c r="G87" s="4405">
        <v>13</v>
      </c>
      <c r="H87" s="4409">
        <v>2</v>
      </c>
      <c r="I87" s="4408"/>
      <c r="J87" s="4408">
        <v>62</v>
      </c>
      <c r="K87" s="4405">
        <v>64</v>
      </c>
      <c r="L87" s="4409"/>
      <c r="M87" s="4408"/>
      <c r="N87" s="4408">
        <v>3</v>
      </c>
      <c r="O87" s="4405">
        <v>3</v>
      </c>
      <c r="P87" s="4409"/>
      <c r="Q87" s="4408"/>
      <c r="R87" s="4408">
        <v>86</v>
      </c>
      <c r="S87" s="4405">
        <v>86</v>
      </c>
      <c r="T87" s="4409"/>
      <c r="U87" s="4408"/>
      <c r="V87" s="4408"/>
      <c r="W87" s="4405"/>
      <c r="X87" s="4404"/>
      <c r="Y87" s="4404"/>
      <c r="Z87" s="4404"/>
      <c r="AA87" s="4405"/>
      <c r="AB87" s="4404">
        <v>55</v>
      </c>
      <c r="AC87" s="4404"/>
      <c r="AD87" s="4404"/>
      <c r="AE87" s="4405">
        <f>SUM(AB87:AD87)</f>
        <v>55</v>
      </c>
      <c r="AF87" s="4404">
        <v>1</v>
      </c>
      <c r="AG87" s="4404"/>
      <c r="AH87" s="4404"/>
      <c r="AI87" s="4405">
        <f>SUM(AF87:AH87)</f>
        <v>1</v>
      </c>
      <c r="AJ87" s="4404">
        <v>56</v>
      </c>
      <c r="AK87" s="4404"/>
      <c r="AL87" s="4404"/>
      <c r="AM87" s="4405">
        <f t="shared" si="74"/>
        <v>56</v>
      </c>
      <c r="AN87" s="4404"/>
      <c r="AO87" s="4404"/>
      <c r="AP87" s="4404">
        <v>85</v>
      </c>
      <c r="AQ87" s="4405">
        <f t="shared" si="75"/>
        <v>85</v>
      </c>
      <c r="AR87" s="4404" t="s">
        <v>122</v>
      </c>
      <c r="AS87" s="4404" t="s">
        <v>122</v>
      </c>
      <c r="AT87" s="4404">
        <v>6</v>
      </c>
      <c r="AU87" s="4405">
        <f>SUM(AR87:AT87)</f>
        <v>6</v>
      </c>
      <c r="AV87" s="4404"/>
      <c r="AW87" s="4404"/>
      <c r="AX87" s="4404">
        <v>66</v>
      </c>
      <c r="AY87" s="4405">
        <f t="shared" ref="AY87:AY96" si="82">AV87+AW87+AX87</f>
        <v>66</v>
      </c>
      <c r="AZ87" s="4404"/>
      <c r="BA87" s="4404"/>
      <c r="BB87" s="4404"/>
      <c r="BC87" s="4405"/>
      <c r="BD87" s="4404"/>
      <c r="BE87" s="4404"/>
      <c r="BF87" s="4404">
        <v>63</v>
      </c>
      <c r="BG87" s="4405">
        <f t="shared" ref="BG87:BG94" si="83">BD87+BE87+BF87</f>
        <v>63</v>
      </c>
      <c r="BH87" s="4404"/>
      <c r="BI87" s="4404"/>
      <c r="BJ87" s="4404"/>
      <c r="BK87" s="4405">
        <f t="shared" ref="BK87:BK96" si="84">BH87+BI87+BJ87</f>
        <v>0</v>
      </c>
      <c r="BL87" s="4404"/>
      <c r="BM87" s="4404"/>
      <c r="BN87" s="4404">
        <v>59</v>
      </c>
      <c r="BO87" s="4405">
        <f t="shared" ref="BO87:BO96" si="85">BL87+BM87+BN87</f>
        <v>59</v>
      </c>
      <c r="BP87" s="4404"/>
      <c r="BQ87" s="4404"/>
      <c r="BR87" s="4404"/>
      <c r="BS87" s="4405">
        <f t="shared" ref="BS87:BS96" si="86">BP87+BQ87+BR87</f>
        <v>0</v>
      </c>
      <c r="BT87" s="4404"/>
      <c r="BU87" s="4404"/>
      <c r="BV87" s="4404">
        <v>49</v>
      </c>
      <c r="BW87" s="4405">
        <f t="shared" ref="BW87:BW96" si="87">BT87+BU87+BV87</f>
        <v>49</v>
      </c>
      <c r="BX87" s="4404"/>
      <c r="BY87" s="4404"/>
      <c r="BZ87" s="4404"/>
      <c r="CA87" s="4405">
        <f t="shared" si="76"/>
        <v>0</v>
      </c>
      <c r="CB87" s="4404"/>
      <c r="CC87" s="4404"/>
      <c r="CD87" s="4404">
        <v>57</v>
      </c>
      <c r="CE87" s="4405">
        <f t="shared" si="77"/>
        <v>57</v>
      </c>
      <c r="CF87" s="4404"/>
      <c r="CG87" s="4404"/>
      <c r="CH87" s="4404"/>
      <c r="CI87" s="4405">
        <f t="shared" si="78"/>
        <v>0</v>
      </c>
      <c r="CJ87" s="4404"/>
      <c r="CK87" s="4404"/>
      <c r="CL87" s="4404">
        <v>12</v>
      </c>
      <c r="CM87" s="4405">
        <f t="shared" si="79"/>
        <v>12</v>
      </c>
      <c r="CN87" s="4404"/>
      <c r="CO87" s="4404"/>
      <c r="CP87" s="4404"/>
      <c r="CQ87" s="4405">
        <f t="shared" si="80"/>
        <v>0</v>
      </c>
      <c r="CR87" s="4404"/>
      <c r="CS87" s="4404"/>
      <c r="CT87" s="4404">
        <v>39</v>
      </c>
      <c r="CU87" s="4405">
        <f t="shared" si="81"/>
        <v>39</v>
      </c>
    </row>
    <row r="88" spans="2:99" ht="14.4" x14ac:dyDescent="0.3">
      <c r="B88" s="5835"/>
      <c r="C88" s="4406" t="s">
        <v>374</v>
      </c>
      <c r="D88" s="4409"/>
      <c r="E88" s="4408"/>
      <c r="F88" s="4408"/>
      <c r="G88" s="4405"/>
      <c r="H88" s="4409">
        <v>2</v>
      </c>
      <c r="I88" s="4408"/>
      <c r="J88" s="4408">
        <v>47</v>
      </c>
      <c r="K88" s="4405">
        <v>49</v>
      </c>
      <c r="L88" s="4409"/>
      <c r="M88" s="4408"/>
      <c r="N88" s="4408">
        <v>14</v>
      </c>
      <c r="O88" s="4405">
        <v>14</v>
      </c>
      <c r="P88" s="4409"/>
      <c r="Q88" s="4408"/>
      <c r="R88" s="4408">
        <v>96</v>
      </c>
      <c r="S88" s="4405">
        <v>96</v>
      </c>
      <c r="T88" s="4409"/>
      <c r="U88" s="4408"/>
      <c r="V88" s="4408">
        <v>6</v>
      </c>
      <c r="W88" s="4405">
        <f>SUM(T88:V88)</f>
        <v>6</v>
      </c>
      <c r="X88" s="4404"/>
      <c r="Y88" s="4404"/>
      <c r="Z88" s="4404">
        <v>20</v>
      </c>
      <c r="AA88" s="4405">
        <f>SUM(X88:Z88)</f>
        <v>20</v>
      </c>
      <c r="AB88" s="4404"/>
      <c r="AC88" s="4404"/>
      <c r="AD88" s="4404">
        <v>8</v>
      </c>
      <c r="AE88" s="4405">
        <f>SUM(AB88:AD88)</f>
        <v>8</v>
      </c>
      <c r="AF88" s="4404"/>
      <c r="AG88" s="4404"/>
      <c r="AH88" s="4404">
        <v>30</v>
      </c>
      <c r="AI88" s="4405">
        <f>SUM(AF88:AH88)</f>
        <v>30</v>
      </c>
      <c r="AJ88" s="4404"/>
      <c r="AK88" s="4404"/>
      <c r="AL88" s="4404">
        <v>8</v>
      </c>
      <c r="AM88" s="4405">
        <f t="shared" si="74"/>
        <v>8</v>
      </c>
      <c r="AN88" s="4404"/>
      <c r="AO88" s="4404"/>
      <c r="AP88" s="4404">
        <v>31</v>
      </c>
      <c r="AQ88" s="4405">
        <f t="shared" si="75"/>
        <v>31</v>
      </c>
      <c r="AR88" s="4404"/>
      <c r="AS88" s="4404"/>
      <c r="AT88" s="4404"/>
      <c r="AU88" s="4405"/>
      <c r="AV88" s="4404"/>
      <c r="AW88" s="4404"/>
      <c r="AX88" s="4404">
        <v>37</v>
      </c>
      <c r="AY88" s="4405">
        <f t="shared" si="82"/>
        <v>37</v>
      </c>
      <c r="AZ88" s="4404"/>
      <c r="BA88" s="4404"/>
      <c r="BB88" s="4404"/>
      <c r="BC88" s="4405"/>
      <c r="BD88" s="4404"/>
      <c r="BE88" s="4404"/>
      <c r="BF88" s="4404">
        <v>28</v>
      </c>
      <c r="BG88" s="4405">
        <f t="shared" si="83"/>
        <v>28</v>
      </c>
      <c r="BH88" s="4404"/>
      <c r="BI88" s="4404"/>
      <c r="BJ88" s="4404"/>
      <c r="BK88" s="4405">
        <f t="shared" si="84"/>
        <v>0</v>
      </c>
      <c r="BL88" s="4404"/>
      <c r="BM88" s="4404"/>
      <c r="BN88" s="4404">
        <v>28</v>
      </c>
      <c r="BO88" s="4405">
        <f t="shared" si="85"/>
        <v>28</v>
      </c>
      <c r="BP88" s="4404"/>
      <c r="BQ88" s="4404"/>
      <c r="BR88" s="4404"/>
      <c r="BS88" s="4405">
        <f t="shared" si="86"/>
        <v>0</v>
      </c>
      <c r="BT88" s="4404"/>
      <c r="BU88" s="4404"/>
      <c r="BV88" s="4404">
        <v>20</v>
      </c>
      <c r="BW88" s="4405">
        <f t="shared" si="87"/>
        <v>20</v>
      </c>
      <c r="BX88" s="4404"/>
      <c r="BY88" s="4404"/>
      <c r="BZ88" s="4404"/>
      <c r="CA88" s="4405">
        <f t="shared" si="76"/>
        <v>0</v>
      </c>
      <c r="CB88" s="4404"/>
      <c r="CC88" s="4404"/>
      <c r="CD88" s="4404">
        <v>20</v>
      </c>
      <c r="CE88" s="4405">
        <f t="shared" si="77"/>
        <v>20</v>
      </c>
      <c r="CF88" s="4404"/>
      <c r="CG88" s="4404"/>
      <c r="CH88" s="4404"/>
      <c r="CI88" s="4405">
        <f t="shared" si="78"/>
        <v>0</v>
      </c>
      <c r="CJ88" s="4404"/>
      <c r="CK88" s="4404"/>
      <c r="CL88" s="4404">
        <v>17</v>
      </c>
      <c r="CM88" s="4405">
        <f t="shared" si="79"/>
        <v>17</v>
      </c>
      <c r="CN88" s="4404"/>
      <c r="CO88" s="4404"/>
      <c r="CP88" s="4404"/>
      <c r="CQ88" s="4405">
        <f t="shared" si="80"/>
        <v>0</v>
      </c>
      <c r="CR88" s="4404"/>
      <c r="CS88" s="4404"/>
      <c r="CT88" s="4404">
        <v>16</v>
      </c>
      <c r="CU88" s="4405">
        <f t="shared" si="81"/>
        <v>16</v>
      </c>
    </row>
    <row r="89" spans="2:99" ht="14.4" x14ac:dyDescent="0.3">
      <c r="B89" s="5835"/>
      <c r="C89" s="4402" t="s">
        <v>328</v>
      </c>
      <c r="D89" s="4409"/>
      <c r="E89" s="4408"/>
      <c r="F89" s="4408"/>
      <c r="G89" s="4405"/>
      <c r="H89" s="4409">
        <v>19</v>
      </c>
      <c r="I89" s="4408"/>
      <c r="J89" s="4408"/>
      <c r="K89" s="4405">
        <v>19</v>
      </c>
      <c r="L89" s="4409"/>
      <c r="M89" s="4408"/>
      <c r="N89" s="4408"/>
      <c r="O89" s="4405"/>
      <c r="P89" s="4409">
        <v>3</v>
      </c>
      <c r="Q89" s="4408"/>
      <c r="R89" s="4408"/>
      <c r="S89" s="4405">
        <v>3</v>
      </c>
      <c r="T89" s="4409"/>
      <c r="U89" s="4408"/>
      <c r="V89" s="4408"/>
      <c r="W89" s="4405"/>
      <c r="X89" s="4404">
        <v>1</v>
      </c>
      <c r="Y89" s="4404"/>
      <c r="Z89" s="4404"/>
      <c r="AA89" s="4405">
        <f>SUM(X89:Z89)</f>
        <v>1</v>
      </c>
      <c r="AB89" s="4404">
        <v>6</v>
      </c>
      <c r="AC89" s="4404"/>
      <c r="AD89" s="4404"/>
      <c r="AE89" s="4405">
        <f>SUM(AB89:AD89)</f>
        <v>6</v>
      </c>
      <c r="AF89" s="4404">
        <v>4</v>
      </c>
      <c r="AG89" s="4404"/>
      <c r="AH89" s="4404"/>
      <c r="AI89" s="4405">
        <f>SUM(AF89:AH89)</f>
        <v>4</v>
      </c>
      <c r="AJ89" s="4404">
        <v>7</v>
      </c>
      <c r="AK89" s="4404"/>
      <c r="AL89" s="4404"/>
      <c r="AM89" s="4405">
        <f t="shared" si="74"/>
        <v>7</v>
      </c>
      <c r="AN89" s="4404">
        <v>10</v>
      </c>
      <c r="AO89" s="4404"/>
      <c r="AP89" s="4404"/>
      <c r="AQ89" s="4405">
        <f t="shared" si="75"/>
        <v>10</v>
      </c>
      <c r="AR89" s="4404">
        <v>13</v>
      </c>
      <c r="AS89" s="4404"/>
      <c r="AT89" s="4404"/>
      <c r="AU89" s="4405">
        <f>SUM(AR89:AT89)</f>
        <v>13</v>
      </c>
      <c r="AV89" s="4404">
        <v>14</v>
      </c>
      <c r="AW89" s="4404"/>
      <c r="AX89" s="4404"/>
      <c r="AY89" s="4405">
        <f t="shared" si="82"/>
        <v>14</v>
      </c>
      <c r="AZ89" s="4404">
        <v>14</v>
      </c>
      <c r="BA89" s="4404"/>
      <c r="BB89" s="4404"/>
      <c r="BC89" s="4405">
        <f>AZ89+BA89+BB89</f>
        <v>14</v>
      </c>
      <c r="BD89" s="4404">
        <v>14</v>
      </c>
      <c r="BE89" s="4404"/>
      <c r="BF89" s="4404"/>
      <c r="BG89" s="4405">
        <f t="shared" si="83"/>
        <v>14</v>
      </c>
      <c r="BH89" s="4404">
        <v>26</v>
      </c>
      <c r="BI89" s="4404"/>
      <c r="BJ89" s="4404"/>
      <c r="BK89" s="4405">
        <f t="shared" si="84"/>
        <v>26</v>
      </c>
      <c r="BL89" s="4404">
        <v>13</v>
      </c>
      <c r="BM89" s="4404"/>
      <c r="BN89" s="4404"/>
      <c r="BO89" s="4405">
        <f t="shared" si="85"/>
        <v>13</v>
      </c>
      <c r="BP89" s="4404">
        <v>10</v>
      </c>
      <c r="BQ89" s="4404"/>
      <c r="BR89" s="4404"/>
      <c r="BS89" s="4405">
        <f t="shared" si="86"/>
        <v>10</v>
      </c>
      <c r="BT89" s="4404">
        <v>11</v>
      </c>
      <c r="BU89" s="4404"/>
      <c r="BV89" s="4404"/>
      <c r="BW89" s="4405">
        <f t="shared" si="87"/>
        <v>11</v>
      </c>
      <c r="BX89" s="4404">
        <v>14</v>
      </c>
      <c r="BY89" s="4404"/>
      <c r="BZ89" s="4404"/>
      <c r="CA89" s="4405">
        <f t="shared" si="76"/>
        <v>14</v>
      </c>
      <c r="CB89" s="4404"/>
      <c r="CC89" s="4404"/>
      <c r="CD89" s="4404"/>
      <c r="CE89" s="4405">
        <f t="shared" si="77"/>
        <v>0</v>
      </c>
      <c r="CF89" s="4404"/>
      <c r="CG89" s="4404"/>
      <c r="CH89" s="4404"/>
      <c r="CI89" s="4405">
        <f t="shared" si="78"/>
        <v>0</v>
      </c>
      <c r="CJ89" s="4404"/>
      <c r="CK89" s="4404"/>
      <c r="CL89" s="4404"/>
      <c r="CM89" s="4405">
        <f t="shared" si="79"/>
        <v>0</v>
      </c>
      <c r="CN89" s="4404">
        <v>12</v>
      </c>
      <c r="CO89" s="4404"/>
      <c r="CP89" s="4404"/>
      <c r="CQ89" s="4405">
        <f t="shared" si="80"/>
        <v>12</v>
      </c>
      <c r="CR89" s="4404"/>
      <c r="CS89" s="4404"/>
      <c r="CT89" s="4404"/>
      <c r="CU89" s="4405">
        <f t="shared" si="81"/>
        <v>0</v>
      </c>
    </row>
    <row r="90" spans="2:99" ht="14.4" x14ac:dyDescent="0.3">
      <c r="B90" s="5835"/>
      <c r="C90" s="4423" t="s">
        <v>334</v>
      </c>
      <c r="D90" s="4409"/>
      <c r="E90" s="4408"/>
      <c r="F90" s="4408"/>
      <c r="G90" s="4405"/>
      <c r="H90" s="4409"/>
      <c r="I90" s="4408"/>
      <c r="J90" s="4408"/>
      <c r="K90" s="4405"/>
      <c r="L90" s="4409"/>
      <c r="M90" s="4408"/>
      <c r="N90" s="4408"/>
      <c r="O90" s="4405"/>
      <c r="P90" s="4409"/>
      <c r="Q90" s="4408"/>
      <c r="R90" s="4408"/>
      <c r="S90" s="4405"/>
      <c r="T90" s="4409"/>
      <c r="U90" s="4408"/>
      <c r="V90" s="4408"/>
      <c r="W90" s="4405"/>
      <c r="X90" s="4404"/>
      <c r="Y90" s="4404"/>
      <c r="Z90" s="4404"/>
      <c r="AA90" s="4405"/>
      <c r="AB90" s="4404"/>
      <c r="AC90" s="4404"/>
      <c r="AD90" s="4404"/>
      <c r="AE90" s="4405"/>
      <c r="AF90" s="4404"/>
      <c r="AG90" s="4404"/>
      <c r="AH90" s="4404"/>
      <c r="AI90" s="4405"/>
      <c r="AJ90" s="4404"/>
      <c r="AK90" s="4404"/>
      <c r="AL90" s="4404"/>
      <c r="AM90" s="4405"/>
      <c r="AN90" s="4404"/>
      <c r="AO90" s="4404"/>
      <c r="AP90" s="4404"/>
      <c r="AQ90" s="4405"/>
      <c r="AR90" s="4404"/>
      <c r="AS90" s="4404"/>
      <c r="AT90" s="4404"/>
      <c r="AU90" s="4405"/>
      <c r="AV90" s="4404"/>
      <c r="AW90" s="4404"/>
      <c r="AX90" s="4404"/>
      <c r="AY90" s="4405"/>
      <c r="AZ90" s="4404"/>
      <c r="BA90" s="4404"/>
      <c r="BB90" s="4404"/>
      <c r="BC90" s="4405"/>
      <c r="BD90" s="4404"/>
      <c r="BE90" s="4404"/>
      <c r="BF90" s="4404"/>
      <c r="BG90" s="4405"/>
      <c r="BH90" s="4404"/>
      <c r="BI90" s="4404"/>
      <c r="BJ90" s="4404"/>
      <c r="BK90" s="4405"/>
      <c r="BL90" s="4404"/>
      <c r="BM90" s="4404"/>
      <c r="BN90" s="4404"/>
      <c r="BO90" s="4405"/>
      <c r="BP90" s="4404"/>
      <c r="BQ90" s="4404"/>
      <c r="BR90" s="4404"/>
      <c r="BS90" s="4405"/>
      <c r="BT90" s="4404"/>
      <c r="BU90" s="4404"/>
      <c r="BV90" s="4404"/>
      <c r="BW90" s="4405"/>
      <c r="BX90" s="4404">
        <v>10</v>
      </c>
      <c r="BY90" s="4404"/>
      <c r="BZ90" s="4404"/>
      <c r="CA90" s="4405">
        <f t="shared" si="76"/>
        <v>10</v>
      </c>
      <c r="CB90" s="4404"/>
      <c r="CC90" s="4404"/>
      <c r="CD90" s="4404"/>
      <c r="CE90" s="4405">
        <f t="shared" si="77"/>
        <v>0</v>
      </c>
      <c r="CF90" s="4404">
        <v>13</v>
      </c>
      <c r="CG90" s="4404"/>
      <c r="CH90" s="4404"/>
      <c r="CI90" s="4405">
        <f t="shared" si="78"/>
        <v>13</v>
      </c>
      <c r="CJ90" s="4404"/>
      <c r="CK90" s="4404"/>
      <c r="CL90" s="4404"/>
      <c r="CM90" s="4405">
        <f t="shared" si="79"/>
        <v>0</v>
      </c>
      <c r="CN90" s="4404">
        <v>10</v>
      </c>
      <c r="CO90" s="4404"/>
      <c r="CP90" s="4404"/>
      <c r="CQ90" s="4405">
        <f t="shared" si="80"/>
        <v>10</v>
      </c>
      <c r="CR90" s="4404"/>
      <c r="CS90" s="4404"/>
      <c r="CT90" s="4404"/>
      <c r="CU90" s="4405">
        <f t="shared" si="81"/>
        <v>0</v>
      </c>
    </row>
    <row r="91" spans="2:99" ht="14.4" x14ac:dyDescent="0.25">
      <c r="B91" s="5836"/>
      <c r="C91" s="4424" t="s">
        <v>375</v>
      </c>
      <c r="D91" s="4409"/>
      <c r="E91" s="4408"/>
      <c r="F91" s="4408"/>
      <c r="G91" s="4405"/>
      <c r="H91" s="4409"/>
      <c r="I91" s="4408"/>
      <c r="J91" s="4408"/>
      <c r="K91" s="4405"/>
      <c r="L91" s="4409"/>
      <c r="M91" s="4408"/>
      <c r="N91" s="4408"/>
      <c r="O91" s="4405"/>
      <c r="P91" s="4409"/>
      <c r="Q91" s="4408"/>
      <c r="R91" s="4408"/>
      <c r="S91" s="4405"/>
      <c r="T91" s="4409"/>
      <c r="U91" s="4408"/>
      <c r="V91" s="4408"/>
      <c r="W91" s="4405"/>
      <c r="X91" s="4404"/>
      <c r="Y91" s="4404"/>
      <c r="Z91" s="4404"/>
      <c r="AA91" s="4405"/>
      <c r="AB91" s="4404"/>
      <c r="AC91" s="4404"/>
      <c r="AD91" s="4404"/>
      <c r="AE91" s="4405"/>
      <c r="AF91" s="4404"/>
      <c r="AG91" s="4404"/>
      <c r="AH91" s="4404"/>
      <c r="AI91" s="4405"/>
      <c r="AJ91" s="4404"/>
      <c r="AK91" s="4404"/>
      <c r="AL91" s="4404"/>
      <c r="AM91" s="4405"/>
      <c r="AN91" s="4404"/>
      <c r="AO91" s="4404"/>
      <c r="AP91" s="4404"/>
      <c r="AQ91" s="4405"/>
      <c r="AR91" s="4404"/>
      <c r="AS91" s="4404"/>
      <c r="AT91" s="4404"/>
      <c r="AU91" s="4405"/>
      <c r="AV91" s="4404"/>
      <c r="AW91" s="4404"/>
      <c r="AX91" s="4404"/>
      <c r="AY91" s="4405"/>
      <c r="AZ91" s="4404"/>
      <c r="BA91" s="4404"/>
      <c r="BB91" s="4404"/>
      <c r="BC91" s="4405"/>
      <c r="BD91" s="4404"/>
      <c r="BE91" s="4404"/>
      <c r="BF91" s="4404"/>
      <c r="BG91" s="4405"/>
      <c r="BH91" s="4404"/>
      <c r="BI91" s="4404"/>
      <c r="BJ91" s="4404"/>
      <c r="BK91" s="4405"/>
      <c r="BL91" s="4404"/>
      <c r="BM91" s="4404"/>
      <c r="BN91" s="4404"/>
      <c r="BO91" s="4405"/>
      <c r="BP91" s="4404"/>
      <c r="BQ91" s="4404"/>
      <c r="BR91" s="4404"/>
      <c r="BS91" s="4405"/>
      <c r="BT91" s="4404"/>
      <c r="BU91" s="4404"/>
      <c r="BV91" s="4404"/>
      <c r="BW91" s="4405"/>
      <c r="BX91" s="4404"/>
      <c r="BY91" s="4404"/>
      <c r="BZ91" s="4404">
        <v>9</v>
      </c>
      <c r="CA91" s="4405">
        <f t="shared" si="76"/>
        <v>9</v>
      </c>
      <c r="CB91" s="4404"/>
      <c r="CC91" s="4404"/>
      <c r="CD91" s="4404"/>
      <c r="CE91" s="4405">
        <f t="shared" si="77"/>
        <v>0</v>
      </c>
      <c r="CF91" s="4404"/>
      <c r="CG91" s="4404"/>
      <c r="CH91" s="4404">
        <v>12</v>
      </c>
      <c r="CI91" s="4405">
        <f t="shared" si="78"/>
        <v>12</v>
      </c>
      <c r="CJ91" s="4404"/>
      <c r="CK91" s="4404"/>
      <c r="CL91" s="4404"/>
      <c r="CM91" s="4405">
        <f t="shared" si="79"/>
        <v>0</v>
      </c>
      <c r="CN91" s="4404"/>
      <c r="CO91" s="4404"/>
      <c r="CP91" s="4404"/>
      <c r="CQ91" s="4405">
        <f t="shared" si="80"/>
        <v>0</v>
      </c>
      <c r="CR91" s="4404"/>
      <c r="CS91" s="4404"/>
      <c r="CT91" s="4404"/>
      <c r="CU91" s="4405">
        <f t="shared" si="81"/>
        <v>0</v>
      </c>
    </row>
    <row r="92" spans="2:99" ht="14.4" x14ac:dyDescent="0.3">
      <c r="B92" s="5845" t="s">
        <v>317</v>
      </c>
      <c r="C92" s="1265" t="s">
        <v>376</v>
      </c>
      <c r="D92" s="1281">
        <v>6</v>
      </c>
      <c r="E92" s="1280"/>
      <c r="F92" s="1280">
        <v>16</v>
      </c>
      <c r="G92" s="1264">
        <v>22</v>
      </c>
      <c r="H92" s="1281">
        <v>1</v>
      </c>
      <c r="I92" s="1280"/>
      <c r="J92" s="1280">
        <v>5</v>
      </c>
      <c r="K92" s="1264">
        <v>6</v>
      </c>
      <c r="L92" s="1281">
        <v>3</v>
      </c>
      <c r="M92" s="1280"/>
      <c r="N92" s="1280">
        <v>15</v>
      </c>
      <c r="O92" s="1264">
        <v>18</v>
      </c>
      <c r="P92" s="1281">
        <v>4</v>
      </c>
      <c r="Q92" s="1280">
        <v>5</v>
      </c>
      <c r="R92" s="1280">
        <v>12</v>
      </c>
      <c r="S92" s="1264">
        <v>21</v>
      </c>
      <c r="T92" s="1281"/>
      <c r="U92" s="1280"/>
      <c r="V92" s="1280">
        <v>7</v>
      </c>
      <c r="W92" s="1264">
        <f>SUM(T92:V92)</f>
        <v>7</v>
      </c>
      <c r="X92" s="1263"/>
      <c r="Y92" s="1263"/>
      <c r="Z92" s="1263">
        <v>11</v>
      </c>
      <c r="AA92" s="1264">
        <f>SUM(X92:Z92)</f>
        <v>11</v>
      </c>
      <c r="AB92" s="1263"/>
      <c r="AC92" s="1263"/>
      <c r="AD92" s="1263">
        <v>12</v>
      </c>
      <c r="AE92" s="1264">
        <f>SUM(AB92:AD92)</f>
        <v>12</v>
      </c>
      <c r="AF92" s="1263"/>
      <c r="AG92" s="1263"/>
      <c r="AH92" s="1263">
        <v>3</v>
      </c>
      <c r="AI92" s="1264">
        <f>SUM(AF92:AH92)</f>
        <v>3</v>
      </c>
      <c r="AJ92" s="1263"/>
      <c r="AK92" s="1263"/>
      <c r="AL92" s="1263">
        <v>6</v>
      </c>
      <c r="AM92" s="1264">
        <f>SUM(AJ92:AL92)</f>
        <v>6</v>
      </c>
      <c r="AN92" s="1263"/>
      <c r="AO92" s="1263"/>
      <c r="AP92" s="1263">
        <v>6</v>
      </c>
      <c r="AQ92" s="1264">
        <f t="shared" si="75"/>
        <v>6</v>
      </c>
      <c r="AR92" s="1263"/>
      <c r="AS92" s="1263" t="s">
        <v>122</v>
      </c>
      <c r="AT92" s="1263">
        <v>13</v>
      </c>
      <c r="AU92" s="1264">
        <f>SUM(AR92:AT92)</f>
        <v>13</v>
      </c>
      <c r="AV92" s="1263"/>
      <c r="AW92" s="1263"/>
      <c r="AX92" s="1263">
        <v>9</v>
      </c>
      <c r="AY92" s="1264">
        <f t="shared" si="82"/>
        <v>9</v>
      </c>
      <c r="AZ92" s="1263"/>
      <c r="BA92" s="1263"/>
      <c r="BB92" s="1263">
        <v>11</v>
      </c>
      <c r="BC92" s="1264">
        <f>AZ92+BA92+BB92</f>
        <v>11</v>
      </c>
      <c r="BD92" s="1263"/>
      <c r="BE92" s="1263"/>
      <c r="BF92" s="1263">
        <v>11</v>
      </c>
      <c r="BG92" s="1264">
        <f t="shared" si="83"/>
        <v>11</v>
      </c>
      <c r="BH92" s="1263"/>
      <c r="BI92" s="1263"/>
      <c r="BJ92" s="1263"/>
      <c r="BK92" s="1264">
        <f t="shared" si="84"/>
        <v>0</v>
      </c>
      <c r="BL92" s="1263"/>
      <c r="BM92" s="1263"/>
      <c r="BN92" s="1263">
        <v>20</v>
      </c>
      <c r="BO92" s="1264">
        <f t="shared" si="85"/>
        <v>20</v>
      </c>
      <c r="BP92" s="1263"/>
      <c r="BQ92" s="1263"/>
      <c r="BR92" s="1263"/>
      <c r="BS92" s="1264">
        <f t="shared" si="86"/>
        <v>0</v>
      </c>
      <c r="BT92" s="1263"/>
      <c r="BU92" s="1263"/>
      <c r="BV92" s="1263">
        <v>22</v>
      </c>
      <c r="BW92" s="1264">
        <f t="shared" si="87"/>
        <v>22</v>
      </c>
      <c r="BX92" s="1263"/>
      <c r="BY92" s="1263"/>
      <c r="BZ92" s="1263"/>
      <c r="CA92" s="1264">
        <f t="shared" si="76"/>
        <v>0</v>
      </c>
      <c r="CB92" s="1263"/>
      <c r="CC92" s="1263"/>
      <c r="CD92" s="1263">
        <v>17</v>
      </c>
      <c r="CE92" s="1264">
        <f t="shared" si="77"/>
        <v>17</v>
      </c>
      <c r="CF92" s="1263"/>
      <c r="CG92" s="1263"/>
      <c r="CH92" s="1263"/>
      <c r="CI92" s="1264">
        <f t="shared" si="78"/>
        <v>0</v>
      </c>
      <c r="CJ92" s="1263"/>
      <c r="CK92" s="1263"/>
      <c r="CL92" s="1263">
        <v>7</v>
      </c>
      <c r="CM92" s="1264">
        <f t="shared" si="79"/>
        <v>7</v>
      </c>
      <c r="CN92" s="1263"/>
      <c r="CO92" s="1263"/>
      <c r="CP92" s="1263"/>
      <c r="CQ92" s="1264">
        <f t="shared" si="80"/>
        <v>0</v>
      </c>
      <c r="CR92" s="1263"/>
      <c r="CS92" s="1263"/>
      <c r="CT92" s="1263">
        <v>12</v>
      </c>
      <c r="CU92" s="1264">
        <f t="shared" si="81"/>
        <v>12</v>
      </c>
    </row>
    <row r="93" spans="2:99" ht="14.4" x14ac:dyDescent="0.3">
      <c r="B93" s="5846"/>
      <c r="C93" s="1265" t="s">
        <v>377</v>
      </c>
      <c r="D93" s="1281"/>
      <c r="E93" s="1280"/>
      <c r="F93" s="1280">
        <v>7</v>
      </c>
      <c r="G93" s="1264">
        <v>7</v>
      </c>
      <c r="H93" s="1281">
        <v>2</v>
      </c>
      <c r="I93" s="1280"/>
      <c r="J93" s="1280">
        <v>33</v>
      </c>
      <c r="K93" s="1264">
        <v>35</v>
      </c>
      <c r="L93" s="1281">
        <v>20</v>
      </c>
      <c r="M93" s="1280"/>
      <c r="N93" s="1280"/>
      <c r="O93" s="1264">
        <v>20</v>
      </c>
      <c r="P93" s="1281"/>
      <c r="Q93" s="1280">
        <v>1</v>
      </c>
      <c r="R93" s="1280">
        <v>36</v>
      </c>
      <c r="S93" s="1264">
        <v>37</v>
      </c>
      <c r="T93" s="1281"/>
      <c r="U93" s="1280"/>
      <c r="V93" s="1280">
        <v>21</v>
      </c>
      <c r="W93" s="1264">
        <f>SUM(T93:V93)</f>
        <v>21</v>
      </c>
      <c r="X93" s="1263"/>
      <c r="Y93" s="1263">
        <v>33</v>
      </c>
      <c r="Z93" s="1263">
        <v>6</v>
      </c>
      <c r="AA93" s="1264">
        <f>SUM(X93:Z93)</f>
        <v>39</v>
      </c>
      <c r="AB93" s="1263"/>
      <c r="AC93" s="1263"/>
      <c r="AD93" s="1263">
        <v>3</v>
      </c>
      <c r="AE93" s="1264">
        <f>SUM(AB93:AD93)</f>
        <v>3</v>
      </c>
      <c r="AF93" s="1263"/>
      <c r="AG93" s="1263"/>
      <c r="AH93" s="1263">
        <v>7</v>
      </c>
      <c r="AI93" s="1264">
        <f>SUM(AF93:AH93)</f>
        <v>7</v>
      </c>
      <c r="AJ93" s="1263"/>
      <c r="AK93" s="1263"/>
      <c r="AL93" s="1263">
        <v>12</v>
      </c>
      <c r="AM93" s="1264">
        <f>SUM(AJ93:AL93)</f>
        <v>12</v>
      </c>
      <c r="AN93" s="1263"/>
      <c r="AO93" s="1263"/>
      <c r="AP93" s="1263">
        <v>11</v>
      </c>
      <c r="AQ93" s="1264">
        <f t="shared" si="75"/>
        <v>11</v>
      </c>
      <c r="AR93" s="1263" t="s">
        <v>122</v>
      </c>
      <c r="AS93" s="1263">
        <v>15</v>
      </c>
      <c r="AT93" s="1263" t="s">
        <v>122</v>
      </c>
      <c r="AU93" s="1264">
        <f>SUM(AR93:AT93)</f>
        <v>15</v>
      </c>
      <c r="AV93" s="1263"/>
      <c r="AW93" s="1263"/>
      <c r="AX93" s="1263">
        <v>21</v>
      </c>
      <c r="AY93" s="1264">
        <f t="shared" si="82"/>
        <v>21</v>
      </c>
      <c r="AZ93" s="1263">
        <v>15</v>
      </c>
      <c r="BA93" s="1263"/>
      <c r="BB93" s="1263"/>
      <c r="BC93" s="1264">
        <f t="shared" ref="BC93:BC107" si="88">AZ93+BA93+BB93</f>
        <v>15</v>
      </c>
      <c r="BD93" s="1263"/>
      <c r="BE93" s="1263"/>
      <c r="BF93" s="1263">
        <v>7</v>
      </c>
      <c r="BG93" s="1264">
        <f t="shared" si="83"/>
        <v>7</v>
      </c>
      <c r="BH93" s="1263"/>
      <c r="BI93" s="1263"/>
      <c r="BJ93" s="1263"/>
      <c r="BK93" s="1264">
        <f t="shared" si="84"/>
        <v>0</v>
      </c>
      <c r="BL93" s="1263"/>
      <c r="BM93" s="1263"/>
      <c r="BN93" s="1263">
        <v>15</v>
      </c>
      <c r="BO93" s="1264">
        <f t="shared" si="85"/>
        <v>15</v>
      </c>
      <c r="BP93" s="1263"/>
      <c r="BQ93" s="1263"/>
      <c r="BR93" s="1263">
        <v>11</v>
      </c>
      <c r="BS93" s="1264">
        <f t="shared" si="86"/>
        <v>11</v>
      </c>
      <c r="BT93" s="1263"/>
      <c r="BU93" s="1263"/>
      <c r="BV93" s="1263">
        <v>14</v>
      </c>
      <c r="BW93" s="1264">
        <f t="shared" si="87"/>
        <v>14</v>
      </c>
      <c r="BX93" s="1263">
        <v>2</v>
      </c>
      <c r="BY93" s="1263"/>
      <c r="BZ93" s="1263"/>
      <c r="CA93" s="1264">
        <f t="shared" si="76"/>
        <v>2</v>
      </c>
      <c r="CB93" s="1263"/>
      <c r="CC93" s="1263"/>
      <c r="CD93" s="1263">
        <v>16</v>
      </c>
      <c r="CE93" s="1264">
        <f t="shared" si="77"/>
        <v>16</v>
      </c>
      <c r="CF93" s="1263"/>
      <c r="CG93" s="1263">
        <v>15</v>
      </c>
      <c r="CH93" s="1263"/>
      <c r="CI93" s="1264">
        <f t="shared" si="78"/>
        <v>15</v>
      </c>
      <c r="CJ93" s="1263"/>
      <c r="CK93" s="1263"/>
      <c r="CL93" s="1263"/>
      <c r="CM93" s="1264">
        <f t="shared" si="79"/>
        <v>0</v>
      </c>
      <c r="CN93" s="1263"/>
      <c r="CO93" s="1263"/>
      <c r="CP93" s="1263">
        <v>1</v>
      </c>
      <c r="CQ93" s="1264">
        <f t="shared" si="80"/>
        <v>1</v>
      </c>
      <c r="CR93" s="1263"/>
      <c r="CS93" s="1263"/>
      <c r="CT93" s="1263">
        <v>12</v>
      </c>
      <c r="CU93" s="1264">
        <f t="shared" si="81"/>
        <v>12</v>
      </c>
    </row>
    <row r="94" spans="2:99" ht="14.4" x14ac:dyDescent="0.3">
      <c r="B94" s="5846"/>
      <c r="C94" s="1265" t="s">
        <v>378</v>
      </c>
      <c r="D94" s="1281">
        <v>2</v>
      </c>
      <c r="E94" s="1280">
        <v>1</v>
      </c>
      <c r="F94" s="1280">
        <v>15</v>
      </c>
      <c r="G94" s="1264">
        <v>18</v>
      </c>
      <c r="H94" s="1281">
        <v>4</v>
      </c>
      <c r="I94" s="1280">
        <v>2</v>
      </c>
      <c r="J94" s="1280">
        <v>24</v>
      </c>
      <c r="K94" s="1264">
        <v>30</v>
      </c>
      <c r="L94" s="1281">
        <v>4</v>
      </c>
      <c r="M94" s="1280"/>
      <c r="N94" s="1280">
        <v>3</v>
      </c>
      <c r="O94" s="1264">
        <v>7</v>
      </c>
      <c r="P94" s="1281">
        <v>2</v>
      </c>
      <c r="Q94" s="1280"/>
      <c r="R94" s="1280">
        <v>22</v>
      </c>
      <c r="S94" s="1264">
        <v>24</v>
      </c>
      <c r="T94" s="1281"/>
      <c r="U94" s="1280"/>
      <c r="V94" s="1280">
        <v>1</v>
      </c>
      <c r="W94" s="1264">
        <f>SUM(T94:V94)</f>
        <v>1</v>
      </c>
      <c r="X94" s="1263"/>
      <c r="Y94" s="1263"/>
      <c r="Z94" s="1263">
        <v>1</v>
      </c>
      <c r="AA94" s="1264">
        <f>SUM(X94:Z94)</f>
        <v>1</v>
      </c>
      <c r="AB94" s="1263">
        <v>9</v>
      </c>
      <c r="AC94" s="1263"/>
      <c r="AD94" s="1263"/>
      <c r="AE94" s="1264">
        <f>SUM(AB94:AD94)</f>
        <v>9</v>
      </c>
      <c r="AF94" s="1263">
        <v>12</v>
      </c>
      <c r="AG94" s="1263"/>
      <c r="AH94" s="1263"/>
      <c r="AI94" s="1264">
        <f>SUM(AF94:AH94)</f>
        <v>12</v>
      </c>
      <c r="AJ94" s="1263">
        <v>19</v>
      </c>
      <c r="AK94" s="1263"/>
      <c r="AL94" s="1263"/>
      <c r="AM94" s="1264">
        <f>SUM(AJ94:AL94)</f>
        <v>19</v>
      </c>
      <c r="AN94" s="1263"/>
      <c r="AO94" s="1263"/>
      <c r="AP94" s="1263">
        <v>36</v>
      </c>
      <c r="AQ94" s="1264">
        <f t="shared" si="75"/>
        <v>36</v>
      </c>
      <c r="AR94" s="1263" t="s">
        <v>122</v>
      </c>
      <c r="AS94" s="1263" t="s">
        <v>122</v>
      </c>
      <c r="AT94" s="1263">
        <v>23</v>
      </c>
      <c r="AU94" s="1264">
        <f>SUM(AR94:AT94)</f>
        <v>23</v>
      </c>
      <c r="AV94" s="1263"/>
      <c r="AW94" s="1263"/>
      <c r="AX94" s="1263">
        <v>38</v>
      </c>
      <c r="AY94" s="1264">
        <f t="shared" si="82"/>
        <v>38</v>
      </c>
      <c r="AZ94" s="1263"/>
      <c r="BA94" s="1263"/>
      <c r="BB94" s="1263">
        <v>38</v>
      </c>
      <c r="BC94" s="1264">
        <f t="shared" si="88"/>
        <v>38</v>
      </c>
      <c r="BD94" s="1263"/>
      <c r="BE94" s="1263"/>
      <c r="BF94" s="1263">
        <v>30</v>
      </c>
      <c r="BG94" s="1264">
        <f t="shared" si="83"/>
        <v>30</v>
      </c>
      <c r="BH94" s="1263"/>
      <c r="BI94" s="1263"/>
      <c r="BJ94" s="1263">
        <v>22</v>
      </c>
      <c r="BK94" s="1264">
        <f t="shared" si="84"/>
        <v>22</v>
      </c>
      <c r="BL94" s="1263"/>
      <c r="BM94" s="1263"/>
      <c r="BN94" s="1263">
        <v>28</v>
      </c>
      <c r="BO94" s="1264">
        <f t="shared" si="85"/>
        <v>28</v>
      </c>
      <c r="BP94" s="1263"/>
      <c r="BQ94" s="1263"/>
      <c r="BR94" s="1263">
        <v>27</v>
      </c>
      <c r="BS94" s="1264">
        <f t="shared" si="86"/>
        <v>27</v>
      </c>
      <c r="BT94" s="1263"/>
      <c r="BU94" s="1263"/>
      <c r="BV94" s="1263">
        <v>22</v>
      </c>
      <c r="BW94" s="1264">
        <f t="shared" si="87"/>
        <v>22</v>
      </c>
      <c r="BX94" s="1263"/>
      <c r="BY94" s="1263"/>
      <c r="BZ94" s="1263">
        <v>25</v>
      </c>
      <c r="CA94" s="1264">
        <f t="shared" si="76"/>
        <v>25</v>
      </c>
      <c r="CB94" s="1263"/>
      <c r="CC94" s="1263"/>
      <c r="CD94" s="1263">
        <v>23</v>
      </c>
      <c r="CE94" s="1264">
        <f t="shared" si="77"/>
        <v>23</v>
      </c>
      <c r="CF94" s="1263"/>
      <c r="CG94" s="1263"/>
      <c r="CH94" s="1263">
        <v>22</v>
      </c>
      <c r="CI94" s="1264">
        <f t="shared" si="78"/>
        <v>22</v>
      </c>
      <c r="CJ94" s="1263"/>
      <c r="CK94" s="1263"/>
      <c r="CL94" s="1263">
        <v>7</v>
      </c>
      <c r="CM94" s="1264">
        <f t="shared" si="79"/>
        <v>7</v>
      </c>
      <c r="CN94" s="1263"/>
      <c r="CO94" s="1263"/>
      <c r="CP94" s="1263">
        <v>16</v>
      </c>
      <c r="CQ94" s="1264">
        <f t="shared" si="80"/>
        <v>16</v>
      </c>
      <c r="CR94" s="1263"/>
      <c r="CS94" s="1263"/>
      <c r="CT94" s="1263">
        <v>15</v>
      </c>
      <c r="CU94" s="1264">
        <f t="shared" si="81"/>
        <v>15</v>
      </c>
    </row>
    <row r="95" spans="2:99" ht="14.4" x14ac:dyDescent="0.3">
      <c r="B95" s="5846"/>
      <c r="C95" s="1265" t="s">
        <v>379</v>
      </c>
      <c r="D95" s="1281">
        <v>1</v>
      </c>
      <c r="E95" s="1280"/>
      <c r="F95" s="1280"/>
      <c r="G95" s="1264">
        <v>1</v>
      </c>
      <c r="H95" s="1281">
        <v>1</v>
      </c>
      <c r="I95" s="1280">
        <v>3</v>
      </c>
      <c r="J95" s="1280">
        <v>27</v>
      </c>
      <c r="K95" s="1264">
        <v>31</v>
      </c>
      <c r="L95" s="1281"/>
      <c r="M95" s="1280">
        <v>2</v>
      </c>
      <c r="N95" s="1280">
        <v>4</v>
      </c>
      <c r="O95" s="1264">
        <v>6</v>
      </c>
      <c r="P95" s="1281">
        <v>0</v>
      </c>
      <c r="Q95" s="1280">
        <v>1</v>
      </c>
      <c r="R95" s="1280">
        <v>38</v>
      </c>
      <c r="S95" s="1264">
        <v>39</v>
      </c>
      <c r="T95" s="1281">
        <v>1</v>
      </c>
      <c r="U95" s="1280"/>
      <c r="V95" s="1280">
        <v>5</v>
      </c>
      <c r="W95" s="1264">
        <f>SUM(T95:V95)</f>
        <v>6</v>
      </c>
      <c r="X95" s="1263"/>
      <c r="Y95" s="1263"/>
      <c r="Z95" s="1263">
        <v>16</v>
      </c>
      <c r="AA95" s="1264">
        <f>SUM(X95:Z95)</f>
        <v>16</v>
      </c>
      <c r="AB95" s="1263">
        <v>4</v>
      </c>
      <c r="AC95" s="1263"/>
      <c r="AD95" s="1263">
        <v>4</v>
      </c>
      <c r="AE95" s="1264">
        <f>SUM(AB95:AD95)</f>
        <v>8</v>
      </c>
      <c r="AF95" s="1263"/>
      <c r="AG95" s="1263"/>
      <c r="AH95" s="1263">
        <v>13</v>
      </c>
      <c r="AI95" s="1264">
        <f>SUM(AF95:AH95)</f>
        <v>13</v>
      </c>
      <c r="AJ95" s="1263"/>
      <c r="AK95" s="1263"/>
      <c r="AL95" s="1263">
        <v>4</v>
      </c>
      <c r="AM95" s="1264">
        <f>SUM(AJ95:AL95)</f>
        <v>4</v>
      </c>
      <c r="AN95" s="1263"/>
      <c r="AO95" s="1263"/>
      <c r="AP95" s="1263">
        <v>19</v>
      </c>
      <c r="AQ95" s="1264">
        <f t="shared" si="75"/>
        <v>19</v>
      </c>
      <c r="AR95" s="1263"/>
      <c r="AS95" s="1263"/>
      <c r="AT95" s="1263"/>
      <c r="AU95" s="1264"/>
      <c r="AV95" s="1263"/>
      <c r="AW95" s="1263"/>
      <c r="AX95" s="1263">
        <v>14</v>
      </c>
      <c r="AY95" s="1264">
        <f t="shared" si="82"/>
        <v>14</v>
      </c>
      <c r="AZ95" s="1263">
        <v>2</v>
      </c>
      <c r="BA95" s="1263"/>
      <c r="BB95" s="1263"/>
      <c r="BC95" s="1264">
        <f t="shared" si="88"/>
        <v>2</v>
      </c>
      <c r="BD95" s="1263"/>
      <c r="BE95" s="1263"/>
      <c r="BF95" s="1263">
        <v>28</v>
      </c>
      <c r="BG95" s="1264">
        <f>BD95+BE95+BF95</f>
        <v>28</v>
      </c>
      <c r="BH95" s="1263"/>
      <c r="BI95" s="1263"/>
      <c r="BJ95" s="1263"/>
      <c r="BK95" s="1264">
        <f t="shared" si="84"/>
        <v>0</v>
      </c>
      <c r="BL95" s="1263"/>
      <c r="BM95" s="1263"/>
      <c r="BN95" s="1263">
        <v>28</v>
      </c>
      <c r="BO95" s="1264">
        <f t="shared" si="85"/>
        <v>28</v>
      </c>
      <c r="BP95" s="1263"/>
      <c r="BQ95" s="1263"/>
      <c r="BR95" s="1263"/>
      <c r="BS95" s="1264">
        <f t="shared" si="86"/>
        <v>0</v>
      </c>
      <c r="BT95" s="1263"/>
      <c r="BU95" s="1263"/>
      <c r="BV95" s="1263">
        <v>19</v>
      </c>
      <c r="BW95" s="1264">
        <f t="shared" si="87"/>
        <v>19</v>
      </c>
      <c r="BX95" s="1263"/>
      <c r="BY95" s="1263"/>
      <c r="BZ95" s="1263"/>
      <c r="CA95" s="1264">
        <f t="shared" si="76"/>
        <v>0</v>
      </c>
      <c r="CB95" s="1263"/>
      <c r="CC95" s="1263"/>
      <c r="CD95" s="1263">
        <v>21</v>
      </c>
      <c r="CE95" s="1264">
        <f t="shared" si="77"/>
        <v>21</v>
      </c>
      <c r="CF95" s="1263"/>
      <c r="CG95" s="1263"/>
      <c r="CH95" s="1263"/>
      <c r="CI95" s="1264">
        <f t="shared" si="78"/>
        <v>0</v>
      </c>
      <c r="CJ95" s="1263"/>
      <c r="CK95" s="1263"/>
      <c r="CL95" s="1263">
        <v>18</v>
      </c>
      <c r="CM95" s="1264">
        <f t="shared" si="79"/>
        <v>18</v>
      </c>
      <c r="CN95" s="1263">
        <v>11</v>
      </c>
      <c r="CO95" s="1263"/>
      <c r="CP95" s="1263"/>
      <c r="CQ95" s="1264">
        <f t="shared" si="80"/>
        <v>11</v>
      </c>
      <c r="CR95" s="1263"/>
      <c r="CS95" s="1263"/>
      <c r="CT95" s="1263">
        <v>5</v>
      </c>
      <c r="CU95" s="1264">
        <f t="shared" si="81"/>
        <v>5</v>
      </c>
    </row>
    <row r="96" spans="2:99" ht="14.4" x14ac:dyDescent="0.3">
      <c r="B96" s="5846"/>
      <c r="C96" s="1265" t="s">
        <v>335</v>
      </c>
      <c r="D96" s="1262"/>
      <c r="E96" s="1263"/>
      <c r="F96" s="1263"/>
      <c r="G96" s="1264"/>
      <c r="H96" s="1262">
        <v>12</v>
      </c>
      <c r="I96" s="1263"/>
      <c r="J96" s="1263"/>
      <c r="K96" s="1264">
        <v>12</v>
      </c>
      <c r="L96" s="1262">
        <v>11</v>
      </c>
      <c r="M96" s="1263"/>
      <c r="N96" s="1263">
        <v>1</v>
      </c>
      <c r="O96" s="1264">
        <v>12</v>
      </c>
      <c r="P96" s="1262">
        <v>5</v>
      </c>
      <c r="Q96" s="1263"/>
      <c r="R96" s="1263"/>
      <c r="S96" s="1264">
        <v>5</v>
      </c>
      <c r="T96" s="1262">
        <v>2</v>
      </c>
      <c r="U96" s="1263"/>
      <c r="V96" s="1263"/>
      <c r="W96" s="1264">
        <f>SUM(T96:V96)</f>
        <v>2</v>
      </c>
      <c r="X96" s="1263"/>
      <c r="Y96" s="1263"/>
      <c r="Z96" s="1263"/>
      <c r="AA96" s="1264"/>
      <c r="AB96" s="1263">
        <v>9</v>
      </c>
      <c r="AC96" s="1263"/>
      <c r="AD96" s="1263"/>
      <c r="AE96" s="1264">
        <f>SUM(AB96:AD96)</f>
        <v>9</v>
      </c>
      <c r="AF96" s="1263">
        <v>2</v>
      </c>
      <c r="AG96" s="1263"/>
      <c r="AH96" s="1263"/>
      <c r="AI96" s="1264">
        <f>SUM(AF96:AH96)</f>
        <v>2</v>
      </c>
      <c r="AJ96" s="1263">
        <v>6</v>
      </c>
      <c r="AK96" s="1263"/>
      <c r="AL96" s="1263"/>
      <c r="AM96" s="1264">
        <f>SUM(AJ96:AL96)</f>
        <v>6</v>
      </c>
      <c r="AN96" s="1263">
        <v>2</v>
      </c>
      <c r="AO96" s="1263"/>
      <c r="AP96" s="1263"/>
      <c r="AQ96" s="1264">
        <f t="shared" si="75"/>
        <v>2</v>
      </c>
      <c r="AR96" s="1263">
        <v>7</v>
      </c>
      <c r="AS96" s="1263" t="s">
        <v>122</v>
      </c>
      <c r="AT96" s="1263" t="s">
        <v>122</v>
      </c>
      <c r="AU96" s="1264">
        <f>SUM(AR96:AT96)</f>
        <v>7</v>
      </c>
      <c r="AV96" s="1263">
        <v>6</v>
      </c>
      <c r="AW96" s="1263"/>
      <c r="AX96" s="1263"/>
      <c r="AY96" s="1264">
        <f t="shared" si="82"/>
        <v>6</v>
      </c>
      <c r="AZ96" s="1263">
        <v>14</v>
      </c>
      <c r="BA96" s="1263">
        <v>1</v>
      </c>
      <c r="BB96" s="1263"/>
      <c r="BC96" s="1264">
        <f t="shared" si="88"/>
        <v>15</v>
      </c>
      <c r="BD96" s="1263">
        <v>12</v>
      </c>
      <c r="BE96" s="1263">
        <v>3</v>
      </c>
      <c r="BF96" s="1263"/>
      <c r="BG96" s="1264">
        <f>BD96+BE96+BF96</f>
        <v>15</v>
      </c>
      <c r="BH96" s="1263">
        <v>12</v>
      </c>
      <c r="BI96" s="1263">
        <v>2</v>
      </c>
      <c r="BJ96" s="1263"/>
      <c r="BK96" s="1264">
        <f t="shared" si="84"/>
        <v>14</v>
      </c>
      <c r="BL96" s="1263">
        <v>17</v>
      </c>
      <c r="BM96" s="1263"/>
      <c r="BN96" s="1263"/>
      <c r="BO96" s="1264">
        <f t="shared" si="85"/>
        <v>17</v>
      </c>
      <c r="BP96" s="1263">
        <v>15</v>
      </c>
      <c r="BQ96" s="1263"/>
      <c r="BR96" s="1263"/>
      <c r="BS96" s="1264">
        <f t="shared" si="86"/>
        <v>15</v>
      </c>
      <c r="BT96" s="1263">
        <v>13</v>
      </c>
      <c r="BU96" s="1263"/>
      <c r="BV96" s="1263"/>
      <c r="BW96" s="1264">
        <f t="shared" si="87"/>
        <v>13</v>
      </c>
      <c r="BX96" s="1263">
        <v>15</v>
      </c>
      <c r="BY96" s="1263"/>
      <c r="BZ96" s="1263"/>
      <c r="CA96" s="1264">
        <f t="shared" si="76"/>
        <v>15</v>
      </c>
      <c r="CB96" s="1263"/>
      <c r="CC96" s="1263"/>
      <c r="CD96" s="1263"/>
      <c r="CE96" s="1264">
        <f t="shared" si="77"/>
        <v>0</v>
      </c>
      <c r="CF96" s="1263"/>
      <c r="CG96" s="1263"/>
      <c r="CH96" s="1263"/>
      <c r="CI96" s="1264">
        <f t="shared" si="78"/>
        <v>0</v>
      </c>
      <c r="CJ96" s="1263">
        <v>1</v>
      </c>
      <c r="CK96" s="1263"/>
      <c r="CL96" s="1263"/>
      <c r="CM96" s="1264">
        <f t="shared" si="79"/>
        <v>1</v>
      </c>
      <c r="CN96" s="1263"/>
      <c r="CO96" s="1263"/>
      <c r="CP96" s="1263"/>
      <c r="CQ96" s="1264">
        <f t="shared" si="80"/>
        <v>0</v>
      </c>
      <c r="CR96" s="1263">
        <v>1</v>
      </c>
      <c r="CS96" s="1263"/>
      <c r="CT96" s="1263"/>
      <c r="CU96" s="1264">
        <f t="shared" si="81"/>
        <v>1</v>
      </c>
    </row>
    <row r="97" spans="2:99" ht="14.4" x14ac:dyDescent="0.3">
      <c r="B97" s="5846"/>
      <c r="C97" s="1309" t="s">
        <v>334</v>
      </c>
      <c r="D97" s="1267"/>
      <c r="E97" s="1268"/>
      <c r="F97" s="1268"/>
      <c r="G97" s="1269"/>
      <c r="H97" s="1267"/>
      <c r="I97" s="1268"/>
      <c r="J97" s="1268"/>
      <c r="K97" s="1269"/>
      <c r="L97" s="1267"/>
      <c r="M97" s="1268"/>
      <c r="N97" s="1268"/>
      <c r="O97" s="1269"/>
      <c r="P97" s="1267"/>
      <c r="Q97" s="1268"/>
      <c r="R97" s="1268"/>
      <c r="S97" s="1269"/>
      <c r="T97" s="1267"/>
      <c r="U97" s="1268"/>
      <c r="V97" s="1268"/>
      <c r="W97" s="1269"/>
      <c r="X97" s="1268"/>
      <c r="Y97" s="1268"/>
      <c r="Z97" s="1268"/>
      <c r="AA97" s="1269"/>
      <c r="AB97" s="1268"/>
      <c r="AC97" s="1268"/>
      <c r="AD97" s="1268"/>
      <c r="AE97" s="1269"/>
      <c r="AF97" s="1268"/>
      <c r="AG97" s="1268"/>
      <c r="AH97" s="1268"/>
      <c r="AI97" s="1269"/>
      <c r="AJ97" s="1268"/>
      <c r="AK97" s="1268"/>
      <c r="AL97" s="1268"/>
      <c r="AM97" s="1269"/>
      <c r="AN97" s="1268"/>
      <c r="AO97" s="1268"/>
      <c r="AP97" s="1268"/>
      <c r="AQ97" s="1269"/>
      <c r="AR97" s="1268"/>
      <c r="AS97" s="1268"/>
      <c r="AT97" s="1268"/>
      <c r="AU97" s="1269"/>
      <c r="AV97" s="1268"/>
      <c r="AW97" s="1268"/>
      <c r="AX97" s="1268"/>
      <c r="AY97" s="1269"/>
      <c r="AZ97" s="1268"/>
      <c r="BA97" s="1268"/>
      <c r="BB97" s="1268"/>
      <c r="BC97" s="1269"/>
      <c r="BD97" s="1268"/>
      <c r="BE97" s="1268"/>
      <c r="BF97" s="1268"/>
      <c r="BG97" s="1269"/>
      <c r="BH97" s="1268"/>
      <c r="BI97" s="1268"/>
      <c r="BJ97" s="1268"/>
      <c r="BK97" s="1269"/>
      <c r="BL97" s="1268"/>
      <c r="BM97" s="1268"/>
      <c r="BN97" s="1268"/>
      <c r="BO97" s="1269"/>
      <c r="BP97" s="1268"/>
      <c r="BQ97" s="1268"/>
      <c r="BR97" s="1268"/>
      <c r="BS97" s="1269"/>
      <c r="BT97" s="1268"/>
      <c r="BU97" s="1268"/>
      <c r="BV97" s="1268"/>
      <c r="BW97" s="1269"/>
      <c r="BX97" s="1268">
        <v>7</v>
      </c>
      <c r="BY97" s="1268"/>
      <c r="BZ97" s="1268"/>
      <c r="CA97" s="1264">
        <f t="shared" si="76"/>
        <v>7</v>
      </c>
      <c r="CB97" s="1268">
        <v>2</v>
      </c>
      <c r="CC97" s="1268">
        <v>4</v>
      </c>
      <c r="CD97" s="1268">
        <v>1</v>
      </c>
      <c r="CE97" s="1264">
        <f t="shared" si="77"/>
        <v>7</v>
      </c>
      <c r="CF97" s="1268">
        <v>7</v>
      </c>
      <c r="CG97" s="1268"/>
      <c r="CH97" s="1268"/>
      <c r="CI97" s="1264">
        <f t="shared" si="78"/>
        <v>7</v>
      </c>
      <c r="CJ97" s="1268"/>
      <c r="CK97" s="1268"/>
      <c r="CL97" s="1268">
        <v>15</v>
      </c>
      <c r="CM97" s="1264">
        <f t="shared" si="79"/>
        <v>15</v>
      </c>
      <c r="CN97" s="1268">
        <v>5</v>
      </c>
      <c r="CO97" s="1268">
        <v>2</v>
      </c>
      <c r="CP97" s="1268"/>
      <c r="CQ97" s="1264">
        <f t="shared" ref="CQ97:CQ98" si="89">CN97+CO97+CP97</f>
        <v>7</v>
      </c>
      <c r="CR97" s="1268"/>
      <c r="CS97" s="1268"/>
      <c r="CT97" s="1268"/>
      <c r="CU97" s="1264">
        <f t="shared" si="81"/>
        <v>0</v>
      </c>
    </row>
    <row r="98" spans="2:99" ht="14.4" x14ac:dyDescent="0.25">
      <c r="B98" s="5847"/>
      <c r="C98" s="1308" t="s">
        <v>380</v>
      </c>
      <c r="D98" s="1267"/>
      <c r="E98" s="1268"/>
      <c r="F98" s="1268"/>
      <c r="G98" s="1269"/>
      <c r="H98" s="1267"/>
      <c r="I98" s="1268"/>
      <c r="J98" s="1268"/>
      <c r="K98" s="1269"/>
      <c r="L98" s="1267"/>
      <c r="M98" s="1268"/>
      <c r="N98" s="1268"/>
      <c r="O98" s="1269"/>
      <c r="P98" s="1267"/>
      <c r="Q98" s="1268"/>
      <c r="R98" s="1268"/>
      <c r="S98" s="1269"/>
      <c r="T98" s="1267"/>
      <c r="U98" s="1268"/>
      <c r="V98" s="1268"/>
      <c r="W98" s="1269"/>
      <c r="X98" s="1268"/>
      <c r="Y98" s="1268"/>
      <c r="Z98" s="1268"/>
      <c r="AA98" s="1269"/>
      <c r="AB98" s="1268"/>
      <c r="AC98" s="1268"/>
      <c r="AD98" s="1268"/>
      <c r="AE98" s="1269"/>
      <c r="AF98" s="1268"/>
      <c r="AG98" s="1268"/>
      <c r="AH98" s="1268"/>
      <c r="AI98" s="1269"/>
      <c r="AJ98" s="1268"/>
      <c r="AK98" s="1268"/>
      <c r="AL98" s="1268"/>
      <c r="AM98" s="1269"/>
      <c r="AN98" s="1268"/>
      <c r="AO98" s="1268"/>
      <c r="AP98" s="1268"/>
      <c r="AQ98" s="1269"/>
      <c r="AR98" s="1268"/>
      <c r="AS98" s="1268"/>
      <c r="AT98" s="1268"/>
      <c r="AU98" s="1269"/>
      <c r="AV98" s="1268"/>
      <c r="AW98" s="1268"/>
      <c r="AX98" s="1268"/>
      <c r="AY98" s="1269"/>
      <c r="AZ98" s="1268"/>
      <c r="BA98" s="1268"/>
      <c r="BB98" s="1268"/>
      <c r="BC98" s="1269"/>
      <c r="BD98" s="1268"/>
      <c r="BE98" s="1268"/>
      <c r="BF98" s="1268"/>
      <c r="BG98" s="1269"/>
      <c r="BH98" s="1268"/>
      <c r="BI98" s="1268"/>
      <c r="BJ98" s="1268"/>
      <c r="BK98" s="1269"/>
      <c r="BL98" s="1268"/>
      <c r="BM98" s="1268"/>
      <c r="BN98" s="1268"/>
      <c r="BO98" s="1269"/>
      <c r="BP98" s="1268"/>
      <c r="BQ98" s="1268"/>
      <c r="BR98" s="1268"/>
      <c r="BS98" s="1269"/>
      <c r="BT98" s="1268"/>
      <c r="BU98" s="1268"/>
      <c r="BV98" s="1268"/>
      <c r="BW98" s="1269"/>
      <c r="BX98" s="1268"/>
      <c r="BY98" s="1268"/>
      <c r="BZ98" s="1268">
        <v>3</v>
      </c>
      <c r="CA98" s="1264">
        <f t="shared" si="76"/>
        <v>3</v>
      </c>
      <c r="CB98" s="1268"/>
      <c r="CC98" s="1268"/>
      <c r="CD98" s="1268"/>
      <c r="CE98" s="1264">
        <f t="shared" si="77"/>
        <v>0</v>
      </c>
      <c r="CF98" s="1268"/>
      <c r="CG98" s="1268"/>
      <c r="CH98" s="1268">
        <v>8</v>
      </c>
      <c r="CI98" s="1264">
        <f t="shared" si="78"/>
        <v>8</v>
      </c>
      <c r="CJ98" s="1268"/>
      <c r="CK98" s="1268"/>
      <c r="CL98" s="1268"/>
      <c r="CM98" s="1264">
        <f t="shared" si="79"/>
        <v>0</v>
      </c>
      <c r="CN98" s="1268"/>
      <c r="CO98" s="1268"/>
      <c r="CP98" s="1268">
        <v>4</v>
      </c>
      <c r="CQ98" s="1264">
        <f t="shared" si="89"/>
        <v>4</v>
      </c>
      <c r="CR98" s="1268"/>
      <c r="CS98" s="1268"/>
      <c r="CT98" s="1268"/>
      <c r="CU98" s="1264">
        <f t="shared" si="81"/>
        <v>0</v>
      </c>
    </row>
    <row r="99" spans="2:99" ht="14.4" x14ac:dyDescent="0.3">
      <c r="B99" s="1307"/>
      <c r="C99" s="1271" t="s">
        <v>64</v>
      </c>
      <c r="D99" s="1272">
        <f t="shared" ref="D99:AI99" si="90">SUM(D84:D96)</f>
        <v>9</v>
      </c>
      <c r="E99" s="1273">
        <f t="shared" si="90"/>
        <v>1</v>
      </c>
      <c r="F99" s="1273">
        <f t="shared" si="90"/>
        <v>129</v>
      </c>
      <c r="G99" s="1310">
        <f t="shared" si="90"/>
        <v>139</v>
      </c>
      <c r="H99" s="1272">
        <f t="shared" si="90"/>
        <v>49</v>
      </c>
      <c r="I99" s="1273">
        <f t="shared" si="90"/>
        <v>5</v>
      </c>
      <c r="J99" s="1273">
        <f t="shared" si="90"/>
        <v>229</v>
      </c>
      <c r="K99" s="1310">
        <f t="shared" si="90"/>
        <v>283</v>
      </c>
      <c r="L99" s="1272">
        <f t="shared" si="90"/>
        <v>38</v>
      </c>
      <c r="M99" s="1273">
        <f t="shared" si="90"/>
        <v>2</v>
      </c>
      <c r="N99" s="1273">
        <f t="shared" si="90"/>
        <v>76</v>
      </c>
      <c r="O99" s="1310">
        <f t="shared" si="90"/>
        <v>116</v>
      </c>
      <c r="P99" s="1272">
        <f t="shared" si="90"/>
        <v>14</v>
      </c>
      <c r="Q99" s="1273">
        <f t="shared" si="90"/>
        <v>7</v>
      </c>
      <c r="R99" s="1273">
        <f t="shared" si="90"/>
        <v>332</v>
      </c>
      <c r="S99" s="1310">
        <f t="shared" si="90"/>
        <v>353</v>
      </c>
      <c r="T99" s="1272">
        <f t="shared" si="90"/>
        <v>3</v>
      </c>
      <c r="U99" s="1273">
        <f t="shared" si="90"/>
        <v>0</v>
      </c>
      <c r="V99" s="1273">
        <f t="shared" si="90"/>
        <v>95</v>
      </c>
      <c r="W99" s="1310">
        <f t="shared" si="90"/>
        <v>98</v>
      </c>
      <c r="X99" s="1273">
        <f t="shared" si="90"/>
        <v>1</v>
      </c>
      <c r="Y99" s="1273">
        <f t="shared" si="90"/>
        <v>33</v>
      </c>
      <c r="Z99" s="1273">
        <f t="shared" si="90"/>
        <v>129</v>
      </c>
      <c r="AA99" s="1310">
        <f t="shared" si="90"/>
        <v>163</v>
      </c>
      <c r="AB99" s="1273">
        <f t="shared" si="90"/>
        <v>83</v>
      </c>
      <c r="AC99" s="1273">
        <f t="shared" si="90"/>
        <v>0</v>
      </c>
      <c r="AD99" s="1273">
        <f t="shared" si="90"/>
        <v>43</v>
      </c>
      <c r="AE99" s="1310">
        <f t="shared" si="90"/>
        <v>126</v>
      </c>
      <c r="AF99" s="1273">
        <f t="shared" si="90"/>
        <v>105</v>
      </c>
      <c r="AG99" s="1273">
        <f t="shared" si="90"/>
        <v>0</v>
      </c>
      <c r="AH99" s="1273">
        <f t="shared" si="90"/>
        <v>56</v>
      </c>
      <c r="AI99" s="1310">
        <f t="shared" si="90"/>
        <v>161</v>
      </c>
      <c r="AJ99" s="1273">
        <f t="shared" ref="AJ99:BO99" si="91">SUM(AJ84:AJ96)</f>
        <v>181</v>
      </c>
      <c r="AK99" s="1273">
        <f t="shared" si="91"/>
        <v>0</v>
      </c>
      <c r="AL99" s="1273">
        <f t="shared" si="91"/>
        <v>63</v>
      </c>
      <c r="AM99" s="1310">
        <f t="shared" si="91"/>
        <v>244</v>
      </c>
      <c r="AN99" s="1273">
        <f t="shared" si="91"/>
        <v>113</v>
      </c>
      <c r="AO99" s="1273">
        <f t="shared" si="91"/>
        <v>0</v>
      </c>
      <c r="AP99" s="1273">
        <f t="shared" si="91"/>
        <v>209</v>
      </c>
      <c r="AQ99" s="1310">
        <f t="shared" si="91"/>
        <v>322</v>
      </c>
      <c r="AR99" s="1273">
        <f t="shared" si="91"/>
        <v>20</v>
      </c>
      <c r="AS99" s="1273">
        <f t="shared" si="91"/>
        <v>114</v>
      </c>
      <c r="AT99" s="1273">
        <f t="shared" si="91"/>
        <v>72</v>
      </c>
      <c r="AU99" s="1310">
        <f t="shared" si="91"/>
        <v>206</v>
      </c>
      <c r="AV99" s="1273">
        <f t="shared" si="91"/>
        <v>20</v>
      </c>
      <c r="AW99" s="1273">
        <f t="shared" si="91"/>
        <v>0</v>
      </c>
      <c r="AX99" s="1273">
        <f t="shared" si="91"/>
        <v>289</v>
      </c>
      <c r="AY99" s="1310">
        <f t="shared" si="91"/>
        <v>309</v>
      </c>
      <c r="AZ99" s="1273">
        <f t="shared" si="91"/>
        <v>45</v>
      </c>
      <c r="BA99" s="1273">
        <f t="shared" si="91"/>
        <v>1</v>
      </c>
      <c r="BB99" s="1273">
        <f t="shared" si="91"/>
        <v>139</v>
      </c>
      <c r="BC99" s="1310">
        <f t="shared" si="91"/>
        <v>185</v>
      </c>
      <c r="BD99" s="1273">
        <f t="shared" si="91"/>
        <v>26</v>
      </c>
      <c r="BE99" s="1273">
        <f t="shared" si="91"/>
        <v>3</v>
      </c>
      <c r="BF99" s="1273">
        <f t="shared" si="91"/>
        <v>181</v>
      </c>
      <c r="BG99" s="1310">
        <f t="shared" si="91"/>
        <v>210</v>
      </c>
      <c r="BH99" s="1273">
        <f t="shared" si="91"/>
        <v>38</v>
      </c>
      <c r="BI99" s="1273">
        <f t="shared" si="91"/>
        <v>2</v>
      </c>
      <c r="BJ99" s="1273">
        <f t="shared" si="91"/>
        <v>72</v>
      </c>
      <c r="BK99" s="1310">
        <f t="shared" si="91"/>
        <v>112</v>
      </c>
      <c r="BL99" s="1273">
        <f t="shared" si="91"/>
        <v>30</v>
      </c>
      <c r="BM99" s="1273">
        <f t="shared" si="91"/>
        <v>15</v>
      </c>
      <c r="BN99" s="1273">
        <f t="shared" si="91"/>
        <v>193</v>
      </c>
      <c r="BO99" s="1310">
        <f t="shared" si="91"/>
        <v>238</v>
      </c>
      <c r="BP99" s="1273">
        <f t="shared" ref="BP99:BW99" si="92">SUM(BP84:BP96)</f>
        <v>58</v>
      </c>
      <c r="BQ99" s="1273">
        <f t="shared" si="92"/>
        <v>1</v>
      </c>
      <c r="BR99" s="1273">
        <f t="shared" si="92"/>
        <v>108</v>
      </c>
      <c r="BS99" s="1310">
        <f t="shared" si="92"/>
        <v>167</v>
      </c>
      <c r="BT99" s="1273">
        <f t="shared" si="92"/>
        <v>24</v>
      </c>
      <c r="BU99" s="1273">
        <f t="shared" si="92"/>
        <v>0</v>
      </c>
      <c r="BV99" s="1273">
        <f t="shared" si="92"/>
        <v>158</v>
      </c>
      <c r="BW99" s="1310">
        <f t="shared" si="92"/>
        <v>182</v>
      </c>
      <c r="BX99" s="1272">
        <f t="shared" ref="BX99:CQ99" si="93">SUM(BX84:BX98)</f>
        <v>48</v>
      </c>
      <c r="BY99" s="1273">
        <f t="shared" si="93"/>
        <v>61</v>
      </c>
      <c r="BZ99" s="1273">
        <f t="shared" si="93"/>
        <v>74</v>
      </c>
      <c r="CA99" s="1274">
        <f t="shared" si="93"/>
        <v>183</v>
      </c>
      <c r="CB99" s="1272">
        <f t="shared" si="93"/>
        <v>2</v>
      </c>
      <c r="CC99" s="1273">
        <f t="shared" si="93"/>
        <v>48</v>
      </c>
      <c r="CD99" s="1273">
        <f t="shared" si="93"/>
        <v>166</v>
      </c>
      <c r="CE99" s="1274">
        <f t="shared" si="93"/>
        <v>216</v>
      </c>
      <c r="CF99" s="1272">
        <f t="shared" si="93"/>
        <v>20</v>
      </c>
      <c r="CG99" s="1273">
        <f t="shared" si="93"/>
        <v>42</v>
      </c>
      <c r="CH99" s="1273">
        <f t="shared" si="93"/>
        <v>78</v>
      </c>
      <c r="CI99" s="1274">
        <f t="shared" si="93"/>
        <v>140</v>
      </c>
      <c r="CJ99" s="1272">
        <f t="shared" si="93"/>
        <v>1</v>
      </c>
      <c r="CK99" s="1273">
        <f t="shared" si="93"/>
        <v>57</v>
      </c>
      <c r="CL99" s="1273">
        <f t="shared" si="93"/>
        <v>76</v>
      </c>
      <c r="CM99" s="1274">
        <f t="shared" si="93"/>
        <v>134</v>
      </c>
      <c r="CN99" s="1272">
        <f t="shared" si="93"/>
        <v>38</v>
      </c>
      <c r="CO99" s="1273">
        <f t="shared" si="93"/>
        <v>2</v>
      </c>
      <c r="CP99" s="1273">
        <f t="shared" si="93"/>
        <v>55</v>
      </c>
      <c r="CQ99" s="1274">
        <f t="shared" si="93"/>
        <v>95</v>
      </c>
      <c r="CR99" s="1272">
        <f t="shared" ref="CR99:CU99" si="94">SUM(CR84:CR98)</f>
        <v>20</v>
      </c>
      <c r="CS99" s="1273">
        <f t="shared" si="94"/>
        <v>0</v>
      </c>
      <c r="CT99" s="1273">
        <f t="shared" si="94"/>
        <v>108</v>
      </c>
      <c r="CU99" s="1274">
        <f t="shared" si="94"/>
        <v>128</v>
      </c>
    </row>
    <row r="100" spans="2:99" ht="14.4" x14ac:dyDescent="0.3">
      <c r="B100" s="5845" t="s">
        <v>308</v>
      </c>
      <c r="C100" s="1275" t="s">
        <v>381</v>
      </c>
      <c r="D100" s="1287"/>
      <c r="E100" s="1277"/>
      <c r="F100" s="1277"/>
      <c r="G100" s="1278"/>
      <c r="H100" s="1287">
        <v>2</v>
      </c>
      <c r="I100" s="1277"/>
      <c r="J100" s="1277"/>
      <c r="K100" s="1264">
        <f>SUM(H100:J100)</f>
        <v>2</v>
      </c>
      <c r="L100" s="1287"/>
      <c r="M100" s="1277">
        <v>1</v>
      </c>
      <c r="N100" s="1277">
        <v>5</v>
      </c>
      <c r="O100" s="1278">
        <f>SUM(L100:N100)</f>
        <v>6</v>
      </c>
      <c r="P100" s="1287"/>
      <c r="Q100" s="1277"/>
      <c r="R100" s="1277">
        <v>9</v>
      </c>
      <c r="S100" s="1278">
        <f>SUM(P100:R100)</f>
        <v>9</v>
      </c>
      <c r="T100" s="1287">
        <v>1</v>
      </c>
      <c r="U100" s="1277">
        <v>2</v>
      </c>
      <c r="V100" s="1277">
        <v>3</v>
      </c>
      <c r="W100" s="1278">
        <f t="shared" ref="W100:W107" si="95">SUM(T100:V100)</f>
        <v>6</v>
      </c>
      <c r="X100" s="1279"/>
      <c r="Y100" s="1279">
        <v>2</v>
      </c>
      <c r="Z100" s="1279">
        <v>5</v>
      </c>
      <c r="AA100" s="1278">
        <f>SUM(X100:Z100)</f>
        <v>7</v>
      </c>
      <c r="AB100" s="1279">
        <v>1</v>
      </c>
      <c r="AC100" s="1279">
        <v>4</v>
      </c>
      <c r="AD100" s="1279">
        <v>7</v>
      </c>
      <c r="AE100" s="1278">
        <f>SUM(AB100:AD100)</f>
        <v>12</v>
      </c>
      <c r="AF100" s="1279">
        <v>10</v>
      </c>
      <c r="AG100" s="1279">
        <v>7</v>
      </c>
      <c r="AH100" s="1279">
        <v>7</v>
      </c>
      <c r="AI100" s="1278">
        <f>SUM(AF100:AH100)</f>
        <v>24</v>
      </c>
      <c r="AJ100" s="1279">
        <v>6</v>
      </c>
      <c r="AK100" s="1279">
        <v>2</v>
      </c>
      <c r="AL100" s="1279">
        <v>14</v>
      </c>
      <c r="AM100" s="1278">
        <f>SUM(AJ100:AL100)</f>
        <v>22</v>
      </c>
      <c r="AN100" s="1279">
        <v>1</v>
      </c>
      <c r="AO100" s="1279">
        <v>7</v>
      </c>
      <c r="AP100" s="1279">
        <v>4</v>
      </c>
      <c r="AQ100" s="1278">
        <f t="shared" ref="AQ100:AQ107" si="96">SUM(AN100:AP100)</f>
        <v>12</v>
      </c>
      <c r="AR100" s="1279">
        <v>2</v>
      </c>
      <c r="AS100" s="1279">
        <v>6</v>
      </c>
      <c r="AT100" s="1279">
        <v>9</v>
      </c>
      <c r="AU100" s="1278">
        <f t="shared" ref="AU100:AU109" si="97">SUM(AR100:AT100)</f>
        <v>17</v>
      </c>
      <c r="AV100" s="1279">
        <v>6</v>
      </c>
      <c r="AW100" s="1279">
        <v>6</v>
      </c>
      <c r="AX100" s="1279">
        <v>10</v>
      </c>
      <c r="AY100" s="1278">
        <f t="shared" ref="AY100:AY107" si="98">AV100+AW100+AX100</f>
        <v>22</v>
      </c>
      <c r="AZ100" s="1279">
        <v>7</v>
      </c>
      <c r="BA100" s="1279">
        <v>5</v>
      </c>
      <c r="BB100" s="1279">
        <v>12</v>
      </c>
      <c r="BC100" s="1278">
        <f t="shared" si="88"/>
        <v>24</v>
      </c>
      <c r="BD100" s="1279">
        <v>9</v>
      </c>
      <c r="BE100" s="1279">
        <v>11</v>
      </c>
      <c r="BF100" s="1279">
        <v>5</v>
      </c>
      <c r="BG100" s="1278">
        <f>BD100+BE100+BF100</f>
        <v>25</v>
      </c>
      <c r="BH100" s="1279">
        <v>4</v>
      </c>
      <c r="BI100" s="1279">
        <v>6</v>
      </c>
      <c r="BJ100" s="1279">
        <v>3</v>
      </c>
      <c r="BK100" s="1278">
        <f t="shared" ref="BK100:BK109" si="99">BH100+BI100+BJ100</f>
        <v>13</v>
      </c>
      <c r="BL100" s="1279">
        <v>5</v>
      </c>
      <c r="BM100" s="1279">
        <v>6</v>
      </c>
      <c r="BN100" s="1279">
        <v>7</v>
      </c>
      <c r="BO100" s="1278">
        <f t="shared" ref="BO100:BO109" si="100">BL100+BM100+BN100</f>
        <v>18</v>
      </c>
      <c r="BP100" s="1279">
        <v>6</v>
      </c>
      <c r="BQ100" s="1279">
        <v>6</v>
      </c>
      <c r="BR100" s="1279">
        <v>6</v>
      </c>
      <c r="BS100" s="1278">
        <f>BP100+BQ100+BR100</f>
        <v>18</v>
      </c>
      <c r="BT100" s="1279">
        <v>4</v>
      </c>
      <c r="BU100" s="1279">
        <v>1</v>
      </c>
      <c r="BV100" s="1279">
        <v>6</v>
      </c>
      <c r="BW100" s="1278">
        <f t="shared" ref="BW100:BW109" si="101">BT100+BU100+BV100</f>
        <v>11</v>
      </c>
      <c r="BX100" s="1279"/>
      <c r="BY100" s="1279">
        <v>6</v>
      </c>
      <c r="BZ100" s="1279">
        <v>3</v>
      </c>
      <c r="CA100" s="1278">
        <f t="shared" ref="CA100:CA109" si="102">BX100+BY100+BZ100</f>
        <v>9</v>
      </c>
      <c r="CB100" s="1279"/>
      <c r="CC100" s="1279">
        <v>1</v>
      </c>
      <c r="CD100" s="1279">
        <v>4</v>
      </c>
      <c r="CE100" s="1278">
        <f t="shared" ref="CE100:CE109" si="103">CB100+CC100+CD100</f>
        <v>5</v>
      </c>
      <c r="CF100" s="1279">
        <v>4</v>
      </c>
      <c r="CG100" s="1279">
        <v>2</v>
      </c>
      <c r="CH100" s="1279"/>
      <c r="CI100" s="1278">
        <f t="shared" ref="CI100:CI109" si="104">CF100+CG100+CH100</f>
        <v>6</v>
      </c>
      <c r="CJ100" s="1279"/>
      <c r="CK100" s="1279">
        <v>3</v>
      </c>
      <c r="CL100" s="1279"/>
      <c r="CM100" s="1278">
        <f t="shared" ref="CM100:CM109" si="105">CJ100+CK100+CL100</f>
        <v>3</v>
      </c>
      <c r="CN100" s="1279">
        <v>1</v>
      </c>
      <c r="CO100" s="1279"/>
      <c r="CP100" s="1279"/>
      <c r="CQ100" s="1278">
        <f t="shared" ref="CQ100:CQ109" si="106">CN100+CO100+CP100</f>
        <v>1</v>
      </c>
      <c r="CR100" s="1279">
        <v>5</v>
      </c>
      <c r="CS100" s="1279"/>
      <c r="CT100" s="1279">
        <v>1</v>
      </c>
      <c r="CU100" s="1278">
        <f t="shared" ref="CU100:CU109" si="107">CR100+CS100+CT100</f>
        <v>6</v>
      </c>
    </row>
    <row r="101" spans="2:99" ht="14.4" x14ac:dyDescent="0.3">
      <c r="B101" s="5846"/>
      <c r="C101" s="1261" t="s">
        <v>382</v>
      </c>
      <c r="D101" s="1281"/>
      <c r="E101" s="1280"/>
      <c r="F101" s="1280">
        <v>17</v>
      </c>
      <c r="G101" s="1264">
        <v>17</v>
      </c>
      <c r="H101" s="1281"/>
      <c r="I101" s="1280"/>
      <c r="J101" s="1280">
        <v>22</v>
      </c>
      <c r="K101" s="1264">
        <v>22</v>
      </c>
      <c r="L101" s="1281"/>
      <c r="M101" s="1280"/>
      <c r="N101" s="1280">
        <v>15</v>
      </c>
      <c r="O101" s="1264">
        <v>15</v>
      </c>
      <c r="P101" s="1281"/>
      <c r="Q101" s="1280"/>
      <c r="R101" s="1280">
        <v>13</v>
      </c>
      <c r="S101" s="1264">
        <v>13</v>
      </c>
      <c r="T101" s="1281"/>
      <c r="U101" s="1280"/>
      <c r="V101" s="1280">
        <v>17</v>
      </c>
      <c r="W101" s="1264">
        <f t="shared" si="95"/>
        <v>17</v>
      </c>
      <c r="X101" s="1263"/>
      <c r="Y101" s="1263"/>
      <c r="Z101" s="1263">
        <v>15</v>
      </c>
      <c r="AA101" s="1264">
        <f>SUM(X101:Z101)</f>
        <v>15</v>
      </c>
      <c r="AB101" s="1263"/>
      <c r="AC101" s="1263"/>
      <c r="AD101" s="1263">
        <v>8</v>
      </c>
      <c r="AE101" s="1264">
        <f>SUM(AB101:AD101)</f>
        <v>8</v>
      </c>
      <c r="AF101" s="1263"/>
      <c r="AG101" s="1263"/>
      <c r="AH101" s="1263"/>
      <c r="AI101" s="1264"/>
      <c r="AJ101" s="1263"/>
      <c r="AK101" s="1263">
        <v>17</v>
      </c>
      <c r="AL101" s="1263"/>
      <c r="AM101" s="1264">
        <f>SUM(AJ101:AL101)</f>
        <v>17</v>
      </c>
      <c r="AN101" s="1263"/>
      <c r="AO101" s="1263"/>
      <c r="AP101" s="1263">
        <v>10</v>
      </c>
      <c r="AQ101" s="1264">
        <f t="shared" si="96"/>
        <v>10</v>
      </c>
      <c r="AR101" s="1263" t="s">
        <v>122</v>
      </c>
      <c r="AS101" s="1263" t="s">
        <v>122</v>
      </c>
      <c r="AT101" s="1263">
        <v>6</v>
      </c>
      <c r="AU101" s="1264">
        <f t="shared" si="97"/>
        <v>6</v>
      </c>
      <c r="AV101" s="1263"/>
      <c r="AW101" s="1263"/>
      <c r="AX101" s="1263">
        <v>7</v>
      </c>
      <c r="AY101" s="1264">
        <f t="shared" si="98"/>
        <v>7</v>
      </c>
      <c r="AZ101" s="1263"/>
      <c r="BA101" s="1263"/>
      <c r="BB101" s="1263">
        <v>11</v>
      </c>
      <c r="BC101" s="1264">
        <f>AZ101+BA101+BB101</f>
        <v>11</v>
      </c>
      <c r="BD101" s="1263"/>
      <c r="BE101" s="1263"/>
      <c r="BF101" s="1263">
        <v>11</v>
      </c>
      <c r="BG101" s="1264">
        <f>BD101+BE101+BF101</f>
        <v>11</v>
      </c>
      <c r="BH101" s="1263"/>
      <c r="BI101" s="1263"/>
      <c r="BJ101" s="1263">
        <v>8</v>
      </c>
      <c r="BK101" s="1264">
        <f t="shared" si="99"/>
        <v>8</v>
      </c>
      <c r="BL101" s="1263"/>
      <c r="BM101" s="1263"/>
      <c r="BN101" s="1263">
        <v>3</v>
      </c>
      <c r="BO101" s="1264">
        <f t="shared" si="100"/>
        <v>3</v>
      </c>
      <c r="BP101" s="1263"/>
      <c r="BQ101" s="1263"/>
      <c r="BR101" s="1263"/>
      <c r="BS101" s="1264">
        <f>BP101+BQ101+BR101</f>
        <v>0</v>
      </c>
      <c r="BT101" s="1263"/>
      <c r="BU101" s="1263"/>
      <c r="BV101" s="1263">
        <v>5</v>
      </c>
      <c r="BW101" s="1264">
        <f t="shared" si="101"/>
        <v>5</v>
      </c>
      <c r="BX101" s="1263"/>
      <c r="BY101" s="1263"/>
      <c r="BZ101" s="1263">
        <v>4</v>
      </c>
      <c r="CA101" s="1264">
        <f t="shared" si="102"/>
        <v>4</v>
      </c>
      <c r="CB101" s="1263"/>
      <c r="CC101" s="1263"/>
      <c r="CD101" s="1263">
        <v>3</v>
      </c>
      <c r="CE101" s="1264">
        <f t="shared" si="103"/>
        <v>3</v>
      </c>
      <c r="CF101" s="1263"/>
      <c r="CG101" s="1263"/>
      <c r="CH101" s="1263">
        <v>6</v>
      </c>
      <c r="CI101" s="1264">
        <f t="shared" si="104"/>
        <v>6</v>
      </c>
      <c r="CJ101" s="1263"/>
      <c r="CK101" s="1263"/>
      <c r="CL101" s="1263"/>
      <c r="CM101" s="1264">
        <f t="shared" si="105"/>
        <v>0</v>
      </c>
      <c r="CN101" s="1263"/>
      <c r="CO101" s="1263"/>
      <c r="CP101" s="1263"/>
      <c r="CQ101" s="1264">
        <f t="shared" si="106"/>
        <v>0</v>
      </c>
      <c r="CR101" s="1263"/>
      <c r="CS101" s="1263"/>
      <c r="CT101" s="1263">
        <v>1</v>
      </c>
      <c r="CU101" s="1264">
        <f t="shared" si="107"/>
        <v>1</v>
      </c>
    </row>
    <row r="102" spans="2:99" ht="14.4" x14ac:dyDescent="0.3">
      <c r="B102" s="5847"/>
      <c r="C102" s="1275" t="s">
        <v>356</v>
      </c>
      <c r="D102" s="1281"/>
      <c r="E102" s="1280"/>
      <c r="F102" s="1280"/>
      <c r="G102" s="1264"/>
      <c r="H102" s="1281"/>
      <c r="I102" s="1280"/>
      <c r="J102" s="1280"/>
      <c r="K102" s="1264"/>
      <c r="L102" s="1281"/>
      <c r="M102" s="1280"/>
      <c r="N102" s="1280"/>
      <c r="O102" s="1264"/>
      <c r="P102" s="1281"/>
      <c r="Q102" s="1280"/>
      <c r="R102" s="1280"/>
      <c r="S102" s="1264"/>
      <c r="T102" s="1281"/>
      <c r="U102" s="1280"/>
      <c r="V102" s="1280"/>
      <c r="W102" s="1264"/>
      <c r="X102" s="1263"/>
      <c r="Y102" s="1263"/>
      <c r="Z102" s="1263"/>
      <c r="AA102" s="1264"/>
      <c r="AB102" s="1263"/>
      <c r="AC102" s="1263"/>
      <c r="AD102" s="1263"/>
      <c r="AE102" s="1264"/>
      <c r="AF102" s="1263"/>
      <c r="AG102" s="1263"/>
      <c r="AH102" s="1263"/>
      <c r="AI102" s="1264"/>
      <c r="AJ102" s="1263"/>
      <c r="AK102" s="1263"/>
      <c r="AL102" s="1263"/>
      <c r="AM102" s="1264"/>
      <c r="AN102" s="1263"/>
      <c r="AO102" s="1263"/>
      <c r="AP102" s="1263"/>
      <c r="AQ102" s="1264"/>
      <c r="AR102" s="1263"/>
      <c r="AS102" s="1263"/>
      <c r="AT102" s="1263"/>
      <c r="AU102" s="1264"/>
      <c r="AV102" s="1263"/>
      <c r="AW102" s="1263"/>
      <c r="AX102" s="1263"/>
      <c r="AY102" s="1264"/>
      <c r="AZ102" s="1263"/>
      <c r="BA102" s="1263"/>
      <c r="BB102" s="1263"/>
      <c r="BC102" s="1264"/>
      <c r="BD102" s="1263"/>
      <c r="BE102" s="1263"/>
      <c r="BF102" s="1263"/>
      <c r="BG102" s="1264"/>
      <c r="BH102" s="1263"/>
      <c r="BI102" s="1263"/>
      <c r="BJ102" s="1263"/>
      <c r="BK102" s="1264"/>
      <c r="BL102" s="1263"/>
      <c r="BM102" s="1263"/>
      <c r="BN102" s="1263"/>
      <c r="BO102" s="1264"/>
      <c r="BP102" s="1263"/>
      <c r="BQ102" s="1263"/>
      <c r="BR102" s="1263"/>
      <c r="BS102" s="1264"/>
      <c r="BT102" s="1263"/>
      <c r="BU102" s="1263">
        <v>1</v>
      </c>
      <c r="BV102" s="1263"/>
      <c r="BW102" s="1264">
        <f t="shared" si="101"/>
        <v>1</v>
      </c>
      <c r="BX102" s="1263"/>
      <c r="BY102" s="1263"/>
      <c r="BZ102" s="1263"/>
      <c r="CA102" s="1264">
        <f t="shared" si="102"/>
        <v>0</v>
      </c>
      <c r="CB102" s="1263"/>
      <c r="CC102" s="1263"/>
      <c r="CD102" s="1263"/>
      <c r="CE102" s="1264">
        <f t="shared" si="103"/>
        <v>0</v>
      </c>
      <c r="CF102" s="1263"/>
      <c r="CG102" s="1263"/>
      <c r="CH102" s="1263"/>
      <c r="CI102" s="1264">
        <f t="shared" si="104"/>
        <v>0</v>
      </c>
      <c r="CJ102" s="1263"/>
      <c r="CK102" s="1263"/>
      <c r="CL102" s="1263"/>
      <c r="CM102" s="1264">
        <f t="shared" si="105"/>
        <v>0</v>
      </c>
      <c r="CN102" s="1263"/>
      <c r="CO102" s="1263"/>
      <c r="CP102" s="1263"/>
      <c r="CQ102" s="1264">
        <f t="shared" si="106"/>
        <v>0</v>
      </c>
      <c r="CR102" s="1263"/>
      <c r="CS102" s="1263"/>
      <c r="CT102" s="1263"/>
      <c r="CU102" s="1264">
        <f t="shared" si="107"/>
        <v>0</v>
      </c>
    </row>
    <row r="103" spans="2:99" ht="14.4" x14ac:dyDescent="0.3">
      <c r="B103" s="5834" t="s">
        <v>310</v>
      </c>
      <c r="C103" s="4406" t="s">
        <v>383</v>
      </c>
      <c r="D103" s="4409"/>
      <c r="E103" s="4408"/>
      <c r="F103" s="4408">
        <v>20</v>
      </c>
      <c r="G103" s="4405">
        <v>20</v>
      </c>
      <c r="H103" s="4409"/>
      <c r="I103" s="4408"/>
      <c r="J103" s="4408">
        <v>20</v>
      </c>
      <c r="K103" s="4405">
        <v>20</v>
      </c>
      <c r="L103" s="4409"/>
      <c r="M103" s="4408"/>
      <c r="N103" s="4408">
        <v>28</v>
      </c>
      <c r="O103" s="4405">
        <v>28</v>
      </c>
      <c r="P103" s="4409"/>
      <c r="Q103" s="4408"/>
      <c r="R103" s="4408">
        <v>35</v>
      </c>
      <c r="S103" s="4405">
        <v>35</v>
      </c>
      <c r="T103" s="4409"/>
      <c r="U103" s="4408"/>
      <c r="V103" s="4408">
        <v>23</v>
      </c>
      <c r="W103" s="4405">
        <f t="shared" si="95"/>
        <v>23</v>
      </c>
      <c r="X103" s="4404"/>
      <c r="Y103" s="4404"/>
      <c r="Z103" s="4404">
        <v>3</v>
      </c>
      <c r="AA103" s="4405">
        <f>SUM(X103:Z103)</f>
        <v>3</v>
      </c>
      <c r="AB103" s="4404"/>
      <c r="AC103" s="4404"/>
      <c r="AD103" s="4404">
        <v>14</v>
      </c>
      <c r="AE103" s="4405">
        <f>SUM(AB103:AD103)</f>
        <v>14</v>
      </c>
      <c r="AF103" s="4404"/>
      <c r="AG103" s="4404"/>
      <c r="AH103" s="4404">
        <v>20</v>
      </c>
      <c r="AI103" s="4405">
        <f>SUM(AF103:AH103)</f>
        <v>20</v>
      </c>
      <c r="AJ103" s="4404"/>
      <c r="AK103" s="4404"/>
      <c r="AL103" s="4404">
        <v>27</v>
      </c>
      <c r="AM103" s="4405">
        <f>SUM(AJ103:AL103)</f>
        <v>27</v>
      </c>
      <c r="AN103" s="4404"/>
      <c r="AO103" s="4404"/>
      <c r="AP103" s="4404">
        <v>16</v>
      </c>
      <c r="AQ103" s="4405">
        <f t="shared" si="96"/>
        <v>16</v>
      </c>
      <c r="AR103" s="4404" t="s">
        <v>122</v>
      </c>
      <c r="AS103" s="4404" t="s">
        <v>122</v>
      </c>
      <c r="AT103" s="4404">
        <v>22</v>
      </c>
      <c r="AU103" s="4405">
        <f t="shared" si="97"/>
        <v>22</v>
      </c>
      <c r="AV103" s="4404"/>
      <c r="AW103" s="4404"/>
      <c r="AX103" s="4404">
        <v>15</v>
      </c>
      <c r="AY103" s="4405">
        <f t="shared" si="98"/>
        <v>15</v>
      </c>
      <c r="AZ103" s="4404"/>
      <c r="BA103" s="4404"/>
      <c r="BB103" s="4404">
        <v>24</v>
      </c>
      <c r="BC103" s="4405">
        <f t="shared" si="88"/>
        <v>24</v>
      </c>
      <c r="BD103" s="4404"/>
      <c r="BE103" s="4404"/>
      <c r="BF103" s="4404">
        <v>16</v>
      </c>
      <c r="BG103" s="4405">
        <f t="shared" ref="BG103:BG109" si="108">BD103+BE103+BF103</f>
        <v>16</v>
      </c>
      <c r="BH103" s="4404"/>
      <c r="BI103" s="4404"/>
      <c r="BJ103" s="4404">
        <v>27</v>
      </c>
      <c r="BK103" s="4405">
        <f t="shared" si="99"/>
        <v>27</v>
      </c>
      <c r="BL103" s="4404"/>
      <c r="BM103" s="4404"/>
      <c r="BN103" s="4404">
        <v>19</v>
      </c>
      <c r="BO103" s="4405">
        <f t="shared" si="100"/>
        <v>19</v>
      </c>
      <c r="BP103" s="4404"/>
      <c r="BQ103" s="4404"/>
      <c r="BR103" s="4404">
        <v>15</v>
      </c>
      <c r="BS103" s="4405">
        <f t="shared" ref="BS103:BS109" si="109">BP103+BQ103+BR103</f>
        <v>15</v>
      </c>
      <c r="BT103" s="4404"/>
      <c r="BU103" s="4404"/>
      <c r="BV103" s="4404">
        <v>15</v>
      </c>
      <c r="BW103" s="4405">
        <f t="shared" si="101"/>
        <v>15</v>
      </c>
      <c r="BX103" s="4404"/>
      <c r="BY103" s="4404"/>
      <c r="BZ103" s="4404">
        <v>16</v>
      </c>
      <c r="CA103" s="4405">
        <f t="shared" si="102"/>
        <v>16</v>
      </c>
      <c r="CB103" s="4404"/>
      <c r="CC103" s="4404"/>
      <c r="CD103" s="4404">
        <v>14</v>
      </c>
      <c r="CE103" s="4405">
        <f t="shared" si="103"/>
        <v>14</v>
      </c>
      <c r="CF103" s="4404"/>
      <c r="CG103" s="4404">
        <v>7</v>
      </c>
      <c r="CH103" s="4404"/>
      <c r="CI103" s="4405">
        <f t="shared" si="104"/>
        <v>7</v>
      </c>
      <c r="CJ103" s="4404"/>
      <c r="CK103" s="4404">
        <v>10</v>
      </c>
      <c r="CL103" s="4404"/>
      <c r="CM103" s="4405">
        <f t="shared" si="105"/>
        <v>10</v>
      </c>
      <c r="CN103" s="4404"/>
      <c r="CO103" s="4404">
        <v>3</v>
      </c>
      <c r="CP103" s="4404"/>
      <c r="CQ103" s="4405">
        <f t="shared" si="106"/>
        <v>3</v>
      </c>
      <c r="CR103" s="4404"/>
      <c r="CS103" s="4404"/>
      <c r="CT103" s="4404">
        <v>22</v>
      </c>
      <c r="CU103" s="4405">
        <f t="shared" si="107"/>
        <v>22</v>
      </c>
    </row>
    <row r="104" spans="2:99" ht="14.4" x14ac:dyDescent="0.3">
      <c r="B104" s="5835"/>
      <c r="C104" s="4406" t="s">
        <v>384</v>
      </c>
      <c r="D104" s="4409">
        <v>14</v>
      </c>
      <c r="E104" s="4408"/>
      <c r="F104" s="4408"/>
      <c r="G104" s="4405">
        <v>14</v>
      </c>
      <c r="H104" s="4409">
        <v>20</v>
      </c>
      <c r="I104" s="4408"/>
      <c r="J104" s="4408"/>
      <c r="K104" s="4405">
        <v>20</v>
      </c>
      <c r="L104" s="4409">
        <v>15</v>
      </c>
      <c r="M104" s="4408"/>
      <c r="N104" s="4408"/>
      <c r="O104" s="4405">
        <v>15</v>
      </c>
      <c r="P104" s="4409">
        <v>12</v>
      </c>
      <c r="Q104" s="4408"/>
      <c r="R104" s="4408">
        <v>1</v>
      </c>
      <c r="S104" s="4405">
        <v>13</v>
      </c>
      <c r="T104" s="4409">
        <v>6</v>
      </c>
      <c r="U104" s="4408"/>
      <c r="V104" s="4408"/>
      <c r="W104" s="4405">
        <f t="shared" si="95"/>
        <v>6</v>
      </c>
      <c r="X104" s="4404">
        <v>6</v>
      </c>
      <c r="Y104" s="4404"/>
      <c r="Z104" s="4404"/>
      <c r="AA104" s="4405">
        <f>SUM(X104:Z104)</f>
        <v>6</v>
      </c>
      <c r="AB104" s="4404">
        <v>4</v>
      </c>
      <c r="AC104" s="4404"/>
      <c r="AD104" s="4404">
        <v>6</v>
      </c>
      <c r="AE104" s="4405">
        <f>SUM(AB104:AD104)</f>
        <v>10</v>
      </c>
      <c r="AF104" s="4404"/>
      <c r="AG104" s="4404"/>
      <c r="AH104" s="4404">
        <v>7</v>
      </c>
      <c r="AI104" s="4405">
        <f>SUM(AF104:AH104)</f>
        <v>7</v>
      </c>
      <c r="AJ104" s="4404"/>
      <c r="AK104" s="4404"/>
      <c r="AL104" s="4404">
        <v>17</v>
      </c>
      <c r="AM104" s="4405">
        <f>SUM(AJ104:AL104)</f>
        <v>17</v>
      </c>
      <c r="AN104" s="4404"/>
      <c r="AO104" s="4404"/>
      <c r="AP104" s="4404">
        <v>14</v>
      </c>
      <c r="AQ104" s="4405">
        <f t="shared" si="96"/>
        <v>14</v>
      </c>
      <c r="AR104" s="4404" t="s">
        <v>122</v>
      </c>
      <c r="AS104" s="4404" t="s">
        <v>122</v>
      </c>
      <c r="AT104" s="4404">
        <v>23</v>
      </c>
      <c r="AU104" s="4405">
        <f t="shared" si="97"/>
        <v>23</v>
      </c>
      <c r="AV104" s="4404"/>
      <c r="AW104" s="4404"/>
      <c r="AX104" s="4404">
        <v>19</v>
      </c>
      <c r="AY104" s="4405">
        <f t="shared" si="98"/>
        <v>19</v>
      </c>
      <c r="AZ104" s="4404"/>
      <c r="BA104" s="4404"/>
      <c r="BB104" s="4404">
        <v>18</v>
      </c>
      <c r="BC104" s="4405">
        <f>AZ104+BA104+BB104</f>
        <v>18</v>
      </c>
      <c r="BD104" s="4404"/>
      <c r="BE104" s="4404"/>
      <c r="BF104" s="4404">
        <v>19</v>
      </c>
      <c r="BG104" s="4405">
        <f t="shared" si="108"/>
        <v>19</v>
      </c>
      <c r="BH104" s="4404"/>
      <c r="BI104" s="4404"/>
      <c r="BJ104" s="4404">
        <v>17</v>
      </c>
      <c r="BK104" s="4405">
        <f t="shared" si="99"/>
        <v>17</v>
      </c>
      <c r="BL104" s="4404"/>
      <c r="BM104" s="4404"/>
      <c r="BN104" s="4404">
        <v>17</v>
      </c>
      <c r="BO104" s="4405">
        <f t="shared" si="100"/>
        <v>17</v>
      </c>
      <c r="BP104" s="4404"/>
      <c r="BQ104" s="4404"/>
      <c r="BR104" s="4404">
        <v>14</v>
      </c>
      <c r="BS104" s="4405">
        <f t="shared" si="109"/>
        <v>14</v>
      </c>
      <c r="BT104" s="4404"/>
      <c r="BU104" s="4404"/>
      <c r="BV104" s="4404">
        <v>14</v>
      </c>
      <c r="BW104" s="4405">
        <f t="shared" si="101"/>
        <v>14</v>
      </c>
      <c r="BX104" s="4404"/>
      <c r="BY104" s="4404"/>
      <c r="BZ104" s="4404">
        <v>9</v>
      </c>
      <c r="CA104" s="4405">
        <f t="shared" si="102"/>
        <v>9</v>
      </c>
      <c r="CB104" s="4404"/>
      <c r="CC104" s="4404"/>
      <c r="CD104" s="4404">
        <v>15</v>
      </c>
      <c r="CE104" s="4405">
        <f t="shared" si="103"/>
        <v>15</v>
      </c>
      <c r="CF104" s="4404"/>
      <c r="CG104" s="4404">
        <v>9</v>
      </c>
      <c r="CH104" s="4404">
        <v>8</v>
      </c>
      <c r="CI104" s="4405">
        <f t="shared" si="104"/>
        <v>17</v>
      </c>
      <c r="CJ104" s="4404"/>
      <c r="CK104" s="4404">
        <v>7</v>
      </c>
      <c r="CL104" s="4404"/>
      <c r="CM104" s="4405">
        <f t="shared" si="105"/>
        <v>7</v>
      </c>
      <c r="CN104" s="4404"/>
      <c r="CO104" s="4404">
        <v>6</v>
      </c>
      <c r="CP104" s="4404"/>
      <c r="CQ104" s="4405">
        <f t="shared" si="106"/>
        <v>6</v>
      </c>
      <c r="CR104" s="4404"/>
      <c r="CS104" s="4404"/>
      <c r="CT104" s="4404">
        <v>10</v>
      </c>
      <c r="CU104" s="4405">
        <f t="shared" si="107"/>
        <v>10</v>
      </c>
    </row>
    <row r="105" spans="2:99" ht="14.4" x14ac:dyDescent="0.3">
      <c r="B105" s="5835"/>
      <c r="C105" s="4402" t="s">
        <v>385</v>
      </c>
      <c r="D105" s="4409">
        <v>7</v>
      </c>
      <c r="E105" s="4408"/>
      <c r="F105" s="4408"/>
      <c r="G105" s="4405">
        <v>7</v>
      </c>
      <c r="H105" s="4409">
        <v>12</v>
      </c>
      <c r="I105" s="4408"/>
      <c r="J105" s="4408"/>
      <c r="K105" s="4405">
        <v>12</v>
      </c>
      <c r="L105" s="4409">
        <v>1</v>
      </c>
      <c r="M105" s="4408"/>
      <c r="N105" s="4408"/>
      <c r="O105" s="4405">
        <v>1</v>
      </c>
      <c r="P105" s="4409"/>
      <c r="Q105" s="4408"/>
      <c r="R105" s="4408"/>
      <c r="S105" s="4405"/>
      <c r="T105" s="4409"/>
      <c r="U105" s="4408"/>
      <c r="V105" s="4408"/>
      <c r="W105" s="4405"/>
      <c r="X105" s="4404"/>
      <c r="Y105" s="4404"/>
      <c r="Z105" s="4404"/>
      <c r="AA105" s="4405"/>
      <c r="AB105" s="4404"/>
      <c r="AC105" s="4404"/>
      <c r="AD105" s="4404"/>
      <c r="AE105" s="4405"/>
      <c r="AF105" s="4404"/>
      <c r="AG105" s="4404"/>
      <c r="AH105" s="4404"/>
      <c r="AI105" s="4405"/>
      <c r="AJ105" s="4404"/>
      <c r="AK105" s="4404"/>
      <c r="AL105" s="4404"/>
      <c r="AM105" s="4405"/>
      <c r="AN105" s="4404"/>
      <c r="AO105" s="4404"/>
      <c r="AP105" s="4404"/>
      <c r="AQ105" s="4405"/>
      <c r="AR105" s="4404"/>
      <c r="AS105" s="4404"/>
      <c r="AT105" s="4404"/>
      <c r="AU105" s="4405">
        <f>SUM(AR105:AT105)</f>
        <v>0</v>
      </c>
      <c r="AV105" s="4404"/>
      <c r="AW105" s="4404"/>
      <c r="AX105" s="4404"/>
      <c r="AY105" s="4405"/>
      <c r="AZ105" s="4404"/>
      <c r="BA105" s="4404"/>
      <c r="BB105" s="4404"/>
      <c r="BC105" s="4405"/>
      <c r="BD105" s="4404">
        <v>8</v>
      </c>
      <c r="BE105" s="4404"/>
      <c r="BF105" s="4404">
        <v>8</v>
      </c>
      <c r="BG105" s="4405">
        <f t="shared" si="108"/>
        <v>16</v>
      </c>
      <c r="BH105" s="4404"/>
      <c r="BI105" s="4404"/>
      <c r="BJ105" s="4404">
        <v>10</v>
      </c>
      <c r="BK105" s="4405">
        <f>BH105+BI105+BJ105</f>
        <v>10</v>
      </c>
      <c r="BL105" s="4404"/>
      <c r="BM105" s="4404"/>
      <c r="BN105" s="4404">
        <v>15</v>
      </c>
      <c r="BO105" s="4405">
        <f>BL105+BM105+BN105</f>
        <v>15</v>
      </c>
      <c r="BP105" s="4404"/>
      <c r="BQ105" s="4404"/>
      <c r="BR105" s="4404">
        <v>14</v>
      </c>
      <c r="BS105" s="4405">
        <f t="shared" si="109"/>
        <v>14</v>
      </c>
      <c r="BT105" s="4404"/>
      <c r="BU105" s="4404"/>
      <c r="BV105" s="4404">
        <v>13</v>
      </c>
      <c r="BW105" s="4405">
        <f t="shared" si="101"/>
        <v>13</v>
      </c>
      <c r="BX105" s="4404"/>
      <c r="BY105" s="4404"/>
      <c r="BZ105" s="4404">
        <v>15</v>
      </c>
      <c r="CA105" s="4405">
        <f t="shared" si="102"/>
        <v>15</v>
      </c>
      <c r="CB105" s="4404"/>
      <c r="CC105" s="4404"/>
      <c r="CD105" s="4404">
        <v>15</v>
      </c>
      <c r="CE105" s="4405">
        <f t="shared" si="103"/>
        <v>15</v>
      </c>
      <c r="CF105" s="4404"/>
      <c r="CG105" s="4404">
        <v>5</v>
      </c>
      <c r="CH105" s="4404">
        <v>5</v>
      </c>
      <c r="CI105" s="4405">
        <f t="shared" si="104"/>
        <v>10</v>
      </c>
      <c r="CJ105" s="4404"/>
      <c r="CK105" s="4404">
        <v>5</v>
      </c>
      <c r="CL105" s="4404"/>
      <c r="CM105" s="4405">
        <f t="shared" si="105"/>
        <v>5</v>
      </c>
      <c r="CN105" s="4404"/>
      <c r="CO105" s="4404">
        <v>5</v>
      </c>
      <c r="CP105" s="4404"/>
      <c r="CQ105" s="4405">
        <f t="shared" si="106"/>
        <v>5</v>
      </c>
      <c r="CR105" s="4404"/>
      <c r="CS105" s="4404"/>
      <c r="CT105" s="4404">
        <v>6</v>
      </c>
      <c r="CU105" s="4405">
        <f t="shared" si="107"/>
        <v>6</v>
      </c>
    </row>
    <row r="106" spans="2:99" ht="14.4" x14ac:dyDescent="0.3">
      <c r="B106" s="5836"/>
      <c r="C106" s="4402" t="s">
        <v>386</v>
      </c>
      <c r="D106" s="4409"/>
      <c r="E106" s="4408"/>
      <c r="F106" s="4408"/>
      <c r="G106" s="4405"/>
      <c r="H106" s="4409"/>
      <c r="I106" s="4408"/>
      <c r="J106" s="4408"/>
      <c r="K106" s="4405"/>
      <c r="L106" s="4409"/>
      <c r="M106" s="4408"/>
      <c r="N106" s="4408">
        <v>23</v>
      </c>
      <c r="O106" s="4405">
        <v>23</v>
      </c>
      <c r="P106" s="4409"/>
      <c r="Q106" s="4408"/>
      <c r="R106" s="4408">
        <v>25</v>
      </c>
      <c r="S106" s="4405">
        <v>25</v>
      </c>
      <c r="T106" s="4409"/>
      <c r="U106" s="4408"/>
      <c r="V106" s="4408">
        <v>8</v>
      </c>
      <c r="W106" s="4405">
        <f t="shared" si="95"/>
        <v>8</v>
      </c>
      <c r="X106" s="4404"/>
      <c r="Y106" s="4404"/>
      <c r="Z106" s="4404">
        <v>9</v>
      </c>
      <c r="AA106" s="4405">
        <f>SUM(X106:Z106)</f>
        <v>9</v>
      </c>
      <c r="AB106" s="4404"/>
      <c r="AC106" s="4404"/>
      <c r="AD106" s="4404">
        <v>9</v>
      </c>
      <c r="AE106" s="4405">
        <f>SUM(AB106:AD106)</f>
        <v>9</v>
      </c>
      <c r="AF106" s="4404"/>
      <c r="AG106" s="4404"/>
      <c r="AH106" s="4404">
        <v>9</v>
      </c>
      <c r="AI106" s="4405">
        <f>SUM(AF106:AH106)</f>
        <v>9</v>
      </c>
      <c r="AJ106" s="4404"/>
      <c r="AK106" s="4404"/>
      <c r="AL106" s="4404">
        <v>12</v>
      </c>
      <c r="AM106" s="4405">
        <f>SUM(AJ106:AL106)</f>
        <v>12</v>
      </c>
      <c r="AN106" s="4404"/>
      <c r="AO106" s="4404"/>
      <c r="AP106" s="4404">
        <v>22</v>
      </c>
      <c r="AQ106" s="4405">
        <f t="shared" si="96"/>
        <v>22</v>
      </c>
      <c r="AR106" s="4404" t="s">
        <v>122</v>
      </c>
      <c r="AS106" s="4404" t="s">
        <v>122</v>
      </c>
      <c r="AT106" s="4404">
        <v>12</v>
      </c>
      <c r="AU106" s="4405">
        <f t="shared" si="97"/>
        <v>12</v>
      </c>
      <c r="AV106" s="4404"/>
      <c r="AW106" s="4404"/>
      <c r="AX106" s="4404">
        <v>12</v>
      </c>
      <c r="AY106" s="4405">
        <f t="shared" si="98"/>
        <v>12</v>
      </c>
      <c r="AZ106" s="4404"/>
      <c r="BA106" s="4404"/>
      <c r="BB106" s="4404">
        <v>27</v>
      </c>
      <c r="BC106" s="4405">
        <f>AZ106+BA106+BB106</f>
        <v>27</v>
      </c>
      <c r="BD106" s="4404"/>
      <c r="BE106" s="4404"/>
      <c r="BF106" s="4404">
        <v>11</v>
      </c>
      <c r="BG106" s="4405">
        <f t="shared" si="108"/>
        <v>11</v>
      </c>
      <c r="BH106" s="4404"/>
      <c r="BI106" s="4404"/>
      <c r="BJ106" s="4404">
        <v>24</v>
      </c>
      <c r="BK106" s="4405">
        <f t="shared" si="99"/>
        <v>24</v>
      </c>
      <c r="BL106" s="4404"/>
      <c r="BM106" s="4404"/>
      <c r="BN106" s="4404">
        <v>18</v>
      </c>
      <c r="BO106" s="4405">
        <f t="shared" si="100"/>
        <v>18</v>
      </c>
      <c r="BP106" s="4404"/>
      <c r="BQ106" s="4404"/>
      <c r="BR106" s="4404">
        <v>23</v>
      </c>
      <c r="BS106" s="4405">
        <f t="shared" si="109"/>
        <v>23</v>
      </c>
      <c r="BT106" s="4404"/>
      <c r="BU106" s="4404"/>
      <c r="BV106" s="4404">
        <v>14</v>
      </c>
      <c r="BW106" s="4405">
        <f t="shared" si="101"/>
        <v>14</v>
      </c>
      <c r="BX106" s="4404"/>
      <c r="BY106" s="4404"/>
      <c r="BZ106" s="4404">
        <v>12</v>
      </c>
      <c r="CA106" s="4405">
        <f t="shared" si="102"/>
        <v>12</v>
      </c>
      <c r="CB106" s="4404"/>
      <c r="CC106" s="4404"/>
      <c r="CD106" s="4404">
        <v>9</v>
      </c>
      <c r="CE106" s="4405">
        <f t="shared" si="103"/>
        <v>9</v>
      </c>
      <c r="CF106" s="4404"/>
      <c r="CG106" s="4404">
        <v>10</v>
      </c>
      <c r="CH106" s="4404"/>
      <c r="CI106" s="4405">
        <f t="shared" si="104"/>
        <v>10</v>
      </c>
      <c r="CJ106" s="4404"/>
      <c r="CK106" s="4404">
        <v>16</v>
      </c>
      <c r="CL106" s="4404"/>
      <c r="CM106" s="4405">
        <f t="shared" si="105"/>
        <v>16</v>
      </c>
      <c r="CN106" s="4404"/>
      <c r="CO106" s="4404">
        <v>8</v>
      </c>
      <c r="CP106" s="4404"/>
      <c r="CQ106" s="4405">
        <f t="shared" si="106"/>
        <v>8</v>
      </c>
      <c r="CR106" s="4404"/>
      <c r="CS106" s="4404"/>
      <c r="CT106" s="4404">
        <v>20</v>
      </c>
      <c r="CU106" s="4405">
        <f t="shared" si="107"/>
        <v>20</v>
      </c>
    </row>
    <row r="107" spans="2:99" ht="14.4" x14ac:dyDescent="0.3">
      <c r="B107" s="5845" t="s">
        <v>317</v>
      </c>
      <c r="C107" s="1265" t="s">
        <v>387</v>
      </c>
      <c r="D107" s="1281">
        <v>4</v>
      </c>
      <c r="E107" s="1280"/>
      <c r="F107" s="1280">
        <v>1</v>
      </c>
      <c r="G107" s="1264">
        <v>5</v>
      </c>
      <c r="H107" s="1281">
        <v>7</v>
      </c>
      <c r="I107" s="1280">
        <v>2</v>
      </c>
      <c r="J107" s="1280">
        <v>6</v>
      </c>
      <c r="K107" s="1264">
        <v>15</v>
      </c>
      <c r="L107" s="1281">
        <v>3</v>
      </c>
      <c r="M107" s="1280">
        <v>2</v>
      </c>
      <c r="N107" s="1280">
        <v>3</v>
      </c>
      <c r="O107" s="1264">
        <v>8</v>
      </c>
      <c r="P107" s="1281">
        <v>5</v>
      </c>
      <c r="Q107" s="1280">
        <v>1</v>
      </c>
      <c r="R107" s="1280">
        <v>8</v>
      </c>
      <c r="S107" s="1264">
        <v>14</v>
      </c>
      <c r="T107" s="1281">
        <v>1</v>
      </c>
      <c r="U107" s="1280"/>
      <c r="V107" s="1280">
        <v>3</v>
      </c>
      <c r="W107" s="1264">
        <f t="shared" si="95"/>
        <v>4</v>
      </c>
      <c r="X107" s="1263">
        <v>4</v>
      </c>
      <c r="Y107" s="1263"/>
      <c r="Z107" s="1263">
        <v>17</v>
      </c>
      <c r="AA107" s="1264">
        <f>SUM(X107:Z107)</f>
        <v>21</v>
      </c>
      <c r="AB107" s="1263">
        <v>11</v>
      </c>
      <c r="AC107" s="1263"/>
      <c r="AD107" s="1263">
        <v>8</v>
      </c>
      <c r="AE107" s="1264">
        <f>SUM(AB107:AD107)</f>
        <v>19</v>
      </c>
      <c r="AF107" s="1263">
        <v>9</v>
      </c>
      <c r="AG107" s="1263"/>
      <c r="AH107" s="1263">
        <v>6</v>
      </c>
      <c r="AI107" s="1264">
        <f>SUM(AF107:AH107)</f>
        <v>15</v>
      </c>
      <c r="AJ107" s="1263">
        <v>3</v>
      </c>
      <c r="AK107" s="1263"/>
      <c r="AL107" s="1263">
        <v>1</v>
      </c>
      <c r="AM107" s="1264">
        <f>SUM(AJ107:AL107)</f>
        <v>4</v>
      </c>
      <c r="AN107" s="1263">
        <v>2</v>
      </c>
      <c r="AO107" s="1263"/>
      <c r="AP107" s="1263">
        <v>7</v>
      </c>
      <c r="AQ107" s="1264">
        <f t="shared" si="96"/>
        <v>9</v>
      </c>
      <c r="AR107" s="1263">
        <v>6</v>
      </c>
      <c r="AS107" s="1263" t="s">
        <v>122</v>
      </c>
      <c r="AT107" s="1263">
        <v>2</v>
      </c>
      <c r="AU107" s="1264">
        <f t="shared" si="97"/>
        <v>8</v>
      </c>
      <c r="AV107" s="1263">
        <v>17</v>
      </c>
      <c r="AW107" s="1263"/>
      <c r="AX107" s="1263">
        <v>9</v>
      </c>
      <c r="AY107" s="1264">
        <f t="shared" si="98"/>
        <v>26</v>
      </c>
      <c r="AZ107" s="1263">
        <v>3</v>
      </c>
      <c r="BA107" s="1263"/>
      <c r="BB107" s="1263">
        <v>21</v>
      </c>
      <c r="BC107" s="1264">
        <f t="shared" si="88"/>
        <v>24</v>
      </c>
      <c r="BD107" s="1263">
        <v>6</v>
      </c>
      <c r="BE107" s="1263"/>
      <c r="BF107" s="1263">
        <v>17</v>
      </c>
      <c r="BG107" s="1264">
        <f t="shared" si="108"/>
        <v>23</v>
      </c>
      <c r="BH107" s="1263">
        <v>6</v>
      </c>
      <c r="BI107" s="1263"/>
      <c r="BJ107" s="1263">
        <v>12</v>
      </c>
      <c r="BK107" s="1264">
        <f t="shared" si="99"/>
        <v>18</v>
      </c>
      <c r="BL107" s="1263">
        <v>11</v>
      </c>
      <c r="BM107" s="1263"/>
      <c r="BN107" s="1263">
        <v>9</v>
      </c>
      <c r="BO107" s="1264">
        <f t="shared" si="100"/>
        <v>20</v>
      </c>
      <c r="BP107" s="1263">
        <v>7</v>
      </c>
      <c r="BQ107" s="1263"/>
      <c r="BR107" s="1263">
        <v>19</v>
      </c>
      <c r="BS107" s="1264">
        <f t="shared" si="109"/>
        <v>26</v>
      </c>
      <c r="BT107" s="1263">
        <v>3</v>
      </c>
      <c r="BU107" s="1263"/>
      <c r="BV107" s="1263">
        <v>8</v>
      </c>
      <c r="BW107" s="1264">
        <f t="shared" si="101"/>
        <v>11</v>
      </c>
      <c r="BX107" s="1263">
        <v>11</v>
      </c>
      <c r="BY107" s="1263"/>
      <c r="BZ107" s="1263">
        <v>14</v>
      </c>
      <c r="CA107" s="1264">
        <f t="shared" si="102"/>
        <v>25</v>
      </c>
      <c r="CB107" s="1263">
        <v>4</v>
      </c>
      <c r="CC107" s="1263"/>
      <c r="CD107" s="1263">
        <v>10</v>
      </c>
      <c r="CE107" s="1264">
        <f t="shared" si="103"/>
        <v>14</v>
      </c>
      <c r="CF107" s="1263">
        <v>3</v>
      </c>
      <c r="CG107" s="1263">
        <v>3</v>
      </c>
      <c r="CH107" s="1263">
        <v>11</v>
      </c>
      <c r="CI107" s="1264">
        <f t="shared" si="104"/>
        <v>17</v>
      </c>
      <c r="CJ107" s="1263"/>
      <c r="CK107" s="1263">
        <v>1</v>
      </c>
      <c r="CL107" s="1263">
        <v>5</v>
      </c>
      <c r="CM107" s="1264">
        <f t="shared" si="105"/>
        <v>6</v>
      </c>
      <c r="CN107" s="1263"/>
      <c r="CO107" s="1263">
        <v>9</v>
      </c>
      <c r="CP107" s="1263"/>
      <c r="CQ107" s="1264">
        <f t="shared" si="106"/>
        <v>9</v>
      </c>
      <c r="CR107" s="1263">
        <v>3</v>
      </c>
      <c r="CS107" s="1263"/>
      <c r="CT107" s="1263">
        <v>6</v>
      </c>
      <c r="CU107" s="1264">
        <f t="shared" si="107"/>
        <v>9</v>
      </c>
    </row>
    <row r="108" spans="2:99" ht="14.4" x14ac:dyDescent="0.3">
      <c r="B108" s="5846"/>
      <c r="C108" s="1265" t="s">
        <v>384</v>
      </c>
      <c r="D108" s="1281"/>
      <c r="E108" s="1280"/>
      <c r="F108" s="1280"/>
      <c r="G108" s="1264"/>
      <c r="H108" s="1281"/>
      <c r="I108" s="1280"/>
      <c r="J108" s="1280"/>
      <c r="K108" s="1264"/>
      <c r="L108" s="1281"/>
      <c r="M108" s="1280"/>
      <c r="N108" s="1280">
        <v>4</v>
      </c>
      <c r="O108" s="1264">
        <v>4</v>
      </c>
      <c r="P108" s="1281">
        <v>5</v>
      </c>
      <c r="Q108" s="1280"/>
      <c r="R108" s="1280"/>
      <c r="S108" s="1264">
        <v>5</v>
      </c>
      <c r="T108" s="1281">
        <v>11</v>
      </c>
      <c r="U108" s="1280"/>
      <c r="V108" s="1280"/>
      <c r="W108" s="1264">
        <f>SUM(T108:V108)</f>
        <v>11</v>
      </c>
      <c r="X108" s="1263">
        <v>5</v>
      </c>
      <c r="Y108" s="1263"/>
      <c r="Z108" s="1263"/>
      <c r="AA108" s="1264">
        <f>SUM(X108:Z108)</f>
        <v>5</v>
      </c>
      <c r="AB108" s="1263">
        <v>9</v>
      </c>
      <c r="AC108" s="1263"/>
      <c r="AD108" s="1263">
        <v>3</v>
      </c>
      <c r="AE108" s="1264">
        <f>SUM(AB108:AD108)</f>
        <v>12</v>
      </c>
      <c r="AF108" s="1263"/>
      <c r="AG108" s="1263"/>
      <c r="AH108" s="1263">
        <v>1</v>
      </c>
      <c r="AI108" s="1264">
        <f>SUM(AF108:AH108)</f>
        <v>1</v>
      </c>
      <c r="AJ108" s="1263">
        <v>5</v>
      </c>
      <c r="AK108" s="1263"/>
      <c r="AL108" s="1263">
        <v>1</v>
      </c>
      <c r="AM108" s="1264">
        <f>SUM(AJ108:AL108)</f>
        <v>6</v>
      </c>
      <c r="AN108" s="1263">
        <v>3</v>
      </c>
      <c r="AO108" s="1263"/>
      <c r="AP108" s="1263">
        <v>3</v>
      </c>
      <c r="AQ108" s="1264">
        <f>SUM(AN108:AP108)</f>
        <v>6</v>
      </c>
      <c r="AR108" s="1263">
        <v>5</v>
      </c>
      <c r="AS108" s="1263" t="s">
        <v>122</v>
      </c>
      <c r="AT108" s="1263">
        <v>3</v>
      </c>
      <c r="AU108" s="1264">
        <f t="shared" si="97"/>
        <v>8</v>
      </c>
      <c r="AV108" s="1263">
        <v>2</v>
      </c>
      <c r="AW108" s="1263"/>
      <c r="AX108" s="1263">
        <v>6</v>
      </c>
      <c r="AY108" s="1264">
        <f>AV108+AW108+AX108</f>
        <v>8</v>
      </c>
      <c r="AZ108" s="1263">
        <v>4</v>
      </c>
      <c r="BA108" s="1263"/>
      <c r="BB108" s="1263">
        <v>8</v>
      </c>
      <c r="BC108" s="1264">
        <f>AZ108+BA108+BB108</f>
        <v>12</v>
      </c>
      <c r="BD108" s="1263">
        <v>9</v>
      </c>
      <c r="BE108" s="1263"/>
      <c r="BF108" s="1263">
        <v>4</v>
      </c>
      <c r="BG108" s="1264">
        <f t="shared" si="108"/>
        <v>13</v>
      </c>
      <c r="BH108" s="1263">
        <v>10</v>
      </c>
      <c r="BI108" s="1263"/>
      <c r="BJ108" s="1263">
        <v>4</v>
      </c>
      <c r="BK108" s="1264">
        <f t="shared" si="99"/>
        <v>14</v>
      </c>
      <c r="BL108" s="1263">
        <v>6</v>
      </c>
      <c r="BM108" s="1263"/>
      <c r="BN108" s="1263">
        <v>7</v>
      </c>
      <c r="BO108" s="1264">
        <f t="shared" si="100"/>
        <v>13</v>
      </c>
      <c r="BP108" s="1263">
        <v>4</v>
      </c>
      <c r="BQ108" s="1263"/>
      <c r="BR108" s="1263">
        <v>5</v>
      </c>
      <c r="BS108" s="1264">
        <f t="shared" si="109"/>
        <v>9</v>
      </c>
      <c r="BT108" s="1263">
        <v>3</v>
      </c>
      <c r="BU108" s="1263"/>
      <c r="BV108" s="1263">
        <v>5</v>
      </c>
      <c r="BW108" s="1264">
        <f t="shared" si="101"/>
        <v>8</v>
      </c>
      <c r="BX108" s="1263">
        <v>9</v>
      </c>
      <c r="BY108" s="1263"/>
      <c r="BZ108" s="1263">
        <v>5</v>
      </c>
      <c r="CA108" s="1264">
        <f t="shared" si="102"/>
        <v>14</v>
      </c>
      <c r="CB108" s="1263">
        <v>5</v>
      </c>
      <c r="CC108" s="1263"/>
      <c r="CD108" s="1263">
        <v>9</v>
      </c>
      <c r="CE108" s="1264">
        <f t="shared" si="103"/>
        <v>14</v>
      </c>
      <c r="CF108" s="1263">
        <v>6</v>
      </c>
      <c r="CG108" s="1263">
        <v>1</v>
      </c>
      <c r="CH108" s="1263">
        <v>6</v>
      </c>
      <c r="CI108" s="1264">
        <f t="shared" si="104"/>
        <v>13</v>
      </c>
      <c r="CJ108" s="1263"/>
      <c r="CK108" s="1263"/>
      <c r="CL108" s="1263"/>
      <c r="CM108" s="1264">
        <f t="shared" si="105"/>
        <v>0</v>
      </c>
      <c r="CN108" s="1263"/>
      <c r="CO108" s="1263">
        <v>6</v>
      </c>
      <c r="CP108" s="1263"/>
      <c r="CQ108" s="1264">
        <f t="shared" si="106"/>
        <v>6</v>
      </c>
      <c r="CR108" s="1263">
        <v>4</v>
      </c>
      <c r="CS108" s="1263"/>
      <c r="CT108" s="1263">
        <v>7</v>
      </c>
      <c r="CU108" s="1264">
        <f t="shared" si="107"/>
        <v>11</v>
      </c>
    </row>
    <row r="109" spans="2:99" ht="14.4" x14ac:dyDescent="0.3">
      <c r="B109" s="5847"/>
      <c r="C109" s="1265" t="s">
        <v>354</v>
      </c>
      <c r="D109" s="1262"/>
      <c r="E109" s="1263"/>
      <c r="F109" s="1263">
        <v>22</v>
      </c>
      <c r="G109" s="1264">
        <v>22</v>
      </c>
      <c r="H109" s="1262"/>
      <c r="I109" s="1263"/>
      <c r="J109" s="1263">
        <v>10</v>
      </c>
      <c r="K109" s="1264">
        <v>10</v>
      </c>
      <c r="L109" s="1262"/>
      <c r="M109" s="1263"/>
      <c r="N109" s="1263">
        <v>13</v>
      </c>
      <c r="O109" s="1264">
        <v>13</v>
      </c>
      <c r="P109" s="1262">
        <v>5</v>
      </c>
      <c r="Q109" s="1263"/>
      <c r="R109" s="1263">
        <v>11</v>
      </c>
      <c r="S109" s="1264">
        <v>16</v>
      </c>
      <c r="T109" s="1262">
        <v>4</v>
      </c>
      <c r="U109" s="1263"/>
      <c r="V109" s="1263">
        <v>4</v>
      </c>
      <c r="W109" s="1264">
        <f>SUM(T109:V109)</f>
        <v>8</v>
      </c>
      <c r="X109" s="1263">
        <v>7</v>
      </c>
      <c r="Y109" s="1263"/>
      <c r="Z109" s="1263">
        <v>5</v>
      </c>
      <c r="AA109" s="1264">
        <f>SUM(X109:Z109)</f>
        <v>12</v>
      </c>
      <c r="AB109" s="1263">
        <v>11</v>
      </c>
      <c r="AC109" s="1263"/>
      <c r="AD109" s="1263">
        <v>2</v>
      </c>
      <c r="AE109" s="1264">
        <f>SUM(AB109:AD109)</f>
        <v>13</v>
      </c>
      <c r="AF109" s="1263">
        <v>3</v>
      </c>
      <c r="AG109" s="1263"/>
      <c r="AH109" s="1263">
        <v>1</v>
      </c>
      <c r="AI109" s="1264">
        <f>SUM(AF109:AH109)</f>
        <v>4</v>
      </c>
      <c r="AJ109" s="1263">
        <v>2</v>
      </c>
      <c r="AK109" s="1263"/>
      <c r="AL109" s="1263">
        <v>5</v>
      </c>
      <c r="AM109" s="1264">
        <f>SUM(AJ109:AL109)</f>
        <v>7</v>
      </c>
      <c r="AN109" s="1263">
        <v>3</v>
      </c>
      <c r="AO109" s="1263"/>
      <c r="AP109" s="1263">
        <v>10</v>
      </c>
      <c r="AQ109" s="1264">
        <f>SUM(AN109:AP109)</f>
        <v>13</v>
      </c>
      <c r="AR109" s="1263" t="s">
        <v>122</v>
      </c>
      <c r="AS109" s="1263" t="s">
        <v>122</v>
      </c>
      <c r="AT109" s="1263">
        <v>11</v>
      </c>
      <c r="AU109" s="1264">
        <f t="shared" si="97"/>
        <v>11</v>
      </c>
      <c r="AV109" s="1263">
        <v>8</v>
      </c>
      <c r="AW109" s="1263"/>
      <c r="AX109" s="1263">
        <v>12</v>
      </c>
      <c r="AY109" s="1264">
        <f>AV109+AW109+AX109</f>
        <v>20</v>
      </c>
      <c r="AZ109" s="1263">
        <v>6</v>
      </c>
      <c r="BA109" s="1263"/>
      <c r="BB109" s="1263">
        <v>7</v>
      </c>
      <c r="BC109" s="1264">
        <f>AZ109+BA109+BB109</f>
        <v>13</v>
      </c>
      <c r="BD109" s="1263">
        <v>9</v>
      </c>
      <c r="BE109" s="1263"/>
      <c r="BF109" s="1263">
        <v>11</v>
      </c>
      <c r="BG109" s="1264">
        <f t="shared" si="108"/>
        <v>20</v>
      </c>
      <c r="BH109" s="1263">
        <v>5</v>
      </c>
      <c r="BI109" s="1263"/>
      <c r="BJ109" s="1263">
        <v>9</v>
      </c>
      <c r="BK109" s="1264">
        <f t="shared" si="99"/>
        <v>14</v>
      </c>
      <c r="BL109" s="1263">
        <v>11</v>
      </c>
      <c r="BM109" s="1263"/>
      <c r="BN109" s="1263">
        <v>14</v>
      </c>
      <c r="BO109" s="1264">
        <f t="shared" si="100"/>
        <v>25</v>
      </c>
      <c r="BP109" s="1263">
        <v>11</v>
      </c>
      <c r="BQ109" s="1263"/>
      <c r="BR109" s="1263">
        <v>10</v>
      </c>
      <c r="BS109" s="1264">
        <f t="shared" si="109"/>
        <v>21</v>
      </c>
      <c r="BT109" s="1263">
        <v>17</v>
      </c>
      <c r="BU109" s="1263"/>
      <c r="BV109" s="1263">
        <v>11</v>
      </c>
      <c r="BW109" s="1264">
        <f t="shared" si="101"/>
        <v>28</v>
      </c>
      <c r="BX109" s="1263">
        <v>9</v>
      </c>
      <c r="BY109" s="1263"/>
      <c r="BZ109" s="1263">
        <v>8</v>
      </c>
      <c r="CA109" s="1264">
        <f t="shared" si="102"/>
        <v>17</v>
      </c>
      <c r="CB109" s="1263">
        <v>9</v>
      </c>
      <c r="CC109" s="1263"/>
      <c r="CD109" s="1263">
        <v>7</v>
      </c>
      <c r="CE109" s="1264">
        <f t="shared" si="103"/>
        <v>16</v>
      </c>
      <c r="CF109" s="1263">
        <v>9</v>
      </c>
      <c r="CG109" s="1263">
        <v>5</v>
      </c>
      <c r="CH109" s="1263">
        <v>5</v>
      </c>
      <c r="CI109" s="1264">
        <f t="shared" si="104"/>
        <v>19</v>
      </c>
      <c r="CJ109" s="1263"/>
      <c r="CK109" s="1263">
        <v>10</v>
      </c>
      <c r="CL109" s="1263"/>
      <c r="CM109" s="1264">
        <f t="shared" si="105"/>
        <v>10</v>
      </c>
      <c r="CN109" s="1263"/>
      <c r="CO109" s="1263">
        <v>5</v>
      </c>
      <c r="CP109" s="1263"/>
      <c r="CQ109" s="1264">
        <f t="shared" si="106"/>
        <v>5</v>
      </c>
      <c r="CR109" s="1263">
        <v>8</v>
      </c>
      <c r="CS109" s="1263"/>
      <c r="CT109" s="1263">
        <v>5</v>
      </c>
      <c r="CU109" s="1264">
        <f t="shared" si="107"/>
        <v>13</v>
      </c>
    </row>
    <row r="110" spans="2:99" ht="14.4" x14ac:dyDescent="0.3">
      <c r="B110" s="1307"/>
      <c r="C110" s="1271" t="s">
        <v>92</v>
      </c>
      <c r="D110" s="1272">
        <f t="shared" ref="D110:AI110" si="110">SUM(D100:D109)</f>
        <v>25</v>
      </c>
      <c r="E110" s="1273">
        <f t="shared" si="110"/>
        <v>0</v>
      </c>
      <c r="F110" s="1273">
        <f t="shared" si="110"/>
        <v>60</v>
      </c>
      <c r="G110" s="1310">
        <f t="shared" si="110"/>
        <v>85</v>
      </c>
      <c r="H110" s="1272">
        <f t="shared" si="110"/>
        <v>41</v>
      </c>
      <c r="I110" s="1273">
        <f t="shared" si="110"/>
        <v>2</v>
      </c>
      <c r="J110" s="1273">
        <f t="shared" si="110"/>
        <v>58</v>
      </c>
      <c r="K110" s="1310">
        <f t="shared" si="110"/>
        <v>101</v>
      </c>
      <c r="L110" s="1272">
        <f t="shared" si="110"/>
        <v>19</v>
      </c>
      <c r="M110" s="1273">
        <f t="shared" si="110"/>
        <v>3</v>
      </c>
      <c r="N110" s="1273">
        <f t="shared" si="110"/>
        <v>91</v>
      </c>
      <c r="O110" s="1310">
        <f t="shared" si="110"/>
        <v>113</v>
      </c>
      <c r="P110" s="1272">
        <f t="shared" si="110"/>
        <v>27</v>
      </c>
      <c r="Q110" s="1273">
        <f t="shared" si="110"/>
        <v>1</v>
      </c>
      <c r="R110" s="1273">
        <f t="shared" si="110"/>
        <v>102</v>
      </c>
      <c r="S110" s="1310">
        <f t="shared" si="110"/>
        <v>130</v>
      </c>
      <c r="T110" s="1272">
        <f t="shared" si="110"/>
        <v>23</v>
      </c>
      <c r="U110" s="1273">
        <f t="shared" si="110"/>
        <v>2</v>
      </c>
      <c r="V110" s="1273">
        <f t="shared" si="110"/>
        <v>58</v>
      </c>
      <c r="W110" s="1310">
        <f t="shared" si="110"/>
        <v>83</v>
      </c>
      <c r="X110" s="1273">
        <f t="shared" si="110"/>
        <v>22</v>
      </c>
      <c r="Y110" s="1273">
        <f t="shared" si="110"/>
        <v>2</v>
      </c>
      <c r="Z110" s="1273">
        <f t="shared" si="110"/>
        <v>54</v>
      </c>
      <c r="AA110" s="1310">
        <f t="shared" si="110"/>
        <v>78</v>
      </c>
      <c r="AB110" s="1273">
        <f t="shared" si="110"/>
        <v>36</v>
      </c>
      <c r="AC110" s="1273">
        <f t="shared" si="110"/>
        <v>4</v>
      </c>
      <c r="AD110" s="1273">
        <f t="shared" si="110"/>
        <v>57</v>
      </c>
      <c r="AE110" s="1310">
        <f t="shared" si="110"/>
        <v>97</v>
      </c>
      <c r="AF110" s="1273">
        <f t="shared" si="110"/>
        <v>22</v>
      </c>
      <c r="AG110" s="1273">
        <f t="shared" si="110"/>
        <v>7</v>
      </c>
      <c r="AH110" s="1273">
        <f t="shared" si="110"/>
        <v>51</v>
      </c>
      <c r="AI110" s="1310">
        <f t="shared" si="110"/>
        <v>80</v>
      </c>
      <c r="AJ110" s="1273">
        <f t="shared" ref="AJ110:CI110" si="111">SUM(AJ100:AJ109)</f>
        <v>16</v>
      </c>
      <c r="AK110" s="1273">
        <f t="shared" si="111"/>
        <v>19</v>
      </c>
      <c r="AL110" s="1273">
        <f t="shared" si="111"/>
        <v>77</v>
      </c>
      <c r="AM110" s="1310">
        <f t="shared" si="111"/>
        <v>112</v>
      </c>
      <c r="AN110" s="1273">
        <f t="shared" si="111"/>
        <v>9</v>
      </c>
      <c r="AO110" s="1273">
        <f t="shared" si="111"/>
        <v>7</v>
      </c>
      <c r="AP110" s="1273">
        <f t="shared" si="111"/>
        <v>86</v>
      </c>
      <c r="AQ110" s="1310">
        <f t="shared" si="111"/>
        <v>102</v>
      </c>
      <c r="AR110" s="1273">
        <f t="shared" si="111"/>
        <v>13</v>
      </c>
      <c r="AS110" s="1273">
        <f t="shared" si="111"/>
        <v>6</v>
      </c>
      <c r="AT110" s="1273">
        <f t="shared" si="111"/>
        <v>88</v>
      </c>
      <c r="AU110" s="1310">
        <f t="shared" si="111"/>
        <v>107</v>
      </c>
      <c r="AV110" s="1273">
        <f t="shared" si="111"/>
        <v>33</v>
      </c>
      <c r="AW110" s="1273">
        <f t="shared" si="111"/>
        <v>6</v>
      </c>
      <c r="AX110" s="1273">
        <f t="shared" si="111"/>
        <v>90</v>
      </c>
      <c r="AY110" s="1310">
        <f t="shared" si="111"/>
        <v>129</v>
      </c>
      <c r="AZ110" s="1273">
        <f t="shared" si="111"/>
        <v>20</v>
      </c>
      <c r="BA110" s="1273">
        <f t="shared" si="111"/>
        <v>5</v>
      </c>
      <c r="BB110" s="1273">
        <f t="shared" si="111"/>
        <v>128</v>
      </c>
      <c r="BC110" s="1310">
        <f t="shared" si="111"/>
        <v>153</v>
      </c>
      <c r="BD110" s="1273">
        <f t="shared" si="111"/>
        <v>41</v>
      </c>
      <c r="BE110" s="1273">
        <f t="shared" si="111"/>
        <v>11</v>
      </c>
      <c r="BF110" s="1273">
        <f t="shared" si="111"/>
        <v>102</v>
      </c>
      <c r="BG110" s="1310">
        <f t="shared" si="111"/>
        <v>154</v>
      </c>
      <c r="BH110" s="1273">
        <f t="shared" si="111"/>
        <v>25</v>
      </c>
      <c r="BI110" s="1273">
        <f t="shared" si="111"/>
        <v>6</v>
      </c>
      <c r="BJ110" s="1273">
        <f t="shared" si="111"/>
        <v>114</v>
      </c>
      <c r="BK110" s="1310">
        <f t="shared" si="111"/>
        <v>145</v>
      </c>
      <c r="BL110" s="1273">
        <f t="shared" si="111"/>
        <v>33</v>
      </c>
      <c r="BM110" s="1273">
        <f t="shared" si="111"/>
        <v>6</v>
      </c>
      <c r="BN110" s="1273">
        <f t="shared" si="111"/>
        <v>109</v>
      </c>
      <c r="BO110" s="1310">
        <f t="shared" si="111"/>
        <v>148</v>
      </c>
      <c r="BP110" s="1273">
        <f t="shared" si="111"/>
        <v>28</v>
      </c>
      <c r="BQ110" s="1273">
        <f t="shared" si="111"/>
        <v>6</v>
      </c>
      <c r="BR110" s="1273">
        <f t="shared" si="111"/>
        <v>106</v>
      </c>
      <c r="BS110" s="1310">
        <f t="shared" si="111"/>
        <v>140</v>
      </c>
      <c r="BT110" s="1273">
        <f t="shared" si="111"/>
        <v>27</v>
      </c>
      <c r="BU110" s="1273">
        <f t="shared" si="111"/>
        <v>2</v>
      </c>
      <c r="BV110" s="1273">
        <f t="shared" si="111"/>
        <v>91</v>
      </c>
      <c r="BW110" s="1310">
        <f t="shared" si="111"/>
        <v>120</v>
      </c>
      <c r="BX110" s="1273">
        <f t="shared" si="111"/>
        <v>29</v>
      </c>
      <c r="BY110" s="1273">
        <f t="shared" si="111"/>
        <v>6</v>
      </c>
      <c r="BZ110" s="1273">
        <f t="shared" si="111"/>
        <v>86</v>
      </c>
      <c r="CA110" s="1310">
        <f t="shared" si="111"/>
        <v>121</v>
      </c>
      <c r="CB110" s="1273">
        <f t="shared" si="111"/>
        <v>18</v>
      </c>
      <c r="CC110" s="1273">
        <f t="shared" si="111"/>
        <v>1</v>
      </c>
      <c r="CD110" s="1273">
        <f t="shared" si="111"/>
        <v>86</v>
      </c>
      <c r="CE110" s="1310">
        <f t="shared" si="111"/>
        <v>105</v>
      </c>
      <c r="CF110" s="1273">
        <f t="shared" si="111"/>
        <v>22</v>
      </c>
      <c r="CG110" s="1273">
        <f t="shared" si="111"/>
        <v>42</v>
      </c>
      <c r="CH110" s="1273">
        <f t="shared" si="111"/>
        <v>41</v>
      </c>
      <c r="CI110" s="1310">
        <f t="shared" si="111"/>
        <v>105</v>
      </c>
      <c r="CJ110" s="1273">
        <f t="shared" ref="CJ110:CQ110" si="112">SUM(CJ100:CJ109)</f>
        <v>0</v>
      </c>
      <c r="CK110" s="1273">
        <f t="shared" si="112"/>
        <v>52</v>
      </c>
      <c r="CL110" s="1273">
        <f t="shared" si="112"/>
        <v>5</v>
      </c>
      <c r="CM110" s="1310">
        <f t="shared" si="112"/>
        <v>57</v>
      </c>
      <c r="CN110" s="1273">
        <f t="shared" si="112"/>
        <v>1</v>
      </c>
      <c r="CO110" s="1273">
        <f t="shared" si="112"/>
        <v>42</v>
      </c>
      <c r="CP110" s="1273">
        <f t="shared" si="112"/>
        <v>0</v>
      </c>
      <c r="CQ110" s="1310">
        <f t="shared" si="112"/>
        <v>43</v>
      </c>
      <c r="CR110" s="1273">
        <f t="shared" ref="CR110:CU110" si="113">SUM(CR100:CR109)</f>
        <v>20</v>
      </c>
      <c r="CS110" s="1273">
        <f t="shared" si="113"/>
        <v>0</v>
      </c>
      <c r="CT110" s="1273">
        <f t="shared" si="113"/>
        <v>78</v>
      </c>
      <c r="CU110" s="1310">
        <f t="shared" si="113"/>
        <v>98</v>
      </c>
    </row>
    <row r="111" spans="2:99" ht="14.4" x14ac:dyDescent="0.25">
      <c r="B111" s="1311"/>
      <c r="C111" s="1312" t="s">
        <v>388</v>
      </c>
      <c r="D111" s="1313">
        <f t="shared" ref="D111:AI111" si="114">SUM(D110,D99,D83)</f>
        <v>62</v>
      </c>
      <c r="E111" s="1314">
        <f t="shared" si="114"/>
        <v>20</v>
      </c>
      <c r="F111" s="1314">
        <f t="shared" si="114"/>
        <v>245</v>
      </c>
      <c r="G111" s="1315">
        <f t="shared" si="114"/>
        <v>327</v>
      </c>
      <c r="H111" s="1313">
        <f t="shared" si="114"/>
        <v>130</v>
      </c>
      <c r="I111" s="1314">
        <f t="shared" si="114"/>
        <v>22</v>
      </c>
      <c r="J111" s="1314">
        <f t="shared" si="114"/>
        <v>352</v>
      </c>
      <c r="K111" s="1315">
        <f t="shared" si="114"/>
        <v>504</v>
      </c>
      <c r="L111" s="1313">
        <f t="shared" si="114"/>
        <v>111</v>
      </c>
      <c r="M111" s="1314">
        <f t="shared" si="114"/>
        <v>32</v>
      </c>
      <c r="N111" s="1314">
        <f t="shared" si="114"/>
        <v>224</v>
      </c>
      <c r="O111" s="1315">
        <f t="shared" si="114"/>
        <v>367</v>
      </c>
      <c r="P111" s="1313">
        <f t="shared" si="114"/>
        <v>85</v>
      </c>
      <c r="Q111" s="1314">
        <f t="shared" si="114"/>
        <v>27</v>
      </c>
      <c r="R111" s="1314">
        <f t="shared" si="114"/>
        <v>491</v>
      </c>
      <c r="S111" s="1315">
        <f t="shared" si="114"/>
        <v>603</v>
      </c>
      <c r="T111" s="1313">
        <f t="shared" si="114"/>
        <v>39</v>
      </c>
      <c r="U111" s="1314">
        <f t="shared" si="114"/>
        <v>15</v>
      </c>
      <c r="V111" s="1314">
        <f t="shared" si="114"/>
        <v>193</v>
      </c>
      <c r="W111" s="1315">
        <f t="shared" si="114"/>
        <v>247</v>
      </c>
      <c r="X111" s="1314">
        <f t="shared" si="114"/>
        <v>42</v>
      </c>
      <c r="Y111" s="1314">
        <f t="shared" si="114"/>
        <v>52</v>
      </c>
      <c r="Z111" s="1314">
        <f t="shared" si="114"/>
        <v>223</v>
      </c>
      <c r="AA111" s="1315">
        <f t="shared" si="114"/>
        <v>317</v>
      </c>
      <c r="AB111" s="1314">
        <f t="shared" si="114"/>
        <v>150</v>
      </c>
      <c r="AC111" s="1314">
        <f t="shared" si="114"/>
        <v>29</v>
      </c>
      <c r="AD111" s="1314">
        <f t="shared" si="114"/>
        <v>154</v>
      </c>
      <c r="AE111" s="1315">
        <f t="shared" si="114"/>
        <v>333</v>
      </c>
      <c r="AF111" s="1314">
        <f t="shared" si="114"/>
        <v>141</v>
      </c>
      <c r="AG111" s="1314">
        <f t="shared" si="114"/>
        <v>23</v>
      </c>
      <c r="AH111" s="1314">
        <f t="shared" si="114"/>
        <v>156</v>
      </c>
      <c r="AI111" s="1315">
        <f t="shared" si="114"/>
        <v>320</v>
      </c>
      <c r="AJ111" s="1314">
        <f t="shared" ref="AJ111:BO111" si="115">SUM(AJ110,AJ99,AJ83)</f>
        <v>212</v>
      </c>
      <c r="AK111" s="1314">
        <f t="shared" si="115"/>
        <v>29</v>
      </c>
      <c r="AL111" s="1314">
        <f t="shared" si="115"/>
        <v>175</v>
      </c>
      <c r="AM111" s="1315">
        <f t="shared" si="115"/>
        <v>416</v>
      </c>
      <c r="AN111" s="1314">
        <f t="shared" si="115"/>
        <v>142</v>
      </c>
      <c r="AO111" s="1314">
        <f t="shared" si="115"/>
        <v>17</v>
      </c>
      <c r="AP111" s="1314">
        <f t="shared" si="115"/>
        <v>355</v>
      </c>
      <c r="AQ111" s="1315">
        <f t="shared" si="115"/>
        <v>514</v>
      </c>
      <c r="AR111" s="1314">
        <f t="shared" si="115"/>
        <v>44</v>
      </c>
      <c r="AS111" s="1314">
        <f t="shared" si="115"/>
        <v>128</v>
      </c>
      <c r="AT111" s="1314">
        <f t="shared" si="115"/>
        <v>230</v>
      </c>
      <c r="AU111" s="1315">
        <f t="shared" si="115"/>
        <v>402</v>
      </c>
      <c r="AV111" s="1314">
        <f t="shared" si="115"/>
        <v>78</v>
      </c>
      <c r="AW111" s="1314">
        <f t="shared" si="115"/>
        <v>15</v>
      </c>
      <c r="AX111" s="1314">
        <f t="shared" si="115"/>
        <v>436</v>
      </c>
      <c r="AY111" s="1315">
        <f t="shared" si="115"/>
        <v>529</v>
      </c>
      <c r="AZ111" s="1314">
        <f t="shared" si="115"/>
        <v>98</v>
      </c>
      <c r="BA111" s="1314">
        <f t="shared" si="115"/>
        <v>28</v>
      </c>
      <c r="BB111" s="1314">
        <f t="shared" si="115"/>
        <v>346</v>
      </c>
      <c r="BC111" s="1315">
        <f t="shared" si="115"/>
        <v>472</v>
      </c>
      <c r="BD111" s="1314">
        <f t="shared" si="115"/>
        <v>123</v>
      </c>
      <c r="BE111" s="1314">
        <f t="shared" si="115"/>
        <v>34</v>
      </c>
      <c r="BF111" s="1314">
        <f t="shared" si="115"/>
        <v>387</v>
      </c>
      <c r="BG111" s="1315">
        <f t="shared" si="115"/>
        <v>490</v>
      </c>
      <c r="BH111" s="1314">
        <f t="shared" si="115"/>
        <v>124</v>
      </c>
      <c r="BI111" s="1314">
        <f t="shared" si="115"/>
        <v>24</v>
      </c>
      <c r="BJ111" s="1314">
        <f t="shared" si="115"/>
        <v>256</v>
      </c>
      <c r="BK111" s="1315">
        <f t="shared" si="115"/>
        <v>404</v>
      </c>
      <c r="BL111" s="1314">
        <f t="shared" si="115"/>
        <v>98</v>
      </c>
      <c r="BM111" s="1314">
        <f t="shared" si="115"/>
        <v>36</v>
      </c>
      <c r="BN111" s="1314">
        <f t="shared" si="115"/>
        <v>374</v>
      </c>
      <c r="BO111" s="1315">
        <f t="shared" si="115"/>
        <v>508</v>
      </c>
      <c r="BP111" s="1314">
        <f t="shared" ref="BP111:CQ111" si="116">SUM(BP110,BP99,BP83)</f>
        <v>128</v>
      </c>
      <c r="BQ111" s="1314">
        <f t="shared" si="116"/>
        <v>29</v>
      </c>
      <c r="BR111" s="1314">
        <f t="shared" si="116"/>
        <v>288</v>
      </c>
      <c r="BS111" s="1315">
        <f t="shared" si="116"/>
        <v>445</v>
      </c>
      <c r="BT111" s="1314">
        <f t="shared" si="116"/>
        <v>114</v>
      </c>
      <c r="BU111" s="1314">
        <f t="shared" si="116"/>
        <v>18</v>
      </c>
      <c r="BV111" s="1314">
        <f t="shared" si="116"/>
        <v>304</v>
      </c>
      <c r="BW111" s="1315">
        <f t="shared" si="116"/>
        <v>436</v>
      </c>
      <c r="BX111" s="1314">
        <f t="shared" si="116"/>
        <v>111</v>
      </c>
      <c r="BY111" s="1314">
        <f t="shared" si="116"/>
        <v>90</v>
      </c>
      <c r="BZ111" s="1314">
        <f t="shared" si="116"/>
        <v>224</v>
      </c>
      <c r="CA111" s="1315">
        <f t="shared" si="116"/>
        <v>425</v>
      </c>
      <c r="CB111" s="1314">
        <f t="shared" si="116"/>
        <v>68</v>
      </c>
      <c r="CC111" s="1314">
        <f t="shared" si="116"/>
        <v>75</v>
      </c>
      <c r="CD111" s="1314">
        <f t="shared" si="116"/>
        <v>308</v>
      </c>
      <c r="CE111" s="1315">
        <f t="shared" si="116"/>
        <v>451</v>
      </c>
      <c r="CF111" s="1314">
        <f t="shared" si="116"/>
        <v>92</v>
      </c>
      <c r="CG111" s="1314">
        <f t="shared" si="116"/>
        <v>129</v>
      </c>
      <c r="CH111" s="1314">
        <f t="shared" si="116"/>
        <v>166</v>
      </c>
      <c r="CI111" s="1315">
        <f t="shared" si="116"/>
        <v>387</v>
      </c>
      <c r="CJ111" s="1314">
        <f t="shared" si="116"/>
        <v>17</v>
      </c>
      <c r="CK111" s="1314">
        <f t="shared" si="116"/>
        <v>161</v>
      </c>
      <c r="CL111" s="1314">
        <f t="shared" si="116"/>
        <v>97</v>
      </c>
      <c r="CM111" s="1315">
        <f t="shared" si="116"/>
        <v>275</v>
      </c>
      <c r="CN111" s="1314">
        <f t="shared" si="116"/>
        <v>45</v>
      </c>
      <c r="CO111" s="1314">
        <f t="shared" si="116"/>
        <v>77</v>
      </c>
      <c r="CP111" s="1314">
        <f t="shared" si="116"/>
        <v>85</v>
      </c>
      <c r="CQ111" s="1315">
        <f t="shared" si="116"/>
        <v>207</v>
      </c>
      <c r="CR111" s="1314">
        <f t="shared" ref="CR111:CU111" si="117">SUM(CR110,CR99,CR83)</f>
        <v>67</v>
      </c>
      <c r="CS111" s="1314">
        <f t="shared" si="117"/>
        <v>26</v>
      </c>
      <c r="CT111" s="1314">
        <f t="shared" si="117"/>
        <v>252</v>
      </c>
      <c r="CU111" s="1315">
        <f t="shared" si="117"/>
        <v>345</v>
      </c>
    </row>
    <row r="112" spans="2:99" ht="14.4" x14ac:dyDescent="0.3">
      <c r="B112" s="1316" t="s">
        <v>317</v>
      </c>
      <c r="C112" s="1265" t="s">
        <v>354</v>
      </c>
      <c r="D112" s="1262"/>
      <c r="E112" s="1263"/>
      <c r="F112" s="1263"/>
      <c r="G112" s="1264"/>
      <c r="H112" s="1262"/>
      <c r="I112" s="1263"/>
      <c r="J112" s="1263"/>
      <c r="K112" s="1264"/>
      <c r="L112" s="1262"/>
      <c r="M112" s="1263"/>
      <c r="N112" s="1263"/>
      <c r="O112" s="1264"/>
      <c r="P112" s="1262"/>
      <c r="Q112" s="1263"/>
      <c r="R112" s="1263"/>
      <c r="S112" s="1264"/>
      <c r="T112" s="1262"/>
      <c r="U112" s="1263"/>
      <c r="V112" s="1263"/>
      <c r="W112" s="1264"/>
      <c r="X112" s="1263"/>
      <c r="Y112" s="1263"/>
      <c r="Z112" s="1263"/>
      <c r="AA112" s="1264"/>
      <c r="AB112" s="1263"/>
      <c r="AC112" s="1263"/>
      <c r="AD112" s="1263"/>
      <c r="AE112" s="1264"/>
      <c r="AF112" s="1263"/>
      <c r="AG112" s="1263"/>
      <c r="AH112" s="1263"/>
      <c r="AI112" s="1264"/>
      <c r="AJ112" s="1263"/>
      <c r="AK112" s="1263"/>
      <c r="AL112" s="1263"/>
      <c r="AM112" s="1264"/>
      <c r="AN112" s="1263"/>
      <c r="AO112" s="1263"/>
      <c r="AP112" s="1263"/>
      <c r="AQ112" s="1264"/>
      <c r="AR112" s="1263"/>
      <c r="AS112" s="1263"/>
      <c r="AT112" s="1263"/>
      <c r="AU112" s="1264"/>
      <c r="AV112" s="1263"/>
      <c r="AW112" s="1263"/>
      <c r="AX112" s="1263"/>
      <c r="AY112" s="1264"/>
      <c r="AZ112" s="1263"/>
      <c r="BA112" s="1263"/>
      <c r="BB112" s="1263"/>
      <c r="BC112" s="1264"/>
      <c r="BD112" s="1263"/>
      <c r="BE112" s="1263"/>
      <c r="BF112" s="1263"/>
      <c r="BG112" s="1264"/>
      <c r="BH112" s="1263"/>
      <c r="BI112" s="1263"/>
      <c r="BJ112" s="1263"/>
      <c r="BK112" s="1264"/>
      <c r="BL112" s="1263"/>
      <c r="BM112" s="1263"/>
      <c r="BN112" s="1263"/>
      <c r="BO112" s="1264"/>
      <c r="BP112" s="1263"/>
      <c r="BQ112" s="1263"/>
      <c r="BR112" s="1263"/>
      <c r="BS112" s="1264"/>
      <c r="BT112" s="1263"/>
      <c r="BU112" s="1263"/>
      <c r="BV112" s="1263"/>
      <c r="BW112" s="1264"/>
      <c r="BX112" s="1263"/>
      <c r="BY112" s="1263"/>
      <c r="BZ112" s="1263"/>
      <c r="CA112" s="1264"/>
      <c r="CB112" s="1263"/>
      <c r="CC112" s="1263"/>
      <c r="CD112" s="1263">
        <v>1</v>
      </c>
      <c r="CE112" s="1264">
        <f>SUM(CB112:CD112)</f>
        <v>1</v>
      </c>
      <c r="CF112" s="1263">
        <v>1</v>
      </c>
      <c r="CG112" s="1263"/>
      <c r="CH112" s="1263"/>
      <c r="CI112" s="1264">
        <f>SUM(CF112:CH112)</f>
        <v>1</v>
      </c>
      <c r="CJ112" s="1263"/>
      <c r="CK112" s="1263">
        <v>4</v>
      </c>
      <c r="CL112" s="1263"/>
      <c r="CM112" s="1264">
        <f>SUM(CJ112:CL112)</f>
        <v>4</v>
      </c>
      <c r="CN112" s="1263"/>
      <c r="CO112" s="1263"/>
      <c r="CP112" s="1263"/>
      <c r="CQ112" s="1264">
        <f>SUM(CN112:CP112)</f>
        <v>0</v>
      </c>
      <c r="CR112" s="1263">
        <v>3</v>
      </c>
      <c r="CS112" s="1263"/>
      <c r="CT112" s="1263">
        <v>1</v>
      </c>
      <c r="CU112" s="1264">
        <f>SUM(CR112:CT112)</f>
        <v>4</v>
      </c>
    </row>
    <row r="113" spans="2:99" ht="14.4" x14ac:dyDescent="0.3">
      <c r="B113" s="1307"/>
      <c r="C113" s="1271" t="s">
        <v>92</v>
      </c>
      <c r="D113" s="1272"/>
      <c r="E113" s="1273"/>
      <c r="F113" s="1273"/>
      <c r="G113" s="1310"/>
      <c r="H113" s="1272"/>
      <c r="I113" s="1273"/>
      <c r="J113" s="1273"/>
      <c r="K113" s="1273"/>
      <c r="L113" s="1272"/>
      <c r="M113" s="1273"/>
      <c r="N113" s="1273"/>
      <c r="O113" s="1310"/>
      <c r="P113" s="1272"/>
      <c r="Q113" s="1273"/>
      <c r="R113" s="1273"/>
      <c r="S113" s="1310"/>
      <c r="T113" s="1272"/>
      <c r="U113" s="1273"/>
      <c r="V113" s="1273"/>
      <c r="W113" s="1310"/>
      <c r="X113" s="1273"/>
      <c r="Y113" s="1273"/>
      <c r="Z113" s="1273"/>
      <c r="AA113" s="1310"/>
      <c r="AB113" s="1273"/>
      <c r="AC113" s="1273"/>
      <c r="AD113" s="1273"/>
      <c r="AE113" s="1310"/>
      <c r="AF113" s="1273"/>
      <c r="AG113" s="1273"/>
      <c r="AH113" s="1273"/>
      <c r="AI113" s="1310"/>
      <c r="AJ113" s="1273"/>
      <c r="AK113" s="1273"/>
      <c r="AL113" s="1273"/>
      <c r="AM113" s="1310"/>
      <c r="AN113" s="1273"/>
      <c r="AO113" s="1273"/>
      <c r="AP113" s="1273"/>
      <c r="AQ113" s="1310"/>
      <c r="AR113" s="1273"/>
      <c r="AS113" s="1273"/>
      <c r="AT113" s="1273"/>
      <c r="AU113" s="1310"/>
      <c r="AV113" s="1273"/>
      <c r="AW113" s="1273"/>
      <c r="AX113" s="1273"/>
      <c r="AY113" s="1310"/>
      <c r="AZ113" s="1273"/>
      <c r="BA113" s="1273"/>
      <c r="BB113" s="1273"/>
      <c r="BC113" s="1310"/>
      <c r="BD113" s="1273"/>
      <c r="BE113" s="1273"/>
      <c r="BF113" s="1273"/>
      <c r="BG113" s="1310"/>
      <c r="BH113" s="1273"/>
      <c r="BI113" s="1273"/>
      <c r="BJ113" s="1273"/>
      <c r="BK113" s="1310"/>
      <c r="BL113" s="1273"/>
      <c r="BM113" s="1273"/>
      <c r="BN113" s="1273"/>
      <c r="BO113" s="1310"/>
      <c r="BP113" s="1273"/>
      <c r="BQ113" s="1273"/>
      <c r="BR113" s="1273"/>
      <c r="BS113" s="1310"/>
      <c r="BT113" s="1273"/>
      <c r="BU113" s="1273"/>
      <c r="BV113" s="1273"/>
      <c r="BW113" s="1310"/>
      <c r="BX113" s="1273"/>
      <c r="BY113" s="1273"/>
      <c r="BZ113" s="1273"/>
      <c r="CA113" s="1310"/>
      <c r="CB113" s="1273"/>
      <c r="CC113" s="1273"/>
      <c r="CD113" s="1273">
        <f t="shared" ref="CD113:CF114" si="118">SUM(CD112)</f>
        <v>1</v>
      </c>
      <c r="CE113" s="1310">
        <f t="shared" si="118"/>
        <v>1</v>
      </c>
      <c r="CF113" s="1273">
        <f t="shared" si="118"/>
        <v>1</v>
      </c>
      <c r="CG113" s="1273"/>
      <c r="CH113" s="1273">
        <f t="shared" ref="CH113:CM114" si="119">SUM(CH112)</f>
        <v>0</v>
      </c>
      <c r="CI113" s="1310">
        <f t="shared" si="119"/>
        <v>1</v>
      </c>
      <c r="CJ113" s="1273">
        <f t="shared" si="119"/>
        <v>0</v>
      </c>
      <c r="CK113" s="1273">
        <f t="shared" si="119"/>
        <v>4</v>
      </c>
      <c r="CL113" s="1273">
        <f t="shared" si="119"/>
        <v>0</v>
      </c>
      <c r="CM113" s="1310">
        <f t="shared" si="119"/>
        <v>4</v>
      </c>
      <c r="CN113" s="1273">
        <f t="shared" ref="CN113:CQ113" si="120">SUM(CN112)</f>
        <v>0</v>
      </c>
      <c r="CO113" s="1273">
        <f t="shared" si="120"/>
        <v>0</v>
      </c>
      <c r="CP113" s="1273">
        <f t="shared" si="120"/>
        <v>0</v>
      </c>
      <c r="CQ113" s="1310">
        <f t="shared" si="120"/>
        <v>0</v>
      </c>
      <c r="CR113" s="1273">
        <f t="shared" ref="CR113:CU113" si="121">SUM(CR112)</f>
        <v>3</v>
      </c>
      <c r="CS113" s="1273">
        <f t="shared" si="121"/>
        <v>0</v>
      </c>
      <c r="CT113" s="1273">
        <f t="shared" si="121"/>
        <v>1</v>
      </c>
      <c r="CU113" s="1310">
        <f t="shared" si="121"/>
        <v>4</v>
      </c>
    </row>
    <row r="114" spans="2:99" ht="14.4" x14ac:dyDescent="0.25">
      <c r="B114" s="1317"/>
      <c r="C114" s="1318" t="s">
        <v>389</v>
      </c>
      <c r="D114" s="1319"/>
      <c r="E114" s="1320"/>
      <c r="F114" s="1320"/>
      <c r="G114" s="1321"/>
      <c r="H114" s="1319"/>
      <c r="I114" s="1320"/>
      <c r="J114" s="1320"/>
      <c r="K114" s="1321"/>
      <c r="L114" s="1319"/>
      <c r="M114" s="1320"/>
      <c r="N114" s="1320"/>
      <c r="O114" s="1321"/>
      <c r="P114" s="1319"/>
      <c r="Q114" s="1320"/>
      <c r="R114" s="1320"/>
      <c r="S114" s="1321"/>
      <c r="T114" s="1319"/>
      <c r="U114" s="1320"/>
      <c r="V114" s="1320"/>
      <c r="W114" s="1321"/>
      <c r="X114" s="1320"/>
      <c r="Y114" s="1320"/>
      <c r="Z114" s="1320"/>
      <c r="AA114" s="1321"/>
      <c r="AB114" s="1320"/>
      <c r="AC114" s="1320"/>
      <c r="AD114" s="1320"/>
      <c r="AE114" s="1321"/>
      <c r="AF114" s="1320"/>
      <c r="AG114" s="1320"/>
      <c r="AH114" s="1320"/>
      <c r="AI114" s="1321"/>
      <c r="AJ114" s="1320"/>
      <c r="AK114" s="1320"/>
      <c r="AL114" s="1320"/>
      <c r="AM114" s="1321"/>
      <c r="AN114" s="1320"/>
      <c r="AO114" s="1320"/>
      <c r="AP114" s="1320"/>
      <c r="AQ114" s="1321"/>
      <c r="AR114" s="1320"/>
      <c r="AS114" s="1320"/>
      <c r="AT114" s="1320"/>
      <c r="AU114" s="1321"/>
      <c r="AV114" s="1320"/>
      <c r="AW114" s="1320"/>
      <c r="AX114" s="1320"/>
      <c r="AY114" s="1321"/>
      <c r="AZ114" s="1320"/>
      <c r="BA114" s="1320"/>
      <c r="BB114" s="1320"/>
      <c r="BC114" s="1321"/>
      <c r="BD114" s="1320"/>
      <c r="BE114" s="1320"/>
      <c r="BF114" s="1320"/>
      <c r="BG114" s="1321"/>
      <c r="BH114" s="1320"/>
      <c r="BI114" s="1320"/>
      <c r="BJ114" s="1320"/>
      <c r="BK114" s="1321"/>
      <c r="BL114" s="1320"/>
      <c r="BM114" s="1320"/>
      <c r="BN114" s="1320"/>
      <c r="BO114" s="1321"/>
      <c r="BP114" s="1320"/>
      <c r="BQ114" s="1320"/>
      <c r="BR114" s="1320"/>
      <c r="BS114" s="1321"/>
      <c r="BT114" s="1320"/>
      <c r="BU114" s="1320"/>
      <c r="BV114" s="1320"/>
      <c r="BW114" s="1321"/>
      <c r="BX114" s="1320"/>
      <c r="BY114" s="1320"/>
      <c r="BZ114" s="1320"/>
      <c r="CA114" s="1321"/>
      <c r="CB114" s="1320"/>
      <c r="CC114" s="1320"/>
      <c r="CD114" s="1322">
        <f t="shared" si="118"/>
        <v>1</v>
      </c>
      <c r="CE114" s="1323">
        <f t="shared" si="118"/>
        <v>1</v>
      </c>
      <c r="CF114" s="1322">
        <f t="shared" si="118"/>
        <v>1</v>
      </c>
      <c r="CG114" s="1320"/>
      <c r="CH114" s="1322">
        <f t="shared" si="119"/>
        <v>0</v>
      </c>
      <c r="CI114" s="1323">
        <f t="shared" si="119"/>
        <v>1</v>
      </c>
      <c r="CJ114" s="1322">
        <f t="shared" si="119"/>
        <v>0</v>
      </c>
      <c r="CK114" s="1322">
        <f t="shared" si="119"/>
        <v>4</v>
      </c>
      <c r="CL114" s="1322">
        <f t="shared" si="119"/>
        <v>0</v>
      </c>
      <c r="CM114" s="1323">
        <f t="shared" si="119"/>
        <v>4</v>
      </c>
      <c r="CN114" s="1322">
        <f t="shared" ref="CN114:CQ114" si="122">SUM(CN113)</f>
        <v>0</v>
      </c>
      <c r="CO114" s="1322">
        <f t="shared" si="122"/>
        <v>0</v>
      </c>
      <c r="CP114" s="1322">
        <f t="shared" si="122"/>
        <v>0</v>
      </c>
      <c r="CQ114" s="1323">
        <f t="shared" si="122"/>
        <v>0</v>
      </c>
      <c r="CR114" s="1322">
        <f t="shared" ref="CR114:CU114" si="123">SUM(CR113)</f>
        <v>3</v>
      </c>
      <c r="CS114" s="1322">
        <f t="shared" si="123"/>
        <v>0</v>
      </c>
      <c r="CT114" s="1322">
        <f t="shared" si="123"/>
        <v>1</v>
      </c>
      <c r="CU114" s="1323">
        <f t="shared" si="123"/>
        <v>4</v>
      </c>
    </row>
    <row r="115" spans="2:99" ht="15" customHeight="1" x14ac:dyDescent="0.3">
      <c r="B115" s="5850" t="s">
        <v>308</v>
      </c>
      <c r="C115" s="1306" t="s">
        <v>390</v>
      </c>
      <c r="D115" s="1296"/>
      <c r="E115" s="1297"/>
      <c r="F115" s="1297"/>
      <c r="G115" s="1260"/>
      <c r="H115" s="1296"/>
      <c r="I115" s="1297"/>
      <c r="J115" s="1297">
        <v>36</v>
      </c>
      <c r="K115" s="1260">
        <v>36</v>
      </c>
      <c r="L115" s="1296">
        <v>5</v>
      </c>
      <c r="M115" s="1297"/>
      <c r="N115" s="1297"/>
      <c r="O115" s="1260">
        <v>5</v>
      </c>
      <c r="P115" s="1296"/>
      <c r="Q115" s="1297"/>
      <c r="R115" s="1297">
        <v>28</v>
      </c>
      <c r="S115" s="1260">
        <v>28</v>
      </c>
      <c r="T115" s="1296"/>
      <c r="U115" s="1297"/>
      <c r="V115" s="1297"/>
      <c r="W115" s="1260"/>
      <c r="X115" s="1259"/>
      <c r="Y115" s="1259"/>
      <c r="Z115" s="1259">
        <v>5</v>
      </c>
      <c r="AA115" s="1260">
        <f>SUM(X115:Z115)</f>
        <v>5</v>
      </c>
      <c r="AB115" s="1259"/>
      <c r="AC115" s="1259"/>
      <c r="AD115" s="1259"/>
      <c r="AE115" s="1260"/>
      <c r="AF115" s="1259"/>
      <c r="AG115" s="1259"/>
      <c r="AH115" s="1259">
        <v>5</v>
      </c>
      <c r="AI115" s="1260">
        <f>SUM(AF115:AH115)</f>
        <v>5</v>
      </c>
      <c r="AJ115" s="1259"/>
      <c r="AK115" s="1259"/>
      <c r="AL115" s="1259">
        <v>16</v>
      </c>
      <c r="AM115" s="1260">
        <f>SUM(AJ115:AL115)</f>
        <v>16</v>
      </c>
      <c r="AN115" s="1259"/>
      <c r="AO115" s="1259"/>
      <c r="AP115" s="1259">
        <v>21</v>
      </c>
      <c r="AQ115" s="1260">
        <f>SUM(AN115:AP115)</f>
        <v>21</v>
      </c>
      <c r="AR115" s="1259"/>
      <c r="AS115" s="1259"/>
      <c r="AT115" s="1259"/>
      <c r="AU115" s="1260"/>
      <c r="AV115" s="1259"/>
      <c r="AW115" s="1259"/>
      <c r="AX115" s="1259">
        <v>19</v>
      </c>
      <c r="AY115" s="1260">
        <f>AV115+AW115+AX115</f>
        <v>19</v>
      </c>
      <c r="AZ115" s="1259"/>
      <c r="BA115" s="1259"/>
      <c r="BB115" s="1259"/>
      <c r="BC115" s="1278"/>
      <c r="BD115" s="1259"/>
      <c r="BE115" s="1259"/>
      <c r="BF115" s="1259"/>
      <c r="BG115" s="1278"/>
      <c r="BH115" s="1259"/>
      <c r="BI115" s="1259"/>
      <c r="BJ115" s="1259"/>
      <c r="BK115" s="1278"/>
      <c r="BL115" s="1259"/>
      <c r="BM115" s="1259"/>
      <c r="BN115" s="1259"/>
      <c r="BO115" s="1278"/>
      <c r="BP115" s="1259"/>
      <c r="BQ115" s="1259"/>
      <c r="BR115" s="1259"/>
      <c r="BS115" s="1278"/>
      <c r="BT115" s="1258"/>
      <c r="BU115" s="1259"/>
      <c r="BV115" s="1259"/>
      <c r="BW115" s="1264">
        <f t="shared" ref="BW115:BW130" si="124">BT115+BU115+BV115</f>
        <v>0</v>
      </c>
      <c r="BX115" s="1258"/>
      <c r="BY115" s="1259"/>
      <c r="BZ115" s="1259"/>
      <c r="CA115" s="1264">
        <f t="shared" ref="CA115:CA133" si="125">BX115+BY115+BZ115</f>
        <v>0</v>
      </c>
      <c r="CB115" s="1258"/>
      <c r="CC115" s="1259"/>
      <c r="CD115" s="1259"/>
      <c r="CE115" s="1264">
        <f t="shared" ref="CE115:CE133" si="126">CB115+CC115+CD115</f>
        <v>0</v>
      </c>
      <c r="CF115" s="1258"/>
      <c r="CG115" s="1259"/>
      <c r="CH115" s="1259"/>
      <c r="CI115" s="1264">
        <f t="shared" ref="CI115:CI133" si="127">CF115+CG115+CH115</f>
        <v>0</v>
      </c>
      <c r="CJ115" s="1258"/>
      <c r="CK115" s="1259"/>
      <c r="CL115" s="1259"/>
      <c r="CM115" s="1264">
        <f t="shared" ref="CM115:CM133" si="128">CJ115+CK115+CL115</f>
        <v>0</v>
      </c>
      <c r="CN115" s="1258"/>
      <c r="CO115" s="1259"/>
      <c r="CP115" s="1259"/>
      <c r="CQ115" s="1264">
        <f t="shared" ref="CQ115:CQ133" si="129">CN115+CO115+CP115</f>
        <v>0</v>
      </c>
      <c r="CR115" s="1258"/>
      <c r="CS115" s="1259"/>
      <c r="CT115" s="1259"/>
      <c r="CU115" s="1264">
        <f t="shared" ref="CU115:CU133" si="130">CR115+CS115+CT115</f>
        <v>0</v>
      </c>
    </row>
    <row r="116" spans="2:99" ht="14.4" x14ac:dyDescent="0.3">
      <c r="B116" s="5851"/>
      <c r="C116" s="1265" t="s">
        <v>1397</v>
      </c>
      <c r="D116" s="1281"/>
      <c r="E116" s="1280"/>
      <c r="F116" s="1280"/>
      <c r="G116" s="1264"/>
      <c r="H116" s="1281">
        <v>42</v>
      </c>
      <c r="I116" s="1280"/>
      <c r="J116" s="1280"/>
      <c r="K116" s="1264">
        <v>42</v>
      </c>
      <c r="L116" s="1281"/>
      <c r="M116" s="1280"/>
      <c r="N116" s="1280">
        <v>44</v>
      </c>
      <c r="O116" s="1264">
        <v>44</v>
      </c>
      <c r="P116" s="1281">
        <v>5</v>
      </c>
      <c r="Q116" s="1280">
        <v>3</v>
      </c>
      <c r="R116" s="1280">
        <v>4</v>
      </c>
      <c r="S116" s="1264">
        <v>12</v>
      </c>
      <c r="T116" s="1281"/>
      <c r="U116" s="1280"/>
      <c r="V116" s="1280"/>
      <c r="W116" s="1264"/>
      <c r="X116" s="1263"/>
      <c r="Y116" s="1263"/>
      <c r="Z116" s="1263"/>
      <c r="AA116" s="1264"/>
      <c r="AB116" s="1263"/>
      <c r="AC116" s="1263"/>
      <c r="AD116" s="1263"/>
      <c r="AE116" s="1264"/>
      <c r="AF116" s="1263"/>
      <c r="AG116" s="1263"/>
      <c r="AH116" s="1263"/>
      <c r="AI116" s="1264"/>
      <c r="AJ116" s="1263"/>
      <c r="AK116" s="1263"/>
      <c r="AL116" s="1263">
        <v>1</v>
      </c>
      <c r="AM116" s="1264">
        <f>SUM(AJ116:AL116)</f>
        <v>1</v>
      </c>
      <c r="AN116" s="1263"/>
      <c r="AO116" s="1263"/>
      <c r="AP116" s="1263"/>
      <c r="AQ116" s="1264"/>
      <c r="AR116" s="1263" t="s">
        <v>122</v>
      </c>
      <c r="AS116" s="1263" t="s">
        <v>122</v>
      </c>
      <c r="AT116" s="1263">
        <v>2</v>
      </c>
      <c r="AU116" s="1264">
        <f>SUM(AR116:AT116)</f>
        <v>2</v>
      </c>
      <c r="AV116" s="1263"/>
      <c r="AW116" s="1263"/>
      <c r="AX116" s="1263"/>
      <c r="AY116" s="1264"/>
      <c r="AZ116" s="1263"/>
      <c r="BA116" s="1263"/>
      <c r="BB116" s="1263">
        <v>35</v>
      </c>
      <c r="BC116" s="1264">
        <f>AZ116+BA116+BB116</f>
        <v>35</v>
      </c>
      <c r="BD116" s="1263"/>
      <c r="BE116" s="1263"/>
      <c r="BF116" s="1263"/>
      <c r="BG116" s="1264"/>
      <c r="BH116" s="1263"/>
      <c r="BI116" s="1263"/>
      <c r="BJ116" s="1263">
        <v>34</v>
      </c>
      <c r="BK116" s="1264">
        <f t="shared" ref="BK116:BK130" si="131">BH116+BI116+BJ116</f>
        <v>34</v>
      </c>
      <c r="BL116" s="1263"/>
      <c r="BM116" s="1263"/>
      <c r="BN116" s="1263"/>
      <c r="BO116" s="1264">
        <f t="shared" ref="BO116:BO130" si="132">BL116+BM116+BN116</f>
        <v>0</v>
      </c>
      <c r="BP116" s="1263"/>
      <c r="BQ116" s="1263"/>
      <c r="BR116" s="1263"/>
      <c r="BS116" s="1264">
        <f t="shared" ref="BS116:BS130" si="133">BP116+BQ116+BR116</f>
        <v>0</v>
      </c>
      <c r="BT116" s="1262"/>
      <c r="BU116" s="1263"/>
      <c r="BV116" s="1263"/>
      <c r="BW116" s="1264">
        <f t="shared" si="124"/>
        <v>0</v>
      </c>
      <c r="BX116" s="1262"/>
      <c r="BY116" s="1263"/>
      <c r="BZ116" s="1263">
        <v>30</v>
      </c>
      <c r="CA116" s="1264">
        <f t="shared" si="125"/>
        <v>30</v>
      </c>
      <c r="CB116" s="1262"/>
      <c r="CC116" s="1263"/>
      <c r="CD116" s="1263"/>
      <c r="CE116" s="1264">
        <f t="shared" si="126"/>
        <v>0</v>
      </c>
      <c r="CF116" s="1262"/>
      <c r="CG116" s="1263">
        <v>2</v>
      </c>
      <c r="CH116" s="1263"/>
      <c r="CI116" s="1264">
        <f t="shared" si="127"/>
        <v>2</v>
      </c>
      <c r="CJ116" s="1262"/>
      <c r="CK116" s="1263"/>
      <c r="CL116" s="1263"/>
      <c r="CM116" s="1264">
        <f t="shared" si="128"/>
        <v>0</v>
      </c>
      <c r="CN116" s="1262"/>
      <c r="CO116" s="1263">
        <v>20</v>
      </c>
      <c r="CP116" s="1263"/>
      <c r="CQ116" s="1264">
        <f t="shared" si="129"/>
        <v>20</v>
      </c>
      <c r="CR116" s="1262"/>
      <c r="CS116" s="1263"/>
      <c r="CT116" s="1263"/>
      <c r="CU116" s="1264">
        <f t="shared" si="130"/>
        <v>0</v>
      </c>
    </row>
    <row r="117" spans="2:99" ht="14.4" x14ac:dyDescent="0.3">
      <c r="B117" s="5852" t="s">
        <v>310</v>
      </c>
      <c r="C117" s="4406" t="s">
        <v>392</v>
      </c>
      <c r="D117" s="4409"/>
      <c r="E117" s="4408"/>
      <c r="F117" s="4408">
        <v>18</v>
      </c>
      <c r="G117" s="4405">
        <v>18</v>
      </c>
      <c r="H117" s="4409"/>
      <c r="I117" s="4408"/>
      <c r="J117" s="4408">
        <v>3</v>
      </c>
      <c r="K117" s="4405">
        <v>3</v>
      </c>
      <c r="L117" s="4409"/>
      <c r="M117" s="4408">
        <v>20</v>
      </c>
      <c r="N117" s="4408">
        <v>5</v>
      </c>
      <c r="O117" s="4405">
        <v>25</v>
      </c>
      <c r="P117" s="4409"/>
      <c r="Q117" s="4408"/>
      <c r="R117" s="4408"/>
      <c r="S117" s="4405"/>
      <c r="T117" s="4409"/>
      <c r="U117" s="4408"/>
      <c r="V117" s="4408"/>
      <c r="W117" s="4405"/>
      <c r="X117" s="4404"/>
      <c r="Y117" s="4404"/>
      <c r="Z117" s="4404">
        <v>20</v>
      </c>
      <c r="AA117" s="4405">
        <f>SUM(X117:Z117)</f>
        <v>20</v>
      </c>
      <c r="AB117" s="4404"/>
      <c r="AC117" s="4404"/>
      <c r="AD117" s="4404"/>
      <c r="AE117" s="4405"/>
      <c r="AF117" s="4404"/>
      <c r="AG117" s="4404"/>
      <c r="AH117" s="4404">
        <v>12</v>
      </c>
      <c r="AI117" s="4405">
        <f>SUM(AF117:AH117)</f>
        <v>12</v>
      </c>
      <c r="AJ117" s="4404"/>
      <c r="AK117" s="4404"/>
      <c r="AL117" s="4404"/>
      <c r="AM117" s="4405">
        <f>SUM(AJ117:AL117)</f>
        <v>0</v>
      </c>
      <c r="AN117" s="4404"/>
      <c r="AO117" s="4404"/>
      <c r="AP117" s="4404"/>
      <c r="AQ117" s="4405"/>
      <c r="AR117" s="4404"/>
      <c r="AS117" s="4404"/>
      <c r="AT117" s="4404"/>
      <c r="AU117" s="4405"/>
      <c r="AV117" s="4404"/>
      <c r="AW117" s="4404"/>
      <c r="AX117" s="4404"/>
      <c r="AY117" s="4405"/>
      <c r="AZ117" s="4404"/>
      <c r="BA117" s="4404"/>
      <c r="BB117" s="4404">
        <v>18</v>
      </c>
      <c r="BC117" s="4405">
        <f>AZ117+BA117+BB117</f>
        <v>18</v>
      </c>
      <c r="BD117" s="4404"/>
      <c r="BE117" s="4404"/>
      <c r="BF117" s="4404">
        <v>23</v>
      </c>
      <c r="BG117" s="4405">
        <f>BD117+BE117+BF117</f>
        <v>23</v>
      </c>
      <c r="BH117" s="4404"/>
      <c r="BI117" s="4404"/>
      <c r="BJ117" s="4404"/>
      <c r="BK117" s="4405">
        <f t="shared" si="131"/>
        <v>0</v>
      </c>
      <c r="BL117" s="4404"/>
      <c r="BM117" s="4404"/>
      <c r="BN117" s="4404">
        <v>22</v>
      </c>
      <c r="BO117" s="4405">
        <f t="shared" si="132"/>
        <v>22</v>
      </c>
      <c r="BP117" s="4404"/>
      <c r="BQ117" s="4404"/>
      <c r="BR117" s="4404"/>
      <c r="BS117" s="4405">
        <f t="shared" si="133"/>
        <v>0</v>
      </c>
      <c r="BT117" s="4403"/>
      <c r="BU117" s="4404"/>
      <c r="BV117" s="4404">
        <v>23</v>
      </c>
      <c r="BW117" s="4405">
        <f t="shared" si="124"/>
        <v>23</v>
      </c>
      <c r="BX117" s="4403"/>
      <c r="BY117" s="4404"/>
      <c r="BZ117" s="4404"/>
      <c r="CA117" s="4405">
        <f t="shared" si="125"/>
        <v>0</v>
      </c>
      <c r="CB117" s="4403"/>
      <c r="CC117" s="4404"/>
      <c r="CD117" s="4404">
        <v>20</v>
      </c>
      <c r="CE117" s="4405">
        <f t="shared" si="126"/>
        <v>20</v>
      </c>
      <c r="CF117" s="4403"/>
      <c r="CG117" s="4404"/>
      <c r="CH117" s="4404"/>
      <c r="CI117" s="4405">
        <f t="shared" si="127"/>
        <v>0</v>
      </c>
      <c r="CJ117" s="4403"/>
      <c r="CK117" s="4404">
        <v>11</v>
      </c>
      <c r="CL117" s="4404"/>
      <c r="CM117" s="4405">
        <f t="shared" si="128"/>
        <v>11</v>
      </c>
      <c r="CN117" s="4403"/>
      <c r="CO117" s="4404"/>
      <c r="CP117" s="4404"/>
      <c r="CQ117" s="4405">
        <f t="shared" si="129"/>
        <v>0</v>
      </c>
      <c r="CR117" s="4403"/>
      <c r="CS117" s="4404"/>
      <c r="CT117" s="4404">
        <v>15</v>
      </c>
      <c r="CU117" s="4405">
        <f t="shared" si="130"/>
        <v>15</v>
      </c>
    </row>
    <row r="118" spans="2:99" ht="14.4" x14ac:dyDescent="0.3">
      <c r="B118" s="5853"/>
      <c r="C118" s="4406" t="s">
        <v>1397</v>
      </c>
      <c r="D118" s="4409">
        <v>3</v>
      </c>
      <c r="E118" s="4408"/>
      <c r="F118" s="4408"/>
      <c r="G118" s="4405">
        <v>3</v>
      </c>
      <c r="H118" s="4409">
        <v>13</v>
      </c>
      <c r="I118" s="4408"/>
      <c r="J118" s="4408"/>
      <c r="K118" s="4405">
        <f>SUM(H118:J118)</f>
        <v>13</v>
      </c>
      <c r="L118" s="4409">
        <v>39</v>
      </c>
      <c r="M118" s="4408"/>
      <c r="N118" s="4408"/>
      <c r="O118" s="4405">
        <v>39</v>
      </c>
      <c r="P118" s="4409">
        <v>2</v>
      </c>
      <c r="Q118" s="4408">
        <v>31</v>
      </c>
      <c r="R118" s="4408"/>
      <c r="S118" s="4405">
        <v>33</v>
      </c>
      <c r="T118" s="4409"/>
      <c r="U118" s="4408"/>
      <c r="V118" s="4408">
        <v>29</v>
      </c>
      <c r="W118" s="4405">
        <f>SUM(T118:V118)</f>
        <v>29</v>
      </c>
      <c r="X118" s="4404"/>
      <c r="Y118" s="4404"/>
      <c r="Z118" s="4404"/>
      <c r="AA118" s="4405"/>
      <c r="AB118" s="4404"/>
      <c r="AC118" s="4404"/>
      <c r="AD118" s="4404">
        <v>30</v>
      </c>
      <c r="AE118" s="4405">
        <f>SUM(AB118:AD118)</f>
        <v>30</v>
      </c>
      <c r="AF118" s="4404"/>
      <c r="AG118" s="4404"/>
      <c r="AH118" s="4404"/>
      <c r="AI118" s="4405"/>
      <c r="AJ118" s="4404"/>
      <c r="AK118" s="4404"/>
      <c r="AL118" s="4404">
        <v>38</v>
      </c>
      <c r="AM118" s="4405">
        <f>SUM(AJ118:AL118)</f>
        <v>38</v>
      </c>
      <c r="AN118" s="4404"/>
      <c r="AO118" s="4404"/>
      <c r="AP118" s="4404"/>
      <c r="AQ118" s="4405"/>
      <c r="AR118" s="4404"/>
      <c r="AS118" s="4404" t="s">
        <v>122</v>
      </c>
      <c r="AT118" s="4404">
        <v>38</v>
      </c>
      <c r="AU118" s="4405">
        <f>SUM(AR118:AT118)</f>
        <v>38</v>
      </c>
      <c r="AV118" s="4404"/>
      <c r="AW118" s="4404"/>
      <c r="AX118" s="4404"/>
      <c r="AY118" s="4405"/>
      <c r="AZ118" s="4404"/>
      <c r="BA118" s="4404"/>
      <c r="BB118" s="4404">
        <v>3</v>
      </c>
      <c r="BC118" s="4405">
        <f>AZ118+BA118+BB118</f>
        <v>3</v>
      </c>
      <c r="BD118" s="4404"/>
      <c r="BE118" s="4404"/>
      <c r="BF118" s="4404">
        <v>1</v>
      </c>
      <c r="BG118" s="4405">
        <f t="shared" ref="BG118:BG124" si="134">BD118+BE118+BF118</f>
        <v>1</v>
      </c>
      <c r="BH118" s="4404"/>
      <c r="BI118" s="4404"/>
      <c r="BJ118" s="4404"/>
      <c r="BK118" s="4405">
        <f t="shared" si="131"/>
        <v>0</v>
      </c>
      <c r="BL118" s="4404"/>
      <c r="BM118" s="4404"/>
      <c r="BN118" s="4404">
        <v>33</v>
      </c>
      <c r="BO118" s="4405">
        <f t="shared" si="132"/>
        <v>33</v>
      </c>
      <c r="BP118" s="4404"/>
      <c r="BQ118" s="4404"/>
      <c r="BR118" s="4404">
        <v>35</v>
      </c>
      <c r="BS118" s="4405">
        <f t="shared" si="133"/>
        <v>35</v>
      </c>
      <c r="BT118" s="4403"/>
      <c r="BU118" s="4404"/>
      <c r="BV118" s="4404"/>
      <c r="BW118" s="4405">
        <f t="shared" si="124"/>
        <v>0</v>
      </c>
      <c r="BX118" s="4403"/>
      <c r="BY118" s="4404"/>
      <c r="BZ118" s="4404">
        <v>2</v>
      </c>
      <c r="CA118" s="4405">
        <f t="shared" si="125"/>
        <v>2</v>
      </c>
      <c r="CB118" s="4403"/>
      <c r="CC118" s="4404">
        <v>10</v>
      </c>
      <c r="CD118" s="4404">
        <v>16</v>
      </c>
      <c r="CE118" s="4405">
        <f t="shared" si="126"/>
        <v>26</v>
      </c>
      <c r="CF118" s="4403"/>
      <c r="CG118" s="4404">
        <v>18</v>
      </c>
      <c r="CH118" s="4404"/>
      <c r="CI118" s="4405">
        <f t="shared" si="127"/>
        <v>18</v>
      </c>
      <c r="CJ118" s="4403"/>
      <c r="CK118" s="4404">
        <v>12</v>
      </c>
      <c r="CL118" s="4404">
        <v>2</v>
      </c>
      <c r="CM118" s="4405">
        <f t="shared" si="128"/>
        <v>14</v>
      </c>
      <c r="CN118" s="4403"/>
      <c r="CO118" s="4404">
        <v>18</v>
      </c>
      <c r="CP118" s="4404"/>
      <c r="CQ118" s="4405">
        <f t="shared" si="129"/>
        <v>18</v>
      </c>
      <c r="CR118" s="4403"/>
      <c r="CS118" s="4404">
        <v>5</v>
      </c>
      <c r="CT118" s="4404"/>
      <c r="CU118" s="4405">
        <f t="shared" si="130"/>
        <v>5</v>
      </c>
    </row>
    <row r="119" spans="2:99" ht="14.4" x14ac:dyDescent="0.3">
      <c r="B119" s="5853"/>
      <c r="C119" s="4402" t="s">
        <v>394</v>
      </c>
      <c r="D119" s="4409"/>
      <c r="E119" s="4408">
        <v>15</v>
      </c>
      <c r="F119" s="4408"/>
      <c r="G119" s="4405">
        <v>15</v>
      </c>
      <c r="H119" s="4409"/>
      <c r="I119" s="4408"/>
      <c r="J119" s="4408"/>
      <c r="K119" s="4405"/>
      <c r="L119" s="4409"/>
      <c r="M119" s="4408">
        <v>9</v>
      </c>
      <c r="N119" s="4408"/>
      <c r="O119" s="4405">
        <v>9</v>
      </c>
      <c r="P119" s="4409"/>
      <c r="Q119" s="4408"/>
      <c r="R119" s="4408"/>
      <c r="S119" s="4405"/>
      <c r="T119" s="4409"/>
      <c r="U119" s="4408">
        <v>13</v>
      </c>
      <c r="V119" s="4408"/>
      <c r="W119" s="4405">
        <f>SUM(T119:V119)</f>
        <v>13</v>
      </c>
      <c r="X119" s="4404"/>
      <c r="Y119" s="4404"/>
      <c r="Z119" s="4404">
        <v>21</v>
      </c>
      <c r="AA119" s="4405">
        <f>SUM(X119:Z119)</f>
        <v>21</v>
      </c>
      <c r="AB119" s="4404"/>
      <c r="AC119" s="4404"/>
      <c r="AD119" s="4404"/>
      <c r="AE119" s="4405"/>
      <c r="AF119" s="4404"/>
      <c r="AG119" s="4404"/>
      <c r="AH119" s="4404">
        <v>23</v>
      </c>
      <c r="AI119" s="4405">
        <f>SUM(AF119:AH119)</f>
        <v>23</v>
      </c>
      <c r="AJ119" s="4404"/>
      <c r="AK119" s="4404"/>
      <c r="AL119" s="4404"/>
      <c r="AM119" s="4405"/>
      <c r="AN119" s="4404"/>
      <c r="AO119" s="4404"/>
      <c r="AP119" s="4404">
        <v>29</v>
      </c>
      <c r="AQ119" s="4405">
        <f>SUM(AN119:AP119)</f>
        <v>29</v>
      </c>
      <c r="AR119" s="4404"/>
      <c r="AS119" s="4404"/>
      <c r="AT119" s="4404"/>
      <c r="AU119" s="4405"/>
      <c r="AV119" s="4404"/>
      <c r="AW119" s="4404"/>
      <c r="AX119" s="4404">
        <v>27</v>
      </c>
      <c r="AY119" s="4405">
        <f>AV119+AW119+AX119</f>
        <v>27</v>
      </c>
      <c r="AZ119" s="4404"/>
      <c r="BA119" s="4404"/>
      <c r="BB119" s="4404"/>
      <c r="BC119" s="4405"/>
      <c r="BD119" s="4404"/>
      <c r="BE119" s="4404"/>
      <c r="BF119" s="4404">
        <v>39</v>
      </c>
      <c r="BG119" s="4405">
        <f t="shared" si="134"/>
        <v>39</v>
      </c>
      <c r="BH119" s="4404"/>
      <c r="BI119" s="4404"/>
      <c r="BJ119" s="4404"/>
      <c r="BK119" s="4405">
        <f t="shared" si="131"/>
        <v>0</v>
      </c>
      <c r="BL119" s="4404"/>
      <c r="BM119" s="4404"/>
      <c r="BN119" s="4404">
        <v>28</v>
      </c>
      <c r="BO119" s="4405">
        <f t="shared" si="132"/>
        <v>28</v>
      </c>
      <c r="BP119" s="4404"/>
      <c r="BQ119" s="4404"/>
      <c r="BR119" s="4404"/>
      <c r="BS119" s="4405">
        <f t="shared" si="133"/>
        <v>0</v>
      </c>
      <c r="BT119" s="4403"/>
      <c r="BU119" s="4404"/>
      <c r="BV119" s="4404">
        <v>23</v>
      </c>
      <c r="BW119" s="4405">
        <f t="shared" si="124"/>
        <v>23</v>
      </c>
      <c r="BX119" s="4403"/>
      <c r="BY119" s="4404"/>
      <c r="BZ119" s="4404"/>
      <c r="CA119" s="4405">
        <f t="shared" si="125"/>
        <v>0</v>
      </c>
      <c r="CB119" s="4403"/>
      <c r="CC119" s="4404"/>
      <c r="CD119" s="4404">
        <v>23</v>
      </c>
      <c r="CE119" s="4405">
        <f t="shared" si="126"/>
        <v>23</v>
      </c>
      <c r="CF119" s="4403"/>
      <c r="CG119" s="4404"/>
      <c r="CH119" s="4404"/>
      <c r="CI119" s="4405">
        <f t="shared" si="127"/>
        <v>0</v>
      </c>
      <c r="CJ119" s="4403"/>
      <c r="CK119" s="4404">
        <v>22</v>
      </c>
      <c r="CL119" s="4404"/>
      <c r="CM119" s="4405">
        <f t="shared" si="128"/>
        <v>22</v>
      </c>
      <c r="CN119" s="4403"/>
      <c r="CO119" s="4404"/>
      <c r="CP119" s="4404"/>
      <c r="CQ119" s="4405">
        <f t="shared" si="129"/>
        <v>0</v>
      </c>
      <c r="CR119" s="4403"/>
      <c r="CS119" s="4404"/>
      <c r="CT119" s="4404">
        <v>21</v>
      </c>
      <c r="CU119" s="4405">
        <f t="shared" si="130"/>
        <v>21</v>
      </c>
    </row>
    <row r="120" spans="2:99" ht="14.4" x14ac:dyDescent="0.3">
      <c r="B120" s="5853"/>
      <c r="C120" s="4402" t="s">
        <v>395</v>
      </c>
      <c r="D120" s="4409"/>
      <c r="E120" s="4408"/>
      <c r="F120" s="4408"/>
      <c r="G120" s="4405"/>
      <c r="H120" s="4409"/>
      <c r="I120" s="4408"/>
      <c r="J120" s="4408">
        <v>29</v>
      </c>
      <c r="K120" s="4405">
        <v>29</v>
      </c>
      <c r="L120" s="4409"/>
      <c r="M120" s="4408"/>
      <c r="N120" s="4408"/>
      <c r="O120" s="4405"/>
      <c r="P120" s="4409"/>
      <c r="Q120" s="4408"/>
      <c r="R120" s="4408">
        <v>22</v>
      </c>
      <c r="S120" s="4405">
        <v>22</v>
      </c>
      <c r="T120" s="4409"/>
      <c r="U120" s="4408"/>
      <c r="V120" s="4408"/>
      <c r="W120" s="4405"/>
      <c r="X120" s="4404"/>
      <c r="Y120" s="4404"/>
      <c r="Z120" s="4404">
        <v>17</v>
      </c>
      <c r="AA120" s="4405">
        <f>SUM(X120:Z120)</f>
        <v>17</v>
      </c>
      <c r="AB120" s="4404"/>
      <c r="AC120" s="4404"/>
      <c r="AD120" s="4404"/>
      <c r="AE120" s="4405"/>
      <c r="AF120" s="4404"/>
      <c r="AG120" s="4404"/>
      <c r="AH120" s="4404">
        <v>12</v>
      </c>
      <c r="AI120" s="4405">
        <f>SUM(AF120:AH120)</f>
        <v>12</v>
      </c>
      <c r="AJ120" s="4404"/>
      <c r="AK120" s="4404"/>
      <c r="AL120" s="4404"/>
      <c r="AM120" s="4405"/>
      <c r="AN120" s="4404"/>
      <c r="AO120" s="4404"/>
      <c r="AP120" s="4404">
        <v>24</v>
      </c>
      <c r="AQ120" s="4405">
        <f>SUM(AN120:AP120)</f>
        <v>24</v>
      </c>
      <c r="AR120" s="4404"/>
      <c r="AS120" s="4404"/>
      <c r="AT120" s="4404"/>
      <c r="AU120" s="4405"/>
      <c r="AV120" s="4404"/>
      <c r="AW120" s="4404"/>
      <c r="AX120" s="4404">
        <v>26</v>
      </c>
      <c r="AY120" s="4405">
        <f>AV120+AW120+AX120</f>
        <v>26</v>
      </c>
      <c r="AZ120" s="4404"/>
      <c r="BA120" s="4404"/>
      <c r="BB120" s="4404"/>
      <c r="BC120" s="4405"/>
      <c r="BD120" s="4404"/>
      <c r="BE120" s="4404"/>
      <c r="BF120" s="4404">
        <v>28</v>
      </c>
      <c r="BG120" s="4405">
        <f t="shared" si="134"/>
        <v>28</v>
      </c>
      <c r="BH120" s="4404"/>
      <c r="BI120" s="4404"/>
      <c r="BJ120" s="4404"/>
      <c r="BK120" s="4405">
        <f t="shared" si="131"/>
        <v>0</v>
      </c>
      <c r="BL120" s="4404"/>
      <c r="BM120" s="4404"/>
      <c r="BN120" s="4404">
        <v>14</v>
      </c>
      <c r="BO120" s="4405">
        <f t="shared" si="132"/>
        <v>14</v>
      </c>
      <c r="BP120" s="4404"/>
      <c r="BQ120" s="4404"/>
      <c r="BR120" s="4404"/>
      <c r="BS120" s="4405">
        <f t="shared" si="133"/>
        <v>0</v>
      </c>
      <c r="BT120" s="4403"/>
      <c r="BU120" s="4404"/>
      <c r="BV120" s="4404">
        <v>18</v>
      </c>
      <c r="BW120" s="4405">
        <f t="shared" si="124"/>
        <v>18</v>
      </c>
      <c r="BX120" s="4403"/>
      <c r="BY120" s="4404"/>
      <c r="BZ120" s="4404"/>
      <c r="CA120" s="4405">
        <f t="shared" si="125"/>
        <v>0</v>
      </c>
      <c r="CB120" s="4403"/>
      <c r="CC120" s="4404"/>
      <c r="CD120" s="4404">
        <v>25</v>
      </c>
      <c r="CE120" s="4405">
        <f t="shared" si="126"/>
        <v>25</v>
      </c>
      <c r="CF120" s="4403"/>
      <c r="CG120" s="4404"/>
      <c r="CH120" s="4404"/>
      <c r="CI120" s="4405">
        <f t="shared" si="127"/>
        <v>0</v>
      </c>
      <c r="CJ120" s="4403"/>
      <c r="CK120" s="4404">
        <v>24</v>
      </c>
      <c r="CL120" s="4404"/>
      <c r="CM120" s="4405">
        <f t="shared" si="128"/>
        <v>24</v>
      </c>
      <c r="CN120" s="4403"/>
      <c r="CO120" s="4404"/>
      <c r="CP120" s="4404"/>
      <c r="CQ120" s="4405">
        <f t="shared" si="129"/>
        <v>0</v>
      </c>
      <c r="CR120" s="4403"/>
      <c r="CS120" s="4404">
        <v>20</v>
      </c>
      <c r="CT120" s="4404"/>
      <c r="CU120" s="4405">
        <f t="shared" si="130"/>
        <v>20</v>
      </c>
    </row>
    <row r="121" spans="2:99" ht="14.4" x14ac:dyDescent="0.3">
      <c r="B121" s="5853"/>
      <c r="C121" s="4402" t="s">
        <v>396</v>
      </c>
      <c r="D121" s="4409"/>
      <c r="E121" s="4408"/>
      <c r="F121" s="4408"/>
      <c r="G121" s="4405"/>
      <c r="H121" s="4409"/>
      <c r="I121" s="4408"/>
      <c r="J121" s="4408">
        <v>28</v>
      </c>
      <c r="K121" s="4405">
        <v>28</v>
      </c>
      <c r="L121" s="4409"/>
      <c r="M121" s="4408"/>
      <c r="N121" s="4408"/>
      <c r="O121" s="4405"/>
      <c r="P121" s="4409"/>
      <c r="Q121" s="4408"/>
      <c r="R121" s="4408">
        <v>24</v>
      </c>
      <c r="S121" s="4405">
        <v>24</v>
      </c>
      <c r="T121" s="4409"/>
      <c r="U121" s="4408"/>
      <c r="V121" s="4408"/>
      <c r="W121" s="4405"/>
      <c r="X121" s="4404"/>
      <c r="Y121" s="4404"/>
      <c r="Z121" s="4404">
        <v>20</v>
      </c>
      <c r="AA121" s="4405">
        <f>SUM(X121:Z121)</f>
        <v>20</v>
      </c>
      <c r="AB121" s="4404"/>
      <c r="AC121" s="4404"/>
      <c r="AD121" s="4404"/>
      <c r="AE121" s="4405"/>
      <c r="AF121" s="4404"/>
      <c r="AG121" s="4404"/>
      <c r="AH121" s="4404">
        <v>25</v>
      </c>
      <c r="AI121" s="4405">
        <f>SUM(AF121:AH121)</f>
        <v>25</v>
      </c>
      <c r="AJ121" s="4404"/>
      <c r="AK121" s="4404"/>
      <c r="AL121" s="4404"/>
      <c r="AM121" s="4405"/>
      <c r="AN121" s="4404"/>
      <c r="AO121" s="4404"/>
      <c r="AP121" s="4404">
        <v>26</v>
      </c>
      <c r="AQ121" s="4405">
        <f>SUM(AN121:AP121)</f>
        <v>26</v>
      </c>
      <c r="AR121" s="4404"/>
      <c r="AS121" s="4404"/>
      <c r="AT121" s="4404"/>
      <c r="AU121" s="4405"/>
      <c r="AV121" s="4404"/>
      <c r="AW121" s="4404"/>
      <c r="AX121" s="4404">
        <v>18</v>
      </c>
      <c r="AY121" s="4405">
        <f>AV121+AW121+AX121</f>
        <v>18</v>
      </c>
      <c r="AZ121" s="4404"/>
      <c r="BA121" s="4404"/>
      <c r="BB121" s="4404"/>
      <c r="BC121" s="4405"/>
      <c r="BD121" s="4404"/>
      <c r="BE121" s="4404"/>
      <c r="BF121" s="4404">
        <v>20</v>
      </c>
      <c r="BG121" s="4405">
        <f t="shared" si="134"/>
        <v>20</v>
      </c>
      <c r="BH121" s="4404"/>
      <c r="BI121" s="4404"/>
      <c r="BJ121" s="4404"/>
      <c r="BK121" s="4405">
        <f t="shared" si="131"/>
        <v>0</v>
      </c>
      <c r="BL121" s="4404"/>
      <c r="BM121" s="4404"/>
      <c r="BN121" s="4404">
        <v>19</v>
      </c>
      <c r="BO121" s="4405">
        <f t="shared" si="132"/>
        <v>19</v>
      </c>
      <c r="BP121" s="4404"/>
      <c r="BQ121" s="4404"/>
      <c r="BR121" s="4404"/>
      <c r="BS121" s="4405">
        <f t="shared" si="133"/>
        <v>0</v>
      </c>
      <c r="BT121" s="4403"/>
      <c r="BU121" s="4404"/>
      <c r="BV121" s="4404">
        <v>21</v>
      </c>
      <c r="BW121" s="4405">
        <f t="shared" si="124"/>
        <v>21</v>
      </c>
      <c r="BX121" s="4403"/>
      <c r="BY121" s="4404"/>
      <c r="BZ121" s="4404"/>
      <c r="CA121" s="4405">
        <f t="shared" si="125"/>
        <v>0</v>
      </c>
      <c r="CB121" s="4403"/>
      <c r="CC121" s="4404"/>
      <c r="CD121" s="4404">
        <v>18</v>
      </c>
      <c r="CE121" s="4405">
        <f t="shared" si="126"/>
        <v>18</v>
      </c>
      <c r="CF121" s="4403"/>
      <c r="CG121" s="4404"/>
      <c r="CH121" s="4404"/>
      <c r="CI121" s="4405">
        <f t="shared" si="127"/>
        <v>0</v>
      </c>
      <c r="CJ121" s="4403"/>
      <c r="CK121" s="4404">
        <v>15</v>
      </c>
      <c r="CL121" s="4404"/>
      <c r="CM121" s="4405">
        <f t="shared" si="128"/>
        <v>15</v>
      </c>
      <c r="CN121" s="4403"/>
      <c r="CO121" s="4404"/>
      <c r="CP121" s="4404"/>
      <c r="CQ121" s="4405">
        <f t="shared" si="129"/>
        <v>0</v>
      </c>
      <c r="CR121" s="4403"/>
      <c r="CS121" s="4404">
        <v>19</v>
      </c>
      <c r="CT121" s="4404"/>
      <c r="CU121" s="4405">
        <f t="shared" si="130"/>
        <v>19</v>
      </c>
    </row>
    <row r="122" spans="2:99" ht="14.4" x14ac:dyDescent="0.3">
      <c r="B122" s="5853"/>
      <c r="C122" s="4402" t="s">
        <v>397</v>
      </c>
      <c r="D122" s="4409"/>
      <c r="E122" s="4408"/>
      <c r="F122" s="4408"/>
      <c r="G122" s="4405"/>
      <c r="H122" s="4409"/>
      <c r="I122" s="4408"/>
      <c r="J122" s="4408">
        <v>18</v>
      </c>
      <c r="K122" s="4405">
        <v>18</v>
      </c>
      <c r="L122" s="4409"/>
      <c r="M122" s="4408"/>
      <c r="N122" s="4408"/>
      <c r="O122" s="4405"/>
      <c r="P122" s="4409"/>
      <c r="Q122" s="4408"/>
      <c r="R122" s="4408">
        <v>27</v>
      </c>
      <c r="S122" s="4405">
        <v>27</v>
      </c>
      <c r="T122" s="4409"/>
      <c r="U122" s="4408"/>
      <c r="V122" s="4408"/>
      <c r="W122" s="4405"/>
      <c r="X122" s="4404"/>
      <c r="Y122" s="4404"/>
      <c r="Z122" s="4404">
        <v>18</v>
      </c>
      <c r="AA122" s="4405">
        <f>SUM(X122:Z122)</f>
        <v>18</v>
      </c>
      <c r="AB122" s="4404"/>
      <c r="AC122" s="4404"/>
      <c r="AD122" s="4404"/>
      <c r="AE122" s="4405"/>
      <c r="AF122" s="4404"/>
      <c r="AG122" s="4404"/>
      <c r="AH122" s="4404">
        <v>24</v>
      </c>
      <c r="AI122" s="4405">
        <f>SUM(AF122:AH122)</f>
        <v>24</v>
      </c>
      <c r="AJ122" s="4404"/>
      <c r="AK122" s="4404"/>
      <c r="AL122" s="4404"/>
      <c r="AM122" s="4405"/>
      <c r="AN122" s="4404"/>
      <c r="AO122" s="4404"/>
      <c r="AP122" s="4404">
        <v>18</v>
      </c>
      <c r="AQ122" s="4405">
        <f>SUM(AN122:AP122)</f>
        <v>18</v>
      </c>
      <c r="AR122" s="4404"/>
      <c r="AS122" s="4404"/>
      <c r="AT122" s="4404"/>
      <c r="AU122" s="4405"/>
      <c r="AV122" s="4404"/>
      <c r="AW122" s="4404"/>
      <c r="AX122" s="4404">
        <v>20</v>
      </c>
      <c r="AY122" s="4405">
        <f>AV122+AW122+AX122</f>
        <v>20</v>
      </c>
      <c r="AZ122" s="4404"/>
      <c r="BA122" s="4404"/>
      <c r="BB122" s="4404"/>
      <c r="BC122" s="4405"/>
      <c r="BD122" s="4404"/>
      <c r="BE122" s="4404"/>
      <c r="BF122" s="4404">
        <v>14</v>
      </c>
      <c r="BG122" s="4405">
        <f t="shared" si="134"/>
        <v>14</v>
      </c>
      <c r="BH122" s="4404"/>
      <c r="BI122" s="4404"/>
      <c r="BJ122" s="4404"/>
      <c r="BK122" s="4405">
        <f t="shared" si="131"/>
        <v>0</v>
      </c>
      <c r="BL122" s="4404"/>
      <c r="BM122" s="4404"/>
      <c r="BN122" s="4404">
        <v>18</v>
      </c>
      <c r="BO122" s="4405">
        <f t="shared" si="132"/>
        <v>18</v>
      </c>
      <c r="BP122" s="4404"/>
      <c r="BQ122" s="4404"/>
      <c r="BR122" s="4404"/>
      <c r="BS122" s="4405">
        <f t="shared" si="133"/>
        <v>0</v>
      </c>
      <c r="BT122" s="4403"/>
      <c r="BU122" s="4404"/>
      <c r="BV122" s="4404">
        <v>17</v>
      </c>
      <c r="BW122" s="4405">
        <f t="shared" si="124"/>
        <v>17</v>
      </c>
      <c r="BX122" s="4403"/>
      <c r="BY122" s="4404"/>
      <c r="BZ122" s="4404"/>
      <c r="CA122" s="4405">
        <f t="shared" si="125"/>
        <v>0</v>
      </c>
      <c r="CB122" s="4403"/>
      <c r="CC122" s="4404"/>
      <c r="CD122" s="4404">
        <v>15</v>
      </c>
      <c r="CE122" s="4405">
        <f t="shared" si="126"/>
        <v>15</v>
      </c>
      <c r="CF122" s="4403"/>
      <c r="CG122" s="4404"/>
      <c r="CH122" s="4404"/>
      <c r="CI122" s="4405">
        <f t="shared" si="127"/>
        <v>0</v>
      </c>
      <c r="CJ122" s="4403"/>
      <c r="CK122" s="4404">
        <v>19</v>
      </c>
      <c r="CL122" s="4404"/>
      <c r="CM122" s="4405">
        <f t="shared" si="128"/>
        <v>19</v>
      </c>
      <c r="CN122" s="4403"/>
      <c r="CO122" s="4404"/>
      <c r="CP122" s="4404"/>
      <c r="CQ122" s="4405">
        <f t="shared" si="129"/>
        <v>0</v>
      </c>
      <c r="CR122" s="4403"/>
      <c r="CS122" s="4404">
        <v>14</v>
      </c>
      <c r="CT122" s="4404"/>
      <c r="CU122" s="4405">
        <f t="shared" si="130"/>
        <v>14</v>
      </c>
    </row>
    <row r="123" spans="2:99" ht="14.4" x14ac:dyDescent="0.3">
      <c r="B123" s="5853"/>
      <c r="C123" s="4402" t="s">
        <v>398</v>
      </c>
      <c r="D123" s="4409"/>
      <c r="E123" s="4408"/>
      <c r="F123" s="4408"/>
      <c r="G123" s="4405"/>
      <c r="H123" s="4409"/>
      <c r="I123" s="4408">
        <v>25</v>
      </c>
      <c r="J123" s="4408"/>
      <c r="K123" s="4405">
        <v>25</v>
      </c>
      <c r="L123" s="4409"/>
      <c r="M123" s="4408"/>
      <c r="N123" s="4408"/>
      <c r="O123" s="4405"/>
      <c r="P123" s="4409"/>
      <c r="Q123" s="4408">
        <v>25</v>
      </c>
      <c r="R123" s="4408"/>
      <c r="S123" s="4405">
        <v>25</v>
      </c>
      <c r="T123" s="4409"/>
      <c r="U123" s="4408"/>
      <c r="V123" s="4408"/>
      <c r="W123" s="4405"/>
      <c r="X123" s="4404"/>
      <c r="Y123" s="4404"/>
      <c r="Z123" s="4404">
        <v>25</v>
      </c>
      <c r="AA123" s="4405">
        <f>SUM(X123:Z123)</f>
        <v>25</v>
      </c>
      <c r="AB123" s="4404"/>
      <c r="AC123" s="4404"/>
      <c r="AD123" s="4404"/>
      <c r="AE123" s="4405"/>
      <c r="AF123" s="4404"/>
      <c r="AG123" s="4404"/>
      <c r="AH123" s="4404">
        <v>19</v>
      </c>
      <c r="AI123" s="4405">
        <f>SUM(AF123:AH123)</f>
        <v>19</v>
      </c>
      <c r="AJ123" s="4404"/>
      <c r="AK123" s="4404"/>
      <c r="AL123" s="4404"/>
      <c r="AM123" s="4405"/>
      <c r="AN123" s="4404"/>
      <c r="AO123" s="4404"/>
      <c r="AP123" s="4404">
        <v>18</v>
      </c>
      <c r="AQ123" s="4405">
        <f>SUM(AN123:AP123)</f>
        <v>18</v>
      </c>
      <c r="AR123" s="4404"/>
      <c r="AS123" s="4404"/>
      <c r="AT123" s="4404"/>
      <c r="AU123" s="4405"/>
      <c r="AV123" s="4404"/>
      <c r="AW123" s="4404"/>
      <c r="AX123" s="4404">
        <v>15</v>
      </c>
      <c r="AY123" s="4405">
        <f>AV123+AW123+AX123</f>
        <v>15</v>
      </c>
      <c r="AZ123" s="4404"/>
      <c r="BA123" s="4404"/>
      <c r="BB123" s="4404"/>
      <c r="BC123" s="4405"/>
      <c r="BD123" s="4404"/>
      <c r="BE123" s="4404"/>
      <c r="BF123" s="4404">
        <v>14</v>
      </c>
      <c r="BG123" s="4405">
        <f t="shared" si="134"/>
        <v>14</v>
      </c>
      <c r="BH123" s="4404"/>
      <c r="BI123" s="4404"/>
      <c r="BJ123" s="4404"/>
      <c r="BK123" s="4405">
        <f t="shared" si="131"/>
        <v>0</v>
      </c>
      <c r="BL123" s="4404"/>
      <c r="BM123" s="4404"/>
      <c r="BN123" s="4404">
        <v>17</v>
      </c>
      <c r="BO123" s="4405">
        <f t="shared" si="132"/>
        <v>17</v>
      </c>
      <c r="BP123" s="4404"/>
      <c r="BQ123" s="4404"/>
      <c r="BR123" s="4404"/>
      <c r="BS123" s="4405">
        <f t="shared" si="133"/>
        <v>0</v>
      </c>
      <c r="BT123" s="4403"/>
      <c r="BU123" s="4404"/>
      <c r="BV123" s="4404">
        <v>16</v>
      </c>
      <c r="BW123" s="4405">
        <f t="shared" si="124"/>
        <v>16</v>
      </c>
      <c r="BX123" s="4403"/>
      <c r="BY123" s="4404"/>
      <c r="BZ123" s="4404"/>
      <c r="CA123" s="4405">
        <f t="shared" si="125"/>
        <v>0</v>
      </c>
      <c r="CB123" s="4403"/>
      <c r="CC123" s="4404"/>
      <c r="CD123" s="4404">
        <v>13</v>
      </c>
      <c r="CE123" s="4405">
        <f t="shared" si="126"/>
        <v>13</v>
      </c>
      <c r="CF123" s="4403"/>
      <c r="CG123" s="4404"/>
      <c r="CH123" s="4404"/>
      <c r="CI123" s="4405">
        <f t="shared" si="127"/>
        <v>0</v>
      </c>
      <c r="CJ123" s="4403"/>
      <c r="CK123" s="4404"/>
      <c r="CL123" s="4404">
        <v>15</v>
      </c>
      <c r="CM123" s="4405">
        <f t="shared" si="128"/>
        <v>15</v>
      </c>
      <c r="CN123" s="4403"/>
      <c r="CO123" s="4404"/>
      <c r="CP123" s="4404"/>
      <c r="CQ123" s="4405">
        <f t="shared" si="129"/>
        <v>0</v>
      </c>
      <c r="CR123" s="4403"/>
      <c r="CS123" s="4404"/>
      <c r="CT123" s="4404">
        <v>15</v>
      </c>
      <c r="CU123" s="4405">
        <f t="shared" si="130"/>
        <v>15</v>
      </c>
    </row>
    <row r="124" spans="2:99" ht="14.4" x14ac:dyDescent="0.3">
      <c r="B124" s="5853"/>
      <c r="C124" s="4402" t="s">
        <v>399</v>
      </c>
      <c r="D124" s="4409"/>
      <c r="E124" s="4408"/>
      <c r="F124" s="4408"/>
      <c r="G124" s="4405"/>
      <c r="H124" s="4409"/>
      <c r="I124" s="4408"/>
      <c r="J124" s="4408"/>
      <c r="K124" s="4405"/>
      <c r="L124" s="4409"/>
      <c r="M124" s="4408"/>
      <c r="N124" s="4408"/>
      <c r="O124" s="4405"/>
      <c r="P124" s="4409"/>
      <c r="Q124" s="4408"/>
      <c r="R124" s="4408"/>
      <c r="S124" s="4405"/>
      <c r="T124" s="4409"/>
      <c r="U124" s="4408"/>
      <c r="V124" s="4408"/>
      <c r="W124" s="4405"/>
      <c r="X124" s="4404"/>
      <c r="Y124" s="4404"/>
      <c r="Z124" s="4404"/>
      <c r="AA124" s="4405"/>
      <c r="AB124" s="4404"/>
      <c r="AC124" s="4404"/>
      <c r="AD124" s="4404"/>
      <c r="AE124" s="4405"/>
      <c r="AF124" s="4404"/>
      <c r="AG124" s="4404"/>
      <c r="AH124" s="4404"/>
      <c r="AI124" s="4405"/>
      <c r="AJ124" s="4404"/>
      <c r="AK124" s="4404"/>
      <c r="AL124" s="4404"/>
      <c r="AM124" s="4405"/>
      <c r="AN124" s="4404"/>
      <c r="AO124" s="4404"/>
      <c r="AP124" s="4404"/>
      <c r="AQ124" s="4405"/>
      <c r="AR124" s="4404"/>
      <c r="AS124" s="4404"/>
      <c r="AT124" s="4404"/>
      <c r="AU124" s="4405"/>
      <c r="AV124" s="4404"/>
      <c r="AW124" s="4404"/>
      <c r="AX124" s="4404"/>
      <c r="AY124" s="4405"/>
      <c r="AZ124" s="4404"/>
      <c r="BA124" s="4404"/>
      <c r="BB124" s="4404"/>
      <c r="BC124" s="4405"/>
      <c r="BD124" s="4404">
        <v>19</v>
      </c>
      <c r="BE124" s="4404"/>
      <c r="BF124" s="4404"/>
      <c r="BG124" s="4405">
        <f t="shared" si="134"/>
        <v>19</v>
      </c>
      <c r="BH124" s="4404"/>
      <c r="BI124" s="4404"/>
      <c r="BJ124" s="4404"/>
      <c r="BK124" s="4405">
        <f t="shared" si="131"/>
        <v>0</v>
      </c>
      <c r="BL124" s="4404">
        <v>21</v>
      </c>
      <c r="BM124" s="4404"/>
      <c r="BN124" s="4404"/>
      <c r="BO124" s="4405">
        <f t="shared" si="132"/>
        <v>21</v>
      </c>
      <c r="BP124" s="4404"/>
      <c r="BQ124" s="4404"/>
      <c r="BR124" s="4404"/>
      <c r="BS124" s="4405">
        <f t="shared" si="133"/>
        <v>0</v>
      </c>
      <c r="BT124" s="4403">
        <v>23</v>
      </c>
      <c r="BU124" s="4404"/>
      <c r="BV124" s="4404"/>
      <c r="BW124" s="4405">
        <f t="shared" si="124"/>
        <v>23</v>
      </c>
      <c r="BX124" s="4403"/>
      <c r="BY124" s="4404"/>
      <c r="BZ124" s="4404"/>
      <c r="CA124" s="4405">
        <f t="shared" si="125"/>
        <v>0</v>
      </c>
      <c r="CB124" s="4403">
        <v>17</v>
      </c>
      <c r="CC124" s="4404"/>
      <c r="CD124" s="4404"/>
      <c r="CE124" s="4405">
        <f t="shared" si="126"/>
        <v>17</v>
      </c>
      <c r="CF124" s="4403"/>
      <c r="CG124" s="4404"/>
      <c r="CH124" s="4404"/>
      <c r="CI124" s="4405">
        <f t="shared" si="127"/>
        <v>0</v>
      </c>
      <c r="CJ124" s="4403">
        <v>13</v>
      </c>
      <c r="CK124" s="4404"/>
      <c r="CL124" s="4404"/>
      <c r="CM124" s="4405">
        <f t="shared" si="128"/>
        <v>13</v>
      </c>
      <c r="CN124" s="4403"/>
      <c r="CO124" s="4404"/>
      <c r="CP124" s="4404"/>
      <c r="CQ124" s="4405">
        <f t="shared" si="129"/>
        <v>0</v>
      </c>
      <c r="CR124" s="4403">
        <v>12</v>
      </c>
      <c r="CS124" s="4404"/>
      <c r="CT124" s="4404"/>
      <c r="CU124" s="4405">
        <f t="shared" si="130"/>
        <v>12</v>
      </c>
    </row>
    <row r="125" spans="2:99" ht="14.4" x14ac:dyDescent="0.3">
      <c r="B125" s="5853"/>
      <c r="C125" s="4406" t="s">
        <v>328</v>
      </c>
      <c r="D125" s="4409"/>
      <c r="E125" s="4408"/>
      <c r="F125" s="4408"/>
      <c r="G125" s="4405"/>
      <c r="H125" s="4409"/>
      <c r="I125" s="4408"/>
      <c r="J125" s="4408"/>
      <c r="K125" s="4405"/>
      <c r="L125" s="4409"/>
      <c r="M125" s="4408"/>
      <c r="N125" s="4408"/>
      <c r="O125" s="4405"/>
      <c r="P125" s="4409">
        <v>10</v>
      </c>
      <c r="Q125" s="4408"/>
      <c r="R125" s="4408"/>
      <c r="S125" s="4405">
        <v>10</v>
      </c>
      <c r="T125" s="4409"/>
      <c r="U125" s="4408"/>
      <c r="V125" s="4408"/>
      <c r="W125" s="4405"/>
      <c r="X125" s="4404">
        <v>4</v>
      </c>
      <c r="Y125" s="4404"/>
      <c r="Z125" s="4404"/>
      <c r="AA125" s="4405">
        <f>SUM(X125:Z125)</f>
        <v>4</v>
      </c>
      <c r="AB125" s="4404">
        <v>2</v>
      </c>
      <c r="AC125" s="4404"/>
      <c r="AD125" s="4404"/>
      <c r="AE125" s="4405">
        <f>SUM(AB125:AD125)</f>
        <v>2</v>
      </c>
      <c r="AF125" s="4404">
        <v>10</v>
      </c>
      <c r="AG125" s="4404"/>
      <c r="AH125" s="4404"/>
      <c r="AI125" s="4405">
        <f>SUM(AF125:AH125)</f>
        <v>10</v>
      </c>
      <c r="AJ125" s="4404"/>
      <c r="AK125" s="4404"/>
      <c r="AL125" s="4404"/>
      <c r="AM125" s="4405"/>
      <c r="AN125" s="4404"/>
      <c r="AO125" s="4404"/>
      <c r="AP125" s="4404"/>
      <c r="AQ125" s="4405"/>
      <c r="AR125" s="4404"/>
      <c r="AS125" s="4404"/>
      <c r="AT125" s="4404"/>
      <c r="AU125" s="4405"/>
      <c r="AV125" s="4404"/>
      <c r="AW125" s="4404"/>
      <c r="AX125" s="4404"/>
      <c r="AY125" s="4405"/>
      <c r="AZ125" s="4404"/>
      <c r="BA125" s="4404"/>
      <c r="BB125" s="4404"/>
      <c r="BC125" s="4405"/>
      <c r="BD125" s="4404"/>
      <c r="BE125" s="4404"/>
      <c r="BF125" s="4404"/>
      <c r="BG125" s="4405"/>
      <c r="BH125" s="4404"/>
      <c r="BI125" s="4404"/>
      <c r="BJ125" s="4404"/>
      <c r="BK125" s="4405">
        <f t="shared" si="131"/>
        <v>0</v>
      </c>
      <c r="BL125" s="4404"/>
      <c r="BM125" s="4404"/>
      <c r="BN125" s="4404"/>
      <c r="BO125" s="4405">
        <f t="shared" si="132"/>
        <v>0</v>
      </c>
      <c r="BP125" s="4404"/>
      <c r="BQ125" s="4404"/>
      <c r="BR125" s="4404"/>
      <c r="BS125" s="4405">
        <f t="shared" si="133"/>
        <v>0</v>
      </c>
      <c r="BT125" s="4403"/>
      <c r="BU125" s="4404"/>
      <c r="BV125" s="4404"/>
      <c r="BW125" s="4405">
        <f t="shared" si="124"/>
        <v>0</v>
      </c>
      <c r="BX125" s="4403"/>
      <c r="BY125" s="4404"/>
      <c r="BZ125" s="4404"/>
      <c r="CA125" s="4405">
        <f t="shared" si="125"/>
        <v>0</v>
      </c>
      <c r="CB125" s="4403">
        <v>13</v>
      </c>
      <c r="CC125" s="4404"/>
      <c r="CD125" s="4404"/>
      <c r="CE125" s="4405">
        <f t="shared" si="126"/>
        <v>13</v>
      </c>
      <c r="CF125" s="4403"/>
      <c r="CG125" s="4404"/>
      <c r="CH125" s="4404"/>
      <c r="CI125" s="4405">
        <f t="shared" si="127"/>
        <v>0</v>
      </c>
      <c r="CJ125" s="4403"/>
      <c r="CK125" s="4404"/>
      <c r="CL125" s="4404"/>
      <c r="CM125" s="4405">
        <f t="shared" si="128"/>
        <v>0</v>
      </c>
      <c r="CN125" s="4403"/>
      <c r="CO125" s="4404"/>
      <c r="CP125" s="4404"/>
      <c r="CQ125" s="4405">
        <f t="shared" si="129"/>
        <v>0</v>
      </c>
      <c r="CR125" s="4403">
        <v>8</v>
      </c>
      <c r="CS125" s="4404"/>
      <c r="CT125" s="4404"/>
      <c r="CU125" s="4405">
        <f t="shared" si="130"/>
        <v>8</v>
      </c>
    </row>
    <row r="126" spans="2:99" ht="14.4" x14ac:dyDescent="0.3">
      <c r="B126" s="5853"/>
      <c r="C126" s="4406" t="s">
        <v>400</v>
      </c>
      <c r="D126" s="4409"/>
      <c r="E126" s="4408"/>
      <c r="F126" s="4408"/>
      <c r="G126" s="4405"/>
      <c r="H126" s="4409"/>
      <c r="I126" s="4408"/>
      <c r="J126" s="4408"/>
      <c r="K126" s="4405"/>
      <c r="L126" s="4409"/>
      <c r="M126" s="4408"/>
      <c r="N126" s="4408"/>
      <c r="O126" s="4405"/>
      <c r="P126" s="4409"/>
      <c r="Q126" s="4408"/>
      <c r="R126" s="4408"/>
      <c r="S126" s="4405"/>
      <c r="T126" s="4409"/>
      <c r="U126" s="4408"/>
      <c r="V126" s="4408"/>
      <c r="W126" s="4405"/>
      <c r="X126" s="4404"/>
      <c r="Y126" s="4404"/>
      <c r="Z126" s="4404"/>
      <c r="AA126" s="4405"/>
      <c r="AB126" s="4404"/>
      <c r="AC126" s="4404"/>
      <c r="AD126" s="4404"/>
      <c r="AE126" s="4405"/>
      <c r="AF126" s="4404"/>
      <c r="AG126" s="4404"/>
      <c r="AH126" s="4404"/>
      <c r="AI126" s="4405"/>
      <c r="AJ126" s="4404"/>
      <c r="AK126" s="4404"/>
      <c r="AL126" s="4404"/>
      <c r="AM126" s="4405"/>
      <c r="AN126" s="4404"/>
      <c r="AO126" s="4404"/>
      <c r="AP126" s="4404"/>
      <c r="AQ126" s="4405"/>
      <c r="AR126" s="4404"/>
      <c r="AS126" s="4404"/>
      <c r="AT126" s="4404"/>
      <c r="AU126" s="4405"/>
      <c r="AV126" s="4404"/>
      <c r="AW126" s="4404"/>
      <c r="AX126" s="4404"/>
      <c r="AY126" s="4405"/>
      <c r="AZ126" s="4404"/>
      <c r="BA126" s="4404"/>
      <c r="BB126" s="4404"/>
      <c r="BC126" s="4405"/>
      <c r="BD126" s="4404"/>
      <c r="BE126" s="4404"/>
      <c r="BF126" s="4404"/>
      <c r="BG126" s="4405"/>
      <c r="BH126" s="4404"/>
      <c r="BI126" s="4404"/>
      <c r="BJ126" s="4404"/>
      <c r="BK126" s="4405"/>
      <c r="BL126" s="4404"/>
      <c r="BM126" s="4404"/>
      <c r="BN126" s="4404"/>
      <c r="BO126" s="4405"/>
      <c r="BP126" s="4404"/>
      <c r="BQ126" s="4404"/>
      <c r="BR126" s="4404"/>
      <c r="BS126" s="4405"/>
      <c r="BT126" s="4403"/>
      <c r="BU126" s="4404"/>
      <c r="BV126" s="4404"/>
      <c r="BW126" s="4405"/>
      <c r="BX126" s="4403">
        <v>19</v>
      </c>
      <c r="BY126" s="4404"/>
      <c r="BZ126" s="4404"/>
      <c r="CA126" s="4405">
        <f t="shared" si="125"/>
        <v>19</v>
      </c>
      <c r="CB126" s="4403"/>
      <c r="CC126" s="4404"/>
      <c r="CD126" s="4404"/>
      <c r="CE126" s="4405">
        <f t="shared" si="126"/>
        <v>0</v>
      </c>
      <c r="CF126" s="4403">
        <v>18</v>
      </c>
      <c r="CG126" s="4404"/>
      <c r="CH126" s="4404"/>
      <c r="CI126" s="4405">
        <f t="shared" si="127"/>
        <v>18</v>
      </c>
      <c r="CJ126" s="4403"/>
      <c r="CK126" s="4404"/>
      <c r="CL126" s="4404"/>
      <c r="CM126" s="4405">
        <f t="shared" si="128"/>
        <v>0</v>
      </c>
      <c r="CN126" s="4403">
        <v>20</v>
      </c>
      <c r="CO126" s="4404"/>
      <c r="CP126" s="4404"/>
      <c r="CQ126" s="4405">
        <f t="shared" si="129"/>
        <v>20</v>
      </c>
      <c r="CR126" s="4403"/>
      <c r="CS126" s="4404"/>
      <c r="CT126" s="4404"/>
      <c r="CU126" s="4405">
        <f t="shared" si="130"/>
        <v>0</v>
      </c>
    </row>
    <row r="127" spans="2:99" ht="14.4" x14ac:dyDescent="0.3">
      <c r="B127" s="5854"/>
      <c r="C127" s="4406" t="s">
        <v>334</v>
      </c>
      <c r="D127" s="4409"/>
      <c r="E127" s="4408"/>
      <c r="F127" s="4408"/>
      <c r="G127" s="4405"/>
      <c r="H127" s="4409"/>
      <c r="I127" s="4408"/>
      <c r="J127" s="4408"/>
      <c r="K127" s="4405"/>
      <c r="L127" s="4409"/>
      <c r="M127" s="4408"/>
      <c r="N127" s="4408"/>
      <c r="O127" s="4405"/>
      <c r="P127" s="4409"/>
      <c r="Q127" s="4408"/>
      <c r="R127" s="4408"/>
      <c r="S127" s="4405"/>
      <c r="T127" s="4409"/>
      <c r="U127" s="4408"/>
      <c r="V127" s="4408"/>
      <c r="W127" s="4405"/>
      <c r="X127" s="4404"/>
      <c r="Y127" s="4404"/>
      <c r="Z127" s="4404"/>
      <c r="AA127" s="4405"/>
      <c r="AB127" s="4404"/>
      <c r="AC127" s="4404"/>
      <c r="AD127" s="4404"/>
      <c r="AE127" s="4405"/>
      <c r="AF127" s="4404"/>
      <c r="AG127" s="4404"/>
      <c r="AH127" s="4404"/>
      <c r="AI127" s="4405"/>
      <c r="AJ127" s="4404"/>
      <c r="AK127" s="4404"/>
      <c r="AL127" s="4404"/>
      <c r="AM127" s="4405"/>
      <c r="AN127" s="4404"/>
      <c r="AO127" s="4404"/>
      <c r="AP127" s="4404"/>
      <c r="AQ127" s="4405"/>
      <c r="AR127" s="4404"/>
      <c r="AS127" s="4404"/>
      <c r="AT127" s="4404"/>
      <c r="AU127" s="4405"/>
      <c r="AV127" s="4404"/>
      <c r="AW127" s="4404"/>
      <c r="AX127" s="4404"/>
      <c r="AY127" s="4405"/>
      <c r="AZ127" s="4404"/>
      <c r="BA127" s="4404"/>
      <c r="BB127" s="4404"/>
      <c r="BC127" s="4405"/>
      <c r="BD127" s="4404"/>
      <c r="BE127" s="4404"/>
      <c r="BF127" s="4404"/>
      <c r="BG127" s="4405"/>
      <c r="BH127" s="4404"/>
      <c r="BI127" s="4404"/>
      <c r="BJ127" s="4404"/>
      <c r="BK127" s="4405"/>
      <c r="BL127" s="4404"/>
      <c r="BM127" s="4404"/>
      <c r="BN127" s="4404"/>
      <c r="BO127" s="4405"/>
      <c r="BP127" s="4404"/>
      <c r="BQ127" s="4404"/>
      <c r="BR127" s="4404"/>
      <c r="BS127" s="4405"/>
      <c r="BT127" s="4403"/>
      <c r="BU127" s="4404"/>
      <c r="BV127" s="4404"/>
      <c r="BW127" s="4405"/>
      <c r="BX127" s="4403">
        <v>4</v>
      </c>
      <c r="BY127" s="4404"/>
      <c r="BZ127" s="4404"/>
      <c r="CA127" s="4405">
        <f t="shared" si="125"/>
        <v>4</v>
      </c>
      <c r="CB127" s="4403"/>
      <c r="CC127" s="4404"/>
      <c r="CD127" s="4404"/>
      <c r="CE127" s="4405">
        <f t="shared" si="126"/>
        <v>0</v>
      </c>
      <c r="CF127" s="4403">
        <v>8</v>
      </c>
      <c r="CG127" s="4404"/>
      <c r="CH127" s="4404"/>
      <c r="CI127" s="4405">
        <f t="shared" si="127"/>
        <v>8</v>
      </c>
      <c r="CJ127" s="4403"/>
      <c r="CK127" s="4404"/>
      <c r="CL127" s="4404"/>
      <c r="CM127" s="4405">
        <f t="shared" si="128"/>
        <v>0</v>
      </c>
      <c r="CN127" s="4403">
        <v>5</v>
      </c>
      <c r="CO127" s="4404"/>
      <c r="CP127" s="4404"/>
      <c r="CQ127" s="4405">
        <f t="shared" si="129"/>
        <v>5</v>
      </c>
      <c r="CR127" s="4403"/>
      <c r="CS127" s="4404"/>
      <c r="CT127" s="4404"/>
      <c r="CU127" s="4405">
        <f t="shared" si="130"/>
        <v>0</v>
      </c>
    </row>
    <row r="128" spans="2:99" ht="14.4" x14ac:dyDescent="0.3">
      <c r="B128" s="5850" t="s">
        <v>317</v>
      </c>
      <c r="C128" s="1265" t="s">
        <v>1397</v>
      </c>
      <c r="D128" s="1281"/>
      <c r="E128" s="1280"/>
      <c r="F128" s="1280"/>
      <c r="G128" s="1264"/>
      <c r="H128" s="1281"/>
      <c r="I128" s="1280"/>
      <c r="J128" s="1280"/>
      <c r="K128" s="1264"/>
      <c r="L128" s="1281"/>
      <c r="M128" s="1280"/>
      <c r="N128" s="1280"/>
      <c r="O128" s="1264"/>
      <c r="P128" s="1281">
        <v>9</v>
      </c>
      <c r="Q128" s="1280"/>
      <c r="R128" s="1280"/>
      <c r="S128" s="1264">
        <v>9</v>
      </c>
      <c r="T128" s="1281"/>
      <c r="U128" s="1280"/>
      <c r="V128" s="1280">
        <v>14</v>
      </c>
      <c r="W128" s="1264">
        <f>SUM(T128:V128)</f>
        <v>14</v>
      </c>
      <c r="X128" s="1263"/>
      <c r="Y128" s="1263"/>
      <c r="Z128" s="1263"/>
      <c r="AA128" s="1264"/>
      <c r="AB128" s="1263"/>
      <c r="AC128" s="1263"/>
      <c r="AD128" s="1263">
        <v>10</v>
      </c>
      <c r="AE128" s="1264">
        <f>SUM(AB128:AD128)</f>
        <v>10</v>
      </c>
      <c r="AF128" s="1263"/>
      <c r="AG128" s="1263"/>
      <c r="AH128" s="1263"/>
      <c r="AI128" s="1264"/>
      <c r="AJ128" s="1263"/>
      <c r="AK128" s="1263"/>
      <c r="AL128" s="1263">
        <v>11</v>
      </c>
      <c r="AM128" s="1264">
        <f>SUM(AJ128:AL128)</f>
        <v>11</v>
      </c>
      <c r="AN128" s="1263"/>
      <c r="AO128" s="1263"/>
      <c r="AP128" s="1263"/>
      <c r="AQ128" s="1264"/>
      <c r="AR128" s="1263" t="s">
        <v>122</v>
      </c>
      <c r="AS128" s="1263" t="s">
        <v>122</v>
      </c>
      <c r="AT128" s="1263">
        <v>9</v>
      </c>
      <c r="AU128" s="1264">
        <f>SUM(AR128:AT128)</f>
        <v>9</v>
      </c>
      <c r="AV128" s="1263"/>
      <c r="AW128" s="1263"/>
      <c r="AX128" s="1263"/>
      <c r="AY128" s="1264"/>
      <c r="AZ128" s="1263"/>
      <c r="BA128" s="1263"/>
      <c r="BB128" s="1263">
        <v>22</v>
      </c>
      <c r="BC128" s="1264">
        <f>AZ128+BA128+BB128</f>
        <v>22</v>
      </c>
      <c r="BD128" s="1263"/>
      <c r="BE128" s="1263"/>
      <c r="BF128" s="1263"/>
      <c r="BG128" s="1264"/>
      <c r="BH128" s="1263"/>
      <c r="BI128" s="1263"/>
      <c r="BJ128" s="1263">
        <v>17</v>
      </c>
      <c r="BK128" s="1264">
        <f t="shared" si="131"/>
        <v>17</v>
      </c>
      <c r="BL128" s="1263"/>
      <c r="BM128" s="1263"/>
      <c r="BN128" s="1263"/>
      <c r="BO128" s="1264">
        <f t="shared" si="132"/>
        <v>0</v>
      </c>
      <c r="BP128" s="1263"/>
      <c r="BQ128" s="1263">
        <v>1</v>
      </c>
      <c r="BR128" s="1263">
        <v>23</v>
      </c>
      <c r="BS128" s="1264">
        <f t="shared" si="133"/>
        <v>24</v>
      </c>
      <c r="BT128" s="1262"/>
      <c r="BU128" s="1263"/>
      <c r="BV128" s="1263"/>
      <c r="BW128" s="1264">
        <f t="shared" si="124"/>
        <v>0</v>
      </c>
      <c r="BX128" s="1262"/>
      <c r="BY128" s="1263"/>
      <c r="BZ128" s="1263">
        <v>22</v>
      </c>
      <c r="CA128" s="1264">
        <f t="shared" si="125"/>
        <v>22</v>
      </c>
      <c r="CB128" s="1262"/>
      <c r="CC128" s="1263"/>
      <c r="CD128" s="1263"/>
      <c r="CE128" s="1264">
        <f t="shared" si="126"/>
        <v>0</v>
      </c>
      <c r="CF128" s="1262"/>
      <c r="CG128" s="1263">
        <v>23</v>
      </c>
      <c r="CH128" s="1263"/>
      <c r="CI128" s="1264">
        <f t="shared" si="127"/>
        <v>23</v>
      </c>
      <c r="CJ128" s="1262"/>
      <c r="CK128" s="1263"/>
      <c r="CL128" s="1263"/>
      <c r="CM128" s="1264">
        <f t="shared" si="128"/>
        <v>0</v>
      </c>
      <c r="CN128" s="1262"/>
      <c r="CO128" s="1263">
        <v>21</v>
      </c>
      <c r="CP128" s="1263"/>
      <c r="CQ128" s="1264">
        <f t="shared" si="129"/>
        <v>21</v>
      </c>
      <c r="CR128" s="1262"/>
      <c r="CS128" s="1263"/>
      <c r="CT128" s="1263"/>
      <c r="CU128" s="1264">
        <f t="shared" si="130"/>
        <v>0</v>
      </c>
    </row>
    <row r="129" spans="2:99" ht="14.4" x14ac:dyDescent="0.3">
      <c r="B129" s="5855"/>
      <c r="C129" s="1265" t="s">
        <v>335</v>
      </c>
      <c r="D129" s="1281"/>
      <c r="E129" s="1280"/>
      <c r="F129" s="1280"/>
      <c r="G129" s="1264"/>
      <c r="H129" s="1281">
        <v>3</v>
      </c>
      <c r="I129" s="1280"/>
      <c r="J129" s="1280"/>
      <c r="K129" s="1264">
        <v>3</v>
      </c>
      <c r="L129" s="1281">
        <v>2</v>
      </c>
      <c r="M129" s="1280"/>
      <c r="N129" s="1280"/>
      <c r="O129" s="1264">
        <v>2</v>
      </c>
      <c r="P129" s="1281">
        <v>4</v>
      </c>
      <c r="Q129" s="1280"/>
      <c r="R129" s="1280"/>
      <c r="S129" s="1264">
        <v>4</v>
      </c>
      <c r="T129" s="1281">
        <v>3</v>
      </c>
      <c r="U129" s="1280"/>
      <c r="V129" s="1280"/>
      <c r="W129" s="1264">
        <f>SUM(T129:V129)</f>
        <v>3</v>
      </c>
      <c r="X129" s="1263">
        <v>7</v>
      </c>
      <c r="Y129" s="1263"/>
      <c r="Z129" s="1263"/>
      <c r="AA129" s="1264">
        <f>SUM(X129:Z129)</f>
        <v>7</v>
      </c>
      <c r="AB129" s="1263">
        <v>3</v>
      </c>
      <c r="AC129" s="1263"/>
      <c r="AD129" s="1263"/>
      <c r="AE129" s="1264">
        <f>SUM(AB129:AD129)</f>
        <v>3</v>
      </c>
      <c r="AF129" s="1263">
        <v>2</v>
      </c>
      <c r="AG129" s="1263"/>
      <c r="AH129" s="1263"/>
      <c r="AI129" s="1264">
        <f>SUM(AF129:AH129)</f>
        <v>2</v>
      </c>
      <c r="AJ129" s="1263"/>
      <c r="AK129" s="1263"/>
      <c r="AL129" s="1263"/>
      <c r="AM129" s="1264"/>
      <c r="AN129" s="1263"/>
      <c r="AO129" s="1263"/>
      <c r="AP129" s="1263"/>
      <c r="AQ129" s="1264"/>
      <c r="AR129" s="1263"/>
      <c r="AS129" s="1263"/>
      <c r="AT129" s="1263"/>
      <c r="AU129" s="1264"/>
      <c r="AV129" s="1263"/>
      <c r="AW129" s="1263"/>
      <c r="AX129" s="1263"/>
      <c r="AY129" s="1264"/>
      <c r="AZ129" s="1263"/>
      <c r="BA129" s="1263"/>
      <c r="BB129" s="1263"/>
      <c r="BC129" s="1264"/>
      <c r="BD129" s="1263"/>
      <c r="BE129" s="1263"/>
      <c r="BF129" s="1263"/>
      <c r="BG129" s="1264"/>
      <c r="BH129" s="1263"/>
      <c r="BI129" s="1263"/>
      <c r="BJ129" s="1263"/>
      <c r="BK129" s="1264">
        <f t="shared" si="131"/>
        <v>0</v>
      </c>
      <c r="BL129" s="1263"/>
      <c r="BM129" s="1263"/>
      <c r="BN129" s="1263"/>
      <c r="BO129" s="1264">
        <f t="shared" si="132"/>
        <v>0</v>
      </c>
      <c r="BP129" s="1263"/>
      <c r="BQ129" s="1263"/>
      <c r="BR129" s="1263"/>
      <c r="BS129" s="1264">
        <f t="shared" si="133"/>
        <v>0</v>
      </c>
      <c r="BT129" s="1262"/>
      <c r="BU129" s="1263"/>
      <c r="BV129" s="1263"/>
      <c r="BW129" s="1264">
        <f t="shared" si="124"/>
        <v>0</v>
      </c>
      <c r="BX129" s="1262"/>
      <c r="BY129" s="1263"/>
      <c r="BZ129" s="1263"/>
      <c r="CA129" s="1264">
        <f t="shared" si="125"/>
        <v>0</v>
      </c>
      <c r="CB129" s="1262">
        <v>9</v>
      </c>
      <c r="CC129" s="1263"/>
      <c r="CD129" s="1263"/>
      <c r="CE129" s="1264">
        <f t="shared" si="126"/>
        <v>9</v>
      </c>
      <c r="CF129" s="1262"/>
      <c r="CG129" s="1263"/>
      <c r="CH129" s="1263"/>
      <c r="CI129" s="1264">
        <f t="shared" si="127"/>
        <v>0</v>
      </c>
      <c r="CJ129" s="1262">
        <v>6</v>
      </c>
      <c r="CK129" s="1263"/>
      <c r="CL129" s="1263"/>
      <c r="CM129" s="1264">
        <f t="shared" si="128"/>
        <v>6</v>
      </c>
      <c r="CN129" s="1262">
        <v>1</v>
      </c>
      <c r="CO129" s="1263"/>
      <c r="CP129" s="1263"/>
      <c r="CQ129" s="1264">
        <f t="shared" si="129"/>
        <v>1</v>
      </c>
      <c r="CR129" s="1262">
        <v>5</v>
      </c>
      <c r="CS129" s="1263"/>
      <c r="CT129" s="1263"/>
      <c r="CU129" s="1264">
        <f t="shared" si="130"/>
        <v>5</v>
      </c>
    </row>
    <row r="130" spans="2:99" ht="14.4" x14ac:dyDescent="0.3">
      <c r="B130" s="5855"/>
      <c r="C130" s="1265" t="s">
        <v>402</v>
      </c>
      <c r="D130" s="1262">
        <v>50</v>
      </c>
      <c r="E130" s="1263"/>
      <c r="F130" s="1263"/>
      <c r="G130" s="1264">
        <v>50</v>
      </c>
      <c r="H130" s="1262"/>
      <c r="I130" s="1263">
        <v>14</v>
      </c>
      <c r="J130" s="1263"/>
      <c r="K130" s="1264">
        <v>14</v>
      </c>
      <c r="L130" s="1262">
        <v>33</v>
      </c>
      <c r="M130" s="1263"/>
      <c r="N130" s="1263"/>
      <c r="O130" s="1264">
        <v>33</v>
      </c>
      <c r="P130" s="1262"/>
      <c r="Q130" s="1263"/>
      <c r="R130" s="1263"/>
      <c r="S130" s="1264"/>
      <c r="T130" s="1262">
        <v>48</v>
      </c>
      <c r="U130" s="1263"/>
      <c r="V130" s="1263"/>
      <c r="W130" s="1264">
        <f>SUM(T130:V130)</f>
        <v>48</v>
      </c>
      <c r="X130" s="1263"/>
      <c r="Y130" s="1263"/>
      <c r="Z130" s="1263"/>
      <c r="AA130" s="1264">
        <f>SUM(X130:Z130)</f>
        <v>0</v>
      </c>
      <c r="AB130" s="1263">
        <v>44</v>
      </c>
      <c r="AC130" s="1263"/>
      <c r="AD130" s="1263"/>
      <c r="AE130" s="1264">
        <f>SUM(AB130:AD130)</f>
        <v>44</v>
      </c>
      <c r="AF130" s="1263"/>
      <c r="AG130" s="1263"/>
      <c r="AH130" s="1263"/>
      <c r="AI130" s="1264"/>
      <c r="AJ130" s="1263">
        <v>71</v>
      </c>
      <c r="AK130" s="1263">
        <v>11</v>
      </c>
      <c r="AL130" s="1263"/>
      <c r="AM130" s="1264">
        <f>SUM(AJ130:AL130)</f>
        <v>82</v>
      </c>
      <c r="AN130" s="1263">
        <v>14</v>
      </c>
      <c r="AO130" s="1263"/>
      <c r="AP130" s="1263"/>
      <c r="AQ130" s="1264">
        <f>SUM(AN130:AP130)</f>
        <v>14</v>
      </c>
      <c r="AR130" s="1263">
        <v>46</v>
      </c>
      <c r="AS130" s="1263" t="s">
        <v>122</v>
      </c>
      <c r="AT130" s="1263" t="s">
        <v>122</v>
      </c>
      <c r="AU130" s="1264">
        <f>SUM(AR130:AT130)</f>
        <v>46</v>
      </c>
      <c r="AV130" s="1263"/>
      <c r="AW130" s="1263"/>
      <c r="AX130" s="1263"/>
      <c r="AY130" s="1264"/>
      <c r="AZ130" s="1263">
        <v>49</v>
      </c>
      <c r="BA130" s="1263"/>
      <c r="BB130" s="1263"/>
      <c r="BC130" s="1264">
        <f>AZ130+BA130+BB130</f>
        <v>49</v>
      </c>
      <c r="BD130" s="1263"/>
      <c r="BE130" s="1263"/>
      <c r="BF130" s="1263"/>
      <c r="BG130" s="1264"/>
      <c r="BH130" s="1263">
        <v>54</v>
      </c>
      <c r="BI130" s="1263"/>
      <c r="BJ130" s="1263"/>
      <c r="BK130" s="1264">
        <f t="shared" si="131"/>
        <v>54</v>
      </c>
      <c r="BL130" s="1263"/>
      <c r="BM130" s="1263"/>
      <c r="BN130" s="1263"/>
      <c r="BO130" s="1264">
        <f t="shared" si="132"/>
        <v>0</v>
      </c>
      <c r="BP130" s="1263">
        <v>51</v>
      </c>
      <c r="BQ130" s="1263"/>
      <c r="BR130" s="1263"/>
      <c r="BS130" s="1264">
        <f t="shared" si="133"/>
        <v>51</v>
      </c>
      <c r="BT130" s="1262"/>
      <c r="BU130" s="1263"/>
      <c r="BV130" s="1263"/>
      <c r="BW130" s="1264">
        <f t="shared" si="124"/>
        <v>0</v>
      </c>
      <c r="BX130" s="1262">
        <v>57</v>
      </c>
      <c r="BY130" s="1263"/>
      <c r="BZ130" s="1263"/>
      <c r="CA130" s="1264">
        <f t="shared" si="125"/>
        <v>57</v>
      </c>
      <c r="CB130" s="1262"/>
      <c r="CC130" s="1263"/>
      <c r="CD130" s="1263"/>
      <c r="CE130" s="1264">
        <f t="shared" si="126"/>
        <v>0</v>
      </c>
      <c r="CF130" s="1262">
        <v>62</v>
      </c>
      <c r="CG130" s="1263"/>
      <c r="CH130" s="1263"/>
      <c r="CI130" s="1264">
        <f t="shared" si="127"/>
        <v>62</v>
      </c>
      <c r="CJ130" s="1262"/>
      <c r="CK130" s="1263"/>
      <c r="CL130" s="1263"/>
      <c r="CM130" s="1264">
        <f t="shared" si="128"/>
        <v>0</v>
      </c>
      <c r="CN130" s="1262">
        <v>63</v>
      </c>
      <c r="CO130" s="1263"/>
      <c r="CP130" s="1263"/>
      <c r="CQ130" s="1264">
        <f t="shared" si="129"/>
        <v>63</v>
      </c>
      <c r="CR130" s="1262"/>
      <c r="CS130" s="1263"/>
      <c r="CT130" s="1263"/>
      <c r="CU130" s="1264">
        <f t="shared" si="130"/>
        <v>0</v>
      </c>
    </row>
    <row r="131" spans="2:99" ht="14.4" x14ac:dyDescent="0.3">
      <c r="B131" s="5855"/>
      <c r="C131" s="1309" t="s">
        <v>378</v>
      </c>
      <c r="D131" s="1267"/>
      <c r="E131" s="1268"/>
      <c r="F131" s="1268"/>
      <c r="G131" s="1269"/>
      <c r="H131" s="1267"/>
      <c r="I131" s="1268"/>
      <c r="J131" s="1268"/>
      <c r="K131" s="1269"/>
      <c r="L131" s="1267"/>
      <c r="M131" s="1268"/>
      <c r="N131" s="1268"/>
      <c r="O131" s="1269"/>
      <c r="P131" s="1267"/>
      <c r="Q131" s="1268"/>
      <c r="R131" s="1268"/>
      <c r="S131" s="1269"/>
      <c r="T131" s="1267"/>
      <c r="U131" s="1268"/>
      <c r="V131" s="1268"/>
      <c r="W131" s="1269"/>
      <c r="X131" s="1268"/>
      <c r="Y131" s="1268"/>
      <c r="Z131" s="1268"/>
      <c r="AA131" s="1269"/>
      <c r="AB131" s="1268"/>
      <c r="AC131" s="1268"/>
      <c r="AD131" s="1268"/>
      <c r="AE131" s="1269"/>
      <c r="AF131" s="1268"/>
      <c r="AG131" s="1268"/>
      <c r="AH131" s="1268"/>
      <c r="AI131" s="1269"/>
      <c r="AJ131" s="1268"/>
      <c r="AK131" s="1268"/>
      <c r="AL131" s="1268"/>
      <c r="AM131" s="1269"/>
      <c r="AN131" s="1268"/>
      <c r="AO131" s="1268"/>
      <c r="AP131" s="1268"/>
      <c r="AQ131" s="1269"/>
      <c r="AR131" s="1268"/>
      <c r="AS131" s="1268"/>
      <c r="AT131" s="1268"/>
      <c r="AU131" s="1269"/>
      <c r="AV131" s="1268"/>
      <c r="AW131" s="1268"/>
      <c r="AX131" s="1268"/>
      <c r="AY131" s="1269"/>
      <c r="AZ131" s="1268"/>
      <c r="BA131" s="1268"/>
      <c r="BB131" s="1268"/>
      <c r="BC131" s="1269"/>
      <c r="BD131" s="1268"/>
      <c r="BE131" s="1268"/>
      <c r="BF131" s="1268"/>
      <c r="BG131" s="1269"/>
      <c r="BH131" s="1268"/>
      <c r="BI131" s="1268"/>
      <c r="BJ131" s="1268"/>
      <c r="BK131" s="1269"/>
      <c r="BL131" s="1268"/>
      <c r="BM131" s="1268"/>
      <c r="BN131" s="1268"/>
      <c r="BO131" s="1269"/>
      <c r="BP131" s="1268"/>
      <c r="BQ131" s="1268"/>
      <c r="BR131" s="1268"/>
      <c r="BS131" s="1269"/>
      <c r="BT131" s="1267"/>
      <c r="BU131" s="1268"/>
      <c r="BV131" s="1268"/>
      <c r="BW131" s="1269"/>
      <c r="BX131" s="1267"/>
      <c r="BY131" s="1268"/>
      <c r="BZ131" s="1268">
        <v>15</v>
      </c>
      <c r="CA131" s="1264">
        <f t="shared" si="125"/>
        <v>15</v>
      </c>
      <c r="CB131" s="1267"/>
      <c r="CC131" s="1268"/>
      <c r="CD131" s="1268"/>
      <c r="CE131" s="1264">
        <f t="shared" si="126"/>
        <v>0</v>
      </c>
      <c r="CF131" s="1267"/>
      <c r="CG131" s="1268"/>
      <c r="CH131" s="1268">
        <v>13</v>
      </c>
      <c r="CI131" s="1264">
        <f t="shared" si="127"/>
        <v>13</v>
      </c>
      <c r="CJ131" s="1267"/>
      <c r="CK131" s="1268"/>
      <c r="CL131" s="1268"/>
      <c r="CM131" s="1264">
        <f t="shared" si="128"/>
        <v>0</v>
      </c>
      <c r="CN131" s="1267"/>
      <c r="CO131" s="1268"/>
      <c r="CP131" s="1268">
        <v>13</v>
      </c>
      <c r="CQ131" s="1264">
        <f t="shared" si="129"/>
        <v>13</v>
      </c>
      <c r="CR131" s="1267"/>
      <c r="CS131" s="1268"/>
      <c r="CT131" s="1268"/>
      <c r="CU131" s="1264">
        <f t="shared" si="130"/>
        <v>0</v>
      </c>
    </row>
    <row r="132" spans="2:99" ht="14.4" x14ac:dyDescent="0.3">
      <c r="B132" s="5855"/>
      <c r="C132" s="1309" t="s">
        <v>403</v>
      </c>
      <c r="D132" s="1267"/>
      <c r="E132" s="1268"/>
      <c r="F132" s="1268"/>
      <c r="G132" s="1269"/>
      <c r="H132" s="1267"/>
      <c r="I132" s="1268"/>
      <c r="J132" s="1268"/>
      <c r="K132" s="1269"/>
      <c r="L132" s="1267"/>
      <c r="M132" s="1268"/>
      <c r="N132" s="1268"/>
      <c r="O132" s="1269"/>
      <c r="P132" s="1267"/>
      <c r="Q132" s="1268"/>
      <c r="R132" s="1268"/>
      <c r="S132" s="1269"/>
      <c r="T132" s="1267"/>
      <c r="U132" s="1268"/>
      <c r="V132" s="1268"/>
      <c r="W132" s="1269"/>
      <c r="X132" s="1268"/>
      <c r="Y132" s="1268"/>
      <c r="Z132" s="1268"/>
      <c r="AA132" s="1269"/>
      <c r="AB132" s="1268"/>
      <c r="AC132" s="1268"/>
      <c r="AD132" s="1268"/>
      <c r="AE132" s="1269"/>
      <c r="AF132" s="1268"/>
      <c r="AG132" s="1268"/>
      <c r="AH132" s="1268"/>
      <c r="AI132" s="1269"/>
      <c r="AJ132" s="1268"/>
      <c r="AK132" s="1268"/>
      <c r="AL132" s="1268"/>
      <c r="AM132" s="1269"/>
      <c r="AN132" s="1268"/>
      <c r="AO132" s="1268"/>
      <c r="AP132" s="1268"/>
      <c r="AQ132" s="1269"/>
      <c r="AR132" s="1268"/>
      <c r="AS132" s="1268"/>
      <c r="AT132" s="1268"/>
      <c r="AU132" s="1269"/>
      <c r="AV132" s="1268"/>
      <c r="AW132" s="1268"/>
      <c r="AX132" s="1268"/>
      <c r="AY132" s="1269"/>
      <c r="AZ132" s="1268"/>
      <c r="BA132" s="1268"/>
      <c r="BB132" s="1268"/>
      <c r="BC132" s="1269"/>
      <c r="BD132" s="1268"/>
      <c r="BE132" s="1268"/>
      <c r="BF132" s="1268"/>
      <c r="BG132" s="1269"/>
      <c r="BH132" s="1268"/>
      <c r="BI132" s="1268"/>
      <c r="BJ132" s="1268"/>
      <c r="BK132" s="1269"/>
      <c r="BL132" s="1268"/>
      <c r="BM132" s="1268"/>
      <c r="BN132" s="1268"/>
      <c r="BO132" s="1269"/>
      <c r="BP132" s="1268"/>
      <c r="BQ132" s="1268"/>
      <c r="BR132" s="1268"/>
      <c r="BS132" s="1269"/>
      <c r="BT132" s="1267"/>
      <c r="BU132" s="1268"/>
      <c r="BV132" s="1268"/>
      <c r="BW132" s="1269"/>
      <c r="BX132" s="1267"/>
      <c r="BY132" s="1268"/>
      <c r="BZ132" s="1268"/>
      <c r="CA132" s="1269"/>
      <c r="CB132" s="1267">
        <v>9</v>
      </c>
      <c r="CC132" s="1268"/>
      <c r="CD132" s="1268"/>
      <c r="CE132" s="1264">
        <f t="shared" si="126"/>
        <v>9</v>
      </c>
      <c r="CF132" s="1267"/>
      <c r="CG132" s="1268"/>
      <c r="CH132" s="1268"/>
      <c r="CI132" s="1264">
        <f t="shared" si="127"/>
        <v>0</v>
      </c>
      <c r="CJ132" s="1267">
        <v>13</v>
      </c>
      <c r="CK132" s="1268"/>
      <c r="CL132" s="1268"/>
      <c r="CM132" s="1264">
        <f t="shared" si="128"/>
        <v>13</v>
      </c>
      <c r="CN132" s="1267"/>
      <c r="CO132" s="1268"/>
      <c r="CP132" s="1268"/>
      <c r="CQ132" s="1264">
        <f t="shared" si="129"/>
        <v>0</v>
      </c>
      <c r="CR132" s="1267">
        <v>9</v>
      </c>
      <c r="CS132" s="1268"/>
      <c r="CT132" s="1268"/>
      <c r="CU132" s="1264">
        <f t="shared" si="130"/>
        <v>9</v>
      </c>
    </row>
    <row r="133" spans="2:99" ht="14.4" x14ac:dyDescent="0.3">
      <c r="B133" s="5851"/>
      <c r="C133" s="1309" t="s">
        <v>334</v>
      </c>
      <c r="D133" s="1267"/>
      <c r="E133" s="1268"/>
      <c r="F133" s="1268"/>
      <c r="G133" s="1269"/>
      <c r="H133" s="1267"/>
      <c r="I133" s="1268"/>
      <c r="J133" s="1268"/>
      <c r="K133" s="1269"/>
      <c r="L133" s="1267"/>
      <c r="M133" s="1268"/>
      <c r="N133" s="1268"/>
      <c r="O133" s="1269"/>
      <c r="P133" s="1267"/>
      <c r="Q133" s="1268"/>
      <c r="R133" s="1268"/>
      <c r="S133" s="1269"/>
      <c r="T133" s="1267"/>
      <c r="U133" s="1268"/>
      <c r="V133" s="1268"/>
      <c r="W133" s="1269"/>
      <c r="X133" s="1268"/>
      <c r="Y133" s="1268"/>
      <c r="Z133" s="1268"/>
      <c r="AA133" s="1269"/>
      <c r="AB133" s="1268"/>
      <c r="AC133" s="1268"/>
      <c r="AD133" s="1268"/>
      <c r="AE133" s="1269"/>
      <c r="AF133" s="1268"/>
      <c r="AG133" s="1268"/>
      <c r="AH133" s="1268"/>
      <c r="AI133" s="1269"/>
      <c r="AJ133" s="1268"/>
      <c r="AK133" s="1268"/>
      <c r="AL133" s="1268"/>
      <c r="AM133" s="1269"/>
      <c r="AN133" s="1268"/>
      <c r="AO133" s="1268"/>
      <c r="AP133" s="1268"/>
      <c r="AQ133" s="1269"/>
      <c r="AR133" s="1268"/>
      <c r="AS133" s="1268"/>
      <c r="AT133" s="1268"/>
      <c r="AU133" s="1269"/>
      <c r="AV133" s="1268"/>
      <c r="AW133" s="1268"/>
      <c r="AX133" s="1268"/>
      <c r="AY133" s="1269"/>
      <c r="AZ133" s="1268"/>
      <c r="BA133" s="1268"/>
      <c r="BB133" s="1268"/>
      <c r="BC133" s="1269"/>
      <c r="BD133" s="1268"/>
      <c r="BE133" s="1268"/>
      <c r="BF133" s="1268"/>
      <c r="BG133" s="1269"/>
      <c r="BH133" s="1268"/>
      <c r="BI133" s="1268"/>
      <c r="BJ133" s="1268"/>
      <c r="BK133" s="1269"/>
      <c r="BL133" s="1268"/>
      <c r="BM133" s="1268"/>
      <c r="BN133" s="1268"/>
      <c r="BO133" s="1269"/>
      <c r="BP133" s="1268"/>
      <c r="BQ133" s="1268"/>
      <c r="BR133" s="1268"/>
      <c r="BS133" s="1269"/>
      <c r="BT133" s="1267"/>
      <c r="BU133" s="1268"/>
      <c r="BV133" s="1268"/>
      <c r="BW133" s="1269"/>
      <c r="BX133" s="1267">
        <v>1</v>
      </c>
      <c r="BY133" s="1268"/>
      <c r="BZ133" s="1268"/>
      <c r="CA133" s="1269">
        <f t="shared" si="125"/>
        <v>1</v>
      </c>
      <c r="CB133" s="1267"/>
      <c r="CC133" s="1268"/>
      <c r="CD133" s="1268"/>
      <c r="CE133" s="1269">
        <f t="shared" si="126"/>
        <v>0</v>
      </c>
      <c r="CF133" s="1267">
        <v>2</v>
      </c>
      <c r="CG133" s="1268">
        <v>3</v>
      </c>
      <c r="CH133" s="1268"/>
      <c r="CI133" s="1269">
        <f t="shared" si="127"/>
        <v>5</v>
      </c>
      <c r="CJ133" s="1267"/>
      <c r="CK133" s="1268"/>
      <c r="CL133" s="1268"/>
      <c r="CM133" s="1269">
        <f t="shared" si="128"/>
        <v>0</v>
      </c>
      <c r="CN133" s="1267"/>
      <c r="CO133" s="1268"/>
      <c r="CP133" s="1268"/>
      <c r="CQ133" s="1269">
        <f t="shared" si="129"/>
        <v>0</v>
      </c>
      <c r="CR133" s="1267"/>
      <c r="CS133" s="1268"/>
      <c r="CT133" s="1268"/>
      <c r="CU133" s="1269">
        <f t="shared" si="130"/>
        <v>0</v>
      </c>
    </row>
    <row r="134" spans="2:99" ht="14.4" x14ac:dyDescent="0.3">
      <c r="B134" s="1324"/>
      <c r="C134" s="1271" t="s">
        <v>64</v>
      </c>
      <c r="D134" s="1272">
        <f t="shared" ref="D134:AI134" si="135">SUM(D115:D130)</f>
        <v>53</v>
      </c>
      <c r="E134" s="1273">
        <f t="shared" si="135"/>
        <v>15</v>
      </c>
      <c r="F134" s="1273">
        <f t="shared" si="135"/>
        <v>18</v>
      </c>
      <c r="G134" s="1310">
        <f t="shared" si="135"/>
        <v>86</v>
      </c>
      <c r="H134" s="1272">
        <f t="shared" si="135"/>
        <v>58</v>
      </c>
      <c r="I134" s="1273">
        <f t="shared" si="135"/>
        <v>39</v>
      </c>
      <c r="J134" s="1273">
        <f t="shared" si="135"/>
        <v>114</v>
      </c>
      <c r="K134" s="1310">
        <f t="shared" si="135"/>
        <v>211</v>
      </c>
      <c r="L134" s="1272">
        <f t="shared" si="135"/>
        <v>79</v>
      </c>
      <c r="M134" s="1273">
        <f t="shared" si="135"/>
        <v>29</v>
      </c>
      <c r="N134" s="1273">
        <f t="shared" si="135"/>
        <v>49</v>
      </c>
      <c r="O134" s="1310">
        <f t="shared" si="135"/>
        <v>157</v>
      </c>
      <c r="P134" s="1272">
        <f t="shared" si="135"/>
        <v>30</v>
      </c>
      <c r="Q134" s="1273">
        <f t="shared" si="135"/>
        <v>59</v>
      </c>
      <c r="R134" s="1273">
        <f t="shared" si="135"/>
        <v>105</v>
      </c>
      <c r="S134" s="1310">
        <f t="shared" si="135"/>
        <v>194</v>
      </c>
      <c r="T134" s="1272">
        <f t="shared" si="135"/>
        <v>51</v>
      </c>
      <c r="U134" s="1273">
        <f t="shared" si="135"/>
        <v>13</v>
      </c>
      <c r="V134" s="1273">
        <f t="shared" si="135"/>
        <v>43</v>
      </c>
      <c r="W134" s="1310">
        <f t="shared" si="135"/>
        <v>107</v>
      </c>
      <c r="X134" s="1273">
        <f t="shared" si="135"/>
        <v>11</v>
      </c>
      <c r="Y134" s="1273">
        <f t="shared" si="135"/>
        <v>0</v>
      </c>
      <c r="Z134" s="1273">
        <f t="shared" si="135"/>
        <v>126</v>
      </c>
      <c r="AA134" s="1310">
        <f t="shared" si="135"/>
        <v>137</v>
      </c>
      <c r="AB134" s="1273">
        <f t="shared" si="135"/>
        <v>49</v>
      </c>
      <c r="AC134" s="1273">
        <f t="shared" si="135"/>
        <v>0</v>
      </c>
      <c r="AD134" s="1273">
        <f t="shared" si="135"/>
        <v>40</v>
      </c>
      <c r="AE134" s="1310">
        <f t="shared" si="135"/>
        <v>89</v>
      </c>
      <c r="AF134" s="1273">
        <f t="shared" si="135"/>
        <v>12</v>
      </c>
      <c r="AG134" s="1273">
        <f t="shared" si="135"/>
        <v>0</v>
      </c>
      <c r="AH134" s="1273">
        <f t="shared" si="135"/>
        <v>120</v>
      </c>
      <c r="AI134" s="1310">
        <f t="shared" si="135"/>
        <v>132</v>
      </c>
      <c r="AJ134" s="1273">
        <f t="shared" ref="AJ134:BW134" si="136">SUM(AJ115:AJ130)</f>
        <v>71</v>
      </c>
      <c r="AK134" s="1273">
        <f t="shared" si="136"/>
        <v>11</v>
      </c>
      <c r="AL134" s="1273">
        <f t="shared" si="136"/>
        <v>66</v>
      </c>
      <c r="AM134" s="1310">
        <f t="shared" si="136"/>
        <v>148</v>
      </c>
      <c r="AN134" s="1273">
        <f t="shared" si="136"/>
        <v>14</v>
      </c>
      <c r="AO134" s="1273">
        <f t="shared" si="136"/>
        <v>0</v>
      </c>
      <c r="AP134" s="1273">
        <f t="shared" si="136"/>
        <v>136</v>
      </c>
      <c r="AQ134" s="1310">
        <f t="shared" si="136"/>
        <v>150</v>
      </c>
      <c r="AR134" s="1273">
        <f t="shared" si="136"/>
        <v>46</v>
      </c>
      <c r="AS134" s="1273">
        <f t="shared" si="136"/>
        <v>0</v>
      </c>
      <c r="AT134" s="1273">
        <f t="shared" si="136"/>
        <v>49</v>
      </c>
      <c r="AU134" s="1310">
        <f t="shared" si="136"/>
        <v>95</v>
      </c>
      <c r="AV134" s="1273">
        <f t="shared" si="136"/>
        <v>0</v>
      </c>
      <c r="AW134" s="1273">
        <f t="shared" si="136"/>
        <v>0</v>
      </c>
      <c r="AX134" s="1273">
        <f t="shared" si="136"/>
        <v>125</v>
      </c>
      <c r="AY134" s="1310">
        <f t="shared" si="136"/>
        <v>125</v>
      </c>
      <c r="AZ134" s="1273">
        <f t="shared" si="136"/>
        <v>49</v>
      </c>
      <c r="BA134" s="1273">
        <f t="shared" si="136"/>
        <v>0</v>
      </c>
      <c r="BB134" s="1273">
        <f t="shared" si="136"/>
        <v>78</v>
      </c>
      <c r="BC134" s="1310">
        <f t="shared" si="136"/>
        <v>127</v>
      </c>
      <c r="BD134" s="1273">
        <f t="shared" si="136"/>
        <v>19</v>
      </c>
      <c r="BE134" s="1273">
        <f t="shared" si="136"/>
        <v>0</v>
      </c>
      <c r="BF134" s="1273">
        <f t="shared" si="136"/>
        <v>139</v>
      </c>
      <c r="BG134" s="1310">
        <f t="shared" si="136"/>
        <v>158</v>
      </c>
      <c r="BH134" s="1273">
        <f t="shared" si="136"/>
        <v>54</v>
      </c>
      <c r="BI134" s="1273">
        <f t="shared" si="136"/>
        <v>0</v>
      </c>
      <c r="BJ134" s="1273">
        <f t="shared" si="136"/>
        <v>51</v>
      </c>
      <c r="BK134" s="1310">
        <f t="shared" si="136"/>
        <v>105</v>
      </c>
      <c r="BL134" s="1273">
        <f t="shared" si="136"/>
        <v>21</v>
      </c>
      <c r="BM134" s="1273">
        <f t="shared" si="136"/>
        <v>0</v>
      </c>
      <c r="BN134" s="1273">
        <f t="shared" si="136"/>
        <v>151</v>
      </c>
      <c r="BO134" s="1310">
        <f t="shared" si="136"/>
        <v>172</v>
      </c>
      <c r="BP134" s="1273">
        <f t="shared" si="136"/>
        <v>51</v>
      </c>
      <c r="BQ134" s="1273">
        <f t="shared" si="136"/>
        <v>1</v>
      </c>
      <c r="BR134" s="1273">
        <f t="shared" si="136"/>
        <v>58</v>
      </c>
      <c r="BS134" s="1310">
        <f t="shared" si="136"/>
        <v>110</v>
      </c>
      <c r="BT134" s="1272">
        <f t="shared" si="136"/>
        <v>23</v>
      </c>
      <c r="BU134" s="1273">
        <f t="shared" si="136"/>
        <v>0</v>
      </c>
      <c r="BV134" s="1273">
        <f t="shared" si="136"/>
        <v>118</v>
      </c>
      <c r="BW134" s="1274">
        <f t="shared" si="136"/>
        <v>141</v>
      </c>
      <c r="BX134" s="1273">
        <f t="shared" ref="BX134:CI134" si="137">SUM(BX115:BX133)</f>
        <v>81</v>
      </c>
      <c r="BY134" s="1273">
        <f t="shared" si="137"/>
        <v>0</v>
      </c>
      <c r="BZ134" s="1273">
        <f t="shared" si="137"/>
        <v>69</v>
      </c>
      <c r="CA134" s="1310">
        <f t="shared" si="137"/>
        <v>150</v>
      </c>
      <c r="CB134" s="1273">
        <f t="shared" si="137"/>
        <v>48</v>
      </c>
      <c r="CC134" s="1273">
        <f t="shared" si="137"/>
        <v>10</v>
      </c>
      <c r="CD134" s="1273">
        <f t="shared" si="137"/>
        <v>130</v>
      </c>
      <c r="CE134" s="1310">
        <f t="shared" si="137"/>
        <v>188</v>
      </c>
      <c r="CF134" s="1273">
        <f t="shared" si="137"/>
        <v>90</v>
      </c>
      <c r="CG134" s="1273">
        <f t="shared" si="137"/>
        <v>46</v>
      </c>
      <c r="CH134" s="1273">
        <f t="shared" si="137"/>
        <v>13</v>
      </c>
      <c r="CI134" s="1310">
        <f t="shared" si="137"/>
        <v>149</v>
      </c>
      <c r="CJ134" s="1273">
        <f t="shared" ref="CJ134:CQ134" si="138">SUM(CJ115:CJ133)</f>
        <v>32</v>
      </c>
      <c r="CK134" s="1273">
        <f t="shared" si="138"/>
        <v>103</v>
      </c>
      <c r="CL134" s="1273">
        <f t="shared" si="138"/>
        <v>17</v>
      </c>
      <c r="CM134" s="1310">
        <f t="shared" si="138"/>
        <v>152</v>
      </c>
      <c r="CN134" s="1273">
        <f t="shared" si="138"/>
        <v>89</v>
      </c>
      <c r="CO134" s="1273">
        <f t="shared" si="138"/>
        <v>59</v>
      </c>
      <c r="CP134" s="1273">
        <f t="shared" si="138"/>
        <v>13</v>
      </c>
      <c r="CQ134" s="1310">
        <f t="shared" si="138"/>
        <v>161</v>
      </c>
      <c r="CR134" s="1273">
        <f t="shared" ref="CR134:CU134" si="139">SUM(CR115:CR133)</f>
        <v>34</v>
      </c>
      <c r="CS134" s="1273">
        <f t="shared" si="139"/>
        <v>58</v>
      </c>
      <c r="CT134" s="1273">
        <f t="shared" si="139"/>
        <v>51</v>
      </c>
      <c r="CU134" s="1310">
        <f t="shared" si="139"/>
        <v>143</v>
      </c>
    </row>
    <row r="135" spans="2:99" ht="14.4" x14ac:dyDescent="0.3">
      <c r="B135" s="5850" t="s">
        <v>308</v>
      </c>
      <c r="C135" s="1275" t="s">
        <v>404</v>
      </c>
      <c r="D135" s="1287"/>
      <c r="E135" s="1277"/>
      <c r="F135" s="1277"/>
      <c r="G135" s="1278"/>
      <c r="H135" s="1287">
        <v>3</v>
      </c>
      <c r="I135" s="1277"/>
      <c r="J135" s="1277"/>
      <c r="K135" s="1278">
        <v>3</v>
      </c>
      <c r="L135" s="1287">
        <v>1</v>
      </c>
      <c r="M135" s="1277"/>
      <c r="N135" s="1277"/>
      <c r="O135" s="1278">
        <v>1</v>
      </c>
      <c r="P135" s="1287">
        <v>10</v>
      </c>
      <c r="Q135" s="1277"/>
      <c r="R135" s="1277"/>
      <c r="S135" s="1278">
        <v>10</v>
      </c>
      <c r="T135" s="1287">
        <v>8</v>
      </c>
      <c r="U135" s="1277"/>
      <c r="V135" s="1277"/>
      <c r="W135" s="1278">
        <f>SUM(T135:V135)</f>
        <v>8</v>
      </c>
      <c r="X135" s="1279">
        <v>10</v>
      </c>
      <c r="Y135" s="1279"/>
      <c r="Z135" s="1279"/>
      <c r="AA135" s="1278">
        <f>SUM(X135:Z135)</f>
        <v>10</v>
      </c>
      <c r="AB135" s="1279"/>
      <c r="AC135" s="1279"/>
      <c r="AD135" s="1279"/>
      <c r="AE135" s="1278"/>
      <c r="AF135" s="1279">
        <v>13</v>
      </c>
      <c r="AG135" s="1279"/>
      <c r="AH135" s="1279"/>
      <c r="AI135" s="1278">
        <f>SUM(AF135:AH135)</f>
        <v>13</v>
      </c>
      <c r="AJ135" s="1279">
        <v>8</v>
      </c>
      <c r="AK135" s="1279"/>
      <c r="AL135" s="1279"/>
      <c r="AM135" s="1278">
        <f>SUM(AJ135:AL135)</f>
        <v>8</v>
      </c>
      <c r="AN135" s="1279">
        <v>12</v>
      </c>
      <c r="AO135" s="1279"/>
      <c r="AP135" s="1279"/>
      <c r="AQ135" s="1278">
        <f>SUM(AN135:AP135)</f>
        <v>12</v>
      </c>
      <c r="AR135" s="1279"/>
      <c r="AS135" s="1279"/>
      <c r="AT135" s="1279"/>
      <c r="AU135" s="1278"/>
      <c r="AV135" s="1279"/>
      <c r="AW135" s="1279"/>
      <c r="AX135" s="1279"/>
      <c r="AY135" s="1278"/>
      <c r="AZ135" s="1279">
        <v>12</v>
      </c>
      <c r="BA135" s="1279"/>
      <c r="BB135" s="1279"/>
      <c r="BC135" s="1278">
        <f>AZ135+BA135+BB135</f>
        <v>12</v>
      </c>
      <c r="BD135" s="1279"/>
      <c r="BE135" s="1279"/>
      <c r="BF135" s="1279"/>
      <c r="BG135" s="1278"/>
      <c r="BH135" s="1279">
        <v>12</v>
      </c>
      <c r="BI135" s="1279"/>
      <c r="BJ135" s="1279"/>
      <c r="BK135" s="1264">
        <f t="shared" ref="BK135:BK151" si="140">BH135+BI135+BJ135</f>
        <v>12</v>
      </c>
      <c r="BL135" s="1279"/>
      <c r="BM135" s="1279"/>
      <c r="BN135" s="1279"/>
      <c r="BO135" s="1264">
        <f t="shared" ref="BO135:BO151" si="141">BL135+BM135+BN135</f>
        <v>0</v>
      </c>
      <c r="BP135" s="1279"/>
      <c r="BQ135" s="1279"/>
      <c r="BR135" s="1279"/>
      <c r="BS135" s="1264">
        <f t="shared" ref="BS135:BS151" si="142">BP135+BQ135+BR135</f>
        <v>0</v>
      </c>
      <c r="BT135" s="1258"/>
      <c r="BU135" s="1259"/>
      <c r="BV135" s="1259"/>
      <c r="BW135" s="1260">
        <f t="shared" ref="BW135:BW151" si="143">BT135+BU135+BV135</f>
        <v>0</v>
      </c>
      <c r="BX135" s="1258"/>
      <c r="BY135" s="1259"/>
      <c r="BZ135" s="1259"/>
      <c r="CA135" s="1260">
        <f t="shared" ref="CA135:CA151" si="144">BX135+BY135+BZ135</f>
        <v>0</v>
      </c>
      <c r="CB135" s="1258"/>
      <c r="CC135" s="1259"/>
      <c r="CD135" s="1259"/>
      <c r="CE135" s="1260">
        <f t="shared" ref="CE135:CE151" si="145">CB135+CC135+CD135</f>
        <v>0</v>
      </c>
      <c r="CF135" s="1258"/>
      <c r="CG135" s="1259"/>
      <c r="CH135" s="1259"/>
      <c r="CI135" s="1260">
        <f t="shared" ref="CI135:CI151" si="146">CF135+CG135+CH135</f>
        <v>0</v>
      </c>
      <c r="CJ135" s="1258"/>
      <c r="CK135" s="1259"/>
      <c r="CL135" s="1259"/>
      <c r="CM135" s="1260">
        <f>SUM(CJ135:CL135)</f>
        <v>0</v>
      </c>
      <c r="CN135" s="1258"/>
      <c r="CO135" s="1259"/>
      <c r="CP135" s="1259"/>
      <c r="CQ135" s="1260">
        <f>SUM(CN135:CP135)</f>
        <v>0</v>
      </c>
      <c r="CR135" s="1258"/>
      <c r="CS135" s="1259"/>
      <c r="CT135" s="1259"/>
      <c r="CU135" s="1260">
        <f>SUM(CR135:CT135)</f>
        <v>0</v>
      </c>
    </row>
    <row r="136" spans="2:99" ht="14.4" x14ac:dyDescent="0.3">
      <c r="B136" s="5855"/>
      <c r="C136" s="1261" t="s">
        <v>405</v>
      </c>
      <c r="D136" s="1281">
        <v>11</v>
      </c>
      <c r="E136" s="1280"/>
      <c r="F136" s="1280"/>
      <c r="G136" s="1264">
        <v>11</v>
      </c>
      <c r="H136" s="1281">
        <v>9</v>
      </c>
      <c r="I136" s="1280"/>
      <c r="J136" s="1280"/>
      <c r="K136" s="1264">
        <v>9</v>
      </c>
      <c r="L136" s="1281">
        <v>9</v>
      </c>
      <c r="M136" s="1280"/>
      <c r="N136" s="1280"/>
      <c r="O136" s="1264">
        <v>9</v>
      </c>
      <c r="P136" s="1281">
        <v>2</v>
      </c>
      <c r="Q136" s="1280"/>
      <c r="R136" s="1280"/>
      <c r="S136" s="1264">
        <v>2</v>
      </c>
      <c r="T136" s="1281">
        <v>4</v>
      </c>
      <c r="U136" s="1280"/>
      <c r="V136" s="1280"/>
      <c r="W136" s="1264">
        <f>SUM(T136:V136)</f>
        <v>4</v>
      </c>
      <c r="X136" s="1263"/>
      <c r="Y136" s="1263"/>
      <c r="Z136" s="1263"/>
      <c r="AA136" s="1264"/>
      <c r="AB136" s="1263"/>
      <c r="AC136" s="1263"/>
      <c r="AD136" s="1263"/>
      <c r="AE136" s="1264"/>
      <c r="AF136" s="1263"/>
      <c r="AG136" s="1263"/>
      <c r="AH136" s="1263"/>
      <c r="AI136" s="1264"/>
      <c r="AJ136" s="1263"/>
      <c r="AK136" s="1263"/>
      <c r="AL136" s="1263"/>
      <c r="AM136" s="1264"/>
      <c r="AN136" s="1263"/>
      <c r="AO136" s="1263"/>
      <c r="AP136" s="1263"/>
      <c r="AQ136" s="1264"/>
      <c r="AR136" s="1263">
        <v>10</v>
      </c>
      <c r="AS136" s="1263" t="s">
        <v>122</v>
      </c>
      <c r="AT136" s="1263" t="s">
        <v>122</v>
      </c>
      <c r="AU136" s="1264">
        <f t="shared" ref="AU136:AU156" si="147">SUM(AR136:AT136)</f>
        <v>10</v>
      </c>
      <c r="AV136" s="1263"/>
      <c r="AW136" s="1263"/>
      <c r="AX136" s="1263"/>
      <c r="AY136" s="1264"/>
      <c r="AZ136" s="1263"/>
      <c r="BA136" s="1263"/>
      <c r="BB136" s="1263"/>
      <c r="BC136" s="1264"/>
      <c r="BD136" s="1263"/>
      <c r="BE136" s="1263"/>
      <c r="BF136" s="1263"/>
      <c r="BG136" s="1264"/>
      <c r="BH136" s="1263"/>
      <c r="BI136" s="1263"/>
      <c r="BJ136" s="1263"/>
      <c r="BK136" s="1264">
        <f t="shared" si="140"/>
        <v>0</v>
      </c>
      <c r="BL136" s="1263"/>
      <c r="BM136" s="1263"/>
      <c r="BN136" s="1263"/>
      <c r="BO136" s="1264">
        <f t="shared" si="141"/>
        <v>0</v>
      </c>
      <c r="BP136" s="1263"/>
      <c r="BQ136" s="1263"/>
      <c r="BR136" s="1263"/>
      <c r="BS136" s="1264">
        <f t="shared" si="142"/>
        <v>0</v>
      </c>
      <c r="BT136" s="1262"/>
      <c r="BU136" s="1263"/>
      <c r="BV136" s="1263"/>
      <c r="BW136" s="1264">
        <f t="shared" si="143"/>
        <v>0</v>
      </c>
      <c r="BX136" s="1262"/>
      <c r="BY136" s="1263"/>
      <c r="BZ136" s="1263"/>
      <c r="CA136" s="1264">
        <f t="shared" si="144"/>
        <v>0</v>
      </c>
      <c r="CB136" s="1262"/>
      <c r="CC136" s="1263"/>
      <c r="CD136" s="1263"/>
      <c r="CE136" s="1264">
        <f t="shared" si="145"/>
        <v>0</v>
      </c>
      <c r="CF136" s="1262"/>
      <c r="CG136" s="1263"/>
      <c r="CH136" s="1263"/>
      <c r="CI136" s="1264">
        <f t="shared" si="146"/>
        <v>0</v>
      </c>
      <c r="CJ136" s="1262"/>
      <c r="CK136" s="1263"/>
      <c r="CL136" s="1263"/>
      <c r="CM136" s="1264">
        <f>SUM(CJ136:CL136)</f>
        <v>0</v>
      </c>
      <c r="CN136" s="1262"/>
      <c r="CO136" s="1263"/>
      <c r="CP136" s="1263"/>
      <c r="CQ136" s="1264">
        <f>SUM(CN136:CP136)</f>
        <v>0</v>
      </c>
      <c r="CR136" s="1262"/>
      <c r="CS136" s="1263"/>
      <c r="CT136" s="1263"/>
      <c r="CU136" s="1264">
        <f>SUM(CR136:CT136)</f>
        <v>0</v>
      </c>
    </row>
    <row r="137" spans="2:99" ht="14.4" x14ac:dyDescent="0.3">
      <c r="B137" s="5851"/>
      <c r="C137" s="1261" t="s">
        <v>406</v>
      </c>
      <c r="D137" s="1281"/>
      <c r="E137" s="1280"/>
      <c r="F137" s="1280">
        <v>11</v>
      </c>
      <c r="G137" s="1264">
        <v>11</v>
      </c>
      <c r="H137" s="1281"/>
      <c r="I137" s="1280"/>
      <c r="J137" s="1280"/>
      <c r="K137" s="1264"/>
      <c r="L137" s="1281">
        <v>4</v>
      </c>
      <c r="M137" s="1280">
        <v>1</v>
      </c>
      <c r="N137" s="1280">
        <v>15</v>
      </c>
      <c r="O137" s="1264">
        <v>20</v>
      </c>
      <c r="P137" s="1281"/>
      <c r="Q137" s="1280"/>
      <c r="R137" s="1280">
        <v>1</v>
      </c>
      <c r="S137" s="1264">
        <v>1</v>
      </c>
      <c r="T137" s="1281"/>
      <c r="U137" s="1280"/>
      <c r="V137" s="1280"/>
      <c r="W137" s="1264"/>
      <c r="X137" s="1263"/>
      <c r="Y137" s="1263"/>
      <c r="Z137" s="1263"/>
      <c r="AA137" s="1264"/>
      <c r="AB137" s="1263"/>
      <c r="AC137" s="1263"/>
      <c r="AD137" s="1263"/>
      <c r="AE137" s="1264"/>
      <c r="AF137" s="1263"/>
      <c r="AG137" s="1263"/>
      <c r="AH137" s="1263"/>
      <c r="AI137" s="1264"/>
      <c r="AJ137" s="1263"/>
      <c r="AK137" s="1263"/>
      <c r="AL137" s="1263"/>
      <c r="AM137" s="1264"/>
      <c r="AN137" s="1263"/>
      <c r="AO137" s="1263"/>
      <c r="AP137" s="1263"/>
      <c r="AQ137" s="1264"/>
      <c r="AR137" s="1263"/>
      <c r="AS137" s="1263"/>
      <c r="AT137" s="1263"/>
      <c r="AU137" s="1264"/>
      <c r="AV137" s="1263"/>
      <c r="AW137" s="1263"/>
      <c r="AX137" s="1263"/>
      <c r="AY137" s="1264"/>
      <c r="AZ137" s="1263"/>
      <c r="BA137" s="1263"/>
      <c r="BB137" s="1263">
        <v>19</v>
      </c>
      <c r="BC137" s="1264">
        <f>AZ137+BA137+BB137</f>
        <v>19</v>
      </c>
      <c r="BD137" s="1263"/>
      <c r="BE137" s="1263"/>
      <c r="BF137" s="1263"/>
      <c r="BG137" s="1264"/>
      <c r="BH137" s="1263"/>
      <c r="BI137" s="1263"/>
      <c r="BJ137" s="1263">
        <v>1</v>
      </c>
      <c r="BK137" s="1264">
        <f t="shared" si="140"/>
        <v>1</v>
      </c>
      <c r="BL137" s="1263"/>
      <c r="BM137" s="1263"/>
      <c r="BN137" s="1263"/>
      <c r="BO137" s="1264">
        <f t="shared" si="141"/>
        <v>0</v>
      </c>
      <c r="BP137" s="1263"/>
      <c r="BQ137" s="1263"/>
      <c r="BR137" s="1263"/>
      <c r="BS137" s="1264">
        <f t="shared" si="142"/>
        <v>0</v>
      </c>
      <c r="BT137" s="1262"/>
      <c r="BU137" s="1263"/>
      <c r="BV137" s="1263"/>
      <c r="BW137" s="1264">
        <f t="shared" si="143"/>
        <v>0</v>
      </c>
      <c r="BX137" s="1262"/>
      <c r="BY137" s="1263"/>
      <c r="BZ137" s="1263"/>
      <c r="CA137" s="1264">
        <f t="shared" si="144"/>
        <v>0</v>
      </c>
      <c r="CB137" s="1262"/>
      <c r="CC137" s="1263"/>
      <c r="CD137" s="1263"/>
      <c r="CE137" s="1264">
        <f t="shared" si="145"/>
        <v>0</v>
      </c>
      <c r="CF137" s="1262"/>
      <c r="CG137" s="1263"/>
      <c r="CH137" s="1263"/>
      <c r="CI137" s="1264">
        <f t="shared" si="146"/>
        <v>0</v>
      </c>
      <c r="CJ137" s="1262"/>
      <c r="CK137" s="1263"/>
      <c r="CL137" s="1263"/>
      <c r="CM137" s="1264">
        <f t="shared" ref="CM137:CM151" si="148">SUM(CJ137:CL137)</f>
        <v>0</v>
      </c>
      <c r="CN137" s="1262"/>
      <c r="CO137" s="1263"/>
      <c r="CP137" s="1263"/>
      <c r="CQ137" s="1264">
        <f t="shared" ref="CQ137:CQ151" si="149">SUM(CN137:CP137)</f>
        <v>0</v>
      </c>
      <c r="CR137" s="1262"/>
      <c r="CS137" s="1263"/>
      <c r="CT137" s="1263"/>
      <c r="CU137" s="1264">
        <f t="shared" ref="CU137:CU151" si="150">SUM(CR137:CT137)</f>
        <v>0</v>
      </c>
    </row>
    <row r="138" spans="2:99" ht="14.4" x14ac:dyDescent="0.3">
      <c r="B138" s="5856" t="s">
        <v>310</v>
      </c>
      <c r="C138" s="4402" t="s">
        <v>407</v>
      </c>
      <c r="D138" s="4409"/>
      <c r="E138" s="4408"/>
      <c r="F138" s="4408"/>
      <c r="G138" s="4405"/>
      <c r="H138" s="4409"/>
      <c r="I138" s="4408"/>
      <c r="J138" s="4408"/>
      <c r="K138" s="4405"/>
      <c r="L138" s="4409"/>
      <c r="M138" s="4408"/>
      <c r="N138" s="4408"/>
      <c r="O138" s="4405"/>
      <c r="P138" s="4409"/>
      <c r="Q138" s="4408"/>
      <c r="R138" s="4408"/>
      <c r="S138" s="4405"/>
      <c r="T138" s="4409"/>
      <c r="U138" s="4408"/>
      <c r="V138" s="4408"/>
      <c r="W138" s="4405"/>
      <c r="X138" s="4404"/>
      <c r="Y138" s="4404"/>
      <c r="Z138" s="4404"/>
      <c r="AA138" s="4405"/>
      <c r="AB138" s="4404"/>
      <c r="AC138" s="4404"/>
      <c r="AD138" s="4404"/>
      <c r="AE138" s="4405"/>
      <c r="AF138" s="4404"/>
      <c r="AG138" s="4404"/>
      <c r="AH138" s="4404"/>
      <c r="AI138" s="4405"/>
      <c r="AJ138" s="4404"/>
      <c r="AK138" s="4404"/>
      <c r="AL138" s="4404"/>
      <c r="AM138" s="4405"/>
      <c r="AN138" s="4404"/>
      <c r="AO138" s="4404"/>
      <c r="AP138" s="4404"/>
      <c r="AQ138" s="4405"/>
      <c r="AR138" s="4404"/>
      <c r="AS138" s="4404"/>
      <c r="AT138" s="4404"/>
      <c r="AU138" s="4405"/>
      <c r="AV138" s="4404">
        <v>5</v>
      </c>
      <c r="AW138" s="4404"/>
      <c r="AX138" s="4404"/>
      <c r="AY138" s="4405">
        <f>AV138+AW138+AX138</f>
        <v>5</v>
      </c>
      <c r="AZ138" s="4404"/>
      <c r="BA138" s="4404"/>
      <c r="BB138" s="4404"/>
      <c r="BC138" s="4405"/>
      <c r="BD138" s="4404">
        <v>10</v>
      </c>
      <c r="BE138" s="4404"/>
      <c r="BF138" s="4404"/>
      <c r="BG138" s="4405">
        <f>BD138+BE138+BF138</f>
        <v>10</v>
      </c>
      <c r="BH138" s="4404"/>
      <c r="BI138" s="4404"/>
      <c r="BJ138" s="4404"/>
      <c r="BK138" s="4405">
        <f t="shared" si="140"/>
        <v>0</v>
      </c>
      <c r="BL138" s="4404"/>
      <c r="BM138" s="4404"/>
      <c r="BN138" s="4404"/>
      <c r="BO138" s="4405">
        <f t="shared" si="141"/>
        <v>0</v>
      </c>
      <c r="BP138" s="4404">
        <v>12</v>
      </c>
      <c r="BQ138" s="4404"/>
      <c r="BR138" s="4404"/>
      <c r="BS138" s="4405">
        <f t="shared" si="142"/>
        <v>12</v>
      </c>
      <c r="BT138" s="4403"/>
      <c r="BU138" s="4404"/>
      <c r="BV138" s="4404"/>
      <c r="BW138" s="4405">
        <f t="shared" si="143"/>
        <v>0</v>
      </c>
      <c r="BX138" s="4403">
        <v>11</v>
      </c>
      <c r="BY138" s="4404"/>
      <c r="BZ138" s="4404"/>
      <c r="CA138" s="4405">
        <f t="shared" si="144"/>
        <v>11</v>
      </c>
      <c r="CB138" s="4403"/>
      <c r="CC138" s="4404"/>
      <c r="CD138" s="4404"/>
      <c r="CE138" s="4405">
        <f t="shared" si="145"/>
        <v>0</v>
      </c>
      <c r="CF138" s="4403">
        <v>7</v>
      </c>
      <c r="CG138" s="4404"/>
      <c r="CH138" s="4404"/>
      <c r="CI138" s="4405">
        <f t="shared" si="146"/>
        <v>7</v>
      </c>
      <c r="CJ138" s="4403"/>
      <c r="CK138" s="4404"/>
      <c r="CL138" s="4404"/>
      <c r="CM138" s="4405">
        <f t="shared" si="148"/>
        <v>0</v>
      </c>
      <c r="CN138" s="4403">
        <v>7</v>
      </c>
      <c r="CO138" s="4404"/>
      <c r="CP138" s="4404"/>
      <c r="CQ138" s="4405">
        <f t="shared" si="149"/>
        <v>7</v>
      </c>
      <c r="CR138" s="4403"/>
      <c r="CS138" s="4404"/>
      <c r="CT138" s="4404"/>
      <c r="CU138" s="4405">
        <f t="shared" si="150"/>
        <v>0</v>
      </c>
    </row>
    <row r="139" spans="2:99" ht="14.4" x14ac:dyDescent="0.3">
      <c r="B139" s="5853"/>
      <c r="C139" s="4402" t="s">
        <v>408</v>
      </c>
      <c r="D139" s="4409"/>
      <c r="E139" s="4408"/>
      <c r="F139" s="4408">
        <v>4</v>
      </c>
      <c r="G139" s="4405">
        <v>4</v>
      </c>
      <c r="H139" s="4409"/>
      <c r="I139" s="4408"/>
      <c r="J139" s="4408">
        <v>7</v>
      </c>
      <c r="K139" s="4405">
        <v>7</v>
      </c>
      <c r="L139" s="4409"/>
      <c r="M139" s="4408"/>
      <c r="N139" s="4408"/>
      <c r="O139" s="4405"/>
      <c r="P139" s="4409"/>
      <c r="Q139" s="4408"/>
      <c r="R139" s="4408">
        <v>15</v>
      </c>
      <c r="S139" s="4405">
        <v>15</v>
      </c>
      <c r="T139" s="4409"/>
      <c r="U139" s="4408"/>
      <c r="V139" s="4408">
        <v>15</v>
      </c>
      <c r="W139" s="4405">
        <f t="shared" ref="W139:W150" si="151">SUM(T139:V139)</f>
        <v>15</v>
      </c>
      <c r="X139" s="4404"/>
      <c r="Y139" s="4404"/>
      <c r="Z139" s="4404"/>
      <c r="AA139" s="4405"/>
      <c r="AB139" s="4404"/>
      <c r="AC139" s="4404"/>
      <c r="AD139" s="4404">
        <v>13</v>
      </c>
      <c r="AE139" s="4405">
        <f t="shared" ref="AE139:AE153" si="152">SUM(AB139:AD139)</f>
        <v>13</v>
      </c>
      <c r="AF139" s="4404"/>
      <c r="AG139" s="4404"/>
      <c r="AH139" s="4404"/>
      <c r="AI139" s="4405"/>
      <c r="AJ139" s="4404"/>
      <c r="AK139" s="4404"/>
      <c r="AL139" s="4404">
        <v>15</v>
      </c>
      <c r="AM139" s="4405">
        <f t="shared" ref="AM139:AM156" si="153">SUM(AJ139:AL139)</f>
        <v>15</v>
      </c>
      <c r="AN139" s="4404"/>
      <c r="AO139" s="4404"/>
      <c r="AP139" s="4404"/>
      <c r="AQ139" s="4405"/>
      <c r="AR139" s="4404" t="s">
        <v>122</v>
      </c>
      <c r="AS139" s="4404"/>
      <c r="AT139" s="4404">
        <v>14</v>
      </c>
      <c r="AU139" s="4405">
        <f t="shared" si="147"/>
        <v>14</v>
      </c>
      <c r="AV139" s="4404"/>
      <c r="AW139" s="4404"/>
      <c r="AX139" s="4404"/>
      <c r="AY139" s="4405"/>
      <c r="AZ139" s="4404"/>
      <c r="BA139" s="4404"/>
      <c r="BB139" s="4404"/>
      <c r="BC139" s="4405"/>
      <c r="BD139" s="4404"/>
      <c r="BE139" s="4404"/>
      <c r="BF139" s="4404">
        <v>4</v>
      </c>
      <c r="BG139" s="4405">
        <f>BD139+BE139+BF139</f>
        <v>4</v>
      </c>
      <c r="BH139" s="4404"/>
      <c r="BI139" s="4404"/>
      <c r="BJ139" s="4404">
        <v>10</v>
      </c>
      <c r="BK139" s="4405">
        <f t="shared" si="140"/>
        <v>10</v>
      </c>
      <c r="BL139" s="4404"/>
      <c r="BM139" s="4404"/>
      <c r="BN139" s="4404">
        <v>1</v>
      </c>
      <c r="BO139" s="4405">
        <f t="shared" si="141"/>
        <v>1</v>
      </c>
      <c r="BP139" s="4404"/>
      <c r="BQ139" s="4404"/>
      <c r="BR139" s="4404">
        <v>12</v>
      </c>
      <c r="BS139" s="4405">
        <f t="shared" si="142"/>
        <v>12</v>
      </c>
      <c r="BT139" s="4403"/>
      <c r="BU139" s="4404"/>
      <c r="BV139" s="4404"/>
      <c r="BW139" s="4405">
        <f t="shared" si="143"/>
        <v>0</v>
      </c>
      <c r="BX139" s="4403"/>
      <c r="BY139" s="4404"/>
      <c r="BZ139" s="4404">
        <v>6</v>
      </c>
      <c r="CA139" s="4405">
        <f t="shared" si="144"/>
        <v>6</v>
      </c>
      <c r="CB139" s="4403"/>
      <c r="CC139" s="4404"/>
      <c r="CD139" s="4404"/>
      <c r="CE139" s="4405">
        <f t="shared" si="145"/>
        <v>0</v>
      </c>
      <c r="CF139" s="4403"/>
      <c r="CG139" s="4404">
        <v>13</v>
      </c>
      <c r="CH139" s="4404"/>
      <c r="CI139" s="4405">
        <f t="shared" si="146"/>
        <v>13</v>
      </c>
      <c r="CJ139" s="4403"/>
      <c r="CK139" s="4404"/>
      <c r="CL139" s="4404"/>
      <c r="CM139" s="4405">
        <f t="shared" si="148"/>
        <v>0</v>
      </c>
      <c r="CN139" s="4403"/>
      <c r="CO139" s="4404">
        <v>15</v>
      </c>
      <c r="CP139" s="4404"/>
      <c r="CQ139" s="4405">
        <f t="shared" si="149"/>
        <v>15</v>
      </c>
      <c r="CR139" s="4403"/>
      <c r="CS139" s="4404"/>
      <c r="CT139" s="4404"/>
      <c r="CU139" s="4405">
        <f t="shared" si="150"/>
        <v>0</v>
      </c>
    </row>
    <row r="140" spans="2:99" ht="14.4" x14ac:dyDescent="0.3">
      <c r="B140" s="5853"/>
      <c r="C140" s="4402" t="s">
        <v>409</v>
      </c>
      <c r="D140" s="4409">
        <v>12</v>
      </c>
      <c r="E140" s="4408"/>
      <c r="F140" s="4408"/>
      <c r="G140" s="4405">
        <v>12</v>
      </c>
      <c r="H140" s="4409">
        <v>30</v>
      </c>
      <c r="I140" s="4408"/>
      <c r="J140" s="4408"/>
      <c r="K140" s="4405">
        <v>30</v>
      </c>
      <c r="L140" s="4409">
        <v>25</v>
      </c>
      <c r="M140" s="4408"/>
      <c r="N140" s="4408"/>
      <c r="O140" s="4405">
        <v>25</v>
      </c>
      <c r="P140" s="4409">
        <v>15</v>
      </c>
      <c r="Q140" s="4408"/>
      <c r="R140" s="4408"/>
      <c r="S140" s="4405">
        <v>15</v>
      </c>
      <c r="T140" s="4409">
        <v>10</v>
      </c>
      <c r="U140" s="4408"/>
      <c r="V140" s="4408"/>
      <c r="W140" s="4405">
        <f t="shared" si="151"/>
        <v>10</v>
      </c>
      <c r="X140" s="4404">
        <v>12</v>
      </c>
      <c r="Y140" s="4404"/>
      <c r="Z140" s="4404"/>
      <c r="AA140" s="4405">
        <f t="shared" ref="AA140:AA156" si="154">SUM(X140:Z140)</f>
        <v>12</v>
      </c>
      <c r="AB140" s="4404"/>
      <c r="AC140" s="4404"/>
      <c r="AD140" s="4404">
        <v>14</v>
      </c>
      <c r="AE140" s="4405">
        <f t="shared" si="152"/>
        <v>14</v>
      </c>
      <c r="AF140" s="4404"/>
      <c r="AG140" s="4404"/>
      <c r="AH140" s="4404">
        <v>13</v>
      </c>
      <c r="AI140" s="4405">
        <f t="shared" ref="AI140:AI156" si="155">SUM(AF140:AH140)</f>
        <v>13</v>
      </c>
      <c r="AJ140" s="4404"/>
      <c r="AK140" s="4404"/>
      <c r="AL140" s="4404">
        <v>12</v>
      </c>
      <c r="AM140" s="4405">
        <f t="shared" si="153"/>
        <v>12</v>
      </c>
      <c r="AN140" s="4404"/>
      <c r="AO140" s="4404"/>
      <c r="AP140" s="4404">
        <v>14</v>
      </c>
      <c r="AQ140" s="4405">
        <f>SUM(AN140:AP140)</f>
        <v>14</v>
      </c>
      <c r="AR140" s="4404" t="s">
        <v>122</v>
      </c>
      <c r="AS140" s="4404"/>
      <c r="AT140" s="4404">
        <v>16</v>
      </c>
      <c r="AU140" s="4405">
        <f t="shared" si="147"/>
        <v>16</v>
      </c>
      <c r="AV140" s="4404"/>
      <c r="AW140" s="4404"/>
      <c r="AX140" s="4404">
        <v>15</v>
      </c>
      <c r="AY140" s="4405">
        <f t="shared" ref="AY140:AY156" si="156">AV140+AW140+AX140</f>
        <v>15</v>
      </c>
      <c r="AZ140" s="4404"/>
      <c r="BA140" s="4404"/>
      <c r="BB140" s="4404">
        <v>14</v>
      </c>
      <c r="BC140" s="4405">
        <f t="shared" ref="BC140:BC155" si="157">AZ140+BA140+BB140</f>
        <v>14</v>
      </c>
      <c r="BD140" s="4404"/>
      <c r="BE140" s="4404"/>
      <c r="BF140" s="4404">
        <v>14</v>
      </c>
      <c r="BG140" s="4405">
        <f>BD140+BE140+BF140</f>
        <v>14</v>
      </c>
      <c r="BH140" s="4404"/>
      <c r="BI140" s="4404"/>
      <c r="BJ140" s="4404">
        <v>16</v>
      </c>
      <c r="BK140" s="4405">
        <f t="shared" si="140"/>
        <v>16</v>
      </c>
      <c r="BL140" s="4404"/>
      <c r="BM140" s="4404"/>
      <c r="BN140" s="4404">
        <v>16</v>
      </c>
      <c r="BO140" s="4405">
        <f t="shared" si="141"/>
        <v>16</v>
      </c>
      <c r="BP140" s="4404"/>
      <c r="BQ140" s="4404"/>
      <c r="BR140" s="4404">
        <v>13</v>
      </c>
      <c r="BS140" s="4405">
        <f t="shared" si="142"/>
        <v>13</v>
      </c>
      <c r="BT140" s="4403"/>
      <c r="BU140" s="4404"/>
      <c r="BV140" s="4404">
        <v>12</v>
      </c>
      <c r="BW140" s="4405">
        <f t="shared" si="143"/>
        <v>12</v>
      </c>
      <c r="BX140" s="4403"/>
      <c r="BY140" s="4404"/>
      <c r="BZ140" s="4404">
        <v>16</v>
      </c>
      <c r="CA140" s="4405">
        <f t="shared" si="144"/>
        <v>16</v>
      </c>
      <c r="CB140" s="4403"/>
      <c r="CC140" s="4404"/>
      <c r="CD140" s="4404">
        <v>15</v>
      </c>
      <c r="CE140" s="4405">
        <f t="shared" si="145"/>
        <v>15</v>
      </c>
      <c r="CF140" s="4403"/>
      <c r="CG140" s="4404"/>
      <c r="CH140" s="4404">
        <v>15</v>
      </c>
      <c r="CI140" s="4405">
        <f t="shared" si="146"/>
        <v>15</v>
      </c>
      <c r="CJ140" s="4403"/>
      <c r="CK140" s="4404"/>
      <c r="CL140" s="4404">
        <v>9</v>
      </c>
      <c r="CM140" s="4405">
        <f t="shared" si="148"/>
        <v>9</v>
      </c>
      <c r="CN140" s="4403"/>
      <c r="CO140" s="4404"/>
      <c r="CP140" s="4404">
        <v>18</v>
      </c>
      <c r="CQ140" s="4405">
        <f t="shared" si="149"/>
        <v>18</v>
      </c>
      <c r="CR140" s="4403"/>
      <c r="CS140" s="4404"/>
      <c r="CT140" s="4404">
        <v>15</v>
      </c>
      <c r="CU140" s="4405">
        <f t="shared" si="150"/>
        <v>15</v>
      </c>
    </row>
    <row r="141" spans="2:99" ht="14.4" x14ac:dyDescent="0.3">
      <c r="B141" s="5853"/>
      <c r="C141" s="4402" t="s">
        <v>410</v>
      </c>
      <c r="D141" s="4409"/>
      <c r="E141" s="4408"/>
      <c r="F141" s="4408"/>
      <c r="G141" s="4405"/>
      <c r="H141" s="4409">
        <v>15</v>
      </c>
      <c r="I141" s="4408"/>
      <c r="J141" s="4408"/>
      <c r="K141" s="4405">
        <v>15</v>
      </c>
      <c r="L141" s="4409"/>
      <c r="M141" s="4408"/>
      <c r="N141" s="4408">
        <v>10</v>
      </c>
      <c r="O141" s="4405">
        <v>10</v>
      </c>
      <c r="P141" s="4409"/>
      <c r="Q141" s="4408"/>
      <c r="R141" s="4408"/>
      <c r="S141" s="4405"/>
      <c r="T141" s="4409"/>
      <c r="U141" s="4408">
        <v>9</v>
      </c>
      <c r="V141" s="4408"/>
      <c r="W141" s="4405">
        <f t="shared" si="151"/>
        <v>9</v>
      </c>
      <c r="X141" s="4404"/>
      <c r="Y141" s="4404"/>
      <c r="Z141" s="4404"/>
      <c r="AA141" s="4405"/>
      <c r="AB141" s="4404">
        <v>12</v>
      </c>
      <c r="AC141" s="4404"/>
      <c r="AD141" s="4404"/>
      <c r="AE141" s="4405">
        <f t="shared" si="152"/>
        <v>12</v>
      </c>
      <c r="AF141" s="4404"/>
      <c r="AG141" s="4404"/>
      <c r="AH141" s="4404">
        <v>10</v>
      </c>
      <c r="AI141" s="4405">
        <f t="shared" si="155"/>
        <v>10</v>
      </c>
      <c r="AJ141" s="4404"/>
      <c r="AK141" s="4404"/>
      <c r="AL141" s="4404"/>
      <c r="AM141" s="4405"/>
      <c r="AN141" s="4404"/>
      <c r="AO141" s="4404">
        <v>10</v>
      </c>
      <c r="AP141" s="4404"/>
      <c r="AQ141" s="4405">
        <f>SUM(AN141:AP141)</f>
        <v>10</v>
      </c>
      <c r="AR141" s="4404"/>
      <c r="AS141" s="4404"/>
      <c r="AT141" s="4404"/>
      <c r="AU141" s="4405">
        <f t="shared" si="147"/>
        <v>0</v>
      </c>
      <c r="AV141" s="4404">
        <v>10</v>
      </c>
      <c r="AW141" s="4404"/>
      <c r="AX141" s="4404"/>
      <c r="AY141" s="4405">
        <f t="shared" si="156"/>
        <v>10</v>
      </c>
      <c r="AZ141" s="4404"/>
      <c r="BA141" s="4404"/>
      <c r="BB141" s="4404">
        <v>13</v>
      </c>
      <c r="BC141" s="4405">
        <f t="shared" si="157"/>
        <v>13</v>
      </c>
      <c r="BD141" s="4404"/>
      <c r="BE141" s="4404"/>
      <c r="BF141" s="4404"/>
      <c r="BG141" s="4405"/>
      <c r="BH141" s="4404"/>
      <c r="BI141" s="4404">
        <v>14</v>
      </c>
      <c r="BJ141" s="4404"/>
      <c r="BK141" s="4405">
        <f t="shared" si="140"/>
        <v>14</v>
      </c>
      <c r="BL141" s="4404"/>
      <c r="BM141" s="4404"/>
      <c r="BN141" s="4404"/>
      <c r="BO141" s="4405">
        <f t="shared" si="141"/>
        <v>0</v>
      </c>
      <c r="BP141" s="4404">
        <v>15</v>
      </c>
      <c r="BQ141" s="4404"/>
      <c r="BR141" s="4404"/>
      <c r="BS141" s="4405">
        <f t="shared" si="142"/>
        <v>15</v>
      </c>
      <c r="BT141" s="4403"/>
      <c r="BU141" s="4404"/>
      <c r="BV141" s="4404">
        <v>14</v>
      </c>
      <c r="BW141" s="4405">
        <f t="shared" si="143"/>
        <v>14</v>
      </c>
      <c r="BX141" s="4403"/>
      <c r="BY141" s="4404"/>
      <c r="BZ141" s="4404"/>
      <c r="CA141" s="4405">
        <f t="shared" si="144"/>
        <v>0</v>
      </c>
      <c r="CB141" s="4403"/>
      <c r="CC141" s="4404">
        <v>11</v>
      </c>
      <c r="CD141" s="4404"/>
      <c r="CE141" s="4405">
        <f t="shared" si="145"/>
        <v>11</v>
      </c>
      <c r="CF141" s="4403"/>
      <c r="CG141" s="4404"/>
      <c r="CH141" s="4404"/>
      <c r="CI141" s="4405">
        <f t="shared" si="146"/>
        <v>0</v>
      </c>
      <c r="CJ141" s="4403">
        <v>11</v>
      </c>
      <c r="CK141" s="4404"/>
      <c r="CL141" s="4404"/>
      <c r="CM141" s="4405">
        <f t="shared" si="148"/>
        <v>11</v>
      </c>
      <c r="CN141" s="4403"/>
      <c r="CO141" s="4404"/>
      <c r="CP141" s="4404">
        <v>10</v>
      </c>
      <c r="CQ141" s="4405">
        <f t="shared" si="149"/>
        <v>10</v>
      </c>
      <c r="CR141" s="4403"/>
      <c r="CS141" s="4404"/>
      <c r="CT141" s="4404"/>
      <c r="CU141" s="4405">
        <f t="shared" si="150"/>
        <v>0</v>
      </c>
    </row>
    <row r="142" spans="2:99" ht="14.4" x14ac:dyDescent="0.3">
      <c r="B142" s="5853"/>
      <c r="C142" s="4402" t="s">
        <v>411</v>
      </c>
      <c r="D142" s="4409"/>
      <c r="E142" s="4408"/>
      <c r="F142" s="4408">
        <v>15</v>
      </c>
      <c r="G142" s="4405">
        <v>15</v>
      </c>
      <c r="H142" s="4409"/>
      <c r="I142" s="4408"/>
      <c r="J142" s="4408"/>
      <c r="K142" s="4405"/>
      <c r="L142" s="4409"/>
      <c r="M142" s="4408"/>
      <c r="N142" s="4408">
        <v>13</v>
      </c>
      <c r="O142" s="4405">
        <v>13</v>
      </c>
      <c r="P142" s="4409"/>
      <c r="Q142" s="4408"/>
      <c r="R142" s="4408"/>
      <c r="S142" s="4405"/>
      <c r="T142" s="4409"/>
      <c r="U142" s="4408"/>
      <c r="V142" s="4408">
        <v>9</v>
      </c>
      <c r="W142" s="4405">
        <f t="shared" si="151"/>
        <v>9</v>
      </c>
      <c r="X142" s="4404"/>
      <c r="Y142" s="4404"/>
      <c r="Z142" s="4404"/>
      <c r="AA142" s="4405"/>
      <c r="AB142" s="4404"/>
      <c r="AC142" s="4404"/>
      <c r="AD142" s="4404">
        <v>5</v>
      </c>
      <c r="AE142" s="4405">
        <f t="shared" si="152"/>
        <v>5</v>
      </c>
      <c r="AF142" s="4404"/>
      <c r="AG142" s="4404"/>
      <c r="AH142" s="4404"/>
      <c r="AI142" s="4405"/>
      <c r="AJ142" s="4404"/>
      <c r="AK142" s="4404"/>
      <c r="AL142" s="4404">
        <v>10</v>
      </c>
      <c r="AM142" s="4405">
        <f t="shared" si="153"/>
        <v>10</v>
      </c>
      <c r="AN142" s="4404"/>
      <c r="AO142" s="4404"/>
      <c r="AP142" s="4404"/>
      <c r="AQ142" s="4405"/>
      <c r="AR142" s="4404"/>
      <c r="AS142" s="4404"/>
      <c r="AT142" s="4404"/>
      <c r="AU142" s="4405">
        <f t="shared" si="147"/>
        <v>0</v>
      </c>
      <c r="AV142" s="4404"/>
      <c r="AW142" s="4404"/>
      <c r="AX142" s="4404">
        <v>6</v>
      </c>
      <c r="AY142" s="4405">
        <f t="shared" si="156"/>
        <v>6</v>
      </c>
      <c r="AZ142" s="4404"/>
      <c r="BA142" s="4404"/>
      <c r="BB142" s="4404"/>
      <c r="BC142" s="4405"/>
      <c r="BD142" s="4404"/>
      <c r="BE142" s="4404"/>
      <c r="BF142" s="4404">
        <v>6</v>
      </c>
      <c r="BG142" s="4405">
        <f>BD142+BE142+BF142</f>
        <v>6</v>
      </c>
      <c r="BH142" s="4404"/>
      <c r="BI142" s="4404"/>
      <c r="BJ142" s="4404"/>
      <c r="BK142" s="4405">
        <f t="shared" si="140"/>
        <v>0</v>
      </c>
      <c r="BL142" s="4404"/>
      <c r="BM142" s="4404"/>
      <c r="BN142" s="4404"/>
      <c r="BO142" s="4405">
        <f t="shared" si="141"/>
        <v>0</v>
      </c>
      <c r="BP142" s="4404"/>
      <c r="BQ142" s="4404"/>
      <c r="BR142" s="4404">
        <v>7</v>
      </c>
      <c r="BS142" s="4405">
        <f t="shared" si="142"/>
        <v>7</v>
      </c>
      <c r="BT142" s="4403"/>
      <c r="BU142" s="4404"/>
      <c r="BV142" s="4404"/>
      <c r="BW142" s="4405">
        <f t="shared" si="143"/>
        <v>0</v>
      </c>
      <c r="BX142" s="4403"/>
      <c r="BY142" s="4404"/>
      <c r="BZ142" s="4404">
        <v>11</v>
      </c>
      <c r="CA142" s="4405">
        <f t="shared" si="144"/>
        <v>11</v>
      </c>
      <c r="CB142" s="4403"/>
      <c r="CC142" s="4404"/>
      <c r="CD142" s="4404"/>
      <c r="CE142" s="4405">
        <f t="shared" si="145"/>
        <v>0</v>
      </c>
      <c r="CF142" s="4403"/>
      <c r="CG142" s="4404"/>
      <c r="CH142" s="4404">
        <v>10</v>
      </c>
      <c r="CI142" s="4405">
        <f t="shared" si="146"/>
        <v>10</v>
      </c>
      <c r="CJ142" s="4403"/>
      <c r="CK142" s="4404"/>
      <c r="CL142" s="4404"/>
      <c r="CM142" s="4405">
        <f t="shared" si="148"/>
        <v>0</v>
      </c>
      <c r="CN142" s="4403"/>
      <c r="CO142" s="4404"/>
      <c r="CP142" s="4404">
        <v>6</v>
      </c>
      <c r="CQ142" s="4405">
        <f t="shared" si="149"/>
        <v>6</v>
      </c>
      <c r="CR142" s="4403"/>
      <c r="CS142" s="4404"/>
      <c r="CT142" s="4404"/>
      <c r="CU142" s="4405">
        <f t="shared" si="150"/>
        <v>0</v>
      </c>
    </row>
    <row r="143" spans="2:99" ht="14.4" x14ac:dyDescent="0.3">
      <c r="B143" s="5853"/>
      <c r="C143" s="4402" t="s">
        <v>451</v>
      </c>
      <c r="D143" s="4409">
        <v>20</v>
      </c>
      <c r="E143" s="4408"/>
      <c r="F143" s="4408"/>
      <c r="G143" s="4405">
        <v>20</v>
      </c>
      <c r="H143" s="4409">
        <v>12</v>
      </c>
      <c r="I143" s="4408"/>
      <c r="J143" s="4408"/>
      <c r="K143" s="4405">
        <v>12</v>
      </c>
      <c r="L143" s="4409">
        <v>9</v>
      </c>
      <c r="M143" s="4408"/>
      <c r="N143" s="4408"/>
      <c r="O143" s="4405">
        <v>9</v>
      </c>
      <c r="P143" s="4409">
        <v>8</v>
      </c>
      <c r="Q143" s="4408"/>
      <c r="R143" s="4408"/>
      <c r="S143" s="4405">
        <v>8</v>
      </c>
      <c r="T143" s="4409">
        <v>10</v>
      </c>
      <c r="U143" s="4408">
        <v>2</v>
      </c>
      <c r="V143" s="4408"/>
      <c r="W143" s="4405">
        <f t="shared" si="151"/>
        <v>12</v>
      </c>
      <c r="X143" s="4404">
        <v>5</v>
      </c>
      <c r="Y143" s="4404"/>
      <c r="Z143" s="4404">
        <v>5</v>
      </c>
      <c r="AA143" s="4405">
        <f t="shared" si="154"/>
        <v>10</v>
      </c>
      <c r="AB143" s="4404">
        <v>4</v>
      </c>
      <c r="AC143" s="4404">
        <v>4</v>
      </c>
      <c r="AD143" s="4404">
        <v>8</v>
      </c>
      <c r="AE143" s="4405">
        <f t="shared" si="152"/>
        <v>16</v>
      </c>
      <c r="AF143" s="4404">
        <v>3</v>
      </c>
      <c r="AG143" s="4404">
        <v>4</v>
      </c>
      <c r="AH143" s="4404">
        <v>2</v>
      </c>
      <c r="AI143" s="4405">
        <f t="shared" si="155"/>
        <v>9</v>
      </c>
      <c r="AJ143" s="4404">
        <v>3</v>
      </c>
      <c r="AK143" s="4404">
        <v>8</v>
      </c>
      <c r="AL143" s="4404">
        <v>4</v>
      </c>
      <c r="AM143" s="4405">
        <f t="shared" si="153"/>
        <v>15</v>
      </c>
      <c r="AN143" s="4404">
        <v>6</v>
      </c>
      <c r="AO143" s="4404">
        <v>4</v>
      </c>
      <c r="AP143" s="4404">
        <v>11</v>
      </c>
      <c r="AQ143" s="4405">
        <f>SUM(AN143:AP143)</f>
        <v>21</v>
      </c>
      <c r="AR143" s="4404">
        <v>8</v>
      </c>
      <c r="AS143" s="4404">
        <v>6</v>
      </c>
      <c r="AT143" s="4404">
        <v>5</v>
      </c>
      <c r="AU143" s="4405">
        <f t="shared" si="147"/>
        <v>19</v>
      </c>
      <c r="AV143" s="4404">
        <v>3</v>
      </c>
      <c r="AW143" s="4404">
        <v>5</v>
      </c>
      <c r="AX143" s="4404">
        <v>1</v>
      </c>
      <c r="AY143" s="4405">
        <f t="shared" si="156"/>
        <v>9</v>
      </c>
      <c r="AZ143" s="4404">
        <v>2</v>
      </c>
      <c r="BA143" s="4404">
        <v>3</v>
      </c>
      <c r="BB143" s="4404">
        <v>4</v>
      </c>
      <c r="BC143" s="4405">
        <f t="shared" si="157"/>
        <v>9</v>
      </c>
      <c r="BD143" s="4404">
        <v>6</v>
      </c>
      <c r="BE143" s="4404">
        <v>7</v>
      </c>
      <c r="BF143" s="4404">
        <v>3</v>
      </c>
      <c r="BG143" s="4405">
        <f t="shared" ref="BG143:BG156" si="158">BD143+BE143+BF143</f>
        <v>16</v>
      </c>
      <c r="BH143" s="4404">
        <v>5</v>
      </c>
      <c r="BI143" s="4404">
        <v>6</v>
      </c>
      <c r="BJ143" s="4404">
        <v>5</v>
      </c>
      <c r="BK143" s="4405">
        <f t="shared" si="140"/>
        <v>16</v>
      </c>
      <c r="BL143" s="4404">
        <v>6</v>
      </c>
      <c r="BM143" s="4404">
        <v>7</v>
      </c>
      <c r="BN143" s="4404">
        <v>5</v>
      </c>
      <c r="BO143" s="4405">
        <f t="shared" si="141"/>
        <v>18</v>
      </c>
      <c r="BP143" s="4404">
        <v>4</v>
      </c>
      <c r="BQ143" s="4404">
        <v>7</v>
      </c>
      <c r="BR143" s="4404">
        <v>3</v>
      </c>
      <c r="BS143" s="4405">
        <f t="shared" si="142"/>
        <v>14</v>
      </c>
      <c r="BT143" s="4403">
        <v>7</v>
      </c>
      <c r="BU143" s="4404">
        <v>7</v>
      </c>
      <c r="BV143" s="4404">
        <v>5</v>
      </c>
      <c r="BW143" s="4405">
        <f t="shared" si="143"/>
        <v>19</v>
      </c>
      <c r="BX143" s="4403">
        <v>7</v>
      </c>
      <c r="BY143" s="4404">
        <v>6</v>
      </c>
      <c r="BZ143" s="4404">
        <v>4</v>
      </c>
      <c r="CA143" s="4405">
        <f t="shared" si="144"/>
        <v>17</v>
      </c>
      <c r="CB143" s="4403">
        <v>4</v>
      </c>
      <c r="CC143" s="4404">
        <v>6</v>
      </c>
      <c r="CD143" s="4404">
        <v>5</v>
      </c>
      <c r="CE143" s="4405">
        <f t="shared" si="145"/>
        <v>15</v>
      </c>
      <c r="CF143" s="4403">
        <v>6</v>
      </c>
      <c r="CG143" s="4404">
        <v>7</v>
      </c>
      <c r="CH143" s="4404">
        <v>6</v>
      </c>
      <c r="CI143" s="4405">
        <f t="shared" si="146"/>
        <v>19</v>
      </c>
      <c r="CJ143" s="4403">
        <v>6</v>
      </c>
      <c r="CK143" s="4404">
        <v>4</v>
      </c>
      <c r="CL143" s="4404">
        <v>3</v>
      </c>
      <c r="CM143" s="4405">
        <f t="shared" si="148"/>
        <v>13</v>
      </c>
      <c r="CN143" s="4403">
        <v>8</v>
      </c>
      <c r="CO143" s="4404"/>
      <c r="CP143" s="4404">
        <v>10</v>
      </c>
      <c r="CQ143" s="4405">
        <f t="shared" si="149"/>
        <v>18</v>
      </c>
      <c r="CR143" s="4403">
        <v>4</v>
      </c>
      <c r="CS143" s="4404"/>
      <c r="CT143" s="4404">
        <v>8</v>
      </c>
      <c r="CU143" s="4405">
        <f t="shared" si="150"/>
        <v>12</v>
      </c>
    </row>
    <row r="144" spans="2:99" ht="14.4" x14ac:dyDescent="0.3">
      <c r="B144" s="5853"/>
      <c r="C144" s="4402" t="s">
        <v>413</v>
      </c>
      <c r="D144" s="4409"/>
      <c r="E144" s="4408"/>
      <c r="F144" s="4408"/>
      <c r="G144" s="4405"/>
      <c r="H144" s="4409"/>
      <c r="I144" s="4408"/>
      <c r="J144" s="4408"/>
      <c r="K144" s="4405"/>
      <c r="L144" s="4409"/>
      <c r="M144" s="4408"/>
      <c r="N144" s="4408"/>
      <c r="O144" s="4405"/>
      <c r="P144" s="4409">
        <v>13</v>
      </c>
      <c r="Q144" s="4408"/>
      <c r="R144" s="4408">
        <v>7</v>
      </c>
      <c r="S144" s="4405">
        <v>20</v>
      </c>
      <c r="T144" s="4409"/>
      <c r="U144" s="4408"/>
      <c r="V144" s="4408">
        <v>12</v>
      </c>
      <c r="W144" s="4405">
        <f t="shared" si="151"/>
        <v>12</v>
      </c>
      <c r="X144" s="4404"/>
      <c r="Y144" s="4404"/>
      <c r="Z144" s="4404">
        <v>6</v>
      </c>
      <c r="AA144" s="4405">
        <f t="shared" si="154"/>
        <v>6</v>
      </c>
      <c r="AB144" s="4404"/>
      <c r="AC144" s="4404"/>
      <c r="AD144" s="4404">
        <v>23</v>
      </c>
      <c r="AE144" s="4405">
        <f t="shared" si="152"/>
        <v>23</v>
      </c>
      <c r="AF144" s="4404"/>
      <c r="AG144" s="4404"/>
      <c r="AH144" s="4404">
        <v>18</v>
      </c>
      <c r="AI144" s="4405">
        <f t="shared" si="155"/>
        <v>18</v>
      </c>
      <c r="AJ144" s="4404"/>
      <c r="AK144" s="4404"/>
      <c r="AL144" s="4404">
        <v>15</v>
      </c>
      <c r="AM144" s="4405">
        <f t="shared" si="153"/>
        <v>15</v>
      </c>
      <c r="AN144" s="4404"/>
      <c r="AO144" s="4404"/>
      <c r="AP144" s="4404">
        <v>18</v>
      </c>
      <c r="AQ144" s="4405">
        <f>SUM(AN144:AP144)</f>
        <v>18</v>
      </c>
      <c r="AR144" s="4404" t="s">
        <v>122</v>
      </c>
      <c r="AS144" s="4404" t="s">
        <v>122</v>
      </c>
      <c r="AT144" s="4404">
        <v>17</v>
      </c>
      <c r="AU144" s="4405">
        <f t="shared" si="147"/>
        <v>17</v>
      </c>
      <c r="AV144" s="4404"/>
      <c r="AW144" s="4404"/>
      <c r="AX144" s="4404">
        <v>20</v>
      </c>
      <c r="AY144" s="4405">
        <f t="shared" si="156"/>
        <v>20</v>
      </c>
      <c r="AZ144" s="4404"/>
      <c r="BA144" s="4404">
        <v>12</v>
      </c>
      <c r="BB144" s="4404">
        <v>11</v>
      </c>
      <c r="BC144" s="4405">
        <f t="shared" si="157"/>
        <v>23</v>
      </c>
      <c r="BD144" s="4404"/>
      <c r="BE144" s="4404">
        <v>11</v>
      </c>
      <c r="BF144" s="4404">
        <v>12</v>
      </c>
      <c r="BG144" s="4405">
        <f t="shared" si="158"/>
        <v>23</v>
      </c>
      <c r="BH144" s="4404"/>
      <c r="BI144" s="4404">
        <v>12</v>
      </c>
      <c r="BJ144" s="4404">
        <v>12</v>
      </c>
      <c r="BK144" s="4405">
        <f t="shared" si="140"/>
        <v>24</v>
      </c>
      <c r="BL144" s="4404"/>
      <c r="BM144" s="4404">
        <v>12</v>
      </c>
      <c r="BN144" s="4404">
        <v>12</v>
      </c>
      <c r="BO144" s="4405">
        <f t="shared" si="141"/>
        <v>24</v>
      </c>
      <c r="BP144" s="4404"/>
      <c r="BQ144" s="4404">
        <v>12</v>
      </c>
      <c r="BR144" s="4404">
        <v>12</v>
      </c>
      <c r="BS144" s="4405">
        <f t="shared" si="142"/>
        <v>24</v>
      </c>
      <c r="BT144" s="4403"/>
      <c r="BU144" s="4404">
        <v>10</v>
      </c>
      <c r="BV144" s="4404">
        <v>12</v>
      </c>
      <c r="BW144" s="4405">
        <f t="shared" si="143"/>
        <v>22</v>
      </c>
      <c r="BX144" s="4403"/>
      <c r="BY144" s="4404">
        <v>11</v>
      </c>
      <c r="BZ144" s="4404">
        <v>11</v>
      </c>
      <c r="CA144" s="4405">
        <f t="shared" si="144"/>
        <v>22</v>
      </c>
      <c r="CB144" s="4403"/>
      <c r="CC144" s="4404">
        <v>10</v>
      </c>
      <c r="CD144" s="4404">
        <v>17</v>
      </c>
      <c r="CE144" s="4405">
        <f t="shared" si="145"/>
        <v>27</v>
      </c>
      <c r="CF144" s="4403"/>
      <c r="CG144" s="4404">
        <v>20</v>
      </c>
      <c r="CH144" s="4404"/>
      <c r="CI144" s="4405">
        <f t="shared" si="146"/>
        <v>20</v>
      </c>
      <c r="CJ144" s="4403">
        <v>12</v>
      </c>
      <c r="CK144" s="4404"/>
      <c r="CL144" s="4404"/>
      <c r="CM144" s="4405">
        <f t="shared" si="148"/>
        <v>12</v>
      </c>
      <c r="CN144" s="4403"/>
      <c r="CO144" s="4404">
        <v>16</v>
      </c>
      <c r="CP144" s="4404"/>
      <c r="CQ144" s="4405">
        <f t="shared" si="149"/>
        <v>16</v>
      </c>
      <c r="CR144" s="4403"/>
      <c r="CS144" s="4404">
        <v>16</v>
      </c>
      <c r="CT144" s="4404"/>
      <c r="CU144" s="4405">
        <f t="shared" si="150"/>
        <v>16</v>
      </c>
    </row>
    <row r="145" spans="1:99" ht="14.4" x14ac:dyDescent="0.3">
      <c r="B145" s="5853"/>
      <c r="C145" s="4402" t="s">
        <v>414</v>
      </c>
      <c r="D145" s="4409"/>
      <c r="E145" s="4408"/>
      <c r="F145" s="4408"/>
      <c r="G145" s="4405"/>
      <c r="H145" s="4409"/>
      <c r="I145" s="4408"/>
      <c r="J145" s="4408"/>
      <c r="K145" s="4405"/>
      <c r="L145" s="4409"/>
      <c r="M145" s="4408"/>
      <c r="N145" s="4408"/>
      <c r="O145" s="4405"/>
      <c r="P145" s="4409"/>
      <c r="Q145" s="4408"/>
      <c r="R145" s="4408"/>
      <c r="S145" s="4405"/>
      <c r="T145" s="4409"/>
      <c r="U145" s="4408"/>
      <c r="V145" s="4408"/>
      <c r="W145" s="4405"/>
      <c r="X145" s="4404"/>
      <c r="Y145" s="4404"/>
      <c r="Z145" s="4404"/>
      <c r="AA145" s="4405"/>
      <c r="AB145" s="4404"/>
      <c r="AC145" s="4404"/>
      <c r="AD145" s="4404"/>
      <c r="AE145" s="4405"/>
      <c r="AF145" s="4404"/>
      <c r="AG145" s="4404"/>
      <c r="AH145" s="4404"/>
      <c r="AI145" s="4405"/>
      <c r="AJ145" s="4404"/>
      <c r="AK145" s="4404"/>
      <c r="AL145" s="4404"/>
      <c r="AM145" s="4405"/>
      <c r="AN145" s="4404"/>
      <c r="AO145" s="4404"/>
      <c r="AP145" s="4404"/>
      <c r="AQ145" s="4405"/>
      <c r="AR145" s="4404"/>
      <c r="AS145" s="4404"/>
      <c r="AT145" s="4404"/>
      <c r="AU145" s="4405"/>
      <c r="AV145" s="4404"/>
      <c r="AW145" s="4404"/>
      <c r="AX145" s="4404"/>
      <c r="AY145" s="4405"/>
      <c r="AZ145" s="4404"/>
      <c r="BA145" s="4404"/>
      <c r="BB145" s="4404"/>
      <c r="BC145" s="4405"/>
      <c r="BD145" s="4404"/>
      <c r="BE145" s="4404"/>
      <c r="BF145" s="4404"/>
      <c r="BG145" s="4405"/>
      <c r="BH145" s="4404"/>
      <c r="BI145" s="4404"/>
      <c r="BJ145" s="4404"/>
      <c r="BK145" s="4405"/>
      <c r="BL145" s="4404"/>
      <c r="BM145" s="4404"/>
      <c r="BN145" s="4404"/>
      <c r="BO145" s="4405"/>
      <c r="BP145" s="4404"/>
      <c r="BQ145" s="4404"/>
      <c r="BR145" s="4404"/>
      <c r="BS145" s="4405"/>
      <c r="BT145" s="4403"/>
      <c r="BU145" s="4404"/>
      <c r="BV145" s="4404"/>
      <c r="BW145" s="4405"/>
      <c r="BX145" s="4403"/>
      <c r="BY145" s="4404"/>
      <c r="BZ145" s="4404"/>
      <c r="CA145" s="4405"/>
      <c r="CB145" s="4403"/>
      <c r="CC145" s="4404">
        <v>10</v>
      </c>
      <c r="CD145" s="4404"/>
      <c r="CE145" s="4405">
        <f t="shared" si="145"/>
        <v>10</v>
      </c>
      <c r="CF145" s="4403"/>
      <c r="CG145" s="4404">
        <v>7</v>
      </c>
      <c r="CH145" s="4404"/>
      <c r="CI145" s="4405">
        <f t="shared" si="146"/>
        <v>7</v>
      </c>
      <c r="CJ145" s="4403"/>
      <c r="CK145" s="4404"/>
      <c r="CL145" s="4404"/>
      <c r="CM145" s="4405">
        <f t="shared" si="148"/>
        <v>0</v>
      </c>
      <c r="CN145" s="4403">
        <v>8</v>
      </c>
      <c r="CO145" s="4404"/>
      <c r="CP145" s="4404"/>
      <c r="CQ145" s="4405">
        <f t="shared" si="149"/>
        <v>8</v>
      </c>
      <c r="CR145" s="4403"/>
      <c r="CS145" s="4404"/>
      <c r="CT145" s="4404">
        <v>3</v>
      </c>
      <c r="CU145" s="4405">
        <f t="shared" si="150"/>
        <v>3</v>
      </c>
    </row>
    <row r="146" spans="1:99" ht="14.4" x14ac:dyDescent="0.3">
      <c r="B146" s="5853"/>
      <c r="C146" s="4402" t="s">
        <v>415</v>
      </c>
      <c r="D146" s="4409"/>
      <c r="E146" s="4408"/>
      <c r="F146" s="4408"/>
      <c r="G146" s="4405"/>
      <c r="H146" s="4409"/>
      <c r="I146" s="4408"/>
      <c r="J146" s="4408"/>
      <c r="K146" s="4405"/>
      <c r="L146" s="4409"/>
      <c r="M146" s="4408"/>
      <c r="N146" s="4408"/>
      <c r="O146" s="4405"/>
      <c r="P146" s="4409"/>
      <c r="Q146" s="4408"/>
      <c r="R146" s="4408"/>
      <c r="S146" s="4405"/>
      <c r="T146" s="4409"/>
      <c r="U146" s="4408"/>
      <c r="V146" s="4408"/>
      <c r="W146" s="4405"/>
      <c r="X146" s="4404"/>
      <c r="Y146" s="4404"/>
      <c r="Z146" s="4404"/>
      <c r="AA146" s="4405"/>
      <c r="AB146" s="4404"/>
      <c r="AC146" s="4404"/>
      <c r="AD146" s="4404"/>
      <c r="AE146" s="4405"/>
      <c r="AF146" s="4404"/>
      <c r="AG146" s="4404"/>
      <c r="AH146" s="4404"/>
      <c r="AI146" s="4405"/>
      <c r="AJ146" s="4404"/>
      <c r="AK146" s="4404"/>
      <c r="AL146" s="4404"/>
      <c r="AM146" s="4405"/>
      <c r="AN146" s="4404"/>
      <c r="AO146" s="4404"/>
      <c r="AP146" s="4404"/>
      <c r="AQ146" s="4405"/>
      <c r="AR146" s="4404"/>
      <c r="AS146" s="4404"/>
      <c r="AT146" s="4404"/>
      <c r="AU146" s="4405"/>
      <c r="AV146" s="4404"/>
      <c r="AW146" s="4404"/>
      <c r="AX146" s="4404"/>
      <c r="AY146" s="4405"/>
      <c r="AZ146" s="4404"/>
      <c r="BA146" s="4404"/>
      <c r="BB146" s="4404"/>
      <c r="BC146" s="4405"/>
      <c r="BD146" s="4404"/>
      <c r="BE146" s="4404"/>
      <c r="BF146" s="4404"/>
      <c r="BG146" s="4405"/>
      <c r="BH146" s="4404"/>
      <c r="BI146" s="4404"/>
      <c r="BJ146" s="4404"/>
      <c r="BK146" s="4405"/>
      <c r="BL146" s="4404"/>
      <c r="BM146" s="4404">
        <v>10</v>
      </c>
      <c r="BN146" s="4404"/>
      <c r="BO146" s="4405">
        <f t="shared" si="141"/>
        <v>10</v>
      </c>
      <c r="BP146" s="4404"/>
      <c r="BQ146" s="4404">
        <v>11</v>
      </c>
      <c r="BR146" s="4404"/>
      <c r="BS146" s="4405">
        <f t="shared" si="142"/>
        <v>11</v>
      </c>
      <c r="BT146" s="4403"/>
      <c r="BU146" s="4404">
        <v>10</v>
      </c>
      <c r="BV146" s="4404"/>
      <c r="BW146" s="4405">
        <f t="shared" si="143"/>
        <v>10</v>
      </c>
      <c r="BX146" s="4403"/>
      <c r="BY146" s="4404">
        <v>9</v>
      </c>
      <c r="BZ146" s="4404"/>
      <c r="CA146" s="4405">
        <f t="shared" si="144"/>
        <v>9</v>
      </c>
      <c r="CB146" s="4403"/>
      <c r="CC146" s="4404">
        <v>6</v>
      </c>
      <c r="CD146" s="4404"/>
      <c r="CE146" s="4405">
        <f t="shared" si="145"/>
        <v>6</v>
      </c>
      <c r="CF146" s="4403"/>
      <c r="CG146" s="4404">
        <v>4</v>
      </c>
      <c r="CH146" s="4404"/>
      <c r="CI146" s="4405">
        <f t="shared" si="146"/>
        <v>4</v>
      </c>
      <c r="CJ146" s="4403"/>
      <c r="CK146" s="4404">
        <v>8</v>
      </c>
      <c r="CL146" s="4404"/>
      <c r="CM146" s="4405">
        <f t="shared" si="148"/>
        <v>8</v>
      </c>
      <c r="CN146" s="4403"/>
      <c r="CO146" s="4404">
        <v>6</v>
      </c>
      <c r="CP146" s="4404"/>
      <c r="CQ146" s="4405">
        <f t="shared" si="149"/>
        <v>6</v>
      </c>
      <c r="CR146" s="4403"/>
      <c r="CS146" s="4404">
        <v>7</v>
      </c>
      <c r="CT146" s="4404"/>
      <c r="CU146" s="4405">
        <f t="shared" si="150"/>
        <v>7</v>
      </c>
    </row>
    <row r="147" spans="1:99" ht="14.4" x14ac:dyDescent="0.3">
      <c r="B147" s="5854"/>
      <c r="C147" s="4402" t="s">
        <v>1536</v>
      </c>
      <c r="D147" s="4409"/>
      <c r="E147" s="4408"/>
      <c r="F147" s="4408"/>
      <c r="G147" s="4405"/>
      <c r="H147" s="4409"/>
      <c r="I147" s="4408"/>
      <c r="J147" s="4408"/>
      <c r="K147" s="4405"/>
      <c r="L147" s="4409"/>
      <c r="M147" s="4408"/>
      <c r="N147" s="4408"/>
      <c r="O147" s="4405"/>
      <c r="P147" s="4409"/>
      <c r="Q147" s="4408"/>
      <c r="R147" s="4408"/>
      <c r="S147" s="4405"/>
      <c r="T147" s="4409"/>
      <c r="U147" s="4408"/>
      <c r="V147" s="4408"/>
      <c r="W147" s="4405"/>
      <c r="X147" s="4404"/>
      <c r="Y147" s="4404"/>
      <c r="Z147" s="4404"/>
      <c r="AA147" s="4405"/>
      <c r="AB147" s="4404"/>
      <c r="AC147" s="4404"/>
      <c r="AD147" s="4404"/>
      <c r="AE147" s="4405"/>
      <c r="AF147" s="4404"/>
      <c r="AG147" s="4404"/>
      <c r="AH147" s="4404"/>
      <c r="AI147" s="4405"/>
      <c r="AJ147" s="4404"/>
      <c r="AK147" s="4404"/>
      <c r="AL147" s="4404"/>
      <c r="AM147" s="4405"/>
      <c r="AN147" s="4404"/>
      <c r="AO147" s="4404"/>
      <c r="AP147" s="4404"/>
      <c r="AQ147" s="4405"/>
      <c r="AR147" s="4404"/>
      <c r="AS147" s="4404"/>
      <c r="AT147" s="4404"/>
      <c r="AU147" s="4405"/>
      <c r="AV147" s="4404"/>
      <c r="AW147" s="4404"/>
      <c r="AX147" s="4404"/>
      <c r="AY147" s="4405"/>
      <c r="AZ147" s="4404"/>
      <c r="BA147" s="4404"/>
      <c r="BB147" s="4404"/>
      <c r="BC147" s="4405"/>
      <c r="BD147" s="4404"/>
      <c r="BE147" s="4404"/>
      <c r="BF147" s="4404"/>
      <c r="BG147" s="4405"/>
      <c r="BH147" s="4404"/>
      <c r="BI147" s="4404"/>
      <c r="BJ147" s="4404"/>
      <c r="BK147" s="4405"/>
      <c r="BL147" s="4404"/>
      <c r="BM147" s="4404"/>
      <c r="BN147" s="4404"/>
      <c r="BO147" s="4405"/>
      <c r="BP147" s="4404"/>
      <c r="BQ147" s="4404"/>
      <c r="BR147" s="4404"/>
      <c r="BS147" s="4405"/>
      <c r="BT147" s="4403"/>
      <c r="BU147" s="4404"/>
      <c r="BV147" s="4404"/>
      <c r="BW147" s="4405"/>
      <c r="BX147" s="4403"/>
      <c r="BY147" s="4404"/>
      <c r="BZ147" s="4404"/>
      <c r="CA147" s="4405"/>
      <c r="CB147" s="4403"/>
      <c r="CC147" s="4404"/>
      <c r="CD147" s="4404"/>
      <c r="CE147" s="4405"/>
      <c r="CF147" s="4403"/>
      <c r="CG147" s="4404"/>
      <c r="CH147" s="4404"/>
      <c r="CI147" s="4405"/>
      <c r="CJ147" s="4403"/>
      <c r="CK147" s="4404"/>
      <c r="CL147" s="4404"/>
      <c r="CM147" s="4405"/>
      <c r="CN147" s="4403"/>
      <c r="CO147" s="4404"/>
      <c r="CP147" s="4404"/>
      <c r="CQ147" s="4405"/>
      <c r="CR147" s="4403">
        <v>11</v>
      </c>
      <c r="CS147" s="4404"/>
      <c r="CT147" s="4404"/>
      <c r="CU147" s="4405">
        <f t="shared" si="150"/>
        <v>11</v>
      </c>
    </row>
    <row r="148" spans="1:99" ht="14.4" x14ac:dyDescent="0.3">
      <c r="B148" s="5850" t="s">
        <v>317</v>
      </c>
      <c r="C148" s="1265" t="s">
        <v>354</v>
      </c>
      <c r="D148" s="1281"/>
      <c r="E148" s="1280"/>
      <c r="F148" s="1280">
        <v>6</v>
      </c>
      <c r="G148" s="1264">
        <v>6</v>
      </c>
      <c r="H148" s="1281"/>
      <c r="I148" s="1280"/>
      <c r="J148" s="1280">
        <v>4</v>
      </c>
      <c r="K148" s="1264">
        <v>4</v>
      </c>
      <c r="L148" s="1281"/>
      <c r="M148" s="1280"/>
      <c r="N148" s="1280">
        <v>15</v>
      </c>
      <c r="O148" s="1264">
        <v>15</v>
      </c>
      <c r="P148" s="1281">
        <v>12</v>
      </c>
      <c r="Q148" s="1280"/>
      <c r="R148" s="1280">
        <v>12</v>
      </c>
      <c r="S148" s="1264">
        <v>24</v>
      </c>
      <c r="T148" s="1281">
        <v>7</v>
      </c>
      <c r="U148" s="1280"/>
      <c r="V148" s="1280">
        <v>7</v>
      </c>
      <c r="W148" s="1264">
        <f t="shared" si="151"/>
        <v>14</v>
      </c>
      <c r="X148" s="1263">
        <v>2</v>
      </c>
      <c r="Y148" s="1263"/>
      <c r="Z148" s="1263">
        <v>1</v>
      </c>
      <c r="AA148" s="1264">
        <f t="shared" si="154"/>
        <v>3</v>
      </c>
      <c r="AB148" s="1263">
        <v>4</v>
      </c>
      <c r="AC148" s="1263"/>
      <c r="AD148" s="1263">
        <v>2</v>
      </c>
      <c r="AE148" s="1264">
        <f t="shared" si="152"/>
        <v>6</v>
      </c>
      <c r="AF148" s="1263">
        <v>6</v>
      </c>
      <c r="AG148" s="1263"/>
      <c r="AH148" s="1263">
        <v>9</v>
      </c>
      <c r="AI148" s="1264">
        <f t="shared" si="155"/>
        <v>15</v>
      </c>
      <c r="AJ148" s="1263">
        <v>7</v>
      </c>
      <c r="AK148" s="1263"/>
      <c r="AL148" s="1263">
        <v>8</v>
      </c>
      <c r="AM148" s="1264">
        <f t="shared" si="153"/>
        <v>15</v>
      </c>
      <c r="AN148" s="1263">
        <v>6</v>
      </c>
      <c r="AO148" s="1263"/>
      <c r="AP148" s="1263">
        <v>7</v>
      </c>
      <c r="AQ148" s="1264">
        <f>SUM(AN148:AP148)</f>
        <v>13</v>
      </c>
      <c r="AR148" s="1263" t="s">
        <v>122</v>
      </c>
      <c r="AS148" s="1263" t="s">
        <v>122</v>
      </c>
      <c r="AT148" s="1263">
        <v>13</v>
      </c>
      <c r="AU148" s="1264">
        <f t="shared" si="147"/>
        <v>13</v>
      </c>
      <c r="AV148" s="1263">
        <v>6</v>
      </c>
      <c r="AW148" s="1263"/>
      <c r="AX148" s="1263">
        <v>6</v>
      </c>
      <c r="AY148" s="1264">
        <f t="shared" si="156"/>
        <v>12</v>
      </c>
      <c r="AZ148" s="1263">
        <v>9</v>
      </c>
      <c r="BA148" s="1263"/>
      <c r="BB148" s="1263"/>
      <c r="BC148" s="1264">
        <f t="shared" si="157"/>
        <v>9</v>
      </c>
      <c r="BD148" s="1263">
        <v>9</v>
      </c>
      <c r="BE148" s="1263"/>
      <c r="BF148" s="1263">
        <v>5</v>
      </c>
      <c r="BG148" s="1264">
        <f t="shared" si="158"/>
        <v>14</v>
      </c>
      <c r="BH148" s="1263">
        <v>6</v>
      </c>
      <c r="BI148" s="1263"/>
      <c r="BJ148" s="1263">
        <v>7</v>
      </c>
      <c r="BK148" s="1264">
        <f t="shared" si="140"/>
        <v>13</v>
      </c>
      <c r="BL148" s="1263">
        <v>8</v>
      </c>
      <c r="BM148" s="1263"/>
      <c r="BN148" s="1263">
        <v>5</v>
      </c>
      <c r="BO148" s="1264">
        <f t="shared" si="141"/>
        <v>13</v>
      </c>
      <c r="BP148" s="1263">
        <v>7</v>
      </c>
      <c r="BQ148" s="1263"/>
      <c r="BR148" s="1263">
        <v>8</v>
      </c>
      <c r="BS148" s="1264">
        <f t="shared" si="142"/>
        <v>15</v>
      </c>
      <c r="BT148" s="1262">
        <v>8</v>
      </c>
      <c r="BU148" s="1263"/>
      <c r="BV148" s="1263">
        <v>9</v>
      </c>
      <c r="BW148" s="1264">
        <f t="shared" si="143"/>
        <v>17</v>
      </c>
      <c r="BX148" s="1262">
        <v>6</v>
      </c>
      <c r="BY148" s="1263"/>
      <c r="BZ148" s="1263">
        <v>5</v>
      </c>
      <c r="CA148" s="1264">
        <f t="shared" si="144"/>
        <v>11</v>
      </c>
      <c r="CB148" s="1262">
        <v>9</v>
      </c>
      <c r="CC148" s="1263"/>
      <c r="CD148" s="1263">
        <v>6</v>
      </c>
      <c r="CE148" s="1264">
        <f t="shared" si="145"/>
        <v>15</v>
      </c>
      <c r="CF148" s="1262">
        <v>4</v>
      </c>
      <c r="CG148" s="1263">
        <v>3</v>
      </c>
      <c r="CH148" s="1263">
        <v>11</v>
      </c>
      <c r="CI148" s="1264">
        <f t="shared" si="146"/>
        <v>18</v>
      </c>
      <c r="CJ148" s="1262"/>
      <c r="CK148" s="1263">
        <v>6</v>
      </c>
      <c r="CL148" s="1263"/>
      <c r="CM148" s="1264">
        <f t="shared" si="148"/>
        <v>6</v>
      </c>
      <c r="CN148" s="1262">
        <v>10</v>
      </c>
      <c r="CO148" s="1263">
        <v>6</v>
      </c>
      <c r="CP148" s="1263"/>
      <c r="CQ148" s="1264">
        <f t="shared" si="149"/>
        <v>16</v>
      </c>
      <c r="CR148" s="1262">
        <v>4</v>
      </c>
      <c r="CS148" s="1263"/>
      <c r="CT148" s="1263">
        <v>5</v>
      </c>
      <c r="CU148" s="1264">
        <f t="shared" si="150"/>
        <v>9</v>
      </c>
    </row>
    <row r="149" spans="1:99" ht="14.4" x14ac:dyDescent="0.3">
      <c r="B149" s="5855"/>
      <c r="C149" s="1265" t="s">
        <v>451</v>
      </c>
      <c r="D149" s="1281"/>
      <c r="E149" s="1280"/>
      <c r="F149" s="1280"/>
      <c r="G149" s="1264"/>
      <c r="H149" s="1281"/>
      <c r="I149" s="1280"/>
      <c r="J149" s="1280"/>
      <c r="K149" s="1264"/>
      <c r="L149" s="1281"/>
      <c r="M149" s="1280"/>
      <c r="N149" s="1280"/>
      <c r="O149" s="1264"/>
      <c r="P149" s="1281"/>
      <c r="Q149" s="1280"/>
      <c r="R149" s="1280"/>
      <c r="S149" s="1264"/>
      <c r="T149" s="1281"/>
      <c r="U149" s="1280"/>
      <c r="V149" s="1280"/>
      <c r="W149" s="1264"/>
      <c r="X149" s="1263"/>
      <c r="Y149" s="1263"/>
      <c r="Z149" s="1263"/>
      <c r="AA149" s="1264"/>
      <c r="AB149" s="1263"/>
      <c r="AC149" s="1263"/>
      <c r="AD149" s="1263"/>
      <c r="AE149" s="1264"/>
      <c r="AF149" s="1263"/>
      <c r="AG149" s="1263"/>
      <c r="AH149" s="1263"/>
      <c r="AI149" s="1264"/>
      <c r="AJ149" s="1263"/>
      <c r="AK149" s="1263"/>
      <c r="AL149" s="1263"/>
      <c r="AM149" s="1264"/>
      <c r="AN149" s="1263"/>
      <c r="AO149" s="1263"/>
      <c r="AP149" s="1263"/>
      <c r="AQ149" s="1264"/>
      <c r="AR149" s="1263"/>
      <c r="AS149" s="1263"/>
      <c r="AT149" s="1263"/>
      <c r="AU149" s="1264"/>
      <c r="AV149" s="1263"/>
      <c r="AW149" s="1263"/>
      <c r="AX149" s="1263"/>
      <c r="AY149" s="1264"/>
      <c r="AZ149" s="1263"/>
      <c r="BA149" s="1263"/>
      <c r="BB149" s="1263"/>
      <c r="BC149" s="1264"/>
      <c r="BD149" s="1263"/>
      <c r="BE149" s="1263"/>
      <c r="BF149" s="1263"/>
      <c r="BG149" s="1264"/>
      <c r="BH149" s="1263"/>
      <c r="BI149" s="1263"/>
      <c r="BJ149" s="1263"/>
      <c r="BK149" s="1264"/>
      <c r="BL149" s="1263"/>
      <c r="BM149" s="1263"/>
      <c r="BN149" s="1263"/>
      <c r="BO149" s="1264"/>
      <c r="BP149" s="1263"/>
      <c r="BQ149" s="1263"/>
      <c r="BR149" s="1263"/>
      <c r="BS149" s="1264"/>
      <c r="BT149" s="1262"/>
      <c r="BU149" s="1263"/>
      <c r="BV149" s="1263"/>
      <c r="BW149" s="1264"/>
      <c r="BX149" s="1262"/>
      <c r="BY149" s="1263"/>
      <c r="BZ149" s="1263"/>
      <c r="CA149" s="1264"/>
      <c r="CB149" s="1262"/>
      <c r="CC149" s="1263"/>
      <c r="CD149" s="1263"/>
      <c r="CE149" s="1264"/>
      <c r="CF149" s="1262"/>
      <c r="CG149" s="1263"/>
      <c r="CH149" s="1263"/>
      <c r="CI149" s="1264"/>
      <c r="CJ149" s="1262"/>
      <c r="CK149" s="1263"/>
      <c r="CL149" s="1263"/>
      <c r="CM149" s="1264"/>
      <c r="CN149" s="1262"/>
      <c r="CO149" s="1263"/>
      <c r="CP149" s="1263">
        <v>1</v>
      </c>
      <c r="CQ149" s="1264">
        <f t="shared" si="149"/>
        <v>1</v>
      </c>
      <c r="CR149" s="1262">
        <v>1</v>
      </c>
      <c r="CS149" s="1263"/>
      <c r="CT149" s="1263">
        <v>2</v>
      </c>
      <c r="CU149" s="1264">
        <f t="shared" si="150"/>
        <v>3</v>
      </c>
    </row>
    <row r="150" spans="1:99" ht="14.4" x14ac:dyDescent="0.3">
      <c r="B150" s="5855"/>
      <c r="C150" s="1265" t="s">
        <v>416</v>
      </c>
      <c r="D150" s="1262"/>
      <c r="E150" s="1263"/>
      <c r="F150" s="1263"/>
      <c r="G150" s="1264"/>
      <c r="H150" s="1262"/>
      <c r="I150" s="1263"/>
      <c r="J150" s="1263"/>
      <c r="K150" s="1264">
        <v>0</v>
      </c>
      <c r="L150" s="1262"/>
      <c r="M150" s="1263"/>
      <c r="N150" s="1263"/>
      <c r="O150" s="1264"/>
      <c r="P150" s="1262"/>
      <c r="Q150" s="1263"/>
      <c r="R150" s="1263"/>
      <c r="S150" s="1264"/>
      <c r="T150" s="1262"/>
      <c r="U150" s="1263"/>
      <c r="V150" s="1263">
        <v>11</v>
      </c>
      <c r="W150" s="1264">
        <f t="shared" si="151"/>
        <v>11</v>
      </c>
      <c r="X150" s="1263"/>
      <c r="Y150" s="1263"/>
      <c r="Z150" s="1263">
        <v>4</v>
      </c>
      <c r="AA150" s="1264">
        <f t="shared" si="154"/>
        <v>4</v>
      </c>
      <c r="AB150" s="1263"/>
      <c r="AC150" s="1263"/>
      <c r="AD150" s="1263">
        <v>11</v>
      </c>
      <c r="AE150" s="1264">
        <f t="shared" si="152"/>
        <v>11</v>
      </c>
      <c r="AF150" s="1263"/>
      <c r="AG150" s="1263"/>
      <c r="AH150" s="1263">
        <v>11</v>
      </c>
      <c r="AI150" s="1264">
        <f t="shared" si="155"/>
        <v>11</v>
      </c>
      <c r="AJ150" s="1263"/>
      <c r="AK150" s="1263"/>
      <c r="AL150" s="1263">
        <v>13</v>
      </c>
      <c r="AM150" s="1264">
        <f t="shared" si="153"/>
        <v>13</v>
      </c>
      <c r="AN150" s="1263"/>
      <c r="AO150" s="1263"/>
      <c r="AP150" s="1263"/>
      <c r="AQ150" s="1264"/>
      <c r="AR150" s="1263">
        <v>13</v>
      </c>
      <c r="AS150" s="1263" t="s">
        <v>122</v>
      </c>
      <c r="AT150" s="1263" t="s">
        <v>122</v>
      </c>
      <c r="AU150" s="1264">
        <f t="shared" si="147"/>
        <v>13</v>
      </c>
      <c r="AV150" s="1263"/>
      <c r="AW150" s="1263"/>
      <c r="AX150" s="1263">
        <v>13</v>
      </c>
      <c r="AY150" s="1264">
        <f t="shared" si="156"/>
        <v>13</v>
      </c>
      <c r="AZ150" s="1263"/>
      <c r="BA150" s="1263"/>
      <c r="BB150" s="1263">
        <v>8</v>
      </c>
      <c r="BC150" s="1264">
        <f t="shared" si="157"/>
        <v>8</v>
      </c>
      <c r="BD150" s="1263"/>
      <c r="BE150" s="1263"/>
      <c r="BF150" s="1263">
        <v>13</v>
      </c>
      <c r="BG150" s="1264">
        <f t="shared" si="158"/>
        <v>13</v>
      </c>
      <c r="BH150" s="1263"/>
      <c r="BI150" s="1263"/>
      <c r="BJ150" s="1263"/>
      <c r="BK150" s="1264">
        <f t="shared" si="140"/>
        <v>0</v>
      </c>
      <c r="BL150" s="1263"/>
      <c r="BM150" s="1263"/>
      <c r="BN150" s="1263">
        <v>14</v>
      </c>
      <c r="BO150" s="1264">
        <f t="shared" si="141"/>
        <v>14</v>
      </c>
      <c r="BP150" s="1263"/>
      <c r="BQ150" s="1263"/>
      <c r="BR150" s="1263"/>
      <c r="BS150" s="1264">
        <f t="shared" si="142"/>
        <v>0</v>
      </c>
      <c r="BT150" s="1262"/>
      <c r="BU150" s="1263"/>
      <c r="BV150" s="1263">
        <v>13</v>
      </c>
      <c r="BW150" s="1264">
        <f t="shared" si="143"/>
        <v>13</v>
      </c>
      <c r="BX150" s="1262"/>
      <c r="BY150" s="1263"/>
      <c r="BZ150" s="1263"/>
      <c r="CA150" s="1264">
        <f t="shared" si="144"/>
        <v>0</v>
      </c>
      <c r="CB150" s="1262"/>
      <c r="CC150" s="1263"/>
      <c r="CD150" s="1263">
        <v>15</v>
      </c>
      <c r="CE150" s="1264">
        <f t="shared" si="145"/>
        <v>15</v>
      </c>
      <c r="CF150" s="1262"/>
      <c r="CG150" s="1263"/>
      <c r="CH150" s="1263"/>
      <c r="CI150" s="1264">
        <f t="shared" si="146"/>
        <v>0</v>
      </c>
      <c r="CJ150" s="1262"/>
      <c r="CK150" s="1263">
        <v>16</v>
      </c>
      <c r="CL150" s="1263"/>
      <c r="CM150" s="1264">
        <f t="shared" si="148"/>
        <v>16</v>
      </c>
      <c r="CN150" s="1262"/>
      <c r="CO150" s="1263"/>
      <c r="CP150" s="1263"/>
      <c r="CQ150" s="1264">
        <f t="shared" si="149"/>
        <v>0</v>
      </c>
      <c r="CR150" s="1262"/>
      <c r="CS150" s="1263"/>
      <c r="CT150" s="1263">
        <v>11</v>
      </c>
      <c r="CU150" s="1264">
        <f t="shared" si="150"/>
        <v>11</v>
      </c>
    </row>
    <row r="151" spans="1:99" ht="14.4" x14ac:dyDescent="0.3">
      <c r="B151" s="5851"/>
      <c r="C151" s="1309" t="s">
        <v>417</v>
      </c>
      <c r="D151" s="1267"/>
      <c r="E151" s="1268"/>
      <c r="F151" s="1268"/>
      <c r="G151" s="1269"/>
      <c r="H151" s="1267"/>
      <c r="I151" s="1268"/>
      <c r="J151" s="1268"/>
      <c r="K151" s="1269"/>
      <c r="L151" s="1267"/>
      <c r="M151" s="1268"/>
      <c r="N151" s="1268"/>
      <c r="O151" s="1269"/>
      <c r="P151" s="1267"/>
      <c r="Q151" s="1268"/>
      <c r="R151" s="1268"/>
      <c r="S151" s="1269"/>
      <c r="T151" s="1267"/>
      <c r="U151" s="1268"/>
      <c r="V151" s="1268"/>
      <c r="W151" s="1269"/>
      <c r="X151" s="1268"/>
      <c r="Y151" s="1268"/>
      <c r="Z151" s="1268"/>
      <c r="AA151" s="1269"/>
      <c r="AB151" s="1268"/>
      <c r="AC151" s="1268"/>
      <c r="AD151" s="1268"/>
      <c r="AE151" s="1269"/>
      <c r="AF151" s="1268"/>
      <c r="AG151" s="1268"/>
      <c r="AH151" s="1268"/>
      <c r="AI151" s="1269"/>
      <c r="AJ151" s="1268"/>
      <c r="AK151" s="1268"/>
      <c r="AL151" s="1268"/>
      <c r="AM151" s="1269"/>
      <c r="AN151" s="1268"/>
      <c r="AO151" s="1268"/>
      <c r="AP151" s="1268"/>
      <c r="AQ151" s="1269"/>
      <c r="AR151" s="1268"/>
      <c r="AS151" s="1268"/>
      <c r="AT151" s="1268"/>
      <c r="AU151" s="1269"/>
      <c r="AV151" s="1268"/>
      <c r="AW151" s="1268"/>
      <c r="AX151" s="1268"/>
      <c r="AY151" s="1269"/>
      <c r="AZ151" s="1268"/>
      <c r="BA151" s="1268"/>
      <c r="BB151" s="1268"/>
      <c r="BC151" s="1269"/>
      <c r="BD151" s="1268"/>
      <c r="BE151" s="1268"/>
      <c r="BF151" s="1268"/>
      <c r="BG151" s="1269"/>
      <c r="BH151" s="1268">
        <v>9</v>
      </c>
      <c r="BI151" s="1268"/>
      <c r="BJ151" s="1268"/>
      <c r="BK151" s="1264">
        <f t="shared" si="140"/>
        <v>9</v>
      </c>
      <c r="BL151" s="1268">
        <v>3</v>
      </c>
      <c r="BM151" s="1268"/>
      <c r="BN151" s="1268">
        <v>4</v>
      </c>
      <c r="BO151" s="1264">
        <f t="shared" si="141"/>
        <v>7</v>
      </c>
      <c r="BP151" s="1268">
        <v>5</v>
      </c>
      <c r="BQ151" s="1268"/>
      <c r="BR151" s="1268"/>
      <c r="BS151" s="1264">
        <f t="shared" si="142"/>
        <v>5</v>
      </c>
      <c r="BT151" s="1267">
        <v>5</v>
      </c>
      <c r="BU151" s="1268"/>
      <c r="BV151" s="1268"/>
      <c r="BW151" s="1264">
        <f t="shared" si="143"/>
        <v>5</v>
      </c>
      <c r="BX151" s="1267">
        <v>5</v>
      </c>
      <c r="BY151" s="1268"/>
      <c r="BZ151" s="1268"/>
      <c r="CA151" s="1264">
        <f t="shared" si="144"/>
        <v>5</v>
      </c>
      <c r="CB151" s="1267">
        <v>3</v>
      </c>
      <c r="CC151" s="1268"/>
      <c r="CD151" s="1268"/>
      <c r="CE151" s="1264">
        <f t="shared" si="145"/>
        <v>3</v>
      </c>
      <c r="CF151" s="1267">
        <v>3</v>
      </c>
      <c r="CG151" s="1268"/>
      <c r="CH151" s="1268">
        <v>7</v>
      </c>
      <c r="CI151" s="1264">
        <f t="shared" si="146"/>
        <v>10</v>
      </c>
      <c r="CJ151" s="1267"/>
      <c r="CK151" s="1268"/>
      <c r="CL151" s="1268"/>
      <c r="CM151" s="1264">
        <f t="shared" si="148"/>
        <v>0</v>
      </c>
      <c r="CN151" s="1267"/>
      <c r="CO151" s="1268">
        <v>2</v>
      </c>
      <c r="CP151" s="1268"/>
      <c r="CQ151" s="1264">
        <f t="shared" si="149"/>
        <v>2</v>
      </c>
      <c r="CR151" s="1267"/>
      <c r="CS151" s="1268">
        <v>7</v>
      </c>
      <c r="CT151" s="1268"/>
      <c r="CU151" s="1264">
        <f t="shared" si="150"/>
        <v>7</v>
      </c>
    </row>
    <row r="152" spans="1:99" ht="14.4" x14ac:dyDescent="0.3">
      <c r="B152" s="1307"/>
      <c r="C152" s="1271" t="s">
        <v>92</v>
      </c>
      <c r="D152" s="1272">
        <f t="shared" ref="D152:BG152" si="159">SUM(D135:D150)</f>
        <v>43</v>
      </c>
      <c r="E152" s="1273">
        <f t="shared" si="159"/>
        <v>0</v>
      </c>
      <c r="F152" s="1273">
        <f t="shared" si="159"/>
        <v>36</v>
      </c>
      <c r="G152" s="1310">
        <f t="shared" si="159"/>
        <v>79</v>
      </c>
      <c r="H152" s="1272">
        <f t="shared" si="159"/>
        <v>69</v>
      </c>
      <c r="I152" s="1273">
        <f t="shared" si="159"/>
        <v>0</v>
      </c>
      <c r="J152" s="1273">
        <f t="shared" si="159"/>
        <v>11</v>
      </c>
      <c r="K152" s="1310">
        <f t="shared" si="159"/>
        <v>80</v>
      </c>
      <c r="L152" s="1272">
        <f t="shared" si="159"/>
        <v>48</v>
      </c>
      <c r="M152" s="1273">
        <f t="shared" si="159"/>
        <v>1</v>
      </c>
      <c r="N152" s="1273">
        <f t="shared" si="159"/>
        <v>53</v>
      </c>
      <c r="O152" s="1310">
        <f t="shared" si="159"/>
        <v>102</v>
      </c>
      <c r="P152" s="1272">
        <f t="shared" si="159"/>
        <v>60</v>
      </c>
      <c r="Q152" s="1273">
        <f t="shared" si="159"/>
        <v>0</v>
      </c>
      <c r="R152" s="1273">
        <f t="shared" si="159"/>
        <v>35</v>
      </c>
      <c r="S152" s="1310">
        <f t="shared" si="159"/>
        <v>95</v>
      </c>
      <c r="T152" s="1272">
        <f t="shared" si="159"/>
        <v>39</v>
      </c>
      <c r="U152" s="1273">
        <f t="shared" si="159"/>
        <v>11</v>
      </c>
      <c r="V152" s="1273">
        <f t="shared" si="159"/>
        <v>54</v>
      </c>
      <c r="W152" s="1310">
        <f t="shared" si="159"/>
        <v>104</v>
      </c>
      <c r="X152" s="1273">
        <f t="shared" si="159"/>
        <v>29</v>
      </c>
      <c r="Y152" s="1273">
        <f t="shared" si="159"/>
        <v>0</v>
      </c>
      <c r="Z152" s="1273">
        <f t="shared" si="159"/>
        <v>16</v>
      </c>
      <c r="AA152" s="1310">
        <f t="shared" si="159"/>
        <v>45</v>
      </c>
      <c r="AB152" s="1273">
        <f t="shared" si="159"/>
        <v>20</v>
      </c>
      <c r="AC152" s="1273">
        <f t="shared" si="159"/>
        <v>4</v>
      </c>
      <c r="AD152" s="1273">
        <f t="shared" si="159"/>
        <v>76</v>
      </c>
      <c r="AE152" s="1310">
        <f t="shared" si="159"/>
        <v>100</v>
      </c>
      <c r="AF152" s="1273">
        <f t="shared" si="159"/>
        <v>22</v>
      </c>
      <c r="AG152" s="1273">
        <f t="shared" si="159"/>
        <v>4</v>
      </c>
      <c r="AH152" s="1273">
        <f t="shared" si="159"/>
        <v>63</v>
      </c>
      <c r="AI152" s="1310">
        <f t="shared" si="159"/>
        <v>89</v>
      </c>
      <c r="AJ152" s="1273">
        <f t="shared" si="159"/>
        <v>18</v>
      </c>
      <c r="AK152" s="1273">
        <f t="shared" si="159"/>
        <v>8</v>
      </c>
      <c r="AL152" s="1273">
        <f t="shared" si="159"/>
        <v>77</v>
      </c>
      <c r="AM152" s="1310">
        <f t="shared" si="159"/>
        <v>103</v>
      </c>
      <c r="AN152" s="1273">
        <f t="shared" si="159"/>
        <v>24</v>
      </c>
      <c r="AO152" s="1273">
        <f t="shared" si="159"/>
        <v>14</v>
      </c>
      <c r="AP152" s="1273">
        <f t="shared" si="159"/>
        <v>50</v>
      </c>
      <c r="AQ152" s="1310">
        <f t="shared" si="159"/>
        <v>88</v>
      </c>
      <c r="AR152" s="1273">
        <f t="shared" si="159"/>
        <v>31</v>
      </c>
      <c r="AS152" s="1273">
        <f t="shared" si="159"/>
        <v>6</v>
      </c>
      <c r="AT152" s="1273">
        <f t="shared" si="159"/>
        <v>65</v>
      </c>
      <c r="AU152" s="1310">
        <f t="shared" si="159"/>
        <v>102</v>
      </c>
      <c r="AV152" s="1273">
        <f t="shared" si="159"/>
        <v>24</v>
      </c>
      <c r="AW152" s="1273">
        <f t="shared" si="159"/>
        <v>5</v>
      </c>
      <c r="AX152" s="1273">
        <f t="shared" si="159"/>
        <v>61</v>
      </c>
      <c r="AY152" s="1310">
        <f t="shared" si="159"/>
        <v>90</v>
      </c>
      <c r="AZ152" s="1273">
        <f t="shared" si="159"/>
        <v>23</v>
      </c>
      <c r="BA152" s="1273">
        <f t="shared" si="159"/>
        <v>15</v>
      </c>
      <c r="BB152" s="1273">
        <f t="shared" si="159"/>
        <v>69</v>
      </c>
      <c r="BC152" s="1310">
        <f t="shared" si="159"/>
        <v>107</v>
      </c>
      <c r="BD152" s="1273">
        <f t="shared" si="159"/>
        <v>25</v>
      </c>
      <c r="BE152" s="1273">
        <f t="shared" si="159"/>
        <v>18</v>
      </c>
      <c r="BF152" s="1273">
        <f t="shared" si="159"/>
        <v>57</v>
      </c>
      <c r="BG152" s="1310">
        <f t="shared" si="159"/>
        <v>100</v>
      </c>
      <c r="BH152" s="1273">
        <f>SUM(BH135:BH151)</f>
        <v>32</v>
      </c>
      <c r="BI152" s="1273">
        <f>SUM(BI135:BI150)</f>
        <v>32</v>
      </c>
      <c r="BJ152" s="1273">
        <f>SUM(BJ135:BJ151)</f>
        <v>51</v>
      </c>
      <c r="BK152" s="1310">
        <f>SUM(BK135:BK151)</f>
        <v>115</v>
      </c>
      <c r="BL152" s="1273">
        <f>SUM(BL135:BL151)</f>
        <v>17</v>
      </c>
      <c r="BM152" s="1273">
        <f>SUM(BM135:BM150)</f>
        <v>29</v>
      </c>
      <c r="BN152" s="1273">
        <f>SUM(BN135:BN151)</f>
        <v>57</v>
      </c>
      <c r="BO152" s="1310">
        <f>SUM(BO135:BO151)</f>
        <v>103</v>
      </c>
      <c r="BP152" s="1273">
        <f>SUM(BP135:BP151)</f>
        <v>43</v>
      </c>
      <c r="BQ152" s="1273">
        <f>SUM(BQ135:BQ150)</f>
        <v>30</v>
      </c>
      <c r="BR152" s="1273">
        <f t="shared" ref="BR152:CI152" si="160">SUM(BR135:BR151)</f>
        <v>55</v>
      </c>
      <c r="BS152" s="1310">
        <f t="shared" si="160"/>
        <v>128</v>
      </c>
      <c r="BT152" s="1272">
        <f t="shared" si="160"/>
        <v>20</v>
      </c>
      <c r="BU152" s="1273">
        <f t="shared" si="160"/>
        <v>27</v>
      </c>
      <c r="BV152" s="1273">
        <f t="shared" si="160"/>
        <v>65</v>
      </c>
      <c r="BW152" s="1274">
        <f t="shared" si="160"/>
        <v>112</v>
      </c>
      <c r="BX152" s="1272">
        <f t="shared" si="160"/>
        <v>29</v>
      </c>
      <c r="BY152" s="1273">
        <f t="shared" si="160"/>
        <v>26</v>
      </c>
      <c r="BZ152" s="1273">
        <f t="shared" si="160"/>
        <v>53</v>
      </c>
      <c r="CA152" s="1274">
        <f t="shared" si="160"/>
        <v>108</v>
      </c>
      <c r="CB152" s="1272">
        <f t="shared" si="160"/>
        <v>16</v>
      </c>
      <c r="CC152" s="1273">
        <f t="shared" si="160"/>
        <v>43</v>
      </c>
      <c r="CD152" s="1273">
        <f t="shared" si="160"/>
        <v>58</v>
      </c>
      <c r="CE152" s="1274">
        <f t="shared" si="160"/>
        <v>117</v>
      </c>
      <c r="CF152" s="1272">
        <f t="shared" si="160"/>
        <v>20</v>
      </c>
      <c r="CG152" s="1273">
        <f t="shared" si="160"/>
        <v>54</v>
      </c>
      <c r="CH152" s="1273">
        <f t="shared" si="160"/>
        <v>49</v>
      </c>
      <c r="CI152" s="1274">
        <f t="shared" si="160"/>
        <v>123</v>
      </c>
      <c r="CJ152" s="1272">
        <f t="shared" ref="CJ152:CQ152" si="161">SUM(CJ135:CJ151)</f>
        <v>29</v>
      </c>
      <c r="CK152" s="1273">
        <f t="shared" si="161"/>
        <v>34</v>
      </c>
      <c r="CL152" s="1273">
        <f t="shared" si="161"/>
        <v>12</v>
      </c>
      <c r="CM152" s="1274">
        <f t="shared" si="161"/>
        <v>75</v>
      </c>
      <c r="CN152" s="1272">
        <f t="shared" si="161"/>
        <v>33</v>
      </c>
      <c r="CO152" s="1273">
        <f t="shared" si="161"/>
        <v>45</v>
      </c>
      <c r="CP152" s="1273">
        <f t="shared" si="161"/>
        <v>45</v>
      </c>
      <c r="CQ152" s="1274">
        <f t="shared" si="161"/>
        <v>123</v>
      </c>
      <c r="CR152" s="1272">
        <f t="shared" ref="CR152:CU152" si="162">SUM(CR135:CR151)</f>
        <v>20</v>
      </c>
      <c r="CS152" s="1273">
        <f t="shared" si="162"/>
        <v>30</v>
      </c>
      <c r="CT152" s="1273">
        <f t="shared" si="162"/>
        <v>44</v>
      </c>
      <c r="CU152" s="1274">
        <f t="shared" si="162"/>
        <v>94</v>
      </c>
    </row>
    <row r="153" spans="1:99" ht="14.4" x14ac:dyDescent="0.3">
      <c r="B153" s="5852" t="s">
        <v>310</v>
      </c>
      <c r="C153" s="4425" t="s">
        <v>418</v>
      </c>
      <c r="D153" s="4426"/>
      <c r="E153" s="4427"/>
      <c r="F153" s="4427"/>
      <c r="G153" s="4428"/>
      <c r="H153" s="4426"/>
      <c r="I153" s="4427">
        <v>46</v>
      </c>
      <c r="J153" s="4427"/>
      <c r="K153" s="4428">
        <v>46</v>
      </c>
      <c r="L153" s="4426"/>
      <c r="M153" s="4427"/>
      <c r="N153" s="4427"/>
      <c r="O153" s="4428"/>
      <c r="P153" s="4426"/>
      <c r="Q153" s="4427"/>
      <c r="R153" s="4427">
        <v>26</v>
      </c>
      <c r="S153" s="4428">
        <v>26</v>
      </c>
      <c r="T153" s="4426"/>
      <c r="U153" s="4427"/>
      <c r="V153" s="4427">
        <v>19</v>
      </c>
      <c r="W153" s="4428">
        <f>SUM(T153:V153)</f>
        <v>19</v>
      </c>
      <c r="X153" s="4429"/>
      <c r="Y153" s="4429"/>
      <c r="Z153" s="4429">
        <v>23</v>
      </c>
      <c r="AA153" s="4428">
        <f t="shared" si="154"/>
        <v>23</v>
      </c>
      <c r="AB153" s="4429"/>
      <c r="AC153" s="4429"/>
      <c r="AD153" s="4429">
        <v>20</v>
      </c>
      <c r="AE153" s="4428">
        <f t="shared" si="152"/>
        <v>20</v>
      </c>
      <c r="AF153" s="4429"/>
      <c r="AG153" s="4429"/>
      <c r="AH153" s="4429">
        <v>22</v>
      </c>
      <c r="AI153" s="4428">
        <f t="shared" si="155"/>
        <v>22</v>
      </c>
      <c r="AJ153" s="4429"/>
      <c r="AK153" s="4429"/>
      <c r="AL153" s="4429">
        <v>22</v>
      </c>
      <c r="AM153" s="4428">
        <f t="shared" si="153"/>
        <v>22</v>
      </c>
      <c r="AN153" s="4429"/>
      <c r="AO153" s="4429"/>
      <c r="AP153" s="4429">
        <v>18</v>
      </c>
      <c r="AQ153" s="4428">
        <f>SUM(AN153:AP153)</f>
        <v>18</v>
      </c>
      <c r="AR153" s="4429" t="s">
        <v>122</v>
      </c>
      <c r="AS153" s="4429" t="s">
        <v>122</v>
      </c>
      <c r="AT153" s="4429">
        <v>23</v>
      </c>
      <c r="AU153" s="4428">
        <f t="shared" si="147"/>
        <v>23</v>
      </c>
      <c r="AV153" s="4429"/>
      <c r="AW153" s="4429"/>
      <c r="AX153" s="4429">
        <v>15</v>
      </c>
      <c r="AY153" s="4428">
        <f t="shared" si="156"/>
        <v>15</v>
      </c>
      <c r="AZ153" s="4429"/>
      <c r="BA153" s="4429"/>
      <c r="BB153" s="4429">
        <v>19</v>
      </c>
      <c r="BC153" s="4420">
        <f t="shared" si="157"/>
        <v>19</v>
      </c>
      <c r="BD153" s="4429"/>
      <c r="BE153" s="4429"/>
      <c r="BF153" s="4429">
        <v>19</v>
      </c>
      <c r="BG153" s="4420">
        <f t="shared" si="158"/>
        <v>19</v>
      </c>
      <c r="BH153" s="4429"/>
      <c r="BI153" s="4429"/>
      <c r="BJ153" s="4429">
        <v>23</v>
      </c>
      <c r="BK153" s="4420">
        <f>BH153+BI153+BJ153</f>
        <v>23</v>
      </c>
      <c r="BL153" s="4429"/>
      <c r="BM153" s="4429"/>
      <c r="BN153" s="4429">
        <v>25</v>
      </c>
      <c r="BO153" s="4420">
        <f>BL153+BM153+BN153</f>
        <v>25</v>
      </c>
      <c r="BP153" s="4429"/>
      <c r="BQ153" s="4429"/>
      <c r="BR153" s="4429">
        <v>24</v>
      </c>
      <c r="BS153" s="4420">
        <f>BP153+BQ153+BR153</f>
        <v>24</v>
      </c>
      <c r="BT153" s="4429"/>
      <c r="BU153" s="4429">
        <v>1</v>
      </c>
      <c r="BV153" s="4429">
        <v>24</v>
      </c>
      <c r="BW153" s="4420">
        <f>BT153+BU153+BV153</f>
        <v>25</v>
      </c>
      <c r="BX153" s="4429"/>
      <c r="BY153" s="4429"/>
      <c r="BZ153" s="4429">
        <v>23</v>
      </c>
      <c r="CA153" s="4420">
        <f>BX153+BY153+BZ153</f>
        <v>23</v>
      </c>
      <c r="CB153" s="4429"/>
      <c r="CC153" s="4429"/>
      <c r="CD153" s="4429">
        <v>23</v>
      </c>
      <c r="CE153" s="4420">
        <f>CB153+CC153+CD153</f>
        <v>23</v>
      </c>
      <c r="CF153" s="4429"/>
      <c r="CG153" s="4429"/>
      <c r="CH153" s="4429">
        <v>19</v>
      </c>
      <c r="CI153" s="4420">
        <f>CF153+CG153+CH153</f>
        <v>19</v>
      </c>
      <c r="CJ153" s="4429"/>
      <c r="CK153" s="4429"/>
      <c r="CL153" s="4429">
        <v>24</v>
      </c>
      <c r="CM153" s="4420">
        <f>SUM(CJ153:CL153)</f>
        <v>24</v>
      </c>
      <c r="CN153" s="4429"/>
      <c r="CO153" s="4429"/>
      <c r="CP153" s="4429">
        <v>22</v>
      </c>
      <c r="CQ153" s="4420">
        <f>SUM(CN153:CP153)</f>
        <v>22</v>
      </c>
      <c r="CR153" s="4429"/>
      <c r="CS153" s="4429"/>
      <c r="CT153" s="4429">
        <v>18</v>
      </c>
      <c r="CU153" s="4420">
        <f>SUM(CR153:CT153)</f>
        <v>18</v>
      </c>
    </row>
    <row r="154" spans="1:99" ht="14.4" x14ac:dyDescent="0.3">
      <c r="B154" s="5853"/>
      <c r="C154" s="4430" t="s">
        <v>419</v>
      </c>
      <c r="D154" s="4409"/>
      <c r="E154" s="4408"/>
      <c r="F154" s="4408"/>
      <c r="G154" s="4405"/>
      <c r="H154" s="4409"/>
      <c r="I154" s="4408"/>
      <c r="J154" s="4408"/>
      <c r="K154" s="4405"/>
      <c r="L154" s="4409"/>
      <c r="M154" s="4408"/>
      <c r="N154" s="4408"/>
      <c r="O154" s="4405"/>
      <c r="P154" s="4409"/>
      <c r="Q154" s="4408"/>
      <c r="R154" s="4408"/>
      <c r="S154" s="4405"/>
      <c r="T154" s="4409"/>
      <c r="U154" s="4408"/>
      <c r="V154" s="4408"/>
      <c r="W154" s="4405"/>
      <c r="X154" s="4404"/>
      <c r="Y154" s="4404"/>
      <c r="Z154" s="4404"/>
      <c r="AA154" s="4405"/>
      <c r="AB154" s="4404"/>
      <c r="AC154" s="4404"/>
      <c r="AD154" s="4404"/>
      <c r="AE154" s="4405"/>
      <c r="AF154" s="4404"/>
      <c r="AG154" s="4404"/>
      <c r="AH154" s="4404"/>
      <c r="AI154" s="4405"/>
      <c r="AJ154" s="4404"/>
      <c r="AK154" s="4404"/>
      <c r="AL154" s="4404"/>
      <c r="AM154" s="4405"/>
      <c r="AN154" s="4404"/>
      <c r="AO154" s="4404"/>
      <c r="AP154" s="4404"/>
      <c r="AQ154" s="4405"/>
      <c r="AR154" s="4404" t="s">
        <v>122</v>
      </c>
      <c r="AS154" s="4404">
        <v>17</v>
      </c>
      <c r="AT154" s="4404" t="s">
        <v>122</v>
      </c>
      <c r="AU154" s="4405">
        <f t="shared" si="147"/>
        <v>17</v>
      </c>
      <c r="AV154" s="4404"/>
      <c r="AW154" s="4404"/>
      <c r="AX154" s="4404"/>
      <c r="AY154" s="4405"/>
      <c r="AZ154" s="4404"/>
      <c r="BA154" s="4404">
        <v>15</v>
      </c>
      <c r="BB154" s="4404"/>
      <c r="BC154" s="4405">
        <f t="shared" si="157"/>
        <v>15</v>
      </c>
      <c r="BD154" s="4404"/>
      <c r="BE154" s="4404"/>
      <c r="BF154" s="4404"/>
      <c r="BG154" s="4405"/>
      <c r="BH154" s="4404"/>
      <c r="BI154" s="4404">
        <v>20</v>
      </c>
      <c r="BJ154" s="4404"/>
      <c r="BK154" s="4405">
        <f>BH154+BI154+BJ154</f>
        <v>20</v>
      </c>
      <c r="BL154" s="4404"/>
      <c r="BM154" s="4404"/>
      <c r="BN154" s="4404"/>
      <c r="BO154" s="4405">
        <f>BL154+BM154+BN154</f>
        <v>0</v>
      </c>
      <c r="BP154" s="4404"/>
      <c r="BQ154" s="4404">
        <v>21</v>
      </c>
      <c r="BR154" s="4404"/>
      <c r="BS154" s="4405">
        <f>BP154+BQ154+BR154</f>
        <v>21</v>
      </c>
      <c r="BT154" s="4404"/>
      <c r="BU154" s="4404"/>
      <c r="BV154" s="4404"/>
      <c r="BW154" s="4405">
        <f>BT154+BU154+BV154</f>
        <v>0</v>
      </c>
      <c r="BX154" s="4404"/>
      <c r="BY154" s="4404">
        <v>16</v>
      </c>
      <c r="BZ154" s="4404"/>
      <c r="CA154" s="4405">
        <f>BX154+BY154+BZ154</f>
        <v>16</v>
      </c>
      <c r="CB154" s="4404"/>
      <c r="CC154" s="4404"/>
      <c r="CD154" s="4404"/>
      <c r="CE154" s="4405">
        <f>CB154+CC154+CD154</f>
        <v>0</v>
      </c>
      <c r="CF154" s="4404"/>
      <c r="CG154" s="4404">
        <v>12</v>
      </c>
      <c r="CH154" s="4404"/>
      <c r="CI154" s="4405">
        <f>CF154+CG154+CH154</f>
        <v>12</v>
      </c>
      <c r="CJ154" s="4404"/>
      <c r="CK154" s="4404"/>
      <c r="CL154" s="4404"/>
      <c r="CM154" s="4420">
        <f>SUM(CJ154:CL154)</f>
        <v>0</v>
      </c>
      <c r="CN154" s="4404"/>
      <c r="CO154" s="4404">
        <v>13</v>
      </c>
      <c r="CP154" s="4404"/>
      <c r="CQ154" s="4420">
        <f>SUM(CN154:CP154)</f>
        <v>13</v>
      </c>
      <c r="CR154" s="4404"/>
      <c r="CS154" s="4404"/>
      <c r="CT154" s="4404"/>
      <c r="CU154" s="4420">
        <f>SUM(CR154:CT154)</f>
        <v>0</v>
      </c>
    </row>
    <row r="155" spans="1:99" ht="14.4" x14ac:dyDescent="0.3">
      <c r="B155" s="5854"/>
      <c r="C155" s="4430" t="s">
        <v>420</v>
      </c>
      <c r="D155" s="4409"/>
      <c r="E155" s="4408"/>
      <c r="F155" s="4408"/>
      <c r="G155" s="4405"/>
      <c r="H155" s="4409"/>
      <c r="I155" s="4408"/>
      <c r="J155" s="4408"/>
      <c r="K155" s="4405"/>
      <c r="L155" s="4409"/>
      <c r="M155" s="4408"/>
      <c r="N155" s="4408"/>
      <c r="O155" s="4405"/>
      <c r="P155" s="4409"/>
      <c r="Q155" s="4408"/>
      <c r="R155" s="4408"/>
      <c r="S155" s="4405"/>
      <c r="T155" s="4409"/>
      <c r="U155" s="4408"/>
      <c r="V155" s="4408"/>
      <c r="W155" s="4405"/>
      <c r="X155" s="4404"/>
      <c r="Y155" s="4404"/>
      <c r="Z155" s="4404"/>
      <c r="AA155" s="4405"/>
      <c r="AB155" s="4404"/>
      <c r="AC155" s="4404"/>
      <c r="AD155" s="4404"/>
      <c r="AE155" s="4405"/>
      <c r="AF155" s="4404"/>
      <c r="AG155" s="4404"/>
      <c r="AH155" s="4404"/>
      <c r="AI155" s="4405"/>
      <c r="AJ155" s="4404"/>
      <c r="AK155" s="4404"/>
      <c r="AL155" s="4404"/>
      <c r="AM155" s="4405"/>
      <c r="AN155" s="4404"/>
      <c r="AO155" s="4404"/>
      <c r="AP155" s="4404"/>
      <c r="AQ155" s="4405"/>
      <c r="AR155" s="4404" t="s">
        <v>122</v>
      </c>
      <c r="AS155" s="4404" t="s">
        <v>122</v>
      </c>
      <c r="AT155" s="4404">
        <v>33</v>
      </c>
      <c r="AU155" s="4405">
        <f t="shared" si="147"/>
        <v>33</v>
      </c>
      <c r="AV155" s="4404"/>
      <c r="AW155" s="4404"/>
      <c r="AX155" s="4404"/>
      <c r="AY155" s="4405"/>
      <c r="AZ155" s="4404"/>
      <c r="BA155" s="4404">
        <v>24</v>
      </c>
      <c r="BB155" s="4404"/>
      <c r="BC155" s="4405">
        <f t="shared" si="157"/>
        <v>24</v>
      </c>
      <c r="BD155" s="4404"/>
      <c r="BE155" s="4404"/>
      <c r="BF155" s="4404"/>
      <c r="BG155" s="4405"/>
      <c r="BH155" s="4404"/>
      <c r="BI155" s="4404">
        <v>23</v>
      </c>
      <c r="BJ155" s="4404"/>
      <c r="BK155" s="4405">
        <f>BH155+BI155+BJ155</f>
        <v>23</v>
      </c>
      <c r="BL155" s="4404"/>
      <c r="BM155" s="4404"/>
      <c r="BN155" s="4404"/>
      <c r="BO155" s="4405">
        <f>BL155+BM155+BN155</f>
        <v>0</v>
      </c>
      <c r="BP155" s="4404"/>
      <c r="BQ155" s="4404">
        <v>24</v>
      </c>
      <c r="BR155" s="4404"/>
      <c r="BS155" s="4405">
        <f>BP155+BQ155+BR155</f>
        <v>24</v>
      </c>
      <c r="BT155" s="4404"/>
      <c r="BU155" s="4404"/>
      <c r="BV155" s="4404"/>
      <c r="BW155" s="4405">
        <f>BT155+BU155+BV155</f>
        <v>0</v>
      </c>
      <c r="BX155" s="4404"/>
      <c r="BY155" s="4404">
        <v>24</v>
      </c>
      <c r="BZ155" s="4404"/>
      <c r="CA155" s="4405">
        <f>BX155+BY155+BZ155</f>
        <v>24</v>
      </c>
      <c r="CB155" s="4404"/>
      <c r="CC155" s="4404"/>
      <c r="CD155" s="4404"/>
      <c r="CE155" s="4405">
        <f>CB155+CC155+CD155</f>
        <v>0</v>
      </c>
      <c r="CF155" s="4404"/>
      <c r="CG155" s="4404">
        <v>22</v>
      </c>
      <c r="CH155" s="4404"/>
      <c r="CI155" s="4405">
        <f>CF155+CG155+CH155</f>
        <v>22</v>
      </c>
      <c r="CJ155" s="4404"/>
      <c r="CK155" s="4404"/>
      <c r="CL155" s="4404"/>
      <c r="CM155" s="4420">
        <f>SUM(CJ155:CL155)</f>
        <v>0</v>
      </c>
      <c r="CN155" s="4404"/>
      <c r="CO155" s="4404">
        <v>27</v>
      </c>
      <c r="CP155" s="4404"/>
      <c r="CQ155" s="4420">
        <f>SUM(CN155:CP155)</f>
        <v>27</v>
      </c>
      <c r="CR155" s="4404"/>
      <c r="CS155" s="4404"/>
      <c r="CT155" s="4404"/>
      <c r="CU155" s="4420">
        <f>SUM(CR155:CT155)</f>
        <v>0</v>
      </c>
    </row>
    <row r="156" spans="1:99" ht="14.4" x14ac:dyDescent="0.3">
      <c r="B156" s="1325" t="s">
        <v>317</v>
      </c>
      <c r="C156" s="1265" t="s">
        <v>421</v>
      </c>
      <c r="D156" s="1262"/>
      <c r="E156" s="1263"/>
      <c r="F156" s="1263"/>
      <c r="G156" s="1264"/>
      <c r="H156" s="1262"/>
      <c r="I156" s="1263"/>
      <c r="J156" s="1263"/>
      <c r="K156" s="1264"/>
      <c r="L156" s="1262"/>
      <c r="M156" s="1263"/>
      <c r="N156" s="1263"/>
      <c r="O156" s="1264"/>
      <c r="P156" s="1262"/>
      <c r="Q156" s="1263">
        <v>11</v>
      </c>
      <c r="R156" s="1263">
        <v>3</v>
      </c>
      <c r="S156" s="1264">
        <v>14</v>
      </c>
      <c r="T156" s="1262"/>
      <c r="U156" s="1263"/>
      <c r="V156" s="1263"/>
      <c r="W156" s="1264"/>
      <c r="X156" s="1263"/>
      <c r="Y156" s="1263"/>
      <c r="Z156" s="1263">
        <v>14</v>
      </c>
      <c r="AA156" s="1264">
        <f t="shared" si="154"/>
        <v>14</v>
      </c>
      <c r="AB156" s="1263"/>
      <c r="AC156" s="1263"/>
      <c r="AD156" s="1263"/>
      <c r="AE156" s="1264"/>
      <c r="AF156" s="1263">
        <v>18</v>
      </c>
      <c r="AG156" s="1263"/>
      <c r="AH156" s="1263"/>
      <c r="AI156" s="1264">
        <f t="shared" si="155"/>
        <v>18</v>
      </c>
      <c r="AJ156" s="1263">
        <v>6</v>
      </c>
      <c r="AK156" s="1263"/>
      <c r="AL156" s="1263"/>
      <c r="AM156" s="1264">
        <f t="shared" si="153"/>
        <v>6</v>
      </c>
      <c r="AN156" s="1263">
        <v>12</v>
      </c>
      <c r="AO156" s="1263"/>
      <c r="AP156" s="1263"/>
      <c r="AQ156" s="1264">
        <f>SUM(AN156:AP156)</f>
        <v>12</v>
      </c>
      <c r="AR156" s="1263">
        <v>10</v>
      </c>
      <c r="AS156" s="1263" t="s">
        <v>122</v>
      </c>
      <c r="AT156" s="1263" t="s">
        <v>122</v>
      </c>
      <c r="AU156" s="1264">
        <f t="shared" si="147"/>
        <v>10</v>
      </c>
      <c r="AV156" s="1263">
        <v>11</v>
      </c>
      <c r="AW156" s="1263"/>
      <c r="AX156" s="1263"/>
      <c r="AY156" s="1264">
        <f t="shared" si="156"/>
        <v>11</v>
      </c>
      <c r="AZ156" s="1263">
        <v>8</v>
      </c>
      <c r="BA156" s="1263"/>
      <c r="BB156" s="1263"/>
      <c r="BC156" s="1264">
        <f>AZ156+BA156+BB156</f>
        <v>8</v>
      </c>
      <c r="BD156" s="1263">
        <v>10</v>
      </c>
      <c r="BE156" s="1263"/>
      <c r="BF156" s="1263"/>
      <c r="BG156" s="1264">
        <f t="shared" si="158"/>
        <v>10</v>
      </c>
      <c r="BH156" s="1263">
        <v>8</v>
      </c>
      <c r="BI156" s="1263"/>
      <c r="BJ156" s="1263"/>
      <c r="BK156" s="1264">
        <f>BH156+BI156+BJ156</f>
        <v>8</v>
      </c>
      <c r="BL156" s="1263">
        <v>7</v>
      </c>
      <c r="BM156" s="1263"/>
      <c r="BN156" s="1263"/>
      <c r="BO156" s="1264">
        <f>BL156+BM156+BN156</f>
        <v>7</v>
      </c>
      <c r="BP156" s="1263">
        <v>8</v>
      </c>
      <c r="BQ156" s="1263"/>
      <c r="BR156" s="1263"/>
      <c r="BS156" s="1264">
        <f>BP156+BQ156+BR156</f>
        <v>8</v>
      </c>
      <c r="BT156" s="1263">
        <v>12</v>
      </c>
      <c r="BU156" s="1263"/>
      <c r="BV156" s="1263"/>
      <c r="BW156" s="1264">
        <f>BT156+BU156+BV156</f>
        <v>12</v>
      </c>
      <c r="BX156" s="1263">
        <v>11</v>
      </c>
      <c r="BY156" s="1263"/>
      <c r="BZ156" s="1263"/>
      <c r="CA156" s="1264">
        <f>BX156+BY156+BZ156</f>
        <v>11</v>
      </c>
      <c r="CB156" s="1263">
        <v>10</v>
      </c>
      <c r="CC156" s="1263"/>
      <c r="CD156" s="1263"/>
      <c r="CE156" s="1264">
        <f>CB156+CC156+CD156</f>
        <v>10</v>
      </c>
      <c r="CF156" s="1263">
        <v>4</v>
      </c>
      <c r="CG156" s="1263"/>
      <c r="CH156" s="1263"/>
      <c r="CI156" s="1264">
        <f>CF156+CG156+CH156</f>
        <v>4</v>
      </c>
      <c r="CJ156" s="1263">
        <v>9</v>
      </c>
      <c r="CK156" s="1263"/>
      <c r="CL156" s="1263"/>
      <c r="CM156" s="1278">
        <f>SUM(CJ156:CL156)</f>
        <v>9</v>
      </c>
      <c r="CN156" s="1263">
        <v>20</v>
      </c>
      <c r="CO156" s="1263"/>
      <c r="CP156" s="1263"/>
      <c r="CQ156" s="1278">
        <f>SUM(CN156:CP156)</f>
        <v>20</v>
      </c>
      <c r="CR156" s="1263">
        <v>10</v>
      </c>
      <c r="CS156" s="1263"/>
      <c r="CT156" s="1263"/>
      <c r="CU156" s="1278">
        <f>SUM(CR156:CT156)</f>
        <v>10</v>
      </c>
    </row>
    <row r="157" spans="1:99" ht="14.4" x14ac:dyDescent="0.3">
      <c r="B157" s="1307"/>
      <c r="C157" s="1271" t="s">
        <v>68</v>
      </c>
      <c r="D157" s="1272"/>
      <c r="E157" s="1273"/>
      <c r="F157" s="1273"/>
      <c r="G157" s="1310"/>
      <c r="H157" s="1272"/>
      <c r="I157" s="1273">
        <f>SUM(I153:I156)</f>
        <v>46</v>
      </c>
      <c r="J157" s="1273"/>
      <c r="K157" s="1273">
        <f>SUM(K153:K156)</f>
        <v>46</v>
      </c>
      <c r="L157" s="1272"/>
      <c r="M157" s="1273"/>
      <c r="N157" s="1273"/>
      <c r="O157" s="1310"/>
      <c r="P157" s="1272">
        <f>SUM(P153:P156)</f>
        <v>0</v>
      </c>
      <c r="Q157" s="1273">
        <f t="shared" ref="Q157:CB157" si="163">SUM(Q153:Q156)</f>
        <v>11</v>
      </c>
      <c r="R157" s="1273">
        <f t="shared" si="163"/>
        <v>29</v>
      </c>
      <c r="S157" s="1310">
        <f t="shared" si="163"/>
        <v>40</v>
      </c>
      <c r="T157" s="1272">
        <f t="shared" si="163"/>
        <v>0</v>
      </c>
      <c r="U157" s="1273">
        <f t="shared" si="163"/>
        <v>0</v>
      </c>
      <c r="V157" s="1273">
        <f t="shared" si="163"/>
        <v>19</v>
      </c>
      <c r="W157" s="1310">
        <f t="shared" si="163"/>
        <v>19</v>
      </c>
      <c r="X157" s="1273">
        <f t="shared" si="163"/>
        <v>0</v>
      </c>
      <c r="Y157" s="1273">
        <f t="shared" si="163"/>
        <v>0</v>
      </c>
      <c r="Z157" s="1273">
        <f t="shared" si="163"/>
        <v>37</v>
      </c>
      <c r="AA157" s="1310">
        <f t="shared" si="163"/>
        <v>37</v>
      </c>
      <c r="AB157" s="1273">
        <f t="shared" si="163"/>
        <v>0</v>
      </c>
      <c r="AC157" s="1273">
        <f t="shared" si="163"/>
        <v>0</v>
      </c>
      <c r="AD157" s="1273">
        <f t="shared" si="163"/>
        <v>20</v>
      </c>
      <c r="AE157" s="1310">
        <f t="shared" si="163"/>
        <v>20</v>
      </c>
      <c r="AF157" s="1273">
        <f t="shared" si="163"/>
        <v>18</v>
      </c>
      <c r="AG157" s="1273">
        <f t="shared" si="163"/>
        <v>0</v>
      </c>
      <c r="AH157" s="1273">
        <f t="shared" si="163"/>
        <v>22</v>
      </c>
      <c r="AI157" s="1310">
        <f t="shared" si="163"/>
        <v>40</v>
      </c>
      <c r="AJ157" s="1273">
        <f t="shared" si="163"/>
        <v>6</v>
      </c>
      <c r="AK157" s="1273">
        <f t="shared" si="163"/>
        <v>0</v>
      </c>
      <c r="AL157" s="1273">
        <f t="shared" si="163"/>
        <v>22</v>
      </c>
      <c r="AM157" s="1310">
        <f t="shared" si="163"/>
        <v>28</v>
      </c>
      <c r="AN157" s="1273">
        <f t="shared" si="163"/>
        <v>12</v>
      </c>
      <c r="AO157" s="1273">
        <f t="shared" si="163"/>
        <v>0</v>
      </c>
      <c r="AP157" s="1273">
        <f t="shared" si="163"/>
        <v>18</v>
      </c>
      <c r="AQ157" s="1310">
        <f t="shared" si="163"/>
        <v>30</v>
      </c>
      <c r="AR157" s="1273">
        <f t="shared" si="163"/>
        <v>10</v>
      </c>
      <c r="AS157" s="1273">
        <f t="shared" si="163"/>
        <v>17</v>
      </c>
      <c r="AT157" s="1273">
        <f t="shared" si="163"/>
        <v>56</v>
      </c>
      <c r="AU157" s="1310">
        <f t="shared" si="163"/>
        <v>83</v>
      </c>
      <c r="AV157" s="1273">
        <f t="shared" si="163"/>
        <v>11</v>
      </c>
      <c r="AW157" s="1273">
        <f t="shared" si="163"/>
        <v>0</v>
      </c>
      <c r="AX157" s="1273">
        <f t="shared" si="163"/>
        <v>15</v>
      </c>
      <c r="AY157" s="1310">
        <f t="shared" si="163"/>
        <v>26</v>
      </c>
      <c r="AZ157" s="1273">
        <f t="shared" si="163"/>
        <v>8</v>
      </c>
      <c r="BA157" s="1273">
        <f t="shared" si="163"/>
        <v>39</v>
      </c>
      <c r="BB157" s="1273">
        <f t="shared" si="163"/>
        <v>19</v>
      </c>
      <c r="BC157" s="1310">
        <f t="shared" si="163"/>
        <v>66</v>
      </c>
      <c r="BD157" s="1273">
        <f t="shared" si="163"/>
        <v>10</v>
      </c>
      <c r="BE157" s="1273">
        <f t="shared" si="163"/>
        <v>0</v>
      </c>
      <c r="BF157" s="1273">
        <f t="shared" si="163"/>
        <v>19</v>
      </c>
      <c r="BG157" s="1310">
        <f t="shared" si="163"/>
        <v>29</v>
      </c>
      <c r="BH157" s="1273">
        <f t="shared" si="163"/>
        <v>8</v>
      </c>
      <c r="BI157" s="1273">
        <f t="shared" si="163"/>
        <v>43</v>
      </c>
      <c r="BJ157" s="1273">
        <f t="shared" si="163"/>
        <v>23</v>
      </c>
      <c r="BK157" s="1310">
        <f t="shared" si="163"/>
        <v>74</v>
      </c>
      <c r="BL157" s="1273">
        <f t="shared" si="163"/>
        <v>7</v>
      </c>
      <c r="BM157" s="1273">
        <f t="shared" si="163"/>
        <v>0</v>
      </c>
      <c r="BN157" s="1273">
        <f t="shared" si="163"/>
        <v>25</v>
      </c>
      <c r="BO157" s="1310">
        <f t="shared" si="163"/>
        <v>32</v>
      </c>
      <c r="BP157" s="1273">
        <f t="shared" si="163"/>
        <v>8</v>
      </c>
      <c r="BQ157" s="1273">
        <f t="shared" si="163"/>
        <v>45</v>
      </c>
      <c r="BR157" s="1273">
        <f t="shared" si="163"/>
        <v>24</v>
      </c>
      <c r="BS157" s="1310">
        <f t="shared" si="163"/>
        <v>77</v>
      </c>
      <c r="BT157" s="1273">
        <f t="shared" si="163"/>
        <v>12</v>
      </c>
      <c r="BU157" s="1273">
        <f t="shared" si="163"/>
        <v>1</v>
      </c>
      <c r="BV157" s="1273">
        <f t="shared" si="163"/>
        <v>24</v>
      </c>
      <c r="BW157" s="1310">
        <f t="shared" si="163"/>
        <v>37</v>
      </c>
      <c r="BX157" s="1273">
        <f t="shared" si="163"/>
        <v>11</v>
      </c>
      <c r="BY157" s="1273">
        <f t="shared" si="163"/>
        <v>40</v>
      </c>
      <c r="BZ157" s="1273">
        <f t="shared" si="163"/>
        <v>23</v>
      </c>
      <c r="CA157" s="1310">
        <f t="shared" si="163"/>
        <v>74</v>
      </c>
      <c r="CB157" s="1273">
        <f t="shared" si="163"/>
        <v>10</v>
      </c>
      <c r="CC157" s="1273">
        <f t="shared" ref="CC157:CI157" si="164">SUM(CC153:CC156)</f>
        <v>0</v>
      </c>
      <c r="CD157" s="1273">
        <f t="shared" si="164"/>
        <v>23</v>
      </c>
      <c r="CE157" s="1310">
        <f t="shared" si="164"/>
        <v>33</v>
      </c>
      <c r="CF157" s="1273">
        <f t="shared" si="164"/>
        <v>4</v>
      </c>
      <c r="CG157" s="1273">
        <f t="shared" si="164"/>
        <v>34</v>
      </c>
      <c r="CH157" s="1273">
        <f t="shared" si="164"/>
        <v>19</v>
      </c>
      <c r="CI157" s="1310">
        <f t="shared" si="164"/>
        <v>57</v>
      </c>
      <c r="CJ157" s="1273">
        <f t="shared" ref="CJ157:CQ157" si="165">SUM(CJ153:CJ156)</f>
        <v>9</v>
      </c>
      <c r="CK157" s="1273">
        <f t="shared" si="165"/>
        <v>0</v>
      </c>
      <c r="CL157" s="1273">
        <f t="shared" si="165"/>
        <v>24</v>
      </c>
      <c r="CM157" s="1273">
        <f t="shared" si="165"/>
        <v>33</v>
      </c>
      <c r="CN157" s="1273">
        <f t="shared" si="165"/>
        <v>20</v>
      </c>
      <c r="CO157" s="1273">
        <f t="shared" si="165"/>
        <v>40</v>
      </c>
      <c r="CP157" s="1273">
        <f t="shared" si="165"/>
        <v>22</v>
      </c>
      <c r="CQ157" s="1273">
        <f t="shared" si="165"/>
        <v>82</v>
      </c>
      <c r="CR157" s="1273">
        <f t="shared" ref="CR157:CU157" si="166">SUM(CR153:CR156)</f>
        <v>10</v>
      </c>
      <c r="CS157" s="1273">
        <f t="shared" si="166"/>
        <v>0</v>
      </c>
      <c r="CT157" s="1273">
        <f t="shared" si="166"/>
        <v>18</v>
      </c>
      <c r="CU157" s="1273">
        <f t="shared" si="166"/>
        <v>28</v>
      </c>
    </row>
    <row r="158" spans="1:99" ht="14.4" x14ac:dyDescent="0.25">
      <c r="B158" s="1317"/>
      <c r="C158" s="1326" t="s">
        <v>422</v>
      </c>
      <c r="D158" s="1319">
        <f t="shared" ref="D158:BO158" si="167">SUM(D152,D134,D157)</f>
        <v>96</v>
      </c>
      <c r="E158" s="1320">
        <f t="shared" si="167"/>
        <v>15</v>
      </c>
      <c r="F158" s="1320">
        <f t="shared" si="167"/>
        <v>54</v>
      </c>
      <c r="G158" s="1321">
        <f t="shared" si="167"/>
        <v>165</v>
      </c>
      <c r="H158" s="1319">
        <f t="shared" si="167"/>
        <v>127</v>
      </c>
      <c r="I158" s="1320">
        <f t="shared" si="167"/>
        <v>85</v>
      </c>
      <c r="J158" s="1320">
        <f t="shared" si="167"/>
        <v>125</v>
      </c>
      <c r="K158" s="1321">
        <f t="shared" si="167"/>
        <v>337</v>
      </c>
      <c r="L158" s="1319">
        <f t="shared" si="167"/>
        <v>127</v>
      </c>
      <c r="M158" s="1320">
        <f t="shared" si="167"/>
        <v>30</v>
      </c>
      <c r="N158" s="1320">
        <f t="shared" si="167"/>
        <v>102</v>
      </c>
      <c r="O158" s="1321">
        <f t="shared" si="167"/>
        <v>259</v>
      </c>
      <c r="P158" s="1319">
        <f t="shared" si="167"/>
        <v>90</v>
      </c>
      <c r="Q158" s="1320">
        <f t="shared" si="167"/>
        <v>70</v>
      </c>
      <c r="R158" s="1320">
        <f t="shared" si="167"/>
        <v>169</v>
      </c>
      <c r="S158" s="1321">
        <f t="shared" si="167"/>
        <v>329</v>
      </c>
      <c r="T158" s="1319">
        <f t="shared" si="167"/>
        <v>90</v>
      </c>
      <c r="U158" s="1320">
        <f t="shared" si="167"/>
        <v>24</v>
      </c>
      <c r="V158" s="1320">
        <f t="shared" si="167"/>
        <v>116</v>
      </c>
      <c r="W158" s="1321">
        <f t="shared" si="167"/>
        <v>230</v>
      </c>
      <c r="X158" s="1320">
        <f t="shared" si="167"/>
        <v>40</v>
      </c>
      <c r="Y158" s="1320">
        <f t="shared" si="167"/>
        <v>0</v>
      </c>
      <c r="Z158" s="1320">
        <f t="shared" si="167"/>
        <v>179</v>
      </c>
      <c r="AA158" s="1321">
        <f t="shared" si="167"/>
        <v>219</v>
      </c>
      <c r="AB158" s="1320">
        <f t="shared" si="167"/>
        <v>69</v>
      </c>
      <c r="AC158" s="1320">
        <f t="shared" si="167"/>
        <v>4</v>
      </c>
      <c r="AD158" s="1320">
        <f t="shared" si="167"/>
        <v>136</v>
      </c>
      <c r="AE158" s="1321">
        <f t="shared" si="167"/>
        <v>209</v>
      </c>
      <c r="AF158" s="1320">
        <f t="shared" si="167"/>
        <v>52</v>
      </c>
      <c r="AG158" s="1320">
        <f t="shared" si="167"/>
        <v>4</v>
      </c>
      <c r="AH158" s="1320">
        <f t="shared" si="167"/>
        <v>205</v>
      </c>
      <c r="AI158" s="1321">
        <f t="shared" si="167"/>
        <v>261</v>
      </c>
      <c r="AJ158" s="1320">
        <f t="shared" si="167"/>
        <v>95</v>
      </c>
      <c r="AK158" s="1320">
        <f t="shared" si="167"/>
        <v>19</v>
      </c>
      <c r="AL158" s="1320">
        <f t="shared" si="167"/>
        <v>165</v>
      </c>
      <c r="AM158" s="1321">
        <f t="shared" si="167"/>
        <v>279</v>
      </c>
      <c r="AN158" s="1320">
        <f t="shared" si="167"/>
        <v>50</v>
      </c>
      <c r="AO158" s="1320">
        <f t="shared" si="167"/>
        <v>14</v>
      </c>
      <c r="AP158" s="1320">
        <f t="shared" si="167"/>
        <v>204</v>
      </c>
      <c r="AQ158" s="1321">
        <f t="shared" si="167"/>
        <v>268</v>
      </c>
      <c r="AR158" s="1320">
        <f t="shared" si="167"/>
        <v>87</v>
      </c>
      <c r="AS158" s="1320">
        <f t="shared" si="167"/>
        <v>23</v>
      </c>
      <c r="AT158" s="1320">
        <f t="shared" si="167"/>
        <v>170</v>
      </c>
      <c r="AU158" s="1321">
        <f t="shared" si="167"/>
        <v>280</v>
      </c>
      <c r="AV158" s="1320">
        <f t="shared" si="167"/>
        <v>35</v>
      </c>
      <c r="AW158" s="1320">
        <f t="shared" si="167"/>
        <v>5</v>
      </c>
      <c r="AX158" s="1320">
        <f t="shared" si="167"/>
        <v>201</v>
      </c>
      <c r="AY158" s="1321">
        <f t="shared" si="167"/>
        <v>241</v>
      </c>
      <c r="AZ158" s="1320">
        <f t="shared" si="167"/>
        <v>80</v>
      </c>
      <c r="BA158" s="1320">
        <f t="shared" si="167"/>
        <v>54</v>
      </c>
      <c r="BB158" s="1320">
        <f t="shared" si="167"/>
        <v>166</v>
      </c>
      <c r="BC158" s="1321">
        <f t="shared" si="167"/>
        <v>300</v>
      </c>
      <c r="BD158" s="1320">
        <f t="shared" si="167"/>
        <v>54</v>
      </c>
      <c r="BE158" s="1320">
        <f t="shared" si="167"/>
        <v>18</v>
      </c>
      <c r="BF158" s="1320">
        <f t="shared" si="167"/>
        <v>215</v>
      </c>
      <c r="BG158" s="1321">
        <f t="shared" si="167"/>
        <v>287</v>
      </c>
      <c r="BH158" s="1320">
        <f t="shared" si="167"/>
        <v>94</v>
      </c>
      <c r="BI158" s="1320">
        <f t="shared" si="167"/>
        <v>75</v>
      </c>
      <c r="BJ158" s="1320">
        <f t="shared" si="167"/>
        <v>125</v>
      </c>
      <c r="BK158" s="1321">
        <f t="shared" si="167"/>
        <v>294</v>
      </c>
      <c r="BL158" s="1320">
        <f t="shared" si="167"/>
        <v>45</v>
      </c>
      <c r="BM158" s="1320">
        <f t="shared" si="167"/>
        <v>29</v>
      </c>
      <c r="BN158" s="1320">
        <f t="shared" si="167"/>
        <v>233</v>
      </c>
      <c r="BO158" s="1321">
        <f t="shared" si="167"/>
        <v>307</v>
      </c>
      <c r="BP158" s="1320">
        <f t="shared" ref="BP158:CM158" si="168">SUM(BP152,BP134,BP157)</f>
        <v>102</v>
      </c>
      <c r="BQ158" s="1320">
        <f t="shared" si="168"/>
        <v>76</v>
      </c>
      <c r="BR158" s="1320">
        <f t="shared" si="168"/>
        <v>137</v>
      </c>
      <c r="BS158" s="1321">
        <f t="shared" si="168"/>
        <v>315</v>
      </c>
      <c r="BT158" s="1320">
        <f t="shared" si="168"/>
        <v>55</v>
      </c>
      <c r="BU158" s="1320">
        <f t="shared" si="168"/>
        <v>28</v>
      </c>
      <c r="BV158" s="1320">
        <f t="shared" si="168"/>
        <v>207</v>
      </c>
      <c r="BW158" s="1321">
        <f t="shared" si="168"/>
        <v>290</v>
      </c>
      <c r="BX158" s="1320">
        <f t="shared" si="168"/>
        <v>121</v>
      </c>
      <c r="BY158" s="1320">
        <f t="shared" si="168"/>
        <v>66</v>
      </c>
      <c r="BZ158" s="1320">
        <f t="shared" si="168"/>
        <v>145</v>
      </c>
      <c r="CA158" s="1321">
        <f t="shared" si="168"/>
        <v>332</v>
      </c>
      <c r="CB158" s="1320">
        <f t="shared" si="168"/>
        <v>74</v>
      </c>
      <c r="CC158" s="1320">
        <f t="shared" si="168"/>
        <v>53</v>
      </c>
      <c r="CD158" s="1320">
        <f t="shared" si="168"/>
        <v>211</v>
      </c>
      <c r="CE158" s="1321">
        <f t="shared" si="168"/>
        <v>338</v>
      </c>
      <c r="CF158" s="1320">
        <f t="shared" si="168"/>
        <v>114</v>
      </c>
      <c r="CG158" s="1320">
        <f t="shared" si="168"/>
        <v>134</v>
      </c>
      <c r="CH158" s="1320">
        <f t="shared" si="168"/>
        <v>81</v>
      </c>
      <c r="CI158" s="1321">
        <f t="shared" si="168"/>
        <v>329</v>
      </c>
      <c r="CJ158" s="1320">
        <f t="shared" si="168"/>
        <v>70</v>
      </c>
      <c r="CK158" s="1320">
        <f t="shared" si="168"/>
        <v>137</v>
      </c>
      <c r="CL158" s="1320">
        <f t="shared" si="168"/>
        <v>53</v>
      </c>
      <c r="CM158" s="1320">
        <f t="shared" si="168"/>
        <v>260</v>
      </c>
      <c r="CN158" s="1320">
        <f t="shared" ref="CN158:CQ158" si="169">SUM(CN152,CN134,CN157)</f>
        <v>142</v>
      </c>
      <c r="CO158" s="1320">
        <f t="shared" si="169"/>
        <v>144</v>
      </c>
      <c r="CP158" s="1320">
        <f t="shared" si="169"/>
        <v>80</v>
      </c>
      <c r="CQ158" s="1320">
        <f t="shared" si="169"/>
        <v>366</v>
      </c>
      <c r="CR158" s="1320">
        <f t="shared" ref="CR158:CU158" si="170">SUM(CR152,CR134,CR157)</f>
        <v>64</v>
      </c>
      <c r="CS158" s="1320">
        <f t="shared" si="170"/>
        <v>88</v>
      </c>
      <c r="CT158" s="1320">
        <f t="shared" si="170"/>
        <v>113</v>
      </c>
      <c r="CU158" s="5154">
        <f t="shared" si="170"/>
        <v>265</v>
      </c>
    </row>
    <row r="159" spans="1:99" ht="14.4" x14ac:dyDescent="0.25">
      <c r="B159" s="1327"/>
      <c r="C159" s="1328"/>
      <c r="D159" s="1329"/>
      <c r="E159" s="1329"/>
      <c r="F159" s="1329"/>
      <c r="G159" s="1329"/>
      <c r="H159" s="1329"/>
      <c r="I159" s="1329"/>
      <c r="J159" s="1329"/>
      <c r="K159" s="1329"/>
      <c r="L159" s="1329"/>
      <c r="M159" s="1329"/>
      <c r="N159" s="1329"/>
      <c r="O159" s="1329"/>
      <c r="P159" s="1329"/>
      <c r="Q159" s="1329"/>
      <c r="R159" s="1329"/>
      <c r="S159" s="1329"/>
      <c r="T159" s="1329"/>
      <c r="U159" s="1329"/>
      <c r="V159" s="1329"/>
      <c r="W159" s="1329"/>
      <c r="X159" s="1329"/>
      <c r="Y159" s="1329"/>
      <c r="Z159" s="1329"/>
      <c r="AA159" s="1329"/>
      <c r="AB159" s="1329"/>
      <c r="AC159" s="1329"/>
      <c r="AD159" s="1329"/>
      <c r="AE159" s="1329"/>
      <c r="AF159" s="1329"/>
      <c r="AG159" s="1329"/>
      <c r="AH159" s="1329"/>
      <c r="AI159" s="1329"/>
      <c r="AJ159" s="1329"/>
      <c r="AK159" s="1329"/>
      <c r="AL159" s="1329"/>
      <c r="AM159" s="1329"/>
      <c r="AN159" s="1329"/>
      <c r="AO159" s="1329"/>
      <c r="AP159" s="1329"/>
      <c r="AQ159" s="1329"/>
      <c r="AR159" s="1329"/>
      <c r="AS159" s="1329"/>
      <c r="AT159" s="1329"/>
      <c r="AU159" s="1329"/>
      <c r="AV159" s="1329"/>
      <c r="AW159" s="1329"/>
      <c r="AX159" s="1329"/>
      <c r="AY159" s="1329"/>
      <c r="AZ159" s="1329"/>
      <c r="BA159" s="1329"/>
      <c r="BB159" s="1329"/>
      <c r="BC159" s="1329"/>
      <c r="BD159" s="1329"/>
      <c r="BE159" s="1329"/>
      <c r="BF159" s="1329"/>
      <c r="BG159" s="1329"/>
      <c r="BH159" s="1329"/>
      <c r="BI159" s="1329"/>
      <c r="BJ159" s="1329"/>
      <c r="BK159" s="1329"/>
      <c r="BL159" s="1329"/>
      <c r="BM159" s="1329"/>
      <c r="BN159" s="1329"/>
      <c r="BO159" s="1329"/>
      <c r="BP159" s="1329"/>
      <c r="BQ159" s="1329"/>
      <c r="BR159" s="1329"/>
      <c r="BS159" s="1329"/>
      <c r="BT159" s="1329"/>
      <c r="BU159" s="1329"/>
      <c r="BV159" s="1329"/>
      <c r="BW159" s="1329"/>
      <c r="BX159" s="1329"/>
      <c r="BY159" s="1329"/>
      <c r="BZ159" s="1329"/>
      <c r="CA159" s="1329"/>
      <c r="CB159" s="1329"/>
      <c r="CC159" s="1329"/>
      <c r="CD159" s="1329"/>
      <c r="CE159" s="1329"/>
      <c r="CF159" s="1329"/>
      <c r="CG159" s="1329"/>
      <c r="CH159" s="1329"/>
      <c r="CI159" s="1329"/>
      <c r="CJ159" s="1329"/>
      <c r="CK159" s="1329"/>
      <c r="CL159" s="1329"/>
      <c r="CM159" s="1329"/>
      <c r="CN159" s="1329"/>
      <c r="CO159" s="1329"/>
      <c r="CP159" s="1329"/>
      <c r="CQ159" s="1329"/>
      <c r="CR159" s="1329"/>
      <c r="CS159" s="1329"/>
      <c r="CT159" s="1329"/>
      <c r="CU159" s="1329"/>
    </row>
    <row r="160" spans="1:99" s="1330" customFormat="1" ht="14.4" x14ac:dyDescent="0.25">
      <c r="A160" s="25"/>
      <c r="B160" s="5848" t="s">
        <v>128</v>
      </c>
      <c r="C160" s="5849"/>
      <c r="D160" s="398">
        <f t="shared" ref="D160:AI160" si="171">SUM(D55,D66,D111,D158)</f>
        <v>256</v>
      </c>
      <c r="E160" s="399">
        <f t="shared" si="171"/>
        <v>50</v>
      </c>
      <c r="F160" s="399">
        <f t="shared" si="171"/>
        <v>409</v>
      </c>
      <c r="G160" s="400">
        <f t="shared" si="171"/>
        <v>715</v>
      </c>
      <c r="H160" s="398">
        <f t="shared" si="171"/>
        <v>375</v>
      </c>
      <c r="I160" s="399">
        <f t="shared" si="171"/>
        <v>121</v>
      </c>
      <c r="J160" s="399">
        <f t="shared" si="171"/>
        <v>617</v>
      </c>
      <c r="K160" s="400">
        <f t="shared" si="171"/>
        <v>1113</v>
      </c>
      <c r="L160" s="398">
        <f t="shared" si="171"/>
        <v>247</v>
      </c>
      <c r="M160" s="399">
        <f t="shared" si="171"/>
        <v>95</v>
      </c>
      <c r="N160" s="399">
        <f t="shared" si="171"/>
        <v>480</v>
      </c>
      <c r="O160" s="400">
        <f t="shared" si="171"/>
        <v>822</v>
      </c>
      <c r="P160" s="398">
        <f t="shared" si="171"/>
        <v>203</v>
      </c>
      <c r="Q160" s="399">
        <f t="shared" si="171"/>
        <v>103</v>
      </c>
      <c r="R160" s="399">
        <f t="shared" si="171"/>
        <v>791</v>
      </c>
      <c r="S160" s="400">
        <f t="shared" si="171"/>
        <v>1097</v>
      </c>
      <c r="T160" s="398">
        <f t="shared" si="171"/>
        <v>147</v>
      </c>
      <c r="U160" s="399">
        <f t="shared" si="171"/>
        <v>44</v>
      </c>
      <c r="V160" s="399">
        <f t="shared" si="171"/>
        <v>390</v>
      </c>
      <c r="W160" s="400">
        <f t="shared" si="171"/>
        <v>581</v>
      </c>
      <c r="X160" s="399">
        <f t="shared" si="171"/>
        <v>113</v>
      </c>
      <c r="Y160" s="399">
        <f t="shared" si="171"/>
        <v>59</v>
      </c>
      <c r="Z160" s="399">
        <f t="shared" si="171"/>
        <v>522</v>
      </c>
      <c r="AA160" s="400">
        <f t="shared" si="171"/>
        <v>694</v>
      </c>
      <c r="AB160" s="399">
        <f t="shared" si="171"/>
        <v>237</v>
      </c>
      <c r="AC160" s="399">
        <f t="shared" si="171"/>
        <v>33</v>
      </c>
      <c r="AD160" s="399">
        <f t="shared" si="171"/>
        <v>426</v>
      </c>
      <c r="AE160" s="400">
        <f t="shared" si="171"/>
        <v>696</v>
      </c>
      <c r="AF160" s="399">
        <f t="shared" si="171"/>
        <v>228</v>
      </c>
      <c r="AG160" s="399">
        <f t="shared" si="171"/>
        <v>28</v>
      </c>
      <c r="AH160" s="399">
        <f t="shared" si="171"/>
        <v>461</v>
      </c>
      <c r="AI160" s="400">
        <f t="shared" si="171"/>
        <v>717</v>
      </c>
      <c r="AJ160" s="399">
        <f t="shared" ref="AJ160:BO160" si="172">SUM(AJ55,AJ66,AJ111,AJ158)</f>
        <v>331</v>
      </c>
      <c r="AK160" s="399">
        <f t="shared" si="172"/>
        <v>58</v>
      </c>
      <c r="AL160" s="399">
        <f t="shared" si="172"/>
        <v>507</v>
      </c>
      <c r="AM160" s="400">
        <f t="shared" si="172"/>
        <v>896</v>
      </c>
      <c r="AN160" s="399">
        <f t="shared" si="172"/>
        <v>222</v>
      </c>
      <c r="AO160" s="399">
        <f t="shared" si="172"/>
        <v>33</v>
      </c>
      <c r="AP160" s="399">
        <f t="shared" si="172"/>
        <v>685</v>
      </c>
      <c r="AQ160" s="400">
        <f t="shared" si="172"/>
        <v>940</v>
      </c>
      <c r="AR160" s="399">
        <f t="shared" si="172"/>
        <v>145</v>
      </c>
      <c r="AS160" s="399">
        <f t="shared" si="172"/>
        <v>152</v>
      </c>
      <c r="AT160" s="399">
        <f t="shared" si="172"/>
        <v>595</v>
      </c>
      <c r="AU160" s="400">
        <f t="shared" si="172"/>
        <v>892</v>
      </c>
      <c r="AV160" s="399">
        <f t="shared" si="172"/>
        <v>133</v>
      </c>
      <c r="AW160" s="399">
        <f t="shared" si="172"/>
        <v>37</v>
      </c>
      <c r="AX160" s="399">
        <f t="shared" si="172"/>
        <v>796</v>
      </c>
      <c r="AY160" s="400">
        <f t="shared" si="172"/>
        <v>966</v>
      </c>
      <c r="AZ160" s="399">
        <f t="shared" si="172"/>
        <v>218</v>
      </c>
      <c r="BA160" s="399">
        <f t="shared" si="172"/>
        <v>86</v>
      </c>
      <c r="BB160" s="399">
        <f t="shared" si="172"/>
        <v>686</v>
      </c>
      <c r="BC160" s="400">
        <f t="shared" si="172"/>
        <v>990</v>
      </c>
      <c r="BD160" s="399">
        <f t="shared" si="172"/>
        <v>224</v>
      </c>
      <c r="BE160" s="399">
        <f t="shared" si="172"/>
        <v>65</v>
      </c>
      <c r="BF160" s="399">
        <f t="shared" si="172"/>
        <v>813</v>
      </c>
      <c r="BG160" s="400">
        <f t="shared" si="172"/>
        <v>1048</v>
      </c>
      <c r="BH160" s="398">
        <f t="shared" si="172"/>
        <v>262</v>
      </c>
      <c r="BI160" s="399">
        <f t="shared" si="172"/>
        <v>105</v>
      </c>
      <c r="BJ160" s="399">
        <f t="shared" si="172"/>
        <v>621</v>
      </c>
      <c r="BK160" s="400">
        <f t="shared" si="172"/>
        <v>988</v>
      </c>
      <c r="BL160" s="398">
        <f t="shared" si="172"/>
        <v>195</v>
      </c>
      <c r="BM160" s="399">
        <f t="shared" si="172"/>
        <v>72</v>
      </c>
      <c r="BN160" s="399">
        <f t="shared" si="172"/>
        <v>901</v>
      </c>
      <c r="BO160" s="400">
        <f t="shared" si="172"/>
        <v>1168</v>
      </c>
      <c r="BP160" s="398">
        <f t="shared" ref="BP160:CC160" si="173">SUM(BP55,BP66,BP111,BP158)</f>
        <v>270</v>
      </c>
      <c r="BQ160" s="399">
        <f t="shared" si="173"/>
        <v>147</v>
      </c>
      <c r="BR160" s="399">
        <f t="shared" si="173"/>
        <v>655</v>
      </c>
      <c r="BS160" s="400">
        <f t="shared" si="173"/>
        <v>1072</v>
      </c>
      <c r="BT160" s="398">
        <f t="shared" si="173"/>
        <v>201</v>
      </c>
      <c r="BU160" s="399">
        <f t="shared" si="173"/>
        <v>54</v>
      </c>
      <c r="BV160" s="399">
        <f t="shared" si="173"/>
        <v>735</v>
      </c>
      <c r="BW160" s="400">
        <f t="shared" si="173"/>
        <v>990</v>
      </c>
      <c r="BX160" s="398">
        <f t="shared" si="173"/>
        <v>321</v>
      </c>
      <c r="BY160" s="399">
        <f t="shared" si="173"/>
        <v>160</v>
      </c>
      <c r="BZ160" s="399">
        <f t="shared" si="173"/>
        <v>610</v>
      </c>
      <c r="CA160" s="400">
        <f t="shared" si="173"/>
        <v>1091</v>
      </c>
      <c r="CB160" s="398">
        <f t="shared" si="173"/>
        <v>171</v>
      </c>
      <c r="CC160" s="399">
        <f t="shared" si="173"/>
        <v>135</v>
      </c>
      <c r="CD160" s="399">
        <f t="shared" ref="CD160:CQ160" si="174">SUM(CD55,CD66,CD111,CD114,CD158)</f>
        <v>715</v>
      </c>
      <c r="CE160" s="400">
        <f t="shared" si="174"/>
        <v>1021</v>
      </c>
      <c r="CF160" s="398">
        <f t="shared" si="174"/>
        <v>332</v>
      </c>
      <c r="CG160" s="399">
        <f t="shared" si="174"/>
        <v>305</v>
      </c>
      <c r="CH160" s="399">
        <f t="shared" si="174"/>
        <v>411</v>
      </c>
      <c r="CI160" s="400">
        <f t="shared" si="174"/>
        <v>1048</v>
      </c>
      <c r="CJ160" s="398">
        <f t="shared" si="174"/>
        <v>187</v>
      </c>
      <c r="CK160" s="399">
        <f t="shared" si="174"/>
        <v>347</v>
      </c>
      <c r="CL160" s="399">
        <f t="shared" si="174"/>
        <v>208</v>
      </c>
      <c r="CM160" s="400">
        <f t="shared" si="174"/>
        <v>742</v>
      </c>
      <c r="CN160" s="398">
        <f t="shared" si="174"/>
        <v>262</v>
      </c>
      <c r="CO160" s="399">
        <f t="shared" si="174"/>
        <v>336</v>
      </c>
      <c r="CP160" s="399">
        <f t="shared" si="174"/>
        <v>267</v>
      </c>
      <c r="CQ160" s="400">
        <f t="shared" si="174"/>
        <v>865</v>
      </c>
      <c r="CR160" s="398">
        <f t="shared" ref="CR160:CU160" si="175">SUM(CR55,CR66,CR111,CR114,CR158)</f>
        <v>171</v>
      </c>
      <c r="CS160" s="399">
        <f t="shared" si="175"/>
        <v>230</v>
      </c>
      <c r="CT160" s="399">
        <f t="shared" si="175"/>
        <v>476</v>
      </c>
      <c r="CU160" s="400">
        <f t="shared" si="175"/>
        <v>877</v>
      </c>
    </row>
    <row r="161" spans="2:19" x14ac:dyDescent="0.25">
      <c r="B161" s="393" t="s">
        <v>423</v>
      </c>
      <c r="C161" s="1331"/>
      <c r="D161" s="393"/>
      <c r="E161" s="393"/>
      <c r="F161" s="393"/>
      <c r="G161" s="393"/>
      <c r="H161" s="393"/>
      <c r="I161" s="393"/>
      <c r="J161" s="393"/>
      <c r="K161" s="393"/>
      <c r="L161" s="393"/>
      <c r="M161" s="393"/>
      <c r="N161" s="393"/>
      <c r="O161" s="393"/>
      <c r="P161" s="393"/>
      <c r="Q161" s="393"/>
      <c r="R161" s="393"/>
      <c r="S161" s="393"/>
    </row>
    <row r="162" spans="2:19" x14ac:dyDescent="0.25">
      <c r="B162" s="614"/>
      <c r="C162" s="614"/>
      <c r="D162" s="614"/>
      <c r="E162" s="614"/>
      <c r="F162" s="614"/>
      <c r="G162" s="614"/>
      <c r="H162" s="614"/>
      <c r="I162" s="614"/>
      <c r="J162" s="614"/>
      <c r="K162" s="614"/>
      <c r="L162" s="614"/>
      <c r="M162" s="614"/>
      <c r="N162" s="614"/>
      <c r="O162" s="614"/>
      <c r="P162" s="614"/>
      <c r="Q162" s="614"/>
      <c r="R162" s="614"/>
      <c r="S162" s="614"/>
    </row>
    <row r="166" spans="2:19" x14ac:dyDescent="0.25">
      <c r="F166" s="146"/>
    </row>
  </sheetData>
  <mergeCells count="50">
    <mergeCell ref="B160:C160"/>
    <mergeCell ref="B92:B98"/>
    <mergeCell ref="B100:B102"/>
    <mergeCell ref="B103:B106"/>
    <mergeCell ref="B107:B109"/>
    <mergeCell ref="B115:B116"/>
    <mergeCell ref="B117:B127"/>
    <mergeCell ref="B128:B133"/>
    <mergeCell ref="B135:B137"/>
    <mergeCell ref="B148:B151"/>
    <mergeCell ref="B153:B155"/>
    <mergeCell ref="B138:B147"/>
    <mergeCell ref="B85:B91"/>
    <mergeCell ref="B6:B11"/>
    <mergeCell ref="B12:B15"/>
    <mergeCell ref="B17:B21"/>
    <mergeCell ref="B22:B30"/>
    <mergeCell ref="B31:B35"/>
    <mergeCell ref="B37:B39"/>
    <mergeCell ref="B40:B46"/>
    <mergeCell ref="B47:B53"/>
    <mergeCell ref="B63:B64"/>
    <mergeCell ref="B68:B74"/>
    <mergeCell ref="B75:B82"/>
    <mergeCell ref="BP3:BS3"/>
    <mergeCell ref="BT3:BW3"/>
    <mergeCell ref="BX3:CA3"/>
    <mergeCell ref="CB3:CE3"/>
    <mergeCell ref="CF3:CI3"/>
    <mergeCell ref="AV3:AY3"/>
    <mergeCell ref="AZ3:BC3"/>
    <mergeCell ref="BD3:BG3"/>
    <mergeCell ref="BH3:BK3"/>
    <mergeCell ref="BL3:BO3"/>
    <mergeCell ref="CR3:CU3"/>
    <mergeCell ref="CN3:CQ3"/>
    <mergeCell ref="AN3:AQ3"/>
    <mergeCell ref="B3:B4"/>
    <mergeCell ref="C3:C4"/>
    <mergeCell ref="D3:G3"/>
    <mergeCell ref="H3:K3"/>
    <mergeCell ref="L3:O3"/>
    <mergeCell ref="P3:S3"/>
    <mergeCell ref="T3:W3"/>
    <mergeCell ref="X3:AA3"/>
    <mergeCell ref="AB3:AE3"/>
    <mergeCell ref="AF3:AI3"/>
    <mergeCell ref="AJ3:AM3"/>
    <mergeCell ref="CJ3:CM3"/>
    <mergeCell ref="AR3:AU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50" firstPageNumber="55" pageOrder="overThenDown" orientation="landscape" useFirstPageNumber="1" r:id="rId1"/>
  <headerFooter scaleWithDoc="0" alignWithMargins="0">
    <oddFooter>&amp;R&amp;P</oddFooter>
  </headerFooter>
  <rowBreaks count="2" manualBreakCount="2">
    <brk id="66" max="16383" man="1"/>
    <brk id="114" min="79" max="98" man="1"/>
  </rowBreaks>
  <colBreaks count="3" manualBreakCount="3">
    <brk id="23" max="139" man="1"/>
    <brk id="43" max="139" man="1"/>
    <brk id="67" max="139" man="1"/>
  </col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7A519"/>
  </sheetPr>
  <dimension ref="A1:CT113"/>
  <sheetViews>
    <sheetView showGridLines="0" zoomScaleNormal="100" workbookViewId="0">
      <pane xSplit="2" ySplit="5" topLeftCell="BY66" activePane="bottomRight" state="frozen"/>
      <selection activeCell="Q31" sqref="Q31"/>
      <selection pane="topRight" activeCell="Q31" sqref="Q31"/>
      <selection pane="bottomLeft" activeCell="Q31" sqref="Q31"/>
      <selection pane="bottomRight" activeCell="Q31" sqref="Q31"/>
    </sheetView>
  </sheetViews>
  <sheetFormatPr baseColWidth="10" defaultRowHeight="13.2" x14ac:dyDescent="0.25"/>
  <cols>
    <col min="1" max="1" width="2.88671875" style="1332" customWidth="1"/>
    <col min="2" max="2" width="21.109375" style="25" customWidth="1"/>
    <col min="3" max="25" width="7.88671875" style="25" customWidth="1"/>
    <col min="26" max="26" width="7.88671875" style="1330" customWidth="1"/>
    <col min="27" max="29" width="7.88671875" style="25" customWidth="1"/>
    <col min="30" max="30" width="7.88671875" style="1330" customWidth="1"/>
    <col min="31" max="33" width="7.88671875" style="25" customWidth="1"/>
    <col min="34" max="34" width="7.88671875" style="1330" customWidth="1"/>
    <col min="35" max="37" width="7.88671875" style="25" customWidth="1"/>
    <col min="38" max="38" width="7.88671875" style="1330" customWidth="1"/>
    <col min="39" max="108" width="7.88671875" style="25" customWidth="1"/>
    <col min="109" max="270" width="11.5546875" style="25"/>
    <col min="271" max="271" width="2" style="25" customWidth="1"/>
    <col min="272" max="272" width="16.109375" style="25" customWidth="1"/>
    <col min="273" max="273" width="11.109375" style="25" bestFit="1" customWidth="1"/>
    <col min="274" max="274" width="20.109375" style="25" customWidth="1"/>
    <col min="275" max="306" width="7.109375" style="25" customWidth="1"/>
    <col min="307" max="526" width="11.5546875" style="25"/>
    <col min="527" max="527" width="2" style="25" customWidth="1"/>
    <col min="528" max="528" width="16.109375" style="25" customWidth="1"/>
    <col min="529" max="529" width="11.109375" style="25" bestFit="1" customWidth="1"/>
    <col min="530" max="530" width="20.109375" style="25" customWidth="1"/>
    <col min="531" max="562" width="7.109375" style="25" customWidth="1"/>
    <col min="563" max="782" width="11.5546875" style="25"/>
    <col min="783" max="783" width="2" style="25" customWidth="1"/>
    <col min="784" max="784" width="16.109375" style="25" customWidth="1"/>
    <col min="785" max="785" width="11.109375" style="25" bestFit="1" customWidth="1"/>
    <col min="786" max="786" width="20.109375" style="25" customWidth="1"/>
    <col min="787" max="818" width="7.109375" style="25" customWidth="1"/>
    <col min="819" max="1038" width="11.5546875" style="25"/>
    <col min="1039" max="1039" width="2" style="25" customWidth="1"/>
    <col min="1040" max="1040" width="16.109375" style="25" customWidth="1"/>
    <col min="1041" max="1041" width="11.109375" style="25" bestFit="1" customWidth="1"/>
    <col min="1042" max="1042" width="20.109375" style="25" customWidth="1"/>
    <col min="1043" max="1074" width="7.109375" style="25" customWidth="1"/>
    <col min="1075" max="1294" width="11.5546875" style="25"/>
    <col min="1295" max="1295" width="2" style="25" customWidth="1"/>
    <col min="1296" max="1296" width="16.109375" style="25" customWidth="1"/>
    <col min="1297" max="1297" width="11.109375" style="25" bestFit="1" customWidth="1"/>
    <col min="1298" max="1298" width="20.109375" style="25" customWidth="1"/>
    <col min="1299" max="1330" width="7.109375" style="25" customWidth="1"/>
    <col min="1331" max="1550" width="11.5546875" style="25"/>
    <col min="1551" max="1551" width="2" style="25" customWidth="1"/>
    <col min="1552" max="1552" width="16.109375" style="25" customWidth="1"/>
    <col min="1553" max="1553" width="11.109375" style="25" bestFit="1" customWidth="1"/>
    <col min="1554" max="1554" width="20.109375" style="25" customWidth="1"/>
    <col min="1555" max="1586" width="7.109375" style="25" customWidth="1"/>
    <col min="1587" max="1806" width="11.5546875" style="25"/>
    <col min="1807" max="1807" width="2" style="25" customWidth="1"/>
    <col min="1808" max="1808" width="16.109375" style="25" customWidth="1"/>
    <col min="1809" max="1809" width="11.109375" style="25" bestFit="1" customWidth="1"/>
    <col min="1810" max="1810" width="20.109375" style="25" customWidth="1"/>
    <col min="1811" max="1842" width="7.109375" style="25" customWidth="1"/>
    <col min="1843" max="2062" width="11.5546875" style="25"/>
    <col min="2063" max="2063" width="2" style="25" customWidth="1"/>
    <col min="2064" max="2064" width="16.109375" style="25" customWidth="1"/>
    <col min="2065" max="2065" width="11.109375" style="25" bestFit="1" customWidth="1"/>
    <col min="2066" max="2066" width="20.109375" style="25" customWidth="1"/>
    <col min="2067" max="2098" width="7.109375" style="25" customWidth="1"/>
    <col min="2099" max="2318" width="11.5546875" style="25"/>
    <col min="2319" max="2319" width="2" style="25" customWidth="1"/>
    <col min="2320" max="2320" width="16.109375" style="25" customWidth="1"/>
    <col min="2321" max="2321" width="11.109375" style="25" bestFit="1" customWidth="1"/>
    <col min="2322" max="2322" width="20.109375" style="25" customWidth="1"/>
    <col min="2323" max="2354" width="7.109375" style="25" customWidth="1"/>
    <col min="2355" max="2574" width="11.5546875" style="25"/>
    <col min="2575" max="2575" width="2" style="25" customWidth="1"/>
    <col min="2576" max="2576" width="16.109375" style="25" customWidth="1"/>
    <col min="2577" max="2577" width="11.109375" style="25" bestFit="1" customWidth="1"/>
    <col min="2578" max="2578" width="20.109375" style="25" customWidth="1"/>
    <col min="2579" max="2610" width="7.109375" style="25" customWidth="1"/>
    <col min="2611" max="2830" width="11.5546875" style="25"/>
    <col min="2831" max="2831" width="2" style="25" customWidth="1"/>
    <col min="2832" max="2832" width="16.109375" style="25" customWidth="1"/>
    <col min="2833" max="2833" width="11.109375" style="25" bestFit="1" customWidth="1"/>
    <col min="2834" max="2834" width="20.109375" style="25" customWidth="1"/>
    <col min="2835" max="2866" width="7.109375" style="25" customWidth="1"/>
    <col min="2867" max="3086" width="11.5546875" style="25"/>
    <col min="3087" max="3087" width="2" style="25" customWidth="1"/>
    <col min="3088" max="3088" width="16.109375" style="25" customWidth="1"/>
    <col min="3089" max="3089" width="11.109375" style="25" bestFit="1" customWidth="1"/>
    <col min="3090" max="3090" width="20.109375" style="25" customWidth="1"/>
    <col min="3091" max="3122" width="7.109375" style="25" customWidth="1"/>
    <col min="3123" max="3342" width="11.5546875" style="25"/>
    <col min="3343" max="3343" width="2" style="25" customWidth="1"/>
    <col min="3344" max="3344" width="16.109375" style="25" customWidth="1"/>
    <col min="3345" max="3345" width="11.109375" style="25" bestFit="1" customWidth="1"/>
    <col min="3346" max="3346" width="20.109375" style="25" customWidth="1"/>
    <col min="3347" max="3378" width="7.109375" style="25" customWidth="1"/>
    <col min="3379" max="3598" width="11.5546875" style="25"/>
    <col min="3599" max="3599" width="2" style="25" customWidth="1"/>
    <col min="3600" max="3600" width="16.109375" style="25" customWidth="1"/>
    <col min="3601" max="3601" width="11.109375" style="25" bestFit="1" customWidth="1"/>
    <col min="3602" max="3602" width="20.109375" style="25" customWidth="1"/>
    <col min="3603" max="3634" width="7.109375" style="25" customWidth="1"/>
    <col min="3635" max="3854" width="11.5546875" style="25"/>
    <col min="3855" max="3855" width="2" style="25" customWidth="1"/>
    <col min="3856" max="3856" width="16.109375" style="25" customWidth="1"/>
    <col min="3857" max="3857" width="11.109375" style="25" bestFit="1" customWidth="1"/>
    <col min="3858" max="3858" width="20.109375" style="25" customWidth="1"/>
    <col min="3859" max="3890" width="7.109375" style="25" customWidth="1"/>
    <col min="3891" max="4110" width="11.5546875" style="25"/>
    <col min="4111" max="4111" width="2" style="25" customWidth="1"/>
    <col min="4112" max="4112" width="16.109375" style="25" customWidth="1"/>
    <col min="4113" max="4113" width="11.109375" style="25" bestFit="1" customWidth="1"/>
    <col min="4114" max="4114" width="20.109375" style="25" customWidth="1"/>
    <col min="4115" max="4146" width="7.109375" style="25" customWidth="1"/>
    <col min="4147" max="4366" width="11.5546875" style="25"/>
    <col min="4367" max="4367" width="2" style="25" customWidth="1"/>
    <col min="4368" max="4368" width="16.109375" style="25" customWidth="1"/>
    <col min="4369" max="4369" width="11.109375" style="25" bestFit="1" customWidth="1"/>
    <col min="4370" max="4370" width="20.109375" style="25" customWidth="1"/>
    <col min="4371" max="4402" width="7.109375" style="25" customWidth="1"/>
    <col min="4403" max="4622" width="11.5546875" style="25"/>
    <col min="4623" max="4623" width="2" style="25" customWidth="1"/>
    <col min="4624" max="4624" width="16.109375" style="25" customWidth="1"/>
    <col min="4625" max="4625" width="11.109375" style="25" bestFit="1" customWidth="1"/>
    <col min="4626" max="4626" width="20.109375" style="25" customWidth="1"/>
    <col min="4627" max="4658" width="7.109375" style="25" customWidth="1"/>
    <col min="4659" max="4878" width="11.5546875" style="25"/>
    <col min="4879" max="4879" width="2" style="25" customWidth="1"/>
    <col min="4880" max="4880" width="16.109375" style="25" customWidth="1"/>
    <col min="4881" max="4881" width="11.109375" style="25" bestFit="1" customWidth="1"/>
    <col min="4882" max="4882" width="20.109375" style="25" customWidth="1"/>
    <col min="4883" max="4914" width="7.109375" style="25" customWidth="1"/>
    <col min="4915" max="5134" width="11.5546875" style="25"/>
    <col min="5135" max="5135" width="2" style="25" customWidth="1"/>
    <col min="5136" max="5136" width="16.109375" style="25" customWidth="1"/>
    <col min="5137" max="5137" width="11.109375" style="25" bestFit="1" customWidth="1"/>
    <col min="5138" max="5138" width="20.109375" style="25" customWidth="1"/>
    <col min="5139" max="5170" width="7.109375" style="25" customWidth="1"/>
    <col min="5171" max="5390" width="11.5546875" style="25"/>
    <col min="5391" max="5391" width="2" style="25" customWidth="1"/>
    <col min="5392" max="5392" width="16.109375" style="25" customWidth="1"/>
    <col min="5393" max="5393" width="11.109375" style="25" bestFit="1" customWidth="1"/>
    <col min="5394" max="5394" width="20.109375" style="25" customWidth="1"/>
    <col min="5395" max="5426" width="7.109375" style="25" customWidth="1"/>
    <col min="5427" max="5646" width="11.5546875" style="25"/>
    <col min="5647" max="5647" width="2" style="25" customWidth="1"/>
    <col min="5648" max="5648" width="16.109375" style="25" customWidth="1"/>
    <col min="5649" max="5649" width="11.109375" style="25" bestFit="1" customWidth="1"/>
    <col min="5650" max="5650" width="20.109375" style="25" customWidth="1"/>
    <col min="5651" max="5682" width="7.109375" style="25" customWidth="1"/>
    <col min="5683" max="5902" width="11.5546875" style="25"/>
    <col min="5903" max="5903" width="2" style="25" customWidth="1"/>
    <col min="5904" max="5904" width="16.109375" style="25" customWidth="1"/>
    <col min="5905" max="5905" width="11.109375" style="25" bestFit="1" customWidth="1"/>
    <col min="5906" max="5906" width="20.109375" style="25" customWidth="1"/>
    <col min="5907" max="5938" width="7.109375" style="25" customWidth="1"/>
    <col min="5939" max="6158" width="11.5546875" style="25"/>
    <col min="6159" max="6159" width="2" style="25" customWidth="1"/>
    <col min="6160" max="6160" width="16.109375" style="25" customWidth="1"/>
    <col min="6161" max="6161" width="11.109375" style="25" bestFit="1" customWidth="1"/>
    <col min="6162" max="6162" width="20.109375" style="25" customWidth="1"/>
    <col min="6163" max="6194" width="7.109375" style="25" customWidth="1"/>
    <col min="6195" max="6414" width="11.5546875" style="25"/>
    <col min="6415" max="6415" width="2" style="25" customWidth="1"/>
    <col min="6416" max="6416" width="16.109375" style="25" customWidth="1"/>
    <col min="6417" max="6417" width="11.109375" style="25" bestFit="1" customWidth="1"/>
    <col min="6418" max="6418" width="20.109375" style="25" customWidth="1"/>
    <col min="6419" max="6450" width="7.109375" style="25" customWidth="1"/>
    <col min="6451" max="6670" width="11.5546875" style="25"/>
    <col min="6671" max="6671" width="2" style="25" customWidth="1"/>
    <col min="6672" max="6672" width="16.109375" style="25" customWidth="1"/>
    <col min="6673" max="6673" width="11.109375" style="25" bestFit="1" customWidth="1"/>
    <col min="6674" max="6674" width="20.109375" style="25" customWidth="1"/>
    <col min="6675" max="6706" width="7.109375" style="25" customWidth="1"/>
    <col min="6707" max="6926" width="11.5546875" style="25"/>
    <col min="6927" max="6927" width="2" style="25" customWidth="1"/>
    <col min="6928" max="6928" width="16.109375" style="25" customWidth="1"/>
    <col min="6929" max="6929" width="11.109375" style="25" bestFit="1" customWidth="1"/>
    <col min="6930" max="6930" width="20.109375" style="25" customWidth="1"/>
    <col min="6931" max="6962" width="7.109375" style="25" customWidth="1"/>
    <col min="6963" max="7182" width="11.5546875" style="25"/>
    <col min="7183" max="7183" width="2" style="25" customWidth="1"/>
    <col min="7184" max="7184" width="16.109375" style="25" customWidth="1"/>
    <col min="7185" max="7185" width="11.109375" style="25" bestFit="1" customWidth="1"/>
    <col min="7186" max="7186" width="20.109375" style="25" customWidth="1"/>
    <col min="7187" max="7218" width="7.109375" style="25" customWidth="1"/>
    <col min="7219" max="7438" width="11.5546875" style="25"/>
    <col min="7439" max="7439" width="2" style="25" customWidth="1"/>
    <col min="7440" max="7440" width="16.109375" style="25" customWidth="1"/>
    <col min="7441" max="7441" width="11.109375" style="25" bestFit="1" customWidth="1"/>
    <col min="7442" max="7442" width="20.109375" style="25" customWidth="1"/>
    <col min="7443" max="7474" width="7.109375" style="25" customWidth="1"/>
    <col min="7475" max="7694" width="11.5546875" style="25"/>
    <col min="7695" max="7695" width="2" style="25" customWidth="1"/>
    <col min="7696" max="7696" width="16.109375" style="25" customWidth="1"/>
    <col min="7697" max="7697" width="11.109375" style="25" bestFit="1" customWidth="1"/>
    <col min="7698" max="7698" width="20.109375" style="25" customWidth="1"/>
    <col min="7699" max="7730" width="7.109375" style="25" customWidth="1"/>
    <col min="7731" max="7950" width="11.5546875" style="25"/>
    <col min="7951" max="7951" width="2" style="25" customWidth="1"/>
    <col min="7952" max="7952" width="16.109375" style="25" customWidth="1"/>
    <col min="7953" max="7953" width="11.109375" style="25" bestFit="1" customWidth="1"/>
    <col min="7954" max="7954" width="20.109375" style="25" customWidth="1"/>
    <col min="7955" max="7986" width="7.109375" style="25" customWidth="1"/>
    <col min="7987" max="8206" width="11.5546875" style="25"/>
    <col min="8207" max="8207" width="2" style="25" customWidth="1"/>
    <col min="8208" max="8208" width="16.109375" style="25" customWidth="1"/>
    <col min="8209" max="8209" width="11.109375" style="25" bestFit="1" customWidth="1"/>
    <col min="8210" max="8210" width="20.109375" style="25" customWidth="1"/>
    <col min="8211" max="8242" width="7.109375" style="25" customWidth="1"/>
    <col min="8243" max="8462" width="11.5546875" style="25"/>
    <col min="8463" max="8463" width="2" style="25" customWidth="1"/>
    <col min="8464" max="8464" width="16.109375" style="25" customWidth="1"/>
    <col min="8465" max="8465" width="11.109375" style="25" bestFit="1" customWidth="1"/>
    <col min="8466" max="8466" width="20.109375" style="25" customWidth="1"/>
    <col min="8467" max="8498" width="7.109375" style="25" customWidth="1"/>
    <col min="8499" max="8718" width="11.5546875" style="25"/>
    <col min="8719" max="8719" width="2" style="25" customWidth="1"/>
    <col min="8720" max="8720" width="16.109375" style="25" customWidth="1"/>
    <col min="8721" max="8721" width="11.109375" style="25" bestFit="1" customWidth="1"/>
    <col min="8722" max="8722" width="20.109375" style="25" customWidth="1"/>
    <col min="8723" max="8754" width="7.109375" style="25" customWidth="1"/>
    <col min="8755" max="8974" width="11.5546875" style="25"/>
    <col min="8975" max="8975" width="2" style="25" customWidth="1"/>
    <col min="8976" max="8976" width="16.109375" style="25" customWidth="1"/>
    <col min="8977" max="8977" width="11.109375" style="25" bestFit="1" customWidth="1"/>
    <col min="8978" max="8978" width="20.109375" style="25" customWidth="1"/>
    <col min="8979" max="9010" width="7.109375" style="25" customWidth="1"/>
    <col min="9011" max="9230" width="11.5546875" style="25"/>
    <col min="9231" max="9231" width="2" style="25" customWidth="1"/>
    <col min="9232" max="9232" width="16.109375" style="25" customWidth="1"/>
    <col min="9233" max="9233" width="11.109375" style="25" bestFit="1" customWidth="1"/>
    <col min="9234" max="9234" width="20.109375" style="25" customWidth="1"/>
    <col min="9235" max="9266" width="7.109375" style="25" customWidth="1"/>
    <col min="9267" max="9486" width="11.5546875" style="25"/>
    <col min="9487" max="9487" width="2" style="25" customWidth="1"/>
    <col min="9488" max="9488" width="16.109375" style="25" customWidth="1"/>
    <col min="9489" max="9489" width="11.109375" style="25" bestFit="1" customWidth="1"/>
    <col min="9490" max="9490" width="20.109375" style="25" customWidth="1"/>
    <col min="9491" max="9522" width="7.109375" style="25" customWidth="1"/>
    <col min="9523" max="9742" width="11.5546875" style="25"/>
    <col min="9743" max="9743" width="2" style="25" customWidth="1"/>
    <col min="9744" max="9744" width="16.109375" style="25" customWidth="1"/>
    <col min="9745" max="9745" width="11.109375" style="25" bestFit="1" customWidth="1"/>
    <col min="9746" max="9746" width="20.109375" style="25" customWidth="1"/>
    <col min="9747" max="9778" width="7.109375" style="25" customWidth="1"/>
    <col min="9779" max="9998" width="11.5546875" style="25"/>
    <col min="9999" max="9999" width="2" style="25" customWidth="1"/>
    <col min="10000" max="10000" width="16.109375" style="25" customWidth="1"/>
    <col min="10001" max="10001" width="11.109375" style="25" bestFit="1" customWidth="1"/>
    <col min="10002" max="10002" width="20.109375" style="25" customWidth="1"/>
    <col min="10003" max="10034" width="7.109375" style="25" customWidth="1"/>
    <col min="10035" max="10254" width="11.5546875" style="25"/>
    <col min="10255" max="10255" width="2" style="25" customWidth="1"/>
    <col min="10256" max="10256" width="16.109375" style="25" customWidth="1"/>
    <col min="10257" max="10257" width="11.109375" style="25" bestFit="1" customWidth="1"/>
    <col min="10258" max="10258" width="20.109375" style="25" customWidth="1"/>
    <col min="10259" max="10290" width="7.109375" style="25" customWidth="1"/>
    <col min="10291" max="10510" width="11.5546875" style="25"/>
    <col min="10511" max="10511" width="2" style="25" customWidth="1"/>
    <col min="10512" max="10512" width="16.109375" style="25" customWidth="1"/>
    <col min="10513" max="10513" width="11.109375" style="25" bestFit="1" customWidth="1"/>
    <col min="10514" max="10514" width="20.109375" style="25" customWidth="1"/>
    <col min="10515" max="10546" width="7.109375" style="25" customWidth="1"/>
    <col min="10547" max="10766" width="11.5546875" style="25"/>
    <col min="10767" max="10767" width="2" style="25" customWidth="1"/>
    <col min="10768" max="10768" width="16.109375" style="25" customWidth="1"/>
    <col min="10769" max="10769" width="11.109375" style="25" bestFit="1" customWidth="1"/>
    <col min="10770" max="10770" width="20.109375" style="25" customWidth="1"/>
    <col min="10771" max="10802" width="7.109375" style="25" customWidth="1"/>
    <col min="10803" max="11022" width="11.5546875" style="25"/>
    <col min="11023" max="11023" width="2" style="25" customWidth="1"/>
    <col min="11024" max="11024" width="16.109375" style="25" customWidth="1"/>
    <col min="11025" max="11025" width="11.109375" style="25" bestFit="1" customWidth="1"/>
    <col min="11026" max="11026" width="20.109375" style="25" customWidth="1"/>
    <col min="11027" max="11058" width="7.109375" style="25" customWidth="1"/>
    <col min="11059" max="11278" width="11.5546875" style="25"/>
    <col min="11279" max="11279" width="2" style="25" customWidth="1"/>
    <col min="11280" max="11280" width="16.109375" style="25" customWidth="1"/>
    <col min="11281" max="11281" width="11.109375" style="25" bestFit="1" customWidth="1"/>
    <col min="11282" max="11282" width="20.109375" style="25" customWidth="1"/>
    <col min="11283" max="11314" width="7.109375" style="25" customWidth="1"/>
    <col min="11315" max="11534" width="11.5546875" style="25"/>
    <col min="11535" max="11535" width="2" style="25" customWidth="1"/>
    <col min="11536" max="11536" width="16.109375" style="25" customWidth="1"/>
    <col min="11537" max="11537" width="11.109375" style="25" bestFit="1" customWidth="1"/>
    <col min="11538" max="11538" width="20.109375" style="25" customWidth="1"/>
    <col min="11539" max="11570" width="7.109375" style="25" customWidth="1"/>
    <col min="11571" max="11790" width="11.5546875" style="25"/>
    <col min="11791" max="11791" width="2" style="25" customWidth="1"/>
    <col min="11792" max="11792" width="16.109375" style="25" customWidth="1"/>
    <col min="11793" max="11793" width="11.109375" style="25" bestFit="1" customWidth="1"/>
    <col min="11794" max="11794" width="20.109375" style="25" customWidth="1"/>
    <col min="11795" max="11826" width="7.109375" style="25" customWidth="1"/>
    <col min="11827" max="12046" width="11.5546875" style="25"/>
    <col min="12047" max="12047" width="2" style="25" customWidth="1"/>
    <col min="12048" max="12048" width="16.109375" style="25" customWidth="1"/>
    <col min="12049" max="12049" width="11.109375" style="25" bestFit="1" customWidth="1"/>
    <col min="12050" max="12050" width="20.109375" style="25" customWidth="1"/>
    <col min="12051" max="12082" width="7.109375" style="25" customWidth="1"/>
    <col min="12083" max="12302" width="11.5546875" style="25"/>
    <col min="12303" max="12303" width="2" style="25" customWidth="1"/>
    <col min="12304" max="12304" width="16.109375" style="25" customWidth="1"/>
    <col min="12305" max="12305" width="11.109375" style="25" bestFit="1" customWidth="1"/>
    <col min="12306" max="12306" width="20.109375" style="25" customWidth="1"/>
    <col min="12307" max="12338" width="7.109375" style="25" customWidth="1"/>
    <col min="12339" max="12558" width="11.5546875" style="25"/>
    <col min="12559" max="12559" width="2" style="25" customWidth="1"/>
    <col min="12560" max="12560" width="16.109375" style="25" customWidth="1"/>
    <col min="12561" max="12561" width="11.109375" style="25" bestFit="1" customWidth="1"/>
    <col min="12562" max="12562" width="20.109375" style="25" customWidth="1"/>
    <col min="12563" max="12594" width="7.109375" style="25" customWidth="1"/>
    <col min="12595" max="12814" width="11.5546875" style="25"/>
    <col min="12815" max="12815" width="2" style="25" customWidth="1"/>
    <col min="12816" max="12816" width="16.109375" style="25" customWidth="1"/>
    <col min="12817" max="12817" width="11.109375" style="25" bestFit="1" customWidth="1"/>
    <col min="12818" max="12818" width="20.109375" style="25" customWidth="1"/>
    <col min="12819" max="12850" width="7.109375" style="25" customWidth="1"/>
    <col min="12851" max="13070" width="11.5546875" style="25"/>
    <col min="13071" max="13071" width="2" style="25" customWidth="1"/>
    <col min="13072" max="13072" width="16.109375" style="25" customWidth="1"/>
    <col min="13073" max="13073" width="11.109375" style="25" bestFit="1" customWidth="1"/>
    <col min="13074" max="13074" width="20.109375" style="25" customWidth="1"/>
    <col min="13075" max="13106" width="7.109375" style="25" customWidth="1"/>
    <col min="13107" max="13326" width="11.5546875" style="25"/>
    <col min="13327" max="13327" width="2" style="25" customWidth="1"/>
    <col min="13328" max="13328" width="16.109375" style="25" customWidth="1"/>
    <col min="13329" max="13329" width="11.109375" style="25" bestFit="1" customWidth="1"/>
    <col min="13330" max="13330" width="20.109375" style="25" customWidth="1"/>
    <col min="13331" max="13362" width="7.109375" style="25" customWidth="1"/>
    <col min="13363" max="13582" width="11.5546875" style="25"/>
    <col min="13583" max="13583" width="2" style="25" customWidth="1"/>
    <col min="13584" max="13584" width="16.109375" style="25" customWidth="1"/>
    <col min="13585" max="13585" width="11.109375" style="25" bestFit="1" customWidth="1"/>
    <col min="13586" max="13586" width="20.109375" style="25" customWidth="1"/>
    <col min="13587" max="13618" width="7.109375" style="25" customWidth="1"/>
    <col min="13619" max="13838" width="11.5546875" style="25"/>
    <col min="13839" max="13839" width="2" style="25" customWidth="1"/>
    <col min="13840" max="13840" width="16.109375" style="25" customWidth="1"/>
    <col min="13841" max="13841" width="11.109375" style="25" bestFit="1" customWidth="1"/>
    <col min="13842" max="13842" width="20.109375" style="25" customWidth="1"/>
    <col min="13843" max="13874" width="7.109375" style="25" customWidth="1"/>
    <col min="13875" max="14094" width="11.5546875" style="25"/>
    <col min="14095" max="14095" width="2" style="25" customWidth="1"/>
    <col min="14096" max="14096" width="16.109375" style="25" customWidth="1"/>
    <col min="14097" max="14097" width="11.109375" style="25" bestFit="1" customWidth="1"/>
    <col min="14098" max="14098" width="20.109375" style="25" customWidth="1"/>
    <col min="14099" max="14130" width="7.109375" style="25" customWidth="1"/>
    <col min="14131" max="14350" width="11.5546875" style="25"/>
    <col min="14351" max="14351" width="2" style="25" customWidth="1"/>
    <col min="14352" max="14352" width="16.109375" style="25" customWidth="1"/>
    <col min="14353" max="14353" width="11.109375" style="25" bestFit="1" customWidth="1"/>
    <col min="14354" max="14354" width="20.109375" style="25" customWidth="1"/>
    <col min="14355" max="14386" width="7.109375" style="25" customWidth="1"/>
    <col min="14387" max="14606" width="11.5546875" style="25"/>
    <col min="14607" max="14607" width="2" style="25" customWidth="1"/>
    <col min="14608" max="14608" width="16.109375" style="25" customWidth="1"/>
    <col min="14609" max="14609" width="11.109375" style="25" bestFit="1" customWidth="1"/>
    <col min="14610" max="14610" width="20.109375" style="25" customWidth="1"/>
    <col min="14611" max="14642" width="7.109375" style="25" customWidth="1"/>
    <col min="14643" max="14862" width="11.5546875" style="25"/>
    <col min="14863" max="14863" width="2" style="25" customWidth="1"/>
    <col min="14864" max="14864" width="16.109375" style="25" customWidth="1"/>
    <col min="14865" max="14865" width="11.109375" style="25" bestFit="1" customWidth="1"/>
    <col min="14866" max="14866" width="20.109375" style="25" customWidth="1"/>
    <col min="14867" max="14898" width="7.109375" style="25" customWidth="1"/>
    <col min="14899" max="15118" width="11.5546875" style="25"/>
    <col min="15119" max="15119" width="2" style="25" customWidth="1"/>
    <col min="15120" max="15120" width="16.109375" style="25" customWidth="1"/>
    <col min="15121" max="15121" width="11.109375" style="25" bestFit="1" customWidth="1"/>
    <col min="15122" max="15122" width="20.109375" style="25" customWidth="1"/>
    <col min="15123" max="15154" width="7.109375" style="25" customWidth="1"/>
    <col min="15155" max="15374" width="11.5546875" style="25"/>
    <col min="15375" max="15375" width="2" style="25" customWidth="1"/>
    <col min="15376" max="15376" width="16.109375" style="25" customWidth="1"/>
    <col min="15377" max="15377" width="11.109375" style="25" bestFit="1" customWidth="1"/>
    <col min="15378" max="15378" width="20.109375" style="25" customWidth="1"/>
    <col min="15379" max="15410" width="7.109375" style="25" customWidth="1"/>
    <col min="15411" max="15630" width="11.5546875" style="25"/>
    <col min="15631" max="15631" width="2" style="25" customWidth="1"/>
    <col min="15632" max="15632" width="16.109375" style="25" customWidth="1"/>
    <col min="15633" max="15633" width="11.109375" style="25" bestFit="1" customWidth="1"/>
    <col min="15634" max="15634" width="20.109375" style="25" customWidth="1"/>
    <col min="15635" max="15666" width="7.109375" style="25" customWidth="1"/>
    <col min="15667" max="15886" width="11.5546875" style="25"/>
    <col min="15887" max="15887" width="2" style="25" customWidth="1"/>
    <col min="15888" max="15888" width="16.109375" style="25" customWidth="1"/>
    <col min="15889" max="15889" width="11.109375" style="25" bestFit="1" customWidth="1"/>
    <col min="15890" max="15890" width="20.109375" style="25" customWidth="1"/>
    <col min="15891" max="15922" width="7.109375" style="25" customWidth="1"/>
    <col min="15923" max="16142" width="11.5546875" style="25"/>
    <col min="16143" max="16143" width="2" style="25" customWidth="1"/>
    <col min="16144" max="16144" width="16.109375" style="25" customWidth="1"/>
    <col min="16145" max="16145" width="11.109375" style="25" bestFit="1" customWidth="1"/>
    <col min="16146" max="16146" width="20.109375" style="25" customWidth="1"/>
    <col min="16147" max="16178" width="7.109375" style="25" customWidth="1"/>
    <col min="16179" max="16384" width="11.5546875" style="25"/>
  </cols>
  <sheetData>
    <row r="1" spans="1:98" s="1330" customFormat="1" ht="41.4" x14ac:dyDescent="0.25">
      <c r="B1" s="394" t="s">
        <v>424</v>
      </c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</row>
    <row r="2" spans="1:98" ht="15.6" x14ac:dyDescent="0.25">
      <c r="A2" s="1333"/>
      <c r="B2" s="373"/>
      <c r="C2" s="373"/>
      <c r="D2" s="373"/>
      <c r="E2" s="373"/>
      <c r="F2" s="373"/>
      <c r="G2" s="373"/>
      <c r="H2" s="373"/>
      <c r="I2" s="373"/>
      <c r="J2" s="373"/>
      <c r="K2" s="373"/>
      <c r="L2" s="373"/>
      <c r="M2" s="373"/>
      <c r="N2" s="373"/>
      <c r="O2" s="373"/>
      <c r="P2" s="373"/>
      <c r="Q2" s="373"/>
      <c r="R2" s="373"/>
      <c r="S2" s="373"/>
      <c r="T2" s="373"/>
      <c r="U2" s="373"/>
      <c r="V2" s="373"/>
      <c r="W2" s="373"/>
      <c r="X2" s="373"/>
      <c r="Y2" s="373"/>
      <c r="Z2" s="373"/>
      <c r="AA2" s="373"/>
      <c r="AB2" s="373"/>
      <c r="AC2" s="373"/>
      <c r="AD2" s="373"/>
      <c r="AE2" s="373"/>
      <c r="AF2" s="373"/>
      <c r="AG2" s="373"/>
      <c r="AH2" s="373"/>
      <c r="AI2" s="373"/>
      <c r="AJ2" s="372"/>
      <c r="AK2" s="372"/>
      <c r="AL2" s="147"/>
      <c r="AM2" s="372"/>
      <c r="AN2" s="372"/>
      <c r="AO2" s="372"/>
      <c r="AP2" s="372"/>
      <c r="AQ2" s="372"/>
      <c r="AR2" s="372"/>
      <c r="AS2" s="372"/>
      <c r="AT2" s="372"/>
    </row>
    <row r="3" spans="1:98" ht="12.75" customHeight="1" x14ac:dyDescent="0.25">
      <c r="A3" s="1333"/>
      <c r="B3" s="5733" t="s">
        <v>307</v>
      </c>
      <c r="C3" s="5739">
        <v>1999</v>
      </c>
      <c r="D3" s="5740"/>
      <c r="E3" s="5740"/>
      <c r="F3" s="5741"/>
      <c r="G3" s="5739">
        <v>2000</v>
      </c>
      <c r="H3" s="5740"/>
      <c r="I3" s="5740"/>
      <c r="J3" s="5741"/>
      <c r="K3" s="5739">
        <v>2001</v>
      </c>
      <c r="L3" s="5740"/>
      <c r="M3" s="5740"/>
      <c r="N3" s="5741"/>
      <c r="O3" s="5739">
        <v>2002</v>
      </c>
      <c r="P3" s="5740"/>
      <c r="Q3" s="5740"/>
      <c r="R3" s="5741"/>
      <c r="S3" s="5739">
        <v>2003</v>
      </c>
      <c r="T3" s="5740"/>
      <c r="U3" s="5740"/>
      <c r="V3" s="5741"/>
      <c r="W3" s="5739">
        <v>2004</v>
      </c>
      <c r="X3" s="5740"/>
      <c r="Y3" s="5740"/>
      <c r="Z3" s="5741"/>
      <c r="AA3" s="5739">
        <v>2005</v>
      </c>
      <c r="AB3" s="5740"/>
      <c r="AC3" s="5740"/>
      <c r="AD3" s="5741"/>
      <c r="AE3" s="5739">
        <v>2006</v>
      </c>
      <c r="AF3" s="5740"/>
      <c r="AG3" s="5740"/>
      <c r="AH3" s="5741"/>
      <c r="AI3" s="5739">
        <v>2007</v>
      </c>
      <c r="AJ3" s="5740"/>
      <c r="AK3" s="5740"/>
      <c r="AL3" s="5741"/>
      <c r="AM3" s="5739">
        <v>2008</v>
      </c>
      <c r="AN3" s="5740"/>
      <c r="AO3" s="5740"/>
      <c r="AP3" s="5741"/>
      <c r="AQ3" s="5739">
        <v>2009</v>
      </c>
      <c r="AR3" s="5740"/>
      <c r="AS3" s="5740"/>
      <c r="AT3" s="5741"/>
      <c r="AU3" s="5739">
        <v>2010</v>
      </c>
      <c r="AV3" s="5740"/>
      <c r="AW3" s="5740"/>
      <c r="AX3" s="5741"/>
      <c r="AY3" s="5739">
        <v>2011</v>
      </c>
      <c r="AZ3" s="5740"/>
      <c r="BA3" s="5740"/>
      <c r="BB3" s="5741"/>
      <c r="BC3" s="5739">
        <v>2012</v>
      </c>
      <c r="BD3" s="5740"/>
      <c r="BE3" s="5740"/>
      <c r="BF3" s="5741"/>
      <c r="BG3" s="5739">
        <v>2013</v>
      </c>
      <c r="BH3" s="5740"/>
      <c r="BI3" s="5740"/>
      <c r="BJ3" s="5741"/>
      <c r="BK3" s="5739">
        <v>2014</v>
      </c>
      <c r="BL3" s="5740"/>
      <c r="BM3" s="5740"/>
      <c r="BN3" s="5741"/>
      <c r="BO3" s="5739">
        <v>2015</v>
      </c>
      <c r="BP3" s="5740"/>
      <c r="BQ3" s="5740"/>
      <c r="BR3" s="5741"/>
      <c r="BS3" s="5739">
        <v>2016</v>
      </c>
      <c r="BT3" s="5740"/>
      <c r="BU3" s="5740"/>
      <c r="BV3" s="5741"/>
      <c r="BW3" s="5739">
        <v>2017</v>
      </c>
      <c r="BX3" s="5740"/>
      <c r="BY3" s="5740"/>
      <c r="BZ3" s="5741"/>
      <c r="CA3" s="5739">
        <v>2018</v>
      </c>
      <c r="CB3" s="5740"/>
      <c r="CC3" s="5740"/>
      <c r="CD3" s="5741"/>
      <c r="CE3" s="5739">
        <v>2019</v>
      </c>
      <c r="CF3" s="5740"/>
      <c r="CG3" s="5740"/>
      <c r="CH3" s="5741"/>
      <c r="CI3" s="5739">
        <v>2020</v>
      </c>
      <c r="CJ3" s="5740"/>
      <c r="CK3" s="5740"/>
      <c r="CL3" s="5741"/>
      <c r="CM3" s="5739">
        <v>2021</v>
      </c>
      <c r="CN3" s="5740"/>
      <c r="CO3" s="5740"/>
      <c r="CP3" s="5741"/>
      <c r="CQ3" s="5739">
        <v>2022</v>
      </c>
      <c r="CR3" s="5740"/>
      <c r="CS3" s="5740"/>
      <c r="CT3" s="5741"/>
    </row>
    <row r="4" spans="1:98" ht="15" x14ac:dyDescent="0.25">
      <c r="A4" s="1333"/>
      <c r="B4" s="5733"/>
      <c r="C4" s="4973" t="s">
        <v>1529</v>
      </c>
      <c r="D4" s="411" t="s">
        <v>1530</v>
      </c>
      <c r="E4" s="4974" t="s">
        <v>1531</v>
      </c>
      <c r="F4" s="1255" t="s">
        <v>48</v>
      </c>
      <c r="G4" s="4973" t="s">
        <v>1529</v>
      </c>
      <c r="H4" s="411" t="s">
        <v>1530</v>
      </c>
      <c r="I4" s="4974" t="s">
        <v>1531</v>
      </c>
      <c r="J4" s="1255" t="s">
        <v>48</v>
      </c>
      <c r="K4" s="4973" t="s">
        <v>1529</v>
      </c>
      <c r="L4" s="411" t="s">
        <v>1530</v>
      </c>
      <c r="M4" s="4974" t="s">
        <v>1531</v>
      </c>
      <c r="N4" s="1255" t="s">
        <v>48</v>
      </c>
      <c r="O4" s="4973" t="s">
        <v>1529</v>
      </c>
      <c r="P4" s="411" t="s">
        <v>1530</v>
      </c>
      <c r="Q4" s="4974" t="s">
        <v>1531</v>
      </c>
      <c r="R4" s="1255" t="s">
        <v>48</v>
      </c>
      <c r="S4" s="4973" t="s">
        <v>1529</v>
      </c>
      <c r="T4" s="411" t="s">
        <v>1530</v>
      </c>
      <c r="U4" s="4974" t="s">
        <v>1531</v>
      </c>
      <c r="V4" s="1255" t="s">
        <v>48</v>
      </c>
      <c r="W4" s="4973" t="s">
        <v>1529</v>
      </c>
      <c r="X4" s="411" t="s">
        <v>1530</v>
      </c>
      <c r="Y4" s="4974" t="s">
        <v>1531</v>
      </c>
      <c r="Z4" s="1255" t="s">
        <v>48</v>
      </c>
      <c r="AA4" s="4973" t="s">
        <v>1529</v>
      </c>
      <c r="AB4" s="411" t="s">
        <v>1530</v>
      </c>
      <c r="AC4" s="4974" t="s">
        <v>1531</v>
      </c>
      <c r="AD4" s="1255" t="s">
        <v>48</v>
      </c>
      <c r="AE4" s="4973" t="s">
        <v>1529</v>
      </c>
      <c r="AF4" s="411" t="s">
        <v>1530</v>
      </c>
      <c r="AG4" s="4974" t="s">
        <v>1531</v>
      </c>
      <c r="AH4" s="1255" t="s">
        <v>48</v>
      </c>
      <c r="AI4" s="4973" t="s">
        <v>1529</v>
      </c>
      <c r="AJ4" s="411" t="s">
        <v>1530</v>
      </c>
      <c r="AK4" s="4974" t="s">
        <v>1531</v>
      </c>
      <c r="AL4" s="1255" t="s">
        <v>48</v>
      </c>
      <c r="AM4" s="4973" t="s">
        <v>1529</v>
      </c>
      <c r="AN4" s="411" t="s">
        <v>1530</v>
      </c>
      <c r="AO4" s="4974" t="s">
        <v>1531</v>
      </c>
      <c r="AP4" s="1255" t="s">
        <v>48</v>
      </c>
      <c r="AQ4" s="4973" t="s">
        <v>1529</v>
      </c>
      <c r="AR4" s="411" t="s">
        <v>1530</v>
      </c>
      <c r="AS4" s="4974" t="s">
        <v>1531</v>
      </c>
      <c r="AT4" s="1255" t="s">
        <v>48</v>
      </c>
      <c r="AU4" s="4973" t="s">
        <v>1529</v>
      </c>
      <c r="AV4" s="411" t="s">
        <v>1530</v>
      </c>
      <c r="AW4" s="4974" t="s">
        <v>1531</v>
      </c>
      <c r="AX4" s="1255" t="s">
        <v>48</v>
      </c>
      <c r="AY4" s="4973" t="s">
        <v>1529</v>
      </c>
      <c r="AZ4" s="411" t="s">
        <v>1530</v>
      </c>
      <c r="BA4" s="4974" t="s">
        <v>1531</v>
      </c>
      <c r="BB4" s="1255" t="s">
        <v>48</v>
      </c>
      <c r="BC4" s="4973" t="s">
        <v>1529</v>
      </c>
      <c r="BD4" s="411" t="s">
        <v>1530</v>
      </c>
      <c r="BE4" s="4974" t="s">
        <v>1531</v>
      </c>
      <c r="BF4" s="1255" t="s">
        <v>48</v>
      </c>
      <c r="BG4" s="4973" t="s">
        <v>1529</v>
      </c>
      <c r="BH4" s="411" t="s">
        <v>1530</v>
      </c>
      <c r="BI4" s="4974" t="s">
        <v>1531</v>
      </c>
      <c r="BJ4" s="1255" t="s">
        <v>48</v>
      </c>
      <c r="BK4" s="4973" t="s">
        <v>1529</v>
      </c>
      <c r="BL4" s="411" t="s">
        <v>1530</v>
      </c>
      <c r="BM4" s="4974" t="s">
        <v>1531</v>
      </c>
      <c r="BN4" s="1255" t="s">
        <v>48</v>
      </c>
      <c r="BO4" s="4973" t="s">
        <v>1529</v>
      </c>
      <c r="BP4" s="411" t="s">
        <v>1530</v>
      </c>
      <c r="BQ4" s="4974" t="s">
        <v>1531</v>
      </c>
      <c r="BR4" s="1255" t="s">
        <v>48</v>
      </c>
      <c r="BS4" s="4973" t="s">
        <v>1529</v>
      </c>
      <c r="BT4" s="411" t="s">
        <v>1530</v>
      </c>
      <c r="BU4" s="4974" t="s">
        <v>1531</v>
      </c>
      <c r="BV4" s="1255" t="s">
        <v>48</v>
      </c>
      <c r="BW4" s="4973" t="s">
        <v>1529</v>
      </c>
      <c r="BX4" s="411" t="s">
        <v>1530</v>
      </c>
      <c r="BY4" s="4974" t="s">
        <v>1531</v>
      </c>
      <c r="BZ4" s="1255" t="s">
        <v>48</v>
      </c>
      <c r="CA4" s="4973" t="s">
        <v>1529</v>
      </c>
      <c r="CB4" s="411" t="s">
        <v>1530</v>
      </c>
      <c r="CC4" s="4974" t="s">
        <v>1531</v>
      </c>
      <c r="CD4" s="1255" t="s">
        <v>48</v>
      </c>
      <c r="CE4" s="4973" t="s">
        <v>1529</v>
      </c>
      <c r="CF4" s="411" t="s">
        <v>1530</v>
      </c>
      <c r="CG4" s="4974" t="s">
        <v>1531</v>
      </c>
      <c r="CH4" s="1255" t="s">
        <v>48</v>
      </c>
      <c r="CI4" s="4973" t="s">
        <v>1529</v>
      </c>
      <c r="CJ4" s="411" t="s">
        <v>1530</v>
      </c>
      <c r="CK4" s="4974" t="s">
        <v>1531</v>
      </c>
      <c r="CL4" s="1255" t="s">
        <v>48</v>
      </c>
      <c r="CM4" s="4973" t="s">
        <v>1529</v>
      </c>
      <c r="CN4" s="411" t="s">
        <v>1530</v>
      </c>
      <c r="CO4" s="4974" t="s">
        <v>1531</v>
      </c>
      <c r="CP4" s="1255" t="s">
        <v>48</v>
      </c>
      <c r="CQ4" s="4973" t="s">
        <v>1529</v>
      </c>
      <c r="CR4" s="411" t="s">
        <v>1530</v>
      </c>
      <c r="CS4" s="4974" t="s">
        <v>1531</v>
      </c>
      <c r="CT4" s="1255" t="s">
        <v>48</v>
      </c>
    </row>
    <row r="5" spans="1:98" ht="15" x14ac:dyDescent="0.25">
      <c r="A5" s="1333"/>
      <c r="B5" s="354"/>
      <c r="C5" s="328"/>
      <c r="D5" s="328"/>
      <c r="E5" s="328"/>
      <c r="F5" s="328"/>
      <c r="G5" s="328"/>
      <c r="H5" s="328"/>
      <c r="I5" s="328"/>
      <c r="J5" s="328"/>
      <c r="K5" s="328"/>
      <c r="L5" s="328"/>
      <c r="M5" s="328"/>
      <c r="N5" s="328"/>
      <c r="O5" s="328"/>
      <c r="P5" s="328"/>
      <c r="Q5" s="328"/>
      <c r="R5" s="328"/>
      <c r="S5" s="328"/>
      <c r="T5" s="328"/>
      <c r="U5" s="328"/>
      <c r="V5" s="328"/>
      <c r="W5" s="328"/>
      <c r="X5" s="328"/>
      <c r="Y5" s="328"/>
      <c r="Z5" s="328"/>
      <c r="AA5" s="328"/>
      <c r="AB5" s="328"/>
      <c r="AC5" s="328"/>
      <c r="AD5" s="328"/>
      <c r="AE5" s="328"/>
      <c r="AF5" s="328"/>
      <c r="AG5" s="328"/>
      <c r="AH5" s="328"/>
      <c r="AI5" s="328"/>
      <c r="AJ5" s="328"/>
      <c r="AK5" s="328"/>
      <c r="AL5" s="328"/>
      <c r="AM5" s="328"/>
      <c r="AN5" s="328"/>
      <c r="AO5" s="328"/>
      <c r="AP5" s="328"/>
      <c r="AQ5" s="328"/>
      <c r="AR5" s="328"/>
      <c r="AS5" s="328"/>
      <c r="AT5" s="328"/>
      <c r="AU5" s="328"/>
      <c r="AV5" s="328"/>
      <c r="AW5" s="328"/>
      <c r="AX5" s="328"/>
      <c r="AY5" s="328"/>
      <c r="AZ5" s="328"/>
      <c r="BA5" s="328"/>
      <c r="BB5" s="328"/>
      <c r="BC5" s="328"/>
      <c r="BD5" s="328"/>
      <c r="BE5" s="328"/>
      <c r="BF5" s="328"/>
      <c r="BG5" s="328"/>
      <c r="BH5" s="328"/>
      <c r="BI5" s="328"/>
      <c r="BJ5" s="328"/>
      <c r="BK5" s="328"/>
      <c r="BL5" s="328"/>
      <c r="BM5" s="328"/>
      <c r="BN5" s="328"/>
      <c r="BO5" s="328"/>
      <c r="BP5" s="328"/>
      <c r="BQ5" s="328"/>
      <c r="BR5" s="328"/>
      <c r="BS5" s="328"/>
      <c r="BT5" s="328"/>
      <c r="BU5" s="328"/>
      <c r="BV5" s="328"/>
      <c r="BW5" s="328"/>
      <c r="BX5" s="328"/>
      <c r="BY5" s="328"/>
      <c r="BZ5" s="328"/>
      <c r="CA5" s="328"/>
      <c r="CB5" s="328"/>
      <c r="CC5" s="328"/>
      <c r="CD5" s="328"/>
      <c r="CE5" s="328"/>
      <c r="CF5" s="328"/>
      <c r="CG5" s="328"/>
      <c r="CH5" s="328"/>
      <c r="CI5" s="328"/>
      <c r="CJ5" s="328"/>
      <c r="CK5" s="328"/>
      <c r="CL5" s="328"/>
      <c r="CM5" s="328"/>
      <c r="CN5" s="328"/>
      <c r="CO5" s="328"/>
      <c r="CP5" s="328"/>
      <c r="CQ5" s="328"/>
      <c r="CR5" s="328"/>
      <c r="CS5" s="328"/>
      <c r="CT5" s="328"/>
    </row>
    <row r="6" spans="1:98" ht="15" x14ac:dyDescent="0.25">
      <c r="A6" s="1333"/>
      <c r="B6" s="1334" t="s">
        <v>308</v>
      </c>
      <c r="C6" s="1258">
        <f>+'INSC-POSG plan'!D5</f>
        <v>22</v>
      </c>
      <c r="D6" s="1259">
        <f>+'INSC-POSG plan'!E5</f>
        <v>0</v>
      </c>
      <c r="E6" s="1259">
        <f>+'INSC-POSG plan'!F5</f>
        <v>12</v>
      </c>
      <c r="F6" s="1260">
        <f>SUM(C6:E6)</f>
        <v>34</v>
      </c>
      <c r="G6" s="1258">
        <f>+'INSC-POSG plan'!H5</f>
        <v>26</v>
      </c>
      <c r="H6" s="1259">
        <f>+'INSC-POSG plan'!I5</f>
        <v>0</v>
      </c>
      <c r="I6" s="1259">
        <f>+'INSC-POSG plan'!J5</f>
        <v>19</v>
      </c>
      <c r="J6" s="1260">
        <f>SUM(G6:I6)</f>
        <v>45</v>
      </c>
      <c r="K6" s="1258">
        <f>+'INSC-POSG plan'!L5</f>
        <v>0</v>
      </c>
      <c r="L6" s="1259">
        <f>+'INSC-POSG plan'!M5</f>
        <v>5</v>
      </c>
      <c r="M6" s="1259">
        <f>+'INSC-POSG plan'!N5</f>
        <v>10</v>
      </c>
      <c r="N6" s="1260">
        <f>SUM(K6:M6)</f>
        <v>15</v>
      </c>
      <c r="O6" s="1258">
        <f>+'INSC-POSG plan'!P5</f>
        <v>3</v>
      </c>
      <c r="P6" s="1259">
        <f>+'INSC-POSG plan'!Q5</f>
        <v>0</v>
      </c>
      <c r="Q6" s="1259">
        <f>+'INSC-POSG plan'!R5</f>
        <v>0</v>
      </c>
      <c r="R6" s="1260">
        <f>SUM(O6:Q6)</f>
        <v>3</v>
      </c>
      <c r="S6" s="1258"/>
      <c r="T6" s="1259"/>
      <c r="U6" s="1259"/>
      <c r="V6" s="1260"/>
      <c r="W6" s="1258"/>
      <c r="X6" s="1259"/>
      <c r="Y6" s="1259"/>
      <c r="Z6" s="1298"/>
      <c r="AA6" s="1258"/>
      <c r="AB6" s="1259"/>
      <c r="AC6" s="1259"/>
      <c r="AD6" s="1260"/>
      <c r="AE6" s="1259"/>
      <c r="AF6" s="1259"/>
      <c r="AG6" s="1259"/>
      <c r="AH6" s="1260"/>
      <c r="AI6" s="1259"/>
      <c r="AJ6" s="1259"/>
      <c r="AK6" s="1259"/>
      <c r="AL6" s="1335"/>
      <c r="AM6" s="151"/>
      <c r="AN6" s="152"/>
      <c r="AO6" s="152"/>
      <c r="AP6" s="395"/>
      <c r="AQ6" s="151"/>
      <c r="AR6" s="152"/>
      <c r="AS6" s="152"/>
      <c r="AT6" s="395"/>
      <c r="AU6" s="151"/>
      <c r="AV6" s="152"/>
      <c r="AW6" s="152"/>
      <c r="AX6" s="395"/>
      <c r="AY6" s="151"/>
      <c r="AZ6" s="152"/>
      <c r="BA6" s="152"/>
      <c r="BB6" s="395"/>
      <c r="BC6" s="151"/>
      <c r="BD6" s="152"/>
      <c r="BE6" s="152"/>
      <c r="BF6" s="395"/>
      <c r="BG6" s="151"/>
      <c r="BH6" s="152"/>
      <c r="BI6" s="152"/>
      <c r="BJ6" s="395"/>
      <c r="BK6" s="151">
        <f>SUM('INSC-POSG plan'!BL5)</f>
        <v>0</v>
      </c>
      <c r="BL6" s="152">
        <f>SUM('INSC-POSG plan'!BM5)</f>
        <v>0</v>
      </c>
      <c r="BM6" s="152">
        <f>SUM('INSC-POSG plan'!BN5)</f>
        <v>0</v>
      </c>
      <c r="BN6" s="395">
        <f>SUM(BK6:BM6)</f>
        <v>0</v>
      </c>
      <c r="BO6" s="151">
        <f>SUM('INSC-POSG plan'!BP5)</f>
        <v>0</v>
      </c>
      <c r="BP6" s="152">
        <f>SUM('INSC-POSG plan'!BQ5)</f>
        <v>0</v>
      </c>
      <c r="BQ6" s="152">
        <f>SUM('INSC-POSG plan'!BR5)</f>
        <v>0</v>
      </c>
      <c r="BR6" s="395">
        <f>SUM(BO6:BQ6)</f>
        <v>0</v>
      </c>
      <c r="BS6" s="151">
        <f>SUM('INSC-POSG plan'!BT5)</f>
        <v>0</v>
      </c>
      <c r="BT6" s="152">
        <f>SUM('INSC-POSG plan'!BU5)</f>
        <v>0</v>
      </c>
      <c r="BU6" s="152">
        <f>SUM('INSC-POSG plan'!BV5)</f>
        <v>0</v>
      </c>
      <c r="BV6" s="395">
        <f>SUM(BS6:BU6)</f>
        <v>0</v>
      </c>
      <c r="BW6" s="151">
        <f>SUM('INSC-POSG plan'!BX5)</f>
        <v>0</v>
      </c>
      <c r="BX6" s="152">
        <f>SUM('INSC-POSG plan'!BY5)</f>
        <v>0</v>
      </c>
      <c r="BY6" s="152">
        <f>SUM('INSC-POSG plan'!BZ5)</f>
        <v>0</v>
      </c>
      <c r="BZ6" s="395">
        <f>SUM(BW6:BY6)</f>
        <v>0</v>
      </c>
      <c r="CA6" s="151">
        <f>SUM('INSC-POSG plan'!CB5)</f>
        <v>0</v>
      </c>
      <c r="CB6" s="152">
        <f>SUM('INSC-POSG plan'!CC5)</f>
        <v>0</v>
      </c>
      <c r="CC6" s="152">
        <f>SUM('INSC-POSG plan'!CD5)</f>
        <v>0</v>
      </c>
      <c r="CD6" s="395">
        <f>SUM(CA6:CC6)</f>
        <v>0</v>
      </c>
      <c r="CE6" s="151">
        <f>SUM('INSC-POSG plan'!CF5)</f>
        <v>0</v>
      </c>
      <c r="CF6" s="152">
        <f>SUM('INSC-POSG plan'!CG5)</f>
        <v>0</v>
      </c>
      <c r="CG6" s="152">
        <f>SUM('INSC-POSG plan'!CH5)</f>
        <v>0</v>
      </c>
      <c r="CH6" s="395">
        <f>SUM(CE6:CG6)</f>
        <v>0</v>
      </c>
      <c r="CI6" s="151">
        <f>SUM('INSC-POSG plan'!CJ5)</f>
        <v>0</v>
      </c>
      <c r="CJ6" s="152">
        <f>SUM('INSC-POSG plan'!CK5)</f>
        <v>0</v>
      </c>
      <c r="CK6" s="152">
        <f>SUM('INSC-POSG plan'!CL5)</f>
        <v>0</v>
      </c>
      <c r="CL6" s="395">
        <f>SUM(CI6:CK6)</f>
        <v>0</v>
      </c>
      <c r="CM6" s="151">
        <f>SUM('INSC-POSG plan'!CN5)</f>
        <v>0</v>
      </c>
      <c r="CN6" s="152">
        <f>SUM('INSC-POSG plan'!CO5)</f>
        <v>0</v>
      </c>
      <c r="CO6" s="152">
        <f>SUM('INSC-POSG plan'!CP5)</f>
        <v>0</v>
      </c>
      <c r="CP6" s="395">
        <f>SUM(CM6:CO6)</f>
        <v>0</v>
      </c>
      <c r="CQ6" s="151">
        <f>SUM('INSC-POSG plan'!CR5)</f>
        <v>0</v>
      </c>
      <c r="CR6" s="152">
        <f>SUM('INSC-POSG plan'!CS5)</f>
        <v>0</v>
      </c>
      <c r="CS6" s="152">
        <f>SUM('INSC-POSG plan'!CT5)</f>
        <v>0</v>
      </c>
      <c r="CT6" s="395">
        <f>SUM(CQ6:CS6)</f>
        <v>0</v>
      </c>
    </row>
    <row r="7" spans="1:98" ht="15" x14ac:dyDescent="0.25">
      <c r="A7" s="1333"/>
      <c r="B7" s="1336" t="s">
        <v>310</v>
      </c>
      <c r="C7" s="1262">
        <f>+'INSC-POSG plan'!D6+'INSC-POSG plan'!D7+'INSC-POSG plan'!D8+'INSC-POSG plan'!D9+'INSC-POSG plan'!D10</f>
        <v>19</v>
      </c>
      <c r="D7" s="1263">
        <f>+'INSC-POSG plan'!E6+'INSC-POSG plan'!E7+'INSC-POSG plan'!E8+'INSC-POSG plan'!E9+'INSC-POSG plan'!E10</f>
        <v>14</v>
      </c>
      <c r="E7" s="1263">
        <f>+'INSC-POSG plan'!F6+'INSC-POSG plan'!F7+'INSC-POSG plan'!F8+'INSC-POSG plan'!F9+'INSC-POSG plan'!F10</f>
        <v>18</v>
      </c>
      <c r="F7" s="1264">
        <f t="shared" ref="F7:F21" si="0">SUM(C7:E7)</f>
        <v>51</v>
      </c>
      <c r="G7" s="1262">
        <f>+'INSC-POSG plan'!H6+'INSC-POSG plan'!H7+'INSC-POSG plan'!H8+'INSC-POSG plan'!H9+'INSC-POSG plan'!H10</f>
        <v>31</v>
      </c>
      <c r="H7" s="1263">
        <f>+'INSC-POSG plan'!I6+'INSC-POSG plan'!I7+'INSC-POSG plan'!I8+'INSC-POSG plan'!I9+'INSC-POSG plan'!I10</f>
        <v>10</v>
      </c>
      <c r="I7" s="1263">
        <f>+'INSC-POSG plan'!J6+'INSC-POSG plan'!J7+'INSC-POSG plan'!J8+'INSC-POSG plan'!J9+'INSC-POSG plan'!J10</f>
        <v>32</v>
      </c>
      <c r="J7" s="1264">
        <f t="shared" ref="J7:J21" si="1">SUM(G7:I7)</f>
        <v>73</v>
      </c>
      <c r="K7" s="1262">
        <f>+'INSC-POSG plan'!L6+'INSC-POSG plan'!L7+'INSC-POSG plan'!L8+'INSC-POSG plan'!L9+'INSC-POSG plan'!L10</f>
        <v>2</v>
      </c>
      <c r="L7" s="1263">
        <f>+'INSC-POSG plan'!M6+'INSC-POSG plan'!M7+'INSC-POSG plan'!M8+'INSC-POSG plan'!M9+'INSC-POSG plan'!M10</f>
        <v>11</v>
      </c>
      <c r="M7" s="1263">
        <f>+'INSC-POSG plan'!N6+'INSC-POSG plan'!N7+'INSC-POSG plan'!N8+'INSC-POSG plan'!N9+'INSC-POSG plan'!N10</f>
        <v>39</v>
      </c>
      <c r="N7" s="1264">
        <f t="shared" ref="N7:N21" si="2">SUM(K7:M7)</f>
        <v>52</v>
      </c>
      <c r="O7" s="1262">
        <f>+'INSC-POSG plan'!P6+'INSC-POSG plan'!P7+'INSC-POSG plan'!P8+'INSC-POSG plan'!P9+'INSC-POSG plan'!P10</f>
        <v>5</v>
      </c>
      <c r="P7" s="1263">
        <f>+'INSC-POSG plan'!Q6+'INSC-POSG plan'!Q7+'INSC-POSG plan'!Q8+'INSC-POSG plan'!Q9+'INSC-POSG plan'!Q10</f>
        <v>4</v>
      </c>
      <c r="Q7" s="1263">
        <f>+'INSC-POSG plan'!R6+'INSC-POSG plan'!R7+'INSC-POSG plan'!R8+'INSC-POSG plan'!R9+'INSC-POSG plan'!R10</f>
        <v>23</v>
      </c>
      <c r="R7" s="1264">
        <f t="shared" ref="R7:R21" si="3">SUM(O7:Q7)</f>
        <v>32</v>
      </c>
      <c r="S7" s="1262">
        <v>15</v>
      </c>
      <c r="T7" s="1263">
        <v>4</v>
      </c>
      <c r="U7" s="1263">
        <v>17</v>
      </c>
      <c r="V7" s="1264">
        <v>36</v>
      </c>
      <c r="W7" s="1262">
        <v>7</v>
      </c>
      <c r="X7" s="1263">
        <v>5</v>
      </c>
      <c r="Y7" s="1263">
        <v>24</v>
      </c>
      <c r="Z7" s="1337">
        <v>36</v>
      </c>
      <c r="AA7" s="1262">
        <v>9</v>
      </c>
      <c r="AB7" s="1263"/>
      <c r="AC7" s="1263">
        <v>29</v>
      </c>
      <c r="AD7" s="1264">
        <v>38</v>
      </c>
      <c r="AE7" s="1263">
        <v>17</v>
      </c>
      <c r="AF7" s="1263"/>
      <c r="AG7" s="1263">
        <v>15</v>
      </c>
      <c r="AH7" s="1264">
        <v>32</v>
      </c>
      <c r="AI7" s="1263">
        <v>4</v>
      </c>
      <c r="AJ7" s="1263">
        <v>6</v>
      </c>
      <c r="AK7" s="1263">
        <v>10</v>
      </c>
      <c r="AL7" s="1338">
        <v>20</v>
      </c>
      <c r="AM7" s="129">
        <v>2</v>
      </c>
      <c r="AN7" s="130"/>
      <c r="AO7" s="130">
        <v>32</v>
      </c>
      <c r="AP7" s="396">
        <v>34</v>
      </c>
      <c r="AQ7" s="129">
        <v>12</v>
      </c>
      <c r="AR7" s="130"/>
      <c r="AS7" s="130">
        <v>32</v>
      </c>
      <c r="AT7" s="396">
        <f t="shared" ref="AT7:AT17" si="4">SUM(AQ7:AS7)</f>
        <v>44</v>
      </c>
      <c r="AU7" s="129">
        <v>18</v>
      </c>
      <c r="AV7" s="130"/>
      <c r="AW7" s="130">
        <v>25</v>
      </c>
      <c r="AX7" s="396">
        <f t="shared" ref="AX7:AX17" si="5">SUM(AU7:AW7)</f>
        <v>43</v>
      </c>
      <c r="AY7" s="129">
        <v>6</v>
      </c>
      <c r="AZ7" s="130"/>
      <c r="BA7" s="130">
        <v>26</v>
      </c>
      <c r="BB7" s="396">
        <f t="shared" ref="BB7:BB17" si="6">SUM(AY7:BA7)</f>
        <v>32</v>
      </c>
      <c r="BC7" s="129">
        <f>SUM('INSC-POSG plan'!BD6,'INSC-POSG plan'!BD7,'INSC-POSG plan'!BD8,'INSC-POSG plan'!BD9,'INSC-POSG plan'!BD10)</f>
        <v>8</v>
      </c>
      <c r="BD7" s="130">
        <f>SUM('INSC-POSG plan'!BE6,'INSC-POSG plan'!BE7,'INSC-POSG plan'!BE8,'INSC-POSG plan'!BE9,'INSC-POSG plan'!BE10)</f>
        <v>8</v>
      </c>
      <c r="BE7" s="130">
        <f>SUM('INSC-POSG plan'!BF6,'INSC-POSG plan'!BF7,'INSC-POSG plan'!BF8,'INSC-POSG plan'!BF9,'INSC-POSG plan'!BF10)</f>
        <v>29</v>
      </c>
      <c r="BF7" s="396">
        <f t="shared" ref="BF7:BF13" si="7">SUM(BC7:BE7)</f>
        <v>45</v>
      </c>
      <c r="BG7" s="129">
        <f>SUM('INSC-POSG plan'!BH6,'INSC-POSG plan'!BH7,'INSC-POSG plan'!BH8,'INSC-POSG plan'!BH9,'INSC-POSG plan'!BH10)</f>
        <v>17</v>
      </c>
      <c r="BH7" s="130"/>
      <c r="BI7" s="130">
        <f>SUM('INSC-POSG plan'!BJ6,'INSC-POSG plan'!BJ7,'INSC-POSG plan'!BJ8,'INSC-POSG plan'!BJ9,'INSC-POSG plan'!BJ10)</f>
        <v>46</v>
      </c>
      <c r="BJ7" s="396">
        <f t="shared" ref="BJ7:BJ13" si="8">SUM(BG7:BI7)</f>
        <v>63</v>
      </c>
      <c r="BK7" s="129">
        <f>SUM('INSC-POSG plan'!BL6:BL10)</f>
        <v>23</v>
      </c>
      <c r="BL7" s="130">
        <f>SUM('INSC-POSG plan'!BM6:BM10)</f>
        <v>0</v>
      </c>
      <c r="BM7" s="130">
        <f>SUM('INSC-POSG plan'!BN6:BN10)</f>
        <v>55</v>
      </c>
      <c r="BN7" s="396">
        <f t="shared" ref="BN7:BN13" si="9">SUM(BK7:BM7)</f>
        <v>78</v>
      </c>
      <c r="BO7" s="129">
        <f>SUM('INSC-POSG plan'!BP6:BP10)</f>
        <v>19</v>
      </c>
      <c r="BP7" s="130">
        <f>SUM('INSC-POSG plan'!BQ6:BQ10)</f>
        <v>0</v>
      </c>
      <c r="BQ7" s="130">
        <f>SUM('INSC-POSG plan'!BR6:BR10)</f>
        <v>49</v>
      </c>
      <c r="BR7" s="396">
        <f t="shared" ref="BR7:BR13" si="10">SUM(BO7:BQ7)</f>
        <v>68</v>
      </c>
      <c r="BS7" s="129">
        <f>SUM('INSC-POSG plan'!BT6:BT10)</f>
        <v>23</v>
      </c>
      <c r="BT7" s="130">
        <f>SUM('INSC-POSG plan'!BU6:BU10)</f>
        <v>0</v>
      </c>
      <c r="BU7" s="130">
        <f>SUM('INSC-POSG plan'!BV6:BV10)</f>
        <v>55</v>
      </c>
      <c r="BV7" s="396">
        <f t="shared" ref="BV7:BV13" si="11">SUM(BS7:BU7)</f>
        <v>78</v>
      </c>
      <c r="BW7" s="129">
        <f>SUM('INSC-POSG plan'!BX6:BX10)</f>
        <v>16</v>
      </c>
      <c r="BX7" s="130">
        <f>SUM('INSC-POSG plan'!BY6:BY10)</f>
        <v>0</v>
      </c>
      <c r="BY7" s="130">
        <f>SUM('INSC-POSG plan'!BZ6:BZ10)</f>
        <v>56</v>
      </c>
      <c r="BZ7" s="396">
        <f t="shared" ref="BZ7:BZ13" si="12">SUM(BW7:BY7)</f>
        <v>72</v>
      </c>
      <c r="CA7" s="129">
        <f>SUM('INSC-POSG plan'!CB6:CB10)</f>
        <v>15</v>
      </c>
      <c r="CB7" s="130">
        <f>SUM('INSC-POSG plan'!CC6:CC10)</f>
        <v>0</v>
      </c>
      <c r="CC7" s="130">
        <f>SUM('INSC-POSG plan'!CD6:CD11)</f>
        <v>51</v>
      </c>
      <c r="CD7" s="396">
        <f t="shared" ref="CD7:CD13" si="13">SUM(CA7:CC7)</f>
        <v>66</v>
      </c>
      <c r="CE7" s="129">
        <f>SUM('INSC-POSG plan'!CF6:CF10)</f>
        <v>19</v>
      </c>
      <c r="CF7" s="130">
        <f>SUM('INSC-POSG plan'!CG6:CG11)</f>
        <v>23</v>
      </c>
      <c r="CG7" s="130">
        <f>SUM('INSC-POSG plan'!CH6:CH11)</f>
        <v>18</v>
      </c>
      <c r="CH7" s="396">
        <f t="shared" ref="CH7:CH13" si="14">SUM(CE7:CG7)</f>
        <v>60</v>
      </c>
      <c r="CI7" s="129">
        <f>SUM('INSC-POSG plan'!CJ6:CJ10)</f>
        <v>12</v>
      </c>
      <c r="CJ7" s="130">
        <f>SUM('INSC-POSG plan'!CK6:CK11)</f>
        <v>31</v>
      </c>
      <c r="CK7" s="130">
        <f>SUM('INSC-POSG plan'!CL6:CL11)</f>
        <v>13</v>
      </c>
      <c r="CL7" s="396">
        <f t="shared" ref="CL7:CL13" si="15">SUM(CI7:CK7)</f>
        <v>56</v>
      </c>
      <c r="CM7" s="129">
        <f>SUM('INSC-POSG plan'!CN6:CN10)</f>
        <v>4</v>
      </c>
      <c r="CN7" s="130">
        <f>SUM('INSC-POSG plan'!CO6:CO11)</f>
        <v>29</v>
      </c>
      <c r="CO7" s="130">
        <f>SUM('INSC-POSG plan'!CP6:CP11)</f>
        <v>8</v>
      </c>
      <c r="CP7" s="396">
        <f t="shared" ref="CP7:CP13" si="16">SUM(CM7:CO7)</f>
        <v>41</v>
      </c>
      <c r="CQ7" s="129">
        <f>SUM('INSC-POSG plan'!CR6:CR10)</f>
        <v>4</v>
      </c>
      <c r="CR7" s="130">
        <f>SUM('INSC-POSG plan'!CS6:CS11)</f>
        <v>25</v>
      </c>
      <c r="CS7" s="130">
        <f>SUM('INSC-POSG plan'!CT6:CT11)</f>
        <v>19</v>
      </c>
      <c r="CT7" s="396">
        <f t="shared" ref="CT7:CT13" si="17">SUM(CQ7:CS7)</f>
        <v>48</v>
      </c>
    </row>
    <row r="8" spans="1:98" s="1330" customFormat="1" ht="15" x14ac:dyDescent="0.25">
      <c r="A8" s="1333"/>
      <c r="B8" s="1339" t="s">
        <v>317</v>
      </c>
      <c r="C8" s="1267">
        <f>+'INSC-POSG plan'!D12+'INSC-POSG plan'!D13</f>
        <v>0</v>
      </c>
      <c r="D8" s="1268">
        <f>+'INSC-POSG plan'!E12+'INSC-POSG plan'!E13</f>
        <v>1</v>
      </c>
      <c r="E8" s="1268">
        <f>+'INSC-POSG plan'!F12+'INSC-POSG plan'!F13</f>
        <v>1</v>
      </c>
      <c r="F8" s="1269">
        <f t="shared" si="0"/>
        <v>2</v>
      </c>
      <c r="G8" s="1267">
        <f>+'INSC-POSG plan'!H12+'INSC-POSG plan'!H13</f>
        <v>4</v>
      </c>
      <c r="H8" s="1268">
        <f>+'INSC-POSG plan'!I12+'INSC-POSG plan'!I13</f>
        <v>3</v>
      </c>
      <c r="I8" s="1268">
        <f>+'INSC-POSG plan'!J12+'INSC-POSG plan'!J13</f>
        <v>2</v>
      </c>
      <c r="J8" s="1269">
        <f t="shared" si="1"/>
        <v>9</v>
      </c>
      <c r="K8" s="1267">
        <f>+'INSC-POSG plan'!L12+'INSC-POSG plan'!L13</f>
        <v>3</v>
      </c>
      <c r="L8" s="1268">
        <f>+'INSC-POSG plan'!M12+'INSC-POSG plan'!M13</f>
        <v>0</v>
      </c>
      <c r="M8" s="1268">
        <f>+'INSC-POSG plan'!N12+'INSC-POSG plan'!N13</f>
        <v>4</v>
      </c>
      <c r="N8" s="1269">
        <f t="shared" si="2"/>
        <v>7</v>
      </c>
      <c r="O8" s="1267">
        <f>+'INSC-POSG plan'!P12+'INSC-POSG plan'!P13</f>
        <v>3</v>
      </c>
      <c r="P8" s="1268">
        <f>+'INSC-POSG plan'!Q12+'INSC-POSG plan'!Q13</f>
        <v>2</v>
      </c>
      <c r="Q8" s="1268">
        <f>+'INSC-POSG plan'!R12+'INSC-POSG plan'!R13</f>
        <v>1</v>
      </c>
      <c r="R8" s="1269">
        <f t="shared" si="3"/>
        <v>6</v>
      </c>
      <c r="S8" s="1267">
        <v>2</v>
      </c>
      <c r="T8" s="1268">
        <v>1</v>
      </c>
      <c r="U8" s="1268">
        <v>8</v>
      </c>
      <c r="V8" s="1269">
        <v>11</v>
      </c>
      <c r="W8" s="1267">
        <v>1</v>
      </c>
      <c r="X8" s="1268">
        <v>2</v>
      </c>
      <c r="Y8" s="1268">
        <v>2</v>
      </c>
      <c r="Z8" s="1340">
        <v>5</v>
      </c>
      <c r="AA8" s="1267">
        <v>1</v>
      </c>
      <c r="AB8" s="1268"/>
      <c r="AC8" s="1268">
        <v>5</v>
      </c>
      <c r="AD8" s="1269">
        <v>6</v>
      </c>
      <c r="AE8" s="1268"/>
      <c r="AF8" s="1268">
        <v>1</v>
      </c>
      <c r="AG8" s="1268">
        <v>4</v>
      </c>
      <c r="AH8" s="1269">
        <v>5</v>
      </c>
      <c r="AI8" s="1268">
        <v>5</v>
      </c>
      <c r="AJ8" s="1268">
        <v>4</v>
      </c>
      <c r="AK8" s="1268">
        <v>2</v>
      </c>
      <c r="AL8" s="1341">
        <v>11</v>
      </c>
      <c r="AM8" s="196">
        <v>1</v>
      </c>
      <c r="AN8" s="197">
        <v>2</v>
      </c>
      <c r="AO8" s="197">
        <v>2</v>
      </c>
      <c r="AP8" s="397">
        <v>5</v>
      </c>
      <c r="AQ8" s="196">
        <v>2</v>
      </c>
      <c r="AR8" s="197">
        <v>1</v>
      </c>
      <c r="AS8" s="197">
        <v>2</v>
      </c>
      <c r="AT8" s="397">
        <f t="shared" si="4"/>
        <v>5</v>
      </c>
      <c r="AU8" s="196">
        <v>2</v>
      </c>
      <c r="AV8" s="197">
        <v>1</v>
      </c>
      <c r="AW8" s="197"/>
      <c r="AX8" s="397">
        <f t="shared" si="5"/>
        <v>3</v>
      </c>
      <c r="AY8" s="196">
        <v>2</v>
      </c>
      <c r="AZ8" s="197">
        <v>4</v>
      </c>
      <c r="BA8" s="197">
        <v>1</v>
      </c>
      <c r="BB8" s="397">
        <f t="shared" si="6"/>
        <v>7</v>
      </c>
      <c r="BC8" s="196">
        <f>SUM('INSC-POSG plan'!BD12,'INSC-POSG plan'!BD13)</f>
        <v>1</v>
      </c>
      <c r="BD8" s="197"/>
      <c r="BE8" s="197">
        <f>SUM('INSC-POSG plan'!BF12,'INSC-POSG plan'!BF13)</f>
        <v>4</v>
      </c>
      <c r="BF8" s="397">
        <f t="shared" si="7"/>
        <v>5</v>
      </c>
      <c r="BG8" s="196">
        <f>SUM('INSC-POSG plan'!BH12,'INSC-POSG plan'!BH13)</f>
        <v>1</v>
      </c>
      <c r="BH8" s="197">
        <f>SUM('INSC-POSG plan'!BI12:BI15)</f>
        <v>2</v>
      </c>
      <c r="BI8" s="197">
        <f>SUM('INSC-POSG plan'!BJ12:BJ15)</f>
        <v>8</v>
      </c>
      <c r="BJ8" s="397">
        <f t="shared" si="8"/>
        <v>11</v>
      </c>
      <c r="BK8" s="196">
        <f>SUM('INSC-POSG plan'!BL12:BL15)</f>
        <v>1</v>
      </c>
      <c r="BL8" s="197">
        <f>SUM('INSC-POSG plan'!BM12:BM15)</f>
        <v>3</v>
      </c>
      <c r="BM8" s="197">
        <f>SUM('INSC-POSG plan'!BN12:BN15)</f>
        <v>7</v>
      </c>
      <c r="BN8" s="397">
        <f t="shared" si="9"/>
        <v>11</v>
      </c>
      <c r="BO8" s="196">
        <f>SUM('INSC-POSG plan'!BP12:BP15)</f>
        <v>7</v>
      </c>
      <c r="BP8" s="197">
        <f>SUM('INSC-POSG plan'!BQ12:BQ15)</f>
        <v>0</v>
      </c>
      <c r="BQ8" s="197">
        <f>SUM('INSC-POSG plan'!BR12:BR15)</f>
        <v>7</v>
      </c>
      <c r="BR8" s="397">
        <f t="shared" si="10"/>
        <v>14</v>
      </c>
      <c r="BS8" s="196">
        <f>SUM('INSC-POSG plan'!BT12:BT15)</f>
        <v>5</v>
      </c>
      <c r="BT8" s="197">
        <f>SUM('INSC-POSG plan'!BU12:BU15)</f>
        <v>5</v>
      </c>
      <c r="BU8" s="197">
        <f>SUM('INSC-POSG plan'!BV12:BV15)</f>
        <v>6</v>
      </c>
      <c r="BV8" s="397">
        <f t="shared" si="11"/>
        <v>16</v>
      </c>
      <c r="BW8" s="196">
        <f>SUM('INSC-POSG plan'!BX12:BX15)</f>
        <v>3</v>
      </c>
      <c r="BX8" s="197">
        <f>SUM('INSC-POSG plan'!BY12:BY15)</f>
        <v>3</v>
      </c>
      <c r="BY8" s="197">
        <f>SUM('INSC-POSG plan'!BZ12:BZ15)</f>
        <v>6</v>
      </c>
      <c r="BZ8" s="397">
        <f t="shared" si="12"/>
        <v>12</v>
      </c>
      <c r="CA8" s="196">
        <f>SUM('INSC-POSG plan'!CB12:CB15)</f>
        <v>7</v>
      </c>
      <c r="CB8" s="197">
        <f>SUM('INSC-POSG plan'!CC12:CC15)</f>
        <v>5</v>
      </c>
      <c r="CC8" s="197">
        <f>SUM('INSC-POSG plan'!CD12:CD15)</f>
        <v>4</v>
      </c>
      <c r="CD8" s="397">
        <f t="shared" si="13"/>
        <v>16</v>
      </c>
      <c r="CE8" s="196">
        <f>SUM('INSC-POSG plan'!CF12:CF15)</f>
        <v>4</v>
      </c>
      <c r="CF8" s="197">
        <f>SUM('INSC-POSG plan'!CG12:CG15)</f>
        <v>2</v>
      </c>
      <c r="CG8" s="197">
        <f>SUM('INSC-POSG plan'!CH12:CH15)</f>
        <v>9</v>
      </c>
      <c r="CH8" s="397">
        <f t="shared" si="14"/>
        <v>15</v>
      </c>
      <c r="CI8" s="196">
        <f>SUM('INSC-POSG plan'!CJ12:CJ15)</f>
        <v>0</v>
      </c>
      <c r="CJ8" s="197">
        <f>SUM('INSC-POSG plan'!CK12:CK15)</f>
        <v>2</v>
      </c>
      <c r="CK8" s="197">
        <f>SUM('INSC-POSG plan'!CL12:CL15)</f>
        <v>4</v>
      </c>
      <c r="CL8" s="397">
        <f t="shared" si="15"/>
        <v>6</v>
      </c>
      <c r="CM8" s="196">
        <f>SUM('INSC-POSG plan'!CN12:CN15)</f>
        <v>1</v>
      </c>
      <c r="CN8" s="197">
        <f>SUM('INSC-POSG plan'!CO12:CO15)</f>
        <v>5</v>
      </c>
      <c r="CO8" s="197">
        <f>SUM('INSC-POSG plan'!CP12:CP15)</f>
        <v>1</v>
      </c>
      <c r="CP8" s="397">
        <f t="shared" si="16"/>
        <v>7</v>
      </c>
      <c r="CQ8" s="196">
        <f>SUM('INSC-POSG plan'!CR12:CR15)</f>
        <v>0</v>
      </c>
      <c r="CR8" s="197">
        <f>SUM('INSC-POSG plan'!CS12:CS15)</f>
        <v>4</v>
      </c>
      <c r="CS8" s="197">
        <f>SUM('INSC-POSG plan'!CT12:CT15)</f>
        <v>0</v>
      </c>
      <c r="CT8" s="397">
        <f t="shared" si="17"/>
        <v>4</v>
      </c>
    </row>
    <row r="9" spans="1:98" s="1330" customFormat="1" ht="15" x14ac:dyDescent="0.25">
      <c r="A9" s="1333"/>
      <c r="B9" s="1342" t="s">
        <v>425</v>
      </c>
      <c r="C9" s="1343">
        <f>SUM(C6:C8)</f>
        <v>41</v>
      </c>
      <c r="D9" s="1344">
        <f>SUM(D6:D8)</f>
        <v>15</v>
      </c>
      <c r="E9" s="1344">
        <f>SUM(E6:E8)</f>
        <v>31</v>
      </c>
      <c r="F9" s="1345">
        <f t="shared" si="0"/>
        <v>87</v>
      </c>
      <c r="G9" s="1343">
        <f>SUM(G6:G8)</f>
        <v>61</v>
      </c>
      <c r="H9" s="1344">
        <f>SUM(H6:H8)</f>
        <v>13</v>
      </c>
      <c r="I9" s="1344">
        <f>SUM(I6:I8)</f>
        <v>53</v>
      </c>
      <c r="J9" s="1345">
        <f t="shared" si="1"/>
        <v>127</v>
      </c>
      <c r="K9" s="1343">
        <f>SUM(K6:K8)</f>
        <v>5</v>
      </c>
      <c r="L9" s="1344">
        <f>SUM(L6:L8)</f>
        <v>16</v>
      </c>
      <c r="M9" s="1344">
        <f>SUM(M6:M8)</f>
        <v>53</v>
      </c>
      <c r="N9" s="1345">
        <f t="shared" si="2"/>
        <v>74</v>
      </c>
      <c r="O9" s="1343">
        <f>SUM(O6:O8)</f>
        <v>11</v>
      </c>
      <c r="P9" s="1344">
        <f>SUM(P6:P8)</f>
        <v>6</v>
      </c>
      <c r="Q9" s="1344">
        <f>SUM(Q6:Q8)</f>
        <v>24</v>
      </c>
      <c r="R9" s="1345">
        <f t="shared" si="3"/>
        <v>41</v>
      </c>
      <c r="S9" s="1343">
        <v>17</v>
      </c>
      <c r="T9" s="1344">
        <v>5</v>
      </c>
      <c r="U9" s="1344">
        <v>25</v>
      </c>
      <c r="V9" s="1345">
        <v>47</v>
      </c>
      <c r="W9" s="1343">
        <v>8</v>
      </c>
      <c r="X9" s="1344">
        <v>7</v>
      </c>
      <c r="Y9" s="1344">
        <v>26</v>
      </c>
      <c r="Z9" s="1344">
        <v>41</v>
      </c>
      <c r="AA9" s="1343">
        <v>10</v>
      </c>
      <c r="AB9" s="1344"/>
      <c r="AC9" s="1344">
        <v>34</v>
      </c>
      <c r="AD9" s="1345">
        <v>44</v>
      </c>
      <c r="AE9" s="1344">
        <v>17</v>
      </c>
      <c r="AF9" s="1344">
        <v>1</v>
      </c>
      <c r="AG9" s="1344">
        <v>19</v>
      </c>
      <c r="AH9" s="1345">
        <v>37</v>
      </c>
      <c r="AI9" s="1344">
        <v>9</v>
      </c>
      <c r="AJ9" s="1344">
        <v>10</v>
      </c>
      <c r="AK9" s="1344">
        <v>12</v>
      </c>
      <c r="AL9" s="1345">
        <v>31</v>
      </c>
      <c r="AM9" s="201">
        <v>3</v>
      </c>
      <c r="AN9" s="202">
        <v>2</v>
      </c>
      <c r="AO9" s="202">
        <v>34</v>
      </c>
      <c r="AP9" s="203">
        <v>39</v>
      </c>
      <c r="AQ9" s="201">
        <f>SUM(AQ6:AQ8)</f>
        <v>14</v>
      </c>
      <c r="AR9" s="202">
        <f>SUM(AR6:AR8)</f>
        <v>1</v>
      </c>
      <c r="AS9" s="202">
        <f>SUM(AS6:AS8)</f>
        <v>34</v>
      </c>
      <c r="AT9" s="203">
        <f t="shared" si="4"/>
        <v>49</v>
      </c>
      <c r="AU9" s="201">
        <f>SUM(AU6:AU8)</f>
        <v>20</v>
      </c>
      <c r="AV9" s="202">
        <f>SUM(AV6:AV8)</f>
        <v>1</v>
      </c>
      <c r="AW9" s="202">
        <f>SUM(AW6:AW8)</f>
        <v>25</v>
      </c>
      <c r="AX9" s="203">
        <f t="shared" si="5"/>
        <v>46</v>
      </c>
      <c r="AY9" s="201">
        <f>SUM(AY6:AY8)</f>
        <v>8</v>
      </c>
      <c r="AZ9" s="202">
        <f>SUM(AZ6:AZ8)</f>
        <v>4</v>
      </c>
      <c r="BA9" s="202">
        <f>SUM(BA6:BA8)</f>
        <v>27</v>
      </c>
      <c r="BB9" s="203">
        <f t="shared" si="6"/>
        <v>39</v>
      </c>
      <c r="BC9" s="201">
        <f>SUM(BC6:BC8)</f>
        <v>9</v>
      </c>
      <c r="BD9" s="202">
        <f>SUM(BD6:BD8)</f>
        <v>8</v>
      </c>
      <c r="BE9" s="202">
        <f>SUM(BE6:BE8)</f>
        <v>33</v>
      </c>
      <c r="BF9" s="203">
        <f t="shared" si="7"/>
        <v>50</v>
      </c>
      <c r="BG9" s="201">
        <f>SUM(BG6:BG8)</f>
        <v>18</v>
      </c>
      <c r="BH9" s="202">
        <f>SUM(BH6:BH8)</f>
        <v>2</v>
      </c>
      <c r="BI9" s="202">
        <f>SUM(BI6:BI8)</f>
        <v>54</v>
      </c>
      <c r="BJ9" s="203">
        <f t="shared" si="8"/>
        <v>74</v>
      </c>
      <c r="BK9" s="201">
        <f>SUM(BK6:BK8)</f>
        <v>24</v>
      </c>
      <c r="BL9" s="202">
        <f>SUM(BL6:BL8)</f>
        <v>3</v>
      </c>
      <c r="BM9" s="202">
        <f>SUM(BM6:BM8)</f>
        <v>62</v>
      </c>
      <c r="BN9" s="203">
        <f t="shared" si="9"/>
        <v>89</v>
      </c>
      <c r="BO9" s="201">
        <f>SUM(BO6:BO8)</f>
        <v>26</v>
      </c>
      <c r="BP9" s="202">
        <f>SUM(BP6:BP8)</f>
        <v>0</v>
      </c>
      <c r="BQ9" s="202">
        <f>SUM(BQ6:BQ8)</f>
        <v>56</v>
      </c>
      <c r="BR9" s="203">
        <f t="shared" si="10"/>
        <v>82</v>
      </c>
      <c r="BS9" s="201">
        <f>SUM(BS6:BS8)</f>
        <v>28</v>
      </c>
      <c r="BT9" s="202">
        <f>SUM(BT6:BT8)</f>
        <v>5</v>
      </c>
      <c r="BU9" s="202">
        <f>SUM(BU6:BU8)</f>
        <v>61</v>
      </c>
      <c r="BV9" s="203">
        <f t="shared" si="11"/>
        <v>94</v>
      </c>
      <c r="BW9" s="201">
        <f>SUM(BW6:BW8)</f>
        <v>19</v>
      </c>
      <c r="BX9" s="202">
        <f>SUM(BX6:BX8)</f>
        <v>3</v>
      </c>
      <c r="BY9" s="202">
        <f>SUM(BY6:BY8)</f>
        <v>62</v>
      </c>
      <c r="BZ9" s="203">
        <f t="shared" si="12"/>
        <v>84</v>
      </c>
      <c r="CA9" s="201">
        <f>SUM(CA6:CA8)</f>
        <v>22</v>
      </c>
      <c r="CB9" s="202">
        <f>SUM(CB6:CB8)</f>
        <v>5</v>
      </c>
      <c r="CC9" s="202">
        <f>SUM(CC6:CC8)</f>
        <v>55</v>
      </c>
      <c r="CD9" s="203">
        <f t="shared" si="13"/>
        <v>82</v>
      </c>
      <c r="CE9" s="201">
        <f>SUM(CE6:CE8)</f>
        <v>23</v>
      </c>
      <c r="CF9" s="202">
        <f>SUM(CF6:CF8)</f>
        <v>25</v>
      </c>
      <c r="CG9" s="202">
        <f>SUM(CG6:CG8)</f>
        <v>27</v>
      </c>
      <c r="CH9" s="203">
        <f t="shared" si="14"/>
        <v>75</v>
      </c>
      <c r="CI9" s="201">
        <f>SUM(CI6:CI8)</f>
        <v>12</v>
      </c>
      <c r="CJ9" s="202">
        <f>SUM(CJ6:CJ8)</f>
        <v>33</v>
      </c>
      <c r="CK9" s="202">
        <f>SUM(CK6:CK8)</f>
        <v>17</v>
      </c>
      <c r="CL9" s="203">
        <f t="shared" si="15"/>
        <v>62</v>
      </c>
      <c r="CM9" s="201">
        <f>SUM(CM6:CM8)</f>
        <v>5</v>
      </c>
      <c r="CN9" s="202">
        <f>SUM(CN6:CN8)</f>
        <v>34</v>
      </c>
      <c r="CO9" s="202">
        <f>SUM(CO6:CO8)</f>
        <v>9</v>
      </c>
      <c r="CP9" s="203">
        <f t="shared" si="16"/>
        <v>48</v>
      </c>
      <c r="CQ9" s="201">
        <f>SUM(CQ6:CQ8)</f>
        <v>4</v>
      </c>
      <c r="CR9" s="202">
        <f>SUM(CR6:CR8)</f>
        <v>29</v>
      </c>
      <c r="CS9" s="202">
        <f>SUM(CS6:CS8)</f>
        <v>19</v>
      </c>
      <c r="CT9" s="203">
        <f t="shared" si="17"/>
        <v>52</v>
      </c>
    </row>
    <row r="10" spans="1:98" ht="15" x14ac:dyDescent="0.25">
      <c r="A10" s="1333"/>
      <c r="B10" s="1334" t="s">
        <v>308</v>
      </c>
      <c r="C10" s="1258">
        <f>+'INSC-POSG plan'!D17+'INSC-POSG plan'!D20+'INSC-POSG plan'!D21</f>
        <v>0</v>
      </c>
      <c r="D10" s="1259">
        <f>+'INSC-POSG plan'!E17+'INSC-POSG plan'!E20+'INSC-POSG plan'!E21</f>
        <v>0</v>
      </c>
      <c r="E10" s="1259">
        <f>+'INSC-POSG plan'!F17+'INSC-POSG plan'!F20+'INSC-POSG plan'!F21</f>
        <v>25</v>
      </c>
      <c r="F10" s="1260">
        <f t="shared" si="0"/>
        <v>25</v>
      </c>
      <c r="G10" s="1258">
        <f>+'INSC-POSG plan'!H17+'INSC-POSG plan'!H20+'INSC-POSG plan'!H21</f>
        <v>0</v>
      </c>
      <c r="H10" s="1259">
        <f>+'INSC-POSG plan'!I17+'INSC-POSG plan'!I20+'INSC-POSG plan'!I21</f>
        <v>0</v>
      </c>
      <c r="I10" s="1259">
        <f>+'INSC-POSG plan'!J17+'INSC-POSG plan'!J20+'INSC-POSG plan'!J21</f>
        <v>15</v>
      </c>
      <c r="J10" s="1260">
        <f t="shared" si="1"/>
        <v>15</v>
      </c>
      <c r="K10" s="1258">
        <f>+'INSC-POSG plan'!L17+'INSC-POSG plan'!L20+'INSC-POSG plan'!L21</f>
        <v>0</v>
      </c>
      <c r="L10" s="1259">
        <f>+'INSC-POSG plan'!M17+'INSC-POSG plan'!M20+'INSC-POSG plan'!M21</f>
        <v>0</v>
      </c>
      <c r="M10" s="1259">
        <f>+'INSC-POSG plan'!N17+'INSC-POSG plan'!N20+'INSC-POSG plan'!N21</f>
        <v>20</v>
      </c>
      <c r="N10" s="1260">
        <f t="shared" si="2"/>
        <v>20</v>
      </c>
      <c r="O10" s="1258">
        <f>+'INSC-POSG plan'!P17+'INSC-POSG plan'!P20+'INSC-POSG plan'!P21</f>
        <v>0</v>
      </c>
      <c r="P10" s="1259">
        <f>+'INSC-POSG plan'!Q17+'INSC-POSG plan'!Q20+'INSC-POSG plan'!Q21</f>
        <v>0</v>
      </c>
      <c r="Q10" s="1259">
        <f>+'INSC-POSG plan'!R17+'INSC-POSG plan'!R20+'INSC-POSG plan'!R21</f>
        <v>23</v>
      </c>
      <c r="R10" s="1260">
        <f t="shared" si="3"/>
        <v>23</v>
      </c>
      <c r="S10" s="1258"/>
      <c r="T10" s="1259"/>
      <c r="U10" s="1259">
        <v>27</v>
      </c>
      <c r="V10" s="1260">
        <v>27</v>
      </c>
      <c r="W10" s="1258">
        <v>0</v>
      </c>
      <c r="X10" s="1259">
        <v>0</v>
      </c>
      <c r="Y10" s="1259">
        <v>36</v>
      </c>
      <c r="Z10" s="1298">
        <v>36</v>
      </c>
      <c r="AA10" s="1258"/>
      <c r="AB10" s="1259"/>
      <c r="AC10" s="1259">
        <v>32</v>
      </c>
      <c r="AD10" s="1260">
        <v>32</v>
      </c>
      <c r="AE10" s="1259"/>
      <c r="AF10" s="1259"/>
      <c r="AG10" s="1259">
        <v>33</v>
      </c>
      <c r="AH10" s="1260">
        <v>33</v>
      </c>
      <c r="AI10" s="1259"/>
      <c r="AJ10" s="1259"/>
      <c r="AK10" s="1259">
        <v>39</v>
      </c>
      <c r="AL10" s="1335">
        <v>39</v>
      </c>
      <c r="AM10" s="151"/>
      <c r="AN10" s="152"/>
      <c r="AO10" s="152">
        <v>28</v>
      </c>
      <c r="AP10" s="395">
        <v>28</v>
      </c>
      <c r="AQ10" s="151"/>
      <c r="AR10" s="152"/>
      <c r="AS10" s="152">
        <v>18</v>
      </c>
      <c r="AT10" s="395">
        <f t="shared" si="4"/>
        <v>18</v>
      </c>
      <c r="AU10" s="151"/>
      <c r="AV10" s="152"/>
      <c r="AW10" s="152">
        <v>26</v>
      </c>
      <c r="AX10" s="395">
        <f t="shared" si="5"/>
        <v>26</v>
      </c>
      <c r="AY10" s="151"/>
      <c r="AZ10" s="152"/>
      <c r="BA10" s="152">
        <v>26</v>
      </c>
      <c r="BB10" s="395">
        <f t="shared" si="6"/>
        <v>26</v>
      </c>
      <c r="BC10" s="151"/>
      <c r="BD10" s="152">
        <f>SUM('INSC-POSG plan'!BE17,'INSC-POSG plan'!BE20,'INSC-POSG plan'!BE21)</f>
        <v>1</v>
      </c>
      <c r="BE10" s="152">
        <f>SUM('INSC-POSG plan'!BF17,'INSC-POSG plan'!BF20,'INSC-POSG plan'!BF21)</f>
        <v>16</v>
      </c>
      <c r="BF10" s="395">
        <f t="shared" si="7"/>
        <v>17</v>
      </c>
      <c r="BG10" s="151"/>
      <c r="BH10" s="152"/>
      <c r="BI10" s="152">
        <f>SUM('INSC-POSG plan'!BJ17,'INSC-POSG plan'!BJ20,'INSC-POSG plan'!BJ21)</f>
        <v>29</v>
      </c>
      <c r="BJ10" s="395">
        <f t="shared" si="8"/>
        <v>29</v>
      </c>
      <c r="BK10" s="151">
        <f>SUM('INSC-POSG plan'!BL17:BL21)</f>
        <v>0</v>
      </c>
      <c r="BL10" s="152">
        <f>SUM('INSC-POSG plan'!BM17:BM21)</f>
        <v>0</v>
      </c>
      <c r="BM10" s="152">
        <f>SUM('INSC-POSG plan'!BN17:BN21)</f>
        <v>18</v>
      </c>
      <c r="BN10" s="395">
        <f t="shared" si="9"/>
        <v>18</v>
      </c>
      <c r="BO10" s="151">
        <f>SUM('INSC-POSG plan'!BP17:BP21)</f>
        <v>0</v>
      </c>
      <c r="BP10" s="152">
        <f>SUM('INSC-POSG plan'!BQ17:BQ21)</f>
        <v>0</v>
      </c>
      <c r="BQ10" s="152">
        <f>SUM('INSC-POSG plan'!BR17:BR21)</f>
        <v>30</v>
      </c>
      <c r="BR10" s="395">
        <f t="shared" si="10"/>
        <v>30</v>
      </c>
      <c r="BS10" s="151">
        <f>SUM('INSC-POSG plan'!BT17:BT21)</f>
        <v>0</v>
      </c>
      <c r="BT10" s="152">
        <f>SUM('INSC-POSG plan'!BU17:BU21)</f>
        <v>0</v>
      </c>
      <c r="BU10" s="152">
        <f>SUM('INSC-POSG plan'!BV17:BV21)</f>
        <v>20</v>
      </c>
      <c r="BV10" s="395">
        <f t="shared" si="11"/>
        <v>20</v>
      </c>
      <c r="BW10" s="152">
        <f>SUM('INSC-POSG plan'!BX17:BX21)</f>
        <v>0</v>
      </c>
      <c r="BX10" s="152">
        <f>SUM('INSC-POSG plan'!BY17:BY21)</f>
        <v>0</v>
      </c>
      <c r="BY10" s="152">
        <f>SUM('INSC-POSG plan'!BZ17:BZ21)</f>
        <v>20</v>
      </c>
      <c r="BZ10" s="395">
        <f t="shared" si="12"/>
        <v>20</v>
      </c>
      <c r="CA10" s="152">
        <f>SUM('INSC-POSG plan'!CB17:CB21)</f>
        <v>0</v>
      </c>
      <c r="CB10" s="152">
        <f>SUM('INSC-POSG plan'!CC17:CC21)</f>
        <v>0</v>
      </c>
      <c r="CC10" s="152">
        <f>SUM('INSC-POSG plan'!CD17:CD21)</f>
        <v>14</v>
      </c>
      <c r="CD10" s="395">
        <f t="shared" si="13"/>
        <v>14</v>
      </c>
      <c r="CE10" s="152">
        <f>SUM('INSC-POSG plan'!CF17:CF21)</f>
        <v>0</v>
      </c>
      <c r="CF10" s="152">
        <f>SUM('INSC-POSG plan'!CG17:CG21)</f>
        <v>15</v>
      </c>
      <c r="CG10" s="152">
        <f>SUM('INSC-POSG plan'!CH17:CH21)</f>
        <v>16</v>
      </c>
      <c r="CH10" s="395">
        <f t="shared" si="14"/>
        <v>31</v>
      </c>
      <c r="CI10" s="152">
        <f>SUM('INSC-POSG plan'!CJ17:CJ21)</f>
        <v>0</v>
      </c>
      <c r="CJ10" s="152">
        <f>SUM('INSC-POSG plan'!CK17:CK21)</f>
        <v>6</v>
      </c>
      <c r="CK10" s="152">
        <f>SUM('INSC-POSG plan'!CL17:CL21)</f>
        <v>8</v>
      </c>
      <c r="CL10" s="395">
        <f t="shared" si="15"/>
        <v>14</v>
      </c>
      <c r="CM10" s="152">
        <f>SUM('INSC-POSG plan'!CN17:CN21)</f>
        <v>0</v>
      </c>
      <c r="CN10" s="152">
        <f>SUM('INSC-POSG plan'!CO17:CO21)</f>
        <v>13</v>
      </c>
      <c r="CO10" s="152">
        <f>SUM('INSC-POSG plan'!CP17:CP21)</f>
        <v>13</v>
      </c>
      <c r="CP10" s="395">
        <f t="shared" si="16"/>
        <v>26</v>
      </c>
      <c r="CQ10" s="152">
        <f>SUM('INSC-POSG plan'!CR17:CR21)</f>
        <v>0</v>
      </c>
      <c r="CR10" s="152">
        <f>SUM('INSC-POSG plan'!CS17:CS21)</f>
        <v>23</v>
      </c>
      <c r="CS10" s="152">
        <f>SUM('INSC-POSG plan'!CT17:CT21)</f>
        <v>11</v>
      </c>
      <c r="CT10" s="395">
        <f t="shared" si="17"/>
        <v>34</v>
      </c>
    </row>
    <row r="11" spans="1:98" ht="15" x14ac:dyDescent="0.25">
      <c r="A11" s="1333"/>
      <c r="B11" s="1336" t="s">
        <v>310</v>
      </c>
      <c r="C11" s="1262">
        <f>+'INSC-POSG plan'!D22+'INSC-POSG plan'!D23+'INSC-POSG plan'!D24+'INSC-POSG plan'!D25+'INSC-POSG plan'!D26+'INSC-POSG plan'!D27+'INSC-POSG plan'!D28</f>
        <v>0</v>
      </c>
      <c r="D11" s="1263">
        <f>+'INSC-POSG plan'!E22+'INSC-POSG plan'!E23+'INSC-POSG plan'!E24+'INSC-POSG plan'!E25+'INSC-POSG plan'!E26+'INSC-POSG plan'!E27+'INSC-POSG plan'!E28</f>
        <v>0</v>
      </c>
      <c r="E11" s="1263">
        <f>+'INSC-POSG plan'!F22+'INSC-POSG plan'!F23+'INSC-POSG plan'!F24+'INSC-POSG plan'!F25+'INSC-POSG plan'!F26+'INSC-POSG plan'!F27+'INSC-POSG plan'!F28</f>
        <v>23</v>
      </c>
      <c r="F11" s="1264">
        <f t="shared" si="0"/>
        <v>23</v>
      </c>
      <c r="G11" s="1262">
        <f>+'INSC-POSG plan'!H22+'INSC-POSG plan'!H23+'INSC-POSG plan'!H24+'INSC-POSG plan'!H25+'INSC-POSG plan'!H26+'INSC-POSG plan'!H27+'INSC-POSG plan'!H28</f>
        <v>20</v>
      </c>
      <c r="H11" s="1263">
        <f>+'INSC-POSG plan'!I22+'INSC-POSG plan'!I23+'INSC-POSG plan'!I24+'INSC-POSG plan'!I25+'INSC-POSG plan'!I26+'INSC-POSG plan'!I27+'INSC-POSG plan'!I28</f>
        <v>0</v>
      </c>
      <c r="I11" s="1263">
        <f>+'INSC-POSG plan'!J22+'INSC-POSG plan'!J23+'INSC-POSG plan'!J24+'INSC-POSG plan'!J25+'INSC-POSG plan'!J26+'INSC-POSG plan'!J27+'INSC-POSG plan'!J28</f>
        <v>26</v>
      </c>
      <c r="J11" s="1264">
        <f t="shared" si="1"/>
        <v>46</v>
      </c>
      <c r="K11" s="1262">
        <f>+'INSC-POSG plan'!L22+'INSC-POSG plan'!L23+'INSC-POSG plan'!L24+'INSC-POSG plan'!L25+'INSC-POSG plan'!L26+'INSC-POSG plan'!L27+'INSC-POSG plan'!L28</f>
        <v>0</v>
      </c>
      <c r="L11" s="1263">
        <f>+'INSC-POSG plan'!M22+'INSC-POSG plan'!M23+'INSC-POSG plan'!M24+'INSC-POSG plan'!M25+'INSC-POSG plan'!M26+'INSC-POSG plan'!M27+'INSC-POSG plan'!M28</f>
        <v>0</v>
      </c>
      <c r="M11" s="1263">
        <f>+'INSC-POSG plan'!N22+'INSC-POSG plan'!N23+'INSC-POSG plan'!N24+'INSC-POSG plan'!N25+'INSC-POSG plan'!N26+'INSC-POSG plan'!N27+'INSC-POSG plan'!N28</f>
        <v>22</v>
      </c>
      <c r="N11" s="1264">
        <f t="shared" si="2"/>
        <v>22</v>
      </c>
      <c r="O11" s="1262">
        <f>+'INSC-POSG plan'!P22+'INSC-POSG plan'!P23+'INSC-POSG plan'!P24+'INSC-POSG plan'!P25+'INSC-POSG plan'!P26+'INSC-POSG plan'!P27+'INSC-POSG plan'!P28</f>
        <v>16</v>
      </c>
      <c r="P11" s="1263">
        <f>+'INSC-POSG plan'!Q22+'INSC-POSG plan'!Q23+'INSC-POSG plan'!Q24+'INSC-POSG plan'!Q25+'INSC-POSG plan'!Q26+'INSC-POSG plan'!Q27+'INSC-POSG plan'!Q28</f>
        <v>0</v>
      </c>
      <c r="Q11" s="1263">
        <f>+'INSC-POSG plan'!R22+'INSC-POSG plan'!R23+'INSC-POSG plan'!R24+'INSC-POSG plan'!R25+'INSC-POSG plan'!R26+'INSC-POSG plan'!R27+'INSC-POSG plan'!R28</f>
        <v>14</v>
      </c>
      <c r="R11" s="1264">
        <f t="shared" si="3"/>
        <v>30</v>
      </c>
      <c r="S11" s="1262"/>
      <c r="T11" s="1263"/>
      <c r="U11" s="1263"/>
      <c r="V11" s="1264"/>
      <c r="W11" s="1262">
        <v>20</v>
      </c>
      <c r="X11" s="1263">
        <v>0</v>
      </c>
      <c r="Y11" s="1263">
        <v>26</v>
      </c>
      <c r="Z11" s="1337">
        <v>46</v>
      </c>
      <c r="AA11" s="1262">
        <v>8</v>
      </c>
      <c r="AB11" s="1263"/>
      <c r="AC11" s="1263">
        <v>20</v>
      </c>
      <c r="AD11" s="1264">
        <v>28</v>
      </c>
      <c r="AE11" s="1263">
        <v>17</v>
      </c>
      <c r="AF11" s="1263"/>
      <c r="AG11" s="1263"/>
      <c r="AH11" s="1264">
        <v>17</v>
      </c>
      <c r="AI11" s="1263">
        <v>15</v>
      </c>
      <c r="AJ11" s="1263"/>
      <c r="AK11" s="1263">
        <v>32</v>
      </c>
      <c r="AL11" s="1338">
        <v>47</v>
      </c>
      <c r="AM11" s="129">
        <v>27</v>
      </c>
      <c r="AN11" s="130"/>
      <c r="AO11" s="130"/>
      <c r="AP11" s="396">
        <v>27</v>
      </c>
      <c r="AQ11" s="129"/>
      <c r="AR11" s="130"/>
      <c r="AS11" s="130">
        <v>65</v>
      </c>
      <c r="AT11" s="396">
        <f t="shared" si="4"/>
        <v>65</v>
      </c>
      <c r="AU11" s="129"/>
      <c r="AV11" s="130"/>
      <c r="AW11" s="130">
        <v>8</v>
      </c>
      <c r="AX11" s="396">
        <f t="shared" si="5"/>
        <v>8</v>
      </c>
      <c r="AY11" s="129"/>
      <c r="AZ11" s="130"/>
      <c r="BA11" s="130">
        <v>48</v>
      </c>
      <c r="BB11" s="396">
        <f t="shared" si="6"/>
        <v>48</v>
      </c>
      <c r="BC11" s="129">
        <f>SUM('INSC-POSG plan'!BD22,'INSC-POSG plan'!BD23,'INSC-POSG plan'!BD24,'INSC-POSG plan'!BD25,'INSC-POSG plan'!BD26,'INSC-POSG plan'!BD27,'INSC-POSG plan'!BD28)</f>
        <v>15</v>
      </c>
      <c r="BD11" s="130"/>
      <c r="BE11" s="130">
        <f>SUM('INSC-POSG plan'!BF22,'INSC-POSG plan'!BF23,'INSC-POSG plan'!BF24,'INSC-POSG plan'!BF25,'INSC-POSG plan'!BF26,'INSC-POSG plan'!BF27,'INSC-POSG plan'!BF28)</f>
        <v>20</v>
      </c>
      <c r="BF11" s="396">
        <f t="shared" si="7"/>
        <v>35</v>
      </c>
      <c r="BG11" s="129"/>
      <c r="BH11" s="130"/>
      <c r="BI11" s="130">
        <f>SUM('INSC-POSG plan'!BJ22,'INSC-POSG plan'!BJ23,'INSC-POSG plan'!BJ24,'INSC-POSG plan'!BJ25,'INSC-POSG plan'!BJ26,'INSC-POSG plan'!BJ27,'INSC-POSG plan'!BJ28)</f>
        <v>55</v>
      </c>
      <c r="BJ11" s="396">
        <f t="shared" si="8"/>
        <v>55</v>
      </c>
      <c r="BK11" s="129">
        <f>SUM('INSC-POSG plan'!BL22:BL28)</f>
        <v>24</v>
      </c>
      <c r="BL11" s="130">
        <f>SUM('INSC-POSG plan'!BM22:BM28)</f>
        <v>0</v>
      </c>
      <c r="BM11" s="130">
        <f>SUM('INSC-POSG plan'!BN22:BN28)</f>
        <v>27</v>
      </c>
      <c r="BN11" s="396">
        <f t="shared" si="9"/>
        <v>51</v>
      </c>
      <c r="BO11" s="129">
        <f>SUM('INSC-POSG plan'!BP22:BP28)</f>
        <v>0</v>
      </c>
      <c r="BP11" s="130">
        <f>SUM('INSC-POSG plan'!BQ22:BQ28)</f>
        <v>0</v>
      </c>
      <c r="BQ11" s="130">
        <f>SUM('INSC-POSG plan'!BR22:BR28)</f>
        <v>34</v>
      </c>
      <c r="BR11" s="396">
        <f t="shared" si="10"/>
        <v>34</v>
      </c>
      <c r="BS11" s="129">
        <f>SUM('INSC-POSG plan'!BT22:BT28)</f>
        <v>0</v>
      </c>
      <c r="BT11" s="130">
        <f>SUM('INSC-POSG plan'!BU22:BU28)</f>
        <v>0</v>
      </c>
      <c r="BU11" s="130">
        <f>SUM('INSC-POSG plan'!BV22:BV28)</f>
        <v>27</v>
      </c>
      <c r="BV11" s="396">
        <f t="shared" si="11"/>
        <v>27</v>
      </c>
      <c r="BW11" s="130">
        <f>SUM('INSC-POSG plan'!BX22:BX30)</f>
        <v>65</v>
      </c>
      <c r="BX11" s="130">
        <f>SUM('INSC-POSG plan'!BY22:BY30)</f>
        <v>0</v>
      </c>
      <c r="BY11" s="130">
        <f>SUM('INSC-POSG plan'!BZ22:BZ30)</f>
        <v>51</v>
      </c>
      <c r="BZ11" s="396">
        <f t="shared" si="12"/>
        <v>116</v>
      </c>
      <c r="CA11" s="130">
        <f>SUM('INSC-POSG plan'!CB22:CB30)</f>
        <v>0</v>
      </c>
      <c r="CB11" s="130">
        <f>SUM('INSC-POSG plan'!CC22:CC30)</f>
        <v>0</v>
      </c>
      <c r="CC11" s="130">
        <f>SUM('INSC-POSG plan'!CD22:CD30)</f>
        <v>29</v>
      </c>
      <c r="CD11" s="396">
        <f t="shared" si="13"/>
        <v>29</v>
      </c>
      <c r="CE11" s="130">
        <f>SUM('INSC-POSG plan'!CF22:CF30)</f>
        <v>50</v>
      </c>
      <c r="CF11" s="130">
        <f>SUM('INSC-POSG plan'!CG22:CG30)</f>
        <v>0</v>
      </c>
      <c r="CG11" s="130">
        <f>SUM('INSC-POSG plan'!CH22:CH30)</f>
        <v>57</v>
      </c>
      <c r="CH11" s="396">
        <f t="shared" si="14"/>
        <v>107</v>
      </c>
      <c r="CI11" s="130">
        <f>SUM('INSC-POSG plan'!CJ22:CJ30)</f>
        <v>11</v>
      </c>
      <c r="CJ11" s="130">
        <f>SUM('INSC-POSG plan'!CK22:CK30)</f>
        <v>0</v>
      </c>
      <c r="CK11" s="130">
        <f>SUM('INSC-POSG plan'!CL22:CL30)</f>
        <v>0</v>
      </c>
      <c r="CL11" s="396">
        <f t="shared" si="15"/>
        <v>11</v>
      </c>
      <c r="CM11" s="130">
        <f>SUM('INSC-POSG plan'!CN22:CN30)</f>
        <v>62</v>
      </c>
      <c r="CN11" s="130">
        <f>SUM('INSC-POSG plan'!CO22:CO30)</f>
        <v>2</v>
      </c>
      <c r="CO11" s="130">
        <f>SUM('INSC-POSG plan'!CP22:CP30)</f>
        <v>26</v>
      </c>
      <c r="CP11" s="396">
        <f t="shared" si="16"/>
        <v>90</v>
      </c>
      <c r="CQ11" s="130">
        <f>SUM('INSC-POSG plan'!CR22:CR30)</f>
        <v>27</v>
      </c>
      <c r="CR11" s="130">
        <f>SUM('INSC-POSG plan'!CS22:CS30)</f>
        <v>0</v>
      </c>
      <c r="CS11" s="130">
        <f>SUM('INSC-POSG plan'!CT22:CT30)</f>
        <v>9</v>
      </c>
      <c r="CT11" s="396">
        <f t="shared" si="17"/>
        <v>36</v>
      </c>
    </row>
    <row r="12" spans="1:98" ht="15" x14ac:dyDescent="0.25">
      <c r="A12" s="1333"/>
      <c r="B12" s="1339" t="s">
        <v>317</v>
      </c>
      <c r="C12" s="1267">
        <f>+'INSC-POSG plan'!D31+'INSC-POSG plan'!D32+'INSC-POSG plan'!D33</f>
        <v>0</v>
      </c>
      <c r="D12" s="1268">
        <f>+'INSC-POSG plan'!E31+'INSC-POSG plan'!E32+'INSC-POSG plan'!E33</f>
        <v>0</v>
      </c>
      <c r="E12" s="1268">
        <f>+'INSC-POSG plan'!F31+'INSC-POSG plan'!F32+'INSC-POSG plan'!F33</f>
        <v>0</v>
      </c>
      <c r="F12" s="1269">
        <f t="shared" si="0"/>
        <v>0</v>
      </c>
      <c r="G12" s="1267">
        <f>+'INSC-POSG plan'!H31+'INSC-POSG plan'!H32+'INSC-POSG plan'!H33</f>
        <v>2</v>
      </c>
      <c r="H12" s="1268">
        <f>+'INSC-POSG plan'!I31+'INSC-POSG plan'!I32+'INSC-POSG plan'!I33</f>
        <v>0</v>
      </c>
      <c r="I12" s="1268">
        <f>+'INSC-POSG plan'!J31+'INSC-POSG plan'!J32+'INSC-POSG plan'!J33</f>
        <v>0</v>
      </c>
      <c r="J12" s="1269">
        <f t="shared" si="1"/>
        <v>2</v>
      </c>
      <c r="K12" s="1267">
        <f>+'INSC-POSG plan'!L31+'INSC-POSG plan'!L32+'INSC-POSG plan'!L33</f>
        <v>0</v>
      </c>
      <c r="L12" s="1268">
        <f>+'INSC-POSG plan'!M31+'INSC-POSG plan'!M32+'INSC-POSG plan'!M33</f>
        <v>0</v>
      </c>
      <c r="M12" s="1268">
        <f>+'INSC-POSG plan'!N31+'INSC-POSG plan'!N32+'INSC-POSG plan'!N33</f>
        <v>0</v>
      </c>
      <c r="N12" s="1269">
        <f t="shared" si="2"/>
        <v>0</v>
      </c>
      <c r="O12" s="1267">
        <f>+'INSC-POSG plan'!P31+'INSC-POSG plan'!P32+'INSC-POSG plan'!P33</f>
        <v>0</v>
      </c>
      <c r="P12" s="1268">
        <f>+'INSC-POSG plan'!Q31+'INSC-POSG plan'!Q32+'INSC-POSG plan'!Q33</f>
        <v>0</v>
      </c>
      <c r="Q12" s="1268">
        <f>+'INSC-POSG plan'!R31+'INSC-POSG plan'!R32+'INSC-POSG plan'!R33</f>
        <v>0</v>
      </c>
      <c r="R12" s="1269">
        <f t="shared" si="3"/>
        <v>0</v>
      </c>
      <c r="S12" s="1267">
        <v>1</v>
      </c>
      <c r="T12" s="1268"/>
      <c r="U12" s="1268"/>
      <c r="V12" s="1269">
        <v>1</v>
      </c>
      <c r="W12" s="1267">
        <v>3</v>
      </c>
      <c r="X12" s="1268">
        <v>0</v>
      </c>
      <c r="Y12" s="1268">
        <v>0</v>
      </c>
      <c r="Z12" s="1340">
        <v>3</v>
      </c>
      <c r="AA12" s="1267"/>
      <c r="AB12" s="1268"/>
      <c r="AC12" s="1268">
        <v>12</v>
      </c>
      <c r="AD12" s="1269">
        <v>12</v>
      </c>
      <c r="AE12" s="1268">
        <v>1</v>
      </c>
      <c r="AF12" s="1268"/>
      <c r="AG12" s="1268"/>
      <c r="AH12" s="1269">
        <v>1</v>
      </c>
      <c r="AI12" s="1268"/>
      <c r="AJ12" s="1268"/>
      <c r="AK12" s="1268">
        <v>29</v>
      </c>
      <c r="AL12" s="1341">
        <v>29</v>
      </c>
      <c r="AM12" s="196"/>
      <c r="AN12" s="197"/>
      <c r="AO12" s="197"/>
      <c r="AP12" s="397"/>
      <c r="AQ12" s="196"/>
      <c r="AR12" s="197"/>
      <c r="AS12" s="197">
        <v>6</v>
      </c>
      <c r="AT12" s="397">
        <f t="shared" si="4"/>
        <v>6</v>
      </c>
      <c r="AU12" s="196"/>
      <c r="AV12" s="197">
        <v>16</v>
      </c>
      <c r="AW12" s="197"/>
      <c r="AX12" s="397">
        <f t="shared" si="5"/>
        <v>16</v>
      </c>
      <c r="AY12" s="196"/>
      <c r="AZ12" s="197"/>
      <c r="BA12" s="197">
        <v>11</v>
      </c>
      <c r="BB12" s="397">
        <f t="shared" si="6"/>
        <v>11</v>
      </c>
      <c r="BC12" s="196"/>
      <c r="BD12" s="197"/>
      <c r="BE12" s="197">
        <f>SUM('INSC-POSG plan'!BF31,'INSC-POSG plan'!BF32,'INSC-POSG plan'!BF33)</f>
        <v>11</v>
      </c>
      <c r="BF12" s="397">
        <f t="shared" si="7"/>
        <v>11</v>
      </c>
      <c r="BG12" s="196"/>
      <c r="BH12" s="197"/>
      <c r="BI12" s="197">
        <f>SUM('INSC-POSG plan'!BJ31,'INSC-POSG plan'!BJ32,'INSC-POSG plan'!BJ33)</f>
        <v>9</v>
      </c>
      <c r="BJ12" s="397">
        <f t="shared" si="8"/>
        <v>9</v>
      </c>
      <c r="BK12" s="196">
        <f>SUM('INSC-POSG plan'!BL31:BL33)</f>
        <v>0</v>
      </c>
      <c r="BL12" s="197">
        <f>SUM('INSC-POSG plan'!BM31:BM33)</f>
        <v>0</v>
      </c>
      <c r="BM12" s="197">
        <f>SUM('INSC-POSG plan'!BN31:BN33)</f>
        <v>11</v>
      </c>
      <c r="BN12" s="397">
        <f t="shared" si="9"/>
        <v>11</v>
      </c>
      <c r="BO12" s="196">
        <f>SUM('INSC-POSG plan'!BP31:BP33)</f>
        <v>0</v>
      </c>
      <c r="BP12" s="197">
        <f>SUM('INSC-POSG plan'!BQ31:BQ33)</f>
        <v>0</v>
      </c>
      <c r="BQ12" s="197">
        <f>SUM('INSC-POSG plan'!BR31:BR33)</f>
        <v>5</v>
      </c>
      <c r="BR12" s="397">
        <f t="shared" si="10"/>
        <v>5</v>
      </c>
      <c r="BS12" s="196">
        <f>SUM('INSC-POSG plan'!BT31:BT33)</f>
        <v>0</v>
      </c>
      <c r="BT12" s="197">
        <f>SUM('INSC-POSG plan'!BU31:BU33)</f>
        <v>0</v>
      </c>
      <c r="BU12" s="197">
        <f>SUM('INSC-POSG plan'!BV31:BV33)</f>
        <v>28</v>
      </c>
      <c r="BV12" s="397">
        <f t="shared" si="11"/>
        <v>28</v>
      </c>
      <c r="BW12" s="197">
        <f>SUM('INSC-POSG plan'!BX31:BX35)</f>
        <v>3</v>
      </c>
      <c r="BX12" s="197">
        <f>SUM('INSC-POSG plan'!BY31:BY35)</f>
        <v>0</v>
      </c>
      <c r="BY12" s="197">
        <f>SUM('INSC-POSG plan'!BZ31:BZ35)</f>
        <v>4</v>
      </c>
      <c r="BZ12" s="397">
        <f t="shared" si="12"/>
        <v>7</v>
      </c>
      <c r="CA12" s="197">
        <f>SUM('INSC-POSG plan'!CB31:CB35)</f>
        <v>0</v>
      </c>
      <c r="CB12" s="197">
        <f>SUM('INSC-POSG plan'!CC31:CC35)</f>
        <v>0</v>
      </c>
      <c r="CC12" s="197">
        <f>SUM('INSC-POSG plan'!CD31:CD35)</f>
        <v>25</v>
      </c>
      <c r="CD12" s="397">
        <f t="shared" si="13"/>
        <v>25</v>
      </c>
      <c r="CE12" s="197">
        <f>SUM('INSC-POSG plan'!CF31:CF35)</f>
        <v>20</v>
      </c>
      <c r="CF12" s="197">
        <f>SUM('INSC-POSG plan'!CG31:CG35)</f>
        <v>2</v>
      </c>
      <c r="CG12" s="197">
        <f>SUM('INSC-POSG plan'!CH31:CH35)</f>
        <v>7</v>
      </c>
      <c r="CH12" s="397">
        <f t="shared" si="14"/>
        <v>29</v>
      </c>
      <c r="CI12" s="197">
        <f>SUM('INSC-POSG plan'!CJ31:CJ35)</f>
        <v>11</v>
      </c>
      <c r="CJ12" s="197">
        <f>SUM('INSC-POSG plan'!CK31:CK35)</f>
        <v>0</v>
      </c>
      <c r="CK12" s="197">
        <f>SUM('INSC-POSG plan'!CL31:CL35)</f>
        <v>11</v>
      </c>
      <c r="CL12" s="397">
        <f t="shared" si="15"/>
        <v>22</v>
      </c>
      <c r="CM12" s="197">
        <f>SUM('INSC-POSG plan'!CN31:CN35)</f>
        <v>5</v>
      </c>
      <c r="CN12" s="197">
        <f>SUM('INSC-POSG plan'!CO31:CO35)</f>
        <v>1</v>
      </c>
      <c r="CO12" s="197">
        <f>SUM('INSC-POSG plan'!CP31:CP35)</f>
        <v>11</v>
      </c>
      <c r="CP12" s="397">
        <f t="shared" si="16"/>
        <v>17</v>
      </c>
      <c r="CQ12" s="197">
        <f>SUM('INSC-POSG plan'!CR31:CR35)</f>
        <v>0</v>
      </c>
      <c r="CR12" s="197">
        <f>SUM('INSC-POSG plan'!CS31:CS35)</f>
        <v>0</v>
      </c>
      <c r="CS12" s="197">
        <f>SUM('INSC-POSG plan'!CT31:CT35)</f>
        <v>11</v>
      </c>
      <c r="CT12" s="397">
        <f t="shared" si="17"/>
        <v>11</v>
      </c>
    </row>
    <row r="13" spans="1:98" s="1330" customFormat="1" ht="15" x14ac:dyDescent="0.25">
      <c r="A13" s="1333"/>
      <c r="B13" s="1342" t="s">
        <v>426</v>
      </c>
      <c r="C13" s="1343">
        <f>SUM(C10:C12)</f>
        <v>0</v>
      </c>
      <c r="D13" s="1344">
        <f>SUM(D10:D12)</f>
        <v>0</v>
      </c>
      <c r="E13" s="1344">
        <f>SUM(E10:E12)</f>
        <v>48</v>
      </c>
      <c r="F13" s="1345">
        <f t="shared" si="0"/>
        <v>48</v>
      </c>
      <c r="G13" s="1343">
        <f>SUM(G10:G12)</f>
        <v>22</v>
      </c>
      <c r="H13" s="1344">
        <f>SUM(H10:H12)</f>
        <v>0</v>
      </c>
      <c r="I13" s="1344">
        <f>SUM(I10:I12)</f>
        <v>41</v>
      </c>
      <c r="J13" s="1345">
        <f t="shared" si="1"/>
        <v>63</v>
      </c>
      <c r="K13" s="1343">
        <f>SUM(K10:K12)</f>
        <v>0</v>
      </c>
      <c r="L13" s="1344">
        <f>SUM(L10:L12)</f>
        <v>0</v>
      </c>
      <c r="M13" s="1344">
        <f>SUM(M10:M12)</f>
        <v>42</v>
      </c>
      <c r="N13" s="1345">
        <f t="shared" si="2"/>
        <v>42</v>
      </c>
      <c r="O13" s="1343">
        <f>SUM(O10:O12)</f>
        <v>16</v>
      </c>
      <c r="P13" s="1344">
        <f>SUM(P10:P12)</f>
        <v>0</v>
      </c>
      <c r="Q13" s="1344">
        <f>SUM(Q10:Q12)</f>
        <v>37</v>
      </c>
      <c r="R13" s="1345">
        <f t="shared" si="3"/>
        <v>53</v>
      </c>
      <c r="S13" s="1343">
        <v>1</v>
      </c>
      <c r="T13" s="1344"/>
      <c r="U13" s="1344">
        <v>27</v>
      </c>
      <c r="V13" s="1345">
        <v>28</v>
      </c>
      <c r="W13" s="1343">
        <v>23</v>
      </c>
      <c r="X13" s="1344">
        <v>0</v>
      </c>
      <c r="Y13" s="1344">
        <v>62</v>
      </c>
      <c r="Z13" s="1344">
        <v>85</v>
      </c>
      <c r="AA13" s="1343">
        <v>8</v>
      </c>
      <c r="AB13" s="1344"/>
      <c r="AC13" s="1344">
        <v>64</v>
      </c>
      <c r="AD13" s="1345">
        <v>72</v>
      </c>
      <c r="AE13" s="1344">
        <v>18</v>
      </c>
      <c r="AF13" s="1344"/>
      <c r="AG13" s="1344">
        <v>33</v>
      </c>
      <c r="AH13" s="1345">
        <v>51</v>
      </c>
      <c r="AI13" s="1344">
        <v>15</v>
      </c>
      <c r="AJ13" s="1344"/>
      <c r="AK13" s="1344">
        <v>100</v>
      </c>
      <c r="AL13" s="1345">
        <v>115</v>
      </c>
      <c r="AM13" s="201">
        <v>27</v>
      </c>
      <c r="AN13" s="202"/>
      <c r="AO13" s="202">
        <v>28</v>
      </c>
      <c r="AP13" s="203">
        <v>55</v>
      </c>
      <c r="AQ13" s="201"/>
      <c r="AR13" s="202"/>
      <c r="AS13" s="202">
        <f>SUM(AS10:AS12)</f>
        <v>89</v>
      </c>
      <c r="AT13" s="203">
        <f t="shared" si="4"/>
        <v>89</v>
      </c>
      <c r="AU13" s="201"/>
      <c r="AV13" s="202">
        <f>SUM(AV10:AV12)</f>
        <v>16</v>
      </c>
      <c r="AW13" s="202">
        <f>SUM(AW10:AW12)</f>
        <v>34</v>
      </c>
      <c r="AX13" s="203">
        <f t="shared" si="5"/>
        <v>50</v>
      </c>
      <c r="AY13" s="202"/>
      <c r="AZ13" s="202"/>
      <c r="BA13" s="202">
        <f>SUM(BA10:BA12)</f>
        <v>85</v>
      </c>
      <c r="BB13" s="203">
        <f t="shared" si="6"/>
        <v>85</v>
      </c>
      <c r="BC13" s="202">
        <f>SUM(BC10:BC12)</f>
        <v>15</v>
      </c>
      <c r="BD13" s="202">
        <f>SUM(BD10:BD12)</f>
        <v>1</v>
      </c>
      <c r="BE13" s="202">
        <f>SUM(BE10:BE12)</f>
        <v>47</v>
      </c>
      <c r="BF13" s="203">
        <f t="shared" si="7"/>
        <v>63</v>
      </c>
      <c r="BG13" s="202"/>
      <c r="BH13" s="202"/>
      <c r="BI13" s="202">
        <f>SUM(BI10:BI12)</f>
        <v>93</v>
      </c>
      <c r="BJ13" s="203">
        <f t="shared" si="8"/>
        <v>93</v>
      </c>
      <c r="BK13" s="201">
        <f>SUM(BK10:BK12)</f>
        <v>24</v>
      </c>
      <c r="BL13" s="202">
        <f>SUM(BL10:BL12)</f>
        <v>0</v>
      </c>
      <c r="BM13" s="202">
        <f>SUM(BM10:BM12)</f>
        <v>56</v>
      </c>
      <c r="BN13" s="203">
        <f t="shared" si="9"/>
        <v>80</v>
      </c>
      <c r="BO13" s="201">
        <f>SUM(BO10:BO12)</f>
        <v>0</v>
      </c>
      <c r="BP13" s="202">
        <f>SUM(BP10:BP12)</f>
        <v>0</v>
      </c>
      <c r="BQ13" s="202">
        <f>SUM(BQ10:BQ12)</f>
        <v>69</v>
      </c>
      <c r="BR13" s="203">
        <f t="shared" si="10"/>
        <v>69</v>
      </c>
      <c r="BS13" s="201">
        <f>SUM(BS10:BS12)</f>
        <v>0</v>
      </c>
      <c r="BT13" s="202">
        <f>SUM(BT10:BT12)</f>
        <v>0</v>
      </c>
      <c r="BU13" s="202">
        <f>SUM(BU10:BU12)</f>
        <v>75</v>
      </c>
      <c r="BV13" s="203">
        <f t="shared" si="11"/>
        <v>75</v>
      </c>
      <c r="BW13" s="201">
        <f>SUM(BW10:BW12)</f>
        <v>68</v>
      </c>
      <c r="BX13" s="202">
        <f>SUM(BX10:BX12)</f>
        <v>0</v>
      </c>
      <c r="BY13" s="202">
        <f>SUM(BY10:BY12)</f>
        <v>75</v>
      </c>
      <c r="BZ13" s="203">
        <f t="shared" si="12"/>
        <v>143</v>
      </c>
      <c r="CA13" s="201">
        <f>SUM(CA10:CA12)</f>
        <v>0</v>
      </c>
      <c r="CB13" s="202">
        <f>SUM(CB10:CB12)</f>
        <v>0</v>
      </c>
      <c r="CC13" s="202">
        <f>SUM(CC10:CC12)</f>
        <v>68</v>
      </c>
      <c r="CD13" s="203">
        <f t="shared" si="13"/>
        <v>68</v>
      </c>
      <c r="CE13" s="201">
        <f>SUM(CE10:CE12)</f>
        <v>70</v>
      </c>
      <c r="CF13" s="202">
        <f>SUM(CF10:CF12)</f>
        <v>17</v>
      </c>
      <c r="CG13" s="202">
        <f>SUM(CG10:CG12)</f>
        <v>80</v>
      </c>
      <c r="CH13" s="203">
        <f t="shared" si="14"/>
        <v>167</v>
      </c>
      <c r="CI13" s="201">
        <f>SUM(CI10:CI12)</f>
        <v>22</v>
      </c>
      <c r="CJ13" s="202">
        <f>SUM(CJ10:CJ12)</f>
        <v>6</v>
      </c>
      <c r="CK13" s="202">
        <f>SUM(CK10:CK12)</f>
        <v>19</v>
      </c>
      <c r="CL13" s="203">
        <f t="shared" si="15"/>
        <v>47</v>
      </c>
      <c r="CM13" s="201">
        <f>SUM(CM10:CM12)</f>
        <v>67</v>
      </c>
      <c r="CN13" s="202">
        <f>SUM(CN10:CN12)</f>
        <v>16</v>
      </c>
      <c r="CO13" s="202">
        <f>SUM(CO10:CO12)</f>
        <v>50</v>
      </c>
      <c r="CP13" s="203">
        <f t="shared" si="16"/>
        <v>133</v>
      </c>
      <c r="CQ13" s="201">
        <f>SUM(CQ10:CQ12)</f>
        <v>27</v>
      </c>
      <c r="CR13" s="202">
        <f>SUM(CR10:CR12)</f>
        <v>23</v>
      </c>
      <c r="CS13" s="202">
        <f>SUM(CS10:CS12)</f>
        <v>31</v>
      </c>
      <c r="CT13" s="203">
        <f t="shared" si="17"/>
        <v>81</v>
      </c>
    </row>
    <row r="14" spans="1:98" ht="15" x14ac:dyDescent="0.25">
      <c r="A14" s="1333"/>
      <c r="B14" s="1334" t="s">
        <v>308</v>
      </c>
      <c r="C14" s="1258">
        <f>+'INSC-POSG plan'!D37</f>
        <v>38</v>
      </c>
      <c r="D14" s="1259">
        <f>+'INSC-POSG plan'!E37</f>
        <v>0</v>
      </c>
      <c r="E14" s="1259">
        <f>+'INSC-POSG plan'!F37</f>
        <v>17</v>
      </c>
      <c r="F14" s="1260">
        <f t="shared" si="0"/>
        <v>55</v>
      </c>
      <c r="G14" s="1258">
        <f>+'INSC-POSG plan'!H37</f>
        <v>21</v>
      </c>
      <c r="H14" s="1259">
        <f>+'INSC-POSG plan'!I37</f>
        <v>0</v>
      </c>
      <c r="I14" s="1259">
        <f>+'INSC-POSG plan'!J37</f>
        <v>30</v>
      </c>
      <c r="J14" s="1260">
        <f t="shared" si="1"/>
        <v>51</v>
      </c>
      <c r="K14" s="1258">
        <f>+'INSC-POSG plan'!L37</f>
        <v>0</v>
      </c>
      <c r="L14" s="1259">
        <f>+'INSC-POSG plan'!M37</f>
        <v>0</v>
      </c>
      <c r="M14" s="1259">
        <f>+'INSC-POSG plan'!N37</f>
        <v>46</v>
      </c>
      <c r="N14" s="1260">
        <f t="shared" si="2"/>
        <v>46</v>
      </c>
      <c r="O14" s="1258">
        <f>+'INSC-POSG plan'!P37</f>
        <v>0</v>
      </c>
      <c r="P14" s="1259">
        <f>+'INSC-POSG plan'!Q37</f>
        <v>0</v>
      </c>
      <c r="Q14" s="1259">
        <f>+'INSC-POSG plan'!R37</f>
        <v>40</v>
      </c>
      <c r="R14" s="1260">
        <f t="shared" si="3"/>
        <v>40</v>
      </c>
      <c r="S14" s="1258"/>
      <c r="T14" s="1259"/>
      <c r="U14" s="1259">
        <v>10</v>
      </c>
      <c r="V14" s="1260">
        <v>10</v>
      </c>
      <c r="W14" s="1258"/>
      <c r="X14" s="1259"/>
      <c r="Y14" s="1259">
        <v>21</v>
      </c>
      <c r="Z14" s="1298">
        <v>21</v>
      </c>
      <c r="AA14" s="1258"/>
      <c r="AB14" s="1259"/>
      <c r="AC14" s="1259">
        <v>12</v>
      </c>
      <c r="AD14" s="1260">
        <v>12</v>
      </c>
      <c r="AE14" s="1259"/>
      <c r="AF14" s="1259"/>
      <c r="AG14" s="1259">
        <v>23</v>
      </c>
      <c r="AH14" s="1260">
        <v>23</v>
      </c>
      <c r="AI14" s="1259"/>
      <c r="AJ14" s="1259"/>
      <c r="AK14" s="1259">
        <v>42</v>
      </c>
      <c r="AL14" s="1335">
        <v>42</v>
      </c>
      <c r="AM14" s="151"/>
      <c r="AN14" s="152"/>
      <c r="AO14" s="152">
        <v>47</v>
      </c>
      <c r="AP14" s="395">
        <v>47</v>
      </c>
      <c r="AQ14" s="151"/>
      <c r="AR14" s="152"/>
      <c r="AS14" s="152">
        <v>53</v>
      </c>
      <c r="AT14" s="395">
        <f t="shared" si="4"/>
        <v>53</v>
      </c>
      <c r="AU14" s="151"/>
      <c r="AV14" s="152"/>
      <c r="AW14" s="152">
        <v>82</v>
      </c>
      <c r="AX14" s="395">
        <f t="shared" si="5"/>
        <v>82</v>
      </c>
      <c r="AY14" s="151"/>
      <c r="AZ14" s="152"/>
      <c r="BA14" s="152"/>
      <c r="BB14" s="395"/>
      <c r="BC14" s="151"/>
      <c r="BD14" s="152"/>
      <c r="BE14" s="152">
        <f>SUM('INSC-POSG plan'!BF37)</f>
        <v>73</v>
      </c>
      <c r="BF14" s="395">
        <f>SUM(BC14:BE14)</f>
        <v>73</v>
      </c>
      <c r="BG14" s="151"/>
      <c r="BH14" s="152"/>
      <c r="BI14" s="152">
        <f>SUM('INSC-POSG plan'!BJ37)</f>
        <v>0</v>
      </c>
      <c r="BJ14" s="395">
        <f>SUM(BG14:BI14)</f>
        <v>0</v>
      </c>
      <c r="BK14" s="152">
        <f>SUM('INSC-POSG plan'!BL37)</f>
        <v>0</v>
      </c>
      <c r="BL14" s="152">
        <f>SUM('INSC-POSG plan'!BM37)</f>
        <v>0</v>
      </c>
      <c r="BM14" s="152">
        <f>SUM('INSC-POSG plan'!BN37)</f>
        <v>65</v>
      </c>
      <c r="BN14" s="395">
        <f>SUM(BK14:BM14)</f>
        <v>65</v>
      </c>
      <c r="BO14" s="152">
        <f>SUM('INSC-POSG plan'!BP37:BP39)</f>
        <v>0</v>
      </c>
      <c r="BP14" s="152">
        <f>SUM('INSC-POSG plan'!BQ37:BQ39)</f>
        <v>0</v>
      </c>
      <c r="BQ14" s="152">
        <f>SUM('INSC-POSG plan'!BR37:BR39)</f>
        <v>0</v>
      </c>
      <c r="BR14" s="395">
        <f>SUM(BO14:BQ14)</f>
        <v>0</v>
      </c>
      <c r="BS14" s="152">
        <f>SUM('INSC-POSG plan'!BT37:BT39)</f>
        <v>0</v>
      </c>
      <c r="BT14" s="152">
        <f>SUM('INSC-POSG plan'!BU37:BU39)</f>
        <v>0</v>
      </c>
      <c r="BU14" s="152">
        <f>SUM('INSC-POSG plan'!BV37:BV39)</f>
        <v>9</v>
      </c>
      <c r="BV14" s="395">
        <f>SUM(BS14:BU14)</f>
        <v>9</v>
      </c>
      <c r="BW14" s="152">
        <f>SUM('INSC-POSG plan'!BX37:BX39)</f>
        <v>0</v>
      </c>
      <c r="BX14" s="152">
        <f>SUM('INSC-POSG plan'!BY37:BY39)</f>
        <v>0</v>
      </c>
      <c r="BY14" s="152">
        <f>SUM('INSC-POSG plan'!BZ37:BZ39)</f>
        <v>12</v>
      </c>
      <c r="BZ14" s="395">
        <f>SUM(BW14:BY14)</f>
        <v>12</v>
      </c>
      <c r="CA14" s="152">
        <f>SUM('INSC-POSG plan'!CB37:CB39)</f>
        <v>0</v>
      </c>
      <c r="CB14" s="152">
        <f>SUM('INSC-POSG plan'!CC37:CC39)</f>
        <v>0</v>
      </c>
      <c r="CC14" s="152">
        <f>SUM('INSC-POSG plan'!CD37:CD39)</f>
        <v>13</v>
      </c>
      <c r="CD14" s="395">
        <f>SUM(CA14:CC14)</f>
        <v>13</v>
      </c>
      <c r="CE14" s="152">
        <f>SUM('INSC-POSG plan'!CF37:CF39)</f>
        <v>0</v>
      </c>
      <c r="CF14" s="152">
        <f>SUM('INSC-POSG plan'!CG37:CG39)</f>
        <v>0</v>
      </c>
      <c r="CG14" s="152">
        <f>SUM('INSC-POSG plan'!CH37:CH39)</f>
        <v>0</v>
      </c>
      <c r="CH14" s="395">
        <f>SUM(CE14:CG14)</f>
        <v>0</v>
      </c>
      <c r="CI14" s="152">
        <f>SUM('INSC-POSG plan'!CJ37:CJ39)</f>
        <v>12</v>
      </c>
      <c r="CJ14" s="152">
        <f>SUM('INSC-POSG plan'!CK37:CK39)</f>
        <v>0</v>
      </c>
      <c r="CK14" s="152">
        <f>SUM('INSC-POSG plan'!CL37:CL39)</f>
        <v>0</v>
      </c>
      <c r="CL14" s="395">
        <f>SUM(CI14:CK14)</f>
        <v>12</v>
      </c>
      <c r="CM14" s="152">
        <f>SUM('INSC-POSG plan'!CN37:CN39)</f>
        <v>0</v>
      </c>
      <c r="CN14" s="152">
        <f>SUM('INSC-POSG plan'!CO37:CO39)</f>
        <v>15</v>
      </c>
      <c r="CO14" s="152">
        <f>SUM('INSC-POSG plan'!CP37:CP39)</f>
        <v>0</v>
      </c>
      <c r="CP14" s="395">
        <f>SUM(CM14:CO14)</f>
        <v>15</v>
      </c>
      <c r="CQ14" s="152">
        <f>SUM('INSC-POSG plan'!CR37:CR39)</f>
        <v>0</v>
      </c>
      <c r="CR14" s="152">
        <f>SUM('INSC-POSG plan'!CS37:CS39)</f>
        <v>17</v>
      </c>
      <c r="CS14" s="152">
        <f>SUM('INSC-POSG plan'!CT37:CT39)</f>
        <v>0</v>
      </c>
      <c r="CT14" s="395">
        <f>SUM(CQ14:CS14)</f>
        <v>17</v>
      </c>
    </row>
    <row r="15" spans="1:98" ht="15" x14ac:dyDescent="0.25">
      <c r="A15" s="1333"/>
      <c r="B15" s="1336" t="s">
        <v>310</v>
      </c>
      <c r="C15" s="1262">
        <f>+'INSC-POSG plan'!D40</f>
        <v>15</v>
      </c>
      <c r="D15" s="1263">
        <f>+'INSC-POSG plan'!E40</f>
        <v>0</v>
      </c>
      <c r="E15" s="1263">
        <f>+'INSC-POSG plan'!F40</f>
        <v>0</v>
      </c>
      <c r="F15" s="1264">
        <f t="shared" si="0"/>
        <v>15</v>
      </c>
      <c r="G15" s="1262">
        <f>+'INSC-POSG plan'!H40</f>
        <v>12</v>
      </c>
      <c r="H15" s="1263">
        <f>+'INSC-POSG plan'!I40</f>
        <v>0</v>
      </c>
      <c r="I15" s="1263">
        <f>+'INSC-POSG plan'!J40</f>
        <v>16</v>
      </c>
      <c r="J15" s="1264">
        <f t="shared" si="1"/>
        <v>28</v>
      </c>
      <c r="K15" s="1262">
        <f>+'INSC-POSG plan'!L40</f>
        <v>4</v>
      </c>
      <c r="L15" s="1263">
        <f>+'INSC-POSG plan'!M40</f>
        <v>17</v>
      </c>
      <c r="M15" s="1263">
        <f>+'INSC-POSG plan'!N40</f>
        <v>1</v>
      </c>
      <c r="N15" s="1264">
        <f t="shared" si="2"/>
        <v>22</v>
      </c>
      <c r="O15" s="1262">
        <f>+'INSC-POSG plan'!P40</f>
        <v>0</v>
      </c>
      <c r="P15" s="1263">
        <f>+'INSC-POSG plan'!Q40</f>
        <v>0</v>
      </c>
      <c r="Q15" s="1263">
        <f>+'INSC-POSG plan'!R40</f>
        <v>25</v>
      </c>
      <c r="R15" s="1264">
        <f t="shared" si="3"/>
        <v>25</v>
      </c>
      <c r="S15" s="1262"/>
      <c r="T15" s="1263"/>
      <c r="U15" s="1263">
        <v>19</v>
      </c>
      <c r="V15" s="1264">
        <v>19</v>
      </c>
      <c r="W15" s="1262"/>
      <c r="X15" s="1263"/>
      <c r="Y15" s="1263">
        <v>11</v>
      </c>
      <c r="Z15" s="1337">
        <v>11</v>
      </c>
      <c r="AA15" s="1262"/>
      <c r="AB15" s="1263"/>
      <c r="AC15" s="1263">
        <v>20</v>
      </c>
      <c r="AD15" s="1264">
        <v>20</v>
      </c>
      <c r="AE15" s="1263"/>
      <c r="AF15" s="1263"/>
      <c r="AG15" s="1263">
        <v>21</v>
      </c>
      <c r="AH15" s="1264">
        <v>21</v>
      </c>
      <c r="AI15" s="1263"/>
      <c r="AJ15" s="1263"/>
      <c r="AK15" s="1263">
        <v>5</v>
      </c>
      <c r="AL15" s="1338">
        <v>5</v>
      </c>
      <c r="AM15" s="129"/>
      <c r="AN15" s="130"/>
      <c r="AO15" s="130">
        <v>6</v>
      </c>
      <c r="AP15" s="396">
        <v>6</v>
      </c>
      <c r="AQ15" s="129"/>
      <c r="AR15" s="130"/>
      <c r="AS15" s="130">
        <v>7</v>
      </c>
      <c r="AT15" s="396">
        <f t="shared" si="4"/>
        <v>7</v>
      </c>
      <c r="AU15" s="129"/>
      <c r="AV15" s="130"/>
      <c r="AW15" s="130">
        <v>3</v>
      </c>
      <c r="AX15" s="396">
        <f t="shared" si="5"/>
        <v>3</v>
      </c>
      <c r="AY15" s="129"/>
      <c r="AZ15" s="130"/>
      <c r="BA15" s="130">
        <v>59</v>
      </c>
      <c r="BB15" s="396">
        <f t="shared" si="6"/>
        <v>59</v>
      </c>
      <c r="BC15" s="129"/>
      <c r="BD15" s="130"/>
      <c r="BE15" s="130">
        <f>SUM('INSC-POSG plan'!BF40)</f>
        <v>7</v>
      </c>
      <c r="BF15" s="396">
        <f>SUM(BC15:BE15)</f>
        <v>7</v>
      </c>
      <c r="BG15" s="129"/>
      <c r="BH15" s="130"/>
      <c r="BI15" s="130">
        <f>SUM('INSC-POSG plan'!BJ40)</f>
        <v>47</v>
      </c>
      <c r="BJ15" s="396">
        <f>SUM(BG15:BI15)</f>
        <v>47</v>
      </c>
      <c r="BK15" s="130">
        <f>SUM('INSC-POSG plan'!BL40)</f>
        <v>0</v>
      </c>
      <c r="BL15" s="130">
        <f>SUM('INSC-POSG plan'!BM40)</f>
        <v>0</v>
      </c>
      <c r="BM15" s="130">
        <f>SUM('INSC-POSG plan'!BN40)</f>
        <v>7</v>
      </c>
      <c r="BN15" s="396">
        <f>SUM(BK15:BM15)</f>
        <v>7</v>
      </c>
      <c r="BO15" s="130">
        <f>SUM('INSC-POSG plan'!BP40:BP46)</f>
        <v>2</v>
      </c>
      <c r="BP15" s="130">
        <f>SUM('INSC-POSG plan'!BQ40:BQ46)</f>
        <v>38</v>
      </c>
      <c r="BQ15" s="130">
        <f>SUM('INSC-POSG plan'!BR40:BR46)</f>
        <v>24</v>
      </c>
      <c r="BR15" s="396">
        <f>SUM(BO15:BQ15)</f>
        <v>64</v>
      </c>
      <c r="BS15" s="130">
        <f>SUM('INSC-POSG plan'!BT40:BT46)</f>
        <v>0</v>
      </c>
      <c r="BT15" s="130">
        <f>SUM('INSC-POSG plan'!BU40:BU46)</f>
        <v>1</v>
      </c>
      <c r="BU15" s="130">
        <f>SUM('INSC-POSG plan'!BV40:BV46)</f>
        <v>15</v>
      </c>
      <c r="BV15" s="396">
        <f>SUM(BS15:BU15)</f>
        <v>16</v>
      </c>
      <c r="BW15" s="130">
        <f>SUM('INSC-POSG plan'!BX40:BX46)</f>
        <v>0</v>
      </c>
      <c r="BX15" s="130">
        <f>SUM('INSC-POSG plan'!BY40:BY46)</f>
        <v>0</v>
      </c>
      <c r="BY15" s="130">
        <f>SUM('INSC-POSG plan'!BZ40:BZ46)</f>
        <v>16</v>
      </c>
      <c r="BZ15" s="396">
        <f>SUM(BW15:BY15)</f>
        <v>16</v>
      </c>
      <c r="CA15" s="130">
        <f>SUM('INSC-POSG plan'!CB40:CB46)</f>
        <v>0</v>
      </c>
      <c r="CB15" s="130">
        <f>SUM('INSC-POSG plan'!CC40:CC46)</f>
        <v>0</v>
      </c>
      <c r="CC15" s="130">
        <f>SUM('INSC-POSG plan'!CD40:CD46)</f>
        <v>6</v>
      </c>
      <c r="CD15" s="396">
        <f>SUM(CA15:CC15)</f>
        <v>6</v>
      </c>
      <c r="CE15" s="130">
        <f>SUM('INSC-POSG plan'!CF40:CF46)</f>
        <v>19</v>
      </c>
      <c r="CF15" s="130">
        <f>SUM('INSC-POSG plan'!CG40:CG46)</f>
        <v>0</v>
      </c>
      <c r="CG15" s="130">
        <f>SUM('INSC-POSG plan'!CH40:CH46)</f>
        <v>0</v>
      </c>
      <c r="CH15" s="396">
        <f>SUM(CE15:CG15)</f>
        <v>19</v>
      </c>
      <c r="CI15" s="130">
        <f>SUM('INSC-POSG plan'!CJ40:CJ46)</f>
        <v>32</v>
      </c>
      <c r="CJ15" s="130">
        <f>SUM('INSC-POSG plan'!CK40:CK46)</f>
        <v>1</v>
      </c>
      <c r="CK15" s="130">
        <f>SUM('INSC-POSG plan'!CL40:CL46)</f>
        <v>1</v>
      </c>
      <c r="CL15" s="396">
        <f>SUM(CI15:CK15)</f>
        <v>34</v>
      </c>
      <c r="CM15" s="130">
        <f>SUM('INSC-POSG plan'!CN40:CN46)</f>
        <v>0</v>
      </c>
      <c r="CN15" s="130">
        <f>SUM('INSC-POSG plan'!CO40:CO46)</f>
        <v>25</v>
      </c>
      <c r="CO15" s="130">
        <f>SUM('INSC-POSG plan'!CP40:CP46)</f>
        <v>0</v>
      </c>
      <c r="CP15" s="396">
        <f>SUM(CM15:CO15)</f>
        <v>25</v>
      </c>
      <c r="CQ15" s="130">
        <f>SUM('INSC-POSG plan'!CR40:CR46)</f>
        <v>0</v>
      </c>
      <c r="CR15" s="130">
        <f>SUM('INSC-POSG plan'!CS40:CS46)</f>
        <v>33</v>
      </c>
      <c r="CS15" s="130">
        <f>SUM('INSC-POSG plan'!CT40:CT46)</f>
        <v>0</v>
      </c>
      <c r="CT15" s="396">
        <f>SUM(CQ15:CS15)</f>
        <v>33</v>
      </c>
    </row>
    <row r="16" spans="1:98" ht="15" x14ac:dyDescent="0.25">
      <c r="A16" s="1333"/>
      <c r="B16" s="1339" t="s">
        <v>317</v>
      </c>
      <c r="C16" s="1267">
        <f>+'INSC-POSG plan'!D47</f>
        <v>4</v>
      </c>
      <c r="D16" s="1268">
        <f>+'INSC-POSG plan'!E47</f>
        <v>0</v>
      </c>
      <c r="E16" s="1268">
        <f>+'INSC-POSG plan'!F47</f>
        <v>14</v>
      </c>
      <c r="F16" s="1269">
        <f t="shared" si="0"/>
        <v>18</v>
      </c>
      <c r="G16" s="1267">
        <f>+'INSC-POSG plan'!H47</f>
        <v>2</v>
      </c>
      <c r="H16" s="1268">
        <f>+'INSC-POSG plan'!I47</f>
        <v>1</v>
      </c>
      <c r="I16" s="1268">
        <f>+'INSC-POSG plan'!J47</f>
        <v>0</v>
      </c>
      <c r="J16" s="1269">
        <f t="shared" si="1"/>
        <v>3</v>
      </c>
      <c r="K16" s="1267">
        <f>+'INSC-POSG plan'!L47</f>
        <v>0</v>
      </c>
      <c r="L16" s="1268">
        <f>+'INSC-POSG plan'!M47</f>
        <v>0</v>
      </c>
      <c r="M16" s="1268">
        <f>+'INSC-POSG plan'!N47</f>
        <v>12</v>
      </c>
      <c r="N16" s="1269">
        <f t="shared" si="2"/>
        <v>12</v>
      </c>
      <c r="O16" s="1267">
        <f>+'INSC-POSG plan'!P47</f>
        <v>1</v>
      </c>
      <c r="P16" s="1268">
        <f>+'INSC-POSG plan'!Q47</f>
        <v>0</v>
      </c>
      <c r="Q16" s="1268">
        <f>+'INSC-POSG plan'!R47</f>
        <v>5</v>
      </c>
      <c r="R16" s="1269">
        <f t="shared" si="3"/>
        <v>6</v>
      </c>
      <c r="S16" s="1267"/>
      <c r="T16" s="1268"/>
      <c r="U16" s="1268"/>
      <c r="V16" s="1269">
        <v>0</v>
      </c>
      <c r="W16" s="1267"/>
      <c r="X16" s="1268"/>
      <c r="Y16" s="1268"/>
      <c r="Z16" s="1340"/>
      <c r="AA16" s="1267"/>
      <c r="AB16" s="1268"/>
      <c r="AC16" s="1268">
        <v>6</v>
      </c>
      <c r="AD16" s="1269">
        <v>6</v>
      </c>
      <c r="AE16" s="1268"/>
      <c r="AF16" s="1268"/>
      <c r="AG16" s="1268">
        <v>4</v>
      </c>
      <c r="AH16" s="1269">
        <v>4</v>
      </c>
      <c r="AI16" s="1268"/>
      <c r="AJ16" s="1268"/>
      <c r="AK16" s="1268">
        <v>8</v>
      </c>
      <c r="AL16" s="1341">
        <v>8</v>
      </c>
      <c r="AM16" s="196"/>
      <c r="AN16" s="197"/>
      <c r="AO16" s="197">
        <v>11</v>
      </c>
      <c r="AP16" s="397">
        <v>11</v>
      </c>
      <c r="AQ16" s="196"/>
      <c r="AR16" s="197"/>
      <c r="AS16" s="197">
        <v>12</v>
      </c>
      <c r="AT16" s="397">
        <f t="shared" si="4"/>
        <v>12</v>
      </c>
      <c r="AU16" s="196"/>
      <c r="AV16" s="197"/>
      <c r="AW16" s="197">
        <v>15</v>
      </c>
      <c r="AX16" s="397">
        <f t="shared" si="5"/>
        <v>15</v>
      </c>
      <c r="AY16" s="196"/>
      <c r="AZ16" s="197"/>
      <c r="BA16" s="197">
        <v>3</v>
      </c>
      <c r="BB16" s="397">
        <f t="shared" si="6"/>
        <v>3</v>
      </c>
      <c r="BC16" s="196"/>
      <c r="BD16" s="197"/>
      <c r="BE16" s="197">
        <f>SUM('INSC-POSG plan'!BF47)</f>
        <v>24</v>
      </c>
      <c r="BF16" s="397">
        <f>SUM(BC16:BE16)</f>
        <v>24</v>
      </c>
      <c r="BG16" s="196"/>
      <c r="BH16" s="197"/>
      <c r="BI16" s="197">
        <f>SUM('INSC-POSG plan'!BJ47)</f>
        <v>3</v>
      </c>
      <c r="BJ16" s="397">
        <f>SUM(BG16:BI16)</f>
        <v>3</v>
      </c>
      <c r="BK16" s="197">
        <f>SUM('INSC-POSG plan'!BL47)</f>
        <v>0</v>
      </c>
      <c r="BL16" s="197">
        <f>SUM('INSC-POSG plan'!BM47)</f>
        <v>0</v>
      </c>
      <c r="BM16" s="197">
        <f>SUM('INSC-POSG plan'!BN47)</f>
        <v>39</v>
      </c>
      <c r="BN16" s="397">
        <f>SUM(BK16:BM16)</f>
        <v>39</v>
      </c>
      <c r="BO16" s="197">
        <f>SUM('INSC-POSG plan'!BP47:BP53)</f>
        <v>7</v>
      </c>
      <c r="BP16" s="197">
        <f>SUM('INSC-POSG plan'!BQ47:BQ53)</f>
        <v>0</v>
      </c>
      <c r="BQ16" s="197">
        <f>SUM('INSC-POSG plan'!BR47:BR53)</f>
        <v>0</v>
      </c>
      <c r="BR16" s="397">
        <f>SUM(BO16:BQ16)</f>
        <v>7</v>
      </c>
      <c r="BS16" s="197">
        <f>SUM('INSC-POSG plan'!BT47:BT53)</f>
        <v>0</v>
      </c>
      <c r="BT16" s="197">
        <f>SUM('INSC-POSG plan'!BU47:BU53)</f>
        <v>0</v>
      </c>
      <c r="BU16" s="197">
        <f>SUM('INSC-POSG plan'!BV47:BV53)</f>
        <v>7</v>
      </c>
      <c r="BV16" s="397">
        <f>SUM(BS16:BU16)</f>
        <v>7</v>
      </c>
      <c r="BW16" s="197">
        <f>SUM('INSC-POSG plan'!BX47:BX53)</f>
        <v>0</v>
      </c>
      <c r="BX16" s="197">
        <f>SUM('INSC-POSG plan'!BY47:BY53)</f>
        <v>0</v>
      </c>
      <c r="BY16" s="197">
        <f>SUM('INSC-POSG plan'!BZ47:BZ53)</f>
        <v>19</v>
      </c>
      <c r="BZ16" s="397">
        <f>SUM(BW16:BY16)</f>
        <v>19</v>
      </c>
      <c r="CA16" s="197">
        <f>SUM('INSC-POSG plan'!CB47:CB53)</f>
        <v>1</v>
      </c>
      <c r="CB16" s="197">
        <f>SUM('INSC-POSG plan'!CC47:CC53)</f>
        <v>0</v>
      </c>
      <c r="CC16" s="197">
        <f>SUM('INSC-POSG plan'!CD47:CD53)</f>
        <v>1</v>
      </c>
      <c r="CD16" s="397">
        <f>SUM(CA16:CC16)</f>
        <v>2</v>
      </c>
      <c r="CE16" s="197">
        <f>SUM('INSC-POSG plan'!CF47:CF53)</f>
        <v>12</v>
      </c>
      <c r="CF16" s="197">
        <f>SUM('INSC-POSG plan'!CG47:CG53)</f>
        <v>0</v>
      </c>
      <c r="CG16" s="197">
        <f>SUM('INSC-POSG plan'!CH47:CH53)</f>
        <v>0</v>
      </c>
      <c r="CH16" s="397">
        <f>SUM(CE16:CG16)</f>
        <v>12</v>
      </c>
      <c r="CI16" s="197">
        <f>SUM('INSC-POSG plan'!CJ47:CJ53)</f>
        <v>17</v>
      </c>
      <c r="CJ16" s="197">
        <f>SUM('INSC-POSG plan'!CK47:CK53)</f>
        <v>0</v>
      </c>
      <c r="CK16" s="197">
        <f>SUM('INSC-POSG plan'!CL47:CL53)</f>
        <v>0</v>
      </c>
      <c r="CL16" s="397">
        <f>SUM(CI16:CK16)</f>
        <v>17</v>
      </c>
      <c r="CM16" s="197">
        <f>SUM('INSC-POSG plan'!CN47:CN53)</f>
        <v>0</v>
      </c>
      <c r="CN16" s="197">
        <f>SUM('INSC-POSG plan'!CO47:CO53)</f>
        <v>15</v>
      </c>
      <c r="CO16" s="197">
        <f>SUM('INSC-POSG plan'!CP47:CP53)</f>
        <v>0</v>
      </c>
      <c r="CP16" s="397">
        <f>SUM(CM16:CO16)</f>
        <v>15</v>
      </c>
      <c r="CQ16" s="197">
        <f>SUM('INSC-POSG plan'!CR47:CR53)</f>
        <v>0</v>
      </c>
      <c r="CR16" s="197">
        <f>SUM('INSC-POSG plan'!CS47:CS53)</f>
        <v>14</v>
      </c>
      <c r="CS16" s="197">
        <f>SUM('INSC-POSG plan'!CT47:CT53)</f>
        <v>0</v>
      </c>
      <c r="CT16" s="397">
        <f>SUM(CQ16:CS16)</f>
        <v>14</v>
      </c>
    </row>
    <row r="17" spans="1:98" s="1330" customFormat="1" ht="15" x14ac:dyDescent="0.25">
      <c r="A17" s="1333"/>
      <c r="B17" s="1342" t="s">
        <v>427</v>
      </c>
      <c r="C17" s="1343">
        <f>SUM(C14:C16)</f>
        <v>57</v>
      </c>
      <c r="D17" s="1344">
        <f>SUM(D14:D16)</f>
        <v>0</v>
      </c>
      <c r="E17" s="1344">
        <f>SUM(E14:E16)</f>
        <v>31</v>
      </c>
      <c r="F17" s="1345">
        <f t="shared" si="0"/>
        <v>88</v>
      </c>
      <c r="G17" s="1343">
        <f>SUM(G14:G16)</f>
        <v>35</v>
      </c>
      <c r="H17" s="1344">
        <f>SUM(H14:H16)</f>
        <v>1</v>
      </c>
      <c r="I17" s="1344">
        <f>SUM(I14:I16)</f>
        <v>46</v>
      </c>
      <c r="J17" s="1345">
        <f t="shared" si="1"/>
        <v>82</v>
      </c>
      <c r="K17" s="1343">
        <f>SUM(K14:K16)</f>
        <v>4</v>
      </c>
      <c r="L17" s="1344">
        <f>SUM(L14:L16)</f>
        <v>17</v>
      </c>
      <c r="M17" s="1344">
        <f>SUM(M14:M16)</f>
        <v>59</v>
      </c>
      <c r="N17" s="1345">
        <f t="shared" si="2"/>
        <v>80</v>
      </c>
      <c r="O17" s="1343">
        <f>SUM(O14:O16)</f>
        <v>1</v>
      </c>
      <c r="P17" s="1344">
        <f>SUM(P14:P16)</f>
        <v>0</v>
      </c>
      <c r="Q17" s="1344">
        <f>SUM(Q14:Q16)</f>
        <v>70</v>
      </c>
      <c r="R17" s="1345">
        <f t="shared" si="3"/>
        <v>71</v>
      </c>
      <c r="S17" s="1343"/>
      <c r="T17" s="1344"/>
      <c r="U17" s="1344">
        <v>29</v>
      </c>
      <c r="V17" s="1345">
        <v>29</v>
      </c>
      <c r="W17" s="1343"/>
      <c r="X17" s="1344"/>
      <c r="Y17" s="1344">
        <v>32</v>
      </c>
      <c r="Z17" s="1344">
        <v>32</v>
      </c>
      <c r="AA17" s="1343"/>
      <c r="AB17" s="1344"/>
      <c r="AC17" s="1344">
        <v>38</v>
      </c>
      <c r="AD17" s="1345">
        <v>38</v>
      </c>
      <c r="AE17" s="1344"/>
      <c r="AF17" s="1344"/>
      <c r="AG17" s="1344">
        <v>48</v>
      </c>
      <c r="AH17" s="1345">
        <v>48</v>
      </c>
      <c r="AI17" s="1344"/>
      <c r="AJ17" s="1344"/>
      <c r="AK17" s="1344">
        <v>55</v>
      </c>
      <c r="AL17" s="1345">
        <v>55</v>
      </c>
      <c r="AM17" s="201"/>
      <c r="AN17" s="202"/>
      <c r="AO17" s="202">
        <v>64</v>
      </c>
      <c r="AP17" s="203">
        <v>64</v>
      </c>
      <c r="AQ17" s="201"/>
      <c r="AR17" s="202"/>
      <c r="AS17" s="202">
        <f>SUM(AS14:AS16)</f>
        <v>72</v>
      </c>
      <c r="AT17" s="203">
        <f t="shared" si="4"/>
        <v>72</v>
      </c>
      <c r="AU17" s="201"/>
      <c r="AV17" s="202"/>
      <c r="AW17" s="202">
        <f>SUM(AW14:AW16)</f>
        <v>100</v>
      </c>
      <c r="AX17" s="203">
        <f t="shared" si="5"/>
        <v>100</v>
      </c>
      <c r="AY17" s="202"/>
      <c r="AZ17" s="202"/>
      <c r="BA17" s="202">
        <f>SUM(BA14:BA16)</f>
        <v>62</v>
      </c>
      <c r="BB17" s="203">
        <f t="shared" si="6"/>
        <v>62</v>
      </c>
      <c r="BC17" s="202"/>
      <c r="BD17" s="202"/>
      <c r="BE17" s="202">
        <f>SUM(BE14:BE16)</f>
        <v>104</v>
      </c>
      <c r="BF17" s="203">
        <f>SUM(BC17:BE17)</f>
        <v>104</v>
      </c>
      <c r="BG17" s="202"/>
      <c r="BH17" s="202"/>
      <c r="BI17" s="202">
        <f>SUM(BI14:BI16)</f>
        <v>50</v>
      </c>
      <c r="BJ17" s="203">
        <f>SUM(BG17:BI17)</f>
        <v>50</v>
      </c>
      <c r="BK17" s="202"/>
      <c r="BL17" s="202"/>
      <c r="BM17" s="202">
        <f>SUM(BM14:BM16)</f>
        <v>111</v>
      </c>
      <c r="BN17" s="203">
        <f>SUM(BK17:BM17)</f>
        <v>111</v>
      </c>
      <c r="BO17" s="202">
        <f>SUM(BO14:BO16)</f>
        <v>9</v>
      </c>
      <c r="BP17" s="202">
        <f>SUM(BP14:BP16)</f>
        <v>38</v>
      </c>
      <c r="BQ17" s="202">
        <f>SUM(BQ14:BQ16)</f>
        <v>24</v>
      </c>
      <c r="BR17" s="203">
        <f>SUM(BO17:BQ17)</f>
        <v>71</v>
      </c>
      <c r="BS17" s="202">
        <f>SUM(BS14:BS16)</f>
        <v>0</v>
      </c>
      <c r="BT17" s="202">
        <f>SUM(BT14:BT16)</f>
        <v>1</v>
      </c>
      <c r="BU17" s="202">
        <f>SUM(BU14:BU16)</f>
        <v>31</v>
      </c>
      <c r="BV17" s="203">
        <f>SUM(BS17:BU17)</f>
        <v>32</v>
      </c>
      <c r="BW17" s="202">
        <f>SUM(BW14:BW16)</f>
        <v>0</v>
      </c>
      <c r="BX17" s="202">
        <f>SUM(BX14:BX16)</f>
        <v>0</v>
      </c>
      <c r="BY17" s="202">
        <f>SUM(BY14:BY16)</f>
        <v>47</v>
      </c>
      <c r="BZ17" s="203">
        <f>SUM(BW17:BY17)</f>
        <v>47</v>
      </c>
      <c r="CA17" s="202">
        <f>SUM(CA14:CA16)</f>
        <v>1</v>
      </c>
      <c r="CB17" s="202">
        <f>SUM(CB14:CB16)</f>
        <v>0</v>
      </c>
      <c r="CC17" s="202">
        <f>SUM(CC14:CC16)</f>
        <v>20</v>
      </c>
      <c r="CD17" s="203">
        <f>SUM(CA17:CC17)</f>
        <v>21</v>
      </c>
      <c r="CE17" s="202">
        <f>SUM(CE14:CE16)</f>
        <v>31</v>
      </c>
      <c r="CF17" s="202">
        <f>SUM(CF14:CF16)</f>
        <v>0</v>
      </c>
      <c r="CG17" s="202">
        <f>SUM(CG14:CG16)</f>
        <v>0</v>
      </c>
      <c r="CH17" s="203">
        <f>SUM(CE17:CG17)</f>
        <v>31</v>
      </c>
      <c r="CI17" s="202">
        <f>SUM(CI14:CI16)</f>
        <v>61</v>
      </c>
      <c r="CJ17" s="202">
        <f>SUM(CJ14:CJ16)</f>
        <v>1</v>
      </c>
      <c r="CK17" s="202">
        <f>SUM(CK14:CK16)</f>
        <v>1</v>
      </c>
      <c r="CL17" s="203">
        <f>SUM(CI17:CK17)</f>
        <v>63</v>
      </c>
      <c r="CM17" s="202">
        <f>SUM(CM14:CM16)</f>
        <v>0</v>
      </c>
      <c r="CN17" s="202">
        <f>SUM(CN14:CN16)</f>
        <v>55</v>
      </c>
      <c r="CO17" s="202">
        <f>SUM(CO14:CO16)</f>
        <v>0</v>
      </c>
      <c r="CP17" s="203">
        <f>SUM(CM17:CO17)</f>
        <v>55</v>
      </c>
      <c r="CQ17" s="202">
        <f>SUM(CQ14:CQ16)</f>
        <v>0</v>
      </c>
      <c r="CR17" s="202">
        <f>SUM(CR14:CR16)</f>
        <v>64</v>
      </c>
      <c r="CS17" s="202">
        <f>SUM(CS14:CS16)</f>
        <v>0</v>
      </c>
      <c r="CT17" s="203">
        <f>SUM(CQ17:CS17)</f>
        <v>64</v>
      </c>
    </row>
    <row r="18" spans="1:98" ht="15" customHeight="1" x14ac:dyDescent="0.25">
      <c r="A18" s="1333"/>
      <c r="B18" s="1334" t="s">
        <v>308</v>
      </c>
      <c r="C18" s="1258">
        <f>+C6+C10+C14</f>
        <v>60</v>
      </c>
      <c r="D18" s="1259">
        <f t="shared" ref="D18:E20" si="18">+D6+D10+D14</f>
        <v>0</v>
      </c>
      <c r="E18" s="1259">
        <f t="shared" si="18"/>
        <v>54</v>
      </c>
      <c r="F18" s="1260">
        <f t="shared" si="0"/>
        <v>114</v>
      </c>
      <c r="G18" s="1258">
        <f t="shared" ref="G18:I20" si="19">+G6+G10+G14</f>
        <v>47</v>
      </c>
      <c r="H18" s="1259">
        <f t="shared" si="19"/>
        <v>0</v>
      </c>
      <c r="I18" s="1259">
        <f t="shared" si="19"/>
        <v>64</v>
      </c>
      <c r="J18" s="1260">
        <f t="shared" si="1"/>
        <v>111</v>
      </c>
      <c r="K18" s="1258">
        <f t="shared" ref="K18:M20" si="20">+K6+K10+K14</f>
        <v>0</v>
      </c>
      <c r="L18" s="1259">
        <f t="shared" si="20"/>
        <v>5</v>
      </c>
      <c r="M18" s="1259">
        <f t="shared" si="20"/>
        <v>76</v>
      </c>
      <c r="N18" s="1260">
        <f t="shared" si="2"/>
        <v>81</v>
      </c>
      <c r="O18" s="1258">
        <f t="shared" ref="O18:Q20" si="21">+O6+O10+O14</f>
        <v>3</v>
      </c>
      <c r="P18" s="1259">
        <f t="shared" si="21"/>
        <v>0</v>
      </c>
      <c r="Q18" s="1259">
        <f t="shared" si="21"/>
        <v>63</v>
      </c>
      <c r="R18" s="1260">
        <f t="shared" si="3"/>
        <v>66</v>
      </c>
      <c r="S18" s="1258">
        <v>0</v>
      </c>
      <c r="T18" s="1259">
        <v>0</v>
      </c>
      <c r="U18" s="1259">
        <v>37</v>
      </c>
      <c r="V18" s="1260">
        <v>37</v>
      </c>
      <c r="W18" s="1258">
        <v>0</v>
      </c>
      <c r="X18" s="1259">
        <v>0</v>
      </c>
      <c r="Y18" s="1259">
        <v>57</v>
      </c>
      <c r="Z18" s="1298">
        <v>57</v>
      </c>
      <c r="AA18" s="1258"/>
      <c r="AB18" s="1259"/>
      <c r="AC18" s="1259">
        <v>44</v>
      </c>
      <c r="AD18" s="1260">
        <v>44</v>
      </c>
      <c r="AE18" s="1259"/>
      <c r="AF18" s="1259"/>
      <c r="AG18" s="1259">
        <v>56</v>
      </c>
      <c r="AH18" s="1260">
        <v>56</v>
      </c>
      <c r="AI18" s="1259"/>
      <c r="AJ18" s="1259"/>
      <c r="AK18" s="1259">
        <v>81</v>
      </c>
      <c r="AL18" s="1335">
        <v>81</v>
      </c>
      <c r="AM18" s="151">
        <v>0</v>
      </c>
      <c r="AN18" s="152"/>
      <c r="AO18" s="152">
        <v>75</v>
      </c>
      <c r="AP18" s="395">
        <v>75</v>
      </c>
      <c r="AQ18" s="151"/>
      <c r="AR18" s="152"/>
      <c r="AS18" s="152">
        <f t="shared" ref="AS18:AT21" si="22">AS6+AS10+AS14</f>
        <v>71</v>
      </c>
      <c r="AT18" s="395">
        <f t="shared" si="22"/>
        <v>71</v>
      </c>
      <c r="AU18" s="151"/>
      <c r="AV18" s="152"/>
      <c r="AW18" s="152">
        <f t="shared" ref="AW18:BL21" si="23">AW6+AW10+AW14</f>
        <v>108</v>
      </c>
      <c r="AX18" s="395">
        <f t="shared" si="23"/>
        <v>108</v>
      </c>
      <c r="AY18" s="151"/>
      <c r="AZ18" s="152"/>
      <c r="BA18" s="152">
        <f t="shared" ref="BA18:BF18" si="24">SUM(BA6,BA10,BA14)</f>
        <v>26</v>
      </c>
      <c r="BB18" s="395">
        <f t="shared" si="24"/>
        <v>26</v>
      </c>
      <c r="BC18" s="151"/>
      <c r="BD18" s="152">
        <f t="shared" si="24"/>
        <v>1</v>
      </c>
      <c r="BE18" s="152">
        <f t="shared" si="24"/>
        <v>89</v>
      </c>
      <c r="BF18" s="395">
        <f t="shared" si="24"/>
        <v>90</v>
      </c>
      <c r="BG18" s="151"/>
      <c r="BH18" s="152"/>
      <c r="BI18" s="152">
        <f t="shared" ref="BI18:CL20" si="25">SUM(BI6,BI10,BI14)</f>
        <v>29</v>
      </c>
      <c r="BJ18" s="395">
        <f t="shared" si="25"/>
        <v>29</v>
      </c>
      <c r="BK18" s="151">
        <f t="shared" si="25"/>
        <v>0</v>
      </c>
      <c r="BL18" s="152">
        <f t="shared" si="25"/>
        <v>0</v>
      </c>
      <c r="BM18" s="152">
        <f t="shared" si="25"/>
        <v>83</v>
      </c>
      <c r="BN18" s="395">
        <f t="shared" si="25"/>
        <v>83</v>
      </c>
      <c r="BO18" s="151">
        <f t="shared" si="25"/>
        <v>0</v>
      </c>
      <c r="BP18" s="152">
        <f t="shared" si="25"/>
        <v>0</v>
      </c>
      <c r="BQ18" s="152">
        <f t="shared" si="25"/>
        <v>30</v>
      </c>
      <c r="BR18" s="395">
        <f t="shared" si="25"/>
        <v>30</v>
      </c>
      <c r="BS18" s="151">
        <f t="shared" si="25"/>
        <v>0</v>
      </c>
      <c r="BT18" s="152">
        <f t="shared" si="25"/>
        <v>0</v>
      </c>
      <c r="BU18" s="152">
        <f t="shared" si="25"/>
        <v>29</v>
      </c>
      <c r="BV18" s="395">
        <f t="shared" si="25"/>
        <v>29</v>
      </c>
      <c r="BW18" s="151">
        <f t="shared" si="25"/>
        <v>0</v>
      </c>
      <c r="BX18" s="152">
        <f t="shared" si="25"/>
        <v>0</v>
      </c>
      <c r="BY18" s="152">
        <f t="shared" si="25"/>
        <v>32</v>
      </c>
      <c r="BZ18" s="395">
        <f t="shared" si="25"/>
        <v>32</v>
      </c>
      <c r="CA18" s="151">
        <f t="shared" si="25"/>
        <v>0</v>
      </c>
      <c r="CB18" s="152">
        <f t="shared" si="25"/>
        <v>0</v>
      </c>
      <c r="CC18" s="152">
        <f t="shared" si="25"/>
        <v>27</v>
      </c>
      <c r="CD18" s="395">
        <f t="shared" si="25"/>
        <v>27</v>
      </c>
      <c r="CE18" s="151">
        <f t="shared" si="25"/>
        <v>0</v>
      </c>
      <c r="CF18" s="152">
        <f t="shared" si="25"/>
        <v>15</v>
      </c>
      <c r="CG18" s="152">
        <f t="shared" si="25"/>
        <v>16</v>
      </c>
      <c r="CH18" s="395">
        <f t="shared" si="25"/>
        <v>31</v>
      </c>
      <c r="CI18" s="151">
        <f t="shared" si="25"/>
        <v>12</v>
      </c>
      <c r="CJ18" s="152">
        <f t="shared" si="25"/>
        <v>6</v>
      </c>
      <c r="CK18" s="152">
        <f t="shared" si="25"/>
        <v>8</v>
      </c>
      <c r="CL18" s="395">
        <f t="shared" si="25"/>
        <v>26</v>
      </c>
      <c r="CM18" s="151">
        <f t="shared" ref="CM18:CP18" si="26">SUM(CM6,CM10,CM14)</f>
        <v>0</v>
      </c>
      <c r="CN18" s="152">
        <f t="shared" si="26"/>
        <v>28</v>
      </c>
      <c r="CO18" s="152">
        <f t="shared" si="26"/>
        <v>13</v>
      </c>
      <c r="CP18" s="395">
        <f t="shared" si="26"/>
        <v>41</v>
      </c>
      <c r="CQ18" s="151">
        <f t="shared" ref="CQ18:CT18" si="27">SUM(CQ6,CQ10,CQ14)</f>
        <v>0</v>
      </c>
      <c r="CR18" s="152">
        <f t="shared" si="27"/>
        <v>40</v>
      </c>
      <c r="CS18" s="152">
        <f t="shared" si="27"/>
        <v>11</v>
      </c>
      <c r="CT18" s="395">
        <f t="shared" si="27"/>
        <v>51</v>
      </c>
    </row>
    <row r="19" spans="1:98" ht="15" x14ac:dyDescent="0.25">
      <c r="A19" s="1333"/>
      <c r="B19" s="1336" t="s">
        <v>310</v>
      </c>
      <c r="C19" s="1262">
        <f>+C7+C11+C15</f>
        <v>34</v>
      </c>
      <c r="D19" s="1263">
        <f t="shared" si="18"/>
        <v>14</v>
      </c>
      <c r="E19" s="1263">
        <f t="shared" si="18"/>
        <v>41</v>
      </c>
      <c r="F19" s="1264">
        <f t="shared" si="0"/>
        <v>89</v>
      </c>
      <c r="G19" s="1262">
        <f t="shared" si="19"/>
        <v>63</v>
      </c>
      <c r="H19" s="1263">
        <f t="shared" si="19"/>
        <v>10</v>
      </c>
      <c r="I19" s="1263">
        <f t="shared" si="19"/>
        <v>74</v>
      </c>
      <c r="J19" s="1264">
        <f t="shared" si="1"/>
        <v>147</v>
      </c>
      <c r="K19" s="1262">
        <f t="shared" si="20"/>
        <v>6</v>
      </c>
      <c r="L19" s="1263">
        <f t="shared" si="20"/>
        <v>28</v>
      </c>
      <c r="M19" s="1263">
        <f t="shared" si="20"/>
        <v>62</v>
      </c>
      <c r="N19" s="1264">
        <f t="shared" si="2"/>
        <v>96</v>
      </c>
      <c r="O19" s="1262">
        <f t="shared" si="21"/>
        <v>21</v>
      </c>
      <c r="P19" s="1263">
        <f t="shared" si="21"/>
        <v>4</v>
      </c>
      <c r="Q19" s="1263">
        <f t="shared" si="21"/>
        <v>62</v>
      </c>
      <c r="R19" s="1264">
        <f t="shared" si="3"/>
        <v>87</v>
      </c>
      <c r="S19" s="1262">
        <v>15</v>
      </c>
      <c r="T19" s="1263">
        <v>4</v>
      </c>
      <c r="U19" s="1263">
        <v>36</v>
      </c>
      <c r="V19" s="1264">
        <v>55</v>
      </c>
      <c r="W19" s="1262">
        <v>27</v>
      </c>
      <c r="X19" s="1263">
        <v>5</v>
      </c>
      <c r="Y19" s="1263">
        <v>61</v>
      </c>
      <c r="Z19" s="1337">
        <v>93</v>
      </c>
      <c r="AA19" s="1262">
        <v>17</v>
      </c>
      <c r="AB19" s="1263"/>
      <c r="AC19" s="1263">
        <v>69</v>
      </c>
      <c r="AD19" s="1264">
        <v>86</v>
      </c>
      <c r="AE19" s="1263">
        <v>34</v>
      </c>
      <c r="AF19" s="1263"/>
      <c r="AG19" s="1263">
        <v>36</v>
      </c>
      <c r="AH19" s="1264">
        <v>70</v>
      </c>
      <c r="AI19" s="1263">
        <v>19</v>
      </c>
      <c r="AJ19" s="1263">
        <v>6</v>
      </c>
      <c r="AK19" s="1263">
        <v>47</v>
      </c>
      <c r="AL19" s="1338">
        <v>72</v>
      </c>
      <c r="AM19" s="129">
        <v>29</v>
      </c>
      <c r="AN19" s="130"/>
      <c r="AO19" s="130">
        <v>38</v>
      </c>
      <c r="AP19" s="396">
        <v>67</v>
      </c>
      <c r="AQ19" s="129">
        <f>AQ7+AQ11+AQ15</f>
        <v>12</v>
      </c>
      <c r="AR19" s="130"/>
      <c r="AS19" s="130">
        <f t="shared" si="22"/>
        <v>104</v>
      </c>
      <c r="AT19" s="396">
        <f t="shared" si="22"/>
        <v>116</v>
      </c>
      <c r="AU19" s="129">
        <f>AU7+AU11+AU15</f>
        <v>18</v>
      </c>
      <c r="AV19" s="130"/>
      <c r="AW19" s="130">
        <f t="shared" si="23"/>
        <v>36</v>
      </c>
      <c r="AX19" s="396">
        <f t="shared" si="23"/>
        <v>54</v>
      </c>
      <c r="AY19" s="129">
        <f t="shared" ref="AY19:BF20" si="28">SUM(AY7,AY11,AY15)</f>
        <v>6</v>
      </c>
      <c r="AZ19" s="130"/>
      <c r="BA19" s="130">
        <f t="shared" si="28"/>
        <v>133</v>
      </c>
      <c r="BB19" s="396">
        <f t="shared" si="28"/>
        <v>139</v>
      </c>
      <c r="BC19" s="129">
        <f t="shared" si="28"/>
        <v>23</v>
      </c>
      <c r="BD19" s="130">
        <f t="shared" si="28"/>
        <v>8</v>
      </c>
      <c r="BE19" s="130">
        <f t="shared" si="28"/>
        <v>56</v>
      </c>
      <c r="BF19" s="396">
        <f t="shared" si="28"/>
        <v>87</v>
      </c>
      <c r="BG19" s="129">
        <f>SUM(BG7,BG11,BG15)</f>
        <v>17</v>
      </c>
      <c r="BH19" s="130"/>
      <c r="BI19" s="130">
        <f t="shared" si="25"/>
        <v>148</v>
      </c>
      <c r="BJ19" s="396">
        <f t="shared" si="25"/>
        <v>165</v>
      </c>
      <c r="BK19" s="129">
        <f t="shared" si="25"/>
        <v>47</v>
      </c>
      <c r="BL19" s="130">
        <f t="shared" si="25"/>
        <v>0</v>
      </c>
      <c r="BM19" s="130">
        <f t="shared" si="25"/>
        <v>89</v>
      </c>
      <c r="BN19" s="396">
        <f t="shared" si="25"/>
        <v>136</v>
      </c>
      <c r="BO19" s="129">
        <f t="shared" si="25"/>
        <v>21</v>
      </c>
      <c r="BP19" s="130">
        <f t="shared" si="25"/>
        <v>38</v>
      </c>
      <c r="BQ19" s="130">
        <f t="shared" si="25"/>
        <v>107</v>
      </c>
      <c r="BR19" s="396">
        <f t="shared" si="25"/>
        <v>166</v>
      </c>
      <c r="BS19" s="129">
        <f t="shared" si="25"/>
        <v>23</v>
      </c>
      <c r="BT19" s="130">
        <f t="shared" si="25"/>
        <v>1</v>
      </c>
      <c r="BU19" s="130">
        <f t="shared" si="25"/>
        <v>97</v>
      </c>
      <c r="BV19" s="396">
        <f t="shared" si="25"/>
        <v>121</v>
      </c>
      <c r="BW19" s="129">
        <f t="shared" si="25"/>
        <v>81</v>
      </c>
      <c r="BX19" s="130">
        <f t="shared" si="25"/>
        <v>0</v>
      </c>
      <c r="BY19" s="130">
        <f t="shared" si="25"/>
        <v>123</v>
      </c>
      <c r="BZ19" s="396">
        <f t="shared" si="25"/>
        <v>204</v>
      </c>
      <c r="CA19" s="129">
        <f t="shared" si="25"/>
        <v>15</v>
      </c>
      <c r="CB19" s="130">
        <f t="shared" si="25"/>
        <v>0</v>
      </c>
      <c r="CC19" s="130">
        <f t="shared" si="25"/>
        <v>86</v>
      </c>
      <c r="CD19" s="396">
        <f t="shared" si="25"/>
        <v>101</v>
      </c>
      <c r="CE19" s="129">
        <f t="shared" si="25"/>
        <v>88</v>
      </c>
      <c r="CF19" s="130">
        <f t="shared" si="25"/>
        <v>23</v>
      </c>
      <c r="CG19" s="130">
        <f t="shared" si="25"/>
        <v>75</v>
      </c>
      <c r="CH19" s="396">
        <f t="shared" si="25"/>
        <v>186</v>
      </c>
      <c r="CI19" s="129">
        <f t="shared" si="25"/>
        <v>55</v>
      </c>
      <c r="CJ19" s="130">
        <f t="shared" si="25"/>
        <v>32</v>
      </c>
      <c r="CK19" s="130">
        <f t="shared" si="25"/>
        <v>14</v>
      </c>
      <c r="CL19" s="396">
        <f t="shared" si="25"/>
        <v>101</v>
      </c>
      <c r="CM19" s="129">
        <f t="shared" ref="CM19:CP19" si="29">SUM(CM7,CM11,CM15)</f>
        <v>66</v>
      </c>
      <c r="CN19" s="130">
        <f t="shared" si="29"/>
        <v>56</v>
      </c>
      <c r="CO19" s="130">
        <f t="shared" si="29"/>
        <v>34</v>
      </c>
      <c r="CP19" s="396">
        <f t="shared" si="29"/>
        <v>156</v>
      </c>
      <c r="CQ19" s="129">
        <f t="shared" ref="CQ19:CT19" si="30">SUM(CQ7,CQ11,CQ15)</f>
        <v>31</v>
      </c>
      <c r="CR19" s="130">
        <f t="shared" si="30"/>
        <v>58</v>
      </c>
      <c r="CS19" s="130">
        <f t="shared" si="30"/>
        <v>28</v>
      </c>
      <c r="CT19" s="396">
        <f t="shared" si="30"/>
        <v>117</v>
      </c>
    </row>
    <row r="20" spans="1:98" ht="15" x14ac:dyDescent="0.25">
      <c r="A20" s="1333"/>
      <c r="B20" s="1339" t="s">
        <v>317</v>
      </c>
      <c r="C20" s="1267">
        <f>+C8+C12+C16</f>
        <v>4</v>
      </c>
      <c r="D20" s="1268">
        <f t="shared" si="18"/>
        <v>1</v>
      </c>
      <c r="E20" s="1268">
        <f t="shared" si="18"/>
        <v>15</v>
      </c>
      <c r="F20" s="1269">
        <f t="shared" si="0"/>
        <v>20</v>
      </c>
      <c r="G20" s="1267">
        <f t="shared" si="19"/>
        <v>8</v>
      </c>
      <c r="H20" s="1268">
        <f t="shared" si="19"/>
        <v>4</v>
      </c>
      <c r="I20" s="1268">
        <f t="shared" si="19"/>
        <v>2</v>
      </c>
      <c r="J20" s="1269">
        <f t="shared" si="1"/>
        <v>14</v>
      </c>
      <c r="K20" s="1267">
        <f t="shared" si="20"/>
        <v>3</v>
      </c>
      <c r="L20" s="1268">
        <f t="shared" si="20"/>
        <v>0</v>
      </c>
      <c r="M20" s="1268">
        <f t="shared" si="20"/>
        <v>16</v>
      </c>
      <c r="N20" s="1269">
        <f t="shared" si="2"/>
        <v>19</v>
      </c>
      <c r="O20" s="1267">
        <f t="shared" si="21"/>
        <v>4</v>
      </c>
      <c r="P20" s="1268">
        <f t="shared" si="21"/>
        <v>2</v>
      </c>
      <c r="Q20" s="1268">
        <f t="shared" si="21"/>
        <v>6</v>
      </c>
      <c r="R20" s="1269">
        <f t="shared" si="3"/>
        <v>12</v>
      </c>
      <c r="S20" s="1267">
        <v>3</v>
      </c>
      <c r="T20" s="1268">
        <v>1</v>
      </c>
      <c r="U20" s="1268">
        <v>8</v>
      </c>
      <c r="V20" s="1269">
        <v>12</v>
      </c>
      <c r="W20" s="1267">
        <v>4</v>
      </c>
      <c r="X20" s="1268">
        <v>2</v>
      </c>
      <c r="Y20" s="1268">
        <v>2</v>
      </c>
      <c r="Z20" s="1340">
        <v>8</v>
      </c>
      <c r="AA20" s="1267">
        <v>1</v>
      </c>
      <c r="AB20" s="1268"/>
      <c r="AC20" s="1268">
        <v>23</v>
      </c>
      <c r="AD20" s="1269">
        <v>24</v>
      </c>
      <c r="AE20" s="1268">
        <v>1</v>
      </c>
      <c r="AF20" s="1268">
        <v>1</v>
      </c>
      <c r="AG20" s="1268">
        <v>8</v>
      </c>
      <c r="AH20" s="1269">
        <v>10</v>
      </c>
      <c r="AI20" s="1268">
        <v>5</v>
      </c>
      <c r="AJ20" s="1268">
        <v>4</v>
      </c>
      <c r="AK20" s="1268">
        <v>39</v>
      </c>
      <c r="AL20" s="1341">
        <v>48</v>
      </c>
      <c r="AM20" s="196">
        <v>1</v>
      </c>
      <c r="AN20" s="197">
        <v>2</v>
      </c>
      <c r="AO20" s="197">
        <v>13</v>
      </c>
      <c r="AP20" s="397">
        <v>16</v>
      </c>
      <c r="AQ20" s="196">
        <f>AQ8+AQ12+AQ16</f>
        <v>2</v>
      </c>
      <c r="AR20" s="197">
        <f>AR8+AR12+AR16</f>
        <v>1</v>
      </c>
      <c r="AS20" s="197">
        <f t="shared" si="22"/>
        <v>20</v>
      </c>
      <c r="AT20" s="397">
        <f t="shared" si="22"/>
        <v>23</v>
      </c>
      <c r="AU20" s="196">
        <f>AU8+AU12+AU16</f>
        <v>2</v>
      </c>
      <c r="AV20" s="197">
        <f>AV8+AV12+AV16</f>
        <v>17</v>
      </c>
      <c r="AW20" s="197">
        <f t="shared" si="23"/>
        <v>15</v>
      </c>
      <c r="AX20" s="397">
        <f t="shared" si="23"/>
        <v>34</v>
      </c>
      <c r="AY20" s="196">
        <f t="shared" si="28"/>
        <v>2</v>
      </c>
      <c r="AZ20" s="197">
        <f t="shared" si="28"/>
        <v>4</v>
      </c>
      <c r="BA20" s="197">
        <f t="shared" si="28"/>
        <v>15</v>
      </c>
      <c r="BB20" s="397">
        <f t="shared" si="28"/>
        <v>21</v>
      </c>
      <c r="BC20" s="196">
        <f t="shared" si="28"/>
        <v>1</v>
      </c>
      <c r="BD20" s="197"/>
      <c r="BE20" s="197">
        <f t="shared" si="28"/>
        <v>39</v>
      </c>
      <c r="BF20" s="397">
        <f t="shared" si="28"/>
        <v>40</v>
      </c>
      <c r="BG20" s="196">
        <f>SUM(BG8,BG12,BG16)</f>
        <v>1</v>
      </c>
      <c r="BH20" s="197">
        <f>SUM(BH8,BH12,BH16)</f>
        <v>2</v>
      </c>
      <c r="BI20" s="197">
        <f t="shared" si="25"/>
        <v>20</v>
      </c>
      <c r="BJ20" s="397">
        <f t="shared" si="25"/>
        <v>23</v>
      </c>
      <c r="BK20" s="196">
        <f t="shared" si="25"/>
        <v>1</v>
      </c>
      <c r="BL20" s="197">
        <f t="shared" si="25"/>
        <v>3</v>
      </c>
      <c r="BM20" s="197">
        <f t="shared" si="25"/>
        <v>57</v>
      </c>
      <c r="BN20" s="397">
        <f t="shared" si="25"/>
        <v>61</v>
      </c>
      <c r="BO20" s="196">
        <f t="shared" si="25"/>
        <v>14</v>
      </c>
      <c r="BP20" s="197">
        <f t="shared" si="25"/>
        <v>0</v>
      </c>
      <c r="BQ20" s="197">
        <f t="shared" si="25"/>
        <v>12</v>
      </c>
      <c r="BR20" s="397">
        <f t="shared" si="25"/>
        <v>26</v>
      </c>
      <c r="BS20" s="196">
        <f t="shared" si="25"/>
        <v>5</v>
      </c>
      <c r="BT20" s="197">
        <f t="shared" si="25"/>
        <v>5</v>
      </c>
      <c r="BU20" s="197">
        <f t="shared" si="25"/>
        <v>41</v>
      </c>
      <c r="BV20" s="397">
        <f t="shared" si="25"/>
        <v>51</v>
      </c>
      <c r="BW20" s="196">
        <f t="shared" si="25"/>
        <v>6</v>
      </c>
      <c r="BX20" s="197">
        <f t="shared" si="25"/>
        <v>3</v>
      </c>
      <c r="BY20" s="197">
        <f t="shared" si="25"/>
        <v>29</v>
      </c>
      <c r="BZ20" s="397">
        <f t="shared" si="25"/>
        <v>38</v>
      </c>
      <c r="CA20" s="196">
        <f t="shared" si="25"/>
        <v>8</v>
      </c>
      <c r="CB20" s="197">
        <f t="shared" si="25"/>
        <v>5</v>
      </c>
      <c r="CC20" s="197">
        <f t="shared" si="25"/>
        <v>30</v>
      </c>
      <c r="CD20" s="397">
        <f t="shared" si="25"/>
        <v>43</v>
      </c>
      <c r="CE20" s="196">
        <f t="shared" si="25"/>
        <v>36</v>
      </c>
      <c r="CF20" s="197">
        <f t="shared" si="25"/>
        <v>4</v>
      </c>
      <c r="CG20" s="197">
        <f t="shared" si="25"/>
        <v>16</v>
      </c>
      <c r="CH20" s="397">
        <f t="shared" si="25"/>
        <v>56</v>
      </c>
      <c r="CI20" s="196">
        <f t="shared" si="25"/>
        <v>28</v>
      </c>
      <c r="CJ20" s="197">
        <f t="shared" si="25"/>
        <v>2</v>
      </c>
      <c r="CK20" s="197">
        <f t="shared" si="25"/>
        <v>15</v>
      </c>
      <c r="CL20" s="397">
        <f t="shared" si="25"/>
        <v>45</v>
      </c>
      <c r="CM20" s="196">
        <f t="shared" ref="CM20:CP20" si="31">SUM(CM8,CM12,CM16)</f>
        <v>6</v>
      </c>
      <c r="CN20" s="197">
        <f t="shared" si="31"/>
        <v>21</v>
      </c>
      <c r="CO20" s="197">
        <f t="shared" si="31"/>
        <v>12</v>
      </c>
      <c r="CP20" s="397">
        <f t="shared" si="31"/>
        <v>39</v>
      </c>
      <c r="CQ20" s="196">
        <f t="shared" ref="CQ20:CT20" si="32">SUM(CQ8,CQ12,CQ16)</f>
        <v>0</v>
      </c>
      <c r="CR20" s="197">
        <f t="shared" si="32"/>
        <v>18</v>
      </c>
      <c r="CS20" s="197">
        <f t="shared" si="32"/>
        <v>11</v>
      </c>
      <c r="CT20" s="397">
        <f t="shared" si="32"/>
        <v>29</v>
      </c>
    </row>
    <row r="21" spans="1:98" s="161" customFormat="1" ht="15" x14ac:dyDescent="0.25">
      <c r="A21" s="1333"/>
      <c r="B21" s="1346" t="s">
        <v>138</v>
      </c>
      <c r="C21" s="1347">
        <f>SUM(C18:C20)</f>
        <v>98</v>
      </c>
      <c r="D21" s="1348">
        <f>SUM(D18:D20)</f>
        <v>15</v>
      </c>
      <c r="E21" s="1348">
        <f>SUM(E18:E20)</f>
        <v>110</v>
      </c>
      <c r="F21" s="1349">
        <f t="shared" si="0"/>
        <v>223</v>
      </c>
      <c r="G21" s="1347">
        <f>SUM(G18:G20)</f>
        <v>118</v>
      </c>
      <c r="H21" s="1348">
        <f>SUM(H18:H20)</f>
        <v>14</v>
      </c>
      <c r="I21" s="1348">
        <f>SUM(I18:I20)</f>
        <v>140</v>
      </c>
      <c r="J21" s="1349">
        <f t="shared" si="1"/>
        <v>272</v>
      </c>
      <c r="K21" s="1347">
        <f>SUM(K18:K20)</f>
        <v>9</v>
      </c>
      <c r="L21" s="1348">
        <f>SUM(L18:L20)</f>
        <v>33</v>
      </c>
      <c r="M21" s="1348">
        <f>SUM(M18:M20)</f>
        <v>154</v>
      </c>
      <c r="N21" s="1349">
        <f t="shared" si="2"/>
        <v>196</v>
      </c>
      <c r="O21" s="1347">
        <f>SUM(O18:O20)</f>
        <v>28</v>
      </c>
      <c r="P21" s="1348">
        <f>SUM(P18:P20)</f>
        <v>6</v>
      </c>
      <c r="Q21" s="1348">
        <f>SUM(Q18:Q20)</f>
        <v>131</v>
      </c>
      <c r="R21" s="1349">
        <f t="shared" si="3"/>
        <v>165</v>
      </c>
      <c r="S21" s="1347">
        <f>SUM(S18:S20)</f>
        <v>18</v>
      </c>
      <c r="T21" s="1348">
        <f>SUM(T18:T20)</f>
        <v>5</v>
      </c>
      <c r="U21" s="1348">
        <f>SUM(U18:U20)</f>
        <v>81</v>
      </c>
      <c r="V21" s="1349">
        <f>SUM(V18:V20)</f>
        <v>104</v>
      </c>
      <c r="W21" s="1347">
        <f t="shared" ref="W21:AL21" si="33">SUM(W18:W20)</f>
        <v>31</v>
      </c>
      <c r="X21" s="1348">
        <f t="shared" si="33"/>
        <v>7</v>
      </c>
      <c r="Y21" s="1348">
        <f t="shared" si="33"/>
        <v>120</v>
      </c>
      <c r="Z21" s="1348">
        <f t="shared" si="33"/>
        <v>158</v>
      </c>
      <c r="AA21" s="1347">
        <f t="shared" si="33"/>
        <v>18</v>
      </c>
      <c r="AB21" s="1348"/>
      <c r="AC21" s="1348">
        <f t="shared" si="33"/>
        <v>136</v>
      </c>
      <c r="AD21" s="1349">
        <f t="shared" si="33"/>
        <v>154</v>
      </c>
      <c r="AE21" s="1348">
        <f t="shared" si="33"/>
        <v>35</v>
      </c>
      <c r="AF21" s="1348">
        <f t="shared" si="33"/>
        <v>1</v>
      </c>
      <c r="AG21" s="1348">
        <f t="shared" si="33"/>
        <v>100</v>
      </c>
      <c r="AH21" s="1349">
        <f t="shared" si="33"/>
        <v>136</v>
      </c>
      <c r="AI21" s="1348">
        <f t="shared" si="33"/>
        <v>24</v>
      </c>
      <c r="AJ21" s="1348">
        <f t="shared" si="33"/>
        <v>10</v>
      </c>
      <c r="AK21" s="1348">
        <f t="shared" si="33"/>
        <v>167</v>
      </c>
      <c r="AL21" s="1349">
        <f t="shared" si="33"/>
        <v>201</v>
      </c>
      <c r="AM21" s="1350">
        <v>30</v>
      </c>
      <c r="AN21" s="1351">
        <v>2</v>
      </c>
      <c r="AO21" s="1351">
        <v>126</v>
      </c>
      <c r="AP21" s="1352">
        <v>158</v>
      </c>
      <c r="AQ21" s="1350">
        <f>AQ9+AQ13+AQ17</f>
        <v>14</v>
      </c>
      <c r="AR21" s="1351">
        <f>AR9+AR13+AR17</f>
        <v>1</v>
      </c>
      <c r="AS21" s="1351">
        <f t="shared" si="22"/>
        <v>195</v>
      </c>
      <c r="AT21" s="1352">
        <f t="shared" si="22"/>
        <v>210</v>
      </c>
      <c r="AU21" s="1350">
        <f>AU9+AU13+AU17</f>
        <v>20</v>
      </c>
      <c r="AV21" s="1351">
        <f>AV9+AV13+AV17</f>
        <v>17</v>
      </c>
      <c r="AW21" s="1351">
        <f t="shared" si="23"/>
        <v>159</v>
      </c>
      <c r="AX21" s="1352">
        <f t="shared" si="23"/>
        <v>196</v>
      </c>
      <c r="AY21" s="1350">
        <f t="shared" si="23"/>
        <v>8</v>
      </c>
      <c r="AZ21" s="1351">
        <f t="shared" si="23"/>
        <v>4</v>
      </c>
      <c r="BA21" s="1351">
        <f t="shared" si="23"/>
        <v>174</v>
      </c>
      <c r="BB21" s="1352">
        <f t="shared" si="23"/>
        <v>186</v>
      </c>
      <c r="BC21" s="1350">
        <f t="shared" si="23"/>
        <v>24</v>
      </c>
      <c r="BD21" s="1351">
        <f t="shared" si="23"/>
        <v>9</v>
      </c>
      <c r="BE21" s="1351">
        <f t="shared" si="23"/>
        <v>184</v>
      </c>
      <c r="BF21" s="1352">
        <f t="shared" si="23"/>
        <v>217</v>
      </c>
      <c r="BG21" s="1350">
        <f t="shared" si="23"/>
        <v>18</v>
      </c>
      <c r="BH21" s="1351">
        <f t="shared" si="23"/>
        <v>2</v>
      </c>
      <c r="BI21" s="1351">
        <f t="shared" si="23"/>
        <v>197</v>
      </c>
      <c r="BJ21" s="1352">
        <f t="shared" si="23"/>
        <v>217</v>
      </c>
      <c r="BK21" s="1350">
        <f t="shared" si="23"/>
        <v>48</v>
      </c>
      <c r="BL21" s="1351">
        <f t="shared" si="23"/>
        <v>3</v>
      </c>
      <c r="BM21" s="1351">
        <f t="shared" ref="BM21:CH21" si="34">BM9+BM13+BM17</f>
        <v>229</v>
      </c>
      <c r="BN21" s="1352">
        <f t="shared" si="34"/>
        <v>280</v>
      </c>
      <c r="BO21" s="1350">
        <f t="shared" si="34"/>
        <v>35</v>
      </c>
      <c r="BP21" s="1351">
        <f t="shared" si="34"/>
        <v>38</v>
      </c>
      <c r="BQ21" s="1351">
        <f t="shared" si="34"/>
        <v>149</v>
      </c>
      <c r="BR21" s="1352">
        <f t="shared" si="34"/>
        <v>222</v>
      </c>
      <c r="BS21" s="1350">
        <f t="shared" si="34"/>
        <v>28</v>
      </c>
      <c r="BT21" s="1351">
        <f t="shared" si="34"/>
        <v>6</v>
      </c>
      <c r="BU21" s="1351">
        <f t="shared" si="34"/>
        <v>167</v>
      </c>
      <c r="BV21" s="1352">
        <f t="shared" si="34"/>
        <v>201</v>
      </c>
      <c r="BW21" s="1350">
        <f t="shared" si="34"/>
        <v>87</v>
      </c>
      <c r="BX21" s="1351">
        <f t="shared" si="34"/>
        <v>3</v>
      </c>
      <c r="BY21" s="1351">
        <f t="shared" si="34"/>
        <v>184</v>
      </c>
      <c r="BZ21" s="1352">
        <f t="shared" si="34"/>
        <v>274</v>
      </c>
      <c r="CA21" s="1350">
        <f t="shared" si="34"/>
        <v>23</v>
      </c>
      <c r="CB21" s="1351">
        <f t="shared" si="34"/>
        <v>5</v>
      </c>
      <c r="CC21" s="1351">
        <f t="shared" si="34"/>
        <v>143</v>
      </c>
      <c r="CD21" s="1352">
        <f t="shared" si="34"/>
        <v>171</v>
      </c>
      <c r="CE21" s="1350">
        <f t="shared" si="34"/>
        <v>124</v>
      </c>
      <c r="CF21" s="1351">
        <f t="shared" si="34"/>
        <v>42</v>
      </c>
      <c r="CG21" s="1351">
        <f t="shared" si="34"/>
        <v>107</v>
      </c>
      <c r="CH21" s="1352">
        <f t="shared" si="34"/>
        <v>273</v>
      </c>
      <c r="CI21" s="1350">
        <f t="shared" ref="CI21:CP21" si="35">CI9+CI13+CI17</f>
        <v>95</v>
      </c>
      <c r="CJ21" s="1351">
        <f t="shared" si="35"/>
        <v>40</v>
      </c>
      <c r="CK21" s="1351">
        <f t="shared" si="35"/>
        <v>37</v>
      </c>
      <c r="CL21" s="1352">
        <f t="shared" si="35"/>
        <v>172</v>
      </c>
      <c r="CM21" s="1350">
        <f t="shared" si="35"/>
        <v>72</v>
      </c>
      <c r="CN21" s="1351">
        <f t="shared" si="35"/>
        <v>105</v>
      </c>
      <c r="CO21" s="1351">
        <f t="shared" si="35"/>
        <v>59</v>
      </c>
      <c r="CP21" s="1352">
        <f t="shared" si="35"/>
        <v>236</v>
      </c>
      <c r="CQ21" s="1350">
        <f t="shared" ref="CQ21:CT21" si="36">CQ9+CQ13+CQ17</f>
        <v>31</v>
      </c>
      <c r="CR21" s="1351">
        <f t="shared" si="36"/>
        <v>116</v>
      </c>
      <c r="CS21" s="1351">
        <f t="shared" si="36"/>
        <v>50</v>
      </c>
      <c r="CT21" s="1352">
        <f t="shared" si="36"/>
        <v>197</v>
      </c>
    </row>
    <row r="22" spans="1:98" s="161" customFormat="1" ht="15" x14ac:dyDescent="0.25">
      <c r="A22" s="1333"/>
      <c r="B22" s="1353"/>
      <c r="C22" s="1354"/>
      <c r="D22" s="1354"/>
      <c r="E22" s="1354"/>
      <c r="F22" s="1354"/>
      <c r="G22" s="1354"/>
      <c r="H22" s="1354"/>
      <c r="I22" s="1354"/>
      <c r="J22" s="1354"/>
      <c r="K22" s="1354"/>
      <c r="L22" s="1354"/>
      <c r="M22" s="1354"/>
      <c r="N22" s="1354"/>
      <c r="O22" s="1354"/>
      <c r="P22" s="1354"/>
      <c r="Q22" s="1354"/>
      <c r="R22" s="1354"/>
      <c r="S22" s="1354"/>
      <c r="T22" s="1354"/>
      <c r="U22" s="1354"/>
      <c r="V22" s="1354"/>
      <c r="W22" s="1354"/>
      <c r="X22" s="1354"/>
      <c r="Y22" s="1354"/>
      <c r="Z22" s="1354"/>
      <c r="AA22" s="1354"/>
      <c r="AB22" s="1354"/>
      <c r="AC22" s="1354"/>
      <c r="AD22" s="1354"/>
      <c r="AE22" s="1354"/>
      <c r="AF22" s="1354"/>
      <c r="AG22" s="1354"/>
      <c r="AH22" s="1354"/>
      <c r="AI22" s="1354"/>
      <c r="AJ22" s="1354"/>
      <c r="AK22" s="1354"/>
      <c r="AL22" s="1354"/>
      <c r="AM22" s="1354"/>
      <c r="AN22" s="1354"/>
      <c r="AO22" s="1354"/>
      <c r="AP22" s="1354"/>
      <c r="AQ22" s="1354"/>
      <c r="AR22" s="1354"/>
      <c r="AS22" s="1354"/>
      <c r="AT22" s="1354"/>
      <c r="AU22" s="1354"/>
      <c r="AV22" s="1354"/>
      <c r="AW22" s="1354"/>
      <c r="AX22" s="1354"/>
      <c r="AY22" s="1354"/>
      <c r="AZ22" s="1354"/>
      <c r="BA22" s="1354"/>
      <c r="BB22" s="1354"/>
      <c r="BC22" s="1354"/>
      <c r="BD22" s="1354"/>
      <c r="BE22" s="1354"/>
      <c r="BF22" s="1354"/>
      <c r="BG22" s="1354"/>
      <c r="BH22" s="1354"/>
      <c r="BI22" s="1354"/>
      <c r="BJ22" s="1354"/>
      <c r="BK22" s="1354"/>
      <c r="BL22" s="1354"/>
      <c r="BM22" s="1354"/>
      <c r="BN22" s="1354"/>
      <c r="BO22" s="1354"/>
      <c r="BP22" s="1354"/>
      <c r="BQ22" s="1354"/>
      <c r="BR22" s="1354"/>
      <c r="BS22" s="1354"/>
      <c r="BT22" s="1354"/>
      <c r="BU22" s="1354"/>
      <c r="BV22" s="1354"/>
      <c r="BW22" s="1354"/>
      <c r="BX22" s="1354"/>
      <c r="BY22" s="1354"/>
      <c r="BZ22" s="1354"/>
      <c r="CA22" s="1354"/>
      <c r="CB22" s="1354"/>
      <c r="CC22" s="1354"/>
      <c r="CD22" s="1354"/>
      <c r="CE22" s="1354"/>
      <c r="CF22" s="1354"/>
      <c r="CG22" s="1354"/>
      <c r="CH22" s="1354"/>
      <c r="CI22" s="1354"/>
      <c r="CJ22" s="1354"/>
      <c r="CK22" s="1354"/>
      <c r="CL22" s="1354"/>
      <c r="CM22" s="1354"/>
      <c r="CN22" s="1354"/>
      <c r="CO22" s="1354"/>
      <c r="CP22" s="1354"/>
      <c r="CQ22" s="1354"/>
      <c r="CR22" s="1354"/>
      <c r="CS22" s="1354"/>
      <c r="CT22" s="1354"/>
    </row>
    <row r="23" spans="1:98" s="161" customFormat="1" ht="15" x14ac:dyDescent="0.25">
      <c r="A23" s="1333"/>
      <c r="B23" s="1334" t="s">
        <v>308</v>
      </c>
      <c r="C23" s="1258"/>
      <c r="D23" s="1259"/>
      <c r="E23" s="1259"/>
      <c r="F23" s="1298"/>
      <c r="G23" s="1258"/>
      <c r="H23" s="1259"/>
      <c r="I23" s="1259"/>
      <c r="J23" s="1260"/>
      <c r="K23" s="1259"/>
      <c r="L23" s="1259"/>
      <c r="M23" s="1259"/>
      <c r="N23" s="1298"/>
      <c r="O23" s="1258"/>
      <c r="P23" s="1259"/>
      <c r="Q23" s="1259"/>
      <c r="R23" s="1260"/>
      <c r="S23" s="1259"/>
      <c r="T23" s="1259"/>
      <c r="U23" s="1259"/>
      <c r="V23" s="1298"/>
      <c r="W23" s="1258"/>
      <c r="X23" s="1259"/>
      <c r="Y23" s="1259"/>
      <c r="Z23" s="1260"/>
      <c r="AA23" s="1259"/>
      <c r="AB23" s="1259"/>
      <c r="AC23" s="1259"/>
      <c r="AD23" s="1298"/>
      <c r="AE23" s="1258"/>
      <c r="AF23" s="1259"/>
      <c r="AG23" s="1259"/>
      <c r="AH23" s="1260"/>
      <c r="AI23" s="1259"/>
      <c r="AJ23" s="1259"/>
      <c r="AK23" s="1259"/>
      <c r="AL23" s="1335"/>
      <c r="AM23" s="151"/>
      <c r="AN23" s="152"/>
      <c r="AO23" s="152"/>
      <c r="AP23" s="395"/>
      <c r="AQ23" s="151"/>
      <c r="AR23" s="152"/>
      <c r="AS23" s="152"/>
      <c r="AT23" s="152"/>
      <c r="AU23" s="151"/>
      <c r="AV23" s="152"/>
      <c r="AW23" s="152"/>
      <c r="AX23" s="395"/>
      <c r="AY23" s="151"/>
      <c r="AZ23" s="152"/>
      <c r="BA23" s="152"/>
      <c r="BB23" s="395"/>
      <c r="BC23" s="151"/>
      <c r="BD23" s="152"/>
      <c r="BE23" s="152"/>
      <c r="BF23" s="395"/>
      <c r="BG23" s="151"/>
      <c r="BH23" s="152"/>
      <c r="BI23" s="152"/>
      <c r="BJ23" s="395"/>
      <c r="BK23" s="151"/>
      <c r="BL23" s="152"/>
      <c r="BM23" s="152"/>
      <c r="BN23" s="395">
        <f>SUM(BK23:BM23)</f>
        <v>0</v>
      </c>
      <c r="BO23" s="151"/>
      <c r="BP23" s="152"/>
      <c r="BQ23" s="152"/>
      <c r="BR23" s="395">
        <f>SUM(BO23:BQ23)</f>
        <v>0</v>
      </c>
      <c r="BS23" s="151"/>
      <c r="BT23" s="152"/>
      <c r="BU23" s="152"/>
      <c r="BV23" s="395">
        <f>SUM(BS23:BU23)</f>
        <v>0</v>
      </c>
      <c r="BW23" s="151"/>
      <c r="BX23" s="152"/>
      <c r="BY23" s="152"/>
      <c r="BZ23" s="395">
        <f>SUM(BW23:BY23)</f>
        <v>0</v>
      </c>
      <c r="CA23" s="151"/>
      <c r="CB23" s="152"/>
      <c r="CC23" s="152"/>
      <c r="CD23" s="395">
        <f>SUM(CA23:CC23)</f>
        <v>0</v>
      </c>
      <c r="CE23" s="151"/>
      <c r="CF23" s="152"/>
      <c r="CG23" s="152"/>
      <c r="CH23" s="395">
        <f>SUM(CE23:CG23)</f>
        <v>0</v>
      </c>
      <c r="CI23" s="151"/>
      <c r="CJ23" s="152"/>
      <c r="CK23" s="152"/>
      <c r="CL23" s="395">
        <f>SUM(CI23:CK23)</f>
        <v>0</v>
      </c>
      <c r="CM23" s="151"/>
      <c r="CN23" s="152"/>
      <c r="CO23" s="152"/>
      <c r="CP23" s="395">
        <f>SUM(CM23:CO23)</f>
        <v>0</v>
      </c>
      <c r="CQ23" s="151"/>
      <c r="CR23" s="152"/>
      <c r="CS23" s="152"/>
      <c r="CT23" s="395">
        <f>SUM(CQ23:CS23)</f>
        <v>0</v>
      </c>
    </row>
    <row r="24" spans="1:98" s="161" customFormat="1" ht="15" x14ac:dyDescent="0.25">
      <c r="A24" s="1333"/>
      <c r="B24" s="1336" t="s">
        <v>310</v>
      </c>
      <c r="C24" s="1262"/>
      <c r="D24" s="1263"/>
      <c r="E24" s="1263"/>
      <c r="F24" s="1337"/>
      <c r="G24" s="1262"/>
      <c r="H24" s="1263"/>
      <c r="I24" s="1263"/>
      <c r="J24" s="1264"/>
      <c r="K24" s="1263"/>
      <c r="L24" s="1263"/>
      <c r="M24" s="1263"/>
      <c r="N24" s="1337"/>
      <c r="O24" s="1262"/>
      <c r="P24" s="1263"/>
      <c r="Q24" s="1263"/>
      <c r="R24" s="1264"/>
      <c r="S24" s="1263"/>
      <c r="T24" s="1263"/>
      <c r="U24" s="1263"/>
      <c r="V24" s="1337"/>
      <c r="W24" s="1262"/>
      <c r="X24" s="1263"/>
      <c r="Y24" s="1263"/>
      <c r="Z24" s="1264"/>
      <c r="AA24" s="1263"/>
      <c r="AB24" s="1263"/>
      <c r="AC24" s="1263"/>
      <c r="AD24" s="1337"/>
      <c r="AE24" s="1262"/>
      <c r="AF24" s="1263"/>
      <c r="AG24" s="1263"/>
      <c r="AH24" s="1264"/>
      <c r="AI24" s="1263"/>
      <c r="AJ24" s="1263"/>
      <c r="AK24" s="1263"/>
      <c r="AL24" s="1338"/>
      <c r="AM24" s="129"/>
      <c r="AN24" s="130"/>
      <c r="AO24" s="130"/>
      <c r="AP24" s="396"/>
      <c r="AQ24" s="129"/>
      <c r="AR24" s="130"/>
      <c r="AS24" s="130"/>
      <c r="AT24" s="130"/>
      <c r="AU24" s="129"/>
      <c r="AV24" s="130"/>
      <c r="AW24" s="130"/>
      <c r="AX24" s="396"/>
      <c r="AY24" s="129">
        <v>20</v>
      </c>
      <c r="AZ24" s="130"/>
      <c r="BA24" s="130"/>
      <c r="BB24" s="396">
        <f>SUM(AY24:BA24)</f>
        <v>20</v>
      </c>
      <c r="BC24" s="129">
        <f>SUM('INSC-POSG plan'!BD56)</f>
        <v>13</v>
      </c>
      <c r="BD24" s="130"/>
      <c r="BE24" s="130"/>
      <c r="BF24" s="396">
        <f>SUM(BC24:BE24)</f>
        <v>13</v>
      </c>
      <c r="BG24" s="129">
        <f>SUM('INSC-POSG plan'!BH56)</f>
        <v>23</v>
      </c>
      <c r="BH24" s="130"/>
      <c r="BI24" s="130"/>
      <c r="BJ24" s="396">
        <f>SUM(BG24:BI24)</f>
        <v>23</v>
      </c>
      <c r="BK24" s="129">
        <f>SUM('INSC-POSG plan'!BL56)</f>
        <v>0</v>
      </c>
      <c r="BL24" s="130">
        <f>SUM('INSC-POSG plan'!BM56)</f>
        <v>0</v>
      </c>
      <c r="BM24" s="130">
        <f>SUM('INSC-POSG plan'!BN56)</f>
        <v>13</v>
      </c>
      <c r="BN24" s="396">
        <f>SUM(BK24:BM24)</f>
        <v>13</v>
      </c>
      <c r="BO24" s="129">
        <f>SUM('INSC-POSG plan'!BP56)</f>
        <v>0</v>
      </c>
      <c r="BP24" s="130">
        <f>SUM('INSC-POSG plan'!BQ56)</f>
        <v>0</v>
      </c>
      <c r="BQ24" s="130">
        <f>SUM('INSC-POSG plan'!BR56)</f>
        <v>21</v>
      </c>
      <c r="BR24" s="396">
        <f>SUM(BO24:BQ24)</f>
        <v>21</v>
      </c>
      <c r="BS24" s="129">
        <f>SUM('INSC-POSG plan'!BT56)</f>
        <v>0</v>
      </c>
      <c r="BT24" s="130">
        <f>SUM('INSC-POSG plan'!BU56)</f>
        <v>0</v>
      </c>
      <c r="BU24" s="130">
        <f>SUM('INSC-POSG plan'!BV56)</f>
        <v>8</v>
      </c>
      <c r="BV24" s="396">
        <f>SUM(BS24:BU24)</f>
        <v>8</v>
      </c>
      <c r="BW24" s="129">
        <f>SUM('INSC-POSG plan'!BX56)</f>
        <v>0</v>
      </c>
      <c r="BX24" s="130">
        <f>SUM('INSC-POSG plan'!BY56)</f>
        <v>0</v>
      </c>
      <c r="BY24" s="130">
        <f>SUM('INSC-POSG plan'!BZ56)</f>
        <v>12</v>
      </c>
      <c r="BZ24" s="396">
        <f>SUM(BW24:BY24)</f>
        <v>12</v>
      </c>
      <c r="CA24" s="129">
        <f>SUM('INSC-POSG plan'!CB56)</f>
        <v>0</v>
      </c>
      <c r="CB24" s="130">
        <f>SUM('INSC-POSG plan'!CC56)</f>
        <v>0</v>
      </c>
      <c r="CC24" s="130">
        <f>SUM('INSC-POSG plan'!CD56)</f>
        <v>10</v>
      </c>
      <c r="CD24" s="396">
        <f>SUM(CA24:CC24)</f>
        <v>10</v>
      </c>
      <c r="CE24" s="129">
        <f>SUM('INSC-POSG plan'!CF56)</f>
        <v>0</v>
      </c>
      <c r="CF24" s="130">
        <f>SUM('INSC-POSG plan'!CG56)</f>
        <v>0</v>
      </c>
      <c r="CG24" s="130">
        <f>SUM('INSC-POSG plan'!CH56)</f>
        <v>14</v>
      </c>
      <c r="CH24" s="396">
        <f>SUM(CE24:CG24)</f>
        <v>14</v>
      </c>
      <c r="CI24" s="129">
        <f>SUM('INSC-POSG plan'!CJ56)</f>
        <v>0</v>
      </c>
      <c r="CJ24" s="130">
        <f>SUM('INSC-POSG plan'!CK56)</f>
        <v>0</v>
      </c>
      <c r="CK24" s="130">
        <f>SUM('INSC-POSG plan'!CL56)</f>
        <v>0</v>
      </c>
      <c r="CL24" s="396">
        <f>SUM(CI24:CK24)</f>
        <v>0</v>
      </c>
      <c r="CM24" s="129">
        <f>SUM('INSC-POSG plan'!CN56)</f>
        <v>0</v>
      </c>
      <c r="CN24" s="130">
        <f>SUM('INSC-POSG plan'!CO56)</f>
        <v>0</v>
      </c>
      <c r="CO24" s="130">
        <f>SUM('INSC-POSG plan'!CP56)</f>
        <v>11</v>
      </c>
      <c r="CP24" s="396">
        <f>SUM(CM24:CO24)</f>
        <v>11</v>
      </c>
      <c r="CQ24" s="129">
        <f>SUM('INSC-POSG plan'!CR56)</f>
        <v>0</v>
      </c>
      <c r="CR24" s="130">
        <f>SUM('INSC-POSG plan'!CS56)</f>
        <v>0</v>
      </c>
      <c r="CS24" s="130">
        <f>SUM('INSC-POSG plan'!CT56)</f>
        <v>19</v>
      </c>
      <c r="CT24" s="396">
        <f>SUM(CQ24:CS24)</f>
        <v>19</v>
      </c>
    </row>
    <row r="25" spans="1:98" s="161" customFormat="1" ht="15" x14ac:dyDescent="0.25">
      <c r="A25" s="1333"/>
      <c r="B25" s="1339" t="s">
        <v>317</v>
      </c>
      <c r="C25" s="1267"/>
      <c r="D25" s="1268"/>
      <c r="E25" s="1268"/>
      <c r="F25" s="1340"/>
      <c r="G25" s="1267"/>
      <c r="H25" s="1268"/>
      <c r="I25" s="1268"/>
      <c r="J25" s="1269"/>
      <c r="K25" s="1268"/>
      <c r="L25" s="1268"/>
      <c r="M25" s="1268"/>
      <c r="N25" s="1340"/>
      <c r="O25" s="1267"/>
      <c r="P25" s="1268"/>
      <c r="Q25" s="1268"/>
      <c r="R25" s="1269"/>
      <c r="S25" s="1268"/>
      <c r="T25" s="1268"/>
      <c r="U25" s="1268"/>
      <c r="V25" s="1340"/>
      <c r="W25" s="1267"/>
      <c r="X25" s="1268"/>
      <c r="Y25" s="1268"/>
      <c r="Z25" s="1269"/>
      <c r="AA25" s="1268"/>
      <c r="AB25" s="1268"/>
      <c r="AC25" s="1268"/>
      <c r="AD25" s="1340"/>
      <c r="AE25" s="1267"/>
      <c r="AF25" s="1268"/>
      <c r="AG25" s="1268"/>
      <c r="AH25" s="1269"/>
      <c r="AI25" s="1268"/>
      <c r="AJ25" s="1268"/>
      <c r="AK25" s="1268"/>
      <c r="AL25" s="1341"/>
      <c r="AM25" s="196"/>
      <c r="AN25" s="197"/>
      <c r="AO25" s="197"/>
      <c r="AP25" s="397"/>
      <c r="AQ25" s="196"/>
      <c r="AR25" s="197"/>
      <c r="AS25" s="197"/>
      <c r="AT25" s="197"/>
      <c r="AU25" s="196"/>
      <c r="AV25" s="197"/>
      <c r="AW25" s="197"/>
      <c r="AX25" s="397"/>
      <c r="AY25" s="196">
        <v>12</v>
      </c>
      <c r="AZ25" s="197"/>
      <c r="BA25" s="197"/>
      <c r="BB25" s="397">
        <f>SUM(AY25:BA25)</f>
        <v>12</v>
      </c>
      <c r="BC25" s="196">
        <f>SUM('INSC-POSG plan'!BD57)</f>
        <v>10</v>
      </c>
      <c r="BD25" s="197"/>
      <c r="BE25" s="197"/>
      <c r="BF25" s="397">
        <f>SUM(BC25:BE25)</f>
        <v>10</v>
      </c>
      <c r="BG25" s="196"/>
      <c r="BH25" s="197">
        <f>SUM('INSC-POSG plan'!BI57)</f>
        <v>2</v>
      </c>
      <c r="BI25" s="197">
        <f>SUM('INSC-POSG plan'!BJ57)</f>
        <v>15</v>
      </c>
      <c r="BJ25" s="397">
        <f>SUM(BG25:BI25)</f>
        <v>17</v>
      </c>
      <c r="BK25" s="196">
        <f>SUM('INSC-POSG plan'!BL57)</f>
        <v>0</v>
      </c>
      <c r="BL25" s="197">
        <f>SUM('INSC-POSG plan'!BM57)</f>
        <v>0</v>
      </c>
      <c r="BM25" s="197">
        <f>SUM('INSC-POSG plan'!BN57)</f>
        <v>17</v>
      </c>
      <c r="BN25" s="397">
        <f>SUM(BK25:BM25)</f>
        <v>17</v>
      </c>
      <c r="BO25" s="196">
        <f>SUM('INSC-POSG plan'!BP57)</f>
        <v>0</v>
      </c>
      <c r="BP25" s="197">
        <f>SUM('INSC-POSG plan'!BQ57)</f>
        <v>0</v>
      </c>
      <c r="BQ25" s="197">
        <f>SUM('INSC-POSG plan'!BR57)</f>
        <v>19</v>
      </c>
      <c r="BR25" s="397">
        <f>SUM(BO25:BQ25)</f>
        <v>19</v>
      </c>
      <c r="BS25" s="196">
        <f>SUM('INSC-POSG plan'!BT57)</f>
        <v>0</v>
      </c>
      <c r="BT25" s="197">
        <f>SUM('INSC-POSG plan'!BU57)</f>
        <v>0</v>
      </c>
      <c r="BU25" s="197">
        <f>SUM('INSC-POSG plan'!BV57)</f>
        <v>10</v>
      </c>
      <c r="BV25" s="397">
        <f>SUM(BS25:BU25)</f>
        <v>10</v>
      </c>
      <c r="BW25" s="196">
        <f>SUM('INSC-POSG plan'!BX57)</f>
        <v>0</v>
      </c>
      <c r="BX25" s="197">
        <f>SUM('INSC-POSG plan'!BY57)</f>
        <v>0</v>
      </c>
      <c r="BY25" s="197">
        <f>SUM('INSC-POSG plan'!BZ57)</f>
        <v>10</v>
      </c>
      <c r="BZ25" s="397">
        <f>SUM(BW25:BY25)</f>
        <v>10</v>
      </c>
      <c r="CA25" s="196">
        <f>SUM('INSC-POSG plan'!CB57)</f>
        <v>0</v>
      </c>
      <c r="CB25" s="197">
        <f>SUM('INSC-POSG plan'!CC57)</f>
        <v>0</v>
      </c>
      <c r="CC25" s="197">
        <f>SUM('INSC-POSG plan'!CD57)</f>
        <v>11</v>
      </c>
      <c r="CD25" s="397">
        <f>SUM(CA25:CC25)</f>
        <v>11</v>
      </c>
      <c r="CE25" s="196">
        <f>SUM('INSC-POSG plan'!CF57)</f>
        <v>0</v>
      </c>
      <c r="CF25" s="197">
        <f>SUM('INSC-POSG plan'!CG57)</f>
        <v>0</v>
      </c>
      <c r="CG25" s="197">
        <f>SUM('INSC-POSG plan'!CH57)</f>
        <v>12</v>
      </c>
      <c r="CH25" s="397">
        <f>SUM(CE25:CG25)</f>
        <v>12</v>
      </c>
      <c r="CI25" s="196">
        <f>SUM('INSC-POSG plan'!CJ57)</f>
        <v>0</v>
      </c>
      <c r="CJ25" s="197">
        <f>SUM('INSC-POSG plan'!CK57)</f>
        <v>0</v>
      </c>
      <c r="CK25" s="197">
        <f>SUM('INSC-POSG plan'!CL57)</f>
        <v>0</v>
      </c>
      <c r="CL25" s="397">
        <f>SUM(CI25:CK25)</f>
        <v>0</v>
      </c>
      <c r="CM25" s="196">
        <f>SUM('INSC-POSG plan'!CN57)</f>
        <v>0</v>
      </c>
      <c r="CN25" s="197">
        <f>SUM('INSC-POSG plan'!CO57)</f>
        <v>0</v>
      </c>
      <c r="CO25" s="197">
        <f>SUM('INSC-POSG plan'!CP57)</f>
        <v>11</v>
      </c>
      <c r="CP25" s="397">
        <f>SUM(CM25:CO25)</f>
        <v>11</v>
      </c>
      <c r="CQ25" s="196">
        <f>SUM('INSC-POSG plan'!CR57)</f>
        <v>0</v>
      </c>
      <c r="CR25" s="197">
        <f>SUM('INSC-POSG plan'!CS57)</f>
        <v>0</v>
      </c>
      <c r="CS25" s="197">
        <f>SUM('INSC-POSG plan'!CT57)</f>
        <v>9</v>
      </c>
      <c r="CT25" s="397">
        <f>SUM(CQ25:CS25)</f>
        <v>9</v>
      </c>
    </row>
    <row r="26" spans="1:98" s="161" customFormat="1" ht="15" x14ac:dyDescent="0.25">
      <c r="A26" s="1333"/>
      <c r="B26" s="1342" t="s">
        <v>426</v>
      </c>
      <c r="C26" s="1344"/>
      <c r="D26" s="1344"/>
      <c r="E26" s="1344"/>
      <c r="F26" s="1344"/>
      <c r="G26" s="1343"/>
      <c r="H26" s="1344"/>
      <c r="I26" s="1344"/>
      <c r="J26" s="1345"/>
      <c r="K26" s="1344"/>
      <c r="L26" s="1344"/>
      <c r="M26" s="1344"/>
      <c r="N26" s="1344"/>
      <c r="O26" s="1343"/>
      <c r="P26" s="1344"/>
      <c r="Q26" s="1344"/>
      <c r="R26" s="1345"/>
      <c r="S26" s="1344"/>
      <c r="T26" s="1344"/>
      <c r="U26" s="1344"/>
      <c r="V26" s="1344"/>
      <c r="W26" s="1343"/>
      <c r="X26" s="1344"/>
      <c r="Y26" s="1344"/>
      <c r="Z26" s="1345"/>
      <c r="AA26" s="1344"/>
      <c r="AB26" s="1344"/>
      <c r="AC26" s="1344"/>
      <c r="AD26" s="1344"/>
      <c r="AE26" s="1343"/>
      <c r="AF26" s="1344"/>
      <c r="AG26" s="1344"/>
      <c r="AH26" s="1345"/>
      <c r="AI26" s="1344"/>
      <c r="AJ26" s="1344"/>
      <c r="AK26" s="1344"/>
      <c r="AL26" s="1344"/>
      <c r="AM26" s="202"/>
      <c r="AN26" s="202"/>
      <c r="AO26" s="202"/>
      <c r="AP26" s="202"/>
      <c r="AQ26" s="202"/>
      <c r="AR26" s="202"/>
      <c r="AS26" s="202"/>
      <c r="AT26" s="202"/>
      <c r="AU26" s="201"/>
      <c r="AV26" s="202"/>
      <c r="AW26" s="202"/>
      <c r="AX26" s="203"/>
      <c r="AY26" s="201">
        <f>SUM(AY23:AY25)</f>
        <v>32</v>
      </c>
      <c r="AZ26" s="202"/>
      <c r="BA26" s="202"/>
      <c r="BB26" s="203">
        <f>SUM(AY26:BA26)</f>
        <v>32</v>
      </c>
      <c r="BC26" s="201">
        <f>SUM(BC23:BC25)</f>
        <v>23</v>
      </c>
      <c r="BD26" s="202"/>
      <c r="BE26" s="202"/>
      <c r="BF26" s="203">
        <f>SUM(BC26:BE26)</f>
        <v>23</v>
      </c>
      <c r="BG26" s="201">
        <f>SUM(BG23:BG25)</f>
        <v>23</v>
      </c>
      <c r="BH26" s="202">
        <f>SUM(BH25)</f>
        <v>2</v>
      </c>
      <c r="BI26" s="202">
        <f>SUM(BI24:BI25)</f>
        <v>15</v>
      </c>
      <c r="BJ26" s="203">
        <f>SUM(BG26:BI26)</f>
        <v>40</v>
      </c>
      <c r="BK26" s="201">
        <f>SUM(BK23:BK25)</f>
        <v>0</v>
      </c>
      <c r="BL26" s="202">
        <f>SUM(BL25)</f>
        <v>0</v>
      </c>
      <c r="BM26" s="202">
        <f>SUM(BM24:BM25)</f>
        <v>30</v>
      </c>
      <c r="BN26" s="203">
        <f>SUM(BK26:BM26)</f>
        <v>30</v>
      </c>
      <c r="BO26" s="201">
        <f>SUM(BO23:BO25)</f>
        <v>0</v>
      </c>
      <c r="BP26" s="202">
        <f>SUM(BP25)</f>
        <v>0</v>
      </c>
      <c r="BQ26" s="202">
        <f>SUM(BQ24:BQ25)</f>
        <v>40</v>
      </c>
      <c r="BR26" s="203">
        <f>SUM(BO26:BQ26)</f>
        <v>40</v>
      </c>
      <c r="BS26" s="201">
        <f>SUM(BS23:BS25)</f>
        <v>0</v>
      </c>
      <c r="BT26" s="202">
        <f>SUM(BT25)</f>
        <v>0</v>
      </c>
      <c r="BU26" s="202">
        <f>SUM(BU24:BU25)</f>
        <v>18</v>
      </c>
      <c r="BV26" s="203">
        <f>SUM(BS26:BU26)</f>
        <v>18</v>
      </c>
      <c r="BW26" s="201">
        <f>SUM(BW23:BW25)</f>
        <v>0</v>
      </c>
      <c r="BX26" s="202">
        <f>SUM(BX25)</f>
        <v>0</v>
      </c>
      <c r="BY26" s="202">
        <f>SUM(BY24:BY25)</f>
        <v>22</v>
      </c>
      <c r="BZ26" s="203">
        <f>SUM(BW26:BY26)</f>
        <v>22</v>
      </c>
      <c r="CA26" s="201">
        <f>SUM(CA23:CA25)</f>
        <v>0</v>
      </c>
      <c r="CB26" s="202">
        <f>SUM(CB25)</f>
        <v>0</v>
      </c>
      <c r="CC26" s="202">
        <f>SUM(CC24:CC25)</f>
        <v>21</v>
      </c>
      <c r="CD26" s="203">
        <f>SUM(CA26:CC26)</f>
        <v>21</v>
      </c>
      <c r="CE26" s="201">
        <f>SUM(CE23:CE25)</f>
        <v>0</v>
      </c>
      <c r="CF26" s="202">
        <f>SUM(CF25)</f>
        <v>0</v>
      </c>
      <c r="CG26" s="202">
        <f>SUM(CG24:CG25)</f>
        <v>26</v>
      </c>
      <c r="CH26" s="203">
        <f>SUM(CE26:CG26)</f>
        <v>26</v>
      </c>
      <c r="CI26" s="201">
        <f>SUM(CI23:CI25)</f>
        <v>0</v>
      </c>
      <c r="CJ26" s="202">
        <f>SUM(CJ25)</f>
        <v>0</v>
      </c>
      <c r="CK26" s="202">
        <f>SUM(CK24:CK25)</f>
        <v>0</v>
      </c>
      <c r="CL26" s="203">
        <f>SUM(CI26:CK26)</f>
        <v>0</v>
      </c>
      <c r="CM26" s="201">
        <f>SUM(CM23:CM25)</f>
        <v>0</v>
      </c>
      <c r="CN26" s="202">
        <f>SUM(CN25)</f>
        <v>0</v>
      </c>
      <c r="CO26" s="202">
        <f>SUM(CO24:CO25)</f>
        <v>22</v>
      </c>
      <c r="CP26" s="203">
        <f>SUM(CM26:CO26)</f>
        <v>22</v>
      </c>
      <c r="CQ26" s="201">
        <f>SUM(CQ23:CQ25)</f>
        <v>0</v>
      </c>
      <c r="CR26" s="202">
        <f>SUM(CR25)</f>
        <v>0</v>
      </c>
      <c r="CS26" s="202">
        <f>SUM(CS24:CS25)</f>
        <v>28</v>
      </c>
      <c r="CT26" s="203">
        <f>SUM(CQ26:CS26)</f>
        <v>28</v>
      </c>
    </row>
    <row r="27" spans="1:98" s="161" customFormat="1" ht="15" x14ac:dyDescent="0.25">
      <c r="A27" s="1333"/>
      <c r="B27" s="1334" t="s">
        <v>308</v>
      </c>
      <c r="C27" s="1258"/>
      <c r="D27" s="1259"/>
      <c r="E27" s="1259"/>
      <c r="F27" s="1298"/>
      <c r="G27" s="1258"/>
      <c r="H27" s="1259"/>
      <c r="I27" s="1259"/>
      <c r="J27" s="1260"/>
      <c r="K27" s="1259"/>
      <c r="L27" s="1259"/>
      <c r="M27" s="1259"/>
      <c r="N27" s="1298"/>
      <c r="O27" s="1258"/>
      <c r="P27" s="1259"/>
      <c r="Q27" s="1259"/>
      <c r="R27" s="1260"/>
      <c r="S27" s="1259"/>
      <c r="T27" s="1259"/>
      <c r="U27" s="1259"/>
      <c r="V27" s="1298"/>
      <c r="W27" s="1258"/>
      <c r="X27" s="1259"/>
      <c r="Y27" s="1259"/>
      <c r="Z27" s="1260"/>
      <c r="AA27" s="1259"/>
      <c r="AB27" s="1259"/>
      <c r="AC27" s="1259"/>
      <c r="AD27" s="1298"/>
      <c r="AE27" s="1258"/>
      <c r="AF27" s="1259"/>
      <c r="AG27" s="1259"/>
      <c r="AH27" s="1260"/>
      <c r="AI27" s="1259"/>
      <c r="AJ27" s="1259"/>
      <c r="AK27" s="1259"/>
      <c r="AL27" s="1335"/>
      <c r="AM27" s="151"/>
      <c r="AN27" s="152"/>
      <c r="AO27" s="152"/>
      <c r="AP27" s="395"/>
      <c r="AQ27" s="151"/>
      <c r="AR27" s="152"/>
      <c r="AS27" s="152"/>
      <c r="AT27" s="152"/>
      <c r="AU27" s="151"/>
      <c r="AV27" s="152"/>
      <c r="AW27" s="152"/>
      <c r="AX27" s="395"/>
      <c r="AY27" s="151"/>
      <c r="AZ27" s="152"/>
      <c r="BA27" s="152"/>
      <c r="BB27" s="395"/>
      <c r="BC27" s="151"/>
      <c r="BD27" s="152"/>
      <c r="BE27" s="152"/>
      <c r="BF27" s="395"/>
      <c r="BG27" s="151"/>
      <c r="BH27" s="152"/>
      <c r="BI27" s="152"/>
      <c r="BJ27" s="395"/>
      <c r="BK27" s="151"/>
      <c r="BL27" s="152"/>
      <c r="BM27" s="152"/>
      <c r="BN27" s="395"/>
      <c r="BO27" s="151"/>
      <c r="BP27" s="152"/>
      <c r="BQ27" s="152"/>
      <c r="BR27" s="395"/>
      <c r="BS27" s="151"/>
      <c r="BT27" s="152"/>
      <c r="BU27" s="152"/>
      <c r="BV27" s="395"/>
      <c r="BW27" s="151"/>
      <c r="BX27" s="152"/>
      <c r="BY27" s="152"/>
      <c r="BZ27" s="395"/>
      <c r="CA27" s="151"/>
      <c r="CB27" s="152"/>
      <c r="CC27" s="152"/>
      <c r="CD27" s="395"/>
      <c r="CE27" s="151"/>
      <c r="CF27" s="152"/>
      <c r="CG27" s="152"/>
      <c r="CH27" s="395"/>
      <c r="CI27" s="151"/>
      <c r="CJ27" s="152"/>
      <c r="CK27" s="152"/>
      <c r="CL27" s="395"/>
      <c r="CM27" s="151"/>
      <c r="CN27" s="152"/>
      <c r="CO27" s="152"/>
      <c r="CP27" s="395"/>
      <c r="CQ27" s="151"/>
      <c r="CR27" s="152"/>
      <c r="CS27" s="152"/>
      <c r="CT27" s="395"/>
    </row>
    <row r="28" spans="1:98" s="161" customFormat="1" ht="15" x14ac:dyDescent="0.25">
      <c r="A28" s="1333"/>
      <c r="B28" s="1336" t="s">
        <v>310</v>
      </c>
      <c r="C28" s="1262"/>
      <c r="D28" s="1263"/>
      <c r="E28" s="1263"/>
      <c r="F28" s="1337"/>
      <c r="G28" s="1262"/>
      <c r="H28" s="1263"/>
      <c r="I28" s="1263"/>
      <c r="J28" s="1264"/>
      <c r="K28" s="1263"/>
      <c r="L28" s="1263"/>
      <c r="M28" s="1263"/>
      <c r="N28" s="1337"/>
      <c r="O28" s="1262"/>
      <c r="P28" s="1263"/>
      <c r="Q28" s="1263"/>
      <c r="R28" s="1264"/>
      <c r="S28" s="1263"/>
      <c r="T28" s="1263"/>
      <c r="U28" s="1263"/>
      <c r="V28" s="1337"/>
      <c r="W28" s="1262"/>
      <c r="X28" s="1263"/>
      <c r="Y28" s="1263"/>
      <c r="Z28" s="1264"/>
      <c r="AA28" s="1263"/>
      <c r="AB28" s="1263"/>
      <c r="AC28" s="1263"/>
      <c r="AD28" s="1337"/>
      <c r="AE28" s="1262"/>
      <c r="AF28" s="1263"/>
      <c r="AG28" s="1263"/>
      <c r="AH28" s="1264"/>
      <c r="AI28" s="1263"/>
      <c r="AJ28" s="1263"/>
      <c r="AK28" s="1263"/>
      <c r="AL28" s="1338"/>
      <c r="AM28" s="129"/>
      <c r="AN28" s="130"/>
      <c r="AO28" s="130"/>
      <c r="AP28" s="396"/>
      <c r="AQ28" s="129"/>
      <c r="AR28" s="130"/>
      <c r="AS28" s="130"/>
      <c r="AT28" s="130"/>
      <c r="AU28" s="129"/>
      <c r="AV28" s="130"/>
      <c r="AW28" s="130"/>
      <c r="AX28" s="396"/>
      <c r="AY28" s="129"/>
      <c r="AZ28" s="130"/>
      <c r="BA28" s="130"/>
      <c r="BB28" s="396"/>
      <c r="BC28" s="129"/>
      <c r="BD28" s="130"/>
      <c r="BE28" s="130">
        <f>SUM('INSC-POSG plan'!BF59)</f>
        <v>12</v>
      </c>
      <c r="BF28" s="396">
        <f>SUM(BC28:BE28)</f>
        <v>12</v>
      </c>
      <c r="BG28" s="129"/>
      <c r="BH28" s="130"/>
      <c r="BI28" s="130">
        <f>SUM('INSC-POSG plan'!BJ59)</f>
        <v>12</v>
      </c>
      <c r="BJ28" s="396">
        <f>SUM(BG28:BI28)</f>
        <v>12</v>
      </c>
      <c r="BK28" s="130">
        <f>SUM('INSC-POSG plan'!BL59)</f>
        <v>0</v>
      </c>
      <c r="BL28" s="130">
        <f>SUM('INSC-POSG plan'!BM59)</f>
        <v>0</v>
      </c>
      <c r="BM28" s="130">
        <f>SUM('INSC-POSG plan'!BN59)</f>
        <v>20</v>
      </c>
      <c r="BN28" s="396">
        <f>SUM(BK28:BM28)</f>
        <v>20</v>
      </c>
      <c r="BO28" s="130">
        <f>SUM('INSC-POSG plan'!BP59)</f>
        <v>0</v>
      </c>
      <c r="BP28" s="130">
        <f>SUM('INSC-POSG plan'!BQ59)</f>
        <v>0</v>
      </c>
      <c r="BQ28" s="130">
        <f>SUM('INSC-POSG plan'!BR59)</f>
        <v>18</v>
      </c>
      <c r="BR28" s="396">
        <f>SUM(BO28:BQ28)</f>
        <v>18</v>
      </c>
      <c r="BS28" s="130">
        <f>SUM('INSC-POSG plan'!BT59)</f>
        <v>0</v>
      </c>
      <c r="BT28" s="130">
        <f>SUM('INSC-POSG plan'!BU59)</f>
        <v>0</v>
      </c>
      <c r="BU28" s="130">
        <f>SUM('INSC-POSG plan'!BV59)</f>
        <v>22</v>
      </c>
      <c r="BV28" s="396">
        <f>SUM(BS28:BU28)</f>
        <v>22</v>
      </c>
      <c r="BW28" s="130">
        <f>SUM('INSC-POSG plan'!BX59)</f>
        <v>0</v>
      </c>
      <c r="BX28" s="130">
        <f>SUM('INSC-POSG plan'!BY59)</f>
        <v>0</v>
      </c>
      <c r="BY28" s="130">
        <f>SUM('INSC-POSG plan'!BZ59)</f>
        <v>22</v>
      </c>
      <c r="BZ28" s="396">
        <f>SUM(BW28:BY28)</f>
        <v>22</v>
      </c>
      <c r="CA28" s="130">
        <f>SUM('INSC-POSG plan'!CB59)</f>
        <v>0</v>
      </c>
      <c r="CB28" s="130">
        <f>SUM('INSC-POSG plan'!CC59)</f>
        <v>0</v>
      </c>
      <c r="CC28" s="130">
        <f>SUM('INSC-POSG plan'!CD59)</f>
        <v>22</v>
      </c>
      <c r="CD28" s="396">
        <f>SUM(CA28:CC28)</f>
        <v>22</v>
      </c>
      <c r="CE28" s="130">
        <f>SUM('INSC-POSG plan'!CF59)</f>
        <v>0</v>
      </c>
      <c r="CF28" s="130">
        <f>SUM('INSC-POSG plan'!CG59)</f>
        <v>0</v>
      </c>
      <c r="CG28" s="130">
        <f>SUM('INSC-POSG plan'!CH59)</f>
        <v>21</v>
      </c>
      <c r="CH28" s="396">
        <f>SUM(CE28:CG28)</f>
        <v>21</v>
      </c>
      <c r="CI28" s="130">
        <f>SUM('INSC-POSG plan'!CJ59)</f>
        <v>0</v>
      </c>
      <c r="CJ28" s="130">
        <f>SUM('INSC-POSG plan'!CK59)</f>
        <v>0</v>
      </c>
      <c r="CK28" s="130">
        <f>SUM('INSC-POSG plan'!CL59)</f>
        <v>20</v>
      </c>
      <c r="CL28" s="396">
        <f>SUM(CI28:CK28)</f>
        <v>20</v>
      </c>
      <c r="CM28" s="130">
        <f>SUM('INSC-POSG plan'!CN59)</f>
        <v>0</v>
      </c>
      <c r="CN28" s="130">
        <f>SUM('INSC-POSG plan'!CO59)</f>
        <v>0</v>
      </c>
      <c r="CO28" s="130">
        <f>SUM('INSC-POSG plan'!CP59)</f>
        <v>21</v>
      </c>
      <c r="CP28" s="396">
        <f>SUM(CM28:CO28)</f>
        <v>21</v>
      </c>
      <c r="CQ28" s="130">
        <f>SUM('INSC-POSG plan'!CR59)</f>
        <v>0</v>
      </c>
      <c r="CR28" s="130">
        <f>SUM('INSC-POSG plan'!CS59)</f>
        <v>0</v>
      </c>
      <c r="CS28" s="130">
        <f>SUM('INSC-POSG plan'!CT59)</f>
        <v>19</v>
      </c>
      <c r="CT28" s="396">
        <f>SUM(CQ28:CS28)</f>
        <v>19</v>
      </c>
    </row>
    <row r="29" spans="1:98" s="161" customFormat="1" ht="15" x14ac:dyDescent="0.25">
      <c r="A29" s="1333"/>
      <c r="B29" s="1339" t="s">
        <v>317</v>
      </c>
      <c r="C29" s="1267"/>
      <c r="D29" s="1268"/>
      <c r="E29" s="1268"/>
      <c r="F29" s="1340"/>
      <c r="G29" s="1267"/>
      <c r="H29" s="1268"/>
      <c r="I29" s="1268"/>
      <c r="J29" s="1269"/>
      <c r="K29" s="1268"/>
      <c r="L29" s="1268"/>
      <c r="M29" s="1268"/>
      <c r="N29" s="1340"/>
      <c r="O29" s="1267"/>
      <c r="P29" s="1268"/>
      <c r="Q29" s="1268"/>
      <c r="R29" s="1269"/>
      <c r="S29" s="1268"/>
      <c r="T29" s="1268"/>
      <c r="U29" s="1268"/>
      <c r="V29" s="1340"/>
      <c r="W29" s="1267"/>
      <c r="X29" s="1268"/>
      <c r="Y29" s="1268"/>
      <c r="Z29" s="1269"/>
      <c r="AA29" s="1268"/>
      <c r="AB29" s="1268"/>
      <c r="AC29" s="1268"/>
      <c r="AD29" s="1340"/>
      <c r="AE29" s="1267"/>
      <c r="AF29" s="1268"/>
      <c r="AG29" s="1268"/>
      <c r="AH29" s="1269"/>
      <c r="AI29" s="1268"/>
      <c r="AJ29" s="1268"/>
      <c r="AK29" s="1268"/>
      <c r="AL29" s="1341"/>
      <c r="AM29" s="196"/>
      <c r="AN29" s="197"/>
      <c r="AO29" s="197"/>
      <c r="AP29" s="397"/>
      <c r="AQ29" s="196"/>
      <c r="AR29" s="197"/>
      <c r="AS29" s="197"/>
      <c r="AT29" s="197"/>
      <c r="AU29" s="196"/>
      <c r="AV29" s="197"/>
      <c r="AW29" s="197"/>
      <c r="AX29" s="397"/>
      <c r="AY29" s="196"/>
      <c r="AZ29" s="197"/>
      <c r="BA29" s="197"/>
      <c r="BB29" s="397"/>
      <c r="BC29" s="196"/>
      <c r="BD29" s="197"/>
      <c r="BE29" s="197"/>
      <c r="BF29" s="397"/>
      <c r="BG29" s="196"/>
      <c r="BH29" s="197"/>
      <c r="BI29" s="197"/>
      <c r="BJ29" s="397"/>
      <c r="BK29" s="196"/>
      <c r="BL29" s="197"/>
      <c r="BM29" s="197"/>
      <c r="BN29" s="397"/>
      <c r="BO29" s="196"/>
      <c r="BP29" s="197"/>
      <c r="BQ29" s="197"/>
      <c r="BR29" s="397"/>
      <c r="BS29" s="196"/>
      <c r="BT29" s="197"/>
      <c r="BU29" s="197"/>
      <c r="BV29" s="397"/>
      <c r="BW29" s="196"/>
      <c r="BX29" s="197"/>
      <c r="BY29" s="197"/>
      <c r="BZ29" s="397"/>
      <c r="CA29" s="196"/>
      <c r="CB29" s="197"/>
      <c r="CC29" s="197"/>
      <c r="CD29" s="397"/>
      <c r="CE29" s="196"/>
      <c r="CF29" s="197"/>
      <c r="CG29" s="197"/>
      <c r="CH29" s="397"/>
      <c r="CI29" s="196"/>
      <c r="CJ29" s="197"/>
      <c r="CK29" s="197"/>
      <c r="CL29" s="397"/>
      <c r="CM29" s="196"/>
      <c r="CN29" s="197"/>
      <c r="CO29" s="197"/>
      <c r="CP29" s="397"/>
      <c r="CQ29" s="196"/>
      <c r="CR29" s="197"/>
      <c r="CS29" s="197"/>
      <c r="CT29" s="397"/>
    </row>
    <row r="30" spans="1:98" s="161" customFormat="1" ht="15" x14ac:dyDescent="0.25">
      <c r="A30" s="1333"/>
      <c r="B30" s="1342" t="s">
        <v>428</v>
      </c>
      <c r="C30" s="1344"/>
      <c r="D30" s="1344"/>
      <c r="E30" s="1344"/>
      <c r="F30" s="1344"/>
      <c r="G30" s="1343"/>
      <c r="H30" s="1344"/>
      <c r="I30" s="1344"/>
      <c r="J30" s="1345"/>
      <c r="K30" s="1344"/>
      <c r="L30" s="1344"/>
      <c r="M30" s="1344"/>
      <c r="N30" s="1344"/>
      <c r="O30" s="1343"/>
      <c r="P30" s="1344"/>
      <c r="Q30" s="1344"/>
      <c r="R30" s="1345"/>
      <c r="S30" s="1344"/>
      <c r="T30" s="1344"/>
      <c r="U30" s="1344"/>
      <c r="V30" s="1344"/>
      <c r="W30" s="1343"/>
      <c r="X30" s="1344"/>
      <c r="Y30" s="1344"/>
      <c r="Z30" s="1345"/>
      <c r="AA30" s="1344"/>
      <c r="AB30" s="1344"/>
      <c r="AC30" s="1344"/>
      <c r="AD30" s="1344"/>
      <c r="AE30" s="1343"/>
      <c r="AF30" s="1344"/>
      <c r="AG30" s="1344"/>
      <c r="AH30" s="1345"/>
      <c r="AI30" s="1344"/>
      <c r="AJ30" s="1344"/>
      <c r="AK30" s="1344"/>
      <c r="AL30" s="1344"/>
      <c r="AM30" s="202"/>
      <c r="AN30" s="202"/>
      <c r="AO30" s="202"/>
      <c r="AP30" s="202"/>
      <c r="AQ30" s="202"/>
      <c r="AR30" s="202"/>
      <c r="AS30" s="202"/>
      <c r="AT30" s="202"/>
      <c r="AU30" s="201"/>
      <c r="AV30" s="202"/>
      <c r="AW30" s="202"/>
      <c r="AX30" s="203"/>
      <c r="AY30" s="201"/>
      <c r="AZ30" s="202"/>
      <c r="BA30" s="202"/>
      <c r="BB30" s="203"/>
      <c r="BC30" s="201"/>
      <c r="BD30" s="202"/>
      <c r="BE30" s="202">
        <f>SUM(BE27:BE29)</f>
        <v>12</v>
      </c>
      <c r="BF30" s="203">
        <f>SUM(BC30:BE30)</f>
        <v>12</v>
      </c>
      <c r="BG30" s="201"/>
      <c r="BH30" s="202"/>
      <c r="BI30" s="202">
        <f>SUM(BI27:BI29)</f>
        <v>12</v>
      </c>
      <c r="BJ30" s="203">
        <f>SUM(BG30:BI30)</f>
        <v>12</v>
      </c>
      <c r="BK30" s="202">
        <f>SUM(BK27:BK29)</f>
        <v>0</v>
      </c>
      <c r="BL30" s="202">
        <f>SUM(BL27:BL29)</f>
        <v>0</v>
      </c>
      <c r="BM30" s="202">
        <f>SUM(BM27:BM29)</f>
        <v>20</v>
      </c>
      <c r="BN30" s="203">
        <f>SUM(BK30:BM30)</f>
        <v>20</v>
      </c>
      <c r="BO30" s="202">
        <f>SUM(BO27:BO29)</f>
        <v>0</v>
      </c>
      <c r="BP30" s="202">
        <f>SUM(BP27:BP29)</f>
        <v>0</v>
      </c>
      <c r="BQ30" s="202">
        <f>SUM(BQ27:BQ29)</f>
        <v>18</v>
      </c>
      <c r="BR30" s="203">
        <f>SUM(BO30:BQ30)</f>
        <v>18</v>
      </c>
      <c r="BS30" s="202">
        <f>SUM(BS27:BS29)</f>
        <v>0</v>
      </c>
      <c r="BT30" s="202">
        <f>SUM(BT27:BT29)</f>
        <v>0</v>
      </c>
      <c r="BU30" s="202">
        <f>SUM(BU27:BU29)</f>
        <v>22</v>
      </c>
      <c r="BV30" s="203">
        <f>SUM(BS30:BU30)</f>
        <v>22</v>
      </c>
      <c r="BW30" s="202">
        <f>SUM(BW27:BW29)</f>
        <v>0</v>
      </c>
      <c r="BX30" s="202">
        <f>SUM(BX27:BX29)</f>
        <v>0</v>
      </c>
      <c r="BY30" s="202">
        <f>SUM(BY27:BY29)</f>
        <v>22</v>
      </c>
      <c r="BZ30" s="203">
        <f>SUM(BW30:BY30)</f>
        <v>22</v>
      </c>
      <c r="CA30" s="202">
        <f>SUM(CA27:CA29)</f>
        <v>0</v>
      </c>
      <c r="CB30" s="202">
        <f>SUM(CB27:CB29)</f>
        <v>0</v>
      </c>
      <c r="CC30" s="202">
        <f>SUM(CC27:CC29)</f>
        <v>22</v>
      </c>
      <c r="CD30" s="203">
        <f>SUM(CA30:CC30)</f>
        <v>22</v>
      </c>
      <c r="CE30" s="202">
        <f>SUM(CE27:CE29)</f>
        <v>0</v>
      </c>
      <c r="CF30" s="202">
        <f>SUM(CF27:CF29)</f>
        <v>0</v>
      </c>
      <c r="CG30" s="202">
        <f>SUM(CG27:CG29)</f>
        <v>21</v>
      </c>
      <c r="CH30" s="203">
        <f>SUM(CE30:CG30)</f>
        <v>21</v>
      </c>
      <c r="CI30" s="202">
        <f>SUM(CI27:CI29)</f>
        <v>0</v>
      </c>
      <c r="CJ30" s="202">
        <f>SUM(CJ27:CJ29)</f>
        <v>0</v>
      </c>
      <c r="CK30" s="202">
        <f>SUM(CK27:CK29)</f>
        <v>20</v>
      </c>
      <c r="CL30" s="203">
        <f>SUM(CI30:CK30)</f>
        <v>20</v>
      </c>
      <c r="CM30" s="202">
        <f>SUM(CM27:CM29)</f>
        <v>0</v>
      </c>
      <c r="CN30" s="202">
        <f>SUM(CN27:CN29)</f>
        <v>0</v>
      </c>
      <c r="CO30" s="202">
        <f>SUM(CO27:CO29)</f>
        <v>21</v>
      </c>
      <c r="CP30" s="203">
        <f>SUM(CM30:CO30)</f>
        <v>21</v>
      </c>
      <c r="CQ30" s="202">
        <f>SUM(CQ27:CQ29)</f>
        <v>0</v>
      </c>
      <c r="CR30" s="202">
        <f>SUM(CR27:CR29)</f>
        <v>0</v>
      </c>
      <c r="CS30" s="202">
        <f>SUM(CS27:CS29)</f>
        <v>19</v>
      </c>
      <c r="CT30" s="203">
        <f>SUM(CQ30:CS30)</f>
        <v>19</v>
      </c>
    </row>
    <row r="31" spans="1:98" s="161" customFormat="1" ht="15" x14ac:dyDescent="0.25">
      <c r="A31" s="1333"/>
      <c r="B31" s="1334" t="s">
        <v>308</v>
      </c>
      <c r="C31" s="1258"/>
      <c r="D31" s="1259"/>
      <c r="E31" s="1259"/>
      <c r="F31" s="1298"/>
      <c r="G31" s="1258"/>
      <c r="H31" s="1259"/>
      <c r="I31" s="1259"/>
      <c r="J31" s="1260"/>
      <c r="K31" s="1259"/>
      <c r="L31" s="1259"/>
      <c r="M31" s="1259"/>
      <c r="N31" s="1298"/>
      <c r="O31" s="1258"/>
      <c r="P31" s="1259"/>
      <c r="Q31" s="1259"/>
      <c r="R31" s="1260"/>
      <c r="S31" s="1259"/>
      <c r="T31" s="1259"/>
      <c r="U31" s="1259"/>
      <c r="V31" s="1298"/>
      <c r="W31" s="1258"/>
      <c r="X31" s="1259"/>
      <c r="Y31" s="1259"/>
      <c r="Z31" s="1260"/>
      <c r="AA31" s="1259"/>
      <c r="AB31" s="1259"/>
      <c r="AC31" s="1259"/>
      <c r="AD31" s="1298"/>
      <c r="AE31" s="1258"/>
      <c r="AF31" s="1259"/>
      <c r="AG31" s="1259"/>
      <c r="AH31" s="1260"/>
      <c r="AI31" s="1259"/>
      <c r="AJ31" s="1259"/>
      <c r="AK31" s="1259"/>
      <c r="AL31" s="1335"/>
      <c r="AM31" s="151"/>
      <c r="AN31" s="152"/>
      <c r="AO31" s="152"/>
      <c r="AP31" s="395"/>
      <c r="AQ31" s="151"/>
      <c r="AR31" s="152"/>
      <c r="AS31" s="152"/>
      <c r="AT31" s="152"/>
      <c r="AU31" s="151"/>
      <c r="AV31" s="152"/>
      <c r="AW31" s="152"/>
      <c r="AX31" s="395"/>
      <c r="AY31" s="151"/>
      <c r="AZ31" s="152"/>
      <c r="BA31" s="152"/>
      <c r="BB31" s="395"/>
      <c r="BC31" s="151"/>
      <c r="BD31" s="152">
        <f>SUM('INSC-POSG plan'!BE61)</f>
        <v>2</v>
      </c>
      <c r="BE31" s="152">
        <f>SUM('INSC-POSG plan'!BF61)</f>
        <v>1</v>
      </c>
      <c r="BF31" s="395">
        <f>SUM(BC31:BE31)</f>
        <v>3</v>
      </c>
      <c r="BG31" s="151">
        <f>SUM('INSC-POSG plan'!BH61)</f>
        <v>1</v>
      </c>
      <c r="BH31" s="152"/>
      <c r="BI31" s="152">
        <f>SUM('INSC-POSG plan'!BJ61)</f>
        <v>1</v>
      </c>
      <c r="BJ31" s="395">
        <f>SUM(BG31:BI31)</f>
        <v>2</v>
      </c>
      <c r="BK31" s="151">
        <f>SUM('INSC-POSG plan'!BL61)</f>
        <v>2</v>
      </c>
      <c r="BL31" s="152">
        <f>SUM('INSC-POSG plan'!BM61)</f>
        <v>0</v>
      </c>
      <c r="BM31" s="152">
        <f>SUM('INSC-POSG plan'!BN61)</f>
        <v>1</v>
      </c>
      <c r="BN31" s="395">
        <f>SUM(BK31:BM31)</f>
        <v>3</v>
      </c>
      <c r="BO31" s="151">
        <f>SUM('INSC-POSG plan'!BP61)</f>
        <v>2</v>
      </c>
      <c r="BP31" s="152">
        <f>SUM('INSC-POSG plan'!BQ61)</f>
        <v>1</v>
      </c>
      <c r="BQ31" s="152">
        <f>SUM('INSC-POSG plan'!BR61)</f>
        <v>4</v>
      </c>
      <c r="BR31" s="395">
        <f>SUM(BO31:BQ31)</f>
        <v>7</v>
      </c>
      <c r="BS31" s="151">
        <f>SUM('INSC-POSG plan'!BT61)</f>
        <v>2</v>
      </c>
      <c r="BT31" s="152">
        <f>SUM('INSC-POSG plan'!BU61)</f>
        <v>1</v>
      </c>
      <c r="BU31" s="152">
        <f>SUM('INSC-POSG plan'!BV61)</f>
        <v>2</v>
      </c>
      <c r="BV31" s="395">
        <f>SUM(BS31:BU31)</f>
        <v>5</v>
      </c>
      <c r="BW31" s="151">
        <f>SUM('INSC-POSG plan'!BX61)</f>
        <v>2</v>
      </c>
      <c r="BX31" s="152">
        <f>SUM('INSC-POSG plan'!BY61)</f>
        <v>0</v>
      </c>
      <c r="BY31" s="152">
        <f>SUM('INSC-POSG plan'!BZ61)</f>
        <v>1</v>
      </c>
      <c r="BZ31" s="395">
        <f>SUM(BW31:BY31)</f>
        <v>3</v>
      </c>
      <c r="CA31" s="151">
        <f>SUM('INSC-POSG plan'!CB61)</f>
        <v>2</v>
      </c>
      <c r="CB31" s="152">
        <f>SUM('INSC-POSG plan'!CC61)</f>
        <v>0</v>
      </c>
      <c r="CC31" s="152">
        <f>SUM('INSC-POSG plan'!CD61)</f>
        <v>0</v>
      </c>
      <c r="CD31" s="395">
        <f>SUM(CA31:CC31)</f>
        <v>2</v>
      </c>
      <c r="CE31" s="151">
        <f>SUM('INSC-POSG plan'!CF61)</f>
        <v>0</v>
      </c>
      <c r="CF31" s="152">
        <f>SUM('INSC-POSG plan'!CG61)</f>
        <v>0</v>
      </c>
      <c r="CG31" s="152">
        <f>SUM('INSC-POSG plan'!CH61)</f>
        <v>0</v>
      </c>
      <c r="CH31" s="395">
        <f>SUM(CE31:CG31)</f>
        <v>0</v>
      </c>
      <c r="CI31" s="151">
        <f>SUM('INSC-POSG plan'!CJ61)</f>
        <v>2</v>
      </c>
      <c r="CJ31" s="152">
        <f>SUM('INSC-POSG plan'!CK61)</f>
        <v>1</v>
      </c>
      <c r="CK31" s="152">
        <f>SUM('INSC-POSG plan'!CL61)</f>
        <v>0</v>
      </c>
      <c r="CL31" s="395">
        <f>SUM(CI31:CK31)</f>
        <v>3</v>
      </c>
      <c r="CM31" s="151">
        <f>SUM('INSC-POSG plan'!CN61)</f>
        <v>0</v>
      </c>
      <c r="CN31" s="152">
        <f>SUM('INSC-POSG plan'!CO61)</f>
        <v>0</v>
      </c>
      <c r="CO31" s="152">
        <f>SUM('INSC-POSG plan'!CP61)</f>
        <v>0</v>
      </c>
      <c r="CP31" s="395">
        <f>SUM(CM31:CO31)</f>
        <v>0</v>
      </c>
      <c r="CQ31" s="151">
        <f>SUM('INSC-POSG plan'!CR61)</f>
        <v>1</v>
      </c>
      <c r="CR31" s="152">
        <f>SUM('INSC-POSG plan'!CS61)</f>
        <v>0</v>
      </c>
      <c r="CS31" s="152">
        <f>SUM('INSC-POSG plan'!CT61)</f>
        <v>0</v>
      </c>
      <c r="CT31" s="395">
        <f>SUM(CQ31:CS31)</f>
        <v>1</v>
      </c>
    </row>
    <row r="32" spans="1:98" s="161" customFormat="1" ht="15" x14ac:dyDescent="0.25">
      <c r="A32" s="1333"/>
      <c r="B32" s="1336" t="s">
        <v>310</v>
      </c>
      <c r="C32" s="1262"/>
      <c r="D32" s="1263"/>
      <c r="E32" s="1263"/>
      <c r="F32" s="1337"/>
      <c r="G32" s="1262"/>
      <c r="H32" s="1263"/>
      <c r="I32" s="1263"/>
      <c r="J32" s="1264"/>
      <c r="K32" s="1263"/>
      <c r="L32" s="1263"/>
      <c r="M32" s="1263"/>
      <c r="N32" s="1337"/>
      <c r="O32" s="1262"/>
      <c r="P32" s="1263"/>
      <c r="Q32" s="1263"/>
      <c r="R32" s="1264"/>
      <c r="S32" s="1263"/>
      <c r="T32" s="1263"/>
      <c r="U32" s="1263"/>
      <c r="V32" s="1337"/>
      <c r="W32" s="1262"/>
      <c r="X32" s="1263"/>
      <c r="Y32" s="1263"/>
      <c r="Z32" s="1264"/>
      <c r="AA32" s="1263"/>
      <c r="AB32" s="1263"/>
      <c r="AC32" s="1263"/>
      <c r="AD32" s="1337"/>
      <c r="AE32" s="1262"/>
      <c r="AF32" s="1263"/>
      <c r="AG32" s="1263"/>
      <c r="AH32" s="1264"/>
      <c r="AI32" s="1263"/>
      <c r="AJ32" s="1263"/>
      <c r="AK32" s="1263"/>
      <c r="AL32" s="1338"/>
      <c r="AM32" s="129"/>
      <c r="AN32" s="130"/>
      <c r="AO32" s="130"/>
      <c r="AP32" s="396"/>
      <c r="AQ32" s="129"/>
      <c r="AR32" s="130"/>
      <c r="AS32" s="130"/>
      <c r="AT32" s="130"/>
      <c r="AU32" s="129"/>
      <c r="AV32" s="130"/>
      <c r="AW32" s="130"/>
      <c r="AX32" s="396"/>
      <c r="AY32" s="129"/>
      <c r="AZ32" s="130"/>
      <c r="BA32" s="130"/>
      <c r="BB32" s="396"/>
      <c r="BC32" s="129"/>
      <c r="BD32" s="130"/>
      <c r="BE32" s="130">
        <f>SUM('INSC-POSG plan'!BF62)</f>
        <v>9</v>
      </c>
      <c r="BF32" s="396">
        <f>SUM(BC32:BE32)</f>
        <v>9</v>
      </c>
      <c r="BG32" s="129"/>
      <c r="BH32" s="130"/>
      <c r="BI32" s="130">
        <f>SUM('INSC-POSG plan'!BJ62)</f>
        <v>13</v>
      </c>
      <c r="BJ32" s="396">
        <f>SUM(BG32:BI32)</f>
        <v>13</v>
      </c>
      <c r="BK32" s="129">
        <f>SUM('INSC-POSG plan'!BL62)</f>
        <v>0</v>
      </c>
      <c r="BL32" s="130">
        <f>SUM('INSC-POSG plan'!BM62)</f>
        <v>0</v>
      </c>
      <c r="BM32" s="130">
        <f>SUM('INSC-POSG plan'!BN62)</f>
        <v>12</v>
      </c>
      <c r="BN32" s="396">
        <f>SUM(BK32:BM32)</f>
        <v>12</v>
      </c>
      <c r="BO32" s="129">
        <f>SUM('INSC-POSG plan'!BP62)</f>
        <v>0</v>
      </c>
      <c r="BP32" s="130">
        <f>SUM('INSC-POSG plan'!BQ62)</f>
        <v>0</v>
      </c>
      <c r="BQ32" s="130">
        <f>SUM('INSC-POSG plan'!BR62)</f>
        <v>13</v>
      </c>
      <c r="BR32" s="396">
        <f>SUM(BO32:BQ32)</f>
        <v>13</v>
      </c>
      <c r="BS32" s="129">
        <f>SUM('INSC-POSG plan'!BT62)</f>
        <v>0</v>
      </c>
      <c r="BT32" s="130">
        <f>SUM('INSC-POSG plan'!BU62)</f>
        <v>0</v>
      </c>
      <c r="BU32" s="130">
        <f>SUM('INSC-POSG plan'!BV62)</f>
        <v>12</v>
      </c>
      <c r="BV32" s="396">
        <f>SUM(BS32:BU32)</f>
        <v>12</v>
      </c>
      <c r="BW32" s="129">
        <f>SUM('INSC-POSG plan'!BX62)</f>
        <v>0</v>
      </c>
      <c r="BX32" s="130">
        <f>SUM('INSC-POSG plan'!BY62)</f>
        <v>0</v>
      </c>
      <c r="BY32" s="130">
        <f>SUM('INSC-POSG plan'!BZ62)</f>
        <v>10</v>
      </c>
      <c r="BZ32" s="396">
        <f>SUM(BW32:BY32)</f>
        <v>10</v>
      </c>
      <c r="CA32" s="129">
        <f>SUM('INSC-POSG plan'!CB62)</f>
        <v>0</v>
      </c>
      <c r="CB32" s="130">
        <f>SUM('INSC-POSG plan'!CC62)</f>
        <v>0</v>
      </c>
      <c r="CC32" s="130">
        <f>SUM('INSC-POSG plan'!CD62)</f>
        <v>7</v>
      </c>
      <c r="CD32" s="396">
        <f>SUM(CA32:CC32)</f>
        <v>7</v>
      </c>
      <c r="CE32" s="129">
        <f>SUM('INSC-POSG plan'!CF62)</f>
        <v>0</v>
      </c>
      <c r="CF32" s="130">
        <f>SUM('INSC-POSG plan'!CG62)</f>
        <v>0</v>
      </c>
      <c r="CG32" s="130">
        <f>SUM('INSC-POSG plan'!CH62)</f>
        <v>9</v>
      </c>
      <c r="CH32" s="396">
        <f>SUM(CE32:CG32)</f>
        <v>9</v>
      </c>
      <c r="CI32" s="129">
        <f>SUM('INSC-POSG plan'!CJ62)</f>
        <v>0</v>
      </c>
      <c r="CJ32" s="130">
        <f>SUM('INSC-POSG plan'!CK62)</f>
        <v>3</v>
      </c>
      <c r="CK32" s="130">
        <f>SUM('INSC-POSG plan'!CL62)</f>
        <v>0</v>
      </c>
      <c r="CL32" s="396">
        <f>SUM(CI32:CK32)</f>
        <v>3</v>
      </c>
      <c r="CM32" s="129">
        <f>SUM('INSC-POSG plan'!CN62)</f>
        <v>0</v>
      </c>
      <c r="CN32" s="130">
        <f>SUM('INSC-POSG plan'!CO62)</f>
        <v>10</v>
      </c>
      <c r="CO32" s="130">
        <f>SUM('INSC-POSG plan'!CP62)</f>
        <v>0</v>
      </c>
      <c r="CP32" s="396">
        <f>SUM(CM32:CO32)</f>
        <v>10</v>
      </c>
      <c r="CQ32" s="129">
        <f>SUM('INSC-POSG plan'!CR62)</f>
        <v>0</v>
      </c>
      <c r="CR32" s="130">
        <f>SUM('INSC-POSG plan'!CS62)</f>
        <v>0</v>
      </c>
      <c r="CS32" s="130">
        <f>SUM('INSC-POSG plan'!CT62)</f>
        <v>11</v>
      </c>
      <c r="CT32" s="396">
        <f>SUM(CQ32:CS32)</f>
        <v>11</v>
      </c>
    </row>
    <row r="33" spans="1:98" s="161" customFormat="1" ht="15" x14ac:dyDescent="0.25">
      <c r="A33" s="1333"/>
      <c r="B33" s="1339" t="s">
        <v>317</v>
      </c>
      <c r="C33" s="1267"/>
      <c r="D33" s="1268"/>
      <c r="E33" s="1268"/>
      <c r="F33" s="1340"/>
      <c r="G33" s="1267"/>
      <c r="H33" s="1268"/>
      <c r="I33" s="1268"/>
      <c r="J33" s="1269"/>
      <c r="K33" s="1268"/>
      <c r="L33" s="1268"/>
      <c r="M33" s="1268"/>
      <c r="N33" s="1340"/>
      <c r="O33" s="1267"/>
      <c r="P33" s="1268"/>
      <c r="Q33" s="1268"/>
      <c r="R33" s="1269"/>
      <c r="S33" s="1268"/>
      <c r="T33" s="1268"/>
      <c r="U33" s="1268"/>
      <c r="V33" s="1340"/>
      <c r="W33" s="1267"/>
      <c r="X33" s="1268"/>
      <c r="Y33" s="1268"/>
      <c r="Z33" s="1269"/>
      <c r="AA33" s="1268"/>
      <c r="AB33" s="1268"/>
      <c r="AC33" s="1268"/>
      <c r="AD33" s="1340"/>
      <c r="AE33" s="1267"/>
      <c r="AF33" s="1268"/>
      <c r="AG33" s="1268"/>
      <c r="AH33" s="1269"/>
      <c r="AI33" s="1268"/>
      <c r="AJ33" s="1268"/>
      <c r="AK33" s="1268"/>
      <c r="AL33" s="1341"/>
      <c r="AM33" s="196"/>
      <c r="AN33" s="197"/>
      <c r="AO33" s="197"/>
      <c r="AP33" s="397"/>
      <c r="AQ33" s="196"/>
      <c r="AR33" s="197"/>
      <c r="AS33" s="197"/>
      <c r="AT33" s="197"/>
      <c r="AU33" s="196"/>
      <c r="AV33" s="197"/>
      <c r="AW33" s="197"/>
      <c r="AX33" s="397"/>
      <c r="AY33" s="196"/>
      <c r="AZ33" s="197"/>
      <c r="BA33" s="197"/>
      <c r="BB33" s="397"/>
      <c r="BC33" s="196"/>
      <c r="BD33" s="197">
        <f>SUM('INSC-POSG plan'!BE63)</f>
        <v>2</v>
      </c>
      <c r="BE33" s="197">
        <f>SUM('INSC-POSG plan'!BF63)</f>
        <v>5</v>
      </c>
      <c r="BF33" s="397">
        <f>SUM(BC33:BE33)</f>
        <v>7</v>
      </c>
      <c r="BG33" s="196">
        <f>SUM('INSC-POSG plan'!BH63)</f>
        <v>2</v>
      </c>
      <c r="BH33" s="197">
        <f>SUM('INSC-POSG plan'!BI63)</f>
        <v>2</v>
      </c>
      <c r="BI33" s="197">
        <f>SUM('INSC-POSG plan'!BJ63)</f>
        <v>2</v>
      </c>
      <c r="BJ33" s="397">
        <f>SUM(BG33:BI33)</f>
        <v>6</v>
      </c>
      <c r="BK33" s="196">
        <f>SUM('INSC-POSG plan'!BL63)</f>
        <v>2</v>
      </c>
      <c r="BL33" s="197">
        <f>SUM('INSC-POSG plan'!BM63)</f>
        <v>4</v>
      </c>
      <c r="BM33" s="197">
        <f>SUM('INSC-POSG plan'!BN63)</f>
        <v>2</v>
      </c>
      <c r="BN33" s="397">
        <f>SUM(BK33:BM33)</f>
        <v>8</v>
      </c>
      <c r="BO33" s="196">
        <f>SUM('INSC-POSG plan'!BP63)</f>
        <v>3</v>
      </c>
      <c r="BP33" s="197">
        <f>SUM('INSC-POSG plan'!BQ63)</f>
        <v>3</v>
      </c>
      <c r="BQ33" s="197">
        <f>SUM('INSC-POSG plan'!BR63)</f>
        <v>6</v>
      </c>
      <c r="BR33" s="397">
        <f>SUM(BO33:BQ33)</f>
        <v>12</v>
      </c>
      <c r="BS33" s="196">
        <f>SUM('INSC-POSG plan'!BT63)</f>
        <v>2</v>
      </c>
      <c r="BT33" s="197">
        <f>SUM('INSC-POSG plan'!BU63)</f>
        <v>1</v>
      </c>
      <c r="BU33" s="197">
        <f>SUM('INSC-POSG plan'!BV63:BV64)</f>
        <v>3</v>
      </c>
      <c r="BV33" s="397">
        <f>SUM(BS33:BU33)</f>
        <v>6</v>
      </c>
      <c r="BW33" s="196">
        <f>SUM('INSC-POSG plan'!BX63)</f>
        <v>0</v>
      </c>
      <c r="BX33" s="197">
        <f>SUM('INSC-POSG plan'!BY63)</f>
        <v>1</v>
      </c>
      <c r="BY33" s="197">
        <f>SUM('INSC-POSG plan'!BZ63:BZ64)</f>
        <v>2</v>
      </c>
      <c r="BZ33" s="397">
        <f>SUM(BW33:BY33)</f>
        <v>3</v>
      </c>
      <c r="CA33" s="196">
        <f>SUM('INSC-POSG plan'!CB63)</f>
        <v>4</v>
      </c>
      <c r="CB33" s="197">
        <f>SUM('INSC-POSG plan'!CC63)</f>
        <v>2</v>
      </c>
      <c r="CC33" s="197">
        <f>SUM('INSC-POSG plan'!CD63:CD64)</f>
        <v>2</v>
      </c>
      <c r="CD33" s="397">
        <f>SUM(CA33:CC33)</f>
        <v>8</v>
      </c>
      <c r="CE33" s="196">
        <f>SUM('INSC-POSG plan'!CF63:CF64)</f>
        <v>1</v>
      </c>
      <c r="CF33" s="197">
        <f>SUM('INSC-POSG plan'!CG63)</f>
        <v>0</v>
      </c>
      <c r="CG33" s="197">
        <f>SUM('INSC-POSG plan'!CH63:CH64)</f>
        <v>1</v>
      </c>
      <c r="CH33" s="397">
        <f>SUM(CE33:CG33)</f>
        <v>2</v>
      </c>
      <c r="CI33" s="196">
        <f>SUM('INSC-POSG plan'!CJ63:CJ64)</f>
        <v>3</v>
      </c>
      <c r="CJ33" s="197">
        <f>SUM('INSC-POSG plan'!CK63:CK64)</f>
        <v>1</v>
      </c>
      <c r="CK33" s="197">
        <f>SUM('INSC-POSG plan'!CL63:CL64)</f>
        <v>1</v>
      </c>
      <c r="CL33" s="397">
        <f>SUM(CI33:CK33)</f>
        <v>5</v>
      </c>
      <c r="CM33" s="196">
        <f>SUM('INSC-POSG plan'!CN63:CN64)</f>
        <v>3</v>
      </c>
      <c r="CN33" s="197">
        <f>SUM('INSC-POSG plan'!CO63:CO64)</f>
        <v>0</v>
      </c>
      <c r="CO33" s="197">
        <f>SUM('INSC-POSG plan'!CP63:CP64)</f>
        <v>0</v>
      </c>
      <c r="CP33" s="397">
        <f>SUM(CM33:CO33)</f>
        <v>3</v>
      </c>
      <c r="CQ33" s="196">
        <f>SUM('INSC-POSG plan'!CR63:CR64)</f>
        <v>5</v>
      </c>
      <c r="CR33" s="197">
        <f>SUM('INSC-POSG plan'!CS63:CS64)</f>
        <v>0</v>
      </c>
      <c r="CS33" s="197">
        <f>SUM('INSC-POSG plan'!CT63:CT64)</f>
        <v>2</v>
      </c>
      <c r="CT33" s="397">
        <f>SUM(CQ33:CS33)</f>
        <v>7</v>
      </c>
    </row>
    <row r="34" spans="1:98" s="161" customFormat="1" ht="15" x14ac:dyDescent="0.25">
      <c r="A34" s="1333"/>
      <c r="B34" s="1342" t="s">
        <v>429</v>
      </c>
      <c r="C34" s="1344"/>
      <c r="D34" s="1344"/>
      <c r="E34" s="1344"/>
      <c r="F34" s="1344"/>
      <c r="G34" s="1343"/>
      <c r="H34" s="1344"/>
      <c r="I34" s="1344"/>
      <c r="J34" s="1345"/>
      <c r="K34" s="1344"/>
      <c r="L34" s="1344"/>
      <c r="M34" s="1344"/>
      <c r="N34" s="1344"/>
      <c r="O34" s="1343"/>
      <c r="P34" s="1344"/>
      <c r="Q34" s="1344"/>
      <c r="R34" s="1345"/>
      <c r="S34" s="1344"/>
      <c r="T34" s="1344"/>
      <c r="U34" s="1344"/>
      <c r="V34" s="1344"/>
      <c r="W34" s="1343"/>
      <c r="X34" s="1344"/>
      <c r="Y34" s="1344"/>
      <c r="Z34" s="1345"/>
      <c r="AA34" s="1344"/>
      <c r="AB34" s="1344"/>
      <c r="AC34" s="1344"/>
      <c r="AD34" s="1344"/>
      <c r="AE34" s="1343"/>
      <c r="AF34" s="1344"/>
      <c r="AG34" s="1344"/>
      <c r="AH34" s="1345"/>
      <c r="AI34" s="1344"/>
      <c r="AJ34" s="1344"/>
      <c r="AK34" s="1344"/>
      <c r="AL34" s="1344"/>
      <c r="AM34" s="202"/>
      <c r="AN34" s="202"/>
      <c r="AO34" s="202"/>
      <c r="AP34" s="202"/>
      <c r="AQ34" s="202"/>
      <c r="AR34" s="202"/>
      <c r="AS34" s="202"/>
      <c r="AT34" s="202"/>
      <c r="AU34" s="201"/>
      <c r="AV34" s="202"/>
      <c r="AW34" s="202"/>
      <c r="AX34" s="203"/>
      <c r="AY34" s="201"/>
      <c r="AZ34" s="202"/>
      <c r="BA34" s="202"/>
      <c r="BB34" s="203"/>
      <c r="BC34" s="201"/>
      <c r="BD34" s="202">
        <f>SUM(BD31:BD33)</f>
        <v>4</v>
      </c>
      <c r="BE34" s="202">
        <f>SUM(BE31:BE33)</f>
        <v>15</v>
      </c>
      <c r="BF34" s="203">
        <f>SUM(BC34:BE34)</f>
        <v>19</v>
      </c>
      <c r="BG34" s="201">
        <f>SUM(BG31:BG33)</f>
        <v>3</v>
      </c>
      <c r="BH34" s="202">
        <f>SUM(BH31:BH33)</f>
        <v>2</v>
      </c>
      <c r="BI34" s="202">
        <f>SUM(BI31:BI33)</f>
        <v>16</v>
      </c>
      <c r="BJ34" s="203">
        <f>SUM(BG34:BI34)</f>
        <v>21</v>
      </c>
      <c r="BK34" s="201">
        <f>SUM(BK31:BK33)</f>
        <v>4</v>
      </c>
      <c r="BL34" s="202">
        <f>SUM(BL31:BL33)</f>
        <v>4</v>
      </c>
      <c r="BM34" s="202">
        <f>SUM(BM31:BM33)</f>
        <v>15</v>
      </c>
      <c r="BN34" s="203">
        <f>SUM(BK34:BM34)</f>
        <v>23</v>
      </c>
      <c r="BO34" s="201">
        <f>SUM(BO31:BO33)</f>
        <v>5</v>
      </c>
      <c r="BP34" s="202">
        <f>SUM(BP31:BP33)</f>
        <v>4</v>
      </c>
      <c r="BQ34" s="202">
        <f>SUM(BQ31:BQ33)</f>
        <v>23</v>
      </c>
      <c r="BR34" s="203">
        <f>SUM(BO34:BQ34)</f>
        <v>32</v>
      </c>
      <c r="BS34" s="201">
        <f>SUM(BS31:BS33)</f>
        <v>4</v>
      </c>
      <c r="BT34" s="202">
        <f>SUM(BT31:BT33)</f>
        <v>2</v>
      </c>
      <c r="BU34" s="202">
        <f>SUM(BU31:BU33)</f>
        <v>17</v>
      </c>
      <c r="BV34" s="203">
        <f>SUM(BS34:BU34)</f>
        <v>23</v>
      </c>
      <c r="BW34" s="201">
        <f>SUM(BW31:BW33)</f>
        <v>2</v>
      </c>
      <c r="BX34" s="202">
        <f>SUM(BX31:BX33)</f>
        <v>1</v>
      </c>
      <c r="BY34" s="202">
        <f>SUM(BY31:BY33)</f>
        <v>13</v>
      </c>
      <c r="BZ34" s="203">
        <f>SUM(BW34:BY34)</f>
        <v>16</v>
      </c>
      <c r="CA34" s="201">
        <f>SUM(CA31:CA33)</f>
        <v>6</v>
      </c>
      <c r="CB34" s="202">
        <f>SUM(CB31:CB33)</f>
        <v>2</v>
      </c>
      <c r="CC34" s="202">
        <f>SUM(CC31:CC33)</f>
        <v>9</v>
      </c>
      <c r="CD34" s="203">
        <f>SUM(CA34:CC34)</f>
        <v>17</v>
      </c>
      <c r="CE34" s="201">
        <f>SUM(CE31:CE33)</f>
        <v>1</v>
      </c>
      <c r="CF34" s="202">
        <f>SUM(CF31:CF33)</f>
        <v>0</v>
      </c>
      <c r="CG34" s="202">
        <f>SUM(CG31:CG33)</f>
        <v>10</v>
      </c>
      <c r="CH34" s="203">
        <f>SUM(CE34:CG34)</f>
        <v>11</v>
      </c>
      <c r="CI34" s="201">
        <f>SUM(CI31:CI33)</f>
        <v>5</v>
      </c>
      <c r="CJ34" s="202">
        <f>SUM(CJ31:CJ33)</f>
        <v>5</v>
      </c>
      <c r="CK34" s="202">
        <f>SUM(CK31:CK33)</f>
        <v>1</v>
      </c>
      <c r="CL34" s="203">
        <f>SUM(CI34:CK34)</f>
        <v>11</v>
      </c>
      <c r="CM34" s="201">
        <f>SUM(CM31:CM33)</f>
        <v>3</v>
      </c>
      <c r="CN34" s="202">
        <f>SUM(CN31:CN33)</f>
        <v>10</v>
      </c>
      <c r="CO34" s="202">
        <f>SUM(CO31:CO33)</f>
        <v>0</v>
      </c>
      <c r="CP34" s="203">
        <f>SUM(CM34:CO34)</f>
        <v>13</v>
      </c>
      <c r="CQ34" s="201">
        <f>SUM(CQ31:CQ33)</f>
        <v>6</v>
      </c>
      <c r="CR34" s="202">
        <f>SUM(CR31:CR33)</f>
        <v>0</v>
      </c>
      <c r="CS34" s="202">
        <f>SUM(CS31:CS33)</f>
        <v>13</v>
      </c>
      <c r="CT34" s="203">
        <f>SUM(CQ34:CS34)</f>
        <v>19</v>
      </c>
    </row>
    <row r="35" spans="1:98" s="161" customFormat="1" ht="15" customHeight="1" x14ac:dyDescent="0.25">
      <c r="A35" s="1333"/>
      <c r="B35" s="1334" t="s">
        <v>308</v>
      </c>
      <c r="C35" s="1258"/>
      <c r="D35" s="1259"/>
      <c r="E35" s="1259"/>
      <c r="F35" s="1298"/>
      <c r="G35" s="1258"/>
      <c r="H35" s="1259"/>
      <c r="I35" s="1259"/>
      <c r="J35" s="1260"/>
      <c r="K35" s="1259"/>
      <c r="L35" s="1259"/>
      <c r="M35" s="1259"/>
      <c r="N35" s="1298"/>
      <c r="O35" s="1258"/>
      <c r="P35" s="1259"/>
      <c r="Q35" s="1259"/>
      <c r="R35" s="1260"/>
      <c r="S35" s="1259"/>
      <c r="T35" s="1259"/>
      <c r="U35" s="1259"/>
      <c r="V35" s="1298"/>
      <c r="W35" s="1258"/>
      <c r="X35" s="1259"/>
      <c r="Y35" s="1259"/>
      <c r="Z35" s="1260"/>
      <c r="AA35" s="1259"/>
      <c r="AB35" s="1259"/>
      <c r="AC35" s="1259"/>
      <c r="AD35" s="1298"/>
      <c r="AE35" s="1258"/>
      <c r="AF35" s="1259"/>
      <c r="AG35" s="1259"/>
      <c r="AH35" s="1260"/>
      <c r="AI35" s="1259"/>
      <c r="AJ35" s="1259"/>
      <c r="AK35" s="1259"/>
      <c r="AL35" s="1335"/>
      <c r="AM35" s="151"/>
      <c r="AN35" s="152"/>
      <c r="AO35" s="152"/>
      <c r="AP35" s="395"/>
      <c r="AQ35" s="151"/>
      <c r="AR35" s="152"/>
      <c r="AS35" s="152"/>
      <c r="AT35" s="152"/>
      <c r="AU35" s="151"/>
      <c r="AV35" s="152"/>
      <c r="AW35" s="152"/>
      <c r="AX35" s="395"/>
      <c r="AY35" s="151"/>
      <c r="AZ35" s="152"/>
      <c r="BA35" s="152"/>
      <c r="BB35" s="395"/>
      <c r="BC35" s="151"/>
      <c r="BD35" s="152">
        <f t="shared" ref="BC35:BG37" si="37">SUM(BD23,BD27,BD31)</f>
        <v>2</v>
      </c>
      <c r="BE35" s="152">
        <f t="shared" si="37"/>
        <v>1</v>
      </c>
      <c r="BF35" s="395">
        <f t="shared" si="37"/>
        <v>3</v>
      </c>
      <c r="BG35" s="151">
        <f>SUM(BG23,BG27,BG31)</f>
        <v>1</v>
      </c>
      <c r="BH35" s="152"/>
      <c r="BI35" s="152">
        <f t="shared" ref="BI35:CL37" si="38">SUM(BI23,BI27,BI31)</f>
        <v>1</v>
      </c>
      <c r="BJ35" s="395">
        <f t="shared" si="38"/>
        <v>2</v>
      </c>
      <c r="BK35" s="151">
        <f t="shared" si="38"/>
        <v>2</v>
      </c>
      <c r="BL35" s="152">
        <f t="shared" si="38"/>
        <v>0</v>
      </c>
      <c r="BM35" s="152">
        <f t="shared" si="38"/>
        <v>1</v>
      </c>
      <c r="BN35" s="395">
        <f t="shared" si="38"/>
        <v>3</v>
      </c>
      <c r="BO35" s="151">
        <f t="shared" si="38"/>
        <v>2</v>
      </c>
      <c r="BP35" s="152">
        <f t="shared" si="38"/>
        <v>1</v>
      </c>
      <c r="BQ35" s="152">
        <f t="shared" si="38"/>
        <v>4</v>
      </c>
      <c r="BR35" s="395">
        <f t="shared" si="38"/>
        <v>7</v>
      </c>
      <c r="BS35" s="151">
        <f t="shared" si="38"/>
        <v>2</v>
      </c>
      <c r="BT35" s="152">
        <f t="shared" si="38"/>
        <v>1</v>
      </c>
      <c r="BU35" s="152">
        <f t="shared" si="38"/>
        <v>2</v>
      </c>
      <c r="BV35" s="395">
        <f t="shared" si="38"/>
        <v>5</v>
      </c>
      <c r="BW35" s="151">
        <f t="shared" si="38"/>
        <v>2</v>
      </c>
      <c r="BX35" s="152">
        <f t="shared" si="38"/>
        <v>0</v>
      </c>
      <c r="BY35" s="152">
        <f t="shared" si="38"/>
        <v>1</v>
      </c>
      <c r="BZ35" s="395">
        <f t="shared" si="38"/>
        <v>3</v>
      </c>
      <c r="CA35" s="151">
        <f t="shared" si="38"/>
        <v>2</v>
      </c>
      <c r="CB35" s="152">
        <f t="shared" si="38"/>
        <v>0</v>
      </c>
      <c r="CC35" s="152">
        <f t="shared" si="38"/>
        <v>0</v>
      </c>
      <c r="CD35" s="395">
        <f t="shared" si="38"/>
        <v>2</v>
      </c>
      <c r="CE35" s="151">
        <f t="shared" si="38"/>
        <v>0</v>
      </c>
      <c r="CF35" s="152">
        <f t="shared" si="38"/>
        <v>0</v>
      </c>
      <c r="CG35" s="152">
        <f t="shared" si="38"/>
        <v>0</v>
      </c>
      <c r="CH35" s="395">
        <f t="shared" si="38"/>
        <v>0</v>
      </c>
      <c r="CI35" s="151">
        <f t="shared" si="38"/>
        <v>2</v>
      </c>
      <c r="CJ35" s="152">
        <f t="shared" si="38"/>
        <v>1</v>
      </c>
      <c r="CK35" s="152">
        <f t="shared" si="38"/>
        <v>0</v>
      </c>
      <c r="CL35" s="395">
        <f t="shared" si="38"/>
        <v>3</v>
      </c>
      <c r="CM35" s="151">
        <f t="shared" ref="CM35:CP35" si="39">SUM(CM23,CM27,CM31)</f>
        <v>0</v>
      </c>
      <c r="CN35" s="152">
        <f t="shared" si="39"/>
        <v>0</v>
      </c>
      <c r="CO35" s="152">
        <f t="shared" si="39"/>
        <v>0</v>
      </c>
      <c r="CP35" s="395">
        <f t="shared" si="39"/>
        <v>0</v>
      </c>
      <c r="CQ35" s="151">
        <f t="shared" ref="CQ35:CT35" si="40">SUM(CQ23,CQ27,CQ31)</f>
        <v>1</v>
      </c>
      <c r="CR35" s="152">
        <f t="shared" si="40"/>
        <v>0</v>
      </c>
      <c r="CS35" s="152">
        <f t="shared" si="40"/>
        <v>0</v>
      </c>
      <c r="CT35" s="395">
        <f t="shared" si="40"/>
        <v>1</v>
      </c>
    </row>
    <row r="36" spans="1:98" s="161" customFormat="1" ht="15" x14ac:dyDescent="0.25">
      <c r="A36" s="1333"/>
      <c r="B36" s="1336" t="s">
        <v>310</v>
      </c>
      <c r="C36" s="1262"/>
      <c r="D36" s="1263"/>
      <c r="E36" s="1263"/>
      <c r="F36" s="1337"/>
      <c r="G36" s="1262"/>
      <c r="H36" s="1263"/>
      <c r="I36" s="1263"/>
      <c r="J36" s="1264"/>
      <c r="K36" s="1263"/>
      <c r="L36" s="1263"/>
      <c r="M36" s="1263"/>
      <c r="N36" s="1337"/>
      <c r="O36" s="1262"/>
      <c r="P36" s="1263"/>
      <c r="Q36" s="1263"/>
      <c r="R36" s="1264"/>
      <c r="S36" s="1263"/>
      <c r="T36" s="1263"/>
      <c r="U36" s="1263"/>
      <c r="V36" s="1337"/>
      <c r="W36" s="1262"/>
      <c r="X36" s="1263"/>
      <c r="Y36" s="1263"/>
      <c r="Z36" s="1264"/>
      <c r="AA36" s="1263"/>
      <c r="AB36" s="1263"/>
      <c r="AC36" s="1263"/>
      <c r="AD36" s="1337"/>
      <c r="AE36" s="1262"/>
      <c r="AF36" s="1263"/>
      <c r="AG36" s="1263"/>
      <c r="AH36" s="1264"/>
      <c r="AI36" s="1263"/>
      <c r="AJ36" s="1263"/>
      <c r="AK36" s="1263"/>
      <c r="AL36" s="1338"/>
      <c r="AM36" s="129"/>
      <c r="AN36" s="130"/>
      <c r="AO36" s="130"/>
      <c r="AP36" s="396"/>
      <c r="AQ36" s="129"/>
      <c r="AR36" s="130"/>
      <c r="AS36" s="130"/>
      <c r="AT36" s="130"/>
      <c r="AU36" s="129"/>
      <c r="AV36" s="130"/>
      <c r="AW36" s="130"/>
      <c r="AX36" s="396"/>
      <c r="AY36" s="129"/>
      <c r="AZ36" s="130"/>
      <c r="BA36" s="130"/>
      <c r="BB36" s="396"/>
      <c r="BC36" s="129">
        <f t="shared" si="37"/>
        <v>13</v>
      </c>
      <c r="BD36" s="130">
        <f t="shared" si="37"/>
        <v>0</v>
      </c>
      <c r="BE36" s="130">
        <f t="shared" si="37"/>
        <v>21</v>
      </c>
      <c r="BF36" s="396">
        <f t="shared" si="37"/>
        <v>34</v>
      </c>
      <c r="BG36" s="129">
        <f t="shared" si="37"/>
        <v>23</v>
      </c>
      <c r="BH36" s="130"/>
      <c r="BI36" s="130">
        <f t="shared" si="38"/>
        <v>25</v>
      </c>
      <c r="BJ36" s="396">
        <f t="shared" si="38"/>
        <v>48</v>
      </c>
      <c r="BK36" s="129">
        <f t="shared" si="38"/>
        <v>0</v>
      </c>
      <c r="BL36" s="130">
        <f t="shared" si="38"/>
        <v>0</v>
      </c>
      <c r="BM36" s="130">
        <f t="shared" si="38"/>
        <v>45</v>
      </c>
      <c r="BN36" s="396">
        <f t="shared" si="38"/>
        <v>45</v>
      </c>
      <c r="BO36" s="129">
        <f t="shared" si="38"/>
        <v>0</v>
      </c>
      <c r="BP36" s="130">
        <f t="shared" si="38"/>
        <v>0</v>
      </c>
      <c r="BQ36" s="130">
        <f t="shared" si="38"/>
        <v>52</v>
      </c>
      <c r="BR36" s="396">
        <f t="shared" si="38"/>
        <v>52</v>
      </c>
      <c r="BS36" s="129">
        <f t="shared" si="38"/>
        <v>0</v>
      </c>
      <c r="BT36" s="130">
        <f t="shared" si="38"/>
        <v>0</v>
      </c>
      <c r="BU36" s="130">
        <f t="shared" si="38"/>
        <v>42</v>
      </c>
      <c r="BV36" s="396">
        <f t="shared" si="38"/>
        <v>42</v>
      </c>
      <c r="BW36" s="129">
        <f t="shared" si="38"/>
        <v>0</v>
      </c>
      <c r="BX36" s="130">
        <f t="shared" si="38"/>
        <v>0</v>
      </c>
      <c r="BY36" s="130">
        <f t="shared" si="38"/>
        <v>44</v>
      </c>
      <c r="BZ36" s="396">
        <f t="shared" si="38"/>
        <v>44</v>
      </c>
      <c r="CA36" s="129">
        <f t="shared" si="38"/>
        <v>0</v>
      </c>
      <c r="CB36" s="130">
        <f t="shared" si="38"/>
        <v>0</v>
      </c>
      <c r="CC36" s="130">
        <f t="shared" si="38"/>
        <v>39</v>
      </c>
      <c r="CD36" s="396">
        <f t="shared" si="38"/>
        <v>39</v>
      </c>
      <c r="CE36" s="129">
        <f t="shared" si="38"/>
        <v>0</v>
      </c>
      <c r="CF36" s="130">
        <f t="shared" si="38"/>
        <v>0</v>
      </c>
      <c r="CG36" s="130">
        <f t="shared" si="38"/>
        <v>44</v>
      </c>
      <c r="CH36" s="396">
        <f t="shared" si="38"/>
        <v>44</v>
      </c>
      <c r="CI36" s="129">
        <f t="shared" si="38"/>
        <v>0</v>
      </c>
      <c r="CJ36" s="130">
        <f t="shared" si="38"/>
        <v>3</v>
      </c>
      <c r="CK36" s="130">
        <f t="shared" si="38"/>
        <v>20</v>
      </c>
      <c r="CL36" s="396">
        <f t="shared" si="38"/>
        <v>23</v>
      </c>
      <c r="CM36" s="129">
        <f t="shared" ref="CM36:CP36" si="41">SUM(CM24,CM28,CM32)</f>
        <v>0</v>
      </c>
      <c r="CN36" s="130">
        <f t="shared" si="41"/>
        <v>10</v>
      </c>
      <c r="CO36" s="130">
        <f t="shared" si="41"/>
        <v>32</v>
      </c>
      <c r="CP36" s="396">
        <f t="shared" si="41"/>
        <v>42</v>
      </c>
      <c r="CQ36" s="129">
        <f t="shared" ref="CQ36:CT36" si="42">SUM(CQ24,CQ28,CQ32)</f>
        <v>0</v>
      </c>
      <c r="CR36" s="130">
        <f t="shared" si="42"/>
        <v>0</v>
      </c>
      <c r="CS36" s="130">
        <f t="shared" si="42"/>
        <v>49</v>
      </c>
      <c r="CT36" s="396">
        <f t="shared" si="42"/>
        <v>49</v>
      </c>
    </row>
    <row r="37" spans="1:98" s="161" customFormat="1" ht="15" x14ac:dyDescent="0.25">
      <c r="A37" s="1333"/>
      <c r="B37" s="1339" t="s">
        <v>317</v>
      </c>
      <c r="C37" s="1267"/>
      <c r="D37" s="1268"/>
      <c r="E37" s="1268"/>
      <c r="F37" s="1340"/>
      <c r="G37" s="1267"/>
      <c r="H37" s="1268"/>
      <c r="I37" s="1268"/>
      <c r="J37" s="1269"/>
      <c r="K37" s="1268"/>
      <c r="L37" s="1268"/>
      <c r="M37" s="1268"/>
      <c r="N37" s="1340"/>
      <c r="O37" s="1267"/>
      <c r="P37" s="1268"/>
      <c r="Q37" s="1268"/>
      <c r="R37" s="1269"/>
      <c r="S37" s="1268"/>
      <c r="T37" s="1268"/>
      <c r="U37" s="1268"/>
      <c r="V37" s="1340"/>
      <c r="W37" s="1267"/>
      <c r="X37" s="1268"/>
      <c r="Y37" s="1268"/>
      <c r="Z37" s="1269"/>
      <c r="AA37" s="1268"/>
      <c r="AB37" s="1268"/>
      <c r="AC37" s="1268"/>
      <c r="AD37" s="1340"/>
      <c r="AE37" s="1267"/>
      <c r="AF37" s="1268"/>
      <c r="AG37" s="1268"/>
      <c r="AH37" s="1269"/>
      <c r="AI37" s="1268"/>
      <c r="AJ37" s="1268"/>
      <c r="AK37" s="1268"/>
      <c r="AL37" s="1341"/>
      <c r="AM37" s="196"/>
      <c r="AN37" s="197"/>
      <c r="AO37" s="197"/>
      <c r="AP37" s="397"/>
      <c r="AQ37" s="196"/>
      <c r="AR37" s="197"/>
      <c r="AS37" s="197"/>
      <c r="AT37" s="197"/>
      <c r="AU37" s="196"/>
      <c r="AV37" s="197"/>
      <c r="AW37" s="197"/>
      <c r="AX37" s="397"/>
      <c r="AY37" s="196"/>
      <c r="AZ37" s="197"/>
      <c r="BA37" s="197"/>
      <c r="BB37" s="397"/>
      <c r="BC37" s="196">
        <f t="shared" si="37"/>
        <v>10</v>
      </c>
      <c r="BD37" s="197">
        <f t="shared" si="37"/>
        <v>2</v>
      </c>
      <c r="BE37" s="197">
        <f t="shared" si="37"/>
        <v>5</v>
      </c>
      <c r="BF37" s="397">
        <f t="shared" si="37"/>
        <v>17</v>
      </c>
      <c r="BG37" s="196">
        <f t="shared" si="37"/>
        <v>2</v>
      </c>
      <c r="BH37" s="197">
        <f>SUM(BH25,BH29,BH33)</f>
        <v>4</v>
      </c>
      <c r="BI37" s="197">
        <f t="shared" si="38"/>
        <v>17</v>
      </c>
      <c r="BJ37" s="397">
        <f t="shared" si="38"/>
        <v>23</v>
      </c>
      <c r="BK37" s="196">
        <f t="shared" si="38"/>
        <v>2</v>
      </c>
      <c r="BL37" s="197">
        <f>SUM(BL25,BL29,BL33)</f>
        <v>4</v>
      </c>
      <c r="BM37" s="197">
        <f>SUM(BM25,BM29,BM33)</f>
        <v>19</v>
      </c>
      <c r="BN37" s="397">
        <f t="shared" si="38"/>
        <v>25</v>
      </c>
      <c r="BO37" s="196">
        <f t="shared" si="38"/>
        <v>3</v>
      </c>
      <c r="BP37" s="197">
        <f t="shared" si="38"/>
        <v>3</v>
      </c>
      <c r="BQ37" s="197">
        <f t="shared" si="38"/>
        <v>25</v>
      </c>
      <c r="BR37" s="397">
        <f t="shared" si="38"/>
        <v>31</v>
      </c>
      <c r="BS37" s="196">
        <f t="shared" si="38"/>
        <v>2</v>
      </c>
      <c r="BT37" s="197">
        <f>SUM(BT25,BT29,BT33)</f>
        <v>1</v>
      </c>
      <c r="BU37" s="197">
        <f>SUM(BU25,BU29,BU33)</f>
        <v>13</v>
      </c>
      <c r="BV37" s="397">
        <f t="shared" si="38"/>
        <v>16</v>
      </c>
      <c r="BW37" s="196">
        <f t="shared" si="38"/>
        <v>0</v>
      </c>
      <c r="BX37" s="197">
        <f t="shared" si="38"/>
        <v>1</v>
      </c>
      <c r="BY37" s="197">
        <f t="shared" si="38"/>
        <v>12</v>
      </c>
      <c r="BZ37" s="397">
        <f t="shared" si="38"/>
        <v>13</v>
      </c>
      <c r="CA37" s="196">
        <f t="shared" si="38"/>
        <v>4</v>
      </c>
      <c r="CB37" s="197">
        <f t="shared" si="38"/>
        <v>2</v>
      </c>
      <c r="CC37" s="197">
        <f t="shared" si="38"/>
        <v>13</v>
      </c>
      <c r="CD37" s="397">
        <f t="shared" si="38"/>
        <v>19</v>
      </c>
      <c r="CE37" s="196">
        <f t="shared" si="38"/>
        <v>1</v>
      </c>
      <c r="CF37" s="197">
        <f t="shared" si="38"/>
        <v>0</v>
      </c>
      <c r="CG37" s="197">
        <f t="shared" si="38"/>
        <v>13</v>
      </c>
      <c r="CH37" s="397">
        <f t="shared" si="38"/>
        <v>14</v>
      </c>
      <c r="CI37" s="196">
        <f t="shared" si="38"/>
        <v>3</v>
      </c>
      <c r="CJ37" s="197">
        <f t="shared" si="38"/>
        <v>1</v>
      </c>
      <c r="CK37" s="197">
        <f t="shared" si="38"/>
        <v>1</v>
      </c>
      <c r="CL37" s="397">
        <f t="shared" si="38"/>
        <v>5</v>
      </c>
      <c r="CM37" s="196">
        <f t="shared" ref="CM37:CP37" si="43">SUM(CM25,CM29,CM33)</f>
        <v>3</v>
      </c>
      <c r="CN37" s="197">
        <f t="shared" si="43"/>
        <v>0</v>
      </c>
      <c r="CO37" s="197">
        <f t="shared" si="43"/>
        <v>11</v>
      </c>
      <c r="CP37" s="397">
        <f t="shared" si="43"/>
        <v>14</v>
      </c>
      <c r="CQ37" s="196">
        <f t="shared" ref="CQ37:CT37" si="44">SUM(CQ25,CQ29,CQ33)</f>
        <v>5</v>
      </c>
      <c r="CR37" s="197">
        <f t="shared" si="44"/>
        <v>0</v>
      </c>
      <c r="CS37" s="197">
        <f t="shared" si="44"/>
        <v>11</v>
      </c>
      <c r="CT37" s="397">
        <f t="shared" si="44"/>
        <v>16</v>
      </c>
    </row>
    <row r="38" spans="1:98" s="161" customFormat="1" ht="15" x14ac:dyDescent="0.25">
      <c r="A38" s="1333"/>
      <c r="B38" s="1355" t="s">
        <v>134</v>
      </c>
      <c r="C38" s="1356"/>
      <c r="D38" s="1356"/>
      <c r="E38" s="1356"/>
      <c r="F38" s="1356"/>
      <c r="G38" s="1357"/>
      <c r="H38" s="1356"/>
      <c r="I38" s="1356"/>
      <c r="J38" s="1358"/>
      <c r="K38" s="1356"/>
      <c r="L38" s="1356"/>
      <c r="M38" s="1356"/>
      <c r="N38" s="1356"/>
      <c r="O38" s="1357"/>
      <c r="P38" s="1356"/>
      <c r="Q38" s="1356"/>
      <c r="R38" s="1358"/>
      <c r="S38" s="1356"/>
      <c r="T38" s="1356"/>
      <c r="U38" s="1356"/>
      <c r="V38" s="1356"/>
      <c r="W38" s="1357"/>
      <c r="X38" s="1356"/>
      <c r="Y38" s="1356"/>
      <c r="Z38" s="1358"/>
      <c r="AA38" s="1356"/>
      <c r="AB38" s="1356"/>
      <c r="AC38" s="1356"/>
      <c r="AD38" s="1356"/>
      <c r="AE38" s="1357"/>
      <c r="AF38" s="1356"/>
      <c r="AG38" s="1356"/>
      <c r="AH38" s="1358"/>
      <c r="AI38" s="1356"/>
      <c r="AJ38" s="1356"/>
      <c r="AK38" s="1356"/>
      <c r="AL38" s="1356"/>
      <c r="AM38" s="1356"/>
      <c r="AN38" s="1356"/>
      <c r="AO38" s="1356"/>
      <c r="AP38" s="1356"/>
      <c r="AQ38" s="1356"/>
      <c r="AR38" s="1356"/>
      <c r="AS38" s="1356"/>
      <c r="AT38" s="1356"/>
      <c r="AU38" s="1357"/>
      <c r="AV38" s="1356"/>
      <c r="AW38" s="1356"/>
      <c r="AX38" s="1358"/>
      <c r="AY38" s="1357"/>
      <c r="AZ38" s="1356"/>
      <c r="BA38" s="1356"/>
      <c r="BB38" s="1358"/>
      <c r="BC38" s="1357">
        <f>SUM(BC35:BC37)</f>
        <v>23</v>
      </c>
      <c r="BD38" s="1356">
        <f>SUM(BD35:BD37)</f>
        <v>4</v>
      </c>
      <c r="BE38" s="1356">
        <f>SUM(BE35:BE37)</f>
        <v>27</v>
      </c>
      <c r="BF38" s="1358">
        <f>SUM(BC38:BE38)</f>
        <v>54</v>
      </c>
      <c r="BG38" s="1357">
        <f>SUM(BG35:BG37)</f>
        <v>26</v>
      </c>
      <c r="BH38" s="1356">
        <f>SUM(BH35:BH37)</f>
        <v>4</v>
      </c>
      <c r="BI38" s="1356">
        <f>SUM(BI35:BI37)</f>
        <v>43</v>
      </c>
      <c r="BJ38" s="1358">
        <f>SUM(BG38:BI38)</f>
        <v>73</v>
      </c>
      <c r="BK38" s="1357">
        <f>SUM(BK35:BK37)</f>
        <v>4</v>
      </c>
      <c r="BL38" s="1356">
        <f>SUM(BL35:BL37)</f>
        <v>4</v>
      </c>
      <c r="BM38" s="1356">
        <f>SUM(BM35:BM37)</f>
        <v>65</v>
      </c>
      <c r="BN38" s="1358">
        <f>SUM(BK38:BM38)</f>
        <v>73</v>
      </c>
      <c r="BO38" s="1357">
        <f>SUM(BO35:BO37)</f>
        <v>5</v>
      </c>
      <c r="BP38" s="1356">
        <f>SUM(BP35:BP37)</f>
        <v>4</v>
      </c>
      <c r="BQ38" s="1356">
        <f>SUM(BQ35:BQ37)</f>
        <v>81</v>
      </c>
      <c r="BR38" s="1358">
        <f>SUM(BO38:BQ38)</f>
        <v>90</v>
      </c>
      <c r="BS38" s="1357">
        <f>SUM(BS35:BS37)</f>
        <v>4</v>
      </c>
      <c r="BT38" s="1356">
        <f>SUM(BT35:BT37)</f>
        <v>2</v>
      </c>
      <c r="BU38" s="1356">
        <f>SUM(BU35:BU37)</f>
        <v>57</v>
      </c>
      <c r="BV38" s="1358">
        <f>SUM(BS38:BU38)</f>
        <v>63</v>
      </c>
      <c r="BW38" s="1357">
        <f>SUM(BW35:BW37)</f>
        <v>2</v>
      </c>
      <c r="BX38" s="1356">
        <f>SUM(BX35:BX37)</f>
        <v>1</v>
      </c>
      <c r="BY38" s="1356">
        <f>SUM(BY35:BY37)</f>
        <v>57</v>
      </c>
      <c r="BZ38" s="1358">
        <f>SUM(BW38:BY38)</f>
        <v>60</v>
      </c>
      <c r="CA38" s="1357">
        <f>SUM(CA35:CA37)</f>
        <v>6</v>
      </c>
      <c r="CB38" s="1356">
        <f>SUM(CB35:CB37)</f>
        <v>2</v>
      </c>
      <c r="CC38" s="1356">
        <f>SUM(CC35:CC37)</f>
        <v>52</v>
      </c>
      <c r="CD38" s="1358">
        <f>SUM(CA38:CC38)</f>
        <v>60</v>
      </c>
      <c r="CE38" s="1357">
        <f>SUM(CE35:CE37)</f>
        <v>1</v>
      </c>
      <c r="CF38" s="1356">
        <f>SUM(CF35:CF37)</f>
        <v>0</v>
      </c>
      <c r="CG38" s="1356">
        <f>SUM(CG35:CG37)</f>
        <v>57</v>
      </c>
      <c r="CH38" s="1358">
        <f>SUM(CE38:CG38)</f>
        <v>58</v>
      </c>
      <c r="CI38" s="1357">
        <f>SUM(CI35:CI37)</f>
        <v>5</v>
      </c>
      <c r="CJ38" s="1356">
        <f>SUM(CJ35:CJ37)</f>
        <v>5</v>
      </c>
      <c r="CK38" s="1356">
        <f>SUM(CK35:CK37)</f>
        <v>21</v>
      </c>
      <c r="CL38" s="1358">
        <f>SUM(CI38:CK38)</f>
        <v>31</v>
      </c>
      <c r="CM38" s="1357">
        <f>SUM(CM35:CM37)</f>
        <v>3</v>
      </c>
      <c r="CN38" s="1356">
        <f>SUM(CN35:CN37)</f>
        <v>10</v>
      </c>
      <c r="CO38" s="1356">
        <f>SUM(CO35:CO37)</f>
        <v>43</v>
      </c>
      <c r="CP38" s="1358">
        <f>SUM(CM38:CO38)</f>
        <v>56</v>
      </c>
      <c r="CQ38" s="1357">
        <f>SUM(CQ35:CQ37)</f>
        <v>6</v>
      </c>
      <c r="CR38" s="1356">
        <f>SUM(CR35:CR37)</f>
        <v>0</v>
      </c>
      <c r="CS38" s="1356">
        <f>SUM(CS35:CS37)</f>
        <v>60</v>
      </c>
      <c r="CT38" s="1358">
        <f>SUM(CQ38:CS38)</f>
        <v>66</v>
      </c>
    </row>
    <row r="39" spans="1:98" s="161" customFormat="1" ht="15" x14ac:dyDescent="0.25">
      <c r="A39" s="1333"/>
      <c r="B39" s="1353"/>
      <c r="C39" s="1354"/>
      <c r="D39" s="1354"/>
      <c r="E39" s="1354"/>
      <c r="F39" s="1354"/>
      <c r="G39" s="1354"/>
      <c r="H39" s="1354"/>
      <c r="I39" s="1354"/>
      <c r="J39" s="1354"/>
      <c r="K39" s="1354"/>
      <c r="L39" s="1354"/>
      <c r="M39" s="1354"/>
      <c r="N39" s="1354"/>
      <c r="O39" s="1354"/>
      <c r="P39" s="1354"/>
      <c r="Q39" s="1354"/>
      <c r="R39" s="1354"/>
      <c r="S39" s="1354"/>
      <c r="T39" s="1354"/>
      <c r="U39" s="1354"/>
      <c r="V39" s="1354"/>
      <c r="W39" s="1354"/>
      <c r="X39" s="1354"/>
      <c r="Y39" s="1354"/>
      <c r="Z39" s="1354"/>
      <c r="AA39" s="1354"/>
      <c r="AB39" s="1354"/>
      <c r="AC39" s="1354"/>
      <c r="AD39" s="1354"/>
      <c r="AE39" s="1354"/>
      <c r="AF39" s="1354"/>
      <c r="AG39" s="1354"/>
      <c r="AH39" s="1354"/>
      <c r="AI39" s="1354"/>
      <c r="AJ39" s="1354"/>
      <c r="AK39" s="1354"/>
      <c r="AL39" s="342"/>
      <c r="AM39" s="1354"/>
      <c r="AN39" s="1354"/>
      <c r="AO39" s="1354"/>
      <c r="AP39" s="342"/>
      <c r="AQ39" s="1354"/>
      <c r="AR39" s="1354"/>
      <c r="AS39" s="1354"/>
      <c r="AT39" s="342"/>
      <c r="AU39" s="1354"/>
      <c r="AV39" s="1354"/>
      <c r="AW39" s="1354"/>
      <c r="AX39" s="342"/>
      <c r="AY39" s="1354"/>
      <c r="AZ39" s="1354"/>
      <c r="BA39" s="1354"/>
      <c r="BB39" s="342"/>
      <c r="BC39" s="1354"/>
      <c r="BD39" s="1354"/>
      <c r="BE39" s="1354"/>
      <c r="BF39" s="342"/>
      <c r="BG39" s="1354"/>
      <c r="BH39" s="1354"/>
      <c r="BI39" s="1354"/>
      <c r="BJ39" s="342"/>
      <c r="BK39" s="1354"/>
      <c r="BL39" s="1354"/>
      <c r="BM39" s="1354"/>
      <c r="BN39" s="342"/>
      <c r="BO39" s="1354"/>
      <c r="BP39" s="1354"/>
      <c r="BQ39" s="1354"/>
      <c r="BR39" s="342"/>
      <c r="BS39" s="1354"/>
      <c r="BT39" s="1354"/>
      <c r="BU39" s="1354"/>
      <c r="BV39" s="342"/>
      <c r="BW39" s="1354"/>
      <c r="BX39" s="1354"/>
      <c r="BY39" s="1354"/>
      <c r="BZ39" s="342"/>
      <c r="CA39" s="1354"/>
      <c r="CB39" s="1354"/>
      <c r="CC39" s="1354"/>
      <c r="CD39" s="342"/>
      <c r="CE39" s="1354"/>
      <c r="CF39" s="1354"/>
      <c r="CG39" s="1354"/>
      <c r="CH39" s="342"/>
      <c r="CI39" s="1354"/>
      <c r="CJ39" s="1354"/>
      <c r="CK39" s="1354"/>
      <c r="CL39" s="342"/>
      <c r="CM39" s="1354"/>
      <c r="CN39" s="1354"/>
      <c r="CO39" s="1354"/>
      <c r="CP39" s="342"/>
      <c r="CQ39" s="1354"/>
      <c r="CR39" s="1354"/>
      <c r="CS39" s="1354"/>
      <c r="CT39" s="342"/>
    </row>
    <row r="40" spans="1:98" ht="15" x14ac:dyDescent="0.25">
      <c r="A40" s="1333"/>
      <c r="B40" s="1334" t="s">
        <v>308</v>
      </c>
      <c r="C40" s="1258"/>
      <c r="D40" s="1259"/>
      <c r="E40" s="1259"/>
      <c r="F40" s="1260"/>
      <c r="G40" s="1258"/>
      <c r="H40" s="1259"/>
      <c r="I40" s="1259"/>
      <c r="J40" s="1260"/>
      <c r="K40" s="1258"/>
      <c r="L40" s="1259"/>
      <c r="M40" s="1259"/>
      <c r="N40" s="1260"/>
      <c r="O40" s="1258"/>
      <c r="P40" s="1259"/>
      <c r="Q40" s="1259"/>
      <c r="R40" s="1260"/>
      <c r="S40" s="1258"/>
      <c r="T40" s="1259"/>
      <c r="U40" s="1259"/>
      <c r="V40" s="1260"/>
      <c r="W40" s="1258"/>
      <c r="X40" s="1259"/>
      <c r="Y40" s="1259"/>
      <c r="Z40" s="1298"/>
      <c r="AA40" s="1258"/>
      <c r="AB40" s="1259"/>
      <c r="AC40" s="1259"/>
      <c r="AD40" s="1260"/>
      <c r="AE40" s="1259"/>
      <c r="AF40" s="1259"/>
      <c r="AG40" s="1259"/>
      <c r="AH40" s="1260"/>
      <c r="AI40" s="1259"/>
      <c r="AJ40" s="1259"/>
      <c r="AK40" s="1259"/>
      <c r="AL40" s="1335"/>
      <c r="AM40" s="151"/>
      <c r="AN40" s="152"/>
      <c r="AO40" s="152"/>
      <c r="AP40" s="395"/>
      <c r="AQ40" s="151"/>
      <c r="AR40" s="152"/>
      <c r="AS40" s="152"/>
      <c r="AT40" s="395"/>
      <c r="AU40" s="151"/>
      <c r="AV40" s="152"/>
      <c r="AW40" s="152"/>
      <c r="AX40" s="395"/>
      <c r="AY40" s="151"/>
      <c r="AZ40" s="152"/>
      <c r="BA40" s="152"/>
      <c r="BB40" s="395"/>
      <c r="BC40" s="151"/>
      <c r="BD40" s="152"/>
      <c r="BE40" s="152"/>
      <c r="BF40" s="395"/>
      <c r="BG40" s="151"/>
      <c r="BH40" s="152"/>
      <c r="BI40" s="152"/>
      <c r="BJ40" s="395"/>
      <c r="BK40" s="151"/>
      <c r="BL40" s="152"/>
      <c r="BM40" s="152"/>
      <c r="BN40" s="395"/>
      <c r="BO40" s="151"/>
      <c r="BP40" s="152"/>
      <c r="BQ40" s="152"/>
      <c r="BR40" s="395"/>
      <c r="BS40" s="151"/>
      <c r="BT40" s="152">
        <f>SUM('INSC-POSG plan'!BU67)</f>
        <v>2</v>
      </c>
      <c r="BU40" s="152"/>
      <c r="BV40" s="395">
        <f>SUM(BS40:BU40)</f>
        <v>2</v>
      </c>
      <c r="BW40" s="151"/>
      <c r="BX40" s="152">
        <f>SUM('INSC-POSG plan'!BY67)</f>
        <v>2</v>
      </c>
      <c r="BY40" s="152"/>
      <c r="BZ40" s="395">
        <f>SUM(BW40:BY40)</f>
        <v>2</v>
      </c>
      <c r="CA40" s="151"/>
      <c r="CB40" s="152">
        <f>SUM('INSC-POSG plan'!CC67)</f>
        <v>1</v>
      </c>
      <c r="CC40" s="152"/>
      <c r="CD40" s="395">
        <f>SUM(CA40:CC40)</f>
        <v>1</v>
      </c>
      <c r="CE40" s="151"/>
      <c r="CF40" s="152">
        <f>SUM('INSC-POSG plan'!CG67)</f>
        <v>0</v>
      </c>
      <c r="CG40" s="152"/>
      <c r="CH40" s="395">
        <f>SUM(CE40:CG40)</f>
        <v>0</v>
      </c>
      <c r="CI40" s="151">
        <f>SUM('INSC-POSG plan'!CJ67)</f>
        <v>2</v>
      </c>
      <c r="CJ40" s="152">
        <f>SUM('INSC-POSG plan'!CK67)</f>
        <v>0</v>
      </c>
      <c r="CK40" s="152"/>
      <c r="CL40" s="395">
        <f>SUM(CI40:CK40)</f>
        <v>2</v>
      </c>
      <c r="CM40" s="151">
        <f>SUM('INSC-POSG plan'!CN67)</f>
        <v>1</v>
      </c>
      <c r="CN40" s="152">
        <f>SUM('INSC-POSG plan'!CO67)</f>
        <v>0</v>
      </c>
      <c r="CO40" s="152"/>
      <c r="CP40" s="395">
        <f>SUM(CM40:CO40)</f>
        <v>1</v>
      </c>
      <c r="CQ40" s="151">
        <f>SUM('INSC-POSG plan'!CR67)</f>
        <v>3</v>
      </c>
      <c r="CR40" s="152">
        <f>SUM('INSC-POSG plan'!CS67)</f>
        <v>0</v>
      </c>
      <c r="CS40" s="152">
        <f>SUM('INSC-POSG plan'!CT67)</f>
        <v>0</v>
      </c>
      <c r="CT40" s="395">
        <f>SUM(CQ40:CS40)</f>
        <v>3</v>
      </c>
    </row>
    <row r="41" spans="1:98" ht="15" x14ac:dyDescent="0.25">
      <c r="A41" s="1333"/>
      <c r="B41" s="1336" t="s">
        <v>310</v>
      </c>
      <c r="C41" s="1262">
        <f>+'INSC-POSG plan'!D68+'INSC-POSG plan'!D69+'INSC-POSG plan'!D70+'INSC-POSG plan'!D71+'INSC-POSG plan'!D72+'INSC-POSG plan'!D73</f>
        <v>18</v>
      </c>
      <c r="D41" s="1263">
        <f>+'INSC-POSG plan'!E68+'INSC-POSG plan'!E69+'INSC-POSG plan'!E70+'INSC-POSG plan'!E71+'INSC-POSG plan'!E72+'INSC-POSG plan'!E73</f>
        <v>9</v>
      </c>
      <c r="E41" s="1263">
        <f>+'INSC-POSG plan'!F68+'INSC-POSG plan'!F69+'INSC-POSG plan'!F70+'INSC-POSG plan'!F71+'INSC-POSG plan'!F72+'INSC-POSG plan'!F73</f>
        <v>46</v>
      </c>
      <c r="F41" s="1264">
        <f t="shared" ref="F41:F83" si="45">SUM(C41:E41)</f>
        <v>73</v>
      </c>
      <c r="G41" s="1262">
        <f>+'INSC-POSG plan'!H68+'INSC-POSG plan'!H69+'INSC-POSG plan'!H70+'INSC-POSG plan'!H71+'INSC-POSG plan'!H72+'INSC-POSG plan'!H73</f>
        <v>27</v>
      </c>
      <c r="H41" s="1263">
        <f>+'INSC-POSG plan'!I68+'INSC-POSG plan'!I69+'INSC-POSG plan'!I70+'INSC-POSG plan'!I71+'INSC-POSG plan'!I72+'INSC-POSG plan'!I73</f>
        <v>12</v>
      </c>
      <c r="I41" s="1263">
        <f>+'INSC-POSG plan'!J68+'INSC-POSG plan'!J69+'INSC-POSG plan'!J70+'INSC-POSG plan'!J71+'INSC-POSG plan'!J72+'INSC-POSG plan'!J73</f>
        <v>36</v>
      </c>
      <c r="J41" s="1264">
        <f t="shared" ref="J41:J55" si="46">SUM(G41:I41)</f>
        <v>75</v>
      </c>
      <c r="K41" s="1262">
        <f>+'INSC-POSG plan'!L68+'INSC-POSG plan'!L69+'INSC-POSG plan'!L70+'INSC-POSG plan'!L71+'INSC-POSG plan'!L72+'INSC-POSG plan'!L73</f>
        <v>29</v>
      </c>
      <c r="L41" s="1263">
        <f>+'INSC-POSG plan'!M68+'INSC-POSG plan'!M69+'INSC-POSG plan'!M70+'INSC-POSG plan'!M71+'INSC-POSG plan'!M72+'INSC-POSG plan'!M73</f>
        <v>15</v>
      </c>
      <c r="M41" s="1263">
        <f>+'INSC-POSG plan'!N68+'INSC-POSG plan'!N69+'INSC-POSG plan'!N70+'INSC-POSG plan'!N71+'INSC-POSG plan'!N72+'INSC-POSG plan'!N73</f>
        <v>48</v>
      </c>
      <c r="N41" s="1264">
        <f t="shared" ref="N41:N55" si="47">SUM(K41:M41)</f>
        <v>92</v>
      </c>
      <c r="O41" s="1262">
        <f>+'INSC-POSG plan'!P68+'INSC-POSG plan'!P69+'INSC-POSG plan'!P70+'INSC-POSG plan'!P71+'INSC-POSG plan'!P72+'INSC-POSG plan'!P73</f>
        <v>25</v>
      </c>
      <c r="P41" s="1263">
        <f>+'INSC-POSG plan'!Q68+'INSC-POSG plan'!Q69+'INSC-POSG plan'!Q70+'INSC-POSG plan'!Q71+'INSC-POSG plan'!Q72+'INSC-POSG plan'!Q73</f>
        <v>10</v>
      </c>
      <c r="Q41" s="1263">
        <f>+'INSC-POSG plan'!R68+'INSC-POSG plan'!R69+'INSC-POSG plan'!R70+'INSC-POSG plan'!R71+'INSC-POSG plan'!R72+'INSC-POSG plan'!R73</f>
        <v>44</v>
      </c>
      <c r="R41" s="1264">
        <f t="shared" ref="R41:R55" si="48">SUM(O41:Q41)</f>
        <v>79</v>
      </c>
      <c r="S41" s="1262">
        <v>2</v>
      </c>
      <c r="T41" s="1263">
        <v>5</v>
      </c>
      <c r="U41" s="1263">
        <v>23</v>
      </c>
      <c r="V41" s="1264">
        <v>30</v>
      </c>
      <c r="W41" s="1262">
        <v>6</v>
      </c>
      <c r="X41" s="1263">
        <v>8</v>
      </c>
      <c r="Y41" s="1263">
        <v>22</v>
      </c>
      <c r="Z41" s="1337">
        <v>36</v>
      </c>
      <c r="AA41" s="1262">
        <v>14</v>
      </c>
      <c r="AB41" s="1263">
        <v>13</v>
      </c>
      <c r="AC41" s="1263">
        <v>42</v>
      </c>
      <c r="AD41" s="1264">
        <v>69</v>
      </c>
      <c r="AE41" s="1263">
        <v>7</v>
      </c>
      <c r="AF41" s="1263">
        <v>12</v>
      </c>
      <c r="AG41" s="1263">
        <v>43</v>
      </c>
      <c r="AH41" s="1264">
        <v>62</v>
      </c>
      <c r="AI41" s="1263">
        <v>14</v>
      </c>
      <c r="AJ41" s="1263">
        <v>8</v>
      </c>
      <c r="AK41" s="1263">
        <v>28</v>
      </c>
      <c r="AL41" s="1338">
        <v>50</v>
      </c>
      <c r="AM41" s="129">
        <v>16</v>
      </c>
      <c r="AN41" s="130">
        <v>8</v>
      </c>
      <c r="AO41" s="130">
        <v>46</v>
      </c>
      <c r="AP41" s="396">
        <v>70</v>
      </c>
      <c r="AQ41" s="129">
        <v>7</v>
      </c>
      <c r="AR41" s="130">
        <v>4</v>
      </c>
      <c r="AS41" s="130">
        <v>58</v>
      </c>
      <c r="AT41" s="396">
        <f t="shared" ref="AT41:AT51" si="49">SUM(AQ41:AS41)</f>
        <v>69</v>
      </c>
      <c r="AU41" s="129">
        <v>12</v>
      </c>
      <c r="AV41" s="130">
        <v>7</v>
      </c>
      <c r="AW41" s="130">
        <v>47</v>
      </c>
      <c r="AX41" s="396">
        <f t="shared" ref="AX41:AX51" si="50">SUM(AU41:AW41)</f>
        <v>66</v>
      </c>
      <c r="AY41" s="129">
        <v>15</v>
      </c>
      <c r="AZ41" s="130">
        <v>16</v>
      </c>
      <c r="BA41" s="130">
        <v>57</v>
      </c>
      <c r="BB41" s="396">
        <f>SUM(AY41:BA41)</f>
        <v>88</v>
      </c>
      <c r="BC41" s="129">
        <f>SUM('INSC-POSG plan'!BD68,'INSC-POSG plan'!BD69,'INSC-POSG plan'!BD70,'INSC-POSG plan'!BD71,'INSC-POSG plan'!BD72,'INSC-POSG plan'!BD73)</f>
        <v>16</v>
      </c>
      <c r="BD41" s="130">
        <f>SUM('INSC-POSG plan'!BE68,'INSC-POSG plan'!BE69,'INSC-POSG plan'!BE70,'INSC-POSG plan'!BE71,'INSC-POSG plan'!BE72,'INSC-POSG plan'!BE73)</f>
        <v>7</v>
      </c>
      <c r="BE41" s="130">
        <f>SUM('INSC-POSG plan'!BF68,'INSC-POSG plan'!BF69,'INSC-POSG plan'!BF70,'INSC-POSG plan'!BF71,'INSC-POSG plan'!BF72,'INSC-POSG plan'!BF73)</f>
        <v>61</v>
      </c>
      <c r="BF41" s="396">
        <f>SUM(BC41:BE41)</f>
        <v>84</v>
      </c>
      <c r="BG41" s="129">
        <f>SUM('INSC-POSG plan'!BH68:BH74)</f>
        <v>35</v>
      </c>
      <c r="BH41" s="130">
        <f>SUM('INSC-POSG plan'!BI68,'INSC-POSG plan'!BI69,'INSC-POSG plan'!BI70,'INSC-POSG plan'!BI71,'INSC-POSG plan'!BI72,'INSC-POSG plan'!BI73)</f>
        <v>5</v>
      </c>
      <c r="BI41" s="130">
        <f>SUM('INSC-POSG plan'!BJ68:BJ74)</f>
        <v>54</v>
      </c>
      <c r="BJ41" s="396">
        <f>SUM(BG41:BI41)</f>
        <v>94</v>
      </c>
      <c r="BK41" s="129">
        <f>SUM('INSC-POSG plan'!BL68:BL74)</f>
        <v>24</v>
      </c>
      <c r="BL41" s="130">
        <f>SUM('INSC-POSG plan'!BM68,'INSC-POSG plan'!BM69,'INSC-POSG plan'!BM70,'INSC-POSG plan'!BM71,'INSC-POSG plan'!BM72,'INSC-POSG plan'!BM73)</f>
        <v>5</v>
      </c>
      <c r="BM41" s="130">
        <f>SUM('INSC-POSG plan'!BN68:BN74)</f>
        <v>49</v>
      </c>
      <c r="BN41" s="396">
        <f>SUM(BK41:BM41)</f>
        <v>78</v>
      </c>
      <c r="BO41" s="129">
        <f>SUM('INSC-POSG plan'!BP68:BP74)</f>
        <v>28</v>
      </c>
      <c r="BP41" s="130">
        <f>SUM('INSC-POSG plan'!BQ68,'INSC-POSG plan'!BQ69,'INSC-POSG plan'!BQ70,'INSC-POSG plan'!BQ71,'INSC-POSG plan'!BQ72,'INSC-POSG plan'!BQ73)</f>
        <v>13</v>
      </c>
      <c r="BQ41" s="130">
        <f>SUM('INSC-POSG plan'!BR68:BR74)</f>
        <v>54</v>
      </c>
      <c r="BR41" s="396">
        <f>SUM(BO41:BQ41)</f>
        <v>95</v>
      </c>
      <c r="BS41" s="129">
        <f>SUM('INSC-POSG plan'!BT68:BT74)</f>
        <v>45</v>
      </c>
      <c r="BT41" s="130">
        <f>SUM('INSC-POSG plan'!BU68,'INSC-POSG plan'!BU69,'INSC-POSG plan'!BU70,'INSC-POSG plan'!BU71,'INSC-POSG plan'!BU72,'INSC-POSG plan'!BU73)</f>
        <v>10</v>
      </c>
      <c r="BU41" s="130">
        <f>SUM('INSC-POSG plan'!BV68:BV74)</f>
        <v>50</v>
      </c>
      <c r="BV41" s="396">
        <f>SUM(BS41:BU41)</f>
        <v>105</v>
      </c>
      <c r="BW41" s="129">
        <f>SUM('INSC-POSG plan'!BX68:BX74)</f>
        <v>26</v>
      </c>
      <c r="BX41" s="130">
        <f>SUM('INSC-POSG plan'!BY68:BY74)</f>
        <v>14</v>
      </c>
      <c r="BY41" s="130">
        <f>SUM('INSC-POSG plan'!BZ68:BZ74)</f>
        <v>54</v>
      </c>
      <c r="BZ41" s="396">
        <f>SUM(BW41:BY41)</f>
        <v>94</v>
      </c>
      <c r="CA41" s="129">
        <f>SUM('INSC-POSG plan'!CB68:CB74)</f>
        <v>26</v>
      </c>
      <c r="CB41" s="130">
        <f>SUM('INSC-POSG plan'!CC68:CC74)</f>
        <v>14</v>
      </c>
      <c r="CC41" s="130">
        <f>SUM('INSC-POSG plan'!CD68:CD74)</f>
        <v>41</v>
      </c>
      <c r="CD41" s="396">
        <f>SUM(CA41:CC41)</f>
        <v>81</v>
      </c>
      <c r="CE41" s="129">
        <f>SUM('INSC-POSG plan'!CF68:CF74)</f>
        <v>35</v>
      </c>
      <c r="CF41" s="130">
        <f>SUM('INSC-POSG plan'!CG68:CG74)</f>
        <v>30</v>
      </c>
      <c r="CG41" s="130">
        <f>SUM('INSC-POSG plan'!CH68:CH74)</f>
        <v>37</v>
      </c>
      <c r="CH41" s="396">
        <f>SUM(CE41:CG41)</f>
        <v>102</v>
      </c>
      <c r="CI41" s="129">
        <f>SUM('INSC-POSG plan'!CJ68:CJ74)</f>
        <v>6</v>
      </c>
      <c r="CJ41" s="130">
        <f>SUM('INSC-POSG plan'!CK68:CK74)</f>
        <v>40</v>
      </c>
      <c r="CK41" s="130">
        <f>SUM('INSC-POSG plan'!CL68:CL74)</f>
        <v>6</v>
      </c>
      <c r="CL41" s="396">
        <f>SUM(CI41:CK41)</f>
        <v>52</v>
      </c>
      <c r="CM41" s="129">
        <f>SUM('INSC-POSG plan'!CN68:CN74)</f>
        <v>1</v>
      </c>
      <c r="CN41" s="130">
        <f>SUM('INSC-POSG plan'!CO68:CO74)</f>
        <v>25</v>
      </c>
      <c r="CO41" s="130">
        <f>SUM('INSC-POSG plan'!CP68:CP74)</f>
        <v>21</v>
      </c>
      <c r="CP41" s="396">
        <f>SUM(CM41:CO41)</f>
        <v>47</v>
      </c>
      <c r="CQ41" s="129">
        <f>SUM('INSC-POSG plan'!CR68:CR74)</f>
        <v>18</v>
      </c>
      <c r="CR41" s="130">
        <f>SUM('INSC-POSG plan'!CS68:CS74)</f>
        <v>17</v>
      </c>
      <c r="CS41" s="130">
        <f>SUM('INSC-POSG plan'!CT68:CT74)</f>
        <v>58</v>
      </c>
      <c r="CT41" s="396">
        <f>SUM(CQ41:CS41)</f>
        <v>93</v>
      </c>
    </row>
    <row r="42" spans="1:98" ht="15" x14ac:dyDescent="0.25">
      <c r="A42" s="1333"/>
      <c r="B42" s="1339" t="s">
        <v>317</v>
      </c>
      <c r="C42" s="1267">
        <f>+'INSC-POSG plan'!D75+'INSC-POSG plan'!D76+'INSC-POSG plan'!D77+'INSC-POSG plan'!D78+'INSC-POSG plan'!D79+'INSC-POSG plan'!D80+'INSC-POSG plan'!D82</f>
        <v>10</v>
      </c>
      <c r="D42" s="1268">
        <f>+'INSC-POSG plan'!E75+'INSC-POSG plan'!E76+'INSC-POSG plan'!E77+'INSC-POSG plan'!E78+'INSC-POSG plan'!E79+'INSC-POSG plan'!E80+'INSC-POSG plan'!E82</f>
        <v>10</v>
      </c>
      <c r="E42" s="1268">
        <f>+'INSC-POSG plan'!F75+'INSC-POSG plan'!F76+'INSC-POSG plan'!F77+'INSC-POSG plan'!F78+'INSC-POSG plan'!F79+'INSC-POSG plan'!F80+'INSC-POSG plan'!F82</f>
        <v>10</v>
      </c>
      <c r="F42" s="1269">
        <f t="shared" si="45"/>
        <v>30</v>
      </c>
      <c r="G42" s="1267">
        <f>+'INSC-POSG plan'!H75+'INSC-POSG plan'!H76+'INSC-POSG plan'!H77+'INSC-POSG plan'!H78+'INSC-POSG plan'!H79+'INSC-POSG plan'!H80+'INSC-POSG plan'!H82</f>
        <v>13</v>
      </c>
      <c r="H42" s="1268">
        <f>+'INSC-POSG plan'!I75+'INSC-POSG plan'!I76+'INSC-POSG plan'!I77+'INSC-POSG plan'!I78+'INSC-POSG plan'!I79+'INSC-POSG plan'!I80+'INSC-POSG plan'!I82</f>
        <v>3</v>
      </c>
      <c r="I42" s="1268">
        <f>+'INSC-POSG plan'!J75+'INSC-POSG plan'!J76+'INSC-POSG plan'!J77+'INSC-POSG plan'!J78+'INSC-POSG plan'!J79+'INSC-POSG plan'!J80+'INSC-POSG plan'!J82</f>
        <v>29</v>
      </c>
      <c r="J42" s="1269">
        <f t="shared" si="46"/>
        <v>45</v>
      </c>
      <c r="K42" s="1267">
        <f>+'INSC-POSG plan'!L75+'INSC-POSG plan'!L76+'INSC-POSG plan'!L77+'INSC-POSG plan'!L78+'INSC-POSG plan'!L79+'INSC-POSG plan'!L80+'INSC-POSG plan'!L82</f>
        <v>25</v>
      </c>
      <c r="L42" s="1268">
        <f>+'INSC-POSG plan'!M75+'INSC-POSG plan'!M76+'INSC-POSG plan'!M77+'INSC-POSG plan'!M78+'INSC-POSG plan'!M79+'INSC-POSG plan'!M80+'INSC-POSG plan'!M82</f>
        <v>12</v>
      </c>
      <c r="M42" s="1268">
        <f>+'INSC-POSG plan'!N75+'INSC-POSG plan'!N76+'INSC-POSG plan'!N77+'INSC-POSG plan'!N78+'INSC-POSG plan'!N79+'INSC-POSG plan'!N80+'INSC-POSG plan'!N82</f>
        <v>9</v>
      </c>
      <c r="N42" s="1269">
        <f t="shared" si="47"/>
        <v>46</v>
      </c>
      <c r="O42" s="1267">
        <f>+'INSC-POSG plan'!P75+'INSC-POSG plan'!P76+'INSC-POSG plan'!P77+'INSC-POSG plan'!P78+'INSC-POSG plan'!P79+'INSC-POSG plan'!P80+'INSC-POSG plan'!P82</f>
        <v>19</v>
      </c>
      <c r="P42" s="1268">
        <f>+'INSC-POSG plan'!Q75+'INSC-POSG plan'!Q76+'INSC-POSG plan'!Q77+'INSC-POSG plan'!Q78+'INSC-POSG plan'!Q79+'INSC-POSG plan'!Q80+'INSC-POSG plan'!Q82</f>
        <v>9</v>
      </c>
      <c r="Q42" s="1268">
        <f>+'INSC-POSG plan'!R75+'INSC-POSG plan'!R76+'INSC-POSG plan'!R77+'INSC-POSG plan'!R78+'INSC-POSG plan'!R79+'INSC-POSG plan'!R80+'INSC-POSG plan'!R82</f>
        <v>13</v>
      </c>
      <c r="R42" s="1269">
        <f t="shared" si="48"/>
        <v>41</v>
      </c>
      <c r="S42" s="1267">
        <v>11</v>
      </c>
      <c r="T42" s="1268">
        <v>8</v>
      </c>
      <c r="U42" s="1268">
        <v>17</v>
      </c>
      <c r="V42" s="1269">
        <v>36</v>
      </c>
      <c r="W42" s="1267">
        <v>13</v>
      </c>
      <c r="X42" s="1268">
        <v>9</v>
      </c>
      <c r="Y42" s="1268">
        <v>18</v>
      </c>
      <c r="Z42" s="1340">
        <v>40</v>
      </c>
      <c r="AA42" s="1267">
        <v>17</v>
      </c>
      <c r="AB42" s="1268">
        <v>12</v>
      </c>
      <c r="AC42" s="1268">
        <v>12</v>
      </c>
      <c r="AD42" s="1269">
        <v>41</v>
      </c>
      <c r="AE42" s="1268">
        <v>7</v>
      </c>
      <c r="AF42" s="1268">
        <v>4</v>
      </c>
      <c r="AG42" s="1268">
        <v>6</v>
      </c>
      <c r="AH42" s="1269">
        <v>17</v>
      </c>
      <c r="AI42" s="1268">
        <v>1</v>
      </c>
      <c r="AJ42" s="1268">
        <v>2</v>
      </c>
      <c r="AK42" s="1268">
        <v>7</v>
      </c>
      <c r="AL42" s="1341">
        <v>10</v>
      </c>
      <c r="AM42" s="196">
        <v>4</v>
      </c>
      <c r="AN42" s="197">
        <v>2</v>
      </c>
      <c r="AO42" s="197">
        <v>14</v>
      </c>
      <c r="AP42" s="397">
        <v>20</v>
      </c>
      <c r="AQ42" s="196">
        <v>4</v>
      </c>
      <c r="AR42" s="197">
        <v>4</v>
      </c>
      <c r="AS42" s="197">
        <v>12</v>
      </c>
      <c r="AT42" s="397">
        <f t="shared" si="49"/>
        <v>20</v>
      </c>
      <c r="AU42" s="196">
        <v>13</v>
      </c>
      <c r="AV42" s="197">
        <v>2</v>
      </c>
      <c r="AW42" s="197">
        <v>10</v>
      </c>
      <c r="AX42" s="397">
        <f t="shared" si="50"/>
        <v>25</v>
      </c>
      <c r="AY42" s="196">
        <v>18</v>
      </c>
      <c r="AZ42" s="197">
        <v>6</v>
      </c>
      <c r="BA42" s="197">
        <v>22</v>
      </c>
      <c r="BB42" s="397">
        <f>SUM(AY42:BA42)</f>
        <v>46</v>
      </c>
      <c r="BC42" s="196">
        <f>SUM('INSC-POSG plan'!BD75,'INSC-POSG plan'!BD76,'INSC-POSG plan'!BD77,'INSC-POSG plan'!BD78,'INSC-POSG plan'!BD79,'INSC-POSG plan'!BD80,'INSC-POSG plan'!BD82)</f>
        <v>17</v>
      </c>
      <c r="BD42" s="197">
        <f>SUM('INSC-POSG plan'!BE75,'INSC-POSG plan'!BE76,'INSC-POSG plan'!BE77,'INSC-POSG plan'!BE78,'INSC-POSG plan'!BE79,'INSC-POSG plan'!BE80,'INSC-POSG plan'!BE82)</f>
        <v>9</v>
      </c>
      <c r="BE42" s="197">
        <f>SUM('INSC-POSG plan'!BF75,'INSC-POSG plan'!BF76,'INSC-POSG plan'!BF77,'INSC-POSG plan'!BF78,'INSC-POSG plan'!BF79,'INSC-POSG plan'!BF80,'INSC-POSG plan'!BF82)</f>
        <v>16</v>
      </c>
      <c r="BF42" s="397">
        <f>SUM(BC42:BE42)</f>
        <v>42</v>
      </c>
      <c r="BG42" s="196">
        <f>SUM('INSC-POSG plan'!BH75:BH82)</f>
        <v>26</v>
      </c>
      <c r="BH42" s="197">
        <f>SUM('INSC-POSG plan'!BI75,'INSC-POSG plan'!BI76,'INSC-POSG plan'!BI77,'INSC-POSG plan'!BI78,'INSC-POSG plan'!BI79,'INSC-POSG plan'!BI80,'INSC-POSG plan'!BI82)</f>
        <v>11</v>
      </c>
      <c r="BI42" s="197">
        <f>SUM('INSC-POSG plan'!BJ75:BJ82)</f>
        <v>16</v>
      </c>
      <c r="BJ42" s="397">
        <f>SUM(BG42:BI42)</f>
        <v>53</v>
      </c>
      <c r="BK42" s="196">
        <f>SUM('INSC-POSG plan'!BL75:BL82)</f>
        <v>11</v>
      </c>
      <c r="BL42" s="197">
        <f>SUM('INSC-POSG plan'!BM75,'INSC-POSG plan'!BM76,'INSC-POSG plan'!BM77,'INSC-POSG plan'!BM78,'INSC-POSG plan'!BM79,'INSC-POSG plan'!BM80,'INSC-POSG plan'!BM82)</f>
        <v>10</v>
      </c>
      <c r="BM42" s="197">
        <f>SUM('INSC-POSG plan'!BN75:BN82)</f>
        <v>23</v>
      </c>
      <c r="BN42" s="397">
        <f>SUM(BK42:BM42)</f>
        <v>44</v>
      </c>
      <c r="BO42" s="196">
        <f>SUM('INSC-POSG plan'!BP75:BP82)</f>
        <v>14</v>
      </c>
      <c r="BP42" s="197">
        <f>SUM('INSC-POSG plan'!BQ75,'INSC-POSG plan'!BQ76,'INSC-POSG plan'!BQ77,'INSC-POSG plan'!BQ78,'INSC-POSG plan'!BQ79,'INSC-POSG plan'!BQ80,'INSC-POSG plan'!BQ82)</f>
        <v>9</v>
      </c>
      <c r="BQ42" s="197">
        <f>SUM('INSC-POSG plan'!BR75:BR82)</f>
        <v>20</v>
      </c>
      <c r="BR42" s="397">
        <f>SUM(BO42:BQ42)</f>
        <v>43</v>
      </c>
      <c r="BS42" s="196">
        <f>SUM('INSC-POSG plan'!BT75:BT82)</f>
        <v>18</v>
      </c>
      <c r="BT42" s="197">
        <f>SUM('INSC-POSG plan'!BU75,'INSC-POSG plan'!BU76,'INSC-POSG plan'!BU77,'INSC-POSG plan'!BU78,'INSC-POSG plan'!BU79,'INSC-POSG plan'!BU80,'INSC-POSG plan'!BU82)</f>
        <v>4</v>
      </c>
      <c r="BU42" s="197">
        <f>SUM('INSC-POSG plan'!BV75:BV82)</f>
        <v>5</v>
      </c>
      <c r="BV42" s="397">
        <f>SUM(BS42:BU42)</f>
        <v>27</v>
      </c>
      <c r="BW42" s="196">
        <f>SUM('INSC-POSG plan'!BX75:BX82)</f>
        <v>8</v>
      </c>
      <c r="BX42" s="197">
        <f>SUM('INSC-POSG plan'!BY75:BY82)</f>
        <v>7</v>
      </c>
      <c r="BY42" s="197">
        <f>SUM('INSC-POSG plan'!BZ75:BZ82)</f>
        <v>10</v>
      </c>
      <c r="BZ42" s="397">
        <f>SUM(BW42:BY42)</f>
        <v>25</v>
      </c>
      <c r="CA42" s="196">
        <f>SUM('INSC-POSG plan'!CB75:CB82)</f>
        <v>22</v>
      </c>
      <c r="CB42" s="197">
        <f>SUM('INSC-POSG plan'!CC75:CC82)</f>
        <v>11</v>
      </c>
      <c r="CC42" s="197">
        <f>SUM('INSC-POSG plan'!CD75:CD82)</f>
        <v>15</v>
      </c>
      <c r="CD42" s="397">
        <f>SUM(CA42:CC42)</f>
        <v>48</v>
      </c>
      <c r="CE42" s="196">
        <f>SUM('INSC-POSG plan'!CF75:CF82)</f>
        <v>15</v>
      </c>
      <c r="CF42" s="197">
        <f>SUM('INSC-POSG plan'!CG75:CG82)</f>
        <v>15</v>
      </c>
      <c r="CG42" s="197">
        <f>SUM('INSC-POSG plan'!CH75:CH82)</f>
        <v>10</v>
      </c>
      <c r="CH42" s="397">
        <f>SUM(CE42:CG42)</f>
        <v>40</v>
      </c>
      <c r="CI42" s="196">
        <f>SUM('INSC-POSG plan'!CJ75:CJ82)</f>
        <v>8</v>
      </c>
      <c r="CJ42" s="197">
        <f>SUM('INSC-POSG plan'!CK75:CK82)</f>
        <v>12</v>
      </c>
      <c r="CK42" s="197">
        <f>SUM('INSC-POSG plan'!CL75:CL82)</f>
        <v>10</v>
      </c>
      <c r="CL42" s="397">
        <f>SUM(CI42:CK42)</f>
        <v>30</v>
      </c>
      <c r="CM42" s="196">
        <f>SUM('INSC-POSG plan'!CN75:CN82)</f>
        <v>4</v>
      </c>
      <c r="CN42" s="197">
        <f>SUM('INSC-POSG plan'!CO75:CO82)</f>
        <v>8</v>
      </c>
      <c r="CO42" s="197">
        <f>SUM('INSC-POSG plan'!CP75:CP82)</f>
        <v>9</v>
      </c>
      <c r="CP42" s="397">
        <f>SUM(CM42:CO42)</f>
        <v>21</v>
      </c>
      <c r="CQ42" s="196">
        <f>SUM('INSC-POSG plan'!CR75:CR82)</f>
        <v>6</v>
      </c>
      <c r="CR42" s="197">
        <f>SUM('INSC-POSG plan'!CS75:CS82)</f>
        <v>9</v>
      </c>
      <c r="CS42" s="197">
        <f>SUM('INSC-POSG plan'!CT75:CT82)</f>
        <v>8</v>
      </c>
      <c r="CT42" s="397">
        <f>SUM(CQ42:CS42)</f>
        <v>23</v>
      </c>
    </row>
    <row r="43" spans="1:98" s="1330" customFormat="1" ht="15" x14ac:dyDescent="0.25">
      <c r="A43" s="1333"/>
      <c r="B43" s="1342" t="s">
        <v>425</v>
      </c>
      <c r="C43" s="1343">
        <f>SUM(C40:C42)</f>
        <v>28</v>
      </c>
      <c r="D43" s="1344">
        <f>SUM(D40:D42)</f>
        <v>19</v>
      </c>
      <c r="E43" s="1344">
        <f>SUM(E40:E42)</f>
        <v>56</v>
      </c>
      <c r="F43" s="1345">
        <f t="shared" si="45"/>
        <v>103</v>
      </c>
      <c r="G43" s="1343">
        <f>SUM(G40:G42)</f>
        <v>40</v>
      </c>
      <c r="H43" s="1344">
        <f>SUM(H40:H42)</f>
        <v>15</v>
      </c>
      <c r="I43" s="1344">
        <f>SUM(I40:I42)</f>
        <v>65</v>
      </c>
      <c r="J43" s="1345">
        <f t="shared" si="46"/>
        <v>120</v>
      </c>
      <c r="K43" s="1343">
        <f>SUM(K40:K42)</f>
        <v>54</v>
      </c>
      <c r="L43" s="1344">
        <f>SUM(L40:L42)</f>
        <v>27</v>
      </c>
      <c r="M43" s="1344">
        <f>SUM(M40:M42)</f>
        <v>57</v>
      </c>
      <c r="N43" s="1345">
        <f t="shared" si="47"/>
        <v>138</v>
      </c>
      <c r="O43" s="1343">
        <f>SUM(O40:O42)</f>
        <v>44</v>
      </c>
      <c r="P43" s="1344">
        <f>SUM(P40:P42)</f>
        <v>19</v>
      </c>
      <c r="Q43" s="1344">
        <f>SUM(Q40:Q42)</f>
        <v>57</v>
      </c>
      <c r="R43" s="1345">
        <f t="shared" si="48"/>
        <v>120</v>
      </c>
      <c r="S43" s="1343">
        <v>13</v>
      </c>
      <c r="T43" s="1344">
        <v>13</v>
      </c>
      <c r="U43" s="1344">
        <v>40</v>
      </c>
      <c r="V43" s="1345">
        <v>66</v>
      </c>
      <c r="W43" s="1343">
        <v>19</v>
      </c>
      <c r="X43" s="1344">
        <v>17</v>
      </c>
      <c r="Y43" s="1344">
        <v>40</v>
      </c>
      <c r="Z43" s="1344">
        <v>76</v>
      </c>
      <c r="AA43" s="1343">
        <v>31</v>
      </c>
      <c r="AB43" s="1344">
        <v>25</v>
      </c>
      <c r="AC43" s="1344">
        <v>54</v>
      </c>
      <c r="AD43" s="1345">
        <v>110</v>
      </c>
      <c r="AE43" s="1344">
        <v>14</v>
      </c>
      <c r="AF43" s="1344">
        <v>16</v>
      </c>
      <c r="AG43" s="1344">
        <v>49</v>
      </c>
      <c r="AH43" s="1345">
        <v>79</v>
      </c>
      <c r="AI43" s="1344">
        <v>15</v>
      </c>
      <c r="AJ43" s="1344">
        <v>10</v>
      </c>
      <c r="AK43" s="1344">
        <v>35</v>
      </c>
      <c r="AL43" s="1345">
        <v>60</v>
      </c>
      <c r="AM43" s="201">
        <v>20</v>
      </c>
      <c r="AN43" s="202">
        <v>10</v>
      </c>
      <c r="AO43" s="202">
        <v>60</v>
      </c>
      <c r="AP43" s="203">
        <v>90</v>
      </c>
      <c r="AQ43" s="201">
        <f>SUM(AQ40:AQ42)</f>
        <v>11</v>
      </c>
      <c r="AR43" s="202">
        <f>SUM(AR40:AR42)</f>
        <v>8</v>
      </c>
      <c r="AS43" s="202">
        <f>SUM(AS40:AS42)</f>
        <v>70</v>
      </c>
      <c r="AT43" s="203">
        <f t="shared" si="49"/>
        <v>89</v>
      </c>
      <c r="AU43" s="201">
        <f>SUM(AU40:AU42)</f>
        <v>25</v>
      </c>
      <c r="AV43" s="202">
        <f>SUM(AV40:AV42)</f>
        <v>9</v>
      </c>
      <c r="AW43" s="202">
        <f>SUM(AW40:AW42)</f>
        <v>57</v>
      </c>
      <c r="AX43" s="203">
        <f t="shared" si="50"/>
        <v>91</v>
      </c>
      <c r="AY43" s="201">
        <f>SUM(AY40:AY42)</f>
        <v>33</v>
      </c>
      <c r="AZ43" s="202">
        <f>SUM(AZ40:AZ42)</f>
        <v>22</v>
      </c>
      <c r="BA43" s="202">
        <f>SUM(BA40:BA42)</f>
        <v>79</v>
      </c>
      <c r="BB43" s="203">
        <f t="shared" ref="BB43:BB51" si="51">SUM(AY43:BA43)</f>
        <v>134</v>
      </c>
      <c r="BC43" s="201">
        <f>SUM(BC41:BC42)</f>
        <v>33</v>
      </c>
      <c r="BD43" s="202">
        <f>SUM(BD40:BD42)</f>
        <v>16</v>
      </c>
      <c r="BE43" s="202">
        <f>SUM(BE40:BE42)</f>
        <v>77</v>
      </c>
      <c r="BF43" s="203">
        <f t="shared" ref="BF43:BF51" si="52">SUM(BC43:BE43)</f>
        <v>126</v>
      </c>
      <c r="BG43" s="201">
        <f>SUM(BG41:BG42)</f>
        <v>61</v>
      </c>
      <c r="BH43" s="202">
        <f>SUM(BH40:BH42)</f>
        <v>16</v>
      </c>
      <c r="BI43" s="202">
        <f>SUM(BI40:BI42)</f>
        <v>70</v>
      </c>
      <c r="BJ43" s="203">
        <f>SUM(BG43:BI43)</f>
        <v>147</v>
      </c>
      <c r="BK43" s="201">
        <f>SUM(BK41:BK42)</f>
        <v>35</v>
      </c>
      <c r="BL43" s="202">
        <f>SUM(BL40:BL42)</f>
        <v>15</v>
      </c>
      <c r="BM43" s="202">
        <f>SUM(BM40:BM42)</f>
        <v>72</v>
      </c>
      <c r="BN43" s="203">
        <f>SUM(BK43:BM43)</f>
        <v>122</v>
      </c>
      <c r="BO43" s="201">
        <f>SUM(BO41:BO42)</f>
        <v>42</v>
      </c>
      <c r="BP43" s="202">
        <f>SUM(BP40:BP42)</f>
        <v>22</v>
      </c>
      <c r="BQ43" s="202">
        <f>SUM(BQ40:BQ42)</f>
        <v>74</v>
      </c>
      <c r="BR43" s="203">
        <f>SUM(BO43:BQ43)</f>
        <v>138</v>
      </c>
      <c r="BS43" s="201">
        <f>SUM(BS41:BS42)</f>
        <v>63</v>
      </c>
      <c r="BT43" s="202">
        <f>SUM(BT40:BT42)</f>
        <v>16</v>
      </c>
      <c r="BU43" s="202">
        <f>SUM(BU40:BU42)</f>
        <v>55</v>
      </c>
      <c r="BV43" s="203">
        <f>SUM(BS43:BU43)</f>
        <v>134</v>
      </c>
      <c r="BW43" s="201">
        <f>SUM(BW41:BW42)</f>
        <v>34</v>
      </c>
      <c r="BX43" s="202">
        <f>SUM(BX40:BX42)</f>
        <v>23</v>
      </c>
      <c r="BY43" s="202">
        <f>SUM(BY40:BY42)</f>
        <v>64</v>
      </c>
      <c r="BZ43" s="203">
        <f>SUM(BW43:BY43)</f>
        <v>121</v>
      </c>
      <c r="CA43" s="201">
        <f>SUM(CA41:CA42)</f>
        <v>48</v>
      </c>
      <c r="CB43" s="202">
        <f>SUM(CB40:CB42)</f>
        <v>26</v>
      </c>
      <c r="CC43" s="202">
        <f>SUM(CC40:CC42)</f>
        <v>56</v>
      </c>
      <c r="CD43" s="203">
        <f>SUM(CA43:CC43)</f>
        <v>130</v>
      </c>
      <c r="CE43" s="201">
        <f>SUM(CE41:CE42)</f>
        <v>50</v>
      </c>
      <c r="CF43" s="202">
        <f>SUM(CF40:CF42)</f>
        <v>45</v>
      </c>
      <c r="CG43" s="202">
        <f>SUM(CG40:CG42)</f>
        <v>47</v>
      </c>
      <c r="CH43" s="203">
        <f>SUM(CE43:CG43)</f>
        <v>142</v>
      </c>
      <c r="CI43" s="201">
        <f>SUM(CI41:CI42)</f>
        <v>14</v>
      </c>
      <c r="CJ43" s="202">
        <f>SUM(CJ40:CJ42)</f>
        <v>52</v>
      </c>
      <c r="CK43" s="202">
        <f>SUM(CK40:CK42)</f>
        <v>16</v>
      </c>
      <c r="CL43" s="203">
        <f>SUM(CI43:CK43)</f>
        <v>82</v>
      </c>
      <c r="CM43" s="201">
        <f>SUM(CM41:CM42)</f>
        <v>5</v>
      </c>
      <c r="CN43" s="202">
        <f>SUM(CN40:CN42)</f>
        <v>33</v>
      </c>
      <c r="CO43" s="202">
        <f>SUM(CO40:CO42)</f>
        <v>30</v>
      </c>
      <c r="CP43" s="203">
        <f>SUM(CM43:CO43)</f>
        <v>68</v>
      </c>
      <c r="CQ43" s="201">
        <f>SUM(CQ40:CQ42)</f>
        <v>27</v>
      </c>
      <c r="CR43" s="202">
        <f>SUM(CR40:CR42)</f>
        <v>26</v>
      </c>
      <c r="CS43" s="202">
        <f>SUM(CS40:CS42)</f>
        <v>66</v>
      </c>
      <c r="CT43" s="203">
        <f>SUM(CQ43:CS43)</f>
        <v>119</v>
      </c>
    </row>
    <row r="44" spans="1:98" ht="15" x14ac:dyDescent="0.25">
      <c r="A44" s="1333"/>
      <c r="B44" s="1334" t="s">
        <v>308</v>
      </c>
      <c r="C44" s="1258">
        <f>+'INSC-POSG plan'!D84</f>
        <v>0</v>
      </c>
      <c r="D44" s="1259">
        <f>+'INSC-POSG plan'!E84</f>
        <v>0</v>
      </c>
      <c r="E44" s="1259">
        <f>+'INSC-POSG plan'!F84</f>
        <v>12</v>
      </c>
      <c r="F44" s="1260">
        <f t="shared" si="45"/>
        <v>12</v>
      </c>
      <c r="G44" s="1258">
        <f>+'INSC-POSG plan'!H84</f>
        <v>0</v>
      </c>
      <c r="H44" s="1259">
        <f>+'INSC-POSG plan'!I84</f>
        <v>0</v>
      </c>
      <c r="I44" s="1259">
        <f>+'INSC-POSG plan'!J84</f>
        <v>9</v>
      </c>
      <c r="J44" s="1260">
        <f t="shared" si="46"/>
        <v>9</v>
      </c>
      <c r="K44" s="1258">
        <f>+'INSC-POSG plan'!L84</f>
        <v>0</v>
      </c>
      <c r="L44" s="1259">
        <f>+'INSC-POSG plan'!M84</f>
        <v>0</v>
      </c>
      <c r="M44" s="1259">
        <f>+'INSC-POSG plan'!N84</f>
        <v>13</v>
      </c>
      <c r="N44" s="1260">
        <f t="shared" si="47"/>
        <v>13</v>
      </c>
      <c r="O44" s="1258">
        <f>+'INSC-POSG plan'!P84</f>
        <v>0</v>
      </c>
      <c r="P44" s="1259">
        <f>+'INSC-POSG plan'!Q84</f>
        <v>0</v>
      </c>
      <c r="Q44" s="1259">
        <f>+'INSC-POSG plan'!R84</f>
        <v>25</v>
      </c>
      <c r="R44" s="1260">
        <f t="shared" si="48"/>
        <v>25</v>
      </c>
      <c r="S44" s="1258"/>
      <c r="T44" s="1259"/>
      <c r="U44" s="1259">
        <v>41</v>
      </c>
      <c r="V44" s="1260">
        <v>41</v>
      </c>
      <c r="W44" s="1258"/>
      <c r="X44" s="1259"/>
      <c r="Y44" s="1259">
        <v>73</v>
      </c>
      <c r="Z44" s="1298">
        <v>73</v>
      </c>
      <c r="AA44" s="1258"/>
      <c r="AB44" s="1259"/>
      <c r="AC44" s="1259"/>
      <c r="AD44" s="1260"/>
      <c r="AE44" s="1259">
        <v>86</v>
      </c>
      <c r="AF44" s="1259"/>
      <c r="AG44" s="1259"/>
      <c r="AH44" s="1260">
        <v>86</v>
      </c>
      <c r="AI44" s="1259">
        <v>90</v>
      </c>
      <c r="AJ44" s="1259"/>
      <c r="AK44" s="1259">
        <v>19</v>
      </c>
      <c r="AL44" s="1335">
        <v>109</v>
      </c>
      <c r="AM44" s="151">
        <v>101</v>
      </c>
      <c r="AN44" s="152"/>
      <c r="AO44" s="152"/>
      <c r="AP44" s="395">
        <v>101</v>
      </c>
      <c r="AQ44" s="151"/>
      <c r="AR44" s="152">
        <v>99</v>
      </c>
      <c r="AS44" s="152">
        <v>16</v>
      </c>
      <c r="AT44" s="395">
        <f t="shared" si="49"/>
        <v>115</v>
      </c>
      <c r="AU44" s="151"/>
      <c r="AV44" s="152"/>
      <c r="AW44" s="152">
        <v>104</v>
      </c>
      <c r="AX44" s="395">
        <f t="shared" si="50"/>
        <v>104</v>
      </c>
      <c r="AY44" s="151"/>
      <c r="AZ44" s="152"/>
      <c r="BA44" s="152">
        <v>72</v>
      </c>
      <c r="BB44" s="395">
        <f t="shared" si="51"/>
        <v>72</v>
      </c>
      <c r="BC44" s="151"/>
      <c r="BD44" s="152"/>
      <c r="BE44" s="152"/>
      <c r="BF44" s="395"/>
      <c r="BG44" s="151"/>
      <c r="BH44" s="152"/>
      <c r="BI44" s="152">
        <f>SUM('INSC-POSG plan'!BJ84)</f>
        <v>36</v>
      </c>
      <c r="BJ44" s="395"/>
      <c r="BK44" s="152">
        <f>SUM('INSC-POSG plan'!BL84)</f>
        <v>0</v>
      </c>
      <c r="BL44" s="152">
        <f>SUM('INSC-POSG plan'!BM84)</f>
        <v>0</v>
      </c>
      <c r="BM44" s="152">
        <f>SUM('INSC-POSG plan'!BN84)</f>
        <v>15</v>
      </c>
      <c r="BN44" s="396">
        <f t="shared" ref="BN44:BN51" si="53">SUM(BK44:BM44)</f>
        <v>15</v>
      </c>
      <c r="BO44" s="152">
        <f>SUM('INSC-POSG plan'!BP84)</f>
        <v>33</v>
      </c>
      <c r="BP44" s="152">
        <f>SUM('INSC-POSG plan'!BQ84)</f>
        <v>1</v>
      </c>
      <c r="BQ44" s="152">
        <f>SUM('INSC-POSG plan'!BR84)</f>
        <v>24</v>
      </c>
      <c r="BR44" s="396">
        <f t="shared" ref="BR44:BR51" si="54">SUM(BO44:BQ44)</f>
        <v>58</v>
      </c>
      <c r="BS44" s="152">
        <f>SUM('INSC-POSG plan'!BT84)</f>
        <v>0</v>
      </c>
      <c r="BT44" s="152">
        <f>SUM('INSC-POSG plan'!BU84)</f>
        <v>0</v>
      </c>
      <c r="BU44" s="152">
        <f>SUM('INSC-POSG plan'!BV84)</f>
        <v>12</v>
      </c>
      <c r="BV44" s="396">
        <f t="shared" ref="BV44:BV51" si="55">SUM(BS44:BU44)</f>
        <v>12</v>
      </c>
      <c r="BW44" s="152">
        <f>SUM('INSC-POSG plan'!BX84)</f>
        <v>0</v>
      </c>
      <c r="BX44" s="152">
        <f>SUM('INSC-POSG plan'!BY84)</f>
        <v>61</v>
      </c>
      <c r="BY44" s="152">
        <f>SUM('INSC-POSG plan'!BZ84)</f>
        <v>0</v>
      </c>
      <c r="BZ44" s="396">
        <f t="shared" ref="BZ44:BZ51" si="56">SUM(BW44:BY44)</f>
        <v>61</v>
      </c>
      <c r="CA44" s="152">
        <f>SUM('INSC-POSG plan'!CB84)</f>
        <v>0</v>
      </c>
      <c r="CB44" s="152">
        <f>SUM('INSC-POSG plan'!CC84)</f>
        <v>44</v>
      </c>
      <c r="CC44" s="152">
        <f>SUM('INSC-POSG plan'!CD84)</f>
        <v>11</v>
      </c>
      <c r="CD44" s="396">
        <f t="shared" ref="CD44:CD51" si="57">SUM(CA44:CC44)</f>
        <v>55</v>
      </c>
      <c r="CE44" s="152">
        <f>SUM('INSC-POSG plan'!CF84)</f>
        <v>0</v>
      </c>
      <c r="CF44" s="152">
        <f>SUM('INSC-POSG plan'!CG84)</f>
        <v>27</v>
      </c>
      <c r="CG44" s="152">
        <f>SUM('INSC-POSG plan'!CH84)</f>
        <v>0</v>
      </c>
      <c r="CH44" s="396">
        <f t="shared" ref="CH44:CH51" si="58">SUM(CE44:CG44)</f>
        <v>27</v>
      </c>
      <c r="CI44" s="152">
        <f>SUM('INSC-POSG plan'!CJ84)</f>
        <v>0</v>
      </c>
      <c r="CJ44" s="152">
        <f>SUM('INSC-POSG plan'!CK84)</f>
        <v>57</v>
      </c>
      <c r="CK44" s="152">
        <f>SUM('INSC-POSG plan'!CL84)</f>
        <v>0</v>
      </c>
      <c r="CL44" s="396">
        <f t="shared" ref="CL44:CL51" si="59">SUM(CI44:CK44)</f>
        <v>57</v>
      </c>
      <c r="CM44" s="152">
        <f>SUM('INSC-POSG plan'!CN84)</f>
        <v>0</v>
      </c>
      <c r="CN44" s="152">
        <f>SUM('INSC-POSG plan'!CO84)</f>
        <v>0</v>
      </c>
      <c r="CO44" s="152">
        <f>SUM('INSC-POSG plan'!CP84)</f>
        <v>0</v>
      </c>
      <c r="CP44" s="396">
        <f t="shared" ref="CP44:CP51" si="60">SUM(CM44:CO44)</f>
        <v>0</v>
      </c>
      <c r="CQ44" s="152">
        <f>SUM('INSC-POSG plan'!CR84)</f>
        <v>0</v>
      </c>
      <c r="CR44" s="152">
        <f>SUM('INSC-POSG plan'!CS84)</f>
        <v>0</v>
      </c>
      <c r="CS44" s="152">
        <f>SUM('INSC-POSG plan'!CT84)</f>
        <v>9</v>
      </c>
      <c r="CT44" s="396">
        <f t="shared" ref="CT44:CT51" si="61">SUM(CQ44:CS44)</f>
        <v>9</v>
      </c>
    </row>
    <row r="45" spans="1:98" ht="15" x14ac:dyDescent="0.25">
      <c r="A45" s="1333"/>
      <c r="B45" s="1336" t="s">
        <v>310</v>
      </c>
      <c r="C45" s="1262">
        <f>+'INSC-POSG plan'!D85+'INSC-POSG plan'!D86+'INSC-POSG plan'!D87+'INSC-POSG plan'!D88+'INSC-POSG plan'!D89</f>
        <v>0</v>
      </c>
      <c r="D45" s="1263">
        <f>+'INSC-POSG plan'!E85+'INSC-POSG plan'!E86+'INSC-POSG plan'!E87+'INSC-POSG plan'!E88+'INSC-POSG plan'!E89</f>
        <v>0</v>
      </c>
      <c r="E45" s="1263">
        <f>+'INSC-POSG plan'!F85+'INSC-POSG plan'!F86+'INSC-POSG plan'!F87+'INSC-POSG plan'!F88+'INSC-POSG plan'!F89</f>
        <v>79</v>
      </c>
      <c r="F45" s="1264">
        <f t="shared" si="45"/>
        <v>79</v>
      </c>
      <c r="G45" s="1262">
        <f>+'INSC-POSG plan'!H85+'INSC-POSG plan'!H86+'INSC-POSG plan'!H87+'INSC-POSG plan'!H88+'INSC-POSG plan'!H89</f>
        <v>29</v>
      </c>
      <c r="H45" s="1263">
        <f>+'INSC-POSG plan'!I85+'INSC-POSG plan'!I86+'INSC-POSG plan'!I87+'INSC-POSG plan'!I88+'INSC-POSG plan'!I89</f>
        <v>0</v>
      </c>
      <c r="I45" s="1263">
        <f>+'INSC-POSG plan'!J85+'INSC-POSG plan'!J86+'INSC-POSG plan'!J87+'INSC-POSG plan'!J88+'INSC-POSG plan'!J89</f>
        <v>131</v>
      </c>
      <c r="J45" s="1264">
        <f t="shared" si="46"/>
        <v>160</v>
      </c>
      <c r="K45" s="1262">
        <f>+'INSC-POSG plan'!L85+'INSC-POSG plan'!L86+'INSC-POSG plan'!L87+'INSC-POSG plan'!L88+'INSC-POSG plan'!L89</f>
        <v>0</v>
      </c>
      <c r="L45" s="1263">
        <f>+'INSC-POSG plan'!M85+'INSC-POSG plan'!M86+'INSC-POSG plan'!M87+'INSC-POSG plan'!M88+'INSC-POSG plan'!M89</f>
        <v>0</v>
      </c>
      <c r="M45" s="1263">
        <f>+'INSC-POSG plan'!N85+'INSC-POSG plan'!N86+'INSC-POSG plan'!N87+'INSC-POSG plan'!N88+'INSC-POSG plan'!N89</f>
        <v>40</v>
      </c>
      <c r="N45" s="1264">
        <f t="shared" si="47"/>
        <v>40</v>
      </c>
      <c r="O45" s="1262">
        <f>+'INSC-POSG plan'!P85+'INSC-POSG plan'!P86+'INSC-POSG plan'!P87+'INSC-POSG plan'!P88+'INSC-POSG plan'!P89</f>
        <v>3</v>
      </c>
      <c r="P45" s="1263">
        <f>+'INSC-POSG plan'!Q85+'INSC-POSG plan'!Q86+'INSC-POSG plan'!Q87+'INSC-POSG plan'!Q88+'INSC-POSG plan'!Q89</f>
        <v>0</v>
      </c>
      <c r="Q45" s="1263">
        <f>+'INSC-POSG plan'!R85+'INSC-POSG plan'!R86+'INSC-POSG plan'!R87+'INSC-POSG plan'!R88+'INSC-POSG plan'!R89</f>
        <v>199</v>
      </c>
      <c r="R45" s="1264">
        <f t="shared" si="48"/>
        <v>202</v>
      </c>
      <c r="S45" s="1262"/>
      <c r="T45" s="1263"/>
      <c r="U45" s="1263">
        <v>20</v>
      </c>
      <c r="V45" s="1264">
        <v>20</v>
      </c>
      <c r="W45" s="1262">
        <v>1</v>
      </c>
      <c r="X45" s="1263"/>
      <c r="Y45" s="1263">
        <v>22</v>
      </c>
      <c r="Z45" s="1337">
        <v>23</v>
      </c>
      <c r="AA45" s="1262">
        <v>61</v>
      </c>
      <c r="AB45" s="1263"/>
      <c r="AC45" s="1263">
        <v>24</v>
      </c>
      <c r="AD45" s="1264">
        <v>85</v>
      </c>
      <c r="AE45" s="1263">
        <v>5</v>
      </c>
      <c r="AF45" s="1263"/>
      <c r="AG45" s="1263">
        <v>33</v>
      </c>
      <c r="AH45" s="1264">
        <v>38</v>
      </c>
      <c r="AI45" s="1263">
        <v>66</v>
      </c>
      <c r="AJ45" s="1263"/>
      <c r="AK45" s="1263">
        <v>22</v>
      </c>
      <c r="AL45" s="1338">
        <v>88</v>
      </c>
      <c r="AM45" s="129">
        <v>10</v>
      </c>
      <c r="AN45" s="130"/>
      <c r="AO45" s="130">
        <v>137</v>
      </c>
      <c r="AP45" s="396">
        <v>147</v>
      </c>
      <c r="AQ45" s="129">
        <v>13</v>
      </c>
      <c r="AR45" s="130"/>
      <c r="AS45" s="130">
        <v>20</v>
      </c>
      <c r="AT45" s="396">
        <f t="shared" si="49"/>
        <v>33</v>
      </c>
      <c r="AU45" s="129">
        <v>14</v>
      </c>
      <c r="AV45" s="130"/>
      <c r="AW45" s="130">
        <v>103</v>
      </c>
      <c r="AX45" s="396">
        <f t="shared" si="50"/>
        <v>117</v>
      </c>
      <c r="AY45" s="129">
        <v>14</v>
      </c>
      <c r="AZ45" s="130"/>
      <c r="BA45" s="130">
        <v>18</v>
      </c>
      <c r="BB45" s="396">
        <f t="shared" si="51"/>
        <v>32</v>
      </c>
      <c r="BC45" s="129">
        <f>SUM('INSC-POSG plan'!BD85,'INSC-POSG plan'!BD86,'INSC-POSG plan'!BD87,'INSC-POSG plan'!BD88,'INSC-POSG plan'!BD89)</f>
        <v>14</v>
      </c>
      <c r="BD45" s="130">
        <f>SUM('INSC-POSG plan'!BE85,'INSC-POSG plan'!BE86,'INSC-POSG plan'!BE87,'INSC-POSG plan'!BE88,'INSC-POSG plan'!BE89)</f>
        <v>0</v>
      </c>
      <c r="BE45" s="130">
        <f>SUM('INSC-POSG plan'!BF85,'INSC-POSG plan'!BF86,'INSC-POSG plan'!BF87,'INSC-POSG plan'!BF88,'INSC-POSG plan'!BF89)</f>
        <v>105</v>
      </c>
      <c r="BF45" s="396">
        <f t="shared" si="52"/>
        <v>119</v>
      </c>
      <c r="BG45" s="129">
        <f>SUM('INSC-POSG plan'!BH85,'INSC-POSG plan'!BH86,'INSC-POSG plan'!BH87,'INSC-POSG plan'!BH88,'INSC-POSG plan'!BH89)</f>
        <v>26</v>
      </c>
      <c r="BH45" s="130"/>
      <c r="BI45" s="130">
        <f>SUM('INSC-POSG plan'!BJ85,'INSC-POSG plan'!BJ86,'INSC-POSG plan'!BJ87,'INSC-POSG plan'!BJ88,'INSC-POSG plan'!BJ89)</f>
        <v>14</v>
      </c>
      <c r="BJ45" s="396">
        <f t="shared" ref="BJ45:BJ51" si="62">SUM(BG45:BI45)</f>
        <v>40</v>
      </c>
      <c r="BK45" s="130">
        <f>SUM('INSC-POSG plan'!BL85,'INSC-POSG plan'!BL86,'INSC-POSG plan'!BL87,'INSC-POSG plan'!BL88,'INSC-POSG plan'!BL89)</f>
        <v>13</v>
      </c>
      <c r="BL45" s="130">
        <f>SUM('INSC-POSG plan'!BM85,'INSC-POSG plan'!BM86,'INSC-POSG plan'!BM87,'INSC-POSG plan'!BM88,'INSC-POSG plan'!BM89)</f>
        <v>15</v>
      </c>
      <c r="BM45" s="130">
        <f>SUM('INSC-POSG plan'!BN85,'INSC-POSG plan'!BN86,'INSC-POSG plan'!BN87,'INSC-POSG plan'!BN88,'INSC-POSG plan'!BN89)</f>
        <v>87</v>
      </c>
      <c r="BN45" s="396">
        <f t="shared" si="53"/>
        <v>115</v>
      </c>
      <c r="BO45" s="130">
        <f>SUM('INSC-POSG plan'!BP85,'INSC-POSG plan'!BP86,'INSC-POSG plan'!BP87,'INSC-POSG plan'!BP88,'INSC-POSG plan'!BP89)</f>
        <v>10</v>
      </c>
      <c r="BP45" s="130">
        <f>SUM('INSC-POSG plan'!BQ85,'INSC-POSG plan'!BQ86,'INSC-POSG plan'!BQ87,'INSC-POSG plan'!BQ88,'INSC-POSG plan'!BQ89)</f>
        <v>0</v>
      </c>
      <c r="BQ45" s="130">
        <f>SUM('INSC-POSG plan'!BR85,'INSC-POSG plan'!BR86,'INSC-POSG plan'!BR87,'INSC-POSG plan'!BR88,'INSC-POSG plan'!BR89)</f>
        <v>46</v>
      </c>
      <c r="BR45" s="396">
        <f t="shared" si="54"/>
        <v>56</v>
      </c>
      <c r="BS45" s="130">
        <f>SUM('INSC-POSG plan'!BT85,'INSC-POSG plan'!BT86,'INSC-POSG plan'!BT87,'INSC-POSG plan'!BT88,'INSC-POSG plan'!BT89)</f>
        <v>11</v>
      </c>
      <c r="BT45" s="130">
        <f>SUM('INSC-POSG plan'!BU85,'INSC-POSG plan'!BU86,'INSC-POSG plan'!BU87,'INSC-POSG plan'!BU88,'INSC-POSG plan'!BU89)</f>
        <v>0</v>
      </c>
      <c r="BU45" s="130">
        <f>SUM('INSC-POSG plan'!BV85,'INSC-POSG plan'!BV86,'INSC-POSG plan'!BV87,'INSC-POSG plan'!BV88,'INSC-POSG plan'!BV89)</f>
        <v>69</v>
      </c>
      <c r="BV45" s="396">
        <f t="shared" si="55"/>
        <v>80</v>
      </c>
      <c r="BW45" s="130">
        <f>SUM('INSC-POSG plan'!BX85:BX91)</f>
        <v>24</v>
      </c>
      <c r="BX45" s="130">
        <f>SUM('INSC-POSG plan'!BY85:BY91)</f>
        <v>0</v>
      </c>
      <c r="BY45" s="130">
        <f>SUM('INSC-POSG plan'!BZ85:BZ91)</f>
        <v>46</v>
      </c>
      <c r="BZ45" s="396">
        <f t="shared" si="56"/>
        <v>70</v>
      </c>
      <c r="CA45" s="130">
        <f>SUM('INSC-POSG plan'!CB85:CB91)</f>
        <v>0</v>
      </c>
      <c r="CB45" s="130">
        <f>SUM('INSC-POSG plan'!CC85:CC91)</f>
        <v>0</v>
      </c>
      <c r="CC45" s="130">
        <f>SUM('INSC-POSG plan'!CD85:CD91)</f>
        <v>77</v>
      </c>
      <c r="CD45" s="396">
        <f t="shared" si="57"/>
        <v>77</v>
      </c>
      <c r="CE45" s="130">
        <f>SUM('INSC-POSG plan'!CF85:CF91)</f>
        <v>13</v>
      </c>
      <c r="CF45" s="130">
        <f>SUM('INSC-POSG plan'!CG85:CG91)</f>
        <v>0</v>
      </c>
      <c r="CG45" s="130">
        <f>SUM('INSC-POSG plan'!CH85:CH91)</f>
        <v>48</v>
      </c>
      <c r="CH45" s="396">
        <f t="shared" si="58"/>
        <v>61</v>
      </c>
      <c r="CI45" s="130">
        <f>SUM('INSC-POSG plan'!CJ85:CJ91)</f>
        <v>0</v>
      </c>
      <c r="CJ45" s="130">
        <f>SUM('INSC-POSG plan'!CK85:CK91)</f>
        <v>0</v>
      </c>
      <c r="CK45" s="130">
        <f>SUM('INSC-POSG plan'!CL85:CL91)</f>
        <v>29</v>
      </c>
      <c r="CL45" s="396">
        <f t="shared" si="59"/>
        <v>29</v>
      </c>
      <c r="CM45" s="130">
        <f>SUM('INSC-POSG plan'!CN85:CN91)</f>
        <v>22</v>
      </c>
      <c r="CN45" s="130">
        <f>SUM('INSC-POSG plan'!CO85:CO91)</f>
        <v>0</v>
      </c>
      <c r="CO45" s="130">
        <f>SUM('INSC-POSG plan'!CP85:CP91)</f>
        <v>34</v>
      </c>
      <c r="CP45" s="396">
        <f t="shared" si="60"/>
        <v>56</v>
      </c>
      <c r="CQ45" s="130">
        <f>SUM('INSC-POSG plan'!CR85:CR91)</f>
        <v>19</v>
      </c>
      <c r="CR45" s="130">
        <f>SUM('INSC-POSG plan'!CS85:CS91)</f>
        <v>0</v>
      </c>
      <c r="CS45" s="130">
        <f>SUM('INSC-POSG plan'!CT85:CT91)</f>
        <v>55</v>
      </c>
      <c r="CT45" s="396">
        <f t="shared" si="61"/>
        <v>74</v>
      </c>
    </row>
    <row r="46" spans="1:98" ht="15" x14ac:dyDescent="0.25">
      <c r="A46" s="1333"/>
      <c r="B46" s="1339" t="s">
        <v>317</v>
      </c>
      <c r="C46" s="1267">
        <f>+'INSC-POSG plan'!D92+'INSC-POSG plan'!D93+'INSC-POSG plan'!D94+'INSC-POSG plan'!D95+'INSC-POSG plan'!D96</f>
        <v>9</v>
      </c>
      <c r="D46" s="1268">
        <f>+'INSC-POSG plan'!E92+'INSC-POSG plan'!E93+'INSC-POSG plan'!E94+'INSC-POSG plan'!E95+'INSC-POSG plan'!E96</f>
        <v>1</v>
      </c>
      <c r="E46" s="1268">
        <f>+'INSC-POSG plan'!F92+'INSC-POSG plan'!F93+'INSC-POSG plan'!F94+'INSC-POSG plan'!F95+'INSC-POSG plan'!F96</f>
        <v>38</v>
      </c>
      <c r="F46" s="1269">
        <f t="shared" si="45"/>
        <v>48</v>
      </c>
      <c r="G46" s="1267">
        <f>+'INSC-POSG plan'!H92+'INSC-POSG plan'!H93+'INSC-POSG plan'!H94+'INSC-POSG plan'!H95+'INSC-POSG plan'!H96</f>
        <v>20</v>
      </c>
      <c r="H46" s="1268">
        <f>+'INSC-POSG plan'!I92+'INSC-POSG plan'!I93+'INSC-POSG plan'!I94+'INSC-POSG plan'!I95+'INSC-POSG plan'!I96</f>
        <v>5</v>
      </c>
      <c r="I46" s="1268">
        <f>+'INSC-POSG plan'!J92+'INSC-POSG plan'!J93+'INSC-POSG plan'!J94+'INSC-POSG plan'!J95+'INSC-POSG plan'!J96</f>
        <v>89</v>
      </c>
      <c r="J46" s="1269">
        <f t="shared" si="46"/>
        <v>114</v>
      </c>
      <c r="K46" s="1267">
        <f>+'INSC-POSG plan'!L92+'INSC-POSG plan'!L93+'INSC-POSG plan'!L94+'INSC-POSG plan'!L95+'INSC-POSG plan'!L96</f>
        <v>38</v>
      </c>
      <c r="L46" s="1268">
        <f>+'INSC-POSG plan'!M92+'INSC-POSG plan'!M93+'INSC-POSG plan'!M94+'INSC-POSG plan'!M95+'INSC-POSG plan'!M96</f>
        <v>2</v>
      </c>
      <c r="M46" s="1268">
        <f>+'INSC-POSG plan'!N92+'INSC-POSG plan'!N93+'INSC-POSG plan'!N94+'INSC-POSG plan'!N95+'INSC-POSG plan'!N96</f>
        <v>23</v>
      </c>
      <c r="N46" s="1269">
        <f t="shared" si="47"/>
        <v>63</v>
      </c>
      <c r="O46" s="1267">
        <f>+'INSC-POSG plan'!P92+'INSC-POSG plan'!P93+'INSC-POSG plan'!P94+'INSC-POSG plan'!P95+'INSC-POSG plan'!P96</f>
        <v>11</v>
      </c>
      <c r="P46" s="1268">
        <f>+'INSC-POSG plan'!Q92+'INSC-POSG plan'!Q93+'INSC-POSG plan'!Q94+'INSC-POSG plan'!Q95+'INSC-POSG plan'!Q96</f>
        <v>7</v>
      </c>
      <c r="Q46" s="1268">
        <f>+'INSC-POSG plan'!R92+'INSC-POSG plan'!R93+'INSC-POSG plan'!R94+'INSC-POSG plan'!R95+'INSC-POSG plan'!R96</f>
        <v>108</v>
      </c>
      <c r="R46" s="1269">
        <f t="shared" si="48"/>
        <v>126</v>
      </c>
      <c r="S46" s="1267">
        <v>3</v>
      </c>
      <c r="T46" s="1268"/>
      <c r="U46" s="1268">
        <v>34</v>
      </c>
      <c r="V46" s="1269">
        <v>37</v>
      </c>
      <c r="W46" s="1267"/>
      <c r="X46" s="1268">
        <v>33</v>
      </c>
      <c r="Y46" s="1268">
        <v>34</v>
      </c>
      <c r="Z46" s="1340">
        <v>67</v>
      </c>
      <c r="AA46" s="1267">
        <v>22</v>
      </c>
      <c r="AB46" s="1268"/>
      <c r="AC46" s="1268">
        <v>19</v>
      </c>
      <c r="AD46" s="1269">
        <v>41</v>
      </c>
      <c r="AE46" s="1268">
        <v>14</v>
      </c>
      <c r="AF46" s="1268"/>
      <c r="AG46" s="1268">
        <v>23</v>
      </c>
      <c r="AH46" s="1269">
        <v>37</v>
      </c>
      <c r="AI46" s="1268">
        <v>25</v>
      </c>
      <c r="AJ46" s="1268"/>
      <c r="AK46" s="1268">
        <v>22</v>
      </c>
      <c r="AL46" s="1341">
        <v>47</v>
      </c>
      <c r="AM46" s="196">
        <v>2</v>
      </c>
      <c r="AN46" s="197"/>
      <c r="AO46" s="197">
        <v>72</v>
      </c>
      <c r="AP46" s="397">
        <v>74</v>
      </c>
      <c r="AQ46" s="196">
        <v>7</v>
      </c>
      <c r="AR46" s="197">
        <v>15</v>
      </c>
      <c r="AS46" s="197">
        <v>36</v>
      </c>
      <c r="AT46" s="397">
        <f t="shared" si="49"/>
        <v>58</v>
      </c>
      <c r="AU46" s="196">
        <v>6</v>
      </c>
      <c r="AV46" s="197"/>
      <c r="AW46" s="197">
        <v>82</v>
      </c>
      <c r="AX46" s="397">
        <f t="shared" si="50"/>
        <v>88</v>
      </c>
      <c r="AY46" s="196">
        <v>31</v>
      </c>
      <c r="AZ46" s="197">
        <v>1</v>
      </c>
      <c r="BA46" s="197">
        <v>49</v>
      </c>
      <c r="BB46" s="397">
        <f t="shared" si="51"/>
        <v>81</v>
      </c>
      <c r="BC46" s="196">
        <f>SUM('INSC-POSG plan'!BD92,'INSC-POSG plan'!BD93,'INSC-POSG plan'!BD94,'INSC-POSG plan'!BD95,'INSC-POSG plan'!BD96)</f>
        <v>12</v>
      </c>
      <c r="BD46" s="197">
        <f>SUM('INSC-POSG plan'!BE92,'INSC-POSG plan'!BE93,'INSC-POSG plan'!BE94,'INSC-POSG plan'!BE95,'INSC-POSG plan'!BE96)</f>
        <v>3</v>
      </c>
      <c r="BE46" s="197">
        <f>SUM('INSC-POSG plan'!BF92,'INSC-POSG plan'!BF93,'INSC-POSG plan'!BF94,'INSC-POSG plan'!BF95,'INSC-POSG plan'!BF96)</f>
        <v>76</v>
      </c>
      <c r="BF46" s="397">
        <f t="shared" si="52"/>
        <v>91</v>
      </c>
      <c r="BG46" s="196">
        <f>SUM('INSC-POSG plan'!BH92,'INSC-POSG plan'!BH93,'INSC-POSG plan'!BH94,'INSC-POSG plan'!BH95,'INSC-POSG plan'!BH96)</f>
        <v>12</v>
      </c>
      <c r="BH46" s="197">
        <f>SUM('INSC-POSG plan'!BI92,'INSC-POSG plan'!BI93,'INSC-POSG plan'!BI94,'INSC-POSG plan'!BI95,'INSC-POSG plan'!BI96)</f>
        <v>2</v>
      </c>
      <c r="BI46" s="197">
        <f>SUM('INSC-POSG plan'!BJ92,'INSC-POSG plan'!BJ93,'INSC-POSG plan'!BJ94,'INSC-POSG plan'!BJ95,'INSC-POSG plan'!BJ96)</f>
        <v>22</v>
      </c>
      <c r="BJ46" s="397">
        <f t="shared" si="62"/>
        <v>36</v>
      </c>
      <c r="BK46" s="197">
        <f>SUM('INSC-POSG plan'!BL92,'INSC-POSG plan'!BL93,'INSC-POSG plan'!BL94,'INSC-POSG plan'!BL95,'INSC-POSG plan'!BL96)</f>
        <v>17</v>
      </c>
      <c r="BL46" s="197">
        <f>SUM('INSC-POSG plan'!BM92,'INSC-POSG plan'!BM93,'INSC-POSG plan'!BM94,'INSC-POSG plan'!BM95,'INSC-POSG plan'!BM96)</f>
        <v>0</v>
      </c>
      <c r="BM46" s="197">
        <f>SUM('INSC-POSG plan'!BN92,'INSC-POSG plan'!BN93,'INSC-POSG plan'!BN94,'INSC-POSG plan'!BN95,'INSC-POSG plan'!BN96)</f>
        <v>91</v>
      </c>
      <c r="BN46" s="397">
        <f t="shared" si="53"/>
        <v>108</v>
      </c>
      <c r="BO46" s="197">
        <f>SUM('INSC-POSG plan'!BP92,'INSC-POSG plan'!BP93,'INSC-POSG plan'!BP94,'INSC-POSG plan'!BP95,'INSC-POSG plan'!BP96)</f>
        <v>15</v>
      </c>
      <c r="BP46" s="197">
        <f>SUM('INSC-POSG plan'!BQ92,'INSC-POSG plan'!BQ93,'INSC-POSG plan'!BQ94,'INSC-POSG plan'!BQ95,'INSC-POSG plan'!BQ96)</f>
        <v>0</v>
      </c>
      <c r="BQ46" s="197">
        <f>SUM('INSC-POSG plan'!BR92,'INSC-POSG plan'!BR93,'INSC-POSG plan'!BR94,'INSC-POSG plan'!BR95,'INSC-POSG plan'!BR96)</f>
        <v>38</v>
      </c>
      <c r="BR46" s="397">
        <f t="shared" si="54"/>
        <v>53</v>
      </c>
      <c r="BS46" s="197">
        <f>SUM('INSC-POSG plan'!BT92,'INSC-POSG plan'!BT93,'INSC-POSG plan'!BT94,'INSC-POSG plan'!BT95,'INSC-POSG plan'!BT96)</f>
        <v>13</v>
      </c>
      <c r="BT46" s="197">
        <f>SUM('INSC-POSG plan'!BU92,'INSC-POSG plan'!BU93,'INSC-POSG plan'!BU94,'INSC-POSG plan'!BU95,'INSC-POSG plan'!BU96)</f>
        <v>0</v>
      </c>
      <c r="BU46" s="197">
        <f>SUM('INSC-POSG plan'!BV92,'INSC-POSG plan'!BV93,'INSC-POSG plan'!BV94,'INSC-POSG plan'!BV95,'INSC-POSG plan'!BV96)</f>
        <v>77</v>
      </c>
      <c r="BV46" s="397">
        <f t="shared" si="55"/>
        <v>90</v>
      </c>
      <c r="BW46" s="197">
        <f>SUM('INSC-POSG plan'!BX92:BX98)</f>
        <v>24</v>
      </c>
      <c r="BX46" s="197">
        <f>SUM('INSC-POSG plan'!BY92:BY98)</f>
        <v>0</v>
      </c>
      <c r="BY46" s="197">
        <f>SUM('INSC-POSG plan'!BZ92:BZ98)</f>
        <v>28</v>
      </c>
      <c r="BZ46" s="397">
        <f t="shared" si="56"/>
        <v>52</v>
      </c>
      <c r="CA46" s="197">
        <f>SUM('INSC-POSG plan'!CB92:CB98)</f>
        <v>2</v>
      </c>
      <c r="CB46" s="197">
        <f>SUM('INSC-POSG plan'!CC92:CC98)</f>
        <v>4</v>
      </c>
      <c r="CC46" s="197">
        <f>SUM('INSC-POSG plan'!CD92:CD98)</f>
        <v>78</v>
      </c>
      <c r="CD46" s="397">
        <f t="shared" si="57"/>
        <v>84</v>
      </c>
      <c r="CE46" s="197">
        <f>SUM('INSC-POSG plan'!CF92:CF98)</f>
        <v>7</v>
      </c>
      <c r="CF46" s="197">
        <f>SUM('INSC-POSG plan'!CG92:CG98)</f>
        <v>15</v>
      </c>
      <c r="CG46" s="197">
        <f>SUM('INSC-POSG plan'!CH92:CH98)</f>
        <v>30</v>
      </c>
      <c r="CH46" s="397">
        <f t="shared" si="58"/>
        <v>52</v>
      </c>
      <c r="CI46" s="197">
        <f>SUM('INSC-POSG plan'!CJ92:CJ98)</f>
        <v>1</v>
      </c>
      <c r="CJ46" s="197">
        <f>SUM('INSC-POSG plan'!CK92:CK98)</f>
        <v>0</v>
      </c>
      <c r="CK46" s="197">
        <f>SUM('INSC-POSG plan'!CL92:CL98)</f>
        <v>47</v>
      </c>
      <c r="CL46" s="397">
        <f t="shared" si="59"/>
        <v>48</v>
      </c>
      <c r="CM46" s="197">
        <f>SUM('INSC-POSG plan'!CN92:CN98)</f>
        <v>16</v>
      </c>
      <c r="CN46" s="197">
        <f>SUM('INSC-POSG plan'!CO92:CO98)</f>
        <v>2</v>
      </c>
      <c r="CO46" s="197">
        <f>SUM('INSC-POSG plan'!CP92:CP98)</f>
        <v>21</v>
      </c>
      <c r="CP46" s="397">
        <f t="shared" si="60"/>
        <v>39</v>
      </c>
      <c r="CQ46" s="197">
        <f>SUM('INSC-POSG plan'!CR92:CR98)</f>
        <v>1</v>
      </c>
      <c r="CR46" s="197">
        <f>SUM('INSC-POSG plan'!CS92:CS98)</f>
        <v>0</v>
      </c>
      <c r="CS46" s="197">
        <f>SUM('INSC-POSG plan'!CT92:CT98)</f>
        <v>44</v>
      </c>
      <c r="CT46" s="397">
        <f t="shared" si="61"/>
        <v>45</v>
      </c>
    </row>
    <row r="47" spans="1:98" s="1330" customFormat="1" ht="15" x14ac:dyDescent="0.25">
      <c r="A47" s="1333"/>
      <c r="B47" s="1342" t="s">
        <v>426</v>
      </c>
      <c r="C47" s="1343">
        <f>SUM(C44:C46)</f>
        <v>9</v>
      </c>
      <c r="D47" s="1344">
        <f>SUM(D44:D46)</f>
        <v>1</v>
      </c>
      <c r="E47" s="1344">
        <f>SUM(E44:E46)</f>
        <v>129</v>
      </c>
      <c r="F47" s="1345">
        <f t="shared" si="45"/>
        <v>139</v>
      </c>
      <c r="G47" s="1343">
        <f>SUM(G44:G46)</f>
        <v>49</v>
      </c>
      <c r="H47" s="1344">
        <f>SUM(H44:H46)</f>
        <v>5</v>
      </c>
      <c r="I47" s="1344">
        <f>SUM(I44:I46)</f>
        <v>229</v>
      </c>
      <c r="J47" s="1345">
        <f t="shared" si="46"/>
        <v>283</v>
      </c>
      <c r="K47" s="1343">
        <f>SUM(K44:K46)</f>
        <v>38</v>
      </c>
      <c r="L47" s="1344">
        <f>SUM(L44:L46)</f>
        <v>2</v>
      </c>
      <c r="M47" s="1344">
        <f>SUM(M44:M46)</f>
        <v>76</v>
      </c>
      <c r="N47" s="1345">
        <f t="shared" si="47"/>
        <v>116</v>
      </c>
      <c r="O47" s="1343">
        <f>SUM(O44:O46)</f>
        <v>14</v>
      </c>
      <c r="P47" s="1344">
        <f>SUM(P44:P46)</f>
        <v>7</v>
      </c>
      <c r="Q47" s="1344">
        <f>SUM(Q44:Q46)</f>
        <v>332</v>
      </c>
      <c r="R47" s="1345">
        <f t="shared" si="48"/>
        <v>353</v>
      </c>
      <c r="S47" s="1343">
        <v>3</v>
      </c>
      <c r="T47" s="1344"/>
      <c r="U47" s="1344">
        <v>95</v>
      </c>
      <c r="V47" s="1345">
        <v>98</v>
      </c>
      <c r="W47" s="1343">
        <v>1</v>
      </c>
      <c r="X47" s="1344">
        <v>33</v>
      </c>
      <c r="Y47" s="1344">
        <v>129</v>
      </c>
      <c r="Z47" s="1344">
        <v>163</v>
      </c>
      <c r="AA47" s="1343">
        <v>83</v>
      </c>
      <c r="AB47" s="1344"/>
      <c r="AC47" s="1344">
        <v>43</v>
      </c>
      <c r="AD47" s="1345">
        <v>126</v>
      </c>
      <c r="AE47" s="1344">
        <v>105</v>
      </c>
      <c r="AF47" s="1344"/>
      <c r="AG47" s="1344">
        <v>56</v>
      </c>
      <c r="AH47" s="1345">
        <v>161</v>
      </c>
      <c r="AI47" s="1344">
        <v>181</v>
      </c>
      <c r="AJ47" s="1344"/>
      <c r="AK47" s="1344">
        <v>63</v>
      </c>
      <c r="AL47" s="1345">
        <v>244</v>
      </c>
      <c r="AM47" s="201">
        <v>113</v>
      </c>
      <c r="AN47" s="202"/>
      <c r="AO47" s="202">
        <v>209</v>
      </c>
      <c r="AP47" s="203">
        <v>322</v>
      </c>
      <c r="AQ47" s="201">
        <f>SUM(AQ44:AQ46)</f>
        <v>20</v>
      </c>
      <c r="AR47" s="202">
        <f>SUM(AR44:AR46)</f>
        <v>114</v>
      </c>
      <c r="AS47" s="202">
        <f>SUM(AS44:AS46)</f>
        <v>72</v>
      </c>
      <c r="AT47" s="203">
        <f t="shared" si="49"/>
        <v>206</v>
      </c>
      <c r="AU47" s="201">
        <f>SUM(AU44:AU46)</f>
        <v>20</v>
      </c>
      <c r="AV47" s="202"/>
      <c r="AW47" s="202">
        <f>SUM(AW44:AW46)</f>
        <v>289</v>
      </c>
      <c r="AX47" s="203">
        <f t="shared" si="50"/>
        <v>309</v>
      </c>
      <c r="AY47" s="201">
        <f>SUM(AY44:AY46)</f>
        <v>45</v>
      </c>
      <c r="AZ47" s="202">
        <f>SUM(AZ44:AZ46)</f>
        <v>1</v>
      </c>
      <c r="BA47" s="202">
        <f>SUM(BA44:BA46)</f>
        <v>139</v>
      </c>
      <c r="BB47" s="203">
        <f t="shared" si="51"/>
        <v>185</v>
      </c>
      <c r="BC47" s="201">
        <f>SUM(BC44:BC46)</f>
        <v>26</v>
      </c>
      <c r="BD47" s="202">
        <f>SUM(BD44:BD46)</f>
        <v>3</v>
      </c>
      <c r="BE47" s="202">
        <f>SUM(BE44:BE46)</f>
        <v>181</v>
      </c>
      <c r="BF47" s="203">
        <f t="shared" si="52"/>
        <v>210</v>
      </c>
      <c r="BG47" s="201">
        <f>SUM(BG44:BG46)</f>
        <v>38</v>
      </c>
      <c r="BH47" s="202">
        <f>SUM(BH44:BH46)</f>
        <v>2</v>
      </c>
      <c r="BI47" s="202">
        <f>SUM(BI44:BI46)</f>
        <v>72</v>
      </c>
      <c r="BJ47" s="203">
        <f t="shared" si="62"/>
        <v>112</v>
      </c>
      <c r="BK47" s="201">
        <f>SUM(BK44:BK46)</f>
        <v>30</v>
      </c>
      <c r="BL47" s="202">
        <f>SUM(BL44:BL46)</f>
        <v>15</v>
      </c>
      <c r="BM47" s="202">
        <f>SUM(BM44:BM46)</f>
        <v>193</v>
      </c>
      <c r="BN47" s="203">
        <f t="shared" si="53"/>
        <v>238</v>
      </c>
      <c r="BO47" s="201">
        <f>SUM(BO44:BO46)</f>
        <v>58</v>
      </c>
      <c r="BP47" s="202">
        <f>SUM(BP44:BP46)</f>
        <v>1</v>
      </c>
      <c r="BQ47" s="202">
        <f>SUM(BQ44:BQ46)</f>
        <v>108</v>
      </c>
      <c r="BR47" s="203">
        <f t="shared" si="54"/>
        <v>167</v>
      </c>
      <c r="BS47" s="201">
        <f>SUM(BS44:BS46)</f>
        <v>24</v>
      </c>
      <c r="BT47" s="202">
        <f>SUM(BT44:BT46)</f>
        <v>0</v>
      </c>
      <c r="BU47" s="202">
        <f>SUM(BU44:BU46)</f>
        <v>158</v>
      </c>
      <c r="BV47" s="203">
        <f t="shared" si="55"/>
        <v>182</v>
      </c>
      <c r="BW47" s="201">
        <f>SUM(BW44:BW46)</f>
        <v>48</v>
      </c>
      <c r="BX47" s="202">
        <f>SUM(BX44:BX46)</f>
        <v>61</v>
      </c>
      <c r="BY47" s="202">
        <f>SUM(BY44:BY46)</f>
        <v>74</v>
      </c>
      <c r="BZ47" s="203">
        <f t="shared" si="56"/>
        <v>183</v>
      </c>
      <c r="CA47" s="201">
        <f>SUM(CA44:CA46)</f>
        <v>2</v>
      </c>
      <c r="CB47" s="202">
        <f>SUM(CB44:CB46)</f>
        <v>48</v>
      </c>
      <c r="CC47" s="202">
        <f>SUM(CC44:CC46)</f>
        <v>166</v>
      </c>
      <c r="CD47" s="203">
        <f t="shared" si="57"/>
        <v>216</v>
      </c>
      <c r="CE47" s="201">
        <f>SUM(CE44:CE46)</f>
        <v>20</v>
      </c>
      <c r="CF47" s="202">
        <f>SUM(CF44:CF46)</f>
        <v>42</v>
      </c>
      <c r="CG47" s="202">
        <f>SUM(CG44:CG46)</f>
        <v>78</v>
      </c>
      <c r="CH47" s="203">
        <f t="shared" si="58"/>
        <v>140</v>
      </c>
      <c r="CI47" s="201">
        <f>SUM(CI44:CI46)</f>
        <v>1</v>
      </c>
      <c r="CJ47" s="202">
        <f>SUM(CJ44:CJ46)</f>
        <v>57</v>
      </c>
      <c r="CK47" s="202">
        <f>SUM(CK44:CK46)</f>
        <v>76</v>
      </c>
      <c r="CL47" s="203">
        <f t="shared" si="59"/>
        <v>134</v>
      </c>
      <c r="CM47" s="201">
        <f>SUM(CM44:CM46)</f>
        <v>38</v>
      </c>
      <c r="CN47" s="202">
        <f>SUM(CN44:CN46)</f>
        <v>2</v>
      </c>
      <c r="CO47" s="202">
        <f>SUM(CO44:CO46)</f>
        <v>55</v>
      </c>
      <c r="CP47" s="203">
        <f t="shared" si="60"/>
        <v>95</v>
      </c>
      <c r="CQ47" s="201">
        <f>SUM(CQ44:CQ46)</f>
        <v>20</v>
      </c>
      <c r="CR47" s="202">
        <f>SUM(CR44:CR46)</f>
        <v>0</v>
      </c>
      <c r="CS47" s="202">
        <f>SUM(CS44:CS46)</f>
        <v>108</v>
      </c>
      <c r="CT47" s="203">
        <f t="shared" si="61"/>
        <v>128</v>
      </c>
    </row>
    <row r="48" spans="1:98" ht="15" x14ac:dyDescent="0.25">
      <c r="A48" s="1333"/>
      <c r="B48" s="1334" t="s">
        <v>308</v>
      </c>
      <c r="C48" s="1258">
        <f>+'INSC-POSG plan'!D100+'INSC-POSG plan'!D101</f>
        <v>0</v>
      </c>
      <c r="D48" s="1259">
        <f>+'INSC-POSG plan'!E100+'INSC-POSG plan'!E101</f>
        <v>0</v>
      </c>
      <c r="E48" s="1259">
        <f>+'INSC-POSG plan'!F100+'INSC-POSG plan'!F101</f>
        <v>17</v>
      </c>
      <c r="F48" s="1260">
        <f t="shared" si="45"/>
        <v>17</v>
      </c>
      <c r="G48" s="1258">
        <f>+'INSC-POSG plan'!H100+'INSC-POSG plan'!H101</f>
        <v>2</v>
      </c>
      <c r="H48" s="1259">
        <f>+'INSC-POSG plan'!I100+'INSC-POSG plan'!I101</f>
        <v>0</v>
      </c>
      <c r="I48" s="1259">
        <f>+'INSC-POSG plan'!J100+'INSC-POSG plan'!J101</f>
        <v>22</v>
      </c>
      <c r="J48" s="1260">
        <f t="shared" si="46"/>
        <v>24</v>
      </c>
      <c r="K48" s="1258">
        <f>+'INSC-POSG plan'!L100+'INSC-POSG plan'!L101</f>
        <v>0</v>
      </c>
      <c r="L48" s="1259">
        <f>+'INSC-POSG plan'!M100+'INSC-POSG plan'!M101</f>
        <v>1</v>
      </c>
      <c r="M48" s="1259">
        <f>+'INSC-POSG plan'!N100+'INSC-POSG plan'!N101</f>
        <v>20</v>
      </c>
      <c r="N48" s="1260">
        <f t="shared" si="47"/>
        <v>21</v>
      </c>
      <c r="O48" s="1258">
        <f>+'INSC-POSG plan'!P100+'INSC-POSG plan'!P101</f>
        <v>0</v>
      </c>
      <c r="P48" s="1259">
        <f>+'INSC-POSG plan'!Q100+'INSC-POSG plan'!Q101</f>
        <v>0</v>
      </c>
      <c r="Q48" s="1259">
        <f>+'INSC-POSG plan'!R100+'INSC-POSG plan'!R101</f>
        <v>22</v>
      </c>
      <c r="R48" s="1260">
        <f t="shared" si="48"/>
        <v>22</v>
      </c>
      <c r="S48" s="1258">
        <v>1</v>
      </c>
      <c r="T48" s="1259">
        <v>2</v>
      </c>
      <c r="U48" s="1259">
        <v>20</v>
      </c>
      <c r="V48" s="1260">
        <v>23</v>
      </c>
      <c r="W48" s="1258"/>
      <c r="X48" s="1259">
        <v>2</v>
      </c>
      <c r="Y48" s="1259">
        <v>20</v>
      </c>
      <c r="Z48" s="1298">
        <v>22</v>
      </c>
      <c r="AA48" s="1258">
        <v>1</v>
      </c>
      <c r="AB48" s="1259">
        <v>4</v>
      </c>
      <c r="AC48" s="1259">
        <v>15</v>
      </c>
      <c r="AD48" s="1260">
        <v>20</v>
      </c>
      <c r="AE48" s="1259">
        <v>10</v>
      </c>
      <c r="AF48" s="1259">
        <v>7</v>
      </c>
      <c r="AG48" s="1259">
        <v>7</v>
      </c>
      <c r="AH48" s="1260">
        <v>24</v>
      </c>
      <c r="AI48" s="1259">
        <v>6</v>
      </c>
      <c r="AJ48" s="1259">
        <v>19</v>
      </c>
      <c r="AK48" s="1259">
        <v>14</v>
      </c>
      <c r="AL48" s="1335">
        <v>39</v>
      </c>
      <c r="AM48" s="151">
        <v>1</v>
      </c>
      <c r="AN48" s="152">
        <v>7</v>
      </c>
      <c r="AO48" s="152">
        <v>14</v>
      </c>
      <c r="AP48" s="395">
        <v>22</v>
      </c>
      <c r="AQ48" s="151">
        <v>2</v>
      </c>
      <c r="AR48" s="152">
        <v>6</v>
      </c>
      <c r="AS48" s="152">
        <v>15</v>
      </c>
      <c r="AT48" s="395">
        <f t="shared" si="49"/>
        <v>23</v>
      </c>
      <c r="AU48" s="151">
        <v>6</v>
      </c>
      <c r="AV48" s="152">
        <v>6</v>
      </c>
      <c r="AW48" s="152">
        <v>17</v>
      </c>
      <c r="AX48" s="395">
        <f t="shared" si="50"/>
        <v>29</v>
      </c>
      <c r="AY48" s="151">
        <v>7</v>
      </c>
      <c r="AZ48" s="152">
        <v>5</v>
      </c>
      <c r="BA48" s="152">
        <v>23</v>
      </c>
      <c r="BB48" s="395">
        <f t="shared" si="51"/>
        <v>35</v>
      </c>
      <c r="BC48" s="151">
        <f>SUM('INSC-POSG plan'!BD100,'INSC-POSG plan'!BD101)</f>
        <v>9</v>
      </c>
      <c r="BD48" s="152">
        <f>SUM('INSC-POSG plan'!BE100,'INSC-POSG plan'!BE101)</f>
        <v>11</v>
      </c>
      <c r="BE48" s="152">
        <f>SUM('INSC-POSG plan'!BF100,'INSC-POSG plan'!BF101)</f>
        <v>16</v>
      </c>
      <c r="BF48" s="395">
        <f t="shared" si="52"/>
        <v>36</v>
      </c>
      <c r="BG48" s="151">
        <f>SUM('INSC-POSG plan'!BH100,'INSC-POSG plan'!BH101)</f>
        <v>4</v>
      </c>
      <c r="BH48" s="152">
        <f>SUM('INSC-POSG plan'!BI100,'INSC-POSG plan'!BI101)</f>
        <v>6</v>
      </c>
      <c r="BI48" s="152">
        <f>SUM('INSC-POSG plan'!BJ100,'INSC-POSG plan'!BJ101)</f>
        <v>11</v>
      </c>
      <c r="BJ48" s="395">
        <f t="shared" si="62"/>
        <v>21</v>
      </c>
      <c r="BK48" s="151">
        <f>SUM('INSC-POSG plan'!BL100,'INSC-POSG plan'!BL101)</f>
        <v>5</v>
      </c>
      <c r="BL48" s="152">
        <f>SUM('INSC-POSG plan'!BM100,'INSC-POSG plan'!BM101)</f>
        <v>6</v>
      </c>
      <c r="BM48" s="152">
        <f>SUM('INSC-POSG plan'!BN100,'INSC-POSG plan'!BN101)</f>
        <v>10</v>
      </c>
      <c r="BN48" s="395">
        <f t="shared" si="53"/>
        <v>21</v>
      </c>
      <c r="BO48" s="151">
        <f>SUM('INSC-POSG plan'!BP100,'INSC-POSG plan'!BP101)</f>
        <v>6</v>
      </c>
      <c r="BP48" s="152">
        <f>SUM('INSC-POSG plan'!BQ100,'INSC-POSG plan'!BQ101)</f>
        <v>6</v>
      </c>
      <c r="BQ48" s="152">
        <f>SUM('INSC-POSG plan'!BR100,'INSC-POSG plan'!BR101)</f>
        <v>6</v>
      </c>
      <c r="BR48" s="395">
        <f t="shared" si="54"/>
        <v>18</v>
      </c>
      <c r="BS48" s="151">
        <f>SUM('INSC-POSG plan'!BT100,'INSC-POSG plan'!BT101)</f>
        <v>4</v>
      </c>
      <c r="BT48" s="152">
        <f>SUM('INSC-POSG plan'!BU100:BU102)</f>
        <v>2</v>
      </c>
      <c r="BU48" s="152">
        <f>SUM('INSC-POSG plan'!BV100,'INSC-POSG plan'!BV101)</f>
        <v>11</v>
      </c>
      <c r="BV48" s="395">
        <f t="shared" si="55"/>
        <v>17</v>
      </c>
      <c r="BW48" s="151">
        <f>SUM('INSC-POSG plan'!BX100,'INSC-POSG plan'!BX101)</f>
        <v>0</v>
      </c>
      <c r="BX48" s="152">
        <f>SUM('INSC-POSG plan'!BY100:BY102)</f>
        <v>6</v>
      </c>
      <c r="BY48" s="152">
        <f>SUM('INSC-POSG plan'!BZ100,'INSC-POSG plan'!BZ101)</f>
        <v>7</v>
      </c>
      <c r="BZ48" s="395">
        <f t="shared" si="56"/>
        <v>13</v>
      </c>
      <c r="CA48" s="151">
        <f>SUM('INSC-POSG plan'!CB100,'INSC-POSG plan'!CB101)</f>
        <v>0</v>
      </c>
      <c r="CB48" s="152">
        <f>SUM('INSC-POSG plan'!CC100:CC102)</f>
        <v>1</v>
      </c>
      <c r="CC48" s="152">
        <f>SUM('INSC-POSG plan'!CD100,'INSC-POSG plan'!CD101)</f>
        <v>7</v>
      </c>
      <c r="CD48" s="395">
        <f t="shared" si="57"/>
        <v>8</v>
      </c>
      <c r="CE48" s="151">
        <f>SUM('INSC-POSG plan'!CF100,'INSC-POSG plan'!CF101)</f>
        <v>4</v>
      </c>
      <c r="CF48" s="152">
        <f>SUM('INSC-POSG plan'!CG100:CG102)</f>
        <v>2</v>
      </c>
      <c r="CG48" s="152">
        <f>SUM('INSC-POSG plan'!CH100,'INSC-POSG plan'!CH101)</f>
        <v>6</v>
      </c>
      <c r="CH48" s="395">
        <f t="shared" si="58"/>
        <v>12</v>
      </c>
      <c r="CI48" s="151">
        <f>SUM('INSC-POSG plan'!CJ100,'INSC-POSG plan'!CJ101)</f>
        <v>0</v>
      </c>
      <c r="CJ48" s="152">
        <f>SUM('INSC-POSG plan'!CK100:CK102)</f>
        <v>3</v>
      </c>
      <c r="CK48" s="152">
        <f>SUM('INSC-POSG plan'!CL100,'INSC-POSG plan'!CL101)</f>
        <v>0</v>
      </c>
      <c r="CL48" s="395">
        <f t="shared" si="59"/>
        <v>3</v>
      </c>
      <c r="CM48" s="151">
        <f>SUM('INSC-POSG plan'!CN100,'INSC-POSG plan'!CN101)</f>
        <v>1</v>
      </c>
      <c r="CN48" s="152">
        <f>SUM('INSC-POSG plan'!CO100:CO102)</f>
        <v>0</v>
      </c>
      <c r="CO48" s="152">
        <f>SUM('INSC-POSG plan'!CP100,'INSC-POSG plan'!CP101)</f>
        <v>0</v>
      </c>
      <c r="CP48" s="395">
        <f t="shared" si="60"/>
        <v>1</v>
      </c>
      <c r="CQ48" s="151">
        <f>SUM('INSC-POSG plan'!CR100,'INSC-POSG plan'!CR101)</f>
        <v>5</v>
      </c>
      <c r="CR48" s="152">
        <f>SUM('INSC-POSG plan'!CS100:CS102)</f>
        <v>0</v>
      </c>
      <c r="CS48" s="152">
        <f>SUM('INSC-POSG plan'!CT100,'INSC-POSG plan'!CT101)</f>
        <v>2</v>
      </c>
      <c r="CT48" s="395">
        <f t="shared" si="61"/>
        <v>7</v>
      </c>
    </row>
    <row r="49" spans="1:98" ht="15" x14ac:dyDescent="0.25">
      <c r="A49" s="1333"/>
      <c r="B49" s="1336" t="s">
        <v>310</v>
      </c>
      <c r="C49" s="1262">
        <f>+'INSC-POSG plan'!D103+'INSC-POSG plan'!D105+'INSC-POSG plan'!D104+'INSC-POSG plan'!D106</f>
        <v>21</v>
      </c>
      <c r="D49" s="1263">
        <f>+'INSC-POSG plan'!E103+'INSC-POSG plan'!E105+'INSC-POSG plan'!E104+'INSC-POSG plan'!E106</f>
        <v>0</v>
      </c>
      <c r="E49" s="1263">
        <f>+'INSC-POSG plan'!F103+'INSC-POSG plan'!F105+'INSC-POSG plan'!F104+'INSC-POSG plan'!F106</f>
        <v>20</v>
      </c>
      <c r="F49" s="1264">
        <f t="shared" si="45"/>
        <v>41</v>
      </c>
      <c r="G49" s="1262">
        <f>+'INSC-POSG plan'!H103+'INSC-POSG plan'!H105+'INSC-POSG plan'!H104+'INSC-POSG plan'!H106</f>
        <v>32</v>
      </c>
      <c r="H49" s="1263">
        <f>+'INSC-POSG plan'!I103+'INSC-POSG plan'!I105+'INSC-POSG plan'!I104+'INSC-POSG plan'!I106</f>
        <v>0</v>
      </c>
      <c r="I49" s="1263">
        <f>+'INSC-POSG plan'!J103+'INSC-POSG plan'!J105+'INSC-POSG plan'!J104+'INSC-POSG plan'!J106</f>
        <v>20</v>
      </c>
      <c r="J49" s="1264">
        <f t="shared" si="46"/>
        <v>52</v>
      </c>
      <c r="K49" s="1262">
        <f>+'INSC-POSG plan'!L103+'INSC-POSG plan'!L105+'INSC-POSG plan'!L104+'INSC-POSG plan'!L106</f>
        <v>16</v>
      </c>
      <c r="L49" s="1263">
        <f>+'INSC-POSG plan'!M103+'INSC-POSG plan'!M105+'INSC-POSG plan'!M104+'INSC-POSG plan'!M106</f>
        <v>0</v>
      </c>
      <c r="M49" s="1263">
        <f>+'INSC-POSG plan'!N103+'INSC-POSG plan'!N105+'INSC-POSG plan'!N104+'INSC-POSG plan'!N106</f>
        <v>51</v>
      </c>
      <c r="N49" s="1264">
        <f t="shared" si="47"/>
        <v>67</v>
      </c>
      <c r="O49" s="1262">
        <f>+'INSC-POSG plan'!P103+'INSC-POSG plan'!P105+'INSC-POSG plan'!P104+'INSC-POSG plan'!P106</f>
        <v>12</v>
      </c>
      <c r="P49" s="1263">
        <f>+'INSC-POSG plan'!Q103+'INSC-POSG plan'!Q105+'INSC-POSG plan'!Q104+'INSC-POSG plan'!Q106</f>
        <v>0</v>
      </c>
      <c r="Q49" s="1263">
        <f>+'INSC-POSG plan'!R103+'INSC-POSG plan'!R105+'INSC-POSG plan'!R104+'INSC-POSG plan'!R106</f>
        <v>61</v>
      </c>
      <c r="R49" s="1264">
        <f t="shared" si="48"/>
        <v>73</v>
      </c>
      <c r="S49" s="1262">
        <v>6</v>
      </c>
      <c r="T49" s="1263"/>
      <c r="U49" s="1263">
        <v>31</v>
      </c>
      <c r="V49" s="1264">
        <v>37</v>
      </c>
      <c r="W49" s="1262">
        <v>6</v>
      </c>
      <c r="X49" s="1263"/>
      <c r="Y49" s="1263">
        <v>12</v>
      </c>
      <c r="Z49" s="1337">
        <v>18</v>
      </c>
      <c r="AA49" s="1262">
        <v>4</v>
      </c>
      <c r="AB49" s="1263"/>
      <c r="AC49" s="1263">
        <v>29</v>
      </c>
      <c r="AD49" s="1264">
        <v>33</v>
      </c>
      <c r="AE49" s="1263"/>
      <c r="AF49" s="1263"/>
      <c r="AG49" s="1263">
        <v>36</v>
      </c>
      <c r="AH49" s="1264">
        <v>36</v>
      </c>
      <c r="AI49" s="1263"/>
      <c r="AJ49" s="1263"/>
      <c r="AK49" s="1263">
        <v>56</v>
      </c>
      <c r="AL49" s="1338">
        <v>56</v>
      </c>
      <c r="AM49" s="129"/>
      <c r="AN49" s="130"/>
      <c r="AO49" s="130">
        <v>52</v>
      </c>
      <c r="AP49" s="396">
        <v>52</v>
      </c>
      <c r="AQ49" s="129"/>
      <c r="AR49" s="130"/>
      <c r="AS49" s="130">
        <v>57</v>
      </c>
      <c r="AT49" s="396">
        <f t="shared" si="49"/>
        <v>57</v>
      </c>
      <c r="AU49" s="129">
        <v>0</v>
      </c>
      <c r="AV49" s="130"/>
      <c r="AW49" s="130">
        <v>46</v>
      </c>
      <c r="AX49" s="396">
        <f t="shared" si="50"/>
        <v>46</v>
      </c>
      <c r="AY49" s="129"/>
      <c r="AZ49" s="130"/>
      <c r="BA49" s="130">
        <v>69</v>
      </c>
      <c r="BB49" s="396">
        <f t="shared" si="51"/>
        <v>69</v>
      </c>
      <c r="BC49" s="129">
        <f>SUM('INSC-POSG plan'!BD103,'INSC-POSG plan'!BD105,'INSC-POSG plan'!BD104,'INSC-POSG plan'!BD106)</f>
        <v>8</v>
      </c>
      <c r="BD49" s="130"/>
      <c r="BE49" s="130">
        <f>SUM('INSC-POSG plan'!BF103,'INSC-POSG plan'!BF105,'INSC-POSG plan'!BF104,'INSC-POSG plan'!BF106)</f>
        <v>54</v>
      </c>
      <c r="BF49" s="396">
        <f t="shared" si="52"/>
        <v>62</v>
      </c>
      <c r="BG49" s="129"/>
      <c r="BH49" s="130"/>
      <c r="BI49" s="130">
        <f>SUM('INSC-POSG plan'!BJ103,'INSC-POSG plan'!BJ105,'INSC-POSG plan'!BJ104,'INSC-POSG plan'!BJ106)</f>
        <v>78</v>
      </c>
      <c r="BJ49" s="396">
        <f t="shared" si="62"/>
        <v>78</v>
      </c>
      <c r="BK49" s="130">
        <f>SUM('INSC-POSG plan'!BL103,'INSC-POSG plan'!BL105,'INSC-POSG plan'!BL104,'INSC-POSG plan'!BL106)</f>
        <v>0</v>
      </c>
      <c r="BL49" s="130">
        <f>SUM('INSC-POSG plan'!BM103,'INSC-POSG plan'!BM105,'INSC-POSG plan'!BM104,'INSC-POSG plan'!BM106)</f>
        <v>0</v>
      </c>
      <c r="BM49" s="130">
        <f>SUM('INSC-POSG plan'!BN103,'INSC-POSG plan'!BN105,'INSC-POSG plan'!BN104,'INSC-POSG plan'!BN106)</f>
        <v>69</v>
      </c>
      <c r="BN49" s="396">
        <f t="shared" si="53"/>
        <v>69</v>
      </c>
      <c r="BO49" s="130">
        <f>SUM('INSC-POSG plan'!BP103,'INSC-POSG plan'!BP105,'INSC-POSG plan'!BP104,'INSC-POSG plan'!BP106)</f>
        <v>0</v>
      </c>
      <c r="BP49" s="130">
        <f>SUM('INSC-POSG plan'!BQ103,'INSC-POSG plan'!BQ105,'INSC-POSG plan'!BQ104,'INSC-POSG plan'!BQ106)</f>
        <v>0</v>
      </c>
      <c r="BQ49" s="130">
        <f>SUM('INSC-POSG plan'!BR103,'INSC-POSG plan'!BR105,'INSC-POSG plan'!BR104,'INSC-POSG plan'!BR106)</f>
        <v>66</v>
      </c>
      <c r="BR49" s="396">
        <f t="shared" si="54"/>
        <v>66</v>
      </c>
      <c r="BS49" s="130">
        <f>SUM('INSC-POSG plan'!BT103,'INSC-POSG plan'!BT105,'INSC-POSG plan'!BT104,'INSC-POSG plan'!BT106)</f>
        <v>0</v>
      </c>
      <c r="BT49" s="130">
        <f>SUM('INSC-POSG plan'!BU103,'INSC-POSG plan'!BU105,'INSC-POSG plan'!BU104,'INSC-POSG plan'!BU106)</f>
        <v>0</v>
      </c>
      <c r="BU49" s="130">
        <f>SUM('INSC-POSG plan'!BV103,'INSC-POSG plan'!BV105,'INSC-POSG plan'!BV104,'INSC-POSG plan'!BV106)</f>
        <v>56</v>
      </c>
      <c r="BV49" s="396">
        <f t="shared" si="55"/>
        <v>56</v>
      </c>
      <c r="BW49" s="130">
        <f>SUM('INSC-POSG plan'!BX103,'INSC-POSG plan'!BX105,'INSC-POSG plan'!BX104,'INSC-POSG plan'!BX106)</f>
        <v>0</v>
      </c>
      <c r="BX49" s="130">
        <f>SUM('INSC-POSG plan'!BY103,'INSC-POSG plan'!BY105,'INSC-POSG plan'!BY104,'INSC-POSG plan'!BY106)</f>
        <v>0</v>
      </c>
      <c r="BY49" s="130">
        <f>SUM('INSC-POSG plan'!BZ103,'INSC-POSG plan'!BZ105,'INSC-POSG plan'!BZ104,'INSC-POSG plan'!BZ106)</f>
        <v>52</v>
      </c>
      <c r="BZ49" s="396">
        <f t="shared" si="56"/>
        <v>52</v>
      </c>
      <c r="CA49" s="130">
        <f>SUM('INSC-POSG plan'!CB103,'INSC-POSG plan'!CB105,'INSC-POSG plan'!CB104,'INSC-POSG plan'!CB106)</f>
        <v>0</v>
      </c>
      <c r="CB49" s="130">
        <f>SUM('INSC-POSG plan'!CC103,'INSC-POSG plan'!CC105,'INSC-POSG plan'!CC104,'INSC-POSG plan'!CC106)</f>
        <v>0</v>
      </c>
      <c r="CC49" s="130">
        <f>SUM('INSC-POSG plan'!CD103,'INSC-POSG plan'!CD105,'INSC-POSG plan'!CD104,'INSC-POSG plan'!CD106)</f>
        <v>53</v>
      </c>
      <c r="CD49" s="396">
        <f t="shared" si="57"/>
        <v>53</v>
      </c>
      <c r="CE49" s="130">
        <f>SUM('INSC-POSG plan'!CF103,'INSC-POSG plan'!CF105,'INSC-POSG plan'!CF104,'INSC-POSG plan'!CF106)</f>
        <v>0</v>
      </c>
      <c r="CF49" s="130">
        <f>SUM('INSC-POSG plan'!CG103,'INSC-POSG plan'!CG105,'INSC-POSG plan'!CG104,'INSC-POSG plan'!CG106)</f>
        <v>31</v>
      </c>
      <c r="CG49" s="130">
        <f>SUM('INSC-POSG plan'!CH103,'INSC-POSG plan'!CH105,'INSC-POSG plan'!CH104,'INSC-POSG plan'!CH106)</f>
        <v>13</v>
      </c>
      <c r="CH49" s="396">
        <f t="shared" si="58"/>
        <v>44</v>
      </c>
      <c r="CI49" s="130">
        <f>SUM('INSC-POSG plan'!CJ103,'INSC-POSG plan'!CJ105,'INSC-POSG plan'!CJ104,'INSC-POSG plan'!CJ106)</f>
        <v>0</v>
      </c>
      <c r="CJ49" s="130">
        <f>SUM('INSC-POSG plan'!CK103,'INSC-POSG plan'!CK105,'INSC-POSG plan'!CK104,'INSC-POSG plan'!CK106)</f>
        <v>38</v>
      </c>
      <c r="CK49" s="130">
        <f>SUM('INSC-POSG plan'!CL103,'INSC-POSG plan'!CL105,'INSC-POSG plan'!CL104,'INSC-POSG plan'!CL106)</f>
        <v>0</v>
      </c>
      <c r="CL49" s="396">
        <f t="shared" si="59"/>
        <v>38</v>
      </c>
      <c r="CM49" s="130">
        <f>SUM('INSC-POSG plan'!CN103,'INSC-POSG plan'!CN105,'INSC-POSG plan'!CN104,'INSC-POSG plan'!CN106)</f>
        <v>0</v>
      </c>
      <c r="CN49" s="130">
        <f>SUM('INSC-POSG plan'!CO103,'INSC-POSG plan'!CO105,'INSC-POSG plan'!CO104,'INSC-POSG plan'!CO106)</f>
        <v>22</v>
      </c>
      <c r="CO49" s="130">
        <f>SUM('INSC-POSG plan'!CP103,'INSC-POSG plan'!CP105,'INSC-POSG plan'!CP104,'INSC-POSG plan'!CP106)</f>
        <v>0</v>
      </c>
      <c r="CP49" s="396">
        <f t="shared" si="60"/>
        <v>22</v>
      </c>
      <c r="CQ49" s="130">
        <f>SUM('INSC-POSG plan'!CR103,'INSC-POSG plan'!CR105,'INSC-POSG plan'!CR104,'INSC-POSG plan'!CR106)</f>
        <v>0</v>
      </c>
      <c r="CR49" s="130">
        <f>SUM('INSC-POSG plan'!CS103,'INSC-POSG plan'!CS105,'INSC-POSG plan'!CS104,'INSC-POSG plan'!CS106)</f>
        <v>0</v>
      </c>
      <c r="CS49" s="130">
        <f>SUM('INSC-POSG plan'!CT103,'INSC-POSG plan'!CT105,'INSC-POSG plan'!CT104,'INSC-POSG plan'!CT106)</f>
        <v>58</v>
      </c>
      <c r="CT49" s="396">
        <f t="shared" si="61"/>
        <v>58</v>
      </c>
    </row>
    <row r="50" spans="1:98" ht="15" x14ac:dyDescent="0.25">
      <c r="A50" s="1333"/>
      <c r="B50" s="1339" t="s">
        <v>317</v>
      </c>
      <c r="C50" s="1267">
        <f>+'INSC-POSG plan'!D107+'INSC-POSG plan'!D108+'INSC-POSG plan'!D109</f>
        <v>4</v>
      </c>
      <c r="D50" s="1268">
        <f>+'INSC-POSG plan'!E107+'INSC-POSG plan'!E108+'INSC-POSG plan'!E109</f>
        <v>0</v>
      </c>
      <c r="E50" s="1268">
        <f>+'INSC-POSG plan'!F107+'INSC-POSG plan'!F108+'INSC-POSG plan'!F109</f>
        <v>23</v>
      </c>
      <c r="F50" s="1269">
        <f t="shared" si="45"/>
        <v>27</v>
      </c>
      <c r="G50" s="1267">
        <f>+'INSC-POSG plan'!H107+'INSC-POSG plan'!H108+'INSC-POSG plan'!H109</f>
        <v>7</v>
      </c>
      <c r="H50" s="1268">
        <f>+'INSC-POSG plan'!I107+'INSC-POSG plan'!I108+'INSC-POSG plan'!I109</f>
        <v>2</v>
      </c>
      <c r="I50" s="1268">
        <f>+'INSC-POSG plan'!J107+'INSC-POSG plan'!J108+'INSC-POSG plan'!J109</f>
        <v>16</v>
      </c>
      <c r="J50" s="1269">
        <f t="shared" si="46"/>
        <v>25</v>
      </c>
      <c r="K50" s="1267">
        <f>+'INSC-POSG plan'!L107+'INSC-POSG plan'!L108+'INSC-POSG plan'!L109</f>
        <v>3</v>
      </c>
      <c r="L50" s="1268">
        <f>+'INSC-POSG plan'!M107+'INSC-POSG plan'!M108+'INSC-POSG plan'!M109</f>
        <v>2</v>
      </c>
      <c r="M50" s="1268">
        <f>+'INSC-POSG plan'!N107+'INSC-POSG plan'!N108+'INSC-POSG plan'!N109</f>
        <v>20</v>
      </c>
      <c r="N50" s="1269">
        <f t="shared" si="47"/>
        <v>25</v>
      </c>
      <c r="O50" s="1267">
        <f>+'INSC-POSG plan'!P107+'INSC-POSG plan'!P108+'INSC-POSG plan'!P109</f>
        <v>15</v>
      </c>
      <c r="P50" s="1268">
        <f>+'INSC-POSG plan'!Q107+'INSC-POSG plan'!Q108+'INSC-POSG plan'!Q109</f>
        <v>1</v>
      </c>
      <c r="Q50" s="1268">
        <f>+'INSC-POSG plan'!R107+'INSC-POSG plan'!R108+'INSC-POSG plan'!R109</f>
        <v>19</v>
      </c>
      <c r="R50" s="1269">
        <f t="shared" si="48"/>
        <v>35</v>
      </c>
      <c r="S50" s="1267">
        <v>16</v>
      </c>
      <c r="T50" s="1268"/>
      <c r="U50" s="1268">
        <v>7</v>
      </c>
      <c r="V50" s="1269">
        <v>23</v>
      </c>
      <c r="W50" s="1267">
        <v>16</v>
      </c>
      <c r="X50" s="1268"/>
      <c r="Y50" s="1268">
        <v>22</v>
      </c>
      <c r="Z50" s="1340">
        <v>38</v>
      </c>
      <c r="AA50" s="1267">
        <v>31</v>
      </c>
      <c r="AB50" s="1268"/>
      <c r="AC50" s="1268">
        <v>13</v>
      </c>
      <c r="AD50" s="1269">
        <v>44</v>
      </c>
      <c r="AE50" s="1268">
        <v>12</v>
      </c>
      <c r="AF50" s="1268"/>
      <c r="AG50" s="1268">
        <v>8</v>
      </c>
      <c r="AH50" s="1269">
        <v>20</v>
      </c>
      <c r="AI50" s="1268">
        <v>10</v>
      </c>
      <c r="AJ50" s="1268"/>
      <c r="AK50" s="1268">
        <v>7</v>
      </c>
      <c r="AL50" s="1341">
        <v>17</v>
      </c>
      <c r="AM50" s="196">
        <v>8</v>
      </c>
      <c r="AN50" s="197"/>
      <c r="AO50" s="197">
        <v>20</v>
      </c>
      <c r="AP50" s="397">
        <v>28</v>
      </c>
      <c r="AQ50" s="196">
        <v>11</v>
      </c>
      <c r="AR50" s="197"/>
      <c r="AS50" s="197">
        <v>16</v>
      </c>
      <c r="AT50" s="397">
        <f t="shared" si="49"/>
        <v>27</v>
      </c>
      <c r="AU50" s="196">
        <v>27</v>
      </c>
      <c r="AV50" s="197"/>
      <c r="AW50" s="197">
        <v>27</v>
      </c>
      <c r="AX50" s="397">
        <f t="shared" si="50"/>
        <v>54</v>
      </c>
      <c r="AY50" s="196">
        <v>13</v>
      </c>
      <c r="AZ50" s="197"/>
      <c r="BA50" s="197">
        <v>36</v>
      </c>
      <c r="BB50" s="397">
        <f t="shared" si="51"/>
        <v>49</v>
      </c>
      <c r="BC50" s="196">
        <f>SUM('INSC-POSG plan'!BD107,'INSC-POSG plan'!BD108,'INSC-POSG plan'!BD109)</f>
        <v>24</v>
      </c>
      <c r="BD50" s="197"/>
      <c r="BE50" s="197">
        <f>SUM('INSC-POSG plan'!BF107,'INSC-POSG plan'!BF108,'INSC-POSG plan'!BF109)</f>
        <v>32</v>
      </c>
      <c r="BF50" s="397">
        <f t="shared" si="52"/>
        <v>56</v>
      </c>
      <c r="BG50" s="196">
        <f>SUM('INSC-POSG plan'!BH107,'INSC-POSG plan'!BH108,'INSC-POSG plan'!BH109)</f>
        <v>21</v>
      </c>
      <c r="BH50" s="197"/>
      <c r="BI50" s="197">
        <f>SUM('INSC-POSG plan'!BJ107,'INSC-POSG plan'!BJ108,'INSC-POSG plan'!BJ109)</f>
        <v>25</v>
      </c>
      <c r="BJ50" s="397">
        <f t="shared" si="62"/>
        <v>46</v>
      </c>
      <c r="BK50" s="197">
        <f>SUM('INSC-POSG plan'!BL107,'INSC-POSG plan'!BL108,'INSC-POSG plan'!BL109)</f>
        <v>28</v>
      </c>
      <c r="BL50" s="197">
        <f>SUM('INSC-POSG plan'!BM107,'INSC-POSG plan'!BM108,'INSC-POSG plan'!BM109)</f>
        <v>0</v>
      </c>
      <c r="BM50" s="197">
        <f>SUM('INSC-POSG plan'!BN107,'INSC-POSG plan'!BN108,'INSC-POSG plan'!BN109)</f>
        <v>30</v>
      </c>
      <c r="BN50" s="397">
        <f t="shared" si="53"/>
        <v>58</v>
      </c>
      <c r="BO50" s="197">
        <f>SUM('INSC-POSG plan'!BP107,'INSC-POSG plan'!BP108,'INSC-POSG plan'!BP109)</f>
        <v>22</v>
      </c>
      <c r="BP50" s="197">
        <f>SUM('INSC-POSG plan'!BQ107,'INSC-POSG plan'!BQ108,'INSC-POSG plan'!BQ109)</f>
        <v>0</v>
      </c>
      <c r="BQ50" s="197">
        <f>SUM('INSC-POSG plan'!BR107,'INSC-POSG plan'!BR108,'INSC-POSG plan'!BR109)</f>
        <v>34</v>
      </c>
      <c r="BR50" s="397">
        <f t="shared" si="54"/>
        <v>56</v>
      </c>
      <c r="BS50" s="197">
        <f>SUM('INSC-POSG plan'!BT107,'INSC-POSG plan'!BT108,'INSC-POSG plan'!BT109)</f>
        <v>23</v>
      </c>
      <c r="BT50" s="197">
        <f>SUM('INSC-POSG plan'!BU107,'INSC-POSG plan'!BU108,'INSC-POSG plan'!BU109)</f>
        <v>0</v>
      </c>
      <c r="BU50" s="197">
        <f>SUM('INSC-POSG plan'!BV107,'INSC-POSG plan'!BV108,'INSC-POSG plan'!BV109)</f>
        <v>24</v>
      </c>
      <c r="BV50" s="397">
        <f t="shared" si="55"/>
        <v>47</v>
      </c>
      <c r="BW50" s="197">
        <f>SUM('INSC-POSG plan'!BX107,'INSC-POSG plan'!BX108,'INSC-POSG plan'!BX109)</f>
        <v>29</v>
      </c>
      <c r="BX50" s="197">
        <f>SUM('INSC-POSG plan'!BY107,'INSC-POSG plan'!BY108,'INSC-POSG plan'!BY109)</f>
        <v>0</v>
      </c>
      <c r="BY50" s="197">
        <f>SUM('INSC-POSG plan'!BZ107,'INSC-POSG plan'!BZ108,'INSC-POSG plan'!BZ109)</f>
        <v>27</v>
      </c>
      <c r="BZ50" s="397">
        <f t="shared" si="56"/>
        <v>56</v>
      </c>
      <c r="CA50" s="197">
        <f>SUM('INSC-POSG plan'!CB107,'INSC-POSG plan'!CB108,'INSC-POSG plan'!CB109)</f>
        <v>18</v>
      </c>
      <c r="CB50" s="197">
        <f>SUM('INSC-POSG plan'!CC107,'INSC-POSG plan'!CC108,'INSC-POSG plan'!CC109)</f>
        <v>0</v>
      </c>
      <c r="CC50" s="197">
        <f>SUM('INSC-POSG plan'!CD107,'INSC-POSG plan'!CD108,'INSC-POSG plan'!CD109)</f>
        <v>26</v>
      </c>
      <c r="CD50" s="397">
        <f t="shared" si="57"/>
        <v>44</v>
      </c>
      <c r="CE50" s="197">
        <f>SUM('INSC-POSG plan'!CF107,'INSC-POSG plan'!CF108,'INSC-POSG plan'!CF109)</f>
        <v>18</v>
      </c>
      <c r="CF50" s="197">
        <f>SUM('INSC-POSG plan'!CG107,'INSC-POSG plan'!CG108,'INSC-POSG plan'!CG109)</f>
        <v>9</v>
      </c>
      <c r="CG50" s="197">
        <f>SUM('INSC-POSG plan'!CH107,'INSC-POSG plan'!CH108,'INSC-POSG plan'!CH109)</f>
        <v>22</v>
      </c>
      <c r="CH50" s="397">
        <f t="shared" si="58"/>
        <v>49</v>
      </c>
      <c r="CI50" s="197">
        <f>SUM('INSC-POSG plan'!CJ107,'INSC-POSG plan'!CJ108,'INSC-POSG plan'!CJ109)</f>
        <v>0</v>
      </c>
      <c r="CJ50" s="197">
        <f>SUM('INSC-POSG plan'!CK107,'INSC-POSG plan'!CK108,'INSC-POSG plan'!CK109)</f>
        <v>11</v>
      </c>
      <c r="CK50" s="197">
        <f>SUM('INSC-POSG plan'!CL107,'INSC-POSG plan'!CL108,'INSC-POSG plan'!CL109)</f>
        <v>5</v>
      </c>
      <c r="CL50" s="397">
        <f t="shared" si="59"/>
        <v>16</v>
      </c>
      <c r="CM50" s="197">
        <f>SUM('INSC-POSG plan'!CN107,'INSC-POSG plan'!CN108,'INSC-POSG plan'!CN109)</f>
        <v>0</v>
      </c>
      <c r="CN50" s="197">
        <f>SUM('INSC-POSG plan'!CO107,'INSC-POSG plan'!CO108,'INSC-POSG plan'!CO109)</f>
        <v>20</v>
      </c>
      <c r="CO50" s="197">
        <f>SUM('INSC-POSG plan'!CP107,'INSC-POSG plan'!CP108,'INSC-POSG plan'!CP109)</f>
        <v>0</v>
      </c>
      <c r="CP50" s="397">
        <f t="shared" si="60"/>
        <v>20</v>
      </c>
      <c r="CQ50" s="197">
        <f>SUM('INSC-POSG plan'!CR107,'INSC-POSG plan'!CR108,'INSC-POSG plan'!CR109)</f>
        <v>15</v>
      </c>
      <c r="CR50" s="197">
        <f>SUM('INSC-POSG plan'!CS107,'INSC-POSG plan'!CS108,'INSC-POSG plan'!CS109)</f>
        <v>0</v>
      </c>
      <c r="CS50" s="197">
        <f>SUM('INSC-POSG plan'!CT107,'INSC-POSG plan'!CT108,'INSC-POSG plan'!CT109)</f>
        <v>18</v>
      </c>
      <c r="CT50" s="397">
        <f t="shared" si="61"/>
        <v>33</v>
      </c>
    </row>
    <row r="51" spans="1:98" s="1330" customFormat="1" ht="15" x14ac:dyDescent="0.25">
      <c r="A51" s="1333"/>
      <c r="B51" s="1342" t="s">
        <v>430</v>
      </c>
      <c r="C51" s="1343">
        <f>SUM(C48:C50)</f>
        <v>25</v>
      </c>
      <c r="D51" s="1344">
        <f>SUM(D48:D50)</f>
        <v>0</v>
      </c>
      <c r="E51" s="1344">
        <f>SUM(E48:E50)</f>
        <v>60</v>
      </c>
      <c r="F51" s="1345">
        <f t="shared" si="45"/>
        <v>85</v>
      </c>
      <c r="G51" s="1343">
        <f>SUM(G48:G50)</f>
        <v>41</v>
      </c>
      <c r="H51" s="1344">
        <f>SUM(H48:H50)</f>
        <v>2</v>
      </c>
      <c r="I51" s="1344">
        <f>SUM(I48:I50)</f>
        <v>58</v>
      </c>
      <c r="J51" s="1345">
        <f t="shared" si="46"/>
        <v>101</v>
      </c>
      <c r="K51" s="1343">
        <f>SUM(K48:K50)</f>
        <v>19</v>
      </c>
      <c r="L51" s="1344">
        <f>SUM(L48:L50)</f>
        <v>3</v>
      </c>
      <c r="M51" s="1344">
        <f>SUM(M48:M50)</f>
        <v>91</v>
      </c>
      <c r="N51" s="1345">
        <f t="shared" si="47"/>
        <v>113</v>
      </c>
      <c r="O51" s="1343">
        <f>SUM(O48:O50)</f>
        <v>27</v>
      </c>
      <c r="P51" s="1344">
        <f>SUM(P48:P50)</f>
        <v>1</v>
      </c>
      <c r="Q51" s="1344">
        <f>SUM(Q48:Q50)</f>
        <v>102</v>
      </c>
      <c r="R51" s="1345">
        <f t="shared" si="48"/>
        <v>130</v>
      </c>
      <c r="S51" s="1343">
        <v>23</v>
      </c>
      <c r="T51" s="1344">
        <v>2</v>
      </c>
      <c r="U51" s="1344">
        <v>58</v>
      </c>
      <c r="V51" s="1345">
        <v>83</v>
      </c>
      <c r="W51" s="1343">
        <v>22</v>
      </c>
      <c r="X51" s="1344">
        <v>2</v>
      </c>
      <c r="Y51" s="1344">
        <v>54</v>
      </c>
      <c r="Z51" s="1344">
        <v>78</v>
      </c>
      <c r="AA51" s="1343">
        <v>36</v>
      </c>
      <c r="AB51" s="1344">
        <v>4</v>
      </c>
      <c r="AC51" s="1344">
        <v>57</v>
      </c>
      <c r="AD51" s="1345">
        <v>97</v>
      </c>
      <c r="AE51" s="1344">
        <v>22</v>
      </c>
      <c r="AF51" s="1344">
        <v>7</v>
      </c>
      <c r="AG51" s="1344">
        <v>51</v>
      </c>
      <c r="AH51" s="1345">
        <v>80</v>
      </c>
      <c r="AI51" s="1344">
        <v>16</v>
      </c>
      <c r="AJ51" s="1344">
        <v>19</v>
      </c>
      <c r="AK51" s="1344">
        <v>77</v>
      </c>
      <c r="AL51" s="1345">
        <v>112</v>
      </c>
      <c r="AM51" s="201">
        <v>9</v>
      </c>
      <c r="AN51" s="202">
        <v>7</v>
      </c>
      <c r="AO51" s="202">
        <v>86</v>
      </c>
      <c r="AP51" s="203">
        <v>102</v>
      </c>
      <c r="AQ51" s="201">
        <f>SUM(AQ48:AQ50)</f>
        <v>13</v>
      </c>
      <c r="AR51" s="202">
        <f>SUM(AR48:AR50)</f>
        <v>6</v>
      </c>
      <c r="AS51" s="202">
        <f>SUM(AS48:AS50)</f>
        <v>88</v>
      </c>
      <c r="AT51" s="203">
        <f t="shared" si="49"/>
        <v>107</v>
      </c>
      <c r="AU51" s="201">
        <f>SUM(AU48:AU50)</f>
        <v>33</v>
      </c>
      <c r="AV51" s="202">
        <f>SUM(AV48:AV50)</f>
        <v>6</v>
      </c>
      <c r="AW51" s="202">
        <f>SUM(AW48:AW50)</f>
        <v>90</v>
      </c>
      <c r="AX51" s="203">
        <f t="shared" si="50"/>
        <v>129</v>
      </c>
      <c r="AY51" s="201">
        <f>SUM(AY48:AY50)</f>
        <v>20</v>
      </c>
      <c r="AZ51" s="202">
        <f>SUM(AZ48:AZ50)</f>
        <v>5</v>
      </c>
      <c r="BA51" s="202">
        <f>SUM(BA48:BA50)</f>
        <v>128</v>
      </c>
      <c r="BB51" s="203">
        <f t="shared" si="51"/>
        <v>153</v>
      </c>
      <c r="BC51" s="201">
        <f>SUM(BC48:BC50)</f>
        <v>41</v>
      </c>
      <c r="BD51" s="202">
        <f>SUM(BD48:BD50)</f>
        <v>11</v>
      </c>
      <c r="BE51" s="202">
        <f>SUM(BE48:BE50)</f>
        <v>102</v>
      </c>
      <c r="BF51" s="203">
        <f t="shared" si="52"/>
        <v>154</v>
      </c>
      <c r="BG51" s="201">
        <f>SUM(BG48:BG50)</f>
        <v>25</v>
      </c>
      <c r="BH51" s="202">
        <f>SUM(BH48:BH50)</f>
        <v>6</v>
      </c>
      <c r="BI51" s="202">
        <f>SUM(BI48:BI50)</f>
        <v>114</v>
      </c>
      <c r="BJ51" s="203">
        <f t="shared" si="62"/>
        <v>145</v>
      </c>
      <c r="BK51" s="201">
        <f>SUM(BK48:BK50)</f>
        <v>33</v>
      </c>
      <c r="BL51" s="202">
        <f>SUM(BL48:BL50)</f>
        <v>6</v>
      </c>
      <c r="BM51" s="202">
        <f>SUM(BM48:BM50)</f>
        <v>109</v>
      </c>
      <c r="BN51" s="203">
        <f t="shared" si="53"/>
        <v>148</v>
      </c>
      <c r="BO51" s="201">
        <f>SUM(BO48:BO50)</f>
        <v>28</v>
      </c>
      <c r="BP51" s="202">
        <f>SUM(BP48:BP50)</f>
        <v>6</v>
      </c>
      <c r="BQ51" s="202">
        <f>SUM(BQ48:BQ50)</f>
        <v>106</v>
      </c>
      <c r="BR51" s="203">
        <f t="shared" si="54"/>
        <v>140</v>
      </c>
      <c r="BS51" s="201">
        <f>SUM(BS48:BS50)</f>
        <v>27</v>
      </c>
      <c r="BT51" s="202">
        <f>SUM(BT48:BT50)</f>
        <v>2</v>
      </c>
      <c r="BU51" s="202">
        <f>SUM(BU48:BU50)</f>
        <v>91</v>
      </c>
      <c r="BV51" s="203">
        <f t="shared" si="55"/>
        <v>120</v>
      </c>
      <c r="BW51" s="201">
        <f>SUM(BW48:BW50)</f>
        <v>29</v>
      </c>
      <c r="BX51" s="202">
        <f>SUM(BX48:BX50)</f>
        <v>6</v>
      </c>
      <c r="BY51" s="202">
        <f>SUM(BY48:BY50)</f>
        <v>86</v>
      </c>
      <c r="BZ51" s="203">
        <f t="shared" si="56"/>
        <v>121</v>
      </c>
      <c r="CA51" s="201">
        <f>SUM(CA48:CA50)</f>
        <v>18</v>
      </c>
      <c r="CB51" s="202">
        <f>SUM(CB48:CB50)</f>
        <v>1</v>
      </c>
      <c r="CC51" s="202">
        <f>SUM(CC48:CC50)</f>
        <v>86</v>
      </c>
      <c r="CD51" s="203">
        <f t="shared" si="57"/>
        <v>105</v>
      </c>
      <c r="CE51" s="201">
        <f>SUM(CE48:CE50)</f>
        <v>22</v>
      </c>
      <c r="CF51" s="202">
        <f>SUM(CF48:CF50)</f>
        <v>42</v>
      </c>
      <c r="CG51" s="202">
        <f>SUM(CG48:CG50)</f>
        <v>41</v>
      </c>
      <c r="CH51" s="203">
        <f t="shared" si="58"/>
        <v>105</v>
      </c>
      <c r="CI51" s="201">
        <f>SUM(CI48:CI50)</f>
        <v>0</v>
      </c>
      <c r="CJ51" s="202">
        <f>SUM(CJ48:CJ50)</f>
        <v>52</v>
      </c>
      <c r="CK51" s="202">
        <f>SUM(CK48:CK50)</f>
        <v>5</v>
      </c>
      <c r="CL51" s="203">
        <f t="shared" si="59"/>
        <v>57</v>
      </c>
      <c r="CM51" s="201">
        <f>SUM(CM48:CM50)</f>
        <v>1</v>
      </c>
      <c r="CN51" s="202">
        <f>SUM(CN48:CN50)</f>
        <v>42</v>
      </c>
      <c r="CO51" s="202">
        <f>SUM(CO48:CO50)</f>
        <v>0</v>
      </c>
      <c r="CP51" s="203">
        <f t="shared" si="60"/>
        <v>43</v>
      </c>
      <c r="CQ51" s="201">
        <f>SUM(CQ48:CQ50)</f>
        <v>20</v>
      </c>
      <c r="CR51" s="202">
        <f>SUM(CR48:CR50)</f>
        <v>0</v>
      </c>
      <c r="CS51" s="202">
        <f>SUM(CS48:CS50)</f>
        <v>78</v>
      </c>
      <c r="CT51" s="203">
        <f t="shared" si="61"/>
        <v>98</v>
      </c>
    </row>
    <row r="52" spans="1:98" ht="15" customHeight="1" x14ac:dyDescent="0.25">
      <c r="A52" s="1333"/>
      <c r="B52" s="1334" t="s">
        <v>308</v>
      </c>
      <c r="C52" s="1258">
        <f>+C40+C44+C48</f>
        <v>0</v>
      </c>
      <c r="D52" s="1259">
        <f t="shared" ref="D52:E54" si="63">+D40+D44+D48</f>
        <v>0</v>
      </c>
      <c r="E52" s="1259">
        <f t="shared" si="63"/>
        <v>29</v>
      </c>
      <c r="F52" s="1260">
        <f t="shared" si="45"/>
        <v>29</v>
      </c>
      <c r="G52" s="1258">
        <f t="shared" ref="G52:I54" si="64">+G40+G44+G48</f>
        <v>2</v>
      </c>
      <c r="H52" s="1259">
        <f t="shared" si="64"/>
        <v>0</v>
      </c>
      <c r="I52" s="1259">
        <f t="shared" si="64"/>
        <v>31</v>
      </c>
      <c r="J52" s="1260">
        <f t="shared" si="46"/>
        <v>33</v>
      </c>
      <c r="K52" s="1258">
        <f t="shared" ref="K52:M54" si="65">+K40+K44+K48</f>
        <v>0</v>
      </c>
      <c r="L52" s="1259">
        <f t="shared" si="65"/>
        <v>1</v>
      </c>
      <c r="M52" s="1259">
        <f t="shared" si="65"/>
        <v>33</v>
      </c>
      <c r="N52" s="1260">
        <f t="shared" si="47"/>
        <v>34</v>
      </c>
      <c r="O52" s="1258">
        <f t="shared" ref="O52:Q54" si="66">+O40+O44+O48</f>
        <v>0</v>
      </c>
      <c r="P52" s="1259">
        <f t="shared" si="66"/>
        <v>0</v>
      </c>
      <c r="Q52" s="1259">
        <f t="shared" si="66"/>
        <v>47</v>
      </c>
      <c r="R52" s="1260">
        <f t="shared" si="48"/>
        <v>47</v>
      </c>
      <c r="S52" s="1258">
        <v>1</v>
      </c>
      <c r="T52" s="1259">
        <v>2</v>
      </c>
      <c r="U52" s="1259">
        <v>61</v>
      </c>
      <c r="V52" s="1260">
        <v>64</v>
      </c>
      <c r="W52" s="1258">
        <v>0</v>
      </c>
      <c r="X52" s="1259">
        <v>2</v>
      </c>
      <c r="Y52" s="1259">
        <v>93</v>
      </c>
      <c r="Z52" s="1298">
        <v>95</v>
      </c>
      <c r="AA52" s="1258">
        <v>1</v>
      </c>
      <c r="AB52" s="1259">
        <v>4</v>
      </c>
      <c r="AC52" s="1259">
        <v>15</v>
      </c>
      <c r="AD52" s="1260">
        <v>20</v>
      </c>
      <c r="AE52" s="1259">
        <v>96</v>
      </c>
      <c r="AF52" s="1259">
        <v>7</v>
      </c>
      <c r="AG52" s="1259">
        <v>7</v>
      </c>
      <c r="AH52" s="1260">
        <v>110</v>
      </c>
      <c r="AI52" s="1259">
        <v>96</v>
      </c>
      <c r="AJ52" s="1259">
        <v>19</v>
      </c>
      <c r="AK52" s="1259">
        <v>33</v>
      </c>
      <c r="AL52" s="1335">
        <v>148</v>
      </c>
      <c r="AM52" s="151">
        <v>102</v>
      </c>
      <c r="AN52" s="152">
        <v>7</v>
      </c>
      <c r="AO52" s="152">
        <v>14</v>
      </c>
      <c r="AP52" s="395">
        <v>123</v>
      </c>
      <c r="AQ52" s="151">
        <f t="shared" ref="AQ52:AX55" si="67">AQ40+AQ44+AQ48</f>
        <v>2</v>
      </c>
      <c r="AR52" s="152">
        <f t="shared" si="67"/>
        <v>105</v>
      </c>
      <c r="AS52" s="152">
        <f t="shared" si="67"/>
        <v>31</v>
      </c>
      <c r="AT52" s="395">
        <f t="shared" si="67"/>
        <v>138</v>
      </c>
      <c r="AU52" s="151">
        <f t="shared" si="67"/>
        <v>6</v>
      </c>
      <c r="AV52" s="152">
        <f t="shared" si="67"/>
        <v>6</v>
      </c>
      <c r="AW52" s="152">
        <f t="shared" si="67"/>
        <v>121</v>
      </c>
      <c r="AX52" s="395">
        <f t="shared" si="67"/>
        <v>133</v>
      </c>
      <c r="AY52" s="151">
        <f>SUM(AY40,AY44,AY48)</f>
        <v>7</v>
      </c>
      <c r="AZ52" s="152">
        <f>SUM(AZ40,AZ44,AZ48)</f>
        <v>5</v>
      </c>
      <c r="BA52" s="152">
        <f>SUM(BA40,BA44,BA48)</f>
        <v>95</v>
      </c>
      <c r="BB52" s="395">
        <f>SUM(AY52:BA52)</f>
        <v>107</v>
      </c>
      <c r="BC52" s="151">
        <f t="shared" ref="BC52:BE54" si="68">SUM(BC40,BC44,BC48)</f>
        <v>9</v>
      </c>
      <c r="BD52" s="152">
        <f t="shared" si="68"/>
        <v>11</v>
      </c>
      <c r="BE52" s="152">
        <f t="shared" si="68"/>
        <v>16</v>
      </c>
      <c r="BF52" s="395">
        <f>SUM(BC52:BE52)</f>
        <v>36</v>
      </c>
      <c r="BG52" s="151">
        <f t="shared" ref="BG52:BI54" si="69">SUM(BG40,BG44,BG48)</f>
        <v>4</v>
      </c>
      <c r="BH52" s="152">
        <f t="shared" si="69"/>
        <v>6</v>
      </c>
      <c r="BI52" s="152">
        <f t="shared" si="69"/>
        <v>47</v>
      </c>
      <c r="BJ52" s="395">
        <f>SUM(BG52:BI52)</f>
        <v>57</v>
      </c>
      <c r="BK52" s="151">
        <f t="shared" ref="BK52:BM54" si="70">SUM(BK40,BK44,BK48)</f>
        <v>5</v>
      </c>
      <c r="BL52" s="152">
        <f t="shared" si="70"/>
        <v>6</v>
      </c>
      <c r="BM52" s="152">
        <f t="shared" si="70"/>
        <v>25</v>
      </c>
      <c r="BN52" s="395">
        <f>SUM(BK52:BM52)</f>
        <v>36</v>
      </c>
      <c r="BO52" s="151">
        <f t="shared" ref="BO52:BQ54" si="71">SUM(BO40,BO44,BO48)</f>
        <v>39</v>
      </c>
      <c r="BP52" s="152">
        <f t="shared" si="71"/>
        <v>7</v>
      </c>
      <c r="BQ52" s="152">
        <f t="shared" si="71"/>
        <v>30</v>
      </c>
      <c r="BR52" s="395">
        <f>SUM(BO52:BQ52)</f>
        <v>76</v>
      </c>
      <c r="BS52" s="151">
        <f t="shared" ref="BS52:BU54" si="72">SUM(BS40,BS44,BS48)</f>
        <v>4</v>
      </c>
      <c r="BT52" s="152">
        <f t="shared" si="72"/>
        <v>4</v>
      </c>
      <c r="BU52" s="152">
        <f t="shared" si="72"/>
        <v>23</v>
      </c>
      <c r="BV52" s="395">
        <f>SUM(BS52:BU52)</f>
        <v>31</v>
      </c>
      <c r="BW52" s="151">
        <f t="shared" ref="BW52:BY54" si="73">SUM(BW40,BW44,BW48)</f>
        <v>0</v>
      </c>
      <c r="BX52" s="152">
        <f t="shared" si="73"/>
        <v>69</v>
      </c>
      <c r="BY52" s="152">
        <f t="shared" si="73"/>
        <v>7</v>
      </c>
      <c r="BZ52" s="395">
        <f>SUM(BW52:BY52)</f>
        <v>76</v>
      </c>
      <c r="CA52" s="151">
        <f t="shared" ref="CA52:CC54" si="74">SUM(CA40,CA44,CA48)</f>
        <v>0</v>
      </c>
      <c r="CB52" s="152">
        <f t="shared" si="74"/>
        <v>46</v>
      </c>
      <c r="CC52" s="152">
        <f t="shared" si="74"/>
        <v>18</v>
      </c>
      <c r="CD52" s="395">
        <f>SUM(CA52:CC52)</f>
        <v>64</v>
      </c>
      <c r="CE52" s="151">
        <f t="shared" ref="CE52:CG54" si="75">SUM(CE40,CE44,CE48)</f>
        <v>4</v>
      </c>
      <c r="CF52" s="152">
        <f t="shared" si="75"/>
        <v>29</v>
      </c>
      <c r="CG52" s="152">
        <f t="shared" si="75"/>
        <v>6</v>
      </c>
      <c r="CH52" s="395">
        <f>SUM(CE52:CG52)</f>
        <v>39</v>
      </c>
      <c r="CI52" s="151">
        <f t="shared" ref="CI52:CK54" si="76">SUM(CI40,CI44,CI48)</f>
        <v>2</v>
      </c>
      <c r="CJ52" s="152">
        <f t="shared" si="76"/>
        <v>60</v>
      </c>
      <c r="CK52" s="152">
        <f t="shared" si="76"/>
        <v>0</v>
      </c>
      <c r="CL52" s="395">
        <f>SUM(CI52:CK52)</f>
        <v>62</v>
      </c>
      <c r="CM52" s="151">
        <f t="shared" ref="CM52:CO52" si="77">SUM(CM40,CM44,CM48)</f>
        <v>2</v>
      </c>
      <c r="CN52" s="152">
        <f t="shared" si="77"/>
        <v>0</v>
      </c>
      <c r="CO52" s="152">
        <f t="shared" si="77"/>
        <v>0</v>
      </c>
      <c r="CP52" s="395">
        <f>SUM(CM52:CO52)</f>
        <v>2</v>
      </c>
      <c r="CQ52" s="151">
        <f t="shared" ref="CQ52:CS52" si="78">SUM(CQ40,CQ44,CQ48)</f>
        <v>8</v>
      </c>
      <c r="CR52" s="152">
        <f t="shared" si="78"/>
        <v>0</v>
      </c>
      <c r="CS52" s="152">
        <f t="shared" si="78"/>
        <v>11</v>
      </c>
      <c r="CT52" s="395">
        <f>SUM(CQ52:CS52)</f>
        <v>19</v>
      </c>
    </row>
    <row r="53" spans="1:98" ht="15" x14ac:dyDescent="0.25">
      <c r="A53" s="1333"/>
      <c r="B53" s="1336" t="s">
        <v>310</v>
      </c>
      <c r="C53" s="1262">
        <f>+C41+C45+C49</f>
        <v>39</v>
      </c>
      <c r="D53" s="1263">
        <f t="shared" si="63"/>
        <v>9</v>
      </c>
      <c r="E53" s="1263">
        <f t="shared" si="63"/>
        <v>145</v>
      </c>
      <c r="F53" s="1264">
        <f t="shared" si="45"/>
        <v>193</v>
      </c>
      <c r="G53" s="1262">
        <f t="shared" si="64"/>
        <v>88</v>
      </c>
      <c r="H53" s="1263">
        <f t="shared" si="64"/>
        <v>12</v>
      </c>
      <c r="I53" s="1263">
        <f t="shared" si="64"/>
        <v>187</v>
      </c>
      <c r="J53" s="1264">
        <f t="shared" si="46"/>
        <v>287</v>
      </c>
      <c r="K53" s="1262">
        <f t="shared" si="65"/>
        <v>45</v>
      </c>
      <c r="L53" s="1263">
        <f t="shared" si="65"/>
        <v>15</v>
      </c>
      <c r="M53" s="1263">
        <f t="shared" si="65"/>
        <v>139</v>
      </c>
      <c r="N53" s="1264">
        <f t="shared" si="47"/>
        <v>199</v>
      </c>
      <c r="O53" s="1262">
        <f t="shared" si="66"/>
        <v>40</v>
      </c>
      <c r="P53" s="1263">
        <f t="shared" si="66"/>
        <v>10</v>
      </c>
      <c r="Q53" s="1263">
        <f t="shared" si="66"/>
        <v>304</v>
      </c>
      <c r="R53" s="1264">
        <f t="shared" si="48"/>
        <v>354</v>
      </c>
      <c r="S53" s="1262">
        <v>8</v>
      </c>
      <c r="T53" s="1263">
        <v>5</v>
      </c>
      <c r="U53" s="1263">
        <v>74</v>
      </c>
      <c r="V53" s="1264">
        <v>87</v>
      </c>
      <c r="W53" s="1262">
        <v>13</v>
      </c>
      <c r="X53" s="1263">
        <v>8</v>
      </c>
      <c r="Y53" s="1263">
        <v>56</v>
      </c>
      <c r="Z53" s="1337">
        <v>77</v>
      </c>
      <c r="AA53" s="1262">
        <v>79</v>
      </c>
      <c r="AB53" s="1263">
        <v>13</v>
      </c>
      <c r="AC53" s="1263">
        <v>95</v>
      </c>
      <c r="AD53" s="1264">
        <v>187</v>
      </c>
      <c r="AE53" s="1263">
        <v>12</v>
      </c>
      <c r="AF53" s="1263">
        <v>12</v>
      </c>
      <c r="AG53" s="1263">
        <v>112</v>
      </c>
      <c r="AH53" s="1264">
        <v>136</v>
      </c>
      <c r="AI53" s="1263">
        <v>80</v>
      </c>
      <c r="AJ53" s="1263">
        <v>8</v>
      </c>
      <c r="AK53" s="1263">
        <v>106</v>
      </c>
      <c r="AL53" s="1338">
        <v>194</v>
      </c>
      <c r="AM53" s="129">
        <v>26</v>
      </c>
      <c r="AN53" s="130">
        <v>8</v>
      </c>
      <c r="AO53" s="130">
        <v>235</v>
      </c>
      <c r="AP53" s="396">
        <v>269</v>
      </c>
      <c r="AQ53" s="129">
        <f t="shared" si="67"/>
        <v>20</v>
      </c>
      <c r="AR53" s="130">
        <f t="shared" si="67"/>
        <v>4</v>
      </c>
      <c r="AS53" s="130">
        <f t="shared" si="67"/>
        <v>135</v>
      </c>
      <c r="AT53" s="396">
        <f t="shared" si="67"/>
        <v>159</v>
      </c>
      <c r="AU53" s="129">
        <f t="shared" si="67"/>
        <v>26</v>
      </c>
      <c r="AV53" s="130">
        <f t="shared" si="67"/>
        <v>7</v>
      </c>
      <c r="AW53" s="130">
        <f t="shared" si="67"/>
        <v>196</v>
      </c>
      <c r="AX53" s="396">
        <f t="shared" si="67"/>
        <v>229</v>
      </c>
      <c r="AY53" s="129">
        <f t="shared" ref="AY53:BA54" si="79">SUM(AY41,AY45,AY49)</f>
        <v>29</v>
      </c>
      <c r="AZ53" s="130">
        <f t="shared" si="79"/>
        <v>16</v>
      </c>
      <c r="BA53" s="130">
        <f t="shared" si="79"/>
        <v>144</v>
      </c>
      <c r="BB53" s="396">
        <f>SUM(AY53:BA53)</f>
        <v>189</v>
      </c>
      <c r="BC53" s="129">
        <f t="shared" si="68"/>
        <v>38</v>
      </c>
      <c r="BD53" s="130">
        <f t="shared" si="68"/>
        <v>7</v>
      </c>
      <c r="BE53" s="130">
        <f t="shared" si="68"/>
        <v>220</v>
      </c>
      <c r="BF53" s="396">
        <f>SUM(BC53:BE53)</f>
        <v>265</v>
      </c>
      <c r="BG53" s="129">
        <f t="shared" si="69"/>
        <v>61</v>
      </c>
      <c r="BH53" s="130">
        <f t="shared" si="69"/>
        <v>5</v>
      </c>
      <c r="BI53" s="130">
        <f t="shared" si="69"/>
        <v>146</v>
      </c>
      <c r="BJ53" s="396">
        <f>SUM(BG53:BI53)</f>
        <v>212</v>
      </c>
      <c r="BK53" s="129">
        <f t="shared" si="70"/>
        <v>37</v>
      </c>
      <c r="BL53" s="130">
        <f t="shared" si="70"/>
        <v>20</v>
      </c>
      <c r="BM53" s="130">
        <f t="shared" si="70"/>
        <v>205</v>
      </c>
      <c r="BN53" s="396">
        <f>SUM(BK53:BM53)</f>
        <v>262</v>
      </c>
      <c r="BO53" s="129">
        <f t="shared" si="71"/>
        <v>38</v>
      </c>
      <c r="BP53" s="130">
        <f t="shared" si="71"/>
        <v>13</v>
      </c>
      <c r="BQ53" s="130">
        <f t="shared" si="71"/>
        <v>166</v>
      </c>
      <c r="BR53" s="396">
        <f>SUM(BO53:BQ53)</f>
        <v>217</v>
      </c>
      <c r="BS53" s="129">
        <f t="shared" si="72"/>
        <v>56</v>
      </c>
      <c r="BT53" s="130">
        <f t="shared" si="72"/>
        <v>10</v>
      </c>
      <c r="BU53" s="130">
        <f t="shared" si="72"/>
        <v>175</v>
      </c>
      <c r="BV53" s="396">
        <f>SUM(BS53:BU53)</f>
        <v>241</v>
      </c>
      <c r="BW53" s="129">
        <f t="shared" si="73"/>
        <v>50</v>
      </c>
      <c r="BX53" s="130">
        <f t="shared" si="73"/>
        <v>14</v>
      </c>
      <c r="BY53" s="130">
        <f t="shared" si="73"/>
        <v>152</v>
      </c>
      <c r="BZ53" s="396">
        <f>SUM(BW53:BY53)</f>
        <v>216</v>
      </c>
      <c r="CA53" s="129">
        <f t="shared" si="74"/>
        <v>26</v>
      </c>
      <c r="CB53" s="130">
        <f t="shared" si="74"/>
        <v>14</v>
      </c>
      <c r="CC53" s="130">
        <f t="shared" si="74"/>
        <v>171</v>
      </c>
      <c r="CD53" s="396">
        <f>SUM(CA53:CC53)</f>
        <v>211</v>
      </c>
      <c r="CE53" s="129">
        <f t="shared" si="75"/>
        <v>48</v>
      </c>
      <c r="CF53" s="130">
        <f t="shared" si="75"/>
        <v>61</v>
      </c>
      <c r="CG53" s="130">
        <f t="shared" si="75"/>
        <v>98</v>
      </c>
      <c r="CH53" s="396">
        <f>SUM(CE53:CG53)</f>
        <v>207</v>
      </c>
      <c r="CI53" s="129">
        <f t="shared" si="76"/>
        <v>6</v>
      </c>
      <c r="CJ53" s="130">
        <f t="shared" si="76"/>
        <v>78</v>
      </c>
      <c r="CK53" s="130">
        <f t="shared" si="76"/>
        <v>35</v>
      </c>
      <c r="CL53" s="396">
        <f>SUM(CI53:CK53)</f>
        <v>119</v>
      </c>
      <c r="CM53" s="129">
        <f t="shared" ref="CM53:CO53" si="80">SUM(CM41,CM45,CM49)</f>
        <v>23</v>
      </c>
      <c r="CN53" s="130">
        <f t="shared" si="80"/>
        <v>47</v>
      </c>
      <c r="CO53" s="130">
        <f t="shared" si="80"/>
        <v>55</v>
      </c>
      <c r="CP53" s="396">
        <f>SUM(CM53:CO53)</f>
        <v>125</v>
      </c>
      <c r="CQ53" s="129">
        <f t="shared" ref="CQ53:CS53" si="81">SUM(CQ41,CQ45,CQ49)</f>
        <v>37</v>
      </c>
      <c r="CR53" s="130">
        <f t="shared" si="81"/>
        <v>17</v>
      </c>
      <c r="CS53" s="130">
        <f t="shared" si="81"/>
        <v>171</v>
      </c>
      <c r="CT53" s="396">
        <f>SUM(CQ53:CS53)</f>
        <v>225</v>
      </c>
    </row>
    <row r="54" spans="1:98" ht="15" x14ac:dyDescent="0.25">
      <c r="A54" s="1333"/>
      <c r="B54" s="1339" t="s">
        <v>317</v>
      </c>
      <c r="C54" s="1267">
        <f>+C42+C46+C50</f>
        <v>23</v>
      </c>
      <c r="D54" s="1268">
        <f t="shared" si="63"/>
        <v>11</v>
      </c>
      <c r="E54" s="1268">
        <f t="shared" si="63"/>
        <v>71</v>
      </c>
      <c r="F54" s="1269">
        <f t="shared" si="45"/>
        <v>105</v>
      </c>
      <c r="G54" s="1267">
        <f t="shared" si="64"/>
        <v>40</v>
      </c>
      <c r="H54" s="1268">
        <f t="shared" si="64"/>
        <v>10</v>
      </c>
      <c r="I54" s="1268">
        <f t="shared" si="64"/>
        <v>134</v>
      </c>
      <c r="J54" s="1269">
        <f t="shared" si="46"/>
        <v>184</v>
      </c>
      <c r="K54" s="1267">
        <f t="shared" si="65"/>
        <v>66</v>
      </c>
      <c r="L54" s="1268">
        <f t="shared" si="65"/>
        <v>16</v>
      </c>
      <c r="M54" s="1268">
        <f t="shared" si="65"/>
        <v>52</v>
      </c>
      <c r="N54" s="1269">
        <f t="shared" si="47"/>
        <v>134</v>
      </c>
      <c r="O54" s="1267">
        <f t="shared" si="66"/>
        <v>45</v>
      </c>
      <c r="P54" s="1268">
        <f t="shared" si="66"/>
        <v>17</v>
      </c>
      <c r="Q54" s="1268">
        <f t="shared" si="66"/>
        <v>140</v>
      </c>
      <c r="R54" s="1269">
        <f t="shared" si="48"/>
        <v>202</v>
      </c>
      <c r="S54" s="1267">
        <v>30</v>
      </c>
      <c r="T54" s="1268">
        <v>8</v>
      </c>
      <c r="U54" s="1268">
        <v>58</v>
      </c>
      <c r="V54" s="1269">
        <v>96</v>
      </c>
      <c r="W54" s="1267">
        <v>29</v>
      </c>
      <c r="X54" s="1268">
        <v>42</v>
      </c>
      <c r="Y54" s="1268">
        <v>74</v>
      </c>
      <c r="Z54" s="1340">
        <v>145</v>
      </c>
      <c r="AA54" s="1267">
        <v>70</v>
      </c>
      <c r="AB54" s="1268">
        <v>12</v>
      </c>
      <c r="AC54" s="1268">
        <v>44</v>
      </c>
      <c r="AD54" s="1269">
        <v>126</v>
      </c>
      <c r="AE54" s="1268">
        <v>33</v>
      </c>
      <c r="AF54" s="1268">
        <v>4</v>
      </c>
      <c r="AG54" s="1268">
        <v>37</v>
      </c>
      <c r="AH54" s="1269">
        <v>74</v>
      </c>
      <c r="AI54" s="1268">
        <v>36</v>
      </c>
      <c r="AJ54" s="1268">
        <v>2</v>
      </c>
      <c r="AK54" s="1268">
        <v>36</v>
      </c>
      <c r="AL54" s="1341">
        <v>74</v>
      </c>
      <c r="AM54" s="196">
        <v>14</v>
      </c>
      <c r="AN54" s="197">
        <v>2</v>
      </c>
      <c r="AO54" s="197">
        <v>106</v>
      </c>
      <c r="AP54" s="397">
        <v>122</v>
      </c>
      <c r="AQ54" s="196">
        <f t="shared" si="67"/>
        <v>22</v>
      </c>
      <c r="AR54" s="197">
        <f t="shared" si="67"/>
        <v>19</v>
      </c>
      <c r="AS54" s="197">
        <f t="shared" si="67"/>
        <v>64</v>
      </c>
      <c r="AT54" s="397">
        <f t="shared" si="67"/>
        <v>105</v>
      </c>
      <c r="AU54" s="196">
        <f t="shared" si="67"/>
        <v>46</v>
      </c>
      <c r="AV54" s="197">
        <f t="shared" si="67"/>
        <v>2</v>
      </c>
      <c r="AW54" s="197">
        <f t="shared" si="67"/>
        <v>119</v>
      </c>
      <c r="AX54" s="397">
        <f t="shared" si="67"/>
        <v>167</v>
      </c>
      <c r="AY54" s="196">
        <f t="shared" si="79"/>
        <v>62</v>
      </c>
      <c r="AZ54" s="197">
        <f t="shared" si="79"/>
        <v>7</v>
      </c>
      <c r="BA54" s="197">
        <f t="shared" si="79"/>
        <v>107</v>
      </c>
      <c r="BB54" s="397">
        <f>SUM(AY54:BA54)</f>
        <v>176</v>
      </c>
      <c r="BC54" s="196">
        <f t="shared" si="68"/>
        <v>53</v>
      </c>
      <c r="BD54" s="197">
        <f t="shared" si="68"/>
        <v>12</v>
      </c>
      <c r="BE54" s="197">
        <f t="shared" si="68"/>
        <v>124</v>
      </c>
      <c r="BF54" s="397">
        <f>SUM(BC54:BE54)</f>
        <v>189</v>
      </c>
      <c r="BG54" s="196">
        <f t="shared" si="69"/>
        <v>59</v>
      </c>
      <c r="BH54" s="197">
        <f t="shared" si="69"/>
        <v>13</v>
      </c>
      <c r="BI54" s="197">
        <f t="shared" si="69"/>
        <v>63</v>
      </c>
      <c r="BJ54" s="397">
        <f>SUM(BG54:BI54)</f>
        <v>135</v>
      </c>
      <c r="BK54" s="196">
        <f t="shared" si="70"/>
        <v>56</v>
      </c>
      <c r="BL54" s="197">
        <f t="shared" si="70"/>
        <v>10</v>
      </c>
      <c r="BM54" s="197">
        <f t="shared" si="70"/>
        <v>144</v>
      </c>
      <c r="BN54" s="397">
        <f>SUM(BK54:BM54)</f>
        <v>210</v>
      </c>
      <c r="BO54" s="196">
        <f t="shared" si="71"/>
        <v>51</v>
      </c>
      <c r="BP54" s="197">
        <f t="shared" si="71"/>
        <v>9</v>
      </c>
      <c r="BQ54" s="197">
        <f t="shared" si="71"/>
        <v>92</v>
      </c>
      <c r="BR54" s="397">
        <f>SUM(BO54:BQ54)</f>
        <v>152</v>
      </c>
      <c r="BS54" s="196">
        <f t="shared" si="72"/>
        <v>54</v>
      </c>
      <c r="BT54" s="197">
        <f t="shared" si="72"/>
        <v>4</v>
      </c>
      <c r="BU54" s="197">
        <f t="shared" si="72"/>
        <v>106</v>
      </c>
      <c r="BV54" s="397">
        <f>SUM(BS54:BU54)</f>
        <v>164</v>
      </c>
      <c r="BW54" s="196">
        <f t="shared" si="73"/>
        <v>61</v>
      </c>
      <c r="BX54" s="197">
        <f t="shared" si="73"/>
        <v>7</v>
      </c>
      <c r="BY54" s="197">
        <f t="shared" si="73"/>
        <v>65</v>
      </c>
      <c r="BZ54" s="397">
        <f>SUM(BW54:BY54)</f>
        <v>133</v>
      </c>
      <c r="CA54" s="196">
        <f t="shared" si="74"/>
        <v>42</v>
      </c>
      <c r="CB54" s="197">
        <f t="shared" si="74"/>
        <v>15</v>
      </c>
      <c r="CC54" s="197">
        <f t="shared" si="74"/>
        <v>119</v>
      </c>
      <c r="CD54" s="397">
        <f>SUM(CA54:CC54)</f>
        <v>176</v>
      </c>
      <c r="CE54" s="196">
        <f t="shared" si="75"/>
        <v>40</v>
      </c>
      <c r="CF54" s="197">
        <f t="shared" si="75"/>
        <v>39</v>
      </c>
      <c r="CG54" s="197">
        <f t="shared" si="75"/>
        <v>62</v>
      </c>
      <c r="CH54" s="397">
        <f>SUM(CE54:CG54)</f>
        <v>141</v>
      </c>
      <c r="CI54" s="196">
        <f t="shared" si="76"/>
        <v>9</v>
      </c>
      <c r="CJ54" s="197">
        <f t="shared" si="76"/>
        <v>23</v>
      </c>
      <c r="CK54" s="197">
        <f t="shared" si="76"/>
        <v>62</v>
      </c>
      <c r="CL54" s="397">
        <f>SUM(CI54:CK54)</f>
        <v>94</v>
      </c>
      <c r="CM54" s="196">
        <f t="shared" ref="CM54:CO54" si="82">SUM(CM42,CM46,CM50)</f>
        <v>20</v>
      </c>
      <c r="CN54" s="197">
        <f t="shared" si="82"/>
        <v>30</v>
      </c>
      <c r="CO54" s="197">
        <f t="shared" si="82"/>
        <v>30</v>
      </c>
      <c r="CP54" s="397">
        <f>SUM(CM54:CO54)</f>
        <v>80</v>
      </c>
      <c r="CQ54" s="196">
        <f t="shared" ref="CQ54:CS54" si="83">SUM(CQ42,CQ46,CQ50)</f>
        <v>22</v>
      </c>
      <c r="CR54" s="197">
        <f t="shared" si="83"/>
        <v>9</v>
      </c>
      <c r="CS54" s="197">
        <f t="shared" si="83"/>
        <v>70</v>
      </c>
      <c r="CT54" s="397">
        <f>SUM(CQ54:CS54)</f>
        <v>101</v>
      </c>
    </row>
    <row r="55" spans="1:98" s="1330" customFormat="1" ht="15" x14ac:dyDescent="0.25">
      <c r="A55" s="1333"/>
      <c r="B55" s="1359" t="s">
        <v>135</v>
      </c>
      <c r="C55" s="1360">
        <f>SUM(C52:C54)</f>
        <v>62</v>
      </c>
      <c r="D55" s="1361">
        <f>SUM(D52:D54)</f>
        <v>20</v>
      </c>
      <c r="E55" s="1361">
        <f>SUM(E52:E54)</f>
        <v>245</v>
      </c>
      <c r="F55" s="1362">
        <f t="shared" si="45"/>
        <v>327</v>
      </c>
      <c r="G55" s="1360">
        <f>SUM(G52:G54)</f>
        <v>130</v>
      </c>
      <c r="H55" s="1361">
        <f>SUM(H52:H54)</f>
        <v>22</v>
      </c>
      <c r="I55" s="1361">
        <f>SUM(I52:I54)</f>
        <v>352</v>
      </c>
      <c r="J55" s="1362">
        <f t="shared" si="46"/>
        <v>504</v>
      </c>
      <c r="K55" s="1360">
        <f>SUM(K52:K54)</f>
        <v>111</v>
      </c>
      <c r="L55" s="1361">
        <f>SUM(L52:L54)</f>
        <v>32</v>
      </c>
      <c r="M55" s="1361">
        <f>SUM(M52:M54)</f>
        <v>224</v>
      </c>
      <c r="N55" s="1362">
        <f t="shared" si="47"/>
        <v>367</v>
      </c>
      <c r="O55" s="1360">
        <f>SUM(O52:O54)</f>
        <v>85</v>
      </c>
      <c r="P55" s="1361">
        <f>SUM(P52:P54)</f>
        <v>27</v>
      </c>
      <c r="Q55" s="1361">
        <f>SUM(Q52:Q54)</f>
        <v>491</v>
      </c>
      <c r="R55" s="1362">
        <f t="shared" si="48"/>
        <v>603</v>
      </c>
      <c r="S55" s="1360">
        <f>SUM(S52:S54)</f>
        <v>39</v>
      </c>
      <c r="T55" s="1361">
        <f>SUM(T52:T54)</f>
        <v>15</v>
      </c>
      <c r="U55" s="1361">
        <f>SUM(U52:U54)</f>
        <v>193</v>
      </c>
      <c r="V55" s="1362">
        <f>SUM(V52:V54)</f>
        <v>247</v>
      </c>
      <c r="W55" s="1360">
        <f t="shared" ref="W55:AL55" si="84">SUM(W52:W54)</f>
        <v>42</v>
      </c>
      <c r="X55" s="1361">
        <f t="shared" si="84"/>
        <v>52</v>
      </c>
      <c r="Y55" s="1361">
        <f t="shared" si="84"/>
        <v>223</v>
      </c>
      <c r="Z55" s="1361">
        <f t="shared" si="84"/>
        <v>317</v>
      </c>
      <c r="AA55" s="1360">
        <f t="shared" si="84"/>
        <v>150</v>
      </c>
      <c r="AB55" s="1361">
        <f t="shared" si="84"/>
        <v>29</v>
      </c>
      <c r="AC55" s="1361">
        <f t="shared" si="84"/>
        <v>154</v>
      </c>
      <c r="AD55" s="1362">
        <f t="shared" si="84"/>
        <v>333</v>
      </c>
      <c r="AE55" s="1361">
        <f t="shared" si="84"/>
        <v>141</v>
      </c>
      <c r="AF55" s="1361">
        <f t="shared" si="84"/>
        <v>23</v>
      </c>
      <c r="AG55" s="1361">
        <f t="shared" si="84"/>
        <v>156</v>
      </c>
      <c r="AH55" s="1362">
        <f t="shared" si="84"/>
        <v>320</v>
      </c>
      <c r="AI55" s="1361">
        <f t="shared" si="84"/>
        <v>212</v>
      </c>
      <c r="AJ55" s="1361">
        <f t="shared" si="84"/>
        <v>29</v>
      </c>
      <c r="AK55" s="1361">
        <f t="shared" si="84"/>
        <v>175</v>
      </c>
      <c r="AL55" s="1362">
        <f t="shared" si="84"/>
        <v>416</v>
      </c>
      <c r="AM55" s="1363">
        <v>142</v>
      </c>
      <c r="AN55" s="1364">
        <v>17</v>
      </c>
      <c r="AO55" s="1364">
        <v>355</v>
      </c>
      <c r="AP55" s="1365">
        <v>514</v>
      </c>
      <c r="AQ55" s="1363">
        <f t="shared" si="67"/>
        <v>44</v>
      </c>
      <c r="AR55" s="1364">
        <f t="shared" si="67"/>
        <v>128</v>
      </c>
      <c r="AS55" s="1364">
        <f t="shared" si="67"/>
        <v>230</v>
      </c>
      <c r="AT55" s="1365">
        <f t="shared" si="67"/>
        <v>402</v>
      </c>
      <c r="AU55" s="1363">
        <f t="shared" si="67"/>
        <v>78</v>
      </c>
      <c r="AV55" s="1364">
        <f t="shared" si="67"/>
        <v>15</v>
      </c>
      <c r="AW55" s="1364">
        <f t="shared" si="67"/>
        <v>436</v>
      </c>
      <c r="AX55" s="1365">
        <f t="shared" si="67"/>
        <v>529</v>
      </c>
      <c r="AY55" s="1363">
        <f t="shared" ref="AY55:CH55" si="85">SUM(AY52:AY54)</f>
        <v>98</v>
      </c>
      <c r="AZ55" s="1364">
        <f t="shared" si="85"/>
        <v>28</v>
      </c>
      <c r="BA55" s="1364">
        <f t="shared" si="85"/>
        <v>346</v>
      </c>
      <c r="BB55" s="1365">
        <f t="shared" si="85"/>
        <v>472</v>
      </c>
      <c r="BC55" s="1363">
        <f t="shared" si="85"/>
        <v>100</v>
      </c>
      <c r="BD55" s="1364">
        <f t="shared" si="85"/>
        <v>30</v>
      </c>
      <c r="BE55" s="1364">
        <f t="shared" si="85"/>
        <v>360</v>
      </c>
      <c r="BF55" s="1365">
        <f t="shared" si="85"/>
        <v>490</v>
      </c>
      <c r="BG55" s="1363">
        <f t="shared" si="85"/>
        <v>124</v>
      </c>
      <c r="BH55" s="1364">
        <f t="shared" si="85"/>
        <v>24</v>
      </c>
      <c r="BI55" s="1364">
        <f t="shared" si="85"/>
        <v>256</v>
      </c>
      <c r="BJ55" s="1365">
        <f t="shared" si="85"/>
        <v>404</v>
      </c>
      <c r="BK55" s="1363">
        <f t="shared" si="85"/>
        <v>98</v>
      </c>
      <c r="BL55" s="1364">
        <f t="shared" si="85"/>
        <v>36</v>
      </c>
      <c r="BM55" s="1364">
        <f t="shared" si="85"/>
        <v>374</v>
      </c>
      <c r="BN55" s="1365">
        <f t="shared" si="85"/>
        <v>508</v>
      </c>
      <c r="BO55" s="1363">
        <f t="shared" si="85"/>
        <v>128</v>
      </c>
      <c r="BP55" s="1364">
        <f t="shared" si="85"/>
        <v>29</v>
      </c>
      <c r="BQ55" s="1364">
        <f t="shared" si="85"/>
        <v>288</v>
      </c>
      <c r="BR55" s="1365">
        <f t="shared" si="85"/>
        <v>445</v>
      </c>
      <c r="BS55" s="1363">
        <f t="shared" si="85"/>
        <v>114</v>
      </c>
      <c r="BT55" s="1364">
        <f t="shared" si="85"/>
        <v>18</v>
      </c>
      <c r="BU55" s="1364">
        <f t="shared" si="85"/>
        <v>304</v>
      </c>
      <c r="BV55" s="1365">
        <f t="shared" si="85"/>
        <v>436</v>
      </c>
      <c r="BW55" s="1363">
        <f t="shared" si="85"/>
        <v>111</v>
      </c>
      <c r="BX55" s="1364">
        <f t="shared" si="85"/>
        <v>90</v>
      </c>
      <c r="BY55" s="1364">
        <f t="shared" si="85"/>
        <v>224</v>
      </c>
      <c r="BZ55" s="1365">
        <f t="shared" si="85"/>
        <v>425</v>
      </c>
      <c r="CA55" s="1363">
        <f t="shared" si="85"/>
        <v>68</v>
      </c>
      <c r="CB55" s="1364">
        <f t="shared" si="85"/>
        <v>75</v>
      </c>
      <c r="CC55" s="1364">
        <f t="shared" si="85"/>
        <v>308</v>
      </c>
      <c r="CD55" s="1365">
        <f t="shared" si="85"/>
        <v>451</v>
      </c>
      <c r="CE55" s="1363">
        <f t="shared" si="85"/>
        <v>92</v>
      </c>
      <c r="CF55" s="1364">
        <f t="shared" si="85"/>
        <v>129</v>
      </c>
      <c r="CG55" s="1364">
        <f t="shared" si="85"/>
        <v>166</v>
      </c>
      <c r="CH55" s="1365">
        <f t="shared" si="85"/>
        <v>387</v>
      </c>
      <c r="CI55" s="1363">
        <f t="shared" ref="CI55:CP55" si="86">SUM(CI52:CI54)</f>
        <v>17</v>
      </c>
      <c r="CJ55" s="1364">
        <f t="shared" si="86"/>
        <v>161</v>
      </c>
      <c r="CK55" s="1364">
        <f t="shared" si="86"/>
        <v>97</v>
      </c>
      <c r="CL55" s="1365">
        <f t="shared" si="86"/>
        <v>275</v>
      </c>
      <c r="CM55" s="1363">
        <f t="shared" si="86"/>
        <v>45</v>
      </c>
      <c r="CN55" s="1364">
        <f t="shared" si="86"/>
        <v>77</v>
      </c>
      <c r="CO55" s="1364">
        <f t="shared" si="86"/>
        <v>85</v>
      </c>
      <c r="CP55" s="1365">
        <f t="shared" si="86"/>
        <v>207</v>
      </c>
      <c r="CQ55" s="1363">
        <f t="shared" ref="CQ55:CT55" si="87">SUM(CQ52:CQ54)</f>
        <v>67</v>
      </c>
      <c r="CR55" s="1364">
        <f t="shared" si="87"/>
        <v>26</v>
      </c>
      <c r="CS55" s="1364">
        <f t="shared" si="87"/>
        <v>252</v>
      </c>
      <c r="CT55" s="1365">
        <f t="shared" si="87"/>
        <v>345</v>
      </c>
    </row>
    <row r="56" spans="1:98" s="1330" customFormat="1" ht="15" x14ac:dyDescent="0.25">
      <c r="A56" s="1333"/>
      <c r="B56" s="1366"/>
      <c r="C56" s="1367"/>
      <c r="D56" s="1367"/>
      <c r="E56" s="1367"/>
      <c r="F56" s="1367"/>
      <c r="G56" s="1367"/>
      <c r="H56" s="1367"/>
      <c r="I56" s="1367"/>
      <c r="J56" s="1367"/>
      <c r="K56" s="1367"/>
      <c r="L56" s="1367"/>
      <c r="M56" s="1367"/>
      <c r="N56" s="1367"/>
      <c r="O56" s="1367"/>
      <c r="P56" s="1367"/>
      <c r="Q56" s="1367"/>
      <c r="R56" s="1367"/>
      <c r="S56" s="1367"/>
      <c r="T56" s="1367"/>
      <c r="U56" s="1367"/>
      <c r="V56" s="1367"/>
      <c r="W56" s="1367"/>
      <c r="X56" s="1367"/>
      <c r="Y56" s="1367"/>
      <c r="Z56" s="1367"/>
      <c r="AA56" s="1367"/>
      <c r="AB56" s="1367"/>
      <c r="AC56" s="1367"/>
      <c r="AD56" s="1367"/>
      <c r="AE56" s="1367"/>
      <c r="AF56" s="1367"/>
      <c r="AG56" s="1367"/>
      <c r="AH56" s="1367"/>
      <c r="AI56" s="1367"/>
      <c r="AJ56" s="1367"/>
      <c r="AK56" s="1367"/>
      <c r="AL56" s="1367"/>
      <c r="AM56" s="1368"/>
      <c r="AN56" s="1368"/>
      <c r="AO56" s="1368"/>
      <c r="AP56" s="1368"/>
      <c r="AQ56" s="1368"/>
      <c r="AR56" s="1368"/>
      <c r="AS56" s="1368"/>
      <c r="AT56" s="1368"/>
      <c r="AU56" s="1368"/>
      <c r="AV56" s="1368"/>
      <c r="AW56" s="1368"/>
      <c r="AX56" s="1368"/>
      <c r="AY56" s="1368"/>
      <c r="AZ56" s="1368"/>
      <c r="BA56" s="1368"/>
      <c r="BB56" s="1368"/>
      <c r="BC56" s="1368"/>
      <c r="BD56" s="1368"/>
      <c r="BE56" s="1368"/>
      <c r="BF56" s="1368"/>
      <c r="BG56" s="1368"/>
      <c r="BH56" s="1368"/>
      <c r="BI56" s="1368"/>
      <c r="BJ56" s="1368"/>
      <c r="BK56" s="1368"/>
      <c r="BL56" s="1368"/>
      <c r="BM56" s="1368"/>
      <c r="BN56" s="1368"/>
      <c r="BO56" s="1368"/>
      <c r="BP56" s="1368"/>
      <c r="BQ56" s="1368"/>
      <c r="BR56" s="1368"/>
      <c r="BS56" s="1368"/>
      <c r="BT56" s="1368"/>
      <c r="BU56" s="1368"/>
      <c r="BV56" s="1368"/>
      <c r="BW56" s="1368"/>
      <c r="BX56" s="1368"/>
      <c r="BY56" s="1368"/>
      <c r="BZ56" s="1368"/>
      <c r="CA56" s="1368"/>
      <c r="CB56" s="1368"/>
      <c r="CC56" s="1368"/>
      <c r="CD56" s="1368"/>
      <c r="CE56" s="1368"/>
      <c r="CF56" s="1368"/>
      <c r="CG56" s="1368"/>
      <c r="CH56" s="1368"/>
      <c r="CI56" s="1368"/>
      <c r="CJ56" s="1368"/>
      <c r="CK56" s="1368"/>
      <c r="CL56" s="1368"/>
      <c r="CM56" s="1368"/>
      <c r="CN56" s="1368"/>
      <c r="CO56" s="1368"/>
      <c r="CP56" s="1368"/>
      <c r="CQ56" s="1368"/>
      <c r="CR56" s="1368"/>
      <c r="CS56" s="1368"/>
      <c r="CT56" s="1368"/>
    </row>
    <row r="57" spans="1:98" s="1330" customFormat="1" ht="15" x14ac:dyDescent="0.25">
      <c r="A57" s="1333"/>
      <c r="B57" s="1334" t="s">
        <v>308</v>
      </c>
      <c r="C57" s="1258"/>
      <c r="D57" s="1259"/>
      <c r="E57" s="1259"/>
      <c r="F57" s="1260"/>
      <c r="G57" s="1258"/>
      <c r="H57" s="1259"/>
      <c r="I57" s="1259"/>
      <c r="J57" s="1260"/>
      <c r="K57" s="1258"/>
      <c r="L57" s="1259"/>
      <c r="M57" s="1259"/>
      <c r="N57" s="1260"/>
      <c r="O57" s="1258"/>
      <c r="P57" s="1259"/>
      <c r="Q57" s="1259"/>
      <c r="R57" s="1260"/>
      <c r="S57" s="1258"/>
      <c r="T57" s="1259"/>
      <c r="U57" s="1259"/>
      <c r="V57" s="1260"/>
      <c r="W57" s="1258"/>
      <c r="X57" s="1259"/>
      <c r="Y57" s="1259"/>
      <c r="Z57" s="1298"/>
      <c r="AA57" s="1258"/>
      <c r="AB57" s="1259"/>
      <c r="AC57" s="1259"/>
      <c r="AD57" s="1260"/>
      <c r="AE57" s="1259"/>
      <c r="AF57" s="1259"/>
      <c r="AG57" s="1259"/>
      <c r="AH57" s="1260"/>
      <c r="AI57" s="1259"/>
      <c r="AJ57" s="1259"/>
      <c r="AK57" s="1259"/>
      <c r="AL57" s="1335"/>
      <c r="AM57" s="151"/>
      <c r="AN57" s="152"/>
      <c r="AO57" s="152"/>
      <c r="AP57" s="395"/>
      <c r="AQ57" s="151"/>
      <c r="AR57" s="152"/>
      <c r="AS57" s="152"/>
      <c r="AT57" s="395"/>
      <c r="AU57" s="151"/>
      <c r="AV57" s="152"/>
      <c r="AW57" s="152"/>
      <c r="AX57" s="395"/>
      <c r="AY57" s="151"/>
      <c r="AZ57" s="152"/>
      <c r="BA57" s="152"/>
      <c r="BB57" s="395"/>
      <c r="BC57" s="151"/>
      <c r="BD57" s="152"/>
      <c r="BE57" s="152"/>
      <c r="BF57" s="395"/>
      <c r="BG57" s="151"/>
      <c r="BH57" s="152"/>
      <c r="BI57" s="152"/>
      <c r="BJ57" s="395"/>
      <c r="BK57" s="151"/>
      <c r="BL57" s="152"/>
      <c r="BM57" s="152"/>
      <c r="BN57" s="395"/>
      <c r="BO57" s="151"/>
      <c r="BP57" s="152"/>
      <c r="BQ57" s="152"/>
      <c r="BR57" s="395"/>
      <c r="BS57" s="151"/>
      <c r="BT57" s="152"/>
      <c r="BU57" s="152"/>
      <c r="BV57" s="395"/>
      <c r="BW57" s="151"/>
      <c r="BX57" s="152"/>
      <c r="BY57" s="152"/>
      <c r="BZ57" s="395"/>
      <c r="CA57" s="151"/>
      <c r="CB57" s="152"/>
      <c r="CC57" s="152"/>
      <c r="CD57" s="395"/>
      <c r="CE57" s="151"/>
      <c r="CF57" s="152"/>
      <c r="CG57" s="152"/>
      <c r="CH57" s="395"/>
      <c r="CI57" s="151"/>
      <c r="CJ57" s="152"/>
      <c r="CK57" s="152"/>
      <c r="CL57" s="395"/>
      <c r="CM57" s="151"/>
      <c r="CN57" s="152"/>
      <c r="CO57" s="152"/>
      <c r="CP57" s="395"/>
      <c r="CQ57" s="151"/>
      <c r="CR57" s="152"/>
      <c r="CS57" s="152"/>
      <c r="CT57" s="395"/>
    </row>
    <row r="58" spans="1:98" s="1330" customFormat="1" ht="15" x14ac:dyDescent="0.25">
      <c r="A58" s="1333"/>
      <c r="B58" s="1336" t="s">
        <v>310</v>
      </c>
      <c r="C58" s="1262"/>
      <c r="D58" s="1263"/>
      <c r="E58" s="1263"/>
      <c r="F58" s="1264"/>
      <c r="G58" s="1262"/>
      <c r="H58" s="1263"/>
      <c r="I58" s="1263"/>
      <c r="J58" s="1264"/>
      <c r="K58" s="1262"/>
      <c r="L58" s="1263"/>
      <c r="M58" s="1263"/>
      <c r="N58" s="1264"/>
      <c r="O58" s="1262"/>
      <c r="P58" s="1263"/>
      <c r="Q58" s="1263"/>
      <c r="R58" s="1264"/>
      <c r="S58" s="1262"/>
      <c r="T58" s="1263"/>
      <c r="U58" s="1263"/>
      <c r="V58" s="1264"/>
      <c r="W58" s="1262"/>
      <c r="X58" s="1263"/>
      <c r="Y58" s="1263"/>
      <c r="Z58" s="1337"/>
      <c r="AA58" s="1262"/>
      <c r="AB58" s="1263"/>
      <c r="AC58" s="1263"/>
      <c r="AD58" s="1264"/>
      <c r="AE58" s="1263"/>
      <c r="AF58" s="1263"/>
      <c r="AG58" s="1263"/>
      <c r="AH58" s="1264"/>
      <c r="AI58" s="1263"/>
      <c r="AJ58" s="1263"/>
      <c r="AK58" s="1263"/>
      <c r="AL58" s="1338"/>
      <c r="AM58" s="129"/>
      <c r="AN58" s="130"/>
      <c r="AO58" s="130"/>
      <c r="AP58" s="396"/>
      <c r="AQ58" s="129"/>
      <c r="AR58" s="130"/>
      <c r="AS58" s="130"/>
      <c r="AT58" s="396"/>
      <c r="AU58" s="129"/>
      <c r="AV58" s="130"/>
      <c r="AW58" s="130"/>
      <c r="AX58" s="396"/>
      <c r="AY58" s="129"/>
      <c r="AZ58" s="130"/>
      <c r="BA58" s="130"/>
      <c r="BB58" s="396"/>
      <c r="BC58" s="129"/>
      <c r="BD58" s="130"/>
      <c r="BE58" s="130"/>
      <c r="BF58" s="396"/>
      <c r="BG58" s="129"/>
      <c r="BH58" s="130"/>
      <c r="BI58" s="130"/>
      <c r="BJ58" s="396"/>
      <c r="BK58" s="130"/>
      <c r="BL58" s="130"/>
      <c r="BM58" s="130"/>
      <c r="BN58" s="396"/>
      <c r="BO58" s="130"/>
      <c r="BP58" s="130"/>
      <c r="BQ58" s="130"/>
      <c r="BR58" s="396"/>
      <c r="BS58" s="130"/>
      <c r="BT58" s="130"/>
      <c r="BU58" s="130"/>
      <c r="BV58" s="396"/>
      <c r="BW58" s="130"/>
      <c r="BX58" s="130"/>
      <c r="BY58" s="130"/>
      <c r="BZ58" s="396"/>
      <c r="CA58" s="130"/>
      <c r="CB58" s="130"/>
      <c r="CC58" s="130"/>
      <c r="CD58" s="396"/>
      <c r="CE58" s="130"/>
      <c r="CF58" s="130"/>
      <c r="CG58" s="130"/>
      <c r="CH58" s="396"/>
      <c r="CI58" s="130"/>
      <c r="CJ58" s="130"/>
      <c r="CK58" s="130"/>
      <c r="CL58" s="396"/>
      <c r="CM58" s="130"/>
      <c r="CN58" s="130"/>
      <c r="CO58" s="130"/>
      <c r="CP58" s="396"/>
      <c r="CQ58" s="130"/>
      <c r="CR58" s="130"/>
      <c r="CS58" s="130"/>
      <c r="CT58" s="396"/>
    </row>
    <row r="59" spans="1:98" s="1330" customFormat="1" ht="15" x14ac:dyDescent="0.25">
      <c r="A59" s="1333"/>
      <c r="B59" s="1339" t="s">
        <v>317</v>
      </c>
      <c r="C59" s="1267"/>
      <c r="D59" s="1268"/>
      <c r="E59" s="1268"/>
      <c r="F59" s="1269"/>
      <c r="G59" s="1267"/>
      <c r="H59" s="1268"/>
      <c r="I59" s="1268"/>
      <c r="J59" s="1269"/>
      <c r="K59" s="1267"/>
      <c r="L59" s="1268"/>
      <c r="M59" s="1268"/>
      <c r="N59" s="1269"/>
      <c r="O59" s="1267"/>
      <c r="P59" s="1268"/>
      <c r="Q59" s="1268"/>
      <c r="R59" s="1269"/>
      <c r="S59" s="1267"/>
      <c r="T59" s="1268"/>
      <c r="U59" s="1268"/>
      <c r="V59" s="1269"/>
      <c r="W59" s="1267"/>
      <c r="X59" s="1268"/>
      <c r="Y59" s="1268"/>
      <c r="Z59" s="1340"/>
      <c r="AA59" s="1267"/>
      <c r="AB59" s="1268"/>
      <c r="AC59" s="1268"/>
      <c r="AD59" s="1269"/>
      <c r="AE59" s="1268"/>
      <c r="AF59" s="1268"/>
      <c r="AG59" s="1268"/>
      <c r="AH59" s="1269"/>
      <c r="AI59" s="1268"/>
      <c r="AJ59" s="1268"/>
      <c r="AK59" s="1268"/>
      <c r="AL59" s="1341"/>
      <c r="AM59" s="196"/>
      <c r="AN59" s="197"/>
      <c r="AO59" s="197"/>
      <c r="AP59" s="397"/>
      <c r="AQ59" s="196"/>
      <c r="AR59" s="197"/>
      <c r="AS59" s="197"/>
      <c r="AT59" s="397"/>
      <c r="AU59" s="196"/>
      <c r="AV59" s="197"/>
      <c r="AW59" s="197"/>
      <c r="AX59" s="397"/>
      <c r="AY59" s="196"/>
      <c r="AZ59" s="197"/>
      <c r="BA59" s="197"/>
      <c r="BB59" s="397"/>
      <c r="BC59" s="196"/>
      <c r="BD59" s="197"/>
      <c r="BE59" s="197"/>
      <c r="BF59" s="397"/>
      <c r="BG59" s="196"/>
      <c r="BH59" s="197"/>
      <c r="BI59" s="197"/>
      <c r="BJ59" s="397"/>
      <c r="BK59" s="197"/>
      <c r="BL59" s="197"/>
      <c r="BM59" s="197"/>
      <c r="BN59" s="397"/>
      <c r="BO59" s="197"/>
      <c r="BP59" s="197"/>
      <c r="BQ59" s="197"/>
      <c r="BR59" s="397"/>
      <c r="BS59" s="197"/>
      <c r="BT59" s="197"/>
      <c r="BU59" s="197"/>
      <c r="BV59" s="397"/>
      <c r="BW59" s="197"/>
      <c r="BX59" s="197"/>
      <c r="BY59" s="197"/>
      <c r="BZ59" s="397"/>
      <c r="CA59" s="197"/>
      <c r="CB59" s="197"/>
      <c r="CC59" s="197">
        <f>SUM('INSC-POSG plan'!CD112)</f>
        <v>1</v>
      </c>
      <c r="CD59" s="397">
        <f>SUM(CA59:CC59)</f>
        <v>1</v>
      </c>
      <c r="CE59" s="197">
        <f>SUM('INSC-POSG plan'!CF112)</f>
        <v>1</v>
      </c>
      <c r="CF59" s="197">
        <f>SUM('INSC-POSG plan'!CG112)</f>
        <v>0</v>
      </c>
      <c r="CG59" s="197">
        <f>SUM('INSC-POSG plan'!CH112)</f>
        <v>0</v>
      </c>
      <c r="CH59" s="397">
        <f>SUM(CE59:CG59)</f>
        <v>1</v>
      </c>
      <c r="CI59" s="197">
        <f>SUM('INSC-POSG plan'!CJ112)</f>
        <v>0</v>
      </c>
      <c r="CJ59" s="197">
        <f>SUM('INSC-POSG plan'!CK112)</f>
        <v>4</v>
      </c>
      <c r="CK59" s="197">
        <f>SUM('INSC-POSG plan'!CL112)</f>
        <v>0</v>
      </c>
      <c r="CL59" s="397">
        <f>SUM(CI59:CK59)</f>
        <v>4</v>
      </c>
      <c r="CM59" s="197">
        <f>SUM('INSC-POSG plan'!CN112)</f>
        <v>0</v>
      </c>
      <c r="CN59" s="197">
        <f>SUM('INSC-POSG plan'!CO112)</f>
        <v>0</v>
      </c>
      <c r="CO59" s="197">
        <f>SUM('INSC-POSG plan'!CP112)</f>
        <v>0</v>
      </c>
      <c r="CP59" s="397">
        <f>SUM(CM59:CO59)</f>
        <v>0</v>
      </c>
      <c r="CQ59" s="197">
        <f>SUM('INSC-POSG plan'!CR112)</f>
        <v>3</v>
      </c>
      <c r="CR59" s="197">
        <f>SUM('INSC-POSG plan'!CS112)</f>
        <v>0</v>
      </c>
      <c r="CS59" s="197">
        <f>SUM('INSC-POSG plan'!CT112)</f>
        <v>1</v>
      </c>
      <c r="CT59" s="397">
        <f>SUM(CQ59:CS59)</f>
        <v>4</v>
      </c>
    </row>
    <row r="60" spans="1:98" s="1330" customFormat="1" ht="15" x14ac:dyDescent="0.25">
      <c r="A60" s="1333"/>
      <c r="B60" s="1342" t="s">
        <v>430</v>
      </c>
      <c r="C60" s="1343"/>
      <c r="D60" s="1344"/>
      <c r="E60" s="1344"/>
      <c r="F60" s="1345"/>
      <c r="G60" s="1343"/>
      <c r="H60" s="1344"/>
      <c r="I60" s="1344"/>
      <c r="J60" s="1345"/>
      <c r="K60" s="1343"/>
      <c r="L60" s="1344"/>
      <c r="M60" s="1344"/>
      <c r="N60" s="1345"/>
      <c r="O60" s="1343"/>
      <c r="P60" s="1344"/>
      <c r="Q60" s="1344"/>
      <c r="R60" s="1345"/>
      <c r="S60" s="1343"/>
      <c r="T60" s="1344"/>
      <c r="U60" s="1344"/>
      <c r="V60" s="1345"/>
      <c r="W60" s="1343"/>
      <c r="X60" s="1344"/>
      <c r="Y60" s="1344"/>
      <c r="Z60" s="1344"/>
      <c r="AA60" s="1343"/>
      <c r="AB60" s="1344"/>
      <c r="AC60" s="1344"/>
      <c r="AD60" s="1345"/>
      <c r="AE60" s="1344"/>
      <c r="AF60" s="1344"/>
      <c r="AG60" s="1344"/>
      <c r="AH60" s="1345"/>
      <c r="AI60" s="1344"/>
      <c r="AJ60" s="1344"/>
      <c r="AK60" s="1344"/>
      <c r="AL60" s="1345"/>
      <c r="AM60" s="201"/>
      <c r="AN60" s="202"/>
      <c r="AO60" s="202"/>
      <c r="AP60" s="203"/>
      <c r="AQ60" s="201"/>
      <c r="AR60" s="202"/>
      <c r="AS60" s="202"/>
      <c r="AT60" s="203"/>
      <c r="AU60" s="201"/>
      <c r="AV60" s="202"/>
      <c r="AW60" s="202"/>
      <c r="AX60" s="203"/>
      <c r="AY60" s="201"/>
      <c r="AZ60" s="202"/>
      <c r="BA60" s="202"/>
      <c r="BB60" s="203"/>
      <c r="BC60" s="201"/>
      <c r="BD60" s="202"/>
      <c r="BE60" s="202"/>
      <c r="BF60" s="203"/>
      <c r="BG60" s="201"/>
      <c r="BH60" s="202"/>
      <c r="BI60" s="202"/>
      <c r="BJ60" s="203"/>
      <c r="BK60" s="201"/>
      <c r="BL60" s="202"/>
      <c r="BM60" s="202"/>
      <c r="BN60" s="203"/>
      <c r="BO60" s="201"/>
      <c r="BP60" s="202"/>
      <c r="BQ60" s="202"/>
      <c r="BR60" s="203"/>
      <c r="BS60" s="201"/>
      <c r="BT60" s="202"/>
      <c r="BU60" s="202"/>
      <c r="BV60" s="203"/>
      <c r="BW60" s="201"/>
      <c r="BX60" s="202"/>
      <c r="BY60" s="202"/>
      <c r="BZ60" s="203"/>
      <c r="CA60" s="201"/>
      <c r="CB60" s="202"/>
      <c r="CC60" s="202">
        <f>SUM(CC57:CC59)</f>
        <v>1</v>
      </c>
      <c r="CD60" s="203">
        <f>SUM(CA60:CC60)</f>
        <v>1</v>
      </c>
      <c r="CE60" s="202">
        <f>SUM(CE57:CE59)</f>
        <v>1</v>
      </c>
      <c r="CF60" s="202">
        <f>SUM(CF57:CF59)</f>
        <v>0</v>
      </c>
      <c r="CG60" s="202">
        <f>SUM(CG57:CG59)</f>
        <v>0</v>
      </c>
      <c r="CH60" s="203">
        <f>SUM(CE60:CG60)</f>
        <v>1</v>
      </c>
      <c r="CI60" s="202">
        <f>SUM(CI57:CI59)</f>
        <v>0</v>
      </c>
      <c r="CJ60" s="202">
        <f>SUM(CJ57:CJ59)</f>
        <v>4</v>
      </c>
      <c r="CK60" s="202">
        <f>SUM(CK57:CK59)</f>
        <v>0</v>
      </c>
      <c r="CL60" s="203">
        <f>SUM(CI60:CK60)</f>
        <v>4</v>
      </c>
      <c r="CM60" s="202">
        <f>SUM(CM57:CM59)</f>
        <v>0</v>
      </c>
      <c r="CN60" s="202">
        <f>SUM(CN57:CN59)</f>
        <v>0</v>
      </c>
      <c r="CO60" s="202">
        <f>SUM(CO57:CO59)</f>
        <v>0</v>
      </c>
      <c r="CP60" s="203">
        <f>SUM(CM60:CO60)</f>
        <v>0</v>
      </c>
      <c r="CQ60" s="202">
        <f>SUM(CQ57:CQ59)</f>
        <v>3</v>
      </c>
      <c r="CR60" s="202">
        <f>SUM(CR57:CR59)</f>
        <v>0</v>
      </c>
      <c r="CS60" s="202">
        <f>SUM(CS57:CS59)</f>
        <v>1</v>
      </c>
      <c r="CT60" s="203">
        <f>SUM(CQ60:CS60)</f>
        <v>4</v>
      </c>
    </row>
    <row r="61" spans="1:98" s="1330" customFormat="1" ht="15" x14ac:dyDescent="0.25">
      <c r="A61" s="1333"/>
      <c r="B61" s="1369" t="s">
        <v>136</v>
      </c>
      <c r="C61" s="1370"/>
      <c r="D61" s="1371"/>
      <c r="E61" s="1371"/>
      <c r="F61" s="1372"/>
      <c r="G61" s="1370"/>
      <c r="H61" s="1371"/>
      <c r="I61" s="1371"/>
      <c r="J61" s="1372"/>
      <c r="K61" s="1370"/>
      <c r="L61" s="1371"/>
      <c r="M61" s="1371"/>
      <c r="N61" s="1372"/>
      <c r="O61" s="1370"/>
      <c r="P61" s="1371"/>
      <c r="Q61" s="1371"/>
      <c r="R61" s="1372"/>
      <c r="S61" s="1370"/>
      <c r="T61" s="1371"/>
      <c r="U61" s="1371"/>
      <c r="V61" s="1372"/>
      <c r="W61" s="1370"/>
      <c r="X61" s="1371"/>
      <c r="Y61" s="1371"/>
      <c r="Z61" s="1371"/>
      <c r="AA61" s="1370"/>
      <c r="AB61" s="1371"/>
      <c r="AC61" s="1371"/>
      <c r="AD61" s="1372"/>
      <c r="AE61" s="1371"/>
      <c r="AF61" s="1371"/>
      <c r="AG61" s="1371"/>
      <c r="AH61" s="1372"/>
      <c r="AI61" s="1371"/>
      <c r="AJ61" s="1371"/>
      <c r="AK61" s="1371"/>
      <c r="AL61" s="1372"/>
      <c r="AM61" s="1373"/>
      <c r="AN61" s="1374"/>
      <c r="AO61" s="1374"/>
      <c r="AP61" s="1375"/>
      <c r="AQ61" s="1373"/>
      <c r="AR61" s="1374"/>
      <c r="AS61" s="1374"/>
      <c r="AT61" s="1375"/>
      <c r="AU61" s="1373"/>
      <c r="AV61" s="1374"/>
      <c r="AW61" s="1374"/>
      <c r="AX61" s="1375"/>
      <c r="AY61" s="1373"/>
      <c r="AZ61" s="1374"/>
      <c r="BA61" s="1374"/>
      <c r="BB61" s="1375"/>
      <c r="BC61" s="1373"/>
      <c r="BD61" s="1374"/>
      <c r="BE61" s="1374"/>
      <c r="BF61" s="1375"/>
      <c r="BG61" s="1373"/>
      <c r="BH61" s="1374"/>
      <c r="BI61" s="1374"/>
      <c r="BJ61" s="1375"/>
      <c r="BK61" s="1373"/>
      <c r="BL61" s="1374"/>
      <c r="BM61" s="1374"/>
      <c r="BN61" s="1375"/>
      <c r="BO61" s="1373"/>
      <c r="BP61" s="1374"/>
      <c r="BQ61" s="1374"/>
      <c r="BR61" s="1375"/>
      <c r="BS61" s="1373"/>
      <c r="BT61" s="1374"/>
      <c r="BU61" s="1374"/>
      <c r="BV61" s="1375"/>
      <c r="BW61" s="1373"/>
      <c r="BX61" s="1374"/>
      <c r="BY61" s="1374"/>
      <c r="BZ61" s="1375"/>
      <c r="CA61" s="1373"/>
      <c r="CB61" s="1374"/>
      <c r="CC61" s="1374">
        <f t="shared" ref="CC61:CL61" si="88">SUM(CC60)</f>
        <v>1</v>
      </c>
      <c r="CD61" s="1375">
        <f t="shared" si="88"/>
        <v>1</v>
      </c>
      <c r="CE61" s="1374">
        <f t="shared" si="88"/>
        <v>1</v>
      </c>
      <c r="CF61" s="1374">
        <f t="shared" si="88"/>
        <v>0</v>
      </c>
      <c r="CG61" s="1374">
        <f t="shared" si="88"/>
        <v>0</v>
      </c>
      <c r="CH61" s="1375">
        <f t="shared" si="88"/>
        <v>1</v>
      </c>
      <c r="CI61" s="1374">
        <f t="shared" si="88"/>
        <v>0</v>
      </c>
      <c r="CJ61" s="1374">
        <f t="shared" si="88"/>
        <v>4</v>
      </c>
      <c r="CK61" s="1374">
        <f t="shared" si="88"/>
        <v>0</v>
      </c>
      <c r="CL61" s="1375">
        <f t="shared" si="88"/>
        <v>4</v>
      </c>
      <c r="CM61" s="1374">
        <f t="shared" ref="CM61:CP61" si="89">SUM(CM60)</f>
        <v>0</v>
      </c>
      <c r="CN61" s="1374">
        <f t="shared" si="89"/>
        <v>0</v>
      </c>
      <c r="CO61" s="1374">
        <f t="shared" si="89"/>
        <v>0</v>
      </c>
      <c r="CP61" s="1375">
        <f t="shared" si="89"/>
        <v>0</v>
      </c>
      <c r="CQ61" s="1374">
        <f t="shared" ref="CQ61:CT61" si="90">SUM(CQ60)</f>
        <v>3</v>
      </c>
      <c r="CR61" s="1374">
        <f t="shared" si="90"/>
        <v>0</v>
      </c>
      <c r="CS61" s="1374">
        <f t="shared" si="90"/>
        <v>1</v>
      </c>
      <c r="CT61" s="1375">
        <f t="shared" si="90"/>
        <v>4</v>
      </c>
    </row>
    <row r="62" spans="1:98" s="1330" customFormat="1" ht="15" x14ac:dyDescent="0.25">
      <c r="A62" s="1333"/>
      <c r="B62" s="1366"/>
      <c r="C62" s="1367"/>
      <c r="D62" s="1367"/>
      <c r="E62" s="1367"/>
      <c r="F62" s="1367"/>
      <c r="G62" s="1367"/>
      <c r="H62" s="1367"/>
      <c r="I62" s="1367"/>
      <c r="J62" s="1367"/>
      <c r="K62" s="1367"/>
      <c r="L62" s="1367"/>
      <c r="M62" s="1367"/>
      <c r="N62" s="1367"/>
      <c r="O62" s="1367"/>
      <c r="P62" s="1367"/>
      <c r="Q62" s="1367"/>
      <c r="R62" s="1367"/>
      <c r="S62" s="1367"/>
      <c r="T62" s="1367"/>
      <c r="U62" s="1367"/>
      <c r="V62" s="1367"/>
      <c r="W62" s="1367"/>
      <c r="X62" s="1367"/>
      <c r="Y62" s="1367"/>
      <c r="Z62" s="1367"/>
      <c r="AA62" s="1367"/>
      <c r="AB62" s="1367"/>
      <c r="AC62" s="1367"/>
      <c r="AD62" s="1367"/>
      <c r="AE62" s="1367"/>
      <c r="AF62" s="1367"/>
      <c r="AG62" s="1367"/>
      <c r="AH62" s="1367"/>
      <c r="AI62" s="1367"/>
      <c r="AJ62" s="1367"/>
      <c r="AK62" s="1367"/>
      <c r="AL62" s="1367"/>
      <c r="AM62" s="1368"/>
      <c r="AN62" s="1368"/>
      <c r="AO62" s="1368"/>
      <c r="AP62" s="1368"/>
      <c r="AQ62" s="1368"/>
      <c r="AR62" s="1368"/>
      <c r="AS62" s="1368"/>
      <c r="AT62" s="1368"/>
      <c r="AU62" s="1368"/>
      <c r="AV62" s="1368"/>
      <c r="AW62" s="1368"/>
      <c r="AX62" s="1368"/>
      <c r="AY62" s="1368"/>
      <c r="AZ62" s="1368"/>
      <c r="BA62" s="1368"/>
      <c r="BB62" s="1368"/>
      <c r="BC62" s="1368"/>
      <c r="BD62" s="1368"/>
      <c r="BE62" s="1368"/>
      <c r="BF62" s="1368"/>
      <c r="BG62" s="1368"/>
      <c r="BH62" s="1368"/>
      <c r="BI62" s="1368"/>
      <c r="BJ62" s="1368"/>
      <c r="BK62" s="1368"/>
      <c r="BL62" s="1368"/>
      <c r="BM62" s="1368"/>
      <c r="BN62" s="1368"/>
      <c r="BO62" s="1368"/>
      <c r="BP62" s="1368"/>
      <c r="BQ62" s="1368"/>
      <c r="BR62" s="1368"/>
      <c r="BS62" s="1368"/>
      <c r="BT62" s="1368"/>
      <c r="BU62" s="1368"/>
      <c r="BV62" s="1368"/>
      <c r="BW62" s="1368"/>
      <c r="BX62" s="1368"/>
      <c r="BY62" s="1368"/>
      <c r="BZ62" s="1368"/>
      <c r="CA62" s="1368"/>
      <c r="CB62" s="1368"/>
      <c r="CC62" s="1368"/>
      <c r="CD62" s="1368"/>
      <c r="CE62" s="1368"/>
      <c r="CF62" s="1368"/>
      <c r="CG62" s="1368"/>
      <c r="CH62" s="1368"/>
      <c r="CI62" s="1368"/>
      <c r="CJ62" s="1368"/>
      <c r="CK62" s="1368"/>
      <c r="CL62" s="1368"/>
      <c r="CM62" s="1368"/>
      <c r="CN62" s="1368"/>
      <c r="CO62" s="1368"/>
      <c r="CP62" s="1368"/>
      <c r="CQ62" s="1368"/>
      <c r="CR62" s="1368"/>
      <c r="CS62" s="1368"/>
      <c r="CT62" s="1368"/>
    </row>
    <row r="63" spans="1:98" ht="15" x14ac:dyDescent="0.25">
      <c r="A63" s="1333"/>
      <c r="B63" s="1334" t="s">
        <v>308</v>
      </c>
      <c r="C63" s="1258">
        <f>+'INSC-POSG plan'!D115+'INSC-POSG plan'!D116</f>
        <v>0</v>
      </c>
      <c r="D63" s="1259">
        <f>+'INSC-POSG plan'!E115+'INSC-POSG plan'!E116</f>
        <v>0</v>
      </c>
      <c r="E63" s="1259">
        <f>+'INSC-POSG plan'!F115+'INSC-POSG plan'!F116</f>
        <v>0</v>
      </c>
      <c r="F63" s="1260">
        <f t="shared" si="45"/>
        <v>0</v>
      </c>
      <c r="G63" s="1258">
        <f>+'INSC-POSG plan'!H115+'INSC-POSG plan'!H116</f>
        <v>42</v>
      </c>
      <c r="H63" s="1259">
        <f>+'INSC-POSG plan'!I115+'INSC-POSG plan'!I116</f>
        <v>0</v>
      </c>
      <c r="I63" s="1259">
        <f>+'INSC-POSG plan'!J115+'INSC-POSG plan'!J116</f>
        <v>36</v>
      </c>
      <c r="J63" s="1260">
        <f t="shared" ref="J63:J78" si="91">SUM(G63:I63)</f>
        <v>78</v>
      </c>
      <c r="K63" s="1258">
        <f>+'INSC-POSG plan'!L115+'INSC-POSG plan'!L116</f>
        <v>5</v>
      </c>
      <c r="L63" s="1259">
        <f>+'INSC-POSG plan'!M115+'INSC-POSG plan'!M116</f>
        <v>0</v>
      </c>
      <c r="M63" s="1259">
        <f>+'INSC-POSG plan'!N115+'INSC-POSG plan'!N116</f>
        <v>44</v>
      </c>
      <c r="N63" s="1260">
        <f t="shared" ref="N63:N83" si="92">SUM(K63:M63)</f>
        <v>49</v>
      </c>
      <c r="O63" s="1258">
        <f>+'INSC-POSG plan'!P115+'INSC-POSG plan'!P116</f>
        <v>5</v>
      </c>
      <c r="P63" s="1259">
        <f>+'INSC-POSG plan'!Q115+'INSC-POSG plan'!Q116</f>
        <v>3</v>
      </c>
      <c r="Q63" s="1259">
        <f>+'INSC-POSG plan'!R115+'INSC-POSG plan'!R116</f>
        <v>32</v>
      </c>
      <c r="R63" s="1260">
        <f t="shared" ref="R63:R83" si="93">SUM(O63:Q63)</f>
        <v>40</v>
      </c>
      <c r="S63" s="1258"/>
      <c r="T63" s="1259"/>
      <c r="U63" s="1259"/>
      <c r="V63" s="1260"/>
      <c r="W63" s="1258"/>
      <c r="X63" s="1259"/>
      <c r="Y63" s="1259">
        <v>5</v>
      </c>
      <c r="Z63" s="1298">
        <v>5</v>
      </c>
      <c r="AA63" s="1258">
        <v>0</v>
      </c>
      <c r="AB63" s="1259"/>
      <c r="AC63" s="1259"/>
      <c r="AD63" s="1260"/>
      <c r="AE63" s="1259"/>
      <c r="AF63" s="1259"/>
      <c r="AG63" s="1259">
        <v>5</v>
      </c>
      <c r="AH63" s="1260">
        <v>5</v>
      </c>
      <c r="AI63" s="1259"/>
      <c r="AJ63" s="1259"/>
      <c r="AK63" s="1259">
        <v>17</v>
      </c>
      <c r="AL63" s="1335">
        <v>17</v>
      </c>
      <c r="AM63" s="151"/>
      <c r="AN63" s="152"/>
      <c r="AO63" s="152">
        <v>21</v>
      </c>
      <c r="AP63" s="395">
        <v>21</v>
      </c>
      <c r="AQ63" s="151"/>
      <c r="AR63" s="152"/>
      <c r="AS63" s="152">
        <v>2</v>
      </c>
      <c r="AT63" s="395">
        <f t="shared" ref="AT63:AT70" si="94">SUM(AQ63:AS63)</f>
        <v>2</v>
      </c>
      <c r="AU63" s="151"/>
      <c r="AV63" s="152"/>
      <c r="AW63" s="152">
        <v>19</v>
      </c>
      <c r="AX63" s="395">
        <f>SUM(AU63:AW63)</f>
        <v>19</v>
      </c>
      <c r="AY63" s="151"/>
      <c r="AZ63" s="152"/>
      <c r="BA63" s="152">
        <v>35</v>
      </c>
      <c r="BB63" s="395">
        <f>SUM(AY63:BA63)</f>
        <v>35</v>
      </c>
      <c r="BC63" s="151"/>
      <c r="BD63" s="152"/>
      <c r="BE63" s="152"/>
      <c r="BF63" s="395"/>
      <c r="BG63" s="151"/>
      <c r="BH63" s="152"/>
      <c r="BI63" s="152">
        <f>SUM('INSC-POSG plan'!BJ115:BJ116)</f>
        <v>34</v>
      </c>
      <c r="BJ63" s="395">
        <f>SUM(BG63:BI63)</f>
        <v>34</v>
      </c>
      <c r="BK63" s="151">
        <f>SUM('INSC-POSG plan'!BL115:BL116)</f>
        <v>0</v>
      </c>
      <c r="BL63" s="152">
        <f>SUM('INSC-POSG plan'!BM115:BM116)</f>
        <v>0</v>
      </c>
      <c r="BM63" s="152">
        <f>SUM('INSC-POSG plan'!BN115:BN116)</f>
        <v>0</v>
      </c>
      <c r="BN63" s="395">
        <f>SUM(BK63:BM63)</f>
        <v>0</v>
      </c>
      <c r="BO63" s="151">
        <f>SUM('INSC-POSG plan'!BP115:BP116)</f>
        <v>0</v>
      </c>
      <c r="BP63" s="152">
        <f>SUM('INSC-POSG plan'!BQ115:BQ116)</f>
        <v>0</v>
      </c>
      <c r="BQ63" s="152">
        <f>SUM('INSC-POSG plan'!BR115:BR116)</f>
        <v>0</v>
      </c>
      <c r="BR63" s="395">
        <f>SUM(BO63:BQ63)</f>
        <v>0</v>
      </c>
      <c r="BS63" s="151">
        <f>SUM('INSC-POSG plan'!BT115:BT116)</f>
        <v>0</v>
      </c>
      <c r="BT63" s="152">
        <f>SUM('INSC-POSG plan'!BU115:BU116)</f>
        <v>0</v>
      </c>
      <c r="BU63" s="152">
        <f>SUM('INSC-POSG plan'!BV115:BV116)</f>
        <v>0</v>
      </c>
      <c r="BV63" s="395">
        <f>SUM(BS63:BU63)</f>
        <v>0</v>
      </c>
      <c r="BW63" s="151">
        <f>SUM('INSC-POSG plan'!BX115:BX116)</f>
        <v>0</v>
      </c>
      <c r="BX63" s="152">
        <f>SUM('INSC-POSG plan'!BY115:BY116)</f>
        <v>0</v>
      </c>
      <c r="BY63" s="152">
        <f>SUM('INSC-POSG plan'!BZ115:BZ116)</f>
        <v>30</v>
      </c>
      <c r="BZ63" s="395">
        <f>SUM(BW63:BY63)</f>
        <v>30</v>
      </c>
      <c r="CA63" s="151">
        <f>SUM('INSC-POSG plan'!CB115:CB116)</f>
        <v>0</v>
      </c>
      <c r="CB63" s="152">
        <f>SUM('INSC-POSG plan'!CC115:CC116)</f>
        <v>0</v>
      </c>
      <c r="CC63" s="152">
        <f>SUM('INSC-POSG plan'!CD115:CD116)</f>
        <v>0</v>
      </c>
      <c r="CD63" s="395">
        <f>SUM(CA63:CC63)</f>
        <v>0</v>
      </c>
      <c r="CE63" s="151">
        <f>SUM('INSC-POSG plan'!CF115:CF116)</f>
        <v>0</v>
      </c>
      <c r="CF63" s="152">
        <f>SUM('INSC-POSG plan'!CG115:CG116)</f>
        <v>2</v>
      </c>
      <c r="CG63" s="152">
        <f>SUM('INSC-POSG plan'!CH115:CH116)</f>
        <v>0</v>
      </c>
      <c r="CH63" s="395">
        <f>SUM(CE63:CG63)</f>
        <v>2</v>
      </c>
      <c r="CI63" s="151">
        <f>SUM('INSC-POSG plan'!CJ115:CJ116)</f>
        <v>0</v>
      </c>
      <c r="CJ63" s="152">
        <f>SUM('INSC-POSG plan'!CK115:CK116)</f>
        <v>0</v>
      </c>
      <c r="CK63" s="152">
        <f>SUM('INSC-POSG plan'!CL115:CL116)</f>
        <v>0</v>
      </c>
      <c r="CL63" s="395">
        <f>SUM(CI63:CK63)</f>
        <v>0</v>
      </c>
      <c r="CM63" s="151">
        <f>SUM('INSC-POSG plan'!CN115:CN116)</f>
        <v>0</v>
      </c>
      <c r="CN63" s="152">
        <f>SUM('INSC-POSG plan'!CO115:CO116)</f>
        <v>20</v>
      </c>
      <c r="CO63" s="152">
        <f>SUM('INSC-POSG plan'!CP115:CP116)</f>
        <v>0</v>
      </c>
      <c r="CP63" s="395">
        <f>SUM(CM63:CO63)</f>
        <v>20</v>
      </c>
      <c r="CQ63" s="151">
        <f>SUM('INSC-POSG plan'!CR115:CR116)</f>
        <v>0</v>
      </c>
      <c r="CR63" s="152">
        <f>SUM('INSC-POSG plan'!CS115:CS116)</f>
        <v>0</v>
      </c>
      <c r="CS63" s="152">
        <f>SUM('INSC-POSG plan'!CT115:CT116)</f>
        <v>0</v>
      </c>
      <c r="CT63" s="395">
        <f>SUM(CQ63:CS63)</f>
        <v>0</v>
      </c>
    </row>
    <row r="64" spans="1:98" ht="15" x14ac:dyDescent="0.25">
      <c r="A64" s="1333"/>
      <c r="B64" s="1336" t="s">
        <v>310</v>
      </c>
      <c r="C64" s="1262">
        <f>+'INSC-POSG plan'!D117+'INSC-POSG plan'!D118+'INSC-POSG plan'!D119+'INSC-POSG plan'!D120+'INSC-POSG plan'!D121+'INSC-POSG plan'!D122+'INSC-POSG plan'!D123+'INSC-POSG plan'!D124+'INSC-POSG plan'!D125</f>
        <v>3</v>
      </c>
      <c r="D64" s="1263">
        <f>+'INSC-POSG plan'!E117+'INSC-POSG plan'!E118+'INSC-POSG plan'!E119+'INSC-POSG plan'!E120+'INSC-POSG plan'!E121+'INSC-POSG plan'!E122+'INSC-POSG plan'!E123+'INSC-POSG plan'!E124+'INSC-POSG plan'!E125</f>
        <v>15</v>
      </c>
      <c r="E64" s="1263">
        <f>+'INSC-POSG plan'!F117+'INSC-POSG plan'!F118+'INSC-POSG plan'!F119+'INSC-POSG plan'!F120+'INSC-POSG plan'!F121+'INSC-POSG plan'!F122+'INSC-POSG plan'!F123+'INSC-POSG plan'!F124+'INSC-POSG plan'!F125</f>
        <v>18</v>
      </c>
      <c r="F64" s="1264">
        <f t="shared" si="45"/>
        <v>36</v>
      </c>
      <c r="G64" s="1262">
        <f>+'INSC-POSG plan'!H117+'INSC-POSG plan'!H118+'INSC-POSG plan'!H119+'INSC-POSG plan'!H120+'INSC-POSG plan'!H121+'INSC-POSG plan'!H122+'INSC-POSG plan'!H123+'INSC-POSG plan'!H124+'INSC-POSG plan'!H125</f>
        <v>13</v>
      </c>
      <c r="H64" s="1263">
        <f>+'INSC-POSG plan'!I117+'INSC-POSG plan'!I118+'INSC-POSG plan'!I119+'INSC-POSG plan'!I120+'INSC-POSG plan'!I121+'INSC-POSG plan'!I122+'INSC-POSG plan'!I123+'INSC-POSG plan'!I124+'INSC-POSG plan'!I125</f>
        <v>25</v>
      </c>
      <c r="I64" s="1263">
        <f>+'INSC-POSG plan'!J117+'INSC-POSG plan'!J118+'INSC-POSG plan'!J119+'INSC-POSG plan'!J120+'INSC-POSG plan'!J121+'INSC-POSG plan'!J122+'INSC-POSG plan'!J123+'INSC-POSG plan'!J124+'INSC-POSG plan'!J125</f>
        <v>78</v>
      </c>
      <c r="J64" s="1264">
        <f t="shared" si="91"/>
        <v>116</v>
      </c>
      <c r="K64" s="1262">
        <f>+'INSC-POSG plan'!L117+'INSC-POSG plan'!L118+'INSC-POSG plan'!L119+'INSC-POSG plan'!L120+'INSC-POSG plan'!L121+'INSC-POSG plan'!L122+'INSC-POSG plan'!L123+'INSC-POSG plan'!L124+'INSC-POSG plan'!L125</f>
        <v>39</v>
      </c>
      <c r="L64" s="1263">
        <f>+'INSC-POSG plan'!M117+'INSC-POSG plan'!M118+'INSC-POSG plan'!M119+'INSC-POSG plan'!M120+'INSC-POSG plan'!M121+'INSC-POSG plan'!M122+'INSC-POSG plan'!M123+'INSC-POSG plan'!M124+'INSC-POSG plan'!M125</f>
        <v>29</v>
      </c>
      <c r="M64" s="1263">
        <f>+'INSC-POSG plan'!N117+'INSC-POSG plan'!N118+'INSC-POSG plan'!N119+'INSC-POSG plan'!N120+'INSC-POSG plan'!N121+'INSC-POSG plan'!N122+'INSC-POSG plan'!N123+'INSC-POSG plan'!N124+'INSC-POSG plan'!N125</f>
        <v>5</v>
      </c>
      <c r="N64" s="1264">
        <f t="shared" si="92"/>
        <v>73</v>
      </c>
      <c r="O64" s="1262">
        <f>+'INSC-POSG plan'!P117+'INSC-POSG plan'!P118+'INSC-POSG plan'!P119+'INSC-POSG plan'!P120+'INSC-POSG plan'!P121+'INSC-POSG plan'!P122+'INSC-POSG plan'!P123+'INSC-POSG plan'!P124+'INSC-POSG plan'!P125</f>
        <v>12</v>
      </c>
      <c r="P64" s="1263">
        <f>+'INSC-POSG plan'!Q117+'INSC-POSG plan'!Q118+'INSC-POSG plan'!Q119+'INSC-POSG plan'!Q120+'INSC-POSG plan'!Q121+'INSC-POSG plan'!Q122+'INSC-POSG plan'!Q123+'INSC-POSG plan'!Q124+'INSC-POSG plan'!Q125</f>
        <v>56</v>
      </c>
      <c r="Q64" s="1263">
        <f>+'INSC-POSG plan'!R117+'INSC-POSG plan'!R118+'INSC-POSG plan'!R119+'INSC-POSG plan'!R120+'INSC-POSG plan'!R121+'INSC-POSG plan'!R122+'INSC-POSG plan'!R123+'INSC-POSG plan'!R124+'INSC-POSG plan'!R125</f>
        <v>73</v>
      </c>
      <c r="R64" s="1264">
        <f t="shared" si="93"/>
        <v>141</v>
      </c>
      <c r="S64" s="1262">
        <v>0</v>
      </c>
      <c r="T64" s="1263">
        <v>13</v>
      </c>
      <c r="U64" s="1263">
        <v>29</v>
      </c>
      <c r="V64" s="1264">
        <v>42</v>
      </c>
      <c r="W64" s="1262">
        <v>4</v>
      </c>
      <c r="X64" s="1263"/>
      <c r="Y64" s="1263">
        <v>121</v>
      </c>
      <c r="Z64" s="1337">
        <v>125</v>
      </c>
      <c r="AA64" s="1262">
        <v>2</v>
      </c>
      <c r="AB64" s="1263"/>
      <c r="AC64" s="1263">
        <v>30</v>
      </c>
      <c r="AD64" s="1264">
        <v>32</v>
      </c>
      <c r="AE64" s="1263">
        <v>10</v>
      </c>
      <c r="AF64" s="1263"/>
      <c r="AG64" s="1263">
        <v>115</v>
      </c>
      <c r="AH64" s="1264">
        <v>125</v>
      </c>
      <c r="AI64" s="1263"/>
      <c r="AJ64" s="1263"/>
      <c r="AK64" s="1263">
        <v>38</v>
      </c>
      <c r="AL64" s="1338">
        <v>38</v>
      </c>
      <c r="AM64" s="129"/>
      <c r="AN64" s="130"/>
      <c r="AO64" s="130">
        <v>115</v>
      </c>
      <c r="AP64" s="396">
        <v>115</v>
      </c>
      <c r="AQ64" s="129"/>
      <c r="AR64" s="130"/>
      <c r="AS64" s="130">
        <v>38</v>
      </c>
      <c r="AT64" s="396">
        <f t="shared" si="94"/>
        <v>38</v>
      </c>
      <c r="AU64" s="129"/>
      <c r="AV64" s="130"/>
      <c r="AW64" s="130">
        <v>106</v>
      </c>
      <c r="AX64" s="396">
        <f>SUM(AU64:AW64)</f>
        <v>106</v>
      </c>
      <c r="AY64" s="129"/>
      <c r="AZ64" s="130"/>
      <c r="BA64" s="130">
        <v>21</v>
      </c>
      <c r="BB64" s="396">
        <f>SUM(AY64:BA64)</f>
        <v>21</v>
      </c>
      <c r="BC64" s="129">
        <f>SUM('INSC-POSG plan'!BD117,'INSC-POSG plan'!BD118,'INSC-POSG plan'!BD119:BD125)</f>
        <v>19</v>
      </c>
      <c r="BD64" s="130"/>
      <c r="BE64" s="130">
        <f>SUM('INSC-POSG plan'!BF117,'INSC-POSG plan'!BF118,'INSC-POSG plan'!BF119:BF125)</f>
        <v>139</v>
      </c>
      <c r="BF64" s="396">
        <f>SUM(BC64:BE64)</f>
        <v>158</v>
      </c>
      <c r="BG64" s="129"/>
      <c r="BH64" s="130"/>
      <c r="BI64" s="130"/>
      <c r="BJ64" s="396">
        <f>SUM(BG64:BI64)</f>
        <v>0</v>
      </c>
      <c r="BK64" s="129">
        <f>SUM('INSC-POSG plan'!BL117:BL125)</f>
        <v>21</v>
      </c>
      <c r="BL64" s="130">
        <f>SUM('INSC-POSG plan'!BM117:BM125)</f>
        <v>0</v>
      </c>
      <c r="BM64" s="130">
        <f>SUM('INSC-POSG plan'!BN117:BN125)</f>
        <v>151</v>
      </c>
      <c r="BN64" s="396">
        <f>SUM(BK64:BM64)</f>
        <v>172</v>
      </c>
      <c r="BO64" s="129">
        <f>SUM('INSC-POSG plan'!BP117:BP125)</f>
        <v>0</v>
      </c>
      <c r="BP64" s="130">
        <f>SUM('INSC-POSG plan'!BQ117:BQ125)</f>
        <v>0</v>
      </c>
      <c r="BQ64" s="130">
        <f>SUM('INSC-POSG plan'!BR117:BR125)</f>
        <v>35</v>
      </c>
      <c r="BR64" s="396">
        <f>SUM(BO64:BQ64)</f>
        <v>35</v>
      </c>
      <c r="BS64" s="129">
        <f>SUM('INSC-POSG plan'!BT117:BT125)</f>
        <v>23</v>
      </c>
      <c r="BT64" s="130">
        <f>SUM('INSC-POSG plan'!BU117:BU125)</f>
        <v>0</v>
      </c>
      <c r="BU64" s="130">
        <f>SUM('INSC-POSG plan'!BV117:BV125)</f>
        <v>118</v>
      </c>
      <c r="BV64" s="396">
        <f>SUM(BS64:BU64)</f>
        <v>141</v>
      </c>
      <c r="BW64" s="129">
        <f>SUM('INSC-POSG plan'!BX117:BX127)</f>
        <v>23</v>
      </c>
      <c r="BX64" s="130">
        <f>SUM('INSC-POSG plan'!BY117:BY127)</f>
        <v>0</v>
      </c>
      <c r="BY64" s="130">
        <f>SUM('INSC-POSG plan'!BZ117:BZ127)</f>
        <v>2</v>
      </c>
      <c r="BZ64" s="396">
        <f>SUM(BW64:BY64)</f>
        <v>25</v>
      </c>
      <c r="CA64" s="129">
        <f>SUM('INSC-POSG plan'!CB117:CB127)</f>
        <v>30</v>
      </c>
      <c r="CB64" s="130">
        <f>SUM('INSC-POSG plan'!CC117:CC127)</f>
        <v>10</v>
      </c>
      <c r="CC64" s="130">
        <f>SUM('INSC-POSG plan'!CD117:CD127)</f>
        <v>130</v>
      </c>
      <c r="CD64" s="396">
        <f>SUM(CA64:CC64)</f>
        <v>170</v>
      </c>
      <c r="CE64" s="129">
        <f>SUM('INSC-POSG plan'!CF117:CF127)</f>
        <v>26</v>
      </c>
      <c r="CF64" s="130">
        <f>SUM('INSC-POSG plan'!CG117:CG127)</f>
        <v>18</v>
      </c>
      <c r="CG64" s="130">
        <f>SUM('INSC-POSG plan'!CH117:CH127)</f>
        <v>0</v>
      </c>
      <c r="CH64" s="396">
        <f>SUM(CE64:CG64)</f>
        <v>44</v>
      </c>
      <c r="CI64" s="129">
        <f>SUM('INSC-POSG plan'!CJ117:CJ127)</f>
        <v>13</v>
      </c>
      <c r="CJ64" s="130">
        <f>SUM('INSC-POSG plan'!CK117:CK127)</f>
        <v>103</v>
      </c>
      <c r="CK64" s="130">
        <f>SUM('INSC-POSG plan'!CL117:CL127)</f>
        <v>17</v>
      </c>
      <c r="CL64" s="396">
        <f>SUM(CI64:CK64)</f>
        <v>133</v>
      </c>
      <c r="CM64" s="129">
        <f>SUM('INSC-POSG plan'!CN117:CN127)</f>
        <v>25</v>
      </c>
      <c r="CN64" s="130">
        <f>SUM('INSC-POSG plan'!CO117:CO127)</f>
        <v>18</v>
      </c>
      <c r="CO64" s="130">
        <f>SUM('INSC-POSG plan'!CP117:CP127)</f>
        <v>0</v>
      </c>
      <c r="CP64" s="396">
        <f>SUM(CM64:CO64)</f>
        <v>43</v>
      </c>
      <c r="CQ64" s="129">
        <f>SUM('INSC-POSG plan'!CR117:CR127)</f>
        <v>20</v>
      </c>
      <c r="CR64" s="130">
        <f>SUM('INSC-POSG plan'!CS117:CS127)</f>
        <v>58</v>
      </c>
      <c r="CS64" s="130">
        <f>SUM('INSC-POSG plan'!CT117:CT127)</f>
        <v>51</v>
      </c>
      <c r="CT64" s="396">
        <f>SUM(CQ64:CS64)</f>
        <v>129</v>
      </c>
    </row>
    <row r="65" spans="1:98" ht="15" x14ac:dyDescent="0.25">
      <c r="A65" s="1333"/>
      <c r="B65" s="1339" t="s">
        <v>317</v>
      </c>
      <c r="C65" s="1267">
        <f>+'INSC-POSG plan'!D128+'INSC-POSG plan'!D129+'INSC-POSG plan'!D130</f>
        <v>50</v>
      </c>
      <c r="D65" s="1268">
        <f>+'INSC-POSG plan'!E128+'INSC-POSG plan'!E129+'INSC-POSG plan'!E130</f>
        <v>0</v>
      </c>
      <c r="E65" s="1268">
        <f>+'INSC-POSG plan'!F128+'INSC-POSG plan'!F129+'INSC-POSG plan'!F130</f>
        <v>0</v>
      </c>
      <c r="F65" s="1269">
        <f t="shared" si="45"/>
        <v>50</v>
      </c>
      <c r="G65" s="1267">
        <f>+'INSC-POSG plan'!H128+'INSC-POSG plan'!H129+'INSC-POSG plan'!H130</f>
        <v>3</v>
      </c>
      <c r="H65" s="1268">
        <f>+'INSC-POSG plan'!I128+'INSC-POSG plan'!I129+'INSC-POSG plan'!I130</f>
        <v>14</v>
      </c>
      <c r="I65" s="1268">
        <f>+'INSC-POSG plan'!J128+'INSC-POSG plan'!J129+'INSC-POSG plan'!J130</f>
        <v>0</v>
      </c>
      <c r="J65" s="1269">
        <f t="shared" si="91"/>
        <v>17</v>
      </c>
      <c r="K65" s="1267">
        <f>+'INSC-POSG plan'!L128+'INSC-POSG plan'!L129+'INSC-POSG plan'!L130</f>
        <v>35</v>
      </c>
      <c r="L65" s="1268">
        <f>+'INSC-POSG plan'!M128+'INSC-POSG plan'!M129+'INSC-POSG plan'!M130</f>
        <v>0</v>
      </c>
      <c r="M65" s="1268">
        <f>+'INSC-POSG plan'!N128+'INSC-POSG plan'!N129+'INSC-POSG plan'!N130</f>
        <v>0</v>
      </c>
      <c r="N65" s="1269">
        <f t="shared" si="92"/>
        <v>35</v>
      </c>
      <c r="O65" s="1267">
        <f>+'INSC-POSG plan'!P128+'INSC-POSG plan'!P129+'INSC-POSG plan'!P130</f>
        <v>13</v>
      </c>
      <c r="P65" s="1268">
        <f>+'INSC-POSG plan'!Q128+'INSC-POSG plan'!Q129+'INSC-POSG plan'!Q130</f>
        <v>0</v>
      </c>
      <c r="Q65" s="1268">
        <f>+'INSC-POSG plan'!R128+'INSC-POSG plan'!R129+'INSC-POSG plan'!R130</f>
        <v>0</v>
      </c>
      <c r="R65" s="1269">
        <f t="shared" si="93"/>
        <v>13</v>
      </c>
      <c r="S65" s="1267">
        <v>51</v>
      </c>
      <c r="T65" s="1268">
        <v>0</v>
      </c>
      <c r="U65" s="1268">
        <v>14</v>
      </c>
      <c r="V65" s="1269">
        <v>65</v>
      </c>
      <c r="W65" s="1267">
        <v>7</v>
      </c>
      <c r="X65" s="1268"/>
      <c r="Y65" s="1268">
        <v>0</v>
      </c>
      <c r="Z65" s="1340">
        <v>7</v>
      </c>
      <c r="AA65" s="1267">
        <v>47</v>
      </c>
      <c r="AB65" s="1268"/>
      <c r="AC65" s="1268">
        <v>10</v>
      </c>
      <c r="AD65" s="1269">
        <v>57</v>
      </c>
      <c r="AE65" s="1268">
        <v>2</v>
      </c>
      <c r="AF65" s="1268"/>
      <c r="AG65" s="1268"/>
      <c r="AH65" s="1269">
        <v>2</v>
      </c>
      <c r="AI65" s="1268">
        <v>71</v>
      </c>
      <c r="AJ65" s="1268">
        <v>11</v>
      </c>
      <c r="AK65" s="1268">
        <v>11</v>
      </c>
      <c r="AL65" s="1341">
        <v>93</v>
      </c>
      <c r="AM65" s="196">
        <v>14</v>
      </c>
      <c r="AN65" s="197"/>
      <c r="AO65" s="197"/>
      <c r="AP65" s="397">
        <v>14</v>
      </c>
      <c r="AQ65" s="196">
        <v>46</v>
      </c>
      <c r="AR65" s="197"/>
      <c r="AS65" s="197">
        <v>9</v>
      </c>
      <c r="AT65" s="397">
        <f t="shared" si="94"/>
        <v>55</v>
      </c>
      <c r="AU65" s="196"/>
      <c r="AV65" s="197"/>
      <c r="AW65" s="197"/>
      <c r="AX65" s="397"/>
      <c r="AY65" s="196">
        <v>49</v>
      </c>
      <c r="AZ65" s="197"/>
      <c r="BA65" s="197">
        <v>22</v>
      </c>
      <c r="BB65" s="397">
        <f>SUM(AY65:BA65)</f>
        <v>71</v>
      </c>
      <c r="BC65" s="196"/>
      <c r="BD65" s="197"/>
      <c r="BE65" s="197"/>
      <c r="BF65" s="397"/>
      <c r="BG65" s="196">
        <f>SUM('INSC-POSG plan'!BH128:BH130)</f>
        <v>54</v>
      </c>
      <c r="BH65" s="197"/>
      <c r="BI65" s="197">
        <f>SUM('INSC-POSG plan'!BJ128:BJ130)</f>
        <v>17</v>
      </c>
      <c r="BJ65" s="397">
        <f>SUM(BG65:BI65)</f>
        <v>71</v>
      </c>
      <c r="BK65" s="196">
        <f>SUM('INSC-POSG plan'!BL128:BL130)</f>
        <v>0</v>
      </c>
      <c r="BL65" s="197">
        <f>SUM('INSC-POSG plan'!BM128:BM130)</f>
        <v>0</v>
      </c>
      <c r="BM65" s="197">
        <f>SUM('INSC-POSG plan'!BN128:BN130)</f>
        <v>0</v>
      </c>
      <c r="BN65" s="397">
        <f>SUM(BK65:BM65)</f>
        <v>0</v>
      </c>
      <c r="BO65" s="196">
        <f>SUM('INSC-POSG plan'!BP128:BP130)</f>
        <v>51</v>
      </c>
      <c r="BP65" s="197">
        <f>SUM('INSC-POSG plan'!BQ128:BQ130)</f>
        <v>1</v>
      </c>
      <c r="BQ65" s="197">
        <f>SUM('INSC-POSG plan'!BR128:BR130)</f>
        <v>23</v>
      </c>
      <c r="BR65" s="397">
        <f>SUM(BO65:BQ65)</f>
        <v>75</v>
      </c>
      <c r="BS65" s="196">
        <f>SUM('INSC-POSG plan'!BT128:BT130)</f>
        <v>0</v>
      </c>
      <c r="BT65" s="197">
        <f>SUM('INSC-POSG plan'!BU128:BU130)</f>
        <v>0</v>
      </c>
      <c r="BU65" s="197">
        <f>SUM('INSC-POSG plan'!BV128:BV130)</f>
        <v>0</v>
      </c>
      <c r="BV65" s="397">
        <f>SUM(BS65:BU65)</f>
        <v>0</v>
      </c>
      <c r="BW65" s="196">
        <f>SUM('INSC-POSG plan'!BX128:BX133)</f>
        <v>58</v>
      </c>
      <c r="BX65" s="197">
        <f>SUM('INSC-POSG plan'!BY128:BY133)</f>
        <v>0</v>
      </c>
      <c r="BY65" s="197">
        <f>SUM('INSC-POSG plan'!BZ128:BZ133)</f>
        <v>37</v>
      </c>
      <c r="BZ65" s="397">
        <f>SUM(BW65:BY65)</f>
        <v>95</v>
      </c>
      <c r="CA65" s="196">
        <f>SUM('INSC-POSG plan'!CB128:CB133)</f>
        <v>18</v>
      </c>
      <c r="CB65" s="197">
        <f>SUM('INSC-POSG plan'!CC128:CC133)</f>
        <v>0</v>
      </c>
      <c r="CC65" s="197">
        <f>SUM('INSC-POSG plan'!CD128:CD133)</f>
        <v>0</v>
      </c>
      <c r="CD65" s="397">
        <f>SUM(CA65:CC65)</f>
        <v>18</v>
      </c>
      <c r="CE65" s="196">
        <f>SUM('INSC-POSG plan'!CF128:CF133)</f>
        <v>64</v>
      </c>
      <c r="CF65" s="197">
        <f>SUM('INSC-POSG plan'!CG128:CG133)</f>
        <v>26</v>
      </c>
      <c r="CG65" s="197">
        <f>SUM('INSC-POSG plan'!CH128:CH133)</f>
        <v>13</v>
      </c>
      <c r="CH65" s="397">
        <f>SUM(CE65:CG65)</f>
        <v>103</v>
      </c>
      <c r="CI65" s="196">
        <f>SUM('INSC-POSG plan'!CJ128:CJ133)</f>
        <v>19</v>
      </c>
      <c r="CJ65" s="197">
        <f>SUM('INSC-POSG plan'!CK128:CK133)</f>
        <v>0</v>
      </c>
      <c r="CK65" s="197">
        <f>SUM('INSC-POSG plan'!CL128:CL133)</f>
        <v>0</v>
      </c>
      <c r="CL65" s="397">
        <f>SUM(CI65:CK65)</f>
        <v>19</v>
      </c>
      <c r="CM65" s="196">
        <f>SUM('INSC-POSG plan'!CN128:CN133)</f>
        <v>64</v>
      </c>
      <c r="CN65" s="197">
        <f>SUM('INSC-POSG plan'!CO128:CO133)</f>
        <v>21</v>
      </c>
      <c r="CO65" s="197">
        <f>SUM('INSC-POSG plan'!CP128:CP133)</f>
        <v>13</v>
      </c>
      <c r="CP65" s="397">
        <f>SUM(CM65:CO65)</f>
        <v>98</v>
      </c>
      <c r="CQ65" s="196">
        <f>SUM('INSC-POSG plan'!CR128:CR133)</f>
        <v>14</v>
      </c>
      <c r="CR65" s="197">
        <f>SUM('INSC-POSG plan'!CS128:CS133)</f>
        <v>0</v>
      </c>
      <c r="CS65" s="197">
        <f>SUM('INSC-POSG plan'!CT128:CT133)</f>
        <v>0</v>
      </c>
      <c r="CT65" s="397">
        <f>SUM(CQ65:CS65)</f>
        <v>14</v>
      </c>
    </row>
    <row r="66" spans="1:98" s="1330" customFormat="1" ht="15" x14ac:dyDescent="0.25">
      <c r="A66" s="1333"/>
      <c r="B66" s="1342" t="s">
        <v>426</v>
      </c>
      <c r="C66" s="1343">
        <f>SUM(C63:C65)</f>
        <v>53</v>
      </c>
      <c r="D66" s="1344">
        <f>SUM(D63:D65)</f>
        <v>15</v>
      </c>
      <c r="E66" s="1344">
        <f>SUM(E63:E65)</f>
        <v>18</v>
      </c>
      <c r="F66" s="1345">
        <f t="shared" si="45"/>
        <v>86</v>
      </c>
      <c r="G66" s="1343">
        <f>SUM(G63:G65)</f>
        <v>58</v>
      </c>
      <c r="H66" s="1344">
        <f>SUM(H63:H65)</f>
        <v>39</v>
      </c>
      <c r="I66" s="1344">
        <f>SUM(I63:I65)</f>
        <v>114</v>
      </c>
      <c r="J66" s="1345">
        <f t="shared" si="91"/>
        <v>211</v>
      </c>
      <c r="K66" s="1343">
        <f>SUM(K63:K65)</f>
        <v>79</v>
      </c>
      <c r="L66" s="1344">
        <f>SUM(L63:L65)</f>
        <v>29</v>
      </c>
      <c r="M66" s="1344">
        <f>SUM(M63:M65)</f>
        <v>49</v>
      </c>
      <c r="N66" s="1345">
        <f t="shared" si="92"/>
        <v>157</v>
      </c>
      <c r="O66" s="1343">
        <f>SUM(O63:O65)</f>
        <v>30</v>
      </c>
      <c r="P66" s="1344">
        <f>SUM(P63:P65)</f>
        <v>59</v>
      </c>
      <c r="Q66" s="1344">
        <f>SUM(Q63:Q65)</f>
        <v>105</v>
      </c>
      <c r="R66" s="1345">
        <f t="shared" si="93"/>
        <v>194</v>
      </c>
      <c r="S66" s="1343">
        <v>51</v>
      </c>
      <c r="T66" s="1344">
        <v>13</v>
      </c>
      <c r="U66" s="1344">
        <v>43</v>
      </c>
      <c r="V66" s="1345">
        <v>107</v>
      </c>
      <c r="W66" s="1343">
        <v>11</v>
      </c>
      <c r="X66" s="1344"/>
      <c r="Y66" s="1344">
        <v>126</v>
      </c>
      <c r="Z66" s="1344">
        <v>137</v>
      </c>
      <c r="AA66" s="1343">
        <v>49</v>
      </c>
      <c r="AB66" s="1344"/>
      <c r="AC66" s="1344">
        <v>40</v>
      </c>
      <c r="AD66" s="1345">
        <v>89</v>
      </c>
      <c r="AE66" s="1344">
        <v>12</v>
      </c>
      <c r="AF66" s="1344"/>
      <c r="AG66" s="1344">
        <v>120</v>
      </c>
      <c r="AH66" s="1345">
        <v>132</v>
      </c>
      <c r="AI66" s="1344">
        <v>71</v>
      </c>
      <c r="AJ66" s="1344">
        <v>11</v>
      </c>
      <c r="AK66" s="1344">
        <v>66</v>
      </c>
      <c r="AL66" s="1345">
        <v>148</v>
      </c>
      <c r="AM66" s="201">
        <v>14</v>
      </c>
      <c r="AN66" s="202"/>
      <c r="AO66" s="202">
        <v>136</v>
      </c>
      <c r="AP66" s="203">
        <v>150</v>
      </c>
      <c r="AQ66" s="201">
        <f>SUM(AQ63:AQ65)</f>
        <v>46</v>
      </c>
      <c r="AR66" s="202"/>
      <c r="AS66" s="202">
        <f>SUM(AS63:AS65)</f>
        <v>49</v>
      </c>
      <c r="AT66" s="203">
        <f t="shared" si="94"/>
        <v>95</v>
      </c>
      <c r="AU66" s="201"/>
      <c r="AV66" s="202"/>
      <c r="AW66" s="202">
        <f>SUM(AW63:AW65)</f>
        <v>125</v>
      </c>
      <c r="AX66" s="203">
        <f>SUM(AU66:AW66)</f>
        <v>125</v>
      </c>
      <c r="AY66" s="201">
        <f t="shared" ref="AY66:BF66" si="95">SUM(AY63:AY65)</f>
        <v>49</v>
      </c>
      <c r="AZ66" s="202"/>
      <c r="BA66" s="202">
        <f t="shared" si="95"/>
        <v>78</v>
      </c>
      <c r="BB66" s="203">
        <f t="shared" si="95"/>
        <v>127</v>
      </c>
      <c r="BC66" s="201">
        <f t="shared" si="95"/>
        <v>19</v>
      </c>
      <c r="BD66" s="202"/>
      <c r="BE66" s="202">
        <f t="shared" si="95"/>
        <v>139</v>
      </c>
      <c r="BF66" s="203">
        <f t="shared" si="95"/>
        <v>158</v>
      </c>
      <c r="BG66" s="201">
        <f>SUM(BG63:BG65)</f>
        <v>54</v>
      </c>
      <c r="BH66" s="202"/>
      <c r="BI66" s="202">
        <f t="shared" ref="BI66:CH66" si="96">SUM(BI63:BI65)</f>
        <v>51</v>
      </c>
      <c r="BJ66" s="203">
        <f t="shared" si="96"/>
        <v>105</v>
      </c>
      <c r="BK66" s="201">
        <f t="shared" si="96"/>
        <v>21</v>
      </c>
      <c r="BL66" s="202">
        <f t="shared" si="96"/>
        <v>0</v>
      </c>
      <c r="BM66" s="202">
        <f t="shared" si="96"/>
        <v>151</v>
      </c>
      <c r="BN66" s="203">
        <f t="shared" si="96"/>
        <v>172</v>
      </c>
      <c r="BO66" s="201">
        <f t="shared" si="96"/>
        <v>51</v>
      </c>
      <c r="BP66" s="202">
        <f t="shared" si="96"/>
        <v>1</v>
      </c>
      <c r="BQ66" s="202">
        <f t="shared" si="96"/>
        <v>58</v>
      </c>
      <c r="BR66" s="203">
        <f t="shared" si="96"/>
        <v>110</v>
      </c>
      <c r="BS66" s="201">
        <f t="shared" si="96"/>
        <v>23</v>
      </c>
      <c r="BT66" s="202">
        <f t="shared" si="96"/>
        <v>0</v>
      </c>
      <c r="BU66" s="202">
        <f t="shared" si="96"/>
        <v>118</v>
      </c>
      <c r="BV66" s="203">
        <f t="shared" si="96"/>
        <v>141</v>
      </c>
      <c r="BW66" s="201">
        <f t="shared" si="96"/>
        <v>81</v>
      </c>
      <c r="BX66" s="202">
        <f t="shared" si="96"/>
        <v>0</v>
      </c>
      <c r="BY66" s="202">
        <f t="shared" si="96"/>
        <v>69</v>
      </c>
      <c r="BZ66" s="203">
        <f t="shared" si="96"/>
        <v>150</v>
      </c>
      <c r="CA66" s="201">
        <f t="shared" si="96"/>
        <v>48</v>
      </c>
      <c r="CB66" s="202">
        <f t="shared" si="96"/>
        <v>10</v>
      </c>
      <c r="CC66" s="202">
        <f t="shared" si="96"/>
        <v>130</v>
      </c>
      <c r="CD66" s="203">
        <f t="shared" si="96"/>
        <v>188</v>
      </c>
      <c r="CE66" s="201">
        <f t="shared" si="96"/>
        <v>90</v>
      </c>
      <c r="CF66" s="202">
        <f t="shared" si="96"/>
        <v>46</v>
      </c>
      <c r="CG66" s="202">
        <f t="shared" si="96"/>
        <v>13</v>
      </c>
      <c r="CH66" s="203">
        <f t="shared" si="96"/>
        <v>149</v>
      </c>
      <c r="CI66" s="201">
        <f t="shared" ref="CI66:CP66" si="97">SUM(CI63:CI65)</f>
        <v>32</v>
      </c>
      <c r="CJ66" s="202">
        <f t="shared" si="97"/>
        <v>103</v>
      </c>
      <c r="CK66" s="202">
        <f t="shared" si="97"/>
        <v>17</v>
      </c>
      <c r="CL66" s="203">
        <f t="shared" si="97"/>
        <v>152</v>
      </c>
      <c r="CM66" s="201">
        <f t="shared" si="97"/>
        <v>89</v>
      </c>
      <c r="CN66" s="202">
        <f t="shared" si="97"/>
        <v>59</v>
      </c>
      <c r="CO66" s="202">
        <f t="shared" si="97"/>
        <v>13</v>
      </c>
      <c r="CP66" s="203">
        <f t="shared" si="97"/>
        <v>161</v>
      </c>
      <c r="CQ66" s="201">
        <f t="shared" ref="CQ66:CT66" si="98">SUM(CQ63:CQ65)</f>
        <v>34</v>
      </c>
      <c r="CR66" s="202">
        <f t="shared" si="98"/>
        <v>58</v>
      </c>
      <c r="CS66" s="202">
        <f t="shared" si="98"/>
        <v>51</v>
      </c>
      <c r="CT66" s="203">
        <f t="shared" si="98"/>
        <v>143</v>
      </c>
    </row>
    <row r="67" spans="1:98" ht="15" x14ac:dyDescent="0.25">
      <c r="A67" s="1333"/>
      <c r="B67" s="1334" t="s">
        <v>308</v>
      </c>
      <c r="C67" s="1258">
        <f>+'INSC-POSG plan'!D135+'INSC-POSG plan'!D136+'INSC-POSG plan'!D137</f>
        <v>11</v>
      </c>
      <c r="D67" s="1259">
        <f>+'INSC-POSG plan'!E135+'INSC-POSG plan'!E136+'INSC-POSG plan'!E137</f>
        <v>0</v>
      </c>
      <c r="E67" s="1259">
        <f>+'INSC-POSG plan'!F135+'INSC-POSG plan'!F136+'INSC-POSG plan'!F137</f>
        <v>11</v>
      </c>
      <c r="F67" s="1260">
        <f t="shared" si="45"/>
        <v>22</v>
      </c>
      <c r="G67" s="1258">
        <f>+'INSC-POSG plan'!H135+'INSC-POSG plan'!H136+'INSC-POSG plan'!H137</f>
        <v>12</v>
      </c>
      <c r="H67" s="1259">
        <f>+'INSC-POSG plan'!I135+'INSC-POSG plan'!I136+'INSC-POSG plan'!I137</f>
        <v>0</v>
      </c>
      <c r="I67" s="1259">
        <f>+'INSC-POSG plan'!J135+'INSC-POSG plan'!J136+'INSC-POSG plan'!J137</f>
        <v>0</v>
      </c>
      <c r="J67" s="1260">
        <f t="shared" si="91"/>
        <v>12</v>
      </c>
      <c r="K67" s="1258">
        <f>+'INSC-POSG plan'!L135+'INSC-POSG plan'!L136+'INSC-POSG plan'!L137</f>
        <v>14</v>
      </c>
      <c r="L67" s="1259">
        <f>+'INSC-POSG plan'!M135+'INSC-POSG plan'!M136+'INSC-POSG plan'!M137</f>
        <v>1</v>
      </c>
      <c r="M67" s="1259">
        <f>+'INSC-POSG plan'!N135+'INSC-POSG plan'!N136+'INSC-POSG plan'!N137</f>
        <v>15</v>
      </c>
      <c r="N67" s="1260">
        <f t="shared" si="92"/>
        <v>30</v>
      </c>
      <c r="O67" s="1258">
        <f>+'INSC-POSG plan'!P135+'INSC-POSG plan'!P136+'INSC-POSG plan'!P137</f>
        <v>12</v>
      </c>
      <c r="P67" s="1259">
        <f>+'INSC-POSG plan'!Q135+'INSC-POSG plan'!Q136+'INSC-POSG plan'!Q137</f>
        <v>0</v>
      </c>
      <c r="Q67" s="1259">
        <f>+'INSC-POSG plan'!R135+'INSC-POSG plan'!R136+'INSC-POSG plan'!R137</f>
        <v>1</v>
      </c>
      <c r="R67" s="1260">
        <f t="shared" si="93"/>
        <v>13</v>
      </c>
      <c r="S67" s="1258">
        <v>12</v>
      </c>
      <c r="T67" s="1259"/>
      <c r="U67" s="1259"/>
      <c r="V67" s="1260">
        <v>12</v>
      </c>
      <c r="W67" s="1258">
        <v>10</v>
      </c>
      <c r="X67" s="1259"/>
      <c r="Y67" s="1259"/>
      <c r="Z67" s="1298">
        <v>10</v>
      </c>
      <c r="AA67" s="1258"/>
      <c r="AB67" s="1259"/>
      <c r="AC67" s="1259"/>
      <c r="AD67" s="1260"/>
      <c r="AE67" s="1259">
        <v>13</v>
      </c>
      <c r="AF67" s="1259"/>
      <c r="AG67" s="1259"/>
      <c r="AH67" s="1260">
        <v>13</v>
      </c>
      <c r="AI67" s="1259">
        <v>8</v>
      </c>
      <c r="AJ67" s="1259"/>
      <c r="AK67" s="1259"/>
      <c r="AL67" s="1335">
        <v>8</v>
      </c>
      <c r="AM67" s="151">
        <v>12</v>
      </c>
      <c r="AN67" s="152"/>
      <c r="AO67" s="152"/>
      <c r="AP67" s="395">
        <v>12</v>
      </c>
      <c r="AQ67" s="151">
        <v>10</v>
      </c>
      <c r="AR67" s="152"/>
      <c r="AS67" s="152"/>
      <c r="AT67" s="395">
        <f t="shared" si="94"/>
        <v>10</v>
      </c>
      <c r="AU67" s="151"/>
      <c r="AV67" s="152"/>
      <c r="AW67" s="152"/>
      <c r="AX67" s="395"/>
      <c r="AY67" s="151">
        <v>12</v>
      </c>
      <c r="AZ67" s="152"/>
      <c r="BA67" s="152">
        <v>19</v>
      </c>
      <c r="BB67" s="395">
        <f>SUM(AY67:BA67)</f>
        <v>31</v>
      </c>
      <c r="BC67" s="151"/>
      <c r="BD67" s="152"/>
      <c r="BE67" s="152"/>
      <c r="BF67" s="395"/>
      <c r="BG67" s="151">
        <f>SUM('INSC-POSG plan'!BH135:BH137)</f>
        <v>12</v>
      </c>
      <c r="BH67" s="152"/>
      <c r="BI67" s="152">
        <f>SUM('INSC-POSG plan'!BJ135:BJ137)</f>
        <v>1</v>
      </c>
      <c r="BJ67" s="395"/>
      <c r="BK67" s="151">
        <f>SUM('INSC-POSG plan'!BL135:BL137)</f>
        <v>0</v>
      </c>
      <c r="BL67" s="152">
        <f>SUM('INSC-POSG plan'!BM135:BM137)</f>
        <v>0</v>
      </c>
      <c r="BM67" s="152">
        <f>SUM('INSC-POSG plan'!BN135:BN137)</f>
        <v>0</v>
      </c>
      <c r="BN67" s="395">
        <f>SUM(BK67:BM67)</f>
        <v>0</v>
      </c>
      <c r="BO67" s="151">
        <f>SUM('INSC-POSG plan'!BP135:BP137)</f>
        <v>0</v>
      </c>
      <c r="BP67" s="152">
        <f>SUM('INSC-POSG plan'!BQ135:BQ137)</f>
        <v>0</v>
      </c>
      <c r="BQ67" s="152">
        <f>SUM('INSC-POSG plan'!BR135:BR137)</f>
        <v>0</v>
      </c>
      <c r="BR67" s="395">
        <f>SUM(BO67:BQ67)</f>
        <v>0</v>
      </c>
      <c r="BS67" s="151">
        <f>SUM('INSC-POSG plan'!BT135:BT137)</f>
        <v>0</v>
      </c>
      <c r="BT67" s="152">
        <f>SUM('INSC-POSG plan'!BU135:BU137)</f>
        <v>0</v>
      </c>
      <c r="BU67" s="152">
        <f>SUM('INSC-POSG plan'!BV135:BV137)</f>
        <v>0</v>
      </c>
      <c r="BV67" s="395">
        <f>SUM(BS67:BU67)</f>
        <v>0</v>
      </c>
      <c r="BW67" s="151">
        <f>SUM('INSC-POSG plan'!BX135:BX137)</f>
        <v>0</v>
      </c>
      <c r="BX67" s="152">
        <f>SUM('INSC-POSG plan'!BY135:BY137)</f>
        <v>0</v>
      </c>
      <c r="BY67" s="152">
        <f>SUM('INSC-POSG plan'!BZ135:BZ137)</f>
        <v>0</v>
      </c>
      <c r="BZ67" s="395">
        <f>SUM(BW67:BY67)</f>
        <v>0</v>
      </c>
      <c r="CA67" s="151">
        <f>SUM('INSC-POSG plan'!CB135:CB137)</f>
        <v>0</v>
      </c>
      <c r="CB67" s="152">
        <f>SUM('INSC-POSG plan'!CC135:CC137)</f>
        <v>0</v>
      </c>
      <c r="CC67" s="152">
        <f>SUM('INSC-POSG plan'!CD135:CD137)</f>
        <v>0</v>
      </c>
      <c r="CD67" s="395">
        <f>SUM(CA67:CC67)</f>
        <v>0</v>
      </c>
      <c r="CE67" s="151">
        <f>SUM('INSC-POSG plan'!CF135:CF137)</f>
        <v>0</v>
      </c>
      <c r="CF67" s="152">
        <f>SUM('INSC-POSG plan'!CG135:CG137)</f>
        <v>0</v>
      </c>
      <c r="CG67" s="152">
        <f>SUM('INSC-POSG plan'!CH135:CH137)</f>
        <v>0</v>
      </c>
      <c r="CH67" s="395">
        <f>SUM(CE67:CG67)</f>
        <v>0</v>
      </c>
      <c r="CI67" s="151">
        <f>SUM('INSC-POSG plan'!CJ135:CJ137)</f>
        <v>0</v>
      </c>
      <c r="CJ67" s="152">
        <f>SUM('INSC-POSG plan'!CK135:CK137)</f>
        <v>0</v>
      </c>
      <c r="CK67" s="152">
        <f>SUM('INSC-POSG plan'!CL135:CL137)</f>
        <v>0</v>
      </c>
      <c r="CL67" s="395">
        <f>SUM(CI67:CK67)</f>
        <v>0</v>
      </c>
      <c r="CM67" s="151">
        <f>SUM('INSC-POSG plan'!CN135:CN137)</f>
        <v>0</v>
      </c>
      <c r="CN67" s="152">
        <f>SUM('INSC-POSG plan'!CO135:CO137)</f>
        <v>0</v>
      </c>
      <c r="CO67" s="152">
        <f>SUM('INSC-POSG plan'!CP135:CP137)</f>
        <v>0</v>
      </c>
      <c r="CP67" s="395">
        <f>SUM(CM67:CO67)</f>
        <v>0</v>
      </c>
      <c r="CQ67" s="151">
        <f>SUM('INSC-POSG plan'!CR135:CR137)</f>
        <v>0</v>
      </c>
      <c r="CR67" s="152">
        <f>SUM('INSC-POSG plan'!CS135:CS137)</f>
        <v>0</v>
      </c>
      <c r="CS67" s="152">
        <f>SUM('INSC-POSG plan'!CT135:CT137)</f>
        <v>0</v>
      </c>
      <c r="CT67" s="395">
        <f>SUM(CQ67:CS67)</f>
        <v>0</v>
      </c>
    </row>
    <row r="68" spans="1:98" ht="15" x14ac:dyDescent="0.25">
      <c r="A68" s="1333"/>
      <c r="B68" s="1336" t="s">
        <v>310</v>
      </c>
      <c r="C68" s="1262">
        <f>+'INSC-POSG plan'!D138+'INSC-POSG plan'!D139+'INSC-POSG plan'!D140+'INSC-POSG plan'!D141+'INSC-POSG plan'!D142+'INSC-POSG plan'!D143+'INSC-POSG plan'!D144</f>
        <v>32</v>
      </c>
      <c r="D68" s="1263">
        <f>+'INSC-POSG plan'!E138+'INSC-POSG plan'!E139+'INSC-POSG plan'!E140+'INSC-POSG plan'!E141+'INSC-POSG plan'!E142+'INSC-POSG plan'!E143+'INSC-POSG plan'!E144</f>
        <v>0</v>
      </c>
      <c r="E68" s="1263">
        <f>+'INSC-POSG plan'!F138+'INSC-POSG plan'!F139+'INSC-POSG plan'!F140+'INSC-POSG plan'!F141+'INSC-POSG plan'!F142+'INSC-POSG plan'!F143+'INSC-POSG plan'!F144</f>
        <v>19</v>
      </c>
      <c r="F68" s="1264">
        <f t="shared" si="45"/>
        <v>51</v>
      </c>
      <c r="G68" s="1262">
        <f>+'INSC-POSG plan'!H138+'INSC-POSG plan'!H139+'INSC-POSG plan'!H140+'INSC-POSG plan'!H141+'INSC-POSG plan'!H142+'INSC-POSG plan'!H143+'INSC-POSG plan'!H144</f>
        <v>57</v>
      </c>
      <c r="H68" s="1263">
        <f>+'INSC-POSG plan'!I138+'INSC-POSG plan'!I139+'INSC-POSG plan'!I140+'INSC-POSG plan'!I141+'INSC-POSG plan'!I142+'INSC-POSG plan'!I143+'INSC-POSG plan'!I144</f>
        <v>0</v>
      </c>
      <c r="I68" s="1263">
        <f>+'INSC-POSG plan'!J138+'INSC-POSG plan'!J139+'INSC-POSG plan'!J140+'INSC-POSG plan'!J141+'INSC-POSG plan'!J142+'INSC-POSG plan'!J143+'INSC-POSG plan'!J144</f>
        <v>7</v>
      </c>
      <c r="J68" s="1264">
        <f t="shared" si="91"/>
        <v>64</v>
      </c>
      <c r="K68" s="1262">
        <f>+'INSC-POSG plan'!L138+'INSC-POSG plan'!L139+'INSC-POSG plan'!L140+'INSC-POSG plan'!L141+'INSC-POSG plan'!L142+'INSC-POSG plan'!L143+'INSC-POSG plan'!L144</f>
        <v>34</v>
      </c>
      <c r="L68" s="1263">
        <f>+'INSC-POSG plan'!M138+'INSC-POSG plan'!M139+'INSC-POSG plan'!M140+'INSC-POSG plan'!M141+'INSC-POSG plan'!M142+'INSC-POSG plan'!M143+'INSC-POSG plan'!M144</f>
        <v>0</v>
      </c>
      <c r="M68" s="1263">
        <f>+'INSC-POSG plan'!N138+'INSC-POSG plan'!N139+'INSC-POSG plan'!N140+'INSC-POSG plan'!N141+'INSC-POSG plan'!N142+'INSC-POSG plan'!N143+'INSC-POSG plan'!N144</f>
        <v>23</v>
      </c>
      <c r="N68" s="1264">
        <f t="shared" si="92"/>
        <v>57</v>
      </c>
      <c r="O68" s="1262">
        <f>+'INSC-POSG plan'!P138+'INSC-POSG plan'!P139+'INSC-POSG plan'!P140+'INSC-POSG plan'!P141+'INSC-POSG plan'!P142+'INSC-POSG plan'!P143+'INSC-POSG plan'!P144</f>
        <v>36</v>
      </c>
      <c r="P68" s="1263">
        <f>+'INSC-POSG plan'!Q138+'INSC-POSG plan'!Q139+'INSC-POSG plan'!Q140+'INSC-POSG plan'!Q141+'INSC-POSG plan'!Q142+'INSC-POSG plan'!Q143+'INSC-POSG plan'!Q144</f>
        <v>0</v>
      </c>
      <c r="Q68" s="1263">
        <f>+'INSC-POSG plan'!R138+'INSC-POSG plan'!R139+'INSC-POSG plan'!R140+'INSC-POSG plan'!R141+'INSC-POSG plan'!R142+'INSC-POSG plan'!R143+'INSC-POSG plan'!R144</f>
        <v>22</v>
      </c>
      <c r="R68" s="1264">
        <f t="shared" si="93"/>
        <v>58</v>
      </c>
      <c r="S68" s="1262">
        <v>20</v>
      </c>
      <c r="T68" s="1263">
        <v>11</v>
      </c>
      <c r="U68" s="1263">
        <v>36</v>
      </c>
      <c r="V68" s="1264">
        <v>67</v>
      </c>
      <c r="W68" s="1262">
        <v>17</v>
      </c>
      <c r="X68" s="1263"/>
      <c r="Y68" s="1263">
        <v>11</v>
      </c>
      <c r="Z68" s="1337">
        <v>28</v>
      </c>
      <c r="AA68" s="1262">
        <v>16</v>
      </c>
      <c r="AB68" s="1263">
        <v>4</v>
      </c>
      <c r="AC68" s="1263">
        <v>63</v>
      </c>
      <c r="AD68" s="1264">
        <v>83</v>
      </c>
      <c r="AE68" s="1263">
        <v>3</v>
      </c>
      <c r="AF68" s="1263">
        <v>4</v>
      </c>
      <c r="AG68" s="1263">
        <v>43</v>
      </c>
      <c r="AH68" s="1264">
        <v>50</v>
      </c>
      <c r="AI68" s="1263">
        <v>3</v>
      </c>
      <c r="AJ68" s="1263">
        <v>8</v>
      </c>
      <c r="AK68" s="1263">
        <v>56</v>
      </c>
      <c r="AL68" s="1338">
        <v>67</v>
      </c>
      <c r="AM68" s="129">
        <v>6</v>
      </c>
      <c r="AN68" s="130">
        <v>14</v>
      </c>
      <c r="AO68" s="130">
        <v>43</v>
      </c>
      <c r="AP68" s="396">
        <v>63</v>
      </c>
      <c r="AQ68" s="129">
        <v>8</v>
      </c>
      <c r="AR68" s="130">
        <v>6</v>
      </c>
      <c r="AS68" s="130">
        <v>52</v>
      </c>
      <c r="AT68" s="396">
        <f t="shared" si="94"/>
        <v>66</v>
      </c>
      <c r="AU68" s="129">
        <v>18</v>
      </c>
      <c r="AV68" s="130">
        <v>5</v>
      </c>
      <c r="AW68" s="130">
        <v>42</v>
      </c>
      <c r="AX68" s="396">
        <f>SUM(AU68:AW68)</f>
        <v>65</v>
      </c>
      <c r="AY68" s="129">
        <v>2</v>
      </c>
      <c r="AZ68" s="130">
        <v>15</v>
      </c>
      <c r="BA68" s="130">
        <v>42</v>
      </c>
      <c r="BB68" s="396">
        <f>SUM(AY68:BA68)</f>
        <v>59</v>
      </c>
      <c r="BC68" s="129">
        <f>SUM('INSC-POSG plan'!BD138,'INSC-POSG plan'!BD139,'INSC-POSG plan'!BD140,'INSC-POSG plan'!BD141,'INSC-POSG plan'!BD142,'INSC-POSG plan'!BD143,'INSC-POSG plan'!BD144)</f>
        <v>16</v>
      </c>
      <c r="BD68" s="130">
        <f>SUM('INSC-POSG plan'!BE138,'INSC-POSG plan'!BE139,'INSC-POSG plan'!BE140,'INSC-POSG plan'!BE141,'INSC-POSG plan'!BE142,'INSC-POSG plan'!BE143,'INSC-POSG plan'!BE144)</f>
        <v>18</v>
      </c>
      <c r="BE68" s="130">
        <f>SUM('INSC-POSG plan'!BF138,'INSC-POSG plan'!BF139,'INSC-POSG plan'!BF140,'INSC-POSG plan'!BF141,'INSC-POSG plan'!BF142,'INSC-POSG plan'!BF143,'INSC-POSG plan'!BF144)</f>
        <v>39</v>
      </c>
      <c r="BF68" s="396">
        <f>SUM(BC68:BE68)</f>
        <v>73</v>
      </c>
      <c r="BG68" s="129">
        <f>SUM('INSC-POSG plan'!BH138:BH144)</f>
        <v>5</v>
      </c>
      <c r="BH68" s="130">
        <f>SUM('INSC-POSG plan'!BI138,'INSC-POSG plan'!BI139,'INSC-POSG plan'!BI140,'INSC-POSG plan'!BI141,'INSC-POSG plan'!BI142,'INSC-POSG plan'!BI143,'INSC-POSG plan'!BI144)</f>
        <v>32</v>
      </c>
      <c r="BI68" s="130">
        <f>SUM('INSC-POSG plan'!BJ138:BJ144)</f>
        <v>43</v>
      </c>
      <c r="BJ68" s="396">
        <f>SUM(BG68:BI68)</f>
        <v>80</v>
      </c>
      <c r="BK68" s="129">
        <f>SUM('INSC-POSG plan'!BL138:BL146)</f>
        <v>6</v>
      </c>
      <c r="BL68" s="130">
        <f>SUM('INSC-POSG plan'!BM138:BM146)</f>
        <v>29</v>
      </c>
      <c r="BM68" s="130">
        <f>SUM('INSC-POSG plan'!BN138:BN146)</f>
        <v>34</v>
      </c>
      <c r="BN68" s="396">
        <f>SUM(BK68:BM68)</f>
        <v>69</v>
      </c>
      <c r="BO68" s="129">
        <f>SUM('INSC-POSG plan'!BP138:BP146)</f>
        <v>31</v>
      </c>
      <c r="BP68" s="130">
        <f>SUM('INSC-POSG plan'!BQ138:BQ146)</f>
        <v>30</v>
      </c>
      <c r="BQ68" s="130">
        <f>SUM('INSC-POSG plan'!BR138:BR146)</f>
        <v>47</v>
      </c>
      <c r="BR68" s="396">
        <f>SUM(BO68:BQ68)</f>
        <v>108</v>
      </c>
      <c r="BS68" s="129">
        <f>SUM('INSC-POSG plan'!BT138:BT146)</f>
        <v>7</v>
      </c>
      <c r="BT68" s="130">
        <f>SUM('INSC-POSG plan'!BU138:BU146)</f>
        <v>27</v>
      </c>
      <c r="BU68" s="130">
        <f>SUM('INSC-POSG plan'!BV138:BV146)</f>
        <v>43</v>
      </c>
      <c r="BV68" s="396">
        <f>SUM(BS68:BU68)</f>
        <v>77</v>
      </c>
      <c r="BW68" s="129">
        <f>SUM('INSC-POSG plan'!BX138:BX146)</f>
        <v>18</v>
      </c>
      <c r="BX68" s="130">
        <f>SUM('INSC-POSG plan'!BY138:BY146)</f>
        <v>26</v>
      </c>
      <c r="BY68" s="130">
        <f>SUM('INSC-POSG plan'!BZ138:BZ146)</f>
        <v>48</v>
      </c>
      <c r="BZ68" s="396">
        <f>SUM(BW68:BY68)</f>
        <v>92</v>
      </c>
      <c r="CA68" s="129">
        <f>SUM('INSC-POSG plan'!CB138:CB146)</f>
        <v>4</v>
      </c>
      <c r="CB68" s="130">
        <f>SUM('INSC-POSG plan'!CC138:CC146)</f>
        <v>43</v>
      </c>
      <c r="CC68" s="130">
        <f>SUM('INSC-POSG plan'!CD138:CD146)</f>
        <v>37</v>
      </c>
      <c r="CD68" s="396">
        <f>SUM(CA68:CC68)</f>
        <v>84</v>
      </c>
      <c r="CE68" s="129">
        <f>SUM('INSC-POSG plan'!CF138:CF146)</f>
        <v>13</v>
      </c>
      <c r="CF68" s="130">
        <f>SUM('INSC-POSG plan'!CG138:CG146)</f>
        <v>51</v>
      </c>
      <c r="CG68" s="130">
        <f>SUM('INSC-POSG plan'!CH138:CH146)</f>
        <v>31</v>
      </c>
      <c r="CH68" s="396">
        <f>SUM(CE68:CG68)</f>
        <v>95</v>
      </c>
      <c r="CI68" s="129">
        <f>SUM('INSC-POSG plan'!CJ138:CJ146)</f>
        <v>29</v>
      </c>
      <c r="CJ68" s="130">
        <f>SUM('INSC-POSG plan'!CK138:CK146)</f>
        <v>12</v>
      </c>
      <c r="CK68" s="130">
        <f>SUM('INSC-POSG plan'!CL138:CL146)</f>
        <v>12</v>
      </c>
      <c r="CL68" s="396">
        <f>SUM(CI68:CK68)</f>
        <v>53</v>
      </c>
      <c r="CM68" s="129">
        <f>SUM('INSC-POSG plan'!CN138:CN146)</f>
        <v>23</v>
      </c>
      <c r="CN68" s="130">
        <f>SUM('INSC-POSG plan'!CO138:CO146)</f>
        <v>37</v>
      </c>
      <c r="CO68" s="130">
        <f>SUM('INSC-POSG plan'!CP138:CP146)</f>
        <v>44</v>
      </c>
      <c r="CP68" s="396">
        <f>SUM(CM68:CO68)</f>
        <v>104</v>
      </c>
      <c r="CQ68" s="129">
        <f>SUM('INSC-POSG plan'!CR138:CR147)</f>
        <v>15</v>
      </c>
      <c r="CR68" s="130">
        <f>SUM('INSC-POSG plan'!CS138:CS146)</f>
        <v>23</v>
      </c>
      <c r="CS68" s="130">
        <f>SUM('INSC-POSG plan'!CT138:CT147)</f>
        <v>26</v>
      </c>
      <c r="CT68" s="396">
        <f>SUM(CQ68:CS68)</f>
        <v>64</v>
      </c>
    </row>
    <row r="69" spans="1:98" ht="15" x14ac:dyDescent="0.25">
      <c r="A69" s="1333"/>
      <c r="B69" s="1339" t="s">
        <v>317</v>
      </c>
      <c r="C69" s="1267">
        <f>+'INSC-POSG plan'!D148+'INSC-POSG plan'!D150</f>
        <v>0</v>
      </c>
      <c r="D69" s="1268">
        <f>+'INSC-POSG plan'!E148+'INSC-POSG plan'!E150</f>
        <v>0</v>
      </c>
      <c r="E69" s="1268">
        <f>+'INSC-POSG plan'!F148+'INSC-POSG plan'!F150</f>
        <v>6</v>
      </c>
      <c r="F69" s="1269">
        <f t="shared" si="45"/>
        <v>6</v>
      </c>
      <c r="G69" s="1267">
        <f>+'INSC-POSG plan'!H148+'INSC-POSG plan'!H150</f>
        <v>0</v>
      </c>
      <c r="H69" s="1268">
        <f>+'INSC-POSG plan'!I148+'INSC-POSG plan'!I150</f>
        <v>0</v>
      </c>
      <c r="I69" s="1268">
        <f>+'INSC-POSG plan'!J148+'INSC-POSG plan'!J150</f>
        <v>4</v>
      </c>
      <c r="J69" s="1269">
        <f t="shared" si="91"/>
        <v>4</v>
      </c>
      <c r="K69" s="1267">
        <f>+'INSC-POSG plan'!L148+'INSC-POSG plan'!L150</f>
        <v>0</v>
      </c>
      <c r="L69" s="1268">
        <f>+'INSC-POSG plan'!M148+'INSC-POSG plan'!M150</f>
        <v>0</v>
      </c>
      <c r="M69" s="1268">
        <f>+'INSC-POSG plan'!N148+'INSC-POSG plan'!N150</f>
        <v>15</v>
      </c>
      <c r="N69" s="1269">
        <f t="shared" si="92"/>
        <v>15</v>
      </c>
      <c r="O69" s="1267">
        <f>+'INSC-POSG plan'!P148+'INSC-POSG plan'!P150</f>
        <v>12</v>
      </c>
      <c r="P69" s="1268">
        <f>+'INSC-POSG plan'!Q148+'INSC-POSG plan'!Q150</f>
        <v>0</v>
      </c>
      <c r="Q69" s="1268">
        <f>+'INSC-POSG plan'!R148+'INSC-POSG plan'!R150</f>
        <v>12</v>
      </c>
      <c r="R69" s="1269">
        <f t="shared" si="93"/>
        <v>24</v>
      </c>
      <c r="S69" s="1267">
        <v>7</v>
      </c>
      <c r="T69" s="1268"/>
      <c r="U69" s="1268">
        <v>18</v>
      </c>
      <c r="V69" s="1269">
        <v>25</v>
      </c>
      <c r="W69" s="1267">
        <v>2</v>
      </c>
      <c r="X69" s="1268"/>
      <c r="Y69" s="1268">
        <v>5</v>
      </c>
      <c r="Z69" s="1340">
        <v>7</v>
      </c>
      <c r="AA69" s="1267">
        <v>4</v>
      </c>
      <c r="AB69" s="1268"/>
      <c r="AC69" s="1268">
        <v>13</v>
      </c>
      <c r="AD69" s="1269">
        <v>17</v>
      </c>
      <c r="AE69" s="1268">
        <v>6</v>
      </c>
      <c r="AF69" s="1268"/>
      <c r="AG69" s="1268">
        <v>20</v>
      </c>
      <c r="AH69" s="1269">
        <v>26</v>
      </c>
      <c r="AI69" s="1268">
        <v>7</v>
      </c>
      <c r="AJ69" s="1268"/>
      <c r="AK69" s="1268">
        <v>21</v>
      </c>
      <c r="AL69" s="1341">
        <v>28</v>
      </c>
      <c r="AM69" s="196">
        <v>6</v>
      </c>
      <c r="AN69" s="197"/>
      <c r="AO69" s="197">
        <v>7</v>
      </c>
      <c r="AP69" s="397">
        <v>13</v>
      </c>
      <c r="AQ69" s="196">
        <v>13</v>
      </c>
      <c r="AR69" s="197"/>
      <c r="AS69" s="197">
        <v>13</v>
      </c>
      <c r="AT69" s="397">
        <f t="shared" si="94"/>
        <v>26</v>
      </c>
      <c r="AU69" s="196">
        <v>6</v>
      </c>
      <c r="AV69" s="197"/>
      <c r="AW69" s="197">
        <v>19</v>
      </c>
      <c r="AX69" s="397">
        <f>SUM(AU69:AW69)</f>
        <v>25</v>
      </c>
      <c r="AY69" s="196">
        <v>9</v>
      </c>
      <c r="AZ69" s="197"/>
      <c r="BA69" s="197">
        <v>8</v>
      </c>
      <c r="BB69" s="397">
        <f>SUM(AY69:BA69)</f>
        <v>17</v>
      </c>
      <c r="BC69" s="196">
        <f>SUM('INSC-POSG plan'!BD148,'INSC-POSG plan'!BD150)</f>
        <v>9</v>
      </c>
      <c r="BD69" s="197"/>
      <c r="BE69" s="197">
        <f>SUM('INSC-POSG plan'!BF148,'INSC-POSG plan'!BF150)</f>
        <v>18</v>
      </c>
      <c r="BF69" s="397">
        <f>SUM(BC69:BE69)</f>
        <v>27</v>
      </c>
      <c r="BG69" s="196">
        <f>SUM('INSC-POSG plan'!BH148:BH151)</f>
        <v>15</v>
      </c>
      <c r="BH69" s="197"/>
      <c r="BI69" s="197">
        <f>SUM('INSC-POSG plan'!BJ148:BJ151)</f>
        <v>7</v>
      </c>
      <c r="BJ69" s="397">
        <f>SUM(BG69:BI69)</f>
        <v>22</v>
      </c>
      <c r="BK69" s="196">
        <f>SUM('INSC-POSG plan'!BL148:BL151)</f>
        <v>11</v>
      </c>
      <c r="BL69" s="197">
        <f>SUM('INSC-POSG plan'!BM148:BM151)</f>
        <v>0</v>
      </c>
      <c r="BM69" s="197">
        <f>SUM('INSC-POSG plan'!BN148:BN151)</f>
        <v>23</v>
      </c>
      <c r="BN69" s="397">
        <f>SUM(BK69:BM69)</f>
        <v>34</v>
      </c>
      <c r="BO69" s="196">
        <f>SUM('INSC-POSG plan'!BP148:BP151)</f>
        <v>12</v>
      </c>
      <c r="BP69" s="197">
        <f>SUM('INSC-POSG plan'!BQ148:BQ151)</f>
        <v>0</v>
      </c>
      <c r="BQ69" s="197">
        <f>SUM('INSC-POSG plan'!BR148:BR151)</f>
        <v>8</v>
      </c>
      <c r="BR69" s="397">
        <f>SUM(BO69:BQ69)</f>
        <v>20</v>
      </c>
      <c r="BS69" s="196">
        <f>SUM('INSC-POSG plan'!BT148:BT151)</f>
        <v>13</v>
      </c>
      <c r="BT69" s="197">
        <f>SUM('INSC-POSG plan'!BU148:BU151)</f>
        <v>0</v>
      </c>
      <c r="BU69" s="197">
        <f>SUM('INSC-POSG plan'!BV148:BV151)</f>
        <v>22</v>
      </c>
      <c r="BV69" s="397">
        <f>SUM(BS69:BU69)</f>
        <v>35</v>
      </c>
      <c r="BW69" s="196">
        <f>SUM('INSC-POSG plan'!BX148:BX151)</f>
        <v>11</v>
      </c>
      <c r="BX69" s="197">
        <f>SUM('INSC-POSG plan'!BY148:BY151)</f>
        <v>0</v>
      </c>
      <c r="BY69" s="197">
        <f>SUM('INSC-POSG plan'!BZ148:BZ151)</f>
        <v>5</v>
      </c>
      <c r="BZ69" s="397">
        <f>SUM(BW69:BY69)</f>
        <v>16</v>
      </c>
      <c r="CA69" s="196">
        <f>SUM('INSC-POSG plan'!CB148:CB151)</f>
        <v>12</v>
      </c>
      <c r="CB69" s="197">
        <f>SUM('INSC-POSG plan'!CC148:CC151)</f>
        <v>0</v>
      </c>
      <c r="CC69" s="197">
        <f>SUM('INSC-POSG plan'!CD148:CD151)</f>
        <v>21</v>
      </c>
      <c r="CD69" s="397">
        <f>SUM(CA69:CC69)</f>
        <v>33</v>
      </c>
      <c r="CE69" s="196">
        <f>SUM('INSC-POSG plan'!CF148:CF151)</f>
        <v>7</v>
      </c>
      <c r="CF69" s="197">
        <f>SUM('INSC-POSG plan'!CG148:CG151)</f>
        <v>3</v>
      </c>
      <c r="CG69" s="197">
        <f>SUM('INSC-POSG plan'!CH148:CH151)</f>
        <v>18</v>
      </c>
      <c r="CH69" s="397">
        <f>SUM(CE69:CG69)</f>
        <v>28</v>
      </c>
      <c r="CI69" s="196">
        <f>SUM('INSC-POSG plan'!CJ148:CJ151)</f>
        <v>0</v>
      </c>
      <c r="CJ69" s="197">
        <f>SUM('INSC-POSG plan'!CK148:CK151)</f>
        <v>22</v>
      </c>
      <c r="CK69" s="197">
        <f>SUM('INSC-POSG plan'!CL148:CL151)</f>
        <v>0</v>
      </c>
      <c r="CL69" s="397">
        <f>SUM(CI69:CK69)</f>
        <v>22</v>
      </c>
      <c r="CM69" s="196">
        <f>SUM('INSC-POSG plan'!CN148:CN151)</f>
        <v>10</v>
      </c>
      <c r="CN69" s="197">
        <f>SUM('INSC-POSG plan'!CO148:CO151)</f>
        <v>8</v>
      </c>
      <c r="CO69" s="197">
        <f>SUM('INSC-POSG plan'!CP148:CP151)</f>
        <v>1</v>
      </c>
      <c r="CP69" s="397">
        <f>SUM(CM69:CO69)</f>
        <v>19</v>
      </c>
      <c r="CQ69" s="196">
        <f>SUM('INSC-POSG plan'!CR148:CR151)</f>
        <v>5</v>
      </c>
      <c r="CR69" s="197">
        <f>SUM('INSC-POSG plan'!CS148:CS151)</f>
        <v>7</v>
      </c>
      <c r="CS69" s="197">
        <f>SUM('INSC-POSG plan'!CT148:CT151)</f>
        <v>18</v>
      </c>
      <c r="CT69" s="397">
        <f>SUM(CQ69:CS69)</f>
        <v>30</v>
      </c>
    </row>
    <row r="70" spans="1:98" s="1330" customFormat="1" ht="15" x14ac:dyDescent="0.25">
      <c r="A70" s="1333"/>
      <c r="B70" s="1342" t="s">
        <v>430</v>
      </c>
      <c r="C70" s="1343">
        <f>SUM(C67:C69)</f>
        <v>43</v>
      </c>
      <c r="D70" s="1344">
        <f>SUM(D67:D69)</f>
        <v>0</v>
      </c>
      <c r="E70" s="1344">
        <f>SUM(E67:E69)</f>
        <v>36</v>
      </c>
      <c r="F70" s="1345">
        <f t="shared" si="45"/>
        <v>79</v>
      </c>
      <c r="G70" s="1343">
        <f>SUM(G67:G69)</f>
        <v>69</v>
      </c>
      <c r="H70" s="1344">
        <f>SUM(H67:H69)</f>
        <v>0</v>
      </c>
      <c r="I70" s="1344">
        <f>SUM(I67:I69)</f>
        <v>11</v>
      </c>
      <c r="J70" s="1345">
        <f t="shared" si="91"/>
        <v>80</v>
      </c>
      <c r="K70" s="1343">
        <f>SUM(K67:K69)</f>
        <v>48</v>
      </c>
      <c r="L70" s="1344">
        <f>SUM(L67:L69)</f>
        <v>1</v>
      </c>
      <c r="M70" s="1344">
        <f>SUM(M67:M69)</f>
        <v>53</v>
      </c>
      <c r="N70" s="1345">
        <f t="shared" si="92"/>
        <v>102</v>
      </c>
      <c r="O70" s="1343">
        <f>SUM(O67:O69)</f>
        <v>60</v>
      </c>
      <c r="P70" s="1344">
        <f>SUM(P67:P69)</f>
        <v>0</v>
      </c>
      <c r="Q70" s="1344">
        <f>SUM(Q67:Q69)</f>
        <v>35</v>
      </c>
      <c r="R70" s="1345">
        <f t="shared" si="93"/>
        <v>95</v>
      </c>
      <c r="S70" s="1343">
        <v>39</v>
      </c>
      <c r="T70" s="1344">
        <v>11</v>
      </c>
      <c r="U70" s="1344">
        <v>54</v>
      </c>
      <c r="V70" s="1345">
        <v>104</v>
      </c>
      <c r="W70" s="1343">
        <v>29</v>
      </c>
      <c r="X70" s="1344"/>
      <c r="Y70" s="1344">
        <v>16</v>
      </c>
      <c r="Z70" s="1344">
        <v>45</v>
      </c>
      <c r="AA70" s="1343">
        <v>20</v>
      </c>
      <c r="AB70" s="1344">
        <v>4</v>
      </c>
      <c r="AC70" s="1344">
        <v>76</v>
      </c>
      <c r="AD70" s="1345">
        <v>100</v>
      </c>
      <c r="AE70" s="1344">
        <v>22</v>
      </c>
      <c r="AF70" s="1344">
        <v>4</v>
      </c>
      <c r="AG70" s="1344">
        <v>63</v>
      </c>
      <c r="AH70" s="1345">
        <v>89</v>
      </c>
      <c r="AI70" s="1344">
        <v>18</v>
      </c>
      <c r="AJ70" s="1344">
        <v>8</v>
      </c>
      <c r="AK70" s="1344">
        <v>77</v>
      </c>
      <c r="AL70" s="1345">
        <v>103</v>
      </c>
      <c r="AM70" s="201">
        <v>24</v>
      </c>
      <c r="AN70" s="202">
        <v>14</v>
      </c>
      <c r="AO70" s="202">
        <v>50</v>
      </c>
      <c r="AP70" s="203">
        <v>88</v>
      </c>
      <c r="AQ70" s="201">
        <f>SUM(AQ67:AQ69)</f>
        <v>31</v>
      </c>
      <c r="AR70" s="202">
        <f>SUM(AR67:AR69)</f>
        <v>6</v>
      </c>
      <c r="AS70" s="202">
        <f>SUM(AS67:AS69)</f>
        <v>65</v>
      </c>
      <c r="AT70" s="203">
        <f t="shared" si="94"/>
        <v>102</v>
      </c>
      <c r="AU70" s="201">
        <f>SUM(AU67:AU69)</f>
        <v>24</v>
      </c>
      <c r="AV70" s="202">
        <f>SUM(AV67:AV69)</f>
        <v>5</v>
      </c>
      <c r="AW70" s="202">
        <f>SUM(AW67:AW69)</f>
        <v>61</v>
      </c>
      <c r="AX70" s="203">
        <f>SUM(AU70:AW70)</f>
        <v>90</v>
      </c>
      <c r="AY70" s="201">
        <f>SUM(AY67:AY69)</f>
        <v>23</v>
      </c>
      <c r="AZ70" s="202">
        <f>SUM(AZ67:AZ69)</f>
        <v>15</v>
      </c>
      <c r="BA70" s="202">
        <f>SUM(BA67:BA69)</f>
        <v>69</v>
      </c>
      <c r="BB70" s="203">
        <f>SUM(AY70:BA70)</f>
        <v>107</v>
      </c>
      <c r="BC70" s="201">
        <f>SUM(BC67:BC69)</f>
        <v>25</v>
      </c>
      <c r="BD70" s="202">
        <f>SUM(BD67:BD69)</f>
        <v>18</v>
      </c>
      <c r="BE70" s="202">
        <f>SUM(BE67:BE69)</f>
        <v>57</v>
      </c>
      <c r="BF70" s="203">
        <f>SUM(BC70:BE70)</f>
        <v>100</v>
      </c>
      <c r="BG70" s="201">
        <f>SUM(BG67:BG69)</f>
        <v>32</v>
      </c>
      <c r="BH70" s="202">
        <f>SUM(BH67:BH69)</f>
        <v>32</v>
      </c>
      <c r="BI70" s="202">
        <f>SUM(BI67:BI69)</f>
        <v>51</v>
      </c>
      <c r="BJ70" s="203">
        <f>SUM(BG70:BI70)</f>
        <v>115</v>
      </c>
      <c r="BK70" s="201">
        <f>SUM(BK67:BK69)</f>
        <v>17</v>
      </c>
      <c r="BL70" s="202">
        <f>SUM(BL67:BL69)</f>
        <v>29</v>
      </c>
      <c r="BM70" s="202">
        <f>SUM(BM67:BM69)</f>
        <v>57</v>
      </c>
      <c r="BN70" s="203">
        <f>SUM(BK70:BM70)</f>
        <v>103</v>
      </c>
      <c r="BO70" s="201">
        <f>SUM(BO67:BO69)</f>
        <v>43</v>
      </c>
      <c r="BP70" s="202">
        <f>SUM(BP67:BP69)</f>
        <v>30</v>
      </c>
      <c r="BQ70" s="202">
        <f>SUM(BQ67:BQ69)</f>
        <v>55</v>
      </c>
      <c r="BR70" s="203">
        <f>SUM(BO70:BQ70)</f>
        <v>128</v>
      </c>
      <c r="BS70" s="201">
        <f>SUM(BS67:BS69)</f>
        <v>20</v>
      </c>
      <c r="BT70" s="202">
        <f>SUM(BT67:BT69)</f>
        <v>27</v>
      </c>
      <c r="BU70" s="202">
        <f>SUM(BU67:BU69)</f>
        <v>65</v>
      </c>
      <c r="BV70" s="203">
        <f>SUM(BS70:BU70)</f>
        <v>112</v>
      </c>
      <c r="BW70" s="201">
        <f>SUM(BW67:BW69)</f>
        <v>29</v>
      </c>
      <c r="BX70" s="202">
        <f>SUM(BX67:BX69)</f>
        <v>26</v>
      </c>
      <c r="BY70" s="202">
        <f>SUM(BY67:BY69)</f>
        <v>53</v>
      </c>
      <c r="BZ70" s="203">
        <f>SUM(BW70:BY70)</f>
        <v>108</v>
      </c>
      <c r="CA70" s="201">
        <f>SUM(CA67:CA69)</f>
        <v>16</v>
      </c>
      <c r="CB70" s="202">
        <f>SUM(CB67:CB69)</f>
        <v>43</v>
      </c>
      <c r="CC70" s="202">
        <f>SUM(CC67:CC69)</f>
        <v>58</v>
      </c>
      <c r="CD70" s="203">
        <f>SUM(CA70:CC70)</f>
        <v>117</v>
      </c>
      <c r="CE70" s="201">
        <f>SUM(CE67:CE69)</f>
        <v>20</v>
      </c>
      <c r="CF70" s="202">
        <f>SUM(CF67:CF69)</f>
        <v>54</v>
      </c>
      <c r="CG70" s="202">
        <f>SUM(CG67:CG69)</f>
        <v>49</v>
      </c>
      <c r="CH70" s="203">
        <f>SUM(CE70:CG70)</f>
        <v>123</v>
      </c>
      <c r="CI70" s="201">
        <f>SUM(CI67:CI69)</f>
        <v>29</v>
      </c>
      <c r="CJ70" s="202">
        <f>SUM(CJ67:CJ69)</f>
        <v>34</v>
      </c>
      <c r="CK70" s="202">
        <f>SUM(CK67:CK69)</f>
        <v>12</v>
      </c>
      <c r="CL70" s="203">
        <f>SUM(CI70:CK70)</f>
        <v>75</v>
      </c>
      <c r="CM70" s="201">
        <f>SUM(CM67:CM69)</f>
        <v>33</v>
      </c>
      <c r="CN70" s="202">
        <f>SUM(CN67:CN69)</f>
        <v>45</v>
      </c>
      <c r="CO70" s="202">
        <f>SUM(CO67:CO69)</f>
        <v>45</v>
      </c>
      <c r="CP70" s="203">
        <f>SUM(CM70:CO70)</f>
        <v>123</v>
      </c>
      <c r="CQ70" s="201">
        <f>SUM(CQ67:CQ69)</f>
        <v>20</v>
      </c>
      <c r="CR70" s="202">
        <f>SUM(CR67:CR69)</f>
        <v>30</v>
      </c>
      <c r="CS70" s="202">
        <f>SUM(CS67:CS69)</f>
        <v>44</v>
      </c>
      <c r="CT70" s="203">
        <f>SUM(CQ70:CS70)</f>
        <v>94</v>
      </c>
    </row>
    <row r="71" spans="1:98" ht="15" x14ac:dyDescent="0.25">
      <c r="A71" s="1333"/>
      <c r="B71" s="1334" t="s">
        <v>308</v>
      </c>
      <c r="C71" s="1258"/>
      <c r="D71" s="1259"/>
      <c r="E71" s="1259"/>
      <c r="F71" s="1260"/>
      <c r="G71" s="1258"/>
      <c r="H71" s="1259"/>
      <c r="I71" s="1259"/>
      <c r="J71" s="1260"/>
      <c r="K71" s="1258"/>
      <c r="L71" s="1259"/>
      <c r="M71" s="1259"/>
      <c r="N71" s="1260"/>
      <c r="O71" s="1258"/>
      <c r="P71" s="1259"/>
      <c r="Q71" s="1259"/>
      <c r="R71" s="1260"/>
      <c r="S71" s="1258"/>
      <c r="T71" s="1259"/>
      <c r="U71" s="1259"/>
      <c r="V71" s="1260"/>
      <c r="W71" s="1258"/>
      <c r="X71" s="1259"/>
      <c r="Y71" s="1259"/>
      <c r="Z71" s="1298"/>
      <c r="AA71" s="1258"/>
      <c r="AB71" s="1259"/>
      <c r="AC71" s="1259"/>
      <c r="AD71" s="1260"/>
      <c r="AE71" s="1259"/>
      <c r="AF71" s="1259"/>
      <c r="AG71" s="1259"/>
      <c r="AH71" s="1260"/>
      <c r="AI71" s="1259"/>
      <c r="AJ71" s="1259"/>
      <c r="AK71" s="1259"/>
      <c r="AL71" s="1335"/>
      <c r="AM71" s="151"/>
      <c r="AN71" s="152"/>
      <c r="AO71" s="152"/>
      <c r="AP71" s="395"/>
      <c r="AQ71" s="151"/>
      <c r="AR71" s="152"/>
      <c r="AS71" s="152"/>
      <c r="AT71" s="395"/>
      <c r="AU71" s="151"/>
      <c r="AV71" s="152"/>
      <c r="AW71" s="152"/>
      <c r="AX71" s="395"/>
      <c r="AY71" s="151"/>
      <c r="AZ71" s="152"/>
      <c r="BA71" s="152"/>
      <c r="BB71" s="395"/>
      <c r="BC71" s="151"/>
      <c r="BD71" s="152"/>
      <c r="BE71" s="152"/>
      <c r="BF71" s="395"/>
      <c r="BG71" s="151"/>
      <c r="BH71" s="152"/>
      <c r="BI71" s="152"/>
      <c r="BJ71" s="395"/>
      <c r="BK71" s="151"/>
      <c r="BL71" s="152"/>
      <c r="BM71" s="152"/>
      <c r="BN71" s="395"/>
      <c r="BO71" s="151"/>
      <c r="BP71" s="152"/>
      <c r="BQ71" s="152"/>
      <c r="BR71" s="395"/>
      <c r="BS71" s="151"/>
      <c r="BT71" s="152"/>
      <c r="BU71" s="152"/>
      <c r="BV71" s="395"/>
      <c r="BW71" s="151"/>
      <c r="BX71" s="152"/>
      <c r="BY71" s="152"/>
      <c r="BZ71" s="395"/>
      <c r="CA71" s="151"/>
      <c r="CB71" s="152"/>
      <c r="CC71" s="152"/>
      <c r="CD71" s="395"/>
      <c r="CE71" s="151"/>
      <c r="CF71" s="152"/>
      <c r="CG71" s="152"/>
      <c r="CH71" s="395"/>
      <c r="CI71" s="151"/>
      <c r="CJ71" s="152"/>
      <c r="CK71" s="152"/>
      <c r="CL71" s="395"/>
      <c r="CM71" s="151"/>
      <c r="CN71" s="152"/>
      <c r="CO71" s="152"/>
      <c r="CP71" s="395"/>
      <c r="CQ71" s="151"/>
      <c r="CR71" s="152"/>
      <c r="CS71" s="152"/>
      <c r="CT71" s="395"/>
    </row>
    <row r="72" spans="1:98" ht="15" x14ac:dyDescent="0.25">
      <c r="A72" s="1333"/>
      <c r="B72" s="1336" t="s">
        <v>310</v>
      </c>
      <c r="C72" s="1262">
        <f>+'INSC-POSG plan'!D153+'INSC-POSG plan'!D154+'INSC-POSG plan'!D155</f>
        <v>0</v>
      </c>
      <c r="D72" s="1263">
        <f>+'INSC-POSG plan'!E153+'INSC-POSG plan'!E154+'INSC-POSG plan'!E155</f>
        <v>0</v>
      </c>
      <c r="E72" s="1263">
        <f>+'INSC-POSG plan'!F153+'INSC-POSG plan'!F154+'INSC-POSG plan'!F155</f>
        <v>0</v>
      </c>
      <c r="F72" s="1264">
        <f t="shared" si="45"/>
        <v>0</v>
      </c>
      <c r="G72" s="1262">
        <f>+'INSC-POSG plan'!H153+'INSC-POSG plan'!H154+'INSC-POSG plan'!H155</f>
        <v>0</v>
      </c>
      <c r="H72" s="1263">
        <f>+'INSC-POSG plan'!I153+'INSC-POSG plan'!I154+'INSC-POSG plan'!I155</f>
        <v>46</v>
      </c>
      <c r="I72" s="1263">
        <f>+'INSC-POSG plan'!J153+'INSC-POSG plan'!J154+'INSC-POSG plan'!J155</f>
        <v>0</v>
      </c>
      <c r="J72" s="1264">
        <f t="shared" si="91"/>
        <v>46</v>
      </c>
      <c r="K72" s="1262">
        <f>+'INSC-POSG plan'!L153+'INSC-POSG plan'!L154+'INSC-POSG plan'!L155</f>
        <v>0</v>
      </c>
      <c r="L72" s="1263">
        <f>+'INSC-POSG plan'!M153+'INSC-POSG plan'!M154+'INSC-POSG plan'!M155</f>
        <v>0</v>
      </c>
      <c r="M72" s="1263">
        <f>+'INSC-POSG plan'!N153+'INSC-POSG plan'!N154+'INSC-POSG plan'!N155</f>
        <v>0</v>
      </c>
      <c r="N72" s="1264">
        <f t="shared" si="92"/>
        <v>0</v>
      </c>
      <c r="O72" s="1262">
        <f>+'INSC-POSG plan'!P153+'INSC-POSG plan'!P154+'INSC-POSG plan'!P155</f>
        <v>0</v>
      </c>
      <c r="P72" s="1263">
        <f>+'INSC-POSG plan'!Q153+'INSC-POSG plan'!Q154+'INSC-POSG plan'!Q155</f>
        <v>0</v>
      </c>
      <c r="Q72" s="1263">
        <f>+'INSC-POSG plan'!R153+'INSC-POSG plan'!R154+'INSC-POSG plan'!R155</f>
        <v>26</v>
      </c>
      <c r="R72" s="1264">
        <f t="shared" si="93"/>
        <v>26</v>
      </c>
      <c r="S72" s="1262"/>
      <c r="T72" s="1263"/>
      <c r="U72" s="1263">
        <v>19</v>
      </c>
      <c r="V72" s="1264">
        <v>19</v>
      </c>
      <c r="W72" s="1262"/>
      <c r="X72" s="1263"/>
      <c r="Y72" s="1263">
        <v>23</v>
      </c>
      <c r="Z72" s="1337">
        <v>23</v>
      </c>
      <c r="AA72" s="1262"/>
      <c r="AB72" s="1263"/>
      <c r="AC72" s="1263">
        <v>20</v>
      </c>
      <c r="AD72" s="1264">
        <v>20</v>
      </c>
      <c r="AE72" s="1263"/>
      <c r="AF72" s="1263"/>
      <c r="AG72" s="1263">
        <v>22</v>
      </c>
      <c r="AH72" s="1264">
        <v>22</v>
      </c>
      <c r="AI72" s="1263"/>
      <c r="AJ72" s="1263"/>
      <c r="AK72" s="1263">
        <v>22</v>
      </c>
      <c r="AL72" s="1338">
        <v>22</v>
      </c>
      <c r="AM72" s="129"/>
      <c r="AN72" s="130"/>
      <c r="AO72" s="130">
        <v>18</v>
      </c>
      <c r="AP72" s="396">
        <v>18</v>
      </c>
      <c r="AQ72" s="129"/>
      <c r="AR72" s="130">
        <v>17</v>
      </c>
      <c r="AS72" s="130">
        <v>56</v>
      </c>
      <c r="AT72" s="396">
        <f>SUM(AQ72:AS72)</f>
        <v>73</v>
      </c>
      <c r="AU72" s="129"/>
      <c r="AV72" s="130"/>
      <c r="AW72" s="130">
        <v>15</v>
      </c>
      <c r="AX72" s="396">
        <f>SUM(AU72:AW72)</f>
        <v>15</v>
      </c>
      <c r="AY72" s="129"/>
      <c r="AZ72" s="130">
        <v>39</v>
      </c>
      <c r="BA72" s="130">
        <v>19</v>
      </c>
      <c r="BB72" s="396">
        <f>SUM(AY72:BA72)</f>
        <v>58</v>
      </c>
      <c r="BC72" s="129"/>
      <c r="BD72" s="130"/>
      <c r="BE72" s="130">
        <f>SUM('INSC-POSG plan'!BF153,'INSC-POSG plan'!BF154,'INSC-POSG plan'!BF155)</f>
        <v>19</v>
      </c>
      <c r="BF72" s="396">
        <f>SUM(BC72:BE72)</f>
        <v>19</v>
      </c>
      <c r="BG72" s="129"/>
      <c r="BH72" s="130">
        <f>SUM('INSC-POSG plan'!BI154:BI155)</f>
        <v>43</v>
      </c>
      <c r="BI72" s="130">
        <f>SUM('INSC-POSG plan'!BJ153:BJ155)</f>
        <v>23</v>
      </c>
      <c r="BJ72" s="396">
        <f>SUM(BG72:BI72)</f>
        <v>66</v>
      </c>
      <c r="BK72" s="130">
        <f>SUM('INSC-POSG plan'!BL153:BL155)</f>
        <v>0</v>
      </c>
      <c r="BL72" s="130">
        <f>SUM('INSC-POSG plan'!BM153:BM155)</f>
        <v>0</v>
      </c>
      <c r="BM72" s="130">
        <f>SUM('INSC-POSG plan'!BN153:BN155)</f>
        <v>25</v>
      </c>
      <c r="BN72" s="396">
        <f>SUM(BK72:BM72)</f>
        <v>25</v>
      </c>
      <c r="BO72" s="130">
        <f>SUM('INSC-POSG plan'!BP153:BP155)</f>
        <v>0</v>
      </c>
      <c r="BP72" s="130">
        <f>SUM('INSC-POSG plan'!BQ153:BQ155)</f>
        <v>45</v>
      </c>
      <c r="BQ72" s="130">
        <f>SUM('INSC-POSG plan'!BR153:BR155)</f>
        <v>24</v>
      </c>
      <c r="BR72" s="396">
        <f>SUM(BO72:BQ72)</f>
        <v>69</v>
      </c>
      <c r="BS72" s="130">
        <f>SUM('INSC-POSG plan'!BT153:BT155)</f>
        <v>0</v>
      </c>
      <c r="BT72" s="130">
        <f>SUM('INSC-POSG plan'!BU153:BU155)</f>
        <v>1</v>
      </c>
      <c r="BU72" s="130">
        <f>SUM('INSC-POSG plan'!BV153:BV155)</f>
        <v>24</v>
      </c>
      <c r="BV72" s="396">
        <f>SUM(BS72:BU72)</f>
        <v>25</v>
      </c>
      <c r="BW72" s="130">
        <f>SUM('INSC-POSG plan'!BX153:BX155)</f>
        <v>0</v>
      </c>
      <c r="BX72" s="130">
        <f>SUM('INSC-POSG plan'!BY153:BY155)</f>
        <v>40</v>
      </c>
      <c r="BY72" s="130">
        <f>SUM('INSC-POSG plan'!BZ153:BZ155)</f>
        <v>23</v>
      </c>
      <c r="BZ72" s="396">
        <f>SUM(BW72:BY72)</f>
        <v>63</v>
      </c>
      <c r="CA72" s="130">
        <f>SUM('INSC-POSG plan'!CB153:CB155)</f>
        <v>0</v>
      </c>
      <c r="CB72" s="130">
        <f>SUM('INSC-POSG plan'!CC153:CC155)</f>
        <v>0</v>
      </c>
      <c r="CC72" s="130">
        <f>SUM('INSC-POSG plan'!CD153:CD155)</f>
        <v>23</v>
      </c>
      <c r="CD72" s="396">
        <f>SUM(CA72:CC72)</f>
        <v>23</v>
      </c>
      <c r="CE72" s="130">
        <f>SUM('INSC-POSG plan'!CF153:CF155)</f>
        <v>0</v>
      </c>
      <c r="CF72" s="130">
        <f>SUM('INSC-POSG plan'!CG153:CG155)</f>
        <v>34</v>
      </c>
      <c r="CG72" s="130">
        <f>SUM('INSC-POSG plan'!CH153:CH155)</f>
        <v>19</v>
      </c>
      <c r="CH72" s="396">
        <f>SUM(CE72:CG72)</f>
        <v>53</v>
      </c>
      <c r="CI72" s="130">
        <f>SUM('INSC-POSG plan'!CJ153:CJ155)</f>
        <v>0</v>
      </c>
      <c r="CJ72" s="130">
        <f>SUM('INSC-POSG plan'!CK153:CK155)</f>
        <v>0</v>
      </c>
      <c r="CK72" s="130">
        <f>SUM('INSC-POSG plan'!CL153:CL155)</f>
        <v>24</v>
      </c>
      <c r="CL72" s="396">
        <f>SUM(CI72:CK72)</f>
        <v>24</v>
      </c>
      <c r="CM72" s="130">
        <f>SUM('INSC-POSG plan'!CN153:CN155)</f>
        <v>0</v>
      </c>
      <c r="CN72" s="130">
        <f>SUM('INSC-POSG plan'!CO153:CO155)</f>
        <v>40</v>
      </c>
      <c r="CO72" s="130">
        <f>SUM('INSC-POSG plan'!CP153:CP155)</f>
        <v>22</v>
      </c>
      <c r="CP72" s="396">
        <f>SUM(CM72:CO72)</f>
        <v>62</v>
      </c>
      <c r="CQ72" s="130">
        <f>SUM('INSC-POSG plan'!CR153:CR155)</f>
        <v>0</v>
      </c>
      <c r="CR72" s="130">
        <f>SUM('INSC-POSG plan'!CS153:CS155)</f>
        <v>0</v>
      </c>
      <c r="CS72" s="130">
        <f>SUM('INSC-POSG plan'!CT153:CT155)</f>
        <v>18</v>
      </c>
      <c r="CT72" s="396">
        <f>SUM(CQ72:CS72)</f>
        <v>18</v>
      </c>
    </row>
    <row r="73" spans="1:98" ht="15" x14ac:dyDescent="0.25">
      <c r="A73" s="1333"/>
      <c r="B73" s="1339" t="s">
        <v>317</v>
      </c>
      <c r="C73" s="1267">
        <f>+'INSC-POSG plan'!D156</f>
        <v>0</v>
      </c>
      <c r="D73" s="1268">
        <f>+'INSC-POSG plan'!E156</f>
        <v>0</v>
      </c>
      <c r="E73" s="1268">
        <f>+'INSC-POSG plan'!F156</f>
        <v>0</v>
      </c>
      <c r="F73" s="1269">
        <f t="shared" si="45"/>
        <v>0</v>
      </c>
      <c r="G73" s="1267">
        <f>+'INSC-POSG plan'!H156</f>
        <v>0</v>
      </c>
      <c r="H73" s="1268">
        <f>+'INSC-POSG plan'!I156</f>
        <v>0</v>
      </c>
      <c r="I73" s="1268">
        <f>+'INSC-POSG plan'!J156</f>
        <v>0</v>
      </c>
      <c r="J73" s="1269">
        <f t="shared" si="91"/>
        <v>0</v>
      </c>
      <c r="K73" s="1267">
        <f>+'INSC-POSG plan'!L156</f>
        <v>0</v>
      </c>
      <c r="L73" s="1268">
        <f>+'INSC-POSG plan'!M156</f>
        <v>0</v>
      </c>
      <c r="M73" s="1268">
        <f>+'INSC-POSG plan'!N156</f>
        <v>0</v>
      </c>
      <c r="N73" s="1269">
        <f t="shared" si="92"/>
        <v>0</v>
      </c>
      <c r="O73" s="1267">
        <f>+'INSC-POSG plan'!P156</f>
        <v>0</v>
      </c>
      <c r="P73" s="1268">
        <f>+'INSC-POSG plan'!Q156</f>
        <v>11</v>
      </c>
      <c r="Q73" s="1268">
        <f>+'INSC-POSG plan'!R156</f>
        <v>3</v>
      </c>
      <c r="R73" s="1269">
        <f t="shared" si="93"/>
        <v>14</v>
      </c>
      <c r="S73" s="1267"/>
      <c r="T73" s="1268"/>
      <c r="U73" s="1268"/>
      <c r="V73" s="1269"/>
      <c r="W73" s="1267"/>
      <c r="X73" s="1268"/>
      <c r="Y73" s="1268">
        <v>14</v>
      </c>
      <c r="Z73" s="1340">
        <v>14</v>
      </c>
      <c r="AA73" s="1267"/>
      <c r="AB73" s="1268"/>
      <c r="AC73" s="1268"/>
      <c r="AD73" s="1269"/>
      <c r="AE73" s="1268">
        <v>18</v>
      </c>
      <c r="AF73" s="1268"/>
      <c r="AG73" s="1268"/>
      <c r="AH73" s="1269">
        <v>18</v>
      </c>
      <c r="AI73" s="1268">
        <v>6</v>
      </c>
      <c r="AJ73" s="1268"/>
      <c r="AK73" s="1268"/>
      <c r="AL73" s="1341">
        <v>6</v>
      </c>
      <c r="AM73" s="196">
        <v>12</v>
      </c>
      <c r="AN73" s="197"/>
      <c r="AO73" s="197"/>
      <c r="AP73" s="397">
        <v>12</v>
      </c>
      <c r="AQ73" s="196">
        <v>10</v>
      </c>
      <c r="AR73" s="197"/>
      <c r="AS73" s="197"/>
      <c r="AT73" s="397">
        <f>SUM(AQ73:AS73)</f>
        <v>10</v>
      </c>
      <c r="AU73" s="196">
        <v>11</v>
      </c>
      <c r="AV73" s="197"/>
      <c r="AW73" s="197"/>
      <c r="AX73" s="397">
        <f>SUM(AU73:AW73)</f>
        <v>11</v>
      </c>
      <c r="AY73" s="196">
        <v>8</v>
      </c>
      <c r="AZ73" s="197"/>
      <c r="BA73" s="197"/>
      <c r="BB73" s="397">
        <f>SUM(AY73:BA73)</f>
        <v>8</v>
      </c>
      <c r="BC73" s="196">
        <f>SUM('INSC-POSG plan'!BD156)</f>
        <v>10</v>
      </c>
      <c r="BD73" s="197"/>
      <c r="BE73" s="197"/>
      <c r="BF73" s="397">
        <f>SUM(BC73:BE73)</f>
        <v>10</v>
      </c>
      <c r="BG73" s="196">
        <f>SUM('INSC-POSG plan'!BH156)</f>
        <v>8</v>
      </c>
      <c r="BH73" s="197"/>
      <c r="BI73" s="197">
        <f>SUM('INSC-POSG plan'!BJ156)</f>
        <v>0</v>
      </c>
      <c r="BJ73" s="397">
        <f>SUM(BG73:BI73)</f>
        <v>8</v>
      </c>
      <c r="BK73" s="197">
        <f>SUM('INSC-POSG plan'!BL156)</f>
        <v>7</v>
      </c>
      <c r="BL73" s="197">
        <f>SUM('INSC-POSG plan'!BM156)</f>
        <v>0</v>
      </c>
      <c r="BM73" s="197">
        <f>SUM('INSC-POSG plan'!BN156)</f>
        <v>0</v>
      </c>
      <c r="BN73" s="397">
        <f>SUM(BK73:BM73)</f>
        <v>7</v>
      </c>
      <c r="BO73" s="197">
        <f>SUM('INSC-POSG plan'!BP156)</f>
        <v>8</v>
      </c>
      <c r="BP73" s="197">
        <f>SUM('INSC-POSG plan'!BQ156)</f>
        <v>0</v>
      </c>
      <c r="BQ73" s="197">
        <f>SUM('INSC-POSG plan'!BR156)</f>
        <v>0</v>
      </c>
      <c r="BR73" s="397">
        <f>SUM(BO73:BQ73)</f>
        <v>8</v>
      </c>
      <c r="BS73" s="197">
        <f>SUM('INSC-POSG plan'!BT156)</f>
        <v>12</v>
      </c>
      <c r="BT73" s="197">
        <f>SUM('INSC-POSG plan'!BU156)</f>
        <v>0</v>
      </c>
      <c r="BU73" s="197">
        <f>SUM('INSC-POSG plan'!BV156)</f>
        <v>0</v>
      </c>
      <c r="BV73" s="397">
        <f>SUM(BS73:BU73)</f>
        <v>12</v>
      </c>
      <c r="BW73" s="197">
        <f>SUM('INSC-POSG plan'!BX156)</f>
        <v>11</v>
      </c>
      <c r="BX73" s="197">
        <f>SUM('INSC-POSG plan'!BY156)</f>
        <v>0</v>
      </c>
      <c r="BY73" s="197">
        <f>SUM('INSC-POSG plan'!BZ156)</f>
        <v>0</v>
      </c>
      <c r="BZ73" s="397">
        <f>SUM(BW73:BY73)</f>
        <v>11</v>
      </c>
      <c r="CA73" s="197">
        <f>SUM('INSC-POSG plan'!CB156)</f>
        <v>10</v>
      </c>
      <c r="CB73" s="197">
        <f>SUM('INSC-POSG plan'!CC156)</f>
        <v>0</v>
      </c>
      <c r="CC73" s="197">
        <f>SUM('INSC-POSG plan'!CD156)</f>
        <v>0</v>
      </c>
      <c r="CD73" s="397">
        <f>SUM(CA73:CC73)</f>
        <v>10</v>
      </c>
      <c r="CE73" s="197">
        <f>SUM('INSC-POSG plan'!CF156)</f>
        <v>4</v>
      </c>
      <c r="CF73" s="197">
        <f>SUM('INSC-POSG plan'!CG156)</f>
        <v>0</v>
      </c>
      <c r="CG73" s="197">
        <f>SUM('INSC-POSG plan'!CH156)</f>
        <v>0</v>
      </c>
      <c r="CH73" s="397">
        <f>SUM(CE73:CG73)</f>
        <v>4</v>
      </c>
      <c r="CI73" s="197">
        <f>SUM('INSC-POSG plan'!CJ156)</f>
        <v>9</v>
      </c>
      <c r="CJ73" s="197">
        <f>SUM('INSC-POSG plan'!CK156)</f>
        <v>0</v>
      </c>
      <c r="CK73" s="197">
        <f>SUM('INSC-POSG plan'!CL156)</f>
        <v>0</v>
      </c>
      <c r="CL73" s="397">
        <f>SUM(CI73:CK73)</f>
        <v>9</v>
      </c>
      <c r="CM73" s="197">
        <f>SUM('INSC-POSG plan'!CN156)</f>
        <v>20</v>
      </c>
      <c r="CN73" s="197">
        <f>SUM('INSC-POSG plan'!CO156)</f>
        <v>0</v>
      </c>
      <c r="CO73" s="197">
        <f>SUM('INSC-POSG plan'!CP156)</f>
        <v>0</v>
      </c>
      <c r="CP73" s="397">
        <f>SUM(CM73:CO73)</f>
        <v>20</v>
      </c>
      <c r="CQ73" s="197">
        <f>SUM('INSC-POSG plan'!CR156)</f>
        <v>10</v>
      </c>
      <c r="CR73" s="197">
        <f>SUM('INSC-POSG plan'!CS156)</f>
        <v>0</v>
      </c>
      <c r="CS73" s="197">
        <f>SUM('INSC-POSG plan'!CT156)</f>
        <v>0</v>
      </c>
      <c r="CT73" s="397">
        <f>SUM(CQ73:CS73)</f>
        <v>10</v>
      </c>
    </row>
    <row r="74" spans="1:98" s="1330" customFormat="1" ht="15" x14ac:dyDescent="0.25">
      <c r="A74" s="1333"/>
      <c r="B74" s="1342" t="s">
        <v>427</v>
      </c>
      <c r="C74" s="1343">
        <f>SUM(C71:C73)</f>
        <v>0</v>
      </c>
      <c r="D74" s="1344">
        <f>SUM(D71:D73)</f>
        <v>0</v>
      </c>
      <c r="E74" s="1344">
        <f>SUM(E71:E73)</f>
        <v>0</v>
      </c>
      <c r="F74" s="1345">
        <f t="shared" si="45"/>
        <v>0</v>
      </c>
      <c r="G74" s="1343">
        <f>SUM(G71:G73)</f>
        <v>0</v>
      </c>
      <c r="H74" s="1344">
        <f>SUM(H71:H73)</f>
        <v>46</v>
      </c>
      <c r="I74" s="1344">
        <f>SUM(I71:I73)</f>
        <v>0</v>
      </c>
      <c r="J74" s="1345">
        <f t="shared" si="91"/>
        <v>46</v>
      </c>
      <c r="K74" s="1343">
        <f>SUM(K71:K73)</f>
        <v>0</v>
      </c>
      <c r="L74" s="1344">
        <f>SUM(L71:L73)</f>
        <v>0</v>
      </c>
      <c r="M74" s="1344">
        <f>SUM(M71:M73)</f>
        <v>0</v>
      </c>
      <c r="N74" s="1345">
        <f t="shared" si="92"/>
        <v>0</v>
      </c>
      <c r="O74" s="1343">
        <f>SUM(O71:O73)</f>
        <v>0</v>
      </c>
      <c r="P74" s="1344">
        <f>SUM(P71:P73)</f>
        <v>11</v>
      </c>
      <c r="Q74" s="1344">
        <f>SUM(Q71:Q73)</f>
        <v>29</v>
      </c>
      <c r="R74" s="1345">
        <f t="shared" si="93"/>
        <v>40</v>
      </c>
      <c r="S74" s="1343"/>
      <c r="T74" s="1344"/>
      <c r="U74" s="1344">
        <v>19</v>
      </c>
      <c r="V74" s="1345">
        <v>19</v>
      </c>
      <c r="W74" s="1343"/>
      <c r="X74" s="1344"/>
      <c r="Y74" s="1344">
        <v>37</v>
      </c>
      <c r="Z74" s="1344">
        <v>37</v>
      </c>
      <c r="AA74" s="1343"/>
      <c r="AB74" s="1344"/>
      <c r="AC74" s="1344">
        <v>20</v>
      </c>
      <c r="AD74" s="1345">
        <v>20</v>
      </c>
      <c r="AE74" s="1344">
        <v>18</v>
      </c>
      <c r="AF74" s="1344"/>
      <c r="AG74" s="1344">
        <v>22</v>
      </c>
      <c r="AH74" s="1345">
        <v>40</v>
      </c>
      <c r="AI74" s="1344">
        <v>6</v>
      </c>
      <c r="AJ74" s="1344"/>
      <c r="AK74" s="1344">
        <v>22</v>
      </c>
      <c r="AL74" s="1345">
        <v>28</v>
      </c>
      <c r="AM74" s="201">
        <v>12</v>
      </c>
      <c r="AN74" s="202"/>
      <c r="AO74" s="202">
        <v>18</v>
      </c>
      <c r="AP74" s="203">
        <v>30</v>
      </c>
      <c r="AQ74" s="201">
        <f>SUM(AQ71:AQ73)</f>
        <v>10</v>
      </c>
      <c r="AR74" s="202">
        <f>SUM(AR71:AR73)</f>
        <v>17</v>
      </c>
      <c r="AS74" s="202">
        <f>SUM(AS71:AS73)</f>
        <v>56</v>
      </c>
      <c r="AT74" s="203">
        <f>SUM(AQ74:AS74)</f>
        <v>83</v>
      </c>
      <c r="AU74" s="201">
        <f>SUM(AU71:AU73)</f>
        <v>11</v>
      </c>
      <c r="AV74" s="202"/>
      <c r="AW74" s="202">
        <f>SUM(AW71:AW73)</f>
        <v>15</v>
      </c>
      <c r="AX74" s="203">
        <f>SUM(AU74:AW74)</f>
        <v>26</v>
      </c>
      <c r="AY74" s="201">
        <f t="shared" ref="AY74:CH74" si="99">SUM(AY71:AY73)</f>
        <v>8</v>
      </c>
      <c r="AZ74" s="202">
        <f t="shared" si="99"/>
        <v>39</v>
      </c>
      <c r="BA74" s="202">
        <f t="shared" si="99"/>
        <v>19</v>
      </c>
      <c r="BB74" s="203">
        <f t="shared" si="99"/>
        <v>66</v>
      </c>
      <c r="BC74" s="201">
        <f t="shared" si="99"/>
        <v>10</v>
      </c>
      <c r="BD74" s="202"/>
      <c r="BE74" s="202">
        <f t="shared" si="99"/>
        <v>19</v>
      </c>
      <c r="BF74" s="203">
        <f t="shared" si="99"/>
        <v>29</v>
      </c>
      <c r="BG74" s="201">
        <f t="shared" si="99"/>
        <v>8</v>
      </c>
      <c r="BH74" s="202">
        <f t="shared" si="99"/>
        <v>43</v>
      </c>
      <c r="BI74" s="202">
        <f t="shared" si="99"/>
        <v>23</v>
      </c>
      <c r="BJ74" s="203">
        <f t="shared" si="99"/>
        <v>74</v>
      </c>
      <c r="BK74" s="201">
        <f t="shared" si="99"/>
        <v>7</v>
      </c>
      <c r="BL74" s="202">
        <f t="shared" si="99"/>
        <v>0</v>
      </c>
      <c r="BM74" s="202">
        <f t="shared" si="99"/>
        <v>25</v>
      </c>
      <c r="BN74" s="203">
        <f t="shared" si="99"/>
        <v>32</v>
      </c>
      <c r="BO74" s="201">
        <f t="shared" si="99"/>
        <v>8</v>
      </c>
      <c r="BP74" s="202">
        <f t="shared" si="99"/>
        <v>45</v>
      </c>
      <c r="BQ74" s="202">
        <f t="shared" si="99"/>
        <v>24</v>
      </c>
      <c r="BR74" s="203">
        <f t="shared" si="99"/>
        <v>77</v>
      </c>
      <c r="BS74" s="201">
        <f t="shared" si="99"/>
        <v>12</v>
      </c>
      <c r="BT74" s="202">
        <f t="shared" si="99"/>
        <v>1</v>
      </c>
      <c r="BU74" s="202">
        <f t="shared" si="99"/>
        <v>24</v>
      </c>
      <c r="BV74" s="203">
        <f t="shared" si="99"/>
        <v>37</v>
      </c>
      <c r="BW74" s="201">
        <f t="shared" si="99"/>
        <v>11</v>
      </c>
      <c r="BX74" s="202">
        <f t="shared" si="99"/>
        <v>40</v>
      </c>
      <c r="BY74" s="202">
        <f t="shared" si="99"/>
        <v>23</v>
      </c>
      <c r="BZ74" s="203">
        <f t="shared" si="99"/>
        <v>74</v>
      </c>
      <c r="CA74" s="201">
        <f t="shared" si="99"/>
        <v>10</v>
      </c>
      <c r="CB74" s="202">
        <f t="shared" si="99"/>
        <v>0</v>
      </c>
      <c r="CC74" s="202">
        <f t="shared" si="99"/>
        <v>23</v>
      </c>
      <c r="CD74" s="203">
        <f t="shared" si="99"/>
        <v>33</v>
      </c>
      <c r="CE74" s="201">
        <f t="shared" si="99"/>
        <v>4</v>
      </c>
      <c r="CF74" s="202">
        <f t="shared" si="99"/>
        <v>34</v>
      </c>
      <c r="CG74" s="202">
        <f t="shared" si="99"/>
        <v>19</v>
      </c>
      <c r="CH74" s="203">
        <f t="shared" si="99"/>
        <v>57</v>
      </c>
      <c r="CI74" s="201">
        <f t="shared" ref="CI74:CP74" si="100">SUM(CI71:CI73)</f>
        <v>9</v>
      </c>
      <c r="CJ74" s="202">
        <f t="shared" si="100"/>
        <v>0</v>
      </c>
      <c r="CK74" s="202">
        <f t="shared" si="100"/>
        <v>24</v>
      </c>
      <c r="CL74" s="203">
        <f t="shared" si="100"/>
        <v>33</v>
      </c>
      <c r="CM74" s="201">
        <f t="shared" si="100"/>
        <v>20</v>
      </c>
      <c r="CN74" s="202">
        <f t="shared" si="100"/>
        <v>40</v>
      </c>
      <c r="CO74" s="202">
        <f t="shared" si="100"/>
        <v>22</v>
      </c>
      <c r="CP74" s="203">
        <f t="shared" si="100"/>
        <v>82</v>
      </c>
      <c r="CQ74" s="201">
        <f t="shared" ref="CQ74:CT74" si="101">SUM(CQ71:CQ73)</f>
        <v>10</v>
      </c>
      <c r="CR74" s="202">
        <f t="shared" si="101"/>
        <v>0</v>
      </c>
      <c r="CS74" s="202">
        <f t="shared" si="101"/>
        <v>18</v>
      </c>
      <c r="CT74" s="203">
        <f t="shared" si="101"/>
        <v>28</v>
      </c>
    </row>
    <row r="75" spans="1:98" ht="15" customHeight="1" x14ac:dyDescent="0.25">
      <c r="A75" s="1333"/>
      <c r="B75" s="1334" t="s">
        <v>308</v>
      </c>
      <c r="C75" s="1258">
        <f>+C63+C67+C71</f>
        <v>11</v>
      </c>
      <c r="D75" s="1259">
        <f t="shared" ref="D75:E77" si="102">+D63+D67+D71</f>
        <v>0</v>
      </c>
      <c r="E75" s="1259">
        <f t="shared" si="102"/>
        <v>11</v>
      </c>
      <c r="F75" s="1260">
        <f t="shared" si="45"/>
        <v>22</v>
      </c>
      <c r="G75" s="1258">
        <f t="shared" ref="G75:I77" si="103">+G63+G67+G71</f>
        <v>54</v>
      </c>
      <c r="H75" s="1259">
        <f t="shared" si="103"/>
        <v>0</v>
      </c>
      <c r="I75" s="1259">
        <f t="shared" si="103"/>
        <v>36</v>
      </c>
      <c r="J75" s="1260">
        <f t="shared" si="91"/>
        <v>90</v>
      </c>
      <c r="K75" s="1258">
        <f t="shared" ref="K75:M77" si="104">+K63+K67+K71</f>
        <v>19</v>
      </c>
      <c r="L75" s="1259">
        <f t="shared" si="104"/>
        <v>1</v>
      </c>
      <c r="M75" s="1259">
        <f t="shared" si="104"/>
        <v>59</v>
      </c>
      <c r="N75" s="1260">
        <f t="shared" si="92"/>
        <v>79</v>
      </c>
      <c r="O75" s="1258">
        <f t="shared" ref="O75:Q77" si="105">+O63+O67+O71</f>
        <v>17</v>
      </c>
      <c r="P75" s="1259">
        <f t="shared" si="105"/>
        <v>3</v>
      </c>
      <c r="Q75" s="1259">
        <f t="shared" si="105"/>
        <v>33</v>
      </c>
      <c r="R75" s="1260">
        <f t="shared" si="93"/>
        <v>53</v>
      </c>
      <c r="S75" s="1258">
        <v>12</v>
      </c>
      <c r="T75" s="1259"/>
      <c r="U75" s="1259">
        <v>0</v>
      </c>
      <c r="V75" s="1260">
        <v>12</v>
      </c>
      <c r="W75" s="1258">
        <v>10</v>
      </c>
      <c r="X75" s="1259"/>
      <c r="Y75" s="1259">
        <v>5</v>
      </c>
      <c r="Z75" s="1298">
        <v>15</v>
      </c>
      <c r="AA75" s="1258"/>
      <c r="AB75" s="1259"/>
      <c r="AC75" s="1259"/>
      <c r="AD75" s="1260"/>
      <c r="AE75" s="1259">
        <v>13</v>
      </c>
      <c r="AF75" s="1259"/>
      <c r="AG75" s="1259">
        <v>5</v>
      </c>
      <c r="AH75" s="1260">
        <v>18</v>
      </c>
      <c r="AI75" s="1259">
        <v>8</v>
      </c>
      <c r="AJ75" s="1259"/>
      <c r="AK75" s="1259">
        <v>17</v>
      </c>
      <c r="AL75" s="1335">
        <v>25</v>
      </c>
      <c r="AM75" s="151">
        <v>12</v>
      </c>
      <c r="AN75" s="152"/>
      <c r="AO75" s="152">
        <v>21</v>
      </c>
      <c r="AP75" s="395">
        <v>33</v>
      </c>
      <c r="AQ75" s="151">
        <f>AQ63+AQ67+AQ71</f>
        <v>10</v>
      </c>
      <c r="AR75" s="152"/>
      <c r="AS75" s="152">
        <f t="shared" ref="AS75:AT78" si="106">AS63+AS67+AS71</f>
        <v>2</v>
      </c>
      <c r="AT75" s="395">
        <f t="shared" si="106"/>
        <v>12</v>
      </c>
      <c r="AU75" s="151"/>
      <c r="AV75" s="152"/>
      <c r="AW75" s="152">
        <f t="shared" ref="AW75:AX78" si="107">AW63+AW67+AW71</f>
        <v>19</v>
      </c>
      <c r="AX75" s="395">
        <f t="shared" si="107"/>
        <v>19</v>
      </c>
      <c r="AY75" s="151">
        <f>SUM(AY63,AY67,AY71)</f>
        <v>12</v>
      </c>
      <c r="AZ75" s="152"/>
      <c r="BA75" s="152">
        <f t="shared" ref="AZ75:BF77" si="108">SUM(BA63,BA67,BA71)</f>
        <v>54</v>
      </c>
      <c r="BB75" s="395">
        <f t="shared" si="108"/>
        <v>66</v>
      </c>
      <c r="BC75" s="151"/>
      <c r="BD75" s="152"/>
      <c r="BE75" s="152"/>
      <c r="BF75" s="395"/>
      <c r="BG75" s="151">
        <f>SUM(BG63,BG67,BG71)</f>
        <v>12</v>
      </c>
      <c r="BH75" s="152"/>
      <c r="BI75" s="152">
        <f>SUM(BI63,BI67,BI71)</f>
        <v>35</v>
      </c>
      <c r="BJ75" s="395">
        <f t="shared" ref="BG75:CL77" si="109">SUM(BJ63,BJ67,BJ71)</f>
        <v>34</v>
      </c>
      <c r="BK75" s="151">
        <f t="shared" si="109"/>
        <v>0</v>
      </c>
      <c r="BL75" s="152">
        <f t="shared" si="109"/>
        <v>0</v>
      </c>
      <c r="BM75" s="152">
        <f t="shared" si="109"/>
        <v>0</v>
      </c>
      <c r="BN75" s="395">
        <f t="shared" si="109"/>
        <v>0</v>
      </c>
      <c r="BO75" s="151">
        <f t="shared" si="109"/>
        <v>0</v>
      </c>
      <c r="BP75" s="152">
        <f t="shared" si="109"/>
        <v>0</v>
      </c>
      <c r="BQ75" s="152">
        <f t="shared" si="109"/>
        <v>0</v>
      </c>
      <c r="BR75" s="395">
        <f t="shared" si="109"/>
        <v>0</v>
      </c>
      <c r="BS75" s="151">
        <f t="shared" si="109"/>
        <v>0</v>
      </c>
      <c r="BT75" s="152">
        <f t="shared" si="109"/>
        <v>0</v>
      </c>
      <c r="BU75" s="152">
        <f t="shared" si="109"/>
        <v>0</v>
      </c>
      <c r="BV75" s="395">
        <f t="shared" si="109"/>
        <v>0</v>
      </c>
      <c r="BW75" s="151">
        <f t="shared" si="109"/>
        <v>0</v>
      </c>
      <c r="BX75" s="152">
        <f t="shared" si="109"/>
        <v>0</v>
      </c>
      <c r="BY75" s="152">
        <f t="shared" si="109"/>
        <v>30</v>
      </c>
      <c r="BZ75" s="395">
        <f t="shared" si="109"/>
        <v>30</v>
      </c>
      <c r="CA75" s="151">
        <f t="shared" si="109"/>
        <v>0</v>
      </c>
      <c r="CB75" s="152">
        <f t="shared" si="109"/>
        <v>0</v>
      </c>
      <c r="CC75" s="152">
        <f t="shared" si="109"/>
        <v>0</v>
      </c>
      <c r="CD75" s="395">
        <f t="shared" si="109"/>
        <v>0</v>
      </c>
      <c r="CE75" s="151">
        <f t="shared" si="109"/>
        <v>0</v>
      </c>
      <c r="CF75" s="152">
        <f t="shared" si="109"/>
        <v>2</v>
      </c>
      <c r="CG75" s="152">
        <f t="shared" si="109"/>
        <v>0</v>
      </c>
      <c r="CH75" s="395">
        <f t="shared" si="109"/>
        <v>2</v>
      </c>
      <c r="CI75" s="151">
        <f t="shared" si="109"/>
        <v>0</v>
      </c>
      <c r="CJ75" s="152">
        <f t="shared" si="109"/>
        <v>0</v>
      </c>
      <c r="CK75" s="152">
        <f t="shared" si="109"/>
        <v>0</v>
      </c>
      <c r="CL75" s="395">
        <f t="shared" si="109"/>
        <v>0</v>
      </c>
      <c r="CM75" s="151">
        <f t="shared" ref="CM75:CP75" si="110">SUM(CM63,CM67,CM71)</f>
        <v>0</v>
      </c>
      <c r="CN75" s="152">
        <f t="shared" si="110"/>
        <v>20</v>
      </c>
      <c r="CO75" s="152">
        <f t="shared" si="110"/>
        <v>0</v>
      </c>
      <c r="CP75" s="395">
        <f t="shared" si="110"/>
        <v>20</v>
      </c>
      <c r="CQ75" s="151">
        <f t="shared" ref="CQ75:CT75" si="111">SUM(CQ63,CQ67,CQ71)</f>
        <v>0</v>
      </c>
      <c r="CR75" s="152">
        <f t="shared" si="111"/>
        <v>0</v>
      </c>
      <c r="CS75" s="152">
        <f t="shared" si="111"/>
        <v>0</v>
      </c>
      <c r="CT75" s="395">
        <f t="shared" si="111"/>
        <v>0</v>
      </c>
    </row>
    <row r="76" spans="1:98" ht="15" x14ac:dyDescent="0.25">
      <c r="A76" s="1333"/>
      <c r="B76" s="1336" t="s">
        <v>310</v>
      </c>
      <c r="C76" s="1262">
        <f>+C64+C68+C72</f>
        <v>35</v>
      </c>
      <c r="D76" s="1263">
        <f t="shared" si="102"/>
        <v>15</v>
      </c>
      <c r="E76" s="1263">
        <f t="shared" si="102"/>
        <v>37</v>
      </c>
      <c r="F76" s="1264">
        <f t="shared" si="45"/>
        <v>87</v>
      </c>
      <c r="G76" s="1262">
        <f t="shared" si="103"/>
        <v>70</v>
      </c>
      <c r="H76" s="1263">
        <f t="shared" si="103"/>
        <v>71</v>
      </c>
      <c r="I76" s="1263">
        <f t="shared" si="103"/>
        <v>85</v>
      </c>
      <c r="J76" s="1264">
        <f t="shared" si="91"/>
        <v>226</v>
      </c>
      <c r="K76" s="1262">
        <f t="shared" si="104"/>
        <v>73</v>
      </c>
      <c r="L76" s="1263">
        <f t="shared" si="104"/>
        <v>29</v>
      </c>
      <c r="M76" s="1263">
        <f t="shared" si="104"/>
        <v>28</v>
      </c>
      <c r="N76" s="1264">
        <f t="shared" si="92"/>
        <v>130</v>
      </c>
      <c r="O76" s="1262">
        <f t="shared" si="105"/>
        <v>48</v>
      </c>
      <c r="P76" s="1263">
        <f t="shared" si="105"/>
        <v>56</v>
      </c>
      <c r="Q76" s="1263">
        <f t="shared" si="105"/>
        <v>121</v>
      </c>
      <c r="R76" s="1264">
        <f t="shared" si="93"/>
        <v>225</v>
      </c>
      <c r="S76" s="1262">
        <v>20</v>
      </c>
      <c r="T76" s="1263">
        <v>24</v>
      </c>
      <c r="U76" s="1263">
        <v>84</v>
      </c>
      <c r="V76" s="1264">
        <v>128</v>
      </c>
      <c r="W76" s="1262">
        <v>21</v>
      </c>
      <c r="X76" s="1263"/>
      <c r="Y76" s="1263">
        <v>155</v>
      </c>
      <c r="Z76" s="1337">
        <v>176</v>
      </c>
      <c r="AA76" s="1262">
        <v>18</v>
      </c>
      <c r="AB76" s="1263">
        <v>4</v>
      </c>
      <c r="AC76" s="1263">
        <v>113</v>
      </c>
      <c r="AD76" s="1264">
        <v>135</v>
      </c>
      <c r="AE76" s="1263">
        <v>13</v>
      </c>
      <c r="AF76" s="1263">
        <v>4</v>
      </c>
      <c r="AG76" s="1263">
        <v>180</v>
      </c>
      <c r="AH76" s="1264">
        <v>197</v>
      </c>
      <c r="AI76" s="1263">
        <v>3</v>
      </c>
      <c r="AJ76" s="1263">
        <v>8</v>
      </c>
      <c r="AK76" s="1263">
        <v>116</v>
      </c>
      <c r="AL76" s="1338">
        <v>127</v>
      </c>
      <c r="AM76" s="129">
        <v>6</v>
      </c>
      <c r="AN76" s="130">
        <v>14</v>
      </c>
      <c r="AO76" s="130">
        <v>176</v>
      </c>
      <c r="AP76" s="396">
        <v>196</v>
      </c>
      <c r="AQ76" s="129">
        <f>AQ64+AQ68+AQ72</f>
        <v>8</v>
      </c>
      <c r="AR76" s="130">
        <f>AR64+AR68+AR72</f>
        <v>23</v>
      </c>
      <c r="AS76" s="130">
        <f t="shared" si="106"/>
        <v>146</v>
      </c>
      <c r="AT76" s="396">
        <f t="shared" si="106"/>
        <v>177</v>
      </c>
      <c r="AU76" s="129">
        <f>AU64+AU68+AU72</f>
        <v>18</v>
      </c>
      <c r="AV76" s="130">
        <f>AV64+AV68+AV72</f>
        <v>5</v>
      </c>
      <c r="AW76" s="130">
        <f t="shared" si="107"/>
        <v>163</v>
      </c>
      <c r="AX76" s="396">
        <f t="shared" si="107"/>
        <v>186</v>
      </c>
      <c r="AY76" s="129">
        <f>SUM(AY64,AY68,AY72)</f>
        <v>2</v>
      </c>
      <c r="AZ76" s="130">
        <f t="shared" si="108"/>
        <v>54</v>
      </c>
      <c r="BA76" s="130">
        <f t="shared" si="108"/>
        <v>82</v>
      </c>
      <c r="BB76" s="396">
        <f t="shared" si="108"/>
        <v>138</v>
      </c>
      <c r="BC76" s="129">
        <f t="shared" si="108"/>
        <v>35</v>
      </c>
      <c r="BD76" s="130">
        <f t="shared" si="108"/>
        <v>18</v>
      </c>
      <c r="BE76" s="130">
        <f t="shared" si="108"/>
        <v>197</v>
      </c>
      <c r="BF76" s="396">
        <f t="shared" si="108"/>
        <v>250</v>
      </c>
      <c r="BG76" s="129">
        <f t="shared" si="109"/>
        <v>5</v>
      </c>
      <c r="BH76" s="130">
        <f t="shared" si="109"/>
        <v>75</v>
      </c>
      <c r="BI76" s="130">
        <f t="shared" si="109"/>
        <v>66</v>
      </c>
      <c r="BJ76" s="396">
        <f t="shared" si="109"/>
        <v>146</v>
      </c>
      <c r="BK76" s="129">
        <f t="shared" si="109"/>
        <v>27</v>
      </c>
      <c r="BL76" s="130">
        <f t="shared" si="109"/>
        <v>29</v>
      </c>
      <c r="BM76" s="130">
        <f t="shared" si="109"/>
        <v>210</v>
      </c>
      <c r="BN76" s="396">
        <f t="shared" si="109"/>
        <v>266</v>
      </c>
      <c r="BO76" s="129">
        <f t="shared" si="109"/>
        <v>31</v>
      </c>
      <c r="BP76" s="130">
        <f t="shared" si="109"/>
        <v>75</v>
      </c>
      <c r="BQ76" s="130">
        <f t="shared" si="109"/>
        <v>106</v>
      </c>
      <c r="BR76" s="396">
        <f t="shared" si="109"/>
        <v>212</v>
      </c>
      <c r="BS76" s="129">
        <f t="shared" si="109"/>
        <v>30</v>
      </c>
      <c r="BT76" s="130">
        <f t="shared" si="109"/>
        <v>28</v>
      </c>
      <c r="BU76" s="130">
        <f t="shared" si="109"/>
        <v>185</v>
      </c>
      <c r="BV76" s="396">
        <f t="shared" si="109"/>
        <v>243</v>
      </c>
      <c r="BW76" s="129">
        <f t="shared" si="109"/>
        <v>41</v>
      </c>
      <c r="BX76" s="130">
        <f t="shared" si="109"/>
        <v>66</v>
      </c>
      <c r="BY76" s="130">
        <f t="shared" si="109"/>
        <v>73</v>
      </c>
      <c r="BZ76" s="396">
        <f t="shared" si="109"/>
        <v>180</v>
      </c>
      <c r="CA76" s="129">
        <f t="shared" si="109"/>
        <v>34</v>
      </c>
      <c r="CB76" s="130">
        <f t="shared" si="109"/>
        <v>53</v>
      </c>
      <c r="CC76" s="130">
        <f t="shared" si="109"/>
        <v>190</v>
      </c>
      <c r="CD76" s="396">
        <f t="shared" si="109"/>
        <v>277</v>
      </c>
      <c r="CE76" s="129">
        <f t="shared" si="109"/>
        <v>39</v>
      </c>
      <c r="CF76" s="130">
        <f t="shared" si="109"/>
        <v>103</v>
      </c>
      <c r="CG76" s="130">
        <f t="shared" si="109"/>
        <v>50</v>
      </c>
      <c r="CH76" s="396">
        <f t="shared" si="109"/>
        <v>192</v>
      </c>
      <c r="CI76" s="129">
        <f t="shared" si="109"/>
        <v>42</v>
      </c>
      <c r="CJ76" s="130">
        <f t="shared" si="109"/>
        <v>115</v>
      </c>
      <c r="CK76" s="130">
        <f t="shared" si="109"/>
        <v>53</v>
      </c>
      <c r="CL76" s="396">
        <f t="shared" si="109"/>
        <v>210</v>
      </c>
      <c r="CM76" s="129">
        <f t="shared" ref="CM76:CP76" si="112">SUM(CM64,CM68,CM72)</f>
        <v>48</v>
      </c>
      <c r="CN76" s="130">
        <f t="shared" si="112"/>
        <v>95</v>
      </c>
      <c r="CO76" s="130">
        <f t="shared" si="112"/>
        <v>66</v>
      </c>
      <c r="CP76" s="396">
        <f t="shared" si="112"/>
        <v>209</v>
      </c>
      <c r="CQ76" s="129">
        <f t="shared" ref="CQ76:CT76" si="113">SUM(CQ64,CQ68,CQ72)</f>
        <v>35</v>
      </c>
      <c r="CR76" s="130">
        <f t="shared" si="113"/>
        <v>81</v>
      </c>
      <c r="CS76" s="130">
        <f t="shared" si="113"/>
        <v>95</v>
      </c>
      <c r="CT76" s="396">
        <f t="shared" si="113"/>
        <v>211</v>
      </c>
    </row>
    <row r="77" spans="1:98" ht="15" x14ac:dyDescent="0.25">
      <c r="A77" s="1333"/>
      <c r="B77" s="1339" t="s">
        <v>317</v>
      </c>
      <c r="C77" s="1267">
        <f>+C65+C69+C73</f>
        <v>50</v>
      </c>
      <c r="D77" s="1268">
        <f t="shared" si="102"/>
        <v>0</v>
      </c>
      <c r="E77" s="1268">
        <f t="shared" si="102"/>
        <v>6</v>
      </c>
      <c r="F77" s="1269">
        <f t="shared" si="45"/>
        <v>56</v>
      </c>
      <c r="G77" s="1267">
        <f t="shared" si="103"/>
        <v>3</v>
      </c>
      <c r="H77" s="1268">
        <f t="shared" si="103"/>
        <v>14</v>
      </c>
      <c r="I77" s="1268">
        <f t="shared" si="103"/>
        <v>4</v>
      </c>
      <c r="J77" s="1269">
        <f t="shared" si="91"/>
        <v>21</v>
      </c>
      <c r="K77" s="1267">
        <f t="shared" si="104"/>
        <v>35</v>
      </c>
      <c r="L77" s="1268">
        <f t="shared" si="104"/>
        <v>0</v>
      </c>
      <c r="M77" s="1268">
        <f t="shared" si="104"/>
        <v>15</v>
      </c>
      <c r="N77" s="1269">
        <f t="shared" si="92"/>
        <v>50</v>
      </c>
      <c r="O77" s="1267">
        <f t="shared" si="105"/>
        <v>25</v>
      </c>
      <c r="P77" s="1268">
        <f t="shared" si="105"/>
        <v>11</v>
      </c>
      <c r="Q77" s="1268">
        <f t="shared" si="105"/>
        <v>15</v>
      </c>
      <c r="R77" s="1269">
        <f t="shared" si="93"/>
        <v>51</v>
      </c>
      <c r="S77" s="1267">
        <v>58</v>
      </c>
      <c r="T77" s="1268"/>
      <c r="U77" s="1268">
        <v>32</v>
      </c>
      <c r="V77" s="1269">
        <v>90</v>
      </c>
      <c r="W77" s="1267">
        <v>9</v>
      </c>
      <c r="X77" s="1268"/>
      <c r="Y77" s="1268">
        <v>19</v>
      </c>
      <c r="Z77" s="1340">
        <v>28</v>
      </c>
      <c r="AA77" s="1267">
        <v>51</v>
      </c>
      <c r="AB77" s="1268"/>
      <c r="AC77" s="1268">
        <v>23</v>
      </c>
      <c r="AD77" s="1269">
        <v>74</v>
      </c>
      <c r="AE77" s="1268">
        <v>26</v>
      </c>
      <c r="AF77" s="1268"/>
      <c r="AG77" s="1268">
        <v>20</v>
      </c>
      <c r="AH77" s="1269">
        <v>46</v>
      </c>
      <c r="AI77" s="1268">
        <v>84</v>
      </c>
      <c r="AJ77" s="1268">
        <v>11</v>
      </c>
      <c r="AK77" s="1268">
        <v>32</v>
      </c>
      <c r="AL77" s="1341">
        <v>127</v>
      </c>
      <c r="AM77" s="196">
        <v>32</v>
      </c>
      <c r="AN77" s="197"/>
      <c r="AO77" s="197">
        <v>7</v>
      </c>
      <c r="AP77" s="397">
        <v>39</v>
      </c>
      <c r="AQ77" s="196">
        <f>AQ65+AQ69+AQ73</f>
        <v>69</v>
      </c>
      <c r="AR77" s="197"/>
      <c r="AS77" s="197">
        <f t="shared" si="106"/>
        <v>22</v>
      </c>
      <c r="AT77" s="397">
        <f t="shared" si="106"/>
        <v>91</v>
      </c>
      <c r="AU77" s="196">
        <f>AU65+AU69+AU73</f>
        <v>17</v>
      </c>
      <c r="AV77" s="197"/>
      <c r="AW77" s="197">
        <f t="shared" si="107"/>
        <v>19</v>
      </c>
      <c r="AX77" s="397">
        <f t="shared" si="107"/>
        <v>36</v>
      </c>
      <c r="AY77" s="196">
        <f>SUM(AY65,AY69,AY73)</f>
        <v>66</v>
      </c>
      <c r="AZ77" s="197">
        <f t="shared" si="108"/>
        <v>0</v>
      </c>
      <c r="BA77" s="197">
        <f t="shared" si="108"/>
        <v>30</v>
      </c>
      <c r="BB77" s="397">
        <f t="shared" si="108"/>
        <v>96</v>
      </c>
      <c r="BC77" s="196">
        <f t="shared" si="108"/>
        <v>19</v>
      </c>
      <c r="BD77" s="197"/>
      <c r="BE77" s="197">
        <f t="shared" si="108"/>
        <v>18</v>
      </c>
      <c r="BF77" s="397">
        <f t="shared" si="108"/>
        <v>37</v>
      </c>
      <c r="BG77" s="196">
        <f>SUM(BG65,BG69,BG73)</f>
        <v>77</v>
      </c>
      <c r="BH77" s="197"/>
      <c r="BI77" s="197">
        <f>SUM(BI65,BI69,BI73)</f>
        <v>24</v>
      </c>
      <c r="BJ77" s="397">
        <f>SUM(BJ65,BJ69,BJ73)</f>
        <v>101</v>
      </c>
      <c r="BK77" s="196">
        <f>SUM(BK65,BK69,BK73)</f>
        <v>18</v>
      </c>
      <c r="BL77" s="197"/>
      <c r="BM77" s="197">
        <f t="shared" si="109"/>
        <v>23</v>
      </c>
      <c r="BN77" s="397">
        <f t="shared" si="109"/>
        <v>41</v>
      </c>
      <c r="BO77" s="196">
        <f t="shared" si="109"/>
        <v>71</v>
      </c>
      <c r="BP77" s="197">
        <f t="shared" si="109"/>
        <v>1</v>
      </c>
      <c r="BQ77" s="197">
        <f t="shared" si="109"/>
        <v>31</v>
      </c>
      <c r="BR77" s="397">
        <f t="shared" si="109"/>
        <v>103</v>
      </c>
      <c r="BS77" s="196">
        <f t="shared" si="109"/>
        <v>25</v>
      </c>
      <c r="BT77" s="197">
        <f t="shared" si="109"/>
        <v>0</v>
      </c>
      <c r="BU77" s="197">
        <f t="shared" si="109"/>
        <v>22</v>
      </c>
      <c r="BV77" s="397">
        <f t="shared" si="109"/>
        <v>47</v>
      </c>
      <c r="BW77" s="196">
        <f t="shared" si="109"/>
        <v>80</v>
      </c>
      <c r="BX77" s="197">
        <f t="shared" si="109"/>
        <v>0</v>
      </c>
      <c r="BY77" s="197">
        <f t="shared" si="109"/>
        <v>42</v>
      </c>
      <c r="BZ77" s="397">
        <f t="shared" si="109"/>
        <v>122</v>
      </c>
      <c r="CA77" s="196">
        <f t="shared" si="109"/>
        <v>40</v>
      </c>
      <c r="CB77" s="197">
        <f t="shared" si="109"/>
        <v>0</v>
      </c>
      <c r="CC77" s="197">
        <f t="shared" si="109"/>
        <v>21</v>
      </c>
      <c r="CD77" s="397">
        <f t="shared" si="109"/>
        <v>61</v>
      </c>
      <c r="CE77" s="196">
        <f t="shared" si="109"/>
        <v>75</v>
      </c>
      <c r="CF77" s="197">
        <f t="shared" si="109"/>
        <v>29</v>
      </c>
      <c r="CG77" s="197">
        <f t="shared" si="109"/>
        <v>31</v>
      </c>
      <c r="CH77" s="397">
        <f t="shared" si="109"/>
        <v>135</v>
      </c>
      <c r="CI77" s="196">
        <f t="shared" si="109"/>
        <v>28</v>
      </c>
      <c r="CJ77" s="197">
        <f t="shared" si="109"/>
        <v>22</v>
      </c>
      <c r="CK77" s="197">
        <f t="shared" si="109"/>
        <v>0</v>
      </c>
      <c r="CL77" s="397">
        <f t="shared" si="109"/>
        <v>50</v>
      </c>
      <c r="CM77" s="196">
        <f t="shared" ref="CM77:CP77" si="114">SUM(CM65,CM69,CM73)</f>
        <v>94</v>
      </c>
      <c r="CN77" s="197">
        <f t="shared" si="114"/>
        <v>29</v>
      </c>
      <c r="CO77" s="197">
        <f t="shared" si="114"/>
        <v>14</v>
      </c>
      <c r="CP77" s="397">
        <f t="shared" si="114"/>
        <v>137</v>
      </c>
      <c r="CQ77" s="196">
        <f t="shared" ref="CQ77:CT77" si="115">SUM(CQ65,CQ69,CQ73)</f>
        <v>29</v>
      </c>
      <c r="CR77" s="197">
        <f t="shared" si="115"/>
        <v>7</v>
      </c>
      <c r="CS77" s="197">
        <f t="shared" si="115"/>
        <v>18</v>
      </c>
      <c r="CT77" s="397">
        <f t="shared" si="115"/>
        <v>54</v>
      </c>
    </row>
    <row r="78" spans="1:98" s="1330" customFormat="1" ht="15" x14ac:dyDescent="0.25">
      <c r="A78" s="1333"/>
      <c r="B78" s="1376" t="s">
        <v>137</v>
      </c>
      <c r="C78" s="1377">
        <f>SUM(C75:C77)</f>
        <v>96</v>
      </c>
      <c r="D78" s="1378">
        <f>SUM(D75:D77)</f>
        <v>15</v>
      </c>
      <c r="E78" s="1378">
        <f>SUM(E75:E77)</f>
        <v>54</v>
      </c>
      <c r="F78" s="1379">
        <f t="shared" si="45"/>
        <v>165</v>
      </c>
      <c r="G78" s="1377">
        <f>SUM(G75:G77)</f>
        <v>127</v>
      </c>
      <c r="H78" s="1378">
        <f>SUM(H75:H77)</f>
        <v>85</v>
      </c>
      <c r="I78" s="1378">
        <f>SUM(I75:I77)</f>
        <v>125</v>
      </c>
      <c r="J78" s="1379">
        <f t="shared" si="91"/>
        <v>337</v>
      </c>
      <c r="K78" s="1377">
        <f>SUM(K75:K77)</f>
        <v>127</v>
      </c>
      <c r="L78" s="1378">
        <f>SUM(L75:L77)</f>
        <v>30</v>
      </c>
      <c r="M78" s="1378">
        <f>SUM(M75:M77)</f>
        <v>102</v>
      </c>
      <c r="N78" s="1379">
        <f t="shared" si="92"/>
        <v>259</v>
      </c>
      <c r="O78" s="1377">
        <f>SUM(O75:O77)</f>
        <v>90</v>
      </c>
      <c r="P78" s="1378">
        <f>SUM(P75:P77)</f>
        <v>70</v>
      </c>
      <c r="Q78" s="1378">
        <f>SUM(Q75:Q77)</f>
        <v>169</v>
      </c>
      <c r="R78" s="1379">
        <f t="shared" si="93"/>
        <v>329</v>
      </c>
      <c r="S78" s="1377">
        <f>SUM(S75:S77)</f>
        <v>90</v>
      </c>
      <c r="T78" s="1378">
        <f>SUM(T75:T77)</f>
        <v>24</v>
      </c>
      <c r="U78" s="1378">
        <f>SUM(U75:U77)</f>
        <v>116</v>
      </c>
      <c r="V78" s="1379">
        <f>SUM(V75:V77)</f>
        <v>230</v>
      </c>
      <c r="W78" s="1377">
        <f t="shared" ref="W78:AL78" si="116">SUM(W75:W77)</f>
        <v>40</v>
      </c>
      <c r="X78" s="1378"/>
      <c r="Y78" s="1378">
        <f t="shared" si="116"/>
        <v>179</v>
      </c>
      <c r="Z78" s="1378">
        <f t="shared" si="116"/>
        <v>219</v>
      </c>
      <c r="AA78" s="1377">
        <f t="shared" si="116"/>
        <v>69</v>
      </c>
      <c r="AB78" s="1378">
        <f t="shared" si="116"/>
        <v>4</v>
      </c>
      <c r="AC78" s="1378">
        <f t="shared" si="116"/>
        <v>136</v>
      </c>
      <c r="AD78" s="1379">
        <f t="shared" si="116"/>
        <v>209</v>
      </c>
      <c r="AE78" s="1378">
        <f t="shared" si="116"/>
        <v>52</v>
      </c>
      <c r="AF78" s="1378">
        <f t="shared" si="116"/>
        <v>4</v>
      </c>
      <c r="AG78" s="1378">
        <f t="shared" si="116"/>
        <v>205</v>
      </c>
      <c r="AH78" s="1379">
        <f t="shared" si="116"/>
        <v>261</v>
      </c>
      <c r="AI78" s="1378">
        <f t="shared" si="116"/>
        <v>95</v>
      </c>
      <c r="AJ78" s="1378">
        <f t="shared" si="116"/>
        <v>19</v>
      </c>
      <c r="AK78" s="1378">
        <f t="shared" si="116"/>
        <v>165</v>
      </c>
      <c r="AL78" s="1379">
        <f t="shared" si="116"/>
        <v>279</v>
      </c>
      <c r="AM78" s="1380">
        <v>50</v>
      </c>
      <c r="AN78" s="1381">
        <v>14</v>
      </c>
      <c r="AO78" s="1381">
        <v>204</v>
      </c>
      <c r="AP78" s="1382">
        <v>268</v>
      </c>
      <c r="AQ78" s="1380">
        <f>AQ66+AQ70+AQ74</f>
        <v>87</v>
      </c>
      <c r="AR78" s="1381">
        <f>AR66+AR70+AR74</f>
        <v>23</v>
      </c>
      <c r="AS78" s="1381">
        <f t="shared" si="106"/>
        <v>170</v>
      </c>
      <c r="AT78" s="1382">
        <f t="shared" si="106"/>
        <v>280</v>
      </c>
      <c r="AU78" s="1380">
        <f>AU66+AU70+AU74</f>
        <v>35</v>
      </c>
      <c r="AV78" s="1381">
        <f>AV66+AV70+AV74</f>
        <v>5</v>
      </c>
      <c r="AW78" s="1381">
        <f t="shared" si="107"/>
        <v>201</v>
      </c>
      <c r="AX78" s="1382">
        <f t="shared" si="107"/>
        <v>241</v>
      </c>
      <c r="AY78" s="1380">
        <f>SUM(AY75:AY77)</f>
        <v>80</v>
      </c>
      <c r="AZ78" s="1381">
        <f>SUM(AZ75:AZ77)</f>
        <v>54</v>
      </c>
      <c r="BA78" s="1381">
        <f>SUM(BA75:BA77)</f>
        <v>166</v>
      </c>
      <c r="BB78" s="1382">
        <f>BB66+BB70+BB74</f>
        <v>300</v>
      </c>
      <c r="BC78" s="1380">
        <f>SUM(BC75:BC77)</f>
        <v>54</v>
      </c>
      <c r="BD78" s="1381">
        <f>SUM(BD75:BD77)</f>
        <v>18</v>
      </c>
      <c r="BE78" s="1381">
        <f>SUM(BE75:BE77)</f>
        <v>215</v>
      </c>
      <c r="BF78" s="1382">
        <f>BF66+BF70+BF74</f>
        <v>287</v>
      </c>
      <c r="BG78" s="1380">
        <f>SUM(BG75:BG77)</f>
        <v>94</v>
      </c>
      <c r="BH78" s="1381">
        <f>SUM(BH75:BH77)</f>
        <v>75</v>
      </c>
      <c r="BI78" s="1381">
        <f>SUM(BI75:BI77)</f>
        <v>125</v>
      </c>
      <c r="BJ78" s="1382">
        <f>BJ66+BJ70+BJ74</f>
        <v>294</v>
      </c>
      <c r="BK78" s="1380">
        <f>SUM(BK75:BK77)</f>
        <v>45</v>
      </c>
      <c r="BL78" s="1381">
        <f>SUM(BL75:BL77)</f>
        <v>29</v>
      </c>
      <c r="BM78" s="1381">
        <f>SUM(BM75:BM77)</f>
        <v>233</v>
      </c>
      <c r="BN78" s="1382">
        <f>BN66+BN70+BN74</f>
        <v>307</v>
      </c>
      <c r="BO78" s="1380">
        <f>SUM(BO75:BO77)</f>
        <v>102</v>
      </c>
      <c r="BP78" s="1381">
        <f>SUM(BP75:BP77)</f>
        <v>76</v>
      </c>
      <c r="BQ78" s="1381">
        <f>SUM(BQ75:BQ77)</f>
        <v>137</v>
      </c>
      <c r="BR78" s="1382">
        <f>BR66+BR70+BR74</f>
        <v>315</v>
      </c>
      <c r="BS78" s="1380">
        <f>SUM(BS75:BS77)</f>
        <v>55</v>
      </c>
      <c r="BT78" s="1381">
        <f>SUM(BT75:BT77)</f>
        <v>28</v>
      </c>
      <c r="BU78" s="1381">
        <f>SUM(BU75:BU77)</f>
        <v>207</v>
      </c>
      <c r="BV78" s="1382">
        <f>BV66+BV70+BV74</f>
        <v>290</v>
      </c>
      <c r="BW78" s="1380">
        <f>SUM(BW75:BW77)</f>
        <v>121</v>
      </c>
      <c r="BX78" s="1381">
        <f>SUM(BX75:BX77)</f>
        <v>66</v>
      </c>
      <c r="BY78" s="1381">
        <f>SUM(BY75:BY77)</f>
        <v>145</v>
      </c>
      <c r="BZ78" s="1382">
        <f>BZ66+BZ70+BZ74</f>
        <v>332</v>
      </c>
      <c r="CA78" s="1380">
        <f>SUM(CA75:CA77)</f>
        <v>74</v>
      </c>
      <c r="CB78" s="1381">
        <f>SUM(CB75:CB77)</f>
        <v>53</v>
      </c>
      <c r="CC78" s="1381">
        <f>SUM(CC75:CC77)</f>
        <v>211</v>
      </c>
      <c r="CD78" s="1382">
        <f>CD66+CD70+CD74</f>
        <v>338</v>
      </c>
      <c r="CE78" s="1380">
        <f>SUM(CE75:CE77)</f>
        <v>114</v>
      </c>
      <c r="CF78" s="1381">
        <f>SUM(CF75:CF77)</f>
        <v>134</v>
      </c>
      <c r="CG78" s="1381">
        <f>SUM(CG75:CG77)</f>
        <v>81</v>
      </c>
      <c r="CH78" s="1382">
        <f>CH66+CH70+CH74</f>
        <v>329</v>
      </c>
      <c r="CI78" s="1380">
        <f>SUM(CI75:CI77)</f>
        <v>70</v>
      </c>
      <c r="CJ78" s="1381">
        <f>SUM(CJ75:CJ77)</f>
        <v>137</v>
      </c>
      <c r="CK78" s="1381">
        <f>SUM(CK75:CK77)</f>
        <v>53</v>
      </c>
      <c r="CL78" s="1382">
        <f>CL66+CL70+CL74</f>
        <v>260</v>
      </c>
      <c r="CM78" s="1380">
        <f>SUM(CM75:CM77)</f>
        <v>142</v>
      </c>
      <c r="CN78" s="1381">
        <f>SUM(CN75:CN77)</f>
        <v>144</v>
      </c>
      <c r="CO78" s="1381">
        <f>SUM(CO75:CO77)</f>
        <v>80</v>
      </c>
      <c r="CP78" s="1382">
        <f>CP66+CP70+CP74</f>
        <v>366</v>
      </c>
      <c r="CQ78" s="1380">
        <f>SUM(CQ75:CQ77)</f>
        <v>64</v>
      </c>
      <c r="CR78" s="1381">
        <f>SUM(CR75:CR77)</f>
        <v>88</v>
      </c>
      <c r="CS78" s="1381">
        <f>SUM(CS75:CS77)</f>
        <v>113</v>
      </c>
      <c r="CT78" s="1382">
        <f>CT66+CT70+CT74</f>
        <v>265</v>
      </c>
    </row>
    <row r="79" spans="1:98" s="1330" customFormat="1" ht="15" x14ac:dyDescent="0.25">
      <c r="A79" s="1333"/>
      <c r="B79" s="1353"/>
      <c r="C79" s="1354"/>
      <c r="D79" s="1354"/>
      <c r="E79" s="1354"/>
      <c r="F79" s="1354"/>
      <c r="G79" s="1354"/>
      <c r="H79" s="1354"/>
      <c r="I79" s="1354"/>
      <c r="J79" s="1354"/>
      <c r="K79" s="1354"/>
      <c r="L79" s="1354"/>
      <c r="M79" s="1354"/>
      <c r="N79" s="1354"/>
      <c r="O79" s="1354"/>
      <c r="P79" s="1354"/>
      <c r="Q79" s="1354"/>
      <c r="R79" s="1354"/>
      <c r="S79" s="1354"/>
      <c r="T79" s="1354"/>
      <c r="U79" s="1354"/>
      <c r="V79" s="1354"/>
      <c r="W79" s="1354"/>
      <c r="X79" s="1354"/>
      <c r="Y79" s="1354"/>
      <c r="Z79" s="1354"/>
      <c r="AA79" s="1354"/>
      <c r="AB79" s="1354"/>
      <c r="AC79" s="1354"/>
      <c r="AD79" s="1354"/>
      <c r="AE79" s="1354"/>
      <c r="AF79" s="1354"/>
      <c r="AG79" s="1354"/>
      <c r="AH79" s="1354"/>
      <c r="AI79" s="1354"/>
      <c r="AJ79" s="1354"/>
      <c r="AK79" s="1354"/>
      <c r="AL79" s="1354"/>
      <c r="AM79" s="1354"/>
      <c r="AN79" s="1354"/>
      <c r="AO79" s="1354"/>
      <c r="AP79" s="1354"/>
      <c r="AQ79" s="1354"/>
      <c r="AR79" s="1354"/>
      <c r="AS79" s="1354"/>
      <c r="AT79" s="1354"/>
      <c r="AU79" s="1354"/>
      <c r="AV79" s="1354"/>
      <c r="AW79" s="1354"/>
      <c r="AX79" s="1354"/>
      <c r="AY79" s="1354"/>
      <c r="AZ79" s="1354"/>
      <c r="BA79" s="1354"/>
      <c r="BB79" s="342"/>
      <c r="BC79" s="1354"/>
      <c r="BD79" s="1354"/>
      <c r="BE79" s="1354"/>
      <c r="BF79" s="342"/>
      <c r="BG79" s="1354"/>
      <c r="BH79" s="1354"/>
      <c r="BI79" s="1354"/>
      <c r="BJ79" s="342"/>
      <c r="BK79" s="1354"/>
      <c r="BL79" s="1354"/>
      <c r="BM79" s="1354"/>
      <c r="BN79" s="342"/>
      <c r="BO79" s="1354"/>
      <c r="BP79" s="1354"/>
      <c r="BQ79" s="1354"/>
      <c r="BR79" s="342"/>
      <c r="BS79" s="1354"/>
      <c r="BT79" s="1354"/>
      <c r="BU79" s="1354"/>
      <c r="BV79" s="342"/>
      <c r="BW79" s="1354"/>
      <c r="BX79" s="1354"/>
      <c r="BY79" s="1354"/>
      <c r="BZ79" s="342"/>
      <c r="CA79" s="1354"/>
      <c r="CB79" s="1354"/>
      <c r="CC79" s="1354"/>
      <c r="CD79" s="342"/>
      <c r="CE79" s="1354"/>
      <c r="CF79" s="1354"/>
      <c r="CG79" s="1354"/>
      <c r="CH79" s="342"/>
      <c r="CI79" s="1354"/>
      <c r="CJ79" s="1354"/>
      <c r="CK79" s="1354"/>
      <c r="CL79" s="342"/>
      <c r="CM79" s="1354"/>
      <c r="CN79" s="1354"/>
      <c r="CO79" s="1354"/>
      <c r="CP79" s="342"/>
      <c r="CQ79" s="1354"/>
      <c r="CR79" s="1354"/>
      <c r="CS79" s="1354"/>
      <c r="CT79" s="342"/>
    </row>
    <row r="80" spans="1:98" ht="15" x14ac:dyDescent="0.25">
      <c r="A80" s="1333"/>
      <c r="B80" s="1334" t="s">
        <v>308</v>
      </c>
      <c r="C80" s="1258">
        <f t="shared" ref="C80:E82" si="117">+C18+C52+C75</f>
        <v>71</v>
      </c>
      <c r="D80" s="1259">
        <f t="shared" si="117"/>
        <v>0</v>
      </c>
      <c r="E80" s="1259">
        <f t="shared" si="117"/>
        <v>94</v>
      </c>
      <c r="F80" s="1260">
        <f t="shared" si="45"/>
        <v>165</v>
      </c>
      <c r="G80" s="1258">
        <f t="shared" ref="G80:I82" si="118">+G18+G52+G75</f>
        <v>103</v>
      </c>
      <c r="H80" s="1259">
        <f t="shared" si="118"/>
        <v>0</v>
      </c>
      <c r="I80" s="1259">
        <f t="shared" si="118"/>
        <v>131</v>
      </c>
      <c r="J80" s="1260">
        <f>SUM(G80:I80)</f>
        <v>234</v>
      </c>
      <c r="K80" s="1258">
        <f t="shared" ref="K80:M82" si="119">+K18+K52+K75</f>
        <v>19</v>
      </c>
      <c r="L80" s="1259">
        <f t="shared" si="119"/>
        <v>7</v>
      </c>
      <c r="M80" s="1259">
        <f t="shared" si="119"/>
        <v>168</v>
      </c>
      <c r="N80" s="1260">
        <f t="shared" si="92"/>
        <v>194</v>
      </c>
      <c r="O80" s="1258">
        <f t="shared" ref="O80:Q82" si="120">+O18+O52+O75</f>
        <v>20</v>
      </c>
      <c r="P80" s="1259">
        <f t="shared" si="120"/>
        <v>3</v>
      </c>
      <c r="Q80" s="1259">
        <f t="shared" si="120"/>
        <v>143</v>
      </c>
      <c r="R80" s="1260">
        <f t="shared" si="93"/>
        <v>166</v>
      </c>
      <c r="S80" s="1258">
        <f t="shared" ref="S80:AL82" si="121">S18+S52+S75</f>
        <v>13</v>
      </c>
      <c r="T80" s="1259">
        <f t="shared" si="121"/>
        <v>2</v>
      </c>
      <c r="U80" s="1259">
        <f t="shared" si="121"/>
        <v>98</v>
      </c>
      <c r="V80" s="1260">
        <f t="shared" si="121"/>
        <v>113</v>
      </c>
      <c r="W80" s="1258">
        <f t="shared" si="121"/>
        <v>10</v>
      </c>
      <c r="X80" s="1259">
        <f t="shared" si="121"/>
        <v>2</v>
      </c>
      <c r="Y80" s="1259">
        <f t="shared" si="121"/>
        <v>155</v>
      </c>
      <c r="Z80" s="1298">
        <f t="shared" si="121"/>
        <v>167</v>
      </c>
      <c r="AA80" s="1258">
        <f t="shared" si="121"/>
        <v>1</v>
      </c>
      <c r="AB80" s="1259">
        <f t="shared" si="121"/>
        <v>4</v>
      </c>
      <c r="AC80" s="1259">
        <f t="shared" si="121"/>
        <v>59</v>
      </c>
      <c r="AD80" s="1260">
        <f t="shared" si="121"/>
        <v>64</v>
      </c>
      <c r="AE80" s="1259">
        <f t="shared" si="121"/>
        <v>109</v>
      </c>
      <c r="AF80" s="1259">
        <f t="shared" si="121"/>
        <v>7</v>
      </c>
      <c r="AG80" s="1259">
        <f t="shared" si="121"/>
        <v>68</v>
      </c>
      <c r="AH80" s="1260">
        <f t="shared" si="121"/>
        <v>184</v>
      </c>
      <c r="AI80" s="1259">
        <f t="shared" si="121"/>
        <v>104</v>
      </c>
      <c r="AJ80" s="1259">
        <f t="shared" si="121"/>
        <v>19</v>
      </c>
      <c r="AK80" s="1259">
        <f t="shared" si="121"/>
        <v>131</v>
      </c>
      <c r="AL80" s="1335">
        <f t="shared" si="121"/>
        <v>254</v>
      </c>
      <c r="AM80" s="151">
        <v>114</v>
      </c>
      <c r="AN80" s="152">
        <v>7</v>
      </c>
      <c r="AO80" s="152">
        <v>110</v>
      </c>
      <c r="AP80" s="395">
        <v>231</v>
      </c>
      <c r="AQ80" s="151">
        <f t="shared" ref="AQ80:AX83" si="122">AQ18+AQ52+AQ75</f>
        <v>12</v>
      </c>
      <c r="AR80" s="152">
        <f t="shared" si="122"/>
        <v>105</v>
      </c>
      <c r="AS80" s="152">
        <f t="shared" si="122"/>
        <v>104</v>
      </c>
      <c r="AT80" s="395">
        <f t="shared" si="122"/>
        <v>221</v>
      </c>
      <c r="AU80" s="151">
        <f t="shared" si="122"/>
        <v>6</v>
      </c>
      <c r="AV80" s="152">
        <f t="shared" si="122"/>
        <v>6</v>
      </c>
      <c r="AW80" s="152">
        <f t="shared" si="122"/>
        <v>248</v>
      </c>
      <c r="AX80" s="395">
        <f t="shared" si="122"/>
        <v>260</v>
      </c>
      <c r="AY80" s="151">
        <f t="shared" ref="AY80:BB82" si="123">SUM(AY18,AY52,AY75,AY23)</f>
        <v>19</v>
      </c>
      <c r="AZ80" s="152">
        <f t="shared" si="123"/>
        <v>5</v>
      </c>
      <c r="BA80" s="152">
        <f t="shared" si="123"/>
        <v>175</v>
      </c>
      <c r="BB80" s="395">
        <f t="shared" si="123"/>
        <v>199</v>
      </c>
      <c r="BC80" s="151">
        <f t="shared" ref="BC80:BE82" si="124">SUM(BC18,BC35,BC52,BC75)</f>
        <v>9</v>
      </c>
      <c r="BD80" s="152">
        <f t="shared" si="124"/>
        <v>14</v>
      </c>
      <c r="BE80" s="152">
        <f t="shared" si="124"/>
        <v>106</v>
      </c>
      <c r="BF80" s="395">
        <f>SUM(BC80:BE80)</f>
        <v>129</v>
      </c>
      <c r="BG80" s="151">
        <f t="shared" ref="BG80:BI82" si="125">SUM(BG18,BG35,BG52,BG75)</f>
        <v>17</v>
      </c>
      <c r="BH80" s="152">
        <f t="shared" si="125"/>
        <v>6</v>
      </c>
      <c r="BI80" s="152">
        <f t="shared" si="125"/>
        <v>112</v>
      </c>
      <c r="BJ80" s="395">
        <f>SUM(BG80:BI80)</f>
        <v>135</v>
      </c>
      <c r="BK80" s="151">
        <f t="shared" ref="BK80:BM82" si="126">SUM(BK18,BK35,BK52,BK75)</f>
        <v>7</v>
      </c>
      <c r="BL80" s="152">
        <f t="shared" si="126"/>
        <v>6</v>
      </c>
      <c r="BM80" s="152">
        <f t="shared" si="126"/>
        <v>109</v>
      </c>
      <c r="BN80" s="395">
        <f>SUM(BK80:BM80)</f>
        <v>122</v>
      </c>
      <c r="BO80" s="151">
        <f t="shared" ref="BO80:BQ82" si="127">SUM(BO18,BO35,BO52,BO75)</f>
        <v>41</v>
      </c>
      <c r="BP80" s="152">
        <f t="shared" si="127"/>
        <v>8</v>
      </c>
      <c r="BQ80" s="152">
        <f t="shared" si="127"/>
        <v>64</v>
      </c>
      <c r="BR80" s="395">
        <f>SUM(BO80:BQ80)</f>
        <v>113</v>
      </c>
      <c r="BS80" s="151">
        <f t="shared" ref="BS80:BU82" si="128">SUM(BS18,BS35,BS52,BS75)</f>
        <v>6</v>
      </c>
      <c r="BT80" s="152">
        <f t="shared" si="128"/>
        <v>5</v>
      </c>
      <c r="BU80" s="152">
        <f t="shared" si="128"/>
        <v>54</v>
      </c>
      <c r="BV80" s="395">
        <f>SUM(BS80:BU80)</f>
        <v>65</v>
      </c>
      <c r="BW80" s="151">
        <f t="shared" ref="BW80:BY82" si="129">SUM(BW18,BW35,BW52,BW75)</f>
        <v>2</v>
      </c>
      <c r="BX80" s="152">
        <f t="shared" si="129"/>
        <v>69</v>
      </c>
      <c r="BY80" s="152">
        <f t="shared" si="129"/>
        <v>70</v>
      </c>
      <c r="BZ80" s="395">
        <f>SUM(BW80:BY80)</f>
        <v>141</v>
      </c>
      <c r="CA80" s="151">
        <f t="shared" ref="CA80:CC81" si="130">SUM(CA18,CA35,CA52,CA75)</f>
        <v>2</v>
      </c>
      <c r="CB80" s="152">
        <f t="shared" si="130"/>
        <v>46</v>
      </c>
      <c r="CC80" s="152">
        <f t="shared" si="130"/>
        <v>45</v>
      </c>
      <c r="CD80" s="395">
        <f>SUM(CA80:CC80)</f>
        <v>93</v>
      </c>
      <c r="CE80" s="151">
        <f>SUM(CE18,CE35,CE52,CE57,CE75)</f>
        <v>4</v>
      </c>
      <c r="CF80" s="152">
        <f>SUM(CF18,CF35,CF52,CF57,CF75)</f>
        <v>46</v>
      </c>
      <c r="CG80" s="152">
        <f>SUM(CG18,CG35,CG52,CG57,CG75)</f>
        <v>22</v>
      </c>
      <c r="CH80" s="395">
        <f>SUM(CE80:CG80)</f>
        <v>72</v>
      </c>
      <c r="CI80" s="151">
        <f t="shared" ref="CI80:CK82" si="131">SUM(CI18,CI35,CI52,CI57,CI75)</f>
        <v>16</v>
      </c>
      <c r="CJ80" s="152">
        <f t="shared" si="131"/>
        <v>67</v>
      </c>
      <c r="CK80" s="152">
        <f t="shared" si="131"/>
        <v>8</v>
      </c>
      <c r="CL80" s="395">
        <f>SUM(CI80:CK80)</f>
        <v>91</v>
      </c>
      <c r="CM80" s="151">
        <f t="shared" ref="CM80:CO80" si="132">SUM(CM18,CM35,CM52,CM57,CM75)</f>
        <v>2</v>
      </c>
      <c r="CN80" s="152">
        <f t="shared" si="132"/>
        <v>48</v>
      </c>
      <c r="CO80" s="152">
        <f t="shared" si="132"/>
        <v>13</v>
      </c>
      <c r="CP80" s="395">
        <f>SUM(CM80:CO80)</f>
        <v>63</v>
      </c>
      <c r="CQ80" s="151">
        <f t="shared" ref="CQ80:CS80" si="133">SUM(CQ18,CQ35,CQ52,CQ57,CQ75)</f>
        <v>9</v>
      </c>
      <c r="CR80" s="152">
        <f t="shared" si="133"/>
        <v>40</v>
      </c>
      <c r="CS80" s="152">
        <f t="shared" si="133"/>
        <v>22</v>
      </c>
      <c r="CT80" s="395">
        <f>SUM(CQ80:CS80)</f>
        <v>71</v>
      </c>
    </row>
    <row r="81" spans="1:98" ht="15" x14ac:dyDescent="0.25">
      <c r="A81" s="1333"/>
      <c r="B81" s="1336" t="s">
        <v>310</v>
      </c>
      <c r="C81" s="1262">
        <f t="shared" si="117"/>
        <v>108</v>
      </c>
      <c r="D81" s="1263">
        <f t="shared" si="117"/>
        <v>38</v>
      </c>
      <c r="E81" s="1263">
        <f t="shared" si="117"/>
        <v>223</v>
      </c>
      <c r="F81" s="1264">
        <f t="shared" si="45"/>
        <v>369</v>
      </c>
      <c r="G81" s="1262">
        <f t="shared" si="118"/>
        <v>221</v>
      </c>
      <c r="H81" s="1263">
        <f t="shared" si="118"/>
        <v>93</v>
      </c>
      <c r="I81" s="1263">
        <f t="shared" si="118"/>
        <v>346</v>
      </c>
      <c r="J81" s="1264">
        <f>SUM(G81:I81)</f>
        <v>660</v>
      </c>
      <c r="K81" s="1262">
        <f t="shared" si="119"/>
        <v>124</v>
      </c>
      <c r="L81" s="1263">
        <f t="shared" si="119"/>
        <v>72</v>
      </c>
      <c r="M81" s="1263">
        <f t="shared" si="119"/>
        <v>229</v>
      </c>
      <c r="N81" s="1264">
        <f t="shared" si="92"/>
        <v>425</v>
      </c>
      <c r="O81" s="1262">
        <f t="shared" si="120"/>
        <v>109</v>
      </c>
      <c r="P81" s="1263">
        <f t="shared" si="120"/>
        <v>70</v>
      </c>
      <c r="Q81" s="1263">
        <f t="shared" si="120"/>
        <v>487</v>
      </c>
      <c r="R81" s="1264">
        <f t="shared" si="93"/>
        <v>666</v>
      </c>
      <c r="S81" s="1262">
        <f t="shared" si="121"/>
        <v>43</v>
      </c>
      <c r="T81" s="1263">
        <f t="shared" si="121"/>
        <v>33</v>
      </c>
      <c r="U81" s="1263">
        <f t="shared" si="121"/>
        <v>194</v>
      </c>
      <c r="V81" s="1264">
        <f t="shared" si="121"/>
        <v>270</v>
      </c>
      <c r="W81" s="1262">
        <f t="shared" si="121"/>
        <v>61</v>
      </c>
      <c r="X81" s="1263">
        <f t="shared" si="121"/>
        <v>13</v>
      </c>
      <c r="Y81" s="1263">
        <f t="shared" si="121"/>
        <v>272</v>
      </c>
      <c r="Z81" s="1337">
        <f t="shared" si="121"/>
        <v>346</v>
      </c>
      <c r="AA81" s="1262">
        <f t="shared" si="121"/>
        <v>114</v>
      </c>
      <c r="AB81" s="1263">
        <f t="shared" si="121"/>
        <v>17</v>
      </c>
      <c r="AC81" s="1263">
        <f t="shared" si="121"/>
        <v>277</v>
      </c>
      <c r="AD81" s="1264">
        <f t="shared" si="121"/>
        <v>408</v>
      </c>
      <c r="AE81" s="1263">
        <f t="shared" si="121"/>
        <v>59</v>
      </c>
      <c r="AF81" s="1263">
        <f t="shared" si="121"/>
        <v>16</v>
      </c>
      <c r="AG81" s="1263">
        <f t="shared" si="121"/>
        <v>328</v>
      </c>
      <c r="AH81" s="1264">
        <f t="shared" si="121"/>
        <v>403</v>
      </c>
      <c r="AI81" s="1263">
        <f t="shared" si="121"/>
        <v>102</v>
      </c>
      <c r="AJ81" s="1263">
        <f t="shared" si="121"/>
        <v>22</v>
      </c>
      <c r="AK81" s="1263">
        <f t="shared" si="121"/>
        <v>269</v>
      </c>
      <c r="AL81" s="1338">
        <f t="shared" si="121"/>
        <v>393</v>
      </c>
      <c r="AM81" s="129">
        <v>61</v>
      </c>
      <c r="AN81" s="130">
        <v>22</v>
      </c>
      <c r="AO81" s="130">
        <v>449</v>
      </c>
      <c r="AP81" s="396">
        <v>532</v>
      </c>
      <c r="AQ81" s="129">
        <f t="shared" si="122"/>
        <v>40</v>
      </c>
      <c r="AR81" s="130">
        <f t="shared" si="122"/>
        <v>27</v>
      </c>
      <c r="AS81" s="130">
        <f t="shared" si="122"/>
        <v>385</v>
      </c>
      <c r="AT81" s="396">
        <f t="shared" si="122"/>
        <v>452</v>
      </c>
      <c r="AU81" s="129">
        <f t="shared" si="122"/>
        <v>62</v>
      </c>
      <c r="AV81" s="130">
        <f t="shared" si="122"/>
        <v>12</v>
      </c>
      <c r="AW81" s="130">
        <f t="shared" si="122"/>
        <v>395</v>
      </c>
      <c r="AX81" s="396">
        <f t="shared" si="122"/>
        <v>469</v>
      </c>
      <c r="AY81" s="129">
        <f t="shared" si="123"/>
        <v>57</v>
      </c>
      <c r="AZ81" s="130">
        <f t="shared" si="123"/>
        <v>70</v>
      </c>
      <c r="BA81" s="130">
        <f t="shared" si="123"/>
        <v>359</v>
      </c>
      <c r="BB81" s="396">
        <f t="shared" si="123"/>
        <v>486</v>
      </c>
      <c r="BC81" s="129">
        <f t="shared" si="124"/>
        <v>109</v>
      </c>
      <c r="BD81" s="130">
        <f t="shared" si="124"/>
        <v>33</v>
      </c>
      <c r="BE81" s="130">
        <f t="shared" si="124"/>
        <v>494</v>
      </c>
      <c r="BF81" s="396">
        <f>SUM(BC81:BE81)</f>
        <v>636</v>
      </c>
      <c r="BG81" s="129">
        <f t="shared" si="125"/>
        <v>106</v>
      </c>
      <c r="BH81" s="130">
        <f t="shared" si="125"/>
        <v>80</v>
      </c>
      <c r="BI81" s="130">
        <f t="shared" si="125"/>
        <v>385</v>
      </c>
      <c r="BJ81" s="396">
        <f>SUM(BG81:BI81)</f>
        <v>571</v>
      </c>
      <c r="BK81" s="129">
        <f t="shared" si="126"/>
        <v>111</v>
      </c>
      <c r="BL81" s="130">
        <f t="shared" si="126"/>
        <v>49</v>
      </c>
      <c r="BM81" s="130">
        <f t="shared" si="126"/>
        <v>549</v>
      </c>
      <c r="BN81" s="396">
        <f>SUM(BK81:BM81)</f>
        <v>709</v>
      </c>
      <c r="BO81" s="129">
        <f t="shared" si="127"/>
        <v>90</v>
      </c>
      <c r="BP81" s="130">
        <f t="shared" si="127"/>
        <v>126</v>
      </c>
      <c r="BQ81" s="130">
        <f t="shared" si="127"/>
        <v>431</v>
      </c>
      <c r="BR81" s="396">
        <f>SUM(BO81:BQ81)</f>
        <v>647</v>
      </c>
      <c r="BS81" s="129">
        <f t="shared" si="128"/>
        <v>109</v>
      </c>
      <c r="BT81" s="130">
        <f t="shared" si="128"/>
        <v>39</v>
      </c>
      <c r="BU81" s="130">
        <f t="shared" si="128"/>
        <v>499</v>
      </c>
      <c r="BV81" s="396">
        <f>SUM(BS81:BU81)</f>
        <v>647</v>
      </c>
      <c r="BW81" s="129">
        <f t="shared" si="129"/>
        <v>172</v>
      </c>
      <c r="BX81" s="130">
        <f t="shared" si="129"/>
        <v>80</v>
      </c>
      <c r="BY81" s="130">
        <f t="shared" si="129"/>
        <v>392</v>
      </c>
      <c r="BZ81" s="396">
        <f>SUM(BW81:BY81)</f>
        <v>644</v>
      </c>
      <c r="CA81" s="129">
        <f t="shared" si="130"/>
        <v>75</v>
      </c>
      <c r="CB81" s="130">
        <f t="shared" si="130"/>
        <v>67</v>
      </c>
      <c r="CC81" s="130">
        <f t="shared" si="130"/>
        <v>486</v>
      </c>
      <c r="CD81" s="396">
        <f>SUM(CA81:CC81)</f>
        <v>628</v>
      </c>
      <c r="CE81" s="129">
        <f t="shared" ref="CE81:CG82" si="134">SUM(CE19,CE36,CE53,CE58,CE76)</f>
        <v>175</v>
      </c>
      <c r="CF81" s="130">
        <f t="shared" si="134"/>
        <v>187</v>
      </c>
      <c r="CG81" s="130">
        <f t="shared" si="134"/>
        <v>267</v>
      </c>
      <c r="CH81" s="396">
        <f>SUM(CE81:CG81)</f>
        <v>629</v>
      </c>
      <c r="CI81" s="129">
        <f t="shared" si="131"/>
        <v>103</v>
      </c>
      <c r="CJ81" s="130">
        <f t="shared" si="131"/>
        <v>228</v>
      </c>
      <c r="CK81" s="130">
        <f t="shared" si="131"/>
        <v>122</v>
      </c>
      <c r="CL81" s="396">
        <f>SUM(CI81:CK81)</f>
        <v>453</v>
      </c>
      <c r="CM81" s="129">
        <f t="shared" ref="CM81:CO81" si="135">SUM(CM19,CM36,CM53,CM58,CM76)</f>
        <v>137</v>
      </c>
      <c r="CN81" s="130">
        <f t="shared" si="135"/>
        <v>208</v>
      </c>
      <c r="CO81" s="130">
        <f t="shared" si="135"/>
        <v>187</v>
      </c>
      <c r="CP81" s="396">
        <f>SUM(CM81:CO81)</f>
        <v>532</v>
      </c>
      <c r="CQ81" s="129">
        <f t="shared" ref="CQ81:CS81" si="136">SUM(CQ19,CQ36,CQ53,CQ58,CQ76)</f>
        <v>103</v>
      </c>
      <c r="CR81" s="130">
        <f t="shared" si="136"/>
        <v>156</v>
      </c>
      <c r="CS81" s="130">
        <f t="shared" si="136"/>
        <v>343</v>
      </c>
      <c r="CT81" s="396">
        <f>SUM(CQ81:CS81)</f>
        <v>602</v>
      </c>
    </row>
    <row r="82" spans="1:98" ht="15" x14ac:dyDescent="0.25">
      <c r="A82" s="1333"/>
      <c r="B82" s="1339" t="s">
        <v>317</v>
      </c>
      <c r="C82" s="1267">
        <f t="shared" si="117"/>
        <v>77</v>
      </c>
      <c r="D82" s="1268">
        <f t="shared" si="117"/>
        <v>12</v>
      </c>
      <c r="E82" s="1268">
        <f t="shared" si="117"/>
        <v>92</v>
      </c>
      <c r="F82" s="1269">
        <f t="shared" si="45"/>
        <v>181</v>
      </c>
      <c r="G82" s="1267">
        <f t="shared" si="118"/>
        <v>51</v>
      </c>
      <c r="H82" s="1268">
        <f t="shared" si="118"/>
        <v>28</v>
      </c>
      <c r="I82" s="1268">
        <f t="shared" si="118"/>
        <v>140</v>
      </c>
      <c r="J82" s="1269">
        <f>SUM(G82:I82)</f>
        <v>219</v>
      </c>
      <c r="K82" s="1267">
        <f t="shared" si="119"/>
        <v>104</v>
      </c>
      <c r="L82" s="1268">
        <f t="shared" si="119"/>
        <v>16</v>
      </c>
      <c r="M82" s="1268">
        <f t="shared" si="119"/>
        <v>83</v>
      </c>
      <c r="N82" s="1269">
        <f t="shared" si="92"/>
        <v>203</v>
      </c>
      <c r="O82" s="1267">
        <f t="shared" si="120"/>
        <v>74</v>
      </c>
      <c r="P82" s="1268">
        <f t="shared" si="120"/>
        <v>30</v>
      </c>
      <c r="Q82" s="1268">
        <f t="shared" si="120"/>
        <v>161</v>
      </c>
      <c r="R82" s="1269">
        <f t="shared" si="93"/>
        <v>265</v>
      </c>
      <c r="S82" s="1267">
        <f t="shared" si="121"/>
        <v>91</v>
      </c>
      <c r="T82" s="1268">
        <f t="shared" si="121"/>
        <v>9</v>
      </c>
      <c r="U82" s="1268">
        <f t="shared" si="121"/>
        <v>98</v>
      </c>
      <c r="V82" s="1269">
        <f t="shared" si="121"/>
        <v>198</v>
      </c>
      <c r="W82" s="1267">
        <f t="shared" si="121"/>
        <v>42</v>
      </c>
      <c r="X82" s="1268">
        <f t="shared" si="121"/>
        <v>44</v>
      </c>
      <c r="Y82" s="1268">
        <f t="shared" si="121"/>
        <v>95</v>
      </c>
      <c r="Z82" s="1340">
        <f t="shared" si="121"/>
        <v>181</v>
      </c>
      <c r="AA82" s="1267">
        <f t="shared" si="121"/>
        <v>122</v>
      </c>
      <c r="AB82" s="1268">
        <f t="shared" si="121"/>
        <v>12</v>
      </c>
      <c r="AC82" s="1268">
        <f t="shared" si="121"/>
        <v>90</v>
      </c>
      <c r="AD82" s="1269">
        <f t="shared" si="121"/>
        <v>224</v>
      </c>
      <c r="AE82" s="1268">
        <f t="shared" si="121"/>
        <v>60</v>
      </c>
      <c r="AF82" s="1268">
        <f t="shared" si="121"/>
        <v>5</v>
      </c>
      <c r="AG82" s="1268">
        <f t="shared" si="121"/>
        <v>65</v>
      </c>
      <c r="AH82" s="1269">
        <f t="shared" si="121"/>
        <v>130</v>
      </c>
      <c r="AI82" s="1268">
        <f t="shared" si="121"/>
        <v>125</v>
      </c>
      <c r="AJ82" s="1268">
        <f t="shared" si="121"/>
        <v>17</v>
      </c>
      <c r="AK82" s="1268">
        <f t="shared" si="121"/>
        <v>107</v>
      </c>
      <c r="AL82" s="1341">
        <f t="shared" si="121"/>
        <v>249</v>
      </c>
      <c r="AM82" s="196">
        <v>47</v>
      </c>
      <c r="AN82" s="197">
        <v>4</v>
      </c>
      <c r="AO82" s="197">
        <v>126</v>
      </c>
      <c r="AP82" s="397">
        <v>177</v>
      </c>
      <c r="AQ82" s="196">
        <f t="shared" si="122"/>
        <v>93</v>
      </c>
      <c r="AR82" s="197">
        <f t="shared" si="122"/>
        <v>20</v>
      </c>
      <c r="AS82" s="197">
        <f t="shared" si="122"/>
        <v>106</v>
      </c>
      <c r="AT82" s="397">
        <f t="shared" si="122"/>
        <v>219</v>
      </c>
      <c r="AU82" s="196">
        <f t="shared" si="122"/>
        <v>65</v>
      </c>
      <c r="AV82" s="197">
        <f t="shared" si="122"/>
        <v>19</v>
      </c>
      <c r="AW82" s="197">
        <f t="shared" si="122"/>
        <v>153</v>
      </c>
      <c r="AX82" s="397">
        <f t="shared" si="122"/>
        <v>237</v>
      </c>
      <c r="AY82" s="196">
        <f t="shared" si="123"/>
        <v>142</v>
      </c>
      <c r="AZ82" s="197">
        <f t="shared" si="123"/>
        <v>11</v>
      </c>
      <c r="BA82" s="197">
        <f t="shared" si="123"/>
        <v>152</v>
      </c>
      <c r="BB82" s="397">
        <f t="shared" si="123"/>
        <v>305</v>
      </c>
      <c r="BC82" s="196">
        <f t="shared" si="124"/>
        <v>83</v>
      </c>
      <c r="BD82" s="197">
        <f t="shared" si="124"/>
        <v>14</v>
      </c>
      <c r="BE82" s="197">
        <f t="shared" si="124"/>
        <v>186</v>
      </c>
      <c r="BF82" s="397">
        <f>SUM(BC82:BE82)</f>
        <v>283</v>
      </c>
      <c r="BG82" s="196">
        <f t="shared" si="125"/>
        <v>139</v>
      </c>
      <c r="BH82" s="197">
        <f t="shared" si="125"/>
        <v>19</v>
      </c>
      <c r="BI82" s="197">
        <f t="shared" si="125"/>
        <v>124</v>
      </c>
      <c r="BJ82" s="397">
        <f>SUM(BG82:BI82)</f>
        <v>282</v>
      </c>
      <c r="BK82" s="196">
        <f t="shared" si="126"/>
        <v>77</v>
      </c>
      <c r="BL82" s="197">
        <f t="shared" si="126"/>
        <v>17</v>
      </c>
      <c r="BM82" s="197">
        <f t="shared" si="126"/>
        <v>243</v>
      </c>
      <c r="BN82" s="397">
        <f>SUM(BK82:BM82)</f>
        <v>337</v>
      </c>
      <c r="BO82" s="196">
        <f t="shared" si="127"/>
        <v>139</v>
      </c>
      <c r="BP82" s="197">
        <f t="shared" si="127"/>
        <v>13</v>
      </c>
      <c r="BQ82" s="197">
        <f t="shared" si="127"/>
        <v>160</v>
      </c>
      <c r="BR82" s="397">
        <f>SUM(BO82:BQ82)</f>
        <v>312</v>
      </c>
      <c r="BS82" s="196">
        <f t="shared" si="128"/>
        <v>86</v>
      </c>
      <c r="BT82" s="197">
        <f t="shared" si="128"/>
        <v>10</v>
      </c>
      <c r="BU82" s="197">
        <f t="shared" si="128"/>
        <v>182</v>
      </c>
      <c r="BV82" s="397">
        <f>SUM(BS82:BU82)</f>
        <v>278</v>
      </c>
      <c r="BW82" s="196">
        <f t="shared" si="129"/>
        <v>147</v>
      </c>
      <c r="BX82" s="197">
        <f t="shared" si="129"/>
        <v>11</v>
      </c>
      <c r="BY82" s="197">
        <f t="shared" si="129"/>
        <v>148</v>
      </c>
      <c r="BZ82" s="397">
        <f>SUM(BW82:BY82)</f>
        <v>306</v>
      </c>
      <c r="CA82" s="196">
        <f>SUM(CA20,CA37,CA54,CA77)</f>
        <v>94</v>
      </c>
      <c r="CB82" s="197">
        <f>SUM(CB20,CB37,CB54,CB77)</f>
        <v>22</v>
      </c>
      <c r="CC82" s="197">
        <f>SUM(CC20,CC37,CC54,CC59,CC77)</f>
        <v>184</v>
      </c>
      <c r="CD82" s="397">
        <f>SUM(CA82:CC82)</f>
        <v>300</v>
      </c>
      <c r="CE82" s="196">
        <f t="shared" si="134"/>
        <v>153</v>
      </c>
      <c r="CF82" s="197">
        <f t="shared" si="134"/>
        <v>72</v>
      </c>
      <c r="CG82" s="197">
        <f t="shared" si="134"/>
        <v>122</v>
      </c>
      <c r="CH82" s="397">
        <f>SUM(CE82:CG82)</f>
        <v>347</v>
      </c>
      <c r="CI82" s="196">
        <f t="shared" si="131"/>
        <v>68</v>
      </c>
      <c r="CJ82" s="197">
        <f t="shared" si="131"/>
        <v>52</v>
      </c>
      <c r="CK82" s="197">
        <f t="shared" si="131"/>
        <v>78</v>
      </c>
      <c r="CL82" s="397">
        <f>SUM(CI82:CK82)</f>
        <v>198</v>
      </c>
      <c r="CM82" s="196">
        <f t="shared" ref="CM82:CO82" si="137">SUM(CM20,CM37,CM54,CM59,CM77)</f>
        <v>123</v>
      </c>
      <c r="CN82" s="197">
        <f t="shared" si="137"/>
        <v>80</v>
      </c>
      <c r="CO82" s="197">
        <f t="shared" si="137"/>
        <v>67</v>
      </c>
      <c r="CP82" s="397">
        <f>SUM(CM82:CO82)</f>
        <v>270</v>
      </c>
      <c r="CQ82" s="196">
        <f t="shared" ref="CQ82:CS82" si="138">SUM(CQ20,CQ37,CQ54,CQ59,CQ77)</f>
        <v>59</v>
      </c>
      <c r="CR82" s="197">
        <f t="shared" si="138"/>
        <v>34</v>
      </c>
      <c r="CS82" s="197">
        <f t="shared" si="138"/>
        <v>111</v>
      </c>
      <c r="CT82" s="397">
        <f>SUM(CQ82:CS82)</f>
        <v>204</v>
      </c>
    </row>
    <row r="83" spans="1:98" s="1330" customFormat="1" ht="15" x14ac:dyDescent="0.25">
      <c r="A83" s="1333"/>
      <c r="B83" s="1383" t="s">
        <v>431</v>
      </c>
      <c r="C83" s="398">
        <f>SUM(C80:C82)</f>
        <v>256</v>
      </c>
      <c r="D83" s="399">
        <f>SUM(D80:D82)</f>
        <v>50</v>
      </c>
      <c r="E83" s="399">
        <f>SUM(E80:E82)</f>
        <v>409</v>
      </c>
      <c r="F83" s="400">
        <f t="shared" si="45"/>
        <v>715</v>
      </c>
      <c r="G83" s="398">
        <f>SUM(G80:G82)</f>
        <v>375</v>
      </c>
      <c r="H83" s="399">
        <f>SUM(H80:H82)</f>
        <v>121</v>
      </c>
      <c r="I83" s="399">
        <f>SUM(I80:I82)</f>
        <v>617</v>
      </c>
      <c r="J83" s="400">
        <f>SUM(G83:I83)</f>
        <v>1113</v>
      </c>
      <c r="K83" s="398">
        <f>SUM(K80:K82)</f>
        <v>247</v>
      </c>
      <c r="L83" s="399">
        <f>SUM(L80:L82)</f>
        <v>95</v>
      </c>
      <c r="M83" s="399">
        <f>SUM(M80:M82)</f>
        <v>480</v>
      </c>
      <c r="N83" s="400">
        <f t="shared" si="92"/>
        <v>822</v>
      </c>
      <c r="O83" s="398">
        <f>SUM(O80:O82)</f>
        <v>203</v>
      </c>
      <c r="P83" s="399">
        <f>SUM(P80:P82)</f>
        <v>103</v>
      </c>
      <c r="Q83" s="399">
        <f>SUM(Q80:Q82)</f>
        <v>791</v>
      </c>
      <c r="R83" s="400">
        <f t="shared" si="93"/>
        <v>1097</v>
      </c>
      <c r="S83" s="398">
        <f>SUM(S80:S82)</f>
        <v>147</v>
      </c>
      <c r="T83" s="399">
        <f>SUM(T80:T82)</f>
        <v>44</v>
      </c>
      <c r="U83" s="399">
        <f>SUM(U80:U82)</f>
        <v>390</v>
      </c>
      <c r="V83" s="400">
        <f>SUM(V80:V82)</f>
        <v>581</v>
      </c>
      <c r="W83" s="398">
        <f t="shared" ref="W83:AL83" si="139">SUM(W80:W82)</f>
        <v>113</v>
      </c>
      <c r="X83" s="399">
        <f t="shared" si="139"/>
        <v>59</v>
      </c>
      <c r="Y83" s="399">
        <f t="shared" si="139"/>
        <v>522</v>
      </c>
      <c r="Z83" s="399">
        <f t="shared" si="139"/>
        <v>694</v>
      </c>
      <c r="AA83" s="398">
        <f t="shared" si="139"/>
        <v>237</v>
      </c>
      <c r="AB83" s="399">
        <f t="shared" si="139"/>
        <v>33</v>
      </c>
      <c r="AC83" s="399">
        <f t="shared" si="139"/>
        <v>426</v>
      </c>
      <c r="AD83" s="400">
        <f t="shared" si="139"/>
        <v>696</v>
      </c>
      <c r="AE83" s="399">
        <f t="shared" si="139"/>
        <v>228</v>
      </c>
      <c r="AF83" s="399">
        <f t="shared" si="139"/>
        <v>28</v>
      </c>
      <c r="AG83" s="399">
        <f t="shared" si="139"/>
        <v>461</v>
      </c>
      <c r="AH83" s="400">
        <f t="shared" si="139"/>
        <v>717</v>
      </c>
      <c r="AI83" s="399">
        <f t="shared" si="139"/>
        <v>331</v>
      </c>
      <c r="AJ83" s="399">
        <f t="shared" si="139"/>
        <v>58</v>
      </c>
      <c r="AK83" s="399">
        <f t="shared" si="139"/>
        <v>507</v>
      </c>
      <c r="AL83" s="400">
        <f t="shared" si="139"/>
        <v>896</v>
      </c>
      <c r="AM83" s="398">
        <v>222</v>
      </c>
      <c r="AN83" s="399">
        <v>33</v>
      </c>
      <c r="AO83" s="399">
        <v>685</v>
      </c>
      <c r="AP83" s="400">
        <v>940</v>
      </c>
      <c r="AQ83" s="398">
        <f t="shared" si="122"/>
        <v>145</v>
      </c>
      <c r="AR83" s="399">
        <f t="shared" si="122"/>
        <v>152</v>
      </c>
      <c r="AS83" s="399">
        <f t="shared" si="122"/>
        <v>595</v>
      </c>
      <c r="AT83" s="400">
        <f t="shared" si="122"/>
        <v>892</v>
      </c>
      <c r="AU83" s="398">
        <f t="shared" si="122"/>
        <v>133</v>
      </c>
      <c r="AV83" s="399">
        <f t="shared" si="122"/>
        <v>37</v>
      </c>
      <c r="AW83" s="399">
        <f t="shared" si="122"/>
        <v>796</v>
      </c>
      <c r="AX83" s="400">
        <f t="shared" si="122"/>
        <v>966</v>
      </c>
      <c r="AY83" s="398">
        <f t="shared" ref="AY83:CL83" si="140">SUM(AY80:AY82)</f>
        <v>218</v>
      </c>
      <c r="AZ83" s="399">
        <f t="shared" si="140"/>
        <v>86</v>
      </c>
      <c r="BA83" s="399">
        <f t="shared" si="140"/>
        <v>686</v>
      </c>
      <c r="BB83" s="400">
        <f t="shared" si="140"/>
        <v>990</v>
      </c>
      <c r="BC83" s="398">
        <f t="shared" si="140"/>
        <v>201</v>
      </c>
      <c r="BD83" s="399">
        <f t="shared" si="140"/>
        <v>61</v>
      </c>
      <c r="BE83" s="399">
        <f t="shared" si="140"/>
        <v>786</v>
      </c>
      <c r="BF83" s="400">
        <f t="shared" si="140"/>
        <v>1048</v>
      </c>
      <c r="BG83" s="398">
        <f t="shared" si="140"/>
        <v>262</v>
      </c>
      <c r="BH83" s="399">
        <f t="shared" si="140"/>
        <v>105</v>
      </c>
      <c r="BI83" s="399">
        <f t="shared" si="140"/>
        <v>621</v>
      </c>
      <c r="BJ83" s="400">
        <f t="shared" si="140"/>
        <v>988</v>
      </c>
      <c r="BK83" s="398">
        <f t="shared" si="140"/>
        <v>195</v>
      </c>
      <c r="BL83" s="399">
        <f t="shared" si="140"/>
        <v>72</v>
      </c>
      <c r="BM83" s="399">
        <f t="shared" si="140"/>
        <v>901</v>
      </c>
      <c r="BN83" s="400">
        <f t="shared" si="140"/>
        <v>1168</v>
      </c>
      <c r="BO83" s="398">
        <f t="shared" si="140"/>
        <v>270</v>
      </c>
      <c r="BP83" s="399">
        <f t="shared" si="140"/>
        <v>147</v>
      </c>
      <c r="BQ83" s="399">
        <f t="shared" si="140"/>
        <v>655</v>
      </c>
      <c r="BR83" s="400">
        <f t="shared" si="140"/>
        <v>1072</v>
      </c>
      <c r="BS83" s="398">
        <f t="shared" si="140"/>
        <v>201</v>
      </c>
      <c r="BT83" s="399">
        <f t="shared" si="140"/>
        <v>54</v>
      </c>
      <c r="BU83" s="399">
        <f t="shared" si="140"/>
        <v>735</v>
      </c>
      <c r="BV83" s="400">
        <f t="shared" si="140"/>
        <v>990</v>
      </c>
      <c r="BW83" s="398">
        <f t="shared" si="140"/>
        <v>321</v>
      </c>
      <c r="BX83" s="399">
        <f t="shared" si="140"/>
        <v>160</v>
      </c>
      <c r="BY83" s="399">
        <f t="shared" si="140"/>
        <v>610</v>
      </c>
      <c r="BZ83" s="400">
        <f t="shared" si="140"/>
        <v>1091</v>
      </c>
      <c r="CA83" s="398">
        <f t="shared" si="140"/>
        <v>171</v>
      </c>
      <c r="CB83" s="399">
        <f t="shared" si="140"/>
        <v>135</v>
      </c>
      <c r="CC83" s="399">
        <f t="shared" si="140"/>
        <v>715</v>
      </c>
      <c r="CD83" s="400">
        <f t="shared" si="140"/>
        <v>1021</v>
      </c>
      <c r="CE83" s="398">
        <f t="shared" si="140"/>
        <v>332</v>
      </c>
      <c r="CF83" s="399">
        <f t="shared" si="140"/>
        <v>305</v>
      </c>
      <c r="CG83" s="399">
        <f t="shared" si="140"/>
        <v>411</v>
      </c>
      <c r="CH83" s="400">
        <f t="shared" si="140"/>
        <v>1048</v>
      </c>
      <c r="CI83" s="398">
        <f t="shared" si="140"/>
        <v>187</v>
      </c>
      <c r="CJ83" s="399">
        <f t="shared" si="140"/>
        <v>347</v>
      </c>
      <c r="CK83" s="399">
        <f t="shared" si="140"/>
        <v>208</v>
      </c>
      <c r="CL83" s="400">
        <f t="shared" si="140"/>
        <v>742</v>
      </c>
      <c r="CM83" s="398">
        <f t="shared" ref="CM83:CP83" si="141">SUM(CM80:CM82)</f>
        <v>262</v>
      </c>
      <c r="CN83" s="399">
        <f t="shared" si="141"/>
        <v>336</v>
      </c>
      <c r="CO83" s="399">
        <f t="shared" si="141"/>
        <v>267</v>
      </c>
      <c r="CP83" s="400">
        <f t="shared" si="141"/>
        <v>865</v>
      </c>
      <c r="CQ83" s="398">
        <f t="shared" ref="CQ83:CT83" si="142">SUM(CQ80:CQ82)</f>
        <v>171</v>
      </c>
      <c r="CR83" s="399">
        <f t="shared" si="142"/>
        <v>230</v>
      </c>
      <c r="CS83" s="399">
        <f t="shared" si="142"/>
        <v>476</v>
      </c>
      <c r="CT83" s="400">
        <f t="shared" si="142"/>
        <v>877</v>
      </c>
    </row>
    <row r="84" spans="1:98" ht="15" x14ac:dyDescent="0.25">
      <c r="A84" s="1333"/>
      <c r="S84" s="614"/>
      <c r="T84" s="614"/>
      <c r="U84" s="614"/>
      <c r="V84" s="614"/>
      <c r="AY84" s="146"/>
      <c r="BH84" s="146"/>
    </row>
    <row r="85" spans="1:98" x14ac:dyDescent="0.25">
      <c r="A85" s="393"/>
      <c r="B85" s="393"/>
      <c r="C85" s="393"/>
      <c r="D85" s="393"/>
      <c r="E85" s="393"/>
      <c r="F85" s="393"/>
      <c r="G85" s="393"/>
      <c r="H85" s="393"/>
      <c r="I85" s="393"/>
      <c r="J85" s="393"/>
      <c r="K85" s="393"/>
      <c r="L85" s="393"/>
      <c r="M85" s="393"/>
      <c r="N85" s="393"/>
      <c r="O85" s="393"/>
      <c r="P85" s="393"/>
      <c r="Q85" s="393"/>
      <c r="R85" s="393"/>
      <c r="S85" s="393"/>
      <c r="W85" s="1384"/>
      <c r="X85" s="1384"/>
      <c r="Y85" s="1384"/>
      <c r="Z85" s="1385"/>
      <c r="AA85" s="1384"/>
      <c r="AB85" s="1384"/>
      <c r="AC85" s="1384"/>
      <c r="AD85" s="1385"/>
      <c r="AE85" s="1384"/>
      <c r="AF85" s="1384"/>
      <c r="AG85" s="1384"/>
      <c r="AH85" s="1385"/>
      <c r="AI85" s="1384"/>
      <c r="AJ85" s="1384"/>
      <c r="AK85" s="1384"/>
      <c r="AL85" s="1385"/>
      <c r="AM85" s="1384"/>
      <c r="AQ85" s="1384"/>
      <c r="BB85" s="146"/>
    </row>
    <row r="86" spans="1:98" x14ac:dyDescent="0.25">
      <c r="A86" s="614"/>
      <c r="AY86" s="146"/>
      <c r="AZ86" s="146"/>
      <c r="BA86" s="146"/>
      <c r="BB86" s="146"/>
      <c r="BF86" s="146"/>
    </row>
    <row r="90" spans="1:98" x14ac:dyDescent="0.25">
      <c r="BN90" s="1386">
        <v>1999</v>
      </c>
    </row>
    <row r="91" spans="1:98" x14ac:dyDescent="0.25">
      <c r="BN91" s="1386">
        <v>2000</v>
      </c>
    </row>
    <row r="92" spans="1:98" x14ac:dyDescent="0.25">
      <c r="BN92" s="1386">
        <v>2001</v>
      </c>
    </row>
    <row r="93" spans="1:98" x14ac:dyDescent="0.25">
      <c r="BN93" s="1386">
        <v>2002</v>
      </c>
    </row>
    <row r="94" spans="1:98" x14ac:dyDescent="0.25">
      <c r="BN94" s="1386">
        <v>2003</v>
      </c>
    </row>
    <row r="95" spans="1:98" x14ac:dyDescent="0.25">
      <c r="BN95" s="1386">
        <v>2004</v>
      </c>
    </row>
    <row r="96" spans="1:98" x14ac:dyDescent="0.25">
      <c r="BD96" s="1387"/>
      <c r="BN96" s="1386">
        <v>2005</v>
      </c>
    </row>
    <row r="97" spans="66:66" x14ac:dyDescent="0.25">
      <c r="BN97" s="1386">
        <v>2006</v>
      </c>
    </row>
    <row r="98" spans="66:66" x14ac:dyDescent="0.25">
      <c r="BN98" s="1386">
        <v>2007</v>
      </c>
    </row>
    <row r="99" spans="66:66" x14ac:dyDescent="0.25">
      <c r="BN99" s="1386">
        <v>2008</v>
      </c>
    </row>
    <row r="100" spans="66:66" x14ac:dyDescent="0.25">
      <c r="BN100" s="1386">
        <v>2009</v>
      </c>
    </row>
    <row r="101" spans="66:66" x14ac:dyDescent="0.25">
      <c r="BN101" s="1386">
        <v>2010</v>
      </c>
    </row>
    <row r="102" spans="66:66" x14ac:dyDescent="0.25">
      <c r="BN102" s="1386">
        <v>2011</v>
      </c>
    </row>
    <row r="103" spans="66:66" x14ac:dyDescent="0.25">
      <c r="BN103" s="1386">
        <v>2012</v>
      </c>
    </row>
    <row r="104" spans="66:66" x14ac:dyDescent="0.25">
      <c r="BN104" s="1386">
        <v>2013</v>
      </c>
    </row>
    <row r="105" spans="66:66" x14ac:dyDescent="0.25">
      <c r="BN105" s="1386">
        <v>2014</v>
      </c>
    </row>
    <row r="106" spans="66:66" x14ac:dyDescent="0.25">
      <c r="BN106" s="1386">
        <v>2015</v>
      </c>
    </row>
    <row r="107" spans="66:66" x14ac:dyDescent="0.25">
      <c r="BN107" s="1386">
        <v>2016</v>
      </c>
    </row>
    <row r="108" spans="66:66" x14ac:dyDescent="0.25">
      <c r="BN108" s="1386">
        <v>2017</v>
      </c>
    </row>
    <row r="109" spans="66:66" x14ac:dyDescent="0.25">
      <c r="BN109" s="1386">
        <v>2018</v>
      </c>
    </row>
    <row r="110" spans="66:66" x14ac:dyDescent="0.25">
      <c r="BN110" s="1386">
        <v>2019</v>
      </c>
    </row>
    <row r="111" spans="66:66" x14ac:dyDescent="0.25">
      <c r="BN111" s="1386">
        <v>2020</v>
      </c>
    </row>
    <row r="112" spans="66:66" x14ac:dyDescent="0.25">
      <c r="BN112" s="1386">
        <v>2021</v>
      </c>
    </row>
    <row r="113" spans="66:66" x14ac:dyDescent="0.25">
      <c r="BN113" s="1386">
        <v>2022</v>
      </c>
    </row>
  </sheetData>
  <mergeCells count="25">
    <mergeCell ref="AY3:BB3"/>
    <mergeCell ref="CA3:CD3"/>
    <mergeCell ref="CE3:CH3"/>
    <mergeCell ref="CI3:CL3"/>
    <mergeCell ref="BC3:BF3"/>
    <mergeCell ref="BG3:BJ3"/>
    <mergeCell ref="BK3:BN3"/>
    <mergeCell ref="BS3:BV3"/>
    <mergeCell ref="BW3:BZ3"/>
    <mergeCell ref="CQ3:CT3"/>
    <mergeCell ref="CM3:CP3"/>
    <mergeCell ref="S3:V3"/>
    <mergeCell ref="B3:B4"/>
    <mergeCell ref="C3:F3"/>
    <mergeCell ref="G3:J3"/>
    <mergeCell ref="K3:N3"/>
    <mergeCell ref="O3:R3"/>
    <mergeCell ref="BO3:BR3"/>
    <mergeCell ref="W3:Z3"/>
    <mergeCell ref="AA3:AD3"/>
    <mergeCell ref="AE3:AH3"/>
    <mergeCell ref="AI3:AL3"/>
    <mergeCell ref="AM3:AP3"/>
    <mergeCell ref="AQ3:AT3"/>
    <mergeCell ref="AU3:AX3"/>
  </mergeCells>
  <printOptions horizontalCentered="1" verticalCentered="1"/>
  <pageMargins left="0.51181102362204722" right="0.51181102362204722" top="0.55118110236220474" bottom="0.55118110236220474" header="0.31496062992125984" footer="0.31496062992125984"/>
  <pageSetup scale="50" firstPageNumber="58" pageOrder="overThenDown" orientation="portrait" useFirstPageNumber="1" r:id="rId1"/>
  <headerFooter scaleWithDoc="0" alignWithMargins="0">
    <oddFooter>&amp;R&amp;P</oddFooter>
  </headerFooter>
  <rowBreaks count="1" manualBreakCount="1">
    <brk id="84" min="78" max="97" man="1"/>
  </rowBreaks>
  <colBreaks count="2" manualBreakCount="2">
    <brk id="34" max="135" man="1"/>
    <brk id="66" max="1048575" man="1"/>
  </colBreaks>
  <ignoredErrors>
    <ignoredError sqref="C40:CH40 C48:CH82 C9:AH13 F18:CH21 F17:AH17 CI18:CN21 CL41:CL47 CI48:CL82 CI40:CL40 CI6:CP6 CM40:CN40 CM55:CN64 CI22:CN39 CM79:CN82 CO7:CP7" formula="1"/>
    <ignoredError sqref="C41:CH47 AI9:CH13 AI17:CH17 CQ66:CR66 CQ67:CT67 CS66:CT66 CQ69:CT78 CQ68:CR68 CT68 CP66 CP67 CP69:CP78 CP68 CO18:CP21 CO17:CP17 CI17:CN17 CI9:CL13 CI41:CK47 CO55:CP64 CO79:CP82 CO22:CP40 CO8:CP16 CO41:CP54 CO67:CO78 CO65:CP65 CO66 CM66:CN66 CM65:CN65 CM67:CN78 CM41:CN54 CM9:CN13 CI14:CN16 CI7:CN8" formula="1" formulaRange="1"/>
    <ignoredError sqref="AI7:CH8 AI14:CH16 CS7:CS8 CS10:CS12 CR7:CR8 CR15:CR16 CS15:CS16 CS63:CT64 CS65:CT65 CS68 CQ41:CS54 CQ65:CR65 CO83:CP83" formulaRange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1:BI112"/>
  <sheetViews>
    <sheetView showGridLines="0" zoomScaleNormal="100" zoomScaleSheetLayoutView="100" workbookViewId="0">
      <pane xSplit="1" ySplit="4" topLeftCell="AP47" activePane="bottomRight" state="frozen"/>
      <selection activeCell="Q31" sqref="Q31"/>
      <selection pane="topRight" activeCell="Q31" sqref="Q31"/>
      <selection pane="bottomLeft" activeCell="Q31" sqref="Q31"/>
      <selection pane="bottomRight" activeCell="Q31" sqref="Q31"/>
    </sheetView>
  </sheetViews>
  <sheetFormatPr baseColWidth="10" defaultColWidth="11.44140625" defaultRowHeight="13.2" x14ac:dyDescent="0.25"/>
  <cols>
    <col min="1" max="1" width="45.44140625" style="25" bestFit="1" customWidth="1"/>
    <col min="2" max="37" width="8.88671875" style="25" customWidth="1"/>
    <col min="38" max="50" width="9.109375" style="25" customWidth="1"/>
    <col min="51" max="51" width="9.44140625" style="25" customWidth="1"/>
    <col min="52" max="55" width="9.109375" style="25" customWidth="1"/>
    <col min="56" max="68" width="9.88671875" style="25" customWidth="1"/>
    <col min="69" max="253" width="11.44140625" style="25"/>
    <col min="254" max="254" width="0.109375" style="25" customWidth="1"/>
    <col min="255" max="255" width="19" style="25" customWidth="1"/>
    <col min="256" max="256" width="7.109375" style="25" customWidth="1"/>
    <col min="257" max="257" width="41.109375" style="25" customWidth="1"/>
    <col min="258" max="259" width="9" style="25" customWidth="1"/>
    <col min="260" max="260" width="10.5546875" style="25" customWidth="1"/>
    <col min="261" max="261" width="9.44140625" style="25" customWidth="1"/>
    <col min="262" max="262" width="9.88671875" style="25" customWidth="1"/>
    <col min="263" max="263" width="10.5546875" style="25" customWidth="1"/>
    <col min="264" max="265" width="9.44140625" style="25" customWidth="1"/>
    <col min="266" max="266" width="10.5546875" style="25" customWidth="1"/>
    <col min="267" max="268" width="9" style="25" customWidth="1"/>
    <col min="269" max="269" width="10.5546875" style="25" customWidth="1"/>
    <col min="270" max="271" width="9.44140625" style="25" customWidth="1"/>
    <col min="272" max="272" width="10.5546875" style="25" customWidth="1"/>
    <col min="273" max="273" width="9.44140625" style="25" customWidth="1"/>
    <col min="274" max="274" width="9.88671875" style="25" customWidth="1"/>
    <col min="275" max="275" width="10.5546875" style="25" customWidth="1"/>
    <col min="276" max="276" width="9" style="25" customWidth="1"/>
    <col min="277" max="277" width="9.88671875" style="25" customWidth="1"/>
    <col min="278" max="278" width="12" style="25" customWidth="1"/>
    <col min="279" max="509" width="11.44140625" style="25"/>
    <col min="510" max="510" width="0.109375" style="25" customWidth="1"/>
    <col min="511" max="511" width="19" style="25" customWidth="1"/>
    <col min="512" max="512" width="7.109375" style="25" customWidth="1"/>
    <col min="513" max="513" width="41.109375" style="25" customWidth="1"/>
    <col min="514" max="515" width="9" style="25" customWidth="1"/>
    <col min="516" max="516" width="10.5546875" style="25" customWidth="1"/>
    <col min="517" max="517" width="9.44140625" style="25" customWidth="1"/>
    <col min="518" max="518" width="9.88671875" style="25" customWidth="1"/>
    <col min="519" max="519" width="10.5546875" style="25" customWidth="1"/>
    <col min="520" max="521" width="9.44140625" style="25" customWidth="1"/>
    <col min="522" max="522" width="10.5546875" style="25" customWidth="1"/>
    <col min="523" max="524" width="9" style="25" customWidth="1"/>
    <col min="525" max="525" width="10.5546875" style="25" customWidth="1"/>
    <col min="526" max="527" width="9.44140625" style="25" customWidth="1"/>
    <col min="528" max="528" width="10.5546875" style="25" customWidth="1"/>
    <col min="529" max="529" width="9.44140625" style="25" customWidth="1"/>
    <col min="530" max="530" width="9.88671875" style="25" customWidth="1"/>
    <col min="531" max="531" width="10.5546875" style="25" customWidth="1"/>
    <col min="532" max="532" width="9" style="25" customWidth="1"/>
    <col min="533" max="533" width="9.88671875" style="25" customWidth="1"/>
    <col min="534" max="534" width="12" style="25" customWidth="1"/>
    <col min="535" max="765" width="11.44140625" style="25"/>
    <col min="766" max="766" width="0.109375" style="25" customWidth="1"/>
    <col min="767" max="767" width="19" style="25" customWidth="1"/>
    <col min="768" max="768" width="7.109375" style="25" customWidth="1"/>
    <col min="769" max="769" width="41.109375" style="25" customWidth="1"/>
    <col min="770" max="771" width="9" style="25" customWidth="1"/>
    <col min="772" max="772" width="10.5546875" style="25" customWidth="1"/>
    <col min="773" max="773" width="9.44140625" style="25" customWidth="1"/>
    <col min="774" max="774" width="9.88671875" style="25" customWidth="1"/>
    <col min="775" max="775" width="10.5546875" style="25" customWidth="1"/>
    <col min="776" max="777" width="9.44140625" style="25" customWidth="1"/>
    <col min="778" max="778" width="10.5546875" style="25" customWidth="1"/>
    <col min="779" max="780" width="9" style="25" customWidth="1"/>
    <col min="781" max="781" width="10.5546875" style="25" customWidth="1"/>
    <col min="782" max="783" width="9.44140625" style="25" customWidth="1"/>
    <col min="784" max="784" width="10.5546875" style="25" customWidth="1"/>
    <col min="785" max="785" width="9.44140625" style="25" customWidth="1"/>
    <col min="786" max="786" width="9.88671875" style="25" customWidth="1"/>
    <col min="787" max="787" width="10.5546875" style="25" customWidth="1"/>
    <col min="788" max="788" width="9" style="25" customWidth="1"/>
    <col min="789" max="789" width="9.88671875" style="25" customWidth="1"/>
    <col min="790" max="790" width="12" style="25" customWidth="1"/>
    <col min="791" max="1021" width="11.44140625" style="25"/>
    <col min="1022" max="1022" width="0.109375" style="25" customWidth="1"/>
    <col min="1023" max="1023" width="19" style="25" customWidth="1"/>
    <col min="1024" max="1024" width="7.109375" style="25" customWidth="1"/>
    <col min="1025" max="1025" width="41.109375" style="25" customWidth="1"/>
    <col min="1026" max="1027" width="9" style="25" customWidth="1"/>
    <col min="1028" max="1028" width="10.5546875" style="25" customWidth="1"/>
    <col min="1029" max="1029" width="9.44140625" style="25" customWidth="1"/>
    <col min="1030" max="1030" width="9.88671875" style="25" customWidth="1"/>
    <col min="1031" max="1031" width="10.5546875" style="25" customWidth="1"/>
    <col min="1032" max="1033" width="9.44140625" style="25" customWidth="1"/>
    <col min="1034" max="1034" width="10.5546875" style="25" customWidth="1"/>
    <col min="1035" max="1036" width="9" style="25" customWidth="1"/>
    <col min="1037" max="1037" width="10.5546875" style="25" customWidth="1"/>
    <col min="1038" max="1039" width="9.44140625" style="25" customWidth="1"/>
    <col min="1040" max="1040" width="10.5546875" style="25" customWidth="1"/>
    <col min="1041" max="1041" width="9.44140625" style="25" customWidth="1"/>
    <col min="1042" max="1042" width="9.88671875" style="25" customWidth="1"/>
    <col min="1043" max="1043" width="10.5546875" style="25" customWidth="1"/>
    <col min="1044" max="1044" width="9" style="25" customWidth="1"/>
    <col min="1045" max="1045" width="9.88671875" style="25" customWidth="1"/>
    <col min="1046" max="1046" width="12" style="25" customWidth="1"/>
    <col min="1047" max="1277" width="11.44140625" style="25"/>
    <col min="1278" max="1278" width="0.109375" style="25" customWidth="1"/>
    <col min="1279" max="1279" width="19" style="25" customWidth="1"/>
    <col min="1280" max="1280" width="7.109375" style="25" customWidth="1"/>
    <col min="1281" max="1281" width="41.109375" style="25" customWidth="1"/>
    <col min="1282" max="1283" width="9" style="25" customWidth="1"/>
    <col min="1284" max="1284" width="10.5546875" style="25" customWidth="1"/>
    <col min="1285" max="1285" width="9.44140625" style="25" customWidth="1"/>
    <col min="1286" max="1286" width="9.88671875" style="25" customWidth="1"/>
    <col min="1287" max="1287" width="10.5546875" style="25" customWidth="1"/>
    <col min="1288" max="1289" width="9.44140625" style="25" customWidth="1"/>
    <col min="1290" max="1290" width="10.5546875" style="25" customWidth="1"/>
    <col min="1291" max="1292" width="9" style="25" customWidth="1"/>
    <col min="1293" max="1293" width="10.5546875" style="25" customWidth="1"/>
    <col min="1294" max="1295" width="9.44140625" style="25" customWidth="1"/>
    <col min="1296" max="1296" width="10.5546875" style="25" customWidth="1"/>
    <col min="1297" max="1297" width="9.44140625" style="25" customWidth="1"/>
    <col min="1298" max="1298" width="9.88671875" style="25" customWidth="1"/>
    <col min="1299" max="1299" width="10.5546875" style="25" customWidth="1"/>
    <col min="1300" max="1300" width="9" style="25" customWidth="1"/>
    <col min="1301" max="1301" width="9.88671875" style="25" customWidth="1"/>
    <col min="1302" max="1302" width="12" style="25" customWidth="1"/>
    <col min="1303" max="1533" width="11.44140625" style="25"/>
    <col min="1534" max="1534" width="0.109375" style="25" customWidth="1"/>
    <col min="1535" max="1535" width="19" style="25" customWidth="1"/>
    <col min="1536" max="1536" width="7.109375" style="25" customWidth="1"/>
    <col min="1537" max="1537" width="41.109375" style="25" customWidth="1"/>
    <col min="1538" max="1539" width="9" style="25" customWidth="1"/>
    <col min="1540" max="1540" width="10.5546875" style="25" customWidth="1"/>
    <col min="1541" max="1541" width="9.44140625" style="25" customWidth="1"/>
    <col min="1542" max="1542" width="9.88671875" style="25" customWidth="1"/>
    <col min="1543" max="1543" width="10.5546875" style="25" customWidth="1"/>
    <col min="1544" max="1545" width="9.44140625" style="25" customWidth="1"/>
    <col min="1546" max="1546" width="10.5546875" style="25" customWidth="1"/>
    <col min="1547" max="1548" width="9" style="25" customWidth="1"/>
    <col min="1549" max="1549" width="10.5546875" style="25" customWidth="1"/>
    <col min="1550" max="1551" width="9.44140625" style="25" customWidth="1"/>
    <col min="1552" max="1552" width="10.5546875" style="25" customWidth="1"/>
    <col min="1553" max="1553" width="9.44140625" style="25" customWidth="1"/>
    <col min="1554" max="1554" width="9.88671875" style="25" customWidth="1"/>
    <col min="1555" max="1555" width="10.5546875" style="25" customWidth="1"/>
    <col min="1556" max="1556" width="9" style="25" customWidth="1"/>
    <col min="1557" max="1557" width="9.88671875" style="25" customWidth="1"/>
    <col min="1558" max="1558" width="12" style="25" customWidth="1"/>
    <col min="1559" max="1789" width="11.44140625" style="25"/>
    <col min="1790" max="1790" width="0.109375" style="25" customWidth="1"/>
    <col min="1791" max="1791" width="19" style="25" customWidth="1"/>
    <col min="1792" max="1792" width="7.109375" style="25" customWidth="1"/>
    <col min="1793" max="1793" width="41.109375" style="25" customWidth="1"/>
    <col min="1794" max="1795" width="9" style="25" customWidth="1"/>
    <col min="1796" max="1796" width="10.5546875" style="25" customWidth="1"/>
    <col min="1797" max="1797" width="9.44140625" style="25" customWidth="1"/>
    <col min="1798" max="1798" width="9.88671875" style="25" customWidth="1"/>
    <col min="1799" max="1799" width="10.5546875" style="25" customWidth="1"/>
    <col min="1800" max="1801" width="9.44140625" style="25" customWidth="1"/>
    <col min="1802" max="1802" width="10.5546875" style="25" customWidth="1"/>
    <col min="1803" max="1804" width="9" style="25" customWidth="1"/>
    <col min="1805" max="1805" width="10.5546875" style="25" customWidth="1"/>
    <col min="1806" max="1807" width="9.44140625" style="25" customWidth="1"/>
    <col min="1808" max="1808" width="10.5546875" style="25" customWidth="1"/>
    <col min="1809" max="1809" width="9.44140625" style="25" customWidth="1"/>
    <col min="1810" max="1810" width="9.88671875" style="25" customWidth="1"/>
    <col min="1811" max="1811" width="10.5546875" style="25" customWidth="1"/>
    <col min="1812" max="1812" width="9" style="25" customWidth="1"/>
    <col min="1813" max="1813" width="9.88671875" style="25" customWidth="1"/>
    <col min="1814" max="1814" width="12" style="25" customWidth="1"/>
    <col min="1815" max="2045" width="11.44140625" style="25"/>
    <col min="2046" max="2046" width="0.109375" style="25" customWidth="1"/>
    <col min="2047" max="2047" width="19" style="25" customWidth="1"/>
    <col min="2048" max="2048" width="7.109375" style="25" customWidth="1"/>
    <col min="2049" max="2049" width="41.109375" style="25" customWidth="1"/>
    <col min="2050" max="2051" width="9" style="25" customWidth="1"/>
    <col min="2052" max="2052" width="10.5546875" style="25" customWidth="1"/>
    <col min="2053" max="2053" width="9.44140625" style="25" customWidth="1"/>
    <col min="2054" max="2054" width="9.88671875" style="25" customWidth="1"/>
    <col min="2055" max="2055" width="10.5546875" style="25" customWidth="1"/>
    <col min="2056" max="2057" width="9.44140625" style="25" customWidth="1"/>
    <col min="2058" max="2058" width="10.5546875" style="25" customWidth="1"/>
    <col min="2059" max="2060" width="9" style="25" customWidth="1"/>
    <col min="2061" max="2061" width="10.5546875" style="25" customWidth="1"/>
    <col min="2062" max="2063" width="9.44140625" style="25" customWidth="1"/>
    <col min="2064" max="2064" width="10.5546875" style="25" customWidth="1"/>
    <col min="2065" max="2065" width="9.44140625" style="25" customWidth="1"/>
    <col min="2066" max="2066" width="9.88671875" style="25" customWidth="1"/>
    <col min="2067" max="2067" width="10.5546875" style="25" customWidth="1"/>
    <col min="2068" max="2068" width="9" style="25" customWidth="1"/>
    <col min="2069" max="2069" width="9.88671875" style="25" customWidth="1"/>
    <col min="2070" max="2070" width="12" style="25" customWidth="1"/>
    <col min="2071" max="2301" width="11.44140625" style="25"/>
    <col min="2302" max="2302" width="0.109375" style="25" customWidth="1"/>
    <col min="2303" max="2303" width="19" style="25" customWidth="1"/>
    <col min="2304" max="2304" width="7.109375" style="25" customWidth="1"/>
    <col min="2305" max="2305" width="41.109375" style="25" customWidth="1"/>
    <col min="2306" max="2307" width="9" style="25" customWidth="1"/>
    <col min="2308" max="2308" width="10.5546875" style="25" customWidth="1"/>
    <col min="2309" max="2309" width="9.44140625" style="25" customWidth="1"/>
    <col min="2310" max="2310" width="9.88671875" style="25" customWidth="1"/>
    <col min="2311" max="2311" width="10.5546875" style="25" customWidth="1"/>
    <col min="2312" max="2313" width="9.44140625" style="25" customWidth="1"/>
    <col min="2314" max="2314" width="10.5546875" style="25" customWidth="1"/>
    <col min="2315" max="2316" width="9" style="25" customWidth="1"/>
    <col min="2317" max="2317" width="10.5546875" style="25" customWidth="1"/>
    <col min="2318" max="2319" width="9.44140625" style="25" customWidth="1"/>
    <col min="2320" max="2320" width="10.5546875" style="25" customWidth="1"/>
    <col min="2321" max="2321" width="9.44140625" style="25" customWidth="1"/>
    <col min="2322" max="2322" width="9.88671875" style="25" customWidth="1"/>
    <col min="2323" max="2323" width="10.5546875" style="25" customWidth="1"/>
    <col min="2324" max="2324" width="9" style="25" customWidth="1"/>
    <col min="2325" max="2325" width="9.88671875" style="25" customWidth="1"/>
    <col min="2326" max="2326" width="12" style="25" customWidth="1"/>
    <col min="2327" max="2557" width="11.44140625" style="25"/>
    <col min="2558" max="2558" width="0.109375" style="25" customWidth="1"/>
    <col min="2559" max="2559" width="19" style="25" customWidth="1"/>
    <col min="2560" max="2560" width="7.109375" style="25" customWidth="1"/>
    <col min="2561" max="2561" width="41.109375" style="25" customWidth="1"/>
    <col min="2562" max="2563" width="9" style="25" customWidth="1"/>
    <col min="2564" max="2564" width="10.5546875" style="25" customWidth="1"/>
    <col min="2565" max="2565" width="9.44140625" style="25" customWidth="1"/>
    <col min="2566" max="2566" width="9.88671875" style="25" customWidth="1"/>
    <col min="2567" max="2567" width="10.5546875" style="25" customWidth="1"/>
    <col min="2568" max="2569" width="9.44140625" style="25" customWidth="1"/>
    <col min="2570" max="2570" width="10.5546875" style="25" customWidth="1"/>
    <col min="2571" max="2572" width="9" style="25" customWidth="1"/>
    <col min="2573" max="2573" width="10.5546875" style="25" customWidth="1"/>
    <col min="2574" max="2575" width="9.44140625" style="25" customWidth="1"/>
    <col min="2576" max="2576" width="10.5546875" style="25" customWidth="1"/>
    <col min="2577" max="2577" width="9.44140625" style="25" customWidth="1"/>
    <col min="2578" max="2578" width="9.88671875" style="25" customWidth="1"/>
    <col min="2579" max="2579" width="10.5546875" style="25" customWidth="1"/>
    <col min="2580" max="2580" width="9" style="25" customWidth="1"/>
    <col min="2581" max="2581" width="9.88671875" style="25" customWidth="1"/>
    <col min="2582" max="2582" width="12" style="25" customWidth="1"/>
    <col min="2583" max="2813" width="11.44140625" style="25"/>
    <col min="2814" max="2814" width="0.109375" style="25" customWidth="1"/>
    <col min="2815" max="2815" width="19" style="25" customWidth="1"/>
    <col min="2816" max="2816" width="7.109375" style="25" customWidth="1"/>
    <col min="2817" max="2817" width="41.109375" style="25" customWidth="1"/>
    <col min="2818" max="2819" width="9" style="25" customWidth="1"/>
    <col min="2820" max="2820" width="10.5546875" style="25" customWidth="1"/>
    <col min="2821" max="2821" width="9.44140625" style="25" customWidth="1"/>
    <col min="2822" max="2822" width="9.88671875" style="25" customWidth="1"/>
    <col min="2823" max="2823" width="10.5546875" style="25" customWidth="1"/>
    <col min="2824" max="2825" width="9.44140625" style="25" customWidth="1"/>
    <col min="2826" max="2826" width="10.5546875" style="25" customWidth="1"/>
    <col min="2827" max="2828" width="9" style="25" customWidth="1"/>
    <col min="2829" max="2829" width="10.5546875" style="25" customWidth="1"/>
    <col min="2830" max="2831" width="9.44140625" style="25" customWidth="1"/>
    <col min="2832" max="2832" width="10.5546875" style="25" customWidth="1"/>
    <col min="2833" max="2833" width="9.44140625" style="25" customWidth="1"/>
    <col min="2834" max="2834" width="9.88671875" style="25" customWidth="1"/>
    <col min="2835" max="2835" width="10.5546875" style="25" customWidth="1"/>
    <col min="2836" max="2836" width="9" style="25" customWidth="1"/>
    <col min="2837" max="2837" width="9.88671875" style="25" customWidth="1"/>
    <col min="2838" max="2838" width="12" style="25" customWidth="1"/>
    <col min="2839" max="3069" width="11.44140625" style="25"/>
    <col min="3070" max="3070" width="0.109375" style="25" customWidth="1"/>
    <col min="3071" max="3071" width="19" style="25" customWidth="1"/>
    <col min="3072" max="3072" width="7.109375" style="25" customWidth="1"/>
    <col min="3073" max="3073" width="41.109375" style="25" customWidth="1"/>
    <col min="3074" max="3075" width="9" style="25" customWidth="1"/>
    <col min="3076" max="3076" width="10.5546875" style="25" customWidth="1"/>
    <col min="3077" max="3077" width="9.44140625" style="25" customWidth="1"/>
    <col min="3078" max="3078" width="9.88671875" style="25" customWidth="1"/>
    <col min="3079" max="3079" width="10.5546875" style="25" customWidth="1"/>
    <col min="3080" max="3081" width="9.44140625" style="25" customWidth="1"/>
    <col min="3082" max="3082" width="10.5546875" style="25" customWidth="1"/>
    <col min="3083" max="3084" width="9" style="25" customWidth="1"/>
    <col min="3085" max="3085" width="10.5546875" style="25" customWidth="1"/>
    <col min="3086" max="3087" width="9.44140625" style="25" customWidth="1"/>
    <col min="3088" max="3088" width="10.5546875" style="25" customWidth="1"/>
    <col min="3089" max="3089" width="9.44140625" style="25" customWidth="1"/>
    <col min="3090" max="3090" width="9.88671875" style="25" customWidth="1"/>
    <col min="3091" max="3091" width="10.5546875" style="25" customWidth="1"/>
    <col min="3092" max="3092" width="9" style="25" customWidth="1"/>
    <col min="3093" max="3093" width="9.88671875" style="25" customWidth="1"/>
    <col min="3094" max="3094" width="12" style="25" customWidth="1"/>
    <col min="3095" max="3325" width="11.44140625" style="25"/>
    <col min="3326" max="3326" width="0.109375" style="25" customWidth="1"/>
    <col min="3327" max="3327" width="19" style="25" customWidth="1"/>
    <col min="3328" max="3328" width="7.109375" style="25" customWidth="1"/>
    <col min="3329" max="3329" width="41.109375" style="25" customWidth="1"/>
    <col min="3330" max="3331" width="9" style="25" customWidth="1"/>
    <col min="3332" max="3332" width="10.5546875" style="25" customWidth="1"/>
    <col min="3333" max="3333" width="9.44140625" style="25" customWidth="1"/>
    <col min="3334" max="3334" width="9.88671875" style="25" customWidth="1"/>
    <col min="3335" max="3335" width="10.5546875" style="25" customWidth="1"/>
    <col min="3336" max="3337" width="9.44140625" style="25" customWidth="1"/>
    <col min="3338" max="3338" width="10.5546875" style="25" customWidth="1"/>
    <col min="3339" max="3340" width="9" style="25" customWidth="1"/>
    <col min="3341" max="3341" width="10.5546875" style="25" customWidth="1"/>
    <col min="3342" max="3343" width="9.44140625" style="25" customWidth="1"/>
    <col min="3344" max="3344" width="10.5546875" style="25" customWidth="1"/>
    <col min="3345" max="3345" width="9.44140625" style="25" customWidth="1"/>
    <col min="3346" max="3346" width="9.88671875" style="25" customWidth="1"/>
    <col min="3347" max="3347" width="10.5546875" style="25" customWidth="1"/>
    <col min="3348" max="3348" width="9" style="25" customWidth="1"/>
    <col min="3349" max="3349" width="9.88671875" style="25" customWidth="1"/>
    <col min="3350" max="3350" width="12" style="25" customWidth="1"/>
    <col min="3351" max="3581" width="11.44140625" style="25"/>
    <col min="3582" max="3582" width="0.109375" style="25" customWidth="1"/>
    <col min="3583" max="3583" width="19" style="25" customWidth="1"/>
    <col min="3584" max="3584" width="7.109375" style="25" customWidth="1"/>
    <col min="3585" max="3585" width="41.109375" style="25" customWidth="1"/>
    <col min="3586" max="3587" width="9" style="25" customWidth="1"/>
    <col min="3588" max="3588" width="10.5546875" style="25" customWidth="1"/>
    <col min="3589" max="3589" width="9.44140625" style="25" customWidth="1"/>
    <col min="3590" max="3590" width="9.88671875" style="25" customWidth="1"/>
    <col min="3591" max="3591" width="10.5546875" style="25" customWidth="1"/>
    <col min="3592" max="3593" width="9.44140625" style="25" customWidth="1"/>
    <col min="3594" max="3594" width="10.5546875" style="25" customWidth="1"/>
    <col min="3595" max="3596" width="9" style="25" customWidth="1"/>
    <col min="3597" max="3597" width="10.5546875" style="25" customWidth="1"/>
    <col min="3598" max="3599" width="9.44140625" style="25" customWidth="1"/>
    <col min="3600" max="3600" width="10.5546875" style="25" customWidth="1"/>
    <col min="3601" max="3601" width="9.44140625" style="25" customWidth="1"/>
    <col min="3602" max="3602" width="9.88671875" style="25" customWidth="1"/>
    <col min="3603" max="3603" width="10.5546875" style="25" customWidth="1"/>
    <col min="3604" max="3604" width="9" style="25" customWidth="1"/>
    <col min="3605" max="3605" width="9.88671875" style="25" customWidth="1"/>
    <col min="3606" max="3606" width="12" style="25" customWidth="1"/>
    <col min="3607" max="3837" width="11.44140625" style="25"/>
    <col min="3838" max="3838" width="0.109375" style="25" customWidth="1"/>
    <col min="3839" max="3839" width="19" style="25" customWidth="1"/>
    <col min="3840" max="3840" width="7.109375" style="25" customWidth="1"/>
    <col min="3841" max="3841" width="41.109375" style="25" customWidth="1"/>
    <col min="3842" max="3843" width="9" style="25" customWidth="1"/>
    <col min="3844" max="3844" width="10.5546875" style="25" customWidth="1"/>
    <col min="3845" max="3845" width="9.44140625" style="25" customWidth="1"/>
    <col min="3846" max="3846" width="9.88671875" style="25" customWidth="1"/>
    <col min="3847" max="3847" width="10.5546875" style="25" customWidth="1"/>
    <col min="3848" max="3849" width="9.44140625" style="25" customWidth="1"/>
    <col min="3850" max="3850" width="10.5546875" style="25" customWidth="1"/>
    <col min="3851" max="3852" width="9" style="25" customWidth="1"/>
    <col min="3853" max="3853" width="10.5546875" style="25" customWidth="1"/>
    <col min="3854" max="3855" width="9.44140625" style="25" customWidth="1"/>
    <col min="3856" max="3856" width="10.5546875" style="25" customWidth="1"/>
    <col min="3857" max="3857" width="9.44140625" style="25" customWidth="1"/>
    <col min="3858" max="3858" width="9.88671875" style="25" customWidth="1"/>
    <col min="3859" max="3859" width="10.5546875" style="25" customWidth="1"/>
    <col min="3860" max="3860" width="9" style="25" customWidth="1"/>
    <col min="3861" max="3861" width="9.88671875" style="25" customWidth="1"/>
    <col min="3862" max="3862" width="12" style="25" customWidth="1"/>
    <col min="3863" max="4093" width="11.44140625" style="25"/>
    <col min="4094" max="4094" width="0.109375" style="25" customWidth="1"/>
    <col min="4095" max="4095" width="19" style="25" customWidth="1"/>
    <col min="4096" max="4096" width="7.109375" style="25" customWidth="1"/>
    <col min="4097" max="4097" width="41.109375" style="25" customWidth="1"/>
    <col min="4098" max="4099" width="9" style="25" customWidth="1"/>
    <col min="4100" max="4100" width="10.5546875" style="25" customWidth="1"/>
    <col min="4101" max="4101" width="9.44140625" style="25" customWidth="1"/>
    <col min="4102" max="4102" width="9.88671875" style="25" customWidth="1"/>
    <col min="4103" max="4103" width="10.5546875" style="25" customWidth="1"/>
    <col min="4104" max="4105" width="9.44140625" style="25" customWidth="1"/>
    <col min="4106" max="4106" width="10.5546875" style="25" customWidth="1"/>
    <col min="4107" max="4108" width="9" style="25" customWidth="1"/>
    <col min="4109" max="4109" width="10.5546875" style="25" customWidth="1"/>
    <col min="4110" max="4111" width="9.44140625" style="25" customWidth="1"/>
    <col min="4112" max="4112" width="10.5546875" style="25" customWidth="1"/>
    <col min="4113" max="4113" width="9.44140625" style="25" customWidth="1"/>
    <col min="4114" max="4114" width="9.88671875" style="25" customWidth="1"/>
    <col min="4115" max="4115" width="10.5546875" style="25" customWidth="1"/>
    <col min="4116" max="4116" width="9" style="25" customWidth="1"/>
    <col min="4117" max="4117" width="9.88671875" style="25" customWidth="1"/>
    <col min="4118" max="4118" width="12" style="25" customWidth="1"/>
    <col min="4119" max="4349" width="11.44140625" style="25"/>
    <col min="4350" max="4350" width="0.109375" style="25" customWidth="1"/>
    <col min="4351" max="4351" width="19" style="25" customWidth="1"/>
    <col min="4352" max="4352" width="7.109375" style="25" customWidth="1"/>
    <col min="4353" max="4353" width="41.109375" style="25" customWidth="1"/>
    <col min="4354" max="4355" width="9" style="25" customWidth="1"/>
    <col min="4356" max="4356" width="10.5546875" style="25" customWidth="1"/>
    <col min="4357" max="4357" width="9.44140625" style="25" customWidth="1"/>
    <col min="4358" max="4358" width="9.88671875" style="25" customWidth="1"/>
    <col min="4359" max="4359" width="10.5546875" style="25" customWidth="1"/>
    <col min="4360" max="4361" width="9.44140625" style="25" customWidth="1"/>
    <col min="4362" max="4362" width="10.5546875" style="25" customWidth="1"/>
    <col min="4363" max="4364" width="9" style="25" customWidth="1"/>
    <col min="4365" max="4365" width="10.5546875" style="25" customWidth="1"/>
    <col min="4366" max="4367" width="9.44140625" style="25" customWidth="1"/>
    <col min="4368" max="4368" width="10.5546875" style="25" customWidth="1"/>
    <col min="4369" max="4369" width="9.44140625" style="25" customWidth="1"/>
    <col min="4370" max="4370" width="9.88671875" style="25" customWidth="1"/>
    <col min="4371" max="4371" width="10.5546875" style="25" customWidth="1"/>
    <col min="4372" max="4372" width="9" style="25" customWidth="1"/>
    <col min="4373" max="4373" width="9.88671875" style="25" customWidth="1"/>
    <col min="4374" max="4374" width="12" style="25" customWidth="1"/>
    <col min="4375" max="4605" width="11.44140625" style="25"/>
    <col min="4606" max="4606" width="0.109375" style="25" customWidth="1"/>
    <col min="4607" max="4607" width="19" style="25" customWidth="1"/>
    <col min="4608" max="4608" width="7.109375" style="25" customWidth="1"/>
    <col min="4609" max="4609" width="41.109375" style="25" customWidth="1"/>
    <col min="4610" max="4611" width="9" style="25" customWidth="1"/>
    <col min="4612" max="4612" width="10.5546875" style="25" customWidth="1"/>
    <col min="4613" max="4613" width="9.44140625" style="25" customWidth="1"/>
    <col min="4614" max="4614" width="9.88671875" style="25" customWidth="1"/>
    <col min="4615" max="4615" width="10.5546875" style="25" customWidth="1"/>
    <col min="4616" max="4617" width="9.44140625" style="25" customWidth="1"/>
    <col min="4618" max="4618" width="10.5546875" style="25" customWidth="1"/>
    <col min="4619" max="4620" width="9" style="25" customWidth="1"/>
    <col min="4621" max="4621" width="10.5546875" style="25" customWidth="1"/>
    <col min="4622" max="4623" width="9.44140625" style="25" customWidth="1"/>
    <col min="4624" max="4624" width="10.5546875" style="25" customWidth="1"/>
    <col min="4625" max="4625" width="9.44140625" style="25" customWidth="1"/>
    <col min="4626" max="4626" width="9.88671875" style="25" customWidth="1"/>
    <col min="4627" max="4627" width="10.5546875" style="25" customWidth="1"/>
    <col min="4628" max="4628" width="9" style="25" customWidth="1"/>
    <col min="4629" max="4629" width="9.88671875" style="25" customWidth="1"/>
    <col min="4630" max="4630" width="12" style="25" customWidth="1"/>
    <col min="4631" max="4861" width="11.44140625" style="25"/>
    <col min="4862" max="4862" width="0.109375" style="25" customWidth="1"/>
    <col min="4863" max="4863" width="19" style="25" customWidth="1"/>
    <col min="4864" max="4864" width="7.109375" style="25" customWidth="1"/>
    <col min="4865" max="4865" width="41.109375" style="25" customWidth="1"/>
    <col min="4866" max="4867" width="9" style="25" customWidth="1"/>
    <col min="4868" max="4868" width="10.5546875" style="25" customWidth="1"/>
    <col min="4869" max="4869" width="9.44140625" style="25" customWidth="1"/>
    <col min="4870" max="4870" width="9.88671875" style="25" customWidth="1"/>
    <col min="4871" max="4871" width="10.5546875" style="25" customWidth="1"/>
    <col min="4872" max="4873" width="9.44140625" style="25" customWidth="1"/>
    <col min="4874" max="4874" width="10.5546875" style="25" customWidth="1"/>
    <col min="4875" max="4876" width="9" style="25" customWidth="1"/>
    <col min="4877" max="4877" width="10.5546875" style="25" customWidth="1"/>
    <col min="4878" max="4879" width="9.44140625" style="25" customWidth="1"/>
    <col min="4880" max="4880" width="10.5546875" style="25" customWidth="1"/>
    <col min="4881" max="4881" width="9.44140625" style="25" customWidth="1"/>
    <col min="4882" max="4882" width="9.88671875" style="25" customWidth="1"/>
    <col min="4883" max="4883" width="10.5546875" style="25" customWidth="1"/>
    <col min="4884" max="4884" width="9" style="25" customWidth="1"/>
    <col min="4885" max="4885" width="9.88671875" style="25" customWidth="1"/>
    <col min="4886" max="4886" width="12" style="25" customWidth="1"/>
    <col min="4887" max="5117" width="11.44140625" style="25"/>
    <col min="5118" max="5118" width="0.109375" style="25" customWidth="1"/>
    <col min="5119" max="5119" width="19" style="25" customWidth="1"/>
    <col min="5120" max="5120" width="7.109375" style="25" customWidth="1"/>
    <col min="5121" max="5121" width="41.109375" style="25" customWidth="1"/>
    <col min="5122" max="5123" width="9" style="25" customWidth="1"/>
    <col min="5124" max="5124" width="10.5546875" style="25" customWidth="1"/>
    <col min="5125" max="5125" width="9.44140625" style="25" customWidth="1"/>
    <col min="5126" max="5126" width="9.88671875" style="25" customWidth="1"/>
    <col min="5127" max="5127" width="10.5546875" style="25" customWidth="1"/>
    <col min="5128" max="5129" width="9.44140625" style="25" customWidth="1"/>
    <col min="5130" max="5130" width="10.5546875" style="25" customWidth="1"/>
    <col min="5131" max="5132" width="9" style="25" customWidth="1"/>
    <col min="5133" max="5133" width="10.5546875" style="25" customWidth="1"/>
    <col min="5134" max="5135" width="9.44140625" style="25" customWidth="1"/>
    <col min="5136" max="5136" width="10.5546875" style="25" customWidth="1"/>
    <col min="5137" max="5137" width="9.44140625" style="25" customWidth="1"/>
    <col min="5138" max="5138" width="9.88671875" style="25" customWidth="1"/>
    <col min="5139" max="5139" width="10.5546875" style="25" customWidth="1"/>
    <col min="5140" max="5140" width="9" style="25" customWidth="1"/>
    <col min="5141" max="5141" width="9.88671875" style="25" customWidth="1"/>
    <col min="5142" max="5142" width="12" style="25" customWidth="1"/>
    <col min="5143" max="5373" width="11.44140625" style="25"/>
    <col min="5374" max="5374" width="0.109375" style="25" customWidth="1"/>
    <col min="5375" max="5375" width="19" style="25" customWidth="1"/>
    <col min="5376" max="5376" width="7.109375" style="25" customWidth="1"/>
    <col min="5377" max="5377" width="41.109375" style="25" customWidth="1"/>
    <col min="5378" max="5379" width="9" style="25" customWidth="1"/>
    <col min="5380" max="5380" width="10.5546875" style="25" customWidth="1"/>
    <col min="5381" max="5381" width="9.44140625" style="25" customWidth="1"/>
    <col min="5382" max="5382" width="9.88671875" style="25" customWidth="1"/>
    <col min="5383" max="5383" width="10.5546875" style="25" customWidth="1"/>
    <col min="5384" max="5385" width="9.44140625" style="25" customWidth="1"/>
    <col min="5386" max="5386" width="10.5546875" style="25" customWidth="1"/>
    <col min="5387" max="5388" width="9" style="25" customWidth="1"/>
    <col min="5389" max="5389" width="10.5546875" style="25" customWidth="1"/>
    <col min="5390" max="5391" width="9.44140625" style="25" customWidth="1"/>
    <col min="5392" max="5392" width="10.5546875" style="25" customWidth="1"/>
    <col min="5393" max="5393" width="9.44140625" style="25" customWidth="1"/>
    <col min="5394" max="5394" width="9.88671875" style="25" customWidth="1"/>
    <col min="5395" max="5395" width="10.5546875" style="25" customWidth="1"/>
    <col min="5396" max="5396" width="9" style="25" customWidth="1"/>
    <col min="5397" max="5397" width="9.88671875" style="25" customWidth="1"/>
    <col min="5398" max="5398" width="12" style="25" customWidth="1"/>
    <col min="5399" max="5629" width="11.44140625" style="25"/>
    <col min="5630" max="5630" width="0.109375" style="25" customWidth="1"/>
    <col min="5631" max="5631" width="19" style="25" customWidth="1"/>
    <col min="5632" max="5632" width="7.109375" style="25" customWidth="1"/>
    <col min="5633" max="5633" width="41.109375" style="25" customWidth="1"/>
    <col min="5634" max="5635" width="9" style="25" customWidth="1"/>
    <col min="5636" max="5636" width="10.5546875" style="25" customWidth="1"/>
    <col min="5637" max="5637" width="9.44140625" style="25" customWidth="1"/>
    <col min="5638" max="5638" width="9.88671875" style="25" customWidth="1"/>
    <col min="5639" max="5639" width="10.5546875" style="25" customWidth="1"/>
    <col min="5640" max="5641" width="9.44140625" style="25" customWidth="1"/>
    <col min="5642" max="5642" width="10.5546875" style="25" customWidth="1"/>
    <col min="5643" max="5644" width="9" style="25" customWidth="1"/>
    <col min="5645" max="5645" width="10.5546875" style="25" customWidth="1"/>
    <col min="5646" max="5647" width="9.44140625" style="25" customWidth="1"/>
    <col min="5648" max="5648" width="10.5546875" style="25" customWidth="1"/>
    <col min="5649" max="5649" width="9.44140625" style="25" customWidth="1"/>
    <col min="5650" max="5650" width="9.88671875" style="25" customWidth="1"/>
    <col min="5651" max="5651" width="10.5546875" style="25" customWidth="1"/>
    <col min="5652" max="5652" width="9" style="25" customWidth="1"/>
    <col min="5653" max="5653" width="9.88671875" style="25" customWidth="1"/>
    <col min="5654" max="5654" width="12" style="25" customWidth="1"/>
    <col min="5655" max="5885" width="11.44140625" style="25"/>
    <col min="5886" max="5886" width="0.109375" style="25" customWidth="1"/>
    <col min="5887" max="5887" width="19" style="25" customWidth="1"/>
    <col min="5888" max="5888" width="7.109375" style="25" customWidth="1"/>
    <col min="5889" max="5889" width="41.109375" style="25" customWidth="1"/>
    <col min="5890" max="5891" width="9" style="25" customWidth="1"/>
    <col min="5892" max="5892" width="10.5546875" style="25" customWidth="1"/>
    <col min="5893" max="5893" width="9.44140625" style="25" customWidth="1"/>
    <col min="5894" max="5894" width="9.88671875" style="25" customWidth="1"/>
    <col min="5895" max="5895" width="10.5546875" style="25" customWidth="1"/>
    <col min="5896" max="5897" width="9.44140625" style="25" customWidth="1"/>
    <col min="5898" max="5898" width="10.5546875" style="25" customWidth="1"/>
    <col min="5899" max="5900" width="9" style="25" customWidth="1"/>
    <col min="5901" max="5901" width="10.5546875" style="25" customWidth="1"/>
    <col min="5902" max="5903" width="9.44140625" style="25" customWidth="1"/>
    <col min="5904" max="5904" width="10.5546875" style="25" customWidth="1"/>
    <col min="5905" max="5905" width="9.44140625" style="25" customWidth="1"/>
    <col min="5906" max="5906" width="9.88671875" style="25" customWidth="1"/>
    <col min="5907" max="5907" width="10.5546875" style="25" customWidth="1"/>
    <col min="5908" max="5908" width="9" style="25" customWidth="1"/>
    <col min="5909" max="5909" width="9.88671875" style="25" customWidth="1"/>
    <col min="5910" max="5910" width="12" style="25" customWidth="1"/>
    <col min="5911" max="6141" width="11.44140625" style="25"/>
    <col min="6142" max="6142" width="0.109375" style="25" customWidth="1"/>
    <col min="6143" max="6143" width="19" style="25" customWidth="1"/>
    <col min="6144" max="6144" width="7.109375" style="25" customWidth="1"/>
    <col min="6145" max="6145" width="41.109375" style="25" customWidth="1"/>
    <col min="6146" max="6147" width="9" style="25" customWidth="1"/>
    <col min="6148" max="6148" width="10.5546875" style="25" customWidth="1"/>
    <col min="6149" max="6149" width="9.44140625" style="25" customWidth="1"/>
    <col min="6150" max="6150" width="9.88671875" style="25" customWidth="1"/>
    <col min="6151" max="6151" width="10.5546875" style="25" customWidth="1"/>
    <col min="6152" max="6153" width="9.44140625" style="25" customWidth="1"/>
    <col min="6154" max="6154" width="10.5546875" style="25" customWidth="1"/>
    <col min="6155" max="6156" width="9" style="25" customWidth="1"/>
    <col min="6157" max="6157" width="10.5546875" style="25" customWidth="1"/>
    <col min="6158" max="6159" width="9.44140625" style="25" customWidth="1"/>
    <col min="6160" max="6160" width="10.5546875" style="25" customWidth="1"/>
    <col min="6161" max="6161" width="9.44140625" style="25" customWidth="1"/>
    <col min="6162" max="6162" width="9.88671875" style="25" customWidth="1"/>
    <col min="6163" max="6163" width="10.5546875" style="25" customWidth="1"/>
    <col min="6164" max="6164" width="9" style="25" customWidth="1"/>
    <col min="6165" max="6165" width="9.88671875" style="25" customWidth="1"/>
    <col min="6166" max="6166" width="12" style="25" customWidth="1"/>
    <col min="6167" max="6397" width="11.44140625" style="25"/>
    <col min="6398" max="6398" width="0.109375" style="25" customWidth="1"/>
    <col min="6399" max="6399" width="19" style="25" customWidth="1"/>
    <col min="6400" max="6400" width="7.109375" style="25" customWidth="1"/>
    <col min="6401" max="6401" width="41.109375" style="25" customWidth="1"/>
    <col min="6402" max="6403" width="9" style="25" customWidth="1"/>
    <col min="6404" max="6404" width="10.5546875" style="25" customWidth="1"/>
    <col min="6405" max="6405" width="9.44140625" style="25" customWidth="1"/>
    <col min="6406" max="6406" width="9.88671875" style="25" customWidth="1"/>
    <col min="6407" max="6407" width="10.5546875" style="25" customWidth="1"/>
    <col min="6408" max="6409" width="9.44140625" style="25" customWidth="1"/>
    <col min="6410" max="6410" width="10.5546875" style="25" customWidth="1"/>
    <col min="6411" max="6412" width="9" style="25" customWidth="1"/>
    <col min="6413" max="6413" width="10.5546875" style="25" customWidth="1"/>
    <col min="6414" max="6415" width="9.44140625" style="25" customWidth="1"/>
    <col min="6416" max="6416" width="10.5546875" style="25" customWidth="1"/>
    <col min="6417" max="6417" width="9.44140625" style="25" customWidth="1"/>
    <col min="6418" max="6418" width="9.88671875" style="25" customWidth="1"/>
    <col min="6419" max="6419" width="10.5546875" style="25" customWidth="1"/>
    <col min="6420" max="6420" width="9" style="25" customWidth="1"/>
    <col min="6421" max="6421" width="9.88671875" style="25" customWidth="1"/>
    <col min="6422" max="6422" width="12" style="25" customWidth="1"/>
    <col min="6423" max="6653" width="11.44140625" style="25"/>
    <col min="6654" max="6654" width="0.109375" style="25" customWidth="1"/>
    <col min="6655" max="6655" width="19" style="25" customWidth="1"/>
    <col min="6656" max="6656" width="7.109375" style="25" customWidth="1"/>
    <col min="6657" max="6657" width="41.109375" style="25" customWidth="1"/>
    <col min="6658" max="6659" width="9" style="25" customWidth="1"/>
    <col min="6660" max="6660" width="10.5546875" style="25" customWidth="1"/>
    <col min="6661" max="6661" width="9.44140625" style="25" customWidth="1"/>
    <col min="6662" max="6662" width="9.88671875" style="25" customWidth="1"/>
    <col min="6663" max="6663" width="10.5546875" style="25" customWidth="1"/>
    <col min="6664" max="6665" width="9.44140625" style="25" customWidth="1"/>
    <col min="6666" max="6666" width="10.5546875" style="25" customWidth="1"/>
    <col min="6667" max="6668" width="9" style="25" customWidth="1"/>
    <col min="6669" max="6669" width="10.5546875" style="25" customWidth="1"/>
    <col min="6670" max="6671" width="9.44140625" style="25" customWidth="1"/>
    <col min="6672" max="6672" width="10.5546875" style="25" customWidth="1"/>
    <col min="6673" max="6673" width="9.44140625" style="25" customWidth="1"/>
    <col min="6674" max="6674" width="9.88671875" style="25" customWidth="1"/>
    <col min="6675" max="6675" width="10.5546875" style="25" customWidth="1"/>
    <col min="6676" max="6676" width="9" style="25" customWidth="1"/>
    <col min="6677" max="6677" width="9.88671875" style="25" customWidth="1"/>
    <col min="6678" max="6678" width="12" style="25" customWidth="1"/>
    <col min="6679" max="6909" width="11.44140625" style="25"/>
    <col min="6910" max="6910" width="0.109375" style="25" customWidth="1"/>
    <col min="6911" max="6911" width="19" style="25" customWidth="1"/>
    <col min="6912" max="6912" width="7.109375" style="25" customWidth="1"/>
    <col min="6913" max="6913" width="41.109375" style="25" customWidth="1"/>
    <col min="6914" max="6915" width="9" style="25" customWidth="1"/>
    <col min="6916" max="6916" width="10.5546875" style="25" customWidth="1"/>
    <col min="6917" max="6917" width="9.44140625" style="25" customWidth="1"/>
    <col min="6918" max="6918" width="9.88671875" style="25" customWidth="1"/>
    <col min="6919" max="6919" width="10.5546875" style="25" customWidth="1"/>
    <col min="6920" max="6921" width="9.44140625" style="25" customWidth="1"/>
    <col min="6922" max="6922" width="10.5546875" style="25" customWidth="1"/>
    <col min="6923" max="6924" width="9" style="25" customWidth="1"/>
    <col min="6925" max="6925" width="10.5546875" style="25" customWidth="1"/>
    <col min="6926" max="6927" width="9.44140625" style="25" customWidth="1"/>
    <col min="6928" max="6928" width="10.5546875" style="25" customWidth="1"/>
    <col min="6929" max="6929" width="9.44140625" style="25" customWidth="1"/>
    <col min="6930" max="6930" width="9.88671875" style="25" customWidth="1"/>
    <col min="6931" max="6931" width="10.5546875" style="25" customWidth="1"/>
    <col min="6932" max="6932" width="9" style="25" customWidth="1"/>
    <col min="6933" max="6933" width="9.88671875" style="25" customWidth="1"/>
    <col min="6934" max="6934" width="12" style="25" customWidth="1"/>
    <col min="6935" max="7165" width="11.44140625" style="25"/>
    <col min="7166" max="7166" width="0.109375" style="25" customWidth="1"/>
    <col min="7167" max="7167" width="19" style="25" customWidth="1"/>
    <col min="7168" max="7168" width="7.109375" style="25" customWidth="1"/>
    <col min="7169" max="7169" width="41.109375" style="25" customWidth="1"/>
    <col min="7170" max="7171" width="9" style="25" customWidth="1"/>
    <col min="7172" max="7172" width="10.5546875" style="25" customWidth="1"/>
    <col min="7173" max="7173" width="9.44140625" style="25" customWidth="1"/>
    <col min="7174" max="7174" width="9.88671875" style="25" customWidth="1"/>
    <col min="7175" max="7175" width="10.5546875" style="25" customWidth="1"/>
    <col min="7176" max="7177" width="9.44140625" style="25" customWidth="1"/>
    <col min="7178" max="7178" width="10.5546875" style="25" customWidth="1"/>
    <col min="7179" max="7180" width="9" style="25" customWidth="1"/>
    <col min="7181" max="7181" width="10.5546875" style="25" customWidth="1"/>
    <col min="7182" max="7183" width="9.44140625" style="25" customWidth="1"/>
    <col min="7184" max="7184" width="10.5546875" style="25" customWidth="1"/>
    <col min="7185" max="7185" width="9.44140625" style="25" customWidth="1"/>
    <col min="7186" max="7186" width="9.88671875" style="25" customWidth="1"/>
    <col min="7187" max="7187" width="10.5546875" style="25" customWidth="1"/>
    <col min="7188" max="7188" width="9" style="25" customWidth="1"/>
    <col min="7189" max="7189" width="9.88671875" style="25" customWidth="1"/>
    <col min="7190" max="7190" width="12" style="25" customWidth="1"/>
    <col min="7191" max="7421" width="11.44140625" style="25"/>
    <col min="7422" max="7422" width="0.109375" style="25" customWidth="1"/>
    <col min="7423" max="7423" width="19" style="25" customWidth="1"/>
    <col min="7424" max="7424" width="7.109375" style="25" customWidth="1"/>
    <col min="7425" max="7425" width="41.109375" style="25" customWidth="1"/>
    <col min="7426" max="7427" width="9" style="25" customWidth="1"/>
    <col min="7428" max="7428" width="10.5546875" style="25" customWidth="1"/>
    <col min="7429" max="7429" width="9.44140625" style="25" customWidth="1"/>
    <col min="7430" max="7430" width="9.88671875" style="25" customWidth="1"/>
    <col min="7431" max="7431" width="10.5546875" style="25" customWidth="1"/>
    <col min="7432" max="7433" width="9.44140625" style="25" customWidth="1"/>
    <col min="7434" max="7434" width="10.5546875" style="25" customWidth="1"/>
    <col min="7435" max="7436" width="9" style="25" customWidth="1"/>
    <col min="7437" max="7437" width="10.5546875" style="25" customWidth="1"/>
    <col min="7438" max="7439" width="9.44140625" style="25" customWidth="1"/>
    <col min="7440" max="7440" width="10.5546875" style="25" customWidth="1"/>
    <col min="7441" max="7441" width="9.44140625" style="25" customWidth="1"/>
    <col min="7442" max="7442" width="9.88671875" style="25" customWidth="1"/>
    <col min="7443" max="7443" width="10.5546875" style="25" customWidth="1"/>
    <col min="7444" max="7444" width="9" style="25" customWidth="1"/>
    <col min="7445" max="7445" width="9.88671875" style="25" customWidth="1"/>
    <col min="7446" max="7446" width="12" style="25" customWidth="1"/>
    <col min="7447" max="7677" width="11.44140625" style="25"/>
    <col min="7678" max="7678" width="0.109375" style="25" customWidth="1"/>
    <col min="7679" max="7679" width="19" style="25" customWidth="1"/>
    <col min="7680" max="7680" width="7.109375" style="25" customWidth="1"/>
    <col min="7681" max="7681" width="41.109375" style="25" customWidth="1"/>
    <col min="7682" max="7683" width="9" style="25" customWidth="1"/>
    <col min="7684" max="7684" width="10.5546875" style="25" customWidth="1"/>
    <col min="7685" max="7685" width="9.44140625" style="25" customWidth="1"/>
    <col min="7686" max="7686" width="9.88671875" style="25" customWidth="1"/>
    <col min="7687" max="7687" width="10.5546875" style="25" customWidth="1"/>
    <col min="7688" max="7689" width="9.44140625" style="25" customWidth="1"/>
    <col min="7690" max="7690" width="10.5546875" style="25" customWidth="1"/>
    <col min="7691" max="7692" width="9" style="25" customWidth="1"/>
    <col min="7693" max="7693" width="10.5546875" style="25" customWidth="1"/>
    <col min="7694" max="7695" width="9.44140625" style="25" customWidth="1"/>
    <col min="7696" max="7696" width="10.5546875" style="25" customWidth="1"/>
    <col min="7697" max="7697" width="9.44140625" style="25" customWidth="1"/>
    <col min="7698" max="7698" width="9.88671875" style="25" customWidth="1"/>
    <col min="7699" max="7699" width="10.5546875" style="25" customWidth="1"/>
    <col min="7700" max="7700" width="9" style="25" customWidth="1"/>
    <col min="7701" max="7701" width="9.88671875" style="25" customWidth="1"/>
    <col min="7702" max="7702" width="12" style="25" customWidth="1"/>
    <col min="7703" max="7933" width="11.44140625" style="25"/>
    <col min="7934" max="7934" width="0.109375" style="25" customWidth="1"/>
    <col min="7935" max="7935" width="19" style="25" customWidth="1"/>
    <col min="7936" max="7936" width="7.109375" style="25" customWidth="1"/>
    <col min="7937" max="7937" width="41.109375" style="25" customWidth="1"/>
    <col min="7938" max="7939" width="9" style="25" customWidth="1"/>
    <col min="7940" max="7940" width="10.5546875" style="25" customWidth="1"/>
    <col min="7941" max="7941" width="9.44140625" style="25" customWidth="1"/>
    <col min="7942" max="7942" width="9.88671875" style="25" customWidth="1"/>
    <col min="7943" max="7943" width="10.5546875" style="25" customWidth="1"/>
    <col min="7944" max="7945" width="9.44140625" style="25" customWidth="1"/>
    <col min="7946" max="7946" width="10.5546875" style="25" customWidth="1"/>
    <col min="7947" max="7948" width="9" style="25" customWidth="1"/>
    <col min="7949" max="7949" width="10.5546875" style="25" customWidth="1"/>
    <col min="7950" max="7951" width="9.44140625" style="25" customWidth="1"/>
    <col min="7952" max="7952" width="10.5546875" style="25" customWidth="1"/>
    <col min="7953" max="7953" width="9.44140625" style="25" customWidth="1"/>
    <col min="7954" max="7954" width="9.88671875" style="25" customWidth="1"/>
    <col min="7955" max="7955" width="10.5546875" style="25" customWidth="1"/>
    <col min="7956" max="7956" width="9" style="25" customWidth="1"/>
    <col min="7957" max="7957" width="9.88671875" style="25" customWidth="1"/>
    <col min="7958" max="7958" width="12" style="25" customWidth="1"/>
    <col min="7959" max="8189" width="11.44140625" style="25"/>
    <col min="8190" max="8190" width="0.109375" style="25" customWidth="1"/>
    <col min="8191" max="8191" width="19" style="25" customWidth="1"/>
    <col min="8192" max="8192" width="7.109375" style="25" customWidth="1"/>
    <col min="8193" max="8193" width="41.109375" style="25" customWidth="1"/>
    <col min="8194" max="8195" width="9" style="25" customWidth="1"/>
    <col min="8196" max="8196" width="10.5546875" style="25" customWidth="1"/>
    <col min="8197" max="8197" width="9.44140625" style="25" customWidth="1"/>
    <col min="8198" max="8198" width="9.88671875" style="25" customWidth="1"/>
    <col min="8199" max="8199" width="10.5546875" style="25" customWidth="1"/>
    <col min="8200" max="8201" width="9.44140625" style="25" customWidth="1"/>
    <col min="8202" max="8202" width="10.5546875" style="25" customWidth="1"/>
    <col min="8203" max="8204" width="9" style="25" customWidth="1"/>
    <col min="8205" max="8205" width="10.5546875" style="25" customWidth="1"/>
    <col min="8206" max="8207" width="9.44140625" style="25" customWidth="1"/>
    <col min="8208" max="8208" width="10.5546875" style="25" customWidth="1"/>
    <col min="8209" max="8209" width="9.44140625" style="25" customWidth="1"/>
    <col min="8210" max="8210" width="9.88671875" style="25" customWidth="1"/>
    <col min="8211" max="8211" width="10.5546875" style="25" customWidth="1"/>
    <col min="8212" max="8212" width="9" style="25" customWidth="1"/>
    <col min="8213" max="8213" width="9.88671875" style="25" customWidth="1"/>
    <col min="8214" max="8214" width="12" style="25" customWidth="1"/>
    <col min="8215" max="8445" width="11.44140625" style="25"/>
    <col min="8446" max="8446" width="0.109375" style="25" customWidth="1"/>
    <col min="8447" max="8447" width="19" style="25" customWidth="1"/>
    <col min="8448" max="8448" width="7.109375" style="25" customWidth="1"/>
    <col min="8449" max="8449" width="41.109375" style="25" customWidth="1"/>
    <col min="8450" max="8451" width="9" style="25" customWidth="1"/>
    <col min="8452" max="8452" width="10.5546875" style="25" customWidth="1"/>
    <col min="8453" max="8453" width="9.44140625" style="25" customWidth="1"/>
    <col min="8454" max="8454" width="9.88671875" style="25" customWidth="1"/>
    <col min="8455" max="8455" width="10.5546875" style="25" customWidth="1"/>
    <col min="8456" max="8457" width="9.44140625" style="25" customWidth="1"/>
    <col min="8458" max="8458" width="10.5546875" style="25" customWidth="1"/>
    <col min="8459" max="8460" width="9" style="25" customWidth="1"/>
    <col min="8461" max="8461" width="10.5546875" style="25" customWidth="1"/>
    <col min="8462" max="8463" width="9.44140625" style="25" customWidth="1"/>
    <col min="8464" max="8464" width="10.5546875" style="25" customWidth="1"/>
    <col min="8465" max="8465" width="9.44140625" style="25" customWidth="1"/>
    <col min="8466" max="8466" width="9.88671875" style="25" customWidth="1"/>
    <col min="8467" max="8467" width="10.5546875" style="25" customWidth="1"/>
    <col min="8468" max="8468" width="9" style="25" customWidth="1"/>
    <col min="8469" max="8469" width="9.88671875" style="25" customWidth="1"/>
    <col min="8470" max="8470" width="12" style="25" customWidth="1"/>
    <col min="8471" max="8701" width="11.44140625" style="25"/>
    <col min="8702" max="8702" width="0.109375" style="25" customWidth="1"/>
    <col min="8703" max="8703" width="19" style="25" customWidth="1"/>
    <col min="8704" max="8704" width="7.109375" style="25" customWidth="1"/>
    <col min="8705" max="8705" width="41.109375" style="25" customWidth="1"/>
    <col min="8706" max="8707" width="9" style="25" customWidth="1"/>
    <col min="8708" max="8708" width="10.5546875" style="25" customWidth="1"/>
    <col min="8709" max="8709" width="9.44140625" style="25" customWidth="1"/>
    <col min="8710" max="8710" width="9.88671875" style="25" customWidth="1"/>
    <col min="8711" max="8711" width="10.5546875" style="25" customWidth="1"/>
    <col min="8712" max="8713" width="9.44140625" style="25" customWidth="1"/>
    <col min="8714" max="8714" width="10.5546875" style="25" customWidth="1"/>
    <col min="8715" max="8716" width="9" style="25" customWidth="1"/>
    <col min="8717" max="8717" width="10.5546875" style="25" customWidth="1"/>
    <col min="8718" max="8719" width="9.44140625" style="25" customWidth="1"/>
    <col min="8720" max="8720" width="10.5546875" style="25" customWidth="1"/>
    <col min="8721" max="8721" width="9.44140625" style="25" customWidth="1"/>
    <col min="8722" max="8722" width="9.88671875" style="25" customWidth="1"/>
    <col min="8723" max="8723" width="10.5546875" style="25" customWidth="1"/>
    <col min="8724" max="8724" width="9" style="25" customWidth="1"/>
    <col min="8725" max="8725" width="9.88671875" style="25" customWidth="1"/>
    <col min="8726" max="8726" width="12" style="25" customWidth="1"/>
    <col min="8727" max="8957" width="11.44140625" style="25"/>
    <col min="8958" max="8958" width="0.109375" style="25" customWidth="1"/>
    <col min="8959" max="8959" width="19" style="25" customWidth="1"/>
    <col min="8960" max="8960" width="7.109375" style="25" customWidth="1"/>
    <col min="8961" max="8961" width="41.109375" style="25" customWidth="1"/>
    <col min="8962" max="8963" width="9" style="25" customWidth="1"/>
    <col min="8964" max="8964" width="10.5546875" style="25" customWidth="1"/>
    <col min="8965" max="8965" width="9.44140625" style="25" customWidth="1"/>
    <col min="8966" max="8966" width="9.88671875" style="25" customWidth="1"/>
    <col min="8967" max="8967" width="10.5546875" style="25" customWidth="1"/>
    <col min="8968" max="8969" width="9.44140625" style="25" customWidth="1"/>
    <col min="8970" max="8970" width="10.5546875" style="25" customWidth="1"/>
    <col min="8971" max="8972" width="9" style="25" customWidth="1"/>
    <col min="8973" max="8973" width="10.5546875" style="25" customWidth="1"/>
    <col min="8974" max="8975" width="9.44140625" style="25" customWidth="1"/>
    <col min="8976" max="8976" width="10.5546875" style="25" customWidth="1"/>
    <col min="8977" max="8977" width="9.44140625" style="25" customWidth="1"/>
    <col min="8978" max="8978" width="9.88671875" style="25" customWidth="1"/>
    <col min="8979" max="8979" width="10.5546875" style="25" customWidth="1"/>
    <col min="8980" max="8980" width="9" style="25" customWidth="1"/>
    <col min="8981" max="8981" width="9.88671875" style="25" customWidth="1"/>
    <col min="8982" max="8982" width="12" style="25" customWidth="1"/>
    <col min="8983" max="9213" width="11.44140625" style="25"/>
    <col min="9214" max="9214" width="0.109375" style="25" customWidth="1"/>
    <col min="9215" max="9215" width="19" style="25" customWidth="1"/>
    <col min="9216" max="9216" width="7.109375" style="25" customWidth="1"/>
    <col min="9217" max="9217" width="41.109375" style="25" customWidth="1"/>
    <col min="9218" max="9219" width="9" style="25" customWidth="1"/>
    <col min="9220" max="9220" width="10.5546875" style="25" customWidth="1"/>
    <col min="9221" max="9221" width="9.44140625" style="25" customWidth="1"/>
    <col min="9222" max="9222" width="9.88671875" style="25" customWidth="1"/>
    <col min="9223" max="9223" width="10.5546875" style="25" customWidth="1"/>
    <col min="9224" max="9225" width="9.44140625" style="25" customWidth="1"/>
    <col min="9226" max="9226" width="10.5546875" style="25" customWidth="1"/>
    <col min="9227" max="9228" width="9" style="25" customWidth="1"/>
    <col min="9229" max="9229" width="10.5546875" style="25" customWidth="1"/>
    <col min="9230" max="9231" width="9.44140625" style="25" customWidth="1"/>
    <col min="9232" max="9232" width="10.5546875" style="25" customWidth="1"/>
    <col min="9233" max="9233" width="9.44140625" style="25" customWidth="1"/>
    <col min="9234" max="9234" width="9.88671875" style="25" customWidth="1"/>
    <col min="9235" max="9235" width="10.5546875" style="25" customWidth="1"/>
    <col min="9236" max="9236" width="9" style="25" customWidth="1"/>
    <col min="9237" max="9237" width="9.88671875" style="25" customWidth="1"/>
    <col min="9238" max="9238" width="12" style="25" customWidth="1"/>
    <col min="9239" max="9469" width="11.44140625" style="25"/>
    <col min="9470" max="9470" width="0.109375" style="25" customWidth="1"/>
    <col min="9471" max="9471" width="19" style="25" customWidth="1"/>
    <col min="9472" max="9472" width="7.109375" style="25" customWidth="1"/>
    <col min="9473" max="9473" width="41.109375" style="25" customWidth="1"/>
    <col min="9474" max="9475" width="9" style="25" customWidth="1"/>
    <col min="9476" max="9476" width="10.5546875" style="25" customWidth="1"/>
    <col min="9477" max="9477" width="9.44140625" style="25" customWidth="1"/>
    <col min="9478" max="9478" width="9.88671875" style="25" customWidth="1"/>
    <col min="9479" max="9479" width="10.5546875" style="25" customWidth="1"/>
    <col min="9480" max="9481" width="9.44140625" style="25" customWidth="1"/>
    <col min="9482" max="9482" width="10.5546875" style="25" customWidth="1"/>
    <col min="9483" max="9484" width="9" style="25" customWidth="1"/>
    <col min="9485" max="9485" width="10.5546875" style="25" customWidth="1"/>
    <col min="9486" max="9487" width="9.44140625" style="25" customWidth="1"/>
    <col min="9488" max="9488" width="10.5546875" style="25" customWidth="1"/>
    <col min="9489" max="9489" width="9.44140625" style="25" customWidth="1"/>
    <col min="9490" max="9490" width="9.88671875" style="25" customWidth="1"/>
    <col min="9491" max="9491" width="10.5546875" style="25" customWidth="1"/>
    <col min="9492" max="9492" width="9" style="25" customWidth="1"/>
    <col min="9493" max="9493" width="9.88671875" style="25" customWidth="1"/>
    <col min="9494" max="9494" width="12" style="25" customWidth="1"/>
    <col min="9495" max="9725" width="11.44140625" style="25"/>
    <col min="9726" max="9726" width="0.109375" style="25" customWidth="1"/>
    <col min="9727" max="9727" width="19" style="25" customWidth="1"/>
    <col min="9728" max="9728" width="7.109375" style="25" customWidth="1"/>
    <col min="9729" max="9729" width="41.109375" style="25" customWidth="1"/>
    <col min="9730" max="9731" width="9" style="25" customWidth="1"/>
    <col min="9732" max="9732" width="10.5546875" style="25" customWidth="1"/>
    <col min="9733" max="9733" width="9.44140625" style="25" customWidth="1"/>
    <col min="9734" max="9734" width="9.88671875" style="25" customWidth="1"/>
    <col min="9735" max="9735" width="10.5546875" style="25" customWidth="1"/>
    <col min="9736" max="9737" width="9.44140625" style="25" customWidth="1"/>
    <col min="9738" max="9738" width="10.5546875" style="25" customWidth="1"/>
    <col min="9739" max="9740" width="9" style="25" customWidth="1"/>
    <col min="9741" max="9741" width="10.5546875" style="25" customWidth="1"/>
    <col min="9742" max="9743" width="9.44140625" style="25" customWidth="1"/>
    <col min="9744" max="9744" width="10.5546875" style="25" customWidth="1"/>
    <col min="9745" max="9745" width="9.44140625" style="25" customWidth="1"/>
    <col min="9746" max="9746" width="9.88671875" style="25" customWidth="1"/>
    <col min="9747" max="9747" width="10.5546875" style="25" customWidth="1"/>
    <col min="9748" max="9748" width="9" style="25" customWidth="1"/>
    <col min="9749" max="9749" width="9.88671875" style="25" customWidth="1"/>
    <col min="9750" max="9750" width="12" style="25" customWidth="1"/>
    <col min="9751" max="9981" width="11.44140625" style="25"/>
    <col min="9982" max="9982" width="0.109375" style="25" customWidth="1"/>
    <col min="9983" max="9983" width="19" style="25" customWidth="1"/>
    <col min="9984" max="9984" width="7.109375" style="25" customWidth="1"/>
    <col min="9985" max="9985" width="41.109375" style="25" customWidth="1"/>
    <col min="9986" max="9987" width="9" style="25" customWidth="1"/>
    <col min="9988" max="9988" width="10.5546875" style="25" customWidth="1"/>
    <col min="9989" max="9989" width="9.44140625" style="25" customWidth="1"/>
    <col min="9990" max="9990" width="9.88671875" style="25" customWidth="1"/>
    <col min="9991" max="9991" width="10.5546875" style="25" customWidth="1"/>
    <col min="9992" max="9993" width="9.44140625" style="25" customWidth="1"/>
    <col min="9994" max="9994" width="10.5546875" style="25" customWidth="1"/>
    <col min="9995" max="9996" width="9" style="25" customWidth="1"/>
    <col min="9997" max="9997" width="10.5546875" style="25" customWidth="1"/>
    <col min="9998" max="9999" width="9.44140625" style="25" customWidth="1"/>
    <col min="10000" max="10000" width="10.5546875" style="25" customWidth="1"/>
    <col min="10001" max="10001" width="9.44140625" style="25" customWidth="1"/>
    <col min="10002" max="10002" width="9.88671875" style="25" customWidth="1"/>
    <col min="10003" max="10003" width="10.5546875" style="25" customWidth="1"/>
    <col min="10004" max="10004" width="9" style="25" customWidth="1"/>
    <col min="10005" max="10005" width="9.88671875" style="25" customWidth="1"/>
    <col min="10006" max="10006" width="12" style="25" customWidth="1"/>
    <col min="10007" max="10237" width="11.44140625" style="25"/>
    <col min="10238" max="10238" width="0.109375" style="25" customWidth="1"/>
    <col min="10239" max="10239" width="19" style="25" customWidth="1"/>
    <col min="10240" max="10240" width="7.109375" style="25" customWidth="1"/>
    <col min="10241" max="10241" width="41.109375" style="25" customWidth="1"/>
    <col min="10242" max="10243" width="9" style="25" customWidth="1"/>
    <col min="10244" max="10244" width="10.5546875" style="25" customWidth="1"/>
    <col min="10245" max="10245" width="9.44140625" style="25" customWidth="1"/>
    <col min="10246" max="10246" width="9.88671875" style="25" customWidth="1"/>
    <col min="10247" max="10247" width="10.5546875" style="25" customWidth="1"/>
    <col min="10248" max="10249" width="9.44140625" style="25" customWidth="1"/>
    <col min="10250" max="10250" width="10.5546875" style="25" customWidth="1"/>
    <col min="10251" max="10252" width="9" style="25" customWidth="1"/>
    <col min="10253" max="10253" width="10.5546875" style="25" customWidth="1"/>
    <col min="10254" max="10255" width="9.44140625" style="25" customWidth="1"/>
    <col min="10256" max="10256" width="10.5546875" style="25" customWidth="1"/>
    <col min="10257" max="10257" width="9.44140625" style="25" customWidth="1"/>
    <col min="10258" max="10258" width="9.88671875" style="25" customWidth="1"/>
    <col min="10259" max="10259" width="10.5546875" style="25" customWidth="1"/>
    <col min="10260" max="10260" width="9" style="25" customWidth="1"/>
    <col min="10261" max="10261" width="9.88671875" style="25" customWidth="1"/>
    <col min="10262" max="10262" width="12" style="25" customWidth="1"/>
    <col min="10263" max="10493" width="11.44140625" style="25"/>
    <col min="10494" max="10494" width="0.109375" style="25" customWidth="1"/>
    <col min="10495" max="10495" width="19" style="25" customWidth="1"/>
    <col min="10496" max="10496" width="7.109375" style="25" customWidth="1"/>
    <col min="10497" max="10497" width="41.109375" style="25" customWidth="1"/>
    <col min="10498" max="10499" width="9" style="25" customWidth="1"/>
    <col min="10500" max="10500" width="10.5546875" style="25" customWidth="1"/>
    <col min="10501" max="10501" width="9.44140625" style="25" customWidth="1"/>
    <col min="10502" max="10502" width="9.88671875" style="25" customWidth="1"/>
    <col min="10503" max="10503" width="10.5546875" style="25" customWidth="1"/>
    <col min="10504" max="10505" width="9.44140625" style="25" customWidth="1"/>
    <col min="10506" max="10506" width="10.5546875" style="25" customWidth="1"/>
    <col min="10507" max="10508" width="9" style="25" customWidth="1"/>
    <col min="10509" max="10509" width="10.5546875" style="25" customWidth="1"/>
    <col min="10510" max="10511" width="9.44140625" style="25" customWidth="1"/>
    <col min="10512" max="10512" width="10.5546875" style="25" customWidth="1"/>
    <col min="10513" max="10513" width="9.44140625" style="25" customWidth="1"/>
    <col min="10514" max="10514" width="9.88671875" style="25" customWidth="1"/>
    <col min="10515" max="10515" width="10.5546875" style="25" customWidth="1"/>
    <col min="10516" max="10516" width="9" style="25" customWidth="1"/>
    <col min="10517" max="10517" width="9.88671875" style="25" customWidth="1"/>
    <col min="10518" max="10518" width="12" style="25" customWidth="1"/>
    <col min="10519" max="10749" width="11.44140625" style="25"/>
    <col min="10750" max="10750" width="0.109375" style="25" customWidth="1"/>
    <col min="10751" max="10751" width="19" style="25" customWidth="1"/>
    <col min="10752" max="10752" width="7.109375" style="25" customWidth="1"/>
    <col min="10753" max="10753" width="41.109375" style="25" customWidth="1"/>
    <col min="10754" max="10755" width="9" style="25" customWidth="1"/>
    <col min="10756" max="10756" width="10.5546875" style="25" customWidth="1"/>
    <col min="10757" max="10757" width="9.44140625" style="25" customWidth="1"/>
    <col min="10758" max="10758" width="9.88671875" style="25" customWidth="1"/>
    <col min="10759" max="10759" width="10.5546875" style="25" customWidth="1"/>
    <col min="10760" max="10761" width="9.44140625" style="25" customWidth="1"/>
    <col min="10762" max="10762" width="10.5546875" style="25" customWidth="1"/>
    <col min="10763" max="10764" width="9" style="25" customWidth="1"/>
    <col min="10765" max="10765" width="10.5546875" style="25" customWidth="1"/>
    <col min="10766" max="10767" width="9.44140625" style="25" customWidth="1"/>
    <col min="10768" max="10768" width="10.5546875" style="25" customWidth="1"/>
    <col min="10769" max="10769" width="9.44140625" style="25" customWidth="1"/>
    <col min="10770" max="10770" width="9.88671875" style="25" customWidth="1"/>
    <col min="10771" max="10771" width="10.5546875" style="25" customWidth="1"/>
    <col min="10772" max="10772" width="9" style="25" customWidth="1"/>
    <col min="10773" max="10773" width="9.88671875" style="25" customWidth="1"/>
    <col min="10774" max="10774" width="12" style="25" customWidth="1"/>
    <col min="10775" max="11005" width="11.44140625" style="25"/>
    <col min="11006" max="11006" width="0.109375" style="25" customWidth="1"/>
    <col min="11007" max="11007" width="19" style="25" customWidth="1"/>
    <col min="11008" max="11008" width="7.109375" style="25" customWidth="1"/>
    <col min="11009" max="11009" width="41.109375" style="25" customWidth="1"/>
    <col min="11010" max="11011" width="9" style="25" customWidth="1"/>
    <col min="11012" max="11012" width="10.5546875" style="25" customWidth="1"/>
    <col min="11013" max="11013" width="9.44140625" style="25" customWidth="1"/>
    <col min="11014" max="11014" width="9.88671875" style="25" customWidth="1"/>
    <col min="11015" max="11015" width="10.5546875" style="25" customWidth="1"/>
    <col min="11016" max="11017" width="9.44140625" style="25" customWidth="1"/>
    <col min="11018" max="11018" width="10.5546875" style="25" customWidth="1"/>
    <col min="11019" max="11020" width="9" style="25" customWidth="1"/>
    <col min="11021" max="11021" width="10.5546875" style="25" customWidth="1"/>
    <col min="11022" max="11023" width="9.44140625" style="25" customWidth="1"/>
    <col min="11024" max="11024" width="10.5546875" style="25" customWidth="1"/>
    <col min="11025" max="11025" width="9.44140625" style="25" customWidth="1"/>
    <col min="11026" max="11026" width="9.88671875" style="25" customWidth="1"/>
    <col min="11027" max="11027" width="10.5546875" style="25" customWidth="1"/>
    <col min="11028" max="11028" width="9" style="25" customWidth="1"/>
    <col min="11029" max="11029" width="9.88671875" style="25" customWidth="1"/>
    <col min="11030" max="11030" width="12" style="25" customWidth="1"/>
    <col min="11031" max="11261" width="11.44140625" style="25"/>
    <col min="11262" max="11262" width="0.109375" style="25" customWidth="1"/>
    <col min="11263" max="11263" width="19" style="25" customWidth="1"/>
    <col min="11264" max="11264" width="7.109375" style="25" customWidth="1"/>
    <col min="11265" max="11265" width="41.109375" style="25" customWidth="1"/>
    <col min="11266" max="11267" width="9" style="25" customWidth="1"/>
    <col min="11268" max="11268" width="10.5546875" style="25" customWidth="1"/>
    <col min="11269" max="11269" width="9.44140625" style="25" customWidth="1"/>
    <col min="11270" max="11270" width="9.88671875" style="25" customWidth="1"/>
    <col min="11271" max="11271" width="10.5546875" style="25" customWidth="1"/>
    <col min="11272" max="11273" width="9.44140625" style="25" customWidth="1"/>
    <col min="11274" max="11274" width="10.5546875" style="25" customWidth="1"/>
    <col min="11275" max="11276" width="9" style="25" customWidth="1"/>
    <col min="11277" max="11277" width="10.5546875" style="25" customWidth="1"/>
    <col min="11278" max="11279" width="9.44140625" style="25" customWidth="1"/>
    <col min="11280" max="11280" width="10.5546875" style="25" customWidth="1"/>
    <col min="11281" max="11281" width="9.44140625" style="25" customWidth="1"/>
    <col min="11282" max="11282" width="9.88671875" style="25" customWidth="1"/>
    <col min="11283" max="11283" width="10.5546875" style="25" customWidth="1"/>
    <col min="11284" max="11284" width="9" style="25" customWidth="1"/>
    <col min="11285" max="11285" width="9.88671875" style="25" customWidth="1"/>
    <col min="11286" max="11286" width="12" style="25" customWidth="1"/>
    <col min="11287" max="11517" width="11.44140625" style="25"/>
    <col min="11518" max="11518" width="0.109375" style="25" customWidth="1"/>
    <col min="11519" max="11519" width="19" style="25" customWidth="1"/>
    <col min="11520" max="11520" width="7.109375" style="25" customWidth="1"/>
    <col min="11521" max="11521" width="41.109375" style="25" customWidth="1"/>
    <col min="11522" max="11523" width="9" style="25" customWidth="1"/>
    <col min="11524" max="11524" width="10.5546875" style="25" customWidth="1"/>
    <col min="11525" max="11525" width="9.44140625" style="25" customWidth="1"/>
    <col min="11526" max="11526" width="9.88671875" style="25" customWidth="1"/>
    <col min="11527" max="11527" width="10.5546875" style="25" customWidth="1"/>
    <col min="11528" max="11529" width="9.44140625" style="25" customWidth="1"/>
    <col min="11530" max="11530" width="10.5546875" style="25" customWidth="1"/>
    <col min="11531" max="11532" width="9" style="25" customWidth="1"/>
    <col min="11533" max="11533" width="10.5546875" style="25" customWidth="1"/>
    <col min="11534" max="11535" width="9.44140625" style="25" customWidth="1"/>
    <col min="11536" max="11536" width="10.5546875" style="25" customWidth="1"/>
    <col min="11537" max="11537" width="9.44140625" style="25" customWidth="1"/>
    <col min="11538" max="11538" width="9.88671875" style="25" customWidth="1"/>
    <col min="11539" max="11539" width="10.5546875" style="25" customWidth="1"/>
    <col min="11540" max="11540" width="9" style="25" customWidth="1"/>
    <col min="11541" max="11541" width="9.88671875" style="25" customWidth="1"/>
    <col min="11542" max="11542" width="12" style="25" customWidth="1"/>
    <col min="11543" max="11773" width="11.44140625" style="25"/>
    <col min="11774" max="11774" width="0.109375" style="25" customWidth="1"/>
    <col min="11775" max="11775" width="19" style="25" customWidth="1"/>
    <col min="11776" max="11776" width="7.109375" style="25" customWidth="1"/>
    <col min="11777" max="11777" width="41.109375" style="25" customWidth="1"/>
    <col min="11778" max="11779" width="9" style="25" customWidth="1"/>
    <col min="11780" max="11780" width="10.5546875" style="25" customWidth="1"/>
    <col min="11781" max="11781" width="9.44140625" style="25" customWidth="1"/>
    <col min="11782" max="11782" width="9.88671875" style="25" customWidth="1"/>
    <col min="11783" max="11783" width="10.5546875" style="25" customWidth="1"/>
    <col min="11784" max="11785" width="9.44140625" style="25" customWidth="1"/>
    <col min="11786" max="11786" width="10.5546875" style="25" customWidth="1"/>
    <col min="11787" max="11788" width="9" style="25" customWidth="1"/>
    <col min="11789" max="11789" width="10.5546875" style="25" customWidth="1"/>
    <col min="11790" max="11791" width="9.44140625" style="25" customWidth="1"/>
    <col min="11792" max="11792" width="10.5546875" style="25" customWidth="1"/>
    <col min="11793" max="11793" width="9.44140625" style="25" customWidth="1"/>
    <col min="11794" max="11794" width="9.88671875" style="25" customWidth="1"/>
    <col min="11795" max="11795" width="10.5546875" style="25" customWidth="1"/>
    <col min="11796" max="11796" width="9" style="25" customWidth="1"/>
    <col min="11797" max="11797" width="9.88671875" style="25" customWidth="1"/>
    <col min="11798" max="11798" width="12" style="25" customWidth="1"/>
    <col min="11799" max="12029" width="11.44140625" style="25"/>
    <col min="12030" max="12030" width="0.109375" style="25" customWidth="1"/>
    <col min="12031" max="12031" width="19" style="25" customWidth="1"/>
    <col min="12032" max="12032" width="7.109375" style="25" customWidth="1"/>
    <col min="12033" max="12033" width="41.109375" style="25" customWidth="1"/>
    <col min="12034" max="12035" width="9" style="25" customWidth="1"/>
    <col min="12036" max="12036" width="10.5546875" style="25" customWidth="1"/>
    <col min="12037" max="12037" width="9.44140625" style="25" customWidth="1"/>
    <col min="12038" max="12038" width="9.88671875" style="25" customWidth="1"/>
    <col min="12039" max="12039" width="10.5546875" style="25" customWidth="1"/>
    <col min="12040" max="12041" width="9.44140625" style="25" customWidth="1"/>
    <col min="12042" max="12042" width="10.5546875" style="25" customWidth="1"/>
    <col min="12043" max="12044" width="9" style="25" customWidth="1"/>
    <col min="12045" max="12045" width="10.5546875" style="25" customWidth="1"/>
    <col min="12046" max="12047" width="9.44140625" style="25" customWidth="1"/>
    <col min="12048" max="12048" width="10.5546875" style="25" customWidth="1"/>
    <col min="12049" max="12049" width="9.44140625" style="25" customWidth="1"/>
    <col min="12050" max="12050" width="9.88671875" style="25" customWidth="1"/>
    <col min="12051" max="12051" width="10.5546875" style="25" customWidth="1"/>
    <col min="12052" max="12052" width="9" style="25" customWidth="1"/>
    <col min="12053" max="12053" width="9.88671875" style="25" customWidth="1"/>
    <col min="12054" max="12054" width="12" style="25" customWidth="1"/>
    <col min="12055" max="12285" width="11.44140625" style="25"/>
    <col min="12286" max="12286" width="0.109375" style="25" customWidth="1"/>
    <col min="12287" max="12287" width="19" style="25" customWidth="1"/>
    <col min="12288" max="12288" width="7.109375" style="25" customWidth="1"/>
    <col min="12289" max="12289" width="41.109375" style="25" customWidth="1"/>
    <col min="12290" max="12291" width="9" style="25" customWidth="1"/>
    <col min="12292" max="12292" width="10.5546875" style="25" customWidth="1"/>
    <col min="12293" max="12293" width="9.44140625" style="25" customWidth="1"/>
    <col min="12294" max="12294" width="9.88671875" style="25" customWidth="1"/>
    <col min="12295" max="12295" width="10.5546875" style="25" customWidth="1"/>
    <col min="12296" max="12297" width="9.44140625" style="25" customWidth="1"/>
    <col min="12298" max="12298" width="10.5546875" style="25" customWidth="1"/>
    <col min="12299" max="12300" width="9" style="25" customWidth="1"/>
    <col min="12301" max="12301" width="10.5546875" style="25" customWidth="1"/>
    <col min="12302" max="12303" width="9.44140625" style="25" customWidth="1"/>
    <col min="12304" max="12304" width="10.5546875" style="25" customWidth="1"/>
    <col min="12305" max="12305" width="9.44140625" style="25" customWidth="1"/>
    <col min="12306" max="12306" width="9.88671875" style="25" customWidth="1"/>
    <col min="12307" max="12307" width="10.5546875" style="25" customWidth="1"/>
    <col min="12308" max="12308" width="9" style="25" customWidth="1"/>
    <col min="12309" max="12309" width="9.88671875" style="25" customWidth="1"/>
    <col min="12310" max="12310" width="12" style="25" customWidth="1"/>
    <col min="12311" max="12541" width="11.44140625" style="25"/>
    <col min="12542" max="12542" width="0.109375" style="25" customWidth="1"/>
    <col min="12543" max="12543" width="19" style="25" customWidth="1"/>
    <col min="12544" max="12544" width="7.109375" style="25" customWidth="1"/>
    <col min="12545" max="12545" width="41.109375" style="25" customWidth="1"/>
    <col min="12546" max="12547" width="9" style="25" customWidth="1"/>
    <col min="12548" max="12548" width="10.5546875" style="25" customWidth="1"/>
    <col min="12549" max="12549" width="9.44140625" style="25" customWidth="1"/>
    <col min="12550" max="12550" width="9.88671875" style="25" customWidth="1"/>
    <col min="12551" max="12551" width="10.5546875" style="25" customWidth="1"/>
    <col min="12552" max="12553" width="9.44140625" style="25" customWidth="1"/>
    <col min="12554" max="12554" width="10.5546875" style="25" customWidth="1"/>
    <col min="12555" max="12556" width="9" style="25" customWidth="1"/>
    <col min="12557" max="12557" width="10.5546875" style="25" customWidth="1"/>
    <col min="12558" max="12559" width="9.44140625" style="25" customWidth="1"/>
    <col min="12560" max="12560" width="10.5546875" style="25" customWidth="1"/>
    <col min="12561" max="12561" width="9.44140625" style="25" customWidth="1"/>
    <col min="12562" max="12562" width="9.88671875" style="25" customWidth="1"/>
    <col min="12563" max="12563" width="10.5546875" style="25" customWidth="1"/>
    <col min="12564" max="12564" width="9" style="25" customWidth="1"/>
    <col min="12565" max="12565" width="9.88671875" style="25" customWidth="1"/>
    <col min="12566" max="12566" width="12" style="25" customWidth="1"/>
    <col min="12567" max="12797" width="11.44140625" style="25"/>
    <col min="12798" max="12798" width="0.109375" style="25" customWidth="1"/>
    <col min="12799" max="12799" width="19" style="25" customWidth="1"/>
    <col min="12800" max="12800" width="7.109375" style="25" customWidth="1"/>
    <col min="12801" max="12801" width="41.109375" style="25" customWidth="1"/>
    <col min="12802" max="12803" width="9" style="25" customWidth="1"/>
    <col min="12804" max="12804" width="10.5546875" style="25" customWidth="1"/>
    <col min="12805" max="12805" width="9.44140625" style="25" customWidth="1"/>
    <col min="12806" max="12806" width="9.88671875" style="25" customWidth="1"/>
    <col min="12807" max="12807" width="10.5546875" style="25" customWidth="1"/>
    <col min="12808" max="12809" width="9.44140625" style="25" customWidth="1"/>
    <col min="12810" max="12810" width="10.5546875" style="25" customWidth="1"/>
    <col min="12811" max="12812" width="9" style="25" customWidth="1"/>
    <col min="12813" max="12813" width="10.5546875" style="25" customWidth="1"/>
    <col min="12814" max="12815" width="9.44140625" style="25" customWidth="1"/>
    <col min="12816" max="12816" width="10.5546875" style="25" customWidth="1"/>
    <col min="12817" max="12817" width="9.44140625" style="25" customWidth="1"/>
    <col min="12818" max="12818" width="9.88671875" style="25" customWidth="1"/>
    <col min="12819" max="12819" width="10.5546875" style="25" customWidth="1"/>
    <col min="12820" max="12820" width="9" style="25" customWidth="1"/>
    <col min="12821" max="12821" width="9.88671875" style="25" customWidth="1"/>
    <col min="12822" max="12822" width="12" style="25" customWidth="1"/>
    <col min="12823" max="13053" width="11.44140625" style="25"/>
    <col min="13054" max="13054" width="0.109375" style="25" customWidth="1"/>
    <col min="13055" max="13055" width="19" style="25" customWidth="1"/>
    <col min="13056" max="13056" width="7.109375" style="25" customWidth="1"/>
    <col min="13057" max="13057" width="41.109375" style="25" customWidth="1"/>
    <col min="13058" max="13059" width="9" style="25" customWidth="1"/>
    <col min="13060" max="13060" width="10.5546875" style="25" customWidth="1"/>
    <col min="13061" max="13061" width="9.44140625" style="25" customWidth="1"/>
    <col min="13062" max="13062" width="9.88671875" style="25" customWidth="1"/>
    <col min="13063" max="13063" width="10.5546875" style="25" customWidth="1"/>
    <col min="13064" max="13065" width="9.44140625" style="25" customWidth="1"/>
    <col min="13066" max="13066" width="10.5546875" style="25" customWidth="1"/>
    <col min="13067" max="13068" width="9" style="25" customWidth="1"/>
    <col min="13069" max="13069" width="10.5546875" style="25" customWidth="1"/>
    <col min="13070" max="13071" width="9.44140625" style="25" customWidth="1"/>
    <col min="13072" max="13072" width="10.5546875" style="25" customWidth="1"/>
    <col min="13073" max="13073" width="9.44140625" style="25" customWidth="1"/>
    <col min="13074" max="13074" width="9.88671875" style="25" customWidth="1"/>
    <col min="13075" max="13075" width="10.5546875" style="25" customWidth="1"/>
    <col min="13076" max="13076" width="9" style="25" customWidth="1"/>
    <col min="13077" max="13077" width="9.88671875" style="25" customWidth="1"/>
    <col min="13078" max="13078" width="12" style="25" customWidth="1"/>
    <col min="13079" max="13309" width="11.44140625" style="25"/>
    <col min="13310" max="13310" width="0.109375" style="25" customWidth="1"/>
    <col min="13311" max="13311" width="19" style="25" customWidth="1"/>
    <col min="13312" max="13312" width="7.109375" style="25" customWidth="1"/>
    <col min="13313" max="13313" width="41.109375" style="25" customWidth="1"/>
    <col min="13314" max="13315" width="9" style="25" customWidth="1"/>
    <col min="13316" max="13316" width="10.5546875" style="25" customWidth="1"/>
    <col min="13317" max="13317" width="9.44140625" style="25" customWidth="1"/>
    <col min="13318" max="13318" width="9.88671875" style="25" customWidth="1"/>
    <col min="13319" max="13319" width="10.5546875" style="25" customWidth="1"/>
    <col min="13320" max="13321" width="9.44140625" style="25" customWidth="1"/>
    <col min="13322" max="13322" width="10.5546875" style="25" customWidth="1"/>
    <col min="13323" max="13324" width="9" style="25" customWidth="1"/>
    <col min="13325" max="13325" width="10.5546875" style="25" customWidth="1"/>
    <col min="13326" max="13327" width="9.44140625" style="25" customWidth="1"/>
    <col min="13328" max="13328" width="10.5546875" style="25" customWidth="1"/>
    <col min="13329" max="13329" width="9.44140625" style="25" customWidth="1"/>
    <col min="13330" max="13330" width="9.88671875" style="25" customWidth="1"/>
    <col min="13331" max="13331" width="10.5546875" style="25" customWidth="1"/>
    <col min="13332" max="13332" width="9" style="25" customWidth="1"/>
    <col min="13333" max="13333" width="9.88671875" style="25" customWidth="1"/>
    <col min="13334" max="13334" width="12" style="25" customWidth="1"/>
    <col min="13335" max="13565" width="11.44140625" style="25"/>
    <col min="13566" max="13566" width="0.109375" style="25" customWidth="1"/>
    <col min="13567" max="13567" width="19" style="25" customWidth="1"/>
    <col min="13568" max="13568" width="7.109375" style="25" customWidth="1"/>
    <col min="13569" max="13569" width="41.109375" style="25" customWidth="1"/>
    <col min="13570" max="13571" width="9" style="25" customWidth="1"/>
    <col min="13572" max="13572" width="10.5546875" style="25" customWidth="1"/>
    <col min="13573" max="13573" width="9.44140625" style="25" customWidth="1"/>
    <col min="13574" max="13574" width="9.88671875" style="25" customWidth="1"/>
    <col min="13575" max="13575" width="10.5546875" style="25" customWidth="1"/>
    <col min="13576" max="13577" width="9.44140625" style="25" customWidth="1"/>
    <col min="13578" max="13578" width="10.5546875" style="25" customWidth="1"/>
    <col min="13579" max="13580" width="9" style="25" customWidth="1"/>
    <col min="13581" max="13581" width="10.5546875" style="25" customWidth="1"/>
    <col min="13582" max="13583" width="9.44140625" style="25" customWidth="1"/>
    <col min="13584" max="13584" width="10.5546875" style="25" customWidth="1"/>
    <col min="13585" max="13585" width="9.44140625" style="25" customWidth="1"/>
    <col min="13586" max="13586" width="9.88671875" style="25" customWidth="1"/>
    <col min="13587" max="13587" width="10.5546875" style="25" customWidth="1"/>
    <col min="13588" max="13588" width="9" style="25" customWidth="1"/>
    <col min="13589" max="13589" width="9.88671875" style="25" customWidth="1"/>
    <col min="13590" max="13590" width="12" style="25" customWidth="1"/>
    <col min="13591" max="13821" width="11.44140625" style="25"/>
    <col min="13822" max="13822" width="0.109375" style="25" customWidth="1"/>
    <col min="13823" max="13823" width="19" style="25" customWidth="1"/>
    <col min="13824" max="13824" width="7.109375" style="25" customWidth="1"/>
    <col min="13825" max="13825" width="41.109375" style="25" customWidth="1"/>
    <col min="13826" max="13827" width="9" style="25" customWidth="1"/>
    <col min="13828" max="13828" width="10.5546875" style="25" customWidth="1"/>
    <col min="13829" max="13829" width="9.44140625" style="25" customWidth="1"/>
    <col min="13830" max="13830" width="9.88671875" style="25" customWidth="1"/>
    <col min="13831" max="13831" width="10.5546875" style="25" customWidth="1"/>
    <col min="13832" max="13833" width="9.44140625" style="25" customWidth="1"/>
    <col min="13834" max="13834" width="10.5546875" style="25" customWidth="1"/>
    <col min="13835" max="13836" width="9" style="25" customWidth="1"/>
    <col min="13837" max="13837" width="10.5546875" style="25" customWidth="1"/>
    <col min="13838" max="13839" width="9.44140625" style="25" customWidth="1"/>
    <col min="13840" max="13840" width="10.5546875" style="25" customWidth="1"/>
    <col min="13841" max="13841" width="9.44140625" style="25" customWidth="1"/>
    <col min="13842" max="13842" width="9.88671875" style="25" customWidth="1"/>
    <col min="13843" max="13843" width="10.5546875" style="25" customWidth="1"/>
    <col min="13844" max="13844" width="9" style="25" customWidth="1"/>
    <col min="13845" max="13845" width="9.88671875" style="25" customWidth="1"/>
    <col min="13846" max="13846" width="12" style="25" customWidth="1"/>
    <col min="13847" max="14077" width="11.44140625" style="25"/>
    <col min="14078" max="14078" width="0.109375" style="25" customWidth="1"/>
    <col min="14079" max="14079" width="19" style="25" customWidth="1"/>
    <col min="14080" max="14080" width="7.109375" style="25" customWidth="1"/>
    <col min="14081" max="14081" width="41.109375" style="25" customWidth="1"/>
    <col min="14082" max="14083" width="9" style="25" customWidth="1"/>
    <col min="14084" max="14084" width="10.5546875" style="25" customWidth="1"/>
    <col min="14085" max="14085" width="9.44140625" style="25" customWidth="1"/>
    <col min="14086" max="14086" width="9.88671875" style="25" customWidth="1"/>
    <col min="14087" max="14087" width="10.5546875" style="25" customWidth="1"/>
    <col min="14088" max="14089" width="9.44140625" style="25" customWidth="1"/>
    <col min="14090" max="14090" width="10.5546875" style="25" customWidth="1"/>
    <col min="14091" max="14092" width="9" style="25" customWidth="1"/>
    <col min="14093" max="14093" width="10.5546875" style="25" customWidth="1"/>
    <col min="14094" max="14095" width="9.44140625" style="25" customWidth="1"/>
    <col min="14096" max="14096" width="10.5546875" style="25" customWidth="1"/>
    <col min="14097" max="14097" width="9.44140625" style="25" customWidth="1"/>
    <col min="14098" max="14098" width="9.88671875" style="25" customWidth="1"/>
    <col min="14099" max="14099" width="10.5546875" style="25" customWidth="1"/>
    <col min="14100" max="14100" width="9" style="25" customWidth="1"/>
    <col min="14101" max="14101" width="9.88671875" style="25" customWidth="1"/>
    <col min="14102" max="14102" width="12" style="25" customWidth="1"/>
    <col min="14103" max="14333" width="11.44140625" style="25"/>
    <col min="14334" max="14334" width="0.109375" style="25" customWidth="1"/>
    <col min="14335" max="14335" width="19" style="25" customWidth="1"/>
    <col min="14336" max="14336" width="7.109375" style="25" customWidth="1"/>
    <col min="14337" max="14337" width="41.109375" style="25" customWidth="1"/>
    <col min="14338" max="14339" width="9" style="25" customWidth="1"/>
    <col min="14340" max="14340" width="10.5546875" style="25" customWidth="1"/>
    <col min="14341" max="14341" width="9.44140625" style="25" customWidth="1"/>
    <col min="14342" max="14342" width="9.88671875" style="25" customWidth="1"/>
    <col min="14343" max="14343" width="10.5546875" style="25" customWidth="1"/>
    <col min="14344" max="14345" width="9.44140625" style="25" customWidth="1"/>
    <col min="14346" max="14346" width="10.5546875" style="25" customWidth="1"/>
    <col min="14347" max="14348" width="9" style="25" customWidth="1"/>
    <col min="14349" max="14349" width="10.5546875" style="25" customWidth="1"/>
    <col min="14350" max="14351" width="9.44140625" style="25" customWidth="1"/>
    <col min="14352" max="14352" width="10.5546875" style="25" customWidth="1"/>
    <col min="14353" max="14353" width="9.44140625" style="25" customWidth="1"/>
    <col min="14354" max="14354" width="9.88671875" style="25" customWidth="1"/>
    <col min="14355" max="14355" width="10.5546875" style="25" customWidth="1"/>
    <col min="14356" max="14356" width="9" style="25" customWidth="1"/>
    <col min="14357" max="14357" width="9.88671875" style="25" customWidth="1"/>
    <col min="14358" max="14358" width="12" style="25" customWidth="1"/>
    <col min="14359" max="14589" width="11.44140625" style="25"/>
    <col min="14590" max="14590" width="0.109375" style="25" customWidth="1"/>
    <col min="14591" max="14591" width="19" style="25" customWidth="1"/>
    <col min="14592" max="14592" width="7.109375" style="25" customWidth="1"/>
    <col min="14593" max="14593" width="41.109375" style="25" customWidth="1"/>
    <col min="14594" max="14595" width="9" style="25" customWidth="1"/>
    <col min="14596" max="14596" width="10.5546875" style="25" customWidth="1"/>
    <col min="14597" max="14597" width="9.44140625" style="25" customWidth="1"/>
    <col min="14598" max="14598" width="9.88671875" style="25" customWidth="1"/>
    <col min="14599" max="14599" width="10.5546875" style="25" customWidth="1"/>
    <col min="14600" max="14601" width="9.44140625" style="25" customWidth="1"/>
    <col min="14602" max="14602" width="10.5546875" style="25" customWidth="1"/>
    <col min="14603" max="14604" width="9" style="25" customWidth="1"/>
    <col min="14605" max="14605" width="10.5546875" style="25" customWidth="1"/>
    <col min="14606" max="14607" width="9.44140625" style="25" customWidth="1"/>
    <col min="14608" max="14608" width="10.5546875" style="25" customWidth="1"/>
    <col min="14609" max="14609" width="9.44140625" style="25" customWidth="1"/>
    <col min="14610" max="14610" width="9.88671875" style="25" customWidth="1"/>
    <col min="14611" max="14611" width="10.5546875" style="25" customWidth="1"/>
    <col min="14612" max="14612" width="9" style="25" customWidth="1"/>
    <col min="14613" max="14613" width="9.88671875" style="25" customWidth="1"/>
    <col min="14614" max="14614" width="12" style="25" customWidth="1"/>
    <col min="14615" max="14845" width="11.44140625" style="25"/>
    <col min="14846" max="14846" width="0.109375" style="25" customWidth="1"/>
    <col min="14847" max="14847" width="19" style="25" customWidth="1"/>
    <col min="14848" max="14848" width="7.109375" style="25" customWidth="1"/>
    <col min="14849" max="14849" width="41.109375" style="25" customWidth="1"/>
    <col min="14850" max="14851" width="9" style="25" customWidth="1"/>
    <col min="14852" max="14852" width="10.5546875" style="25" customWidth="1"/>
    <col min="14853" max="14853" width="9.44140625" style="25" customWidth="1"/>
    <col min="14854" max="14854" width="9.88671875" style="25" customWidth="1"/>
    <col min="14855" max="14855" width="10.5546875" style="25" customWidth="1"/>
    <col min="14856" max="14857" width="9.44140625" style="25" customWidth="1"/>
    <col min="14858" max="14858" width="10.5546875" style="25" customWidth="1"/>
    <col min="14859" max="14860" width="9" style="25" customWidth="1"/>
    <col min="14861" max="14861" width="10.5546875" style="25" customWidth="1"/>
    <col min="14862" max="14863" width="9.44140625" style="25" customWidth="1"/>
    <col min="14864" max="14864" width="10.5546875" style="25" customWidth="1"/>
    <col min="14865" max="14865" width="9.44140625" style="25" customWidth="1"/>
    <col min="14866" max="14866" width="9.88671875" style="25" customWidth="1"/>
    <col min="14867" max="14867" width="10.5546875" style="25" customWidth="1"/>
    <col min="14868" max="14868" width="9" style="25" customWidth="1"/>
    <col min="14869" max="14869" width="9.88671875" style="25" customWidth="1"/>
    <col min="14870" max="14870" width="12" style="25" customWidth="1"/>
    <col min="14871" max="15101" width="11.44140625" style="25"/>
    <col min="15102" max="15102" width="0.109375" style="25" customWidth="1"/>
    <col min="15103" max="15103" width="19" style="25" customWidth="1"/>
    <col min="15104" max="15104" width="7.109375" style="25" customWidth="1"/>
    <col min="15105" max="15105" width="41.109375" style="25" customWidth="1"/>
    <col min="15106" max="15107" width="9" style="25" customWidth="1"/>
    <col min="15108" max="15108" width="10.5546875" style="25" customWidth="1"/>
    <col min="15109" max="15109" width="9.44140625" style="25" customWidth="1"/>
    <col min="15110" max="15110" width="9.88671875" style="25" customWidth="1"/>
    <col min="15111" max="15111" width="10.5546875" style="25" customWidth="1"/>
    <col min="15112" max="15113" width="9.44140625" style="25" customWidth="1"/>
    <col min="15114" max="15114" width="10.5546875" style="25" customWidth="1"/>
    <col min="15115" max="15116" width="9" style="25" customWidth="1"/>
    <col min="15117" max="15117" width="10.5546875" style="25" customWidth="1"/>
    <col min="15118" max="15119" width="9.44140625" style="25" customWidth="1"/>
    <col min="15120" max="15120" width="10.5546875" style="25" customWidth="1"/>
    <col min="15121" max="15121" width="9.44140625" style="25" customWidth="1"/>
    <col min="15122" max="15122" width="9.88671875" style="25" customWidth="1"/>
    <col min="15123" max="15123" width="10.5546875" style="25" customWidth="1"/>
    <col min="15124" max="15124" width="9" style="25" customWidth="1"/>
    <col min="15125" max="15125" width="9.88671875" style="25" customWidth="1"/>
    <col min="15126" max="15126" width="12" style="25" customWidth="1"/>
    <col min="15127" max="15357" width="11.44140625" style="25"/>
    <col min="15358" max="15358" width="0.109375" style="25" customWidth="1"/>
    <col min="15359" max="15359" width="19" style="25" customWidth="1"/>
    <col min="15360" max="15360" width="7.109375" style="25" customWidth="1"/>
    <col min="15361" max="15361" width="41.109375" style="25" customWidth="1"/>
    <col min="15362" max="15363" width="9" style="25" customWidth="1"/>
    <col min="15364" max="15364" width="10.5546875" style="25" customWidth="1"/>
    <col min="15365" max="15365" width="9.44140625" style="25" customWidth="1"/>
    <col min="15366" max="15366" width="9.88671875" style="25" customWidth="1"/>
    <col min="15367" max="15367" width="10.5546875" style="25" customWidth="1"/>
    <col min="15368" max="15369" width="9.44140625" style="25" customWidth="1"/>
    <col min="15370" max="15370" width="10.5546875" style="25" customWidth="1"/>
    <col min="15371" max="15372" width="9" style="25" customWidth="1"/>
    <col min="15373" max="15373" width="10.5546875" style="25" customWidth="1"/>
    <col min="15374" max="15375" width="9.44140625" style="25" customWidth="1"/>
    <col min="15376" max="15376" width="10.5546875" style="25" customWidth="1"/>
    <col min="15377" max="15377" width="9.44140625" style="25" customWidth="1"/>
    <col min="15378" max="15378" width="9.88671875" style="25" customWidth="1"/>
    <col min="15379" max="15379" width="10.5546875" style="25" customWidth="1"/>
    <col min="15380" max="15380" width="9" style="25" customWidth="1"/>
    <col min="15381" max="15381" width="9.88671875" style="25" customWidth="1"/>
    <col min="15382" max="15382" width="12" style="25" customWidth="1"/>
    <col min="15383" max="15613" width="11.44140625" style="25"/>
    <col min="15614" max="15614" width="0.109375" style="25" customWidth="1"/>
    <col min="15615" max="15615" width="19" style="25" customWidth="1"/>
    <col min="15616" max="15616" width="7.109375" style="25" customWidth="1"/>
    <col min="15617" max="15617" width="41.109375" style="25" customWidth="1"/>
    <col min="15618" max="15619" width="9" style="25" customWidth="1"/>
    <col min="15620" max="15620" width="10.5546875" style="25" customWidth="1"/>
    <col min="15621" max="15621" width="9.44140625" style="25" customWidth="1"/>
    <col min="15622" max="15622" width="9.88671875" style="25" customWidth="1"/>
    <col min="15623" max="15623" width="10.5546875" style="25" customWidth="1"/>
    <col min="15624" max="15625" width="9.44140625" style="25" customWidth="1"/>
    <col min="15626" max="15626" width="10.5546875" style="25" customWidth="1"/>
    <col min="15627" max="15628" width="9" style="25" customWidth="1"/>
    <col min="15629" max="15629" width="10.5546875" style="25" customWidth="1"/>
    <col min="15630" max="15631" width="9.44140625" style="25" customWidth="1"/>
    <col min="15632" max="15632" width="10.5546875" style="25" customWidth="1"/>
    <col min="15633" max="15633" width="9.44140625" style="25" customWidth="1"/>
    <col min="15634" max="15634" width="9.88671875" style="25" customWidth="1"/>
    <col min="15635" max="15635" width="10.5546875" style="25" customWidth="1"/>
    <col min="15636" max="15636" width="9" style="25" customWidth="1"/>
    <col min="15637" max="15637" width="9.88671875" style="25" customWidth="1"/>
    <col min="15638" max="15638" width="12" style="25" customWidth="1"/>
    <col min="15639" max="15869" width="11.44140625" style="25"/>
    <col min="15870" max="15870" width="0.109375" style="25" customWidth="1"/>
    <col min="15871" max="15871" width="19" style="25" customWidth="1"/>
    <col min="15872" max="15872" width="7.109375" style="25" customWidth="1"/>
    <col min="15873" max="15873" width="41.109375" style="25" customWidth="1"/>
    <col min="15874" max="15875" width="9" style="25" customWidth="1"/>
    <col min="15876" max="15876" width="10.5546875" style="25" customWidth="1"/>
    <col min="15877" max="15877" width="9.44140625" style="25" customWidth="1"/>
    <col min="15878" max="15878" width="9.88671875" style="25" customWidth="1"/>
    <col min="15879" max="15879" width="10.5546875" style="25" customWidth="1"/>
    <col min="15880" max="15881" width="9.44140625" style="25" customWidth="1"/>
    <col min="15882" max="15882" width="10.5546875" style="25" customWidth="1"/>
    <col min="15883" max="15884" width="9" style="25" customWidth="1"/>
    <col min="15885" max="15885" width="10.5546875" style="25" customWidth="1"/>
    <col min="15886" max="15887" width="9.44140625" style="25" customWidth="1"/>
    <col min="15888" max="15888" width="10.5546875" style="25" customWidth="1"/>
    <col min="15889" max="15889" width="9.44140625" style="25" customWidth="1"/>
    <col min="15890" max="15890" width="9.88671875" style="25" customWidth="1"/>
    <col min="15891" max="15891" width="10.5546875" style="25" customWidth="1"/>
    <col min="15892" max="15892" width="9" style="25" customWidth="1"/>
    <col min="15893" max="15893" width="9.88671875" style="25" customWidth="1"/>
    <col min="15894" max="15894" width="12" style="25" customWidth="1"/>
    <col min="15895" max="16125" width="11.44140625" style="25"/>
    <col min="16126" max="16126" width="0.109375" style="25" customWidth="1"/>
    <col min="16127" max="16127" width="19" style="25" customWidth="1"/>
    <col min="16128" max="16128" width="7.109375" style="25" customWidth="1"/>
    <col min="16129" max="16129" width="41.109375" style="25" customWidth="1"/>
    <col min="16130" max="16131" width="9" style="25" customWidth="1"/>
    <col min="16132" max="16132" width="10.5546875" style="25" customWidth="1"/>
    <col min="16133" max="16133" width="9.44140625" style="25" customWidth="1"/>
    <col min="16134" max="16134" width="9.88671875" style="25" customWidth="1"/>
    <col min="16135" max="16135" width="10.5546875" style="25" customWidth="1"/>
    <col min="16136" max="16137" width="9.44140625" style="25" customWidth="1"/>
    <col min="16138" max="16138" width="10.5546875" style="25" customWidth="1"/>
    <col min="16139" max="16140" width="9" style="25" customWidth="1"/>
    <col min="16141" max="16141" width="10.5546875" style="25" customWidth="1"/>
    <col min="16142" max="16143" width="9.44140625" style="25" customWidth="1"/>
    <col min="16144" max="16144" width="10.5546875" style="25" customWidth="1"/>
    <col min="16145" max="16145" width="9.44140625" style="25" customWidth="1"/>
    <col min="16146" max="16146" width="9.88671875" style="25" customWidth="1"/>
    <col min="16147" max="16147" width="10.5546875" style="25" customWidth="1"/>
    <col min="16148" max="16148" width="9" style="25" customWidth="1"/>
    <col min="16149" max="16149" width="9.88671875" style="25" customWidth="1"/>
    <col min="16150" max="16150" width="12" style="25" customWidth="1"/>
    <col min="16151" max="16384" width="11.44140625" style="25"/>
  </cols>
  <sheetData>
    <row r="1" spans="1:61" ht="32.25" customHeight="1" x14ac:dyDescent="0.25">
      <c r="A1" s="26" t="s">
        <v>43</v>
      </c>
      <c r="B1" s="26"/>
    </row>
    <row r="2" spans="1:61" ht="42.75" customHeight="1" x14ac:dyDescent="0.25">
      <c r="A2" s="27" t="s">
        <v>44</v>
      </c>
    </row>
    <row r="3" spans="1:61" ht="18" customHeight="1" x14ac:dyDescent="0.25">
      <c r="A3" s="5727" t="s">
        <v>45</v>
      </c>
      <c r="B3" s="5724">
        <v>2003</v>
      </c>
      <c r="C3" s="5725"/>
      <c r="D3" s="5726"/>
      <c r="E3" s="5724">
        <v>2004</v>
      </c>
      <c r="F3" s="5725"/>
      <c r="G3" s="5726"/>
      <c r="H3" s="5724">
        <v>2005</v>
      </c>
      <c r="I3" s="5725"/>
      <c r="J3" s="5726"/>
      <c r="K3" s="5724">
        <v>2006</v>
      </c>
      <c r="L3" s="5725"/>
      <c r="M3" s="5726"/>
      <c r="N3" s="5724">
        <v>2007</v>
      </c>
      <c r="O3" s="5725"/>
      <c r="P3" s="5726"/>
      <c r="Q3" s="5724">
        <v>2008</v>
      </c>
      <c r="R3" s="5725"/>
      <c r="S3" s="5726"/>
      <c r="T3" s="5724">
        <v>2009</v>
      </c>
      <c r="U3" s="5725"/>
      <c r="V3" s="5726"/>
      <c r="W3" s="5724">
        <v>2010</v>
      </c>
      <c r="X3" s="5725"/>
      <c r="Y3" s="5726"/>
      <c r="Z3" s="5724">
        <v>2011</v>
      </c>
      <c r="AA3" s="5725"/>
      <c r="AB3" s="5726"/>
      <c r="AC3" s="5724">
        <v>2012</v>
      </c>
      <c r="AD3" s="5725"/>
      <c r="AE3" s="5726"/>
      <c r="AF3" s="5724">
        <v>2013</v>
      </c>
      <c r="AG3" s="5725"/>
      <c r="AH3" s="5726"/>
      <c r="AI3" s="5724">
        <v>2014</v>
      </c>
      <c r="AJ3" s="5725"/>
      <c r="AK3" s="5726"/>
      <c r="AL3" s="5724">
        <v>2015</v>
      </c>
      <c r="AM3" s="5725"/>
      <c r="AN3" s="5726"/>
      <c r="AO3" s="5724">
        <v>2016</v>
      </c>
      <c r="AP3" s="5725"/>
      <c r="AQ3" s="5726"/>
      <c r="AR3" s="5724">
        <v>2017</v>
      </c>
      <c r="AS3" s="5725"/>
      <c r="AT3" s="5726"/>
      <c r="AU3" s="5724">
        <v>2018</v>
      </c>
      <c r="AV3" s="5725"/>
      <c r="AW3" s="5726"/>
      <c r="AX3" s="5724">
        <v>2019</v>
      </c>
      <c r="AY3" s="5725"/>
      <c r="AZ3" s="5726"/>
      <c r="BA3" s="5724">
        <v>2020</v>
      </c>
      <c r="BB3" s="5725"/>
      <c r="BC3" s="5726"/>
      <c r="BD3" s="5724">
        <v>2021</v>
      </c>
      <c r="BE3" s="5725"/>
      <c r="BF3" s="5726"/>
      <c r="BG3" s="5724">
        <v>2022</v>
      </c>
      <c r="BH3" s="5725"/>
      <c r="BI3" s="5726"/>
    </row>
    <row r="4" spans="1:61" s="31" customFormat="1" ht="15.6" x14ac:dyDescent="0.25">
      <c r="A4" s="5728"/>
      <c r="B4" s="28" t="s">
        <v>46</v>
      </c>
      <c r="C4" s="29" t="s">
        <v>47</v>
      </c>
      <c r="D4" s="30" t="s">
        <v>48</v>
      </c>
      <c r="E4" s="28" t="s">
        <v>46</v>
      </c>
      <c r="F4" s="29" t="s">
        <v>47</v>
      </c>
      <c r="G4" s="30" t="s">
        <v>48</v>
      </c>
      <c r="H4" s="28" t="s">
        <v>46</v>
      </c>
      <c r="I4" s="29" t="s">
        <v>47</v>
      </c>
      <c r="J4" s="30" t="s">
        <v>48</v>
      </c>
      <c r="K4" s="28" t="s">
        <v>46</v>
      </c>
      <c r="L4" s="29" t="s">
        <v>47</v>
      </c>
      <c r="M4" s="30" t="s">
        <v>48</v>
      </c>
      <c r="N4" s="28" t="s">
        <v>46</v>
      </c>
      <c r="O4" s="29" t="s">
        <v>47</v>
      </c>
      <c r="P4" s="30" t="s">
        <v>48</v>
      </c>
      <c r="Q4" s="28" t="s">
        <v>46</v>
      </c>
      <c r="R4" s="29" t="s">
        <v>47</v>
      </c>
      <c r="S4" s="30" t="s">
        <v>48</v>
      </c>
      <c r="T4" s="28" t="s">
        <v>46</v>
      </c>
      <c r="U4" s="29" t="s">
        <v>47</v>
      </c>
      <c r="V4" s="30" t="s">
        <v>48</v>
      </c>
      <c r="W4" s="28" t="s">
        <v>46</v>
      </c>
      <c r="X4" s="29" t="s">
        <v>47</v>
      </c>
      <c r="Y4" s="30" t="s">
        <v>48</v>
      </c>
      <c r="Z4" s="28" t="s">
        <v>46</v>
      </c>
      <c r="AA4" s="29" t="s">
        <v>47</v>
      </c>
      <c r="AB4" s="30" t="s">
        <v>48</v>
      </c>
      <c r="AC4" s="28" t="s">
        <v>46</v>
      </c>
      <c r="AD4" s="29" t="s">
        <v>47</v>
      </c>
      <c r="AE4" s="30" t="s">
        <v>48</v>
      </c>
      <c r="AF4" s="28" t="s">
        <v>46</v>
      </c>
      <c r="AG4" s="29" t="s">
        <v>47</v>
      </c>
      <c r="AH4" s="30" t="s">
        <v>48</v>
      </c>
      <c r="AI4" s="28" t="s">
        <v>46</v>
      </c>
      <c r="AJ4" s="29" t="s">
        <v>47</v>
      </c>
      <c r="AK4" s="30" t="s">
        <v>48</v>
      </c>
      <c r="AL4" s="28" t="s">
        <v>46</v>
      </c>
      <c r="AM4" s="29" t="s">
        <v>47</v>
      </c>
      <c r="AN4" s="30" t="s">
        <v>48</v>
      </c>
      <c r="AO4" s="28" t="s">
        <v>46</v>
      </c>
      <c r="AP4" s="29" t="s">
        <v>47</v>
      </c>
      <c r="AQ4" s="30" t="s">
        <v>48</v>
      </c>
      <c r="AR4" s="28" t="s">
        <v>46</v>
      </c>
      <c r="AS4" s="29" t="s">
        <v>47</v>
      </c>
      <c r="AT4" s="30" t="s">
        <v>48</v>
      </c>
      <c r="AU4" s="28" t="s">
        <v>46</v>
      </c>
      <c r="AV4" s="29" t="s">
        <v>47</v>
      </c>
      <c r="AW4" s="30" t="s">
        <v>48</v>
      </c>
      <c r="AX4" s="28" t="s">
        <v>46</v>
      </c>
      <c r="AY4" s="29" t="s">
        <v>47</v>
      </c>
      <c r="AZ4" s="30" t="s">
        <v>48</v>
      </c>
      <c r="BA4" s="28" t="s">
        <v>46</v>
      </c>
      <c r="BB4" s="29" t="s">
        <v>47</v>
      </c>
      <c r="BC4" s="30" t="s">
        <v>48</v>
      </c>
      <c r="BD4" s="28" t="s">
        <v>46</v>
      </c>
      <c r="BE4" s="29" t="s">
        <v>47</v>
      </c>
      <c r="BF4" s="30" t="s">
        <v>48</v>
      </c>
      <c r="BG4" s="28" t="s">
        <v>46</v>
      </c>
      <c r="BH4" s="29" t="s">
        <v>47</v>
      </c>
      <c r="BI4" s="30" t="s">
        <v>48</v>
      </c>
    </row>
    <row r="5" spans="1:61" s="38" customFormat="1" ht="15" customHeight="1" x14ac:dyDescent="0.3">
      <c r="A5" s="32" t="s">
        <v>49</v>
      </c>
      <c r="B5" s="33">
        <v>67</v>
      </c>
      <c r="C5" s="34">
        <v>108</v>
      </c>
      <c r="D5" s="35">
        <v>175</v>
      </c>
      <c r="E5" s="33">
        <v>59</v>
      </c>
      <c r="F5" s="34">
        <v>169</v>
      </c>
      <c r="G5" s="35">
        <v>228</v>
      </c>
      <c r="H5" s="33">
        <v>63</v>
      </c>
      <c r="I5" s="34">
        <v>221</v>
      </c>
      <c r="J5" s="35">
        <v>284</v>
      </c>
      <c r="K5" s="33">
        <v>96</v>
      </c>
      <c r="L5" s="34">
        <v>154</v>
      </c>
      <c r="M5" s="35">
        <v>250</v>
      </c>
      <c r="N5" s="33">
        <v>90</v>
      </c>
      <c r="O5" s="34">
        <v>262</v>
      </c>
      <c r="P5" s="35">
        <v>352</v>
      </c>
      <c r="Q5" s="33">
        <v>136</v>
      </c>
      <c r="R5" s="34">
        <v>392</v>
      </c>
      <c r="S5" s="35">
        <v>528</v>
      </c>
      <c r="T5" s="33">
        <v>165</v>
      </c>
      <c r="U5" s="34">
        <v>422</v>
      </c>
      <c r="V5" s="35">
        <v>587</v>
      </c>
      <c r="W5" s="33">
        <v>207</v>
      </c>
      <c r="X5" s="34">
        <v>562</v>
      </c>
      <c r="Y5" s="35">
        <f>SUM(W5:X5)</f>
        <v>769</v>
      </c>
      <c r="Z5" s="36">
        <v>238</v>
      </c>
      <c r="AA5" s="37">
        <v>599</v>
      </c>
      <c r="AB5" s="35">
        <f>SUM(Z5:AA5)</f>
        <v>837</v>
      </c>
      <c r="AC5" s="36">
        <v>250</v>
      </c>
      <c r="AD5" s="37">
        <v>628</v>
      </c>
      <c r="AE5" s="35">
        <f>SUM(AC5:AD5)</f>
        <v>878</v>
      </c>
      <c r="AF5" s="36">
        <v>269</v>
      </c>
      <c r="AG5" s="37">
        <v>633</v>
      </c>
      <c r="AH5" s="35">
        <f>SUM(AF5:AG5)</f>
        <v>902</v>
      </c>
      <c r="AI5" s="36">
        <v>237</v>
      </c>
      <c r="AJ5" s="37">
        <v>763</v>
      </c>
      <c r="AK5" s="35">
        <f>SUM(AI5:AJ5)</f>
        <v>1000</v>
      </c>
      <c r="AL5" s="36">
        <v>257</v>
      </c>
      <c r="AM5" s="37">
        <v>710</v>
      </c>
      <c r="AN5" s="35">
        <f>SUM(AL5:AM5)</f>
        <v>967</v>
      </c>
      <c r="AO5" s="36">
        <v>261</v>
      </c>
      <c r="AP5" s="37">
        <v>746</v>
      </c>
      <c r="AQ5" s="35">
        <f>SUM(AO5:AP5)</f>
        <v>1007</v>
      </c>
      <c r="AR5" s="36">
        <v>232</v>
      </c>
      <c r="AS5" s="37">
        <v>624</v>
      </c>
      <c r="AT5" s="35">
        <f>SUM(AR5:AS5)</f>
        <v>856</v>
      </c>
      <c r="AU5" s="36">
        <v>186</v>
      </c>
      <c r="AV5" s="37">
        <v>574</v>
      </c>
      <c r="AW5" s="35">
        <f>SUM(AU5:AV5)</f>
        <v>760</v>
      </c>
      <c r="AX5" s="36">
        <v>342</v>
      </c>
      <c r="AY5" s="37">
        <v>515</v>
      </c>
      <c r="AZ5" s="35">
        <f>SUM(AX5:AY5)</f>
        <v>857</v>
      </c>
      <c r="BA5" s="36">
        <v>248</v>
      </c>
      <c r="BB5" s="37">
        <v>298</v>
      </c>
      <c r="BC5" s="35">
        <f>SUM(BA5:BB5)</f>
        <v>546</v>
      </c>
      <c r="BD5" s="36">
        <v>204</v>
      </c>
      <c r="BE5" s="37">
        <v>194</v>
      </c>
      <c r="BF5" s="35">
        <f>SUM(BD5:BE5)</f>
        <v>398</v>
      </c>
      <c r="BG5" s="36">
        <v>173</v>
      </c>
      <c r="BH5" s="37">
        <v>207</v>
      </c>
      <c r="BI5" s="35">
        <f>SUM(BG5:BH5)</f>
        <v>380</v>
      </c>
    </row>
    <row r="6" spans="1:61" s="38" customFormat="1" ht="15" customHeight="1" x14ac:dyDescent="0.3">
      <c r="A6" s="39" t="s">
        <v>50</v>
      </c>
      <c r="B6" s="40">
        <v>91</v>
      </c>
      <c r="C6" s="41">
        <v>252</v>
      </c>
      <c r="D6" s="42">
        <v>343</v>
      </c>
      <c r="E6" s="40">
        <v>85</v>
      </c>
      <c r="F6" s="41">
        <v>309</v>
      </c>
      <c r="G6" s="42">
        <v>394</v>
      </c>
      <c r="H6" s="40">
        <v>123</v>
      </c>
      <c r="I6" s="41">
        <v>307</v>
      </c>
      <c r="J6" s="42">
        <v>430</v>
      </c>
      <c r="K6" s="40">
        <v>137</v>
      </c>
      <c r="L6" s="41">
        <v>307</v>
      </c>
      <c r="M6" s="42">
        <v>444</v>
      </c>
      <c r="N6" s="40">
        <v>135</v>
      </c>
      <c r="O6" s="41">
        <v>372</v>
      </c>
      <c r="P6" s="42">
        <v>507</v>
      </c>
      <c r="Q6" s="40">
        <v>179</v>
      </c>
      <c r="R6" s="41">
        <v>404</v>
      </c>
      <c r="S6" s="42">
        <v>583</v>
      </c>
      <c r="T6" s="40">
        <v>188</v>
      </c>
      <c r="U6" s="41">
        <v>533</v>
      </c>
      <c r="V6" s="42">
        <v>721</v>
      </c>
      <c r="W6" s="40">
        <v>234</v>
      </c>
      <c r="X6" s="41">
        <v>714</v>
      </c>
      <c r="Y6" s="42">
        <f t="shared" ref="Y6:Y68" si="0">SUM(W6:X6)</f>
        <v>948</v>
      </c>
      <c r="Z6" s="43">
        <v>318</v>
      </c>
      <c r="AA6" s="44">
        <v>663</v>
      </c>
      <c r="AB6" s="42">
        <f t="shared" ref="AB6:AB68" si="1">SUM(Z6:AA6)</f>
        <v>981</v>
      </c>
      <c r="AC6" s="43">
        <v>324</v>
      </c>
      <c r="AD6" s="44">
        <v>831</v>
      </c>
      <c r="AE6" s="42">
        <f t="shared" ref="AE6:AE82" si="2">SUM(AC6:AD6)</f>
        <v>1155</v>
      </c>
      <c r="AF6" s="43">
        <v>294</v>
      </c>
      <c r="AG6" s="44">
        <v>866</v>
      </c>
      <c r="AH6" s="42">
        <f t="shared" ref="AH6:AH14" si="3">SUM(AF6:AG6)</f>
        <v>1160</v>
      </c>
      <c r="AI6" s="43">
        <v>259</v>
      </c>
      <c r="AJ6" s="44">
        <v>960</v>
      </c>
      <c r="AK6" s="42">
        <f t="shared" ref="AK6:AK14" si="4">SUM(AI6:AJ6)</f>
        <v>1219</v>
      </c>
      <c r="AL6" s="43">
        <v>343</v>
      </c>
      <c r="AM6" s="44">
        <v>1048</v>
      </c>
      <c r="AN6" s="42">
        <f t="shared" ref="AN6:AN14" si="5">SUM(AL6:AM6)</f>
        <v>1391</v>
      </c>
      <c r="AO6" s="43">
        <v>338</v>
      </c>
      <c r="AP6" s="44">
        <v>1039</v>
      </c>
      <c r="AQ6" s="42">
        <f t="shared" ref="AQ6:AQ14" si="6">SUM(AO6:AP6)</f>
        <v>1377</v>
      </c>
      <c r="AR6" s="43">
        <v>339</v>
      </c>
      <c r="AS6" s="44">
        <v>1068</v>
      </c>
      <c r="AT6" s="42">
        <f t="shared" ref="AT6:AT14" si="7">SUM(AR6:AS6)</f>
        <v>1407</v>
      </c>
      <c r="AU6" s="43">
        <v>347</v>
      </c>
      <c r="AV6" s="44">
        <v>1101</v>
      </c>
      <c r="AW6" s="42">
        <f t="shared" ref="AW6:AW14" si="8">SUM(AU6:AV6)</f>
        <v>1448</v>
      </c>
      <c r="AX6" s="43">
        <v>441</v>
      </c>
      <c r="AY6" s="44">
        <v>661</v>
      </c>
      <c r="AZ6" s="42">
        <f t="shared" ref="AZ6:AZ14" si="9">SUM(AX6:AY6)</f>
        <v>1102</v>
      </c>
      <c r="BA6" s="43">
        <v>370</v>
      </c>
      <c r="BB6" s="44">
        <v>464</v>
      </c>
      <c r="BC6" s="42">
        <f t="shared" ref="BC6:BC14" si="10">SUM(BA6:BB6)</f>
        <v>834</v>
      </c>
      <c r="BD6" s="43">
        <v>412</v>
      </c>
      <c r="BE6" s="44">
        <v>475</v>
      </c>
      <c r="BF6" s="42">
        <f t="shared" ref="BF6:BF14" si="11">SUM(BD6:BE6)</f>
        <v>887</v>
      </c>
      <c r="BG6" s="43">
        <v>408</v>
      </c>
      <c r="BH6" s="44">
        <v>561</v>
      </c>
      <c r="BI6" s="42">
        <f t="shared" ref="BI6:BI14" si="12">SUM(BG6:BH6)</f>
        <v>969</v>
      </c>
    </row>
    <row r="7" spans="1:61" s="38" customFormat="1" ht="15" customHeight="1" x14ac:dyDescent="0.3">
      <c r="A7" s="39" t="s">
        <v>51</v>
      </c>
      <c r="B7" s="40">
        <v>67</v>
      </c>
      <c r="C7" s="41">
        <v>137</v>
      </c>
      <c r="D7" s="42">
        <v>204</v>
      </c>
      <c r="E7" s="40">
        <v>71</v>
      </c>
      <c r="F7" s="41">
        <v>164</v>
      </c>
      <c r="G7" s="42">
        <v>235</v>
      </c>
      <c r="H7" s="40">
        <v>54</v>
      </c>
      <c r="I7" s="41">
        <v>137</v>
      </c>
      <c r="J7" s="42">
        <v>191</v>
      </c>
      <c r="K7" s="40">
        <v>60</v>
      </c>
      <c r="L7" s="41">
        <v>117</v>
      </c>
      <c r="M7" s="42">
        <v>177</v>
      </c>
      <c r="N7" s="40">
        <v>72</v>
      </c>
      <c r="O7" s="41">
        <v>166</v>
      </c>
      <c r="P7" s="42">
        <v>238</v>
      </c>
      <c r="Q7" s="40">
        <v>73</v>
      </c>
      <c r="R7" s="41">
        <v>161</v>
      </c>
      <c r="S7" s="42">
        <v>234</v>
      </c>
      <c r="T7" s="40">
        <v>103</v>
      </c>
      <c r="U7" s="41">
        <v>187</v>
      </c>
      <c r="V7" s="42">
        <v>290</v>
      </c>
      <c r="W7" s="40">
        <v>78</v>
      </c>
      <c r="X7" s="41">
        <v>197</v>
      </c>
      <c r="Y7" s="42">
        <f t="shared" si="0"/>
        <v>275</v>
      </c>
      <c r="Z7" s="43">
        <v>112</v>
      </c>
      <c r="AA7" s="44">
        <v>192</v>
      </c>
      <c r="AB7" s="42">
        <f t="shared" si="1"/>
        <v>304</v>
      </c>
      <c r="AC7" s="43">
        <v>107</v>
      </c>
      <c r="AD7" s="44">
        <v>234</v>
      </c>
      <c r="AE7" s="42">
        <f t="shared" si="2"/>
        <v>341</v>
      </c>
      <c r="AF7" s="43">
        <v>91</v>
      </c>
      <c r="AG7" s="44">
        <v>211</v>
      </c>
      <c r="AH7" s="42">
        <f t="shared" si="3"/>
        <v>302</v>
      </c>
      <c r="AI7" s="43">
        <v>90</v>
      </c>
      <c r="AJ7" s="44">
        <v>227</v>
      </c>
      <c r="AK7" s="42">
        <f t="shared" si="4"/>
        <v>317</v>
      </c>
      <c r="AL7" s="43">
        <v>102</v>
      </c>
      <c r="AM7" s="44">
        <v>222</v>
      </c>
      <c r="AN7" s="42">
        <f t="shared" si="5"/>
        <v>324</v>
      </c>
      <c r="AO7" s="43">
        <v>96</v>
      </c>
      <c r="AP7" s="44">
        <v>244</v>
      </c>
      <c r="AQ7" s="42">
        <f t="shared" si="6"/>
        <v>340</v>
      </c>
      <c r="AR7" s="43">
        <v>127</v>
      </c>
      <c r="AS7" s="44">
        <v>241</v>
      </c>
      <c r="AT7" s="42">
        <f t="shared" si="7"/>
        <v>368</v>
      </c>
      <c r="AU7" s="43">
        <v>125</v>
      </c>
      <c r="AV7" s="44">
        <v>280</v>
      </c>
      <c r="AW7" s="42">
        <f t="shared" si="8"/>
        <v>405</v>
      </c>
      <c r="AX7" s="43">
        <v>138</v>
      </c>
      <c r="AY7" s="44">
        <v>210</v>
      </c>
      <c r="AZ7" s="42">
        <f t="shared" si="9"/>
        <v>348</v>
      </c>
      <c r="BA7" s="43">
        <v>121</v>
      </c>
      <c r="BB7" s="44">
        <v>147</v>
      </c>
      <c r="BC7" s="42">
        <f t="shared" si="10"/>
        <v>268</v>
      </c>
      <c r="BD7" s="43">
        <v>115</v>
      </c>
      <c r="BE7" s="44">
        <v>124</v>
      </c>
      <c r="BF7" s="42">
        <f t="shared" si="11"/>
        <v>239</v>
      </c>
      <c r="BG7" s="43">
        <v>127</v>
      </c>
      <c r="BH7" s="44">
        <v>144</v>
      </c>
      <c r="BI7" s="42">
        <f t="shared" si="12"/>
        <v>271</v>
      </c>
    </row>
    <row r="8" spans="1:61" s="38" customFormat="1" ht="15" customHeight="1" x14ac:dyDescent="0.3">
      <c r="A8" s="39" t="s">
        <v>52</v>
      </c>
      <c r="B8" s="40">
        <v>24</v>
      </c>
      <c r="C8" s="41">
        <v>56</v>
      </c>
      <c r="D8" s="42">
        <v>80</v>
      </c>
      <c r="E8" s="40">
        <v>25</v>
      </c>
      <c r="F8" s="41">
        <v>72</v>
      </c>
      <c r="G8" s="42">
        <v>97</v>
      </c>
      <c r="H8" s="40">
        <v>43</v>
      </c>
      <c r="I8" s="41">
        <v>79</v>
      </c>
      <c r="J8" s="42">
        <v>122</v>
      </c>
      <c r="K8" s="40">
        <v>25</v>
      </c>
      <c r="L8" s="41">
        <v>60</v>
      </c>
      <c r="M8" s="42">
        <v>85</v>
      </c>
      <c r="N8" s="40">
        <v>24</v>
      </c>
      <c r="O8" s="41">
        <v>68</v>
      </c>
      <c r="P8" s="42">
        <v>92</v>
      </c>
      <c r="Q8" s="40">
        <v>33</v>
      </c>
      <c r="R8" s="41">
        <v>79</v>
      </c>
      <c r="S8" s="42">
        <v>112</v>
      </c>
      <c r="T8" s="40">
        <v>36</v>
      </c>
      <c r="U8" s="41">
        <v>93</v>
      </c>
      <c r="V8" s="42">
        <v>129</v>
      </c>
      <c r="W8" s="40">
        <v>47</v>
      </c>
      <c r="X8" s="41">
        <v>151</v>
      </c>
      <c r="Y8" s="42">
        <f t="shared" si="0"/>
        <v>198</v>
      </c>
      <c r="Z8" s="43">
        <v>67</v>
      </c>
      <c r="AA8" s="44">
        <v>139</v>
      </c>
      <c r="AB8" s="42">
        <f t="shared" si="1"/>
        <v>206</v>
      </c>
      <c r="AC8" s="43">
        <v>58</v>
      </c>
      <c r="AD8" s="44">
        <v>179</v>
      </c>
      <c r="AE8" s="42">
        <f t="shared" si="2"/>
        <v>237</v>
      </c>
      <c r="AF8" s="43">
        <v>86</v>
      </c>
      <c r="AG8" s="44">
        <v>224</v>
      </c>
      <c r="AH8" s="42">
        <f t="shared" si="3"/>
        <v>310</v>
      </c>
      <c r="AI8" s="43">
        <v>75</v>
      </c>
      <c r="AJ8" s="44">
        <v>221</v>
      </c>
      <c r="AK8" s="42">
        <f t="shared" si="4"/>
        <v>296</v>
      </c>
      <c r="AL8" s="43">
        <v>100</v>
      </c>
      <c r="AM8" s="44">
        <v>307</v>
      </c>
      <c r="AN8" s="42">
        <f t="shared" si="5"/>
        <v>407</v>
      </c>
      <c r="AO8" s="43">
        <v>133</v>
      </c>
      <c r="AP8" s="44">
        <v>301</v>
      </c>
      <c r="AQ8" s="42">
        <f t="shared" si="6"/>
        <v>434</v>
      </c>
      <c r="AR8" s="43">
        <v>161</v>
      </c>
      <c r="AS8" s="44">
        <v>327</v>
      </c>
      <c r="AT8" s="42">
        <f t="shared" si="7"/>
        <v>488</v>
      </c>
      <c r="AU8" s="43">
        <v>151</v>
      </c>
      <c r="AV8" s="44">
        <v>460</v>
      </c>
      <c r="AW8" s="42">
        <f t="shared" si="8"/>
        <v>611</v>
      </c>
      <c r="AX8" s="43">
        <v>264</v>
      </c>
      <c r="AY8" s="44">
        <v>317</v>
      </c>
      <c r="AZ8" s="42">
        <f t="shared" si="9"/>
        <v>581</v>
      </c>
      <c r="BA8" s="43">
        <v>178</v>
      </c>
      <c r="BB8" s="44">
        <v>187</v>
      </c>
      <c r="BC8" s="42">
        <f t="shared" si="10"/>
        <v>365</v>
      </c>
      <c r="BD8" s="43">
        <v>133</v>
      </c>
      <c r="BE8" s="44">
        <v>111</v>
      </c>
      <c r="BF8" s="42">
        <f t="shared" si="11"/>
        <v>244</v>
      </c>
      <c r="BG8" s="43">
        <v>121</v>
      </c>
      <c r="BH8" s="44">
        <v>109</v>
      </c>
      <c r="BI8" s="42">
        <f t="shared" si="12"/>
        <v>230</v>
      </c>
    </row>
    <row r="9" spans="1:61" s="38" customFormat="1" ht="15" customHeight="1" x14ac:dyDescent="0.3">
      <c r="A9" s="39" t="s">
        <v>53</v>
      </c>
      <c r="B9" s="40">
        <v>225</v>
      </c>
      <c r="C9" s="41">
        <v>486</v>
      </c>
      <c r="D9" s="42">
        <v>711</v>
      </c>
      <c r="E9" s="40">
        <v>176</v>
      </c>
      <c r="F9" s="41">
        <v>563</v>
      </c>
      <c r="G9" s="42">
        <v>739</v>
      </c>
      <c r="H9" s="40">
        <v>199</v>
      </c>
      <c r="I9" s="41">
        <v>534</v>
      </c>
      <c r="J9" s="42">
        <v>733</v>
      </c>
      <c r="K9" s="40">
        <v>202</v>
      </c>
      <c r="L9" s="41">
        <v>481</v>
      </c>
      <c r="M9" s="42">
        <v>683</v>
      </c>
      <c r="N9" s="40">
        <v>166</v>
      </c>
      <c r="O9" s="41">
        <v>488</v>
      </c>
      <c r="P9" s="42">
        <v>654</v>
      </c>
      <c r="Q9" s="40">
        <v>203</v>
      </c>
      <c r="R9" s="41">
        <v>456</v>
      </c>
      <c r="S9" s="42">
        <v>659</v>
      </c>
      <c r="T9" s="40">
        <v>211</v>
      </c>
      <c r="U9" s="41">
        <v>522</v>
      </c>
      <c r="V9" s="42">
        <v>733</v>
      </c>
      <c r="W9" s="40">
        <v>261</v>
      </c>
      <c r="X9" s="41">
        <v>607</v>
      </c>
      <c r="Y9" s="42">
        <f t="shared" si="0"/>
        <v>868</v>
      </c>
      <c r="Z9" s="43">
        <v>254</v>
      </c>
      <c r="AA9" s="44">
        <v>644</v>
      </c>
      <c r="AB9" s="42">
        <f t="shared" si="1"/>
        <v>898</v>
      </c>
      <c r="AC9" s="43">
        <v>284</v>
      </c>
      <c r="AD9" s="44">
        <v>673</v>
      </c>
      <c r="AE9" s="42">
        <f t="shared" si="2"/>
        <v>957</v>
      </c>
      <c r="AF9" s="43">
        <v>281</v>
      </c>
      <c r="AG9" s="44">
        <v>849</v>
      </c>
      <c r="AH9" s="42">
        <f t="shared" si="3"/>
        <v>1130</v>
      </c>
      <c r="AI9" s="43">
        <v>255</v>
      </c>
      <c r="AJ9" s="44">
        <v>873</v>
      </c>
      <c r="AK9" s="42">
        <f t="shared" si="4"/>
        <v>1128</v>
      </c>
      <c r="AL9" s="43">
        <v>300</v>
      </c>
      <c r="AM9" s="44">
        <v>1010</v>
      </c>
      <c r="AN9" s="42">
        <f t="shared" si="5"/>
        <v>1310</v>
      </c>
      <c r="AO9" s="43">
        <v>347</v>
      </c>
      <c r="AP9" s="44">
        <v>993</v>
      </c>
      <c r="AQ9" s="42">
        <f t="shared" si="6"/>
        <v>1340</v>
      </c>
      <c r="AR9" s="43">
        <v>303</v>
      </c>
      <c r="AS9" s="44">
        <v>973</v>
      </c>
      <c r="AT9" s="42">
        <f t="shared" si="7"/>
        <v>1276</v>
      </c>
      <c r="AU9" s="43">
        <v>291</v>
      </c>
      <c r="AV9" s="44">
        <v>1055</v>
      </c>
      <c r="AW9" s="42">
        <f t="shared" si="8"/>
        <v>1346</v>
      </c>
      <c r="AX9" s="43">
        <v>379</v>
      </c>
      <c r="AY9" s="44">
        <v>581</v>
      </c>
      <c r="AZ9" s="42">
        <f t="shared" si="9"/>
        <v>960</v>
      </c>
      <c r="BA9" s="43">
        <v>312</v>
      </c>
      <c r="BB9" s="44">
        <v>489</v>
      </c>
      <c r="BC9" s="42">
        <f t="shared" si="10"/>
        <v>801</v>
      </c>
      <c r="BD9" s="43">
        <v>387</v>
      </c>
      <c r="BE9" s="44">
        <v>407</v>
      </c>
      <c r="BF9" s="42">
        <f t="shared" si="11"/>
        <v>794</v>
      </c>
      <c r="BG9" s="43">
        <v>385</v>
      </c>
      <c r="BH9" s="44">
        <v>468</v>
      </c>
      <c r="BI9" s="42">
        <f t="shared" si="12"/>
        <v>853</v>
      </c>
    </row>
    <row r="10" spans="1:61" s="38" customFormat="1" ht="15" customHeight="1" x14ac:dyDescent="0.3">
      <c r="A10" s="39" t="s">
        <v>54</v>
      </c>
      <c r="B10" s="40">
        <v>149</v>
      </c>
      <c r="C10" s="41">
        <v>414</v>
      </c>
      <c r="D10" s="42">
        <v>563</v>
      </c>
      <c r="E10" s="40">
        <v>149</v>
      </c>
      <c r="F10" s="41">
        <v>473</v>
      </c>
      <c r="G10" s="42">
        <v>622</v>
      </c>
      <c r="H10" s="40">
        <v>185</v>
      </c>
      <c r="I10" s="41">
        <v>580</v>
      </c>
      <c r="J10" s="42">
        <v>765</v>
      </c>
      <c r="K10" s="40">
        <v>213</v>
      </c>
      <c r="L10" s="41">
        <v>519</v>
      </c>
      <c r="M10" s="42">
        <v>732</v>
      </c>
      <c r="N10" s="40">
        <v>161</v>
      </c>
      <c r="O10" s="41">
        <v>527</v>
      </c>
      <c r="P10" s="42">
        <v>688</v>
      </c>
      <c r="Q10" s="40">
        <v>189</v>
      </c>
      <c r="R10" s="41">
        <v>494</v>
      </c>
      <c r="S10" s="42">
        <v>683</v>
      </c>
      <c r="T10" s="40">
        <v>198</v>
      </c>
      <c r="U10" s="41">
        <v>569</v>
      </c>
      <c r="V10" s="42">
        <v>767</v>
      </c>
      <c r="W10" s="40">
        <v>247</v>
      </c>
      <c r="X10" s="41">
        <v>653</v>
      </c>
      <c r="Y10" s="42">
        <f t="shared" si="0"/>
        <v>900</v>
      </c>
      <c r="Z10" s="43">
        <v>280</v>
      </c>
      <c r="AA10" s="44">
        <v>616</v>
      </c>
      <c r="AB10" s="42">
        <f t="shared" si="1"/>
        <v>896</v>
      </c>
      <c r="AC10" s="43">
        <v>286</v>
      </c>
      <c r="AD10" s="44">
        <v>781</v>
      </c>
      <c r="AE10" s="42">
        <f t="shared" si="2"/>
        <v>1067</v>
      </c>
      <c r="AF10" s="43">
        <v>262</v>
      </c>
      <c r="AG10" s="44">
        <v>815</v>
      </c>
      <c r="AH10" s="42">
        <f t="shared" si="3"/>
        <v>1077</v>
      </c>
      <c r="AI10" s="43">
        <v>277</v>
      </c>
      <c r="AJ10" s="44">
        <v>895</v>
      </c>
      <c r="AK10" s="42">
        <f t="shared" si="4"/>
        <v>1172</v>
      </c>
      <c r="AL10" s="43">
        <v>265</v>
      </c>
      <c r="AM10" s="44">
        <v>1019</v>
      </c>
      <c r="AN10" s="42">
        <f t="shared" si="5"/>
        <v>1284</v>
      </c>
      <c r="AO10" s="43">
        <v>339</v>
      </c>
      <c r="AP10" s="44">
        <v>1101</v>
      </c>
      <c r="AQ10" s="42">
        <f t="shared" si="6"/>
        <v>1440</v>
      </c>
      <c r="AR10" s="43">
        <v>336</v>
      </c>
      <c r="AS10" s="44">
        <v>1103</v>
      </c>
      <c r="AT10" s="42">
        <f t="shared" si="7"/>
        <v>1439</v>
      </c>
      <c r="AU10" s="43">
        <v>377</v>
      </c>
      <c r="AV10" s="44">
        <v>1234</v>
      </c>
      <c r="AW10" s="42">
        <f t="shared" si="8"/>
        <v>1611</v>
      </c>
      <c r="AX10" s="43">
        <v>490</v>
      </c>
      <c r="AY10" s="44">
        <v>737</v>
      </c>
      <c r="AZ10" s="42">
        <f t="shared" si="9"/>
        <v>1227</v>
      </c>
      <c r="BA10" s="43">
        <v>362</v>
      </c>
      <c r="BB10" s="44">
        <v>596</v>
      </c>
      <c r="BC10" s="42">
        <f t="shared" si="10"/>
        <v>958</v>
      </c>
      <c r="BD10" s="43">
        <v>472</v>
      </c>
      <c r="BE10" s="44">
        <v>546</v>
      </c>
      <c r="BF10" s="42">
        <f t="shared" si="11"/>
        <v>1018</v>
      </c>
      <c r="BG10" s="43">
        <v>515</v>
      </c>
      <c r="BH10" s="44">
        <v>617</v>
      </c>
      <c r="BI10" s="42">
        <f t="shared" si="12"/>
        <v>1132</v>
      </c>
    </row>
    <row r="11" spans="1:61" s="38" customFormat="1" ht="15" customHeight="1" x14ac:dyDescent="0.3">
      <c r="A11" s="39" t="s">
        <v>55</v>
      </c>
      <c r="B11" s="40">
        <v>18</v>
      </c>
      <c r="C11" s="41">
        <v>43</v>
      </c>
      <c r="D11" s="42">
        <v>61</v>
      </c>
      <c r="E11" s="40">
        <v>15</v>
      </c>
      <c r="F11" s="41">
        <v>51</v>
      </c>
      <c r="G11" s="42">
        <v>66</v>
      </c>
      <c r="H11" s="40">
        <v>31</v>
      </c>
      <c r="I11" s="41">
        <v>62</v>
      </c>
      <c r="J11" s="42">
        <v>93</v>
      </c>
      <c r="K11" s="40">
        <v>25</v>
      </c>
      <c r="L11" s="41">
        <v>69</v>
      </c>
      <c r="M11" s="42">
        <v>94</v>
      </c>
      <c r="N11" s="40">
        <v>20</v>
      </c>
      <c r="O11" s="41">
        <v>73</v>
      </c>
      <c r="P11" s="42">
        <v>93</v>
      </c>
      <c r="Q11" s="40">
        <v>27</v>
      </c>
      <c r="R11" s="41">
        <v>82</v>
      </c>
      <c r="S11" s="42">
        <v>109</v>
      </c>
      <c r="T11" s="40">
        <v>41</v>
      </c>
      <c r="U11" s="41">
        <v>94</v>
      </c>
      <c r="V11" s="42">
        <v>135</v>
      </c>
      <c r="W11" s="40">
        <v>49</v>
      </c>
      <c r="X11" s="41">
        <v>112</v>
      </c>
      <c r="Y11" s="42">
        <f t="shared" si="0"/>
        <v>161</v>
      </c>
      <c r="Z11" s="43">
        <v>63</v>
      </c>
      <c r="AA11" s="44">
        <v>131</v>
      </c>
      <c r="AB11" s="42">
        <f t="shared" si="1"/>
        <v>194</v>
      </c>
      <c r="AC11" s="43">
        <v>81</v>
      </c>
      <c r="AD11" s="44">
        <v>177</v>
      </c>
      <c r="AE11" s="42">
        <f t="shared" si="2"/>
        <v>258</v>
      </c>
      <c r="AF11" s="43">
        <v>94</v>
      </c>
      <c r="AG11" s="44">
        <v>235</v>
      </c>
      <c r="AH11" s="42">
        <f t="shared" si="3"/>
        <v>329</v>
      </c>
      <c r="AI11" s="43">
        <v>87</v>
      </c>
      <c r="AJ11" s="44">
        <v>235</v>
      </c>
      <c r="AK11" s="42">
        <f t="shared" si="4"/>
        <v>322</v>
      </c>
      <c r="AL11" s="43">
        <v>136</v>
      </c>
      <c r="AM11" s="44">
        <v>372</v>
      </c>
      <c r="AN11" s="42">
        <f t="shared" si="5"/>
        <v>508</v>
      </c>
      <c r="AO11" s="43">
        <v>125</v>
      </c>
      <c r="AP11" s="44">
        <v>286</v>
      </c>
      <c r="AQ11" s="42">
        <f t="shared" si="6"/>
        <v>411</v>
      </c>
      <c r="AR11" s="43">
        <v>108</v>
      </c>
      <c r="AS11" s="44">
        <v>329</v>
      </c>
      <c r="AT11" s="42">
        <f t="shared" si="7"/>
        <v>437</v>
      </c>
      <c r="AU11" s="43">
        <v>91</v>
      </c>
      <c r="AV11" s="44">
        <v>295</v>
      </c>
      <c r="AW11" s="42">
        <f t="shared" si="8"/>
        <v>386</v>
      </c>
      <c r="AX11" s="43">
        <v>104</v>
      </c>
      <c r="AY11" s="44">
        <v>186</v>
      </c>
      <c r="AZ11" s="42">
        <f t="shared" si="9"/>
        <v>290</v>
      </c>
      <c r="BA11" s="43">
        <v>93</v>
      </c>
      <c r="BB11" s="44">
        <v>107</v>
      </c>
      <c r="BC11" s="42">
        <f t="shared" si="10"/>
        <v>200</v>
      </c>
      <c r="BD11" s="43">
        <v>74</v>
      </c>
      <c r="BE11" s="44">
        <v>93</v>
      </c>
      <c r="BF11" s="42">
        <f t="shared" si="11"/>
        <v>167</v>
      </c>
      <c r="BG11" s="43">
        <v>77</v>
      </c>
      <c r="BH11" s="44">
        <v>98</v>
      </c>
      <c r="BI11" s="42">
        <f t="shared" si="12"/>
        <v>175</v>
      </c>
    </row>
    <row r="12" spans="1:61" s="38" customFormat="1" ht="15" customHeight="1" x14ac:dyDescent="0.3">
      <c r="A12" s="39" t="s">
        <v>56</v>
      </c>
      <c r="B12" s="40">
        <v>109</v>
      </c>
      <c r="C12" s="41">
        <v>257</v>
      </c>
      <c r="D12" s="42">
        <v>366</v>
      </c>
      <c r="E12" s="40">
        <v>103</v>
      </c>
      <c r="F12" s="41">
        <v>386</v>
      </c>
      <c r="G12" s="42">
        <v>489</v>
      </c>
      <c r="H12" s="40">
        <v>125</v>
      </c>
      <c r="I12" s="41">
        <v>337</v>
      </c>
      <c r="J12" s="42">
        <v>462</v>
      </c>
      <c r="K12" s="40">
        <v>151</v>
      </c>
      <c r="L12" s="41">
        <v>312</v>
      </c>
      <c r="M12" s="42">
        <v>463</v>
      </c>
      <c r="N12" s="40">
        <v>122</v>
      </c>
      <c r="O12" s="41">
        <v>334</v>
      </c>
      <c r="P12" s="42">
        <v>456</v>
      </c>
      <c r="Q12" s="40">
        <v>130</v>
      </c>
      <c r="R12" s="41">
        <v>355</v>
      </c>
      <c r="S12" s="42">
        <v>485</v>
      </c>
      <c r="T12" s="40">
        <v>136</v>
      </c>
      <c r="U12" s="41">
        <v>422</v>
      </c>
      <c r="V12" s="42">
        <v>558</v>
      </c>
      <c r="W12" s="40">
        <v>186</v>
      </c>
      <c r="X12" s="41">
        <v>432</v>
      </c>
      <c r="Y12" s="42">
        <f t="shared" si="0"/>
        <v>618</v>
      </c>
      <c r="Z12" s="43">
        <v>185</v>
      </c>
      <c r="AA12" s="44">
        <v>465</v>
      </c>
      <c r="AB12" s="42">
        <f t="shared" si="1"/>
        <v>650</v>
      </c>
      <c r="AC12" s="43">
        <v>203</v>
      </c>
      <c r="AD12" s="44">
        <v>535</v>
      </c>
      <c r="AE12" s="42">
        <f t="shared" si="2"/>
        <v>738</v>
      </c>
      <c r="AF12" s="43">
        <v>184</v>
      </c>
      <c r="AG12" s="44">
        <v>593</v>
      </c>
      <c r="AH12" s="42">
        <f t="shared" si="3"/>
        <v>777</v>
      </c>
      <c r="AI12" s="43">
        <v>178</v>
      </c>
      <c r="AJ12" s="44">
        <v>719</v>
      </c>
      <c r="AK12" s="42">
        <f t="shared" si="4"/>
        <v>897</v>
      </c>
      <c r="AL12" s="43">
        <v>245</v>
      </c>
      <c r="AM12" s="44">
        <v>742</v>
      </c>
      <c r="AN12" s="42">
        <f t="shared" si="5"/>
        <v>987</v>
      </c>
      <c r="AO12" s="43">
        <v>282</v>
      </c>
      <c r="AP12" s="44">
        <v>795</v>
      </c>
      <c r="AQ12" s="42">
        <f t="shared" si="6"/>
        <v>1077</v>
      </c>
      <c r="AR12" s="43">
        <v>322</v>
      </c>
      <c r="AS12" s="44">
        <v>868</v>
      </c>
      <c r="AT12" s="42">
        <f t="shared" si="7"/>
        <v>1190</v>
      </c>
      <c r="AU12" s="43">
        <v>364</v>
      </c>
      <c r="AV12" s="44">
        <v>1198</v>
      </c>
      <c r="AW12" s="42">
        <f t="shared" si="8"/>
        <v>1562</v>
      </c>
      <c r="AX12" s="43">
        <v>548</v>
      </c>
      <c r="AY12" s="44">
        <v>856</v>
      </c>
      <c r="AZ12" s="42">
        <f t="shared" si="9"/>
        <v>1404</v>
      </c>
      <c r="BA12" s="43">
        <v>480</v>
      </c>
      <c r="BB12" s="44">
        <v>753</v>
      </c>
      <c r="BC12" s="42">
        <f t="shared" si="10"/>
        <v>1233</v>
      </c>
      <c r="BD12" s="43">
        <v>521</v>
      </c>
      <c r="BE12" s="44">
        <v>450</v>
      </c>
      <c r="BF12" s="42">
        <f t="shared" si="11"/>
        <v>971</v>
      </c>
      <c r="BG12" s="43">
        <v>397</v>
      </c>
      <c r="BH12" s="44">
        <v>472</v>
      </c>
      <c r="BI12" s="42">
        <f t="shared" si="12"/>
        <v>869</v>
      </c>
    </row>
    <row r="13" spans="1:61" s="38" customFormat="1" ht="15" customHeight="1" x14ac:dyDescent="0.3">
      <c r="A13" s="39" t="s">
        <v>57</v>
      </c>
      <c r="B13" s="40">
        <v>233</v>
      </c>
      <c r="C13" s="41">
        <v>502</v>
      </c>
      <c r="D13" s="42">
        <v>735</v>
      </c>
      <c r="E13" s="40">
        <v>183</v>
      </c>
      <c r="F13" s="41">
        <v>517</v>
      </c>
      <c r="G13" s="42">
        <v>700</v>
      </c>
      <c r="H13" s="40">
        <v>179</v>
      </c>
      <c r="I13" s="41">
        <v>436</v>
      </c>
      <c r="J13" s="42">
        <v>615</v>
      </c>
      <c r="K13" s="40">
        <v>172</v>
      </c>
      <c r="L13" s="41">
        <v>333</v>
      </c>
      <c r="M13" s="42">
        <v>505</v>
      </c>
      <c r="N13" s="40">
        <v>145</v>
      </c>
      <c r="O13" s="41">
        <v>339</v>
      </c>
      <c r="P13" s="42">
        <v>484</v>
      </c>
      <c r="Q13" s="40">
        <v>145</v>
      </c>
      <c r="R13" s="41">
        <v>322</v>
      </c>
      <c r="S13" s="42">
        <v>467</v>
      </c>
      <c r="T13" s="40">
        <v>150</v>
      </c>
      <c r="U13" s="41">
        <v>321</v>
      </c>
      <c r="V13" s="42">
        <v>471</v>
      </c>
      <c r="W13" s="40">
        <v>214</v>
      </c>
      <c r="X13" s="41">
        <v>403</v>
      </c>
      <c r="Y13" s="42">
        <f t="shared" si="0"/>
        <v>617</v>
      </c>
      <c r="Z13" s="43">
        <v>232</v>
      </c>
      <c r="AA13" s="44">
        <v>393</v>
      </c>
      <c r="AB13" s="42">
        <f t="shared" si="1"/>
        <v>625</v>
      </c>
      <c r="AC13" s="43">
        <v>239</v>
      </c>
      <c r="AD13" s="44">
        <v>446</v>
      </c>
      <c r="AE13" s="42">
        <f t="shared" si="2"/>
        <v>685</v>
      </c>
      <c r="AF13" s="43">
        <v>224</v>
      </c>
      <c r="AG13" s="44">
        <v>461</v>
      </c>
      <c r="AH13" s="42">
        <f t="shared" si="3"/>
        <v>685</v>
      </c>
      <c r="AI13" s="43">
        <v>176</v>
      </c>
      <c r="AJ13" s="44">
        <v>399</v>
      </c>
      <c r="AK13" s="42">
        <f t="shared" si="4"/>
        <v>575</v>
      </c>
      <c r="AL13" s="43">
        <v>180</v>
      </c>
      <c r="AM13" s="44">
        <v>444</v>
      </c>
      <c r="AN13" s="42">
        <f t="shared" si="5"/>
        <v>624</v>
      </c>
      <c r="AO13" s="43">
        <v>195</v>
      </c>
      <c r="AP13" s="44">
        <v>460</v>
      </c>
      <c r="AQ13" s="42">
        <f t="shared" si="6"/>
        <v>655</v>
      </c>
      <c r="AR13" s="43">
        <v>193</v>
      </c>
      <c r="AS13" s="44">
        <v>443</v>
      </c>
      <c r="AT13" s="42">
        <f t="shared" si="7"/>
        <v>636</v>
      </c>
      <c r="AU13" s="43">
        <v>188</v>
      </c>
      <c r="AV13" s="44">
        <v>445</v>
      </c>
      <c r="AW13" s="42">
        <f t="shared" si="8"/>
        <v>633</v>
      </c>
      <c r="AX13" s="43">
        <v>221</v>
      </c>
      <c r="AY13" s="44">
        <v>301</v>
      </c>
      <c r="AZ13" s="42">
        <f t="shared" si="9"/>
        <v>522</v>
      </c>
      <c r="BA13" s="43">
        <v>198</v>
      </c>
      <c r="BB13" s="44">
        <v>232</v>
      </c>
      <c r="BC13" s="42">
        <f t="shared" si="10"/>
        <v>430</v>
      </c>
      <c r="BD13" s="43">
        <v>224</v>
      </c>
      <c r="BE13" s="44">
        <v>147</v>
      </c>
      <c r="BF13" s="42">
        <f t="shared" si="11"/>
        <v>371</v>
      </c>
      <c r="BG13" s="43">
        <v>211</v>
      </c>
      <c r="BH13" s="44">
        <v>247</v>
      </c>
      <c r="BI13" s="42">
        <f t="shared" si="12"/>
        <v>458</v>
      </c>
    </row>
    <row r="14" spans="1:61" s="38" customFormat="1" ht="15" customHeight="1" x14ac:dyDescent="0.3">
      <c r="A14" s="45" t="s">
        <v>58</v>
      </c>
      <c r="B14" s="46"/>
      <c r="C14" s="47">
        <v>1537</v>
      </c>
      <c r="D14" s="48">
        <v>1537</v>
      </c>
      <c r="E14" s="49">
        <v>760</v>
      </c>
      <c r="F14" s="47">
        <v>2161</v>
      </c>
      <c r="G14" s="48">
        <v>2921</v>
      </c>
      <c r="H14" s="46">
        <v>840</v>
      </c>
      <c r="I14" s="50">
        <v>1941</v>
      </c>
      <c r="J14" s="48">
        <v>2781</v>
      </c>
      <c r="K14" s="46">
        <v>766</v>
      </c>
      <c r="L14" s="50">
        <v>1599</v>
      </c>
      <c r="M14" s="48">
        <v>2365</v>
      </c>
      <c r="N14" s="46">
        <v>667</v>
      </c>
      <c r="O14" s="50">
        <v>1565</v>
      </c>
      <c r="P14" s="48">
        <v>2232</v>
      </c>
      <c r="Q14" s="46">
        <v>795</v>
      </c>
      <c r="R14" s="50">
        <v>1689</v>
      </c>
      <c r="S14" s="48">
        <v>2484</v>
      </c>
      <c r="T14" s="46">
        <v>849</v>
      </c>
      <c r="U14" s="50">
        <v>1753</v>
      </c>
      <c r="V14" s="48">
        <v>2602</v>
      </c>
      <c r="W14" s="46">
        <v>991</v>
      </c>
      <c r="X14" s="50">
        <v>1948</v>
      </c>
      <c r="Y14" s="48">
        <f t="shared" si="0"/>
        <v>2939</v>
      </c>
      <c r="Z14" s="51">
        <v>985</v>
      </c>
      <c r="AA14" s="50">
        <v>1606</v>
      </c>
      <c r="AB14" s="48">
        <f t="shared" si="1"/>
        <v>2591</v>
      </c>
      <c r="AC14" s="51">
        <v>984</v>
      </c>
      <c r="AD14" s="50">
        <v>1721</v>
      </c>
      <c r="AE14" s="48">
        <f t="shared" si="2"/>
        <v>2705</v>
      </c>
      <c r="AF14" s="51">
        <v>661</v>
      </c>
      <c r="AG14" s="50">
        <v>1616</v>
      </c>
      <c r="AH14" s="48">
        <f t="shared" si="3"/>
        <v>2277</v>
      </c>
      <c r="AI14" s="43">
        <v>610</v>
      </c>
      <c r="AJ14" s="50">
        <v>1560</v>
      </c>
      <c r="AK14" s="48">
        <f t="shared" si="4"/>
        <v>2170</v>
      </c>
      <c r="AL14" s="43">
        <v>637</v>
      </c>
      <c r="AM14" s="50">
        <v>1669</v>
      </c>
      <c r="AN14" s="48">
        <f t="shared" si="5"/>
        <v>2306</v>
      </c>
      <c r="AO14" s="43">
        <v>651</v>
      </c>
      <c r="AP14" s="50">
        <v>1628</v>
      </c>
      <c r="AQ14" s="48">
        <f t="shared" si="6"/>
        <v>2279</v>
      </c>
      <c r="AR14" s="43">
        <v>631</v>
      </c>
      <c r="AS14" s="50">
        <v>1623</v>
      </c>
      <c r="AT14" s="48">
        <f t="shared" si="7"/>
        <v>2254</v>
      </c>
      <c r="AU14" s="43">
        <v>624</v>
      </c>
      <c r="AV14" s="50">
        <v>1714</v>
      </c>
      <c r="AW14" s="48">
        <f t="shared" si="8"/>
        <v>2338</v>
      </c>
      <c r="AX14" s="43">
        <v>779</v>
      </c>
      <c r="AY14" s="50">
        <v>1232</v>
      </c>
      <c r="AZ14" s="48">
        <f t="shared" si="9"/>
        <v>2011</v>
      </c>
      <c r="BA14" s="43">
        <v>716</v>
      </c>
      <c r="BB14" s="50">
        <v>1033</v>
      </c>
      <c r="BC14" s="48">
        <f t="shared" si="10"/>
        <v>1749</v>
      </c>
      <c r="BD14" s="43">
        <v>959</v>
      </c>
      <c r="BE14" s="50">
        <v>1057</v>
      </c>
      <c r="BF14" s="48">
        <f t="shared" si="11"/>
        <v>2016</v>
      </c>
      <c r="BG14" s="43">
        <v>1090</v>
      </c>
      <c r="BH14" s="50">
        <v>1330</v>
      </c>
      <c r="BI14" s="48">
        <f t="shared" si="12"/>
        <v>2420</v>
      </c>
    </row>
    <row r="15" spans="1:61" s="38" customFormat="1" ht="15" customHeight="1" x14ac:dyDescent="0.3">
      <c r="A15" s="52" t="s">
        <v>59</v>
      </c>
      <c r="B15" s="53">
        <f t="shared" ref="B15:BC15" si="13">SUM(B5:B14)</f>
        <v>983</v>
      </c>
      <c r="C15" s="54">
        <f t="shared" si="13"/>
        <v>3792</v>
      </c>
      <c r="D15" s="55">
        <f t="shared" si="13"/>
        <v>4775</v>
      </c>
      <c r="E15" s="53">
        <f t="shared" si="13"/>
        <v>1626</v>
      </c>
      <c r="F15" s="54">
        <f t="shared" si="13"/>
        <v>4865</v>
      </c>
      <c r="G15" s="55">
        <f t="shared" si="13"/>
        <v>6491</v>
      </c>
      <c r="H15" s="53">
        <f t="shared" si="13"/>
        <v>1842</v>
      </c>
      <c r="I15" s="54">
        <f t="shared" si="13"/>
        <v>4634</v>
      </c>
      <c r="J15" s="55">
        <f t="shared" si="13"/>
        <v>6476</v>
      </c>
      <c r="K15" s="53">
        <f t="shared" si="13"/>
        <v>1847</v>
      </c>
      <c r="L15" s="54">
        <f t="shared" si="13"/>
        <v>3951</v>
      </c>
      <c r="M15" s="55">
        <f t="shared" si="13"/>
        <v>5798</v>
      </c>
      <c r="N15" s="53">
        <f t="shared" si="13"/>
        <v>1602</v>
      </c>
      <c r="O15" s="54">
        <f t="shared" si="13"/>
        <v>4194</v>
      </c>
      <c r="P15" s="55">
        <f t="shared" si="13"/>
        <v>5796</v>
      </c>
      <c r="Q15" s="53">
        <f t="shared" si="13"/>
        <v>1910</v>
      </c>
      <c r="R15" s="54">
        <f t="shared" si="13"/>
        <v>4434</v>
      </c>
      <c r="S15" s="55">
        <f t="shared" si="13"/>
        <v>6344</v>
      </c>
      <c r="T15" s="53">
        <f t="shared" si="13"/>
        <v>2077</v>
      </c>
      <c r="U15" s="54">
        <f t="shared" si="13"/>
        <v>4916</v>
      </c>
      <c r="V15" s="55">
        <f t="shared" si="13"/>
        <v>6993</v>
      </c>
      <c r="W15" s="53">
        <f t="shared" si="13"/>
        <v>2514</v>
      </c>
      <c r="X15" s="54">
        <f t="shared" si="13"/>
        <v>5779</v>
      </c>
      <c r="Y15" s="55">
        <f t="shared" si="13"/>
        <v>8293</v>
      </c>
      <c r="Z15" s="53">
        <f t="shared" si="13"/>
        <v>2734</v>
      </c>
      <c r="AA15" s="54">
        <f t="shared" si="13"/>
        <v>5448</v>
      </c>
      <c r="AB15" s="55">
        <f t="shared" si="13"/>
        <v>8182</v>
      </c>
      <c r="AC15" s="53">
        <f t="shared" si="13"/>
        <v>2816</v>
      </c>
      <c r="AD15" s="54">
        <f t="shared" si="13"/>
        <v>6205</v>
      </c>
      <c r="AE15" s="55">
        <f t="shared" si="13"/>
        <v>9021</v>
      </c>
      <c r="AF15" s="53">
        <f t="shared" si="13"/>
        <v>2446</v>
      </c>
      <c r="AG15" s="54">
        <f t="shared" si="13"/>
        <v>6503</v>
      </c>
      <c r="AH15" s="55">
        <f t="shared" si="13"/>
        <v>8949</v>
      </c>
      <c r="AI15" s="56">
        <f t="shared" si="13"/>
        <v>2244</v>
      </c>
      <c r="AJ15" s="57">
        <f t="shared" si="13"/>
        <v>6852</v>
      </c>
      <c r="AK15" s="55">
        <f t="shared" si="13"/>
        <v>9096</v>
      </c>
      <c r="AL15" s="56">
        <f t="shared" si="13"/>
        <v>2565</v>
      </c>
      <c r="AM15" s="57">
        <f t="shared" si="13"/>
        <v>7543</v>
      </c>
      <c r="AN15" s="55">
        <f t="shared" si="13"/>
        <v>10108</v>
      </c>
      <c r="AO15" s="56">
        <f t="shared" si="13"/>
        <v>2767</v>
      </c>
      <c r="AP15" s="57">
        <f t="shared" si="13"/>
        <v>7593</v>
      </c>
      <c r="AQ15" s="55">
        <f t="shared" si="13"/>
        <v>10360</v>
      </c>
      <c r="AR15" s="56">
        <f t="shared" si="13"/>
        <v>2752</v>
      </c>
      <c r="AS15" s="57">
        <f t="shared" si="13"/>
        <v>7599</v>
      </c>
      <c r="AT15" s="55">
        <f t="shared" si="13"/>
        <v>10351</v>
      </c>
      <c r="AU15" s="56">
        <f t="shared" si="13"/>
        <v>2744</v>
      </c>
      <c r="AV15" s="57">
        <f t="shared" si="13"/>
        <v>8356</v>
      </c>
      <c r="AW15" s="55">
        <f t="shared" si="13"/>
        <v>11100</v>
      </c>
      <c r="AX15" s="56">
        <f t="shared" si="13"/>
        <v>3706</v>
      </c>
      <c r="AY15" s="57">
        <f t="shared" si="13"/>
        <v>5596</v>
      </c>
      <c r="AZ15" s="55">
        <f t="shared" si="13"/>
        <v>9302</v>
      </c>
      <c r="BA15" s="56">
        <f t="shared" si="13"/>
        <v>3078</v>
      </c>
      <c r="BB15" s="57">
        <f t="shared" si="13"/>
        <v>4306</v>
      </c>
      <c r="BC15" s="55">
        <f t="shared" si="13"/>
        <v>7384</v>
      </c>
      <c r="BD15" s="56">
        <f>SUM(BD5:BD14)</f>
        <v>3501</v>
      </c>
      <c r="BE15" s="57">
        <f>SUM(BE5:BE14)</f>
        <v>3604</v>
      </c>
      <c r="BF15" s="55">
        <f t="shared" ref="BF15" si="14">SUM(BF5:BF14)</f>
        <v>7105</v>
      </c>
      <c r="BG15" s="56">
        <f>SUM(BG5:BG14)</f>
        <v>3504</v>
      </c>
      <c r="BH15" s="57">
        <f>SUM(BH5:BH14)</f>
        <v>4253</v>
      </c>
      <c r="BI15" s="55">
        <f t="shared" ref="BI15" si="15">SUM(BI5:BI14)</f>
        <v>7757</v>
      </c>
    </row>
    <row r="16" spans="1:61" s="38" customFormat="1" ht="15" customHeight="1" x14ac:dyDescent="0.3">
      <c r="A16" s="58" t="s">
        <v>60</v>
      </c>
      <c r="B16" s="59">
        <v>964</v>
      </c>
      <c r="C16" s="60">
        <v>2361</v>
      </c>
      <c r="D16" s="61">
        <v>3325</v>
      </c>
      <c r="E16" s="59">
        <v>1004</v>
      </c>
      <c r="F16" s="60">
        <v>2503</v>
      </c>
      <c r="G16" s="61">
        <v>3507</v>
      </c>
      <c r="H16" s="59">
        <v>1071</v>
      </c>
      <c r="I16" s="60">
        <v>2448</v>
      </c>
      <c r="J16" s="61">
        <v>3519</v>
      </c>
      <c r="K16" s="59">
        <v>1074</v>
      </c>
      <c r="L16" s="60">
        <v>2107</v>
      </c>
      <c r="M16" s="61">
        <v>3181</v>
      </c>
      <c r="N16" s="59">
        <v>1032</v>
      </c>
      <c r="O16" s="60">
        <v>2393</v>
      </c>
      <c r="P16" s="61">
        <v>3425</v>
      </c>
      <c r="Q16" s="59">
        <v>1175</v>
      </c>
      <c r="R16" s="60">
        <v>2180</v>
      </c>
      <c r="S16" s="61">
        <v>3355</v>
      </c>
      <c r="T16" s="59">
        <v>1053</v>
      </c>
      <c r="U16" s="60">
        <v>2186</v>
      </c>
      <c r="V16" s="61">
        <v>3239</v>
      </c>
      <c r="W16" s="59">
        <v>1088</v>
      </c>
      <c r="X16" s="60">
        <v>2343</v>
      </c>
      <c r="Y16" s="61">
        <f t="shared" si="0"/>
        <v>3431</v>
      </c>
      <c r="Z16" s="62">
        <v>1169</v>
      </c>
      <c r="AA16" s="63">
        <v>2206</v>
      </c>
      <c r="AB16" s="61">
        <f t="shared" si="1"/>
        <v>3375</v>
      </c>
      <c r="AC16" s="62">
        <v>1135</v>
      </c>
      <c r="AD16" s="63">
        <v>2484</v>
      </c>
      <c r="AE16" s="61">
        <f t="shared" si="2"/>
        <v>3619</v>
      </c>
      <c r="AF16" s="62">
        <v>1051</v>
      </c>
      <c r="AG16" s="63">
        <v>2435</v>
      </c>
      <c r="AH16" s="61">
        <f>SUM(AF16:AG16)</f>
        <v>3486</v>
      </c>
      <c r="AI16" s="62">
        <v>884</v>
      </c>
      <c r="AJ16" s="63">
        <v>2357</v>
      </c>
      <c r="AK16" s="61">
        <f>SUM(AI16:AJ16)</f>
        <v>3241</v>
      </c>
      <c r="AL16" s="62">
        <v>987</v>
      </c>
      <c r="AM16" s="63">
        <v>2659</v>
      </c>
      <c r="AN16" s="61">
        <f>SUM(AL16:AM16)</f>
        <v>3646</v>
      </c>
      <c r="AO16" s="62">
        <v>1020</v>
      </c>
      <c r="AP16" s="63">
        <v>2834</v>
      </c>
      <c r="AQ16" s="61">
        <f>SUM(AO16:AP16)</f>
        <v>3854</v>
      </c>
      <c r="AR16" s="62">
        <v>933</v>
      </c>
      <c r="AS16" s="63">
        <v>2717</v>
      </c>
      <c r="AT16" s="61">
        <f>SUM(AR16:AS16)</f>
        <v>3650</v>
      </c>
      <c r="AU16" s="62">
        <v>909</v>
      </c>
      <c r="AV16" s="63">
        <v>2770</v>
      </c>
      <c r="AW16" s="61">
        <f>SUM(AU16:AV16)</f>
        <v>3679</v>
      </c>
      <c r="AX16" s="62">
        <v>1079</v>
      </c>
      <c r="AY16" s="63">
        <v>1811</v>
      </c>
      <c r="AZ16" s="61">
        <f>SUM(AX16:AY16)</f>
        <v>2890</v>
      </c>
      <c r="BA16" s="62">
        <v>914</v>
      </c>
      <c r="BB16" s="63">
        <v>1634</v>
      </c>
      <c r="BC16" s="61">
        <f>SUM(BA16:BB16)</f>
        <v>2548</v>
      </c>
      <c r="BD16" s="62">
        <v>1296</v>
      </c>
      <c r="BE16" s="63">
        <v>1415</v>
      </c>
      <c r="BF16" s="61">
        <f>SUM(BD16:BE16)</f>
        <v>2711</v>
      </c>
      <c r="BG16" s="62">
        <v>1241</v>
      </c>
      <c r="BH16" s="63">
        <v>1579</v>
      </c>
      <c r="BI16" s="61">
        <f>SUM(BG16:BH16)</f>
        <v>2820</v>
      </c>
    </row>
    <row r="17" spans="1:61" s="38" customFormat="1" ht="15" customHeight="1" x14ac:dyDescent="0.3">
      <c r="A17" s="39" t="s">
        <v>61</v>
      </c>
      <c r="B17" s="40">
        <v>1183</v>
      </c>
      <c r="C17" s="41">
        <v>3384</v>
      </c>
      <c r="D17" s="42">
        <v>4567</v>
      </c>
      <c r="E17" s="40">
        <v>1118</v>
      </c>
      <c r="F17" s="41">
        <v>3487</v>
      </c>
      <c r="G17" s="42">
        <v>4605</v>
      </c>
      <c r="H17" s="40">
        <v>1295</v>
      </c>
      <c r="I17" s="41">
        <v>3396</v>
      </c>
      <c r="J17" s="42">
        <v>4691</v>
      </c>
      <c r="K17" s="40">
        <v>1397</v>
      </c>
      <c r="L17" s="41">
        <v>3168</v>
      </c>
      <c r="M17" s="42">
        <v>4565</v>
      </c>
      <c r="N17" s="40">
        <v>1278</v>
      </c>
      <c r="O17" s="41">
        <v>3257</v>
      </c>
      <c r="P17" s="42">
        <v>4535</v>
      </c>
      <c r="Q17" s="40">
        <v>1351</v>
      </c>
      <c r="R17" s="41">
        <v>3052</v>
      </c>
      <c r="S17" s="42">
        <v>4403</v>
      </c>
      <c r="T17" s="40">
        <v>1296</v>
      </c>
      <c r="U17" s="41">
        <v>3408</v>
      </c>
      <c r="V17" s="42">
        <v>4704</v>
      </c>
      <c r="W17" s="40">
        <v>1421</v>
      </c>
      <c r="X17" s="41">
        <v>3744</v>
      </c>
      <c r="Y17" s="42">
        <f t="shared" si="0"/>
        <v>5165</v>
      </c>
      <c r="Z17" s="43">
        <v>1679</v>
      </c>
      <c r="AA17" s="44">
        <v>3652</v>
      </c>
      <c r="AB17" s="42">
        <f t="shared" si="1"/>
        <v>5331</v>
      </c>
      <c r="AC17" s="43">
        <v>1596</v>
      </c>
      <c r="AD17" s="44">
        <v>4149</v>
      </c>
      <c r="AE17" s="42">
        <f t="shared" si="2"/>
        <v>5745</v>
      </c>
      <c r="AF17" s="43">
        <v>1490</v>
      </c>
      <c r="AG17" s="44">
        <v>4084</v>
      </c>
      <c r="AH17" s="42">
        <f>SUM(AF17:AG17)</f>
        <v>5574</v>
      </c>
      <c r="AI17" s="43">
        <v>1250</v>
      </c>
      <c r="AJ17" s="44">
        <v>4071</v>
      </c>
      <c r="AK17" s="42">
        <f>SUM(AI17:AJ17)</f>
        <v>5321</v>
      </c>
      <c r="AL17" s="43">
        <v>1380</v>
      </c>
      <c r="AM17" s="44">
        <v>4062</v>
      </c>
      <c r="AN17" s="42">
        <f>SUM(AL17:AM17)</f>
        <v>5442</v>
      </c>
      <c r="AO17" s="43">
        <v>1367</v>
      </c>
      <c r="AP17" s="44">
        <v>3925</v>
      </c>
      <c r="AQ17" s="42">
        <f>SUM(AO17:AP17)</f>
        <v>5292</v>
      </c>
      <c r="AR17" s="43">
        <v>1281</v>
      </c>
      <c r="AS17" s="44">
        <v>3699</v>
      </c>
      <c r="AT17" s="42">
        <f>SUM(AR17:AS17)</f>
        <v>4980</v>
      </c>
      <c r="AU17" s="43">
        <v>1219</v>
      </c>
      <c r="AV17" s="44">
        <v>3758</v>
      </c>
      <c r="AW17" s="42">
        <f>SUM(AU17:AV17)</f>
        <v>4977</v>
      </c>
      <c r="AX17" s="43">
        <v>1626</v>
      </c>
      <c r="AY17" s="44">
        <v>2481</v>
      </c>
      <c r="AZ17" s="42">
        <f>SUM(AX17:AY17)</f>
        <v>4107</v>
      </c>
      <c r="BA17" s="43">
        <v>1477</v>
      </c>
      <c r="BB17" s="44">
        <v>2227</v>
      </c>
      <c r="BC17" s="42">
        <f>SUM(BA17:BB17)</f>
        <v>3704</v>
      </c>
      <c r="BD17" s="43">
        <v>2133</v>
      </c>
      <c r="BE17" s="44">
        <v>2113</v>
      </c>
      <c r="BF17" s="42">
        <f>SUM(BD17:BE17)</f>
        <v>4246</v>
      </c>
      <c r="BG17" s="43">
        <v>2075</v>
      </c>
      <c r="BH17" s="44">
        <v>2529</v>
      </c>
      <c r="BI17" s="42">
        <f>SUM(BG17:BH17)</f>
        <v>4604</v>
      </c>
    </row>
    <row r="18" spans="1:61" s="38" customFormat="1" ht="15" customHeight="1" x14ac:dyDescent="0.3">
      <c r="A18" s="39" t="s">
        <v>62</v>
      </c>
      <c r="B18" s="40">
        <v>181</v>
      </c>
      <c r="C18" s="41">
        <v>379</v>
      </c>
      <c r="D18" s="42">
        <v>560</v>
      </c>
      <c r="E18" s="40">
        <v>159</v>
      </c>
      <c r="F18" s="41">
        <v>438</v>
      </c>
      <c r="G18" s="42">
        <v>597</v>
      </c>
      <c r="H18" s="40">
        <v>200</v>
      </c>
      <c r="I18" s="41">
        <v>487</v>
      </c>
      <c r="J18" s="42">
        <v>687</v>
      </c>
      <c r="K18" s="40">
        <v>209</v>
      </c>
      <c r="L18" s="41">
        <v>451</v>
      </c>
      <c r="M18" s="42">
        <v>660</v>
      </c>
      <c r="N18" s="40">
        <v>213</v>
      </c>
      <c r="O18" s="41">
        <v>432</v>
      </c>
      <c r="P18" s="42">
        <v>645</v>
      </c>
      <c r="Q18" s="40">
        <v>243</v>
      </c>
      <c r="R18" s="41">
        <v>617</v>
      </c>
      <c r="S18" s="42">
        <v>860</v>
      </c>
      <c r="T18" s="40">
        <v>340</v>
      </c>
      <c r="U18" s="41">
        <v>629</v>
      </c>
      <c r="V18" s="42">
        <v>969</v>
      </c>
      <c r="W18" s="40">
        <v>301</v>
      </c>
      <c r="X18" s="41">
        <v>659</v>
      </c>
      <c r="Y18" s="42">
        <f t="shared" si="0"/>
        <v>960</v>
      </c>
      <c r="Z18" s="43">
        <v>349</v>
      </c>
      <c r="AA18" s="44">
        <v>609</v>
      </c>
      <c r="AB18" s="42">
        <f t="shared" si="1"/>
        <v>958</v>
      </c>
      <c r="AC18" s="43">
        <v>306</v>
      </c>
      <c r="AD18" s="44">
        <v>710</v>
      </c>
      <c r="AE18" s="42">
        <f t="shared" si="2"/>
        <v>1016</v>
      </c>
      <c r="AF18" s="43">
        <v>315</v>
      </c>
      <c r="AG18" s="44">
        <v>753</v>
      </c>
      <c r="AH18" s="42">
        <f>SUM(AF18:AG18)</f>
        <v>1068</v>
      </c>
      <c r="AI18" s="43">
        <v>269</v>
      </c>
      <c r="AJ18" s="44">
        <v>748</v>
      </c>
      <c r="AK18" s="42">
        <f>SUM(AI18:AJ18)</f>
        <v>1017</v>
      </c>
      <c r="AL18" s="43">
        <v>306</v>
      </c>
      <c r="AM18" s="44">
        <v>803</v>
      </c>
      <c r="AN18" s="42">
        <f>SUM(AL18:AM18)</f>
        <v>1109</v>
      </c>
      <c r="AO18" s="43">
        <v>347</v>
      </c>
      <c r="AP18" s="44">
        <v>794</v>
      </c>
      <c r="AQ18" s="42">
        <f>SUM(AO18:AP18)</f>
        <v>1141</v>
      </c>
      <c r="AR18" s="43">
        <v>378</v>
      </c>
      <c r="AS18" s="44">
        <v>986</v>
      </c>
      <c r="AT18" s="42">
        <f>SUM(AR18:AS18)</f>
        <v>1364</v>
      </c>
      <c r="AU18" s="43">
        <v>379</v>
      </c>
      <c r="AV18" s="44">
        <v>1200</v>
      </c>
      <c r="AW18" s="42">
        <f>SUM(AU18:AV18)</f>
        <v>1579</v>
      </c>
      <c r="AX18" s="43">
        <v>489</v>
      </c>
      <c r="AY18" s="44">
        <v>869</v>
      </c>
      <c r="AZ18" s="42">
        <f>SUM(AX18:AY18)</f>
        <v>1358</v>
      </c>
      <c r="BA18" s="43">
        <v>402</v>
      </c>
      <c r="BB18" s="44">
        <v>620</v>
      </c>
      <c r="BC18" s="42">
        <f>SUM(BA18:BB18)</f>
        <v>1022</v>
      </c>
      <c r="BD18" s="43">
        <v>541</v>
      </c>
      <c r="BE18" s="44">
        <v>538</v>
      </c>
      <c r="BF18" s="42">
        <f>SUM(BD18:BE18)</f>
        <v>1079</v>
      </c>
      <c r="BG18" s="43">
        <v>482</v>
      </c>
      <c r="BH18" s="44">
        <v>522</v>
      </c>
      <c r="BI18" s="42">
        <f>SUM(BG18:BH18)</f>
        <v>1004</v>
      </c>
    </row>
    <row r="19" spans="1:61" s="38" customFormat="1" ht="15" customHeight="1" x14ac:dyDescent="0.3">
      <c r="A19" s="45" t="s">
        <v>63</v>
      </c>
      <c r="B19" s="46">
        <v>221</v>
      </c>
      <c r="C19" s="47">
        <v>447</v>
      </c>
      <c r="D19" s="48">
        <v>668</v>
      </c>
      <c r="E19" s="49">
        <v>269</v>
      </c>
      <c r="F19" s="47">
        <v>509</v>
      </c>
      <c r="G19" s="48">
        <v>778</v>
      </c>
      <c r="H19" s="46">
        <v>274</v>
      </c>
      <c r="I19" s="50">
        <v>505</v>
      </c>
      <c r="J19" s="48">
        <v>779</v>
      </c>
      <c r="K19" s="46">
        <v>272</v>
      </c>
      <c r="L19" s="50">
        <v>431</v>
      </c>
      <c r="M19" s="48">
        <v>703</v>
      </c>
      <c r="N19" s="46">
        <v>284</v>
      </c>
      <c r="O19" s="50">
        <v>562</v>
      </c>
      <c r="P19" s="48">
        <v>846</v>
      </c>
      <c r="Q19" s="46">
        <v>363</v>
      </c>
      <c r="R19" s="50">
        <v>722</v>
      </c>
      <c r="S19" s="48">
        <v>1085</v>
      </c>
      <c r="T19" s="46">
        <v>418</v>
      </c>
      <c r="U19" s="50">
        <v>736</v>
      </c>
      <c r="V19" s="48">
        <v>1154</v>
      </c>
      <c r="W19" s="46">
        <v>482</v>
      </c>
      <c r="X19" s="50">
        <v>837</v>
      </c>
      <c r="Y19" s="48">
        <f t="shared" si="0"/>
        <v>1319</v>
      </c>
      <c r="Z19" s="51">
        <v>449</v>
      </c>
      <c r="AA19" s="50">
        <v>733</v>
      </c>
      <c r="AB19" s="48">
        <f t="shared" si="1"/>
        <v>1182</v>
      </c>
      <c r="AC19" s="51">
        <v>518</v>
      </c>
      <c r="AD19" s="50">
        <v>815</v>
      </c>
      <c r="AE19" s="48">
        <f t="shared" si="2"/>
        <v>1333</v>
      </c>
      <c r="AF19" s="51">
        <v>419</v>
      </c>
      <c r="AG19" s="50">
        <v>838</v>
      </c>
      <c r="AH19" s="48">
        <f>SUM(AF19:AG19)</f>
        <v>1257</v>
      </c>
      <c r="AI19" s="43">
        <v>350</v>
      </c>
      <c r="AJ19" s="50">
        <v>823</v>
      </c>
      <c r="AK19" s="48">
        <f>SUM(AI19:AJ19)</f>
        <v>1173</v>
      </c>
      <c r="AL19" s="43">
        <v>386</v>
      </c>
      <c r="AM19" s="50">
        <v>835</v>
      </c>
      <c r="AN19" s="48">
        <f>SUM(AL19:AM19)</f>
        <v>1221</v>
      </c>
      <c r="AO19" s="43">
        <v>326</v>
      </c>
      <c r="AP19" s="50">
        <v>678</v>
      </c>
      <c r="AQ19" s="48">
        <f>SUM(AO19:AP19)</f>
        <v>1004</v>
      </c>
      <c r="AR19" s="43">
        <v>297</v>
      </c>
      <c r="AS19" s="50">
        <v>687</v>
      </c>
      <c r="AT19" s="48">
        <f>SUM(AR19:AS19)</f>
        <v>984</v>
      </c>
      <c r="AU19" s="43">
        <v>305</v>
      </c>
      <c r="AV19" s="50">
        <v>682</v>
      </c>
      <c r="AW19" s="48">
        <f>SUM(AU19:AV19)</f>
        <v>987</v>
      </c>
      <c r="AX19" s="43">
        <v>293</v>
      </c>
      <c r="AY19" s="50">
        <v>509</v>
      </c>
      <c r="AZ19" s="48">
        <f>SUM(AX19:AY19)</f>
        <v>802</v>
      </c>
      <c r="BA19" s="43">
        <v>232</v>
      </c>
      <c r="BB19" s="50">
        <v>345</v>
      </c>
      <c r="BC19" s="48">
        <f>SUM(BA19:BB19)</f>
        <v>577</v>
      </c>
      <c r="BD19" s="43">
        <v>219</v>
      </c>
      <c r="BE19" s="50">
        <v>263</v>
      </c>
      <c r="BF19" s="48">
        <f>SUM(BD19:BE19)</f>
        <v>482</v>
      </c>
      <c r="BG19" s="43">
        <v>233</v>
      </c>
      <c r="BH19" s="50">
        <v>296</v>
      </c>
      <c r="BI19" s="48">
        <f>SUM(BG19:BH19)</f>
        <v>529</v>
      </c>
    </row>
    <row r="20" spans="1:61" s="38" customFormat="1" ht="15" customHeight="1" x14ac:dyDescent="0.3">
      <c r="A20" s="52" t="s">
        <v>64</v>
      </c>
      <c r="B20" s="53">
        <f>SUM(B16:B19)</f>
        <v>2549</v>
      </c>
      <c r="C20" s="54">
        <f t="shared" ref="C20:BC20" si="16">SUM(C16:C19)</f>
        <v>6571</v>
      </c>
      <c r="D20" s="55">
        <f t="shared" si="16"/>
        <v>9120</v>
      </c>
      <c r="E20" s="53">
        <f t="shared" si="16"/>
        <v>2550</v>
      </c>
      <c r="F20" s="54">
        <f t="shared" si="16"/>
        <v>6937</v>
      </c>
      <c r="G20" s="55">
        <f t="shared" si="16"/>
        <v>9487</v>
      </c>
      <c r="H20" s="53">
        <f t="shared" si="16"/>
        <v>2840</v>
      </c>
      <c r="I20" s="54">
        <f t="shared" si="16"/>
        <v>6836</v>
      </c>
      <c r="J20" s="55">
        <f t="shared" si="16"/>
        <v>9676</v>
      </c>
      <c r="K20" s="53">
        <f t="shared" si="16"/>
        <v>2952</v>
      </c>
      <c r="L20" s="54">
        <f t="shared" si="16"/>
        <v>6157</v>
      </c>
      <c r="M20" s="55">
        <f t="shared" si="16"/>
        <v>9109</v>
      </c>
      <c r="N20" s="53">
        <f t="shared" si="16"/>
        <v>2807</v>
      </c>
      <c r="O20" s="54">
        <f t="shared" si="16"/>
        <v>6644</v>
      </c>
      <c r="P20" s="55">
        <f t="shared" si="16"/>
        <v>9451</v>
      </c>
      <c r="Q20" s="53">
        <f t="shared" si="16"/>
        <v>3132</v>
      </c>
      <c r="R20" s="54">
        <f t="shared" si="16"/>
        <v>6571</v>
      </c>
      <c r="S20" s="55">
        <f t="shared" si="16"/>
        <v>9703</v>
      </c>
      <c r="T20" s="53">
        <f t="shared" si="16"/>
        <v>3107</v>
      </c>
      <c r="U20" s="54">
        <f t="shared" si="16"/>
        <v>6959</v>
      </c>
      <c r="V20" s="55">
        <f t="shared" si="16"/>
        <v>10066</v>
      </c>
      <c r="W20" s="53">
        <f t="shared" si="16"/>
        <v>3292</v>
      </c>
      <c r="X20" s="54">
        <f t="shared" si="16"/>
        <v>7583</v>
      </c>
      <c r="Y20" s="55">
        <f t="shared" si="16"/>
        <v>10875</v>
      </c>
      <c r="Z20" s="53">
        <f t="shared" si="16"/>
        <v>3646</v>
      </c>
      <c r="AA20" s="54">
        <f t="shared" si="16"/>
        <v>7200</v>
      </c>
      <c r="AB20" s="55">
        <f t="shared" si="16"/>
        <v>10846</v>
      </c>
      <c r="AC20" s="53">
        <f t="shared" si="16"/>
        <v>3555</v>
      </c>
      <c r="AD20" s="54">
        <f t="shared" si="16"/>
        <v>8158</v>
      </c>
      <c r="AE20" s="55">
        <f t="shared" si="16"/>
        <v>11713</v>
      </c>
      <c r="AF20" s="53">
        <f t="shared" si="16"/>
        <v>3275</v>
      </c>
      <c r="AG20" s="54">
        <f t="shared" si="16"/>
        <v>8110</v>
      </c>
      <c r="AH20" s="55">
        <f t="shared" si="16"/>
        <v>11385</v>
      </c>
      <c r="AI20" s="56">
        <f>SUM(AI16:AI19)</f>
        <v>2753</v>
      </c>
      <c r="AJ20" s="57">
        <f>SUM(AJ16:AJ19)</f>
        <v>7999</v>
      </c>
      <c r="AK20" s="55">
        <f t="shared" si="16"/>
        <v>10752</v>
      </c>
      <c r="AL20" s="56">
        <f t="shared" si="16"/>
        <v>3059</v>
      </c>
      <c r="AM20" s="57">
        <f t="shared" si="16"/>
        <v>8359</v>
      </c>
      <c r="AN20" s="55">
        <f t="shared" si="16"/>
        <v>11418</v>
      </c>
      <c r="AO20" s="56">
        <f t="shared" si="16"/>
        <v>3060</v>
      </c>
      <c r="AP20" s="57">
        <f t="shared" si="16"/>
        <v>8231</v>
      </c>
      <c r="AQ20" s="55">
        <f t="shared" si="16"/>
        <v>11291</v>
      </c>
      <c r="AR20" s="56">
        <f t="shared" si="16"/>
        <v>2889</v>
      </c>
      <c r="AS20" s="57">
        <f t="shared" si="16"/>
        <v>8089</v>
      </c>
      <c r="AT20" s="55">
        <f t="shared" si="16"/>
        <v>10978</v>
      </c>
      <c r="AU20" s="56">
        <f t="shared" si="16"/>
        <v>2812</v>
      </c>
      <c r="AV20" s="57">
        <f t="shared" si="16"/>
        <v>8410</v>
      </c>
      <c r="AW20" s="55">
        <f t="shared" si="16"/>
        <v>11222</v>
      </c>
      <c r="AX20" s="56">
        <f t="shared" si="16"/>
        <v>3487</v>
      </c>
      <c r="AY20" s="57">
        <f t="shared" si="16"/>
        <v>5670</v>
      </c>
      <c r="AZ20" s="55">
        <f t="shared" si="16"/>
        <v>9157</v>
      </c>
      <c r="BA20" s="56">
        <f t="shared" si="16"/>
        <v>3025</v>
      </c>
      <c r="BB20" s="57">
        <f t="shared" si="16"/>
        <v>4826</v>
      </c>
      <c r="BC20" s="55">
        <f t="shared" si="16"/>
        <v>7851</v>
      </c>
      <c r="BD20" s="56">
        <f>SUM(BD16:BD19)</f>
        <v>4189</v>
      </c>
      <c r="BE20" s="57">
        <f>SUM(BE16:BE19)</f>
        <v>4329</v>
      </c>
      <c r="BF20" s="55">
        <f t="shared" ref="BF20" si="17">SUM(BF16:BF19)</f>
        <v>8518</v>
      </c>
      <c r="BG20" s="56">
        <f>SUM(BG16:BG19)</f>
        <v>4031</v>
      </c>
      <c r="BH20" s="57">
        <f>SUM(BH16:BH19)</f>
        <v>4926</v>
      </c>
      <c r="BI20" s="55">
        <f t="shared" ref="BI20" si="18">SUM(BI16:BI19)</f>
        <v>8957</v>
      </c>
    </row>
    <row r="21" spans="1:61" s="38" customFormat="1" ht="15" customHeight="1" x14ac:dyDescent="0.3">
      <c r="A21" s="58" t="s">
        <v>65</v>
      </c>
      <c r="B21" s="59">
        <v>301</v>
      </c>
      <c r="C21" s="60">
        <v>777</v>
      </c>
      <c r="D21" s="61">
        <v>1078</v>
      </c>
      <c r="E21" s="59">
        <v>321</v>
      </c>
      <c r="F21" s="60">
        <v>827</v>
      </c>
      <c r="G21" s="61">
        <v>1148</v>
      </c>
      <c r="H21" s="59">
        <v>325</v>
      </c>
      <c r="I21" s="60">
        <v>914</v>
      </c>
      <c r="J21" s="61">
        <v>1239</v>
      </c>
      <c r="K21" s="59">
        <v>345</v>
      </c>
      <c r="L21" s="60">
        <v>760</v>
      </c>
      <c r="M21" s="61">
        <v>1105</v>
      </c>
      <c r="N21" s="59">
        <v>333</v>
      </c>
      <c r="O21" s="60">
        <v>907</v>
      </c>
      <c r="P21" s="61">
        <v>1240</v>
      </c>
      <c r="Q21" s="59">
        <v>495</v>
      </c>
      <c r="R21" s="60">
        <v>973</v>
      </c>
      <c r="S21" s="61">
        <v>1468</v>
      </c>
      <c r="T21" s="59">
        <v>496</v>
      </c>
      <c r="U21" s="60">
        <v>1119</v>
      </c>
      <c r="V21" s="61">
        <v>1615</v>
      </c>
      <c r="W21" s="59">
        <v>536</v>
      </c>
      <c r="X21" s="60">
        <v>1376</v>
      </c>
      <c r="Y21" s="61">
        <f t="shared" si="0"/>
        <v>1912</v>
      </c>
      <c r="Z21" s="62">
        <v>663</v>
      </c>
      <c r="AA21" s="63">
        <v>1313</v>
      </c>
      <c r="AB21" s="61">
        <f t="shared" si="1"/>
        <v>1976</v>
      </c>
      <c r="AC21" s="62">
        <v>665</v>
      </c>
      <c r="AD21" s="63">
        <v>1773</v>
      </c>
      <c r="AE21" s="61">
        <f t="shared" si="2"/>
        <v>2438</v>
      </c>
      <c r="AF21" s="62">
        <v>693</v>
      </c>
      <c r="AG21" s="63">
        <v>1692</v>
      </c>
      <c r="AH21" s="61">
        <f>SUM(AF21:AG21)</f>
        <v>2385</v>
      </c>
      <c r="AI21" s="62">
        <v>629</v>
      </c>
      <c r="AJ21" s="63">
        <v>1766</v>
      </c>
      <c r="AK21" s="61">
        <f>SUM(AI21:AJ21)</f>
        <v>2395</v>
      </c>
      <c r="AL21" s="62">
        <v>696</v>
      </c>
      <c r="AM21" s="63">
        <v>1894</v>
      </c>
      <c r="AN21" s="61">
        <f>SUM(AL21:AM21)</f>
        <v>2590</v>
      </c>
      <c r="AO21" s="62">
        <v>760</v>
      </c>
      <c r="AP21" s="63">
        <v>2048</v>
      </c>
      <c r="AQ21" s="61">
        <f>SUM(AO21:AP21)</f>
        <v>2808</v>
      </c>
      <c r="AR21" s="62">
        <v>741</v>
      </c>
      <c r="AS21" s="63">
        <v>2109</v>
      </c>
      <c r="AT21" s="61">
        <f>SUM(AR21:AS21)</f>
        <v>2850</v>
      </c>
      <c r="AU21" s="62">
        <v>740</v>
      </c>
      <c r="AV21" s="63">
        <v>2263</v>
      </c>
      <c r="AW21" s="61">
        <f>SUM(AU21:AV21)</f>
        <v>3003</v>
      </c>
      <c r="AX21" s="62">
        <v>1011</v>
      </c>
      <c r="AY21" s="63">
        <v>1727</v>
      </c>
      <c r="AZ21" s="61">
        <f>SUM(AX21:AY21)</f>
        <v>2738</v>
      </c>
      <c r="BA21" s="62">
        <v>1065</v>
      </c>
      <c r="BB21" s="63">
        <v>1660</v>
      </c>
      <c r="BC21" s="61">
        <f>SUM(BA21:BB21)</f>
        <v>2725</v>
      </c>
      <c r="BD21" s="62">
        <v>1429</v>
      </c>
      <c r="BE21" s="63">
        <v>1526</v>
      </c>
      <c r="BF21" s="61">
        <f>SUM(BD21:BE21)</f>
        <v>2955</v>
      </c>
      <c r="BG21" s="62">
        <v>1308</v>
      </c>
      <c r="BH21" s="63">
        <v>1704</v>
      </c>
      <c r="BI21" s="61">
        <f>SUM(BG21:BH21)</f>
        <v>3012</v>
      </c>
    </row>
    <row r="22" spans="1:61" s="38" customFormat="1" ht="15" customHeight="1" x14ac:dyDescent="0.3">
      <c r="A22" s="39" t="s">
        <v>66</v>
      </c>
      <c r="B22" s="40">
        <v>970</v>
      </c>
      <c r="C22" s="41">
        <v>2563</v>
      </c>
      <c r="D22" s="42">
        <v>3533</v>
      </c>
      <c r="E22" s="40">
        <v>1037</v>
      </c>
      <c r="F22" s="41">
        <v>2612</v>
      </c>
      <c r="G22" s="42">
        <v>3649</v>
      </c>
      <c r="H22" s="40">
        <v>1105</v>
      </c>
      <c r="I22" s="41">
        <v>2608</v>
      </c>
      <c r="J22" s="42">
        <v>3713</v>
      </c>
      <c r="K22" s="40">
        <v>1182</v>
      </c>
      <c r="L22" s="41">
        <v>2413</v>
      </c>
      <c r="M22" s="42">
        <v>3595</v>
      </c>
      <c r="N22" s="40">
        <v>1180</v>
      </c>
      <c r="O22" s="41">
        <v>2826</v>
      </c>
      <c r="P22" s="42">
        <v>4006</v>
      </c>
      <c r="Q22" s="40">
        <v>1477</v>
      </c>
      <c r="R22" s="41">
        <v>2995</v>
      </c>
      <c r="S22" s="42">
        <v>4472</v>
      </c>
      <c r="T22" s="40">
        <v>1531</v>
      </c>
      <c r="U22" s="41">
        <v>3193</v>
      </c>
      <c r="V22" s="42">
        <v>4724</v>
      </c>
      <c r="W22" s="40">
        <v>1652</v>
      </c>
      <c r="X22" s="41">
        <v>3575</v>
      </c>
      <c r="Y22" s="42">
        <f t="shared" si="0"/>
        <v>5227</v>
      </c>
      <c r="Z22" s="43">
        <v>1807</v>
      </c>
      <c r="AA22" s="44">
        <v>3245</v>
      </c>
      <c r="AB22" s="42">
        <f t="shared" si="1"/>
        <v>5052</v>
      </c>
      <c r="AC22" s="43">
        <v>1719</v>
      </c>
      <c r="AD22" s="44">
        <v>3733</v>
      </c>
      <c r="AE22" s="42">
        <f t="shared" si="2"/>
        <v>5452</v>
      </c>
      <c r="AF22" s="43">
        <v>1418</v>
      </c>
      <c r="AG22" s="44">
        <v>3331</v>
      </c>
      <c r="AH22" s="42">
        <f>SUM(AF22:AG22)</f>
        <v>4749</v>
      </c>
      <c r="AI22" s="43">
        <v>1202</v>
      </c>
      <c r="AJ22" s="44">
        <v>2911</v>
      </c>
      <c r="AK22" s="42">
        <f>SUM(AI22:AJ22)</f>
        <v>4113</v>
      </c>
      <c r="AL22" s="43">
        <v>1119</v>
      </c>
      <c r="AM22" s="44">
        <v>2595</v>
      </c>
      <c r="AN22" s="42">
        <f>SUM(AL22:AM22)</f>
        <v>3714</v>
      </c>
      <c r="AO22" s="43">
        <v>961</v>
      </c>
      <c r="AP22" s="44">
        <v>2422</v>
      </c>
      <c r="AQ22" s="42">
        <f>SUM(AO22:AP22)</f>
        <v>3383</v>
      </c>
      <c r="AR22" s="43">
        <v>946</v>
      </c>
      <c r="AS22" s="44">
        <v>2265</v>
      </c>
      <c r="AT22" s="42">
        <f>SUM(AR22:AS22)</f>
        <v>3211</v>
      </c>
      <c r="AU22" s="43">
        <v>962</v>
      </c>
      <c r="AV22" s="44">
        <v>2389</v>
      </c>
      <c r="AW22" s="42">
        <f>SUM(AU22:AV22)</f>
        <v>3351</v>
      </c>
      <c r="AX22" s="43">
        <v>1161</v>
      </c>
      <c r="AY22" s="44">
        <v>2024</v>
      </c>
      <c r="AZ22" s="42">
        <f>SUM(AX22:AY22)</f>
        <v>3185</v>
      </c>
      <c r="BA22" s="43">
        <v>1325</v>
      </c>
      <c r="BB22" s="44">
        <v>1953</v>
      </c>
      <c r="BC22" s="42">
        <f>SUM(BA22:BB22)</f>
        <v>3278</v>
      </c>
      <c r="BD22" s="43">
        <v>1627</v>
      </c>
      <c r="BE22" s="44">
        <v>1831</v>
      </c>
      <c r="BF22" s="42">
        <f>SUM(BD22:BE22)</f>
        <v>3458</v>
      </c>
      <c r="BG22" s="43">
        <v>1771</v>
      </c>
      <c r="BH22" s="44">
        <v>2060</v>
      </c>
      <c r="BI22" s="42">
        <f>SUM(BG22:BH22)</f>
        <v>3831</v>
      </c>
    </row>
    <row r="23" spans="1:61" s="38" customFormat="1" ht="15" customHeight="1" x14ac:dyDescent="0.3">
      <c r="A23" s="45" t="s">
        <v>67</v>
      </c>
      <c r="B23" s="46">
        <v>156</v>
      </c>
      <c r="C23" s="47">
        <v>315</v>
      </c>
      <c r="D23" s="48">
        <v>471</v>
      </c>
      <c r="E23" s="49">
        <v>161</v>
      </c>
      <c r="F23" s="47">
        <v>426</v>
      </c>
      <c r="G23" s="48">
        <v>587</v>
      </c>
      <c r="H23" s="46">
        <v>205</v>
      </c>
      <c r="I23" s="50">
        <v>521</v>
      </c>
      <c r="J23" s="48">
        <v>726</v>
      </c>
      <c r="K23" s="46">
        <v>185</v>
      </c>
      <c r="L23" s="50">
        <v>504</v>
      </c>
      <c r="M23" s="48">
        <v>689</v>
      </c>
      <c r="N23" s="46">
        <v>261</v>
      </c>
      <c r="O23" s="50">
        <v>614</v>
      </c>
      <c r="P23" s="48">
        <v>875</v>
      </c>
      <c r="Q23" s="46">
        <v>329</v>
      </c>
      <c r="R23" s="50">
        <v>653</v>
      </c>
      <c r="S23" s="48">
        <v>982</v>
      </c>
      <c r="T23" s="46">
        <v>346</v>
      </c>
      <c r="U23" s="50">
        <v>719</v>
      </c>
      <c r="V23" s="48">
        <v>1065</v>
      </c>
      <c r="W23" s="46">
        <v>382</v>
      </c>
      <c r="X23" s="50">
        <v>847</v>
      </c>
      <c r="Y23" s="48">
        <f t="shared" si="0"/>
        <v>1229</v>
      </c>
      <c r="Z23" s="51">
        <v>455</v>
      </c>
      <c r="AA23" s="50">
        <v>875</v>
      </c>
      <c r="AB23" s="48">
        <f t="shared" si="1"/>
        <v>1330</v>
      </c>
      <c r="AC23" s="51">
        <v>515</v>
      </c>
      <c r="AD23" s="50">
        <v>1073</v>
      </c>
      <c r="AE23" s="48">
        <f t="shared" si="2"/>
        <v>1588</v>
      </c>
      <c r="AF23" s="51">
        <v>494</v>
      </c>
      <c r="AG23" s="50">
        <v>1029</v>
      </c>
      <c r="AH23" s="48">
        <f>SUM(AF23:AG23)</f>
        <v>1523</v>
      </c>
      <c r="AI23" s="43">
        <v>435</v>
      </c>
      <c r="AJ23" s="50">
        <v>1042</v>
      </c>
      <c r="AK23" s="48">
        <f>SUM(AI23:AJ23)</f>
        <v>1477</v>
      </c>
      <c r="AL23" s="43">
        <v>483</v>
      </c>
      <c r="AM23" s="50">
        <v>984</v>
      </c>
      <c r="AN23" s="48">
        <f>SUM(AL23:AM23)</f>
        <v>1467</v>
      </c>
      <c r="AO23" s="43">
        <v>490</v>
      </c>
      <c r="AP23" s="50">
        <v>1031</v>
      </c>
      <c r="AQ23" s="48">
        <f>SUM(AO23:AP23)</f>
        <v>1521</v>
      </c>
      <c r="AR23" s="43">
        <v>400</v>
      </c>
      <c r="AS23" s="50">
        <v>892</v>
      </c>
      <c r="AT23" s="48">
        <f>SUM(AR23:AS23)</f>
        <v>1292</v>
      </c>
      <c r="AU23" s="43">
        <v>441</v>
      </c>
      <c r="AV23" s="50">
        <v>1016</v>
      </c>
      <c r="AW23" s="48">
        <f>SUM(AU23:AV23)</f>
        <v>1457</v>
      </c>
      <c r="AX23" s="43">
        <v>515</v>
      </c>
      <c r="AY23" s="50">
        <v>835</v>
      </c>
      <c r="AZ23" s="48">
        <f>SUM(AX23:AY23)</f>
        <v>1350</v>
      </c>
      <c r="BA23" s="43">
        <v>494</v>
      </c>
      <c r="BB23" s="50">
        <v>711</v>
      </c>
      <c r="BC23" s="48">
        <f>SUM(BA23:BB23)</f>
        <v>1205</v>
      </c>
      <c r="BD23" s="43">
        <v>555</v>
      </c>
      <c r="BE23" s="50">
        <v>577</v>
      </c>
      <c r="BF23" s="48">
        <f>SUM(BD23:BE23)</f>
        <v>1132</v>
      </c>
      <c r="BG23" s="43">
        <v>502</v>
      </c>
      <c r="BH23" s="50">
        <v>625</v>
      </c>
      <c r="BI23" s="48">
        <f>SUM(BG23:BH23)</f>
        <v>1127</v>
      </c>
    </row>
    <row r="24" spans="1:61" s="38" customFormat="1" ht="15" customHeight="1" x14ac:dyDescent="0.3">
      <c r="A24" s="64" t="s">
        <v>68</v>
      </c>
      <c r="B24" s="65">
        <f>SUM(B21:B23)</f>
        <v>1427</v>
      </c>
      <c r="C24" s="66">
        <f t="shared" ref="C24:BC24" si="19">SUM(C21:C23)</f>
        <v>3655</v>
      </c>
      <c r="D24" s="67">
        <f t="shared" si="19"/>
        <v>5082</v>
      </c>
      <c r="E24" s="65">
        <f t="shared" si="19"/>
        <v>1519</v>
      </c>
      <c r="F24" s="66">
        <f t="shared" si="19"/>
        <v>3865</v>
      </c>
      <c r="G24" s="67">
        <f t="shared" si="19"/>
        <v>5384</v>
      </c>
      <c r="H24" s="65">
        <f t="shared" si="19"/>
        <v>1635</v>
      </c>
      <c r="I24" s="66">
        <f t="shared" si="19"/>
        <v>4043</v>
      </c>
      <c r="J24" s="67">
        <f t="shared" si="19"/>
        <v>5678</v>
      </c>
      <c r="K24" s="65">
        <f t="shared" si="19"/>
        <v>1712</v>
      </c>
      <c r="L24" s="66">
        <f t="shared" si="19"/>
        <v>3677</v>
      </c>
      <c r="M24" s="67">
        <f t="shared" si="19"/>
        <v>5389</v>
      </c>
      <c r="N24" s="65">
        <f t="shared" si="19"/>
        <v>1774</v>
      </c>
      <c r="O24" s="66">
        <f t="shared" si="19"/>
        <v>4347</v>
      </c>
      <c r="P24" s="67">
        <f t="shared" si="19"/>
        <v>6121</v>
      </c>
      <c r="Q24" s="65">
        <f t="shared" si="19"/>
        <v>2301</v>
      </c>
      <c r="R24" s="66">
        <f t="shared" si="19"/>
        <v>4621</v>
      </c>
      <c r="S24" s="67">
        <f t="shared" si="19"/>
        <v>6922</v>
      </c>
      <c r="T24" s="65">
        <f t="shared" si="19"/>
        <v>2373</v>
      </c>
      <c r="U24" s="66">
        <f t="shared" si="19"/>
        <v>5031</v>
      </c>
      <c r="V24" s="67">
        <f t="shared" si="19"/>
        <v>7404</v>
      </c>
      <c r="W24" s="65">
        <f t="shared" si="19"/>
        <v>2570</v>
      </c>
      <c r="X24" s="66">
        <f t="shared" si="19"/>
        <v>5798</v>
      </c>
      <c r="Y24" s="67">
        <f t="shared" si="19"/>
        <v>8368</v>
      </c>
      <c r="Z24" s="65">
        <f t="shared" si="19"/>
        <v>2925</v>
      </c>
      <c r="AA24" s="66">
        <f t="shared" si="19"/>
        <v>5433</v>
      </c>
      <c r="AB24" s="67">
        <f t="shared" si="19"/>
        <v>8358</v>
      </c>
      <c r="AC24" s="65">
        <f t="shared" si="19"/>
        <v>2899</v>
      </c>
      <c r="AD24" s="66">
        <f t="shared" si="19"/>
        <v>6579</v>
      </c>
      <c r="AE24" s="67">
        <f t="shared" si="19"/>
        <v>9478</v>
      </c>
      <c r="AF24" s="65">
        <f t="shared" si="19"/>
        <v>2605</v>
      </c>
      <c r="AG24" s="66">
        <f t="shared" si="19"/>
        <v>6052</v>
      </c>
      <c r="AH24" s="67">
        <f t="shared" si="19"/>
        <v>8657</v>
      </c>
      <c r="AI24" s="68">
        <f t="shared" si="19"/>
        <v>2266</v>
      </c>
      <c r="AJ24" s="69">
        <f t="shared" si="19"/>
        <v>5719</v>
      </c>
      <c r="AK24" s="67">
        <f t="shared" si="19"/>
        <v>7985</v>
      </c>
      <c r="AL24" s="68">
        <f t="shared" si="19"/>
        <v>2298</v>
      </c>
      <c r="AM24" s="69">
        <f t="shared" si="19"/>
        <v>5473</v>
      </c>
      <c r="AN24" s="67">
        <f t="shared" si="19"/>
        <v>7771</v>
      </c>
      <c r="AO24" s="68">
        <f t="shared" si="19"/>
        <v>2211</v>
      </c>
      <c r="AP24" s="69">
        <f t="shared" si="19"/>
        <v>5501</v>
      </c>
      <c r="AQ24" s="67">
        <f t="shared" si="19"/>
        <v>7712</v>
      </c>
      <c r="AR24" s="68">
        <f t="shared" si="19"/>
        <v>2087</v>
      </c>
      <c r="AS24" s="69">
        <f t="shared" si="19"/>
        <v>5266</v>
      </c>
      <c r="AT24" s="67">
        <f t="shared" si="19"/>
        <v>7353</v>
      </c>
      <c r="AU24" s="68">
        <f t="shared" si="19"/>
        <v>2143</v>
      </c>
      <c r="AV24" s="69">
        <f t="shared" si="19"/>
        <v>5668</v>
      </c>
      <c r="AW24" s="67">
        <f t="shared" si="19"/>
        <v>7811</v>
      </c>
      <c r="AX24" s="68">
        <f t="shared" si="19"/>
        <v>2687</v>
      </c>
      <c r="AY24" s="69">
        <f t="shared" si="19"/>
        <v>4586</v>
      </c>
      <c r="AZ24" s="67">
        <f t="shared" si="19"/>
        <v>7273</v>
      </c>
      <c r="BA24" s="68">
        <f t="shared" si="19"/>
        <v>2884</v>
      </c>
      <c r="BB24" s="69">
        <f t="shared" si="19"/>
        <v>4324</v>
      </c>
      <c r="BC24" s="67">
        <f t="shared" si="19"/>
        <v>7208</v>
      </c>
      <c r="BD24" s="68">
        <f t="shared" ref="BD24:BF24" si="20">SUM(BD21:BD23)</f>
        <v>3611</v>
      </c>
      <c r="BE24" s="69">
        <f t="shared" si="20"/>
        <v>3934</v>
      </c>
      <c r="BF24" s="67">
        <f t="shared" si="20"/>
        <v>7545</v>
      </c>
      <c r="BG24" s="68">
        <f t="shared" ref="BG24:BI24" si="21">SUM(BG21:BG23)</f>
        <v>3581</v>
      </c>
      <c r="BH24" s="69">
        <f t="shared" si="21"/>
        <v>4389</v>
      </c>
      <c r="BI24" s="67">
        <f t="shared" si="21"/>
        <v>7970</v>
      </c>
    </row>
    <row r="25" spans="1:61" s="38" customFormat="1" ht="15" customHeight="1" x14ac:dyDescent="0.3">
      <c r="A25" s="70" t="s">
        <v>69</v>
      </c>
      <c r="B25" s="71">
        <f>SUM(B24,B20,B15)</f>
        <v>4959</v>
      </c>
      <c r="C25" s="72">
        <f t="shared" ref="C25:BC25" si="22">SUM(C24,C20,C15)</f>
        <v>14018</v>
      </c>
      <c r="D25" s="73">
        <f t="shared" si="22"/>
        <v>18977</v>
      </c>
      <c r="E25" s="71">
        <f t="shared" si="22"/>
        <v>5695</v>
      </c>
      <c r="F25" s="72">
        <f t="shared" si="22"/>
        <v>15667</v>
      </c>
      <c r="G25" s="73">
        <f t="shared" si="22"/>
        <v>21362</v>
      </c>
      <c r="H25" s="71">
        <f t="shared" si="22"/>
        <v>6317</v>
      </c>
      <c r="I25" s="72">
        <f t="shared" si="22"/>
        <v>15513</v>
      </c>
      <c r="J25" s="73">
        <f t="shared" si="22"/>
        <v>21830</v>
      </c>
      <c r="K25" s="71">
        <f t="shared" si="22"/>
        <v>6511</v>
      </c>
      <c r="L25" s="72">
        <f t="shared" si="22"/>
        <v>13785</v>
      </c>
      <c r="M25" s="73">
        <f t="shared" si="22"/>
        <v>20296</v>
      </c>
      <c r="N25" s="71">
        <f t="shared" si="22"/>
        <v>6183</v>
      </c>
      <c r="O25" s="72">
        <f t="shared" si="22"/>
        <v>15185</v>
      </c>
      <c r="P25" s="73">
        <f t="shared" si="22"/>
        <v>21368</v>
      </c>
      <c r="Q25" s="71">
        <f t="shared" si="22"/>
        <v>7343</v>
      </c>
      <c r="R25" s="72">
        <f t="shared" si="22"/>
        <v>15626</v>
      </c>
      <c r="S25" s="73">
        <f t="shared" si="22"/>
        <v>22969</v>
      </c>
      <c r="T25" s="71">
        <f t="shared" si="22"/>
        <v>7557</v>
      </c>
      <c r="U25" s="72">
        <f t="shared" si="22"/>
        <v>16906</v>
      </c>
      <c r="V25" s="73">
        <f t="shared" si="22"/>
        <v>24463</v>
      </c>
      <c r="W25" s="71">
        <f t="shared" si="22"/>
        <v>8376</v>
      </c>
      <c r="X25" s="72">
        <f t="shared" si="22"/>
        <v>19160</v>
      </c>
      <c r="Y25" s="73">
        <f t="shared" si="22"/>
        <v>27536</v>
      </c>
      <c r="Z25" s="71">
        <f t="shared" si="22"/>
        <v>9305</v>
      </c>
      <c r="AA25" s="72">
        <f t="shared" si="22"/>
        <v>18081</v>
      </c>
      <c r="AB25" s="73">
        <f t="shared" si="22"/>
        <v>27386</v>
      </c>
      <c r="AC25" s="71">
        <f t="shared" si="22"/>
        <v>9270</v>
      </c>
      <c r="AD25" s="72">
        <f t="shared" si="22"/>
        <v>20942</v>
      </c>
      <c r="AE25" s="73">
        <f t="shared" si="22"/>
        <v>30212</v>
      </c>
      <c r="AF25" s="71">
        <f t="shared" si="22"/>
        <v>8326</v>
      </c>
      <c r="AG25" s="72">
        <f t="shared" si="22"/>
        <v>20665</v>
      </c>
      <c r="AH25" s="73">
        <f t="shared" si="22"/>
        <v>28991</v>
      </c>
      <c r="AI25" s="71">
        <f t="shared" si="22"/>
        <v>7263</v>
      </c>
      <c r="AJ25" s="72">
        <f t="shared" si="22"/>
        <v>20570</v>
      </c>
      <c r="AK25" s="73">
        <f t="shared" si="22"/>
        <v>27833</v>
      </c>
      <c r="AL25" s="71">
        <f t="shared" si="22"/>
        <v>7922</v>
      </c>
      <c r="AM25" s="72">
        <f t="shared" si="22"/>
        <v>21375</v>
      </c>
      <c r="AN25" s="73">
        <f t="shared" si="22"/>
        <v>29297</v>
      </c>
      <c r="AO25" s="71">
        <f t="shared" si="22"/>
        <v>8038</v>
      </c>
      <c r="AP25" s="72">
        <f t="shared" si="22"/>
        <v>21325</v>
      </c>
      <c r="AQ25" s="73">
        <f t="shared" si="22"/>
        <v>29363</v>
      </c>
      <c r="AR25" s="71">
        <f t="shared" si="22"/>
        <v>7728</v>
      </c>
      <c r="AS25" s="72">
        <f t="shared" si="22"/>
        <v>20954</v>
      </c>
      <c r="AT25" s="73">
        <f t="shared" si="22"/>
        <v>28682</v>
      </c>
      <c r="AU25" s="71">
        <f t="shared" si="22"/>
        <v>7699</v>
      </c>
      <c r="AV25" s="72">
        <f t="shared" si="22"/>
        <v>22434</v>
      </c>
      <c r="AW25" s="73">
        <f t="shared" si="22"/>
        <v>30133</v>
      </c>
      <c r="AX25" s="71">
        <f t="shared" si="22"/>
        <v>9880</v>
      </c>
      <c r="AY25" s="72">
        <f t="shared" si="22"/>
        <v>15852</v>
      </c>
      <c r="AZ25" s="73">
        <f t="shared" si="22"/>
        <v>25732</v>
      </c>
      <c r="BA25" s="71">
        <f t="shared" si="22"/>
        <v>8987</v>
      </c>
      <c r="BB25" s="72">
        <f t="shared" si="22"/>
        <v>13456</v>
      </c>
      <c r="BC25" s="73">
        <f t="shared" si="22"/>
        <v>22443</v>
      </c>
      <c r="BD25" s="71">
        <f t="shared" ref="BD25:BF25" si="23">SUM(BD24,BD20,BD15)</f>
        <v>11301</v>
      </c>
      <c r="BE25" s="72">
        <f t="shared" si="23"/>
        <v>11867</v>
      </c>
      <c r="BF25" s="73">
        <f t="shared" si="23"/>
        <v>23168</v>
      </c>
      <c r="BG25" s="71">
        <f t="shared" ref="BG25:BI25" si="24">SUM(BG24,BG20,BG15)</f>
        <v>11116</v>
      </c>
      <c r="BH25" s="72">
        <f t="shared" si="24"/>
        <v>13568</v>
      </c>
      <c r="BI25" s="73">
        <f t="shared" si="24"/>
        <v>24684</v>
      </c>
    </row>
    <row r="26" spans="1:61" s="38" customFormat="1" ht="15" customHeight="1" x14ac:dyDescent="0.3">
      <c r="A26" s="74" t="s">
        <v>70</v>
      </c>
      <c r="B26" s="75">
        <v>87</v>
      </c>
      <c r="C26" s="76">
        <v>215</v>
      </c>
      <c r="D26" s="77">
        <v>302</v>
      </c>
      <c r="E26" s="75">
        <v>73</v>
      </c>
      <c r="F26" s="76">
        <v>225</v>
      </c>
      <c r="G26" s="77">
        <v>298</v>
      </c>
      <c r="H26" s="75">
        <v>99</v>
      </c>
      <c r="I26" s="76">
        <v>265</v>
      </c>
      <c r="J26" s="77">
        <v>364</v>
      </c>
      <c r="K26" s="75">
        <v>102</v>
      </c>
      <c r="L26" s="76">
        <v>216</v>
      </c>
      <c r="M26" s="77">
        <v>318</v>
      </c>
      <c r="N26" s="75">
        <v>76</v>
      </c>
      <c r="O26" s="76">
        <v>216</v>
      </c>
      <c r="P26" s="77">
        <v>292</v>
      </c>
      <c r="Q26" s="75">
        <v>95</v>
      </c>
      <c r="R26" s="76">
        <v>200</v>
      </c>
      <c r="S26" s="77">
        <v>295</v>
      </c>
      <c r="T26" s="75">
        <v>99</v>
      </c>
      <c r="U26" s="76">
        <v>291</v>
      </c>
      <c r="V26" s="77">
        <v>390</v>
      </c>
      <c r="W26" s="75"/>
      <c r="X26" s="76">
        <v>323</v>
      </c>
      <c r="Y26" s="77">
        <f t="shared" si="0"/>
        <v>323</v>
      </c>
      <c r="Z26" s="78"/>
      <c r="AA26" s="79">
        <v>357</v>
      </c>
      <c r="AB26" s="77">
        <f t="shared" si="1"/>
        <v>357</v>
      </c>
      <c r="AC26" s="78"/>
      <c r="AD26" s="79">
        <v>456</v>
      </c>
      <c r="AE26" s="77">
        <f t="shared" si="2"/>
        <v>456</v>
      </c>
      <c r="AF26" s="78"/>
      <c r="AG26" s="79">
        <v>484</v>
      </c>
      <c r="AH26" s="77">
        <f t="shared" ref="AH26:AH34" si="25">SUM(AF26:AG26)</f>
        <v>484</v>
      </c>
      <c r="AI26" s="36"/>
      <c r="AJ26" s="79">
        <v>577</v>
      </c>
      <c r="AK26" s="77">
        <f t="shared" ref="AK26:AK34" si="26">SUM(AI26:AJ26)</f>
        <v>577</v>
      </c>
      <c r="AL26" s="36"/>
      <c r="AM26" s="79">
        <v>697</v>
      </c>
      <c r="AN26" s="77">
        <f t="shared" ref="AN26:AN34" si="27">SUM(AL26:AM26)</f>
        <v>697</v>
      </c>
      <c r="AO26" s="36"/>
      <c r="AP26" s="79">
        <v>705</v>
      </c>
      <c r="AQ26" s="77">
        <f t="shared" ref="AQ26:AQ35" si="28">SUM(AO26:AP26)</f>
        <v>705</v>
      </c>
      <c r="AR26" s="36"/>
      <c r="AS26" s="79">
        <v>692</v>
      </c>
      <c r="AT26" s="77">
        <f t="shared" ref="AT26:AT35" si="29">SUM(AR26:AS26)</f>
        <v>692</v>
      </c>
      <c r="AU26" s="36"/>
      <c r="AV26" s="79">
        <v>762</v>
      </c>
      <c r="AW26" s="77">
        <f t="shared" ref="AW26:AW35" si="30">SUM(AU26:AV26)</f>
        <v>762</v>
      </c>
      <c r="AX26" s="36"/>
      <c r="AY26" s="79">
        <v>650</v>
      </c>
      <c r="AZ26" s="77">
        <f t="shared" ref="AZ26:AZ35" si="31">SUM(AX26:AY26)</f>
        <v>650</v>
      </c>
      <c r="BA26" s="36"/>
      <c r="BB26" s="79">
        <v>555</v>
      </c>
      <c r="BC26" s="77">
        <f t="shared" ref="BC26:BC35" si="32">SUM(BA26:BB26)</f>
        <v>555</v>
      </c>
      <c r="BD26" s="36"/>
      <c r="BE26" s="79">
        <v>443</v>
      </c>
      <c r="BF26" s="77">
        <f t="shared" ref="BF26:BF35" si="33">SUM(BD26:BE26)</f>
        <v>443</v>
      </c>
      <c r="BG26" s="36"/>
      <c r="BH26" s="79">
        <v>497</v>
      </c>
      <c r="BI26" s="77">
        <f t="shared" ref="BI26:BI35" si="34">SUM(BG26:BH26)</f>
        <v>497</v>
      </c>
    </row>
    <row r="27" spans="1:61" s="38" customFormat="1" ht="15" customHeight="1" x14ac:dyDescent="0.3">
      <c r="A27" s="39" t="s">
        <v>71</v>
      </c>
      <c r="B27" s="40">
        <v>15</v>
      </c>
      <c r="C27" s="41">
        <v>22</v>
      </c>
      <c r="D27" s="42">
        <v>37</v>
      </c>
      <c r="E27" s="40">
        <v>21</v>
      </c>
      <c r="F27" s="41">
        <v>41</v>
      </c>
      <c r="G27" s="42">
        <v>62</v>
      </c>
      <c r="H27" s="40">
        <v>17</v>
      </c>
      <c r="I27" s="41">
        <v>41</v>
      </c>
      <c r="J27" s="42">
        <v>58</v>
      </c>
      <c r="K27" s="40">
        <v>16</v>
      </c>
      <c r="L27" s="41">
        <v>29</v>
      </c>
      <c r="M27" s="42">
        <v>45</v>
      </c>
      <c r="N27" s="40">
        <v>20</v>
      </c>
      <c r="O27" s="41">
        <v>31</v>
      </c>
      <c r="P27" s="42">
        <v>51</v>
      </c>
      <c r="Q27" s="40"/>
      <c r="R27" s="41">
        <v>58</v>
      </c>
      <c r="S27" s="42">
        <v>58</v>
      </c>
      <c r="T27" s="40"/>
      <c r="U27" s="41">
        <v>47</v>
      </c>
      <c r="V27" s="42">
        <v>47</v>
      </c>
      <c r="W27" s="40"/>
      <c r="X27" s="41">
        <v>65</v>
      </c>
      <c r="Y27" s="42">
        <f t="shared" si="0"/>
        <v>65</v>
      </c>
      <c r="Z27" s="43"/>
      <c r="AA27" s="44">
        <v>76</v>
      </c>
      <c r="AB27" s="42">
        <f t="shared" si="1"/>
        <v>76</v>
      </c>
      <c r="AC27" s="43"/>
      <c r="AD27" s="44">
        <v>84</v>
      </c>
      <c r="AE27" s="42">
        <f t="shared" si="2"/>
        <v>84</v>
      </c>
      <c r="AF27" s="43"/>
      <c r="AG27" s="44">
        <v>66</v>
      </c>
      <c r="AH27" s="42">
        <f t="shared" si="25"/>
        <v>66</v>
      </c>
      <c r="AI27" s="43"/>
      <c r="AJ27" s="44">
        <v>85</v>
      </c>
      <c r="AK27" s="42">
        <f t="shared" si="26"/>
        <v>85</v>
      </c>
      <c r="AL27" s="43"/>
      <c r="AM27" s="44">
        <v>100</v>
      </c>
      <c r="AN27" s="42">
        <f t="shared" si="27"/>
        <v>100</v>
      </c>
      <c r="AO27" s="43"/>
      <c r="AP27" s="44">
        <v>67</v>
      </c>
      <c r="AQ27" s="42">
        <f t="shared" si="28"/>
        <v>67</v>
      </c>
      <c r="AR27" s="43"/>
      <c r="AS27" s="44">
        <v>71</v>
      </c>
      <c r="AT27" s="42">
        <f t="shared" si="29"/>
        <v>71</v>
      </c>
      <c r="AU27" s="43"/>
      <c r="AV27" s="44">
        <v>96</v>
      </c>
      <c r="AW27" s="42">
        <f t="shared" si="30"/>
        <v>96</v>
      </c>
      <c r="AX27" s="43"/>
      <c r="AY27" s="44">
        <v>65</v>
      </c>
      <c r="AZ27" s="42">
        <f t="shared" si="31"/>
        <v>65</v>
      </c>
      <c r="BA27" s="43"/>
      <c r="BB27" s="44">
        <v>39</v>
      </c>
      <c r="BC27" s="42">
        <f t="shared" si="32"/>
        <v>39</v>
      </c>
      <c r="BD27" s="43"/>
      <c r="BE27" s="44">
        <v>44</v>
      </c>
      <c r="BF27" s="42">
        <f t="shared" si="33"/>
        <v>44</v>
      </c>
      <c r="BG27" s="43"/>
      <c r="BH27" s="44">
        <v>33</v>
      </c>
      <c r="BI27" s="42">
        <f t="shared" si="34"/>
        <v>33</v>
      </c>
    </row>
    <row r="28" spans="1:61" s="38" customFormat="1" ht="15" customHeight="1" x14ac:dyDescent="0.3">
      <c r="A28" s="39" t="s">
        <v>56</v>
      </c>
      <c r="B28" s="40">
        <v>35</v>
      </c>
      <c r="C28" s="41">
        <v>91</v>
      </c>
      <c r="D28" s="42">
        <v>126</v>
      </c>
      <c r="E28" s="40">
        <v>54</v>
      </c>
      <c r="F28" s="41">
        <v>118</v>
      </c>
      <c r="G28" s="42">
        <v>172</v>
      </c>
      <c r="H28" s="40">
        <v>52</v>
      </c>
      <c r="I28" s="41">
        <v>148</v>
      </c>
      <c r="J28" s="42">
        <v>200</v>
      </c>
      <c r="K28" s="40">
        <v>63</v>
      </c>
      <c r="L28" s="41">
        <v>145</v>
      </c>
      <c r="M28" s="42">
        <v>208</v>
      </c>
      <c r="N28" s="40">
        <v>49</v>
      </c>
      <c r="O28" s="41">
        <v>128</v>
      </c>
      <c r="P28" s="42">
        <v>177</v>
      </c>
      <c r="Q28" s="40">
        <v>61</v>
      </c>
      <c r="R28" s="41">
        <v>134</v>
      </c>
      <c r="S28" s="42">
        <v>195</v>
      </c>
      <c r="T28" s="40">
        <v>69</v>
      </c>
      <c r="U28" s="41">
        <v>164</v>
      </c>
      <c r="V28" s="42">
        <v>233</v>
      </c>
      <c r="W28" s="40">
        <v>100</v>
      </c>
      <c r="X28" s="41">
        <v>214</v>
      </c>
      <c r="Y28" s="42">
        <f t="shared" si="0"/>
        <v>314</v>
      </c>
      <c r="Z28" s="43">
        <v>95</v>
      </c>
      <c r="AA28" s="44">
        <v>180</v>
      </c>
      <c r="AB28" s="42">
        <f t="shared" si="1"/>
        <v>275</v>
      </c>
      <c r="AC28" s="43">
        <v>91</v>
      </c>
      <c r="AD28" s="44">
        <v>213</v>
      </c>
      <c r="AE28" s="42">
        <f t="shared" si="2"/>
        <v>304</v>
      </c>
      <c r="AF28" s="43">
        <v>120</v>
      </c>
      <c r="AG28" s="44">
        <v>314</v>
      </c>
      <c r="AH28" s="42">
        <f t="shared" si="25"/>
        <v>434</v>
      </c>
      <c r="AI28" s="43">
        <v>107</v>
      </c>
      <c r="AJ28" s="44">
        <v>310</v>
      </c>
      <c r="AK28" s="42">
        <f t="shared" si="26"/>
        <v>417</v>
      </c>
      <c r="AL28" s="43">
        <v>118</v>
      </c>
      <c r="AM28" s="44">
        <v>420</v>
      </c>
      <c r="AN28" s="42">
        <f t="shared" si="27"/>
        <v>538</v>
      </c>
      <c r="AO28" s="43">
        <v>164</v>
      </c>
      <c r="AP28" s="44">
        <v>406</v>
      </c>
      <c r="AQ28" s="42">
        <f t="shared" si="28"/>
        <v>570</v>
      </c>
      <c r="AR28" s="43"/>
      <c r="AS28" s="44">
        <v>453</v>
      </c>
      <c r="AT28" s="42">
        <f t="shared" si="29"/>
        <v>453</v>
      </c>
      <c r="AU28" s="43"/>
      <c r="AV28" s="44">
        <v>515</v>
      </c>
      <c r="AW28" s="42">
        <f t="shared" si="30"/>
        <v>515</v>
      </c>
      <c r="AX28" s="43"/>
      <c r="AY28" s="44">
        <v>382</v>
      </c>
      <c r="AZ28" s="42">
        <f t="shared" si="31"/>
        <v>382</v>
      </c>
      <c r="BA28" s="43"/>
      <c r="BB28" s="44">
        <v>350</v>
      </c>
      <c r="BC28" s="42">
        <f t="shared" si="32"/>
        <v>350</v>
      </c>
      <c r="BD28" s="43"/>
      <c r="BE28" s="44">
        <v>224</v>
      </c>
      <c r="BF28" s="42">
        <f t="shared" si="33"/>
        <v>224</v>
      </c>
      <c r="BG28" s="43"/>
      <c r="BH28" s="44">
        <v>203</v>
      </c>
      <c r="BI28" s="42">
        <f t="shared" si="34"/>
        <v>203</v>
      </c>
    </row>
    <row r="29" spans="1:61" s="38" customFormat="1" ht="15" customHeight="1" x14ac:dyDescent="0.3">
      <c r="A29" s="39" t="s">
        <v>72</v>
      </c>
      <c r="B29" s="40">
        <v>31</v>
      </c>
      <c r="C29" s="41">
        <v>64</v>
      </c>
      <c r="D29" s="42">
        <v>95</v>
      </c>
      <c r="E29" s="40">
        <v>32</v>
      </c>
      <c r="F29" s="41">
        <v>67</v>
      </c>
      <c r="G29" s="42">
        <v>99</v>
      </c>
      <c r="H29" s="40">
        <v>43</v>
      </c>
      <c r="I29" s="41">
        <v>64</v>
      </c>
      <c r="J29" s="42">
        <v>107</v>
      </c>
      <c r="K29" s="40">
        <v>38</v>
      </c>
      <c r="L29" s="41">
        <v>53</v>
      </c>
      <c r="M29" s="42">
        <v>91</v>
      </c>
      <c r="N29" s="40">
        <v>24</v>
      </c>
      <c r="O29" s="41">
        <v>64</v>
      </c>
      <c r="P29" s="42">
        <v>88</v>
      </c>
      <c r="Q29" s="40">
        <v>45</v>
      </c>
      <c r="R29" s="41">
        <v>70</v>
      </c>
      <c r="S29" s="42">
        <v>115</v>
      </c>
      <c r="T29" s="40">
        <v>56</v>
      </c>
      <c r="U29" s="41">
        <v>121</v>
      </c>
      <c r="V29" s="42">
        <v>177</v>
      </c>
      <c r="W29" s="40">
        <v>97</v>
      </c>
      <c r="X29" s="41">
        <v>103</v>
      </c>
      <c r="Y29" s="42">
        <f t="shared" si="0"/>
        <v>200</v>
      </c>
      <c r="Z29" s="43">
        <v>124</v>
      </c>
      <c r="AA29" s="44">
        <v>125</v>
      </c>
      <c r="AB29" s="42">
        <f t="shared" si="1"/>
        <v>249</v>
      </c>
      <c r="AC29" s="43">
        <v>101</v>
      </c>
      <c r="AD29" s="44">
        <v>169</v>
      </c>
      <c r="AE29" s="42">
        <f t="shared" si="2"/>
        <v>270</v>
      </c>
      <c r="AF29" s="43">
        <v>146</v>
      </c>
      <c r="AG29" s="44">
        <v>225</v>
      </c>
      <c r="AH29" s="42">
        <f t="shared" si="25"/>
        <v>371</v>
      </c>
      <c r="AI29" s="43">
        <v>141</v>
      </c>
      <c r="AJ29" s="44">
        <v>242</v>
      </c>
      <c r="AK29" s="42">
        <f t="shared" si="26"/>
        <v>383</v>
      </c>
      <c r="AL29" s="43">
        <v>144</v>
      </c>
      <c r="AM29" s="44">
        <v>237</v>
      </c>
      <c r="AN29" s="42">
        <f t="shared" si="27"/>
        <v>381</v>
      </c>
      <c r="AO29" s="43">
        <v>152</v>
      </c>
      <c r="AP29" s="44">
        <v>278</v>
      </c>
      <c r="AQ29" s="42">
        <f t="shared" si="28"/>
        <v>430</v>
      </c>
      <c r="AR29" s="43"/>
      <c r="AS29" s="44">
        <v>284</v>
      </c>
      <c r="AT29" s="42">
        <f t="shared" si="29"/>
        <v>284</v>
      </c>
      <c r="AU29" s="43"/>
      <c r="AV29" s="44">
        <v>238</v>
      </c>
      <c r="AW29" s="42">
        <f t="shared" si="30"/>
        <v>238</v>
      </c>
      <c r="AX29" s="43"/>
      <c r="AY29" s="44">
        <v>191</v>
      </c>
      <c r="AZ29" s="42">
        <f t="shared" si="31"/>
        <v>191</v>
      </c>
      <c r="BA29" s="43"/>
      <c r="BB29" s="44">
        <v>105</v>
      </c>
      <c r="BC29" s="42">
        <f t="shared" si="32"/>
        <v>105</v>
      </c>
      <c r="BD29" s="43"/>
      <c r="BE29" s="44">
        <v>97</v>
      </c>
      <c r="BF29" s="42">
        <f t="shared" si="33"/>
        <v>97</v>
      </c>
      <c r="BG29" s="43"/>
      <c r="BH29" s="44">
        <v>74</v>
      </c>
      <c r="BI29" s="42">
        <f t="shared" si="34"/>
        <v>74</v>
      </c>
    </row>
    <row r="30" spans="1:61" s="38" customFormat="1" ht="15" customHeight="1" x14ac:dyDescent="0.3">
      <c r="A30" s="39" t="s">
        <v>73</v>
      </c>
      <c r="B30" s="40">
        <v>14</v>
      </c>
      <c r="C30" s="41">
        <v>39</v>
      </c>
      <c r="D30" s="42">
        <v>53</v>
      </c>
      <c r="E30" s="40">
        <v>12</v>
      </c>
      <c r="F30" s="41">
        <v>57</v>
      </c>
      <c r="G30" s="42">
        <v>69</v>
      </c>
      <c r="H30" s="40">
        <v>22</v>
      </c>
      <c r="I30" s="41">
        <v>64</v>
      </c>
      <c r="J30" s="42">
        <v>86</v>
      </c>
      <c r="K30" s="40">
        <v>29</v>
      </c>
      <c r="L30" s="41">
        <v>44</v>
      </c>
      <c r="M30" s="42">
        <v>73</v>
      </c>
      <c r="N30" s="40">
        <v>23</v>
      </c>
      <c r="O30" s="41">
        <v>62</v>
      </c>
      <c r="P30" s="42">
        <v>85</v>
      </c>
      <c r="Q30" s="40">
        <v>22</v>
      </c>
      <c r="R30" s="41">
        <v>56</v>
      </c>
      <c r="S30" s="42">
        <v>78</v>
      </c>
      <c r="T30" s="40">
        <v>27</v>
      </c>
      <c r="U30" s="41">
        <v>75</v>
      </c>
      <c r="V30" s="42">
        <v>102</v>
      </c>
      <c r="W30" s="40">
        <v>52</v>
      </c>
      <c r="X30" s="41">
        <v>110</v>
      </c>
      <c r="Y30" s="42">
        <f t="shared" si="0"/>
        <v>162</v>
      </c>
      <c r="Z30" s="43">
        <v>63</v>
      </c>
      <c r="AA30" s="44">
        <v>143</v>
      </c>
      <c r="AB30" s="42">
        <f t="shared" si="1"/>
        <v>206</v>
      </c>
      <c r="AC30" s="43">
        <v>84</v>
      </c>
      <c r="AD30" s="44">
        <v>162</v>
      </c>
      <c r="AE30" s="42">
        <f t="shared" si="2"/>
        <v>246</v>
      </c>
      <c r="AF30" s="43">
        <v>82</v>
      </c>
      <c r="AG30" s="44">
        <v>145</v>
      </c>
      <c r="AH30" s="42">
        <f t="shared" si="25"/>
        <v>227</v>
      </c>
      <c r="AI30" s="43">
        <v>65</v>
      </c>
      <c r="AJ30" s="44">
        <v>186</v>
      </c>
      <c r="AK30" s="42">
        <f t="shared" si="26"/>
        <v>251</v>
      </c>
      <c r="AL30" s="43">
        <v>115</v>
      </c>
      <c r="AM30" s="44">
        <v>279</v>
      </c>
      <c r="AN30" s="42">
        <f t="shared" si="27"/>
        <v>394</v>
      </c>
      <c r="AO30" s="43"/>
      <c r="AP30" s="44">
        <v>352</v>
      </c>
      <c r="AQ30" s="42">
        <f t="shared" si="28"/>
        <v>352</v>
      </c>
      <c r="AR30" s="43"/>
      <c r="AS30" s="44">
        <v>366</v>
      </c>
      <c r="AT30" s="42">
        <f t="shared" si="29"/>
        <v>366</v>
      </c>
      <c r="AU30" s="43"/>
      <c r="AV30" s="44">
        <v>606</v>
      </c>
      <c r="AW30" s="42">
        <f t="shared" si="30"/>
        <v>606</v>
      </c>
      <c r="AX30" s="43"/>
      <c r="AY30" s="44">
        <v>518</v>
      </c>
      <c r="AZ30" s="42">
        <f t="shared" si="31"/>
        <v>518</v>
      </c>
      <c r="BA30" s="43"/>
      <c r="BB30" s="44">
        <v>346</v>
      </c>
      <c r="BC30" s="42">
        <f t="shared" si="32"/>
        <v>346</v>
      </c>
      <c r="BD30" s="43"/>
      <c r="BE30" s="44">
        <v>304</v>
      </c>
      <c r="BF30" s="42">
        <f t="shared" si="33"/>
        <v>304</v>
      </c>
      <c r="BG30" s="43"/>
      <c r="BH30" s="44">
        <v>266</v>
      </c>
      <c r="BI30" s="42">
        <f t="shared" si="34"/>
        <v>266</v>
      </c>
    </row>
    <row r="31" spans="1:61" s="38" customFormat="1" ht="15" customHeight="1" x14ac:dyDescent="0.3">
      <c r="A31" s="39" t="s">
        <v>57</v>
      </c>
      <c r="B31" s="40">
        <v>196</v>
      </c>
      <c r="C31" s="41">
        <v>368</v>
      </c>
      <c r="D31" s="42">
        <v>564</v>
      </c>
      <c r="E31" s="40">
        <v>163</v>
      </c>
      <c r="F31" s="41">
        <v>387</v>
      </c>
      <c r="G31" s="42">
        <v>550</v>
      </c>
      <c r="H31" s="40">
        <v>179</v>
      </c>
      <c r="I31" s="41">
        <v>439</v>
      </c>
      <c r="J31" s="42">
        <v>618</v>
      </c>
      <c r="K31" s="40">
        <v>207</v>
      </c>
      <c r="L31" s="41">
        <v>391</v>
      </c>
      <c r="M31" s="42">
        <v>598</v>
      </c>
      <c r="N31" s="40">
        <v>174</v>
      </c>
      <c r="O31" s="41">
        <v>385</v>
      </c>
      <c r="P31" s="42">
        <v>559</v>
      </c>
      <c r="Q31" s="40">
        <v>174</v>
      </c>
      <c r="R31" s="41">
        <v>362</v>
      </c>
      <c r="S31" s="42">
        <v>536</v>
      </c>
      <c r="T31" s="40">
        <v>167</v>
      </c>
      <c r="U31" s="41">
        <v>427</v>
      </c>
      <c r="V31" s="42">
        <v>594</v>
      </c>
      <c r="W31" s="40"/>
      <c r="X31" s="41">
        <v>506</v>
      </c>
      <c r="Y31" s="42">
        <f t="shared" si="0"/>
        <v>506</v>
      </c>
      <c r="Z31" s="43"/>
      <c r="AA31" s="44">
        <v>510</v>
      </c>
      <c r="AB31" s="42">
        <f t="shared" si="1"/>
        <v>510</v>
      </c>
      <c r="AC31" s="43"/>
      <c r="AD31" s="44">
        <v>561</v>
      </c>
      <c r="AE31" s="42">
        <f t="shared" si="2"/>
        <v>561</v>
      </c>
      <c r="AF31" s="43"/>
      <c r="AG31" s="44">
        <v>533</v>
      </c>
      <c r="AH31" s="42">
        <f t="shared" si="25"/>
        <v>533</v>
      </c>
      <c r="AI31" s="43"/>
      <c r="AJ31" s="44">
        <v>518</v>
      </c>
      <c r="AK31" s="42">
        <f t="shared" si="26"/>
        <v>518</v>
      </c>
      <c r="AL31" s="43"/>
      <c r="AM31" s="44">
        <v>592</v>
      </c>
      <c r="AN31" s="42">
        <f t="shared" si="27"/>
        <v>592</v>
      </c>
      <c r="AO31" s="43"/>
      <c r="AP31" s="44">
        <v>583</v>
      </c>
      <c r="AQ31" s="42">
        <f t="shared" si="28"/>
        <v>583</v>
      </c>
      <c r="AR31" s="43"/>
      <c r="AS31" s="44">
        <v>532</v>
      </c>
      <c r="AT31" s="42">
        <f t="shared" si="29"/>
        <v>532</v>
      </c>
      <c r="AU31" s="43"/>
      <c r="AV31" s="44">
        <v>519</v>
      </c>
      <c r="AW31" s="42">
        <f t="shared" si="30"/>
        <v>519</v>
      </c>
      <c r="AX31" s="43"/>
      <c r="AY31" s="44">
        <v>380</v>
      </c>
      <c r="AZ31" s="42">
        <f t="shared" si="31"/>
        <v>380</v>
      </c>
      <c r="BA31" s="43"/>
      <c r="BB31" s="44">
        <v>252</v>
      </c>
      <c r="BC31" s="42">
        <f t="shared" si="32"/>
        <v>252</v>
      </c>
      <c r="BD31" s="43"/>
      <c r="BE31" s="44">
        <v>204</v>
      </c>
      <c r="BF31" s="42">
        <f t="shared" si="33"/>
        <v>204</v>
      </c>
      <c r="BG31" s="43"/>
      <c r="BH31" s="44">
        <v>265</v>
      </c>
      <c r="BI31" s="42">
        <f t="shared" si="34"/>
        <v>265</v>
      </c>
    </row>
    <row r="32" spans="1:61" s="38" customFormat="1" ht="15" customHeight="1" x14ac:dyDescent="0.3">
      <c r="A32" s="39" t="s">
        <v>74</v>
      </c>
      <c r="B32" s="40">
        <v>56</v>
      </c>
      <c r="C32" s="41">
        <v>136</v>
      </c>
      <c r="D32" s="42">
        <v>192</v>
      </c>
      <c r="E32" s="40">
        <v>58</v>
      </c>
      <c r="F32" s="41">
        <v>154</v>
      </c>
      <c r="G32" s="42">
        <v>212</v>
      </c>
      <c r="H32" s="40">
        <v>42</v>
      </c>
      <c r="I32" s="41">
        <v>143</v>
      </c>
      <c r="J32" s="42">
        <v>185</v>
      </c>
      <c r="K32" s="40">
        <v>78</v>
      </c>
      <c r="L32" s="41">
        <v>148</v>
      </c>
      <c r="M32" s="42">
        <v>226</v>
      </c>
      <c r="N32" s="40">
        <v>53</v>
      </c>
      <c r="O32" s="41">
        <v>127</v>
      </c>
      <c r="P32" s="42">
        <v>180</v>
      </c>
      <c r="Q32" s="40">
        <v>72</v>
      </c>
      <c r="R32" s="41">
        <v>174</v>
      </c>
      <c r="S32" s="42">
        <v>246</v>
      </c>
      <c r="T32" s="40">
        <v>70</v>
      </c>
      <c r="U32" s="41">
        <v>193</v>
      </c>
      <c r="V32" s="42">
        <v>263</v>
      </c>
      <c r="W32" s="40"/>
      <c r="X32" s="41">
        <v>242</v>
      </c>
      <c r="Y32" s="42">
        <f t="shared" si="0"/>
        <v>242</v>
      </c>
      <c r="Z32" s="43"/>
      <c r="AA32" s="44">
        <v>258</v>
      </c>
      <c r="AB32" s="42">
        <f t="shared" si="1"/>
        <v>258</v>
      </c>
      <c r="AC32" s="43"/>
      <c r="AD32" s="44">
        <v>310</v>
      </c>
      <c r="AE32" s="42">
        <f t="shared" si="2"/>
        <v>310</v>
      </c>
      <c r="AF32" s="43"/>
      <c r="AG32" s="44">
        <v>288</v>
      </c>
      <c r="AH32" s="42">
        <f t="shared" si="25"/>
        <v>288</v>
      </c>
      <c r="AI32" s="43"/>
      <c r="AJ32" s="44">
        <v>254</v>
      </c>
      <c r="AK32" s="42">
        <f t="shared" si="26"/>
        <v>254</v>
      </c>
      <c r="AL32" s="43"/>
      <c r="AM32" s="44">
        <v>300</v>
      </c>
      <c r="AN32" s="42">
        <f t="shared" si="27"/>
        <v>300</v>
      </c>
      <c r="AO32" s="43"/>
      <c r="AP32" s="44">
        <v>356</v>
      </c>
      <c r="AQ32" s="42">
        <f t="shared" si="28"/>
        <v>356</v>
      </c>
      <c r="AR32" s="43"/>
      <c r="AS32" s="44">
        <v>367</v>
      </c>
      <c r="AT32" s="42">
        <f t="shared" si="29"/>
        <v>367</v>
      </c>
      <c r="AU32" s="43"/>
      <c r="AV32" s="44">
        <v>354</v>
      </c>
      <c r="AW32" s="42">
        <f t="shared" si="30"/>
        <v>354</v>
      </c>
      <c r="AX32" s="43"/>
      <c r="AY32" s="44">
        <v>267</v>
      </c>
      <c r="AZ32" s="42">
        <f t="shared" si="31"/>
        <v>267</v>
      </c>
      <c r="BA32" s="43"/>
      <c r="BB32" s="44">
        <v>213</v>
      </c>
      <c r="BC32" s="42">
        <f t="shared" si="32"/>
        <v>213</v>
      </c>
      <c r="BD32" s="43"/>
      <c r="BE32" s="44">
        <v>199</v>
      </c>
      <c r="BF32" s="42">
        <f t="shared" si="33"/>
        <v>199</v>
      </c>
      <c r="BG32" s="43"/>
      <c r="BH32" s="44">
        <v>149</v>
      </c>
      <c r="BI32" s="42">
        <f t="shared" si="34"/>
        <v>149</v>
      </c>
    </row>
    <row r="33" spans="1:61" s="38" customFormat="1" ht="15" customHeight="1" x14ac:dyDescent="0.3">
      <c r="A33" s="39" t="s">
        <v>75</v>
      </c>
      <c r="B33" s="40">
        <v>15</v>
      </c>
      <c r="C33" s="41">
        <v>31</v>
      </c>
      <c r="D33" s="42">
        <v>46</v>
      </c>
      <c r="E33" s="40">
        <v>11</v>
      </c>
      <c r="F33" s="41">
        <v>30</v>
      </c>
      <c r="G33" s="42">
        <v>41</v>
      </c>
      <c r="H33" s="40">
        <v>16</v>
      </c>
      <c r="I33" s="41">
        <v>53</v>
      </c>
      <c r="J33" s="42">
        <v>69</v>
      </c>
      <c r="K33" s="40">
        <v>18</v>
      </c>
      <c r="L33" s="41">
        <v>42</v>
      </c>
      <c r="M33" s="42">
        <v>60</v>
      </c>
      <c r="N33" s="40">
        <v>21</v>
      </c>
      <c r="O33" s="41">
        <v>42</v>
      </c>
      <c r="P33" s="42">
        <v>63</v>
      </c>
      <c r="Q33" s="40">
        <v>21</v>
      </c>
      <c r="R33" s="41">
        <v>62</v>
      </c>
      <c r="S33" s="42">
        <v>83</v>
      </c>
      <c r="T33" s="40">
        <v>19</v>
      </c>
      <c r="U33" s="41">
        <v>62</v>
      </c>
      <c r="V33" s="42">
        <v>81</v>
      </c>
      <c r="W33" s="40">
        <v>20</v>
      </c>
      <c r="X33" s="41">
        <v>68</v>
      </c>
      <c r="Y33" s="42">
        <f t="shared" si="0"/>
        <v>88</v>
      </c>
      <c r="Z33" s="43">
        <v>34</v>
      </c>
      <c r="AA33" s="44">
        <v>71</v>
      </c>
      <c r="AB33" s="42">
        <f t="shared" si="1"/>
        <v>105</v>
      </c>
      <c r="AC33" s="43">
        <v>44</v>
      </c>
      <c r="AD33" s="44">
        <v>107</v>
      </c>
      <c r="AE33" s="42">
        <f t="shared" si="2"/>
        <v>151</v>
      </c>
      <c r="AF33" s="43">
        <v>37</v>
      </c>
      <c r="AG33" s="44">
        <v>101</v>
      </c>
      <c r="AH33" s="42">
        <f t="shared" si="25"/>
        <v>138</v>
      </c>
      <c r="AI33" s="43">
        <v>47</v>
      </c>
      <c r="AJ33" s="44">
        <v>125</v>
      </c>
      <c r="AK33" s="42">
        <f t="shared" si="26"/>
        <v>172</v>
      </c>
      <c r="AL33" s="43">
        <v>59</v>
      </c>
      <c r="AM33" s="44">
        <v>166</v>
      </c>
      <c r="AN33" s="42">
        <f t="shared" si="27"/>
        <v>225</v>
      </c>
      <c r="AO33" s="43">
        <v>80</v>
      </c>
      <c r="AP33" s="44">
        <v>160</v>
      </c>
      <c r="AQ33" s="42">
        <f t="shared" si="28"/>
        <v>240</v>
      </c>
      <c r="AR33" s="43"/>
      <c r="AS33" s="44">
        <v>213</v>
      </c>
      <c r="AT33" s="42">
        <f t="shared" si="29"/>
        <v>213</v>
      </c>
      <c r="AU33" s="43"/>
      <c r="AV33" s="44">
        <v>275</v>
      </c>
      <c r="AW33" s="42">
        <f t="shared" si="30"/>
        <v>275</v>
      </c>
      <c r="AX33" s="43"/>
      <c r="AY33" s="44">
        <v>223</v>
      </c>
      <c r="AZ33" s="42">
        <f t="shared" si="31"/>
        <v>223</v>
      </c>
      <c r="BA33" s="43"/>
      <c r="BB33" s="44">
        <v>176</v>
      </c>
      <c r="BC33" s="42">
        <f t="shared" si="32"/>
        <v>176</v>
      </c>
      <c r="BD33" s="43"/>
      <c r="BE33" s="44">
        <v>155</v>
      </c>
      <c r="BF33" s="42">
        <f t="shared" si="33"/>
        <v>155</v>
      </c>
      <c r="BG33" s="43"/>
      <c r="BH33" s="44">
        <v>149</v>
      </c>
      <c r="BI33" s="42">
        <f t="shared" si="34"/>
        <v>149</v>
      </c>
    </row>
    <row r="34" spans="1:61" s="38" customFormat="1" ht="15" customHeight="1" x14ac:dyDescent="0.3">
      <c r="A34" s="39" t="s">
        <v>76</v>
      </c>
      <c r="B34" s="40">
        <v>710</v>
      </c>
      <c r="C34" s="80">
        <v>1474</v>
      </c>
      <c r="D34" s="42">
        <v>2184</v>
      </c>
      <c r="E34" s="81">
        <v>478</v>
      </c>
      <c r="F34" s="80">
        <v>971</v>
      </c>
      <c r="G34" s="42">
        <v>1449</v>
      </c>
      <c r="H34" s="40">
        <v>508</v>
      </c>
      <c r="I34" s="41">
        <v>1037</v>
      </c>
      <c r="J34" s="42">
        <v>1545</v>
      </c>
      <c r="K34" s="40">
        <v>511</v>
      </c>
      <c r="L34" s="41">
        <v>879</v>
      </c>
      <c r="M34" s="42">
        <v>1390</v>
      </c>
      <c r="N34" s="40">
        <v>410</v>
      </c>
      <c r="O34" s="41">
        <v>948</v>
      </c>
      <c r="P34" s="42">
        <v>1358</v>
      </c>
      <c r="Q34" s="40">
        <v>475</v>
      </c>
      <c r="R34" s="41">
        <v>972</v>
      </c>
      <c r="S34" s="42">
        <v>1447</v>
      </c>
      <c r="T34" s="40">
        <v>476</v>
      </c>
      <c r="U34" s="41">
        <v>1006</v>
      </c>
      <c r="V34" s="42">
        <v>1482</v>
      </c>
      <c r="W34" s="40"/>
      <c r="X34" s="41">
        <v>1204</v>
      </c>
      <c r="Y34" s="42">
        <f t="shared" si="0"/>
        <v>1204</v>
      </c>
      <c r="Z34" s="43"/>
      <c r="AA34" s="41">
        <v>1045</v>
      </c>
      <c r="AB34" s="42">
        <f t="shared" si="1"/>
        <v>1045</v>
      </c>
      <c r="AC34" s="43"/>
      <c r="AD34" s="41">
        <v>1208</v>
      </c>
      <c r="AE34" s="42">
        <f t="shared" si="2"/>
        <v>1208</v>
      </c>
      <c r="AF34" s="43"/>
      <c r="AG34" s="41">
        <v>1112</v>
      </c>
      <c r="AH34" s="42">
        <f t="shared" si="25"/>
        <v>1112</v>
      </c>
      <c r="AI34" s="43"/>
      <c r="AJ34" s="41">
        <v>977</v>
      </c>
      <c r="AK34" s="42">
        <f t="shared" si="26"/>
        <v>977</v>
      </c>
      <c r="AL34" s="43"/>
      <c r="AM34" s="41">
        <v>904</v>
      </c>
      <c r="AN34" s="42">
        <f t="shared" si="27"/>
        <v>904</v>
      </c>
      <c r="AO34" s="43"/>
      <c r="AP34" s="41">
        <v>911</v>
      </c>
      <c r="AQ34" s="42">
        <f t="shared" si="28"/>
        <v>911</v>
      </c>
      <c r="AR34" s="43"/>
      <c r="AS34" s="41">
        <v>867</v>
      </c>
      <c r="AT34" s="42">
        <f t="shared" si="29"/>
        <v>867</v>
      </c>
      <c r="AU34" s="43"/>
      <c r="AV34" s="41">
        <v>880</v>
      </c>
      <c r="AW34" s="42">
        <f t="shared" si="30"/>
        <v>880</v>
      </c>
      <c r="AX34" s="43"/>
      <c r="AY34" s="41">
        <v>613</v>
      </c>
      <c r="AZ34" s="42">
        <f t="shared" si="31"/>
        <v>613</v>
      </c>
      <c r="BA34" s="43"/>
      <c r="BB34" s="41">
        <v>529</v>
      </c>
      <c r="BC34" s="42">
        <f t="shared" si="32"/>
        <v>529</v>
      </c>
      <c r="BD34" s="43"/>
      <c r="BE34" s="41">
        <v>516</v>
      </c>
      <c r="BF34" s="42">
        <f t="shared" si="33"/>
        <v>516</v>
      </c>
      <c r="BG34" s="43"/>
      <c r="BH34" s="41">
        <v>680</v>
      </c>
      <c r="BI34" s="42">
        <f t="shared" si="34"/>
        <v>680</v>
      </c>
    </row>
    <row r="35" spans="1:61" s="38" customFormat="1" ht="15" customHeight="1" x14ac:dyDescent="0.3">
      <c r="A35" s="45" t="s">
        <v>77</v>
      </c>
      <c r="B35" s="46"/>
      <c r="C35" s="47"/>
      <c r="D35" s="48"/>
      <c r="E35" s="49"/>
      <c r="F35" s="47"/>
      <c r="G35" s="48"/>
      <c r="H35" s="46"/>
      <c r="I35" s="50"/>
      <c r="J35" s="48"/>
      <c r="K35" s="46"/>
      <c r="L35" s="50"/>
      <c r="M35" s="48"/>
      <c r="N35" s="46"/>
      <c r="O35" s="50"/>
      <c r="P35" s="48"/>
      <c r="Q35" s="46"/>
      <c r="R35" s="50"/>
      <c r="S35" s="48"/>
      <c r="T35" s="46"/>
      <c r="U35" s="50"/>
      <c r="V35" s="48"/>
      <c r="W35" s="46"/>
      <c r="X35" s="50"/>
      <c r="Y35" s="48"/>
      <c r="Z35" s="51"/>
      <c r="AA35" s="50"/>
      <c r="AB35" s="48"/>
      <c r="AC35" s="51"/>
      <c r="AD35" s="50"/>
      <c r="AE35" s="48"/>
      <c r="AF35" s="51"/>
      <c r="AG35" s="50"/>
      <c r="AH35" s="48"/>
      <c r="AI35" s="51"/>
      <c r="AJ35" s="50"/>
      <c r="AK35" s="48"/>
      <c r="AL35" s="51"/>
      <c r="AM35" s="50"/>
      <c r="AN35" s="48"/>
      <c r="AO35" s="51"/>
      <c r="AP35" s="50">
        <v>161</v>
      </c>
      <c r="AQ35" s="42">
        <f t="shared" si="28"/>
        <v>161</v>
      </c>
      <c r="AR35" s="51"/>
      <c r="AS35" s="50">
        <v>88</v>
      </c>
      <c r="AT35" s="42">
        <f t="shared" si="29"/>
        <v>88</v>
      </c>
      <c r="AU35" s="51"/>
      <c r="AV35" s="50">
        <v>100</v>
      </c>
      <c r="AW35" s="42">
        <f t="shared" si="30"/>
        <v>100</v>
      </c>
      <c r="AX35" s="51"/>
      <c r="AY35" s="50">
        <v>88</v>
      </c>
      <c r="AZ35" s="42">
        <f t="shared" si="31"/>
        <v>88</v>
      </c>
      <c r="BA35" s="51"/>
      <c r="BB35" s="50">
        <v>46</v>
      </c>
      <c r="BC35" s="42">
        <f t="shared" si="32"/>
        <v>46</v>
      </c>
      <c r="BD35" s="51"/>
      <c r="BE35" s="50">
        <v>23</v>
      </c>
      <c r="BF35" s="42">
        <f t="shared" si="33"/>
        <v>23</v>
      </c>
      <c r="BG35" s="51"/>
      <c r="BH35" s="50">
        <v>55</v>
      </c>
      <c r="BI35" s="42">
        <f t="shared" si="34"/>
        <v>55</v>
      </c>
    </row>
    <row r="36" spans="1:61" s="38" customFormat="1" ht="15" customHeight="1" x14ac:dyDescent="0.3">
      <c r="A36" s="52" t="s">
        <v>59</v>
      </c>
      <c r="B36" s="53">
        <f>SUM(B26:B34)</f>
        <v>1159</v>
      </c>
      <c r="C36" s="54">
        <f t="shared" ref="C36:AK36" si="35">SUM(C26:C34)</f>
        <v>2440</v>
      </c>
      <c r="D36" s="55">
        <f t="shared" si="35"/>
        <v>3599</v>
      </c>
      <c r="E36" s="53">
        <f t="shared" si="35"/>
        <v>902</v>
      </c>
      <c r="F36" s="54">
        <f t="shared" si="35"/>
        <v>2050</v>
      </c>
      <c r="G36" s="55">
        <f t="shared" si="35"/>
        <v>2952</v>
      </c>
      <c r="H36" s="53">
        <f t="shared" si="35"/>
        <v>978</v>
      </c>
      <c r="I36" s="54">
        <f t="shared" si="35"/>
        <v>2254</v>
      </c>
      <c r="J36" s="55">
        <f t="shared" si="35"/>
        <v>3232</v>
      </c>
      <c r="K36" s="53">
        <f t="shared" si="35"/>
        <v>1062</v>
      </c>
      <c r="L36" s="54">
        <f t="shared" si="35"/>
        <v>1947</v>
      </c>
      <c r="M36" s="55">
        <f t="shared" si="35"/>
        <v>3009</v>
      </c>
      <c r="N36" s="53">
        <f t="shared" si="35"/>
        <v>850</v>
      </c>
      <c r="O36" s="54">
        <f t="shared" si="35"/>
        <v>2003</v>
      </c>
      <c r="P36" s="55">
        <f t="shared" si="35"/>
        <v>2853</v>
      </c>
      <c r="Q36" s="53">
        <f t="shared" si="35"/>
        <v>965</v>
      </c>
      <c r="R36" s="54">
        <f t="shared" si="35"/>
        <v>2088</v>
      </c>
      <c r="S36" s="55">
        <f t="shared" si="35"/>
        <v>3053</v>
      </c>
      <c r="T36" s="53">
        <f t="shared" si="35"/>
        <v>983</v>
      </c>
      <c r="U36" s="54">
        <f t="shared" si="35"/>
        <v>2386</v>
      </c>
      <c r="V36" s="55">
        <f t="shared" si="35"/>
        <v>3369</v>
      </c>
      <c r="W36" s="53">
        <f t="shared" si="35"/>
        <v>269</v>
      </c>
      <c r="X36" s="54">
        <f t="shared" si="35"/>
        <v>2835</v>
      </c>
      <c r="Y36" s="55">
        <f t="shared" si="35"/>
        <v>3104</v>
      </c>
      <c r="Z36" s="53">
        <f t="shared" si="35"/>
        <v>316</v>
      </c>
      <c r="AA36" s="54">
        <f t="shared" si="35"/>
        <v>2765</v>
      </c>
      <c r="AB36" s="55">
        <f t="shared" si="35"/>
        <v>3081</v>
      </c>
      <c r="AC36" s="53">
        <f t="shared" si="35"/>
        <v>320</v>
      </c>
      <c r="AD36" s="54">
        <f t="shared" si="35"/>
        <v>3270</v>
      </c>
      <c r="AE36" s="55">
        <f t="shared" si="35"/>
        <v>3590</v>
      </c>
      <c r="AF36" s="53">
        <f t="shared" si="35"/>
        <v>385</v>
      </c>
      <c r="AG36" s="54">
        <f t="shared" si="35"/>
        <v>3268</v>
      </c>
      <c r="AH36" s="55">
        <f t="shared" si="35"/>
        <v>3653</v>
      </c>
      <c r="AI36" s="56">
        <f>SUM(AI26:AI34)</f>
        <v>360</v>
      </c>
      <c r="AJ36" s="57">
        <f>SUM(AJ26:AJ34)</f>
        <v>3274</v>
      </c>
      <c r="AK36" s="55">
        <f t="shared" si="35"/>
        <v>3634</v>
      </c>
      <c r="AL36" s="56">
        <f>SUM(AL26:AL34)</f>
        <v>436</v>
      </c>
      <c r="AM36" s="57">
        <f>SUM(AM26:AM34)</f>
        <v>3695</v>
      </c>
      <c r="AN36" s="55">
        <f>SUM(AN26:AN34)</f>
        <v>4131</v>
      </c>
      <c r="AO36" s="56">
        <f>SUM(AO26:AO34)</f>
        <v>396</v>
      </c>
      <c r="AP36" s="57">
        <f>SUM(AP26:AP35)</f>
        <v>3979</v>
      </c>
      <c r="AQ36" s="55">
        <f>SUM(AQ26:AQ35)</f>
        <v>4375</v>
      </c>
      <c r="AR36" s="56">
        <f>SUM(AR26:AR34)</f>
        <v>0</v>
      </c>
      <c r="AS36" s="57">
        <f>SUM(AS26:AS35)</f>
        <v>3933</v>
      </c>
      <c r="AT36" s="55">
        <f>SUM(AT26:AT35)</f>
        <v>3933</v>
      </c>
      <c r="AU36" s="56">
        <v>0</v>
      </c>
      <c r="AV36" s="57">
        <f>SUM(AV26:AV35)</f>
        <v>4345</v>
      </c>
      <c r="AW36" s="55">
        <f>SUM(AW26:AW35)</f>
        <v>4345</v>
      </c>
      <c r="AX36" s="56">
        <v>0</v>
      </c>
      <c r="AY36" s="57">
        <f>SUM(AY26:AY35)</f>
        <v>3377</v>
      </c>
      <c r="AZ36" s="55">
        <f>SUM(AZ26:AZ35)</f>
        <v>3377</v>
      </c>
      <c r="BA36" s="56">
        <v>0</v>
      </c>
      <c r="BB36" s="57">
        <f>SUM(BB26:BB35)</f>
        <v>2611</v>
      </c>
      <c r="BC36" s="55">
        <f>SUM(BC26:BC35)</f>
        <v>2611</v>
      </c>
      <c r="BD36" s="56">
        <v>0</v>
      </c>
      <c r="BE36" s="57">
        <f>SUM(BE26:BE35)</f>
        <v>2209</v>
      </c>
      <c r="BF36" s="55">
        <f>SUM(BF26:BF35)</f>
        <v>2209</v>
      </c>
      <c r="BG36" s="56">
        <f>SUM(BG26:BG35)</f>
        <v>0</v>
      </c>
      <c r="BH36" s="57">
        <f>SUM(BH26:BH35)</f>
        <v>2371</v>
      </c>
      <c r="BI36" s="55">
        <f>SUM(BI26:BI35)</f>
        <v>2371</v>
      </c>
    </row>
    <row r="37" spans="1:61" s="38" customFormat="1" ht="15" customHeight="1" x14ac:dyDescent="0.3">
      <c r="A37" s="58" t="s">
        <v>60</v>
      </c>
      <c r="B37" s="59">
        <v>706</v>
      </c>
      <c r="C37" s="60">
        <v>1430</v>
      </c>
      <c r="D37" s="61">
        <v>2136</v>
      </c>
      <c r="E37" s="59">
        <v>629</v>
      </c>
      <c r="F37" s="60">
        <v>1327</v>
      </c>
      <c r="G37" s="61">
        <v>1956</v>
      </c>
      <c r="H37" s="59">
        <v>651</v>
      </c>
      <c r="I37" s="60">
        <v>1221</v>
      </c>
      <c r="J37" s="61">
        <v>1872</v>
      </c>
      <c r="K37" s="59">
        <v>656</v>
      </c>
      <c r="L37" s="60">
        <v>1151</v>
      </c>
      <c r="M37" s="61">
        <v>1807</v>
      </c>
      <c r="N37" s="59">
        <v>637</v>
      </c>
      <c r="O37" s="60">
        <v>1179</v>
      </c>
      <c r="P37" s="61">
        <v>1816</v>
      </c>
      <c r="Q37" s="59">
        <v>633</v>
      </c>
      <c r="R37" s="60">
        <v>1198</v>
      </c>
      <c r="S37" s="61">
        <v>1831</v>
      </c>
      <c r="T37" s="59">
        <v>659</v>
      </c>
      <c r="U37" s="60">
        <v>1285</v>
      </c>
      <c r="V37" s="61">
        <v>1944</v>
      </c>
      <c r="W37" s="59">
        <v>743</v>
      </c>
      <c r="X37" s="60">
        <v>1526</v>
      </c>
      <c r="Y37" s="61">
        <f t="shared" si="0"/>
        <v>2269</v>
      </c>
      <c r="Z37" s="62">
        <v>797</v>
      </c>
      <c r="AA37" s="63">
        <v>1385</v>
      </c>
      <c r="AB37" s="61">
        <f t="shared" si="1"/>
        <v>2182</v>
      </c>
      <c r="AC37" s="62">
        <v>831</v>
      </c>
      <c r="AD37" s="63">
        <v>1639</v>
      </c>
      <c r="AE37" s="61">
        <f t="shared" si="2"/>
        <v>2470</v>
      </c>
      <c r="AF37" s="62">
        <v>781</v>
      </c>
      <c r="AG37" s="63">
        <v>1701</v>
      </c>
      <c r="AH37" s="61">
        <f t="shared" ref="AH37:AH47" si="36">SUM(AF37:AG37)</f>
        <v>2482</v>
      </c>
      <c r="AI37" s="62">
        <v>675</v>
      </c>
      <c r="AJ37" s="63">
        <v>1848</v>
      </c>
      <c r="AK37" s="61">
        <f t="shared" ref="AK37:AK47" si="37">SUM(AI37:AJ37)</f>
        <v>2523</v>
      </c>
      <c r="AL37" s="62">
        <v>781</v>
      </c>
      <c r="AM37" s="63">
        <v>1914</v>
      </c>
      <c r="AN37" s="61">
        <f t="shared" ref="AN37:AN47" si="38">SUM(AL37:AM37)</f>
        <v>2695</v>
      </c>
      <c r="AO37" s="62">
        <v>801</v>
      </c>
      <c r="AP37" s="63">
        <v>2054</v>
      </c>
      <c r="AQ37" s="61">
        <f t="shared" ref="AQ37:AQ47" si="39">SUM(AO37:AP37)</f>
        <v>2855</v>
      </c>
      <c r="AR37" s="62">
        <v>794</v>
      </c>
      <c r="AS37" s="63">
        <v>1958</v>
      </c>
      <c r="AT37" s="61">
        <f t="shared" ref="AT37:AT47" si="40">SUM(AR37:AS37)</f>
        <v>2752</v>
      </c>
      <c r="AU37" s="62">
        <v>694</v>
      </c>
      <c r="AV37" s="63">
        <v>1964</v>
      </c>
      <c r="AW37" s="61">
        <f t="shared" ref="AW37:AW47" si="41">SUM(AU37:AV37)</f>
        <v>2658</v>
      </c>
      <c r="AX37" s="62">
        <v>853</v>
      </c>
      <c r="AY37" s="63">
        <v>1158</v>
      </c>
      <c r="AZ37" s="61">
        <f t="shared" ref="AZ37:AZ47" si="42">SUM(AX37:AY37)</f>
        <v>2011</v>
      </c>
      <c r="BA37" s="62">
        <v>739</v>
      </c>
      <c r="BB37" s="63">
        <v>968</v>
      </c>
      <c r="BC37" s="61">
        <f t="shared" ref="BC37:BC47" si="43">SUM(BA37:BB37)</f>
        <v>1707</v>
      </c>
      <c r="BD37" s="62">
        <v>817</v>
      </c>
      <c r="BE37" s="63">
        <v>841</v>
      </c>
      <c r="BF37" s="61">
        <f t="shared" ref="BF37:BF47" si="44">SUM(BD37:BE37)</f>
        <v>1658</v>
      </c>
      <c r="BG37" s="62">
        <v>937</v>
      </c>
      <c r="BH37" s="63">
        <v>1013</v>
      </c>
      <c r="BI37" s="61">
        <f t="shared" ref="BI37:BI47" si="45">SUM(BG37:BH37)</f>
        <v>1950</v>
      </c>
    </row>
    <row r="38" spans="1:61" s="38" customFormat="1" ht="15" customHeight="1" x14ac:dyDescent="0.3">
      <c r="A38" s="39" t="s">
        <v>78</v>
      </c>
      <c r="B38" s="40"/>
      <c r="C38" s="41">
        <v>187</v>
      </c>
      <c r="D38" s="42">
        <v>187</v>
      </c>
      <c r="E38" s="40"/>
      <c r="F38" s="41">
        <v>177</v>
      </c>
      <c r="G38" s="42">
        <v>177</v>
      </c>
      <c r="H38" s="40"/>
      <c r="I38" s="41">
        <v>211</v>
      </c>
      <c r="J38" s="42">
        <v>211</v>
      </c>
      <c r="K38" s="40"/>
      <c r="L38" s="41">
        <v>233</v>
      </c>
      <c r="M38" s="42">
        <v>233</v>
      </c>
      <c r="N38" s="40"/>
      <c r="O38" s="41">
        <v>281</v>
      </c>
      <c r="P38" s="42">
        <v>281</v>
      </c>
      <c r="Q38" s="40"/>
      <c r="R38" s="41">
        <v>225</v>
      </c>
      <c r="S38" s="42">
        <v>225</v>
      </c>
      <c r="T38" s="40"/>
      <c r="U38" s="41">
        <v>284</v>
      </c>
      <c r="V38" s="42">
        <v>284</v>
      </c>
      <c r="W38" s="40"/>
      <c r="X38" s="41">
        <v>357</v>
      </c>
      <c r="Y38" s="42">
        <f t="shared" si="0"/>
        <v>357</v>
      </c>
      <c r="Z38" s="43"/>
      <c r="AA38" s="44">
        <v>311</v>
      </c>
      <c r="AB38" s="42">
        <f t="shared" si="1"/>
        <v>311</v>
      </c>
      <c r="AC38" s="43"/>
      <c r="AD38" s="44">
        <v>365</v>
      </c>
      <c r="AE38" s="42">
        <f t="shared" si="2"/>
        <v>365</v>
      </c>
      <c r="AF38" s="43"/>
      <c r="AG38" s="44">
        <v>322</v>
      </c>
      <c r="AH38" s="42">
        <f t="shared" si="36"/>
        <v>322</v>
      </c>
      <c r="AI38" s="43"/>
      <c r="AJ38" s="44">
        <v>301</v>
      </c>
      <c r="AK38" s="42">
        <f t="shared" si="37"/>
        <v>301</v>
      </c>
      <c r="AL38" s="43"/>
      <c r="AM38" s="44">
        <v>323</v>
      </c>
      <c r="AN38" s="42">
        <f t="shared" si="38"/>
        <v>323</v>
      </c>
      <c r="AO38" s="43"/>
      <c r="AP38" s="44">
        <v>248</v>
      </c>
      <c r="AQ38" s="42">
        <f t="shared" si="39"/>
        <v>248</v>
      </c>
      <c r="AR38" s="43"/>
      <c r="AS38" s="44">
        <v>258</v>
      </c>
      <c r="AT38" s="42">
        <f t="shared" si="40"/>
        <v>258</v>
      </c>
      <c r="AU38" s="43"/>
      <c r="AV38" s="44">
        <v>236</v>
      </c>
      <c r="AW38" s="42">
        <f t="shared" si="41"/>
        <v>236</v>
      </c>
      <c r="AX38" s="43"/>
      <c r="AY38" s="44">
        <v>184</v>
      </c>
      <c r="AZ38" s="42">
        <f t="shared" si="42"/>
        <v>184</v>
      </c>
      <c r="BA38" s="43"/>
      <c r="BB38" s="44">
        <v>143</v>
      </c>
      <c r="BC38" s="42">
        <f t="shared" si="43"/>
        <v>143</v>
      </c>
      <c r="BD38" s="43"/>
      <c r="BE38" s="44">
        <v>92</v>
      </c>
      <c r="BF38" s="42">
        <f t="shared" si="44"/>
        <v>92</v>
      </c>
      <c r="BG38" s="43"/>
      <c r="BH38" s="44">
        <v>103</v>
      </c>
      <c r="BI38" s="42">
        <f t="shared" si="45"/>
        <v>103</v>
      </c>
    </row>
    <row r="39" spans="1:61" s="38" customFormat="1" ht="15" customHeight="1" x14ac:dyDescent="0.3">
      <c r="A39" s="39" t="s">
        <v>79</v>
      </c>
      <c r="B39" s="82"/>
      <c r="C39" s="41">
        <v>140</v>
      </c>
      <c r="D39" s="42">
        <v>140</v>
      </c>
      <c r="E39" s="82"/>
      <c r="F39" s="41">
        <v>171</v>
      </c>
      <c r="G39" s="42">
        <v>171</v>
      </c>
      <c r="H39" s="82"/>
      <c r="I39" s="41">
        <v>209</v>
      </c>
      <c r="J39" s="42">
        <v>209</v>
      </c>
      <c r="K39" s="82"/>
      <c r="L39" s="41">
        <v>202</v>
      </c>
      <c r="M39" s="42">
        <v>202</v>
      </c>
      <c r="N39" s="82"/>
      <c r="O39" s="41">
        <v>226</v>
      </c>
      <c r="P39" s="42">
        <v>226</v>
      </c>
      <c r="Q39" s="82"/>
      <c r="R39" s="41">
        <v>259</v>
      </c>
      <c r="S39" s="42">
        <v>259</v>
      </c>
      <c r="T39" s="82"/>
      <c r="U39" s="41">
        <v>242</v>
      </c>
      <c r="V39" s="42">
        <v>242</v>
      </c>
      <c r="W39" s="82"/>
      <c r="X39" s="41">
        <v>307</v>
      </c>
      <c r="Y39" s="42">
        <f t="shared" si="0"/>
        <v>307</v>
      </c>
      <c r="Z39" s="43"/>
      <c r="AA39" s="44">
        <v>280</v>
      </c>
      <c r="AB39" s="42">
        <f t="shared" si="1"/>
        <v>280</v>
      </c>
      <c r="AC39" s="43"/>
      <c r="AD39" s="44">
        <v>355</v>
      </c>
      <c r="AE39" s="42">
        <f t="shared" si="2"/>
        <v>355</v>
      </c>
      <c r="AF39" s="43"/>
      <c r="AG39" s="44">
        <v>356</v>
      </c>
      <c r="AH39" s="42">
        <f t="shared" si="36"/>
        <v>356</v>
      </c>
      <c r="AI39" s="43"/>
      <c r="AJ39" s="44">
        <v>313</v>
      </c>
      <c r="AK39" s="42">
        <f t="shared" si="37"/>
        <v>313</v>
      </c>
      <c r="AL39" s="43"/>
      <c r="AM39" s="44">
        <v>351</v>
      </c>
      <c r="AN39" s="42">
        <f t="shared" si="38"/>
        <v>351</v>
      </c>
      <c r="AO39" s="43"/>
      <c r="AP39" s="44">
        <v>361</v>
      </c>
      <c r="AQ39" s="42">
        <f t="shared" si="39"/>
        <v>361</v>
      </c>
      <c r="AR39" s="43"/>
      <c r="AS39" s="44">
        <v>417</v>
      </c>
      <c r="AT39" s="42">
        <f t="shared" si="40"/>
        <v>417</v>
      </c>
      <c r="AU39" s="43"/>
      <c r="AV39" s="44">
        <v>349</v>
      </c>
      <c r="AW39" s="42">
        <f t="shared" si="41"/>
        <v>349</v>
      </c>
      <c r="AX39" s="43"/>
      <c r="AY39" s="44">
        <v>282</v>
      </c>
      <c r="AZ39" s="42">
        <f t="shared" si="42"/>
        <v>282</v>
      </c>
      <c r="BA39" s="43"/>
      <c r="BB39" s="44">
        <v>228</v>
      </c>
      <c r="BC39" s="42">
        <f t="shared" si="43"/>
        <v>228</v>
      </c>
      <c r="BD39" s="43"/>
      <c r="BE39" s="44">
        <v>161</v>
      </c>
      <c r="BF39" s="42">
        <f t="shared" si="44"/>
        <v>161</v>
      </c>
      <c r="BG39" s="43"/>
      <c r="BH39" s="44">
        <v>152</v>
      </c>
      <c r="BI39" s="42">
        <f t="shared" si="45"/>
        <v>152</v>
      </c>
    </row>
    <row r="40" spans="1:61" s="38" customFormat="1" ht="15" customHeight="1" x14ac:dyDescent="0.3">
      <c r="A40" s="39" t="s">
        <v>80</v>
      </c>
      <c r="B40" s="82"/>
      <c r="C40" s="41">
        <v>136</v>
      </c>
      <c r="D40" s="42">
        <v>136</v>
      </c>
      <c r="E40" s="82"/>
      <c r="F40" s="41">
        <v>162</v>
      </c>
      <c r="G40" s="42">
        <v>162</v>
      </c>
      <c r="H40" s="82"/>
      <c r="I40" s="41">
        <v>184</v>
      </c>
      <c r="J40" s="42">
        <v>184</v>
      </c>
      <c r="K40" s="82"/>
      <c r="L40" s="41">
        <v>235</v>
      </c>
      <c r="M40" s="42">
        <v>235</v>
      </c>
      <c r="N40" s="82"/>
      <c r="O40" s="41">
        <v>245</v>
      </c>
      <c r="P40" s="42">
        <v>245</v>
      </c>
      <c r="Q40" s="82"/>
      <c r="R40" s="41">
        <v>317</v>
      </c>
      <c r="S40" s="42">
        <v>317</v>
      </c>
      <c r="T40" s="82"/>
      <c r="U40" s="41">
        <v>277</v>
      </c>
      <c r="V40" s="42">
        <v>277</v>
      </c>
      <c r="W40" s="82"/>
      <c r="X40" s="41">
        <v>295</v>
      </c>
      <c r="Y40" s="42">
        <f t="shared" si="0"/>
        <v>295</v>
      </c>
      <c r="Z40" s="43"/>
      <c r="AA40" s="44">
        <v>303</v>
      </c>
      <c r="AB40" s="42">
        <f t="shared" si="1"/>
        <v>303</v>
      </c>
      <c r="AC40" s="43"/>
      <c r="AD40" s="44">
        <v>317</v>
      </c>
      <c r="AE40" s="42">
        <f t="shared" si="2"/>
        <v>317</v>
      </c>
      <c r="AF40" s="43"/>
      <c r="AG40" s="44">
        <v>327</v>
      </c>
      <c r="AH40" s="42">
        <f t="shared" si="36"/>
        <v>327</v>
      </c>
      <c r="AI40" s="43"/>
      <c r="AJ40" s="44">
        <v>319</v>
      </c>
      <c r="AK40" s="42">
        <f t="shared" si="37"/>
        <v>319</v>
      </c>
      <c r="AL40" s="43"/>
      <c r="AM40" s="44">
        <v>269</v>
      </c>
      <c r="AN40" s="42">
        <f t="shared" si="38"/>
        <v>269</v>
      </c>
      <c r="AO40" s="43"/>
      <c r="AP40" s="44">
        <v>268</v>
      </c>
      <c r="AQ40" s="42">
        <f t="shared" si="39"/>
        <v>268</v>
      </c>
      <c r="AR40" s="43"/>
      <c r="AS40" s="44">
        <v>244</v>
      </c>
      <c r="AT40" s="42">
        <f t="shared" si="40"/>
        <v>244</v>
      </c>
      <c r="AU40" s="43"/>
      <c r="AV40" s="44">
        <v>215</v>
      </c>
      <c r="AW40" s="42">
        <f t="shared" si="41"/>
        <v>215</v>
      </c>
      <c r="AX40" s="43"/>
      <c r="AY40" s="44">
        <v>220</v>
      </c>
      <c r="AZ40" s="42">
        <f t="shared" si="42"/>
        <v>220</v>
      </c>
      <c r="BA40" s="43"/>
      <c r="BB40" s="44">
        <v>134</v>
      </c>
      <c r="BC40" s="42">
        <f t="shared" si="43"/>
        <v>134</v>
      </c>
      <c r="BD40" s="43"/>
      <c r="BE40" s="44">
        <v>99</v>
      </c>
      <c r="BF40" s="42">
        <f t="shared" si="44"/>
        <v>99</v>
      </c>
      <c r="BG40" s="43"/>
      <c r="BH40" s="44">
        <v>118</v>
      </c>
      <c r="BI40" s="42">
        <f t="shared" si="45"/>
        <v>118</v>
      </c>
    </row>
    <row r="41" spans="1:61" s="38" customFormat="1" ht="15" customHeight="1" x14ac:dyDescent="0.3">
      <c r="A41" s="39" t="s">
        <v>62</v>
      </c>
      <c r="B41" s="40"/>
      <c r="C41" s="41">
        <v>183</v>
      </c>
      <c r="D41" s="42">
        <v>183</v>
      </c>
      <c r="E41" s="40"/>
      <c r="F41" s="41">
        <v>184</v>
      </c>
      <c r="G41" s="42">
        <v>184</v>
      </c>
      <c r="H41" s="40"/>
      <c r="I41" s="41">
        <v>237</v>
      </c>
      <c r="J41" s="42">
        <v>237</v>
      </c>
      <c r="K41" s="40"/>
      <c r="L41" s="41">
        <v>225</v>
      </c>
      <c r="M41" s="42">
        <v>225</v>
      </c>
      <c r="N41" s="40"/>
      <c r="O41" s="41">
        <v>276</v>
      </c>
      <c r="P41" s="42">
        <v>276</v>
      </c>
      <c r="Q41" s="40"/>
      <c r="R41" s="41">
        <v>370</v>
      </c>
      <c r="S41" s="42">
        <v>370</v>
      </c>
      <c r="T41" s="40"/>
      <c r="U41" s="41">
        <v>380</v>
      </c>
      <c r="V41" s="42">
        <v>380</v>
      </c>
      <c r="W41" s="40"/>
      <c r="X41" s="41">
        <v>375</v>
      </c>
      <c r="Y41" s="42">
        <f t="shared" si="0"/>
        <v>375</v>
      </c>
      <c r="Z41" s="43"/>
      <c r="AA41" s="44">
        <v>344</v>
      </c>
      <c r="AB41" s="42">
        <f t="shared" si="1"/>
        <v>344</v>
      </c>
      <c r="AC41" s="43"/>
      <c r="AD41" s="44">
        <v>452</v>
      </c>
      <c r="AE41" s="42">
        <f t="shared" si="2"/>
        <v>452</v>
      </c>
      <c r="AF41" s="43"/>
      <c r="AG41" s="44">
        <v>432</v>
      </c>
      <c r="AH41" s="42">
        <f t="shared" si="36"/>
        <v>432</v>
      </c>
      <c r="AI41" s="43"/>
      <c r="AJ41" s="44">
        <v>390</v>
      </c>
      <c r="AK41" s="42">
        <f t="shared" si="37"/>
        <v>390</v>
      </c>
      <c r="AL41" s="43"/>
      <c r="AM41" s="44">
        <v>438</v>
      </c>
      <c r="AN41" s="42">
        <f t="shared" si="38"/>
        <v>438</v>
      </c>
      <c r="AO41" s="43"/>
      <c r="AP41" s="44">
        <v>516</v>
      </c>
      <c r="AQ41" s="42">
        <f t="shared" si="39"/>
        <v>516</v>
      </c>
      <c r="AR41" s="43"/>
      <c r="AS41" s="44">
        <v>598</v>
      </c>
      <c r="AT41" s="42">
        <f t="shared" si="40"/>
        <v>598</v>
      </c>
      <c r="AU41" s="43"/>
      <c r="AV41" s="44">
        <v>668</v>
      </c>
      <c r="AW41" s="42">
        <f t="shared" si="41"/>
        <v>668</v>
      </c>
      <c r="AX41" s="43"/>
      <c r="AY41" s="44">
        <v>475</v>
      </c>
      <c r="AZ41" s="42">
        <f t="shared" si="42"/>
        <v>475</v>
      </c>
      <c r="BA41" s="43"/>
      <c r="BB41" s="44">
        <v>393</v>
      </c>
      <c r="BC41" s="42">
        <f t="shared" si="43"/>
        <v>393</v>
      </c>
      <c r="BD41" s="43"/>
      <c r="BE41" s="44">
        <v>317</v>
      </c>
      <c r="BF41" s="42">
        <f t="shared" si="44"/>
        <v>317</v>
      </c>
      <c r="BG41" s="43"/>
      <c r="BH41" s="44">
        <v>314</v>
      </c>
      <c r="BI41" s="42">
        <f t="shared" si="45"/>
        <v>314</v>
      </c>
    </row>
    <row r="42" spans="1:61" s="38" customFormat="1" ht="15" customHeight="1" x14ac:dyDescent="0.3">
      <c r="A42" s="39" t="s">
        <v>63</v>
      </c>
      <c r="B42" s="40"/>
      <c r="C42" s="41">
        <v>163</v>
      </c>
      <c r="D42" s="42">
        <v>163</v>
      </c>
      <c r="E42" s="40"/>
      <c r="F42" s="41">
        <v>157</v>
      </c>
      <c r="G42" s="42">
        <v>157</v>
      </c>
      <c r="H42" s="40"/>
      <c r="I42" s="41">
        <v>179</v>
      </c>
      <c r="J42" s="42">
        <v>179</v>
      </c>
      <c r="K42" s="40"/>
      <c r="L42" s="41">
        <v>174</v>
      </c>
      <c r="M42" s="42">
        <v>174</v>
      </c>
      <c r="N42" s="40"/>
      <c r="O42" s="41">
        <v>183</v>
      </c>
      <c r="P42" s="42">
        <v>183</v>
      </c>
      <c r="Q42" s="40"/>
      <c r="R42" s="41">
        <v>274</v>
      </c>
      <c r="S42" s="42">
        <v>274</v>
      </c>
      <c r="T42" s="40"/>
      <c r="U42" s="41">
        <v>292</v>
      </c>
      <c r="V42" s="42">
        <v>292</v>
      </c>
      <c r="W42" s="40"/>
      <c r="X42" s="41">
        <v>330</v>
      </c>
      <c r="Y42" s="42">
        <f t="shared" si="0"/>
        <v>330</v>
      </c>
      <c r="Z42" s="43"/>
      <c r="AA42" s="44">
        <v>296</v>
      </c>
      <c r="AB42" s="42">
        <f t="shared" si="1"/>
        <v>296</v>
      </c>
      <c r="AC42" s="43"/>
      <c r="AD42" s="44">
        <v>434</v>
      </c>
      <c r="AE42" s="42">
        <f t="shared" si="2"/>
        <v>434</v>
      </c>
      <c r="AF42" s="43"/>
      <c r="AG42" s="44">
        <v>410</v>
      </c>
      <c r="AH42" s="42">
        <f t="shared" si="36"/>
        <v>410</v>
      </c>
      <c r="AI42" s="43"/>
      <c r="AJ42" s="44">
        <v>347</v>
      </c>
      <c r="AK42" s="42">
        <f t="shared" si="37"/>
        <v>347</v>
      </c>
      <c r="AL42" s="43"/>
      <c r="AM42" s="44">
        <v>353</v>
      </c>
      <c r="AN42" s="42">
        <f t="shared" si="38"/>
        <v>353</v>
      </c>
      <c r="AO42" s="43"/>
      <c r="AP42" s="44">
        <v>302</v>
      </c>
      <c r="AQ42" s="42">
        <f t="shared" si="39"/>
        <v>302</v>
      </c>
      <c r="AR42" s="43"/>
      <c r="AS42" s="44">
        <v>281</v>
      </c>
      <c r="AT42" s="42">
        <f t="shared" si="40"/>
        <v>281</v>
      </c>
      <c r="AU42" s="43"/>
      <c r="AV42" s="44">
        <v>257</v>
      </c>
      <c r="AW42" s="42">
        <f t="shared" si="41"/>
        <v>257</v>
      </c>
      <c r="AX42" s="43"/>
      <c r="AY42" s="44">
        <v>200</v>
      </c>
      <c r="AZ42" s="42">
        <f t="shared" si="42"/>
        <v>200</v>
      </c>
      <c r="BA42" s="43"/>
      <c r="BB42" s="44">
        <v>108</v>
      </c>
      <c r="BC42" s="42">
        <f t="shared" si="43"/>
        <v>108</v>
      </c>
      <c r="BD42" s="43"/>
      <c r="BE42" s="44">
        <v>97</v>
      </c>
      <c r="BF42" s="42">
        <f t="shared" si="44"/>
        <v>97</v>
      </c>
      <c r="BG42" s="43"/>
      <c r="BH42" s="44">
        <v>131</v>
      </c>
      <c r="BI42" s="42">
        <f t="shared" si="45"/>
        <v>131</v>
      </c>
    </row>
    <row r="43" spans="1:61" s="38" customFormat="1" ht="15" customHeight="1" x14ac:dyDescent="0.3">
      <c r="A43" s="39" t="s">
        <v>81</v>
      </c>
      <c r="B43" s="40"/>
      <c r="C43" s="41">
        <v>191</v>
      </c>
      <c r="D43" s="42">
        <v>191</v>
      </c>
      <c r="E43" s="40"/>
      <c r="F43" s="41">
        <v>249</v>
      </c>
      <c r="G43" s="42">
        <v>249</v>
      </c>
      <c r="H43" s="40"/>
      <c r="I43" s="41">
        <v>270</v>
      </c>
      <c r="J43" s="42">
        <v>270</v>
      </c>
      <c r="K43" s="40"/>
      <c r="L43" s="41">
        <v>295</v>
      </c>
      <c r="M43" s="42">
        <v>295</v>
      </c>
      <c r="N43" s="40"/>
      <c r="O43" s="41">
        <v>284</v>
      </c>
      <c r="P43" s="42">
        <v>284</v>
      </c>
      <c r="Q43" s="40"/>
      <c r="R43" s="41">
        <v>383</v>
      </c>
      <c r="S43" s="42">
        <v>383</v>
      </c>
      <c r="T43" s="40"/>
      <c r="U43" s="41">
        <v>488</v>
      </c>
      <c r="V43" s="42">
        <v>488</v>
      </c>
      <c r="W43" s="40"/>
      <c r="X43" s="41">
        <v>559</v>
      </c>
      <c r="Y43" s="42">
        <f t="shared" si="0"/>
        <v>559</v>
      </c>
      <c r="Z43" s="43"/>
      <c r="AA43" s="44">
        <v>545</v>
      </c>
      <c r="AB43" s="42">
        <f t="shared" si="1"/>
        <v>545</v>
      </c>
      <c r="AC43" s="43"/>
      <c r="AD43" s="44">
        <v>505</v>
      </c>
      <c r="AE43" s="42">
        <f t="shared" si="2"/>
        <v>505</v>
      </c>
      <c r="AF43" s="43"/>
      <c r="AG43" s="44">
        <v>490</v>
      </c>
      <c r="AH43" s="42">
        <f t="shared" si="36"/>
        <v>490</v>
      </c>
      <c r="AI43" s="43"/>
      <c r="AJ43" s="44">
        <v>442</v>
      </c>
      <c r="AK43" s="42">
        <f t="shared" si="37"/>
        <v>442</v>
      </c>
      <c r="AL43" s="43"/>
      <c r="AM43" s="44">
        <v>462</v>
      </c>
      <c r="AN43" s="42">
        <f t="shared" si="38"/>
        <v>462</v>
      </c>
      <c r="AO43" s="43"/>
      <c r="AP43" s="44">
        <v>456</v>
      </c>
      <c r="AQ43" s="42">
        <f t="shared" si="39"/>
        <v>456</v>
      </c>
      <c r="AR43" s="43"/>
      <c r="AS43" s="44">
        <v>450</v>
      </c>
      <c r="AT43" s="42">
        <f t="shared" si="40"/>
        <v>450</v>
      </c>
      <c r="AU43" s="43"/>
      <c r="AV43" s="44">
        <v>502</v>
      </c>
      <c r="AW43" s="42">
        <f t="shared" si="41"/>
        <v>502</v>
      </c>
      <c r="AX43" s="43"/>
      <c r="AY43" s="44">
        <v>400</v>
      </c>
      <c r="AZ43" s="42">
        <f t="shared" si="42"/>
        <v>400</v>
      </c>
      <c r="BA43" s="43"/>
      <c r="BB43" s="44">
        <v>357</v>
      </c>
      <c r="BC43" s="42">
        <f t="shared" si="43"/>
        <v>357</v>
      </c>
      <c r="BD43" s="43"/>
      <c r="BE43" s="44">
        <v>256</v>
      </c>
      <c r="BF43" s="42">
        <f t="shared" si="44"/>
        <v>256</v>
      </c>
      <c r="BG43" s="43"/>
      <c r="BH43" s="44">
        <v>212</v>
      </c>
      <c r="BI43" s="42">
        <f t="shared" si="45"/>
        <v>212</v>
      </c>
    </row>
    <row r="44" spans="1:61" s="38" customFormat="1" ht="15" customHeight="1" x14ac:dyDescent="0.3">
      <c r="A44" s="39" t="s">
        <v>82</v>
      </c>
      <c r="B44" s="40"/>
      <c r="C44" s="41">
        <v>92</v>
      </c>
      <c r="D44" s="42">
        <v>92</v>
      </c>
      <c r="E44" s="40"/>
      <c r="F44" s="41">
        <v>89</v>
      </c>
      <c r="G44" s="42">
        <v>89</v>
      </c>
      <c r="H44" s="40"/>
      <c r="I44" s="41">
        <v>105</v>
      </c>
      <c r="J44" s="42">
        <v>105</v>
      </c>
      <c r="K44" s="40"/>
      <c r="L44" s="41">
        <v>98</v>
      </c>
      <c r="M44" s="42">
        <v>98</v>
      </c>
      <c r="N44" s="40"/>
      <c r="O44" s="41">
        <v>125</v>
      </c>
      <c r="P44" s="42">
        <v>125</v>
      </c>
      <c r="Q44" s="40"/>
      <c r="R44" s="41">
        <v>134</v>
      </c>
      <c r="S44" s="42">
        <v>134</v>
      </c>
      <c r="T44" s="40"/>
      <c r="U44" s="41">
        <v>168</v>
      </c>
      <c r="V44" s="42">
        <v>168</v>
      </c>
      <c r="W44" s="40"/>
      <c r="X44" s="41">
        <v>202</v>
      </c>
      <c r="Y44" s="42">
        <f t="shared" si="0"/>
        <v>202</v>
      </c>
      <c r="Z44" s="43"/>
      <c r="AA44" s="44">
        <v>199</v>
      </c>
      <c r="AB44" s="42">
        <f t="shared" si="1"/>
        <v>199</v>
      </c>
      <c r="AC44" s="43"/>
      <c r="AD44" s="44">
        <v>241</v>
      </c>
      <c r="AE44" s="42">
        <f t="shared" si="2"/>
        <v>241</v>
      </c>
      <c r="AF44" s="43"/>
      <c r="AG44" s="44">
        <v>248</v>
      </c>
      <c r="AH44" s="42">
        <f t="shared" si="36"/>
        <v>248</v>
      </c>
      <c r="AI44" s="43"/>
      <c r="AJ44" s="44">
        <v>282</v>
      </c>
      <c r="AK44" s="42">
        <f t="shared" si="37"/>
        <v>282</v>
      </c>
      <c r="AL44" s="43"/>
      <c r="AM44" s="44">
        <v>282</v>
      </c>
      <c r="AN44" s="42">
        <f t="shared" si="38"/>
        <v>282</v>
      </c>
      <c r="AO44" s="43"/>
      <c r="AP44" s="44">
        <v>328</v>
      </c>
      <c r="AQ44" s="42">
        <f t="shared" si="39"/>
        <v>328</v>
      </c>
      <c r="AR44" s="43"/>
      <c r="AS44" s="44">
        <v>271</v>
      </c>
      <c r="AT44" s="42">
        <f t="shared" si="40"/>
        <v>271</v>
      </c>
      <c r="AU44" s="43"/>
      <c r="AV44" s="44">
        <v>297</v>
      </c>
      <c r="AW44" s="42">
        <f t="shared" si="41"/>
        <v>297</v>
      </c>
      <c r="AX44" s="43"/>
      <c r="AY44" s="44">
        <v>279</v>
      </c>
      <c r="AZ44" s="42">
        <f t="shared" si="42"/>
        <v>279</v>
      </c>
      <c r="BA44" s="43"/>
      <c r="BB44" s="44">
        <v>205</v>
      </c>
      <c r="BC44" s="42">
        <f t="shared" si="43"/>
        <v>205</v>
      </c>
      <c r="BD44" s="43"/>
      <c r="BE44" s="44">
        <v>180</v>
      </c>
      <c r="BF44" s="42">
        <f t="shared" si="44"/>
        <v>180</v>
      </c>
      <c r="BG44" s="43"/>
      <c r="BH44" s="44">
        <v>154</v>
      </c>
      <c r="BI44" s="42">
        <f t="shared" si="45"/>
        <v>154</v>
      </c>
    </row>
    <row r="45" spans="1:61" s="38" customFormat="1" ht="15" customHeight="1" x14ac:dyDescent="0.3">
      <c r="A45" s="39" t="s">
        <v>83</v>
      </c>
      <c r="B45" s="40"/>
      <c r="C45" s="41">
        <v>443</v>
      </c>
      <c r="D45" s="42">
        <v>443</v>
      </c>
      <c r="E45" s="40"/>
      <c r="F45" s="41">
        <v>378</v>
      </c>
      <c r="G45" s="42">
        <v>378</v>
      </c>
      <c r="H45" s="40"/>
      <c r="I45" s="41">
        <v>486</v>
      </c>
      <c r="J45" s="42">
        <v>486</v>
      </c>
      <c r="K45" s="40"/>
      <c r="L45" s="41">
        <v>635</v>
      </c>
      <c r="M45" s="42">
        <v>635</v>
      </c>
      <c r="N45" s="40"/>
      <c r="O45" s="41">
        <v>564</v>
      </c>
      <c r="P45" s="42">
        <v>564</v>
      </c>
      <c r="Q45" s="40"/>
      <c r="R45" s="41">
        <v>557</v>
      </c>
      <c r="S45" s="42">
        <v>557</v>
      </c>
      <c r="T45" s="40"/>
      <c r="U45" s="41">
        <v>649</v>
      </c>
      <c r="V45" s="42">
        <v>649</v>
      </c>
      <c r="W45" s="40"/>
      <c r="X45" s="41">
        <v>666</v>
      </c>
      <c r="Y45" s="42">
        <f t="shared" si="0"/>
        <v>666</v>
      </c>
      <c r="Z45" s="43"/>
      <c r="AA45" s="44">
        <v>621</v>
      </c>
      <c r="AB45" s="42">
        <f t="shared" si="1"/>
        <v>621</v>
      </c>
      <c r="AC45" s="43"/>
      <c r="AD45" s="44">
        <v>773</v>
      </c>
      <c r="AE45" s="42">
        <f t="shared" si="2"/>
        <v>773</v>
      </c>
      <c r="AF45" s="43"/>
      <c r="AG45" s="44">
        <v>689</v>
      </c>
      <c r="AH45" s="42">
        <f t="shared" si="36"/>
        <v>689</v>
      </c>
      <c r="AI45" s="43"/>
      <c r="AJ45" s="44">
        <v>657</v>
      </c>
      <c r="AK45" s="42">
        <f t="shared" si="37"/>
        <v>657</v>
      </c>
      <c r="AL45" s="43"/>
      <c r="AM45" s="44">
        <v>682</v>
      </c>
      <c r="AN45" s="42">
        <f t="shared" si="38"/>
        <v>682</v>
      </c>
      <c r="AO45" s="43"/>
      <c r="AP45" s="44">
        <v>640</v>
      </c>
      <c r="AQ45" s="42">
        <f t="shared" si="39"/>
        <v>640</v>
      </c>
      <c r="AR45" s="43"/>
      <c r="AS45" s="44">
        <v>619</v>
      </c>
      <c r="AT45" s="42">
        <f t="shared" si="40"/>
        <v>619</v>
      </c>
      <c r="AU45" s="43"/>
      <c r="AV45" s="44">
        <v>625</v>
      </c>
      <c r="AW45" s="42">
        <f t="shared" si="41"/>
        <v>625</v>
      </c>
      <c r="AX45" s="43"/>
      <c r="AY45" s="44">
        <v>482</v>
      </c>
      <c r="AZ45" s="42">
        <f t="shared" si="42"/>
        <v>482</v>
      </c>
      <c r="BA45" s="43"/>
      <c r="BB45" s="44">
        <v>384</v>
      </c>
      <c r="BC45" s="42">
        <f t="shared" si="43"/>
        <v>384</v>
      </c>
      <c r="BD45" s="43"/>
      <c r="BE45" s="44">
        <v>324</v>
      </c>
      <c r="BF45" s="42">
        <f t="shared" si="44"/>
        <v>324</v>
      </c>
      <c r="BG45" s="43"/>
      <c r="BH45" s="44">
        <v>234</v>
      </c>
      <c r="BI45" s="42">
        <f t="shared" si="45"/>
        <v>234</v>
      </c>
    </row>
    <row r="46" spans="1:61" s="38" customFormat="1" ht="15" customHeight="1" x14ac:dyDescent="0.3">
      <c r="A46" s="39" t="s">
        <v>84</v>
      </c>
      <c r="B46" s="40">
        <v>340</v>
      </c>
      <c r="C46" s="41">
        <v>679</v>
      </c>
      <c r="D46" s="42">
        <v>1019</v>
      </c>
      <c r="E46" s="40">
        <v>284</v>
      </c>
      <c r="F46" s="41">
        <v>575</v>
      </c>
      <c r="G46" s="42">
        <v>859</v>
      </c>
      <c r="H46" s="40">
        <v>373</v>
      </c>
      <c r="I46" s="41">
        <v>740</v>
      </c>
      <c r="J46" s="42">
        <v>1113</v>
      </c>
      <c r="K46" s="40">
        <v>404</v>
      </c>
      <c r="L46" s="41">
        <v>856</v>
      </c>
      <c r="M46" s="42">
        <v>1260</v>
      </c>
      <c r="N46" s="40">
        <v>435</v>
      </c>
      <c r="O46" s="41">
        <v>886</v>
      </c>
      <c r="P46" s="42">
        <v>1321</v>
      </c>
      <c r="Q46" s="40">
        <v>513</v>
      </c>
      <c r="R46" s="41">
        <v>991</v>
      </c>
      <c r="S46" s="42">
        <v>1504</v>
      </c>
      <c r="T46" s="40">
        <v>538</v>
      </c>
      <c r="U46" s="41">
        <v>1084</v>
      </c>
      <c r="V46" s="42">
        <v>1622</v>
      </c>
      <c r="W46" s="40">
        <v>633</v>
      </c>
      <c r="X46" s="41">
        <v>1254</v>
      </c>
      <c r="Y46" s="42">
        <f t="shared" si="0"/>
        <v>1887</v>
      </c>
      <c r="Z46" s="43">
        <v>726</v>
      </c>
      <c r="AA46" s="44">
        <v>1301</v>
      </c>
      <c r="AB46" s="42">
        <f t="shared" si="1"/>
        <v>2027</v>
      </c>
      <c r="AC46" s="43">
        <v>724</v>
      </c>
      <c r="AD46" s="44">
        <v>1496</v>
      </c>
      <c r="AE46" s="42">
        <f t="shared" si="2"/>
        <v>2220</v>
      </c>
      <c r="AF46" s="43">
        <v>689</v>
      </c>
      <c r="AG46" s="44">
        <v>1590</v>
      </c>
      <c r="AH46" s="42">
        <f t="shared" si="36"/>
        <v>2279</v>
      </c>
      <c r="AI46" s="43">
        <v>617</v>
      </c>
      <c r="AJ46" s="44">
        <v>1478</v>
      </c>
      <c r="AK46" s="42">
        <f t="shared" si="37"/>
        <v>2095</v>
      </c>
      <c r="AL46" s="43">
        <v>635</v>
      </c>
      <c r="AM46" s="44">
        <v>1515</v>
      </c>
      <c r="AN46" s="42">
        <f t="shared" si="38"/>
        <v>2150</v>
      </c>
      <c r="AO46" s="43">
        <v>620</v>
      </c>
      <c r="AP46" s="44">
        <v>1363</v>
      </c>
      <c r="AQ46" s="42">
        <f t="shared" si="39"/>
        <v>1983</v>
      </c>
      <c r="AR46" s="43">
        <v>504</v>
      </c>
      <c r="AS46" s="44">
        <v>1311</v>
      </c>
      <c r="AT46" s="42">
        <f t="shared" si="40"/>
        <v>1815</v>
      </c>
      <c r="AU46" s="43">
        <v>451</v>
      </c>
      <c r="AV46" s="44">
        <v>1155</v>
      </c>
      <c r="AW46" s="42">
        <f t="shared" si="41"/>
        <v>1606</v>
      </c>
      <c r="AX46" s="43">
        <v>514</v>
      </c>
      <c r="AY46" s="44">
        <v>764</v>
      </c>
      <c r="AZ46" s="42">
        <f t="shared" si="42"/>
        <v>1278</v>
      </c>
      <c r="BA46" s="43">
        <v>438</v>
      </c>
      <c r="BB46" s="44">
        <v>594</v>
      </c>
      <c r="BC46" s="42">
        <f t="shared" si="43"/>
        <v>1032</v>
      </c>
      <c r="BD46" s="43">
        <v>510</v>
      </c>
      <c r="BE46" s="44">
        <v>516</v>
      </c>
      <c r="BF46" s="42">
        <f t="shared" si="44"/>
        <v>1026</v>
      </c>
      <c r="BG46" s="43">
        <v>552</v>
      </c>
      <c r="BH46" s="44">
        <v>731</v>
      </c>
      <c r="BI46" s="42">
        <f t="shared" si="45"/>
        <v>1283</v>
      </c>
    </row>
    <row r="47" spans="1:61" s="38" customFormat="1" ht="15" customHeight="1" x14ac:dyDescent="0.3">
      <c r="A47" s="45" t="s">
        <v>85</v>
      </c>
      <c r="B47" s="46"/>
      <c r="C47" s="47">
        <v>113</v>
      </c>
      <c r="D47" s="48">
        <v>113</v>
      </c>
      <c r="E47" s="49"/>
      <c r="F47" s="47">
        <v>92</v>
      </c>
      <c r="G47" s="48">
        <v>92</v>
      </c>
      <c r="H47" s="46"/>
      <c r="I47" s="50">
        <v>99</v>
      </c>
      <c r="J47" s="48">
        <v>99</v>
      </c>
      <c r="K47" s="46"/>
      <c r="L47" s="50">
        <v>99</v>
      </c>
      <c r="M47" s="48">
        <v>99</v>
      </c>
      <c r="N47" s="46"/>
      <c r="O47" s="50">
        <v>99</v>
      </c>
      <c r="P47" s="48">
        <v>99</v>
      </c>
      <c r="Q47" s="46"/>
      <c r="R47" s="50">
        <v>121</v>
      </c>
      <c r="S47" s="48">
        <v>121</v>
      </c>
      <c r="T47" s="46"/>
      <c r="U47" s="50">
        <v>126</v>
      </c>
      <c r="V47" s="48">
        <v>126</v>
      </c>
      <c r="W47" s="46"/>
      <c r="X47" s="50">
        <v>151</v>
      </c>
      <c r="Y47" s="48">
        <f t="shared" si="0"/>
        <v>151</v>
      </c>
      <c r="Z47" s="51"/>
      <c r="AA47" s="50">
        <v>215</v>
      </c>
      <c r="AB47" s="48">
        <f t="shared" si="1"/>
        <v>215</v>
      </c>
      <c r="AC47" s="51"/>
      <c r="AD47" s="50">
        <v>181</v>
      </c>
      <c r="AE47" s="48">
        <f t="shared" si="2"/>
        <v>181</v>
      </c>
      <c r="AF47" s="51"/>
      <c r="AG47" s="50">
        <v>172</v>
      </c>
      <c r="AH47" s="48">
        <f t="shared" si="36"/>
        <v>172</v>
      </c>
      <c r="AI47" s="43"/>
      <c r="AJ47" s="50">
        <v>167</v>
      </c>
      <c r="AK47" s="48">
        <f t="shared" si="37"/>
        <v>167</v>
      </c>
      <c r="AL47" s="43"/>
      <c r="AM47" s="50">
        <v>150</v>
      </c>
      <c r="AN47" s="48">
        <f t="shared" si="38"/>
        <v>150</v>
      </c>
      <c r="AO47" s="43"/>
      <c r="AP47" s="50">
        <v>142</v>
      </c>
      <c r="AQ47" s="48">
        <f t="shared" si="39"/>
        <v>142</v>
      </c>
      <c r="AR47" s="43"/>
      <c r="AS47" s="50">
        <v>138</v>
      </c>
      <c r="AT47" s="48">
        <f t="shared" si="40"/>
        <v>138</v>
      </c>
      <c r="AU47" s="43"/>
      <c r="AV47" s="50">
        <v>141</v>
      </c>
      <c r="AW47" s="48">
        <f t="shared" si="41"/>
        <v>141</v>
      </c>
      <c r="AX47" s="43"/>
      <c r="AY47" s="50">
        <v>136</v>
      </c>
      <c r="AZ47" s="48">
        <f t="shared" si="42"/>
        <v>136</v>
      </c>
      <c r="BA47" s="43"/>
      <c r="BB47" s="50">
        <v>86</v>
      </c>
      <c r="BC47" s="48">
        <f t="shared" si="43"/>
        <v>86</v>
      </c>
      <c r="BD47" s="43"/>
      <c r="BE47" s="50">
        <v>38</v>
      </c>
      <c r="BF47" s="48">
        <f t="shared" si="44"/>
        <v>38</v>
      </c>
      <c r="BG47" s="43"/>
      <c r="BH47" s="50">
        <v>29</v>
      </c>
      <c r="BI47" s="48">
        <f t="shared" si="45"/>
        <v>29</v>
      </c>
    </row>
    <row r="48" spans="1:61" s="38" customFormat="1" ht="15" customHeight="1" x14ac:dyDescent="0.3">
      <c r="A48" s="52" t="s">
        <v>64</v>
      </c>
      <c r="B48" s="53">
        <f>SUM(B37:B47)</f>
        <v>1046</v>
      </c>
      <c r="C48" s="54">
        <f t="shared" ref="C48:BC48" si="46">SUM(C37:C47)</f>
        <v>3757</v>
      </c>
      <c r="D48" s="55">
        <f t="shared" si="46"/>
        <v>4803</v>
      </c>
      <c r="E48" s="53">
        <f t="shared" si="46"/>
        <v>913</v>
      </c>
      <c r="F48" s="54">
        <f t="shared" si="46"/>
        <v>3561</v>
      </c>
      <c r="G48" s="55">
        <f t="shared" si="46"/>
        <v>4474</v>
      </c>
      <c r="H48" s="53">
        <f t="shared" si="46"/>
        <v>1024</v>
      </c>
      <c r="I48" s="54">
        <f t="shared" si="46"/>
        <v>3941</v>
      </c>
      <c r="J48" s="55">
        <f t="shared" si="46"/>
        <v>4965</v>
      </c>
      <c r="K48" s="53">
        <f t="shared" si="46"/>
        <v>1060</v>
      </c>
      <c r="L48" s="54">
        <f t="shared" si="46"/>
        <v>4203</v>
      </c>
      <c r="M48" s="55">
        <f t="shared" si="46"/>
        <v>5263</v>
      </c>
      <c r="N48" s="53">
        <f t="shared" si="46"/>
        <v>1072</v>
      </c>
      <c r="O48" s="54">
        <f t="shared" si="46"/>
        <v>4348</v>
      </c>
      <c r="P48" s="55">
        <f t="shared" si="46"/>
        <v>5420</v>
      </c>
      <c r="Q48" s="53">
        <f t="shared" si="46"/>
        <v>1146</v>
      </c>
      <c r="R48" s="54">
        <f t="shared" si="46"/>
        <v>4829</v>
      </c>
      <c r="S48" s="55">
        <f t="shared" si="46"/>
        <v>5975</v>
      </c>
      <c r="T48" s="53">
        <f t="shared" si="46"/>
        <v>1197</v>
      </c>
      <c r="U48" s="54">
        <f t="shared" si="46"/>
        <v>5275</v>
      </c>
      <c r="V48" s="55">
        <f t="shared" si="46"/>
        <v>6472</v>
      </c>
      <c r="W48" s="53">
        <f t="shared" si="46"/>
        <v>1376</v>
      </c>
      <c r="X48" s="54">
        <f t="shared" si="46"/>
        <v>6022</v>
      </c>
      <c r="Y48" s="55">
        <f t="shared" si="46"/>
        <v>7398</v>
      </c>
      <c r="Z48" s="53">
        <f t="shared" si="46"/>
        <v>1523</v>
      </c>
      <c r="AA48" s="54">
        <f t="shared" si="46"/>
        <v>5800</v>
      </c>
      <c r="AB48" s="55">
        <f t="shared" si="46"/>
        <v>7323</v>
      </c>
      <c r="AC48" s="53">
        <f t="shared" si="46"/>
        <v>1555</v>
      </c>
      <c r="AD48" s="54">
        <f t="shared" si="46"/>
        <v>6758</v>
      </c>
      <c r="AE48" s="55">
        <f t="shared" si="46"/>
        <v>8313</v>
      </c>
      <c r="AF48" s="53">
        <f t="shared" si="46"/>
        <v>1470</v>
      </c>
      <c r="AG48" s="54">
        <f t="shared" si="46"/>
        <v>6737</v>
      </c>
      <c r="AH48" s="55">
        <f t="shared" si="46"/>
        <v>8207</v>
      </c>
      <c r="AI48" s="56">
        <f>SUM(AI37:AI47)</f>
        <v>1292</v>
      </c>
      <c r="AJ48" s="57">
        <f>SUM(AJ37:AJ47)</f>
        <v>6544</v>
      </c>
      <c r="AK48" s="55">
        <f t="shared" si="46"/>
        <v>7836</v>
      </c>
      <c r="AL48" s="56">
        <f t="shared" si="46"/>
        <v>1416</v>
      </c>
      <c r="AM48" s="57">
        <f t="shared" si="46"/>
        <v>6739</v>
      </c>
      <c r="AN48" s="55">
        <f t="shared" si="46"/>
        <v>8155</v>
      </c>
      <c r="AO48" s="56">
        <f t="shared" si="46"/>
        <v>1421</v>
      </c>
      <c r="AP48" s="57">
        <f t="shared" si="46"/>
        <v>6678</v>
      </c>
      <c r="AQ48" s="55">
        <f t="shared" si="46"/>
        <v>8099</v>
      </c>
      <c r="AR48" s="56">
        <f t="shared" si="46"/>
        <v>1298</v>
      </c>
      <c r="AS48" s="57">
        <f t="shared" si="46"/>
        <v>6545</v>
      </c>
      <c r="AT48" s="55">
        <f t="shared" si="46"/>
        <v>7843</v>
      </c>
      <c r="AU48" s="56">
        <f t="shared" si="46"/>
        <v>1145</v>
      </c>
      <c r="AV48" s="57">
        <f t="shared" si="46"/>
        <v>6409</v>
      </c>
      <c r="AW48" s="55">
        <f t="shared" si="46"/>
        <v>7554</v>
      </c>
      <c r="AX48" s="56">
        <f t="shared" si="46"/>
        <v>1367</v>
      </c>
      <c r="AY48" s="57">
        <f t="shared" si="46"/>
        <v>4580</v>
      </c>
      <c r="AZ48" s="55">
        <f>SUM(AZ37:AZ47)</f>
        <v>5947</v>
      </c>
      <c r="BA48" s="56">
        <f>SUM(BA37:BA47)</f>
        <v>1177</v>
      </c>
      <c r="BB48" s="57">
        <f t="shared" si="46"/>
        <v>3600</v>
      </c>
      <c r="BC48" s="55">
        <f t="shared" si="46"/>
        <v>4777</v>
      </c>
      <c r="BD48" s="56">
        <f>SUM(BD37:BD47)</f>
        <v>1327</v>
      </c>
      <c r="BE48" s="57">
        <f>SUM(BE37:BE47)</f>
        <v>2921</v>
      </c>
      <c r="BF48" s="55">
        <f t="shared" ref="BF48" si="47">SUM(BF37:BF47)</f>
        <v>4248</v>
      </c>
      <c r="BG48" s="56">
        <f>SUM(BG37:BG47)</f>
        <v>1489</v>
      </c>
      <c r="BH48" s="57">
        <f>SUM(BH37:BH47)</f>
        <v>3191</v>
      </c>
      <c r="BI48" s="55">
        <f t="shared" ref="BI48" si="48">SUM(BI37:BI47)</f>
        <v>4680</v>
      </c>
    </row>
    <row r="49" spans="1:61" s="38" customFormat="1" ht="15" customHeight="1" x14ac:dyDescent="0.3">
      <c r="A49" s="58" t="s">
        <v>86</v>
      </c>
      <c r="B49" s="59">
        <v>64</v>
      </c>
      <c r="C49" s="60">
        <v>116</v>
      </c>
      <c r="D49" s="61">
        <v>180</v>
      </c>
      <c r="E49" s="59">
        <v>68</v>
      </c>
      <c r="F49" s="60">
        <v>158</v>
      </c>
      <c r="G49" s="61">
        <v>226</v>
      </c>
      <c r="H49" s="59">
        <v>94</v>
      </c>
      <c r="I49" s="60">
        <v>212</v>
      </c>
      <c r="J49" s="61">
        <v>306</v>
      </c>
      <c r="K49" s="59">
        <v>111</v>
      </c>
      <c r="L49" s="60">
        <v>232</v>
      </c>
      <c r="M49" s="61">
        <v>343</v>
      </c>
      <c r="N49" s="59">
        <v>118</v>
      </c>
      <c r="O49" s="60">
        <v>235</v>
      </c>
      <c r="P49" s="61">
        <v>353</v>
      </c>
      <c r="Q49" s="59">
        <v>156</v>
      </c>
      <c r="R49" s="60">
        <v>352</v>
      </c>
      <c r="S49" s="61">
        <v>508</v>
      </c>
      <c r="T49" s="59">
        <v>170</v>
      </c>
      <c r="U49" s="60">
        <v>364</v>
      </c>
      <c r="V49" s="61">
        <v>534</v>
      </c>
      <c r="W49" s="59">
        <v>158</v>
      </c>
      <c r="X49" s="60">
        <v>434</v>
      </c>
      <c r="Y49" s="61">
        <f t="shared" si="0"/>
        <v>592</v>
      </c>
      <c r="Z49" s="62">
        <v>230</v>
      </c>
      <c r="AA49" s="63">
        <v>412</v>
      </c>
      <c r="AB49" s="61">
        <f t="shared" si="1"/>
        <v>642</v>
      </c>
      <c r="AC49" s="62">
        <v>232</v>
      </c>
      <c r="AD49" s="63">
        <v>495</v>
      </c>
      <c r="AE49" s="61">
        <f t="shared" si="2"/>
        <v>727</v>
      </c>
      <c r="AF49" s="62">
        <v>193</v>
      </c>
      <c r="AG49" s="63">
        <v>514</v>
      </c>
      <c r="AH49" s="61">
        <f t="shared" ref="AH49:AH54" si="49">SUM(AF49:AG49)</f>
        <v>707</v>
      </c>
      <c r="AI49" s="62">
        <v>206</v>
      </c>
      <c r="AJ49" s="63">
        <v>577</v>
      </c>
      <c r="AK49" s="61">
        <f t="shared" ref="AK49:AK54" si="50">SUM(AI49:AJ49)</f>
        <v>783</v>
      </c>
      <c r="AL49" s="62">
        <v>248</v>
      </c>
      <c r="AM49" s="63">
        <v>605</v>
      </c>
      <c r="AN49" s="61">
        <f t="shared" ref="AN49:AN54" si="51">SUM(AL49:AM49)</f>
        <v>853</v>
      </c>
      <c r="AO49" s="62">
        <v>247</v>
      </c>
      <c r="AP49" s="63">
        <v>557</v>
      </c>
      <c r="AQ49" s="61">
        <f t="shared" ref="AQ49:AQ54" si="52">SUM(AO49:AP49)</f>
        <v>804</v>
      </c>
      <c r="AR49" s="62">
        <v>230</v>
      </c>
      <c r="AS49" s="63">
        <v>609</v>
      </c>
      <c r="AT49" s="61">
        <f t="shared" ref="AT49:AT54" si="53">SUM(AR49:AS49)</f>
        <v>839</v>
      </c>
      <c r="AU49" s="62">
        <v>247</v>
      </c>
      <c r="AV49" s="63">
        <v>690</v>
      </c>
      <c r="AW49" s="61">
        <f t="shared" ref="AW49:AW54" si="54">SUM(AU49:AV49)</f>
        <v>937</v>
      </c>
      <c r="AX49" s="62">
        <v>343</v>
      </c>
      <c r="AY49" s="63">
        <v>546</v>
      </c>
      <c r="AZ49" s="61">
        <f t="shared" ref="AZ49:AZ54" si="55">SUM(AX49:AY49)</f>
        <v>889</v>
      </c>
      <c r="BA49" s="62">
        <v>306</v>
      </c>
      <c r="BB49" s="63">
        <v>345</v>
      </c>
      <c r="BC49" s="61">
        <f t="shared" ref="BC49:BC54" si="56">SUM(BA49:BB49)</f>
        <v>651</v>
      </c>
      <c r="BD49" s="62">
        <v>269</v>
      </c>
      <c r="BE49" s="63">
        <v>280</v>
      </c>
      <c r="BF49" s="61">
        <f t="shared" ref="BF49:BF54" si="57">SUM(BD49:BE49)</f>
        <v>549</v>
      </c>
      <c r="BG49" s="62">
        <v>262</v>
      </c>
      <c r="BH49" s="63">
        <v>329</v>
      </c>
      <c r="BI49" s="61">
        <f t="shared" ref="BI49:BI54" si="58">SUM(BG49:BH49)</f>
        <v>591</v>
      </c>
    </row>
    <row r="50" spans="1:61" s="38" customFormat="1" ht="15" customHeight="1" x14ac:dyDescent="0.3">
      <c r="A50" s="39" t="s">
        <v>87</v>
      </c>
      <c r="B50" s="40">
        <v>73</v>
      </c>
      <c r="C50" s="41">
        <v>159</v>
      </c>
      <c r="D50" s="42">
        <v>232</v>
      </c>
      <c r="E50" s="40">
        <v>66</v>
      </c>
      <c r="F50" s="41">
        <v>133</v>
      </c>
      <c r="G50" s="42">
        <v>199</v>
      </c>
      <c r="H50" s="40">
        <v>54</v>
      </c>
      <c r="I50" s="41">
        <v>142</v>
      </c>
      <c r="J50" s="42">
        <v>196</v>
      </c>
      <c r="K50" s="40">
        <v>69</v>
      </c>
      <c r="L50" s="41">
        <v>144</v>
      </c>
      <c r="M50" s="42">
        <v>213</v>
      </c>
      <c r="N50" s="40">
        <v>68</v>
      </c>
      <c r="O50" s="41">
        <v>139</v>
      </c>
      <c r="P50" s="42">
        <v>207</v>
      </c>
      <c r="Q50" s="40">
        <v>78</v>
      </c>
      <c r="R50" s="41">
        <v>203</v>
      </c>
      <c r="S50" s="42">
        <v>281</v>
      </c>
      <c r="T50" s="40">
        <v>106</v>
      </c>
      <c r="U50" s="41">
        <v>233</v>
      </c>
      <c r="V50" s="42">
        <v>339</v>
      </c>
      <c r="W50" s="40">
        <v>107</v>
      </c>
      <c r="X50" s="41">
        <v>258</v>
      </c>
      <c r="Y50" s="42">
        <f t="shared" si="0"/>
        <v>365</v>
      </c>
      <c r="Z50" s="43">
        <v>123</v>
      </c>
      <c r="AA50" s="44">
        <v>263</v>
      </c>
      <c r="AB50" s="42">
        <f t="shared" si="1"/>
        <v>386</v>
      </c>
      <c r="AC50" s="43">
        <v>125</v>
      </c>
      <c r="AD50" s="44">
        <v>287</v>
      </c>
      <c r="AE50" s="42">
        <f t="shared" si="2"/>
        <v>412</v>
      </c>
      <c r="AF50" s="43">
        <v>135</v>
      </c>
      <c r="AG50" s="44">
        <v>295</v>
      </c>
      <c r="AH50" s="42">
        <f t="shared" si="49"/>
        <v>430</v>
      </c>
      <c r="AI50" s="43">
        <v>114</v>
      </c>
      <c r="AJ50" s="44">
        <v>331</v>
      </c>
      <c r="AK50" s="42">
        <f t="shared" si="50"/>
        <v>445</v>
      </c>
      <c r="AL50" s="43">
        <v>140</v>
      </c>
      <c r="AM50" s="44">
        <v>325</v>
      </c>
      <c r="AN50" s="42">
        <f t="shared" si="51"/>
        <v>465</v>
      </c>
      <c r="AO50" s="43">
        <v>137</v>
      </c>
      <c r="AP50" s="44">
        <v>339</v>
      </c>
      <c r="AQ50" s="42">
        <f t="shared" si="52"/>
        <v>476</v>
      </c>
      <c r="AR50" s="43">
        <v>119</v>
      </c>
      <c r="AS50" s="44">
        <v>310</v>
      </c>
      <c r="AT50" s="42">
        <f t="shared" si="53"/>
        <v>429</v>
      </c>
      <c r="AU50" s="43">
        <v>131</v>
      </c>
      <c r="AV50" s="44">
        <v>373</v>
      </c>
      <c r="AW50" s="42">
        <f t="shared" si="54"/>
        <v>504</v>
      </c>
      <c r="AX50" s="43">
        <v>214</v>
      </c>
      <c r="AY50" s="44">
        <v>322</v>
      </c>
      <c r="AZ50" s="42">
        <f t="shared" si="55"/>
        <v>536</v>
      </c>
      <c r="BA50" s="43">
        <v>186</v>
      </c>
      <c r="BB50" s="44">
        <v>183</v>
      </c>
      <c r="BC50" s="42">
        <f t="shared" si="56"/>
        <v>369</v>
      </c>
      <c r="BD50" s="43">
        <v>141</v>
      </c>
      <c r="BE50" s="44">
        <v>118</v>
      </c>
      <c r="BF50" s="42">
        <f t="shared" si="57"/>
        <v>259</v>
      </c>
      <c r="BG50" s="43">
        <v>114</v>
      </c>
      <c r="BH50" s="44">
        <v>159</v>
      </c>
      <c r="BI50" s="42">
        <f t="shared" si="58"/>
        <v>273</v>
      </c>
    </row>
    <row r="51" spans="1:61" s="38" customFormat="1" ht="15" customHeight="1" x14ac:dyDescent="0.3">
      <c r="A51" s="39" t="s">
        <v>88</v>
      </c>
      <c r="B51" s="40"/>
      <c r="C51" s="41">
        <v>91</v>
      </c>
      <c r="D51" s="42">
        <v>91</v>
      </c>
      <c r="E51" s="40"/>
      <c r="F51" s="41">
        <v>67</v>
      </c>
      <c r="G51" s="42">
        <v>67</v>
      </c>
      <c r="H51" s="40"/>
      <c r="I51" s="41">
        <v>99</v>
      </c>
      <c r="J51" s="42">
        <v>99</v>
      </c>
      <c r="K51" s="40"/>
      <c r="L51" s="41">
        <v>117</v>
      </c>
      <c r="M51" s="42">
        <v>117</v>
      </c>
      <c r="N51" s="40"/>
      <c r="O51" s="41">
        <v>89</v>
      </c>
      <c r="P51" s="42">
        <v>89</v>
      </c>
      <c r="Q51" s="40"/>
      <c r="R51" s="41">
        <v>88</v>
      </c>
      <c r="S51" s="42">
        <v>88</v>
      </c>
      <c r="T51" s="83"/>
      <c r="U51" s="41">
        <v>165</v>
      </c>
      <c r="V51" s="42">
        <v>165</v>
      </c>
      <c r="W51" s="83">
        <v>61</v>
      </c>
      <c r="X51" s="41">
        <v>181</v>
      </c>
      <c r="Y51" s="42">
        <f t="shared" si="0"/>
        <v>242</v>
      </c>
      <c r="Z51" s="43">
        <v>90</v>
      </c>
      <c r="AA51" s="44">
        <v>189</v>
      </c>
      <c r="AB51" s="42">
        <f t="shared" si="1"/>
        <v>279</v>
      </c>
      <c r="AC51" s="43">
        <v>84</v>
      </c>
      <c r="AD51" s="44">
        <v>168</v>
      </c>
      <c r="AE51" s="42">
        <f t="shared" si="2"/>
        <v>252</v>
      </c>
      <c r="AF51" s="43">
        <v>88</v>
      </c>
      <c r="AG51" s="44">
        <v>202</v>
      </c>
      <c r="AH51" s="42">
        <f t="shared" si="49"/>
        <v>290</v>
      </c>
      <c r="AI51" s="43">
        <v>85</v>
      </c>
      <c r="AJ51" s="44">
        <v>239</v>
      </c>
      <c r="AK51" s="42">
        <f t="shared" si="50"/>
        <v>324</v>
      </c>
      <c r="AL51" s="43">
        <v>97</v>
      </c>
      <c r="AM51" s="44">
        <v>236</v>
      </c>
      <c r="AN51" s="42">
        <f t="shared" si="51"/>
        <v>333</v>
      </c>
      <c r="AO51" s="43">
        <v>94</v>
      </c>
      <c r="AP51" s="44">
        <v>238</v>
      </c>
      <c r="AQ51" s="42">
        <f t="shared" si="52"/>
        <v>332</v>
      </c>
      <c r="AR51" s="43">
        <v>97</v>
      </c>
      <c r="AS51" s="44">
        <v>219</v>
      </c>
      <c r="AT51" s="42">
        <f t="shared" si="53"/>
        <v>316</v>
      </c>
      <c r="AU51" s="43">
        <v>77</v>
      </c>
      <c r="AV51" s="44">
        <v>195</v>
      </c>
      <c r="AW51" s="42">
        <f t="shared" si="54"/>
        <v>272</v>
      </c>
      <c r="AX51" s="43">
        <v>119</v>
      </c>
      <c r="AY51" s="44">
        <v>171</v>
      </c>
      <c r="AZ51" s="42">
        <f t="shared" si="55"/>
        <v>290</v>
      </c>
      <c r="BA51" s="43">
        <v>80</v>
      </c>
      <c r="BB51" s="44">
        <v>98</v>
      </c>
      <c r="BC51" s="42">
        <f t="shared" si="56"/>
        <v>178</v>
      </c>
      <c r="BD51" s="43">
        <v>57</v>
      </c>
      <c r="BE51" s="44">
        <v>57</v>
      </c>
      <c r="BF51" s="42">
        <f t="shared" si="57"/>
        <v>114</v>
      </c>
      <c r="BG51" s="43">
        <v>56</v>
      </c>
      <c r="BH51" s="44">
        <v>57</v>
      </c>
      <c r="BI51" s="42">
        <f t="shared" si="58"/>
        <v>113</v>
      </c>
    </row>
    <row r="52" spans="1:61" s="38" customFormat="1" ht="15" customHeight="1" x14ac:dyDescent="0.3">
      <c r="A52" s="39" t="s">
        <v>89</v>
      </c>
      <c r="B52" s="40"/>
      <c r="C52" s="41">
        <v>33</v>
      </c>
      <c r="D52" s="42">
        <v>33</v>
      </c>
      <c r="E52" s="40"/>
      <c r="F52" s="41">
        <v>37</v>
      </c>
      <c r="G52" s="42">
        <v>37</v>
      </c>
      <c r="H52" s="40"/>
      <c r="I52" s="41">
        <v>43</v>
      </c>
      <c r="J52" s="42">
        <v>43</v>
      </c>
      <c r="K52" s="40"/>
      <c r="L52" s="41">
        <v>46</v>
      </c>
      <c r="M52" s="42">
        <v>46</v>
      </c>
      <c r="N52" s="40"/>
      <c r="O52" s="41">
        <v>61</v>
      </c>
      <c r="P52" s="42">
        <v>61</v>
      </c>
      <c r="Q52" s="40"/>
      <c r="R52" s="41">
        <v>49</v>
      </c>
      <c r="S52" s="42">
        <v>49</v>
      </c>
      <c r="T52" s="83"/>
      <c r="U52" s="41">
        <v>80</v>
      </c>
      <c r="V52" s="42">
        <v>80</v>
      </c>
      <c r="W52" s="83">
        <v>52</v>
      </c>
      <c r="X52" s="41">
        <v>87</v>
      </c>
      <c r="Y52" s="42">
        <f t="shared" si="0"/>
        <v>139</v>
      </c>
      <c r="Z52" s="43">
        <v>56</v>
      </c>
      <c r="AA52" s="44">
        <v>91</v>
      </c>
      <c r="AB52" s="42">
        <f t="shared" si="1"/>
        <v>147</v>
      </c>
      <c r="AC52" s="43">
        <v>52</v>
      </c>
      <c r="AD52" s="44">
        <v>117</v>
      </c>
      <c r="AE52" s="42">
        <f t="shared" si="2"/>
        <v>169</v>
      </c>
      <c r="AF52" s="43">
        <v>65</v>
      </c>
      <c r="AG52" s="44">
        <v>158</v>
      </c>
      <c r="AH52" s="42">
        <f t="shared" si="49"/>
        <v>223</v>
      </c>
      <c r="AI52" s="43">
        <v>65</v>
      </c>
      <c r="AJ52" s="44">
        <v>176</v>
      </c>
      <c r="AK52" s="42">
        <f t="shared" si="50"/>
        <v>241</v>
      </c>
      <c r="AL52" s="43">
        <v>81</v>
      </c>
      <c r="AM52" s="44">
        <v>162</v>
      </c>
      <c r="AN52" s="42">
        <f t="shared" si="51"/>
        <v>243</v>
      </c>
      <c r="AO52" s="43">
        <v>68</v>
      </c>
      <c r="AP52" s="44">
        <v>117</v>
      </c>
      <c r="AQ52" s="42">
        <f t="shared" si="52"/>
        <v>185</v>
      </c>
      <c r="AR52" s="43">
        <v>79</v>
      </c>
      <c r="AS52" s="44">
        <v>113</v>
      </c>
      <c r="AT52" s="42">
        <f t="shared" si="53"/>
        <v>192</v>
      </c>
      <c r="AU52" s="43">
        <v>63</v>
      </c>
      <c r="AV52" s="44">
        <v>127</v>
      </c>
      <c r="AW52" s="42">
        <f t="shared" si="54"/>
        <v>190</v>
      </c>
      <c r="AX52" s="43">
        <v>79</v>
      </c>
      <c r="AY52" s="44">
        <v>116</v>
      </c>
      <c r="AZ52" s="42">
        <f t="shared" si="55"/>
        <v>195</v>
      </c>
      <c r="BA52" s="43">
        <v>52</v>
      </c>
      <c r="BB52" s="44">
        <v>63</v>
      </c>
      <c r="BC52" s="42">
        <f t="shared" si="56"/>
        <v>115</v>
      </c>
      <c r="BD52" s="43">
        <v>63</v>
      </c>
      <c r="BE52" s="44">
        <v>51</v>
      </c>
      <c r="BF52" s="42">
        <f t="shared" si="57"/>
        <v>114</v>
      </c>
      <c r="BG52" s="43">
        <v>37</v>
      </c>
      <c r="BH52" s="44">
        <v>55</v>
      </c>
      <c r="BI52" s="42">
        <f t="shared" si="58"/>
        <v>92</v>
      </c>
    </row>
    <row r="53" spans="1:61" s="38" customFormat="1" ht="15" customHeight="1" x14ac:dyDescent="0.3">
      <c r="A53" s="39" t="s">
        <v>90</v>
      </c>
      <c r="B53" s="40">
        <v>79</v>
      </c>
      <c r="C53" s="41">
        <v>156</v>
      </c>
      <c r="D53" s="42">
        <v>235</v>
      </c>
      <c r="E53" s="40">
        <v>64</v>
      </c>
      <c r="F53" s="41">
        <v>168</v>
      </c>
      <c r="G53" s="42">
        <v>232</v>
      </c>
      <c r="H53" s="40">
        <v>65</v>
      </c>
      <c r="I53" s="41">
        <v>135</v>
      </c>
      <c r="J53" s="42">
        <v>200</v>
      </c>
      <c r="K53" s="40">
        <v>61</v>
      </c>
      <c r="L53" s="41">
        <v>171</v>
      </c>
      <c r="M53" s="42">
        <v>232</v>
      </c>
      <c r="N53" s="40">
        <v>67</v>
      </c>
      <c r="O53" s="41">
        <v>176</v>
      </c>
      <c r="P53" s="42">
        <v>243</v>
      </c>
      <c r="Q53" s="40">
        <v>81</v>
      </c>
      <c r="R53" s="41">
        <v>234</v>
      </c>
      <c r="S53" s="42">
        <v>315</v>
      </c>
      <c r="T53" s="40">
        <v>115</v>
      </c>
      <c r="U53" s="41">
        <v>297</v>
      </c>
      <c r="V53" s="42">
        <v>412</v>
      </c>
      <c r="W53" s="40">
        <v>92</v>
      </c>
      <c r="X53" s="41">
        <v>286</v>
      </c>
      <c r="Y53" s="42">
        <f t="shared" si="0"/>
        <v>378</v>
      </c>
      <c r="Z53" s="43">
        <v>141</v>
      </c>
      <c r="AA53" s="44">
        <v>294</v>
      </c>
      <c r="AB53" s="42">
        <f t="shared" si="1"/>
        <v>435</v>
      </c>
      <c r="AC53" s="43">
        <v>138</v>
      </c>
      <c r="AD53" s="44">
        <v>352</v>
      </c>
      <c r="AE53" s="42">
        <f t="shared" si="2"/>
        <v>490</v>
      </c>
      <c r="AF53" s="43">
        <v>126</v>
      </c>
      <c r="AG53" s="44">
        <v>352</v>
      </c>
      <c r="AH53" s="42">
        <f t="shared" si="49"/>
        <v>478</v>
      </c>
      <c r="AI53" s="43">
        <v>138</v>
      </c>
      <c r="AJ53" s="44">
        <v>342</v>
      </c>
      <c r="AK53" s="42">
        <f t="shared" si="50"/>
        <v>480</v>
      </c>
      <c r="AL53" s="43">
        <v>143</v>
      </c>
      <c r="AM53" s="44">
        <v>378</v>
      </c>
      <c r="AN53" s="42">
        <f t="shared" si="51"/>
        <v>521</v>
      </c>
      <c r="AO53" s="43">
        <v>161</v>
      </c>
      <c r="AP53" s="44">
        <v>412</v>
      </c>
      <c r="AQ53" s="42">
        <f t="shared" si="52"/>
        <v>573</v>
      </c>
      <c r="AR53" s="43">
        <v>213</v>
      </c>
      <c r="AS53" s="44">
        <v>472</v>
      </c>
      <c r="AT53" s="42">
        <f t="shared" si="53"/>
        <v>685</v>
      </c>
      <c r="AU53" s="43">
        <v>227</v>
      </c>
      <c r="AV53" s="44">
        <v>490</v>
      </c>
      <c r="AW53" s="42">
        <f t="shared" si="54"/>
        <v>717</v>
      </c>
      <c r="AX53" s="43">
        <v>307</v>
      </c>
      <c r="AY53" s="44">
        <v>372</v>
      </c>
      <c r="AZ53" s="42">
        <f t="shared" si="55"/>
        <v>679</v>
      </c>
      <c r="BA53" s="43">
        <v>228</v>
      </c>
      <c r="BB53" s="44">
        <v>282</v>
      </c>
      <c r="BC53" s="42">
        <f t="shared" si="56"/>
        <v>510</v>
      </c>
      <c r="BD53" s="43">
        <v>246</v>
      </c>
      <c r="BE53" s="44">
        <v>169</v>
      </c>
      <c r="BF53" s="42">
        <f t="shared" si="57"/>
        <v>415</v>
      </c>
      <c r="BG53" s="43">
        <v>215</v>
      </c>
      <c r="BH53" s="44">
        <v>200</v>
      </c>
      <c r="BI53" s="42">
        <f t="shared" si="58"/>
        <v>415</v>
      </c>
    </row>
    <row r="54" spans="1:61" s="38" customFormat="1" ht="15" customHeight="1" x14ac:dyDescent="0.3">
      <c r="A54" s="45" t="s">
        <v>91</v>
      </c>
      <c r="B54" s="46">
        <v>124</v>
      </c>
      <c r="C54" s="47">
        <v>299</v>
      </c>
      <c r="D54" s="48">
        <v>423</v>
      </c>
      <c r="E54" s="49">
        <v>134</v>
      </c>
      <c r="F54" s="47">
        <v>354</v>
      </c>
      <c r="G54" s="48">
        <v>488</v>
      </c>
      <c r="H54" s="46">
        <v>126</v>
      </c>
      <c r="I54" s="50">
        <v>390</v>
      </c>
      <c r="J54" s="48">
        <v>516</v>
      </c>
      <c r="K54" s="46">
        <v>173</v>
      </c>
      <c r="L54" s="50">
        <v>360</v>
      </c>
      <c r="M54" s="48">
        <v>533</v>
      </c>
      <c r="N54" s="46">
        <v>148</v>
      </c>
      <c r="O54" s="50">
        <v>344</v>
      </c>
      <c r="P54" s="48">
        <v>492</v>
      </c>
      <c r="Q54" s="46">
        <v>183</v>
      </c>
      <c r="R54" s="50">
        <v>472</v>
      </c>
      <c r="S54" s="48">
        <v>655</v>
      </c>
      <c r="T54" s="46">
        <v>190</v>
      </c>
      <c r="U54" s="50">
        <v>476</v>
      </c>
      <c r="V54" s="48">
        <v>666</v>
      </c>
      <c r="W54" s="46">
        <v>194</v>
      </c>
      <c r="X54" s="50">
        <v>484</v>
      </c>
      <c r="Y54" s="48">
        <f t="shared" si="0"/>
        <v>678</v>
      </c>
      <c r="Z54" s="51">
        <v>246</v>
      </c>
      <c r="AA54" s="50">
        <v>469</v>
      </c>
      <c r="AB54" s="48">
        <f t="shared" si="1"/>
        <v>715</v>
      </c>
      <c r="AC54" s="51">
        <v>227</v>
      </c>
      <c r="AD54" s="50">
        <v>551</v>
      </c>
      <c r="AE54" s="48">
        <f t="shared" si="2"/>
        <v>778</v>
      </c>
      <c r="AF54" s="51">
        <v>203</v>
      </c>
      <c r="AG54" s="50">
        <v>499</v>
      </c>
      <c r="AH54" s="48">
        <f t="shared" si="49"/>
        <v>702</v>
      </c>
      <c r="AI54" s="43">
        <v>174</v>
      </c>
      <c r="AJ54" s="50">
        <v>526</v>
      </c>
      <c r="AK54" s="48">
        <f t="shared" si="50"/>
        <v>700</v>
      </c>
      <c r="AL54" s="43">
        <v>178</v>
      </c>
      <c r="AM54" s="50">
        <v>522</v>
      </c>
      <c r="AN54" s="48">
        <f t="shared" si="51"/>
        <v>700</v>
      </c>
      <c r="AO54" s="43">
        <v>203</v>
      </c>
      <c r="AP54" s="50">
        <v>594</v>
      </c>
      <c r="AQ54" s="48">
        <f t="shared" si="52"/>
        <v>797</v>
      </c>
      <c r="AR54" s="43">
        <v>185</v>
      </c>
      <c r="AS54" s="50">
        <v>553</v>
      </c>
      <c r="AT54" s="48">
        <f t="shared" si="53"/>
        <v>738</v>
      </c>
      <c r="AU54" s="43">
        <v>194</v>
      </c>
      <c r="AV54" s="50">
        <v>527</v>
      </c>
      <c r="AW54" s="48">
        <f t="shared" si="54"/>
        <v>721</v>
      </c>
      <c r="AX54" s="43">
        <v>218</v>
      </c>
      <c r="AY54" s="50">
        <v>331</v>
      </c>
      <c r="AZ54" s="48">
        <f t="shared" si="55"/>
        <v>549</v>
      </c>
      <c r="BA54" s="43">
        <v>179</v>
      </c>
      <c r="BB54" s="50">
        <v>211</v>
      </c>
      <c r="BC54" s="48">
        <f t="shared" si="56"/>
        <v>390</v>
      </c>
      <c r="BD54" s="43">
        <v>181</v>
      </c>
      <c r="BE54" s="50">
        <v>157</v>
      </c>
      <c r="BF54" s="48">
        <f t="shared" si="57"/>
        <v>338</v>
      </c>
      <c r="BG54" s="43">
        <v>175</v>
      </c>
      <c r="BH54" s="50">
        <v>209</v>
      </c>
      <c r="BI54" s="48">
        <f t="shared" si="58"/>
        <v>384</v>
      </c>
    </row>
    <row r="55" spans="1:61" s="38" customFormat="1" ht="15" customHeight="1" x14ac:dyDescent="0.3">
      <c r="A55" s="64" t="s">
        <v>92</v>
      </c>
      <c r="B55" s="65">
        <f>SUM(B49:B54)</f>
        <v>340</v>
      </c>
      <c r="C55" s="66">
        <f t="shared" ref="C55:BC55" si="59">SUM(C49:C54)</f>
        <v>854</v>
      </c>
      <c r="D55" s="67">
        <f t="shared" si="59"/>
        <v>1194</v>
      </c>
      <c r="E55" s="65">
        <f t="shared" si="59"/>
        <v>332</v>
      </c>
      <c r="F55" s="66">
        <f t="shared" si="59"/>
        <v>917</v>
      </c>
      <c r="G55" s="67">
        <f t="shared" si="59"/>
        <v>1249</v>
      </c>
      <c r="H55" s="65">
        <f t="shared" si="59"/>
        <v>339</v>
      </c>
      <c r="I55" s="66">
        <f t="shared" si="59"/>
        <v>1021</v>
      </c>
      <c r="J55" s="67">
        <f t="shared" si="59"/>
        <v>1360</v>
      </c>
      <c r="K55" s="65">
        <f t="shared" si="59"/>
        <v>414</v>
      </c>
      <c r="L55" s="66">
        <f t="shared" si="59"/>
        <v>1070</v>
      </c>
      <c r="M55" s="67">
        <f t="shared" si="59"/>
        <v>1484</v>
      </c>
      <c r="N55" s="65">
        <f t="shared" si="59"/>
        <v>401</v>
      </c>
      <c r="O55" s="66">
        <f t="shared" si="59"/>
        <v>1044</v>
      </c>
      <c r="P55" s="67">
        <f t="shared" si="59"/>
        <v>1445</v>
      </c>
      <c r="Q55" s="65">
        <f t="shared" si="59"/>
        <v>498</v>
      </c>
      <c r="R55" s="66">
        <f t="shared" si="59"/>
        <v>1398</v>
      </c>
      <c r="S55" s="67">
        <f t="shared" si="59"/>
        <v>1896</v>
      </c>
      <c r="T55" s="65">
        <f t="shared" si="59"/>
        <v>581</v>
      </c>
      <c r="U55" s="66">
        <f t="shared" si="59"/>
        <v>1615</v>
      </c>
      <c r="V55" s="67">
        <f t="shared" si="59"/>
        <v>2196</v>
      </c>
      <c r="W55" s="65">
        <f t="shared" si="59"/>
        <v>664</v>
      </c>
      <c r="X55" s="66">
        <f t="shared" si="59"/>
        <v>1730</v>
      </c>
      <c r="Y55" s="67">
        <f t="shared" si="59"/>
        <v>2394</v>
      </c>
      <c r="Z55" s="65">
        <f t="shared" si="59"/>
        <v>886</v>
      </c>
      <c r="AA55" s="66">
        <f t="shared" si="59"/>
        <v>1718</v>
      </c>
      <c r="AB55" s="67">
        <f t="shared" si="59"/>
        <v>2604</v>
      </c>
      <c r="AC55" s="65">
        <f t="shared" si="59"/>
        <v>858</v>
      </c>
      <c r="AD55" s="66">
        <f t="shared" si="59"/>
        <v>1970</v>
      </c>
      <c r="AE55" s="67">
        <f t="shared" si="59"/>
        <v>2828</v>
      </c>
      <c r="AF55" s="65">
        <f t="shared" si="59"/>
        <v>810</v>
      </c>
      <c r="AG55" s="66">
        <f t="shared" si="59"/>
        <v>2020</v>
      </c>
      <c r="AH55" s="67">
        <f t="shared" si="59"/>
        <v>2830</v>
      </c>
      <c r="AI55" s="68">
        <f>SUM(AI49:AI54)</f>
        <v>782</v>
      </c>
      <c r="AJ55" s="69">
        <f>SUM(AJ49:AJ54)</f>
        <v>2191</v>
      </c>
      <c r="AK55" s="67">
        <f t="shared" si="59"/>
        <v>2973</v>
      </c>
      <c r="AL55" s="68">
        <f t="shared" si="59"/>
        <v>887</v>
      </c>
      <c r="AM55" s="69">
        <f t="shared" si="59"/>
        <v>2228</v>
      </c>
      <c r="AN55" s="67">
        <f t="shared" si="59"/>
        <v>3115</v>
      </c>
      <c r="AO55" s="68">
        <f t="shared" si="59"/>
        <v>910</v>
      </c>
      <c r="AP55" s="69">
        <f t="shared" si="59"/>
        <v>2257</v>
      </c>
      <c r="AQ55" s="67">
        <f t="shared" si="59"/>
        <v>3167</v>
      </c>
      <c r="AR55" s="68">
        <f t="shared" si="59"/>
        <v>923</v>
      </c>
      <c r="AS55" s="69">
        <f t="shared" si="59"/>
        <v>2276</v>
      </c>
      <c r="AT55" s="67">
        <f t="shared" si="59"/>
        <v>3199</v>
      </c>
      <c r="AU55" s="68">
        <f t="shared" si="59"/>
        <v>939</v>
      </c>
      <c r="AV55" s="69">
        <f t="shared" si="59"/>
        <v>2402</v>
      </c>
      <c r="AW55" s="67">
        <f t="shared" si="59"/>
        <v>3341</v>
      </c>
      <c r="AX55" s="68">
        <f t="shared" si="59"/>
        <v>1280</v>
      </c>
      <c r="AY55" s="69">
        <f t="shared" si="59"/>
        <v>1858</v>
      </c>
      <c r="AZ55" s="67">
        <f t="shared" si="59"/>
        <v>3138</v>
      </c>
      <c r="BA55" s="68">
        <f t="shared" si="59"/>
        <v>1031</v>
      </c>
      <c r="BB55" s="69">
        <f t="shared" si="59"/>
        <v>1182</v>
      </c>
      <c r="BC55" s="67">
        <f t="shared" si="59"/>
        <v>2213</v>
      </c>
      <c r="BD55" s="68">
        <f t="shared" ref="BD55:BF55" si="60">SUM(BD49:BD54)</f>
        <v>957</v>
      </c>
      <c r="BE55" s="69">
        <f t="shared" si="60"/>
        <v>832</v>
      </c>
      <c r="BF55" s="67">
        <f t="shared" si="60"/>
        <v>1789</v>
      </c>
      <c r="BG55" s="68">
        <f>SUM(BG49:BG54)</f>
        <v>859</v>
      </c>
      <c r="BH55" s="69">
        <f t="shared" ref="BH55:BI55" si="61">SUM(BH49:BH54)</f>
        <v>1009</v>
      </c>
      <c r="BI55" s="67">
        <f t="shared" si="61"/>
        <v>1868</v>
      </c>
    </row>
    <row r="56" spans="1:61" s="38" customFormat="1" ht="15" customHeight="1" x14ac:dyDescent="0.3">
      <c r="A56" s="84" t="s">
        <v>93</v>
      </c>
      <c r="B56" s="85">
        <f>SUM(B55,B48,B36)</f>
        <v>2545</v>
      </c>
      <c r="C56" s="86">
        <f t="shared" ref="C56:BC56" si="62">SUM(C55,C48,C36)</f>
        <v>7051</v>
      </c>
      <c r="D56" s="87">
        <f t="shared" si="62"/>
        <v>9596</v>
      </c>
      <c r="E56" s="85">
        <f t="shared" si="62"/>
        <v>2147</v>
      </c>
      <c r="F56" s="86">
        <f t="shared" si="62"/>
        <v>6528</v>
      </c>
      <c r="G56" s="87">
        <f t="shared" si="62"/>
        <v>8675</v>
      </c>
      <c r="H56" s="85">
        <f t="shared" si="62"/>
        <v>2341</v>
      </c>
      <c r="I56" s="86">
        <f t="shared" si="62"/>
        <v>7216</v>
      </c>
      <c r="J56" s="87">
        <f t="shared" si="62"/>
        <v>9557</v>
      </c>
      <c r="K56" s="85">
        <f t="shared" si="62"/>
        <v>2536</v>
      </c>
      <c r="L56" s="86">
        <f t="shared" si="62"/>
        <v>7220</v>
      </c>
      <c r="M56" s="87">
        <f t="shared" si="62"/>
        <v>9756</v>
      </c>
      <c r="N56" s="85">
        <f t="shared" si="62"/>
        <v>2323</v>
      </c>
      <c r="O56" s="86">
        <f t="shared" si="62"/>
        <v>7395</v>
      </c>
      <c r="P56" s="87">
        <f t="shared" si="62"/>
        <v>9718</v>
      </c>
      <c r="Q56" s="85">
        <f t="shared" si="62"/>
        <v>2609</v>
      </c>
      <c r="R56" s="86">
        <f t="shared" si="62"/>
        <v>8315</v>
      </c>
      <c r="S56" s="87">
        <f t="shared" si="62"/>
        <v>10924</v>
      </c>
      <c r="T56" s="85">
        <f t="shared" si="62"/>
        <v>2761</v>
      </c>
      <c r="U56" s="86">
        <f t="shared" si="62"/>
        <v>9276</v>
      </c>
      <c r="V56" s="87">
        <f t="shared" si="62"/>
        <v>12037</v>
      </c>
      <c r="W56" s="85">
        <f t="shared" si="62"/>
        <v>2309</v>
      </c>
      <c r="X56" s="86">
        <f t="shared" si="62"/>
        <v>10587</v>
      </c>
      <c r="Y56" s="87">
        <f t="shared" si="62"/>
        <v>12896</v>
      </c>
      <c r="Z56" s="85">
        <f t="shared" si="62"/>
        <v>2725</v>
      </c>
      <c r="AA56" s="86">
        <f t="shared" si="62"/>
        <v>10283</v>
      </c>
      <c r="AB56" s="87">
        <f t="shared" si="62"/>
        <v>13008</v>
      </c>
      <c r="AC56" s="85">
        <f t="shared" si="62"/>
        <v>2733</v>
      </c>
      <c r="AD56" s="86">
        <f t="shared" si="62"/>
        <v>11998</v>
      </c>
      <c r="AE56" s="87">
        <f t="shared" si="62"/>
        <v>14731</v>
      </c>
      <c r="AF56" s="85">
        <f t="shared" si="62"/>
        <v>2665</v>
      </c>
      <c r="AG56" s="86">
        <f t="shared" si="62"/>
        <v>12025</v>
      </c>
      <c r="AH56" s="87">
        <f t="shared" si="62"/>
        <v>14690</v>
      </c>
      <c r="AI56" s="85">
        <f t="shared" si="62"/>
        <v>2434</v>
      </c>
      <c r="AJ56" s="86">
        <f t="shared" si="62"/>
        <v>12009</v>
      </c>
      <c r="AK56" s="87">
        <f t="shared" si="62"/>
        <v>14443</v>
      </c>
      <c r="AL56" s="85">
        <f t="shared" si="62"/>
        <v>2739</v>
      </c>
      <c r="AM56" s="86">
        <f t="shared" si="62"/>
        <v>12662</v>
      </c>
      <c r="AN56" s="87">
        <f t="shared" si="62"/>
        <v>15401</v>
      </c>
      <c r="AO56" s="85">
        <f t="shared" si="62"/>
        <v>2727</v>
      </c>
      <c r="AP56" s="86">
        <f t="shared" si="62"/>
        <v>12914</v>
      </c>
      <c r="AQ56" s="87">
        <f t="shared" si="62"/>
        <v>15641</v>
      </c>
      <c r="AR56" s="85">
        <f t="shared" si="62"/>
        <v>2221</v>
      </c>
      <c r="AS56" s="86">
        <f t="shared" si="62"/>
        <v>12754</v>
      </c>
      <c r="AT56" s="87">
        <f t="shared" si="62"/>
        <v>14975</v>
      </c>
      <c r="AU56" s="85">
        <f t="shared" si="62"/>
        <v>2084</v>
      </c>
      <c r="AV56" s="86">
        <f t="shared" si="62"/>
        <v>13156</v>
      </c>
      <c r="AW56" s="87">
        <f t="shared" si="62"/>
        <v>15240</v>
      </c>
      <c r="AX56" s="85">
        <f t="shared" si="62"/>
        <v>2647</v>
      </c>
      <c r="AY56" s="86">
        <f t="shared" si="62"/>
        <v>9815</v>
      </c>
      <c r="AZ56" s="87">
        <f t="shared" si="62"/>
        <v>12462</v>
      </c>
      <c r="BA56" s="85">
        <f t="shared" si="62"/>
        <v>2208</v>
      </c>
      <c r="BB56" s="86">
        <f t="shared" si="62"/>
        <v>7393</v>
      </c>
      <c r="BC56" s="87">
        <f t="shared" si="62"/>
        <v>9601</v>
      </c>
      <c r="BD56" s="85">
        <f t="shared" ref="BD56:BF56" si="63">SUM(BD55,BD48,BD36)</f>
        <v>2284</v>
      </c>
      <c r="BE56" s="86">
        <f t="shared" si="63"/>
        <v>5962</v>
      </c>
      <c r="BF56" s="87">
        <f t="shared" si="63"/>
        <v>8246</v>
      </c>
      <c r="BG56" s="85">
        <f t="shared" ref="BG56:BI56" si="64">SUM(BG55,BG48,BG36)</f>
        <v>2348</v>
      </c>
      <c r="BH56" s="86">
        <f t="shared" si="64"/>
        <v>6571</v>
      </c>
      <c r="BI56" s="87">
        <f t="shared" si="64"/>
        <v>8919</v>
      </c>
    </row>
    <row r="57" spans="1:61" s="38" customFormat="1" ht="15" customHeight="1" x14ac:dyDescent="0.3">
      <c r="A57" s="32" t="s">
        <v>60</v>
      </c>
      <c r="B57" s="33">
        <v>916</v>
      </c>
      <c r="C57" s="34">
        <v>1693</v>
      </c>
      <c r="D57" s="35">
        <v>2609</v>
      </c>
      <c r="E57" s="33">
        <v>818</v>
      </c>
      <c r="F57" s="34">
        <v>1585</v>
      </c>
      <c r="G57" s="35">
        <v>2403</v>
      </c>
      <c r="H57" s="33">
        <v>938</v>
      </c>
      <c r="I57" s="34">
        <v>1775</v>
      </c>
      <c r="J57" s="35">
        <v>2713</v>
      </c>
      <c r="K57" s="33">
        <v>861</v>
      </c>
      <c r="L57" s="34">
        <v>1513</v>
      </c>
      <c r="M57" s="35">
        <v>2374</v>
      </c>
      <c r="N57" s="33">
        <v>887</v>
      </c>
      <c r="O57" s="34">
        <v>1566</v>
      </c>
      <c r="P57" s="35">
        <v>2453</v>
      </c>
      <c r="Q57" s="33">
        <v>957</v>
      </c>
      <c r="R57" s="34">
        <v>1589</v>
      </c>
      <c r="S57" s="35">
        <v>2546</v>
      </c>
      <c r="T57" s="33">
        <v>940</v>
      </c>
      <c r="U57" s="34">
        <v>1713</v>
      </c>
      <c r="V57" s="35">
        <v>2653</v>
      </c>
      <c r="W57" s="33">
        <v>933</v>
      </c>
      <c r="X57" s="34">
        <v>1866</v>
      </c>
      <c r="Y57" s="35">
        <f t="shared" si="0"/>
        <v>2799</v>
      </c>
      <c r="Z57" s="36">
        <v>1074</v>
      </c>
      <c r="AA57" s="37">
        <v>1774</v>
      </c>
      <c r="AB57" s="35">
        <f t="shared" si="1"/>
        <v>2848</v>
      </c>
      <c r="AC57" s="36">
        <v>1069</v>
      </c>
      <c r="AD57" s="37">
        <v>1915</v>
      </c>
      <c r="AE57" s="35">
        <f t="shared" si="2"/>
        <v>2984</v>
      </c>
      <c r="AF57" s="36">
        <v>913</v>
      </c>
      <c r="AG57" s="37">
        <v>1877</v>
      </c>
      <c r="AH57" s="35">
        <f t="shared" ref="AH57:AH62" si="65">SUM(AF57:AG57)</f>
        <v>2790</v>
      </c>
      <c r="AI57" s="36">
        <v>804</v>
      </c>
      <c r="AJ57" s="37">
        <v>1888</v>
      </c>
      <c r="AK57" s="35">
        <f t="shared" ref="AK57:AK62" si="66">SUM(AI57:AJ57)</f>
        <v>2692</v>
      </c>
      <c r="AL57" s="36">
        <v>904</v>
      </c>
      <c r="AM57" s="37">
        <v>1972</v>
      </c>
      <c r="AN57" s="35">
        <f t="shared" ref="AN57:AN62" si="67">SUM(AL57:AM57)</f>
        <v>2876</v>
      </c>
      <c r="AO57" s="36">
        <v>964</v>
      </c>
      <c r="AP57" s="37">
        <v>2071</v>
      </c>
      <c r="AQ57" s="35">
        <f t="shared" ref="AQ57:AQ62" si="68">SUM(AO57:AP57)</f>
        <v>3035</v>
      </c>
      <c r="AR57" s="36">
        <v>922</v>
      </c>
      <c r="AS57" s="37">
        <v>2070</v>
      </c>
      <c r="AT57" s="35">
        <f t="shared" ref="AT57:AT62" si="69">SUM(AR57:AS57)</f>
        <v>2992</v>
      </c>
      <c r="AU57" s="36">
        <v>880</v>
      </c>
      <c r="AV57" s="37">
        <v>1980</v>
      </c>
      <c r="AW57" s="35">
        <f t="shared" ref="AW57:AW62" si="70">SUM(AU57:AV57)</f>
        <v>2860</v>
      </c>
      <c r="AX57" s="36">
        <v>993</v>
      </c>
      <c r="AY57" s="37">
        <v>1502</v>
      </c>
      <c r="AZ57" s="35">
        <f t="shared" ref="AZ57:AZ62" si="71">SUM(AX57:AY57)</f>
        <v>2495</v>
      </c>
      <c r="BA57" s="36">
        <v>777</v>
      </c>
      <c r="BB57" s="37">
        <v>1275</v>
      </c>
      <c r="BC57" s="35">
        <f t="shared" ref="BC57:BC62" si="72">SUM(BA57:BB57)</f>
        <v>2052</v>
      </c>
      <c r="BD57" s="36">
        <v>1034</v>
      </c>
      <c r="BE57" s="37">
        <v>975</v>
      </c>
      <c r="BF57" s="35">
        <f t="shared" ref="BF57:BF62" si="73">SUM(BD57:BE57)</f>
        <v>2009</v>
      </c>
      <c r="BG57" s="36">
        <v>1078</v>
      </c>
      <c r="BH57" s="37">
        <v>1185</v>
      </c>
      <c r="BI57" s="35">
        <f t="shared" ref="BI57:BI62" si="74">SUM(BG57:BH57)</f>
        <v>2263</v>
      </c>
    </row>
    <row r="58" spans="1:61" s="38" customFormat="1" ht="15" customHeight="1" x14ac:dyDescent="0.3">
      <c r="A58" s="39" t="s">
        <v>94</v>
      </c>
      <c r="B58" s="40">
        <v>735</v>
      </c>
      <c r="C58" s="41">
        <v>1705</v>
      </c>
      <c r="D58" s="42">
        <v>2440</v>
      </c>
      <c r="E58" s="40">
        <v>693</v>
      </c>
      <c r="F58" s="41">
        <v>1694</v>
      </c>
      <c r="G58" s="42">
        <v>2387</v>
      </c>
      <c r="H58" s="40">
        <v>725</v>
      </c>
      <c r="I58" s="41">
        <v>1691</v>
      </c>
      <c r="J58" s="42">
        <v>2416</v>
      </c>
      <c r="K58" s="40">
        <v>734</v>
      </c>
      <c r="L58" s="41">
        <v>1438</v>
      </c>
      <c r="M58" s="42">
        <v>2172</v>
      </c>
      <c r="N58" s="40">
        <v>723</v>
      </c>
      <c r="O58" s="41">
        <v>1284</v>
      </c>
      <c r="P58" s="42">
        <v>2007</v>
      </c>
      <c r="Q58" s="40">
        <v>723</v>
      </c>
      <c r="R58" s="41">
        <v>1205</v>
      </c>
      <c r="S58" s="42">
        <v>1928</v>
      </c>
      <c r="T58" s="40">
        <v>778</v>
      </c>
      <c r="U58" s="41">
        <v>1253</v>
      </c>
      <c r="V58" s="42">
        <v>2031</v>
      </c>
      <c r="W58" s="40">
        <v>725</v>
      </c>
      <c r="X58" s="41">
        <v>1377</v>
      </c>
      <c r="Y58" s="42">
        <f t="shared" si="0"/>
        <v>2102</v>
      </c>
      <c r="Z58" s="43">
        <v>787</v>
      </c>
      <c r="AA58" s="44">
        <v>1360</v>
      </c>
      <c r="AB58" s="42">
        <f t="shared" si="1"/>
        <v>2147</v>
      </c>
      <c r="AC58" s="43">
        <v>856</v>
      </c>
      <c r="AD58" s="44">
        <v>1560</v>
      </c>
      <c r="AE58" s="42">
        <f t="shared" si="2"/>
        <v>2416</v>
      </c>
      <c r="AF58" s="43">
        <v>776</v>
      </c>
      <c r="AG58" s="44">
        <v>1417</v>
      </c>
      <c r="AH58" s="42">
        <f t="shared" si="65"/>
        <v>2193</v>
      </c>
      <c r="AI58" s="43">
        <v>698</v>
      </c>
      <c r="AJ58" s="44">
        <v>1411</v>
      </c>
      <c r="AK58" s="42">
        <f t="shared" si="66"/>
        <v>2109</v>
      </c>
      <c r="AL58" s="43">
        <v>687</v>
      </c>
      <c r="AM58" s="44">
        <v>1358</v>
      </c>
      <c r="AN58" s="42">
        <f t="shared" si="67"/>
        <v>2045</v>
      </c>
      <c r="AO58" s="43">
        <v>670</v>
      </c>
      <c r="AP58" s="44">
        <v>1250</v>
      </c>
      <c r="AQ58" s="42">
        <f t="shared" si="68"/>
        <v>1920</v>
      </c>
      <c r="AR58" s="43">
        <v>608</v>
      </c>
      <c r="AS58" s="44">
        <v>1231</v>
      </c>
      <c r="AT58" s="42">
        <f t="shared" si="69"/>
        <v>1839</v>
      </c>
      <c r="AU58" s="43">
        <v>549</v>
      </c>
      <c r="AV58" s="44">
        <v>1082</v>
      </c>
      <c r="AW58" s="42">
        <f t="shared" si="70"/>
        <v>1631</v>
      </c>
      <c r="AX58" s="43">
        <v>616</v>
      </c>
      <c r="AY58" s="44">
        <v>846</v>
      </c>
      <c r="AZ58" s="42">
        <f t="shared" si="71"/>
        <v>1462</v>
      </c>
      <c r="BA58" s="43">
        <v>527</v>
      </c>
      <c r="BB58" s="44">
        <v>654</v>
      </c>
      <c r="BC58" s="42">
        <f t="shared" si="72"/>
        <v>1181</v>
      </c>
      <c r="BD58" s="43">
        <v>573</v>
      </c>
      <c r="BE58" s="44">
        <v>487</v>
      </c>
      <c r="BF58" s="42">
        <f t="shared" si="73"/>
        <v>1060</v>
      </c>
      <c r="BG58" s="43">
        <v>522</v>
      </c>
      <c r="BH58" s="44">
        <v>543</v>
      </c>
      <c r="BI58" s="42">
        <f t="shared" si="74"/>
        <v>1065</v>
      </c>
    </row>
    <row r="59" spans="1:61" s="38" customFormat="1" ht="15" customHeight="1" x14ac:dyDescent="0.3">
      <c r="A59" s="39" t="s">
        <v>62</v>
      </c>
      <c r="B59" s="40">
        <v>201</v>
      </c>
      <c r="C59" s="41">
        <v>345</v>
      </c>
      <c r="D59" s="42">
        <v>546</v>
      </c>
      <c r="E59" s="40">
        <v>170</v>
      </c>
      <c r="F59" s="41">
        <v>378</v>
      </c>
      <c r="G59" s="42">
        <v>548</v>
      </c>
      <c r="H59" s="40">
        <v>171</v>
      </c>
      <c r="I59" s="41">
        <v>320</v>
      </c>
      <c r="J59" s="42">
        <v>491</v>
      </c>
      <c r="K59" s="40">
        <v>169</v>
      </c>
      <c r="L59" s="41">
        <v>284</v>
      </c>
      <c r="M59" s="42">
        <v>453</v>
      </c>
      <c r="N59" s="40">
        <v>215</v>
      </c>
      <c r="O59" s="41">
        <v>319</v>
      </c>
      <c r="P59" s="42">
        <v>534</v>
      </c>
      <c r="Q59" s="40">
        <v>238</v>
      </c>
      <c r="R59" s="41">
        <v>445</v>
      </c>
      <c r="S59" s="42">
        <v>683</v>
      </c>
      <c r="T59" s="40">
        <v>321</v>
      </c>
      <c r="U59" s="41">
        <v>463</v>
      </c>
      <c r="V59" s="42">
        <v>784</v>
      </c>
      <c r="W59" s="40">
        <v>309</v>
      </c>
      <c r="X59" s="41">
        <v>482</v>
      </c>
      <c r="Y59" s="42">
        <f t="shared" si="0"/>
        <v>791</v>
      </c>
      <c r="Z59" s="43">
        <v>291</v>
      </c>
      <c r="AA59" s="44">
        <v>480</v>
      </c>
      <c r="AB59" s="42">
        <f t="shared" si="1"/>
        <v>771</v>
      </c>
      <c r="AC59" s="43">
        <v>291</v>
      </c>
      <c r="AD59" s="44">
        <v>500</v>
      </c>
      <c r="AE59" s="42">
        <f t="shared" si="2"/>
        <v>791</v>
      </c>
      <c r="AF59" s="43">
        <v>248</v>
      </c>
      <c r="AG59" s="44">
        <v>522</v>
      </c>
      <c r="AH59" s="42">
        <f t="shared" si="65"/>
        <v>770</v>
      </c>
      <c r="AI59" s="43">
        <v>234</v>
      </c>
      <c r="AJ59" s="44">
        <v>478</v>
      </c>
      <c r="AK59" s="42">
        <f t="shared" si="66"/>
        <v>712</v>
      </c>
      <c r="AL59" s="43">
        <v>269</v>
      </c>
      <c r="AM59" s="44">
        <v>526</v>
      </c>
      <c r="AN59" s="42">
        <f t="shared" si="67"/>
        <v>795</v>
      </c>
      <c r="AO59" s="43">
        <v>295</v>
      </c>
      <c r="AP59" s="44">
        <v>601</v>
      </c>
      <c r="AQ59" s="42">
        <f t="shared" si="68"/>
        <v>896</v>
      </c>
      <c r="AR59" s="43">
        <v>325</v>
      </c>
      <c r="AS59" s="44">
        <v>726</v>
      </c>
      <c r="AT59" s="42">
        <f t="shared" si="69"/>
        <v>1051</v>
      </c>
      <c r="AU59" s="43">
        <v>387</v>
      </c>
      <c r="AV59" s="44">
        <v>809</v>
      </c>
      <c r="AW59" s="42">
        <f t="shared" si="70"/>
        <v>1196</v>
      </c>
      <c r="AX59" s="43">
        <v>499</v>
      </c>
      <c r="AY59" s="44">
        <v>644</v>
      </c>
      <c r="AZ59" s="42">
        <f t="shared" si="71"/>
        <v>1143</v>
      </c>
      <c r="BA59" s="43">
        <v>364</v>
      </c>
      <c r="BB59" s="44">
        <v>486</v>
      </c>
      <c r="BC59" s="42">
        <f t="shared" si="72"/>
        <v>850</v>
      </c>
      <c r="BD59" s="43">
        <v>488</v>
      </c>
      <c r="BE59" s="44">
        <v>417</v>
      </c>
      <c r="BF59" s="42">
        <f t="shared" si="73"/>
        <v>905</v>
      </c>
      <c r="BG59" s="43">
        <v>472</v>
      </c>
      <c r="BH59" s="44">
        <v>440</v>
      </c>
      <c r="BI59" s="42">
        <f t="shared" si="74"/>
        <v>912</v>
      </c>
    </row>
    <row r="60" spans="1:61" s="38" customFormat="1" ht="15" customHeight="1" x14ac:dyDescent="0.3">
      <c r="A60" s="39" t="s">
        <v>95</v>
      </c>
      <c r="B60" s="40">
        <v>1038</v>
      </c>
      <c r="C60" s="41">
        <v>2355</v>
      </c>
      <c r="D60" s="42">
        <v>3393</v>
      </c>
      <c r="E60" s="40">
        <v>1034</v>
      </c>
      <c r="F60" s="41">
        <v>2188</v>
      </c>
      <c r="G60" s="42">
        <v>3222</v>
      </c>
      <c r="H60" s="40">
        <v>1231</v>
      </c>
      <c r="I60" s="41">
        <v>2609</v>
      </c>
      <c r="J60" s="42">
        <v>3840</v>
      </c>
      <c r="K60" s="40">
        <v>1303</v>
      </c>
      <c r="L60" s="41">
        <v>2480</v>
      </c>
      <c r="M60" s="42">
        <v>3783</v>
      </c>
      <c r="N60" s="40">
        <v>1218</v>
      </c>
      <c r="O60" s="41">
        <v>2619</v>
      </c>
      <c r="P60" s="42">
        <v>3837</v>
      </c>
      <c r="Q60" s="40">
        <v>1406</v>
      </c>
      <c r="R60" s="41">
        <v>2522</v>
      </c>
      <c r="S60" s="42">
        <v>3928</v>
      </c>
      <c r="T60" s="40">
        <v>1522</v>
      </c>
      <c r="U60" s="41">
        <v>2800</v>
      </c>
      <c r="V60" s="42">
        <v>4322</v>
      </c>
      <c r="W60" s="40">
        <v>1567</v>
      </c>
      <c r="X60" s="41">
        <v>3185</v>
      </c>
      <c r="Y60" s="42">
        <f t="shared" si="0"/>
        <v>4752</v>
      </c>
      <c r="Z60" s="43">
        <v>1748</v>
      </c>
      <c r="AA60" s="44">
        <v>3293</v>
      </c>
      <c r="AB60" s="42">
        <f t="shared" si="1"/>
        <v>5041</v>
      </c>
      <c r="AC60" s="43">
        <v>1780</v>
      </c>
      <c r="AD60" s="44">
        <v>3461</v>
      </c>
      <c r="AE60" s="42">
        <f t="shared" si="2"/>
        <v>5241</v>
      </c>
      <c r="AF60" s="43">
        <v>1607</v>
      </c>
      <c r="AG60" s="44">
        <v>3484</v>
      </c>
      <c r="AH60" s="42">
        <f t="shared" si="65"/>
        <v>5091</v>
      </c>
      <c r="AI60" s="43">
        <v>1311</v>
      </c>
      <c r="AJ60" s="44">
        <v>3378</v>
      </c>
      <c r="AK60" s="42">
        <f t="shared" si="66"/>
        <v>4689</v>
      </c>
      <c r="AL60" s="43">
        <v>1464</v>
      </c>
      <c r="AM60" s="44">
        <v>3278</v>
      </c>
      <c r="AN60" s="42">
        <f t="shared" si="67"/>
        <v>4742</v>
      </c>
      <c r="AO60" s="43">
        <v>1359</v>
      </c>
      <c r="AP60" s="44">
        <v>3139</v>
      </c>
      <c r="AQ60" s="42">
        <f t="shared" si="68"/>
        <v>4498</v>
      </c>
      <c r="AR60" s="43">
        <v>1222</v>
      </c>
      <c r="AS60" s="44">
        <v>2921</v>
      </c>
      <c r="AT60" s="42">
        <f t="shared" si="69"/>
        <v>4143</v>
      </c>
      <c r="AU60" s="43">
        <v>1107</v>
      </c>
      <c r="AV60" s="44">
        <v>2581</v>
      </c>
      <c r="AW60" s="42">
        <f t="shared" si="70"/>
        <v>3688</v>
      </c>
      <c r="AX60" s="43">
        <v>1215</v>
      </c>
      <c r="AY60" s="44">
        <v>1855</v>
      </c>
      <c r="AZ60" s="42">
        <f t="shared" si="71"/>
        <v>3070</v>
      </c>
      <c r="BA60" s="43">
        <v>1099</v>
      </c>
      <c r="BB60" s="44">
        <v>1678</v>
      </c>
      <c r="BC60" s="42">
        <f t="shared" si="72"/>
        <v>2777</v>
      </c>
      <c r="BD60" s="43">
        <v>1494</v>
      </c>
      <c r="BE60" s="44">
        <v>1671</v>
      </c>
      <c r="BF60" s="42">
        <f t="shared" si="73"/>
        <v>3165</v>
      </c>
      <c r="BG60" s="43">
        <v>1874</v>
      </c>
      <c r="BH60" s="44">
        <v>2269</v>
      </c>
      <c r="BI60" s="42">
        <f t="shared" si="74"/>
        <v>4143</v>
      </c>
    </row>
    <row r="61" spans="1:61" s="38" customFormat="1" ht="15" customHeight="1" x14ac:dyDescent="0.3">
      <c r="A61" s="39" t="s">
        <v>63</v>
      </c>
      <c r="B61" s="40">
        <v>140</v>
      </c>
      <c r="C61" s="41">
        <v>282</v>
      </c>
      <c r="D61" s="42">
        <v>422</v>
      </c>
      <c r="E61" s="40">
        <v>174</v>
      </c>
      <c r="F61" s="41">
        <v>242</v>
      </c>
      <c r="G61" s="42">
        <v>416</v>
      </c>
      <c r="H61" s="40">
        <v>182</v>
      </c>
      <c r="I61" s="41">
        <v>301</v>
      </c>
      <c r="J61" s="42">
        <v>483</v>
      </c>
      <c r="K61" s="40">
        <v>206</v>
      </c>
      <c r="L61" s="41">
        <v>250</v>
      </c>
      <c r="M61" s="42">
        <v>456</v>
      </c>
      <c r="N61" s="40">
        <v>188</v>
      </c>
      <c r="O61" s="41">
        <v>323</v>
      </c>
      <c r="P61" s="42">
        <v>511</v>
      </c>
      <c r="Q61" s="40">
        <v>238</v>
      </c>
      <c r="R61" s="41">
        <v>485</v>
      </c>
      <c r="S61" s="42">
        <v>723</v>
      </c>
      <c r="T61" s="40">
        <v>318</v>
      </c>
      <c r="U61" s="41">
        <v>410</v>
      </c>
      <c r="V61" s="42">
        <v>728</v>
      </c>
      <c r="W61" s="40">
        <v>324</v>
      </c>
      <c r="X61" s="41">
        <v>399</v>
      </c>
      <c r="Y61" s="42">
        <f t="shared" si="0"/>
        <v>723</v>
      </c>
      <c r="Z61" s="43">
        <v>326</v>
      </c>
      <c r="AA61" s="44">
        <v>385</v>
      </c>
      <c r="AB61" s="42">
        <f t="shared" si="1"/>
        <v>711</v>
      </c>
      <c r="AC61" s="43">
        <v>307</v>
      </c>
      <c r="AD61" s="44">
        <v>488</v>
      </c>
      <c r="AE61" s="42">
        <f t="shared" si="2"/>
        <v>795</v>
      </c>
      <c r="AF61" s="43">
        <v>312</v>
      </c>
      <c r="AG61" s="44">
        <v>440</v>
      </c>
      <c r="AH61" s="42">
        <f t="shared" si="65"/>
        <v>752</v>
      </c>
      <c r="AI61" s="43">
        <v>243</v>
      </c>
      <c r="AJ61" s="44">
        <v>385</v>
      </c>
      <c r="AK61" s="42">
        <f t="shared" si="66"/>
        <v>628</v>
      </c>
      <c r="AL61" s="43">
        <v>252</v>
      </c>
      <c r="AM61" s="44">
        <v>384</v>
      </c>
      <c r="AN61" s="42">
        <f t="shared" si="67"/>
        <v>636</v>
      </c>
      <c r="AO61" s="43">
        <v>223</v>
      </c>
      <c r="AP61" s="44">
        <v>351</v>
      </c>
      <c r="AQ61" s="42">
        <f t="shared" si="68"/>
        <v>574</v>
      </c>
      <c r="AR61" s="43">
        <v>191</v>
      </c>
      <c r="AS61" s="44">
        <v>346</v>
      </c>
      <c r="AT61" s="42">
        <f t="shared" si="69"/>
        <v>537</v>
      </c>
      <c r="AU61" s="43">
        <v>189</v>
      </c>
      <c r="AV61" s="44">
        <v>310</v>
      </c>
      <c r="AW61" s="42">
        <f t="shared" si="70"/>
        <v>499</v>
      </c>
      <c r="AX61" s="43">
        <v>160</v>
      </c>
      <c r="AY61" s="44">
        <v>229</v>
      </c>
      <c r="AZ61" s="42">
        <f t="shared" si="71"/>
        <v>389</v>
      </c>
      <c r="BA61" s="43">
        <v>122</v>
      </c>
      <c r="BB61" s="44">
        <v>143</v>
      </c>
      <c r="BC61" s="42">
        <f t="shared" si="72"/>
        <v>265</v>
      </c>
      <c r="BD61" s="43">
        <v>138</v>
      </c>
      <c r="BE61" s="44">
        <v>137</v>
      </c>
      <c r="BF61" s="42">
        <f t="shared" si="73"/>
        <v>275</v>
      </c>
      <c r="BG61" s="43">
        <v>141</v>
      </c>
      <c r="BH61" s="44">
        <v>156</v>
      </c>
      <c r="BI61" s="42">
        <f t="shared" si="74"/>
        <v>297</v>
      </c>
    </row>
    <row r="62" spans="1:61" s="38" customFormat="1" ht="15" customHeight="1" x14ac:dyDescent="0.3">
      <c r="A62" s="45" t="s">
        <v>96</v>
      </c>
      <c r="B62" s="46">
        <v>184</v>
      </c>
      <c r="C62" s="47">
        <v>315</v>
      </c>
      <c r="D62" s="48">
        <v>499</v>
      </c>
      <c r="E62" s="49">
        <v>178</v>
      </c>
      <c r="F62" s="47">
        <v>332</v>
      </c>
      <c r="G62" s="48">
        <v>510</v>
      </c>
      <c r="H62" s="46">
        <v>177</v>
      </c>
      <c r="I62" s="50">
        <v>266</v>
      </c>
      <c r="J62" s="48">
        <v>443</v>
      </c>
      <c r="K62" s="46">
        <v>193</v>
      </c>
      <c r="L62" s="50">
        <v>262</v>
      </c>
      <c r="M62" s="48">
        <v>455</v>
      </c>
      <c r="N62" s="46">
        <v>195</v>
      </c>
      <c r="O62" s="50">
        <v>254</v>
      </c>
      <c r="P62" s="48">
        <v>449</v>
      </c>
      <c r="Q62" s="46">
        <v>198</v>
      </c>
      <c r="R62" s="50">
        <v>292</v>
      </c>
      <c r="S62" s="48">
        <v>490</v>
      </c>
      <c r="T62" s="46">
        <v>203</v>
      </c>
      <c r="U62" s="50">
        <v>297</v>
      </c>
      <c r="V62" s="48">
        <v>500</v>
      </c>
      <c r="W62" s="46">
        <v>198</v>
      </c>
      <c r="X62" s="50">
        <v>305</v>
      </c>
      <c r="Y62" s="48">
        <f t="shared" si="0"/>
        <v>503</v>
      </c>
      <c r="Z62" s="51">
        <v>204</v>
      </c>
      <c r="AA62" s="50">
        <v>261</v>
      </c>
      <c r="AB62" s="48">
        <f t="shared" si="1"/>
        <v>465</v>
      </c>
      <c r="AC62" s="51">
        <v>229</v>
      </c>
      <c r="AD62" s="50">
        <v>360</v>
      </c>
      <c r="AE62" s="48">
        <f t="shared" si="2"/>
        <v>589</v>
      </c>
      <c r="AF62" s="51">
        <v>199</v>
      </c>
      <c r="AG62" s="50">
        <v>348</v>
      </c>
      <c r="AH62" s="48">
        <f t="shared" si="65"/>
        <v>547</v>
      </c>
      <c r="AI62" s="43">
        <v>170</v>
      </c>
      <c r="AJ62" s="50">
        <v>330</v>
      </c>
      <c r="AK62" s="48">
        <f t="shared" si="66"/>
        <v>500</v>
      </c>
      <c r="AL62" s="43">
        <v>182</v>
      </c>
      <c r="AM62" s="50">
        <v>327</v>
      </c>
      <c r="AN62" s="48">
        <f t="shared" si="67"/>
        <v>509</v>
      </c>
      <c r="AO62" s="43">
        <v>181</v>
      </c>
      <c r="AP62" s="50">
        <v>257</v>
      </c>
      <c r="AQ62" s="48">
        <f t="shared" si="68"/>
        <v>438</v>
      </c>
      <c r="AR62" s="43">
        <v>154</v>
      </c>
      <c r="AS62" s="50">
        <v>292</v>
      </c>
      <c r="AT62" s="48">
        <f t="shared" si="69"/>
        <v>446</v>
      </c>
      <c r="AU62" s="43">
        <v>158</v>
      </c>
      <c r="AV62" s="50">
        <v>349</v>
      </c>
      <c r="AW62" s="48">
        <f t="shared" si="70"/>
        <v>507</v>
      </c>
      <c r="AX62" s="43">
        <v>200</v>
      </c>
      <c r="AY62" s="50">
        <v>255</v>
      </c>
      <c r="AZ62" s="48">
        <f t="shared" si="71"/>
        <v>455</v>
      </c>
      <c r="BA62" s="43">
        <v>140</v>
      </c>
      <c r="BB62" s="50">
        <v>179</v>
      </c>
      <c r="BC62" s="48">
        <f t="shared" si="72"/>
        <v>319</v>
      </c>
      <c r="BD62" s="43">
        <v>148</v>
      </c>
      <c r="BE62" s="50">
        <v>97</v>
      </c>
      <c r="BF62" s="48">
        <f t="shared" si="73"/>
        <v>245</v>
      </c>
      <c r="BG62" s="43">
        <v>112</v>
      </c>
      <c r="BH62" s="50">
        <v>124</v>
      </c>
      <c r="BI62" s="48">
        <f t="shared" si="74"/>
        <v>236</v>
      </c>
    </row>
    <row r="63" spans="1:61" s="38" customFormat="1" ht="15" customHeight="1" x14ac:dyDescent="0.3">
      <c r="A63" s="52" t="s">
        <v>64</v>
      </c>
      <c r="B63" s="53">
        <f>SUM(B57:B62)</f>
        <v>3214</v>
      </c>
      <c r="C63" s="54">
        <f t="shared" ref="C63:BC63" si="75">SUM(C57:C62)</f>
        <v>6695</v>
      </c>
      <c r="D63" s="55">
        <f t="shared" si="75"/>
        <v>9909</v>
      </c>
      <c r="E63" s="53">
        <f t="shared" si="75"/>
        <v>3067</v>
      </c>
      <c r="F63" s="54">
        <f t="shared" si="75"/>
        <v>6419</v>
      </c>
      <c r="G63" s="55">
        <f t="shared" si="75"/>
        <v>9486</v>
      </c>
      <c r="H63" s="53">
        <f t="shared" si="75"/>
        <v>3424</v>
      </c>
      <c r="I63" s="54">
        <f t="shared" si="75"/>
        <v>6962</v>
      </c>
      <c r="J63" s="55">
        <f t="shared" si="75"/>
        <v>10386</v>
      </c>
      <c r="K63" s="53">
        <f t="shared" si="75"/>
        <v>3466</v>
      </c>
      <c r="L63" s="54">
        <f t="shared" si="75"/>
        <v>6227</v>
      </c>
      <c r="M63" s="55">
        <f t="shared" si="75"/>
        <v>9693</v>
      </c>
      <c r="N63" s="53">
        <f t="shared" si="75"/>
        <v>3426</v>
      </c>
      <c r="O63" s="54">
        <f t="shared" si="75"/>
        <v>6365</v>
      </c>
      <c r="P63" s="55">
        <f t="shared" si="75"/>
        <v>9791</v>
      </c>
      <c r="Q63" s="53">
        <f t="shared" si="75"/>
        <v>3760</v>
      </c>
      <c r="R63" s="54">
        <f t="shared" si="75"/>
        <v>6538</v>
      </c>
      <c r="S63" s="55">
        <f t="shared" si="75"/>
        <v>10298</v>
      </c>
      <c r="T63" s="53">
        <f t="shared" si="75"/>
        <v>4082</v>
      </c>
      <c r="U63" s="54">
        <f t="shared" si="75"/>
        <v>6936</v>
      </c>
      <c r="V63" s="55">
        <f t="shared" si="75"/>
        <v>11018</v>
      </c>
      <c r="W63" s="53">
        <f t="shared" si="75"/>
        <v>4056</v>
      </c>
      <c r="X63" s="54">
        <f t="shared" si="75"/>
        <v>7614</v>
      </c>
      <c r="Y63" s="55">
        <f t="shared" si="75"/>
        <v>11670</v>
      </c>
      <c r="Z63" s="53">
        <f t="shared" si="75"/>
        <v>4430</v>
      </c>
      <c r="AA63" s="54">
        <f t="shared" si="75"/>
        <v>7553</v>
      </c>
      <c r="AB63" s="55">
        <f t="shared" si="75"/>
        <v>11983</v>
      </c>
      <c r="AC63" s="53">
        <f t="shared" si="75"/>
        <v>4532</v>
      </c>
      <c r="AD63" s="54">
        <f t="shared" si="75"/>
        <v>8284</v>
      </c>
      <c r="AE63" s="55">
        <f t="shared" si="75"/>
        <v>12816</v>
      </c>
      <c r="AF63" s="53">
        <f t="shared" si="75"/>
        <v>4055</v>
      </c>
      <c r="AG63" s="54">
        <f t="shared" si="75"/>
        <v>8088</v>
      </c>
      <c r="AH63" s="55">
        <f t="shared" si="75"/>
        <v>12143</v>
      </c>
      <c r="AI63" s="56">
        <f>SUM(AI57:AI62)</f>
        <v>3460</v>
      </c>
      <c r="AJ63" s="57">
        <f>SUM(AJ57:AJ62)</f>
        <v>7870</v>
      </c>
      <c r="AK63" s="55">
        <f t="shared" si="75"/>
        <v>11330</v>
      </c>
      <c r="AL63" s="56">
        <f t="shared" si="75"/>
        <v>3758</v>
      </c>
      <c r="AM63" s="57">
        <f t="shared" si="75"/>
        <v>7845</v>
      </c>
      <c r="AN63" s="55">
        <f t="shared" si="75"/>
        <v>11603</v>
      </c>
      <c r="AO63" s="56">
        <f t="shared" si="75"/>
        <v>3692</v>
      </c>
      <c r="AP63" s="57">
        <f t="shared" si="75"/>
        <v>7669</v>
      </c>
      <c r="AQ63" s="55">
        <f t="shared" si="75"/>
        <v>11361</v>
      </c>
      <c r="AR63" s="56">
        <f t="shared" si="75"/>
        <v>3422</v>
      </c>
      <c r="AS63" s="57">
        <f t="shared" si="75"/>
        <v>7586</v>
      </c>
      <c r="AT63" s="55">
        <f t="shared" si="75"/>
        <v>11008</v>
      </c>
      <c r="AU63" s="56">
        <f t="shared" si="75"/>
        <v>3270</v>
      </c>
      <c r="AV63" s="57">
        <f t="shared" si="75"/>
        <v>7111</v>
      </c>
      <c r="AW63" s="55">
        <f t="shared" si="75"/>
        <v>10381</v>
      </c>
      <c r="AX63" s="56">
        <f t="shared" si="75"/>
        <v>3683</v>
      </c>
      <c r="AY63" s="57">
        <f t="shared" si="75"/>
        <v>5331</v>
      </c>
      <c r="AZ63" s="55">
        <f t="shared" si="75"/>
        <v>9014</v>
      </c>
      <c r="BA63" s="56">
        <f t="shared" si="75"/>
        <v>3029</v>
      </c>
      <c r="BB63" s="57">
        <f t="shared" si="75"/>
        <v>4415</v>
      </c>
      <c r="BC63" s="55">
        <f t="shared" si="75"/>
        <v>7444</v>
      </c>
      <c r="BD63" s="56">
        <f>SUM(BD57:BD62)</f>
        <v>3875</v>
      </c>
      <c r="BE63" s="57">
        <f>SUM(BE57:BE62)</f>
        <v>3784</v>
      </c>
      <c r="BF63" s="55">
        <f t="shared" ref="BF63" si="76">SUM(BF57:BF62)</f>
        <v>7659</v>
      </c>
      <c r="BG63" s="56">
        <f>SUM(BG57:BG62)</f>
        <v>4199</v>
      </c>
      <c r="BH63" s="57">
        <f>SUM(BH57:BH62)</f>
        <v>4717</v>
      </c>
      <c r="BI63" s="55">
        <f t="shared" ref="BI63" si="77">SUM(BI57:BI62)</f>
        <v>8916</v>
      </c>
    </row>
    <row r="64" spans="1:61" s="38" customFormat="1" ht="15" customHeight="1" x14ac:dyDescent="0.3">
      <c r="A64" s="58" t="s">
        <v>86</v>
      </c>
      <c r="B64" s="59">
        <v>138</v>
      </c>
      <c r="C64" s="60">
        <v>277</v>
      </c>
      <c r="D64" s="61">
        <v>415</v>
      </c>
      <c r="E64" s="59">
        <v>120</v>
      </c>
      <c r="F64" s="60">
        <v>314</v>
      </c>
      <c r="G64" s="61">
        <v>434</v>
      </c>
      <c r="H64" s="59">
        <v>159</v>
      </c>
      <c r="I64" s="60">
        <v>373</v>
      </c>
      <c r="J64" s="61">
        <v>532</v>
      </c>
      <c r="K64" s="59">
        <v>165</v>
      </c>
      <c r="L64" s="60">
        <v>350</v>
      </c>
      <c r="M64" s="61">
        <v>515</v>
      </c>
      <c r="N64" s="59">
        <v>160</v>
      </c>
      <c r="O64" s="60">
        <v>385</v>
      </c>
      <c r="P64" s="61">
        <v>545</v>
      </c>
      <c r="Q64" s="59">
        <v>231</v>
      </c>
      <c r="R64" s="60">
        <v>534</v>
      </c>
      <c r="S64" s="61">
        <v>765</v>
      </c>
      <c r="T64" s="59">
        <v>268</v>
      </c>
      <c r="U64" s="60">
        <v>559</v>
      </c>
      <c r="V64" s="61">
        <v>827</v>
      </c>
      <c r="W64" s="59">
        <v>255</v>
      </c>
      <c r="X64" s="60">
        <v>526</v>
      </c>
      <c r="Y64" s="61">
        <f t="shared" si="0"/>
        <v>781</v>
      </c>
      <c r="Z64" s="62">
        <v>300</v>
      </c>
      <c r="AA64" s="63">
        <v>539</v>
      </c>
      <c r="AB64" s="61">
        <f t="shared" si="1"/>
        <v>839</v>
      </c>
      <c r="AC64" s="62">
        <v>286</v>
      </c>
      <c r="AD64" s="63">
        <v>548</v>
      </c>
      <c r="AE64" s="61">
        <f t="shared" si="2"/>
        <v>834</v>
      </c>
      <c r="AF64" s="62">
        <v>278</v>
      </c>
      <c r="AG64" s="63">
        <v>584</v>
      </c>
      <c r="AH64" s="61">
        <f t="shared" ref="AH64:AH71" si="78">SUM(AF64:AG64)</f>
        <v>862</v>
      </c>
      <c r="AI64" s="62">
        <v>248</v>
      </c>
      <c r="AJ64" s="63">
        <v>635</v>
      </c>
      <c r="AK64" s="61">
        <f t="shared" ref="AK64:AK71" si="79">SUM(AI64:AJ64)</f>
        <v>883</v>
      </c>
      <c r="AL64" s="62">
        <v>264</v>
      </c>
      <c r="AM64" s="63">
        <v>680</v>
      </c>
      <c r="AN64" s="61">
        <f t="shared" ref="AN64:AN71" si="80">SUM(AL64:AM64)</f>
        <v>944</v>
      </c>
      <c r="AO64" s="62">
        <v>309</v>
      </c>
      <c r="AP64" s="63">
        <v>662</v>
      </c>
      <c r="AQ64" s="61">
        <f t="shared" ref="AQ64:AQ71" si="81">SUM(AO64:AP64)</f>
        <v>971</v>
      </c>
      <c r="AR64" s="62">
        <v>313</v>
      </c>
      <c r="AS64" s="63">
        <v>717</v>
      </c>
      <c r="AT64" s="61">
        <f t="shared" ref="AT64:AT71" si="82">SUM(AR64:AS64)</f>
        <v>1030</v>
      </c>
      <c r="AU64" s="62">
        <v>297</v>
      </c>
      <c r="AV64" s="63">
        <v>830</v>
      </c>
      <c r="AW64" s="61">
        <f t="shared" ref="AW64:AW71" si="83">SUM(AU64:AV64)</f>
        <v>1127</v>
      </c>
      <c r="AX64" s="62">
        <v>436</v>
      </c>
      <c r="AY64" s="63">
        <v>703</v>
      </c>
      <c r="AZ64" s="61">
        <f t="shared" ref="AZ64:AZ71" si="84">SUM(AX64:AY64)</f>
        <v>1139</v>
      </c>
      <c r="BA64" s="62">
        <v>392</v>
      </c>
      <c r="BB64" s="63">
        <v>539</v>
      </c>
      <c r="BC64" s="61">
        <f t="shared" ref="BC64:BC71" si="85">SUM(BA64:BB64)</f>
        <v>931</v>
      </c>
      <c r="BD64" s="62">
        <v>396</v>
      </c>
      <c r="BE64" s="63">
        <v>367</v>
      </c>
      <c r="BF64" s="61">
        <f t="shared" ref="BF64:BF71" si="86">SUM(BD64:BE64)</f>
        <v>763</v>
      </c>
      <c r="BG64" s="62">
        <v>371</v>
      </c>
      <c r="BH64" s="63">
        <v>373</v>
      </c>
      <c r="BI64" s="61">
        <f t="shared" ref="BI64:BI71" si="87">SUM(BG64:BH64)</f>
        <v>744</v>
      </c>
    </row>
    <row r="65" spans="1:61" s="38" customFormat="1" ht="15" customHeight="1" x14ac:dyDescent="0.3">
      <c r="A65" s="39" t="s">
        <v>97</v>
      </c>
      <c r="B65" s="40">
        <v>147</v>
      </c>
      <c r="C65" s="41">
        <v>278</v>
      </c>
      <c r="D65" s="42">
        <v>425</v>
      </c>
      <c r="E65" s="40">
        <v>198</v>
      </c>
      <c r="F65" s="41">
        <v>370</v>
      </c>
      <c r="G65" s="42">
        <v>568</v>
      </c>
      <c r="H65" s="40">
        <v>256</v>
      </c>
      <c r="I65" s="41">
        <v>515</v>
      </c>
      <c r="J65" s="42">
        <v>771</v>
      </c>
      <c r="K65" s="40">
        <v>313</v>
      </c>
      <c r="L65" s="41">
        <v>471</v>
      </c>
      <c r="M65" s="42">
        <v>784</v>
      </c>
      <c r="N65" s="40">
        <v>327</v>
      </c>
      <c r="O65" s="41">
        <v>624</v>
      </c>
      <c r="P65" s="42">
        <v>951</v>
      </c>
      <c r="Q65" s="40">
        <v>420</v>
      </c>
      <c r="R65" s="41">
        <v>753</v>
      </c>
      <c r="S65" s="42">
        <v>1173</v>
      </c>
      <c r="T65" s="40">
        <v>530</v>
      </c>
      <c r="U65" s="41">
        <v>894</v>
      </c>
      <c r="V65" s="42">
        <v>1424</v>
      </c>
      <c r="W65" s="40">
        <v>604</v>
      </c>
      <c r="X65" s="41">
        <v>1244</v>
      </c>
      <c r="Y65" s="42">
        <f t="shared" si="0"/>
        <v>1848</v>
      </c>
      <c r="Z65" s="43">
        <v>825</v>
      </c>
      <c r="AA65" s="44">
        <v>1300</v>
      </c>
      <c r="AB65" s="42">
        <f t="shared" si="1"/>
        <v>2125</v>
      </c>
      <c r="AC65" s="43">
        <v>944</v>
      </c>
      <c r="AD65" s="44">
        <v>1664</v>
      </c>
      <c r="AE65" s="42">
        <f t="shared" si="2"/>
        <v>2608</v>
      </c>
      <c r="AF65" s="43">
        <v>980</v>
      </c>
      <c r="AG65" s="44">
        <v>1899</v>
      </c>
      <c r="AH65" s="42">
        <f t="shared" si="78"/>
        <v>2879</v>
      </c>
      <c r="AI65" s="43">
        <v>986</v>
      </c>
      <c r="AJ65" s="44">
        <v>2169</v>
      </c>
      <c r="AK65" s="42">
        <f t="shared" si="79"/>
        <v>3155</v>
      </c>
      <c r="AL65" s="43">
        <v>1005</v>
      </c>
      <c r="AM65" s="44">
        <v>2208</v>
      </c>
      <c r="AN65" s="42">
        <f t="shared" si="80"/>
        <v>3213</v>
      </c>
      <c r="AO65" s="43">
        <v>1114</v>
      </c>
      <c r="AP65" s="44">
        <v>2141</v>
      </c>
      <c r="AQ65" s="42">
        <f t="shared" si="81"/>
        <v>3255</v>
      </c>
      <c r="AR65" s="43">
        <v>1195</v>
      </c>
      <c r="AS65" s="44">
        <v>2465</v>
      </c>
      <c r="AT65" s="42">
        <f t="shared" si="82"/>
        <v>3660</v>
      </c>
      <c r="AU65" s="43">
        <v>1143</v>
      </c>
      <c r="AV65" s="44">
        <v>2498</v>
      </c>
      <c r="AW65" s="42">
        <f t="shared" si="83"/>
        <v>3641</v>
      </c>
      <c r="AX65" s="43">
        <v>1243</v>
      </c>
      <c r="AY65" s="44">
        <v>1891</v>
      </c>
      <c r="AZ65" s="42">
        <f t="shared" si="84"/>
        <v>3134</v>
      </c>
      <c r="BA65" s="43">
        <v>1077</v>
      </c>
      <c r="BB65" s="44">
        <v>1979</v>
      </c>
      <c r="BC65" s="42">
        <f t="shared" si="85"/>
        <v>3056</v>
      </c>
      <c r="BD65" s="43">
        <v>1527</v>
      </c>
      <c r="BE65" s="44">
        <v>1500</v>
      </c>
      <c r="BF65" s="42">
        <f t="shared" si="86"/>
        <v>3027</v>
      </c>
      <c r="BG65" s="43">
        <v>1690</v>
      </c>
      <c r="BH65" s="44">
        <v>1853</v>
      </c>
      <c r="BI65" s="42">
        <f t="shared" si="87"/>
        <v>3543</v>
      </c>
    </row>
    <row r="66" spans="1:61" s="38" customFormat="1" ht="15" customHeight="1" x14ac:dyDescent="0.3">
      <c r="A66" s="39" t="s">
        <v>98</v>
      </c>
      <c r="B66" s="40">
        <v>522</v>
      </c>
      <c r="C66" s="41">
        <v>1003</v>
      </c>
      <c r="D66" s="42">
        <v>1525</v>
      </c>
      <c r="E66" s="40">
        <v>504</v>
      </c>
      <c r="F66" s="41">
        <v>1162</v>
      </c>
      <c r="G66" s="42">
        <v>1666</v>
      </c>
      <c r="H66" s="40">
        <v>560</v>
      </c>
      <c r="I66" s="41">
        <v>1094</v>
      </c>
      <c r="J66" s="42">
        <v>1654</v>
      </c>
      <c r="K66" s="40">
        <v>560</v>
      </c>
      <c r="L66" s="41">
        <v>961</v>
      </c>
      <c r="M66" s="42">
        <v>1521</v>
      </c>
      <c r="N66" s="40">
        <v>555</v>
      </c>
      <c r="O66" s="41">
        <v>980</v>
      </c>
      <c r="P66" s="42">
        <v>1535</v>
      </c>
      <c r="Q66" s="40">
        <v>598</v>
      </c>
      <c r="R66" s="41">
        <v>1000</v>
      </c>
      <c r="S66" s="42">
        <v>1598</v>
      </c>
      <c r="T66" s="40">
        <v>532</v>
      </c>
      <c r="U66" s="41">
        <v>913</v>
      </c>
      <c r="V66" s="42">
        <v>1445</v>
      </c>
      <c r="W66" s="40">
        <v>508</v>
      </c>
      <c r="X66" s="41">
        <v>1034</v>
      </c>
      <c r="Y66" s="42">
        <f t="shared" si="0"/>
        <v>1542</v>
      </c>
      <c r="Z66" s="43">
        <v>523</v>
      </c>
      <c r="AA66" s="44">
        <v>975</v>
      </c>
      <c r="AB66" s="42">
        <f t="shared" si="1"/>
        <v>1498</v>
      </c>
      <c r="AC66" s="43">
        <v>575</v>
      </c>
      <c r="AD66" s="44">
        <v>1097</v>
      </c>
      <c r="AE66" s="42">
        <f t="shared" si="2"/>
        <v>1672</v>
      </c>
      <c r="AF66" s="43">
        <v>560</v>
      </c>
      <c r="AG66" s="44">
        <v>1217</v>
      </c>
      <c r="AH66" s="42">
        <f t="shared" si="78"/>
        <v>1777</v>
      </c>
      <c r="AI66" s="43">
        <v>536</v>
      </c>
      <c r="AJ66" s="44">
        <v>1279</v>
      </c>
      <c r="AK66" s="42">
        <f t="shared" si="79"/>
        <v>1815</v>
      </c>
      <c r="AL66" s="43">
        <v>598</v>
      </c>
      <c r="AM66" s="44">
        <v>1458</v>
      </c>
      <c r="AN66" s="42">
        <f t="shared" si="80"/>
        <v>2056</v>
      </c>
      <c r="AO66" s="43">
        <v>664</v>
      </c>
      <c r="AP66" s="44">
        <v>1440</v>
      </c>
      <c r="AQ66" s="42">
        <f t="shared" si="81"/>
        <v>2104</v>
      </c>
      <c r="AR66" s="43">
        <v>653</v>
      </c>
      <c r="AS66" s="44">
        <v>1542</v>
      </c>
      <c r="AT66" s="42">
        <f t="shared" si="82"/>
        <v>2195</v>
      </c>
      <c r="AU66" s="43">
        <v>673</v>
      </c>
      <c r="AV66" s="44">
        <v>1531</v>
      </c>
      <c r="AW66" s="42">
        <f t="shared" si="83"/>
        <v>2204</v>
      </c>
      <c r="AX66" s="43">
        <v>858</v>
      </c>
      <c r="AY66" s="44">
        <v>1297</v>
      </c>
      <c r="AZ66" s="42">
        <f t="shared" si="84"/>
        <v>2155</v>
      </c>
      <c r="BA66" s="43">
        <v>809</v>
      </c>
      <c r="BB66" s="44">
        <v>1253</v>
      </c>
      <c r="BC66" s="42">
        <f t="shared" si="85"/>
        <v>2062</v>
      </c>
      <c r="BD66" s="43">
        <v>1069</v>
      </c>
      <c r="BE66" s="44">
        <v>1167</v>
      </c>
      <c r="BF66" s="42">
        <f t="shared" si="86"/>
        <v>2236</v>
      </c>
      <c r="BG66" s="43">
        <v>1189</v>
      </c>
      <c r="BH66" s="44">
        <v>1491</v>
      </c>
      <c r="BI66" s="42">
        <f t="shared" si="87"/>
        <v>2680</v>
      </c>
    </row>
    <row r="67" spans="1:61" s="38" customFormat="1" ht="15" customHeight="1" x14ac:dyDescent="0.3">
      <c r="A67" s="39" t="s">
        <v>99</v>
      </c>
      <c r="B67" s="40">
        <v>294</v>
      </c>
      <c r="C67" s="41">
        <v>716</v>
      </c>
      <c r="D67" s="42">
        <v>1010</v>
      </c>
      <c r="E67" s="40">
        <v>347</v>
      </c>
      <c r="F67" s="41">
        <v>838</v>
      </c>
      <c r="G67" s="42">
        <v>1185</v>
      </c>
      <c r="H67" s="40">
        <v>406</v>
      </c>
      <c r="I67" s="41">
        <v>934</v>
      </c>
      <c r="J67" s="42">
        <v>1340</v>
      </c>
      <c r="K67" s="40">
        <v>481</v>
      </c>
      <c r="L67" s="41">
        <v>872</v>
      </c>
      <c r="M67" s="42">
        <v>1353</v>
      </c>
      <c r="N67" s="40">
        <v>432</v>
      </c>
      <c r="O67" s="41">
        <v>992</v>
      </c>
      <c r="P67" s="42">
        <v>1424</v>
      </c>
      <c r="Q67" s="40">
        <v>517</v>
      </c>
      <c r="R67" s="41">
        <v>1122</v>
      </c>
      <c r="S67" s="42">
        <v>1639</v>
      </c>
      <c r="T67" s="40">
        <v>521</v>
      </c>
      <c r="U67" s="41">
        <v>1134</v>
      </c>
      <c r="V67" s="42">
        <v>1655</v>
      </c>
      <c r="W67" s="40">
        <v>567</v>
      </c>
      <c r="X67" s="41">
        <v>1170</v>
      </c>
      <c r="Y67" s="42">
        <f t="shared" si="0"/>
        <v>1737</v>
      </c>
      <c r="Z67" s="43">
        <v>649</v>
      </c>
      <c r="AA67" s="44">
        <v>1257</v>
      </c>
      <c r="AB67" s="42">
        <f t="shared" si="1"/>
        <v>1906</v>
      </c>
      <c r="AC67" s="43">
        <v>650</v>
      </c>
      <c r="AD67" s="44">
        <v>1412</v>
      </c>
      <c r="AE67" s="42">
        <f t="shared" si="2"/>
        <v>2062</v>
      </c>
      <c r="AF67" s="43">
        <v>647</v>
      </c>
      <c r="AG67" s="44">
        <v>1450</v>
      </c>
      <c r="AH67" s="42">
        <f t="shared" si="78"/>
        <v>2097</v>
      </c>
      <c r="AI67" s="43">
        <v>551</v>
      </c>
      <c r="AJ67" s="44">
        <v>1537</v>
      </c>
      <c r="AK67" s="42">
        <f t="shared" si="79"/>
        <v>2088</v>
      </c>
      <c r="AL67" s="43">
        <v>681</v>
      </c>
      <c r="AM67" s="44">
        <v>1715</v>
      </c>
      <c r="AN67" s="42">
        <f t="shared" si="80"/>
        <v>2396</v>
      </c>
      <c r="AO67" s="43">
        <v>718</v>
      </c>
      <c r="AP67" s="44">
        <v>1863</v>
      </c>
      <c r="AQ67" s="42">
        <f t="shared" si="81"/>
        <v>2581</v>
      </c>
      <c r="AR67" s="43">
        <v>726</v>
      </c>
      <c r="AS67" s="44">
        <v>1988</v>
      </c>
      <c r="AT67" s="42">
        <f t="shared" si="82"/>
        <v>2714</v>
      </c>
      <c r="AU67" s="43">
        <v>826</v>
      </c>
      <c r="AV67" s="44">
        <v>2420</v>
      </c>
      <c r="AW67" s="42">
        <f t="shared" si="83"/>
        <v>3246</v>
      </c>
      <c r="AX67" s="43">
        <v>1097</v>
      </c>
      <c r="AY67" s="44">
        <v>1753</v>
      </c>
      <c r="AZ67" s="42">
        <f t="shared" si="84"/>
        <v>2850</v>
      </c>
      <c r="BA67" s="43">
        <v>1124</v>
      </c>
      <c r="BB67" s="44">
        <v>1450</v>
      </c>
      <c r="BC67" s="42">
        <f t="shared" si="85"/>
        <v>2574</v>
      </c>
      <c r="BD67" s="43">
        <v>1223</v>
      </c>
      <c r="BE67" s="44">
        <v>1255</v>
      </c>
      <c r="BF67" s="42">
        <f t="shared" si="86"/>
        <v>2478</v>
      </c>
      <c r="BG67" s="43">
        <v>1177</v>
      </c>
      <c r="BH67" s="44">
        <v>1439</v>
      </c>
      <c r="BI67" s="42">
        <f t="shared" si="87"/>
        <v>2616</v>
      </c>
    </row>
    <row r="68" spans="1:61" s="38" customFormat="1" ht="15" customHeight="1" x14ac:dyDescent="0.3">
      <c r="A68" s="39" t="s">
        <v>100</v>
      </c>
      <c r="B68" s="40">
        <v>286</v>
      </c>
      <c r="C68" s="41">
        <v>650</v>
      </c>
      <c r="D68" s="42">
        <v>936</v>
      </c>
      <c r="E68" s="40">
        <v>267</v>
      </c>
      <c r="F68" s="41">
        <v>610</v>
      </c>
      <c r="G68" s="42">
        <v>877</v>
      </c>
      <c r="H68" s="40">
        <v>254</v>
      </c>
      <c r="I68" s="41">
        <v>679</v>
      </c>
      <c r="J68" s="42">
        <v>933</v>
      </c>
      <c r="K68" s="40">
        <v>338</v>
      </c>
      <c r="L68" s="41">
        <v>630</v>
      </c>
      <c r="M68" s="42">
        <v>968</v>
      </c>
      <c r="N68" s="40">
        <v>301</v>
      </c>
      <c r="O68" s="41">
        <v>683</v>
      </c>
      <c r="P68" s="42">
        <v>984</v>
      </c>
      <c r="Q68" s="40">
        <v>377</v>
      </c>
      <c r="R68" s="41">
        <v>763</v>
      </c>
      <c r="S68" s="42">
        <v>1140</v>
      </c>
      <c r="T68" s="40">
        <v>394</v>
      </c>
      <c r="U68" s="41">
        <v>756</v>
      </c>
      <c r="V68" s="42">
        <v>1150</v>
      </c>
      <c r="W68" s="40">
        <v>375</v>
      </c>
      <c r="X68" s="41">
        <v>906</v>
      </c>
      <c r="Y68" s="42">
        <f t="shared" si="0"/>
        <v>1281</v>
      </c>
      <c r="Z68" s="43">
        <v>489</v>
      </c>
      <c r="AA68" s="44">
        <v>870</v>
      </c>
      <c r="AB68" s="42">
        <f t="shared" si="1"/>
        <v>1359</v>
      </c>
      <c r="AC68" s="43">
        <v>533</v>
      </c>
      <c r="AD68" s="44">
        <v>1171</v>
      </c>
      <c r="AE68" s="42">
        <f t="shared" si="2"/>
        <v>1704</v>
      </c>
      <c r="AF68" s="43">
        <v>621</v>
      </c>
      <c r="AG68" s="44">
        <v>1460</v>
      </c>
      <c r="AH68" s="42">
        <f t="shared" si="78"/>
        <v>2081</v>
      </c>
      <c r="AI68" s="43">
        <v>590</v>
      </c>
      <c r="AJ68" s="44">
        <v>1584</v>
      </c>
      <c r="AK68" s="42">
        <f t="shared" si="79"/>
        <v>2174</v>
      </c>
      <c r="AL68" s="43">
        <v>775</v>
      </c>
      <c r="AM68" s="44">
        <v>1805</v>
      </c>
      <c r="AN68" s="42">
        <f t="shared" si="80"/>
        <v>2580</v>
      </c>
      <c r="AO68" s="43">
        <v>831</v>
      </c>
      <c r="AP68" s="44">
        <v>1975</v>
      </c>
      <c r="AQ68" s="42">
        <f t="shared" si="81"/>
        <v>2806</v>
      </c>
      <c r="AR68" s="43">
        <v>884</v>
      </c>
      <c r="AS68" s="44">
        <v>2224</v>
      </c>
      <c r="AT68" s="42">
        <f t="shared" si="82"/>
        <v>3108</v>
      </c>
      <c r="AU68" s="43">
        <v>953</v>
      </c>
      <c r="AV68" s="44">
        <v>2282</v>
      </c>
      <c r="AW68" s="42">
        <f t="shared" si="83"/>
        <v>3235</v>
      </c>
      <c r="AX68" s="43">
        <v>1241</v>
      </c>
      <c r="AY68" s="44">
        <v>1815</v>
      </c>
      <c r="AZ68" s="42">
        <f t="shared" si="84"/>
        <v>3056</v>
      </c>
      <c r="BA68" s="43">
        <v>1168</v>
      </c>
      <c r="BB68" s="44">
        <v>1679</v>
      </c>
      <c r="BC68" s="42">
        <f t="shared" si="85"/>
        <v>2847</v>
      </c>
      <c r="BD68" s="43">
        <v>1476</v>
      </c>
      <c r="BE68" s="44">
        <v>1591</v>
      </c>
      <c r="BF68" s="42">
        <f t="shared" si="86"/>
        <v>3067</v>
      </c>
      <c r="BG68" s="43">
        <v>1837</v>
      </c>
      <c r="BH68" s="44">
        <v>2030</v>
      </c>
      <c r="BI68" s="42">
        <f t="shared" si="87"/>
        <v>3867</v>
      </c>
    </row>
    <row r="69" spans="1:61" s="38" customFormat="1" ht="15" customHeight="1" x14ac:dyDescent="0.3">
      <c r="A69" s="39" t="s">
        <v>101</v>
      </c>
      <c r="B69" s="40">
        <v>40</v>
      </c>
      <c r="C69" s="41">
        <v>94</v>
      </c>
      <c r="D69" s="42">
        <v>134</v>
      </c>
      <c r="E69" s="40">
        <v>45</v>
      </c>
      <c r="F69" s="41">
        <v>121</v>
      </c>
      <c r="G69" s="42">
        <v>166</v>
      </c>
      <c r="H69" s="40">
        <v>65</v>
      </c>
      <c r="I69" s="41">
        <v>126</v>
      </c>
      <c r="J69" s="42">
        <v>191</v>
      </c>
      <c r="K69" s="40">
        <v>87</v>
      </c>
      <c r="L69" s="41">
        <v>123</v>
      </c>
      <c r="M69" s="42">
        <v>210</v>
      </c>
      <c r="N69" s="40">
        <v>65</v>
      </c>
      <c r="O69" s="41">
        <v>136</v>
      </c>
      <c r="P69" s="42">
        <v>201</v>
      </c>
      <c r="Q69" s="40">
        <v>104</v>
      </c>
      <c r="R69" s="41">
        <v>172</v>
      </c>
      <c r="S69" s="42">
        <v>276</v>
      </c>
      <c r="T69" s="40">
        <v>97</v>
      </c>
      <c r="U69" s="41">
        <v>205</v>
      </c>
      <c r="V69" s="42">
        <v>302</v>
      </c>
      <c r="W69" s="40">
        <v>123</v>
      </c>
      <c r="X69" s="41">
        <v>276</v>
      </c>
      <c r="Y69" s="42">
        <f t="shared" ref="Y69:Y76" si="88">SUM(W69:X69)</f>
        <v>399</v>
      </c>
      <c r="Z69" s="43">
        <v>149</v>
      </c>
      <c r="AA69" s="44">
        <v>280</v>
      </c>
      <c r="AB69" s="42">
        <f>SUM(Z69:AA69)</f>
        <v>429</v>
      </c>
      <c r="AC69" s="43">
        <v>155</v>
      </c>
      <c r="AD69" s="44">
        <v>326</v>
      </c>
      <c r="AE69" s="42">
        <f t="shared" si="2"/>
        <v>481</v>
      </c>
      <c r="AF69" s="43">
        <v>172</v>
      </c>
      <c r="AG69" s="44">
        <v>410</v>
      </c>
      <c r="AH69" s="42">
        <f t="shared" si="78"/>
        <v>582</v>
      </c>
      <c r="AI69" s="43">
        <v>182</v>
      </c>
      <c r="AJ69" s="44">
        <v>347</v>
      </c>
      <c r="AK69" s="42">
        <f t="shared" si="79"/>
        <v>529</v>
      </c>
      <c r="AL69" s="43">
        <v>217</v>
      </c>
      <c r="AM69" s="44">
        <v>427</v>
      </c>
      <c r="AN69" s="42">
        <f t="shared" si="80"/>
        <v>644</v>
      </c>
      <c r="AO69" s="43">
        <v>217</v>
      </c>
      <c r="AP69" s="44">
        <v>363</v>
      </c>
      <c r="AQ69" s="42">
        <f t="shared" si="81"/>
        <v>580</v>
      </c>
      <c r="AR69" s="43">
        <v>183</v>
      </c>
      <c r="AS69" s="44">
        <v>404</v>
      </c>
      <c r="AT69" s="42">
        <f t="shared" si="82"/>
        <v>587</v>
      </c>
      <c r="AU69" s="43">
        <v>195</v>
      </c>
      <c r="AV69" s="44">
        <v>400</v>
      </c>
      <c r="AW69" s="42">
        <f t="shared" si="83"/>
        <v>595</v>
      </c>
      <c r="AX69" s="43">
        <v>218</v>
      </c>
      <c r="AY69" s="44">
        <v>346</v>
      </c>
      <c r="AZ69" s="42">
        <f t="shared" si="84"/>
        <v>564</v>
      </c>
      <c r="BA69" s="43">
        <v>151</v>
      </c>
      <c r="BB69" s="44">
        <v>261</v>
      </c>
      <c r="BC69" s="42">
        <f t="shared" si="85"/>
        <v>412</v>
      </c>
      <c r="BD69" s="43">
        <v>179</v>
      </c>
      <c r="BE69" s="44">
        <v>221</v>
      </c>
      <c r="BF69" s="42">
        <f t="shared" si="86"/>
        <v>400</v>
      </c>
      <c r="BG69" s="43">
        <v>225</v>
      </c>
      <c r="BH69" s="44">
        <v>294</v>
      </c>
      <c r="BI69" s="42">
        <f t="shared" si="87"/>
        <v>519</v>
      </c>
    </row>
    <row r="70" spans="1:61" s="38" customFormat="1" ht="15" customHeight="1" x14ac:dyDescent="0.3">
      <c r="A70" s="39" t="s">
        <v>102</v>
      </c>
      <c r="B70" s="40">
        <v>1231</v>
      </c>
      <c r="C70" s="41">
        <v>3524</v>
      </c>
      <c r="D70" s="42">
        <v>4755</v>
      </c>
      <c r="E70" s="40">
        <v>1324</v>
      </c>
      <c r="F70" s="41">
        <v>3696</v>
      </c>
      <c r="G70" s="42">
        <v>5020</v>
      </c>
      <c r="H70" s="40">
        <v>1612</v>
      </c>
      <c r="I70" s="41">
        <v>3807</v>
      </c>
      <c r="J70" s="42">
        <v>5419</v>
      </c>
      <c r="K70" s="40">
        <v>1520</v>
      </c>
      <c r="L70" s="41">
        <v>3471</v>
      </c>
      <c r="M70" s="42">
        <v>4991</v>
      </c>
      <c r="N70" s="40">
        <v>1393</v>
      </c>
      <c r="O70" s="41">
        <v>3801</v>
      </c>
      <c r="P70" s="42">
        <v>5194</v>
      </c>
      <c r="Q70" s="40">
        <v>1745</v>
      </c>
      <c r="R70" s="41">
        <v>3683</v>
      </c>
      <c r="S70" s="42">
        <v>5428</v>
      </c>
      <c r="T70" s="40">
        <v>1778</v>
      </c>
      <c r="U70" s="41">
        <v>4233</v>
      </c>
      <c r="V70" s="42">
        <v>6011</v>
      </c>
      <c r="W70" s="40">
        <v>1681</v>
      </c>
      <c r="X70" s="41">
        <v>4450</v>
      </c>
      <c r="Y70" s="42">
        <f t="shared" si="88"/>
        <v>6131</v>
      </c>
      <c r="Z70" s="43">
        <v>2113</v>
      </c>
      <c r="AA70" s="44">
        <v>4530</v>
      </c>
      <c r="AB70" s="42">
        <f>SUM(Z70:AA70)</f>
        <v>6643</v>
      </c>
      <c r="AC70" s="43">
        <v>2168</v>
      </c>
      <c r="AD70" s="44">
        <v>5211</v>
      </c>
      <c r="AE70" s="42">
        <f t="shared" si="2"/>
        <v>7379</v>
      </c>
      <c r="AF70" s="43">
        <v>2004</v>
      </c>
      <c r="AG70" s="44">
        <v>5602</v>
      </c>
      <c r="AH70" s="42">
        <f t="shared" si="78"/>
        <v>7606</v>
      </c>
      <c r="AI70" s="43">
        <v>1944</v>
      </c>
      <c r="AJ70" s="44">
        <v>5946</v>
      </c>
      <c r="AK70" s="42">
        <f t="shared" si="79"/>
        <v>7890</v>
      </c>
      <c r="AL70" s="43">
        <v>2321</v>
      </c>
      <c r="AM70" s="44">
        <v>6958</v>
      </c>
      <c r="AN70" s="42">
        <f t="shared" si="80"/>
        <v>9279</v>
      </c>
      <c r="AO70" s="43">
        <v>2509</v>
      </c>
      <c r="AP70" s="44">
        <v>6790</v>
      </c>
      <c r="AQ70" s="42">
        <f t="shared" si="81"/>
        <v>9299</v>
      </c>
      <c r="AR70" s="43">
        <v>2521</v>
      </c>
      <c r="AS70" s="44">
        <v>7260</v>
      </c>
      <c r="AT70" s="42">
        <f t="shared" si="82"/>
        <v>9781</v>
      </c>
      <c r="AU70" s="43">
        <v>2507</v>
      </c>
      <c r="AV70" s="44">
        <v>7467</v>
      </c>
      <c r="AW70" s="42">
        <f t="shared" si="83"/>
        <v>9974</v>
      </c>
      <c r="AX70" s="43">
        <v>2990</v>
      </c>
      <c r="AY70" s="44">
        <v>4773</v>
      </c>
      <c r="AZ70" s="42">
        <f t="shared" si="84"/>
        <v>7763</v>
      </c>
      <c r="BA70" s="43">
        <v>3563</v>
      </c>
      <c r="BB70" s="44">
        <v>5318</v>
      </c>
      <c r="BC70" s="42">
        <f t="shared" si="85"/>
        <v>8881</v>
      </c>
      <c r="BD70" s="43">
        <v>4736</v>
      </c>
      <c r="BE70" s="44">
        <v>5149</v>
      </c>
      <c r="BF70" s="42">
        <f t="shared" si="86"/>
        <v>9885</v>
      </c>
      <c r="BG70" s="43">
        <v>5482</v>
      </c>
      <c r="BH70" s="44">
        <v>6660</v>
      </c>
      <c r="BI70" s="42">
        <f t="shared" si="87"/>
        <v>12142</v>
      </c>
    </row>
    <row r="71" spans="1:61" s="38" customFormat="1" ht="15" customHeight="1" x14ac:dyDescent="0.3">
      <c r="A71" s="45" t="s">
        <v>103</v>
      </c>
      <c r="B71" s="46">
        <v>455</v>
      </c>
      <c r="C71" s="47">
        <v>977</v>
      </c>
      <c r="D71" s="48">
        <v>1432</v>
      </c>
      <c r="E71" s="49">
        <v>512</v>
      </c>
      <c r="F71" s="47">
        <v>1087</v>
      </c>
      <c r="G71" s="48">
        <v>1599</v>
      </c>
      <c r="H71" s="46">
        <v>675</v>
      </c>
      <c r="I71" s="50">
        <v>1305</v>
      </c>
      <c r="J71" s="48">
        <v>1980</v>
      </c>
      <c r="K71" s="46">
        <v>678</v>
      </c>
      <c r="L71" s="50">
        <v>1210</v>
      </c>
      <c r="M71" s="48">
        <v>1888</v>
      </c>
      <c r="N71" s="46">
        <v>711</v>
      </c>
      <c r="O71" s="50">
        <v>1393</v>
      </c>
      <c r="P71" s="48">
        <v>2104</v>
      </c>
      <c r="Q71" s="46">
        <v>816</v>
      </c>
      <c r="R71" s="50">
        <v>1429</v>
      </c>
      <c r="S71" s="48">
        <v>2245</v>
      </c>
      <c r="T71" s="46">
        <v>873</v>
      </c>
      <c r="U71" s="50">
        <v>1467</v>
      </c>
      <c r="V71" s="48">
        <v>2340</v>
      </c>
      <c r="W71" s="46">
        <v>901</v>
      </c>
      <c r="X71" s="50">
        <v>1692</v>
      </c>
      <c r="Y71" s="48">
        <f t="shared" si="88"/>
        <v>2593</v>
      </c>
      <c r="Z71" s="51">
        <v>1039</v>
      </c>
      <c r="AA71" s="50">
        <v>1743</v>
      </c>
      <c r="AB71" s="48">
        <f>SUM(Z71:AA71)</f>
        <v>2782</v>
      </c>
      <c r="AC71" s="51">
        <v>1069</v>
      </c>
      <c r="AD71" s="50">
        <v>1963</v>
      </c>
      <c r="AE71" s="48">
        <f t="shared" si="2"/>
        <v>3032</v>
      </c>
      <c r="AF71" s="51">
        <v>1080</v>
      </c>
      <c r="AG71" s="50">
        <v>2290</v>
      </c>
      <c r="AH71" s="48">
        <f t="shared" si="78"/>
        <v>3370</v>
      </c>
      <c r="AI71" s="43">
        <v>990</v>
      </c>
      <c r="AJ71" s="50">
        <v>2205</v>
      </c>
      <c r="AK71" s="48">
        <f t="shared" si="79"/>
        <v>3195</v>
      </c>
      <c r="AL71" s="43">
        <v>1104</v>
      </c>
      <c r="AM71" s="50">
        <v>2378</v>
      </c>
      <c r="AN71" s="48">
        <f t="shared" si="80"/>
        <v>3482</v>
      </c>
      <c r="AO71" s="43">
        <v>1159</v>
      </c>
      <c r="AP71" s="50">
        <v>2267</v>
      </c>
      <c r="AQ71" s="48">
        <f t="shared" si="81"/>
        <v>3426</v>
      </c>
      <c r="AR71" s="43">
        <v>1049</v>
      </c>
      <c r="AS71" s="50">
        <v>2014</v>
      </c>
      <c r="AT71" s="48">
        <f t="shared" si="82"/>
        <v>3063</v>
      </c>
      <c r="AU71" s="43">
        <v>957</v>
      </c>
      <c r="AV71" s="50">
        <v>2124</v>
      </c>
      <c r="AW71" s="48">
        <f t="shared" si="83"/>
        <v>3081</v>
      </c>
      <c r="AX71" s="43">
        <v>1068</v>
      </c>
      <c r="AY71" s="50">
        <v>1602</v>
      </c>
      <c r="AZ71" s="48">
        <f t="shared" si="84"/>
        <v>2670</v>
      </c>
      <c r="BA71" s="43">
        <v>960</v>
      </c>
      <c r="BB71" s="50">
        <v>1382</v>
      </c>
      <c r="BC71" s="48">
        <f t="shared" si="85"/>
        <v>2342</v>
      </c>
      <c r="BD71" s="43">
        <v>1177</v>
      </c>
      <c r="BE71" s="50">
        <v>1266</v>
      </c>
      <c r="BF71" s="48">
        <f t="shared" si="86"/>
        <v>2443</v>
      </c>
      <c r="BG71" s="43">
        <v>1314</v>
      </c>
      <c r="BH71" s="50">
        <v>1313</v>
      </c>
      <c r="BI71" s="48">
        <f t="shared" si="87"/>
        <v>2627</v>
      </c>
    </row>
    <row r="72" spans="1:61" s="38" customFormat="1" ht="15" customHeight="1" x14ac:dyDescent="0.3">
      <c r="A72" s="52" t="s">
        <v>92</v>
      </c>
      <c r="B72" s="53">
        <f>SUM(B64:B71)</f>
        <v>3113</v>
      </c>
      <c r="C72" s="54">
        <f t="shared" ref="C72:BC72" si="89">SUM(C64:C71)</f>
        <v>7519</v>
      </c>
      <c r="D72" s="55">
        <f t="shared" si="89"/>
        <v>10632</v>
      </c>
      <c r="E72" s="53">
        <f t="shared" si="89"/>
        <v>3317</v>
      </c>
      <c r="F72" s="54">
        <f t="shared" si="89"/>
        <v>8198</v>
      </c>
      <c r="G72" s="55">
        <f t="shared" si="89"/>
        <v>11515</v>
      </c>
      <c r="H72" s="53">
        <f t="shared" si="89"/>
        <v>3987</v>
      </c>
      <c r="I72" s="54">
        <f t="shared" si="89"/>
        <v>8833</v>
      </c>
      <c r="J72" s="55">
        <f t="shared" si="89"/>
        <v>12820</v>
      </c>
      <c r="K72" s="53">
        <f t="shared" si="89"/>
        <v>4142</v>
      </c>
      <c r="L72" s="54">
        <f t="shared" si="89"/>
        <v>8088</v>
      </c>
      <c r="M72" s="55">
        <f t="shared" si="89"/>
        <v>12230</v>
      </c>
      <c r="N72" s="53">
        <f t="shared" si="89"/>
        <v>3944</v>
      </c>
      <c r="O72" s="54">
        <f t="shared" si="89"/>
        <v>8994</v>
      </c>
      <c r="P72" s="55">
        <f t="shared" si="89"/>
        <v>12938</v>
      </c>
      <c r="Q72" s="53">
        <f t="shared" si="89"/>
        <v>4808</v>
      </c>
      <c r="R72" s="54">
        <f t="shared" si="89"/>
        <v>9456</v>
      </c>
      <c r="S72" s="55">
        <f t="shared" si="89"/>
        <v>14264</v>
      </c>
      <c r="T72" s="53">
        <f t="shared" si="89"/>
        <v>4993</v>
      </c>
      <c r="U72" s="54">
        <f t="shared" si="89"/>
        <v>10161</v>
      </c>
      <c r="V72" s="55">
        <f t="shared" si="89"/>
        <v>15154</v>
      </c>
      <c r="W72" s="53">
        <f t="shared" si="89"/>
        <v>5014</v>
      </c>
      <c r="X72" s="54">
        <f t="shared" si="89"/>
        <v>11298</v>
      </c>
      <c r="Y72" s="55">
        <f t="shared" si="89"/>
        <v>16312</v>
      </c>
      <c r="Z72" s="53">
        <f t="shared" si="89"/>
        <v>6087</v>
      </c>
      <c r="AA72" s="54">
        <f t="shared" si="89"/>
        <v>11494</v>
      </c>
      <c r="AB72" s="55">
        <f t="shared" si="89"/>
        <v>17581</v>
      </c>
      <c r="AC72" s="53">
        <f t="shared" si="89"/>
        <v>6380</v>
      </c>
      <c r="AD72" s="54">
        <f t="shared" si="89"/>
        <v>13392</v>
      </c>
      <c r="AE72" s="55">
        <f t="shared" si="89"/>
        <v>19772</v>
      </c>
      <c r="AF72" s="53">
        <f t="shared" si="89"/>
        <v>6342</v>
      </c>
      <c r="AG72" s="54">
        <f t="shared" si="89"/>
        <v>14912</v>
      </c>
      <c r="AH72" s="55">
        <f t="shared" si="89"/>
        <v>21254</v>
      </c>
      <c r="AI72" s="56">
        <f>SUM(AI64:AI71)</f>
        <v>6027</v>
      </c>
      <c r="AJ72" s="57">
        <f>SUM(AJ64:AJ71)</f>
        <v>15702</v>
      </c>
      <c r="AK72" s="55">
        <f t="shared" si="89"/>
        <v>21729</v>
      </c>
      <c r="AL72" s="56">
        <f t="shared" si="89"/>
        <v>6965</v>
      </c>
      <c r="AM72" s="57">
        <f t="shared" si="89"/>
        <v>17629</v>
      </c>
      <c r="AN72" s="55">
        <f t="shared" si="89"/>
        <v>24594</v>
      </c>
      <c r="AO72" s="56">
        <f t="shared" si="89"/>
        <v>7521</v>
      </c>
      <c r="AP72" s="57">
        <f t="shared" si="89"/>
        <v>17501</v>
      </c>
      <c r="AQ72" s="55">
        <f t="shared" si="89"/>
        <v>25022</v>
      </c>
      <c r="AR72" s="56">
        <f t="shared" si="89"/>
        <v>7524</v>
      </c>
      <c r="AS72" s="57">
        <f t="shared" si="89"/>
        <v>18614</v>
      </c>
      <c r="AT72" s="55">
        <f t="shared" si="89"/>
        <v>26138</v>
      </c>
      <c r="AU72" s="56">
        <f t="shared" si="89"/>
        <v>7551</v>
      </c>
      <c r="AV72" s="57">
        <f t="shared" si="89"/>
        <v>19552</v>
      </c>
      <c r="AW72" s="55">
        <f t="shared" si="89"/>
        <v>27103</v>
      </c>
      <c r="AX72" s="56">
        <f t="shared" si="89"/>
        <v>9151</v>
      </c>
      <c r="AY72" s="57">
        <f t="shared" si="89"/>
        <v>14180</v>
      </c>
      <c r="AZ72" s="55">
        <f t="shared" si="89"/>
        <v>23331</v>
      </c>
      <c r="BA72" s="56">
        <f t="shared" si="89"/>
        <v>9244</v>
      </c>
      <c r="BB72" s="57">
        <f t="shared" si="89"/>
        <v>13861</v>
      </c>
      <c r="BC72" s="55">
        <f t="shared" si="89"/>
        <v>23105</v>
      </c>
      <c r="BD72" s="56">
        <f>SUM(BD64:BD71)</f>
        <v>11783</v>
      </c>
      <c r="BE72" s="57">
        <f>SUM(BE64:BE71)</f>
        <v>12516</v>
      </c>
      <c r="BF72" s="55">
        <f t="shared" ref="BF72" si="90">SUM(BF64:BF71)</f>
        <v>24299</v>
      </c>
      <c r="BG72" s="56">
        <f>SUM(BG64:BG71)</f>
        <v>13285</v>
      </c>
      <c r="BH72" s="57">
        <f>SUM(BH64:BH71)</f>
        <v>15453</v>
      </c>
      <c r="BI72" s="55">
        <f t="shared" ref="BI72" si="91">SUM(BI64:BI71)</f>
        <v>28738</v>
      </c>
    </row>
    <row r="73" spans="1:61" s="38" customFormat="1" ht="15" customHeight="1" x14ac:dyDescent="0.3">
      <c r="A73" s="58" t="s">
        <v>65</v>
      </c>
      <c r="B73" s="59">
        <v>292</v>
      </c>
      <c r="C73" s="60">
        <v>715</v>
      </c>
      <c r="D73" s="61">
        <v>1007</v>
      </c>
      <c r="E73" s="59">
        <v>281</v>
      </c>
      <c r="F73" s="60">
        <v>660</v>
      </c>
      <c r="G73" s="61">
        <v>941</v>
      </c>
      <c r="H73" s="59">
        <v>310</v>
      </c>
      <c r="I73" s="60">
        <v>689</v>
      </c>
      <c r="J73" s="61">
        <v>999</v>
      </c>
      <c r="K73" s="59">
        <v>303</v>
      </c>
      <c r="L73" s="60">
        <v>664</v>
      </c>
      <c r="M73" s="61">
        <v>967</v>
      </c>
      <c r="N73" s="59">
        <v>354</v>
      </c>
      <c r="O73" s="60">
        <v>796</v>
      </c>
      <c r="P73" s="61">
        <v>1150</v>
      </c>
      <c r="Q73" s="59">
        <v>463</v>
      </c>
      <c r="R73" s="60">
        <v>842</v>
      </c>
      <c r="S73" s="61">
        <v>1305</v>
      </c>
      <c r="T73" s="59">
        <v>432</v>
      </c>
      <c r="U73" s="60">
        <v>967</v>
      </c>
      <c r="V73" s="61">
        <v>1399</v>
      </c>
      <c r="W73" s="59">
        <v>563</v>
      </c>
      <c r="X73" s="60">
        <v>1195</v>
      </c>
      <c r="Y73" s="61">
        <f t="shared" si="88"/>
        <v>1758</v>
      </c>
      <c r="Z73" s="62">
        <v>662</v>
      </c>
      <c r="AA73" s="63">
        <v>1288</v>
      </c>
      <c r="AB73" s="61">
        <f>SUM(Z73:AA73)</f>
        <v>1950</v>
      </c>
      <c r="AC73" s="62">
        <v>753</v>
      </c>
      <c r="AD73" s="63">
        <v>1592</v>
      </c>
      <c r="AE73" s="61">
        <f t="shared" si="2"/>
        <v>2345</v>
      </c>
      <c r="AF73" s="62">
        <v>726</v>
      </c>
      <c r="AG73" s="63">
        <v>1571</v>
      </c>
      <c r="AH73" s="61">
        <f>SUM(AF73:AG73)</f>
        <v>2297</v>
      </c>
      <c r="AI73" s="62">
        <v>553</v>
      </c>
      <c r="AJ73" s="63">
        <v>1602</v>
      </c>
      <c r="AK73" s="61">
        <f>SUM(AI73:AJ73)</f>
        <v>2155</v>
      </c>
      <c r="AL73" s="62">
        <v>683</v>
      </c>
      <c r="AM73" s="63">
        <v>1744</v>
      </c>
      <c r="AN73" s="61">
        <f>SUM(AL73:AM73)</f>
        <v>2427</v>
      </c>
      <c r="AO73" s="62">
        <v>756</v>
      </c>
      <c r="AP73" s="63">
        <v>1973</v>
      </c>
      <c r="AQ73" s="61">
        <f>SUM(AO73:AP73)</f>
        <v>2729</v>
      </c>
      <c r="AR73" s="62">
        <v>784</v>
      </c>
      <c r="AS73" s="63">
        <v>1859</v>
      </c>
      <c r="AT73" s="61">
        <f>SUM(AR73:AS73)</f>
        <v>2643</v>
      </c>
      <c r="AU73" s="62">
        <v>750</v>
      </c>
      <c r="AV73" s="63">
        <v>1880</v>
      </c>
      <c r="AW73" s="61">
        <f>SUM(AU73:AV73)</f>
        <v>2630</v>
      </c>
      <c r="AX73" s="62">
        <v>960</v>
      </c>
      <c r="AY73" s="63">
        <v>1455</v>
      </c>
      <c r="AZ73" s="61">
        <f>SUM(AX73:AY73)</f>
        <v>2415</v>
      </c>
      <c r="BA73" s="62">
        <v>827</v>
      </c>
      <c r="BB73" s="63">
        <v>1257</v>
      </c>
      <c r="BC73" s="61">
        <f>SUM(BA73:BB73)</f>
        <v>2084</v>
      </c>
      <c r="BD73" s="62">
        <v>1114</v>
      </c>
      <c r="BE73" s="63">
        <v>1160</v>
      </c>
      <c r="BF73" s="61">
        <f>SUM(BD73:BE73)</f>
        <v>2274</v>
      </c>
      <c r="BG73" s="62">
        <v>1144</v>
      </c>
      <c r="BH73" s="63">
        <v>1327</v>
      </c>
      <c r="BI73" s="61">
        <f>SUM(BG73:BH73)</f>
        <v>2471</v>
      </c>
    </row>
    <row r="74" spans="1:61" s="38" customFormat="1" ht="15" customHeight="1" x14ac:dyDescent="0.3">
      <c r="A74" s="39" t="s">
        <v>66</v>
      </c>
      <c r="B74" s="40">
        <v>804</v>
      </c>
      <c r="C74" s="41">
        <v>1796</v>
      </c>
      <c r="D74" s="42">
        <v>2600</v>
      </c>
      <c r="E74" s="40">
        <v>816</v>
      </c>
      <c r="F74" s="41">
        <v>1943</v>
      </c>
      <c r="G74" s="42">
        <v>2759</v>
      </c>
      <c r="H74" s="40">
        <v>864</v>
      </c>
      <c r="I74" s="41">
        <v>1798</v>
      </c>
      <c r="J74" s="42">
        <v>2662</v>
      </c>
      <c r="K74" s="40">
        <v>954</v>
      </c>
      <c r="L74" s="41">
        <v>1740</v>
      </c>
      <c r="M74" s="42">
        <v>2694</v>
      </c>
      <c r="N74" s="40">
        <v>920</v>
      </c>
      <c r="O74" s="41">
        <v>1982</v>
      </c>
      <c r="P74" s="42">
        <v>2902</v>
      </c>
      <c r="Q74" s="40">
        <v>1160</v>
      </c>
      <c r="R74" s="41">
        <v>2136</v>
      </c>
      <c r="S74" s="42">
        <v>3296</v>
      </c>
      <c r="T74" s="40">
        <v>1213</v>
      </c>
      <c r="U74" s="41">
        <v>2277</v>
      </c>
      <c r="V74" s="42">
        <v>3490</v>
      </c>
      <c r="W74" s="40">
        <v>1257</v>
      </c>
      <c r="X74" s="41">
        <v>2555</v>
      </c>
      <c r="Y74" s="42">
        <f t="shared" si="88"/>
        <v>3812</v>
      </c>
      <c r="Z74" s="43">
        <v>1374</v>
      </c>
      <c r="AA74" s="44">
        <v>2349</v>
      </c>
      <c r="AB74" s="42">
        <f>SUM(Z74:AA74)</f>
        <v>3723</v>
      </c>
      <c r="AC74" s="43">
        <v>1293</v>
      </c>
      <c r="AD74" s="44">
        <v>2538</v>
      </c>
      <c r="AE74" s="42">
        <f t="shared" si="2"/>
        <v>3831</v>
      </c>
      <c r="AF74" s="43">
        <v>1192</v>
      </c>
      <c r="AG74" s="44">
        <v>2311</v>
      </c>
      <c r="AH74" s="42">
        <f>SUM(AF74:AG74)</f>
        <v>3503</v>
      </c>
      <c r="AI74" s="43">
        <v>931</v>
      </c>
      <c r="AJ74" s="44">
        <v>2017</v>
      </c>
      <c r="AK74" s="42">
        <f>SUM(AI74:AJ74)</f>
        <v>2948</v>
      </c>
      <c r="AL74" s="43">
        <v>899</v>
      </c>
      <c r="AM74" s="44">
        <v>1881</v>
      </c>
      <c r="AN74" s="42">
        <f>SUM(AL74:AM74)</f>
        <v>2780</v>
      </c>
      <c r="AO74" s="43">
        <v>817</v>
      </c>
      <c r="AP74" s="44">
        <v>1716</v>
      </c>
      <c r="AQ74" s="42">
        <f>SUM(AO74:AP74)</f>
        <v>2533</v>
      </c>
      <c r="AR74" s="43">
        <v>706</v>
      </c>
      <c r="AS74" s="44">
        <v>1616</v>
      </c>
      <c r="AT74" s="42">
        <f>SUM(AR74:AS74)</f>
        <v>2322</v>
      </c>
      <c r="AU74" s="43">
        <v>733</v>
      </c>
      <c r="AV74" s="44">
        <v>1643</v>
      </c>
      <c r="AW74" s="42">
        <f>SUM(AU74:AV74)</f>
        <v>2376</v>
      </c>
      <c r="AX74" s="43">
        <v>841</v>
      </c>
      <c r="AY74" s="44">
        <v>1467</v>
      </c>
      <c r="AZ74" s="42">
        <f>SUM(AX74:AY74)</f>
        <v>2308</v>
      </c>
      <c r="BA74" s="43">
        <v>889</v>
      </c>
      <c r="BB74" s="44">
        <v>1285</v>
      </c>
      <c r="BC74" s="42">
        <f>SUM(BA74:BB74)</f>
        <v>2174</v>
      </c>
      <c r="BD74" s="43">
        <v>1061</v>
      </c>
      <c r="BE74" s="44">
        <v>1204</v>
      </c>
      <c r="BF74" s="42">
        <f>SUM(BD74:BE74)</f>
        <v>2265</v>
      </c>
      <c r="BG74" s="43">
        <v>1168</v>
      </c>
      <c r="BH74" s="44">
        <v>1418</v>
      </c>
      <c r="BI74" s="42">
        <f>SUM(BG74:BH74)</f>
        <v>2586</v>
      </c>
    </row>
    <row r="75" spans="1:61" s="38" customFormat="1" ht="15" customHeight="1" x14ac:dyDescent="0.3">
      <c r="A75" s="39" t="s">
        <v>67</v>
      </c>
      <c r="B75" s="40">
        <v>139</v>
      </c>
      <c r="C75" s="41">
        <v>311</v>
      </c>
      <c r="D75" s="42">
        <v>450</v>
      </c>
      <c r="E75" s="40">
        <v>133</v>
      </c>
      <c r="F75" s="41">
        <v>331</v>
      </c>
      <c r="G75" s="42">
        <v>464</v>
      </c>
      <c r="H75" s="40">
        <v>159</v>
      </c>
      <c r="I75" s="41">
        <v>416</v>
      </c>
      <c r="J75" s="42">
        <v>575</v>
      </c>
      <c r="K75" s="40">
        <v>176</v>
      </c>
      <c r="L75" s="41">
        <v>344</v>
      </c>
      <c r="M75" s="42">
        <v>520</v>
      </c>
      <c r="N75" s="40">
        <v>195</v>
      </c>
      <c r="O75" s="41">
        <v>454</v>
      </c>
      <c r="P75" s="42">
        <v>649</v>
      </c>
      <c r="Q75" s="40">
        <v>290</v>
      </c>
      <c r="R75" s="41">
        <v>458</v>
      </c>
      <c r="S75" s="42">
        <v>748</v>
      </c>
      <c r="T75" s="40">
        <v>276</v>
      </c>
      <c r="U75" s="41">
        <v>526</v>
      </c>
      <c r="V75" s="42">
        <v>802</v>
      </c>
      <c r="W75" s="40">
        <v>282</v>
      </c>
      <c r="X75" s="41">
        <v>626</v>
      </c>
      <c r="Y75" s="42">
        <f t="shared" si="88"/>
        <v>908</v>
      </c>
      <c r="Z75" s="43">
        <v>344</v>
      </c>
      <c r="AA75" s="44">
        <v>661</v>
      </c>
      <c r="AB75" s="42">
        <f>SUM(Z75:AA75)</f>
        <v>1005</v>
      </c>
      <c r="AC75" s="43">
        <v>408</v>
      </c>
      <c r="AD75" s="44">
        <v>798</v>
      </c>
      <c r="AE75" s="42">
        <f t="shared" si="2"/>
        <v>1206</v>
      </c>
      <c r="AF75" s="43">
        <v>374</v>
      </c>
      <c r="AG75" s="44">
        <v>788</v>
      </c>
      <c r="AH75" s="42">
        <f>SUM(AF75:AG75)</f>
        <v>1162</v>
      </c>
      <c r="AI75" s="43">
        <v>311</v>
      </c>
      <c r="AJ75" s="44">
        <v>749</v>
      </c>
      <c r="AK75" s="42">
        <f>SUM(AI75:AJ75)</f>
        <v>1060</v>
      </c>
      <c r="AL75" s="43">
        <v>361</v>
      </c>
      <c r="AM75" s="44">
        <v>802</v>
      </c>
      <c r="AN75" s="42">
        <f>SUM(AL75:AM75)</f>
        <v>1163</v>
      </c>
      <c r="AO75" s="43">
        <v>382</v>
      </c>
      <c r="AP75" s="44">
        <v>764</v>
      </c>
      <c r="AQ75" s="42">
        <f>SUM(AO75:AP75)</f>
        <v>1146</v>
      </c>
      <c r="AR75" s="43">
        <v>317</v>
      </c>
      <c r="AS75" s="44">
        <v>604</v>
      </c>
      <c r="AT75" s="42">
        <f>SUM(AR75:AS75)</f>
        <v>921</v>
      </c>
      <c r="AU75" s="43">
        <v>355</v>
      </c>
      <c r="AV75" s="44">
        <v>716</v>
      </c>
      <c r="AW75" s="42">
        <f>SUM(AU75:AV75)</f>
        <v>1071</v>
      </c>
      <c r="AX75" s="43">
        <v>431</v>
      </c>
      <c r="AY75" s="44">
        <v>610</v>
      </c>
      <c r="AZ75" s="42">
        <f>SUM(AX75:AY75)</f>
        <v>1041</v>
      </c>
      <c r="BA75" s="43">
        <v>321</v>
      </c>
      <c r="BB75" s="44">
        <v>503</v>
      </c>
      <c r="BC75" s="42">
        <f>SUM(BA75:BB75)</f>
        <v>824</v>
      </c>
      <c r="BD75" s="43">
        <v>386</v>
      </c>
      <c r="BE75" s="44">
        <v>429</v>
      </c>
      <c r="BF75" s="42">
        <f>SUM(BD75:BE75)</f>
        <v>815</v>
      </c>
      <c r="BG75" s="43">
        <v>393</v>
      </c>
      <c r="BH75" s="44">
        <v>430</v>
      </c>
      <c r="BI75" s="42">
        <f>SUM(BG75:BH75)</f>
        <v>823</v>
      </c>
    </row>
    <row r="76" spans="1:61" s="38" customFormat="1" ht="15" customHeight="1" x14ac:dyDescent="0.3">
      <c r="A76" s="45" t="s">
        <v>104</v>
      </c>
      <c r="B76" s="46">
        <v>39</v>
      </c>
      <c r="C76" s="47">
        <v>70</v>
      </c>
      <c r="D76" s="48">
        <v>109</v>
      </c>
      <c r="E76" s="49">
        <v>42</v>
      </c>
      <c r="F76" s="47">
        <v>79</v>
      </c>
      <c r="G76" s="48">
        <v>121</v>
      </c>
      <c r="H76" s="46">
        <v>44</v>
      </c>
      <c r="I76" s="50">
        <v>65</v>
      </c>
      <c r="J76" s="48">
        <v>109</v>
      </c>
      <c r="K76" s="46">
        <v>36</v>
      </c>
      <c r="L76" s="50">
        <v>57</v>
      </c>
      <c r="M76" s="48">
        <v>93</v>
      </c>
      <c r="N76" s="46">
        <v>54</v>
      </c>
      <c r="O76" s="50">
        <v>86</v>
      </c>
      <c r="P76" s="48">
        <v>140</v>
      </c>
      <c r="Q76" s="46">
        <v>83</v>
      </c>
      <c r="R76" s="50">
        <v>155</v>
      </c>
      <c r="S76" s="48">
        <v>238</v>
      </c>
      <c r="T76" s="46">
        <v>103</v>
      </c>
      <c r="U76" s="50">
        <v>162</v>
      </c>
      <c r="V76" s="48">
        <v>265</v>
      </c>
      <c r="W76" s="46">
        <v>103</v>
      </c>
      <c r="X76" s="50">
        <v>152</v>
      </c>
      <c r="Y76" s="48">
        <f t="shared" si="88"/>
        <v>255</v>
      </c>
      <c r="Z76" s="51">
        <v>119</v>
      </c>
      <c r="AA76" s="50">
        <v>158</v>
      </c>
      <c r="AB76" s="48">
        <f>SUM(Z76:AA76)</f>
        <v>277</v>
      </c>
      <c r="AC76" s="51">
        <v>116</v>
      </c>
      <c r="AD76" s="50">
        <v>179</v>
      </c>
      <c r="AE76" s="48">
        <f t="shared" si="2"/>
        <v>295</v>
      </c>
      <c r="AF76" s="51">
        <v>109</v>
      </c>
      <c r="AG76" s="50">
        <v>195</v>
      </c>
      <c r="AH76" s="48">
        <f>SUM(AF76:AG76)</f>
        <v>304</v>
      </c>
      <c r="AI76" s="43">
        <v>109</v>
      </c>
      <c r="AJ76" s="50">
        <v>193</v>
      </c>
      <c r="AK76" s="48">
        <f>SUM(AI76:AJ76)</f>
        <v>302</v>
      </c>
      <c r="AL76" s="43">
        <v>111</v>
      </c>
      <c r="AM76" s="50">
        <v>200</v>
      </c>
      <c r="AN76" s="48">
        <f>SUM(AL76:AM76)</f>
        <v>311</v>
      </c>
      <c r="AO76" s="43">
        <v>70</v>
      </c>
      <c r="AP76" s="50">
        <v>207</v>
      </c>
      <c r="AQ76" s="48">
        <f>SUM(AO76:AP76)</f>
        <v>277</v>
      </c>
      <c r="AR76" s="43">
        <v>90</v>
      </c>
      <c r="AS76" s="50">
        <v>182</v>
      </c>
      <c r="AT76" s="48">
        <f>SUM(AR76:AS76)</f>
        <v>272</v>
      </c>
      <c r="AU76" s="43">
        <v>86</v>
      </c>
      <c r="AV76" s="50">
        <v>203</v>
      </c>
      <c r="AW76" s="48">
        <f>SUM(AU76:AV76)</f>
        <v>289</v>
      </c>
      <c r="AX76" s="43">
        <v>91</v>
      </c>
      <c r="AY76" s="50">
        <v>162</v>
      </c>
      <c r="AZ76" s="48">
        <f>SUM(AX76:AY76)</f>
        <v>253</v>
      </c>
      <c r="BA76" s="43">
        <v>89</v>
      </c>
      <c r="BB76" s="50">
        <v>103</v>
      </c>
      <c r="BC76" s="48">
        <f>SUM(BA76:BB76)</f>
        <v>192</v>
      </c>
      <c r="BD76" s="43">
        <v>66</v>
      </c>
      <c r="BE76" s="50">
        <v>81</v>
      </c>
      <c r="BF76" s="48">
        <f>SUM(BD76:BE76)</f>
        <v>147</v>
      </c>
      <c r="BG76" s="43">
        <v>55</v>
      </c>
      <c r="BH76" s="50">
        <v>93</v>
      </c>
      <c r="BI76" s="48">
        <f>SUM(BG76:BH76)</f>
        <v>148</v>
      </c>
    </row>
    <row r="77" spans="1:61" s="38" customFormat="1" ht="15" customHeight="1" x14ac:dyDescent="0.3">
      <c r="A77" s="64" t="s">
        <v>68</v>
      </c>
      <c r="B77" s="65">
        <f>SUM(B73:B76)</f>
        <v>1274</v>
      </c>
      <c r="C77" s="66">
        <f t="shared" ref="C77:BC77" si="92">SUM(C73:C76)</f>
        <v>2892</v>
      </c>
      <c r="D77" s="67">
        <f t="shared" si="92"/>
        <v>4166</v>
      </c>
      <c r="E77" s="65">
        <f t="shared" si="92"/>
        <v>1272</v>
      </c>
      <c r="F77" s="66">
        <f t="shared" si="92"/>
        <v>3013</v>
      </c>
      <c r="G77" s="67">
        <f t="shared" si="92"/>
        <v>4285</v>
      </c>
      <c r="H77" s="65">
        <f t="shared" si="92"/>
        <v>1377</v>
      </c>
      <c r="I77" s="66">
        <f t="shared" si="92"/>
        <v>2968</v>
      </c>
      <c r="J77" s="67">
        <f t="shared" si="92"/>
        <v>4345</v>
      </c>
      <c r="K77" s="65">
        <f t="shared" si="92"/>
        <v>1469</v>
      </c>
      <c r="L77" s="66">
        <f t="shared" si="92"/>
        <v>2805</v>
      </c>
      <c r="M77" s="67">
        <f t="shared" si="92"/>
        <v>4274</v>
      </c>
      <c r="N77" s="65">
        <f t="shared" si="92"/>
        <v>1523</v>
      </c>
      <c r="O77" s="66">
        <f t="shared" si="92"/>
        <v>3318</v>
      </c>
      <c r="P77" s="67">
        <f t="shared" si="92"/>
        <v>4841</v>
      </c>
      <c r="Q77" s="65">
        <f t="shared" si="92"/>
        <v>1996</v>
      </c>
      <c r="R77" s="66">
        <f t="shared" si="92"/>
        <v>3591</v>
      </c>
      <c r="S77" s="67">
        <f t="shared" si="92"/>
        <v>5587</v>
      </c>
      <c r="T77" s="65">
        <f t="shared" si="92"/>
        <v>2024</v>
      </c>
      <c r="U77" s="66">
        <f t="shared" si="92"/>
        <v>3932</v>
      </c>
      <c r="V77" s="67">
        <f t="shared" si="92"/>
        <v>5956</v>
      </c>
      <c r="W77" s="65">
        <f t="shared" si="92"/>
        <v>2205</v>
      </c>
      <c r="X77" s="66">
        <f t="shared" si="92"/>
        <v>4528</v>
      </c>
      <c r="Y77" s="67">
        <f t="shared" si="92"/>
        <v>6733</v>
      </c>
      <c r="Z77" s="65">
        <f t="shared" si="92"/>
        <v>2499</v>
      </c>
      <c r="AA77" s="66">
        <f t="shared" si="92"/>
        <v>4456</v>
      </c>
      <c r="AB77" s="67">
        <f t="shared" si="92"/>
        <v>6955</v>
      </c>
      <c r="AC77" s="65">
        <f t="shared" si="92"/>
        <v>2570</v>
      </c>
      <c r="AD77" s="66">
        <f t="shared" si="92"/>
        <v>5107</v>
      </c>
      <c r="AE77" s="67">
        <f t="shared" si="92"/>
        <v>7677</v>
      </c>
      <c r="AF77" s="65">
        <f t="shared" si="92"/>
        <v>2401</v>
      </c>
      <c r="AG77" s="66">
        <f t="shared" si="92"/>
        <v>4865</v>
      </c>
      <c r="AH77" s="67">
        <f t="shared" si="92"/>
        <v>7266</v>
      </c>
      <c r="AI77" s="68">
        <f>SUM(AI73:AI76)</f>
        <v>1904</v>
      </c>
      <c r="AJ77" s="69">
        <f>SUM(AJ73:AJ76)</f>
        <v>4561</v>
      </c>
      <c r="AK77" s="67">
        <f t="shared" si="92"/>
        <v>6465</v>
      </c>
      <c r="AL77" s="68">
        <f t="shared" si="92"/>
        <v>2054</v>
      </c>
      <c r="AM77" s="69">
        <f t="shared" si="92"/>
        <v>4627</v>
      </c>
      <c r="AN77" s="67">
        <f t="shared" si="92"/>
        <v>6681</v>
      </c>
      <c r="AO77" s="68">
        <f t="shared" si="92"/>
        <v>2025</v>
      </c>
      <c r="AP77" s="69">
        <f t="shared" si="92"/>
        <v>4660</v>
      </c>
      <c r="AQ77" s="67">
        <f t="shared" si="92"/>
        <v>6685</v>
      </c>
      <c r="AR77" s="68">
        <f t="shared" si="92"/>
        <v>1897</v>
      </c>
      <c r="AS77" s="69">
        <f t="shared" si="92"/>
        <v>4261</v>
      </c>
      <c r="AT77" s="67">
        <f t="shared" si="92"/>
        <v>6158</v>
      </c>
      <c r="AU77" s="68">
        <f t="shared" si="92"/>
        <v>1924</v>
      </c>
      <c r="AV77" s="69">
        <f t="shared" si="92"/>
        <v>4442</v>
      </c>
      <c r="AW77" s="67">
        <f t="shared" si="92"/>
        <v>6366</v>
      </c>
      <c r="AX77" s="68">
        <f t="shared" si="92"/>
        <v>2323</v>
      </c>
      <c r="AY77" s="69">
        <f t="shared" si="92"/>
        <v>3694</v>
      </c>
      <c r="AZ77" s="67">
        <f t="shared" si="92"/>
        <v>6017</v>
      </c>
      <c r="BA77" s="68">
        <f t="shared" si="92"/>
        <v>2126</v>
      </c>
      <c r="BB77" s="69">
        <f t="shared" si="92"/>
        <v>3148</v>
      </c>
      <c r="BC77" s="67">
        <f t="shared" si="92"/>
        <v>5274</v>
      </c>
      <c r="BD77" s="68">
        <f t="shared" ref="BD77:BF77" si="93">SUM(BD73:BD76)</f>
        <v>2627</v>
      </c>
      <c r="BE77" s="69">
        <f t="shared" si="93"/>
        <v>2874</v>
      </c>
      <c r="BF77" s="67">
        <f t="shared" si="93"/>
        <v>5501</v>
      </c>
      <c r="BG77" s="68">
        <f t="shared" ref="BG77:BI77" si="94">SUM(BG73:BG76)</f>
        <v>2760</v>
      </c>
      <c r="BH77" s="69">
        <f t="shared" si="94"/>
        <v>3268</v>
      </c>
      <c r="BI77" s="67">
        <f t="shared" si="94"/>
        <v>6028</v>
      </c>
    </row>
    <row r="78" spans="1:61" s="38" customFormat="1" ht="15" customHeight="1" x14ac:dyDescent="0.3">
      <c r="A78" s="88" t="s">
        <v>105</v>
      </c>
      <c r="B78" s="89">
        <f>SUM(B77,B72,B63)</f>
        <v>7601</v>
      </c>
      <c r="C78" s="90">
        <f t="shared" ref="C78:BC78" si="95">SUM(C77,C72,C63)</f>
        <v>17106</v>
      </c>
      <c r="D78" s="91">
        <f t="shared" si="95"/>
        <v>24707</v>
      </c>
      <c r="E78" s="89">
        <f t="shared" si="95"/>
        <v>7656</v>
      </c>
      <c r="F78" s="90">
        <f t="shared" si="95"/>
        <v>17630</v>
      </c>
      <c r="G78" s="91">
        <f t="shared" si="95"/>
        <v>25286</v>
      </c>
      <c r="H78" s="89">
        <f t="shared" si="95"/>
        <v>8788</v>
      </c>
      <c r="I78" s="90">
        <f t="shared" si="95"/>
        <v>18763</v>
      </c>
      <c r="J78" s="91">
        <f t="shared" si="95"/>
        <v>27551</v>
      </c>
      <c r="K78" s="89">
        <f t="shared" si="95"/>
        <v>9077</v>
      </c>
      <c r="L78" s="90">
        <f t="shared" si="95"/>
        <v>17120</v>
      </c>
      <c r="M78" s="91">
        <f t="shared" si="95"/>
        <v>26197</v>
      </c>
      <c r="N78" s="89">
        <f t="shared" si="95"/>
        <v>8893</v>
      </c>
      <c r="O78" s="90">
        <f t="shared" si="95"/>
        <v>18677</v>
      </c>
      <c r="P78" s="91">
        <f t="shared" si="95"/>
        <v>27570</v>
      </c>
      <c r="Q78" s="89">
        <f t="shared" si="95"/>
        <v>10564</v>
      </c>
      <c r="R78" s="90">
        <f t="shared" si="95"/>
        <v>19585</v>
      </c>
      <c r="S78" s="91">
        <f t="shared" si="95"/>
        <v>30149</v>
      </c>
      <c r="T78" s="89">
        <f t="shared" si="95"/>
        <v>11099</v>
      </c>
      <c r="U78" s="90">
        <f t="shared" si="95"/>
        <v>21029</v>
      </c>
      <c r="V78" s="91">
        <f t="shared" si="95"/>
        <v>32128</v>
      </c>
      <c r="W78" s="89">
        <f t="shared" si="95"/>
        <v>11275</v>
      </c>
      <c r="X78" s="90">
        <f t="shared" si="95"/>
        <v>23440</v>
      </c>
      <c r="Y78" s="91">
        <f t="shared" si="95"/>
        <v>34715</v>
      </c>
      <c r="Z78" s="89">
        <f t="shared" si="95"/>
        <v>13016</v>
      </c>
      <c r="AA78" s="90">
        <f t="shared" si="95"/>
        <v>23503</v>
      </c>
      <c r="AB78" s="91">
        <f t="shared" si="95"/>
        <v>36519</v>
      </c>
      <c r="AC78" s="89">
        <f t="shared" si="95"/>
        <v>13482</v>
      </c>
      <c r="AD78" s="90">
        <f t="shared" si="95"/>
        <v>26783</v>
      </c>
      <c r="AE78" s="91">
        <f t="shared" si="95"/>
        <v>40265</v>
      </c>
      <c r="AF78" s="89">
        <f t="shared" si="95"/>
        <v>12798</v>
      </c>
      <c r="AG78" s="90">
        <f t="shared" si="95"/>
        <v>27865</v>
      </c>
      <c r="AH78" s="91">
        <f t="shared" si="95"/>
        <v>40663</v>
      </c>
      <c r="AI78" s="89">
        <f t="shared" si="95"/>
        <v>11391</v>
      </c>
      <c r="AJ78" s="90">
        <f t="shared" si="95"/>
        <v>28133</v>
      </c>
      <c r="AK78" s="91">
        <f t="shared" si="95"/>
        <v>39524</v>
      </c>
      <c r="AL78" s="89">
        <f t="shared" si="95"/>
        <v>12777</v>
      </c>
      <c r="AM78" s="90">
        <f t="shared" si="95"/>
        <v>30101</v>
      </c>
      <c r="AN78" s="91">
        <f t="shared" si="95"/>
        <v>42878</v>
      </c>
      <c r="AO78" s="89">
        <f t="shared" si="95"/>
        <v>13238</v>
      </c>
      <c r="AP78" s="90">
        <f t="shared" si="95"/>
        <v>29830</v>
      </c>
      <c r="AQ78" s="91">
        <f t="shared" si="95"/>
        <v>43068</v>
      </c>
      <c r="AR78" s="89">
        <f t="shared" si="95"/>
        <v>12843</v>
      </c>
      <c r="AS78" s="90">
        <f t="shared" si="95"/>
        <v>30461</v>
      </c>
      <c r="AT78" s="91">
        <f t="shared" si="95"/>
        <v>43304</v>
      </c>
      <c r="AU78" s="89">
        <f t="shared" si="95"/>
        <v>12745</v>
      </c>
      <c r="AV78" s="90">
        <f t="shared" si="95"/>
        <v>31105</v>
      </c>
      <c r="AW78" s="91">
        <f t="shared" si="95"/>
        <v>43850</v>
      </c>
      <c r="AX78" s="89">
        <f t="shared" si="95"/>
        <v>15157</v>
      </c>
      <c r="AY78" s="90">
        <f t="shared" si="95"/>
        <v>23205</v>
      </c>
      <c r="AZ78" s="91">
        <f t="shared" si="95"/>
        <v>38362</v>
      </c>
      <c r="BA78" s="89">
        <f t="shared" si="95"/>
        <v>14399</v>
      </c>
      <c r="BB78" s="90">
        <f t="shared" si="95"/>
        <v>21424</v>
      </c>
      <c r="BC78" s="91">
        <f t="shared" si="95"/>
        <v>35823</v>
      </c>
      <c r="BD78" s="89">
        <f t="shared" ref="BD78:BF78" si="96">SUM(BD77,BD72,BD63)</f>
        <v>18285</v>
      </c>
      <c r="BE78" s="90">
        <f t="shared" si="96"/>
        <v>19174</v>
      </c>
      <c r="BF78" s="91">
        <f t="shared" si="96"/>
        <v>37459</v>
      </c>
      <c r="BG78" s="89">
        <f t="shared" ref="BG78:BI78" si="97">SUM(BG77,BG72,BG63)</f>
        <v>20244</v>
      </c>
      <c r="BH78" s="90">
        <f t="shared" si="97"/>
        <v>23438</v>
      </c>
      <c r="BI78" s="91">
        <f t="shared" si="97"/>
        <v>43682</v>
      </c>
    </row>
    <row r="79" spans="1:61" s="38" customFormat="1" ht="15" customHeight="1" x14ac:dyDescent="0.3">
      <c r="A79" s="74" t="s">
        <v>60</v>
      </c>
      <c r="B79" s="92"/>
      <c r="C79" s="93"/>
      <c r="D79" s="77"/>
      <c r="E79" s="92"/>
      <c r="F79" s="93"/>
      <c r="G79" s="77"/>
      <c r="H79" s="92"/>
      <c r="I79" s="93">
        <v>212</v>
      </c>
      <c r="J79" s="77">
        <v>212</v>
      </c>
      <c r="K79" s="92"/>
      <c r="L79" s="93">
        <v>103</v>
      </c>
      <c r="M79" s="77">
        <v>103</v>
      </c>
      <c r="N79" s="92"/>
      <c r="O79" s="93">
        <v>129</v>
      </c>
      <c r="P79" s="77">
        <v>129</v>
      </c>
      <c r="Q79" s="92"/>
      <c r="R79" s="93">
        <v>153</v>
      </c>
      <c r="S79" s="77">
        <v>153</v>
      </c>
      <c r="T79" s="92"/>
      <c r="U79" s="93">
        <v>179</v>
      </c>
      <c r="V79" s="77">
        <v>179</v>
      </c>
      <c r="W79" s="92"/>
      <c r="X79" s="93">
        <v>201</v>
      </c>
      <c r="Y79" s="77">
        <f t="shared" ref="Y79:Y91" si="98">SUM(W79:X79)</f>
        <v>201</v>
      </c>
      <c r="Z79" s="92"/>
      <c r="AA79" s="79">
        <v>209</v>
      </c>
      <c r="AB79" s="77">
        <f t="shared" ref="AB79:AB91" si="99">SUM(Z79:AA79)</f>
        <v>209</v>
      </c>
      <c r="AC79" s="92"/>
      <c r="AD79" s="79">
        <v>197</v>
      </c>
      <c r="AE79" s="77">
        <f t="shared" si="2"/>
        <v>197</v>
      </c>
      <c r="AF79" s="92"/>
      <c r="AG79" s="79">
        <v>428</v>
      </c>
      <c r="AH79" s="77">
        <f>SUM(AF79:AG79)</f>
        <v>428</v>
      </c>
      <c r="AI79" s="36">
        <v>220</v>
      </c>
      <c r="AJ79" s="79">
        <v>517</v>
      </c>
      <c r="AK79" s="77">
        <f>SUM(AI79:AJ79)</f>
        <v>737</v>
      </c>
      <c r="AL79" s="36">
        <v>276</v>
      </c>
      <c r="AM79" s="79">
        <v>650</v>
      </c>
      <c r="AN79" s="77">
        <f>SUM(AL79:AM79)</f>
        <v>926</v>
      </c>
      <c r="AO79" s="36">
        <v>307</v>
      </c>
      <c r="AP79" s="79">
        <v>628</v>
      </c>
      <c r="AQ79" s="77">
        <f>SUM(AO79:AP79)</f>
        <v>935</v>
      </c>
      <c r="AR79" s="36">
        <v>257</v>
      </c>
      <c r="AS79" s="79">
        <v>664</v>
      </c>
      <c r="AT79" s="77">
        <f>SUM(AR79:AS79)</f>
        <v>921</v>
      </c>
      <c r="AU79" s="36">
        <v>259</v>
      </c>
      <c r="AV79" s="79">
        <v>683</v>
      </c>
      <c r="AW79" s="77">
        <f>SUM(AU79:AV79)</f>
        <v>942</v>
      </c>
      <c r="AX79" s="36">
        <v>362</v>
      </c>
      <c r="AY79" s="79">
        <v>543</v>
      </c>
      <c r="AZ79" s="77">
        <f>SUM(AX79:AY79)</f>
        <v>905</v>
      </c>
      <c r="BA79" s="36">
        <v>327</v>
      </c>
      <c r="BB79" s="79">
        <v>424</v>
      </c>
      <c r="BC79" s="77">
        <f>SUM(BA79:BB79)</f>
        <v>751</v>
      </c>
      <c r="BD79" s="36">
        <v>371</v>
      </c>
      <c r="BE79" s="79">
        <v>401</v>
      </c>
      <c r="BF79" s="77">
        <f>SUM(BD79:BE79)</f>
        <v>772</v>
      </c>
      <c r="BG79" s="36">
        <v>460</v>
      </c>
      <c r="BH79" s="79">
        <v>455</v>
      </c>
      <c r="BI79" s="77">
        <f>SUM(BG79:BH79)</f>
        <v>915</v>
      </c>
    </row>
    <row r="80" spans="1:61" s="38" customFormat="1" ht="15" customHeight="1" x14ac:dyDescent="0.3">
      <c r="A80" s="39" t="s">
        <v>61</v>
      </c>
      <c r="B80" s="82"/>
      <c r="C80" s="83"/>
      <c r="D80" s="42"/>
      <c r="E80" s="82"/>
      <c r="F80" s="83"/>
      <c r="G80" s="42"/>
      <c r="H80" s="82"/>
      <c r="I80" s="83">
        <v>270</v>
      </c>
      <c r="J80" s="42">
        <v>270</v>
      </c>
      <c r="K80" s="82"/>
      <c r="L80" s="83"/>
      <c r="M80" s="42">
        <v>0</v>
      </c>
      <c r="N80" s="82"/>
      <c r="O80" s="83"/>
      <c r="P80" s="42">
        <v>0</v>
      </c>
      <c r="Q80" s="82"/>
      <c r="R80" s="83"/>
      <c r="S80" s="42">
        <v>0</v>
      </c>
      <c r="T80" s="82"/>
      <c r="U80" s="83"/>
      <c r="V80" s="42">
        <v>0</v>
      </c>
      <c r="W80" s="82"/>
      <c r="X80" s="83"/>
      <c r="Y80" s="42">
        <f t="shared" si="98"/>
        <v>0</v>
      </c>
      <c r="Z80" s="82"/>
      <c r="AA80" s="83"/>
      <c r="AB80" s="42"/>
      <c r="AC80" s="82"/>
      <c r="AD80" s="83"/>
      <c r="AE80" s="42"/>
      <c r="AF80" s="82"/>
      <c r="AG80" s="83"/>
      <c r="AH80" s="42"/>
      <c r="AI80" s="43"/>
      <c r="AJ80" s="83"/>
      <c r="AK80" s="42"/>
      <c r="AL80" s="43"/>
      <c r="AM80" s="83">
        <v>216</v>
      </c>
      <c r="AN80" s="77">
        <f>SUM(AL80:AM80)</f>
        <v>216</v>
      </c>
      <c r="AO80" s="43"/>
      <c r="AP80" s="83">
        <v>728</v>
      </c>
      <c r="AQ80" s="77">
        <f>SUM(AO80:AP80)</f>
        <v>728</v>
      </c>
      <c r="AR80" s="43"/>
      <c r="AS80" s="83">
        <v>736</v>
      </c>
      <c r="AT80" s="77">
        <f>SUM(AR80:AS80)</f>
        <v>736</v>
      </c>
      <c r="AU80" s="43"/>
      <c r="AV80" s="83">
        <v>751</v>
      </c>
      <c r="AW80" s="77">
        <f>SUM(AU80:AV80)</f>
        <v>751</v>
      </c>
      <c r="AX80" s="43"/>
      <c r="AY80" s="83">
        <v>602</v>
      </c>
      <c r="AZ80" s="77">
        <f>SUM(AX80:AY80)</f>
        <v>602</v>
      </c>
      <c r="BA80" s="43"/>
      <c r="BB80" s="83">
        <v>642</v>
      </c>
      <c r="BC80" s="77">
        <f>SUM(BA80:BB80)</f>
        <v>642</v>
      </c>
      <c r="BD80" s="43"/>
      <c r="BE80" s="83">
        <v>636</v>
      </c>
      <c r="BF80" s="77">
        <f>SUM(BD80:BE80)</f>
        <v>636</v>
      </c>
      <c r="BG80" s="43"/>
      <c r="BH80" s="83">
        <v>662</v>
      </c>
      <c r="BI80" s="77">
        <f>SUM(BG80:BH80)</f>
        <v>662</v>
      </c>
    </row>
    <row r="81" spans="1:61" s="38" customFormat="1" ht="15" customHeight="1" x14ac:dyDescent="0.3">
      <c r="A81" s="39" t="s">
        <v>106</v>
      </c>
      <c r="B81" s="82"/>
      <c r="C81" s="83"/>
      <c r="D81" s="42"/>
      <c r="E81" s="82"/>
      <c r="F81" s="83"/>
      <c r="G81" s="42"/>
      <c r="H81" s="82"/>
      <c r="I81" s="83"/>
      <c r="J81" s="42">
        <v>0</v>
      </c>
      <c r="K81" s="82"/>
      <c r="L81" s="83"/>
      <c r="M81" s="42">
        <v>0</v>
      </c>
      <c r="N81" s="82"/>
      <c r="O81" s="83">
        <v>7</v>
      </c>
      <c r="P81" s="42">
        <v>7</v>
      </c>
      <c r="Q81" s="82"/>
      <c r="R81" s="83">
        <v>25</v>
      </c>
      <c r="S81" s="42">
        <v>25</v>
      </c>
      <c r="T81" s="82"/>
      <c r="U81" s="83">
        <v>19</v>
      </c>
      <c r="V81" s="42">
        <v>19</v>
      </c>
      <c r="W81" s="82"/>
      <c r="X81" s="83">
        <v>32</v>
      </c>
      <c r="Y81" s="42">
        <f t="shared" si="98"/>
        <v>32</v>
      </c>
      <c r="Z81" s="82"/>
      <c r="AA81" s="83">
        <v>39</v>
      </c>
      <c r="AB81" s="42">
        <f t="shared" si="99"/>
        <v>39</v>
      </c>
      <c r="AC81" s="82"/>
      <c r="AD81" s="83">
        <v>55</v>
      </c>
      <c r="AE81" s="42">
        <f t="shared" si="2"/>
        <v>55</v>
      </c>
      <c r="AF81" s="82"/>
      <c r="AG81" s="83">
        <v>136</v>
      </c>
      <c r="AH81" s="42">
        <f>SUM(AF81:AG81)</f>
        <v>136</v>
      </c>
      <c r="AI81" s="43">
        <v>51</v>
      </c>
      <c r="AJ81" s="83">
        <v>119</v>
      </c>
      <c r="AK81" s="42">
        <f>SUM(AI81:AJ81)</f>
        <v>170</v>
      </c>
      <c r="AL81" s="43">
        <v>66</v>
      </c>
      <c r="AM81" s="83">
        <v>114</v>
      </c>
      <c r="AN81" s="42">
        <f>SUM(AL81:AM81)</f>
        <v>180</v>
      </c>
      <c r="AO81" s="43">
        <v>54</v>
      </c>
      <c r="AP81" s="83">
        <v>82</v>
      </c>
      <c r="AQ81" s="42">
        <f>SUM(AO81:AP81)</f>
        <v>136</v>
      </c>
      <c r="AR81" s="43">
        <v>43</v>
      </c>
      <c r="AS81" s="83">
        <v>99</v>
      </c>
      <c r="AT81" s="42">
        <f>SUM(AR81:AS81)</f>
        <v>142</v>
      </c>
      <c r="AU81" s="43">
        <v>45</v>
      </c>
      <c r="AV81" s="83">
        <v>112</v>
      </c>
      <c r="AW81" s="42">
        <f>SUM(AU81:AV81)</f>
        <v>157</v>
      </c>
      <c r="AX81" s="43">
        <v>62</v>
      </c>
      <c r="AY81" s="83">
        <v>103</v>
      </c>
      <c r="AZ81" s="42">
        <f>SUM(AX81:AY81)</f>
        <v>165</v>
      </c>
      <c r="BA81" s="43">
        <v>44</v>
      </c>
      <c r="BB81" s="83">
        <v>68</v>
      </c>
      <c r="BC81" s="42">
        <f>SUM(BA81:BB81)</f>
        <v>112</v>
      </c>
      <c r="BD81" s="43">
        <v>33</v>
      </c>
      <c r="BE81" s="83">
        <v>40</v>
      </c>
      <c r="BF81" s="42">
        <f>SUM(BD81:BE81)</f>
        <v>73</v>
      </c>
      <c r="BG81" s="43">
        <v>24</v>
      </c>
      <c r="BH81" s="83">
        <v>27</v>
      </c>
      <c r="BI81" s="42">
        <f>SUM(BG81:BH81)</f>
        <v>51</v>
      </c>
    </row>
    <row r="82" spans="1:61" s="38" customFormat="1" ht="15" customHeight="1" x14ac:dyDescent="0.3">
      <c r="A82" s="45" t="s">
        <v>107</v>
      </c>
      <c r="B82" s="46"/>
      <c r="C82" s="47"/>
      <c r="D82" s="48"/>
      <c r="E82" s="49"/>
      <c r="F82" s="47"/>
      <c r="G82" s="48"/>
      <c r="H82" s="46"/>
      <c r="I82" s="50"/>
      <c r="J82" s="48">
        <v>0</v>
      </c>
      <c r="K82" s="46"/>
      <c r="L82" s="50"/>
      <c r="M82" s="48">
        <v>0</v>
      </c>
      <c r="N82" s="46"/>
      <c r="O82" s="50">
        <v>34</v>
      </c>
      <c r="P82" s="48">
        <v>34</v>
      </c>
      <c r="Q82" s="46"/>
      <c r="R82" s="50">
        <v>44</v>
      </c>
      <c r="S82" s="48">
        <v>44</v>
      </c>
      <c r="T82" s="46"/>
      <c r="U82" s="50">
        <v>44</v>
      </c>
      <c r="V82" s="48">
        <v>44</v>
      </c>
      <c r="W82" s="46"/>
      <c r="X82" s="50">
        <v>73</v>
      </c>
      <c r="Y82" s="48">
        <f t="shared" si="98"/>
        <v>73</v>
      </c>
      <c r="Z82" s="51"/>
      <c r="AA82" s="50">
        <v>73</v>
      </c>
      <c r="AB82" s="48">
        <f t="shared" si="99"/>
        <v>73</v>
      </c>
      <c r="AC82" s="51"/>
      <c r="AD82" s="50">
        <v>82</v>
      </c>
      <c r="AE82" s="48">
        <f t="shared" si="2"/>
        <v>82</v>
      </c>
      <c r="AF82" s="51"/>
      <c r="AG82" s="50">
        <v>152</v>
      </c>
      <c r="AH82" s="48">
        <f>SUM(AF82:AG82)</f>
        <v>152</v>
      </c>
      <c r="AI82" s="51">
        <v>92</v>
      </c>
      <c r="AJ82" s="50">
        <v>152</v>
      </c>
      <c r="AK82" s="48">
        <f>SUM(AI82:AJ82)</f>
        <v>244</v>
      </c>
      <c r="AL82" s="51">
        <v>116</v>
      </c>
      <c r="AM82" s="50">
        <v>150</v>
      </c>
      <c r="AN82" s="48">
        <f>SUM(AL82:AM82)</f>
        <v>266</v>
      </c>
      <c r="AO82" s="51">
        <v>109</v>
      </c>
      <c r="AP82" s="50">
        <v>134</v>
      </c>
      <c r="AQ82" s="48">
        <f>SUM(AO82:AP82)</f>
        <v>243</v>
      </c>
      <c r="AR82" s="51">
        <v>85</v>
      </c>
      <c r="AS82" s="50">
        <v>109</v>
      </c>
      <c r="AT82" s="48">
        <f>SUM(AR82:AS82)</f>
        <v>194</v>
      </c>
      <c r="AU82" s="51">
        <v>90</v>
      </c>
      <c r="AV82" s="50">
        <v>133</v>
      </c>
      <c r="AW82" s="48">
        <f>SUM(AU82:AV82)</f>
        <v>223</v>
      </c>
      <c r="AX82" s="51">
        <v>111</v>
      </c>
      <c r="AY82" s="50">
        <v>86</v>
      </c>
      <c r="AZ82" s="48">
        <f>SUM(AX82:AY82)</f>
        <v>197</v>
      </c>
      <c r="BA82" s="51">
        <v>87</v>
      </c>
      <c r="BB82" s="50">
        <v>84</v>
      </c>
      <c r="BC82" s="48">
        <f>SUM(BA82:BB82)</f>
        <v>171</v>
      </c>
      <c r="BD82" s="51">
        <v>80</v>
      </c>
      <c r="BE82" s="50">
        <v>62</v>
      </c>
      <c r="BF82" s="48">
        <f>SUM(BD82:BE82)</f>
        <v>142</v>
      </c>
      <c r="BG82" s="51">
        <v>75</v>
      </c>
      <c r="BH82" s="50">
        <v>53</v>
      </c>
      <c r="BI82" s="48">
        <f>SUM(BG82:BH82)</f>
        <v>128</v>
      </c>
    </row>
    <row r="83" spans="1:61" s="38" customFormat="1" ht="15" customHeight="1" x14ac:dyDescent="0.3">
      <c r="A83" s="52" t="s">
        <v>64</v>
      </c>
      <c r="B83" s="53"/>
      <c r="C83" s="54"/>
      <c r="D83" s="55"/>
      <c r="E83" s="53"/>
      <c r="F83" s="54"/>
      <c r="G83" s="55"/>
      <c r="H83" s="53"/>
      <c r="I83" s="54">
        <f>SUM(I79:I82)</f>
        <v>482</v>
      </c>
      <c r="J83" s="55">
        <f t="shared" ref="J83:BC83" si="100">SUM(J79:J82)</f>
        <v>482</v>
      </c>
      <c r="K83" s="53">
        <f t="shared" si="100"/>
        <v>0</v>
      </c>
      <c r="L83" s="54">
        <f t="shared" si="100"/>
        <v>103</v>
      </c>
      <c r="M83" s="55">
        <f t="shared" si="100"/>
        <v>103</v>
      </c>
      <c r="N83" s="53">
        <f t="shared" si="100"/>
        <v>0</v>
      </c>
      <c r="O83" s="54">
        <f t="shared" si="100"/>
        <v>170</v>
      </c>
      <c r="P83" s="55">
        <f t="shared" si="100"/>
        <v>170</v>
      </c>
      <c r="Q83" s="53">
        <f t="shared" si="100"/>
        <v>0</v>
      </c>
      <c r="R83" s="54">
        <f t="shared" si="100"/>
        <v>222</v>
      </c>
      <c r="S83" s="55">
        <f t="shared" si="100"/>
        <v>222</v>
      </c>
      <c r="T83" s="53">
        <f t="shared" si="100"/>
        <v>0</v>
      </c>
      <c r="U83" s="54">
        <f t="shared" si="100"/>
        <v>242</v>
      </c>
      <c r="V83" s="55">
        <f t="shared" si="100"/>
        <v>242</v>
      </c>
      <c r="W83" s="53">
        <f t="shared" si="100"/>
        <v>0</v>
      </c>
      <c r="X83" s="54">
        <f t="shared" si="100"/>
        <v>306</v>
      </c>
      <c r="Y83" s="55">
        <f t="shared" si="100"/>
        <v>306</v>
      </c>
      <c r="Z83" s="53">
        <f t="shared" si="100"/>
        <v>0</v>
      </c>
      <c r="AA83" s="54">
        <f t="shared" si="100"/>
        <v>321</v>
      </c>
      <c r="AB83" s="55">
        <f t="shared" si="100"/>
        <v>321</v>
      </c>
      <c r="AC83" s="53">
        <f t="shared" si="100"/>
        <v>0</v>
      </c>
      <c r="AD83" s="54">
        <f t="shared" si="100"/>
        <v>334</v>
      </c>
      <c r="AE83" s="55">
        <f t="shared" si="100"/>
        <v>334</v>
      </c>
      <c r="AF83" s="53">
        <f t="shared" si="100"/>
        <v>0</v>
      </c>
      <c r="AG83" s="54">
        <f t="shared" si="100"/>
        <v>716</v>
      </c>
      <c r="AH83" s="55">
        <f t="shared" si="100"/>
        <v>716</v>
      </c>
      <c r="AI83" s="56">
        <f t="shared" si="100"/>
        <v>363</v>
      </c>
      <c r="AJ83" s="57">
        <f>SUM(AJ79:AJ82)</f>
        <v>788</v>
      </c>
      <c r="AK83" s="55">
        <f t="shared" si="100"/>
        <v>1151</v>
      </c>
      <c r="AL83" s="56">
        <f t="shared" si="100"/>
        <v>458</v>
      </c>
      <c r="AM83" s="57">
        <f t="shared" si="100"/>
        <v>1130</v>
      </c>
      <c r="AN83" s="55">
        <f t="shared" si="100"/>
        <v>1588</v>
      </c>
      <c r="AO83" s="56">
        <f t="shared" si="100"/>
        <v>470</v>
      </c>
      <c r="AP83" s="57">
        <f t="shared" si="100"/>
        <v>1572</v>
      </c>
      <c r="AQ83" s="55">
        <f t="shared" si="100"/>
        <v>2042</v>
      </c>
      <c r="AR83" s="56">
        <f t="shared" si="100"/>
        <v>385</v>
      </c>
      <c r="AS83" s="57">
        <f t="shared" si="100"/>
        <v>1608</v>
      </c>
      <c r="AT83" s="55">
        <f t="shared" si="100"/>
        <v>1993</v>
      </c>
      <c r="AU83" s="56">
        <f t="shared" si="100"/>
        <v>394</v>
      </c>
      <c r="AV83" s="57">
        <f t="shared" si="100"/>
        <v>1679</v>
      </c>
      <c r="AW83" s="55">
        <f t="shared" si="100"/>
        <v>2073</v>
      </c>
      <c r="AX83" s="56">
        <f t="shared" si="100"/>
        <v>535</v>
      </c>
      <c r="AY83" s="57">
        <f t="shared" si="100"/>
        <v>1334</v>
      </c>
      <c r="AZ83" s="55">
        <f t="shared" si="100"/>
        <v>1869</v>
      </c>
      <c r="BA83" s="56">
        <f t="shared" si="100"/>
        <v>458</v>
      </c>
      <c r="BB83" s="57">
        <f t="shared" si="100"/>
        <v>1218</v>
      </c>
      <c r="BC83" s="55">
        <f t="shared" si="100"/>
        <v>1676</v>
      </c>
      <c r="BD83" s="56">
        <f>SUM(BD79:BD82)</f>
        <v>484</v>
      </c>
      <c r="BE83" s="57">
        <f>SUM(BE79:BE82)</f>
        <v>1139</v>
      </c>
      <c r="BF83" s="55">
        <f t="shared" ref="BF83" si="101">SUM(BF79:BF82)</f>
        <v>1623</v>
      </c>
      <c r="BG83" s="56">
        <f>SUM(BG79:BG82)</f>
        <v>559</v>
      </c>
      <c r="BH83" s="57">
        <f>SUM(BH79:BH82)</f>
        <v>1197</v>
      </c>
      <c r="BI83" s="55">
        <f t="shared" ref="BI83" si="102">SUM(BI79:BI82)</f>
        <v>1756</v>
      </c>
    </row>
    <row r="84" spans="1:61" s="38" customFormat="1" ht="15" customHeight="1" x14ac:dyDescent="0.3">
      <c r="A84" s="58" t="s">
        <v>108</v>
      </c>
      <c r="B84" s="59"/>
      <c r="C84" s="60"/>
      <c r="D84" s="61"/>
      <c r="E84" s="59"/>
      <c r="F84" s="60"/>
      <c r="G84" s="61"/>
      <c r="H84" s="59"/>
      <c r="I84" s="60">
        <v>135</v>
      </c>
      <c r="J84" s="61">
        <v>135</v>
      </c>
      <c r="K84" s="59"/>
      <c r="L84" s="60">
        <v>89</v>
      </c>
      <c r="M84" s="61">
        <v>89</v>
      </c>
      <c r="N84" s="59"/>
      <c r="O84" s="60">
        <v>165</v>
      </c>
      <c r="P84" s="61">
        <v>165</v>
      </c>
      <c r="Q84" s="59"/>
      <c r="R84" s="60">
        <v>174</v>
      </c>
      <c r="S84" s="61">
        <v>174</v>
      </c>
      <c r="T84" s="59"/>
      <c r="U84" s="60">
        <v>228</v>
      </c>
      <c r="V84" s="61">
        <v>228</v>
      </c>
      <c r="W84" s="59"/>
      <c r="X84" s="60">
        <v>285</v>
      </c>
      <c r="Y84" s="61">
        <f t="shared" si="98"/>
        <v>285</v>
      </c>
      <c r="Z84" s="62"/>
      <c r="AA84" s="63">
        <v>254</v>
      </c>
      <c r="AB84" s="61">
        <f t="shared" si="99"/>
        <v>254</v>
      </c>
      <c r="AC84" s="62"/>
      <c r="AD84" s="63">
        <v>258</v>
      </c>
      <c r="AE84" s="61">
        <f t="shared" ref="AE84:AE102" si="103">SUM(AC84:AD84)</f>
        <v>258</v>
      </c>
      <c r="AF84" s="62"/>
      <c r="AG84" s="63">
        <v>497</v>
      </c>
      <c r="AH84" s="61">
        <f>SUM(AF84:AG84)</f>
        <v>497</v>
      </c>
      <c r="AI84" s="62"/>
      <c r="AJ84" s="63">
        <v>533</v>
      </c>
      <c r="AK84" s="61">
        <f>SUM(AI84:AJ84)</f>
        <v>533</v>
      </c>
      <c r="AL84" s="62"/>
      <c r="AM84" s="63">
        <v>526</v>
      </c>
      <c r="AN84" s="61">
        <f>SUM(AL84:AM84)</f>
        <v>526</v>
      </c>
      <c r="AO84" s="62"/>
      <c r="AP84" s="63">
        <v>535</v>
      </c>
      <c r="AQ84" s="61">
        <f>SUM(AO84:AP84)</f>
        <v>535</v>
      </c>
      <c r="AR84" s="62"/>
      <c r="AS84" s="63">
        <v>631</v>
      </c>
      <c r="AT84" s="61">
        <f>SUM(AR84:AS84)</f>
        <v>631</v>
      </c>
      <c r="AU84" s="62"/>
      <c r="AV84" s="63">
        <v>567</v>
      </c>
      <c r="AW84" s="61">
        <f>SUM(AU84:AV84)</f>
        <v>567</v>
      </c>
      <c r="AX84" s="62"/>
      <c r="AY84" s="63">
        <v>588</v>
      </c>
      <c r="AZ84" s="61">
        <f>SUM(AX84:AY84)</f>
        <v>588</v>
      </c>
      <c r="BA84" s="62"/>
      <c r="BB84" s="63">
        <v>563</v>
      </c>
      <c r="BC84" s="61">
        <f>SUM(BA84:BB84)</f>
        <v>563</v>
      </c>
      <c r="BD84" s="62"/>
      <c r="BE84" s="63">
        <v>560</v>
      </c>
      <c r="BF84" s="61">
        <f>SUM(BD84:BE84)</f>
        <v>560</v>
      </c>
      <c r="BG84" s="62"/>
      <c r="BH84" s="63">
        <v>633</v>
      </c>
      <c r="BI84" s="61">
        <f>SUM(BG84:BH84)</f>
        <v>633</v>
      </c>
    </row>
    <row r="85" spans="1:61" s="38" customFormat="1" ht="15" customHeight="1" x14ac:dyDescent="0.25">
      <c r="A85" s="39" t="s">
        <v>109</v>
      </c>
      <c r="B85" s="82"/>
      <c r="C85" s="83"/>
      <c r="D85" s="42"/>
      <c r="E85" s="82"/>
      <c r="F85" s="83"/>
      <c r="G85" s="42"/>
      <c r="H85" s="82"/>
      <c r="I85" s="83"/>
      <c r="J85" s="42">
        <v>0</v>
      </c>
      <c r="K85" s="82"/>
      <c r="L85" s="83"/>
      <c r="M85" s="42">
        <v>0</v>
      </c>
      <c r="N85" s="82"/>
      <c r="O85" s="83">
        <v>64</v>
      </c>
      <c r="P85" s="42">
        <v>64</v>
      </c>
      <c r="Q85" s="82"/>
      <c r="R85" s="83">
        <v>113</v>
      </c>
      <c r="S85" s="42">
        <v>113</v>
      </c>
      <c r="T85" s="82"/>
      <c r="U85" s="83">
        <v>101</v>
      </c>
      <c r="V85" s="42">
        <v>101</v>
      </c>
      <c r="W85" s="82"/>
      <c r="X85" s="83">
        <v>130</v>
      </c>
      <c r="Y85" s="42">
        <f t="shared" si="98"/>
        <v>130</v>
      </c>
      <c r="Z85" s="82"/>
      <c r="AA85" s="83">
        <v>139</v>
      </c>
      <c r="AB85" s="42">
        <f t="shared" si="99"/>
        <v>139</v>
      </c>
      <c r="AC85" s="82"/>
      <c r="AD85" s="83">
        <v>95</v>
      </c>
      <c r="AE85" s="42">
        <f t="shared" si="103"/>
        <v>95</v>
      </c>
      <c r="AF85" s="82"/>
      <c r="AG85" s="83">
        <v>160</v>
      </c>
      <c r="AH85" s="42">
        <f>SUM(AF85:AG85)</f>
        <v>160</v>
      </c>
      <c r="AI85" s="82"/>
      <c r="AJ85" s="83">
        <v>150</v>
      </c>
      <c r="AK85" s="42">
        <f>SUM(AI85:AJ85)</f>
        <v>150</v>
      </c>
      <c r="AL85" s="82"/>
      <c r="AM85" s="83">
        <v>162</v>
      </c>
      <c r="AN85" s="42">
        <f>SUM(AL85:AM85)</f>
        <v>162</v>
      </c>
      <c r="AO85" s="82"/>
      <c r="AP85" s="83">
        <v>150</v>
      </c>
      <c r="AQ85" s="42">
        <f>SUM(AO85:AP85)</f>
        <v>150</v>
      </c>
      <c r="AR85" s="82"/>
      <c r="AS85" s="83">
        <v>200</v>
      </c>
      <c r="AT85" s="42">
        <f>SUM(AR85:AS85)</f>
        <v>200</v>
      </c>
      <c r="AU85" s="82"/>
      <c r="AV85" s="83">
        <v>162</v>
      </c>
      <c r="AW85" s="42">
        <f>SUM(AU85:AV85)</f>
        <v>162</v>
      </c>
      <c r="AX85" s="82"/>
      <c r="AY85" s="83">
        <v>124</v>
      </c>
      <c r="AZ85" s="42">
        <f>SUM(AX85:AY85)</f>
        <v>124</v>
      </c>
      <c r="BA85" s="82"/>
      <c r="BB85" s="83">
        <v>121</v>
      </c>
      <c r="BC85" s="42">
        <f>SUM(BA85:BB85)</f>
        <v>121</v>
      </c>
      <c r="BD85" s="82"/>
      <c r="BE85" s="83">
        <v>115</v>
      </c>
      <c r="BF85" s="42">
        <f>SUM(BD85:BE85)</f>
        <v>115</v>
      </c>
      <c r="BG85" s="82"/>
      <c r="BH85" s="83">
        <v>167</v>
      </c>
      <c r="BI85" s="42">
        <f>SUM(BG85:BH85)</f>
        <v>167</v>
      </c>
    </row>
    <row r="86" spans="1:61" s="38" customFormat="1" ht="15" customHeight="1" x14ac:dyDescent="0.3">
      <c r="A86" s="45" t="s">
        <v>110</v>
      </c>
      <c r="B86" s="46"/>
      <c r="C86" s="47"/>
      <c r="D86" s="48"/>
      <c r="E86" s="49"/>
      <c r="F86" s="47"/>
      <c r="G86" s="48"/>
      <c r="H86" s="46"/>
      <c r="I86" s="50"/>
      <c r="J86" s="48">
        <v>0</v>
      </c>
      <c r="K86" s="46"/>
      <c r="L86" s="50"/>
      <c r="M86" s="48">
        <v>0</v>
      </c>
      <c r="N86" s="46"/>
      <c r="O86" s="50">
        <v>359</v>
      </c>
      <c r="P86" s="48">
        <v>359</v>
      </c>
      <c r="Q86" s="46"/>
      <c r="R86" s="50">
        <v>398</v>
      </c>
      <c r="S86" s="48">
        <v>398</v>
      </c>
      <c r="T86" s="46"/>
      <c r="U86" s="50">
        <v>550</v>
      </c>
      <c r="V86" s="48">
        <v>550</v>
      </c>
      <c r="W86" s="46"/>
      <c r="X86" s="50">
        <v>679</v>
      </c>
      <c r="Y86" s="48">
        <f t="shared" si="98"/>
        <v>679</v>
      </c>
      <c r="Z86" s="51"/>
      <c r="AA86" s="50">
        <v>618</v>
      </c>
      <c r="AB86" s="48">
        <f t="shared" si="99"/>
        <v>618</v>
      </c>
      <c r="AC86" s="51"/>
      <c r="AD86" s="50">
        <v>648</v>
      </c>
      <c r="AE86" s="48">
        <f t="shared" si="103"/>
        <v>648</v>
      </c>
      <c r="AF86" s="51"/>
      <c r="AG86" s="50">
        <v>1230</v>
      </c>
      <c r="AH86" s="48">
        <f>SUM(AF86:AG86)</f>
        <v>1230</v>
      </c>
      <c r="AI86" s="51"/>
      <c r="AJ86" s="50">
        <v>1237</v>
      </c>
      <c r="AK86" s="48">
        <f>SUM(AI86:AJ86)</f>
        <v>1237</v>
      </c>
      <c r="AL86" s="51"/>
      <c r="AM86" s="50">
        <v>1238</v>
      </c>
      <c r="AN86" s="48">
        <f>SUM(AL86:AM86)</f>
        <v>1238</v>
      </c>
      <c r="AO86" s="51"/>
      <c r="AP86" s="50">
        <v>1181</v>
      </c>
      <c r="AQ86" s="48">
        <f>SUM(AO86:AP86)</f>
        <v>1181</v>
      </c>
      <c r="AR86" s="51"/>
      <c r="AS86" s="50">
        <v>1061</v>
      </c>
      <c r="AT86" s="48">
        <f>SUM(AR86:AS86)</f>
        <v>1061</v>
      </c>
      <c r="AU86" s="51"/>
      <c r="AV86" s="50">
        <v>1020</v>
      </c>
      <c r="AW86" s="48">
        <f>SUM(AU86:AV86)</f>
        <v>1020</v>
      </c>
      <c r="AX86" s="51"/>
      <c r="AY86" s="50">
        <v>846</v>
      </c>
      <c r="AZ86" s="48">
        <f>SUM(AX86:AY86)</f>
        <v>846</v>
      </c>
      <c r="BA86" s="51"/>
      <c r="BB86" s="50">
        <v>734</v>
      </c>
      <c r="BC86" s="48">
        <f>SUM(BA86:BB86)</f>
        <v>734</v>
      </c>
      <c r="BD86" s="51"/>
      <c r="BE86" s="50">
        <v>857</v>
      </c>
      <c r="BF86" s="48">
        <f>SUM(BD86:BE86)</f>
        <v>857</v>
      </c>
      <c r="BG86" s="51"/>
      <c r="BH86" s="50">
        <v>727</v>
      </c>
      <c r="BI86" s="48">
        <f>SUM(BG86:BH86)</f>
        <v>727</v>
      </c>
    </row>
    <row r="87" spans="1:61" s="38" customFormat="1" ht="15" customHeight="1" x14ac:dyDescent="0.3">
      <c r="A87" s="52" t="s">
        <v>111</v>
      </c>
      <c r="B87" s="53"/>
      <c r="C87" s="54"/>
      <c r="D87" s="55"/>
      <c r="E87" s="53"/>
      <c r="F87" s="54"/>
      <c r="G87" s="55"/>
      <c r="H87" s="53"/>
      <c r="I87" s="54">
        <f>SUM(I84:I86)</f>
        <v>135</v>
      </c>
      <c r="J87" s="55">
        <f t="shared" ref="J87:BC87" si="104">SUM(J84:J86)</f>
        <v>135</v>
      </c>
      <c r="K87" s="53">
        <f t="shared" si="104"/>
        <v>0</v>
      </c>
      <c r="L87" s="54">
        <f t="shared" si="104"/>
        <v>89</v>
      </c>
      <c r="M87" s="55">
        <f t="shared" si="104"/>
        <v>89</v>
      </c>
      <c r="N87" s="53">
        <f t="shared" si="104"/>
        <v>0</v>
      </c>
      <c r="O87" s="54">
        <f t="shared" si="104"/>
        <v>588</v>
      </c>
      <c r="P87" s="55">
        <f t="shared" si="104"/>
        <v>588</v>
      </c>
      <c r="Q87" s="53">
        <f t="shared" si="104"/>
        <v>0</v>
      </c>
      <c r="R87" s="54">
        <f t="shared" si="104"/>
        <v>685</v>
      </c>
      <c r="S87" s="55">
        <f t="shared" si="104"/>
        <v>685</v>
      </c>
      <c r="T87" s="53">
        <f t="shared" si="104"/>
        <v>0</v>
      </c>
      <c r="U87" s="54">
        <f t="shared" si="104"/>
        <v>879</v>
      </c>
      <c r="V87" s="55">
        <f t="shared" si="104"/>
        <v>879</v>
      </c>
      <c r="W87" s="53">
        <f t="shared" si="104"/>
        <v>0</v>
      </c>
      <c r="X87" s="54">
        <f t="shared" si="104"/>
        <v>1094</v>
      </c>
      <c r="Y87" s="55">
        <f t="shared" si="104"/>
        <v>1094</v>
      </c>
      <c r="Z87" s="53">
        <f t="shared" si="104"/>
        <v>0</v>
      </c>
      <c r="AA87" s="54">
        <f t="shared" si="104"/>
        <v>1011</v>
      </c>
      <c r="AB87" s="55">
        <f t="shared" si="104"/>
        <v>1011</v>
      </c>
      <c r="AC87" s="53">
        <f t="shared" si="104"/>
        <v>0</v>
      </c>
      <c r="AD87" s="54">
        <f t="shared" si="104"/>
        <v>1001</v>
      </c>
      <c r="AE87" s="55">
        <f t="shared" si="104"/>
        <v>1001</v>
      </c>
      <c r="AF87" s="53">
        <f t="shared" si="104"/>
        <v>0</v>
      </c>
      <c r="AG87" s="54">
        <f t="shared" si="104"/>
        <v>1887</v>
      </c>
      <c r="AH87" s="55">
        <f t="shared" si="104"/>
        <v>1887</v>
      </c>
      <c r="AI87" s="56">
        <f t="shared" si="104"/>
        <v>0</v>
      </c>
      <c r="AJ87" s="57">
        <f>SUM(AJ84:AJ86)</f>
        <v>1920</v>
      </c>
      <c r="AK87" s="55">
        <f t="shared" si="104"/>
        <v>1920</v>
      </c>
      <c r="AL87" s="56">
        <f t="shared" si="104"/>
        <v>0</v>
      </c>
      <c r="AM87" s="57">
        <f t="shared" si="104"/>
        <v>1926</v>
      </c>
      <c r="AN87" s="55">
        <f t="shared" si="104"/>
        <v>1926</v>
      </c>
      <c r="AO87" s="56">
        <f t="shared" si="104"/>
        <v>0</v>
      </c>
      <c r="AP87" s="57">
        <f t="shared" si="104"/>
        <v>1866</v>
      </c>
      <c r="AQ87" s="55">
        <f t="shared" si="104"/>
        <v>1866</v>
      </c>
      <c r="AR87" s="56">
        <f t="shared" si="104"/>
        <v>0</v>
      </c>
      <c r="AS87" s="57">
        <f t="shared" si="104"/>
        <v>1892</v>
      </c>
      <c r="AT87" s="55">
        <f t="shared" si="104"/>
        <v>1892</v>
      </c>
      <c r="AU87" s="56">
        <f t="shared" si="104"/>
        <v>0</v>
      </c>
      <c r="AV87" s="57">
        <f t="shared" si="104"/>
        <v>1749</v>
      </c>
      <c r="AW87" s="55">
        <f t="shared" si="104"/>
        <v>1749</v>
      </c>
      <c r="AX87" s="56">
        <f t="shared" si="104"/>
        <v>0</v>
      </c>
      <c r="AY87" s="57">
        <f t="shared" si="104"/>
        <v>1558</v>
      </c>
      <c r="AZ87" s="55">
        <f t="shared" si="104"/>
        <v>1558</v>
      </c>
      <c r="BA87" s="56">
        <f t="shared" si="104"/>
        <v>0</v>
      </c>
      <c r="BB87" s="57">
        <f t="shared" si="104"/>
        <v>1418</v>
      </c>
      <c r="BC87" s="55">
        <f t="shared" si="104"/>
        <v>1418</v>
      </c>
      <c r="BD87" s="56">
        <f>SUM(BD84:BD86)</f>
        <v>0</v>
      </c>
      <c r="BE87" s="57">
        <f>SUM(BE84:BE86)</f>
        <v>1532</v>
      </c>
      <c r="BF87" s="55">
        <f t="shared" ref="BF87" si="105">SUM(BF84:BF86)</f>
        <v>1532</v>
      </c>
      <c r="BG87" s="56">
        <f>SUM(BG84:BG86)</f>
        <v>0</v>
      </c>
      <c r="BH87" s="57">
        <f>SUM(BH84:BH86)</f>
        <v>1527</v>
      </c>
      <c r="BI87" s="55">
        <f t="shared" ref="BI87" si="106">SUM(BI84:BI86)</f>
        <v>1527</v>
      </c>
    </row>
    <row r="88" spans="1:61" s="38" customFormat="1" ht="15" customHeight="1" x14ac:dyDescent="0.3">
      <c r="A88" s="58" t="s">
        <v>58</v>
      </c>
      <c r="B88" s="59"/>
      <c r="C88" s="60"/>
      <c r="D88" s="61"/>
      <c r="E88" s="59"/>
      <c r="F88" s="60"/>
      <c r="G88" s="61"/>
      <c r="H88" s="59"/>
      <c r="I88" s="60">
        <v>188</v>
      </c>
      <c r="J88" s="61">
        <v>188</v>
      </c>
      <c r="K88" s="59"/>
      <c r="L88" s="60">
        <v>78</v>
      </c>
      <c r="M88" s="61">
        <v>78</v>
      </c>
      <c r="N88" s="59"/>
      <c r="O88" s="60">
        <v>140</v>
      </c>
      <c r="P88" s="61">
        <v>140</v>
      </c>
      <c r="Q88" s="59"/>
      <c r="R88" s="60">
        <v>181</v>
      </c>
      <c r="S88" s="61">
        <v>181</v>
      </c>
      <c r="T88" s="59"/>
      <c r="U88" s="60">
        <v>160</v>
      </c>
      <c r="V88" s="61">
        <v>160</v>
      </c>
      <c r="W88" s="59"/>
      <c r="X88" s="60">
        <v>239</v>
      </c>
      <c r="Y88" s="61">
        <f t="shared" si="98"/>
        <v>239</v>
      </c>
      <c r="Z88" s="62"/>
      <c r="AA88" s="63">
        <v>204</v>
      </c>
      <c r="AB88" s="61">
        <f t="shared" si="99"/>
        <v>204</v>
      </c>
      <c r="AC88" s="62"/>
      <c r="AD88" s="63">
        <v>179</v>
      </c>
      <c r="AE88" s="61">
        <f t="shared" si="103"/>
        <v>179</v>
      </c>
      <c r="AF88" s="62"/>
      <c r="AG88" s="63">
        <v>343</v>
      </c>
      <c r="AH88" s="61">
        <f>SUM(AF88:AG88)</f>
        <v>343</v>
      </c>
      <c r="AI88" s="62"/>
      <c r="AJ88" s="63">
        <v>396</v>
      </c>
      <c r="AK88" s="61">
        <f>SUM(AI88:AJ88)</f>
        <v>396</v>
      </c>
      <c r="AL88" s="62"/>
      <c r="AM88" s="63">
        <v>386</v>
      </c>
      <c r="AN88" s="61">
        <f>SUM(AL88:AM88)</f>
        <v>386</v>
      </c>
      <c r="AO88" s="62"/>
      <c r="AP88" s="63">
        <v>464</v>
      </c>
      <c r="AQ88" s="61">
        <f>SUM(AO88:AP88)</f>
        <v>464</v>
      </c>
      <c r="AR88" s="62"/>
      <c r="AS88" s="63">
        <v>370</v>
      </c>
      <c r="AT88" s="61">
        <f>SUM(AR88:AS88)</f>
        <v>370</v>
      </c>
      <c r="AU88" s="62"/>
      <c r="AV88" s="63">
        <v>427</v>
      </c>
      <c r="AW88" s="61">
        <f>SUM(AU88:AV88)</f>
        <v>427</v>
      </c>
      <c r="AX88" s="62"/>
      <c r="AY88" s="63">
        <v>335</v>
      </c>
      <c r="AZ88" s="61">
        <f>SUM(AX88:AY88)</f>
        <v>335</v>
      </c>
      <c r="BA88" s="62"/>
      <c r="BB88" s="63">
        <v>357</v>
      </c>
      <c r="BC88" s="61">
        <f>SUM(BA88:BB88)</f>
        <v>357</v>
      </c>
      <c r="BD88" s="62"/>
      <c r="BE88" s="63">
        <v>327</v>
      </c>
      <c r="BF88" s="61">
        <f>SUM(BD88:BE88)</f>
        <v>327</v>
      </c>
      <c r="BG88" s="62"/>
      <c r="BH88" s="63">
        <v>437</v>
      </c>
      <c r="BI88" s="61">
        <f>SUM(BG88:BH88)</f>
        <v>437</v>
      </c>
    </row>
    <row r="89" spans="1:61" s="38" customFormat="1" ht="15" customHeight="1" x14ac:dyDescent="0.25">
      <c r="A89" s="39" t="s">
        <v>112</v>
      </c>
      <c r="B89" s="82"/>
      <c r="C89" s="83"/>
      <c r="D89" s="42"/>
      <c r="E89" s="82"/>
      <c r="F89" s="83"/>
      <c r="G89" s="42"/>
      <c r="H89" s="82"/>
      <c r="I89" s="83">
        <v>21</v>
      </c>
      <c r="J89" s="42">
        <v>21</v>
      </c>
      <c r="K89" s="82"/>
      <c r="L89" s="83">
        <v>16</v>
      </c>
      <c r="M89" s="42">
        <v>16</v>
      </c>
      <c r="N89" s="82"/>
      <c r="O89" s="83">
        <v>29</v>
      </c>
      <c r="P89" s="42">
        <v>29</v>
      </c>
      <c r="Q89" s="82"/>
      <c r="R89" s="83">
        <v>37</v>
      </c>
      <c r="S89" s="42">
        <v>37</v>
      </c>
      <c r="T89" s="82"/>
      <c r="U89" s="83">
        <v>45</v>
      </c>
      <c r="V89" s="42">
        <v>45</v>
      </c>
      <c r="W89" s="82"/>
      <c r="X89" s="83">
        <v>45</v>
      </c>
      <c r="Y89" s="42">
        <f t="shared" si="98"/>
        <v>45</v>
      </c>
      <c r="Z89" s="82"/>
      <c r="AA89" s="83">
        <v>51</v>
      </c>
      <c r="AB89" s="42">
        <f t="shared" si="99"/>
        <v>51</v>
      </c>
      <c r="AC89" s="82"/>
      <c r="AD89" s="83">
        <v>50</v>
      </c>
      <c r="AE89" s="42">
        <f t="shared" si="103"/>
        <v>50</v>
      </c>
      <c r="AF89" s="82"/>
      <c r="AG89" s="83">
        <v>106</v>
      </c>
      <c r="AH89" s="42">
        <f>SUM(AF89:AG89)</f>
        <v>106</v>
      </c>
      <c r="AI89" s="82"/>
      <c r="AJ89" s="83">
        <v>109</v>
      </c>
      <c r="AK89" s="42">
        <f>SUM(AI89:AJ89)</f>
        <v>109</v>
      </c>
      <c r="AL89" s="82"/>
      <c r="AM89" s="83">
        <v>123</v>
      </c>
      <c r="AN89" s="42">
        <f>SUM(AL89:AM89)</f>
        <v>123</v>
      </c>
      <c r="AO89" s="82"/>
      <c r="AP89" s="83">
        <v>132</v>
      </c>
      <c r="AQ89" s="42">
        <f>SUM(AO89:AP89)</f>
        <v>132</v>
      </c>
      <c r="AR89" s="82"/>
      <c r="AS89" s="83">
        <v>170</v>
      </c>
      <c r="AT89" s="42">
        <f>SUM(AR89:AS89)</f>
        <v>170</v>
      </c>
      <c r="AU89" s="82"/>
      <c r="AV89" s="83">
        <v>200</v>
      </c>
      <c r="AW89" s="42">
        <f>SUM(AU89:AV89)</f>
        <v>200</v>
      </c>
      <c r="AX89" s="82"/>
      <c r="AY89" s="83">
        <v>165</v>
      </c>
      <c r="AZ89" s="42">
        <f>SUM(AX89:AY89)</f>
        <v>165</v>
      </c>
      <c r="BA89" s="82"/>
      <c r="BB89" s="83">
        <v>155</v>
      </c>
      <c r="BC89" s="42">
        <f>SUM(BA89:BB89)</f>
        <v>155</v>
      </c>
      <c r="BD89" s="82"/>
      <c r="BE89" s="83">
        <v>111</v>
      </c>
      <c r="BF89" s="42">
        <f>SUM(BD89:BE89)</f>
        <v>111</v>
      </c>
      <c r="BG89" s="82"/>
      <c r="BH89" s="83">
        <v>90</v>
      </c>
      <c r="BI89" s="42">
        <f>SUM(BG89:BH89)</f>
        <v>90</v>
      </c>
    </row>
    <row r="90" spans="1:61" s="38" customFormat="1" ht="15" customHeight="1" x14ac:dyDescent="0.25">
      <c r="A90" s="39" t="s">
        <v>113</v>
      </c>
      <c r="B90" s="82"/>
      <c r="C90" s="83"/>
      <c r="D90" s="42"/>
      <c r="E90" s="82"/>
      <c r="F90" s="83"/>
      <c r="G90" s="42"/>
      <c r="H90" s="82"/>
      <c r="I90" s="83"/>
      <c r="J90" s="42">
        <v>0</v>
      </c>
      <c r="K90" s="82"/>
      <c r="L90" s="83"/>
      <c r="M90" s="42">
        <v>0</v>
      </c>
      <c r="N90" s="82"/>
      <c r="O90" s="83"/>
      <c r="P90" s="42">
        <v>0</v>
      </c>
      <c r="Q90" s="82"/>
      <c r="R90" s="83">
        <v>28</v>
      </c>
      <c r="S90" s="42">
        <v>28</v>
      </c>
      <c r="T90" s="82"/>
      <c r="U90" s="83">
        <v>36</v>
      </c>
      <c r="V90" s="42">
        <v>36</v>
      </c>
      <c r="W90" s="82"/>
      <c r="X90" s="83">
        <v>55</v>
      </c>
      <c r="Y90" s="42">
        <f t="shared" si="98"/>
        <v>55</v>
      </c>
      <c r="Z90" s="82"/>
      <c r="AA90" s="83">
        <v>31</v>
      </c>
      <c r="AB90" s="42">
        <f t="shared" si="99"/>
        <v>31</v>
      </c>
      <c r="AC90" s="82"/>
      <c r="AD90" s="83">
        <v>33</v>
      </c>
      <c r="AE90" s="42">
        <f t="shared" si="103"/>
        <v>33</v>
      </c>
      <c r="AF90" s="82"/>
      <c r="AG90" s="83">
        <v>93</v>
      </c>
      <c r="AH90" s="42">
        <f>SUM(AF90:AG90)</f>
        <v>93</v>
      </c>
      <c r="AI90" s="82"/>
      <c r="AJ90" s="83">
        <v>113</v>
      </c>
      <c r="AK90" s="42">
        <f>SUM(AI90:AJ90)</f>
        <v>113</v>
      </c>
      <c r="AL90" s="82"/>
      <c r="AM90" s="83">
        <v>118</v>
      </c>
      <c r="AN90" s="42">
        <f>SUM(AL90:AM90)</f>
        <v>118</v>
      </c>
      <c r="AO90" s="82"/>
      <c r="AP90" s="83">
        <v>108</v>
      </c>
      <c r="AQ90" s="42">
        <f>SUM(AO90:AP90)</f>
        <v>108</v>
      </c>
      <c r="AR90" s="82"/>
      <c r="AS90" s="83">
        <v>188</v>
      </c>
      <c r="AT90" s="42">
        <f>SUM(AR90:AS90)</f>
        <v>188</v>
      </c>
      <c r="AU90" s="82"/>
      <c r="AV90" s="83">
        <v>162</v>
      </c>
      <c r="AW90" s="42">
        <f>SUM(AU90:AV90)</f>
        <v>162</v>
      </c>
      <c r="AX90" s="82"/>
      <c r="AY90" s="83">
        <v>186</v>
      </c>
      <c r="AZ90" s="42">
        <f>SUM(AX90:AY90)</f>
        <v>186</v>
      </c>
      <c r="BA90" s="82"/>
      <c r="BB90" s="83">
        <v>178</v>
      </c>
      <c r="BC90" s="42">
        <f>SUM(BA90:BB90)</f>
        <v>178</v>
      </c>
      <c r="BD90" s="82"/>
      <c r="BE90" s="83">
        <v>102</v>
      </c>
      <c r="BF90" s="42">
        <f>SUM(BD90:BE90)</f>
        <v>102</v>
      </c>
      <c r="BG90" s="82"/>
      <c r="BH90" s="83">
        <v>86</v>
      </c>
      <c r="BI90" s="42">
        <f>SUM(BG90:BH90)</f>
        <v>86</v>
      </c>
    </row>
    <row r="91" spans="1:61" s="38" customFormat="1" ht="15" customHeight="1" x14ac:dyDescent="0.3">
      <c r="A91" s="45" t="s">
        <v>114</v>
      </c>
      <c r="B91" s="46"/>
      <c r="C91" s="47"/>
      <c r="D91" s="48"/>
      <c r="E91" s="49"/>
      <c r="F91" s="47"/>
      <c r="G91" s="48"/>
      <c r="H91" s="46"/>
      <c r="I91" s="50"/>
      <c r="J91" s="48"/>
      <c r="K91" s="46"/>
      <c r="L91" s="50"/>
      <c r="M91" s="48"/>
      <c r="N91" s="46"/>
      <c r="O91" s="50"/>
      <c r="P91" s="48"/>
      <c r="Q91" s="46"/>
      <c r="R91" s="50"/>
      <c r="S91" s="48"/>
      <c r="T91" s="46"/>
      <c r="U91" s="50"/>
      <c r="V91" s="48"/>
      <c r="W91" s="46"/>
      <c r="X91" s="50">
        <v>105</v>
      </c>
      <c r="Y91" s="48">
        <f t="shared" si="98"/>
        <v>105</v>
      </c>
      <c r="Z91" s="51"/>
      <c r="AA91" s="50">
        <v>94</v>
      </c>
      <c r="AB91" s="48">
        <f t="shared" si="99"/>
        <v>94</v>
      </c>
      <c r="AC91" s="51"/>
      <c r="AD91" s="50">
        <v>101</v>
      </c>
      <c r="AE91" s="48">
        <f t="shared" si="103"/>
        <v>101</v>
      </c>
      <c r="AF91" s="51"/>
      <c r="AG91" s="50">
        <v>228</v>
      </c>
      <c r="AH91" s="48">
        <f>SUM(AF91:AG91)</f>
        <v>228</v>
      </c>
      <c r="AI91" s="51"/>
      <c r="AJ91" s="50">
        <v>231</v>
      </c>
      <c r="AK91" s="48">
        <f>SUM(AI91:AJ91)</f>
        <v>231</v>
      </c>
      <c r="AL91" s="51"/>
      <c r="AM91" s="50">
        <v>328</v>
      </c>
      <c r="AN91" s="48">
        <f>SUM(AL91:AM91)</f>
        <v>328</v>
      </c>
      <c r="AO91" s="51"/>
      <c r="AP91" s="50">
        <v>301</v>
      </c>
      <c r="AQ91" s="48">
        <f>SUM(AO91:AP91)</f>
        <v>301</v>
      </c>
      <c r="AR91" s="51"/>
      <c r="AS91" s="50">
        <v>265</v>
      </c>
      <c r="AT91" s="48">
        <f>SUM(AR91:AS91)</f>
        <v>265</v>
      </c>
      <c r="AU91" s="51"/>
      <c r="AV91" s="50">
        <v>382</v>
      </c>
      <c r="AW91" s="48">
        <f>SUM(AU91:AV91)</f>
        <v>382</v>
      </c>
      <c r="AX91" s="51"/>
      <c r="AY91" s="50">
        <v>371</v>
      </c>
      <c r="AZ91" s="48">
        <f>SUM(AX91:AY91)</f>
        <v>371</v>
      </c>
      <c r="BA91" s="51"/>
      <c r="BB91" s="50">
        <v>356</v>
      </c>
      <c r="BC91" s="48">
        <f>SUM(BA91:BB91)</f>
        <v>356</v>
      </c>
      <c r="BD91" s="51"/>
      <c r="BE91" s="50">
        <v>295</v>
      </c>
      <c r="BF91" s="48">
        <f>SUM(BD91:BE91)</f>
        <v>295</v>
      </c>
      <c r="BG91" s="51"/>
      <c r="BH91" s="50">
        <v>241</v>
      </c>
      <c r="BI91" s="48">
        <f>SUM(BG91:BH91)</f>
        <v>241</v>
      </c>
    </row>
    <row r="92" spans="1:61" s="38" customFormat="1" ht="15" customHeight="1" x14ac:dyDescent="0.3">
      <c r="A92" s="64" t="s">
        <v>115</v>
      </c>
      <c r="B92" s="65"/>
      <c r="C92" s="66"/>
      <c r="D92" s="67"/>
      <c r="E92" s="65"/>
      <c r="F92" s="66"/>
      <c r="G92" s="67"/>
      <c r="H92" s="65"/>
      <c r="I92" s="66">
        <f>SUM(I88:I91)</f>
        <v>209</v>
      </c>
      <c r="J92" s="67">
        <f t="shared" ref="J92:BC92" si="107">SUM(J88:J91)</f>
        <v>209</v>
      </c>
      <c r="K92" s="65">
        <f t="shared" si="107"/>
        <v>0</v>
      </c>
      <c r="L92" s="66">
        <f t="shared" si="107"/>
        <v>94</v>
      </c>
      <c r="M92" s="67">
        <f t="shared" si="107"/>
        <v>94</v>
      </c>
      <c r="N92" s="65">
        <f t="shared" si="107"/>
        <v>0</v>
      </c>
      <c r="O92" s="66">
        <f t="shared" si="107"/>
        <v>169</v>
      </c>
      <c r="P92" s="67">
        <f t="shared" si="107"/>
        <v>169</v>
      </c>
      <c r="Q92" s="65">
        <f t="shared" si="107"/>
        <v>0</v>
      </c>
      <c r="R92" s="66">
        <f t="shared" si="107"/>
        <v>246</v>
      </c>
      <c r="S92" s="67">
        <f t="shared" si="107"/>
        <v>246</v>
      </c>
      <c r="T92" s="65">
        <f t="shared" si="107"/>
        <v>0</v>
      </c>
      <c r="U92" s="66">
        <f t="shared" si="107"/>
        <v>241</v>
      </c>
      <c r="V92" s="67">
        <f t="shared" si="107"/>
        <v>241</v>
      </c>
      <c r="W92" s="65">
        <f t="shared" si="107"/>
        <v>0</v>
      </c>
      <c r="X92" s="66">
        <f t="shared" si="107"/>
        <v>444</v>
      </c>
      <c r="Y92" s="67">
        <f t="shared" si="107"/>
        <v>444</v>
      </c>
      <c r="Z92" s="65">
        <f t="shared" si="107"/>
        <v>0</v>
      </c>
      <c r="AA92" s="66">
        <f t="shared" si="107"/>
        <v>380</v>
      </c>
      <c r="AB92" s="67">
        <f t="shared" si="107"/>
        <v>380</v>
      </c>
      <c r="AC92" s="65">
        <f t="shared" si="107"/>
        <v>0</v>
      </c>
      <c r="AD92" s="66">
        <f t="shared" si="107"/>
        <v>363</v>
      </c>
      <c r="AE92" s="67">
        <f t="shared" si="107"/>
        <v>363</v>
      </c>
      <c r="AF92" s="65">
        <f t="shared" si="107"/>
        <v>0</v>
      </c>
      <c r="AG92" s="66">
        <f t="shared" si="107"/>
        <v>770</v>
      </c>
      <c r="AH92" s="67">
        <f t="shared" si="107"/>
        <v>770</v>
      </c>
      <c r="AI92" s="94">
        <f t="shared" si="107"/>
        <v>0</v>
      </c>
      <c r="AJ92" s="95">
        <v>849</v>
      </c>
      <c r="AK92" s="67">
        <f t="shared" si="107"/>
        <v>849</v>
      </c>
      <c r="AL92" s="94">
        <f t="shared" si="107"/>
        <v>0</v>
      </c>
      <c r="AM92" s="95">
        <f t="shared" si="107"/>
        <v>955</v>
      </c>
      <c r="AN92" s="67">
        <f t="shared" si="107"/>
        <v>955</v>
      </c>
      <c r="AO92" s="94">
        <f t="shared" si="107"/>
        <v>0</v>
      </c>
      <c r="AP92" s="95">
        <f t="shared" si="107"/>
        <v>1005</v>
      </c>
      <c r="AQ92" s="67">
        <f t="shared" si="107"/>
        <v>1005</v>
      </c>
      <c r="AR92" s="94">
        <f t="shared" si="107"/>
        <v>0</v>
      </c>
      <c r="AS92" s="95">
        <f t="shared" si="107"/>
        <v>993</v>
      </c>
      <c r="AT92" s="67">
        <f t="shared" si="107"/>
        <v>993</v>
      </c>
      <c r="AU92" s="94">
        <f t="shared" si="107"/>
        <v>0</v>
      </c>
      <c r="AV92" s="95">
        <f t="shared" si="107"/>
        <v>1171</v>
      </c>
      <c r="AW92" s="67">
        <f t="shared" si="107"/>
        <v>1171</v>
      </c>
      <c r="AX92" s="94">
        <f t="shared" si="107"/>
        <v>0</v>
      </c>
      <c r="AY92" s="95">
        <f t="shared" si="107"/>
        <v>1057</v>
      </c>
      <c r="AZ92" s="67">
        <f t="shared" si="107"/>
        <v>1057</v>
      </c>
      <c r="BA92" s="94">
        <f t="shared" si="107"/>
        <v>0</v>
      </c>
      <c r="BB92" s="95">
        <f t="shared" si="107"/>
        <v>1046</v>
      </c>
      <c r="BC92" s="67">
        <f t="shared" si="107"/>
        <v>1046</v>
      </c>
      <c r="BD92" s="94">
        <f t="shared" ref="BD92:BF92" si="108">SUM(BD88:BD91)</f>
        <v>0</v>
      </c>
      <c r="BE92" s="95">
        <f t="shared" si="108"/>
        <v>835</v>
      </c>
      <c r="BF92" s="67">
        <f t="shared" si="108"/>
        <v>835</v>
      </c>
      <c r="BG92" s="94">
        <f t="shared" ref="BG92:BI92" si="109">SUM(BG88:BG91)</f>
        <v>0</v>
      </c>
      <c r="BH92" s="95">
        <f t="shared" si="109"/>
        <v>854</v>
      </c>
      <c r="BI92" s="67">
        <f t="shared" si="109"/>
        <v>854</v>
      </c>
    </row>
    <row r="93" spans="1:61" s="38" customFormat="1" ht="15" customHeight="1" x14ac:dyDescent="0.3">
      <c r="A93" s="96" t="s">
        <v>116</v>
      </c>
      <c r="B93" s="97"/>
      <c r="C93" s="98"/>
      <c r="D93" s="99"/>
      <c r="E93" s="97"/>
      <c r="F93" s="98"/>
      <c r="G93" s="99"/>
      <c r="H93" s="97"/>
      <c r="I93" s="98">
        <f>SUM(I92,I87,I83)</f>
        <v>826</v>
      </c>
      <c r="J93" s="99">
        <f t="shared" ref="J93:AK93" si="110">SUM(J92,J87,J83)</f>
        <v>826</v>
      </c>
      <c r="K93" s="97">
        <f t="shared" si="110"/>
        <v>0</v>
      </c>
      <c r="L93" s="98">
        <f t="shared" si="110"/>
        <v>286</v>
      </c>
      <c r="M93" s="99">
        <f t="shared" si="110"/>
        <v>286</v>
      </c>
      <c r="N93" s="97">
        <f t="shared" si="110"/>
        <v>0</v>
      </c>
      <c r="O93" s="98">
        <f t="shared" si="110"/>
        <v>927</v>
      </c>
      <c r="P93" s="99">
        <f t="shared" si="110"/>
        <v>927</v>
      </c>
      <c r="Q93" s="97">
        <f t="shared" si="110"/>
        <v>0</v>
      </c>
      <c r="R93" s="98">
        <f t="shared" si="110"/>
        <v>1153</v>
      </c>
      <c r="S93" s="99">
        <f t="shared" si="110"/>
        <v>1153</v>
      </c>
      <c r="T93" s="97">
        <f t="shared" si="110"/>
        <v>0</v>
      </c>
      <c r="U93" s="98">
        <f t="shared" si="110"/>
        <v>1362</v>
      </c>
      <c r="V93" s="99">
        <f t="shared" si="110"/>
        <v>1362</v>
      </c>
      <c r="W93" s="97">
        <f t="shared" si="110"/>
        <v>0</v>
      </c>
      <c r="X93" s="98">
        <f t="shared" si="110"/>
        <v>1844</v>
      </c>
      <c r="Y93" s="99">
        <f t="shared" si="110"/>
        <v>1844</v>
      </c>
      <c r="Z93" s="97">
        <f t="shared" si="110"/>
        <v>0</v>
      </c>
      <c r="AA93" s="98">
        <f t="shared" si="110"/>
        <v>1712</v>
      </c>
      <c r="AB93" s="99">
        <f t="shared" si="110"/>
        <v>1712</v>
      </c>
      <c r="AC93" s="97">
        <f t="shared" si="110"/>
        <v>0</v>
      </c>
      <c r="AD93" s="98">
        <f t="shared" si="110"/>
        <v>1698</v>
      </c>
      <c r="AE93" s="99">
        <f t="shared" si="110"/>
        <v>1698</v>
      </c>
      <c r="AF93" s="97">
        <f t="shared" si="110"/>
        <v>0</v>
      </c>
      <c r="AG93" s="98">
        <f t="shared" si="110"/>
        <v>3373</v>
      </c>
      <c r="AH93" s="99">
        <f t="shared" si="110"/>
        <v>3373</v>
      </c>
      <c r="AI93" s="97">
        <f t="shared" si="110"/>
        <v>363</v>
      </c>
      <c r="AJ93" s="98">
        <f>SUM(AJ83,AJ87,AJ92)</f>
        <v>3557</v>
      </c>
      <c r="AK93" s="99">
        <f t="shared" si="110"/>
        <v>3920</v>
      </c>
      <c r="AL93" s="97">
        <f>SUM(AL92,AL87,AL83)</f>
        <v>458</v>
      </c>
      <c r="AM93" s="98">
        <f>SUM(AM83,AM87,AM92)</f>
        <v>4011</v>
      </c>
      <c r="AN93" s="99">
        <f>SUM(AN92,AN87,AN83)</f>
        <v>4469</v>
      </c>
      <c r="AO93" s="97">
        <f>SUM(AO92,AO87,AO83)</f>
        <v>470</v>
      </c>
      <c r="AP93" s="98">
        <f>SUM(AP83,AP87,AP92)</f>
        <v>4443</v>
      </c>
      <c r="AQ93" s="99">
        <f>SUM(AQ92,AQ87,AQ83)</f>
        <v>4913</v>
      </c>
      <c r="AR93" s="97">
        <f>SUM(AR92,AR87,AR83)</f>
        <v>385</v>
      </c>
      <c r="AS93" s="98">
        <f>SUM(AS83,AS87,AS92)</f>
        <v>4493</v>
      </c>
      <c r="AT93" s="99">
        <f>SUM(AT92,AT87,AT83)</f>
        <v>4878</v>
      </c>
      <c r="AU93" s="97">
        <f>SUM(AU92,AU87,AU83)</f>
        <v>394</v>
      </c>
      <c r="AV93" s="98">
        <f>SUM(AV83,AV87,AV92)</f>
        <v>4599</v>
      </c>
      <c r="AW93" s="99">
        <f>SUM(AW92,AW87,AW83)</f>
        <v>4993</v>
      </c>
      <c r="AX93" s="97">
        <f>SUM(AX92,AX87,AX83)</f>
        <v>535</v>
      </c>
      <c r="AY93" s="98">
        <f>SUM(AY83,AY87,AY92)</f>
        <v>3949</v>
      </c>
      <c r="AZ93" s="99">
        <f>SUM(AZ92,AZ87,AZ83)</f>
        <v>4484</v>
      </c>
      <c r="BA93" s="97">
        <f>SUM(BA92,BA87,BA83)</f>
        <v>458</v>
      </c>
      <c r="BB93" s="98">
        <f>SUM(BB83,BB87,BB92)</f>
        <v>3682</v>
      </c>
      <c r="BC93" s="99">
        <f>SUM(BC92,BC87,BC83)</f>
        <v>4140</v>
      </c>
      <c r="BD93" s="97">
        <f>SUM(BD92,BD87,BD83)</f>
        <v>484</v>
      </c>
      <c r="BE93" s="98">
        <f>SUM(BE83,BE87,BE92)</f>
        <v>3506</v>
      </c>
      <c r="BF93" s="99">
        <f>SUM(BF92,BF87,BF83)</f>
        <v>3990</v>
      </c>
      <c r="BG93" s="97">
        <f>SUM(BG92,BG87,BG83)</f>
        <v>559</v>
      </c>
      <c r="BH93" s="98">
        <f>SUM(BH83,BH87,BH92)</f>
        <v>3578</v>
      </c>
      <c r="BI93" s="99">
        <f>SUM(BI92,BI87,BI83)</f>
        <v>4137</v>
      </c>
    </row>
    <row r="94" spans="1:61" s="38" customFormat="1" ht="15" customHeight="1" x14ac:dyDescent="0.3">
      <c r="A94" s="100" t="s">
        <v>117</v>
      </c>
      <c r="B94" s="101"/>
      <c r="C94" s="102"/>
      <c r="D94" s="103"/>
      <c r="E94" s="104"/>
      <c r="F94" s="102"/>
      <c r="G94" s="103"/>
      <c r="H94" s="101"/>
      <c r="I94" s="105"/>
      <c r="J94" s="103"/>
      <c r="K94" s="101"/>
      <c r="L94" s="105"/>
      <c r="M94" s="103"/>
      <c r="N94" s="101"/>
      <c r="O94" s="105"/>
      <c r="P94" s="103"/>
      <c r="Q94" s="101"/>
      <c r="R94" s="105"/>
      <c r="S94" s="103"/>
      <c r="T94" s="101"/>
      <c r="U94" s="105"/>
      <c r="V94" s="103"/>
      <c r="W94" s="101"/>
      <c r="X94" s="105"/>
      <c r="Y94" s="103"/>
      <c r="Z94" s="106">
        <v>21</v>
      </c>
      <c r="AA94" s="105">
        <v>46</v>
      </c>
      <c r="AB94" s="103">
        <f>SUM(Z94:AA94)</f>
        <v>67</v>
      </c>
      <c r="AC94" s="106"/>
      <c r="AD94" s="105">
        <v>33</v>
      </c>
      <c r="AE94" s="103">
        <f t="shared" si="103"/>
        <v>33</v>
      </c>
      <c r="AF94" s="106">
        <v>20</v>
      </c>
      <c r="AG94" s="105">
        <v>40</v>
      </c>
      <c r="AH94" s="103">
        <f>SUM(AF94:AG94)</f>
        <v>60</v>
      </c>
      <c r="AI94" s="106">
        <v>21</v>
      </c>
      <c r="AJ94" s="105">
        <v>45</v>
      </c>
      <c r="AK94" s="103">
        <f>SUM(AI94:AJ94)</f>
        <v>66</v>
      </c>
      <c r="AL94" s="106">
        <v>23</v>
      </c>
      <c r="AM94" s="105">
        <v>56</v>
      </c>
      <c r="AN94" s="103">
        <f>SUM(AL94:AM94)</f>
        <v>79</v>
      </c>
      <c r="AO94" s="106">
        <v>19</v>
      </c>
      <c r="AP94" s="105">
        <v>63</v>
      </c>
      <c r="AQ94" s="103">
        <f>SUM(AO94:AP94)</f>
        <v>82</v>
      </c>
      <c r="AR94" s="106">
        <v>30</v>
      </c>
      <c r="AS94" s="105">
        <v>46</v>
      </c>
      <c r="AT94" s="103">
        <f>SUM(AR94:AS94)</f>
        <v>76</v>
      </c>
      <c r="AU94" s="106"/>
      <c r="AV94" s="105">
        <v>80</v>
      </c>
      <c r="AW94" s="103">
        <f>SUM(AU94:AV94)</f>
        <v>80</v>
      </c>
      <c r="AX94" s="106"/>
      <c r="AY94" s="105">
        <v>61</v>
      </c>
      <c r="AZ94" s="103">
        <f>SUM(AX94:AY94)</f>
        <v>61</v>
      </c>
      <c r="BA94" s="106"/>
      <c r="BB94" s="105">
        <v>59</v>
      </c>
      <c r="BC94" s="103">
        <f>SUM(BA94:BB94)</f>
        <v>59</v>
      </c>
      <c r="BD94" s="106"/>
      <c r="BE94" s="105">
        <v>31</v>
      </c>
      <c r="BF94" s="103">
        <f>SUM(BD94:BE94)</f>
        <v>31</v>
      </c>
      <c r="BG94" s="106"/>
      <c r="BH94" s="105">
        <v>28</v>
      </c>
      <c r="BI94" s="103">
        <f>SUM(BG94:BH94)</f>
        <v>28</v>
      </c>
    </row>
    <row r="95" spans="1:61" s="38" customFormat="1" ht="15" customHeight="1" x14ac:dyDescent="0.3">
      <c r="A95" s="107" t="s">
        <v>118</v>
      </c>
      <c r="B95" s="108"/>
      <c r="C95" s="109"/>
      <c r="D95" s="110"/>
      <c r="E95" s="111"/>
      <c r="F95" s="109"/>
      <c r="G95" s="110"/>
      <c r="H95" s="108"/>
      <c r="I95" s="112"/>
      <c r="J95" s="110"/>
      <c r="K95" s="108"/>
      <c r="L95" s="112"/>
      <c r="M95" s="110"/>
      <c r="N95" s="108"/>
      <c r="O95" s="112"/>
      <c r="P95" s="110"/>
      <c r="Q95" s="108"/>
      <c r="R95" s="112"/>
      <c r="S95" s="110"/>
      <c r="T95" s="108"/>
      <c r="U95" s="112"/>
      <c r="V95" s="110"/>
      <c r="W95" s="108"/>
      <c r="X95" s="112"/>
      <c r="Y95" s="110"/>
      <c r="Z95" s="113"/>
      <c r="AA95" s="112"/>
      <c r="AB95" s="110"/>
      <c r="AC95" s="113"/>
      <c r="AD95" s="112"/>
      <c r="AE95" s="110"/>
      <c r="AF95" s="113"/>
      <c r="AG95" s="112"/>
      <c r="AH95" s="110"/>
      <c r="AI95" s="113"/>
      <c r="AJ95" s="112"/>
      <c r="AK95" s="110"/>
      <c r="AL95" s="113"/>
      <c r="AM95" s="112"/>
      <c r="AN95" s="110"/>
      <c r="AO95" s="113"/>
      <c r="AP95" s="112"/>
      <c r="AQ95" s="110"/>
      <c r="AR95" s="113">
        <v>81</v>
      </c>
      <c r="AS95" s="112">
        <v>183</v>
      </c>
      <c r="AT95" s="110">
        <f>SUM(AR95:AS95)</f>
        <v>264</v>
      </c>
      <c r="AU95" s="113"/>
      <c r="AV95" s="112">
        <v>221</v>
      </c>
      <c r="AW95" s="110">
        <f>SUM(AU95:AV95)</f>
        <v>221</v>
      </c>
      <c r="AX95" s="113"/>
      <c r="AY95" s="112">
        <v>126</v>
      </c>
      <c r="AZ95" s="110">
        <f>SUM(AX95:AY95)</f>
        <v>126</v>
      </c>
      <c r="BA95" s="113"/>
      <c r="BB95" s="112">
        <v>141</v>
      </c>
      <c r="BC95" s="110">
        <f>SUM(BA95:BB95)</f>
        <v>141</v>
      </c>
      <c r="BD95" s="113"/>
      <c r="BE95" s="112">
        <v>137</v>
      </c>
      <c r="BF95" s="110">
        <f>SUM(BD95:BE95)</f>
        <v>137</v>
      </c>
      <c r="BG95" s="113"/>
      <c r="BH95" s="112">
        <v>143</v>
      </c>
      <c r="BI95" s="110">
        <f>SUM(BG95:BH95)</f>
        <v>143</v>
      </c>
    </row>
    <row r="96" spans="1:61" s="38" customFormat="1" ht="15" customHeight="1" x14ac:dyDescent="0.3">
      <c r="A96" s="114" t="s">
        <v>119</v>
      </c>
      <c r="B96" s="115"/>
      <c r="C96" s="116"/>
      <c r="D96" s="117"/>
      <c r="E96" s="118"/>
      <c r="F96" s="116"/>
      <c r="G96" s="117"/>
      <c r="H96" s="115"/>
      <c r="I96" s="119"/>
      <c r="J96" s="117"/>
      <c r="K96" s="115"/>
      <c r="L96" s="119"/>
      <c r="M96" s="117"/>
      <c r="N96" s="115"/>
      <c r="O96" s="119"/>
      <c r="P96" s="117"/>
      <c r="Q96" s="115"/>
      <c r="R96" s="119"/>
      <c r="S96" s="117"/>
      <c r="T96" s="115"/>
      <c r="U96" s="119"/>
      <c r="V96" s="117"/>
      <c r="W96" s="115"/>
      <c r="X96" s="119"/>
      <c r="Y96" s="117"/>
      <c r="Z96" s="120"/>
      <c r="AA96" s="119"/>
      <c r="AB96" s="117"/>
      <c r="AC96" s="120"/>
      <c r="AD96" s="119"/>
      <c r="AE96" s="117"/>
      <c r="AF96" s="120"/>
      <c r="AG96" s="119"/>
      <c r="AH96" s="117"/>
      <c r="AI96" s="120"/>
      <c r="AJ96" s="119"/>
      <c r="AK96" s="117"/>
      <c r="AL96" s="120"/>
      <c r="AM96" s="119"/>
      <c r="AN96" s="117"/>
      <c r="AO96" s="120"/>
      <c r="AP96" s="119"/>
      <c r="AQ96" s="117"/>
      <c r="AR96" s="120"/>
      <c r="AS96" s="119"/>
      <c r="AT96" s="117"/>
      <c r="AU96" s="120"/>
      <c r="AV96" s="119">
        <v>119</v>
      </c>
      <c r="AW96" s="110">
        <f>SUM(AU96:AV96)</f>
        <v>119</v>
      </c>
      <c r="AX96" s="120"/>
      <c r="AY96" s="119">
        <v>312</v>
      </c>
      <c r="AZ96" s="110">
        <f>SUM(AX96:AY96)</f>
        <v>312</v>
      </c>
      <c r="BA96" s="120"/>
      <c r="BB96" s="119">
        <v>345</v>
      </c>
      <c r="BC96" s="110">
        <f>SUM(BA96:BB96)</f>
        <v>345</v>
      </c>
      <c r="BD96" s="120"/>
      <c r="BE96" s="119">
        <v>205</v>
      </c>
      <c r="BF96" s="110">
        <f>SUM(BD96:BE96)</f>
        <v>205</v>
      </c>
      <c r="BG96" s="120"/>
      <c r="BH96" s="119">
        <v>288</v>
      </c>
      <c r="BI96" s="110">
        <f>SUM(BG96:BH96)</f>
        <v>288</v>
      </c>
    </row>
    <row r="97" spans="1:61" s="38" customFormat="1" ht="15" customHeight="1" x14ac:dyDescent="0.3">
      <c r="A97" s="52" t="s">
        <v>59</v>
      </c>
      <c r="B97" s="53"/>
      <c r="C97" s="54"/>
      <c r="D97" s="55"/>
      <c r="E97" s="53"/>
      <c r="F97" s="54"/>
      <c r="G97" s="55"/>
      <c r="H97" s="53"/>
      <c r="I97" s="54"/>
      <c r="J97" s="55"/>
      <c r="K97" s="53"/>
      <c r="L97" s="54"/>
      <c r="M97" s="55"/>
      <c r="N97" s="53"/>
      <c r="O97" s="54"/>
      <c r="P97" s="55"/>
      <c r="Q97" s="53"/>
      <c r="R97" s="54"/>
      <c r="S97" s="55"/>
      <c r="T97" s="53"/>
      <c r="U97" s="54"/>
      <c r="V97" s="55"/>
      <c r="W97" s="53"/>
      <c r="X97" s="54"/>
      <c r="Y97" s="55"/>
      <c r="Z97" s="53">
        <f>SUM(Z94)</f>
        <v>21</v>
      </c>
      <c r="AA97" s="54">
        <f t="shared" ref="AA97:AQ97" si="111">SUM(AA94)</f>
        <v>46</v>
      </c>
      <c r="AB97" s="55">
        <f t="shared" si="111"/>
        <v>67</v>
      </c>
      <c r="AC97" s="53">
        <f t="shared" si="111"/>
        <v>0</v>
      </c>
      <c r="AD97" s="54">
        <f t="shared" si="111"/>
        <v>33</v>
      </c>
      <c r="AE97" s="55">
        <f t="shared" si="111"/>
        <v>33</v>
      </c>
      <c r="AF97" s="53">
        <f t="shared" si="111"/>
        <v>20</v>
      </c>
      <c r="AG97" s="54">
        <f t="shared" si="111"/>
        <v>40</v>
      </c>
      <c r="AH97" s="55">
        <f t="shared" si="111"/>
        <v>60</v>
      </c>
      <c r="AI97" s="56">
        <f t="shared" si="111"/>
        <v>21</v>
      </c>
      <c r="AJ97" s="57">
        <f t="shared" si="111"/>
        <v>45</v>
      </c>
      <c r="AK97" s="55">
        <f t="shared" si="111"/>
        <v>66</v>
      </c>
      <c r="AL97" s="56">
        <f t="shared" si="111"/>
        <v>23</v>
      </c>
      <c r="AM97" s="57">
        <f t="shared" si="111"/>
        <v>56</v>
      </c>
      <c r="AN97" s="55">
        <f t="shared" si="111"/>
        <v>79</v>
      </c>
      <c r="AO97" s="56">
        <f t="shared" si="111"/>
        <v>19</v>
      </c>
      <c r="AP97" s="57">
        <f>SUM(AP94)</f>
        <v>63</v>
      </c>
      <c r="AQ97" s="55">
        <f t="shared" si="111"/>
        <v>82</v>
      </c>
      <c r="AR97" s="56">
        <f>SUM(AR94:AR95)</f>
        <v>111</v>
      </c>
      <c r="AS97" s="57">
        <f>SUM(AS94:AS95)</f>
        <v>229</v>
      </c>
      <c r="AT97" s="55">
        <f>SUM(AT94:AT95)</f>
        <v>340</v>
      </c>
      <c r="AU97" s="56">
        <f>SUM(AU94:AU95)</f>
        <v>0</v>
      </c>
      <c r="AV97" s="57">
        <f>SUM(AV94:AV96)</f>
        <v>420</v>
      </c>
      <c r="AW97" s="55">
        <f>SUM(AW94:AW96)</f>
        <v>420</v>
      </c>
      <c r="AX97" s="56">
        <f>SUM(AX94:AX95)</f>
        <v>0</v>
      </c>
      <c r="AY97" s="57">
        <f>SUM(AY94:AY96)</f>
        <v>499</v>
      </c>
      <c r="AZ97" s="55">
        <f>SUM(AZ94:AZ96)</f>
        <v>499</v>
      </c>
      <c r="BA97" s="56">
        <f>SUM(BA94:BA95)</f>
        <v>0</v>
      </c>
      <c r="BB97" s="57">
        <f>SUM(BB94:BB96)</f>
        <v>545</v>
      </c>
      <c r="BC97" s="55">
        <f>SUM(BC94:BC96)</f>
        <v>545</v>
      </c>
      <c r="BD97" s="56">
        <f>SUM(BD94:BD95)</f>
        <v>0</v>
      </c>
      <c r="BE97" s="57">
        <f>SUM(BE94:BE96)</f>
        <v>373</v>
      </c>
      <c r="BF97" s="55">
        <f>SUM(BF94:BF96)</f>
        <v>373</v>
      </c>
      <c r="BG97" s="56">
        <f>SUM(BG94:BG95)</f>
        <v>0</v>
      </c>
      <c r="BH97" s="57">
        <f>SUM(BH94:BH96)</f>
        <v>459</v>
      </c>
      <c r="BI97" s="55">
        <f>SUM(BI94:BI96)</f>
        <v>459</v>
      </c>
    </row>
    <row r="98" spans="1:61" s="38" customFormat="1" ht="15" customHeight="1" x14ac:dyDescent="0.25">
      <c r="A98" s="58" t="s">
        <v>120</v>
      </c>
      <c r="B98" s="121"/>
      <c r="C98" s="122"/>
      <c r="D98" s="61"/>
      <c r="E98" s="121"/>
      <c r="F98" s="122"/>
      <c r="G98" s="61"/>
      <c r="H98" s="121"/>
      <c r="I98" s="122"/>
      <c r="J98" s="61"/>
      <c r="K98" s="121"/>
      <c r="L98" s="122"/>
      <c r="M98" s="61"/>
      <c r="N98" s="121"/>
      <c r="O98" s="122"/>
      <c r="P98" s="61"/>
      <c r="Q98" s="121"/>
      <c r="R98" s="122"/>
      <c r="S98" s="61"/>
      <c r="T98" s="121"/>
      <c r="U98" s="122"/>
      <c r="V98" s="61"/>
      <c r="W98" s="121"/>
      <c r="X98" s="122"/>
      <c r="Y98" s="61"/>
      <c r="Z98" s="122">
        <v>49</v>
      </c>
      <c r="AA98" s="122">
        <v>119</v>
      </c>
      <c r="AB98" s="61">
        <f>SUM(Z98:AA98)</f>
        <v>168</v>
      </c>
      <c r="AC98" s="121"/>
      <c r="AD98" s="122">
        <v>67</v>
      </c>
      <c r="AE98" s="61">
        <f t="shared" si="103"/>
        <v>67</v>
      </c>
      <c r="AF98" s="121">
        <v>30</v>
      </c>
      <c r="AG98" s="122">
        <v>79</v>
      </c>
      <c r="AH98" s="61">
        <f>SUM(AF98:AG98)</f>
        <v>109</v>
      </c>
      <c r="AI98" s="121"/>
      <c r="AJ98" s="122">
        <v>93</v>
      </c>
      <c r="AK98" s="61">
        <f>SUM(AI98:AJ98)</f>
        <v>93</v>
      </c>
      <c r="AL98" s="121"/>
      <c r="AM98" s="122">
        <v>141</v>
      </c>
      <c r="AN98" s="61">
        <f>SUM(AL98:AM98)</f>
        <v>141</v>
      </c>
      <c r="AO98" s="121">
        <v>48</v>
      </c>
      <c r="AP98" s="122">
        <v>129</v>
      </c>
      <c r="AQ98" s="61">
        <f>SUM(AO98:AP98)</f>
        <v>177</v>
      </c>
      <c r="AR98" s="121">
        <v>39</v>
      </c>
      <c r="AS98" s="122">
        <v>120</v>
      </c>
      <c r="AT98" s="61">
        <f>SUM(AR98:AS98)</f>
        <v>159</v>
      </c>
      <c r="AU98" s="121">
        <v>37</v>
      </c>
      <c r="AV98" s="122">
        <v>169</v>
      </c>
      <c r="AW98" s="61">
        <f>SUM(AU98:AV98)</f>
        <v>206</v>
      </c>
      <c r="AX98" s="121">
        <v>76</v>
      </c>
      <c r="AY98" s="122">
        <v>75</v>
      </c>
      <c r="AZ98" s="61">
        <f>SUM(AX98:AY98)</f>
        <v>151</v>
      </c>
      <c r="BA98" s="121">
        <v>55</v>
      </c>
      <c r="BB98" s="122">
        <v>82</v>
      </c>
      <c r="BC98" s="61">
        <f>SUM(BA98:BB98)</f>
        <v>137</v>
      </c>
      <c r="BD98" s="121">
        <v>57</v>
      </c>
      <c r="BE98" s="122">
        <v>49</v>
      </c>
      <c r="BF98" s="61">
        <f>SUM(BD98:BE98)</f>
        <v>106</v>
      </c>
      <c r="BG98" s="121">
        <v>43</v>
      </c>
      <c r="BH98" s="122">
        <v>41</v>
      </c>
      <c r="BI98" s="61">
        <f>SUM(BG98:BH98)</f>
        <v>84</v>
      </c>
    </row>
    <row r="99" spans="1:61" s="38" customFormat="1" ht="15" customHeight="1" x14ac:dyDescent="0.3">
      <c r="A99" s="39" t="s">
        <v>121</v>
      </c>
      <c r="B99" s="46"/>
      <c r="C99" s="47"/>
      <c r="D99" s="48"/>
      <c r="E99" s="49"/>
      <c r="F99" s="47"/>
      <c r="G99" s="48"/>
      <c r="H99" s="46"/>
      <c r="I99" s="50"/>
      <c r="J99" s="48"/>
      <c r="K99" s="46"/>
      <c r="L99" s="50"/>
      <c r="M99" s="48"/>
      <c r="N99" s="46"/>
      <c r="O99" s="50"/>
      <c r="P99" s="48"/>
      <c r="Q99" s="46"/>
      <c r="R99" s="50"/>
      <c r="S99" s="48"/>
      <c r="T99" s="46"/>
      <c r="U99" s="50"/>
      <c r="V99" s="48"/>
      <c r="W99" s="46"/>
      <c r="X99" s="50" t="s">
        <v>122</v>
      </c>
      <c r="Y99" s="48"/>
      <c r="Z99" s="51"/>
      <c r="AA99" s="50"/>
      <c r="AB99" s="48"/>
      <c r="AC99" s="51"/>
      <c r="AD99" s="50"/>
      <c r="AE99" s="48"/>
      <c r="AF99" s="51"/>
      <c r="AG99" s="50">
        <v>85</v>
      </c>
      <c r="AH99" s="42">
        <f>SUM(AF99:AG99)</f>
        <v>85</v>
      </c>
      <c r="AI99" s="51"/>
      <c r="AJ99" s="50">
        <v>192</v>
      </c>
      <c r="AK99" s="42">
        <f>SUM(AI99:AJ99)</f>
        <v>192</v>
      </c>
      <c r="AL99" s="51"/>
      <c r="AM99" s="50">
        <v>254</v>
      </c>
      <c r="AN99" s="42">
        <f>SUM(AL99:AM99)</f>
        <v>254</v>
      </c>
      <c r="AO99" s="51"/>
      <c r="AP99" s="50">
        <v>286</v>
      </c>
      <c r="AQ99" s="42">
        <f>SUM(AO99:AP99)</f>
        <v>286</v>
      </c>
      <c r="AR99" s="51"/>
      <c r="AS99" s="50">
        <v>227</v>
      </c>
      <c r="AT99" s="42">
        <f>SUM(AR99:AS99)</f>
        <v>227</v>
      </c>
      <c r="AU99" s="51"/>
      <c r="AV99" s="50">
        <v>195</v>
      </c>
      <c r="AW99" s="42">
        <f>SUM(AU99:AV99)</f>
        <v>195</v>
      </c>
      <c r="AX99" s="51"/>
      <c r="AY99" s="50">
        <v>235</v>
      </c>
      <c r="AZ99" s="42">
        <f>SUM(AX99:AY99)</f>
        <v>235</v>
      </c>
      <c r="BA99" s="51"/>
      <c r="BB99" s="50">
        <v>230</v>
      </c>
      <c r="BC99" s="42">
        <f>SUM(BA99:BB99)</f>
        <v>230</v>
      </c>
      <c r="BD99" s="51"/>
      <c r="BE99" s="50">
        <v>262</v>
      </c>
      <c r="BF99" s="42">
        <f>SUM(BD99:BE99)</f>
        <v>262</v>
      </c>
      <c r="BG99" s="51"/>
      <c r="BH99" s="50">
        <v>238</v>
      </c>
      <c r="BI99" s="42">
        <f>SUM(BG99:BH99)</f>
        <v>238</v>
      </c>
    </row>
    <row r="100" spans="1:61" s="38" customFormat="1" ht="15" customHeight="1" x14ac:dyDescent="0.3">
      <c r="A100" s="45" t="s">
        <v>123</v>
      </c>
      <c r="B100" s="123"/>
      <c r="C100" s="124"/>
      <c r="D100" s="125"/>
      <c r="E100" s="126"/>
      <c r="F100" s="124"/>
      <c r="G100" s="125"/>
      <c r="H100" s="123"/>
      <c r="I100" s="127"/>
      <c r="J100" s="125"/>
      <c r="K100" s="123"/>
      <c r="L100" s="127"/>
      <c r="M100" s="125"/>
      <c r="N100" s="123"/>
      <c r="O100" s="127"/>
      <c r="P100" s="125"/>
      <c r="Q100" s="123"/>
      <c r="R100" s="127"/>
      <c r="S100" s="125"/>
      <c r="T100" s="123"/>
      <c r="U100" s="127"/>
      <c r="V100" s="125"/>
      <c r="W100" s="123"/>
      <c r="X100" s="127"/>
      <c r="Y100" s="125"/>
      <c r="Z100" s="128"/>
      <c r="AA100" s="127"/>
      <c r="AB100" s="125"/>
      <c r="AC100" s="128"/>
      <c r="AD100" s="127"/>
      <c r="AE100" s="125"/>
      <c r="AF100" s="128"/>
      <c r="AG100" s="127"/>
      <c r="AH100" s="125"/>
      <c r="AI100" s="51"/>
      <c r="AJ100" s="50"/>
      <c r="AK100" s="125"/>
      <c r="AL100" s="51"/>
      <c r="AM100" s="50"/>
      <c r="AN100" s="125"/>
      <c r="AO100" s="51"/>
      <c r="AP100" s="50"/>
      <c r="AQ100" s="125"/>
      <c r="AR100" s="51"/>
      <c r="AS100" s="50"/>
      <c r="AT100" s="125"/>
      <c r="AU100" s="51">
        <v>37</v>
      </c>
      <c r="AV100" s="50">
        <v>55</v>
      </c>
      <c r="AW100" s="42">
        <f>SUM(AU100:AV100)</f>
        <v>92</v>
      </c>
      <c r="AX100" s="51"/>
      <c r="AY100" s="50">
        <v>80</v>
      </c>
      <c r="AZ100" s="42">
        <f>SUM(AX100:AY100)</f>
        <v>80</v>
      </c>
      <c r="BA100" s="51"/>
      <c r="BB100" s="50">
        <v>69</v>
      </c>
      <c r="BC100" s="42">
        <f>SUM(BA100:BB100)</f>
        <v>69</v>
      </c>
      <c r="BD100" s="51"/>
      <c r="BE100" s="50">
        <v>76</v>
      </c>
      <c r="BF100" s="42">
        <f>SUM(BD100:BE100)</f>
        <v>76</v>
      </c>
      <c r="BG100" s="51"/>
      <c r="BH100" s="50">
        <v>74</v>
      </c>
      <c r="BI100" s="42">
        <f>SUM(BG100:BH100)</f>
        <v>74</v>
      </c>
    </row>
    <row r="101" spans="1:61" s="38" customFormat="1" ht="15" customHeight="1" x14ac:dyDescent="0.3">
      <c r="A101" s="52" t="s">
        <v>64</v>
      </c>
      <c r="B101" s="53"/>
      <c r="C101" s="54"/>
      <c r="D101" s="55"/>
      <c r="E101" s="53"/>
      <c r="F101" s="54"/>
      <c r="G101" s="55"/>
      <c r="H101" s="53"/>
      <c r="I101" s="54"/>
      <c r="J101" s="55"/>
      <c r="K101" s="53"/>
      <c r="L101" s="54"/>
      <c r="M101" s="55"/>
      <c r="N101" s="53"/>
      <c r="O101" s="54"/>
      <c r="P101" s="55"/>
      <c r="Q101" s="53"/>
      <c r="R101" s="54"/>
      <c r="S101" s="55"/>
      <c r="T101" s="53"/>
      <c r="U101" s="54"/>
      <c r="V101" s="55"/>
      <c r="W101" s="53"/>
      <c r="X101" s="54"/>
      <c r="Y101" s="55"/>
      <c r="Z101" s="53">
        <f>SUM(Z98:Z99)</f>
        <v>49</v>
      </c>
      <c r="AA101" s="54">
        <f t="shared" ref="AA101:AQ101" si="112">SUM(AA98:AA99)</f>
        <v>119</v>
      </c>
      <c r="AB101" s="55">
        <f t="shared" si="112"/>
        <v>168</v>
      </c>
      <c r="AC101" s="53">
        <f t="shared" si="112"/>
        <v>0</v>
      </c>
      <c r="AD101" s="54">
        <f t="shared" si="112"/>
        <v>67</v>
      </c>
      <c r="AE101" s="55">
        <f t="shared" si="112"/>
        <v>67</v>
      </c>
      <c r="AF101" s="53">
        <f t="shared" si="112"/>
        <v>30</v>
      </c>
      <c r="AG101" s="54">
        <f t="shared" si="112"/>
        <v>164</v>
      </c>
      <c r="AH101" s="55">
        <f t="shared" si="112"/>
        <v>194</v>
      </c>
      <c r="AI101" s="56">
        <f t="shared" si="112"/>
        <v>0</v>
      </c>
      <c r="AJ101" s="57">
        <f t="shared" si="112"/>
        <v>285</v>
      </c>
      <c r="AK101" s="55">
        <f t="shared" si="112"/>
        <v>285</v>
      </c>
      <c r="AL101" s="56">
        <f t="shared" si="112"/>
        <v>0</v>
      </c>
      <c r="AM101" s="57">
        <f t="shared" si="112"/>
        <v>395</v>
      </c>
      <c r="AN101" s="55">
        <f t="shared" si="112"/>
        <v>395</v>
      </c>
      <c r="AO101" s="56">
        <f t="shared" si="112"/>
        <v>48</v>
      </c>
      <c r="AP101" s="57">
        <f>SUM(AP98:AP99)</f>
        <v>415</v>
      </c>
      <c r="AQ101" s="55">
        <f t="shared" si="112"/>
        <v>463</v>
      </c>
      <c r="AR101" s="56">
        <v>39</v>
      </c>
      <c r="AS101" s="57">
        <f>SUM(AS98:AS99)</f>
        <v>347</v>
      </c>
      <c r="AT101" s="55">
        <f>SUM(AT98:AT99)</f>
        <v>386</v>
      </c>
      <c r="AU101" s="56">
        <f t="shared" ref="AU101:AZ101" si="113">SUM(AU98:AU100)</f>
        <v>74</v>
      </c>
      <c r="AV101" s="57">
        <f t="shared" si="113"/>
        <v>419</v>
      </c>
      <c r="AW101" s="55">
        <f t="shared" si="113"/>
        <v>493</v>
      </c>
      <c r="AX101" s="56">
        <f t="shared" si="113"/>
        <v>76</v>
      </c>
      <c r="AY101" s="57">
        <f t="shared" si="113"/>
        <v>390</v>
      </c>
      <c r="AZ101" s="55">
        <f t="shared" si="113"/>
        <v>466</v>
      </c>
      <c r="BA101" s="56">
        <f t="shared" ref="BA101:BF101" si="114">SUM(BA98:BA100)</f>
        <v>55</v>
      </c>
      <c r="BB101" s="57">
        <f t="shared" si="114"/>
        <v>381</v>
      </c>
      <c r="BC101" s="55">
        <f t="shared" si="114"/>
        <v>436</v>
      </c>
      <c r="BD101" s="56">
        <f t="shared" si="114"/>
        <v>57</v>
      </c>
      <c r="BE101" s="57">
        <f>SUM(BE98:BE100)</f>
        <v>387</v>
      </c>
      <c r="BF101" s="55">
        <f t="shared" si="114"/>
        <v>444</v>
      </c>
      <c r="BG101" s="56">
        <f t="shared" ref="BG101" si="115">SUM(BG98:BG100)</f>
        <v>43</v>
      </c>
      <c r="BH101" s="57">
        <f>SUM(BH98:BH100)</f>
        <v>353</v>
      </c>
      <c r="BI101" s="55">
        <f t="shared" ref="BI101" si="116">SUM(BI98:BI100)</f>
        <v>396</v>
      </c>
    </row>
    <row r="102" spans="1:61" s="38" customFormat="1" ht="14.25" customHeight="1" x14ac:dyDescent="0.25">
      <c r="A102" s="107" t="s">
        <v>124</v>
      </c>
      <c r="B102" s="129"/>
      <c r="C102" s="130"/>
      <c r="D102" s="110"/>
      <c r="E102" s="129"/>
      <c r="F102" s="130"/>
      <c r="G102" s="110"/>
      <c r="H102" s="129"/>
      <c r="I102" s="130"/>
      <c r="J102" s="110"/>
      <c r="K102" s="129"/>
      <c r="L102" s="130"/>
      <c r="M102" s="110"/>
      <c r="N102" s="129"/>
      <c r="O102" s="130"/>
      <c r="P102" s="110"/>
      <c r="Q102" s="129"/>
      <c r="R102" s="130"/>
      <c r="S102" s="110"/>
      <c r="T102" s="129"/>
      <c r="U102" s="130"/>
      <c r="V102" s="110"/>
      <c r="W102" s="129"/>
      <c r="X102" s="130"/>
      <c r="Y102" s="110"/>
      <c r="Z102" s="130">
        <v>34</v>
      </c>
      <c r="AA102" s="130">
        <v>133</v>
      </c>
      <c r="AB102" s="110">
        <f>SUM(Z102:AA102)</f>
        <v>167</v>
      </c>
      <c r="AC102" s="129"/>
      <c r="AD102" s="130">
        <v>63</v>
      </c>
      <c r="AE102" s="110">
        <f t="shared" si="103"/>
        <v>63</v>
      </c>
      <c r="AF102" s="129">
        <v>32</v>
      </c>
      <c r="AG102" s="130">
        <v>115</v>
      </c>
      <c r="AH102" s="110">
        <f>SUM(AF102:AG102)</f>
        <v>147</v>
      </c>
      <c r="AI102" s="129">
        <v>43</v>
      </c>
      <c r="AJ102" s="130">
        <v>39</v>
      </c>
      <c r="AK102" s="110">
        <f>SUM(AI102:AJ102)</f>
        <v>82</v>
      </c>
      <c r="AL102" s="129">
        <v>38</v>
      </c>
      <c r="AM102" s="130">
        <v>133</v>
      </c>
      <c r="AN102" s="110">
        <f>SUM(AL102:AM102)</f>
        <v>171</v>
      </c>
      <c r="AO102" s="129">
        <v>51</v>
      </c>
      <c r="AP102" s="130">
        <v>171</v>
      </c>
      <c r="AQ102" s="110">
        <f>SUM(AO102:AP102)</f>
        <v>222</v>
      </c>
      <c r="AR102" s="129">
        <v>45</v>
      </c>
      <c r="AS102" s="130">
        <v>138</v>
      </c>
      <c r="AT102" s="110">
        <f>SUM(AR102:AS102)</f>
        <v>183</v>
      </c>
      <c r="AU102" s="129"/>
      <c r="AV102" s="130">
        <v>222</v>
      </c>
      <c r="AW102" s="110">
        <f>SUM(AU102:AV102)</f>
        <v>222</v>
      </c>
      <c r="AX102" s="129"/>
      <c r="AY102" s="130">
        <v>167</v>
      </c>
      <c r="AZ102" s="110">
        <f>SUM(AX102:AY102)</f>
        <v>167</v>
      </c>
      <c r="BA102" s="129"/>
      <c r="BB102" s="130">
        <v>146</v>
      </c>
      <c r="BC102" s="110">
        <f>SUM(BA102:BB102)</f>
        <v>146</v>
      </c>
      <c r="BD102" s="129"/>
      <c r="BE102" s="130">
        <v>124</v>
      </c>
      <c r="BF102" s="110">
        <f>SUM(BD102:BE102)</f>
        <v>124</v>
      </c>
      <c r="BG102" s="129"/>
      <c r="BH102" s="130">
        <v>94</v>
      </c>
      <c r="BI102" s="110">
        <f>SUM(BG102:BH102)</f>
        <v>94</v>
      </c>
    </row>
    <row r="103" spans="1:61" s="38" customFormat="1" ht="14.25" customHeight="1" x14ac:dyDescent="0.3">
      <c r="A103" s="107" t="s">
        <v>125</v>
      </c>
      <c r="B103" s="108"/>
      <c r="C103" s="109"/>
      <c r="D103" s="110"/>
      <c r="E103" s="111"/>
      <c r="F103" s="109"/>
      <c r="G103" s="110"/>
      <c r="H103" s="108"/>
      <c r="I103" s="112"/>
      <c r="J103" s="110"/>
      <c r="K103" s="108"/>
      <c r="L103" s="112"/>
      <c r="M103" s="110"/>
      <c r="N103" s="108"/>
      <c r="O103" s="112"/>
      <c r="P103" s="110"/>
      <c r="Q103" s="108"/>
      <c r="R103" s="112"/>
      <c r="S103" s="110"/>
      <c r="T103" s="108"/>
      <c r="U103" s="112"/>
      <c r="V103" s="110"/>
      <c r="W103" s="108"/>
      <c r="X103" s="112"/>
      <c r="Y103" s="110"/>
      <c r="Z103" s="113"/>
      <c r="AA103" s="112"/>
      <c r="AB103" s="110"/>
      <c r="AC103" s="113"/>
      <c r="AD103" s="112"/>
      <c r="AE103" s="110"/>
      <c r="AF103" s="113"/>
      <c r="AG103" s="112"/>
      <c r="AH103" s="110"/>
      <c r="AI103" s="113"/>
      <c r="AJ103" s="112"/>
      <c r="AK103" s="110"/>
      <c r="AL103" s="113"/>
      <c r="AM103" s="112"/>
      <c r="AN103" s="110"/>
      <c r="AO103" s="113"/>
      <c r="AP103" s="112"/>
      <c r="AQ103" s="110"/>
      <c r="AR103" s="113"/>
      <c r="AS103" s="112">
        <v>259</v>
      </c>
      <c r="AT103" s="110">
        <f>SUM(AR103:AS103)</f>
        <v>259</v>
      </c>
      <c r="AU103" s="113"/>
      <c r="AV103" s="112">
        <v>559</v>
      </c>
      <c r="AW103" s="110">
        <f>SUM(AU103:AV103)</f>
        <v>559</v>
      </c>
      <c r="AX103" s="113"/>
      <c r="AY103" s="112">
        <v>459</v>
      </c>
      <c r="AZ103" s="110">
        <f>SUM(AX103:AY103)</f>
        <v>459</v>
      </c>
      <c r="BA103" s="113"/>
      <c r="BB103" s="112">
        <v>487</v>
      </c>
      <c r="BC103" s="110">
        <f>SUM(BA103:BB103)</f>
        <v>487</v>
      </c>
      <c r="BD103" s="113"/>
      <c r="BE103" s="112">
        <v>385</v>
      </c>
      <c r="BF103" s="110">
        <f>SUM(BD103:BE103)</f>
        <v>385</v>
      </c>
      <c r="BG103" s="113"/>
      <c r="BH103" s="112">
        <v>479</v>
      </c>
      <c r="BI103" s="110">
        <f>SUM(BG103:BH103)</f>
        <v>479</v>
      </c>
    </row>
    <row r="104" spans="1:61" s="38" customFormat="1" ht="14.25" customHeight="1" x14ac:dyDescent="0.3">
      <c r="A104" s="114" t="s">
        <v>126</v>
      </c>
      <c r="B104" s="115"/>
      <c r="C104" s="116"/>
      <c r="D104" s="117"/>
      <c r="E104" s="118"/>
      <c r="F104" s="116"/>
      <c r="G104" s="117"/>
      <c r="H104" s="115"/>
      <c r="I104" s="119"/>
      <c r="J104" s="117"/>
      <c r="K104" s="115"/>
      <c r="L104" s="119"/>
      <c r="M104" s="117"/>
      <c r="N104" s="115"/>
      <c r="O104" s="119"/>
      <c r="P104" s="117"/>
      <c r="Q104" s="115"/>
      <c r="R104" s="119"/>
      <c r="S104" s="117"/>
      <c r="T104" s="115"/>
      <c r="U104" s="119"/>
      <c r="V104" s="117"/>
      <c r="W104" s="115"/>
      <c r="X104" s="119"/>
      <c r="Y104" s="117"/>
      <c r="Z104" s="120"/>
      <c r="AA104" s="119"/>
      <c r="AB104" s="117"/>
      <c r="AC104" s="120"/>
      <c r="AD104" s="119"/>
      <c r="AE104" s="117"/>
      <c r="AF104" s="120"/>
      <c r="AG104" s="119"/>
      <c r="AH104" s="117"/>
      <c r="AI104" s="120"/>
      <c r="AJ104" s="119"/>
      <c r="AK104" s="117"/>
      <c r="AL104" s="120"/>
      <c r="AM104" s="119"/>
      <c r="AN104" s="117"/>
      <c r="AO104" s="120"/>
      <c r="AP104" s="119"/>
      <c r="AQ104" s="117"/>
      <c r="AR104" s="120"/>
      <c r="AS104" s="119"/>
      <c r="AT104" s="117"/>
      <c r="AU104" s="120"/>
      <c r="AV104" s="119">
        <v>71</v>
      </c>
      <c r="AW104" s="110">
        <f>SUM(AU104:AV104)</f>
        <v>71</v>
      </c>
      <c r="AX104" s="120"/>
      <c r="AY104" s="119">
        <v>173</v>
      </c>
      <c r="AZ104" s="110">
        <f>SUM(AX104:AY104)</f>
        <v>173</v>
      </c>
      <c r="BA104" s="120"/>
      <c r="BB104" s="119">
        <v>143</v>
      </c>
      <c r="BC104" s="110">
        <f>SUM(BA104:BB104)</f>
        <v>143</v>
      </c>
      <c r="BD104" s="120"/>
      <c r="BE104" s="119">
        <v>150</v>
      </c>
      <c r="BF104" s="110">
        <f>SUM(BD104:BE104)</f>
        <v>150</v>
      </c>
      <c r="BG104" s="120"/>
      <c r="BH104" s="119">
        <v>109</v>
      </c>
      <c r="BI104" s="110">
        <f>SUM(BG104:BH104)</f>
        <v>109</v>
      </c>
    </row>
    <row r="105" spans="1:61" s="38" customFormat="1" ht="14.25" customHeight="1" x14ac:dyDescent="0.3">
      <c r="A105" s="52" t="s">
        <v>92</v>
      </c>
      <c r="B105" s="53"/>
      <c r="C105" s="54"/>
      <c r="D105" s="55"/>
      <c r="E105" s="53"/>
      <c r="F105" s="54"/>
      <c r="G105" s="55"/>
      <c r="H105" s="53"/>
      <c r="I105" s="54"/>
      <c r="J105" s="55"/>
      <c r="K105" s="53"/>
      <c r="L105" s="54"/>
      <c r="M105" s="55"/>
      <c r="N105" s="53"/>
      <c r="O105" s="54"/>
      <c r="P105" s="55"/>
      <c r="Q105" s="53"/>
      <c r="R105" s="54"/>
      <c r="S105" s="55"/>
      <c r="T105" s="53"/>
      <c r="U105" s="54"/>
      <c r="V105" s="55"/>
      <c r="W105" s="53"/>
      <c r="X105" s="54"/>
      <c r="Y105" s="55"/>
      <c r="Z105" s="53">
        <f>SUM(Z102)</f>
        <v>34</v>
      </c>
      <c r="AA105" s="54">
        <f t="shared" ref="AA105:AQ105" si="117">SUM(AA102)</f>
        <v>133</v>
      </c>
      <c r="AB105" s="55">
        <f t="shared" si="117"/>
        <v>167</v>
      </c>
      <c r="AC105" s="53">
        <f t="shared" si="117"/>
        <v>0</v>
      </c>
      <c r="AD105" s="54">
        <f t="shared" si="117"/>
        <v>63</v>
      </c>
      <c r="AE105" s="55">
        <f t="shared" si="117"/>
        <v>63</v>
      </c>
      <c r="AF105" s="53">
        <f t="shared" si="117"/>
        <v>32</v>
      </c>
      <c r="AG105" s="54">
        <f t="shared" si="117"/>
        <v>115</v>
      </c>
      <c r="AH105" s="55">
        <f t="shared" si="117"/>
        <v>147</v>
      </c>
      <c r="AI105" s="56">
        <f t="shared" si="117"/>
        <v>43</v>
      </c>
      <c r="AJ105" s="57">
        <f t="shared" si="117"/>
        <v>39</v>
      </c>
      <c r="AK105" s="55">
        <f t="shared" si="117"/>
        <v>82</v>
      </c>
      <c r="AL105" s="56">
        <f t="shared" si="117"/>
        <v>38</v>
      </c>
      <c r="AM105" s="57">
        <f t="shared" si="117"/>
        <v>133</v>
      </c>
      <c r="AN105" s="55">
        <f t="shared" si="117"/>
        <v>171</v>
      </c>
      <c r="AO105" s="56">
        <f t="shared" si="117"/>
        <v>51</v>
      </c>
      <c r="AP105" s="57">
        <f t="shared" si="117"/>
        <v>171</v>
      </c>
      <c r="AQ105" s="55">
        <f t="shared" si="117"/>
        <v>222</v>
      </c>
      <c r="AR105" s="56">
        <f>SUM(AR102:AR103)</f>
        <v>45</v>
      </c>
      <c r="AS105" s="57">
        <f>SUM(AS102:AS103)</f>
        <v>397</v>
      </c>
      <c r="AT105" s="55">
        <f>SUM(AT102:AT103)</f>
        <v>442</v>
      </c>
      <c r="AU105" s="56">
        <f>SUM(AU102:AU103)</f>
        <v>0</v>
      </c>
      <c r="AV105" s="57">
        <f>SUM(AV102:AV104)</f>
        <v>852</v>
      </c>
      <c r="AW105" s="55">
        <f>SUM(AW102:AW104)</f>
        <v>852</v>
      </c>
      <c r="AX105" s="56">
        <f>SUM(AX102:AX103)</f>
        <v>0</v>
      </c>
      <c r="AY105" s="57">
        <f>SUM(AY102:AY104)</f>
        <v>799</v>
      </c>
      <c r="AZ105" s="55">
        <f>SUM(AZ102:AZ104)</f>
        <v>799</v>
      </c>
      <c r="BA105" s="56">
        <f>SUM(BA102:BA103)</f>
        <v>0</v>
      </c>
      <c r="BB105" s="57">
        <f>SUM(BB102:BB104)</f>
        <v>776</v>
      </c>
      <c r="BC105" s="55">
        <f>SUM(BC102:BC104)</f>
        <v>776</v>
      </c>
      <c r="BD105" s="56">
        <f>SUM(BD102:BD103)</f>
        <v>0</v>
      </c>
      <c r="BE105" s="57">
        <f>SUM(BE102:BE104)</f>
        <v>659</v>
      </c>
      <c r="BF105" s="55">
        <f>SUM(BF102:BF104)</f>
        <v>659</v>
      </c>
      <c r="BG105" s="56">
        <f>SUM(BG102:BG103)</f>
        <v>0</v>
      </c>
      <c r="BH105" s="57">
        <f>SUM(BH102:BH104)</f>
        <v>682</v>
      </c>
      <c r="BI105" s="55">
        <f>SUM(BI102:BI104)</f>
        <v>682</v>
      </c>
    </row>
    <row r="106" spans="1:61" s="38" customFormat="1" ht="15" customHeight="1" x14ac:dyDescent="0.3">
      <c r="A106" s="131" t="s">
        <v>127</v>
      </c>
      <c r="B106" s="132"/>
      <c r="C106" s="133"/>
      <c r="D106" s="133"/>
      <c r="E106" s="132"/>
      <c r="F106" s="133"/>
      <c r="G106" s="134"/>
      <c r="H106" s="133"/>
      <c r="I106" s="133"/>
      <c r="J106" s="133"/>
      <c r="K106" s="132"/>
      <c r="L106" s="133"/>
      <c r="M106" s="134"/>
      <c r="N106" s="133"/>
      <c r="O106" s="133"/>
      <c r="P106" s="133"/>
      <c r="Q106" s="132"/>
      <c r="R106" s="133"/>
      <c r="S106" s="134"/>
      <c r="T106" s="132"/>
      <c r="U106" s="133"/>
      <c r="V106" s="134"/>
      <c r="W106" s="133"/>
      <c r="X106" s="133"/>
      <c r="Y106" s="134"/>
      <c r="Z106" s="132">
        <f>SUM(Z105,Z101,Z97)</f>
        <v>104</v>
      </c>
      <c r="AA106" s="133">
        <f t="shared" ref="AA106:AQ106" si="118">SUM(AA105,AA101,AA97)</f>
        <v>298</v>
      </c>
      <c r="AB106" s="134">
        <f t="shared" si="118"/>
        <v>402</v>
      </c>
      <c r="AC106" s="132">
        <f t="shared" si="118"/>
        <v>0</v>
      </c>
      <c r="AD106" s="133">
        <f t="shared" si="118"/>
        <v>163</v>
      </c>
      <c r="AE106" s="134">
        <f t="shared" si="118"/>
        <v>163</v>
      </c>
      <c r="AF106" s="132">
        <f t="shared" si="118"/>
        <v>82</v>
      </c>
      <c r="AG106" s="133">
        <f t="shared" si="118"/>
        <v>319</v>
      </c>
      <c r="AH106" s="134">
        <f t="shared" si="118"/>
        <v>401</v>
      </c>
      <c r="AI106" s="132">
        <f t="shared" si="118"/>
        <v>64</v>
      </c>
      <c r="AJ106" s="133">
        <f t="shared" si="118"/>
        <v>369</v>
      </c>
      <c r="AK106" s="134">
        <f t="shared" si="118"/>
        <v>433</v>
      </c>
      <c r="AL106" s="132">
        <f t="shared" si="118"/>
        <v>61</v>
      </c>
      <c r="AM106" s="133">
        <f t="shared" si="118"/>
        <v>584</v>
      </c>
      <c r="AN106" s="134">
        <f t="shared" si="118"/>
        <v>645</v>
      </c>
      <c r="AO106" s="132">
        <f t="shared" si="118"/>
        <v>118</v>
      </c>
      <c r="AP106" s="133">
        <f t="shared" si="118"/>
        <v>649</v>
      </c>
      <c r="AQ106" s="134">
        <f t="shared" si="118"/>
        <v>767</v>
      </c>
      <c r="AR106" s="132">
        <f>SUM(AR97,AR101,AR105)</f>
        <v>195</v>
      </c>
      <c r="AS106" s="133">
        <f>SUM(AS105,AS101,AS97)</f>
        <v>973</v>
      </c>
      <c r="AT106" s="134">
        <f>SUM(AT97,AT101,AT105)</f>
        <v>1168</v>
      </c>
      <c r="AU106" s="132">
        <f>SUM(AU97,AU101,AU105)</f>
        <v>74</v>
      </c>
      <c r="AV106" s="133">
        <f>SUM(AV105,AV101,AV97)</f>
        <v>1691</v>
      </c>
      <c r="AW106" s="134">
        <f>SUM(AW97,AW101,AW105)</f>
        <v>1765</v>
      </c>
      <c r="AX106" s="132">
        <f>SUM(AX97,AX101,AX105)</f>
        <v>76</v>
      </c>
      <c r="AY106" s="133">
        <f>SUM(AY105,AY101,AY97)</f>
        <v>1688</v>
      </c>
      <c r="AZ106" s="134">
        <f>SUM(AZ97,AZ101,AZ105)</f>
        <v>1764</v>
      </c>
      <c r="BA106" s="132">
        <f>SUM(BA97,BA101,BA105)</f>
        <v>55</v>
      </c>
      <c r="BB106" s="133">
        <f>SUM(BB105,BB101,BB97)</f>
        <v>1702</v>
      </c>
      <c r="BC106" s="134">
        <f>SUM(BC97,BC101,BC105)</f>
        <v>1757</v>
      </c>
      <c r="BD106" s="132">
        <f>SUM(BD97,BD101,BD105)</f>
        <v>57</v>
      </c>
      <c r="BE106" s="133">
        <f>SUM(BE105,BE101,BE97)</f>
        <v>1419</v>
      </c>
      <c r="BF106" s="134">
        <f>SUM(BF97,BF101,BF105)</f>
        <v>1476</v>
      </c>
      <c r="BG106" s="132">
        <f>SUM(BG97,BG101,BG105)</f>
        <v>43</v>
      </c>
      <c r="BH106" s="133">
        <f>SUM(BH105,BH101,BH97)</f>
        <v>1494</v>
      </c>
      <c r="BI106" s="134">
        <f>SUM(BI97,BI101,BI105)</f>
        <v>1537</v>
      </c>
    </row>
    <row r="107" spans="1:61" s="38" customFormat="1" ht="15" customHeight="1" x14ac:dyDescent="0.25"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5"/>
      <c r="AH107" s="135"/>
      <c r="AI107" s="135"/>
      <c r="AJ107" s="135"/>
      <c r="AK107" s="135"/>
      <c r="AL107" s="135"/>
      <c r="AM107" s="135"/>
      <c r="AN107" s="135"/>
      <c r="AO107" s="135"/>
      <c r="AP107" s="135"/>
      <c r="AQ107" s="135"/>
      <c r="AR107" s="135"/>
      <c r="AS107" s="135"/>
      <c r="AT107" s="135"/>
      <c r="AU107" s="135"/>
      <c r="AV107" s="135"/>
      <c r="AW107" s="135"/>
      <c r="AX107" s="135"/>
      <c r="AY107" s="135"/>
      <c r="AZ107" s="135"/>
      <c r="BA107" s="135"/>
      <c r="BB107" s="135"/>
      <c r="BC107" s="135"/>
      <c r="BD107" s="135"/>
      <c r="BE107" s="135"/>
      <c r="BF107" s="135"/>
      <c r="BG107" s="135"/>
      <c r="BH107" s="135"/>
      <c r="BI107" s="135"/>
    </row>
    <row r="108" spans="1:61" s="140" customFormat="1" ht="14.4" x14ac:dyDescent="0.25">
      <c r="A108" s="136" t="s">
        <v>128</v>
      </c>
      <c r="B108" s="137">
        <f>SUM(B78,B56,B25,B93,B106)</f>
        <v>15105</v>
      </c>
      <c r="C108" s="138">
        <f t="shared" ref="C108:BC108" si="119">SUM(C78,C56,C25,C93,C106)</f>
        <v>38175</v>
      </c>
      <c r="D108" s="139">
        <f t="shared" si="119"/>
        <v>53280</v>
      </c>
      <c r="E108" s="137">
        <f t="shared" si="119"/>
        <v>15498</v>
      </c>
      <c r="F108" s="138">
        <f t="shared" si="119"/>
        <v>39825</v>
      </c>
      <c r="G108" s="139">
        <f t="shared" si="119"/>
        <v>55323</v>
      </c>
      <c r="H108" s="137">
        <f t="shared" si="119"/>
        <v>17446</v>
      </c>
      <c r="I108" s="138">
        <f t="shared" si="119"/>
        <v>42318</v>
      </c>
      <c r="J108" s="139">
        <f t="shared" si="119"/>
        <v>59764</v>
      </c>
      <c r="K108" s="137">
        <f t="shared" si="119"/>
        <v>18124</v>
      </c>
      <c r="L108" s="138">
        <f t="shared" si="119"/>
        <v>38411</v>
      </c>
      <c r="M108" s="139">
        <f t="shared" si="119"/>
        <v>56535</v>
      </c>
      <c r="N108" s="137">
        <f t="shared" si="119"/>
        <v>17399</v>
      </c>
      <c r="O108" s="138">
        <f t="shared" si="119"/>
        <v>42184</v>
      </c>
      <c r="P108" s="139">
        <f t="shared" si="119"/>
        <v>59583</v>
      </c>
      <c r="Q108" s="137">
        <f t="shared" si="119"/>
        <v>20516</v>
      </c>
      <c r="R108" s="138">
        <f t="shared" si="119"/>
        <v>44679</v>
      </c>
      <c r="S108" s="139">
        <f t="shared" si="119"/>
        <v>65195</v>
      </c>
      <c r="T108" s="137">
        <f t="shared" si="119"/>
        <v>21417</v>
      </c>
      <c r="U108" s="138">
        <f t="shared" si="119"/>
        <v>48573</v>
      </c>
      <c r="V108" s="139">
        <f t="shared" si="119"/>
        <v>69990</v>
      </c>
      <c r="W108" s="137">
        <f t="shared" si="119"/>
        <v>21960</v>
      </c>
      <c r="X108" s="138">
        <f t="shared" si="119"/>
        <v>55031</v>
      </c>
      <c r="Y108" s="139">
        <f t="shared" si="119"/>
        <v>76991</v>
      </c>
      <c r="Z108" s="137">
        <f t="shared" si="119"/>
        <v>25150</v>
      </c>
      <c r="AA108" s="138">
        <f t="shared" si="119"/>
        <v>53877</v>
      </c>
      <c r="AB108" s="139">
        <f t="shared" si="119"/>
        <v>79027</v>
      </c>
      <c r="AC108" s="137">
        <f t="shared" si="119"/>
        <v>25485</v>
      </c>
      <c r="AD108" s="138">
        <f t="shared" si="119"/>
        <v>61584</v>
      </c>
      <c r="AE108" s="139">
        <f t="shared" si="119"/>
        <v>87069</v>
      </c>
      <c r="AF108" s="137">
        <f t="shared" si="119"/>
        <v>23871</v>
      </c>
      <c r="AG108" s="138">
        <f t="shared" si="119"/>
        <v>64247</v>
      </c>
      <c r="AH108" s="139">
        <f t="shared" si="119"/>
        <v>88118</v>
      </c>
      <c r="AI108" s="137">
        <f t="shared" si="119"/>
        <v>21515</v>
      </c>
      <c r="AJ108" s="138">
        <f t="shared" si="119"/>
        <v>64638</v>
      </c>
      <c r="AK108" s="139">
        <f t="shared" si="119"/>
        <v>86153</v>
      </c>
      <c r="AL108" s="137">
        <f t="shared" si="119"/>
        <v>23957</v>
      </c>
      <c r="AM108" s="138">
        <f t="shared" si="119"/>
        <v>68733</v>
      </c>
      <c r="AN108" s="139">
        <f t="shared" si="119"/>
        <v>92690</v>
      </c>
      <c r="AO108" s="137">
        <f t="shared" si="119"/>
        <v>24591</v>
      </c>
      <c r="AP108" s="138">
        <f t="shared" si="119"/>
        <v>69161</v>
      </c>
      <c r="AQ108" s="139">
        <f t="shared" si="119"/>
        <v>93752</v>
      </c>
      <c r="AR108" s="137">
        <f t="shared" si="119"/>
        <v>23372</v>
      </c>
      <c r="AS108" s="138">
        <f t="shared" si="119"/>
        <v>69635</v>
      </c>
      <c r="AT108" s="139">
        <f t="shared" si="119"/>
        <v>93007</v>
      </c>
      <c r="AU108" s="137">
        <f t="shared" si="119"/>
        <v>22996</v>
      </c>
      <c r="AV108" s="138">
        <f t="shared" si="119"/>
        <v>72985</v>
      </c>
      <c r="AW108" s="139">
        <f t="shared" si="119"/>
        <v>95981</v>
      </c>
      <c r="AX108" s="137">
        <f t="shared" si="119"/>
        <v>28295</v>
      </c>
      <c r="AY108" s="138">
        <f t="shared" si="119"/>
        <v>54509</v>
      </c>
      <c r="AZ108" s="139">
        <f t="shared" si="119"/>
        <v>82804</v>
      </c>
      <c r="BA108" s="137">
        <f t="shared" si="119"/>
        <v>26107</v>
      </c>
      <c r="BB108" s="138">
        <f t="shared" si="119"/>
        <v>47657</v>
      </c>
      <c r="BC108" s="139">
        <f t="shared" si="119"/>
        <v>73764</v>
      </c>
      <c r="BD108" s="137">
        <f t="shared" ref="BD108:BF108" si="120">SUM(BD78,BD56,BD25,BD93,BD106)</f>
        <v>32411</v>
      </c>
      <c r="BE108" s="138">
        <f t="shared" si="120"/>
        <v>41928</v>
      </c>
      <c r="BF108" s="139">
        <f t="shared" si="120"/>
        <v>74339</v>
      </c>
      <c r="BG108" s="137">
        <f t="shared" ref="BG108:BI108" si="121">SUM(BG78,BG56,BG25,BG93,BG106)</f>
        <v>34310</v>
      </c>
      <c r="BH108" s="138">
        <f t="shared" si="121"/>
        <v>48649</v>
      </c>
      <c r="BI108" s="139">
        <f t="shared" si="121"/>
        <v>82959</v>
      </c>
    </row>
    <row r="109" spans="1:61" s="38" customFormat="1" ht="13.8" x14ac:dyDescent="0.25">
      <c r="A109" s="141" t="s">
        <v>129</v>
      </c>
      <c r="B109" s="142"/>
      <c r="C109" s="142"/>
      <c r="D109" s="142"/>
      <c r="E109" s="142"/>
      <c r="F109" s="142"/>
      <c r="G109" s="142"/>
      <c r="H109" s="142"/>
    </row>
    <row r="110" spans="1:61" s="38" customFormat="1" ht="13.8" x14ac:dyDescent="0.25">
      <c r="A110" s="141" t="s">
        <v>130</v>
      </c>
      <c r="B110" s="143"/>
      <c r="AB110" s="144"/>
    </row>
    <row r="111" spans="1:61" ht="13.8" x14ac:dyDescent="0.25">
      <c r="A111" s="145"/>
      <c r="AB111" s="146"/>
      <c r="AN111" s="146"/>
    </row>
    <row r="112" spans="1:61" x14ac:dyDescent="0.25">
      <c r="B112" s="146"/>
      <c r="C112" s="146"/>
      <c r="D112" s="146"/>
      <c r="E112" s="146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146"/>
      <c r="R112" s="146"/>
      <c r="S112" s="146"/>
      <c r="T112" s="146"/>
      <c r="U112" s="146"/>
      <c r="V112" s="146"/>
      <c r="AB112" s="146"/>
    </row>
  </sheetData>
  <mergeCells count="21">
    <mergeCell ref="AI3:AK3"/>
    <mergeCell ref="AL3:AN3"/>
    <mergeCell ref="AF3:AH3"/>
    <mergeCell ref="A3:A4"/>
    <mergeCell ref="B3:D3"/>
    <mergeCell ref="E3:G3"/>
    <mergeCell ref="H3:J3"/>
    <mergeCell ref="K3:M3"/>
    <mergeCell ref="N3:P3"/>
    <mergeCell ref="Q3:S3"/>
    <mergeCell ref="T3:V3"/>
    <mergeCell ref="W3:Y3"/>
    <mergeCell ref="Z3:AB3"/>
    <mergeCell ref="AC3:AE3"/>
    <mergeCell ref="BG3:BI3"/>
    <mergeCell ref="AO3:AQ3"/>
    <mergeCell ref="AR3:AT3"/>
    <mergeCell ref="AU3:AW3"/>
    <mergeCell ref="AX3:AZ3"/>
    <mergeCell ref="BD3:BF3"/>
    <mergeCell ref="BA3:BC3"/>
  </mergeCells>
  <hyperlinks>
    <hyperlink ref="A2" r:id="rId1" display="http://www.transparencia.uam.mx/inforganos/anuarios/_x000a_"/>
  </hyperlinks>
  <printOptions horizontalCentered="1" verticalCentered="1"/>
  <pageMargins left="0.15748031496062992" right="0.19685039370078741" top="0.31496062992125984" bottom="0.19685039370078741" header="0" footer="0.31496062992125984"/>
  <pageSetup scale="63" pageOrder="overThenDown" orientation="landscape" useFirstPageNumber="1" r:id="rId2"/>
  <headerFooter scaleWithDoc="0" alignWithMargins="0">
    <oddFooter>&amp;R&amp;P</oddFooter>
  </headerFooter>
  <rowBreaks count="1" manualBreakCount="1">
    <brk id="56" max="16383" man="1"/>
  </rowBreaks>
  <colBreaks count="1" manualBreakCount="1">
    <brk id="19" min="2" max="102" man="1"/>
  </colBreaks>
  <ignoredErrors>
    <ignoredError sqref="B15:BI108" formula="1"/>
  </ignoredErrors>
  <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7A519"/>
  </sheetPr>
  <dimension ref="B1:BK163"/>
  <sheetViews>
    <sheetView showGridLines="0" zoomScaleNormal="100" zoomScaleSheetLayoutView="70" workbookViewId="0">
      <pane xSplit="3" ySplit="4" topLeftCell="AS5" activePane="bottomRight" state="frozen"/>
      <selection activeCell="Q31" sqref="Q31"/>
      <selection pane="topRight" activeCell="Q31" sqref="Q31"/>
      <selection pane="bottomLeft" activeCell="Q31" sqref="Q31"/>
      <selection pane="bottomRight" activeCell="Q31" sqref="Q31"/>
    </sheetView>
  </sheetViews>
  <sheetFormatPr baseColWidth="10" defaultColWidth="11.44140625" defaultRowHeight="13.2" x14ac:dyDescent="0.25"/>
  <cols>
    <col min="1" max="1" width="2.88671875" style="25" customWidth="1"/>
    <col min="2" max="2" width="15.88671875" style="1332" customWidth="1"/>
    <col min="3" max="3" width="65.88671875" style="1450" customWidth="1"/>
    <col min="4" max="17" width="7.88671875" style="1332" customWidth="1"/>
    <col min="18" max="18" width="9.44140625" style="1332" customWidth="1"/>
    <col min="19" max="20" width="7.88671875" style="1332" customWidth="1"/>
    <col min="21" max="21" width="9.44140625" style="1332" customWidth="1"/>
    <col min="22" max="23" width="7.88671875" style="1332" customWidth="1"/>
    <col min="24" max="24" width="9.44140625" style="1332" customWidth="1"/>
    <col min="25" max="33" width="7.88671875" style="1332" customWidth="1"/>
    <col min="34" max="60" width="7.88671875" style="25" customWidth="1"/>
    <col min="61" max="95" width="8.6640625" style="25" customWidth="1"/>
    <col min="96" max="255" width="11.44140625" style="25"/>
    <col min="256" max="256" width="2.109375" style="25" customWidth="1"/>
    <col min="257" max="257" width="17.88671875" style="25" bestFit="1" customWidth="1"/>
    <col min="258" max="258" width="8.109375" style="25" bestFit="1" customWidth="1"/>
    <col min="259" max="259" width="52.88671875" style="25" customWidth="1"/>
    <col min="260" max="273" width="7.88671875" style="25" customWidth="1"/>
    <col min="274" max="274" width="9.44140625" style="25" customWidth="1"/>
    <col min="275" max="276" width="7.88671875" style="25" customWidth="1"/>
    <col min="277" max="277" width="9.44140625" style="25" customWidth="1"/>
    <col min="278" max="279" width="7.88671875" style="25" customWidth="1"/>
    <col min="280" max="280" width="9.44140625" style="25" customWidth="1"/>
    <col min="281" max="283" width="7.88671875" style="25" customWidth="1"/>
    <col min="284" max="511" width="11.44140625" style="25"/>
    <col min="512" max="512" width="2.109375" style="25" customWidth="1"/>
    <col min="513" max="513" width="17.88671875" style="25" bestFit="1" customWidth="1"/>
    <col min="514" max="514" width="8.109375" style="25" bestFit="1" customWidth="1"/>
    <col min="515" max="515" width="52.88671875" style="25" customWidth="1"/>
    <col min="516" max="529" width="7.88671875" style="25" customWidth="1"/>
    <col min="530" max="530" width="9.44140625" style="25" customWidth="1"/>
    <col min="531" max="532" width="7.88671875" style="25" customWidth="1"/>
    <col min="533" max="533" width="9.44140625" style="25" customWidth="1"/>
    <col min="534" max="535" width="7.88671875" style="25" customWidth="1"/>
    <col min="536" max="536" width="9.44140625" style="25" customWidth="1"/>
    <col min="537" max="539" width="7.88671875" style="25" customWidth="1"/>
    <col min="540" max="767" width="11.44140625" style="25"/>
    <col min="768" max="768" width="2.109375" style="25" customWidth="1"/>
    <col min="769" max="769" width="17.88671875" style="25" bestFit="1" customWidth="1"/>
    <col min="770" max="770" width="8.109375" style="25" bestFit="1" customWidth="1"/>
    <col min="771" max="771" width="52.88671875" style="25" customWidth="1"/>
    <col min="772" max="785" width="7.88671875" style="25" customWidth="1"/>
    <col min="786" max="786" width="9.44140625" style="25" customWidth="1"/>
    <col min="787" max="788" width="7.88671875" style="25" customWidth="1"/>
    <col min="789" max="789" width="9.44140625" style="25" customWidth="1"/>
    <col min="790" max="791" width="7.88671875" style="25" customWidth="1"/>
    <col min="792" max="792" width="9.44140625" style="25" customWidth="1"/>
    <col min="793" max="795" width="7.88671875" style="25" customWidth="1"/>
    <col min="796" max="1023" width="11.44140625" style="25"/>
    <col min="1024" max="1024" width="2.109375" style="25" customWidth="1"/>
    <col min="1025" max="1025" width="17.88671875" style="25" bestFit="1" customWidth="1"/>
    <col min="1026" max="1026" width="8.109375" style="25" bestFit="1" customWidth="1"/>
    <col min="1027" max="1027" width="52.88671875" style="25" customWidth="1"/>
    <col min="1028" max="1041" width="7.88671875" style="25" customWidth="1"/>
    <col min="1042" max="1042" width="9.44140625" style="25" customWidth="1"/>
    <col min="1043" max="1044" width="7.88671875" style="25" customWidth="1"/>
    <col min="1045" max="1045" width="9.44140625" style="25" customWidth="1"/>
    <col min="1046" max="1047" width="7.88671875" style="25" customWidth="1"/>
    <col min="1048" max="1048" width="9.44140625" style="25" customWidth="1"/>
    <col min="1049" max="1051" width="7.88671875" style="25" customWidth="1"/>
    <col min="1052" max="1279" width="11.44140625" style="25"/>
    <col min="1280" max="1280" width="2.109375" style="25" customWidth="1"/>
    <col min="1281" max="1281" width="17.88671875" style="25" bestFit="1" customWidth="1"/>
    <col min="1282" max="1282" width="8.109375" style="25" bestFit="1" customWidth="1"/>
    <col min="1283" max="1283" width="52.88671875" style="25" customWidth="1"/>
    <col min="1284" max="1297" width="7.88671875" style="25" customWidth="1"/>
    <col min="1298" max="1298" width="9.44140625" style="25" customWidth="1"/>
    <col min="1299" max="1300" width="7.88671875" style="25" customWidth="1"/>
    <col min="1301" max="1301" width="9.44140625" style="25" customWidth="1"/>
    <col min="1302" max="1303" width="7.88671875" style="25" customWidth="1"/>
    <col min="1304" max="1304" width="9.44140625" style="25" customWidth="1"/>
    <col min="1305" max="1307" width="7.88671875" style="25" customWidth="1"/>
    <col min="1308" max="1535" width="11.44140625" style="25"/>
    <col min="1536" max="1536" width="2.109375" style="25" customWidth="1"/>
    <col min="1537" max="1537" width="17.88671875" style="25" bestFit="1" customWidth="1"/>
    <col min="1538" max="1538" width="8.109375" style="25" bestFit="1" customWidth="1"/>
    <col min="1539" max="1539" width="52.88671875" style="25" customWidth="1"/>
    <col min="1540" max="1553" width="7.88671875" style="25" customWidth="1"/>
    <col min="1554" max="1554" width="9.44140625" style="25" customWidth="1"/>
    <col min="1555" max="1556" width="7.88671875" style="25" customWidth="1"/>
    <col min="1557" max="1557" width="9.44140625" style="25" customWidth="1"/>
    <col min="1558" max="1559" width="7.88671875" style="25" customWidth="1"/>
    <col min="1560" max="1560" width="9.44140625" style="25" customWidth="1"/>
    <col min="1561" max="1563" width="7.88671875" style="25" customWidth="1"/>
    <col min="1564" max="1791" width="11.44140625" style="25"/>
    <col min="1792" max="1792" width="2.109375" style="25" customWidth="1"/>
    <col min="1793" max="1793" width="17.88671875" style="25" bestFit="1" customWidth="1"/>
    <col min="1794" max="1794" width="8.109375" style="25" bestFit="1" customWidth="1"/>
    <col min="1795" max="1795" width="52.88671875" style="25" customWidth="1"/>
    <col min="1796" max="1809" width="7.88671875" style="25" customWidth="1"/>
    <col min="1810" max="1810" width="9.44140625" style="25" customWidth="1"/>
    <col min="1811" max="1812" width="7.88671875" style="25" customWidth="1"/>
    <col min="1813" max="1813" width="9.44140625" style="25" customWidth="1"/>
    <col min="1814" max="1815" width="7.88671875" style="25" customWidth="1"/>
    <col min="1816" max="1816" width="9.44140625" style="25" customWidth="1"/>
    <col min="1817" max="1819" width="7.88671875" style="25" customWidth="1"/>
    <col min="1820" max="2047" width="11.44140625" style="25"/>
    <col min="2048" max="2048" width="2.109375" style="25" customWidth="1"/>
    <col min="2049" max="2049" width="17.88671875" style="25" bestFit="1" customWidth="1"/>
    <col min="2050" max="2050" width="8.109375" style="25" bestFit="1" customWidth="1"/>
    <col min="2051" max="2051" width="52.88671875" style="25" customWidth="1"/>
    <col min="2052" max="2065" width="7.88671875" style="25" customWidth="1"/>
    <col min="2066" max="2066" width="9.44140625" style="25" customWidth="1"/>
    <col min="2067" max="2068" width="7.88671875" style="25" customWidth="1"/>
    <col min="2069" max="2069" width="9.44140625" style="25" customWidth="1"/>
    <col min="2070" max="2071" width="7.88671875" style="25" customWidth="1"/>
    <col min="2072" max="2072" width="9.44140625" style="25" customWidth="1"/>
    <col min="2073" max="2075" width="7.88671875" style="25" customWidth="1"/>
    <col min="2076" max="2303" width="11.44140625" style="25"/>
    <col min="2304" max="2304" width="2.109375" style="25" customWidth="1"/>
    <col min="2305" max="2305" width="17.88671875" style="25" bestFit="1" customWidth="1"/>
    <col min="2306" max="2306" width="8.109375" style="25" bestFit="1" customWidth="1"/>
    <col min="2307" max="2307" width="52.88671875" style="25" customWidth="1"/>
    <col min="2308" max="2321" width="7.88671875" style="25" customWidth="1"/>
    <col min="2322" max="2322" width="9.44140625" style="25" customWidth="1"/>
    <col min="2323" max="2324" width="7.88671875" style="25" customWidth="1"/>
    <col min="2325" max="2325" width="9.44140625" style="25" customWidth="1"/>
    <col min="2326" max="2327" width="7.88671875" style="25" customWidth="1"/>
    <col min="2328" max="2328" width="9.44140625" style="25" customWidth="1"/>
    <col min="2329" max="2331" width="7.88671875" style="25" customWidth="1"/>
    <col min="2332" max="2559" width="11.44140625" style="25"/>
    <col min="2560" max="2560" width="2.109375" style="25" customWidth="1"/>
    <col min="2561" max="2561" width="17.88671875" style="25" bestFit="1" customWidth="1"/>
    <col min="2562" max="2562" width="8.109375" style="25" bestFit="1" customWidth="1"/>
    <col min="2563" max="2563" width="52.88671875" style="25" customWidth="1"/>
    <col min="2564" max="2577" width="7.88671875" style="25" customWidth="1"/>
    <col min="2578" max="2578" width="9.44140625" style="25" customWidth="1"/>
    <col min="2579" max="2580" width="7.88671875" style="25" customWidth="1"/>
    <col min="2581" max="2581" width="9.44140625" style="25" customWidth="1"/>
    <col min="2582" max="2583" width="7.88671875" style="25" customWidth="1"/>
    <col min="2584" max="2584" width="9.44140625" style="25" customWidth="1"/>
    <col min="2585" max="2587" width="7.88671875" style="25" customWidth="1"/>
    <col min="2588" max="2815" width="11.44140625" style="25"/>
    <col min="2816" max="2816" width="2.109375" style="25" customWidth="1"/>
    <col min="2817" max="2817" width="17.88671875" style="25" bestFit="1" customWidth="1"/>
    <col min="2818" max="2818" width="8.109375" style="25" bestFit="1" customWidth="1"/>
    <col min="2819" max="2819" width="52.88671875" style="25" customWidth="1"/>
    <col min="2820" max="2833" width="7.88671875" style="25" customWidth="1"/>
    <col min="2834" max="2834" width="9.44140625" style="25" customWidth="1"/>
    <col min="2835" max="2836" width="7.88671875" style="25" customWidth="1"/>
    <col min="2837" max="2837" width="9.44140625" style="25" customWidth="1"/>
    <col min="2838" max="2839" width="7.88671875" style="25" customWidth="1"/>
    <col min="2840" max="2840" width="9.44140625" style="25" customWidth="1"/>
    <col min="2841" max="2843" width="7.88671875" style="25" customWidth="1"/>
    <col min="2844" max="3071" width="11.44140625" style="25"/>
    <col min="3072" max="3072" width="2.109375" style="25" customWidth="1"/>
    <col min="3073" max="3073" width="17.88671875" style="25" bestFit="1" customWidth="1"/>
    <col min="3074" max="3074" width="8.109375" style="25" bestFit="1" customWidth="1"/>
    <col min="3075" max="3075" width="52.88671875" style="25" customWidth="1"/>
    <col min="3076" max="3089" width="7.88671875" style="25" customWidth="1"/>
    <col min="3090" max="3090" width="9.44140625" style="25" customWidth="1"/>
    <col min="3091" max="3092" width="7.88671875" style="25" customWidth="1"/>
    <col min="3093" max="3093" width="9.44140625" style="25" customWidth="1"/>
    <col min="3094" max="3095" width="7.88671875" style="25" customWidth="1"/>
    <col min="3096" max="3096" width="9.44140625" style="25" customWidth="1"/>
    <col min="3097" max="3099" width="7.88671875" style="25" customWidth="1"/>
    <col min="3100" max="3327" width="11.44140625" style="25"/>
    <col min="3328" max="3328" width="2.109375" style="25" customWidth="1"/>
    <col min="3329" max="3329" width="17.88671875" style="25" bestFit="1" customWidth="1"/>
    <col min="3330" max="3330" width="8.109375" style="25" bestFit="1" customWidth="1"/>
    <col min="3331" max="3331" width="52.88671875" style="25" customWidth="1"/>
    <col min="3332" max="3345" width="7.88671875" style="25" customWidth="1"/>
    <col min="3346" max="3346" width="9.44140625" style="25" customWidth="1"/>
    <col min="3347" max="3348" width="7.88671875" style="25" customWidth="1"/>
    <col min="3349" max="3349" width="9.44140625" style="25" customWidth="1"/>
    <col min="3350" max="3351" width="7.88671875" style="25" customWidth="1"/>
    <col min="3352" max="3352" width="9.44140625" style="25" customWidth="1"/>
    <col min="3353" max="3355" width="7.88671875" style="25" customWidth="1"/>
    <col min="3356" max="3583" width="11.44140625" style="25"/>
    <col min="3584" max="3584" width="2.109375" style="25" customWidth="1"/>
    <col min="3585" max="3585" width="17.88671875" style="25" bestFit="1" customWidth="1"/>
    <col min="3586" max="3586" width="8.109375" style="25" bestFit="1" customWidth="1"/>
    <col min="3587" max="3587" width="52.88671875" style="25" customWidth="1"/>
    <col min="3588" max="3601" width="7.88671875" style="25" customWidth="1"/>
    <col min="3602" max="3602" width="9.44140625" style="25" customWidth="1"/>
    <col min="3603" max="3604" width="7.88671875" style="25" customWidth="1"/>
    <col min="3605" max="3605" width="9.44140625" style="25" customWidth="1"/>
    <col min="3606" max="3607" width="7.88671875" style="25" customWidth="1"/>
    <col min="3608" max="3608" width="9.44140625" style="25" customWidth="1"/>
    <col min="3609" max="3611" width="7.88671875" style="25" customWidth="1"/>
    <col min="3612" max="3839" width="11.44140625" style="25"/>
    <col min="3840" max="3840" width="2.109375" style="25" customWidth="1"/>
    <col min="3841" max="3841" width="17.88671875" style="25" bestFit="1" customWidth="1"/>
    <col min="3842" max="3842" width="8.109375" style="25" bestFit="1" customWidth="1"/>
    <col min="3843" max="3843" width="52.88671875" style="25" customWidth="1"/>
    <col min="3844" max="3857" width="7.88671875" style="25" customWidth="1"/>
    <col min="3858" max="3858" width="9.44140625" style="25" customWidth="1"/>
    <col min="3859" max="3860" width="7.88671875" style="25" customWidth="1"/>
    <col min="3861" max="3861" width="9.44140625" style="25" customWidth="1"/>
    <col min="3862" max="3863" width="7.88671875" style="25" customWidth="1"/>
    <col min="3864" max="3864" width="9.44140625" style="25" customWidth="1"/>
    <col min="3865" max="3867" width="7.88671875" style="25" customWidth="1"/>
    <col min="3868" max="4095" width="11.44140625" style="25"/>
    <col min="4096" max="4096" width="2.109375" style="25" customWidth="1"/>
    <col min="4097" max="4097" width="17.88671875" style="25" bestFit="1" customWidth="1"/>
    <col min="4098" max="4098" width="8.109375" style="25" bestFit="1" customWidth="1"/>
    <col min="4099" max="4099" width="52.88671875" style="25" customWidth="1"/>
    <col min="4100" max="4113" width="7.88671875" style="25" customWidth="1"/>
    <col min="4114" max="4114" width="9.44140625" style="25" customWidth="1"/>
    <col min="4115" max="4116" width="7.88671875" style="25" customWidth="1"/>
    <col min="4117" max="4117" width="9.44140625" style="25" customWidth="1"/>
    <col min="4118" max="4119" width="7.88671875" style="25" customWidth="1"/>
    <col min="4120" max="4120" width="9.44140625" style="25" customWidth="1"/>
    <col min="4121" max="4123" width="7.88671875" style="25" customWidth="1"/>
    <col min="4124" max="4351" width="11.44140625" style="25"/>
    <col min="4352" max="4352" width="2.109375" style="25" customWidth="1"/>
    <col min="4353" max="4353" width="17.88671875" style="25" bestFit="1" customWidth="1"/>
    <col min="4354" max="4354" width="8.109375" style="25" bestFit="1" customWidth="1"/>
    <col min="4355" max="4355" width="52.88671875" style="25" customWidth="1"/>
    <col min="4356" max="4369" width="7.88671875" style="25" customWidth="1"/>
    <col min="4370" max="4370" width="9.44140625" style="25" customWidth="1"/>
    <col min="4371" max="4372" width="7.88671875" style="25" customWidth="1"/>
    <col min="4373" max="4373" width="9.44140625" style="25" customWidth="1"/>
    <col min="4374" max="4375" width="7.88671875" style="25" customWidth="1"/>
    <col min="4376" max="4376" width="9.44140625" style="25" customWidth="1"/>
    <col min="4377" max="4379" width="7.88671875" style="25" customWidth="1"/>
    <col min="4380" max="4607" width="11.44140625" style="25"/>
    <col min="4608" max="4608" width="2.109375" style="25" customWidth="1"/>
    <col min="4609" max="4609" width="17.88671875" style="25" bestFit="1" customWidth="1"/>
    <col min="4610" max="4610" width="8.109375" style="25" bestFit="1" customWidth="1"/>
    <col min="4611" max="4611" width="52.88671875" style="25" customWidth="1"/>
    <col min="4612" max="4625" width="7.88671875" style="25" customWidth="1"/>
    <col min="4626" max="4626" width="9.44140625" style="25" customWidth="1"/>
    <col min="4627" max="4628" width="7.88671875" style="25" customWidth="1"/>
    <col min="4629" max="4629" width="9.44140625" style="25" customWidth="1"/>
    <col min="4630" max="4631" width="7.88671875" style="25" customWidth="1"/>
    <col min="4632" max="4632" width="9.44140625" style="25" customWidth="1"/>
    <col min="4633" max="4635" width="7.88671875" style="25" customWidth="1"/>
    <col min="4636" max="4863" width="11.44140625" style="25"/>
    <col min="4864" max="4864" width="2.109375" style="25" customWidth="1"/>
    <col min="4865" max="4865" width="17.88671875" style="25" bestFit="1" customWidth="1"/>
    <col min="4866" max="4866" width="8.109375" style="25" bestFit="1" customWidth="1"/>
    <col min="4867" max="4867" width="52.88671875" style="25" customWidth="1"/>
    <col min="4868" max="4881" width="7.88671875" style="25" customWidth="1"/>
    <col min="4882" max="4882" width="9.44140625" style="25" customWidth="1"/>
    <col min="4883" max="4884" width="7.88671875" style="25" customWidth="1"/>
    <col min="4885" max="4885" width="9.44140625" style="25" customWidth="1"/>
    <col min="4886" max="4887" width="7.88671875" style="25" customWidth="1"/>
    <col min="4888" max="4888" width="9.44140625" style="25" customWidth="1"/>
    <col min="4889" max="4891" width="7.88671875" style="25" customWidth="1"/>
    <col min="4892" max="5119" width="11.44140625" style="25"/>
    <col min="5120" max="5120" width="2.109375" style="25" customWidth="1"/>
    <col min="5121" max="5121" width="17.88671875" style="25" bestFit="1" customWidth="1"/>
    <col min="5122" max="5122" width="8.109375" style="25" bestFit="1" customWidth="1"/>
    <col min="5123" max="5123" width="52.88671875" style="25" customWidth="1"/>
    <col min="5124" max="5137" width="7.88671875" style="25" customWidth="1"/>
    <col min="5138" max="5138" width="9.44140625" style="25" customWidth="1"/>
    <col min="5139" max="5140" width="7.88671875" style="25" customWidth="1"/>
    <col min="5141" max="5141" width="9.44140625" style="25" customWidth="1"/>
    <col min="5142" max="5143" width="7.88671875" style="25" customWidth="1"/>
    <col min="5144" max="5144" width="9.44140625" style="25" customWidth="1"/>
    <col min="5145" max="5147" width="7.88671875" style="25" customWidth="1"/>
    <col min="5148" max="5375" width="11.44140625" style="25"/>
    <col min="5376" max="5376" width="2.109375" style="25" customWidth="1"/>
    <col min="5377" max="5377" width="17.88671875" style="25" bestFit="1" customWidth="1"/>
    <col min="5378" max="5378" width="8.109375" style="25" bestFit="1" customWidth="1"/>
    <col min="5379" max="5379" width="52.88671875" style="25" customWidth="1"/>
    <col min="5380" max="5393" width="7.88671875" style="25" customWidth="1"/>
    <col min="5394" max="5394" width="9.44140625" style="25" customWidth="1"/>
    <col min="5395" max="5396" width="7.88671875" style="25" customWidth="1"/>
    <col min="5397" max="5397" width="9.44140625" style="25" customWidth="1"/>
    <col min="5398" max="5399" width="7.88671875" style="25" customWidth="1"/>
    <col min="5400" max="5400" width="9.44140625" style="25" customWidth="1"/>
    <col min="5401" max="5403" width="7.88671875" style="25" customWidth="1"/>
    <col min="5404" max="5631" width="11.44140625" style="25"/>
    <col min="5632" max="5632" width="2.109375" style="25" customWidth="1"/>
    <col min="5633" max="5633" width="17.88671875" style="25" bestFit="1" customWidth="1"/>
    <col min="5634" max="5634" width="8.109375" style="25" bestFit="1" customWidth="1"/>
    <col min="5635" max="5635" width="52.88671875" style="25" customWidth="1"/>
    <col min="5636" max="5649" width="7.88671875" style="25" customWidth="1"/>
    <col min="5650" max="5650" width="9.44140625" style="25" customWidth="1"/>
    <col min="5651" max="5652" width="7.88671875" style="25" customWidth="1"/>
    <col min="5653" max="5653" width="9.44140625" style="25" customWidth="1"/>
    <col min="5654" max="5655" width="7.88671875" style="25" customWidth="1"/>
    <col min="5656" max="5656" width="9.44140625" style="25" customWidth="1"/>
    <col min="5657" max="5659" width="7.88671875" style="25" customWidth="1"/>
    <col min="5660" max="5887" width="11.44140625" style="25"/>
    <col min="5888" max="5888" width="2.109375" style="25" customWidth="1"/>
    <col min="5889" max="5889" width="17.88671875" style="25" bestFit="1" customWidth="1"/>
    <col min="5890" max="5890" width="8.109375" style="25" bestFit="1" customWidth="1"/>
    <col min="5891" max="5891" width="52.88671875" style="25" customWidth="1"/>
    <col min="5892" max="5905" width="7.88671875" style="25" customWidth="1"/>
    <col min="5906" max="5906" width="9.44140625" style="25" customWidth="1"/>
    <col min="5907" max="5908" width="7.88671875" style="25" customWidth="1"/>
    <col min="5909" max="5909" width="9.44140625" style="25" customWidth="1"/>
    <col min="5910" max="5911" width="7.88671875" style="25" customWidth="1"/>
    <col min="5912" max="5912" width="9.44140625" style="25" customWidth="1"/>
    <col min="5913" max="5915" width="7.88671875" style="25" customWidth="1"/>
    <col min="5916" max="6143" width="11.44140625" style="25"/>
    <col min="6144" max="6144" width="2.109375" style="25" customWidth="1"/>
    <col min="6145" max="6145" width="17.88671875" style="25" bestFit="1" customWidth="1"/>
    <col min="6146" max="6146" width="8.109375" style="25" bestFit="1" customWidth="1"/>
    <col min="6147" max="6147" width="52.88671875" style="25" customWidth="1"/>
    <col min="6148" max="6161" width="7.88671875" style="25" customWidth="1"/>
    <col min="6162" max="6162" width="9.44140625" style="25" customWidth="1"/>
    <col min="6163" max="6164" width="7.88671875" style="25" customWidth="1"/>
    <col min="6165" max="6165" width="9.44140625" style="25" customWidth="1"/>
    <col min="6166" max="6167" width="7.88671875" style="25" customWidth="1"/>
    <col min="6168" max="6168" width="9.44140625" style="25" customWidth="1"/>
    <col min="6169" max="6171" width="7.88671875" style="25" customWidth="1"/>
    <col min="6172" max="6399" width="11.44140625" style="25"/>
    <col min="6400" max="6400" width="2.109375" style="25" customWidth="1"/>
    <col min="6401" max="6401" width="17.88671875" style="25" bestFit="1" customWidth="1"/>
    <col min="6402" max="6402" width="8.109375" style="25" bestFit="1" customWidth="1"/>
    <col min="6403" max="6403" width="52.88671875" style="25" customWidth="1"/>
    <col min="6404" max="6417" width="7.88671875" style="25" customWidth="1"/>
    <col min="6418" max="6418" width="9.44140625" style="25" customWidth="1"/>
    <col min="6419" max="6420" width="7.88671875" style="25" customWidth="1"/>
    <col min="6421" max="6421" width="9.44140625" style="25" customWidth="1"/>
    <col min="6422" max="6423" width="7.88671875" style="25" customWidth="1"/>
    <col min="6424" max="6424" width="9.44140625" style="25" customWidth="1"/>
    <col min="6425" max="6427" width="7.88671875" style="25" customWidth="1"/>
    <col min="6428" max="6655" width="11.44140625" style="25"/>
    <col min="6656" max="6656" width="2.109375" style="25" customWidth="1"/>
    <col min="6657" max="6657" width="17.88671875" style="25" bestFit="1" customWidth="1"/>
    <col min="6658" max="6658" width="8.109375" style="25" bestFit="1" customWidth="1"/>
    <col min="6659" max="6659" width="52.88671875" style="25" customWidth="1"/>
    <col min="6660" max="6673" width="7.88671875" style="25" customWidth="1"/>
    <col min="6674" max="6674" width="9.44140625" style="25" customWidth="1"/>
    <col min="6675" max="6676" width="7.88671875" style="25" customWidth="1"/>
    <col min="6677" max="6677" width="9.44140625" style="25" customWidth="1"/>
    <col min="6678" max="6679" width="7.88671875" style="25" customWidth="1"/>
    <col min="6680" max="6680" width="9.44140625" style="25" customWidth="1"/>
    <col min="6681" max="6683" width="7.88671875" style="25" customWidth="1"/>
    <col min="6684" max="6911" width="11.44140625" style="25"/>
    <col min="6912" max="6912" width="2.109375" style="25" customWidth="1"/>
    <col min="6913" max="6913" width="17.88671875" style="25" bestFit="1" customWidth="1"/>
    <col min="6914" max="6914" width="8.109375" style="25" bestFit="1" customWidth="1"/>
    <col min="6915" max="6915" width="52.88671875" style="25" customWidth="1"/>
    <col min="6916" max="6929" width="7.88671875" style="25" customWidth="1"/>
    <col min="6930" max="6930" width="9.44140625" style="25" customWidth="1"/>
    <col min="6931" max="6932" width="7.88671875" style="25" customWidth="1"/>
    <col min="6933" max="6933" width="9.44140625" style="25" customWidth="1"/>
    <col min="6934" max="6935" width="7.88671875" style="25" customWidth="1"/>
    <col min="6936" max="6936" width="9.44140625" style="25" customWidth="1"/>
    <col min="6937" max="6939" width="7.88671875" style="25" customWidth="1"/>
    <col min="6940" max="7167" width="11.44140625" style="25"/>
    <col min="7168" max="7168" width="2.109375" style="25" customWidth="1"/>
    <col min="7169" max="7169" width="17.88671875" style="25" bestFit="1" customWidth="1"/>
    <col min="7170" max="7170" width="8.109375" style="25" bestFit="1" customWidth="1"/>
    <col min="7171" max="7171" width="52.88671875" style="25" customWidth="1"/>
    <col min="7172" max="7185" width="7.88671875" style="25" customWidth="1"/>
    <col min="7186" max="7186" width="9.44140625" style="25" customWidth="1"/>
    <col min="7187" max="7188" width="7.88671875" style="25" customWidth="1"/>
    <col min="7189" max="7189" width="9.44140625" style="25" customWidth="1"/>
    <col min="7190" max="7191" width="7.88671875" style="25" customWidth="1"/>
    <col min="7192" max="7192" width="9.44140625" style="25" customWidth="1"/>
    <col min="7193" max="7195" width="7.88671875" style="25" customWidth="1"/>
    <col min="7196" max="7423" width="11.44140625" style="25"/>
    <col min="7424" max="7424" width="2.109375" style="25" customWidth="1"/>
    <col min="7425" max="7425" width="17.88671875" style="25" bestFit="1" customWidth="1"/>
    <col min="7426" max="7426" width="8.109375" style="25" bestFit="1" customWidth="1"/>
    <col min="7427" max="7427" width="52.88671875" style="25" customWidth="1"/>
    <col min="7428" max="7441" width="7.88671875" style="25" customWidth="1"/>
    <col min="7442" max="7442" width="9.44140625" style="25" customWidth="1"/>
    <col min="7443" max="7444" width="7.88671875" style="25" customWidth="1"/>
    <col min="7445" max="7445" width="9.44140625" style="25" customWidth="1"/>
    <col min="7446" max="7447" width="7.88671875" style="25" customWidth="1"/>
    <col min="7448" max="7448" width="9.44140625" style="25" customWidth="1"/>
    <col min="7449" max="7451" width="7.88671875" style="25" customWidth="1"/>
    <col min="7452" max="7679" width="11.44140625" style="25"/>
    <col min="7680" max="7680" width="2.109375" style="25" customWidth="1"/>
    <col min="7681" max="7681" width="17.88671875" style="25" bestFit="1" customWidth="1"/>
    <col min="7682" max="7682" width="8.109375" style="25" bestFit="1" customWidth="1"/>
    <col min="7683" max="7683" width="52.88671875" style="25" customWidth="1"/>
    <col min="7684" max="7697" width="7.88671875" style="25" customWidth="1"/>
    <col min="7698" max="7698" width="9.44140625" style="25" customWidth="1"/>
    <col min="7699" max="7700" width="7.88671875" style="25" customWidth="1"/>
    <col min="7701" max="7701" width="9.44140625" style="25" customWidth="1"/>
    <col min="7702" max="7703" width="7.88671875" style="25" customWidth="1"/>
    <col min="7704" max="7704" width="9.44140625" style="25" customWidth="1"/>
    <col min="7705" max="7707" width="7.88671875" style="25" customWidth="1"/>
    <col min="7708" max="7935" width="11.44140625" style="25"/>
    <col min="7936" max="7936" width="2.109375" style="25" customWidth="1"/>
    <col min="7937" max="7937" width="17.88671875" style="25" bestFit="1" customWidth="1"/>
    <col min="7938" max="7938" width="8.109375" style="25" bestFit="1" customWidth="1"/>
    <col min="7939" max="7939" width="52.88671875" style="25" customWidth="1"/>
    <col min="7940" max="7953" width="7.88671875" style="25" customWidth="1"/>
    <col min="7954" max="7954" width="9.44140625" style="25" customWidth="1"/>
    <col min="7955" max="7956" width="7.88671875" style="25" customWidth="1"/>
    <col min="7957" max="7957" width="9.44140625" style="25" customWidth="1"/>
    <col min="7958" max="7959" width="7.88671875" style="25" customWidth="1"/>
    <col min="7960" max="7960" width="9.44140625" style="25" customWidth="1"/>
    <col min="7961" max="7963" width="7.88671875" style="25" customWidth="1"/>
    <col min="7964" max="8191" width="11.44140625" style="25"/>
    <col min="8192" max="8192" width="2.109375" style="25" customWidth="1"/>
    <col min="8193" max="8193" width="17.88671875" style="25" bestFit="1" customWidth="1"/>
    <col min="8194" max="8194" width="8.109375" style="25" bestFit="1" customWidth="1"/>
    <col min="8195" max="8195" width="52.88671875" style="25" customWidth="1"/>
    <col min="8196" max="8209" width="7.88671875" style="25" customWidth="1"/>
    <col min="8210" max="8210" width="9.44140625" style="25" customWidth="1"/>
    <col min="8211" max="8212" width="7.88671875" style="25" customWidth="1"/>
    <col min="8213" max="8213" width="9.44140625" style="25" customWidth="1"/>
    <col min="8214" max="8215" width="7.88671875" style="25" customWidth="1"/>
    <col min="8216" max="8216" width="9.44140625" style="25" customWidth="1"/>
    <col min="8217" max="8219" width="7.88671875" style="25" customWidth="1"/>
    <col min="8220" max="8447" width="11.44140625" style="25"/>
    <col min="8448" max="8448" width="2.109375" style="25" customWidth="1"/>
    <col min="8449" max="8449" width="17.88671875" style="25" bestFit="1" customWidth="1"/>
    <col min="8450" max="8450" width="8.109375" style="25" bestFit="1" customWidth="1"/>
    <col min="8451" max="8451" width="52.88671875" style="25" customWidth="1"/>
    <col min="8452" max="8465" width="7.88671875" style="25" customWidth="1"/>
    <col min="8466" max="8466" width="9.44140625" style="25" customWidth="1"/>
    <col min="8467" max="8468" width="7.88671875" style="25" customWidth="1"/>
    <col min="8469" max="8469" width="9.44140625" style="25" customWidth="1"/>
    <col min="8470" max="8471" width="7.88671875" style="25" customWidth="1"/>
    <col min="8472" max="8472" width="9.44140625" style="25" customWidth="1"/>
    <col min="8473" max="8475" width="7.88671875" style="25" customWidth="1"/>
    <col min="8476" max="8703" width="11.44140625" style="25"/>
    <col min="8704" max="8704" width="2.109375" style="25" customWidth="1"/>
    <col min="8705" max="8705" width="17.88671875" style="25" bestFit="1" customWidth="1"/>
    <col min="8706" max="8706" width="8.109375" style="25" bestFit="1" customWidth="1"/>
    <col min="8707" max="8707" width="52.88671875" style="25" customWidth="1"/>
    <col min="8708" max="8721" width="7.88671875" style="25" customWidth="1"/>
    <col min="8722" max="8722" width="9.44140625" style="25" customWidth="1"/>
    <col min="8723" max="8724" width="7.88671875" style="25" customWidth="1"/>
    <col min="8725" max="8725" width="9.44140625" style="25" customWidth="1"/>
    <col min="8726" max="8727" width="7.88671875" style="25" customWidth="1"/>
    <col min="8728" max="8728" width="9.44140625" style="25" customWidth="1"/>
    <col min="8729" max="8731" width="7.88671875" style="25" customWidth="1"/>
    <col min="8732" max="8959" width="11.44140625" style="25"/>
    <col min="8960" max="8960" width="2.109375" style="25" customWidth="1"/>
    <col min="8961" max="8961" width="17.88671875" style="25" bestFit="1" customWidth="1"/>
    <col min="8962" max="8962" width="8.109375" style="25" bestFit="1" customWidth="1"/>
    <col min="8963" max="8963" width="52.88671875" style="25" customWidth="1"/>
    <col min="8964" max="8977" width="7.88671875" style="25" customWidth="1"/>
    <col min="8978" max="8978" width="9.44140625" style="25" customWidth="1"/>
    <col min="8979" max="8980" width="7.88671875" style="25" customWidth="1"/>
    <col min="8981" max="8981" width="9.44140625" style="25" customWidth="1"/>
    <col min="8982" max="8983" width="7.88671875" style="25" customWidth="1"/>
    <col min="8984" max="8984" width="9.44140625" style="25" customWidth="1"/>
    <col min="8985" max="8987" width="7.88671875" style="25" customWidth="1"/>
    <col min="8988" max="9215" width="11.44140625" style="25"/>
    <col min="9216" max="9216" width="2.109375" style="25" customWidth="1"/>
    <col min="9217" max="9217" width="17.88671875" style="25" bestFit="1" customWidth="1"/>
    <col min="9218" max="9218" width="8.109375" style="25" bestFit="1" customWidth="1"/>
    <col min="9219" max="9219" width="52.88671875" style="25" customWidth="1"/>
    <col min="9220" max="9233" width="7.88671875" style="25" customWidth="1"/>
    <col min="9234" max="9234" width="9.44140625" style="25" customWidth="1"/>
    <col min="9235" max="9236" width="7.88671875" style="25" customWidth="1"/>
    <col min="9237" max="9237" width="9.44140625" style="25" customWidth="1"/>
    <col min="9238" max="9239" width="7.88671875" style="25" customWidth="1"/>
    <col min="9240" max="9240" width="9.44140625" style="25" customWidth="1"/>
    <col min="9241" max="9243" width="7.88671875" style="25" customWidth="1"/>
    <col min="9244" max="9471" width="11.44140625" style="25"/>
    <col min="9472" max="9472" width="2.109375" style="25" customWidth="1"/>
    <col min="9473" max="9473" width="17.88671875" style="25" bestFit="1" customWidth="1"/>
    <col min="9474" max="9474" width="8.109375" style="25" bestFit="1" customWidth="1"/>
    <col min="9475" max="9475" width="52.88671875" style="25" customWidth="1"/>
    <col min="9476" max="9489" width="7.88671875" style="25" customWidth="1"/>
    <col min="9490" max="9490" width="9.44140625" style="25" customWidth="1"/>
    <col min="9491" max="9492" width="7.88671875" style="25" customWidth="1"/>
    <col min="9493" max="9493" width="9.44140625" style="25" customWidth="1"/>
    <col min="9494" max="9495" width="7.88671875" style="25" customWidth="1"/>
    <col min="9496" max="9496" width="9.44140625" style="25" customWidth="1"/>
    <col min="9497" max="9499" width="7.88671875" style="25" customWidth="1"/>
    <col min="9500" max="9727" width="11.44140625" style="25"/>
    <col min="9728" max="9728" width="2.109375" style="25" customWidth="1"/>
    <col min="9729" max="9729" width="17.88671875" style="25" bestFit="1" customWidth="1"/>
    <col min="9730" max="9730" width="8.109375" style="25" bestFit="1" customWidth="1"/>
    <col min="9731" max="9731" width="52.88671875" style="25" customWidth="1"/>
    <col min="9732" max="9745" width="7.88671875" style="25" customWidth="1"/>
    <col min="9746" max="9746" width="9.44140625" style="25" customWidth="1"/>
    <col min="9747" max="9748" width="7.88671875" style="25" customWidth="1"/>
    <col min="9749" max="9749" width="9.44140625" style="25" customWidth="1"/>
    <col min="9750" max="9751" width="7.88671875" style="25" customWidth="1"/>
    <col min="9752" max="9752" width="9.44140625" style="25" customWidth="1"/>
    <col min="9753" max="9755" width="7.88671875" style="25" customWidth="1"/>
    <col min="9756" max="9983" width="11.44140625" style="25"/>
    <col min="9984" max="9984" width="2.109375" style="25" customWidth="1"/>
    <col min="9985" max="9985" width="17.88671875" style="25" bestFit="1" customWidth="1"/>
    <col min="9986" max="9986" width="8.109375" style="25" bestFit="1" customWidth="1"/>
    <col min="9987" max="9987" width="52.88671875" style="25" customWidth="1"/>
    <col min="9988" max="10001" width="7.88671875" style="25" customWidth="1"/>
    <col min="10002" max="10002" width="9.44140625" style="25" customWidth="1"/>
    <col min="10003" max="10004" width="7.88671875" style="25" customWidth="1"/>
    <col min="10005" max="10005" width="9.44140625" style="25" customWidth="1"/>
    <col min="10006" max="10007" width="7.88671875" style="25" customWidth="1"/>
    <col min="10008" max="10008" width="9.44140625" style="25" customWidth="1"/>
    <col min="10009" max="10011" width="7.88671875" style="25" customWidth="1"/>
    <col min="10012" max="10239" width="11.44140625" style="25"/>
    <col min="10240" max="10240" width="2.109375" style="25" customWidth="1"/>
    <col min="10241" max="10241" width="17.88671875" style="25" bestFit="1" customWidth="1"/>
    <col min="10242" max="10242" width="8.109375" style="25" bestFit="1" customWidth="1"/>
    <col min="10243" max="10243" width="52.88671875" style="25" customWidth="1"/>
    <col min="10244" max="10257" width="7.88671875" style="25" customWidth="1"/>
    <col min="10258" max="10258" width="9.44140625" style="25" customWidth="1"/>
    <col min="10259" max="10260" width="7.88671875" style="25" customWidth="1"/>
    <col min="10261" max="10261" width="9.44140625" style="25" customWidth="1"/>
    <col min="10262" max="10263" width="7.88671875" style="25" customWidth="1"/>
    <col min="10264" max="10264" width="9.44140625" style="25" customWidth="1"/>
    <col min="10265" max="10267" width="7.88671875" style="25" customWidth="1"/>
    <col min="10268" max="10495" width="11.44140625" style="25"/>
    <col min="10496" max="10496" width="2.109375" style="25" customWidth="1"/>
    <col min="10497" max="10497" width="17.88671875" style="25" bestFit="1" customWidth="1"/>
    <col min="10498" max="10498" width="8.109375" style="25" bestFit="1" customWidth="1"/>
    <col min="10499" max="10499" width="52.88671875" style="25" customWidth="1"/>
    <col min="10500" max="10513" width="7.88671875" style="25" customWidth="1"/>
    <col min="10514" max="10514" width="9.44140625" style="25" customWidth="1"/>
    <col min="10515" max="10516" width="7.88671875" style="25" customWidth="1"/>
    <col min="10517" max="10517" width="9.44140625" style="25" customWidth="1"/>
    <col min="10518" max="10519" width="7.88671875" style="25" customWidth="1"/>
    <col min="10520" max="10520" width="9.44140625" style="25" customWidth="1"/>
    <col min="10521" max="10523" width="7.88671875" style="25" customWidth="1"/>
    <col min="10524" max="10751" width="11.44140625" style="25"/>
    <col min="10752" max="10752" width="2.109375" style="25" customWidth="1"/>
    <col min="10753" max="10753" width="17.88671875" style="25" bestFit="1" customWidth="1"/>
    <col min="10754" max="10754" width="8.109375" style="25" bestFit="1" customWidth="1"/>
    <col min="10755" max="10755" width="52.88671875" style="25" customWidth="1"/>
    <col min="10756" max="10769" width="7.88671875" style="25" customWidth="1"/>
    <col min="10770" max="10770" width="9.44140625" style="25" customWidth="1"/>
    <col min="10771" max="10772" width="7.88671875" style="25" customWidth="1"/>
    <col min="10773" max="10773" width="9.44140625" style="25" customWidth="1"/>
    <col min="10774" max="10775" width="7.88671875" style="25" customWidth="1"/>
    <col min="10776" max="10776" width="9.44140625" style="25" customWidth="1"/>
    <col min="10777" max="10779" width="7.88671875" style="25" customWidth="1"/>
    <col min="10780" max="11007" width="11.44140625" style="25"/>
    <col min="11008" max="11008" width="2.109375" style="25" customWidth="1"/>
    <col min="11009" max="11009" width="17.88671875" style="25" bestFit="1" customWidth="1"/>
    <col min="11010" max="11010" width="8.109375" style="25" bestFit="1" customWidth="1"/>
    <col min="11011" max="11011" width="52.88671875" style="25" customWidth="1"/>
    <col min="11012" max="11025" width="7.88671875" style="25" customWidth="1"/>
    <col min="11026" max="11026" width="9.44140625" style="25" customWidth="1"/>
    <col min="11027" max="11028" width="7.88671875" style="25" customWidth="1"/>
    <col min="11029" max="11029" width="9.44140625" style="25" customWidth="1"/>
    <col min="11030" max="11031" width="7.88671875" style="25" customWidth="1"/>
    <col min="11032" max="11032" width="9.44140625" style="25" customWidth="1"/>
    <col min="11033" max="11035" width="7.88671875" style="25" customWidth="1"/>
    <col min="11036" max="11263" width="11.44140625" style="25"/>
    <col min="11264" max="11264" width="2.109375" style="25" customWidth="1"/>
    <col min="11265" max="11265" width="17.88671875" style="25" bestFit="1" customWidth="1"/>
    <col min="11266" max="11266" width="8.109375" style="25" bestFit="1" customWidth="1"/>
    <col min="11267" max="11267" width="52.88671875" style="25" customWidth="1"/>
    <col min="11268" max="11281" width="7.88671875" style="25" customWidth="1"/>
    <col min="11282" max="11282" width="9.44140625" style="25" customWidth="1"/>
    <col min="11283" max="11284" width="7.88671875" style="25" customWidth="1"/>
    <col min="11285" max="11285" width="9.44140625" style="25" customWidth="1"/>
    <col min="11286" max="11287" width="7.88671875" style="25" customWidth="1"/>
    <col min="11288" max="11288" width="9.44140625" style="25" customWidth="1"/>
    <col min="11289" max="11291" width="7.88671875" style="25" customWidth="1"/>
    <col min="11292" max="11519" width="11.44140625" style="25"/>
    <col min="11520" max="11520" width="2.109375" style="25" customWidth="1"/>
    <col min="11521" max="11521" width="17.88671875" style="25" bestFit="1" customWidth="1"/>
    <col min="11522" max="11522" width="8.109375" style="25" bestFit="1" customWidth="1"/>
    <col min="11523" max="11523" width="52.88671875" style="25" customWidth="1"/>
    <col min="11524" max="11537" width="7.88671875" style="25" customWidth="1"/>
    <col min="11538" max="11538" width="9.44140625" style="25" customWidth="1"/>
    <col min="11539" max="11540" width="7.88671875" style="25" customWidth="1"/>
    <col min="11541" max="11541" width="9.44140625" style="25" customWidth="1"/>
    <col min="11542" max="11543" width="7.88671875" style="25" customWidth="1"/>
    <col min="11544" max="11544" width="9.44140625" style="25" customWidth="1"/>
    <col min="11545" max="11547" width="7.88671875" style="25" customWidth="1"/>
    <col min="11548" max="11775" width="11.44140625" style="25"/>
    <col min="11776" max="11776" width="2.109375" style="25" customWidth="1"/>
    <col min="11777" max="11777" width="17.88671875" style="25" bestFit="1" customWidth="1"/>
    <col min="11778" max="11778" width="8.109375" style="25" bestFit="1" customWidth="1"/>
    <col min="11779" max="11779" width="52.88671875" style="25" customWidth="1"/>
    <col min="11780" max="11793" width="7.88671875" style="25" customWidth="1"/>
    <col min="11794" max="11794" width="9.44140625" style="25" customWidth="1"/>
    <col min="11795" max="11796" width="7.88671875" style="25" customWidth="1"/>
    <col min="11797" max="11797" width="9.44140625" style="25" customWidth="1"/>
    <col min="11798" max="11799" width="7.88671875" style="25" customWidth="1"/>
    <col min="11800" max="11800" width="9.44140625" style="25" customWidth="1"/>
    <col min="11801" max="11803" width="7.88671875" style="25" customWidth="1"/>
    <col min="11804" max="12031" width="11.44140625" style="25"/>
    <col min="12032" max="12032" width="2.109375" style="25" customWidth="1"/>
    <col min="12033" max="12033" width="17.88671875" style="25" bestFit="1" customWidth="1"/>
    <col min="12034" max="12034" width="8.109375" style="25" bestFit="1" customWidth="1"/>
    <col min="12035" max="12035" width="52.88671875" style="25" customWidth="1"/>
    <col min="12036" max="12049" width="7.88671875" style="25" customWidth="1"/>
    <col min="12050" max="12050" width="9.44140625" style="25" customWidth="1"/>
    <col min="12051" max="12052" width="7.88671875" style="25" customWidth="1"/>
    <col min="12053" max="12053" width="9.44140625" style="25" customWidth="1"/>
    <col min="12054" max="12055" width="7.88671875" style="25" customWidth="1"/>
    <col min="12056" max="12056" width="9.44140625" style="25" customWidth="1"/>
    <col min="12057" max="12059" width="7.88671875" style="25" customWidth="1"/>
    <col min="12060" max="12287" width="11.44140625" style="25"/>
    <col min="12288" max="12288" width="2.109375" style="25" customWidth="1"/>
    <col min="12289" max="12289" width="17.88671875" style="25" bestFit="1" customWidth="1"/>
    <col min="12290" max="12290" width="8.109375" style="25" bestFit="1" customWidth="1"/>
    <col min="12291" max="12291" width="52.88671875" style="25" customWidth="1"/>
    <col min="12292" max="12305" width="7.88671875" style="25" customWidth="1"/>
    <col min="12306" max="12306" width="9.44140625" style="25" customWidth="1"/>
    <col min="12307" max="12308" width="7.88671875" style="25" customWidth="1"/>
    <col min="12309" max="12309" width="9.44140625" style="25" customWidth="1"/>
    <col min="12310" max="12311" width="7.88671875" style="25" customWidth="1"/>
    <col min="12312" max="12312" width="9.44140625" style="25" customWidth="1"/>
    <col min="12313" max="12315" width="7.88671875" style="25" customWidth="1"/>
    <col min="12316" max="12543" width="11.44140625" style="25"/>
    <col min="12544" max="12544" width="2.109375" style="25" customWidth="1"/>
    <col min="12545" max="12545" width="17.88671875" style="25" bestFit="1" customWidth="1"/>
    <col min="12546" max="12546" width="8.109375" style="25" bestFit="1" customWidth="1"/>
    <col min="12547" max="12547" width="52.88671875" style="25" customWidth="1"/>
    <col min="12548" max="12561" width="7.88671875" style="25" customWidth="1"/>
    <col min="12562" max="12562" width="9.44140625" style="25" customWidth="1"/>
    <col min="12563" max="12564" width="7.88671875" style="25" customWidth="1"/>
    <col min="12565" max="12565" width="9.44140625" style="25" customWidth="1"/>
    <col min="12566" max="12567" width="7.88671875" style="25" customWidth="1"/>
    <col min="12568" max="12568" width="9.44140625" style="25" customWidth="1"/>
    <col min="12569" max="12571" width="7.88671875" style="25" customWidth="1"/>
    <col min="12572" max="12799" width="11.44140625" style="25"/>
    <col min="12800" max="12800" width="2.109375" style="25" customWidth="1"/>
    <col min="12801" max="12801" width="17.88671875" style="25" bestFit="1" customWidth="1"/>
    <col min="12802" max="12802" width="8.109375" style="25" bestFit="1" customWidth="1"/>
    <col min="12803" max="12803" width="52.88671875" style="25" customWidth="1"/>
    <col min="12804" max="12817" width="7.88671875" style="25" customWidth="1"/>
    <col min="12818" max="12818" width="9.44140625" style="25" customWidth="1"/>
    <col min="12819" max="12820" width="7.88671875" style="25" customWidth="1"/>
    <col min="12821" max="12821" width="9.44140625" style="25" customWidth="1"/>
    <col min="12822" max="12823" width="7.88671875" style="25" customWidth="1"/>
    <col min="12824" max="12824" width="9.44140625" style="25" customWidth="1"/>
    <col min="12825" max="12827" width="7.88671875" style="25" customWidth="1"/>
    <col min="12828" max="13055" width="11.44140625" style="25"/>
    <col min="13056" max="13056" width="2.109375" style="25" customWidth="1"/>
    <col min="13057" max="13057" width="17.88671875" style="25" bestFit="1" customWidth="1"/>
    <col min="13058" max="13058" width="8.109375" style="25" bestFit="1" customWidth="1"/>
    <col min="13059" max="13059" width="52.88671875" style="25" customWidth="1"/>
    <col min="13060" max="13073" width="7.88671875" style="25" customWidth="1"/>
    <col min="13074" max="13074" width="9.44140625" style="25" customWidth="1"/>
    <col min="13075" max="13076" width="7.88671875" style="25" customWidth="1"/>
    <col min="13077" max="13077" width="9.44140625" style="25" customWidth="1"/>
    <col min="13078" max="13079" width="7.88671875" style="25" customWidth="1"/>
    <col min="13080" max="13080" width="9.44140625" style="25" customWidth="1"/>
    <col min="13081" max="13083" width="7.88671875" style="25" customWidth="1"/>
    <col min="13084" max="13311" width="11.44140625" style="25"/>
    <col min="13312" max="13312" width="2.109375" style="25" customWidth="1"/>
    <col min="13313" max="13313" width="17.88671875" style="25" bestFit="1" customWidth="1"/>
    <col min="13314" max="13314" width="8.109375" style="25" bestFit="1" customWidth="1"/>
    <col min="13315" max="13315" width="52.88671875" style="25" customWidth="1"/>
    <col min="13316" max="13329" width="7.88671875" style="25" customWidth="1"/>
    <col min="13330" max="13330" width="9.44140625" style="25" customWidth="1"/>
    <col min="13331" max="13332" width="7.88671875" style="25" customWidth="1"/>
    <col min="13333" max="13333" width="9.44140625" style="25" customWidth="1"/>
    <col min="13334" max="13335" width="7.88671875" style="25" customWidth="1"/>
    <col min="13336" max="13336" width="9.44140625" style="25" customWidth="1"/>
    <col min="13337" max="13339" width="7.88671875" style="25" customWidth="1"/>
    <col min="13340" max="13567" width="11.44140625" style="25"/>
    <col min="13568" max="13568" width="2.109375" style="25" customWidth="1"/>
    <col min="13569" max="13569" width="17.88671875" style="25" bestFit="1" customWidth="1"/>
    <col min="13570" max="13570" width="8.109375" style="25" bestFit="1" customWidth="1"/>
    <col min="13571" max="13571" width="52.88671875" style="25" customWidth="1"/>
    <col min="13572" max="13585" width="7.88671875" style="25" customWidth="1"/>
    <col min="13586" max="13586" width="9.44140625" style="25" customWidth="1"/>
    <col min="13587" max="13588" width="7.88671875" style="25" customWidth="1"/>
    <col min="13589" max="13589" width="9.44140625" style="25" customWidth="1"/>
    <col min="13590" max="13591" width="7.88671875" style="25" customWidth="1"/>
    <col min="13592" max="13592" width="9.44140625" style="25" customWidth="1"/>
    <col min="13593" max="13595" width="7.88671875" style="25" customWidth="1"/>
    <col min="13596" max="13823" width="11.44140625" style="25"/>
    <col min="13824" max="13824" width="2.109375" style="25" customWidth="1"/>
    <col min="13825" max="13825" width="17.88671875" style="25" bestFit="1" customWidth="1"/>
    <col min="13826" max="13826" width="8.109375" style="25" bestFit="1" customWidth="1"/>
    <col min="13827" max="13827" width="52.88671875" style="25" customWidth="1"/>
    <col min="13828" max="13841" width="7.88671875" style="25" customWidth="1"/>
    <col min="13842" max="13842" width="9.44140625" style="25" customWidth="1"/>
    <col min="13843" max="13844" width="7.88671875" style="25" customWidth="1"/>
    <col min="13845" max="13845" width="9.44140625" style="25" customWidth="1"/>
    <col min="13846" max="13847" width="7.88671875" style="25" customWidth="1"/>
    <col min="13848" max="13848" width="9.44140625" style="25" customWidth="1"/>
    <col min="13849" max="13851" width="7.88671875" style="25" customWidth="1"/>
    <col min="13852" max="14079" width="11.44140625" style="25"/>
    <col min="14080" max="14080" width="2.109375" style="25" customWidth="1"/>
    <col min="14081" max="14081" width="17.88671875" style="25" bestFit="1" customWidth="1"/>
    <col min="14082" max="14082" width="8.109375" style="25" bestFit="1" customWidth="1"/>
    <col min="14083" max="14083" width="52.88671875" style="25" customWidth="1"/>
    <col min="14084" max="14097" width="7.88671875" style="25" customWidth="1"/>
    <col min="14098" max="14098" width="9.44140625" style="25" customWidth="1"/>
    <col min="14099" max="14100" width="7.88671875" style="25" customWidth="1"/>
    <col min="14101" max="14101" width="9.44140625" style="25" customWidth="1"/>
    <col min="14102" max="14103" width="7.88671875" style="25" customWidth="1"/>
    <col min="14104" max="14104" width="9.44140625" style="25" customWidth="1"/>
    <col min="14105" max="14107" width="7.88671875" style="25" customWidth="1"/>
    <col min="14108" max="14335" width="11.44140625" style="25"/>
    <col min="14336" max="14336" width="2.109375" style="25" customWidth="1"/>
    <col min="14337" max="14337" width="17.88671875" style="25" bestFit="1" customWidth="1"/>
    <col min="14338" max="14338" width="8.109375" style="25" bestFit="1" customWidth="1"/>
    <col min="14339" max="14339" width="52.88671875" style="25" customWidth="1"/>
    <col min="14340" max="14353" width="7.88671875" style="25" customWidth="1"/>
    <col min="14354" max="14354" width="9.44140625" style="25" customWidth="1"/>
    <col min="14355" max="14356" width="7.88671875" style="25" customWidth="1"/>
    <col min="14357" max="14357" width="9.44140625" style="25" customWidth="1"/>
    <col min="14358" max="14359" width="7.88671875" style="25" customWidth="1"/>
    <col min="14360" max="14360" width="9.44140625" style="25" customWidth="1"/>
    <col min="14361" max="14363" width="7.88671875" style="25" customWidth="1"/>
    <col min="14364" max="14591" width="11.44140625" style="25"/>
    <col min="14592" max="14592" width="2.109375" style="25" customWidth="1"/>
    <col min="14593" max="14593" width="17.88671875" style="25" bestFit="1" customWidth="1"/>
    <col min="14594" max="14594" width="8.109375" style="25" bestFit="1" customWidth="1"/>
    <col min="14595" max="14595" width="52.88671875" style="25" customWidth="1"/>
    <col min="14596" max="14609" width="7.88671875" style="25" customWidth="1"/>
    <col min="14610" max="14610" width="9.44140625" style="25" customWidth="1"/>
    <col min="14611" max="14612" width="7.88671875" style="25" customWidth="1"/>
    <col min="14613" max="14613" width="9.44140625" style="25" customWidth="1"/>
    <col min="14614" max="14615" width="7.88671875" style="25" customWidth="1"/>
    <col min="14616" max="14616" width="9.44140625" style="25" customWidth="1"/>
    <col min="14617" max="14619" width="7.88671875" style="25" customWidth="1"/>
    <col min="14620" max="14847" width="11.44140625" style="25"/>
    <col min="14848" max="14848" width="2.109375" style="25" customWidth="1"/>
    <col min="14849" max="14849" width="17.88671875" style="25" bestFit="1" customWidth="1"/>
    <col min="14850" max="14850" width="8.109375" style="25" bestFit="1" customWidth="1"/>
    <col min="14851" max="14851" width="52.88671875" style="25" customWidth="1"/>
    <col min="14852" max="14865" width="7.88671875" style="25" customWidth="1"/>
    <col min="14866" max="14866" width="9.44140625" style="25" customWidth="1"/>
    <col min="14867" max="14868" width="7.88671875" style="25" customWidth="1"/>
    <col min="14869" max="14869" width="9.44140625" style="25" customWidth="1"/>
    <col min="14870" max="14871" width="7.88671875" style="25" customWidth="1"/>
    <col min="14872" max="14872" width="9.44140625" style="25" customWidth="1"/>
    <col min="14873" max="14875" width="7.88671875" style="25" customWidth="1"/>
    <col min="14876" max="15103" width="11.44140625" style="25"/>
    <col min="15104" max="15104" width="2.109375" style="25" customWidth="1"/>
    <col min="15105" max="15105" width="17.88671875" style="25" bestFit="1" customWidth="1"/>
    <col min="15106" max="15106" width="8.109375" style="25" bestFit="1" customWidth="1"/>
    <col min="15107" max="15107" width="52.88671875" style="25" customWidth="1"/>
    <col min="15108" max="15121" width="7.88671875" style="25" customWidth="1"/>
    <col min="15122" max="15122" width="9.44140625" style="25" customWidth="1"/>
    <col min="15123" max="15124" width="7.88671875" style="25" customWidth="1"/>
    <col min="15125" max="15125" width="9.44140625" style="25" customWidth="1"/>
    <col min="15126" max="15127" width="7.88671875" style="25" customWidth="1"/>
    <col min="15128" max="15128" width="9.44140625" style="25" customWidth="1"/>
    <col min="15129" max="15131" width="7.88671875" style="25" customWidth="1"/>
    <col min="15132" max="15359" width="11.44140625" style="25"/>
    <col min="15360" max="15360" width="2.109375" style="25" customWidth="1"/>
    <col min="15361" max="15361" width="17.88671875" style="25" bestFit="1" customWidth="1"/>
    <col min="15362" max="15362" width="8.109375" style="25" bestFit="1" customWidth="1"/>
    <col min="15363" max="15363" width="52.88671875" style="25" customWidth="1"/>
    <col min="15364" max="15377" width="7.88671875" style="25" customWidth="1"/>
    <col min="15378" max="15378" width="9.44140625" style="25" customWidth="1"/>
    <col min="15379" max="15380" width="7.88671875" style="25" customWidth="1"/>
    <col min="15381" max="15381" width="9.44140625" style="25" customWidth="1"/>
    <col min="15382" max="15383" width="7.88671875" style="25" customWidth="1"/>
    <col min="15384" max="15384" width="9.44140625" style="25" customWidth="1"/>
    <col min="15385" max="15387" width="7.88671875" style="25" customWidth="1"/>
    <col min="15388" max="15615" width="11.44140625" style="25"/>
    <col min="15616" max="15616" width="2.109375" style="25" customWidth="1"/>
    <col min="15617" max="15617" width="17.88671875" style="25" bestFit="1" customWidth="1"/>
    <col min="15618" max="15618" width="8.109375" style="25" bestFit="1" customWidth="1"/>
    <col min="15619" max="15619" width="52.88671875" style="25" customWidth="1"/>
    <col min="15620" max="15633" width="7.88671875" style="25" customWidth="1"/>
    <col min="15634" max="15634" width="9.44140625" style="25" customWidth="1"/>
    <col min="15635" max="15636" width="7.88671875" style="25" customWidth="1"/>
    <col min="15637" max="15637" width="9.44140625" style="25" customWidth="1"/>
    <col min="15638" max="15639" width="7.88671875" style="25" customWidth="1"/>
    <col min="15640" max="15640" width="9.44140625" style="25" customWidth="1"/>
    <col min="15641" max="15643" width="7.88671875" style="25" customWidth="1"/>
    <col min="15644" max="15871" width="11.44140625" style="25"/>
    <col min="15872" max="15872" width="2.109375" style="25" customWidth="1"/>
    <col min="15873" max="15873" width="17.88671875" style="25" bestFit="1" customWidth="1"/>
    <col min="15874" max="15874" width="8.109375" style="25" bestFit="1" customWidth="1"/>
    <col min="15875" max="15875" width="52.88671875" style="25" customWidth="1"/>
    <col min="15876" max="15889" width="7.88671875" style="25" customWidth="1"/>
    <col min="15890" max="15890" width="9.44140625" style="25" customWidth="1"/>
    <col min="15891" max="15892" width="7.88671875" style="25" customWidth="1"/>
    <col min="15893" max="15893" width="9.44140625" style="25" customWidth="1"/>
    <col min="15894" max="15895" width="7.88671875" style="25" customWidth="1"/>
    <col min="15896" max="15896" width="9.44140625" style="25" customWidth="1"/>
    <col min="15897" max="15899" width="7.88671875" style="25" customWidth="1"/>
    <col min="15900" max="16127" width="11.44140625" style="25"/>
    <col min="16128" max="16128" width="2.109375" style="25" customWidth="1"/>
    <col min="16129" max="16129" width="17.88671875" style="25" bestFit="1" customWidth="1"/>
    <col min="16130" max="16130" width="8.109375" style="25" bestFit="1" customWidth="1"/>
    <col min="16131" max="16131" width="52.88671875" style="25" customWidth="1"/>
    <col min="16132" max="16145" width="7.88671875" style="25" customWidth="1"/>
    <col min="16146" max="16146" width="9.44140625" style="25" customWidth="1"/>
    <col min="16147" max="16148" width="7.88671875" style="25" customWidth="1"/>
    <col min="16149" max="16149" width="9.44140625" style="25" customWidth="1"/>
    <col min="16150" max="16151" width="7.88671875" style="25" customWidth="1"/>
    <col min="16152" max="16152" width="9.44140625" style="25" customWidth="1"/>
    <col min="16153" max="16155" width="7.88671875" style="25" customWidth="1"/>
    <col min="16156" max="16384" width="11.44140625" style="25"/>
  </cols>
  <sheetData>
    <row r="1" spans="2:63" ht="30.75" customHeight="1" x14ac:dyDescent="0.25">
      <c r="B1" s="5857" t="s">
        <v>1534</v>
      </c>
      <c r="C1" s="5857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  <c r="O1" s="373"/>
      <c r="P1" s="373"/>
      <c r="Q1" s="373"/>
      <c r="R1" s="373"/>
      <c r="S1" s="373"/>
      <c r="T1" s="373"/>
      <c r="U1" s="373"/>
      <c r="V1" s="373"/>
      <c r="W1" s="373"/>
      <c r="X1" s="373"/>
    </row>
    <row r="2" spans="2:63" ht="15.6" x14ac:dyDescent="0.25">
      <c r="C2" s="147"/>
      <c r="D2" s="373"/>
      <c r="E2" s="373"/>
      <c r="F2" s="373"/>
      <c r="G2" s="373"/>
      <c r="H2" s="373"/>
      <c r="I2" s="373"/>
      <c r="J2" s="373"/>
      <c r="K2" s="373"/>
      <c r="L2" s="373"/>
      <c r="M2" s="373"/>
      <c r="N2" s="373"/>
      <c r="O2" s="373"/>
      <c r="P2" s="373"/>
      <c r="Q2" s="373"/>
      <c r="R2" s="373"/>
      <c r="S2" s="373"/>
      <c r="T2" s="373"/>
      <c r="U2" s="373"/>
      <c r="V2" s="373"/>
      <c r="W2" s="373"/>
      <c r="X2" s="373"/>
    </row>
    <row r="3" spans="2:63" ht="15" customHeight="1" x14ac:dyDescent="0.25">
      <c r="B3" s="5727" t="s">
        <v>432</v>
      </c>
      <c r="C3" s="5742" t="s">
        <v>433</v>
      </c>
      <c r="D3" s="5737">
        <v>2003</v>
      </c>
      <c r="E3" s="5737"/>
      <c r="F3" s="5737"/>
      <c r="G3" s="5737">
        <v>2004</v>
      </c>
      <c r="H3" s="5737"/>
      <c r="I3" s="5737"/>
      <c r="J3" s="5737">
        <v>2005</v>
      </c>
      <c r="K3" s="5737"/>
      <c r="L3" s="5737"/>
      <c r="M3" s="5737">
        <v>2006</v>
      </c>
      <c r="N3" s="5737"/>
      <c r="O3" s="5737"/>
      <c r="P3" s="5737">
        <v>2007</v>
      </c>
      <c r="Q3" s="5737"/>
      <c r="R3" s="5737"/>
      <c r="S3" s="5737">
        <v>2008</v>
      </c>
      <c r="T3" s="5737"/>
      <c r="U3" s="5737"/>
      <c r="V3" s="5737">
        <v>2009</v>
      </c>
      <c r="W3" s="5737"/>
      <c r="X3" s="5737"/>
      <c r="Y3" s="5737">
        <v>2010</v>
      </c>
      <c r="Z3" s="5737"/>
      <c r="AA3" s="5737"/>
      <c r="AB3" s="5737">
        <v>2011</v>
      </c>
      <c r="AC3" s="5737"/>
      <c r="AD3" s="5737"/>
      <c r="AE3" s="5737">
        <v>2012</v>
      </c>
      <c r="AF3" s="5737"/>
      <c r="AG3" s="5737"/>
      <c r="AH3" s="5737">
        <v>2013</v>
      </c>
      <c r="AI3" s="5737"/>
      <c r="AJ3" s="5737"/>
      <c r="AK3" s="5737">
        <v>2014</v>
      </c>
      <c r="AL3" s="5737"/>
      <c r="AM3" s="5737"/>
      <c r="AN3" s="5737">
        <v>2015</v>
      </c>
      <c r="AO3" s="5737"/>
      <c r="AP3" s="5737"/>
      <c r="AQ3" s="5737">
        <v>2016</v>
      </c>
      <c r="AR3" s="5737"/>
      <c r="AS3" s="5737"/>
      <c r="AT3" s="5737">
        <v>2017</v>
      </c>
      <c r="AU3" s="5737"/>
      <c r="AV3" s="5737"/>
      <c r="AW3" s="5737">
        <v>2018</v>
      </c>
      <c r="AX3" s="5737"/>
      <c r="AY3" s="5737"/>
      <c r="AZ3" s="5737">
        <v>2019</v>
      </c>
      <c r="BA3" s="5737"/>
      <c r="BB3" s="5737"/>
      <c r="BC3" s="5737">
        <v>2020</v>
      </c>
      <c r="BD3" s="5737"/>
      <c r="BE3" s="5737"/>
      <c r="BF3" s="5737">
        <v>2021</v>
      </c>
      <c r="BG3" s="5737"/>
      <c r="BH3" s="5737"/>
      <c r="BI3" s="5737">
        <v>2022</v>
      </c>
      <c r="BJ3" s="5737"/>
      <c r="BK3" s="5737"/>
    </row>
    <row r="4" spans="2:63" ht="15" customHeight="1" x14ac:dyDescent="0.25">
      <c r="B4" s="5728"/>
      <c r="C4" s="5742"/>
      <c r="D4" s="409" t="s">
        <v>1529</v>
      </c>
      <c r="E4" s="410" t="s">
        <v>1530</v>
      </c>
      <c r="F4" s="410" t="s">
        <v>1531</v>
      </c>
      <c r="G4" s="409" t="s">
        <v>1529</v>
      </c>
      <c r="H4" s="410" t="s">
        <v>1530</v>
      </c>
      <c r="I4" s="410" t="s">
        <v>1531</v>
      </c>
      <c r="J4" s="409" t="s">
        <v>1529</v>
      </c>
      <c r="K4" s="410" t="s">
        <v>1530</v>
      </c>
      <c r="L4" s="410" t="s">
        <v>1531</v>
      </c>
      <c r="M4" s="409" t="s">
        <v>1529</v>
      </c>
      <c r="N4" s="410" t="s">
        <v>1530</v>
      </c>
      <c r="O4" s="410" t="s">
        <v>1531</v>
      </c>
      <c r="P4" s="409" t="s">
        <v>1529</v>
      </c>
      <c r="Q4" s="410" t="s">
        <v>1530</v>
      </c>
      <c r="R4" s="410" t="s">
        <v>1531</v>
      </c>
      <c r="S4" s="409" t="s">
        <v>1529</v>
      </c>
      <c r="T4" s="410" t="s">
        <v>1530</v>
      </c>
      <c r="U4" s="410" t="s">
        <v>1531</v>
      </c>
      <c r="V4" s="409" t="s">
        <v>1529</v>
      </c>
      <c r="W4" s="410" t="s">
        <v>1530</v>
      </c>
      <c r="X4" s="410" t="s">
        <v>1531</v>
      </c>
      <c r="Y4" s="409" t="s">
        <v>1529</v>
      </c>
      <c r="Z4" s="410" t="s">
        <v>1530</v>
      </c>
      <c r="AA4" s="410" t="s">
        <v>1531</v>
      </c>
      <c r="AB4" s="409" t="s">
        <v>1529</v>
      </c>
      <c r="AC4" s="410" t="s">
        <v>1530</v>
      </c>
      <c r="AD4" s="410" t="s">
        <v>1531</v>
      </c>
      <c r="AE4" s="409" t="s">
        <v>1529</v>
      </c>
      <c r="AF4" s="410" t="s">
        <v>1530</v>
      </c>
      <c r="AG4" s="410" t="s">
        <v>1531</v>
      </c>
      <c r="AH4" s="409" t="s">
        <v>1529</v>
      </c>
      <c r="AI4" s="410" t="s">
        <v>1530</v>
      </c>
      <c r="AJ4" s="410" t="s">
        <v>1531</v>
      </c>
      <c r="AK4" s="409" t="s">
        <v>1529</v>
      </c>
      <c r="AL4" s="410" t="s">
        <v>1530</v>
      </c>
      <c r="AM4" s="410" t="s">
        <v>1531</v>
      </c>
      <c r="AN4" s="409" t="s">
        <v>1529</v>
      </c>
      <c r="AO4" s="410" t="s">
        <v>1530</v>
      </c>
      <c r="AP4" s="410" t="s">
        <v>1531</v>
      </c>
      <c r="AQ4" s="409" t="s">
        <v>1529</v>
      </c>
      <c r="AR4" s="410" t="s">
        <v>1530</v>
      </c>
      <c r="AS4" s="410" t="s">
        <v>1531</v>
      </c>
      <c r="AT4" s="409" t="s">
        <v>1529</v>
      </c>
      <c r="AU4" s="410" t="s">
        <v>1530</v>
      </c>
      <c r="AV4" s="410" t="s">
        <v>1531</v>
      </c>
      <c r="AW4" s="5522" t="s">
        <v>1529</v>
      </c>
      <c r="AX4" s="410" t="s">
        <v>1530</v>
      </c>
      <c r="AY4" s="410" t="s">
        <v>1531</v>
      </c>
      <c r="AZ4" s="409" t="s">
        <v>1529</v>
      </c>
      <c r="BA4" s="410" t="s">
        <v>1530</v>
      </c>
      <c r="BB4" s="410" t="s">
        <v>1531</v>
      </c>
      <c r="BC4" s="409" t="s">
        <v>1529</v>
      </c>
      <c r="BD4" s="410" t="s">
        <v>1530</v>
      </c>
      <c r="BE4" s="410" t="s">
        <v>1531</v>
      </c>
      <c r="BF4" s="409" t="s">
        <v>1529</v>
      </c>
      <c r="BG4" s="410" t="s">
        <v>1530</v>
      </c>
      <c r="BH4" s="410" t="s">
        <v>1531</v>
      </c>
      <c r="BI4" s="409" t="s">
        <v>1529</v>
      </c>
      <c r="BJ4" s="410" t="s">
        <v>1530</v>
      </c>
      <c r="BK4" s="4976" t="s">
        <v>1531</v>
      </c>
    </row>
    <row r="5" spans="2:63" ht="15" customHeight="1" x14ac:dyDescent="0.3">
      <c r="B5" s="5837" t="s">
        <v>310</v>
      </c>
      <c r="C5" s="4436" t="s">
        <v>434</v>
      </c>
      <c r="D5" s="4437">
        <v>66</v>
      </c>
      <c r="E5" s="4438">
        <v>56</v>
      </c>
      <c r="F5" s="4438">
        <v>50</v>
      </c>
      <c r="G5" s="4437">
        <v>56</v>
      </c>
      <c r="H5" s="4438">
        <v>49</v>
      </c>
      <c r="I5" s="4438">
        <v>58</v>
      </c>
      <c r="J5" s="4437">
        <v>58</v>
      </c>
      <c r="K5" s="4438">
        <v>58</v>
      </c>
      <c r="L5" s="4439">
        <v>61</v>
      </c>
      <c r="M5" s="4438">
        <v>74</v>
      </c>
      <c r="N5" s="4438">
        <v>66</v>
      </c>
      <c r="O5" s="4439">
        <v>75</v>
      </c>
      <c r="P5" s="4438">
        <v>68</v>
      </c>
      <c r="Q5" s="4438">
        <v>62</v>
      </c>
      <c r="R5" s="4439">
        <v>47</v>
      </c>
      <c r="S5" s="4438">
        <v>32</v>
      </c>
      <c r="T5" s="4438">
        <v>27</v>
      </c>
      <c r="U5" s="4439">
        <v>34</v>
      </c>
      <c r="V5" s="4438">
        <v>44</v>
      </c>
      <c r="W5" s="4438">
        <v>36</v>
      </c>
      <c r="X5" s="4439">
        <v>54</v>
      </c>
      <c r="Y5" s="4438">
        <v>63</v>
      </c>
      <c r="Z5" s="4438">
        <v>63</v>
      </c>
      <c r="AA5" s="4439">
        <v>63</v>
      </c>
      <c r="AB5" s="4438">
        <v>64</v>
      </c>
      <c r="AC5" s="4438">
        <v>53</v>
      </c>
      <c r="AD5" s="4439">
        <v>55</v>
      </c>
      <c r="AE5" s="4438">
        <v>50</v>
      </c>
      <c r="AF5" s="4438">
        <v>40</v>
      </c>
      <c r="AG5" s="4439">
        <v>43</v>
      </c>
      <c r="AH5" s="4438">
        <v>46</v>
      </c>
      <c r="AI5" s="4438">
        <v>44</v>
      </c>
      <c r="AJ5" s="4439">
        <v>60</v>
      </c>
      <c r="AK5" s="4438">
        <v>64</v>
      </c>
      <c r="AL5" s="4438">
        <v>61</v>
      </c>
      <c r="AM5" s="4439">
        <v>88</v>
      </c>
      <c r="AN5" s="4438">
        <v>77</v>
      </c>
      <c r="AO5" s="4438">
        <v>74</v>
      </c>
      <c r="AP5" s="4439">
        <v>80</v>
      </c>
      <c r="AQ5" s="4438">
        <v>86</v>
      </c>
      <c r="AR5" s="4438">
        <v>71</v>
      </c>
      <c r="AS5" s="4439">
        <v>77</v>
      </c>
      <c r="AT5" s="4438">
        <v>69</v>
      </c>
      <c r="AU5" s="4438">
        <v>67</v>
      </c>
      <c r="AV5" s="4439">
        <v>75</v>
      </c>
      <c r="AW5" s="5523">
        <v>71</v>
      </c>
      <c r="AX5" s="4438">
        <v>63</v>
      </c>
      <c r="AY5" s="4439">
        <v>65</v>
      </c>
      <c r="AZ5" s="4438">
        <v>62</v>
      </c>
      <c r="BA5" s="4438">
        <v>61</v>
      </c>
      <c r="BB5" s="4439">
        <v>62</v>
      </c>
      <c r="BC5" s="4438">
        <v>59</v>
      </c>
      <c r="BD5" s="4438">
        <v>58</v>
      </c>
      <c r="BE5" s="4439">
        <v>59</v>
      </c>
      <c r="BF5" s="4438">
        <v>58</v>
      </c>
      <c r="BG5" s="4438">
        <v>56</v>
      </c>
      <c r="BH5" s="4439">
        <v>48</v>
      </c>
      <c r="BI5" s="4438">
        <v>41</v>
      </c>
      <c r="BJ5" s="4438">
        <v>41</v>
      </c>
      <c r="BK5" s="4439">
        <v>41</v>
      </c>
    </row>
    <row r="6" spans="2:63" ht="15" customHeight="1" x14ac:dyDescent="0.3">
      <c r="B6" s="5838"/>
      <c r="C6" s="4440" t="s">
        <v>312</v>
      </c>
      <c r="D6" s="4441">
        <v>9</v>
      </c>
      <c r="E6" s="4442">
        <v>8</v>
      </c>
      <c r="F6" s="4442">
        <v>10</v>
      </c>
      <c r="G6" s="4441">
        <v>8</v>
      </c>
      <c r="H6" s="4442">
        <v>8</v>
      </c>
      <c r="I6" s="4442">
        <v>17</v>
      </c>
      <c r="J6" s="4441">
        <v>13</v>
      </c>
      <c r="K6" s="4442">
        <v>12</v>
      </c>
      <c r="L6" s="4443">
        <v>20</v>
      </c>
      <c r="M6" s="4442">
        <v>18</v>
      </c>
      <c r="N6" s="4442">
        <v>14</v>
      </c>
      <c r="O6" s="4443">
        <v>11</v>
      </c>
      <c r="P6" s="4442">
        <v>15</v>
      </c>
      <c r="Q6" s="4442">
        <v>14</v>
      </c>
      <c r="R6" s="4443">
        <v>20</v>
      </c>
      <c r="S6" s="4442">
        <v>14</v>
      </c>
      <c r="T6" s="4442">
        <v>15</v>
      </c>
      <c r="U6" s="4443">
        <v>17</v>
      </c>
      <c r="V6" s="4442">
        <v>13</v>
      </c>
      <c r="W6" s="4442">
        <v>12</v>
      </c>
      <c r="X6" s="4443">
        <v>12</v>
      </c>
      <c r="Y6" s="4442">
        <v>14</v>
      </c>
      <c r="Z6" s="4442">
        <v>11</v>
      </c>
      <c r="AA6" s="4443">
        <v>23</v>
      </c>
      <c r="AB6" s="4442">
        <v>22</v>
      </c>
      <c r="AC6" s="4442">
        <v>20</v>
      </c>
      <c r="AD6" s="4443">
        <v>30</v>
      </c>
      <c r="AE6" s="4442">
        <v>28</v>
      </c>
      <c r="AF6" s="4442">
        <v>27</v>
      </c>
      <c r="AG6" s="4443">
        <v>28</v>
      </c>
      <c r="AH6" s="4442">
        <v>28</v>
      </c>
      <c r="AI6" s="4442">
        <v>22</v>
      </c>
      <c r="AJ6" s="4443">
        <v>32</v>
      </c>
      <c r="AK6" s="4442">
        <v>25</v>
      </c>
      <c r="AL6" s="4442">
        <v>24</v>
      </c>
      <c r="AM6" s="4443">
        <v>38</v>
      </c>
      <c r="AN6" s="4442">
        <v>32</v>
      </c>
      <c r="AO6" s="4442">
        <v>22</v>
      </c>
      <c r="AP6" s="4443">
        <v>37</v>
      </c>
      <c r="AQ6" s="4442">
        <v>36</v>
      </c>
      <c r="AR6" s="4442">
        <v>33</v>
      </c>
      <c r="AS6" s="4443">
        <v>44</v>
      </c>
      <c r="AT6" s="4442">
        <v>38</v>
      </c>
      <c r="AU6" s="4442">
        <v>35</v>
      </c>
      <c r="AV6" s="4443">
        <v>40</v>
      </c>
      <c r="AW6" s="4441">
        <v>41</v>
      </c>
      <c r="AX6" s="4442">
        <v>40</v>
      </c>
      <c r="AY6" s="4443">
        <v>46</v>
      </c>
      <c r="AZ6" s="4442">
        <v>38</v>
      </c>
      <c r="BA6" s="4442">
        <v>50</v>
      </c>
      <c r="BB6" s="4443">
        <v>29</v>
      </c>
      <c r="BC6" s="4442">
        <v>26</v>
      </c>
      <c r="BD6" s="4442">
        <v>41</v>
      </c>
      <c r="BE6" s="4443">
        <v>40</v>
      </c>
      <c r="BF6" s="4442">
        <v>28</v>
      </c>
      <c r="BG6" s="4442">
        <v>27</v>
      </c>
      <c r="BH6" s="4443">
        <v>27</v>
      </c>
      <c r="BI6" s="4442">
        <v>23</v>
      </c>
      <c r="BJ6" s="4442">
        <v>15</v>
      </c>
      <c r="BK6" s="4443">
        <v>20</v>
      </c>
    </row>
    <row r="7" spans="2:63" ht="15" customHeight="1" x14ac:dyDescent="0.3">
      <c r="B7" s="5838"/>
      <c r="C7" s="4440" t="s">
        <v>435</v>
      </c>
      <c r="D7" s="4444"/>
      <c r="E7" s="4445"/>
      <c r="F7" s="4445"/>
      <c r="G7" s="4444"/>
      <c r="H7" s="4445"/>
      <c r="I7" s="4445"/>
      <c r="J7" s="4444"/>
      <c r="K7" s="4445"/>
      <c r="L7" s="4446"/>
      <c r="M7" s="4445"/>
      <c r="N7" s="4445"/>
      <c r="O7" s="4446"/>
      <c r="P7" s="4445"/>
      <c r="Q7" s="4445"/>
      <c r="R7" s="4446"/>
      <c r="S7" s="4445"/>
      <c r="T7" s="4445"/>
      <c r="U7" s="4446"/>
      <c r="V7" s="4445"/>
      <c r="W7" s="4445"/>
      <c r="X7" s="4446"/>
      <c r="Y7" s="4445"/>
      <c r="Z7" s="4445"/>
      <c r="AA7" s="4446"/>
      <c r="AB7" s="4445"/>
      <c r="AC7" s="4445"/>
      <c r="AD7" s="4446"/>
      <c r="AE7" s="4445"/>
      <c r="AF7" s="4445">
        <v>7</v>
      </c>
      <c r="AG7" s="4446">
        <v>10</v>
      </c>
      <c r="AH7" s="4445">
        <v>15</v>
      </c>
      <c r="AI7" s="4445">
        <v>15</v>
      </c>
      <c r="AJ7" s="4446">
        <v>21</v>
      </c>
      <c r="AK7" s="4445">
        <v>29</v>
      </c>
      <c r="AL7" s="4445">
        <v>29</v>
      </c>
      <c r="AM7" s="4446">
        <v>34</v>
      </c>
      <c r="AN7" s="4445">
        <v>34</v>
      </c>
      <c r="AO7" s="4445">
        <v>31</v>
      </c>
      <c r="AP7" s="4446">
        <v>34</v>
      </c>
      <c r="AQ7" s="4445">
        <v>37</v>
      </c>
      <c r="AR7" s="4445">
        <v>32</v>
      </c>
      <c r="AS7" s="4446">
        <v>36</v>
      </c>
      <c r="AT7" s="4445">
        <v>39</v>
      </c>
      <c r="AU7" s="4445">
        <v>39</v>
      </c>
      <c r="AV7" s="4446">
        <v>33</v>
      </c>
      <c r="AW7" s="4444">
        <v>36</v>
      </c>
      <c r="AX7" s="4445">
        <v>30</v>
      </c>
      <c r="AY7" s="4446">
        <v>38</v>
      </c>
      <c r="AZ7" s="4445">
        <v>35</v>
      </c>
      <c r="BA7" s="4445">
        <v>22</v>
      </c>
      <c r="BB7" s="4446">
        <v>26</v>
      </c>
      <c r="BC7" s="4445">
        <v>25</v>
      </c>
      <c r="BD7" s="4445">
        <v>20</v>
      </c>
      <c r="BE7" s="4446">
        <v>21</v>
      </c>
      <c r="BF7" s="4445">
        <v>19</v>
      </c>
      <c r="BG7" s="4445">
        <v>19</v>
      </c>
      <c r="BH7" s="4446">
        <v>16</v>
      </c>
      <c r="BI7" s="4445">
        <v>12</v>
      </c>
      <c r="BJ7" s="4445">
        <v>16</v>
      </c>
      <c r="BK7" s="4446">
        <v>33</v>
      </c>
    </row>
    <row r="8" spans="2:63" ht="15" customHeight="1" x14ac:dyDescent="0.3">
      <c r="B8" s="5838"/>
      <c r="C8" s="4440" t="s">
        <v>436</v>
      </c>
      <c r="D8" s="4444"/>
      <c r="E8" s="4445"/>
      <c r="F8" s="4445"/>
      <c r="G8" s="4444"/>
      <c r="H8" s="4445"/>
      <c r="I8" s="4445"/>
      <c r="J8" s="4444"/>
      <c r="K8" s="4445"/>
      <c r="L8" s="4446"/>
      <c r="M8" s="4445"/>
      <c r="N8" s="4445"/>
      <c r="O8" s="4446"/>
      <c r="P8" s="4445"/>
      <c r="Q8" s="4445"/>
      <c r="R8" s="4446"/>
      <c r="S8" s="4445"/>
      <c r="T8" s="4445"/>
      <c r="U8" s="4446"/>
      <c r="V8" s="4445"/>
      <c r="W8" s="4445"/>
      <c r="X8" s="4446"/>
      <c r="Y8" s="4445"/>
      <c r="Z8" s="4445"/>
      <c r="AA8" s="4446"/>
      <c r="AB8" s="4445"/>
      <c r="AC8" s="4445"/>
      <c r="AD8" s="4446"/>
      <c r="AE8" s="4445"/>
      <c r="AF8" s="4445">
        <v>1</v>
      </c>
      <c r="AG8" s="4446">
        <v>4</v>
      </c>
      <c r="AH8" s="4445">
        <v>4</v>
      </c>
      <c r="AI8" s="4445">
        <v>4</v>
      </c>
      <c r="AJ8" s="4446">
        <v>8</v>
      </c>
      <c r="AK8" s="4445">
        <v>8</v>
      </c>
      <c r="AL8" s="4445">
        <v>8</v>
      </c>
      <c r="AM8" s="4446">
        <v>10</v>
      </c>
      <c r="AN8" s="4445">
        <v>11</v>
      </c>
      <c r="AO8" s="4445">
        <v>9</v>
      </c>
      <c r="AP8" s="4446">
        <v>11</v>
      </c>
      <c r="AQ8" s="4445">
        <v>13</v>
      </c>
      <c r="AR8" s="4445">
        <v>10</v>
      </c>
      <c r="AS8" s="4446">
        <v>14</v>
      </c>
      <c r="AT8" s="4445">
        <v>14</v>
      </c>
      <c r="AU8" s="4445">
        <v>13</v>
      </c>
      <c r="AV8" s="4446">
        <v>15</v>
      </c>
      <c r="AW8" s="4444">
        <v>16</v>
      </c>
      <c r="AX8" s="4445">
        <v>12</v>
      </c>
      <c r="AY8" s="4446">
        <v>14</v>
      </c>
      <c r="AZ8" s="4445">
        <v>12</v>
      </c>
      <c r="BA8" s="4445">
        <v>10</v>
      </c>
      <c r="BB8" s="4446">
        <v>12</v>
      </c>
      <c r="BC8" s="4445">
        <v>10</v>
      </c>
      <c r="BD8" s="4445">
        <v>8</v>
      </c>
      <c r="BE8" s="4446">
        <v>6</v>
      </c>
      <c r="BF8" s="4445">
        <v>6</v>
      </c>
      <c r="BG8" s="4445">
        <v>8</v>
      </c>
      <c r="BH8" s="4446">
        <v>8</v>
      </c>
      <c r="BI8" s="4445">
        <v>6</v>
      </c>
      <c r="BJ8" s="4445">
        <v>3</v>
      </c>
      <c r="BK8" s="4446">
        <v>16</v>
      </c>
    </row>
    <row r="9" spans="2:63" ht="15" customHeight="1" x14ac:dyDescent="0.3">
      <c r="B9" s="5838"/>
      <c r="C9" s="4447" t="s">
        <v>313</v>
      </c>
      <c r="D9" s="4444">
        <v>27</v>
      </c>
      <c r="E9" s="4445">
        <v>25</v>
      </c>
      <c r="F9" s="4445">
        <v>28</v>
      </c>
      <c r="G9" s="4444">
        <v>28</v>
      </c>
      <c r="H9" s="4445">
        <v>24</v>
      </c>
      <c r="I9" s="4445">
        <v>21</v>
      </c>
      <c r="J9" s="4444">
        <v>18</v>
      </c>
      <c r="K9" s="4445">
        <v>18</v>
      </c>
      <c r="L9" s="4446">
        <v>17</v>
      </c>
      <c r="M9" s="4445">
        <v>15</v>
      </c>
      <c r="N9" s="4445">
        <v>16</v>
      </c>
      <c r="O9" s="4446">
        <v>12</v>
      </c>
      <c r="P9" s="4445">
        <v>12</v>
      </c>
      <c r="Q9" s="4445">
        <v>9</v>
      </c>
      <c r="R9" s="4446">
        <v>3</v>
      </c>
      <c r="S9" s="4445">
        <v>3</v>
      </c>
      <c r="T9" s="4445">
        <v>3</v>
      </c>
      <c r="U9" s="4446">
        <v>8</v>
      </c>
      <c r="V9" s="4445">
        <v>11</v>
      </c>
      <c r="W9" s="4445">
        <v>7</v>
      </c>
      <c r="X9" s="4446">
        <v>21</v>
      </c>
      <c r="Y9" s="4445">
        <v>25</v>
      </c>
      <c r="Z9" s="4445">
        <v>20</v>
      </c>
      <c r="AA9" s="4446">
        <v>22</v>
      </c>
      <c r="AB9" s="4445">
        <v>24</v>
      </c>
      <c r="AC9" s="4445">
        <v>17</v>
      </c>
      <c r="AD9" s="4446">
        <v>14</v>
      </c>
      <c r="AE9" s="4445">
        <v>10</v>
      </c>
      <c r="AF9" s="4445">
        <v>9</v>
      </c>
      <c r="AG9" s="4446">
        <v>8</v>
      </c>
      <c r="AH9" s="4445">
        <v>9</v>
      </c>
      <c r="AI9" s="4445">
        <v>7</v>
      </c>
      <c r="AJ9" s="4446">
        <v>5</v>
      </c>
      <c r="AK9" s="4445">
        <v>3</v>
      </c>
      <c r="AL9" s="4445">
        <v>3</v>
      </c>
      <c r="AM9" s="4446">
        <v>1</v>
      </c>
      <c r="AN9" s="4445">
        <v>3</v>
      </c>
      <c r="AO9" s="4445">
        <v>1</v>
      </c>
      <c r="AP9" s="4446">
        <v>5</v>
      </c>
      <c r="AQ9" s="4445">
        <v>8</v>
      </c>
      <c r="AR9" s="4445">
        <v>8</v>
      </c>
      <c r="AS9" s="4446">
        <v>10</v>
      </c>
      <c r="AT9" s="4445">
        <v>13</v>
      </c>
      <c r="AU9" s="4445">
        <v>11</v>
      </c>
      <c r="AV9" s="4446">
        <v>11</v>
      </c>
      <c r="AW9" s="4444">
        <v>13</v>
      </c>
      <c r="AX9" s="4445">
        <v>11</v>
      </c>
      <c r="AY9" s="4446">
        <v>14</v>
      </c>
      <c r="AZ9" s="4445">
        <v>17</v>
      </c>
      <c r="BA9" s="4445">
        <v>17</v>
      </c>
      <c r="BB9" s="4446">
        <v>15</v>
      </c>
      <c r="BC9" s="4445">
        <v>21</v>
      </c>
      <c r="BD9" s="4445">
        <v>18</v>
      </c>
      <c r="BE9" s="4446">
        <v>25</v>
      </c>
      <c r="BF9" s="4445">
        <v>24</v>
      </c>
      <c r="BG9" s="4445">
        <v>26</v>
      </c>
      <c r="BH9" s="4446">
        <v>28</v>
      </c>
      <c r="BI9" s="4445">
        <v>27</v>
      </c>
      <c r="BJ9" s="4445">
        <v>32</v>
      </c>
      <c r="BK9" s="4446">
        <v>1</v>
      </c>
    </row>
    <row r="10" spans="2:63" ht="15" customHeight="1" x14ac:dyDescent="0.3">
      <c r="B10" s="5839"/>
      <c r="C10" s="4447" t="s">
        <v>437</v>
      </c>
      <c r="D10" s="4444"/>
      <c r="E10" s="4445"/>
      <c r="F10" s="4445"/>
      <c r="G10" s="4444"/>
      <c r="H10" s="4445"/>
      <c r="I10" s="4445"/>
      <c r="J10" s="4444"/>
      <c r="K10" s="4445"/>
      <c r="L10" s="4446"/>
      <c r="M10" s="4445"/>
      <c r="N10" s="4445"/>
      <c r="O10" s="4446"/>
      <c r="P10" s="4445"/>
      <c r="Q10" s="4445"/>
      <c r="R10" s="4446"/>
      <c r="S10" s="4445"/>
      <c r="T10" s="4445"/>
      <c r="U10" s="4446"/>
      <c r="V10" s="4445"/>
      <c r="W10" s="4445"/>
      <c r="X10" s="4446"/>
      <c r="Y10" s="4445"/>
      <c r="Z10" s="4445"/>
      <c r="AA10" s="4446"/>
      <c r="AB10" s="4445"/>
      <c r="AC10" s="4445"/>
      <c r="AD10" s="4446"/>
      <c r="AE10" s="4445"/>
      <c r="AF10" s="4445"/>
      <c r="AG10" s="4446"/>
      <c r="AH10" s="4445"/>
      <c r="AI10" s="4445"/>
      <c r="AJ10" s="4446"/>
      <c r="AK10" s="4445"/>
      <c r="AL10" s="4445"/>
      <c r="AM10" s="4446"/>
      <c r="AN10" s="4445"/>
      <c r="AO10" s="4445"/>
      <c r="AP10" s="4446"/>
      <c r="AQ10" s="4445"/>
      <c r="AR10" s="4445"/>
      <c r="AS10" s="4446"/>
      <c r="AT10" s="4445"/>
      <c r="AU10" s="4445"/>
      <c r="AV10" s="4446"/>
      <c r="AW10" s="4444"/>
      <c r="AX10" s="4445"/>
      <c r="AY10" s="4446">
        <v>6</v>
      </c>
      <c r="AZ10" s="4445">
        <v>6</v>
      </c>
      <c r="BA10" s="4445">
        <v>9</v>
      </c>
      <c r="BB10" s="4446">
        <v>12</v>
      </c>
      <c r="BC10" s="4445">
        <v>12</v>
      </c>
      <c r="BD10" s="4445">
        <v>17</v>
      </c>
      <c r="BE10" s="4446">
        <v>15</v>
      </c>
      <c r="BF10" s="4445">
        <v>14</v>
      </c>
      <c r="BG10" s="4445">
        <v>19</v>
      </c>
      <c r="BH10" s="4446">
        <v>18</v>
      </c>
      <c r="BI10" s="4445">
        <v>16</v>
      </c>
      <c r="BJ10" s="4445">
        <v>22</v>
      </c>
      <c r="BK10" s="4446">
        <v>20</v>
      </c>
    </row>
    <row r="11" spans="2:63" ht="15" customHeight="1" x14ac:dyDescent="0.3">
      <c r="B11" s="5840" t="s">
        <v>317</v>
      </c>
      <c r="C11" s="1390" t="s">
        <v>438</v>
      </c>
      <c r="D11" s="129">
        <v>21</v>
      </c>
      <c r="E11" s="130">
        <v>18</v>
      </c>
      <c r="F11" s="130">
        <v>22</v>
      </c>
      <c r="G11" s="129">
        <v>19</v>
      </c>
      <c r="H11" s="130">
        <v>19</v>
      </c>
      <c r="I11" s="130">
        <v>22</v>
      </c>
      <c r="J11" s="129">
        <v>21</v>
      </c>
      <c r="K11" s="130">
        <v>20</v>
      </c>
      <c r="L11" s="396">
        <v>15</v>
      </c>
      <c r="M11" s="130">
        <v>12</v>
      </c>
      <c r="N11" s="130">
        <v>12</v>
      </c>
      <c r="O11" s="396">
        <v>14</v>
      </c>
      <c r="P11" s="130">
        <v>17</v>
      </c>
      <c r="Q11" s="130">
        <v>22</v>
      </c>
      <c r="R11" s="396">
        <v>23</v>
      </c>
      <c r="S11" s="130">
        <v>26</v>
      </c>
      <c r="T11" s="130">
        <v>28</v>
      </c>
      <c r="U11" s="396">
        <v>30</v>
      </c>
      <c r="V11" s="130">
        <v>29</v>
      </c>
      <c r="W11" s="130">
        <v>29</v>
      </c>
      <c r="X11" s="396">
        <v>28</v>
      </c>
      <c r="Y11" s="130">
        <v>29</v>
      </c>
      <c r="Z11" s="130">
        <v>25</v>
      </c>
      <c r="AA11" s="396">
        <v>23</v>
      </c>
      <c r="AB11" s="130">
        <v>21</v>
      </c>
      <c r="AC11" s="130">
        <v>30</v>
      </c>
      <c r="AD11" s="396">
        <v>24</v>
      </c>
      <c r="AE11" s="130">
        <v>22</v>
      </c>
      <c r="AF11" s="130">
        <v>18</v>
      </c>
      <c r="AG11" s="396">
        <v>21</v>
      </c>
      <c r="AH11" s="130">
        <v>16</v>
      </c>
      <c r="AI11" s="130">
        <v>20</v>
      </c>
      <c r="AJ11" s="396">
        <v>18</v>
      </c>
      <c r="AK11" s="130">
        <v>14</v>
      </c>
      <c r="AL11" s="130">
        <v>16</v>
      </c>
      <c r="AM11" s="396">
        <v>21</v>
      </c>
      <c r="AN11" s="130">
        <v>24</v>
      </c>
      <c r="AO11" s="130">
        <v>20</v>
      </c>
      <c r="AP11" s="396">
        <v>18</v>
      </c>
      <c r="AQ11" s="130">
        <v>22</v>
      </c>
      <c r="AR11" s="130">
        <v>24</v>
      </c>
      <c r="AS11" s="396">
        <v>24</v>
      </c>
      <c r="AT11" s="130">
        <v>24</v>
      </c>
      <c r="AU11" s="130">
        <v>22</v>
      </c>
      <c r="AV11" s="396">
        <v>22</v>
      </c>
      <c r="AW11" s="129">
        <v>23</v>
      </c>
      <c r="AX11" s="130">
        <v>24</v>
      </c>
      <c r="AY11" s="396">
        <v>27</v>
      </c>
      <c r="AZ11" s="130">
        <v>28</v>
      </c>
      <c r="BA11" s="130">
        <v>27</v>
      </c>
      <c r="BB11" s="396">
        <v>31</v>
      </c>
      <c r="BC11" s="130">
        <v>30</v>
      </c>
      <c r="BD11" s="130">
        <v>29</v>
      </c>
      <c r="BE11" s="396">
        <v>29</v>
      </c>
      <c r="BF11" s="130">
        <v>28</v>
      </c>
      <c r="BG11" s="130">
        <v>31</v>
      </c>
      <c r="BH11" s="396">
        <v>26</v>
      </c>
      <c r="BI11" s="130">
        <v>28</v>
      </c>
      <c r="BJ11" s="130">
        <v>23</v>
      </c>
      <c r="BK11" s="396">
        <v>22</v>
      </c>
    </row>
    <row r="12" spans="2:63" ht="15" customHeight="1" x14ac:dyDescent="0.3">
      <c r="B12" s="5841"/>
      <c r="C12" s="1388" t="s">
        <v>319</v>
      </c>
      <c r="D12" s="129">
        <v>1</v>
      </c>
      <c r="E12" s="130">
        <v>1</v>
      </c>
      <c r="F12" s="130">
        <v>6</v>
      </c>
      <c r="G12" s="129">
        <v>6</v>
      </c>
      <c r="H12" s="130">
        <v>6</v>
      </c>
      <c r="I12" s="130">
        <v>7</v>
      </c>
      <c r="J12" s="129">
        <v>7</v>
      </c>
      <c r="K12" s="130">
        <v>7</v>
      </c>
      <c r="L12" s="396">
        <v>9</v>
      </c>
      <c r="M12" s="130">
        <v>9</v>
      </c>
      <c r="N12" s="130">
        <v>9</v>
      </c>
      <c r="O12" s="396">
        <v>10</v>
      </c>
      <c r="P12" s="130">
        <v>10</v>
      </c>
      <c r="Q12" s="130">
        <v>9</v>
      </c>
      <c r="R12" s="396">
        <v>10</v>
      </c>
      <c r="S12" s="130">
        <v>9</v>
      </c>
      <c r="T12" s="130">
        <v>9</v>
      </c>
      <c r="U12" s="396">
        <v>10</v>
      </c>
      <c r="V12" s="130">
        <v>9</v>
      </c>
      <c r="W12" s="130">
        <v>9</v>
      </c>
      <c r="X12" s="396">
        <v>10</v>
      </c>
      <c r="Y12" s="130">
        <v>9</v>
      </c>
      <c r="Z12" s="130">
        <v>9</v>
      </c>
      <c r="AA12" s="396">
        <v>8</v>
      </c>
      <c r="AB12" s="130">
        <v>7</v>
      </c>
      <c r="AC12" s="130">
        <v>6</v>
      </c>
      <c r="AD12" s="396">
        <v>4</v>
      </c>
      <c r="AE12" s="130">
        <v>4</v>
      </c>
      <c r="AF12" s="130">
        <v>5</v>
      </c>
      <c r="AG12" s="396">
        <v>5</v>
      </c>
      <c r="AH12" s="130">
        <v>5</v>
      </c>
      <c r="AI12" s="130">
        <v>5</v>
      </c>
      <c r="AJ12" s="396">
        <v>5</v>
      </c>
      <c r="AK12" s="130">
        <v>4</v>
      </c>
      <c r="AL12" s="130">
        <v>4</v>
      </c>
      <c r="AM12" s="396">
        <v>4</v>
      </c>
      <c r="AN12" s="130">
        <v>4</v>
      </c>
      <c r="AO12" s="130">
        <v>4</v>
      </c>
      <c r="AP12" s="396">
        <v>4</v>
      </c>
      <c r="AQ12" s="130">
        <v>7</v>
      </c>
      <c r="AR12" s="130">
        <v>6</v>
      </c>
      <c r="AS12" s="396">
        <v>6</v>
      </c>
      <c r="AT12" s="130">
        <v>9</v>
      </c>
      <c r="AU12" s="130">
        <v>9</v>
      </c>
      <c r="AV12" s="396">
        <v>11</v>
      </c>
      <c r="AW12" s="129">
        <v>11</v>
      </c>
      <c r="AX12" s="130">
        <v>11</v>
      </c>
      <c r="AY12" s="396">
        <v>11</v>
      </c>
      <c r="AZ12" s="130">
        <v>10</v>
      </c>
      <c r="BA12" s="130">
        <v>10</v>
      </c>
      <c r="BB12" s="396">
        <v>7</v>
      </c>
      <c r="BC12" s="130">
        <v>6</v>
      </c>
      <c r="BD12" s="130">
        <v>7</v>
      </c>
      <c r="BE12" s="396">
        <v>6</v>
      </c>
      <c r="BF12" s="130">
        <v>10</v>
      </c>
      <c r="BG12" s="130">
        <v>8</v>
      </c>
      <c r="BH12" s="396">
        <v>8</v>
      </c>
      <c r="BI12" s="130">
        <v>6</v>
      </c>
      <c r="BJ12" s="130">
        <v>5</v>
      </c>
      <c r="BK12" s="396">
        <v>5</v>
      </c>
    </row>
    <row r="13" spans="2:63" ht="15" customHeight="1" x14ac:dyDescent="0.3">
      <c r="B13" s="5841"/>
      <c r="C13" s="1390" t="s">
        <v>435</v>
      </c>
      <c r="D13" s="129"/>
      <c r="E13" s="130"/>
      <c r="F13" s="130"/>
      <c r="G13" s="129"/>
      <c r="H13" s="130"/>
      <c r="I13" s="130"/>
      <c r="J13" s="129"/>
      <c r="K13" s="130"/>
      <c r="L13" s="396"/>
      <c r="M13" s="130"/>
      <c r="N13" s="130"/>
      <c r="O13" s="396"/>
      <c r="P13" s="130"/>
      <c r="Q13" s="130"/>
      <c r="R13" s="396"/>
      <c r="S13" s="130"/>
      <c r="T13" s="130"/>
      <c r="U13" s="396"/>
      <c r="V13" s="130"/>
      <c r="W13" s="130"/>
      <c r="X13" s="396"/>
      <c r="Y13" s="130"/>
      <c r="Z13" s="130"/>
      <c r="AA13" s="396"/>
      <c r="AB13" s="130"/>
      <c r="AC13" s="130"/>
      <c r="AD13" s="396"/>
      <c r="AE13" s="130"/>
      <c r="AF13" s="130"/>
      <c r="AG13" s="396"/>
      <c r="AH13" s="130"/>
      <c r="AI13" s="130"/>
      <c r="AJ13" s="396">
        <v>3</v>
      </c>
      <c r="AK13" s="130">
        <v>3</v>
      </c>
      <c r="AL13" s="130">
        <v>3</v>
      </c>
      <c r="AM13" s="396">
        <v>3</v>
      </c>
      <c r="AN13" s="130">
        <v>5</v>
      </c>
      <c r="AO13" s="130">
        <v>5</v>
      </c>
      <c r="AP13" s="396">
        <v>8</v>
      </c>
      <c r="AQ13" s="130">
        <v>9</v>
      </c>
      <c r="AR13" s="130">
        <v>9</v>
      </c>
      <c r="AS13" s="396">
        <v>7</v>
      </c>
      <c r="AT13" s="130">
        <v>7</v>
      </c>
      <c r="AU13" s="130">
        <v>9</v>
      </c>
      <c r="AV13" s="396">
        <v>8</v>
      </c>
      <c r="AW13" s="129">
        <v>12</v>
      </c>
      <c r="AX13" s="130">
        <v>13</v>
      </c>
      <c r="AY13" s="396">
        <v>14</v>
      </c>
      <c r="AZ13" s="130">
        <v>14</v>
      </c>
      <c r="BA13" s="130">
        <v>12</v>
      </c>
      <c r="BB13" s="396">
        <v>15</v>
      </c>
      <c r="BC13" s="130">
        <v>17</v>
      </c>
      <c r="BD13" s="130">
        <v>15</v>
      </c>
      <c r="BE13" s="396">
        <v>16</v>
      </c>
      <c r="BF13" s="130">
        <v>16</v>
      </c>
      <c r="BG13" s="130">
        <v>18</v>
      </c>
      <c r="BH13" s="396">
        <v>18</v>
      </c>
      <c r="BI13" s="130">
        <v>17</v>
      </c>
      <c r="BJ13" s="130">
        <v>17</v>
      </c>
      <c r="BK13" s="396">
        <v>17</v>
      </c>
    </row>
    <row r="14" spans="2:63" ht="15" customHeight="1" x14ac:dyDescent="0.3">
      <c r="B14" s="5842"/>
      <c r="C14" s="1388" t="s">
        <v>436</v>
      </c>
      <c r="D14" s="129"/>
      <c r="E14" s="130"/>
      <c r="F14" s="130"/>
      <c r="G14" s="129"/>
      <c r="H14" s="130"/>
      <c r="I14" s="130"/>
      <c r="J14" s="129"/>
      <c r="K14" s="130"/>
      <c r="L14" s="396"/>
      <c r="M14" s="130"/>
      <c r="N14" s="130"/>
      <c r="O14" s="396"/>
      <c r="P14" s="130"/>
      <c r="Q14" s="130"/>
      <c r="R14" s="396"/>
      <c r="S14" s="130"/>
      <c r="T14" s="130"/>
      <c r="U14" s="396"/>
      <c r="V14" s="130"/>
      <c r="W14" s="130"/>
      <c r="X14" s="396"/>
      <c r="Y14" s="130"/>
      <c r="Z14" s="130"/>
      <c r="AA14" s="396"/>
      <c r="AB14" s="130"/>
      <c r="AC14" s="130"/>
      <c r="AD14" s="396"/>
      <c r="AE14" s="130"/>
      <c r="AF14" s="130"/>
      <c r="AG14" s="396"/>
      <c r="AH14" s="130"/>
      <c r="AI14" s="130"/>
      <c r="AJ14" s="396">
        <v>2</v>
      </c>
      <c r="AK14" s="130">
        <v>2</v>
      </c>
      <c r="AL14" s="130">
        <v>2</v>
      </c>
      <c r="AM14" s="396">
        <v>2</v>
      </c>
      <c r="AN14" s="130">
        <v>3</v>
      </c>
      <c r="AO14" s="130">
        <v>3</v>
      </c>
      <c r="AP14" s="396">
        <v>3</v>
      </c>
      <c r="AQ14" s="130">
        <v>2</v>
      </c>
      <c r="AR14" s="130">
        <v>4</v>
      </c>
      <c r="AS14" s="396">
        <v>6</v>
      </c>
      <c r="AT14" s="130">
        <v>6</v>
      </c>
      <c r="AU14" s="130">
        <v>3</v>
      </c>
      <c r="AV14" s="396">
        <v>4</v>
      </c>
      <c r="AW14" s="129">
        <v>3</v>
      </c>
      <c r="AX14" s="130">
        <v>3</v>
      </c>
      <c r="AY14" s="396">
        <v>2</v>
      </c>
      <c r="AZ14" s="130">
        <v>1</v>
      </c>
      <c r="BA14" s="130">
        <v>2</v>
      </c>
      <c r="BB14" s="396">
        <v>3</v>
      </c>
      <c r="BC14" s="130">
        <v>3</v>
      </c>
      <c r="BD14" s="130">
        <v>3</v>
      </c>
      <c r="BE14" s="396">
        <v>3</v>
      </c>
      <c r="BF14" s="130">
        <v>2</v>
      </c>
      <c r="BG14" s="130">
        <v>2</v>
      </c>
      <c r="BH14" s="396">
        <v>3</v>
      </c>
      <c r="BI14" s="130">
        <v>3</v>
      </c>
      <c r="BJ14" s="130">
        <v>3</v>
      </c>
      <c r="BK14" s="396">
        <v>2</v>
      </c>
    </row>
    <row r="15" spans="2:63" ht="15" customHeight="1" x14ac:dyDescent="0.25">
      <c r="B15" s="1270"/>
      <c r="C15" s="1391" t="s">
        <v>59</v>
      </c>
      <c r="D15" s="1392">
        <f t="shared" ref="D15:AG15" si="0">SUM(D5:D12)</f>
        <v>124</v>
      </c>
      <c r="E15" s="1393">
        <f t="shared" si="0"/>
        <v>108</v>
      </c>
      <c r="F15" s="1393">
        <f t="shared" si="0"/>
        <v>116</v>
      </c>
      <c r="G15" s="1392">
        <f t="shared" si="0"/>
        <v>117</v>
      </c>
      <c r="H15" s="1393">
        <f t="shared" si="0"/>
        <v>106</v>
      </c>
      <c r="I15" s="1393">
        <f t="shared" si="0"/>
        <v>125</v>
      </c>
      <c r="J15" s="1392">
        <f t="shared" si="0"/>
        <v>117</v>
      </c>
      <c r="K15" s="1393">
        <f t="shared" si="0"/>
        <v>115</v>
      </c>
      <c r="L15" s="1394">
        <f t="shared" si="0"/>
        <v>122</v>
      </c>
      <c r="M15" s="1393">
        <f t="shared" si="0"/>
        <v>128</v>
      </c>
      <c r="N15" s="1393">
        <f t="shared" si="0"/>
        <v>117</v>
      </c>
      <c r="O15" s="1394">
        <f t="shared" si="0"/>
        <v>122</v>
      </c>
      <c r="P15" s="1393">
        <f t="shared" si="0"/>
        <v>122</v>
      </c>
      <c r="Q15" s="1393">
        <f t="shared" si="0"/>
        <v>116</v>
      </c>
      <c r="R15" s="1394">
        <f t="shared" si="0"/>
        <v>103</v>
      </c>
      <c r="S15" s="1393">
        <f t="shared" si="0"/>
        <v>84</v>
      </c>
      <c r="T15" s="1393">
        <f t="shared" si="0"/>
        <v>82</v>
      </c>
      <c r="U15" s="1394">
        <f t="shared" si="0"/>
        <v>99</v>
      </c>
      <c r="V15" s="1393">
        <f t="shared" si="0"/>
        <v>106</v>
      </c>
      <c r="W15" s="1393">
        <f t="shared" si="0"/>
        <v>93</v>
      </c>
      <c r="X15" s="1394">
        <f t="shared" si="0"/>
        <v>125</v>
      </c>
      <c r="Y15" s="1393">
        <f t="shared" si="0"/>
        <v>140</v>
      </c>
      <c r="Z15" s="1393">
        <f t="shared" si="0"/>
        <v>128</v>
      </c>
      <c r="AA15" s="1394">
        <f t="shared" si="0"/>
        <v>139</v>
      </c>
      <c r="AB15" s="1393">
        <f t="shared" si="0"/>
        <v>138</v>
      </c>
      <c r="AC15" s="1393">
        <f t="shared" si="0"/>
        <v>126</v>
      </c>
      <c r="AD15" s="1394">
        <f t="shared" si="0"/>
        <v>127</v>
      </c>
      <c r="AE15" s="1393">
        <f t="shared" si="0"/>
        <v>114</v>
      </c>
      <c r="AF15" s="1393">
        <f t="shared" si="0"/>
        <v>107</v>
      </c>
      <c r="AG15" s="1394">
        <f t="shared" si="0"/>
        <v>119</v>
      </c>
      <c r="AH15" s="1393">
        <f>SUM(AH5:AH12)</f>
        <v>123</v>
      </c>
      <c r="AI15" s="1393">
        <f>SUM(AI5:AI12)</f>
        <v>117</v>
      </c>
      <c r="AJ15" s="1394">
        <f t="shared" ref="AJ15:BE15" si="1">SUM(AJ5:AJ14)</f>
        <v>154</v>
      </c>
      <c r="AK15" s="1393">
        <f t="shared" si="1"/>
        <v>152</v>
      </c>
      <c r="AL15" s="1393">
        <f t="shared" si="1"/>
        <v>150</v>
      </c>
      <c r="AM15" s="1394">
        <f t="shared" si="1"/>
        <v>201</v>
      </c>
      <c r="AN15" s="1393">
        <f t="shared" si="1"/>
        <v>193</v>
      </c>
      <c r="AO15" s="1393">
        <f t="shared" si="1"/>
        <v>169</v>
      </c>
      <c r="AP15" s="1394">
        <f t="shared" si="1"/>
        <v>200</v>
      </c>
      <c r="AQ15" s="1393">
        <f t="shared" si="1"/>
        <v>220</v>
      </c>
      <c r="AR15" s="1393">
        <f>SUM(AR5:AR14)</f>
        <v>197</v>
      </c>
      <c r="AS15" s="1394">
        <f t="shared" si="1"/>
        <v>224</v>
      </c>
      <c r="AT15" s="1393">
        <f t="shared" si="1"/>
        <v>219</v>
      </c>
      <c r="AU15" s="1393">
        <f t="shared" si="1"/>
        <v>208</v>
      </c>
      <c r="AV15" s="1394">
        <f t="shared" si="1"/>
        <v>219</v>
      </c>
      <c r="AW15" s="1392">
        <f t="shared" si="1"/>
        <v>226</v>
      </c>
      <c r="AX15" s="1393">
        <f t="shared" si="1"/>
        <v>207</v>
      </c>
      <c r="AY15" s="1394">
        <f t="shared" si="1"/>
        <v>237</v>
      </c>
      <c r="AZ15" s="1393">
        <f t="shared" si="1"/>
        <v>223</v>
      </c>
      <c r="BA15" s="1393">
        <f t="shared" si="1"/>
        <v>220</v>
      </c>
      <c r="BB15" s="1395">
        <f t="shared" si="1"/>
        <v>212</v>
      </c>
      <c r="BC15" s="1393">
        <f t="shared" si="1"/>
        <v>209</v>
      </c>
      <c r="BD15" s="1393">
        <f t="shared" si="1"/>
        <v>216</v>
      </c>
      <c r="BE15" s="1395">
        <f t="shared" si="1"/>
        <v>220</v>
      </c>
      <c r="BF15" s="1393">
        <f t="shared" ref="BF15:BH15" si="2">SUM(BF5:BF14)</f>
        <v>205</v>
      </c>
      <c r="BG15" s="1393">
        <f t="shared" si="2"/>
        <v>214</v>
      </c>
      <c r="BH15" s="1395">
        <f t="shared" si="2"/>
        <v>200</v>
      </c>
      <c r="BI15" s="1393">
        <f t="shared" ref="BI15:BJ15" si="3">SUM(BI5:BI14)</f>
        <v>179</v>
      </c>
      <c r="BJ15" s="1393">
        <f t="shared" si="3"/>
        <v>177</v>
      </c>
      <c r="BK15" s="1395">
        <f>SUM(BK5:BK14)</f>
        <v>177</v>
      </c>
    </row>
    <row r="16" spans="2:63" ht="15" customHeight="1" x14ac:dyDescent="0.3">
      <c r="B16" s="5840" t="s">
        <v>308</v>
      </c>
      <c r="C16" s="1396" t="s">
        <v>323</v>
      </c>
      <c r="D16" s="151"/>
      <c r="E16" s="152"/>
      <c r="F16" s="152"/>
      <c r="G16" s="151"/>
      <c r="H16" s="152"/>
      <c r="I16" s="152"/>
      <c r="J16" s="151"/>
      <c r="K16" s="152"/>
      <c r="L16" s="395"/>
      <c r="M16" s="152"/>
      <c r="N16" s="152"/>
      <c r="O16" s="395"/>
      <c r="P16" s="152"/>
      <c r="Q16" s="152"/>
      <c r="R16" s="395"/>
      <c r="S16" s="152"/>
      <c r="T16" s="152"/>
      <c r="U16" s="395"/>
      <c r="V16" s="152"/>
      <c r="W16" s="152"/>
      <c r="X16" s="395"/>
      <c r="Y16" s="152"/>
      <c r="Z16" s="152"/>
      <c r="AA16" s="395"/>
      <c r="AB16" s="152"/>
      <c r="AC16" s="152"/>
      <c r="AD16" s="395"/>
      <c r="AE16" s="152"/>
      <c r="AF16" s="152"/>
      <c r="AG16" s="395"/>
      <c r="AH16" s="152"/>
      <c r="AI16" s="152"/>
      <c r="AJ16" s="395"/>
      <c r="AK16" s="152"/>
      <c r="AL16" s="152"/>
      <c r="AM16" s="395"/>
      <c r="AN16" s="152"/>
      <c r="AO16" s="152"/>
      <c r="AP16" s="395"/>
      <c r="AQ16" s="152"/>
      <c r="AR16" s="152"/>
      <c r="AS16" s="395"/>
      <c r="AT16" s="152"/>
      <c r="AU16" s="152"/>
      <c r="AV16" s="395"/>
      <c r="AW16" s="4957"/>
      <c r="AX16" s="152"/>
      <c r="AY16" s="395"/>
      <c r="AZ16" s="152"/>
      <c r="BA16" s="152">
        <v>8</v>
      </c>
      <c r="BB16" s="395">
        <v>6</v>
      </c>
      <c r="BC16" s="152">
        <v>6</v>
      </c>
      <c r="BD16" s="152">
        <v>6</v>
      </c>
      <c r="BE16" s="395">
        <v>4</v>
      </c>
      <c r="BF16" s="152">
        <v>4</v>
      </c>
      <c r="BG16" s="152">
        <v>13</v>
      </c>
      <c r="BH16" s="395">
        <v>14</v>
      </c>
      <c r="BI16" s="152">
        <v>12</v>
      </c>
      <c r="BJ16" s="152">
        <v>14</v>
      </c>
      <c r="BK16" s="395">
        <v>12</v>
      </c>
    </row>
    <row r="17" spans="2:63" ht="15" customHeight="1" x14ac:dyDescent="0.3">
      <c r="B17" s="5841"/>
      <c r="C17" s="4999" t="s">
        <v>1537</v>
      </c>
      <c r="D17" s="1398"/>
      <c r="E17" s="1399"/>
      <c r="F17" s="1399"/>
      <c r="G17" s="1398"/>
      <c r="H17" s="1399"/>
      <c r="I17" s="1399"/>
      <c r="J17" s="1398"/>
      <c r="K17" s="1399"/>
      <c r="L17" s="1400"/>
      <c r="M17" s="1399"/>
      <c r="N17" s="1399"/>
      <c r="O17" s="1400"/>
      <c r="P17" s="1399"/>
      <c r="Q17" s="1399"/>
      <c r="R17" s="1400"/>
      <c r="S17" s="1399"/>
      <c r="T17" s="1399"/>
      <c r="U17" s="1400"/>
      <c r="V17" s="1399"/>
      <c r="W17" s="1399"/>
      <c r="X17" s="1400"/>
      <c r="Y17" s="1399"/>
      <c r="Z17" s="1399"/>
      <c r="AA17" s="1400"/>
      <c r="AB17" s="1399"/>
      <c r="AC17" s="1399"/>
      <c r="AD17" s="1400"/>
      <c r="AE17" s="1399"/>
      <c r="AF17" s="1399"/>
      <c r="AG17" s="1400"/>
      <c r="AH17" s="1399"/>
      <c r="AI17" s="1399"/>
      <c r="AJ17" s="1400"/>
      <c r="AK17" s="1399"/>
      <c r="AL17" s="1399"/>
      <c r="AM17" s="1400"/>
      <c r="AN17" s="1399"/>
      <c r="AO17" s="1399"/>
      <c r="AP17" s="1400"/>
      <c r="AQ17" s="1399"/>
      <c r="AR17" s="1399"/>
      <c r="AS17" s="1400"/>
      <c r="AT17" s="1399"/>
      <c r="AU17" s="1399"/>
      <c r="AV17" s="1400"/>
      <c r="AW17" s="1398"/>
      <c r="AX17" s="1399"/>
      <c r="AY17" s="1400"/>
      <c r="AZ17" s="1399"/>
      <c r="BA17" s="1399"/>
      <c r="BB17" s="1400"/>
      <c r="BC17" s="1399"/>
      <c r="BD17" s="1399"/>
      <c r="BE17" s="1400"/>
      <c r="BF17" s="1399"/>
      <c r="BG17" s="1399"/>
      <c r="BH17" s="1400"/>
      <c r="BI17" s="1399"/>
      <c r="BJ17" s="1399">
        <v>9</v>
      </c>
      <c r="BK17" s="1400">
        <v>12</v>
      </c>
    </row>
    <row r="18" spans="2:63" ht="15" customHeight="1" x14ac:dyDescent="0.25">
      <c r="B18" s="5841"/>
      <c r="C18" s="1397" t="s">
        <v>322</v>
      </c>
      <c r="D18" s="1398">
        <v>14</v>
      </c>
      <c r="E18" s="1399">
        <v>13</v>
      </c>
      <c r="F18" s="1399">
        <v>31</v>
      </c>
      <c r="G18" s="1398">
        <v>26</v>
      </c>
      <c r="H18" s="1399">
        <v>24</v>
      </c>
      <c r="I18" s="1399">
        <v>20</v>
      </c>
      <c r="J18" s="1398">
        <v>18</v>
      </c>
      <c r="K18" s="1399">
        <v>17</v>
      </c>
      <c r="L18" s="1400">
        <v>23</v>
      </c>
      <c r="M18" s="1399">
        <v>18</v>
      </c>
      <c r="N18" s="1399">
        <v>21</v>
      </c>
      <c r="O18" s="1400">
        <v>13</v>
      </c>
      <c r="P18" s="1399">
        <v>12</v>
      </c>
      <c r="Q18" s="1399">
        <v>15</v>
      </c>
      <c r="R18" s="1400">
        <v>21</v>
      </c>
      <c r="S18" s="1399">
        <v>17</v>
      </c>
      <c r="T18" s="1399">
        <v>16</v>
      </c>
      <c r="U18" s="1400">
        <v>18</v>
      </c>
      <c r="V18" s="1399">
        <v>18</v>
      </c>
      <c r="W18" s="1399">
        <v>17</v>
      </c>
      <c r="X18" s="1400">
        <v>18</v>
      </c>
      <c r="Y18" s="1399">
        <v>14</v>
      </c>
      <c r="Z18" s="1399">
        <v>15</v>
      </c>
      <c r="AA18" s="1400">
        <v>15</v>
      </c>
      <c r="AB18" s="1399">
        <v>14</v>
      </c>
      <c r="AC18" s="1399">
        <v>13</v>
      </c>
      <c r="AD18" s="1400">
        <v>17</v>
      </c>
      <c r="AE18" s="1399">
        <v>16</v>
      </c>
      <c r="AF18" s="1399">
        <v>17</v>
      </c>
      <c r="AG18" s="1400">
        <v>18</v>
      </c>
      <c r="AH18" s="1399">
        <v>17</v>
      </c>
      <c r="AI18" s="1399">
        <v>16</v>
      </c>
      <c r="AJ18" s="1400">
        <v>19</v>
      </c>
      <c r="AK18" s="1399">
        <v>18</v>
      </c>
      <c r="AL18" s="1399">
        <v>19</v>
      </c>
      <c r="AM18" s="1400">
        <v>18</v>
      </c>
      <c r="AN18" s="1399">
        <v>17</v>
      </c>
      <c r="AO18" s="1399">
        <v>19</v>
      </c>
      <c r="AP18" s="1400">
        <v>21</v>
      </c>
      <c r="AQ18" s="1399">
        <v>21</v>
      </c>
      <c r="AR18" s="1399">
        <v>23</v>
      </c>
      <c r="AS18" s="1400">
        <v>20</v>
      </c>
      <c r="AT18" s="1399">
        <v>20</v>
      </c>
      <c r="AU18" s="1399">
        <v>20</v>
      </c>
      <c r="AV18" s="1400">
        <v>21</v>
      </c>
      <c r="AW18" s="1398">
        <v>20</v>
      </c>
      <c r="AX18" s="1399">
        <v>20</v>
      </c>
      <c r="AY18" s="1400">
        <v>15</v>
      </c>
      <c r="AZ18" s="1399">
        <v>15</v>
      </c>
      <c r="BA18" s="1399">
        <v>14</v>
      </c>
      <c r="BB18" s="1400">
        <v>16</v>
      </c>
      <c r="BC18" s="1399">
        <v>16</v>
      </c>
      <c r="BD18" s="1399">
        <v>16</v>
      </c>
      <c r="BE18" s="1400">
        <v>9</v>
      </c>
      <c r="BF18" s="1399">
        <v>8</v>
      </c>
      <c r="BG18" s="1399">
        <v>9</v>
      </c>
      <c r="BH18" s="1400">
        <v>13</v>
      </c>
      <c r="BI18" s="1399">
        <v>12</v>
      </c>
      <c r="BJ18" s="1399">
        <v>11</v>
      </c>
      <c r="BK18" s="1400">
        <v>9</v>
      </c>
    </row>
    <row r="19" spans="2:63" ht="15" customHeight="1" x14ac:dyDescent="0.3">
      <c r="B19" s="5841"/>
      <c r="C19" s="1401" t="s">
        <v>324</v>
      </c>
      <c r="D19" s="129"/>
      <c r="E19" s="130"/>
      <c r="F19" s="130"/>
      <c r="G19" s="129"/>
      <c r="H19" s="130"/>
      <c r="I19" s="130">
        <v>18</v>
      </c>
      <c r="J19" s="129">
        <v>17</v>
      </c>
      <c r="K19" s="130">
        <v>15</v>
      </c>
      <c r="L19" s="396">
        <v>9</v>
      </c>
      <c r="M19" s="130">
        <v>7</v>
      </c>
      <c r="N19" s="130">
        <v>7</v>
      </c>
      <c r="O19" s="396">
        <v>20</v>
      </c>
      <c r="P19" s="130">
        <v>17</v>
      </c>
      <c r="Q19" s="130">
        <v>17</v>
      </c>
      <c r="R19" s="396">
        <v>13</v>
      </c>
      <c r="S19" s="130">
        <v>9</v>
      </c>
      <c r="T19" s="130">
        <v>10</v>
      </c>
      <c r="U19" s="396">
        <v>13</v>
      </c>
      <c r="V19" s="130">
        <v>12</v>
      </c>
      <c r="W19" s="130">
        <v>9</v>
      </c>
      <c r="X19" s="396"/>
      <c r="Y19" s="130" t="s">
        <v>122</v>
      </c>
      <c r="Z19" s="130" t="s">
        <v>122</v>
      </c>
      <c r="AA19" s="396">
        <v>12</v>
      </c>
      <c r="AB19" s="130">
        <v>11</v>
      </c>
      <c r="AC19" s="130">
        <v>9</v>
      </c>
      <c r="AD19" s="396">
        <v>10</v>
      </c>
      <c r="AE19" s="130">
        <v>9</v>
      </c>
      <c r="AF19" s="130">
        <v>10</v>
      </c>
      <c r="AG19" s="396"/>
      <c r="AH19" s="130"/>
      <c r="AI19" s="130">
        <v>1</v>
      </c>
      <c r="AJ19" s="396">
        <v>10</v>
      </c>
      <c r="AK19" s="130">
        <v>9</v>
      </c>
      <c r="AL19" s="130">
        <v>7</v>
      </c>
      <c r="AM19" s="396"/>
      <c r="AN19" s="130"/>
      <c r="AO19" s="130"/>
      <c r="AP19" s="396">
        <v>9</v>
      </c>
      <c r="AQ19" s="130">
        <v>6</v>
      </c>
      <c r="AR19" s="130">
        <v>5</v>
      </c>
      <c r="AS19" s="396"/>
      <c r="AT19" s="130"/>
      <c r="AU19" s="130"/>
      <c r="AV19" s="396"/>
      <c r="AW19" s="129"/>
      <c r="AX19" s="130"/>
      <c r="AY19" s="396"/>
      <c r="AZ19" s="130"/>
      <c r="BA19" s="130">
        <v>7</v>
      </c>
      <c r="BB19" s="396">
        <v>7</v>
      </c>
      <c r="BC19" s="130">
        <v>7</v>
      </c>
      <c r="BD19" s="130"/>
      <c r="BE19" s="396"/>
      <c r="BF19" s="130"/>
      <c r="BG19" s="130"/>
      <c r="BH19" s="396"/>
      <c r="BI19" s="130"/>
      <c r="BJ19" s="130"/>
      <c r="BK19" s="396"/>
    </row>
    <row r="20" spans="2:63" ht="15" customHeight="1" x14ac:dyDescent="0.3">
      <c r="B20" s="5842"/>
      <c r="C20" s="1401" t="s">
        <v>326</v>
      </c>
      <c r="D20" s="129"/>
      <c r="E20" s="130"/>
      <c r="F20" s="130"/>
      <c r="G20" s="129"/>
      <c r="H20" s="130"/>
      <c r="I20" s="130"/>
      <c r="J20" s="129"/>
      <c r="K20" s="130"/>
      <c r="L20" s="396"/>
      <c r="M20" s="130"/>
      <c r="N20" s="130"/>
      <c r="O20" s="396"/>
      <c r="P20" s="130"/>
      <c r="Q20" s="130"/>
      <c r="R20" s="396">
        <v>5</v>
      </c>
      <c r="S20" s="130">
        <v>1</v>
      </c>
      <c r="T20" s="130">
        <v>1</v>
      </c>
      <c r="U20" s="396"/>
      <c r="V20" s="130">
        <v>1</v>
      </c>
      <c r="W20" s="130">
        <v>1</v>
      </c>
      <c r="X20" s="396">
        <v>1</v>
      </c>
      <c r="Y20" s="130"/>
      <c r="Z20" s="130"/>
      <c r="AA20" s="396"/>
      <c r="AB20" s="130">
        <v>1</v>
      </c>
      <c r="AC20" s="130">
        <v>1</v>
      </c>
      <c r="AD20" s="396"/>
      <c r="AE20" s="130"/>
      <c r="AF20" s="130">
        <v>1</v>
      </c>
      <c r="AG20" s="396">
        <v>1</v>
      </c>
      <c r="AH20" s="130">
        <v>1</v>
      </c>
      <c r="AI20" s="130">
        <v>1</v>
      </c>
      <c r="AJ20" s="396">
        <v>1</v>
      </c>
      <c r="AK20" s="130"/>
      <c r="AL20" s="130"/>
      <c r="AM20" s="396"/>
      <c r="AN20" s="130"/>
      <c r="AO20" s="130"/>
      <c r="AP20" s="396"/>
      <c r="AQ20" s="130"/>
      <c r="AR20" s="130"/>
      <c r="AS20" s="396"/>
      <c r="AT20" s="130"/>
      <c r="AU20" s="130"/>
      <c r="AV20" s="396"/>
      <c r="AW20" s="129"/>
      <c r="AX20" s="130"/>
      <c r="AY20" s="396"/>
      <c r="AZ20" s="130"/>
      <c r="BA20" s="130"/>
      <c r="BB20" s="396"/>
      <c r="BC20" s="130"/>
      <c r="BD20" s="130"/>
      <c r="BE20" s="396"/>
      <c r="BF20" s="130"/>
      <c r="BG20" s="130"/>
      <c r="BH20" s="396"/>
      <c r="BI20" s="130"/>
      <c r="BJ20" s="130"/>
      <c r="BK20" s="396"/>
    </row>
    <row r="21" spans="2:63" ht="15" customHeight="1" x14ac:dyDescent="0.3">
      <c r="B21" s="5837" t="s">
        <v>310</v>
      </c>
      <c r="C21" s="4448" t="s">
        <v>326</v>
      </c>
      <c r="D21" s="4441"/>
      <c r="E21" s="4442"/>
      <c r="F21" s="4442"/>
      <c r="G21" s="4441"/>
      <c r="H21" s="4442"/>
      <c r="I21" s="4442"/>
      <c r="J21" s="4441"/>
      <c r="K21" s="4442"/>
      <c r="L21" s="4443"/>
      <c r="M21" s="4442"/>
      <c r="N21" s="4442"/>
      <c r="O21" s="4443"/>
      <c r="P21" s="4442"/>
      <c r="Q21" s="4442"/>
      <c r="R21" s="4443">
        <v>10</v>
      </c>
      <c r="S21" s="4442">
        <v>10</v>
      </c>
      <c r="T21" s="4442">
        <v>9</v>
      </c>
      <c r="U21" s="4443">
        <v>9</v>
      </c>
      <c r="V21" s="4442">
        <v>8</v>
      </c>
      <c r="W21" s="4442">
        <v>8</v>
      </c>
      <c r="X21" s="4443">
        <v>22</v>
      </c>
      <c r="Y21" s="4442">
        <v>21</v>
      </c>
      <c r="Z21" s="4442">
        <v>19</v>
      </c>
      <c r="AA21" s="4443">
        <v>16</v>
      </c>
      <c r="AB21" s="4442">
        <v>15</v>
      </c>
      <c r="AC21" s="4442">
        <v>13</v>
      </c>
      <c r="AD21" s="4443">
        <v>15</v>
      </c>
      <c r="AE21" s="4442">
        <v>8</v>
      </c>
      <c r="AF21" s="4442">
        <v>9</v>
      </c>
      <c r="AG21" s="4443">
        <v>8</v>
      </c>
      <c r="AH21" s="4442">
        <v>8</v>
      </c>
      <c r="AI21" s="4442">
        <v>8</v>
      </c>
      <c r="AJ21" s="4443">
        <v>20</v>
      </c>
      <c r="AK21" s="4442">
        <v>18</v>
      </c>
      <c r="AL21" s="4442">
        <v>12</v>
      </c>
      <c r="AM21" s="4443">
        <v>12</v>
      </c>
      <c r="AN21" s="4442">
        <v>12</v>
      </c>
      <c r="AO21" s="4442">
        <v>10</v>
      </c>
      <c r="AP21" s="4443">
        <v>14</v>
      </c>
      <c r="AQ21" s="4442">
        <v>10</v>
      </c>
      <c r="AR21" s="4442">
        <v>9</v>
      </c>
      <c r="AS21" s="4443">
        <v>10</v>
      </c>
      <c r="AT21" s="4442">
        <v>7</v>
      </c>
      <c r="AU21" s="4442">
        <v>8</v>
      </c>
      <c r="AV21" s="4443">
        <v>7</v>
      </c>
      <c r="AW21" s="4441">
        <v>9</v>
      </c>
      <c r="AX21" s="4442">
        <v>10</v>
      </c>
      <c r="AY21" s="4443">
        <v>10</v>
      </c>
      <c r="AZ21" s="4442">
        <v>9</v>
      </c>
      <c r="BA21" s="4442">
        <v>7</v>
      </c>
      <c r="BB21" s="4443">
        <v>9</v>
      </c>
      <c r="BC21" s="4442">
        <v>9</v>
      </c>
      <c r="BD21" s="4442">
        <v>9</v>
      </c>
      <c r="BE21" s="4443">
        <v>9</v>
      </c>
      <c r="BF21" s="4442">
        <v>9</v>
      </c>
      <c r="BG21" s="4442">
        <v>9</v>
      </c>
      <c r="BH21" s="4443">
        <v>8</v>
      </c>
      <c r="BI21" s="4442">
        <v>5</v>
      </c>
      <c r="BJ21" s="4442">
        <v>5</v>
      </c>
      <c r="BK21" s="4443">
        <v>5</v>
      </c>
    </row>
    <row r="22" spans="2:63" ht="15" customHeight="1" x14ac:dyDescent="0.3">
      <c r="B22" s="5838"/>
      <c r="C22" s="4448" t="s">
        <v>327</v>
      </c>
      <c r="D22" s="4441">
        <v>13</v>
      </c>
      <c r="E22" s="4442">
        <v>16</v>
      </c>
      <c r="F22" s="4442">
        <v>14</v>
      </c>
      <c r="G22" s="4441">
        <v>13</v>
      </c>
      <c r="H22" s="4442">
        <v>13</v>
      </c>
      <c r="I22" s="4442">
        <v>28</v>
      </c>
      <c r="J22" s="4441">
        <v>21</v>
      </c>
      <c r="K22" s="4442">
        <v>20</v>
      </c>
      <c r="L22" s="4443">
        <v>17</v>
      </c>
      <c r="M22" s="4442">
        <v>17</v>
      </c>
      <c r="N22" s="4442">
        <v>17</v>
      </c>
      <c r="O22" s="4443"/>
      <c r="P22" s="4442"/>
      <c r="Q22" s="4442"/>
      <c r="R22" s="4443"/>
      <c r="S22" s="4442"/>
      <c r="T22" s="4442">
        <v>1</v>
      </c>
      <c r="U22" s="4443"/>
      <c r="V22" s="4442"/>
      <c r="W22" s="4442"/>
      <c r="X22" s="4443"/>
      <c r="Y22" s="4442">
        <v>18</v>
      </c>
      <c r="Z22" s="4442">
        <v>16</v>
      </c>
      <c r="AA22" s="4443">
        <v>16</v>
      </c>
      <c r="AB22" s="4442">
        <v>1</v>
      </c>
      <c r="AC22" s="4442">
        <v>2</v>
      </c>
      <c r="AD22" s="4443"/>
      <c r="AE22" s="4442"/>
      <c r="AF22" s="4442"/>
      <c r="AG22" s="4443"/>
      <c r="AH22" s="4442"/>
      <c r="AI22" s="4442"/>
      <c r="AJ22" s="4443"/>
      <c r="AK22" s="4442"/>
      <c r="AL22" s="4442"/>
      <c r="AM22" s="4443"/>
      <c r="AN22" s="4442"/>
      <c r="AO22" s="4442"/>
      <c r="AP22" s="4443"/>
      <c r="AQ22" s="4442"/>
      <c r="AR22" s="4442"/>
      <c r="AS22" s="4443"/>
      <c r="AT22" s="4442"/>
      <c r="AU22" s="4442"/>
      <c r="AV22" s="4443"/>
      <c r="AW22" s="4441"/>
      <c r="AX22" s="4442"/>
      <c r="AY22" s="4443"/>
      <c r="AZ22" s="4442"/>
      <c r="BA22" s="4442"/>
      <c r="BB22" s="4443"/>
      <c r="BC22" s="4442"/>
      <c r="BD22" s="4442"/>
      <c r="BE22" s="4443"/>
      <c r="BF22" s="4442"/>
      <c r="BG22" s="4442"/>
      <c r="BH22" s="4443"/>
      <c r="BI22" s="4442"/>
      <c r="BJ22" s="4442"/>
      <c r="BK22" s="4443"/>
    </row>
    <row r="23" spans="2:63" ht="15" customHeight="1" x14ac:dyDescent="0.3">
      <c r="B23" s="5838"/>
      <c r="C23" s="4448" t="s">
        <v>328</v>
      </c>
      <c r="D23" s="4441"/>
      <c r="E23" s="4442"/>
      <c r="F23" s="4442"/>
      <c r="G23" s="4441"/>
      <c r="H23" s="4442"/>
      <c r="I23" s="4442"/>
      <c r="J23" s="4441"/>
      <c r="K23" s="4442"/>
      <c r="L23" s="4443">
        <v>1</v>
      </c>
      <c r="M23" s="4442">
        <v>2</v>
      </c>
      <c r="N23" s="4442"/>
      <c r="O23" s="4443">
        <v>1</v>
      </c>
      <c r="P23" s="4442">
        <v>1</v>
      </c>
      <c r="Q23" s="4442"/>
      <c r="R23" s="4443">
        <v>11</v>
      </c>
      <c r="S23" s="4442"/>
      <c r="T23" s="4442"/>
      <c r="U23" s="4443">
        <v>14</v>
      </c>
      <c r="V23" s="4442"/>
      <c r="W23" s="4442"/>
      <c r="X23" s="4443">
        <v>19</v>
      </c>
      <c r="Y23" s="4442" t="s">
        <v>122</v>
      </c>
      <c r="Z23" s="4442" t="s">
        <v>122</v>
      </c>
      <c r="AA23" s="4443">
        <v>25</v>
      </c>
      <c r="AB23" s="4442">
        <v>1</v>
      </c>
      <c r="AC23" s="4442">
        <v>1</v>
      </c>
      <c r="AD23" s="4443"/>
      <c r="AE23" s="4442">
        <v>1</v>
      </c>
      <c r="AF23" s="4442"/>
      <c r="AG23" s="4443"/>
      <c r="AH23" s="4442"/>
      <c r="AI23" s="4442"/>
      <c r="AJ23" s="4443"/>
      <c r="AK23" s="4442"/>
      <c r="AL23" s="4442"/>
      <c r="AM23" s="4443"/>
      <c r="AN23" s="4442"/>
      <c r="AO23" s="4442"/>
      <c r="AP23" s="4443"/>
      <c r="AQ23" s="4442"/>
      <c r="AR23" s="4442"/>
      <c r="AS23" s="4443"/>
      <c r="AT23" s="4442"/>
      <c r="AU23" s="4442"/>
      <c r="AV23" s="4443"/>
      <c r="AW23" s="4441"/>
      <c r="AX23" s="4442"/>
      <c r="AY23" s="4443"/>
      <c r="AZ23" s="4442"/>
      <c r="BA23" s="4442"/>
      <c r="BB23" s="4443"/>
      <c r="BC23" s="4442">
        <v>11</v>
      </c>
      <c r="BD23" s="4442">
        <v>10</v>
      </c>
      <c r="BE23" s="4443">
        <v>10</v>
      </c>
      <c r="BF23" s="4442">
        <v>10</v>
      </c>
      <c r="BG23" s="4442">
        <v>10</v>
      </c>
      <c r="BH23" s="4443">
        <v>10</v>
      </c>
      <c r="BI23" s="4442">
        <v>1</v>
      </c>
      <c r="BJ23" s="4442"/>
      <c r="BK23" s="4443"/>
    </row>
    <row r="24" spans="2:63" ht="15" customHeight="1" x14ac:dyDescent="0.3">
      <c r="B24" s="5838"/>
      <c r="C24" s="4448" t="s">
        <v>329</v>
      </c>
      <c r="D24" s="4441"/>
      <c r="E24" s="4442"/>
      <c r="F24" s="4442"/>
      <c r="G24" s="4441"/>
      <c r="H24" s="4442"/>
      <c r="I24" s="4442"/>
      <c r="J24" s="4441"/>
      <c r="K24" s="4442"/>
      <c r="L24" s="4443">
        <v>20</v>
      </c>
      <c r="M24" s="4442">
        <v>19</v>
      </c>
      <c r="N24" s="4442">
        <v>19</v>
      </c>
      <c r="O24" s="4443">
        <v>19</v>
      </c>
      <c r="P24" s="4442">
        <v>19</v>
      </c>
      <c r="Q24" s="4442">
        <v>19</v>
      </c>
      <c r="R24" s="4443">
        <v>25</v>
      </c>
      <c r="S24" s="4442">
        <v>24</v>
      </c>
      <c r="T24" s="4442">
        <v>22</v>
      </c>
      <c r="U24" s="4443">
        <v>22</v>
      </c>
      <c r="V24" s="4442">
        <v>22</v>
      </c>
      <c r="W24" s="4442">
        <v>21</v>
      </c>
      <c r="X24" s="4443">
        <v>17</v>
      </c>
      <c r="Y24" s="4442">
        <v>13</v>
      </c>
      <c r="Z24" s="4442">
        <v>14</v>
      </c>
      <c r="AA24" s="4443">
        <v>15</v>
      </c>
      <c r="AB24" s="4442">
        <v>13</v>
      </c>
      <c r="AC24" s="4442">
        <v>13</v>
      </c>
      <c r="AD24" s="4443">
        <v>3</v>
      </c>
      <c r="AE24" s="4442">
        <v>15</v>
      </c>
      <c r="AF24" s="4442">
        <v>14</v>
      </c>
      <c r="AG24" s="4443">
        <v>15</v>
      </c>
      <c r="AH24" s="4442">
        <v>14</v>
      </c>
      <c r="AI24" s="4442">
        <v>14</v>
      </c>
      <c r="AJ24" s="4443">
        <v>14</v>
      </c>
      <c r="AK24" s="4442">
        <v>33</v>
      </c>
      <c r="AL24" s="4442">
        <v>25</v>
      </c>
      <c r="AM24" s="4443">
        <v>24</v>
      </c>
      <c r="AN24" s="4442">
        <v>22</v>
      </c>
      <c r="AO24" s="4442">
        <v>24</v>
      </c>
      <c r="AP24" s="4443">
        <v>42</v>
      </c>
      <c r="AQ24" s="4442">
        <v>39</v>
      </c>
      <c r="AR24" s="4442">
        <v>18</v>
      </c>
      <c r="AS24" s="4443">
        <v>22</v>
      </c>
      <c r="AT24" s="4442">
        <v>19</v>
      </c>
      <c r="AU24" s="4442">
        <v>19</v>
      </c>
      <c r="AV24" s="4443">
        <v>39</v>
      </c>
      <c r="AW24" s="4441">
        <v>32</v>
      </c>
      <c r="AX24" s="4442">
        <v>30</v>
      </c>
      <c r="AY24" s="4443">
        <v>22</v>
      </c>
      <c r="AZ24" s="4442">
        <v>21</v>
      </c>
      <c r="BA24" s="4442">
        <v>19</v>
      </c>
      <c r="BB24" s="4443">
        <v>33</v>
      </c>
      <c r="BC24" s="4442">
        <v>31</v>
      </c>
      <c r="BD24" s="4442">
        <v>18</v>
      </c>
      <c r="BE24" s="4443">
        <v>20</v>
      </c>
      <c r="BF24" s="4442">
        <v>18</v>
      </c>
      <c r="BG24" s="4442">
        <v>18</v>
      </c>
      <c r="BH24" s="4443">
        <v>18</v>
      </c>
      <c r="BI24" s="4442">
        <v>43</v>
      </c>
      <c r="BJ24" s="4442">
        <v>37</v>
      </c>
      <c r="BK24" s="4443">
        <v>36</v>
      </c>
    </row>
    <row r="25" spans="2:63" ht="15" customHeight="1" x14ac:dyDescent="0.3">
      <c r="B25" s="5838"/>
      <c r="C25" s="4448" t="s">
        <v>331</v>
      </c>
      <c r="D25" s="4441"/>
      <c r="E25" s="4442"/>
      <c r="F25" s="4442"/>
      <c r="G25" s="4441"/>
      <c r="H25" s="4442"/>
      <c r="I25" s="4442"/>
      <c r="J25" s="4441"/>
      <c r="K25" s="4442"/>
      <c r="L25" s="4443"/>
      <c r="M25" s="4442"/>
      <c r="N25" s="4442"/>
      <c r="O25" s="4443"/>
      <c r="P25" s="4442"/>
      <c r="Q25" s="4442"/>
      <c r="R25" s="4443"/>
      <c r="S25" s="4442"/>
      <c r="T25" s="4442"/>
      <c r="U25" s="4443"/>
      <c r="V25" s="4442"/>
      <c r="W25" s="4442"/>
      <c r="X25" s="4443"/>
      <c r="Y25" s="4442"/>
      <c r="Z25" s="4442"/>
      <c r="AA25" s="4443"/>
      <c r="AB25" s="4442"/>
      <c r="AC25" s="4442"/>
      <c r="AD25" s="4443"/>
      <c r="AE25" s="4442"/>
      <c r="AF25" s="4442"/>
      <c r="AG25" s="4443">
        <v>8</v>
      </c>
      <c r="AH25" s="4442">
        <v>12</v>
      </c>
      <c r="AI25" s="4442">
        <v>12</v>
      </c>
      <c r="AJ25" s="4443">
        <v>12</v>
      </c>
      <c r="AK25" s="4442">
        <v>12</v>
      </c>
      <c r="AL25" s="4442">
        <v>12</v>
      </c>
      <c r="AM25" s="4443">
        <v>22</v>
      </c>
      <c r="AN25" s="4442">
        <v>19</v>
      </c>
      <c r="AO25" s="4442">
        <v>18</v>
      </c>
      <c r="AP25" s="4443">
        <v>18</v>
      </c>
      <c r="AQ25" s="4442">
        <v>18</v>
      </c>
      <c r="AR25" s="4442">
        <v>18</v>
      </c>
      <c r="AS25" s="4443">
        <v>15</v>
      </c>
      <c r="AT25" s="4442">
        <v>24</v>
      </c>
      <c r="AU25" s="4442">
        <v>20</v>
      </c>
      <c r="AV25" s="4443">
        <v>19</v>
      </c>
      <c r="AW25" s="4441">
        <v>19</v>
      </c>
      <c r="AX25" s="4442">
        <v>18</v>
      </c>
      <c r="AY25" s="4443">
        <v>18</v>
      </c>
      <c r="AZ25" s="4442">
        <v>20</v>
      </c>
      <c r="BA25" s="4442">
        <v>18</v>
      </c>
      <c r="BB25" s="4443">
        <v>19</v>
      </c>
      <c r="BC25" s="4442">
        <v>18</v>
      </c>
      <c r="BD25" s="4442">
        <v>18</v>
      </c>
      <c r="BE25" s="4443"/>
      <c r="BF25" s="4442">
        <v>20</v>
      </c>
      <c r="BG25" s="4442">
        <v>19</v>
      </c>
      <c r="BH25" s="4443">
        <v>19</v>
      </c>
      <c r="BI25" s="4442">
        <v>19</v>
      </c>
      <c r="BJ25" s="4442">
        <v>19</v>
      </c>
      <c r="BK25" s="4443">
        <v>17</v>
      </c>
    </row>
    <row r="26" spans="2:63" ht="15" customHeight="1" x14ac:dyDescent="0.3">
      <c r="B26" s="5838"/>
      <c r="C26" s="4448" t="s">
        <v>330</v>
      </c>
      <c r="D26" s="4441">
        <v>18</v>
      </c>
      <c r="E26" s="4442">
        <v>12</v>
      </c>
      <c r="F26" s="4442">
        <v>12</v>
      </c>
      <c r="G26" s="4441">
        <v>16</v>
      </c>
      <c r="H26" s="4442">
        <v>9</v>
      </c>
      <c r="I26" s="4442">
        <v>10</v>
      </c>
      <c r="J26" s="4441">
        <v>17</v>
      </c>
      <c r="K26" s="4442">
        <v>16</v>
      </c>
      <c r="L26" s="4443">
        <v>16</v>
      </c>
      <c r="M26" s="4442">
        <v>7</v>
      </c>
      <c r="N26" s="4442">
        <v>8</v>
      </c>
      <c r="O26" s="4443">
        <v>8</v>
      </c>
      <c r="P26" s="4442">
        <v>20</v>
      </c>
      <c r="Q26" s="4442">
        <v>15</v>
      </c>
      <c r="R26" s="4443">
        <v>16</v>
      </c>
      <c r="S26" s="4442">
        <v>26</v>
      </c>
      <c r="T26" s="4442">
        <v>27</v>
      </c>
      <c r="U26" s="4443">
        <v>26</v>
      </c>
      <c r="V26" s="4442">
        <v>9</v>
      </c>
      <c r="W26" s="4442">
        <v>14</v>
      </c>
      <c r="X26" s="4443">
        <v>29</v>
      </c>
      <c r="Y26" s="4442">
        <v>22</v>
      </c>
      <c r="Z26" s="4442">
        <v>16</v>
      </c>
      <c r="AA26" s="4443">
        <v>24</v>
      </c>
      <c r="AB26" s="4442">
        <v>24</v>
      </c>
      <c r="AC26" s="4442">
        <v>23</v>
      </c>
      <c r="AD26" s="4443">
        <v>34</v>
      </c>
      <c r="AE26" s="4442">
        <v>25</v>
      </c>
      <c r="AF26" s="4442">
        <v>21</v>
      </c>
      <c r="AG26" s="4443">
        <v>30</v>
      </c>
      <c r="AH26" s="4442">
        <v>25</v>
      </c>
      <c r="AI26" s="4442">
        <v>25</v>
      </c>
      <c r="AJ26" s="4443">
        <v>30</v>
      </c>
      <c r="AK26" s="4442">
        <v>30</v>
      </c>
      <c r="AL26" s="4442">
        <v>32</v>
      </c>
      <c r="AM26" s="4443">
        <v>28</v>
      </c>
      <c r="AN26" s="4442">
        <v>32</v>
      </c>
      <c r="AO26" s="4442">
        <v>30</v>
      </c>
      <c r="AP26" s="4443">
        <v>22</v>
      </c>
      <c r="AQ26" s="4442">
        <v>15</v>
      </c>
      <c r="AR26" s="4442">
        <v>10</v>
      </c>
      <c r="AS26" s="4443">
        <v>16</v>
      </c>
      <c r="AT26" s="4442">
        <v>14</v>
      </c>
      <c r="AU26" s="4442">
        <v>15</v>
      </c>
      <c r="AV26" s="4443">
        <v>25</v>
      </c>
      <c r="AW26" s="4441">
        <v>22</v>
      </c>
      <c r="AX26" s="4442">
        <v>22</v>
      </c>
      <c r="AY26" s="4443">
        <v>31</v>
      </c>
      <c r="AZ26" s="4442">
        <v>23</v>
      </c>
      <c r="BA26" s="4442">
        <v>22</v>
      </c>
      <c r="BB26" s="4443">
        <v>30</v>
      </c>
      <c r="BC26" s="4442">
        <v>29</v>
      </c>
      <c r="BD26" s="4442">
        <v>24</v>
      </c>
      <c r="BE26" s="4443">
        <v>13</v>
      </c>
      <c r="BF26" s="4442">
        <v>21</v>
      </c>
      <c r="BG26" s="4442">
        <v>21</v>
      </c>
      <c r="BH26" s="4443">
        <v>12</v>
      </c>
      <c r="BI26" s="4442">
        <v>15</v>
      </c>
      <c r="BJ26" s="4442">
        <v>15</v>
      </c>
      <c r="BK26" s="4443">
        <v>19</v>
      </c>
    </row>
    <row r="27" spans="2:63" ht="15" customHeight="1" x14ac:dyDescent="0.3">
      <c r="B27" s="5838"/>
      <c r="C27" s="4447" t="s">
        <v>332</v>
      </c>
      <c r="D27" s="4444">
        <v>20</v>
      </c>
      <c r="E27" s="4445">
        <v>20</v>
      </c>
      <c r="F27" s="4445"/>
      <c r="G27" s="4444">
        <v>11</v>
      </c>
      <c r="H27" s="4445">
        <v>7</v>
      </c>
      <c r="I27" s="4445">
        <v>7</v>
      </c>
      <c r="J27" s="4444">
        <v>7</v>
      </c>
      <c r="K27" s="4445">
        <v>7</v>
      </c>
      <c r="L27" s="4446">
        <v>7</v>
      </c>
      <c r="M27" s="4445">
        <v>15</v>
      </c>
      <c r="N27" s="4445">
        <v>15</v>
      </c>
      <c r="O27" s="4446">
        <v>15</v>
      </c>
      <c r="P27" s="4445">
        <v>16</v>
      </c>
      <c r="Q27" s="4445">
        <v>15</v>
      </c>
      <c r="R27" s="4446">
        <v>15</v>
      </c>
      <c r="S27" s="4445">
        <v>18</v>
      </c>
      <c r="T27" s="4445">
        <v>16</v>
      </c>
      <c r="U27" s="4446">
        <v>15</v>
      </c>
      <c r="V27" s="4445">
        <v>15</v>
      </c>
      <c r="W27" s="4445">
        <v>13</v>
      </c>
      <c r="X27" s="4446">
        <v>31</v>
      </c>
      <c r="Y27" s="4445">
        <v>1</v>
      </c>
      <c r="Z27" s="4445"/>
      <c r="AA27" s="4446">
        <v>1</v>
      </c>
      <c r="AB27" s="4445">
        <v>15</v>
      </c>
      <c r="AC27" s="4445">
        <v>15</v>
      </c>
      <c r="AD27" s="4446">
        <v>25</v>
      </c>
      <c r="AE27" s="4445">
        <v>25</v>
      </c>
      <c r="AF27" s="4445">
        <v>24</v>
      </c>
      <c r="AG27" s="4446">
        <v>25</v>
      </c>
      <c r="AH27" s="4445">
        <v>24</v>
      </c>
      <c r="AI27" s="4445">
        <v>24</v>
      </c>
      <c r="AJ27" s="4446">
        <v>25</v>
      </c>
      <c r="AK27" s="4445">
        <v>26</v>
      </c>
      <c r="AL27" s="4445">
        <v>26</v>
      </c>
      <c r="AM27" s="4446">
        <v>23</v>
      </c>
      <c r="AN27" s="4445">
        <v>21</v>
      </c>
      <c r="AO27" s="4445">
        <v>17</v>
      </c>
      <c r="AP27" s="4446">
        <v>11</v>
      </c>
      <c r="AQ27" s="4445">
        <v>11</v>
      </c>
      <c r="AR27" s="4445">
        <v>14</v>
      </c>
      <c r="AS27" s="4446">
        <v>18</v>
      </c>
      <c r="AT27" s="4445">
        <v>17</v>
      </c>
      <c r="AU27" s="4445">
        <v>17</v>
      </c>
      <c r="AV27" s="4446">
        <v>12</v>
      </c>
      <c r="AW27" s="4444">
        <v>10</v>
      </c>
      <c r="AX27" s="4445">
        <v>10</v>
      </c>
      <c r="AY27" s="4446">
        <v>10</v>
      </c>
      <c r="AZ27" s="4445">
        <v>14</v>
      </c>
      <c r="BA27" s="4445">
        <v>13</v>
      </c>
      <c r="BB27" s="4446">
        <v>21</v>
      </c>
      <c r="BC27" s="4445">
        <v>17</v>
      </c>
      <c r="BD27" s="4445">
        <v>16</v>
      </c>
      <c r="BE27" s="4446">
        <v>13</v>
      </c>
      <c r="BF27" s="4445">
        <v>14</v>
      </c>
      <c r="BG27" s="4445">
        <v>14</v>
      </c>
      <c r="BH27" s="4446">
        <v>13</v>
      </c>
      <c r="BI27" s="4445">
        <v>12</v>
      </c>
      <c r="BJ27" s="4445">
        <v>11</v>
      </c>
      <c r="BK27" s="4446">
        <v>31</v>
      </c>
    </row>
    <row r="28" spans="2:63" ht="15" customHeight="1" x14ac:dyDescent="0.3">
      <c r="B28" s="5838"/>
      <c r="C28" s="4447" t="s">
        <v>333</v>
      </c>
      <c r="D28" s="4444"/>
      <c r="E28" s="4445"/>
      <c r="F28" s="4445"/>
      <c r="G28" s="4444"/>
      <c r="H28" s="4445"/>
      <c r="I28" s="4445"/>
      <c r="J28" s="4444"/>
      <c r="K28" s="4445"/>
      <c r="L28" s="4446"/>
      <c r="M28" s="4445"/>
      <c r="N28" s="4445"/>
      <c r="O28" s="4446"/>
      <c r="P28" s="4445"/>
      <c r="Q28" s="4445"/>
      <c r="R28" s="4446"/>
      <c r="S28" s="4445"/>
      <c r="T28" s="4445"/>
      <c r="U28" s="4446"/>
      <c r="V28" s="4445"/>
      <c r="W28" s="4445"/>
      <c r="X28" s="4446"/>
      <c r="Y28" s="4445"/>
      <c r="Z28" s="4445"/>
      <c r="AA28" s="4446"/>
      <c r="AB28" s="4445"/>
      <c r="AC28" s="4445"/>
      <c r="AD28" s="4446"/>
      <c r="AE28" s="4445"/>
      <c r="AF28" s="4445"/>
      <c r="AG28" s="4446"/>
      <c r="AH28" s="4445"/>
      <c r="AI28" s="4445"/>
      <c r="AJ28" s="4446"/>
      <c r="AK28" s="4445"/>
      <c r="AL28" s="4445"/>
      <c r="AM28" s="4446"/>
      <c r="AN28" s="4445"/>
      <c r="AO28" s="4445"/>
      <c r="AP28" s="4446"/>
      <c r="AQ28" s="4445"/>
      <c r="AR28" s="4445"/>
      <c r="AS28" s="4446"/>
      <c r="AT28" s="4445">
        <v>52</v>
      </c>
      <c r="AU28" s="4445">
        <v>42</v>
      </c>
      <c r="AV28" s="4446">
        <v>38</v>
      </c>
      <c r="AW28" s="4444">
        <v>36</v>
      </c>
      <c r="AX28" s="4445">
        <v>36</v>
      </c>
      <c r="AY28" s="4446">
        <v>35</v>
      </c>
      <c r="AZ28" s="4445">
        <v>68</v>
      </c>
      <c r="BA28" s="4445">
        <v>55</v>
      </c>
      <c r="BB28" s="4446">
        <v>39</v>
      </c>
      <c r="BC28" s="4445">
        <v>40</v>
      </c>
      <c r="BD28" s="4445">
        <v>30</v>
      </c>
      <c r="BE28" s="4446">
        <v>34</v>
      </c>
      <c r="BF28" s="4445">
        <v>43</v>
      </c>
      <c r="BG28" s="4445">
        <v>33</v>
      </c>
      <c r="BH28" s="4446">
        <v>34</v>
      </c>
      <c r="BI28" s="4445">
        <v>32</v>
      </c>
      <c r="BJ28" s="4445">
        <v>32</v>
      </c>
      <c r="BK28" s="4446">
        <v>10</v>
      </c>
    </row>
    <row r="29" spans="2:63" ht="15" customHeight="1" x14ac:dyDescent="0.3">
      <c r="B29" s="5839"/>
      <c r="C29" s="4447" t="s">
        <v>334</v>
      </c>
      <c r="D29" s="4444"/>
      <c r="E29" s="4445"/>
      <c r="F29" s="4445"/>
      <c r="G29" s="4444"/>
      <c r="H29" s="4445"/>
      <c r="I29" s="4445"/>
      <c r="J29" s="4444"/>
      <c r="K29" s="4445"/>
      <c r="L29" s="4446"/>
      <c r="M29" s="4445"/>
      <c r="N29" s="4445"/>
      <c r="O29" s="4446"/>
      <c r="P29" s="4445"/>
      <c r="Q29" s="4445"/>
      <c r="R29" s="4446"/>
      <c r="S29" s="4445"/>
      <c r="T29" s="4445"/>
      <c r="U29" s="4446"/>
      <c r="V29" s="4445"/>
      <c r="W29" s="4445"/>
      <c r="X29" s="4446"/>
      <c r="Y29" s="4445"/>
      <c r="Z29" s="4445"/>
      <c r="AA29" s="4446"/>
      <c r="AB29" s="4445"/>
      <c r="AC29" s="4445"/>
      <c r="AD29" s="4446"/>
      <c r="AE29" s="4445"/>
      <c r="AF29" s="4445"/>
      <c r="AG29" s="4446"/>
      <c r="AH29" s="4445"/>
      <c r="AI29" s="4445"/>
      <c r="AJ29" s="4446"/>
      <c r="AK29" s="4445"/>
      <c r="AL29" s="4445"/>
      <c r="AM29" s="4446"/>
      <c r="AN29" s="4445"/>
      <c r="AO29" s="4445"/>
      <c r="AP29" s="4446"/>
      <c r="AQ29" s="4445"/>
      <c r="AR29" s="4445"/>
      <c r="AS29" s="4446"/>
      <c r="AT29" s="4445">
        <v>13</v>
      </c>
      <c r="AU29" s="4445">
        <v>16</v>
      </c>
      <c r="AV29" s="4446">
        <v>15</v>
      </c>
      <c r="AW29" s="4444">
        <v>14</v>
      </c>
      <c r="AX29" s="4445">
        <v>14</v>
      </c>
      <c r="AY29" s="4446">
        <v>14</v>
      </c>
      <c r="AZ29" s="4445">
        <v>12</v>
      </c>
      <c r="BA29" s="4445">
        <v>12</v>
      </c>
      <c r="BB29" s="4446">
        <v>11</v>
      </c>
      <c r="BC29" s="4445">
        <v>11</v>
      </c>
      <c r="BD29" s="4445">
        <v>10</v>
      </c>
      <c r="BE29" s="4446">
        <v>10</v>
      </c>
      <c r="BF29" s="4445">
        <v>14</v>
      </c>
      <c r="BG29" s="4445">
        <v>15</v>
      </c>
      <c r="BH29" s="4446">
        <v>13</v>
      </c>
      <c r="BI29" s="4445">
        <v>12</v>
      </c>
      <c r="BJ29" s="4445">
        <v>12</v>
      </c>
      <c r="BK29" s="4446">
        <v>4</v>
      </c>
    </row>
    <row r="30" spans="2:63" ht="15" customHeight="1" x14ac:dyDescent="0.3">
      <c r="B30" s="5840" t="s">
        <v>317</v>
      </c>
      <c r="C30" s="1402" t="s">
        <v>326</v>
      </c>
      <c r="D30" s="129"/>
      <c r="E30" s="130"/>
      <c r="F30" s="130"/>
      <c r="G30" s="129"/>
      <c r="H30" s="130"/>
      <c r="I30" s="130"/>
      <c r="J30" s="129"/>
      <c r="K30" s="130"/>
      <c r="L30" s="396"/>
      <c r="M30" s="130"/>
      <c r="N30" s="130"/>
      <c r="O30" s="396"/>
      <c r="P30" s="130"/>
      <c r="Q30" s="130"/>
      <c r="R30" s="396">
        <v>16</v>
      </c>
      <c r="S30" s="130">
        <v>12</v>
      </c>
      <c r="T30" s="130">
        <v>12</v>
      </c>
      <c r="U30" s="396">
        <v>12</v>
      </c>
      <c r="V30" s="130">
        <v>12</v>
      </c>
      <c r="W30" s="130">
        <v>12</v>
      </c>
      <c r="X30" s="396">
        <v>17</v>
      </c>
      <c r="Y30" s="130">
        <v>18</v>
      </c>
      <c r="Z30" s="130">
        <v>16</v>
      </c>
      <c r="AA30" s="396">
        <v>6</v>
      </c>
      <c r="AB30" s="130">
        <v>6</v>
      </c>
      <c r="AC30" s="130">
        <v>6</v>
      </c>
      <c r="AD30" s="396">
        <v>16</v>
      </c>
      <c r="AE30" s="130">
        <v>16</v>
      </c>
      <c r="AF30" s="130">
        <v>15</v>
      </c>
      <c r="AG30" s="396">
        <v>10</v>
      </c>
      <c r="AH30" s="130">
        <v>15</v>
      </c>
      <c r="AI30" s="130">
        <v>15</v>
      </c>
      <c r="AJ30" s="396">
        <v>24</v>
      </c>
      <c r="AK30" s="130">
        <v>24</v>
      </c>
      <c r="AL30" s="130">
        <v>20</v>
      </c>
      <c r="AM30" s="396">
        <v>20</v>
      </c>
      <c r="AN30" s="130">
        <v>20</v>
      </c>
      <c r="AO30" s="130">
        <v>20</v>
      </c>
      <c r="AP30" s="396">
        <v>17</v>
      </c>
      <c r="AQ30" s="130">
        <v>17</v>
      </c>
      <c r="AR30" s="130">
        <v>13</v>
      </c>
      <c r="AS30" s="396">
        <v>12</v>
      </c>
      <c r="AT30" s="130">
        <v>12</v>
      </c>
      <c r="AU30" s="130">
        <v>12</v>
      </c>
      <c r="AV30" s="396">
        <v>14</v>
      </c>
      <c r="AW30" s="129">
        <v>16</v>
      </c>
      <c r="AX30" s="130">
        <v>14</v>
      </c>
      <c r="AY30" s="396">
        <v>16</v>
      </c>
      <c r="AZ30" s="130">
        <v>16</v>
      </c>
      <c r="BA30" s="130">
        <v>14</v>
      </c>
      <c r="BB30" s="396">
        <v>16</v>
      </c>
      <c r="BC30" s="130">
        <v>16</v>
      </c>
      <c r="BD30" s="130">
        <v>12</v>
      </c>
      <c r="BE30" s="396">
        <v>16</v>
      </c>
      <c r="BF30" s="130">
        <v>16</v>
      </c>
      <c r="BG30" s="130">
        <v>16</v>
      </c>
      <c r="BH30" s="396">
        <v>19</v>
      </c>
      <c r="BI30" s="130">
        <v>19</v>
      </c>
      <c r="BJ30" s="130">
        <v>20</v>
      </c>
      <c r="BK30" s="396">
        <v>20</v>
      </c>
    </row>
    <row r="31" spans="2:63" ht="15" customHeight="1" x14ac:dyDescent="0.3">
      <c r="B31" s="5841"/>
      <c r="C31" s="1402" t="s">
        <v>1391</v>
      </c>
      <c r="D31" s="129"/>
      <c r="E31" s="130"/>
      <c r="F31" s="130"/>
      <c r="G31" s="129"/>
      <c r="H31" s="130"/>
      <c r="I31" s="130"/>
      <c r="J31" s="129"/>
      <c r="K31" s="130"/>
      <c r="L31" s="396"/>
      <c r="M31" s="130"/>
      <c r="N31" s="130"/>
      <c r="O31" s="396"/>
      <c r="P31" s="130"/>
      <c r="Q31" s="130"/>
      <c r="R31" s="396"/>
      <c r="S31" s="130"/>
      <c r="T31" s="130"/>
      <c r="U31" s="396"/>
      <c r="V31" s="130"/>
      <c r="W31" s="130"/>
      <c r="X31" s="396"/>
      <c r="Y31" s="130"/>
      <c r="Z31" s="130"/>
      <c r="AA31" s="396"/>
      <c r="AB31" s="130"/>
      <c r="AC31" s="130"/>
      <c r="AD31" s="396"/>
      <c r="AE31" s="130"/>
      <c r="AF31" s="130"/>
      <c r="AG31" s="396"/>
      <c r="AH31" s="130"/>
      <c r="AI31" s="130"/>
      <c r="AJ31" s="396"/>
      <c r="AK31" s="130"/>
      <c r="AL31" s="130"/>
      <c r="AM31" s="396"/>
      <c r="AN31" s="130"/>
      <c r="AO31" s="130"/>
      <c r="AP31" s="396"/>
      <c r="AQ31" s="130"/>
      <c r="AR31" s="130"/>
      <c r="AS31" s="396"/>
      <c r="AT31" s="130"/>
      <c r="AU31" s="130"/>
      <c r="AV31" s="396"/>
      <c r="AW31" s="129"/>
      <c r="AX31" s="130"/>
      <c r="AY31" s="396"/>
      <c r="AZ31" s="130"/>
      <c r="BA31" s="130"/>
      <c r="BB31" s="396"/>
      <c r="BC31" s="130"/>
      <c r="BD31" s="130"/>
      <c r="BE31" s="396"/>
      <c r="BF31" s="130"/>
      <c r="BG31" s="130">
        <v>5</v>
      </c>
      <c r="BH31" s="396">
        <v>4</v>
      </c>
      <c r="BI31" s="130">
        <v>5</v>
      </c>
      <c r="BJ31" s="130">
        <v>5</v>
      </c>
      <c r="BK31" s="396">
        <v>11</v>
      </c>
    </row>
    <row r="32" spans="2:63" ht="15" customHeight="1" x14ac:dyDescent="0.3">
      <c r="B32" s="5841"/>
      <c r="C32" s="1402" t="s">
        <v>335</v>
      </c>
      <c r="D32" s="129">
        <v>7</v>
      </c>
      <c r="E32" s="130"/>
      <c r="F32" s="130"/>
      <c r="G32" s="129">
        <v>3</v>
      </c>
      <c r="H32" s="130">
        <v>5</v>
      </c>
      <c r="I32" s="130">
        <v>4</v>
      </c>
      <c r="J32" s="129">
        <v>1</v>
      </c>
      <c r="K32" s="130"/>
      <c r="L32" s="396">
        <v>5</v>
      </c>
      <c r="M32" s="130">
        <v>1</v>
      </c>
      <c r="N32" s="130">
        <v>1</v>
      </c>
      <c r="O32" s="396">
        <v>4</v>
      </c>
      <c r="P32" s="130">
        <v>8</v>
      </c>
      <c r="Q32" s="130"/>
      <c r="R32" s="396">
        <v>23</v>
      </c>
      <c r="S32" s="130"/>
      <c r="T32" s="130"/>
      <c r="U32" s="396">
        <v>18</v>
      </c>
      <c r="V32" s="130"/>
      <c r="W32" s="130"/>
      <c r="X32" s="396">
        <v>30</v>
      </c>
      <c r="Y32" s="130" t="s">
        <v>122</v>
      </c>
      <c r="Z32" s="130" t="s">
        <v>122</v>
      </c>
      <c r="AA32" s="396">
        <v>40</v>
      </c>
      <c r="AB32" s="130">
        <v>3</v>
      </c>
      <c r="AC32" s="130">
        <v>2</v>
      </c>
      <c r="AD32" s="396">
        <v>2</v>
      </c>
      <c r="AE32" s="130">
        <v>2</v>
      </c>
      <c r="AF32" s="130">
        <v>1</v>
      </c>
      <c r="AG32" s="396">
        <v>1</v>
      </c>
      <c r="AH32" s="130">
        <v>1</v>
      </c>
      <c r="AI32" s="130">
        <v>1</v>
      </c>
      <c r="AJ32" s="396">
        <v>1</v>
      </c>
      <c r="AK32" s="130">
        <v>1</v>
      </c>
      <c r="AL32" s="130">
        <v>1</v>
      </c>
      <c r="AM32" s="396">
        <v>1</v>
      </c>
      <c r="AN32" s="130"/>
      <c r="AO32" s="130"/>
      <c r="AP32" s="396"/>
      <c r="AQ32" s="130"/>
      <c r="AR32" s="130"/>
      <c r="AS32" s="396"/>
      <c r="AT32" s="130"/>
      <c r="AU32" s="130"/>
      <c r="AV32" s="396"/>
      <c r="AW32" s="129"/>
      <c r="AX32" s="130"/>
      <c r="AY32" s="396"/>
      <c r="AZ32" s="130"/>
      <c r="BA32" s="130"/>
      <c r="BB32" s="396"/>
      <c r="BC32" s="130">
        <v>11</v>
      </c>
      <c r="BD32" s="130">
        <v>11</v>
      </c>
      <c r="BE32" s="396">
        <v>11</v>
      </c>
      <c r="BF32" s="130">
        <v>11</v>
      </c>
      <c r="BG32" s="130">
        <v>11</v>
      </c>
      <c r="BH32" s="396">
        <v>11</v>
      </c>
      <c r="BI32" s="130">
        <v>11</v>
      </c>
      <c r="BJ32" s="130">
        <v>11</v>
      </c>
      <c r="BK32" s="396">
        <v>57</v>
      </c>
    </row>
    <row r="33" spans="2:63" ht="15" customHeight="1" x14ac:dyDescent="0.3">
      <c r="B33" s="5841"/>
      <c r="C33" s="1402" t="s">
        <v>336</v>
      </c>
      <c r="D33" s="129"/>
      <c r="E33" s="130"/>
      <c r="F33" s="130"/>
      <c r="G33" s="129"/>
      <c r="H33" s="130"/>
      <c r="I33" s="130"/>
      <c r="J33" s="129"/>
      <c r="K33" s="130"/>
      <c r="L33" s="396">
        <v>12</v>
      </c>
      <c r="M33" s="130">
        <v>12</v>
      </c>
      <c r="N33" s="130">
        <v>11</v>
      </c>
      <c r="O33" s="396">
        <v>10</v>
      </c>
      <c r="P33" s="130">
        <v>9</v>
      </c>
      <c r="Q33" s="130">
        <v>8</v>
      </c>
      <c r="R33" s="396">
        <v>21</v>
      </c>
      <c r="S33" s="130">
        <v>21</v>
      </c>
      <c r="T33" s="130">
        <v>21</v>
      </c>
      <c r="U33" s="396">
        <v>13</v>
      </c>
      <c r="V33" s="130">
        <v>13</v>
      </c>
      <c r="W33" s="130">
        <v>14</v>
      </c>
      <c r="X33" s="396">
        <v>13</v>
      </c>
      <c r="Y33" s="130">
        <v>11</v>
      </c>
      <c r="Z33" s="130">
        <v>33</v>
      </c>
      <c r="AA33" s="396">
        <v>23</v>
      </c>
      <c r="AB33" s="130">
        <v>24</v>
      </c>
      <c r="AC33" s="130">
        <v>18</v>
      </c>
      <c r="AD33" s="396">
        <v>19</v>
      </c>
      <c r="AE33" s="130">
        <v>18</v>
      </c>
      <c r="AF33" s="130">
        <v>17</v>
      </c>
      <c r="AG33" s="396">
        <v>28</v>
      </c>
      <c r="AH33" s="130">
        <v>28</v>
      </c>
      <c r="AI33" s="130">
        <v>17</v>
      </c>
      <c r="AJ33" s="396">
        <v>16</v>
      </c>
      <c r="AK33" s="130">
        <v>14</v>
      </c>
      <c r="AL33" s="130">
        <v>12</v>
      </c>
      <c r="AM33" s="396">
        <v>24</v>
      </c>
      <c r="AN33" s="130">
        <v>22</v>
      </c>
      <c r="AO33" s="130">
        <v>21</v>
      </c>
      <c r="AP33" s="396">
        <v>18</v>
      </c>
      <c r="AQ33" s="130">
        <v>19</v>
      </c>
      <c r="AR33" s="130">
        <v>18</v>
      </c>
      <c r="AS33" s="396">
        <v>45</v>
      </c>
      <c r="AT33" s="130">
        <v>46</v>
      </c>
      <c r="AU33" s="130">
        <v>43</v>
      </c>
      <c r="AV33" s="396">
        <v>43</v>
      </c>
      <c r="AW33" s="129">
        <v>41</v>
      </c>
      <c r="AX33" s="130">
        <v>42</v>
      </c>
      <c r="AY33" s="396">
        <v>63</v>
      </c>
      <c r="AZ33" s="130">
        <v>58</v>
      </c>
      <c r="BA33" s="130">
        <v>57</v>
      </c>
      <c r="BB33" s="396">
        <v>53</v>
      </c>
      <c r="BC33" s="130">
        <v>50</v>
      </c>
      <c r="BD33" s="130">
        <v>48</v>
      </c>
      <c r="BE33" s="396">
        <v>40</v>
      </c>
      <c r="BF33" s="130">
        <v>55</v>
      </c>
      <c r="BG33" s="130">
        <v>48</v>
      </c>
      <c r="BH33" s="396">
        <v>48</v>
      </c>
      <c r="BI33" s="130">
        <v>46</v>
      </c>
      <c r="BJ33" s="130">
        <v>45</v>
      </c>
      <c r="BK33" s="396">
        <v>5</v>
      </c>
    </row>
    <row r="34" spans="2:63" ht="15" customHeight="1" x14ac:dyDescent="0.3">
      <c r="B34" s="5842"/>
      <c r="C34" s="1403" t="s">
        <v>334</v>
      </c>
      <c r="D34" s="385"/>
      <c r="E34" s="387"/>
      <c r="F34" s="387"/>
      <c r="G34" s="385"/>
      <c r="H34" s="387"/>
      <c r="I34" s="387"/>
      <c r="J34" s="385"/>
      <c r="K34" s="387"/>
      <c r="L34" s="1404"/>
      <c r="M34" s="387"/>
      <c r="N34" s="387"/>
      <c r="O34" s="1404"/>
      <c r="P34" s="387"/>
      <c r="Q34" s="387"/>
      <c r="R34" s="1404"/>
      <c r="S34" s="387"/>
      <c r="T34" s="387"/>
      <c r="U34" s="1404"/>
      <c r="V34" s="387"/>
      <c r="W34" s="387"/>
      <c r="X34" s="1404"/>
      <c r="Y34" s="387"/>
      <c r="Z34" s="387"/>
      <c r="AA34" s="1404"/>
      <c r="AB34" s="387"/>
      <c r="AC34" s="387"/>
      <c r="AD34" s="1404"/>
      <c r="AE34" s="387"/>
      <c r="AF34" s="387"/>
      <c r="AG34" s="1404"/>
      <c r="AH34" s="387"/>
      <c r="AI34" s="387"/>
      <c r="AJ34" s="1404"/>
      <c r="AK34" s="387"/>
      <c r="AL34" s="387"/>
      <c r="AM34" s="1404"/>
      <c r="AN34" s="387"/>
      <c r="AO34" s="387"/>
      <c r="AP34" s="1404"/>
      <c r="AQ34" s="387"/>
      <c r="AR34" s="387"/>
      <c r="AS34" s="1404"/>
      <c r="AT34" s="387">
        <v>3</v>
      </c>
      <c r="AU34" s="387">
        <v>3</v>
      </c>
      <c r="AV34" s="1404">
        <v>2</v>
      </c>
      <c r="AW34" s="385">
        <v>2</v>
      </c>
      <c r="AX34" s="387">
        <v>2</v>
      </c>
      <c r="AY34" s="1404">
        <v>2</v>
      </c>
      <c r="AZ34" s="387">
        <v>8</v>
      </c>
      <c r="BA34" s="387">
        <v>11</v>
      </c>
      <c r="BB34" s="1404">
        <v>10</v>
      </c>
      <c r="BC34" s="387">
        <v>10</v>
      </c>
      <c r="BD34" s="387">
        <v>10</v>
      </c>
      <c r="BE34" s="1404">
        <v>9</v>
      </c>
      <c r="BF34" s="387">
        <v>12</v>
      </c>
      <c r="BG34" s="387">
        <v>12</v>
      </c>
      <c r="BH34" s="1404">
        <v>12</v>
      </c>
      <c r="BI34" s="387">
        <v>11</v>
      </c>
      <c r="BJ34" s="387">
        <v>10</v>
      </c>
      <c r="BK34" s="1404">
        <v>11</v>
      </c>
    </row>
    <row r="35" spans="2:63" ht="15" customHeight="1" x14ac:dyDescent="0.25">
      <c r="B35" s="1270"/>
      <c r="C35" s="1391" t="s">
        <v>64</v>
      </c>
      <c r="D35" s="1392">
        <f t="shared" ref="D35:AS35" si="4">SUM(D18:D33)</f>
        <v>72</v>
      </c>
      <c r="E35" s="1393">
        <f t="shared" si="4"/>
        <v>61</v>
      </c>
      <c r="F35" s="1393">
        <f t="shared" si="4"/>
        <v>57</v>
      </c>
      <c r="G35" s="1392">
        <f t="shared" si="4"/>
        <v>69</v>
      </c>
      <c r="H35" s="1393">
        <f t="shared" si="4"/>
        <v>58</v>
      </c>
      <c r="I35" s="1393">
        <f t="shared" si="4"/>
        <v>87</v>
      </c>
      <c r="J35" s="1392">
        <f t="shared" si="4"/>
        <v>81</v>
      </c>
      <c r="K35" s="1393">
        <f t="shared" si="4"/>
        <v>75</v>
      </c>
      <c r="L35" s="1394">
        <f t="shared" si="4"/>
        <v>110</v>
      </c>
      <c r="M35" s="1393">
        <f t="shared" si="4"/>
        <v>98</v>
      </c>
      <c r="N35" s="1393">
        <f t="shared" si="4"/>
        <v>99</v>
      </c>
      <c r="O35" s="1394">
        <f t="shared" si="4"/>
        <v>90</v>
      </c>
      <c r="P35" s="1393">
        <f t="shared" si="4"/>
        <v>102</v>
      </c>
      <c r="Q35" s="1393">
        <f t="shared" si="4"/>
        <v>89</v>
      </c>
      <c r="R35" s="1394">
        <f t="shared" si="4"/>
        <v>176</v>
      </c>
      <c r="S35" s="1393">
        <f t="shared" si="4"/>
        <v>138</v>
      </c>
      <c r="T35" s="1393">
        <f t="shared" si="4"/>
        <v>135</v>
      </c>
      <c r="U35" s="1394">
        <f t="shared" si="4"/>
        <v>160</v>
      </c>
      <c r="V35" s="1393">
        <f t="shared" si="4"/>
        <v>110</v>
      </c>
      <c r="W35" s="1393">
        <f t="shared" si="4"/>
        <v>109</v>
      </c>
      <c r="X35" s="1394">
        <f t="shared" si="4"/>
        <v>197</v>
      </c>
      <c r="Y35" s="1393">
        <f t="shared" si="4"/>
        <v>118</v>
      </c>
      <c r="Z35" s="1393">
        <f t="shared" si="4"/>
        <v>129</v>
      </c>
      <c r="AA35" s="1394">
        <f t="shared" si="4"/>
        <v>193</v>
      </c>
      <c r="AB35" s="1393">
        <f t="shared" si="4"/>
        <v>128</v>
      </c>
      <c r="AC35" s="1393">
        <f t="shared" si="4"/>
        <v>116</v>
      </c>
      <c r="AD35" s="1394">
        <f t="shared" si="4"/>
        <v>141</v>
      </c>
      <c r="AE35" s="1393">
        <f t="shared" si="4"/>
        <v>135</v>
      </c>
      <c r="AF35" s="1393">
        <f t="shared" si="4"/>
        <v>129</v>
      </c>
      <c r="AG35" s="1394">
        <f t="shared" si="4"/>
        <v>144</v>
      </c>
      <c r="AH35" s="1393">
        <f t="shared" si="4"/>
        <v>145</v>
      </c>
      <c r="AI35" s="1393">
        <f t="shared" si="4"/>
        <v>134</v>
      </c>
      <c r="AJ35" s="1394">
        <f t="shared" si="4"/>
        <v>172</v>
      </c>
      <c r="AK35" s="1393">
        <f t="shared" si="4"/>
        <v>185</v>
      </c>
      <c r="AL35" s="1393">
        <f t="shared" si="4"/>
        <v>166</v>
      </c>
      <c r="AM35" s="1394">
        <f t="shared" si="4"/>
        <v>172</v>
      </c>
      <c r="AN35" s="1393">
        <f t="shared" si="4"/>
        <v>165</v>
      </c>
      <c r="AO35" s="1393">
        <f t="shared" si="4"/>
        <v>159</v>
      </c>
      <c r="AP35" s="1394">
        <f t="shared" si="4"/>
        <v>172</v>
      </c>
      <c r="AQ35" s="1393">
        <f t="shared" si="4"/>
        <v>156</v>
      </c>
      <c r="AR35" s="1393">
        <f>SUM(AR18:AR33)</f>
        <v>128</v>
      </c>
      <c r="AS35" s="1394">
        <f t="shared" si="4"/>
        <v>158</v>
      </c>
      <c r="AT35" s="1393">
        <f t="shared" ref="AT35:AY35" si="5">SUM(AT18:AT34)</f>
        <v>227</v>
      </c>
      <c r="AU35" s="1393">
        <f t="shared" si="5"/>
        <v>215</v>
      </c>
      <c r="AV35" s="1394">
        <f t="shared" si="5"/>
        <v>235</v>
      </c>
      <c r="AW35" s="1392">
        <f t="shared" si="5"/>
        <v>221</v>
      </c>
      <c r="AX35" s="1393">
        <f t="shared" si="5"/>
        <v>218</v>
      </c>
      <c r="AY35" s="1394">
        <f t="shared" si="5"/>
        <v>236</v>
      </c>
      <c r="AZ35" s="1393">
        <f t="shared" ref="AZ35:BE35" si="6">SUM(AZ16:AZ34)</f>
        <v>264</v>
      </c>
      <c r="BA35" s="1393">
        <f t="shared" si="6"/>
        <v>257</v>
      </c>
      <c r="BB35" s="1394">
        <f t="shared" si="6"/>
        <v>270</v>
      </c>
      <c r="BC35" s="1393">
        <f t="shared" si="6"/>
        <v>282</v>
      </c>
      <c r="BD35" s="1393">
        <f t="shared" si="6"/>
        <v>238</v>
      </c>
      <c r="BE35" s="1394">
        <f t="shared" si="6"/>
        <v>198</v>
      </c>
      <c r="BF35" s="1393">
        <f t="shared" ref="BF35:BH35" si="7">SUM(BF16:BF34)</f>
        <v>255</v>
      </c>
      <c r="BG35" s="1393">
        <f t="shared" si="7"/>
        <v>253</v>
      </c>
      <c r="BH35" s="1394">
        <f t="shared" si="7"/>
        <v>248</v>
      </c>
      <c r="BI35" s="1393">
        <f t="shared" ref="BI35:BJ35" si="8">SUM(BI16:BI34)</f>
        <v>255</v>
      </c>
      <c r="BJ35" s="1393">
        <f t="shared" si="8"/>
        <v>256</v>
      </c>
      <c r="BK35" s="1394">
        <f>SUM(BK16:BK34)</f>
        <v>259</v>
      </c>
    </row>
    <row r="36" spans="2:63" ht="15" customHeight="1" x14ac:dyDescent="0.3">
      <c r="B36" s="5840" t="s">
        <v>308</v>
      </c>
      <c r="C36" s="1396" t="s">
        <v>337</v>
      </c>
      <c r="D36" s="151">
        <v>29</v>
      </c>
      <c r="E36" s="152">
        <v>28</v>
      </c>
      <c r="F36" s="152">
        <v>19</v>
      </c>
      <c r="G36" s="151">
        <v>16</v>
      </c>
      <c r="H36" s="152">
        <v>13</v>
      </c>
      <c r="I36" s="152">
        <v>25</v>
      </c>
      <c r="J36" s="151">
        <v>16</v>
      </c>
      <c r="K36" s="152">
        <v>14</v>
      </c>
      <c r="L36" s="395">
        <v>14</v>
      </c>
      <c r="M36" s="152">
        <v>8</v>
      </c>
      <c r="N36" s="152">
        <v>7</v>
      </c>
      <c r="O36" s="395">
        <v>25</v>
      </c>
      <c r="P36" s="152">
        <v>36</v>
      </c>
      <c r="Q36" s="152">
        <v>17</v>
      </c>
      <c r="R36" s="395">
        <v>42</v>
      </c>
      <c r="S36" s="152">
        <v>16</v>
      </c>
      <c r="T36" s="152">
        <v>11</v>
      </c>
      <c r="U36" s="395">
        <v>48</v>
      </c>
      <c r="V36" s="152">
        <v>9</v>
      </c>
      <c r="W36" s="152">
        <v>10</v>
      </c>
      <c r="X36" s="395">
        <v>54</v>
      </c>
      <c r="Y36" s="152">
        <v>17</v>
      </c>
      <c r="Z36" s="152">
        <v>12</v>
      </c>
      <c r="AA36" s="395">
        <v>87</v>
      </c>
      <c r="AB36" s="152">
        <v>87</v>
      </c>
      <c r="AC36" s="152">
        <v>75</v>
      </c>
      <c r="AD36" s="395">
        <v>32</v>
      </c>
      <c r="AE36" s="152">
        <v>33</v>
      </c>
      <c r="AF36" s="152">
        <v>31</v>
      </c>
      <c r="AG36" s="395">
        <v>79</v>
      </c>
      <c r="AH36" s="152">
        <v>69</v>
      </c>
      <c r="AI36" s="152">
        <v>69</v>
      </c>
      <c r="AJ36" s="395">
        <v>45</v>
      </c>
      <c r="AK36" s="152">
        <v>29</v>
      </c>
      <c r="AL36" s="152">
        <v>24</v>
      </c>
      <c r="AM36" s="395">
        <v>95</v>
      </c>
      <c r="AN36" s="152">
        <v>70</v>
      </c>
      <c r="AO36" s="152">
        <v>70</v>
      </c>
      <c r="AP36" s="395">
        <v>2</v>
      </c>
      <c r="AQ36" s="152"/>
      <c r="AR36" s="152"/>
      <c r="AS36" s="395"/>
      <c r="AT36" s="152"/>
      <c r="AU36" s="152"/>
      <c r="AV36" s="395"/>
      <c r="AW36" s="4957"/>
      <c r="AX36" s="152"/>
      <c r="AY36" s="395"/>
      <c r="AZ36" s="152"/>
      <c r="BA36" s="152"/>
      <c r="BB36" s="395"/>
      <c r="BC36" s="152"/>
      <c r="BD36" s="152"/>
      <c r="BE36" s="395"/>
      <c r="BF36" s="152"/>
      <c r="BG36" s="152"/>
      <c r="BH36" s="395"/>
      <c r="BI36" s="152"/>
      <c r="BJ36" s="152"/>
      <c r="BK36" s="395"/>
    </row>
    <row r="37" spans="2:63" ht="15" customHeight="1" x14ac:dyDescent="0.25">
      <c r="B37" s="5841"/>
      <c r="C37" s="1397" t="s">
        <v>338</v>
      </c>
      <c r="D37" s="1398"/>
      <c r="E37" s="1399"/>
      <c r="F37" s="1399"/>
      <c r="G37" s="1398"/>
      <c r="H37" s="1399"/>
      <c r="I37" s="1399"/>
      <c r="J37" s="1398"/>
      <c r="K37" s="1399"/>
      <c r="L37" s="1400"/>
      <c r="M37" s="1399"/>
      <c r="N37" s="1399"/>
      <c r="O37" s="1400"/>
      <c r="P37" s="1399"/>
      <c r="Q37" s="1399"/>
      <c r="R37" s="1400"/>
      <c r="S37" s="1399"/>
      <c r="T37" s="1399"/>
      <c r="U37" s="1400"/>
      <c r="V37" s="1399"/>
      <c r="W37" s="1399"/>
      <c r="X37" s="1400"/>
      <c r="Y37" s="1399"/>
      <c r="Z37" s="1399"/>
      <c r="AA37" s="1400"/>
      <c r="AB37" s="1399"/>
      <c r="AC37" s="1399"/>
      <c r="AD37" s="1400"/>
      <c r="AE37" s="1399"/>
      <c r="AF37" s="1399"/>
      <c r="AG37" s="1400"/>
      <c r="AH37" s="1399"/>
      <c r="AI37" s="1399"/>
      <c r="AJ37" s="1400"/>
      <c r="AK37" s="1399"/>
      <c r="AL37" s="1399"/>
      <c r="AM37" s="1400"/>
      <c r="AN37" s="1399"/>
      <c r="AO37" s="1399"/>
      <c r="AP37" s="1400"/>
      <c r="AQ37" s="1399"/>
      <c r="AR37" s="1399"/>
      <c r="AS37" s="1400"/>
      <c r="AT37" s="1399"/>
      <c r="AU37" s="1399"/>
      <c r="AV37" s="1400">
        <v>5</v>
      </c>
      <c r="AW37" s="1398">
        <v>5</v>
      </c>
      <c r="AX37" s="1399">
        <v>5</v>
      </c>
      <c r="AY37" s="1400">
        <v>6</v>
      </c>
      <c r="AZ37" s="1399">
        <v>6</v>
      </c>
      <c r="BA37" s="1399">
        <v>5</v>
      </c>
      <c r="BB37" s="1400"/>
      <c r="BC37" s="1399">
        <v>6</v>
      </c>
      <c r="BD37" s="1399">
        <v>6</v>
      </c>
      <c r="BE37" s="1400">
        <v>6</v>
      </c>
      <c r="BF37" s="1399"/>
      <c r="BG37" s="1399">
        <v>8</v>
      </c>
      <c r="BH37" s="1400">
        <v>6</v>
      </c>
      <c r="BI37" s="1399">
        <v>7</v>
      </c>
      <c r="BJ37" s="1399">
        <v>12</v>
      </c>
      <c r="BK37" s="1400">
        <v>12</v>
      </c>
    </row>
    <row r="38" spans="2:63" ht="15" customHeight="1" x14ac:dyDescent="0.25">
      <c r="B38" s="5841"/>
      <c r="C38" s="1405" t="s">
        <v>339</v>
      </c>
      <c r="D38" s="1398"/>
      <c r="E38" s="1399"/>
      <c r="F38" s="1399"/>
      <c r="G38" s="1398"/>
      <c r="H38" s="1399"/>
      <c r="I38" s="1399"/>
      <c r="J38" s="1398"/>
      <c r="K38" s="1399"/>
      <c r="L38" s="1400"/>
      <c r="M38" s="1399"/>
      <c r="N38" s="1399"/>
      <c r="O38" s="1400"/>
      <c r="P38" s="1399"/>
      <c r="Q38" s="1399"/>
      <c r="R38" s="1400"/>
      <c r="S38" s="1399"/>
      <c r="T38" s="1399"/>
      <c r="U38" s="1400"/>
      <c r="V38" s="1399"/>
      <c r="W38" s="1399"/>
      <c r="X38" s="1400"/>
      <c r="Y38" s="1399"/>
      <c r="Z38" s="1399"/>
      <c r="AA38" s="1400"/>
      <c r="AB38" s="1399"/>
      <c r="AC38" s="1399"/>
      <c r="AD38" s="1400"/>
      <c r="AE38" s="1399"/>
      <c r="AF38" s="1399"/>
      <c r="AG38" s="1400"/>
      <c r="AH38" s="1399"/>
      <c r="AI38" s="1399"/>
      <c r="AJ38" s="1400"/>
      <c r="AK38" s="1399"/>
      <c r="AL38" s="1399"/>
      <c r="AM38" s="1400"/>
      <c r="AN38" s="1399"/>
      <c r="AO38" s="1399"/>
      <c r="AP38" s="1400"/>
      <c r="AQ38" s="1399"/>
      <c r="AR38" s="1399"/>
      <c r="AS38" s="1400">
        <v>10</v>
      </c>
      <c r="AT38" s="1399">
        <v>9</v>
      </c>
      <c r="AU38" s="1399">
        <v>9</v>
      </c>
      <c r="AV38" s="1400">
        <v>14</v>
      </c>
      <c r="AW38" s="1398">
        <v>7</v>
      </c>
      <c r="AX38" s="1399">
        <v>7</v>
      </c>
      <c r="AY38" s="1400">
        <v>9</v>
      </c>
      <c r="AZ38" s="1399">
        <v>7</v>
      </c>
      <c r="BA38" s="1399">
        <v>8</v>
      </c>
      <c r="BB38" s="1400"/>
      <c r="BC38" s="1399">
        <v>6</v>
      </c>
      <c r="BD38" s="1399">
        <v>7</v>
      </c>
      <c r="BE38" s="1400">
        <v>13</v>
      </c>
      <c r="BF38" s="1399"/>
      <c r="BG38" s="1399">
        <v>7</v>
      </c>
      <c r="BH38" s="1400">
        <v>7</v>
      </c>
      <c r="BI38" s="1399">
        <v>7</v>
      </c>
      <c r="BJ38" s="1399">
        <v>13</v>
      </c>
      <c r="BK38" s="1400">
        <v>14</v>
      </c>
    </row>
    <row r="39" spans="2:63" ht="15" customHeight="1" x14ac:dyDescent="0.3">
      <c r="B39" s="5837" t="s">
        <v>310</v>
      </c>
      <c r="C39" s="4449" t="s">
        <v>340</v>
      </c>
      <c r="D39" s="4441">
        <v>26</v>
      </c>
      <c r="E39" s="4442">
        <v>21</v>
      </c>
      <c r="F39" s="4442">
        <v>27</v>
      </c>
      <c r="G39" s="4441">
        <v>26</v>
      </c>
      <c r="H39" s="4442">
        <v>21</v>
      </c>
      <c r="I39" s="4442">
        <v>31</v>
      </c>
      <c r="J39" s="4441">
        <v>25</v>
      </c>
      <c r="K39" s="4442">
        <v>22</v>
      </c>
      <c r="L39" s="4443">
        <v>27</v>
      </c>
      <c r="M39" s="4442">
        <v>34</v>
      </c>
      <c r="N39" s="4442">
        <v>22</v>
      </c>
      <c r="O39" s="4443">
        <v>39</v>
      </c>
      <c r="P39" s="4442">
        <v>23</v>
      </c>
      <c r="Q39" s="4442">
        <v>37</v>
      </c>
      <c r="R39" s="4443">
        <v>28</v>
      </c>
      <c r="S39" s="4442">
        <v>46</v>
      </c>
      <c r="T39" s="4442">
        <v>42</v>
      </c>
      <c r="U39" s="4443">
        <v>34</v>
      </c>
      <c r="V39" s="4442">
        <v>72</v>
      </c>
      <c r="W39" s="4442">
        <v>72</v>
      </c>
      <c r="X39" s="4443">
        <v>62</v>
      </c>
      <c r="Y39" s="4442">
        <v>80</v>
      </c>
      <c r="Z39" s="4442">
        <v>75</v>
      </c>
      <c r="AA39" s="4443">
        <v>49</v>
      </c>
      <c r="AB39" s="4442">
        <v>53</v>
      </c>
      <c r="AC39" s="4442">
        <v>38</v>
      </c>
      <c r="AD39" s="4443">
        <v>78</v>
      </c>
      <c r="AE39" s="4442">
        <v>74</v>
      </c>
      <c r="AF39" s="4442">
        <v>76</v>
      </c>
      <c r="AG39" s="4443">
        <v>57</v>
      </c>
      <c r="AH39" s="4442">
        <v>43</v>
      </c>
      <c r="AI39" s="4442">
        <v>49</v>
      </c>
      <c r="AJ39" s="4443">
        <v>56</v>
      </c>
      <c r="AK39" s="4442">
        <v>56</v>
      </c>
      <c r="AL39" s="4442">
        <v>59</v>
      </c>
      <c r="AM39" s="4443">
        <v>63</v>
      </c>
      <c r="AN39" s="4442">
        <v>48</v>
      </c>
      <c r="AO39" s="4442">
        <v>40</v>
      </c>
      <c r="AP39" s="4443"/>
      <c r="AQ39" s="4442"/>
      <c r="AR39" s="4442"/>
      <c r="AS39" s="4443"/>
      <c r="AT39" s="4442"/>
      <c r="AU39" s="4442"/>
      <c r="AV39" s="4443"/>
      <c r="AW39" s="4441"/>
      <c r="AX39" s="4442"/>
      <c r="AY39" s="4443"/>
      <c r="AZ39" s="4442"/>
      <c r="BA39" s="4442"/>
      <c r="BB39" s="4443"/>
      <c r="BC39" s="4442"/>
      <c r="BD39" s="4442"/>
      <c r="BE39" s="4443"/>
      <c r="BF39" s="4442"/>
      <c r="BG39" s="4442"/>
      <c r="BH39" s="4443"/>
      <c r="BI39" s="4442"/>
      <c r="BJ39" s="4442"/>
      <c r="BK39" s="4443"/>
    </row>
    <row r="40" spans="2:63" ht="15" customHeight="1" x14ac:dyDescent="0.25">
      <c r="B40" s="5838"/>
      <c r="C40" s="4450" t="s">
        <v>341</v>
      </c>
      <c r="D40" s="4444"/>
      <c r="E40" s="4445"/>
      <c r="F40" s="4445"/>
      <c r="G40" s="4444"/>
      <c r="H40" s="4445"/>
      <c r="I40" s="4445"/>
      <c r="J40" s="4444"/>
      <c r="K40" s="4445"/>
      <c r="L40" s="4446"/>
      <c r="M40" s="4445"/>
      <c r="N40" s="4445"/>
      <c r="O40" s="4446"/>
      <c r="P40" s="4445"/>
      <c r="Q40" s="4445"/>
      <c r="R40" s="4446"/>
      <c r="S40" s="4445"/>
      <c r="T40" s="4445"/>
      <c r="U40" s="4446"/>
      <c r="V40" s="4445"/>
      <c r="W40" s="4445"/>
      <c r="X40" s="4446"/>
      <c r="Y40" s="4445"/>
      <c r="Z40" s="4445"/>
      <c r="AA40" s="4446"/>
      <c r="AB40" s="4445"/>
      <c r="AC40" s="4445"/>
      <c r="AD40" s="4446"/>
      <c r="AE40" s="4445"/>
      <c r="AF40" s="4445"/>
      <c r="AG40" s="4446"/>
      <c r="AH40" s="4445"/>
      <c r="AI40" s="4445"/>
      <c r="AJ40" s="4446"/>
      <c r="AK40" s="4445"/>
      <c r="AL40" s="4445"/>
      <c r="AM40" s="4446"/>
      <c r="AN40" s="4445"/>
      <c r="AO40" s="4445"/>
      <c r="AP40" s="4446">
        <v>16</v>
      </c>
      <c r="AQ40" s="4445">
        <v>16</v>
      </c>
      <c r="AR40" s="4445">
        <v>16</v>
      </c>
      <c r="AS40" s="4446">
        <v>15</v>
      </c>
      <c r="AT40" s="4445">
        <v>10</v>
      </c>
      <c r="AU40" s="4445">
        <v>8</v>
      </c>
      <c r="AV40" s="4446">
        <v>6</v>
      </c>
      <c r="AW40" s="4444">
        <v>4</v>
      </c>
      <c r="AX40" s="4445">
        <v>6</v>
      </c>
      <c r="AY40" s="4446">
        <v>6</v>
      </c>
      <c r="AZ40" s="4445">
        <v>6</v>
      </c>
      <c r="BA40" s="4445">
        <v>6</v>
      </c>
      <c r="BB40" s="4446">
        <v>4</v>
      </c>
      <c r="BC40" s="4445">
        <v>12</v>
      </c>
      <c r="BD40" s="4445">
        <v>14</v>
      </c>
      <c r="BE40" s="4446">
        <v>13</v>
      </c>
      <c r="BF40" s="4445">
        <v>12</v>
      </c>
      <c r="BG40" s="4445">
        <v>21</v>
      </c>
      <c r="BH40" s="4446">
        <v>17</v>
      </c>
      <c r="BI40" s="4445">
        <v>21</v>
      </c>
      <c r="BJ40" s="4445">
        <v>20</v>
      </c>
      <c r="BK40" s="4446">
        <v>20</v>
      </c>
    </row>
    <row r="41" spans="2:63" ht="15" customHeight="1" x14ac:dyDescent="0.25">
      <c r="B41" s="5838"/>
      <c r="C41" s="4451" t="s">
        <v>343</v>
      </c>
      <c r="D41" s="4444"/>
      <c r="E41" s="4445"/>
      <c r="F41" s="4445"/>
      <c r="G41" s="4444"/>
      <c r="H41" s="4445"/>
      <c r="I41" s="4445"/>
      <c r="J41" s="4444"/>
      <c r="K41" s="4445"/>
      <c r="L41" s="4446"/>
      <c r="M41" s="4445"/>
      <c r="N41" s="4445"/>
      <c r="O41" s="4446"/>
      <c r="P41" s="4445"/>
      <c r="Q41" s="4445"/>
      <c r="R41" s="4446"/>
      <c r="S41" s="4445"/>
      <c r="T41" s="4445"/>
      <c r="U41" s="4446"/>
      <c r="V41" s="4445"/>
      <c r="W41" s="4445"/>
      <c r="X41" s="4446"/>
      <c r="Y41" s="4445"/>
      <c r="Z41" s="4445"/>
      <c r="AA41" s="4446"/>
      <c r="AB41" s="4445"/>
      <c r="AC41" s="4445"/>
      <c r="AD41" s="4446"/>
      <c r="AE41" s="4445"/>
      <c r="AF41" s="4445"/>
      <c r="AG41" s="4446"/>
      <c r="AH41" s="4445"/>
      <c r="AI41" s="4445"/>
      <c r="AJ41" s="4446"/>
      <c r="AK41" s="4445"/>
      <c r="AL41" s="4445"/>
      <c r="AM41" s="4446"/>
      <c r="AN41" s="4445"/>
      <c r="AO41" s="4445"/>
      <c r="AP41" s="4446">
        <v>21</v>
      </c>
      <c r="AQ41" s="4445">
        <v>23</v>
      </c>
      <c r="AR41" s="4445">
        <v>23</v>
      </c>
      <c r="AS41" s="4446">
        <v>21</v>
      </c>
      <c r="AT41" s="4445">
        <v>21</v>
      </c>
      <c r="AU41" s="4445">
        <v>21</v>
      </c>
      <c r="AV41" s="4446">
        <v>18</v>
      </c>
      <c r="AW41" s="4444">
        <v>17</v>
      </c>
      <c r="AX41" s="4445">
        <v>14</v>
      </c>
      <c r="AY41" s="4446">
        <v>11</v>
      </c>
      <c r="AZ41" s="4445">
        <v>12</v>
      </c>
      <c r="BA41" s="4445">
        <v>11</v>
      </c>
      <c r="BB41" s="4446">
        <v>11</v>
      </c>
      <c r="BC41" s="4445">
        <v>20</v>
      </c>
      <c r="BD41" s="4445">
        <v>14</v>
      </c>
      <c r="BE41" s="4446">
        <v>15</v>
      </c>
      <c r="BF41" s="4445">
        <v>17</v>
      </c>
      <c r="BG41" s="4445">
        <v>25</v>
      </c>
      <c r="BH41" s="4446">
        <v>24</v>
      </c>
      <c r="BI41" s="4445">
        <v>22</v>
      </c>
      <c r="BJ41" s="4445">
        <v>31</v>
      </c>
      <c r="BK41" s="4446">
        <v>9</v>
      </c>
    </row>
    <row r="42" spans="2:63" ht="15" customHeight="1" x14ac:dyDescent="0.25">
      <c r="B42" s="5838"/>
      <c r="C42" s="4451" t="s">
        <v>342</v>
      </c>
      <c r="D42" s="4444"/>
      <c r="E42" s="4445"/>
      <c r="F42" s="4445"/>
      <c r="G42" s="4444"/>
      <c r="H42" s="4445"/>
      <c r="I42" s="4445"/>
      <c r="J42" s="4444"/>
      <c r="K42" s="4445"/>
      <c r="L42" s="4446"/>
      <c r="M42" s="4445"/>
      <c r="N42" s="4445"/>
      <c r="O42" s="4446"/>
      <c r="P42" s="4445"/>
      <c r="Q42" s="4445"/>
      <c r="R42" s="4446"/>
      <c r="S42" s="4445"/>
      <c r="T42" s="4445"/>
      <c r="U42" s="4446"/>
      <c r="V42" s="4445"/>
      <c r="W42" s="4445"/>
      <c r="X42" s="4446"/>
      <c r="Y42" s="4445"/>
      <c r="Z42" s="4445"/>
      <c r="AA42" s="4446"/>
      <c r="AB42" s="4445"/>
      <c r="AC42" s="4445"/>
      <c r="AD42" s="4446"/>
      <c r="AE42" s="4445"/>
      <c r="AF42" s="4445"/>
      <c r="AG42" s="4446"/>
      <c r="AH42" s="4445"/>
      <c r="AI42" s="4445"/>
      <c r="AJ42" s="4446"/>
      <c r="AK42" s="4445"/>
      <c r="AL42" s="4445"/>
      <c r="AM42" s="4446"/>
      <c r="AN42" s="4445"/>
      <c r="AO42" s="4445"/>
      <c r="AP42" s="4446">
        <v>14</v>
      </c>
      <c r="AQ42" s="4445">
        <v>16</v>
      </c>
      <c r="AR42" s="4445">
        <v>12</v>
      </c>
      <c r="AS42" s="4446">
        <v>15</v>
      </c>
      <c r="AT42" s="4445">
        <v>14</v>
      </c>
      <c r="AU42" s="4445">
        <v>13</v>
      </c>
      <c r="AV42" s="4446">
        <v>16</v>
      </c>
      <c r="AW42" s="4444">
        <v>15</v>
      </c>
      <c r="AX42" s="4445">
        <v>13</v>
      </c>
      <c r="AY42" s="4446">
        <v>9</v>
      </c>
      <c r="AZ42" s="4445">
        <v>17</v>
      </c>
      <c r="BA42" s="4445">
        <v>14</v>
      </c>
      <c r="BB42" s="4446">
        <v>11</v>
      </c>
      <c r="BC42" s="4445">
        <v>11</v>
      </c>
      <c r="BD42" s="4445">
        <v>8</v>
      </c>
      <c r="BE42" s="4446">
        <v>11</v>
      </c>
      <c r="BF42" s="4445">
        <v>11</v>
      </c>
      <c r="BG42" s="4445">
        <v>13</v>
      </c>
      <c r="BH42" s="4446">
        <v>10</v>
      </c>
      <c r="BI42" s="4445">
        <v>6</v>
      </c>
      <c r="BJ42" s="4445">
        <v>9</v>
      </c>
      <c r="BK42" s="4446">
        <v>29</v>
      </c>
    </row>
    <row r="43" spans="2:63" ht="15" customHeight="1" x14ac:dyDescent="0.25">
      <c r="B43" s="5838"/>
      <c r="C43" s="4451" t="s">
        <v>339</v>
      </c>
      <c r="D43" s="4444"/>
      <c r="E43" s="4445"/>
      <c r="F43" s="4445"/>
      <c r="G43" s="4444"/>
      <c r="H43" s="4445"/>
      <c r="I43" s="4445"/>
      <c r="J43" s="4444"/>
      <c r="K43" s="4445"/>
      <c r="L43" s="4446"/>
      <c r="M43" s="4445"/>
      <c r="N43" s="4445"/>
      <c r="O43" s="4446"/>
      <c r="P43" s="4445"/>
      <c r="Q43" s="4445"/>
      <c r="R43" s="4446"/>
      <c r="S43" s="4445"/>
      <c r="T43" s="4445"/>
      <c r="U43" s="4446"/>
      <c r="V43" s="4445"/>
      <c r="W43" s="4445"/>
      <c r="X43" s="4446"/>
      <c r="Y43" s="4445"/>
      <c r="Z43" s="4445"/>
      <c r="AA43" s="4446"/>
      <c r="AB43" s="4445"/>
      <c r="AC43" s="4445"/>
      <c r="AD43" s="4446"/>
      <c r="AE43" s="4445"/>
      <c r="AF43" s="4445"/>
      <c r="AG43" s="4446"/>
      <c r="AH43" s="4445"/>
      <c r="AI43" s="4445"/>
      <c r="AJ43" s="4446"/>
      <c r="AK43" s="4445"/>
      <c r="AL43" s="4445"/>
      <c r="AM43" s="4446"/>
      <c r="AN43" s="4445"/>
      <c r="AO43" s="4445"/>
      <c r="AP43" s="4446">
        <v>9</v>
      </c>
      <c r="AQ43" s="4445">
        <v>20</v>
      </c>
      <c r="AR43" s="4445">
        <v>18</v>
      </c>
      <c r="AS43" s="4446">
        <v>19</v>
      </c>
      <c r="AT43" s="4445">
        <v>18</v>
      </c>
      <c r="AU43" s="4445">
        <v>18</v>
      </c>
      <c r="AV43" s="4446">
        <v>22</v>
      </c>
      <c r="AW43" s="4444">
        <v>18</v>
      </c>
      <c r="AX43" s="4445">
        <v>14</v>
      </c>
      <c r="AY43" s="4446">
        <v>16</v>
      </c>
      <c r="AZ43" s="4445">
        <v>15</v>
      </c>
      <c r="BA43" s="4445">
        <v>16</v>
      </c>
      <c r="BB43" s="4446">
        <v>12</v>
      </c>
      <c r="BC43" s="4445">
        <v>19</v>
      </c>
      <c r="BD43" s="4445">
        <v>19</v>
      </c>
      <c r="BE43" s="4446">
        <v>17</v>
      </c>
      <c r="BF43" s="4445">
        <v>17</v>
      </c>
      <c r="BG43" s="4445">
        <v>18</v>
      </c>
      <c r="BH43" s="4446">
        <v>15</v>
      </c>
      <c r="BI43" s="4445">
        <v>13</v>
      </c>
      <c r="BJ43" s="4445">
        <v>19</v>
      </c>
      <c r="BK43" s="4446">
        <v>11</v>
      </c>
    </row>
    <row r="44" spans="2:63" ht="15" customHeight="1" x14ac:dyDescent="0.3">
      <c r="B44" s="5838"/>
      <c r="C44" s="4449" t="s">
        <v>344</v>
      </c>
      <c r="D44" s="4444"/>
      <c r="E44" s="4445"/>
      <c r="F44" s="4445"/>
      <c r="G44" s="4444"/>
      <c r="H44" s="4445"/>
      <c r="I44" s="4445"/>
      <c r="J44" s="4444"/>
      <c r="K44" s="4445"/>
      <c r="L44" s="4446"/>
      <c r="M44" s="4445"/>
      <c r="N44" s="4445"/>
      <c r="O44" s="4446"/>
      <c r="P44" s="4445"/>
      <c r="Q44" s="4445"/>
      <c r="R44" s="4446"/>
      <c r="S44" s="4445"/>
      <c r="T44" s="4445"/>
      <c r="U44" s="4446"/>
      <c r="V44" s="4445"/>
      <c r="W44" s="4445"/>
      <c r="X44" s="4446"/>
      <c r="Y44" s="4445"/>
      <c r="Z44" s="4445"/>
      <c r="AA44" s="4446"/>
      <c r="AB44" s="4445"/>
      <c r="AC44" s="4445"/>
      <c r="AD44" s="4446"/>
      <c r="AE44" s="4445"/>
      <c r="AF44" s="4445"/>
      <c r="AG44" s="4446"/>
      <c r="AH44" s="4445"/>
      <c r="AI44" s="4445"/>
      <c r="AJ44" s="4446"/>
      <c r="AK44" s="4445"/>
      <c r="AL44" s="4445"/>
      <c r="AM44" s="4446"/>
      <c r="AN44" s="4445"/>
      <c r="AO44" s="4445"/>
      <c r="AP44" s="4446">
        <v>12</v>
      </c>
      <c r="AQ44" s="4445">
        <v>12</v>
      </c>
      <c r="AR44" s="4445">
        <v>18</v>
      </c>
      <c r="AS44" s="4446">
        <v>20</v>
      </c>
      <c r="AT44" s="4445">
        <v>20</v>
      </c>
      <c r="AU44" s="4445">
        <v>18</v>
      </c>
      <c r="AV44" s="4446">
        <v>19</v>
      </c>
      <c r="AW44" s="4444">
        <v>17</v>
      </c>
      <c r="AX44" s="4445">
        <v>15</v>
      </c>
      <c r="AY44" s="4446">
        <v>15</v>
      </c>
      <c r="AZ44" s="4445">
        <v>17</v>
      </c>
      <c r="BA44" s="4445">
        <v>15</v>
      </c>
      <c r="BB44" s="4446">
        <v>11</v>
      </c>
      <c r="BC44" s="4445">
        <v>13</v>
      </c>
      <c r="BD44" s="4445">
        <v>15</v>
      </c>
      <c r="BE44" s="4446">
        <v>14</v>
      </c>
      <c r="BF44" s="4445">
        <v>13</v>
      </c>
      <c r="BG44" s="4445">
        <v>15</v>
      </c>
      <c r="BH44" s="4446">
        <v>15</v>
      </c>
      <c r="BI44" s="4445">
        <v>15</v>
      </c>
      <c r="BJ44" s="4445">
        <v>15</v>
      </c>
      <c r="BK44" s="4446">
        <v>12</v>
      </c>
    </row>
    <row r="45" spans="2:63" ht="28.8" x14ac:dyDescent="0.25">
      <c r="B45" s="5839"/>
      <c r="C45" s="4451" t="s">
        <v>345</v>
      </c>
      <c r="D45" s="4444"/>
      <c r="E45" s="4445"/>
      <c r="F45" s="4445"/>
      <c r="G45" s="4444"/>
      <c r="H45" s="4445"/>
      <c r="I45" s="4445"/>
      <c r="J45" s="4444"/>
      <c r="K45" s="4445"/>
      <c r="L45" s="4446"/>
      <c r="M45" s="4445"/>
      <c r="N45" s="4445"/>
      <c r="O45" s="4446"/>
      <c r="P45" s="4445"/>
      <c r="Q45" s="4445"/>
      <c r="R45" s="4446"/>
      <c r="S45" s="4445"/>
      <c r="T45" s="4445"/>
      <c r="U45" s="4446"/>
      <c r="V45" s="4445"/>
      <c r="W45" s="4445"/>
      <c r="X45" s="4446"/>
      <c r="Y45" s="4445"/>
      <c r="Z45" s="4445"/>
      <c r="AA45" s="4446"/>
      <c r="AB45" s="4445"/>
      <c r="AC45" s="4445"/>
      <c r="AD45" s="4446"/>
      <c r="AE45" s="4445"/>
      <c r="AF45" s="4445"/>
      <c r="AG45" s="4446"/>
      <c r="AH45" s="4445"/>
      <c r="AI45" s="4445"/>
      <c r="AJ45" s="4446"/>
      <c r="AK45" s="4445"/>
      <c r="AL45" s="4445"/>
      <c r="AM45" s="4446"/>
      <c r="AN45" s="4445"/>
      <c r="AO45" s="4445"/>
      <c r="AP45" s="4446">
        <v>7</v>
      </c>
      <c r="AQ45" s="4445">
        <v>7</v>
      </c>
      <c r="AR45" s="4445">
        <v>7</v>
      </c>
      <c r="AS45" s="4446">
        <v>9</v>
      </c>
      <c r="AT45" s="4445">
        <v>14</v>
      </c>
      <c r="AU45" s="4445">
        <v>14</v>
      </c>
      <c r="AV45" s="4446">
        <v>13</v>
      </c>
      <c r="AW45" s="4444">
        <v>13</v>
      </c>
      <c r="AX45" s="4445">
        <v>11</v>
      </c>
      <c r="AY45" s="4446">
        <v>6</v>
      </c>
      <c r="AZ45" s="4445">
        <v>9</v>
      </c>
      <c r="BA45" s="4445">
        <v>4</v>
      </c>
      <c r="BB45" s="4446">
        <v>3</v>
      </c>
      <c r="BC45" s="4445">
        <v>6</v>
      </c>
      <c r="BD45" s="4445">
        <v>5</v>
      </c>
      <c r="BE45" s="4446">
        <v>5</v>
      </c>
      <c r="BF45" s="4445">
        <v>5</v>
      </c>
      <c r="BG45" s="4445">
        <v>5</v>
      </c>
      <c r="BH45" s="4446">
        <v>4</v>
      </c>
      <c r="BI45" s="4445">
        <v>4</v>
      </c>
      <c r="BJ45" s="4445">
        <v>7</v>
      </c>
      <c r="BK45" s="4446">
        <v>9</v>
      </c>
    </row>
    <row r="46" spans="2:63" ht="15" customHeight="1" x14ac:dyDescent="0.3">
      <c r="B46" s="5840" t="s">
        <v>317</v>
      </c>
      <c r="C46" s="1406" t="s">
        <v>346</v>
      </c>
      <c r="D46" s="129">
        <v>17</v>
      </c>
      <c r="E46" s="130">
        <v>17</v>
      </c>
      <c r="F46" s="130">
        <v>7</v>
      </c>
      <c r="G46" s="129">
        <v>4</v>
      </c>
      <c r="H46" s="130">
        <v>4</v>
      </c>
      <c r="I46" s="130">
        <v>1</v>
      </c>
      <c r="J46" s="129">
        <v>1</v>
      </c>
      <c r="K46" s="130">
        <v>1</v>
      </c>
      <c r="L46" s="396">
        <v>8</v>
      </c>
      <c r="M46" s="130">
        <v>6</v>
      </c>
      <c r="N46" s="130">
        <v>6</v>
      </c>
      <c r="O46" s="396">
        <v>12</v>
      </c>
      <c r="P46" s="130">
        <v>9</v>
      </c>
      <c r="Q46" s="130">
        <v>11</v>
      </c>
      <c r="R46" s="396">
        <v>16</v>
      </c>
      <c r="S46" s="130">
        <v>13</v>
      </c>
      <c r="T46" s="130">
        <v>11</v>
      </c>
      <c r="U46" s="396">
        <v>24</v>
      </c>
      <c r="V46" s="130">
        <v>20</v>
      </c>
      <c r="W46" s="130">
        <v>19</v>
      </c>
      <c r="X46" s="396">
        <v>31</v>
      </c>
      <c r="Y46" s="130">
        <v>32</v>
      </c>
      <c r="Z46" s="130">
        <v>34</v>
      </c>
      <c r="AA46" s="396">
        <v>51</v>
      </c>
      <c r="AB46" s="130">
        <v>51</v>
      </c>
      <c r="AC46" s="130">
        <v>44</v>
      </c>
      <c r="AD46" s="396">
        <v>38</v>
      </c>
      <c r="AE46" s="130">
        <v>35</v>
      </c>
      <c r="AF46" s="130">
        <v>35</v>
      </c>
      <c r="AG46" s="396">
        <v>51</v>
      </c>
      <c r="AH46" s="130">
        <v>46</v>
      </c>
      <c r="AI46" s="130">
        <v>49</v>
      </c>
      <c r="AJ46" s="396">
        <v>42</v>
      </c>
      <c r="AK46" s="130">
        <v>35</v>
      </c>
      <c r="AL46" s="130">
        <v>34</v>
      </c>
      <c r="AM46" s="396">
        <v>66</v>
      </c>
      <c r="AN46" s="130">
        <v>69</v>
      </c>
      <c r="AO46" s="130">
        <v>65</v>
      </c>
      <c r="AP46" s="396"/>
      <c r="AQ46" s="130"/>
      <c r="AR46" s="130"/>
      <c r="AS46" s="396"/>
      <c r="AT46" s="130"/>
      <c r="AU46" s="130"/>
      <c r="AV46" s="396"/>
      <c r="AW46" s="129"/>
      <c r="AX46" s="130"/>
      <c r="AY46" s="396"/>
      <c r="AZ46" s="130"/>
      <c r="BA46" s="130"/>
      <c r="BB46" s="396"/>
      <c r="BC46" s="130"/>
      <c r="BD46" s="130"/>
      <c r="BE46" s="396"/>
      <c r="BF46" s="130"/>
      <c r="BG46" s="130"/>
      <c r="BH46" s="396"/>
      <c r="BI46" s="130"/>
      <c r="BJ46" s="130"/>
      <c r="BK46" s="396"/>
    </row>
    <row r="47" spans="2:63" ht="15" customHeight="1" x14ac:dyDescent="0.25">
      <c r="B47" s="5841"/>
      <c r="C47" s="1407" t="s">
        <v>341</v>
      </c>
      <c r="D47" s="196"/>
      <c r="E47" s="197"/>
      <c r="F47" s="197"/>
      <c r="G47" s="196"/>
      <c r="H47" s="197"/>
      <c r="I47" s="197"/>
      <c r="J47" s="196"/>
      <c r="K47" s="197"/>
      <c r="L47" s="397"/>
      <c r="M47" s="197"/>
      <c r="N47" s="197"/>
      <c r="O47" s="397"/>
      <c r="P47" s="197"/>
      <c r="Q47" s="197"/>
      <c r="R47" s="397"/>
      <c r="S47" s="197"/>
      <c r="T47" s="197"/>
      <c r="U47" s="397"/>
      <c r="V47" s="197"/>
      <c r="W47" s="197"/>
      <c r="X47" s="397"/>
      <c r="Y47" s="197"/>
      <c r="Z47" s="197"/>
      <c r="AA47" s="397"/>
      <c r="AB47" s="197"/>
      <c r="AC47" s="197"/>
      <c r="AD47" s="397"/>
      <c r="AE47" s="197"/>
      <c r="AF47" s="197"/>
      <c r="AG47" s="397"/>
      <c r="AH47" s="197"/>
      <c r="AI47" s="197"/>
      <c r="AJ47" s="397"/>
      <c r="AK47" s="197"/>
      <c r="AL47" s="197"/>
      <c r="AM47" s="397"/>
      <c r="AN47" s="197"/>
      <c r="AO47" s="197"/>
      <c r="AP47" s="397">
        <v>4</v>
      </c>
      <c r="AQ47" s="197">
        <v>4</v>
      </c>
      <c r="AR47" s="197">
        <v>4</v>
      </c>
      <c r="AS47" s="397">
        <v>3</v>
      </c>
      <c r="AT47" s="197">
        <v>4</v>
      </c>
      <c r="AU47" s="197">
        <v>5</v>
      </c>
      <c r="AV47" s="397">
        <v>6</v>
      </c>
      <c r="AW47" s="196">
        <v>4</v>
      </c>
      <c r="AX47" s="197">
        <v>3</v>
      </c>
      <c r="AY47" s="397">
        <v>4</v>
      </c>
      <c r="AZ47" s="197">
        <v>4</v>
      </c>
      <c r="BA47" s="197">
        <v>4</v>
      </c>
      <c r="BB47" s="397">
        <v>4</v>
      </c>
      <c r="BC47" s="197">
        <v>8</v>
      </c>
      <c r="BD47" s="197">
        <v>8</v>
      </c>
      <c r="BE47" s="397">
        <v>6</v>
      </c>
      <c r="BF47" s="197">
        <v>6</v>
      </c>
      <c r="BG47" s="197">
        <v>6</v>
      </c>
      <c r="BH47" s="397">
        <v>6</v>
      </c>
      <c r="BI47" s="197">
        <v>6</v>
      </c>
      <c r="BJ47" s="197">
        <v>7</v>
      </c>
      <c r="BK47" s="397">
        <v>7</v>
      </c>
    </row>
    <row r="48" spans="2:63" ht="15" customHeight="1" x14ac:dyDescent="0.25">
      <c r="B48" s="5841"/>
      <c r="C48" s="1405" t="s">
        <v>343</v>
      </c>
      <c r="D48" s="196"/>
      <c r="E48" s="197"/>
      <c r="F48" s="197"/>
      <c r="G48" s="196"/>
      <c r="H48" s="197"/>
      <c r="I48" s="197"/>
      <c r="J48" s="196"/>
      <c r="K48" s="197"/>
      <c r="L48" s="397"/>
      <c r="M48" s="197"/>
      <c r="N48" s="197"/>
      <c r="O48" s="397"/>
      <c r="P48" s="197"/>
      <c r="Q48" s="197"/>
      <c r="R48" s="397"/>
      <c r="S48" s="197"/>
      <c r="T48" s="197"/>
      <c r="U48" s="397"/>
      <c r="V48" s="197"/>
      <c r="W48" s="197"/>
      <c r="X48" s="397"/>
      <c r="Y48" s="197"/>
      <c r="Z48" s="197"/>
      <c r="AA48" s="397"/>
      <c r="AB48" s="197"/>
      <c r="AC48" s="197"/>
      <c r="AD48" s="397"/>
      <c r="AE48" s="197"/>
      <c r="AF48" s="197"/>
      <c r="AG48" s="397"/>
      <c r="AH48" s="197"/>
      <c r="AI48" s="197"/>
      <c r="AJ48" s="397"/>
      <c r="AK48" s="197"/>
      <c r="AL48" s="197"/>
      <c r="AM48" s="397"/>
      <c r="AN48" s="197"/>
      <c r="AO48" s="197"/>
      <c r="AP48" s="397">
        <v>23</v>
      </c>
      <c r="AQ48" s="197">
        <v>22</v>
      </c>
      <c r="AR48" s="197">
        <v>24</v>
      </c>
      <c r="AS48" s="397">
        <v>22</v>
      </c>
      <c r="AT48" s="197">
        <v>26</v>
      </c>
      <c r="AU48" s="197">
        <v>29</v>
      </c>
      <c r="AV48" s="397">
        <v>29</v>
      </c>
      <c r="AW48" s="196">
        <v>22</v>
      </c>
      <c r="AX48" s="197">
        <v>17</v>
      </c>
      <c r="AY48" s="397">
        <v>17</v>
      </c>
      <c r="AZ48" s="197">
        <v>20</v>
      </c>
      <c r="BA48" s="197">
        <v>21</v>
      </c>
      <c r="BB48" s="397">
        <v>15</v>
      </c>
      <c r="BC48" s="197">
        <v>19</v>
      </c>
      <c r="BD48" s="197">
        <v>22</v>
      </c>
      <c r="BE48" s="397">
        <v>21</v>
      </c>
      <c r="BF48" s="197">
        <v>17</v>
      </c>
      <c r="BG48" s="197">
        <v>24</v>
      </c>
      <c r="BH48" s="397">
        <v>26</v>
      </c>
      <c r="BI48" s="197">
        <v>26</v>
      </c>
      <c r="BJ48" s="197">
        <v>28</v>
      </c>
      <c r="BK48" s="397">
        <v>8</v>
      </c>
    </row>
    <row r="49" spans="2:63" ht="15" customHeight="1" x14ac:dyDescent="0.25">
      <c r="B49" s="5841"/>
      <c r="C49" s="1405" t="s">
        <v>342</v>
      </c>
      <c r="D49" s="196"/>
      <c r="E49" s="197"/>
      <c r="F49" s="197"/>
      <c r="G49" s="196"/>
      <c r="H49" s="197"/>
      <c r="I49" s="197"/>
      <c r="J49" s="196"/>
      <c r="K49" s="197"/>
      <c r="L49" s="397"/>
      <c r="M49" s="197"/>
      <c r="N49" s="197"/>
      <c r="O49" s="397"/>
      <c r="P49" s="197"/>
      <c r="Q49" s="197"/>
      <c r="R49" s="397"/>
      <c r="S49" s="197"/>
      <c r="T49" s="197"/>
      <c r="U49" s="397"/>
      <c r="V49" s="197"/>
      <c r="W49" s="197"/>
      <c r="X49" s="397"/>
      <c r="Y49" s="197"/>
      <c r="Z49" s="197"/>
      <c r="AA49" s="397"/>
      <c r="AB49" s="197"/>
      <c r="AC49" s="197"/>
      <c r="AD49" s="397"/>
      <c r="AE49" s="197"/>
      <c r="AF49" s="197"/>
      <c r="AG49" s="397"/>
      <c r="AH49" s="197"/>
      <c r="AI49" s="197"/>
      <c r="AJ49" s="397"/>
      <c r="AK49" s="197"/>
      <c r="AL49" s="197"/>
      <c r="AM49" s="397"/>
      <c r="AN49" s="197"/>
      <c r="AO49" s="197"/>
      <c r="AP49" s="397">
        <v>9</v>
      </c>
      <c r="AQ49" s="197">
        <v>10</v>
      </c>
      <c r="AR49" s="197">
        <v>10</v>
      </c>
      <c r="AS49" s="397">
        <v>8</v>
      </c>
      <c r="AT49" s="197">
        <v>8</v>
      </c>
      <c r="AU49" s="197">
        <v>9</v>
      </c>
      <c r="AV49" s="397">
        <v>8</v>
      </c>
      <c r="AW49" s="196">
        <v>7</v>
      </c>
      <c r="AX49" s="197">
        <v>6</v>
      </c>
      <c r="AY49" s="397">
        <v>6</v>
      </c>
      <c r="AZ49" s="197">
        <v>10</v>
      </c>
      <c r="BA49" s="197">
        <v>9</v>
      </c>
      <c r="BB49" s="397">
        <v>8</v>
      </c>
      <c r="BC49" s="197">
        <v>10</v>
      </c>
      <c r="BD49" s="197">
        <v>9</v>
      </c>
      <c r="BE49" s="397">
        <v>9</v>
      </c>
      <c r="BF49" s="197">
        <v>6</v>
      </c>
      <c r="BG49" s="197">
        <v>8</v>
      </c>
      <c r="BH49" s="397">
        <v>8</v>
      </c>
      <c r="BI49" s="197">
        <v>6</v>
      </c>
      <c r="BJ49" s="197">
        <v>7</v>
      </c>
      <c r="BK49" s="397">
        <v>27</v>
      </c>
    </row>
    <row r="50" spans="2:63" ht="15" customHeight="1" x14ac:dyDescent="0.25">
      <c r="B50" s="5841"/>
      <c r="C50" s="1405" t="s">
        <v>339</v>
      </c>
      <c r="D50" s="196"/>
      <c r="E50" s="197"/>
      <c r="F50" s="197"/>
      <c r="G50" s="196"/>
      <c r="H50" s="197"/>
      <c r="I50" s="197"/>
      <c r="J50" s="196"/>
      <c r="K50" s="197"/>
      <c r="L50" s="397"/>
      <c r="M50" s="197"/>
      <c r="N50" s="197"/>
      <c r="O50" s="397"/>
      <c r="P50" s="197"/>
      <c r="Q50" s="197"/>
      <c r="R50" s="397"/>
      <c r="S50" s="197"/>
      <c r="T50" s="197"/>
      <c r="U50" s="397"/>
      <c r="V50" s="197"/>
      <c r="W50" s="197"/>
      <c r="X50" s="397"/>
      <c r="Y50" s="197"/>
      <c r="Z50" s="197"/>
      <c r="AA50" s="397"/>
      <c r="AB50" s="197"/>
      <c r="AC50" s="197"/>
      <c r="AD50" s="397"/>
      <c r="AE50" s="197"/>
      <c r="AF50" s="197"/>
      <c r="AG50" s="397"/>
      <c r="AH50" s="197"/>
      <c r="AI50" s="197"/>
      <c r="AJ50" s="397"/>
      <c r="AK50" s="197"/>
      <c r="AL50" s="197"/>
      <c r="AM50" s="397"/>
      <c r="AN50" s="197"/>
      <c r="AO50" s="197"/>
      <c r="AP50" s="397">
        <v>2</v>
      </c>
      <c r="AQ50" s="197">
        <v>2</v>
      </c>
      <c r="AR50" s="197">
        <v>2</v>
      </c>
      <c r="AS50" s="397">
        <v>2</v>
      </c>
      <c r="AT50" s="197">
        <v>2</v>
      </c>
      <c r="AU50" s="197">
        <v>1</v>
      </c>
      <c r="AV50" s="397">
        <v>4</v>
      </c>
      <c r="AW50" s="196">
        <v>4</v>
      </c>
      <c r="AX50" s="197">
        <v>4</v>
      </c>
      <c r="AY50" s="397">
        <v>3</v>
      </c>
      <c r="AZ50" s="197">
        <v>4</v>
      </c>
      <c r="BA50" s="197">
        <v>4</v>
      </c>
      <c r="BB50" s="397">
        <v>3</v>
      </c>
      <c r="BC50" s="197">
        <v>3</v>
      </c>
      <c r="BD50" s="197">
        <v>3</v>
      </c>
      <c r="BE50" s="397">
        <v>3</v>
      </c>
      <c r="BF50" s="197">
        <v>3</v>
      </c>
      <c r="BG50" s="197">
        <v>3</v>
      </c>
      <c r="BH50" s="397">
        <v>2</v>
      </c>
      <c r="BI50" s="197">
        <v>3</v>
      </c>
      <c r="BJ50" s="197">
        <v>3</v>
      </c>
      <c r="BK50" s="397">
        <v>2</v>
      </c>
    </row>
    <row r="51" spans="2:63" ht="15" customHeight="1" x14ac:dyDescent="0.3">
      <c r="B51" s="5841"/>
      <c r="C51" s="1406" t="s">
        <v>344</v>
      </c>
      <c r="D51" s="196"/>
      <c r="E51" s="197"/>
      <c r="F51" s="197"/>
      <c r="G51" s="196"/>
      <c r="H51" s="197"/>
      <c r="I51" s="197"/>
      <c r="J51" s="196"/>
      <c r="K51" s="197"/>
      <c r="L51" s="397"/>
      <c r="M51" s="197"/>
      <c r="N51" s="197"/>
      <c r="O51" s="397"/>
      <c r="P51" s="197"/>
      <c r="Q51" s="197"/>
      <c r="R51" s="397"/>
      <c r="S51" s="197"/>
      <c r="T51" s="197"/>
      <c r="U51" s="397"/>
      <c r="V51" s="197"/>
      <c r="W51" s="197"/>
      <c r="X51" s="397"/>
      <c r="Y51" s="197"/>
      <c r="Z51" s="197"/>
      <c r="AA51" s="397"/>
      <c r="AB51" s="197"/>
      <c r="AC51" s="197"/>
      <c r="AD51" s="397"/>
      <c r="AE51" s="197"/>
      <c r="AF51" s="197"/>
      <c r="AG51" s="397"/>
      <c r="AH51" s="197"/>
      <c r="AI51" s="197"/>
      <c r="AJ51" s="397"/>
      <c r="AK51" s="197"/>
      <c r="AL51" s="197"/>
      <c r="AM51" s="397"/>
      <c r="AN51" s="197"/>
      <c r="AO51" s="197"/>
      <c r="AP51" s="397">
        <v>18</v>
      </c>
      <c r="AQ51" s="197">
        <v>22</v>
      </c>
      <c r="AR51" s="197">
        <v>20</v>
      </c>
      <c r="AS51" s="397">
        <v>22</v>
      </c>
      <c r="AT51" s="197">
        <v>19</v>
      </c>
      <c r="AU51" s="197">
        <v>22</v>
      </c>
      <c r="AV51" s="397">
        <v>20</v>
      </c>
      <c r="AW51" s="196">
        <v>18</v>
      </c>
      <c r="AX51" s="197">
        <v>15</v>
      </c>
      <c r="AY51" s="397">
        <v>15</v>
      </c>
      <c r="AZ51" s="197">
        <v>17</v>
      </c>
      <c r="BA51" s="197">
        <v>18</v>
      </c>
      <c r="BB51" s="397">
        <v>17</v>
      </c>
      <c r="BC51" s="197">
        <v>17</v>
      </c>
      <c r="BD51" s="197">
        <v>15</v>
      </c>
      <c r="BE51" s="397">
        <v>15</v>
      </c>
      <c r="BF51" s="197">
        <v>15</v>
      </c>
      <c r="BG51" s="197">
        <v>17</v>
      </c>
      <c r="BH51" s="397">
        <v>17</v>
      </c>
      <c r="BI51" s="197">
        <v>17</v>
      </c>
      <c r="BJ51" s="197">
        <v>16</v>
      </c>
      <c r="BK51" s="397">
        <v>12</v>
      </c>
    </row>
    <row r="52" spans="2:63" ht="28.8" x14ac:dyDescent="0.25">
      <c r="B52" s="5842"/>
      <c r="C52" s="1405" t="s">
        <v>345</v>
      </c>
      <c r="D52" s="196"/>
      <c r="E52" s="197"/>
      <c r="F52" s="197"/>
      <c r="G52" s="196"/>
      <c r="H52" s="197"/>
      <c r="I52" s="197"/>
      <c r="J52" s="196"/>
      <c r="K52" s="197"/>
      <c r="L52" s="397"/>
      <c r="M52" s="197"/>
      <c r="N52" s="197"/>
      <c r="O52" s="397"/>
      <c r="P52" s="197"/>
      <c r="Q52" s="197"/>
      <c r="R52" s="397"/>
      <c r="S52" s="197"/>
      <c r="T52" s="197"/>
      <c r="U52" s="397"/>
      <c r="V52" s="197"/>
      <c r="W52" s="197"/>
      <c r="X52" s="397"/>
      <c r="Y52" s="197"/>
      <c r="Z52" s="197"/>
      <c r="AA52" s="397"/>
      <c r="AB52" s="197"/>
      <c r="AC52" s="197"/>
      <c r="AD52" s="397"/>
      <c r="AE52" s="197"/>
      <c r="AF52" s="130"/>
      <c r="AG52" s="396"/>
      <c r="AH52" s="130"/>
      <c r="AI52" s="130"/>
      <c r="AJ52" s="396"/>
      <c r="AK52" s="130"/>
      <c r="AL52" s="130"/>
      <c r="AM52" s="396"/>
      <c r="AN52" s="130"/>
      <c r="AO52" s="130"/>
      <c r="AP52" s="396"/>
      <c r="AQ52" s="130"/>
      <c r="AR52" s="130"/>
      <c r="AS52" s="396"/>
      <c r="AT52" s="130">
        <v>2</v>
      </c>
      <c r="AU52" s="130">
        <v>2</v>
      </c>
      <c r="AV52" s="396">
        <v>3</v>
      </c>
      <c r="AW52" s="129">
        <v>4</v>
      </c>
      <c r="AX52" s="130">
        <v>2</v>
      </c>
      <c r="AY52" s="396">
        <v>3</v>
      </c>
      <c r="AZ52" s="130">
        <v>4</v>
      </c>
      <c r="BA52" s="130">
        <v>5</v>
      </c>
      <c r="BB52" s="396">
        <v>4</v>
      </c>
      <c r="BC52" s="130">
        <v>6</v>
      </c>
      <c r="BD52" s="130">
        <v>6</v>
      </c>
      <c r="BE52" s="396">
        <v>6</v>
      </c>
      <c r="BF52" s="130">
        <v>6</v>
      </c>
      <c r="BG52" s="130">
        <v>5</v>
      </c>
      <c r="BH52" s="396">
        <v>5</v>
      </c>
      <c r="BI52" s="130">
        <v>6</v>
      </c>
      <c r="BJ52" s="130">
        <v>7</v>
      </c>
      <c r="BK52" s="396">
        <v>8</v>
      </c>
    </row>
    <row r="53" spans="2:63" ht="15" customHeight="1" x14ac:dyDescent="0.25">
      <c r="B53" s="1289"/>
      <c r="C53" s="1391" t="s">
        <v>68</v>
      </c>
      <c r="D53" s="1408">
        <f t="shared" ref="D53:AO53" si="9">SUM(D36:D46)</f>
        <v>72</v>
      </c>
      <c r="E53" s="1409">
        <f t="shared" si="9"/>
        <v>66</v>
      </c>
      <c r="F53" s="1409">
        <f t="shared" si="9"/>
        <v>53</v>
      </c>
      <c r="G53" s="1408">
        <f t="shared" si="9"/>
        <v>46</v>
      </c>
      <c r="H53" s="1409">
        <f t="shared" si="9"/>
        <v>38</v>
      </c>
      <c r="I53" s="1409">
        <f t="shared" si="9"/>
        <v>57</v>
      </c>
      <c r="J53" s="1408">
        <f t="shared" si="9"/>
        <v>42</v>
      </c>
      <c r="K53" s="1409">
        <f t="shared" si="9"/>
        <v>37</v>
      </c>
      <c r="L53" s="1410">
        <f t="shared" si="9"/>
        <v>49</v>
      </c>
      <c r="M53" s="1409">
        <f t="shared" si="9"/>
        <v>48</v>
      </c>
      <c r="N53" s="1409">
        <f t="shared" si="9"/>
        <v>35</v>
      </c>
      <c r="O53" s="1410">
        <f t="shared" si="9"/>
        <v>76</v>
      </c>
      <c r="P53" s="1409">
        <f t="shared" si="9"/>
        <v>68</v>
      </c>
      <c r="Q53" s="1409">
        <f t="shared" si="9"/>
        <v>65</v>
      </c>
      <c r="R53" s="1410">
        <f t="shared" si="9"/>
        <v>86</v>
      </c>
      <c r="S53" s="1409">
        <f t="shared" si="9"/>
        <v>75</v>
      </c>
      <c r="T53" s="1409">
        <f t="shared" si="9"/>
        <v>64</v>
      </c>
      <c r="U53" s="1410">
        <f t="shared" si="9"/>
        <v>106</v>
      </c>
      <c r="V53" s="1409">
        <f t="shared" si="9"/>
        <v>101</v>
      </c>
      <c r="W53" s="1409">
        <f t="shared" si="9"/>
        <v>101</v>
      </c>
      <c r="X53" s="1410">
        <f t="shared" si="9"/>
        <v>147</v>
      </c>
      <c r="Y53" s="1409">
        <f t="shared" si="9"/>
        <v>129</v>
      </c>
      <c r="Z53" s="1409">
        <f t="shared" si="9"/>
        <v>121</v>
      </c>
      <c r="AA53" s="1410">
        <f t="shared" si="9"/>
        <v>187</v>
      </c>
      <c r="AB53" s="1409">
        <f t="shared" si="9"/>
        <v>191</v>
      </c>
      <c r="AC53" s="1409">
        <f t="shared" si="9"/>
        <v>157</v>
      </c>
      <c r="AD53" s="1410">
        <f t="shared" si="9"/>
        <v>148</v>
      </c>
      <c r="AE53" s="1409">
        <f t="shared" si="9"/>
        <v>142</v>
      </c>
      <c r="AF53" s="1411">
        <f t="shared" si="9"/>
        <v>142</v>
      </c>
      <c r="AG53" s="1395">
        <f t="shared" si="9"/>
        <v>187</v>
      </c>
      <c r="AH53" s="1411">
        <f t="shared" si="9"/>
        <v>158</v>
      </c>
      <c r="AI53" s="1411">
        <f t="shared" si="9"/>
        <v>167</v>
      </c>
      <c r="AJ53" s="1395">
        <f t="shared" si="9"/>
        <v>143</v>
      </c>
      <c r="AK53" s="1411">
        <f t="shared" si="9"/>
        <v>120</v>
      </c>
      <c r="AL53" s="1411">
        <f t="shared" si="9"/>
        <v>117</v>
      </c>
      <c r="AM53" s="1395">
        <f t="shared" si="9"/>
        <v>224</v>
      </c>
      <c r="AN53" s="1412">
        <f t="shared" si="9"/>
        <v>187</v>
      </c>
      <c r="AO53" s="1411">
        <f t="shared" si="9"/>
        <v>175</v>
      </c>
      <c r="AP53" s="1395">
        <f t="shared" ref="AP53:BE53" si="10">SUM(AP36:AP52)</f>
        <v>137</v>
      </c>
      <c r="AQ53" s="1412">
        <f t="shared" si="10"/>
        <v>154</v>
      </c>
      <c r="AR53" s="1411">
        <f t="shared" si="10"/>
        <v>154</v>
      </c>
      <c r="AS53" s="1395">
        <f t="shared" si="10"/>
        <v>166</v>
      </c>
      <c r="AT53" s="1412">
        <f t="shared" si="10"/>
        <v>167</v>
      </c>
      <c r="AU53" s="1411">
        <f t="shared" si="10"/>
        <v>169</v>
      </c>
      <c r="AV53" s="1395">
        <f t="shared" si="10"/>
        <v>183</v>
      </c>
      <c r="AW53" s="1412">
        <f t="shared" si="10"/>
        <v>155</v>
      </c>
      <c r="AX53" s="1411">
        <f t="shared" si="10"/>
        <v>132</v>
      </c>
      <c r="AY53" s="1395">
        <f t="shared" si="10"/>
        <v>126</v>
      </c>
      <c r="AZ53" s="1412">
        <f t="shared" si="10"/>
        <v>148</v>
      </c>
      <c r="BA53" s="1411">
        <f t="shared" si="10"/>
        <v>140</v>
      </c>
      <c r="BB53" s="1395">
        <f t="shared" si="10"/>
        <v>103</v>
      </c>
      <c r="BC53" s="1412">
        <f t="shared" si="10"/>
        <v>156</v>
      </c>
      <c r="BD53" s="1411">
        <f t="shared" si="10"/>
        <v>151</v>
      </c>
      <c r="BE53" s="1395">
        <f t="shared" si="10"/>
        <v>154</v>
      </c>
      <c r="BF53" s="1412">
        <f t="shared" ref="BF53:BH53" si="11">SUM(BF36:BF52)</f>
        <v>128</v>
      </c>
      <c r="BG53" s="1411">
        <f t="shared" si="11"/>
        <v>175</v>
      </c>
      <c r="BH53" s="1395">
        <f t="shared" si="11"/>
        <v>162</v>
      </c>
      <c r="BI53" s="1412">
        <f t="shared" ref="BI53:BJ53" si="12">SUM(BI36:BI52)</f>
        <v>159</v>
      </c>
      <c r="BJ53" s="1411">
        <f t="shared" si="12"/>
        <v>194</v>
      </c>
      <c r="BK53" s="1395">
        <f>SUM(BK36:BK52)</f>
        <v>180</v>
      </c>
    </row>
    <row r="54" spans="2:63" ht="15" customHeight="1" x14ac:dyDescent="0.25">
      <c r="B54" s="1290"/>
      <c r="C54" s="1413" t="s">
        <v>347</v>
      </c>
      <c r="D54" s="1414">
        <f t="shared" ref="D54:AQ54" si="13">SUM(D53,D35,D15)</f>
        <v>268</v>
      </c>
      <c r="E54" s="1415">
        <f t="shared" si="13"/>
        <v>235</v>
      </c>
      <c r="F54" s="1415">
        <f t="shared" si="13"/>
        <v>226</v>
      </c>
      <c r="G54" s="1414">
        <f t="shared" si="13"/>
        <v>232</v>
      </c>
      <c r="H54" s="1415">
        <f t="shared" si="13"/>
        <v>202</v>
      </c>
      <c r="I54" s="1415">
        <f t="shared" si="13"/>
        <v>269</v>
      </c>
      <c r="J54" s="1414">
        <f t="shared" si="13"/>
        <v>240</v>
      </c>
      <c r="K54" s="1415">
        <f t="shared" si="13"/>
        <v>227</v>
      </c>
      <c r="L54" s="1416">
        <f t="shared" si="13"/>
        <v>281</v>
      </c>
      <c r="M54" s="1415">
        <f t="shared" si="13"/>
        <v>274</v>
      </c>
      <c r="N54" s="1415">
        <f t="shared" si="13"/>
        <v>251</v>
      </c>
      <c r="O54" s="1416">
        <f t="shared" si="13"/>
        <v>288</v>
      </c>
      <c r="P54" s="1415">
        <f t="shared" si="13"/>
        <v>292</v>
      </c>
      <c r="Q54" s="1415">
        <f t="shared" si="13"/>
        <v>270</v>
      </c>
      <c r="R54" s="1416">
        <f t="shared" si="13"/>
        <v>365</v>
      </c>
      <c r="S54" s="1415">
        <f t="shared" si="13"/>
        <v>297</v>
      </c>
      <c r="T54" s="1415">
        <f t="shared" si="13"/>
        <v>281</v>
      </c>
      <c r="U54" s="1416">
        <f t="shared" si="13"/>
        <v>365</v>
      </c>
      <c r="V54" s="1415">
        <f t="shared" si="13"/>
        <v>317</v>
      </c>
      <c r="W54" s="1415">
        <f t="shared" si="13"/>
        <v>303</v>
      </c>
      <c r="X54" s="1416">
        <f t="shared" si="13"/>
        <v>469</v>
      </c>
      <c r="Y54" s="1415">
        <f t="shared" si="13"/>
        <v>387</v>
      </c>
      <c r="Z54" s="1415">
        <f t="shared" si="13"/>
        <v>378</v>
      </c>
      <c r="AA54" s="1416">
        <f t="shared" si="13"/>
        <v>519</v>
      </c>
      <c r="AB54" s="1415">
        <f t="shared" si="13"/>
        <v>457</v>
      </c>
      <c r="AC54" s="1415">
        <f t="shared" si="13"/>
        <v>399</v>
      </c>
      <c r="AD54" s="1416">
        <f t="shared" si="13"/>
        <v>416</v>
      </c>
      <c r="AE54" s="1415">
        <f t="shared" si="13"/>
        <v>391</v>
      </c>
      <c r="AF54" s="1415">
        <f t="shared" si="13"/>
        <v>378</v>
      </c>
      <c r="AG54" s="1416">
        <f t="shared" si="13"/>
        <v>450</v>
      </c>
      <c r="AH54" s="1415">
        <f t="shared" si="13"/>
        <v>426</v>
      </c>
      <c r="AI54" s="1415">
        <f t="shared" si="13"/>
        <v>418</v>
      </c>
      <c r="AJ54" s="1416">
        <f t="shared" si="13"/>
        <v>469</v>
      </c>
      <c r="AK54" s="1415">
        <f t="shared" si="13"/>
        <v>457</v>
      </c>
      <c r="AL54" s="1415">
        <f t="shared" si="13"/>
        <v>433</v>
      </c>
      <c r="AM54" s="1416">
        <f t="shared" si="13"/>
        <v>597</v>
      </c>
      <c r="AN54" s="1415">
        <f t="shared" si="13"/>
        <v>545</v>
      </c>
      <c r="AO54" s="1415">
        <f t="shared" si="13"/>
        <v>503</v>
      </c>
      <c r="AP54" s="1416">
        <f t="shared" si="13"/>
        <v>509</v>
      </c>
      <c r="AQ54" s="1415">
        <f t="shared" si="13"/>
        <v>530</v>
      </c>
      <c r="AR54" s="1415">
        <f>SUM(AR15,AR35,AR53)</f>
        <v>479</v>
      </c>
      <c r="AS54" s="1416">
        <f>SUM(AS53,AS35,AS15)</f>
        <v>548</v>
      </c>
      <c r="AT54" s="1415">
        <f>SUM(AT53,AT35,AT15)</f>
        <v>613</v>
      </c>
      <c r="AU54" s="1415">
        <f>SUM(AU15,AU35,AU53)</f>
        <v>592</v>
      </c>
      <c r="AV54" s="1416">
        <f>SUM(AV53,AV35,AV15)</f>
        <v>637</v>
      </c>
      <c r="AW54" s="5524">
        <f>SUM(AW53,AW35,AW15)</f>
        <v>602</v>
      </c>
      <c r="AX54" s="1415">
        <f>SUM(AX15,AX35,AX53)</f>
        <v>557</v>
      </c>
      <c r="AY54" s="1416">
        <f>SUM(AY53,AY35,AY15)</f>
        <v>599</v>
      </c>
      <c r="AZ54" s="1415">
        <f>SUM(AZ53,AZ35,AZ15)</f>
        <v>635</v>
      </c>
      <c r="BA54" s="1415">
        <f>SUM(BA15,BA35,BA53)</f>
        <v>617</v>
      </c>
      <c r="BB54" s="1416">
        <f>SUM(BB53,BB35,BB15)</f>
        <v>585</v>
      </c>
      <c r="BC54" s="1415">
        <f>SUM(BC53,BC35,BC15)</f>
        <v>647</v>
      </c>
      <c r="BD54" s="1415">
        <f>SUM(BD15,BD35,BD53)</f>
        <v>605</v>
      </c>
      <c r="BE54" s="1416">
        <f>SUM(BE53,BE35,BE15)</f>
        <v>572</v>
      </c>
      <c r="BF54" s="1415">
        <f>SUM(BF53,BF35,BF15)</f>
        <v>588</v>
      </c>
      <c r="BG54" s="1415">
        <f>SUM(BG15,BG35,BG53)</f>
        <v>642</v>
      </c>
      <c r="BH54" s="1416">
        <f>SUM(BH53,BH35,BH15)</f>
        <v>610</v>
      </c>
      <c r="BI54" s="1415">
        <f>SUM(BI53,BI35,BI15)</f>
        <v>593</v>
      </c>
      <c r="BJ54" s="1415">
        <f>SUM(BJ15,BJ35,BJ53)</f>
        <v>627</v>
      </c>
      <c r="BK54" s="1416">
        <f>SUM(BK53,BK35,BK15)</f>
        <v>616</v>
      </c>
    </row>
    <row r="55" spans="2:63" ht="15" customHeight="1" x14ac:dyDescent="0.3">
      <c r="B55" s="4431" t="s">
        <v>310</v>
      </c>
      <c r="C55" s="4452" t="s">
        <v>348</v>
      </c>
      <c r="D55" s="4437"/>
      <c r="E55" s="4438"/>
      <c r="F55" s="4438"/>
      <c r="G55" s="4437"/>
      <c r="H55" s="4438"/>
      <c r="I55" s="4439"/>
      <c r="J55" s="4438"/>
      <c r="K55" s="4438"/>
      <c r="L55" s="4438"/>
      <c r="M55" s="4437"/>
      <c r="N55" s="4438"/>
      <c r="O55" s="4439"/>
      <c r="P55" s="4438"/>
      <c r="Q55" s="4438"/>
      <c r="R55" s="4438"/>
      <c r="S55" s="4437"/>
      <c r="T55" s="4438"/>
      <c r="U55" s="4439"/>
      <c r="V55" s="4438"/>
      <c r="W55" s="4438"/>
      <c r="X55" s="4438"/>
      <c r="Y55" s="4437"/>
      <c r="Z55" s="4438"/>
      <c r="AA55" s="4439"/>
      <c r="AB55" s="4438">
        <v>20</v>
      </c>
      <c r="AC55" s="4438">
        <v>19</v>
      </c>
      <c r="AD55" s="4439">
        <v>18</v>
      </c>
      <c r="AE55" s="4438">
        <v>31</v>
      </c>
      <c r="AF55" s="4438">
        <v>28</v>
      </c>
      <c r="AG55" s="4439">
        <v>28</v>
      </c>
      <c r="AH55" s="4438">
        <v>39</v>
      </c>
      <c r="AI55" s="4438">
        <v>37</v>
      </c>
      <c r="AJ55" s="4439">
        <v>31</v>
      </c>
      <c r="AK55" s="4438">
        <v>23</v>
      </c>
      <c r="AL55" s="4438">
        <v>21</v>
      </c>
      <c r="AM55" s="4439">
        <v>33</v>
      </c>
      <c r="AN55" s="4438">
        <v>15</v>
      </c>
      <c r="AO55" s="4438">
        <v>14</v>
      </c>
      <c r="AP55" s="4439">
        <v>33</v>
      </c>
      <c r="AQ55" s="4438">
        <v>32</v>
      </c>
      <c r="AR55" s="4438">
        <v>32</v>
      </c>
      <c r="AS55" s="4439">
        <v>31</v>
      </c>
      <c r="AT55" s="4438">
        <v>29</v>
      </c>
      <c r="AU55" s="4438">
        <v>27</v>
      </c>
      <c r="AV55" s="4439">
        <v>26</v>
      </c>
      <c r="AW55" s="5523">
        <v>22</v>
      </c>
      <c r="AX55" s="4438">
        <v>22</v>
      </c>
      <c r="AY55" s="4439">
        <v>25</v>
      </c>
      <c r="AZ55" s="4438">
        <v>27</v>
      </c>
      <c r="BA55" s="4438">
        <v>24</v>
      </c>
      <c r="BB55" s="4439">
        <v>29</v>
      </c>
      <c r="BC55" s="4438">
        <v>28</v>
      </c>
      <c r="BD55" s="4438">
        <v>27</v>
      </c>
      <c r="BE55" s="4439">
        <v>24</v>
      </c>
      <c r="BF55" s="4438">
        <v>34</v>
      </c>
      <c r="BG55" s="4438">
        <v>30</v>
      </c>
      <c r="BH55" s="4439">
        <v>39</v>
      </c>
      <c r="BI55" s="4438">
        <v>36</v>
      </c>
      <c r="BJ55" s="4438">
        <v>32</v>
      </c>
      <c r="BK55" s="4439">
        <v>46</v>
      </c>
    </row>
    <row r="56" spans="2:63" ht="15" customHeight="1" x14ac:dyDescent="0.3">
      <c r="B56" s="1295" t="s">
        <v>317</v>
      </c>
      <c r="C56" s="1389" t="s">
        <v>349</v>
      </c>
      <c r="D56" s="196"/>
      <c r="E56" s="197"/>
      <c r="F56" s="197"/>
      <c r="G56" s="196"/>
      <c r="H56" s="197"/>
      <c r="I56" s="197"/>
      <c r="J56" s="196"/>
      <c r="K56" s="197"/>
      <c r="L56" s="397"/>
      <c r="M56" s="197"/>
      <c r="N56" s="197"/>
      <c r="O56" s="397"/>
      <c r="P56" s="197"/>
      <c r="Q56" s="197"/>
      <c r="R56" s="397"/>
      <c r="S56" s="197"/>
      <c r="T56" s="197"/>
      <c r="U56" s="397"/>
      <c r="V56" s="197"/>
      <c r="W56" s="197"/>
      <c r="X56" s="397"/>
      <c r="Y56" s="197"/>
      <c r="Z56" s="197"/>
      <c r="AA56" s="397"/>
      <c r="AB56" s="197">
        <v>12</v>
      </c>
      <c r="AC56" s="197">
        <v>12</v>
      </c>
      <c r="AD56" s="397">
        <v>12</v>
      </c>
      <c r="AE56" s="197">
        <v>22</v>
      </c>
      <c r="AF56" s="197">
        <v>21</v>
      </c>
      <c r="AG56" s="397">
        <v>21</v>
      </c>
      <c r="AH56" s="197">
        <v>19</v>
      </c>
      <c r="AI56" s="197">
        <v>18</v>
      </c>
      <c r="AJ56" s="397">
        <v>35</v>
      </c>
      <c r="AK56" s="197">
        <v>24</v>
      </c>
      <c r="AL56" s="197">
        <v>25</v>
      </c>
      <c r="AM56" s="397">
        <v>41</v>
      </c>
      <c r="AN56" s="197">
        <v>36</v>
      </c>
      <c r="AO56" s="197">
        <v>36</v>
      </c>
      <c r="AP56" s="397">
        <v>54</v>
      </c>
      <c r="AQ56" s="197">
        <v>52</v>
      </c>
      <c r="AR56" s="197">
        <v>51</v>
      </c>
      <c r="AS56" s="397">
        <v>48</v>
      </c>
      <c r="AT56" s="197">
        <v>46</v>
      </c>
      <c r="AU56" s="197">
        <v>46</v>
      </c>
      <c r="AV56" s="397">
        <v>48</v>
      </c>
      <c r="AW56" s="196">
        <v>42</v>
      </c>
      <c r="AX56" s="197">
        <v>40</v>
      </c>
      <c r="AY56" s="397">
        <v>55</v>
      </c>
      <c r="AZ56" s="197">
        <v>56</v>
      </c>
      <c r="BA56" s="197">
        <v>49</v>
      </c>
      <c r="BB56" s="397">
        <v>54</v>
      </c>
      <c r="BC56" s="197">
        <v>58</v>
      </c>
      <c r="BD56" s="197">
        <v>58</v>
      </c>
      <c r="BE56" s="397">
        <v>50</v>
      </c>
      <c r="BF56" s="197">
        <v>68</v>
      </c>
      <c r="BG56" s="197">
        <v>62</v>
      </c>
      <c r="BH56" s="397">
        <v>73</v>
      </c>
      <c r="BI56" s="197">
        <v>75</v>
      </c>
      <c r="BJ56" s="197">
        <v>63</v>
      </c>
      <c r="BK56" s="397">
        <v>62</v>
      </c>
    </row>
    <row r="57" spans="2:63" ht="15" customHeight="1" x14ac:dyDescent="0.25">
      <c r="B57" s="1299"/>
      <c r="C57" s="1391" t="s">
        <v>64</v>
      </c>
      <c r="D57" s="1392"/>
      <c r="E57" s="1393"/>
      <c r="F57" s="1393"/>
      <c r="G57" s="1392"/>
      <c r="H57" s="1393"/>
      <c r="I57" s="1393"/>
      <c r="J57" s="1392"/>
      <c r="K57" s="1393"/>
      <c r="L57" s="1394"/>
      <c r="M57" s="1393"/>
      <c r="N57" s="1393"/>
      <c r="O57" s="1394"/>
      <c r="P57" s="1393"/>
      <c r="Q57" s="1393"/>
      <c r="R57" s="1394"/>
      <c r="S57" s="1393"/>
      <c r="T57" s="1393"/>
      <c r="U57" s="1394"/>
      <c r="V57" s="1393"/>
      <c r="W57" s="1393"/>
      <c r="X57" s="1394"/>
      <c r="Y57" s="1393"/>
      <c r="Z57" s="1393"/>
      <c r="AA57" s="1394"/>
      <c r="AB57" s="1393">
        <f>SUM(AB55:AB56)</f>
        <v>32</v>
      </c>
      <c r="AC57" s="1393">
        <f t="shared" ref="AC57:BE57" si="14">SUM(AC55:AC56)</f>
        <v>31</v>
      </c>
      <c r="AD57" s="1394">
        <f t="shared" si="14"/>
        <v>30</v>
      </c>
      <c r="AE57" s="1393">
        <f t="shared" si="14"/>
        <v>53</v>
      </c>
      <c r="AF57" s="1393">
        <f t="shared" si="14"/>
        <v>49</v>
      </c>
      <c r="AG57" s="1394">
        <f t="shared" si="14"/>
        <v>49</v>
      </c>
      <c r="AH57" s="1393">
        <f t="shared" si="14"/>
        <v>58</v>
      </c>
      <c r="AI57" s="1393">
        <f t="shared" si="14"/>
        <v>55</v>
      </c>
      <c r="AJ57" s="1394">
        <f t="shared" si="14"/>
        <v>66</v>
      </c>
      <c r="AK57" s="1393">
        <f t="shared" si="14"/>
        <v>47</v>
      </c>
      <c r="AL57" s="1393">
        <f t="shared" si="14"/>
        <v>46</v>
      </c>
      <c r="AM57" s="1394">
        <f t="shared" si="14"/>
        <v>74</v>
      </c>
      <c r="AN57" s="1393">
        <f t="shared" si="14"/>
        <v>51</v>
      </c>
      <c r="AO57" s="1393">
        <f t="shared" si="14"/>
        <v>50</v>
      </c>
      <c r="AP57" s="1394">
        <f t="shared" si="14"/>
        <v>87</v>
      </c>
      <c r="AQ57" s="1393">
        <f t="shared" si="14"/>
        <v>84</v>
      </c>
      <c r="AR57" s="1393">
        <f t="shared" si="14"/>
        <v>83</v>
      </c>
      <c r="AS57" s="1394">
        <f t="shared" si="14"/>
        <v>79</v>
      </c>
      <c r="AT57" s="1393">
        <f t="shared" si="14"/>
        <v>75</v>
      </c>
      <c r="AU57" s="1393">
        <f t="shared" si="14"/>
        <v>73</v>
      </c>
      <c r="AV57" s="1394">
        <f t="shared" si="14"/>
        <v>74</v>
      </c>
      <c r="AW57" s="1392">
        <f t="shared" si="14"/>
        <v>64</v>
      </c>
      <c r="AX57" s="1393">
        <f t="shared" si="14"/>
        <v>62</v>
      </c>
      <c r="AY57" s="1394">
        <f t="shared" si="14"/>
        <v>80</v>
      </c>
      <c r="AZ57" s="1393">
        <f t="shared" si="14"/>
        <v>83</v>
      </c>
      <c r="BA57" s="1393">
        <f t="shared" si="14"/>
        <v>73</v>
      </c>
      <c r="BB57" s="1394">
        <f t="shared" si="14"/>
        <v>83</v>
      </c>
      <c r="BC57" s="1393">
        <f t="shared" si="14"/>
        <v>86</v>
      </c>
      <c r="BD57" s="1393">
        <f t="shared" si="14"/>
        <v>85</v>
      </c>
      <c r="BE57" s="1394">
        <f t="shared" si="14"/>
        <v>74</v>
      </c>
      <c r="BF57" s="1393">
        <f t="shared" ref="BF57:BH57" si="15">SUM(BF55:BF56)</f>
        <v>102</v>
      </c>
      <c r="BG57" s="1393">
        <f t="shared" si="15"/>
        <v>92</v>
      </c>
      <c r="BH57" s="1394">
        <f t="shared" si="15"/>
        <v>112</v>
      </c>
      <c r="BI57" s="1393">
        <f t="shared" ref="BI57:BJ57" si="16">SUM(BI55:BI56)</f>
        <v>111</v>
      </c>
      <c r="BJ57" s="1393">
        <f t="shared" si="16"/>
        <v>95</v>
      </c>
      <c r="BK57" s="1394">
        <f>SUM(BK55:BK56)</f>
        <v>108</v>
      </c>
    </row>
    <row r="58" spans="2:63" ht="15" customHeight="1" x14ac:dyDescent="0.3">
      <c r="B58" s="1295" t="s">
        <v>310</v>
      </c>
      <c r="C58" s="1389" t="s">
        <v>350</v>
      </c>
      <c r="D58" s="385"/>
      <c r="E58" s="387"/>
      <c r="F58" s="387"/>
      <c r="G58" s="385"/>
      <c r="H58" s="387"/>
      <c r="I58" s="387"/>
      <c r="J58" s="385"/>
      <c r="K58" s="387"/>
      <c r="L58" s="1404"/>
      <c r="M58" s="387"/>
      <c r="N58" s="387"/>
      <c r="O58" s="1404"/>
      <c r="P58" s="387"/>
      <c r="Q58" s="387"/>
      <c r="R58" s="1404"/>
      <c r="S58" s="387"/>
      <c r="T58" s="387"/>
      <c r="U58" s="1404"/>
      <c r="V58" s="387"/>
      <c r="W58" s="387"/>
      <c r="X58" s="1404"/>
      <c r="Y58" s="387"/>
      <c r="Z58" s="387"/>
      <c r="AA58" s="1404"/>
      <c r="AB58" s="387"/>
      <c r="AC58" s="387"/>
      <c r="AD58" s="1404"/>
      <c r="AE58" s="387"/>
      <c r="AF58" s="387"/>
      <c r="AG58" s="1404">
        <v>12</v>
      </c>
      <c r="AH58" s="387">
        <v>12</v>
      </c>
      <c r="AI58" s="387">
        <v>11</v>
      </c>
      <c r="AJ58" s="1404">
        <v>22</v>
      </c>
      <c r="AK58" s="387">
        <v>20</v>
      </c>
      <c r="AL58" s="387">
        <v>21</v>
      </c>
      <c r="AM58" s="1404">
        <v>32</v>
      </c>
      <c r="AN58" s="387">
        <v>32</v>
      </c>
      <c r="AO58" s="387">
        <v>32</v>
      </c>
      <c r="AP58" s="1404">
        <v>41</v>
      </c>
      <c r="AQ58" s="387">
        <v>39</v>
      </c>
      <c r="AR58" s="387">
        <v>39</v>
      </c>
      <c r="AS58" s="1404">
        <v>58</v>
      </c>
      <c r="AT58" s="387">
        <v>40</v>
      </c>
      <c r="AU58" s="387">
        <v>39</v>
      </c>
      <c r="AV58" s="1404">
        <v>61</v>
      </c>
      <c r="AW58" s="385">
        <v>44</v>
      </c>
      <c r="AX58" s="387">
        <v>44</v>
      </c>
      <c r="AY58" s="1404">
        <v>65</v>
      </c>
      <c r="AZ58" s="387">
        <v>64</v>
      </c>
      <c r="BA58" s="387">
        <v>43</v>
      </c>
      <c r="BB58" s="1404">
        <v>42</v>
      </c>
      <c r="BC58" s="387">
        <v>46</v>
      </c>
      <c r="BD58" s="387">
        <v>42</v>
      </c>
      <c r="BE58" s="1404">
        <v>53</v>
      </c>
      <c r="BF58" s="387">
        <v>40</v>
      </c>
      <c r="BG58" s="387">
        <v>38</v>
      </c>
      <c r="BH58" s="1404">
        <v>57</v>
      </c>
      <c r="BI58" s="387">
        <v>51</v>
      </c>
      <c r="BJ58" s="387">
        <v>38</v>
      </c>
      <c r="BK58" s="1404">
        <v>56</v>
      </c>
    </row>
    <row r="59" spans="2:63" ht="15" customHeight="1" x14ac:dyDescent="0.25">
      <c r="B59" s="1299"/>
      <c r="C59" s="1391" t="s">
        <v>111</v>
      </c>
      <c r="D59" s="1392"/>
      <c r="E59" s="1393"/>
      <c r="F59" s="1393"/>
      <c r="G59" s="1392"/>
      <c r="H59" s="1393"/>
      <c r="I59" s="1393"/>
      <c r="J59" s="1392"/>
      <c r="K59" s="1393"/>
      <c r="L59" s="1394"/>
      <c r="M59" s="1393"/>
      <c r="N59" s="1393"/>
      <c r="O59" s="1394"/>
      <c r="P59" s="1393"/>
      <c r="Q59" s="1393"/>
      <c r="R59" s="1394"/>
      <c r="S59" s="1393"/>
      <c r="T59" s="1393"/>
      <c r="U59" s="1394"/>
      <c r="V59" s="1393"/>
      <c r="W59" s="1393"/>
      <c r="X59" s="1394"/>
      <c r="Y59" s="1393"/>
      <c r="Z59" s="1393"/>
      <c r="AA59" s="1394"/>
      <c r="AB59" s="1393"/>
      <c r="AC59" s="1393"/>
      <c r="AD59" s="1394"/>
      <c r="AE59" s="1393"/>
      <c r="AF59" s="1393"/>
      <c r="AG59" s="1394">
        <f>SUM(AG58)</f>
        <v>12</v>
      </c>
      <c r="AH59" s="1393">
        <f>+AH58</f>
        <v>12</v>
      </c>
      <c r="AI59" s="1393">
        <f>+AI58</f>
        <v>11</v>
      </c>
      <c r="AJ59" s="1394">
        <f>SUM(AJ58)</f>
        <v>22</v>
      </c>
      <c r="AK59" s="1393">
        <f>+AK58</f>
        <v>20</v>
      </c>
      <c r="AL59" s="1393">
        <f>+AL58</f>
        <v>21</v>
      </c>
      <c r="AM59" s="1394">
        <f>SUM(AM58)</f>
        <v>32</v>
      </c>
      <c r="AN59" s="1393">
        <f>+AN58</f>
        <v>32</v>
      </c>
      <c r="AO59" s="1393">
        <f>+AO58</f>
        <v>32</v>
      </c>
      <c r="AP59" s="1394">
        <f>SUM(AP58)</f>
        <v>41</v>
      </c>
      <c r="AQ59" s="1393">
        <f>+AQ58</f>
        <v>39</v>
      </c>
      <c r="AR59" s="1393">
        <f>+AR58</f>
        <v>39</v>
      </c>
      <c r="AS59" s="1394">
        <f>SUM(AS58)</f>
        <v>58</v>
      </c>
      <c r="AT59" s="1393">
        <f>+AT58</f>
        <v>40</v>
      </c>
      <c r="AU59" s="1393">
        <f>+AU58</f>
        <v>39</v>
      </c>
      <c r="AV59" s="1394">
        <f>SUM(AV58)</f>
        <v>61</v>
      </c>
      <c r="AW59" s="1392">
        <f>+AW58</f>
        <v>44</v>
      </c>
      <c r="AX59" s="1393">
        <f>+AX58</f>
        <v>44</v>
      </c>
      <c r="AY59" s="1394">
        <f>SUM(AY58)</f>
        <v>65</v>
      </c>
      <c r="AZ59" s="1393">
        <f>+AZ58</f>
        <v>64</v>
      </c>
      <c r="BA59" s="1393">
        <f>+BA58</f>
        <v>43</v>
      </c>
      <c r="BB59" s="1394">
        <f>SUM(BB58)</f>
        <v>42</v>
      </c>
      <c r="BC59" s="1393">
        <f>+BC58</f>
        <v>46</v>
      </c>
      <c r="BD59" s="1393">
        <f>+BD58</f>
        <v>42</v>
      </c>
      <c r="BE59" s="1394">
        <f>SUM(BE58)</f>
        <v>53</v>
      </c>
      <c r="BF59" s="1393">
        <f>+BF58</f>
        <v>40</v>
      </c>
      <c r="BG59" s="1393">
        <f>+BG58</f>
        <v>38</v>
      </c>
      <c r="BH59" s="1394">
        <f>SUM(BH58)</f>
        <v>57</v>
      </c>
      <c r="BI59" s="1393">
        <f>+BI58</f>
        <v>51</v>
      </c>
      <c r="BJ59" s="1393">
        <f>+BJ58</f>
        <v>38</v>
      </c>
      <c r="BK59" s="1394">
        <f>SUM(BK58)</f>
        <v>56</v>
      </c>
    </row>
    <row r="60" spans="2:63" ht="15" customHeight="1" x14ac:dyDescent="0.3">
      <c r="B60" s="1295" t="s">
        <v>308</v>
      </c>
      <c r="C60" s="1417" t="s">
        <v>439</v>
      </c>
      <c r="D60" s="151"/>
      <c r="E60" s="152"/>
      <c r="F60" s="152"/>
      <c r="G60" s="151"/>
      <c r="H60" s="152"/>
      <c r="I60" s="152"/>
      <c r="J60" s="151"/>
      <c r="K60" s="152"/>
      <c r="L60" s="395"/>
      <c r="M60" s="152"/>
      <c r="N60" s="152"/>
      <c r="O60" s="395"/>
      <c r="P60" s="152"/>
      <c r="Q60" s="152"/>
      <c r="R60" s="395"/>
      <c r="S60" s="152"/>
      <c r="T60" s="152"/>
      <c r="U60" s="395"/>
      <c r="V60" s="152"/>
      <c r="W60" s="152"/>
      <c r="X60" s="395"/>
      <c r="Y60" s="152"/>
      <c r="Z60" s="152"/>
      <c r="AA60" s="395"/>
      <c r="AB60" s="152"/>
      <c r="AC60" s="152"/>
      <c r="AD60" s="395"/>
      <c r="AE60" s="152"/>
      <c r="AF60" s="152">
        <v>2</v>
      </c>
      <c r="AG60" s="395">
        <v>3</v>
      </c>
      <c r="AH60" s="152">
        <v>4</v>
      </c>
      <c r="AI60" s="152">
        <v>2</v>
      </c>
      <c r="AJ60" s="395">
        <v>1</v>
      </c>
      <c r="AK60" s="152">
        <v>3</v>
      </c>
      <c r="AL60" s="152">
        <v>3</v>
      </c>
      <c r="AM60" s="395">
        <v>2</v>
      </c>
      <c r="AN60" s="152">
        <v>3</v>
      </c>
      <c r="AO60" s="152">
        <v>5</v>
      </c>
      <c r="AP60" s="395">
        <v>8</v>
      </c>
      <c r="AQ60" s="152">
        <v>6</v>
      </c>
      <c r="AR60" s="152">
        <v>6</v>
      </c>
      <c r="AS60" s="395">
        <v>5</v>
      </c>
      <c r="AT60" s="152">
        <v>5</v>
      </c>
      <c r="AU60" s="152">
        <v>4</v>
      </c>
      <c r="AV60" s="395">
        <v>2</v>
      </c>
      <c r="AW60" s="4957">
        <v>3</v>
      </c>
      <c r="AX60" s="152">
        <v>3</v>
      </c>
      <c r="AY60" s="395">
        <v>2</v>
      </c>
      <c r="AZ60" s="152"/>
      <c r="BA60" s="152"/>
      <c r="BB60" s="395"/>
      <c r="BC60" s="152">
        <v>2</v>
      </c>
      <c r="BD60" s="152">
        <v>2</v>
      </c>
      <c r="BE60" s="395">
        <v>2</v>
      </c>
      <c r="BF60" s="152">
        <v>2</v>
      </c>
      <c r="BG60" s="152">
        <v>1</v>
      </c>
      <c r="BH60" s="395">
        <v>1</v>
      </c>
      <c r="BI60" s="152">
        <v>1</v>
      </c>
      <c r="BJ60" s="152">
        <v>1</v>
      </c>
      <c r="BK60" s="395">
        <v>1</v>
      </c>
    </row>
    <row r="61" spans="2:63" ht="15" customHeight="1" x14ac:dyDescent="0.3">
      <c r="B61" s="4431" t="s">
        <v>310</v>
      </c>
      <c r="C61" s="4448" t="s">
        <v>440</v>
      </c>
      <c r="D61" s="4441"/>
      <c r="E61" s="4442"/>
      <c r="F61" s="4442"/>
      <c r="G61" s="4441"/>
      <c r="H61" s="4442"/>
      <c r="I61" s="4442"/>
      <c r="J61" s="4441"/>
      <c r="K61" s="4442"/>
      <c r="L61" s="4443"/>
      <c r="M61" s="4442"/>
      <c r="N61" s="4442"/>
      <c r="O61" s="4443"/>
      <c r="P61" s="4442"/>
      <c r="Q61" s="4442"/>
      <c r="R61" s="4443"/>
      <c r="S61" s="4442"/>
      <c r="T61" s="4442"/>
      <c r="U61" s="4443"/>
      <c r="V61" s="4442"/>
      <c r="W61" s="4442"/>
      <c r="X61" s="4443"/>
      <c r="Y61" s="4442"/>
      <c r="Z61" s="4442"/>
      <c r="AA61" s="4443"/>
      <c r="AB61" s="4442"/>
      <c r="AC61" s="4442"/>
      <c r="AD61" s="4443"/>
      <c r="AE61" s="4442"/>
      <c r="AF61" s="4442"/>
      <c r="AG61" s="4443">
        <v>9</v>
      </c>
      <c r="AH61" s="4442">
        <v>9</v>
      </c>
      <c r="AI61" s="4442">
        <v>8</v>
      </c>
      <c r="AJ61" s="4443">
        <v>21</v>
      </c>
      <c r="AK61" s="4442">
        <v>22</v>
      </c>
      <c r="AL61" s="4442">
        <v>20</v>
      </c>
      <c r="AM61" s="4443">
        <v>31</v>
      </c>
      <c r="AN61" s="4442">
        <v>25</v>
      </c>
      <c r="AO61" s="4442">
        <v>25</v>
      </c>
      <c r="AP61" s="4443">
        <v>34</v>
      </c>
      <c r="AQ61" s="4442">
        <v>30</v>
      </c>
      <c r="AR61" s="4442">
        <v>26</v>
      </c>
      <c r="AS61" s="4443">
        <v>34</v>
      </c>
      <c r="AT61" s="4442">
        <v>27</v>
      </c>
      <c r="AU61" s="4442">
        <v>31</v>
      </c>
      <c r="AV61" s="4443">
        <v>35</v>
      </c>
      <c r="AW61" s="4441">
        <v>26</v>
      </c>
      <c r="AX61" s="4442">
        <v>24</v>
      </c>
      <c r="AY61" s="4443">
        <v>31</v>
      </c>
      <c r="AZ61" s="4442">
        <v>30</v>
      </c>
      <c r="BA61" s="4442">
        <v>20</v>
      </c>
      <c r="BB61" s="4443">
        <v>20</v>
      </c>
      <c r="BC61" s="4442">
        <v>20</v>
      </c>
      <c r="BD61" s="4442">
        <v>20</v>
      </c>
      <c r="BE61" s="4443">
        <v>21</v>
      </c>
      <c r="BF61" s="4442">
        <v>15</v>
      </c>
      <c r="BG61" s="4442">
        <v>23</v>
      </c>
      <c r="BH61" s="4443">
        <v>20</v>
      </c>
      <c r="BI61" s="4442">
        <v>17</v>
      </c>
      <c r="BJ61" s="4442">
        <v>14</v>
      </c>
      <c r="BK61" s="4443">
        <v>26</v>
      </c>
    </row>
    <row r="62" spans="2:63" ht="15" customHeight="1" x14ac:dyDescent="0.3">
      <c r="B62" s="5843" t="s">
        <v>317</v>
      </c>
      <c r="C62" s="1389" t="s">
        <v>441</v>
      </c>
      <c r="D62" s="196"/>
      <c r="E62" s="197"/>
      <c r="F62" s="197"/>
      <c r="G62" s="196"/>
      <c r="H62" s="197"/>
      <c r="I62" s="197"/>
      <c r="J62" s="196"/>
      <c r="K62" s="197"/>
      <c r="L62" s="397"/>
      <c r="M62" s="197"/>
      <c r="N62" s="197"/>
      <c r="O62" s="397"/>
      <c r="P62" s="197"/>
      <c r="Q62" s="197"/>
      <c r="R62" s="397"/>
      <c r="S62" s="197"/>
      <c r="T62" s="197"/>
      <c r="U62" s="397"/>
      <c r="V62" s="197"/>
      <c r="W62" s="197"/>
      <c r="X62" s="397"/>
      <c r="Y62" s="197"/>
      <c r="Z62" s="197"/>
      <c r="AA62" s="397"/>
      <c r="AB62" s="197"/>
      <c r="AC62" s="197"/>
      <c r="AD62" s="397"/>
      <c r="AE62" s="197"/>
      <c r="AF62" s="197">
        <v>2</v>
      </c>
      <c r="AG62" s="397">
        <v>7</v>
      </c>
      <c r="AH62" s="197">
        <v>9</v>
      </c>
      <c r="AI62" s="197">
        <v>11</v>
      </c>
      <c r="AJ62" s="397">
        <v>13</v>
      </c>
      <c r="AK62" s="197">
        <v>15</v>
      </c>
      <c r="AL62" s="197">
        <v>19</v>
      </c>
      <c r="AM62" s="397">
        <v>21</v>
      </c>
      <c r="AN62" s="197">
        <v>24</v>
      </c>
      <c r="AO62" s="197">
        <v>26</v>
      </c>
      <c r="AP62" s="397">
        <v>31</v>
      </c>
      <c r="AQ62" s="130">
        <v>30</v>
      </c>
      <c r="AR62" s="130">
        <v>33</v>
      </c>
      <c r="AS62" s="396">
        <v>32</v>
      </c>
      <c r="AT62" s="130">
        <v>27</v>
      </c>
      <c r="AU62" s="130">
        <v>35</v>
      </c>
      <c r="AV62" s="396">
        <v>35</v>
      </c>
      <c r="AW62" s="129">
        <v>33</v>
      </c>
      <c r="AX62" s="130">
        <v>31</v>
      </c>
      <c r="AY62" s="396">
        <v>36</v>
      </c>
      <c r="AZ62" s="130">
        <v>35</v>
      </c>
      <c r="BA62" s="130">
        <v>30</v>
      </c>
      <c r="BB62" s="396">
        <v>32</v>
      </c>
      <c r="BC62" s="130">
        <v>33</v>
      </c>
      <c r="BD62" s="130">
        <v>28</v>
      </c>
      <c r="BE62" s="396">
        <v>23</v>
      </c>
      <c r="BF62" s="130">
        <v>24</v>
      </c>
      <c r="BG62" s="130">
        <v>25</v>
      </c>
      <c r="BH62" s="396">
        <v>20</v>
      </c>
      <c r="BI62" s="130">
        <v>28</v>
      </c>
      <c r="BJ62" s="130">
        <v>27</v>
      </c>
      <c r="BK62" s="396">
        <v>25</v>
      </c>
    </row>
    <row r="63" spans="2:63" ht="15" customHeight="1" x14ac:dyDescent="0.3">
      <c r="B63" s="5844"/>
      <c r="C63" s="1389" t="s">
        <v>354</v>
      </c>
      <c r="D63" s="385"/>
      <c r="E63" s="387"/>
      <c r="F63" s="387"/>
      <c r="G63" s="385"/>
      <c r="H63" s="387"/>
      <c r="I63" s="387"/>
      <c r="J63" s="385"/>
      <c r="K63" s="387"/>
      <c r="L63" s="1404"/>
      <c r="M63" s="387"/>
      <c r="N63" s="387"/>
      <c r="O63" s="1404"/>
      <c r="P63" s="387"/>
      <c r="Q63" s="387"/>
      <c r="R63" s="1404"/>
      <c r="S63" s="387"/>
      <c r="T63" s="387"/>
      <c r="U63" s="1404"/>
      <c r="V63" s="387"/>
      <c r="W63" s="387"/>
      <c r="X63" s="1404"/>
      <c r="Y63" s="387"/>
      <c r="Z63" s="387"/>
      <c r="AA63" s="1404"/>
      <c r="AB63" s="387"/>
      <c r="AC63" s="387"/>
      <c r="AD63" s="1404"/>
      <c r="AE63" s="387"/>
      <c r="AF63" s="387"/>
      <c r="AG63" s="1404"/>
      <c r="AH63" s="387"/>
      <c r="AI63" s="387"/>
      <c r="AJ63" s="1404"/>
      <c r="AK63" s="387"/>
      <c r="AL63" s="387"/>
      <c r="AM63" s="1404"/>
      <c r="AN63" s="387"/>
      <c r="AO63" s="387"/>
      <c r="AP63" s="1404"/>
      <c r="AQ63" s="387"/>
      <c r="AR63" s="387"/>
      <c r="AS63" s="1404">
        <v>2</v>
      </c>
      <c r="AT63" s="387">
        <v>2</v>
      </c>
      <c r="AU63" s="387">
        <v>2</v>
      </c>
      <c r="AV63" s="1404">
        <v>2</v>
      </c>
      <c r="AW63" s="385">
        <v>2</v>
      </c>
      <c r="AX63" s="387">
        <v>2</v>
      </c>
      <c r="AY63" s="1404">
        <v>2</v>
      </c>
      <c r="AZ63" s="387">
        <v>3</v>
      </c>
      <c r="BA63" s="387">
        <v>3</v>
      </c>
      <c r="BB63" s="1404">
        <v>3</v>
      </c>
      <c r="BC63" s="387">
        <v>3</v>
      </c>
      <c r="BD63" s="387">
        <v>4</v>
      </c>
      <c r="BE63" s="1404">
        <v>6</v>
      </c>
      <c r="BF63" s="387">
        <v>3</v>
      </c>
      <c r="BG63" s="387">
        <v>3</v>
      </c>
      <c r="BH63" s="1404">
        <v>3</v>
      </c>
      <c r="BI63" s="387">
        <v>5</v>
      </c>
      <c r="BJ63" s="387">
        <v>4</v>
      </c>
      <c r="BK63" s="1404">
        <v>4</v>
      </c>
    </row>
    <row r="64" spans="2:63" ht="15" customHeight="1" x14ac:dyDescent="0.25">
      <c r="B64" s="1289"/>
      <c r="C64" s="1391" t="s">
        <v>115</v>
      </c>
      <c r="D64" s="1392"/>
      <c r="E64" s="1393"/>
      <c r="F64" s="1393"/>
      <c r="G64" s="1392"/>
      <c r="H64" s="1393"/>
      <c r="I64" s="1393"/>
      <c r="J64" s="1392"/>
      <c r="K64" s="1393"/>
      <c r="L64" s="1394"/>
      <c r="M64" s="1393"/>
      <c r="N64" s="1393"/>
      <c r="O64" s="1394"/>
      <c r="P64" s="1393"/>
      <c r="Q64" s="1393"/>
      <c r="R64" s="1394"/>
      <c r="S64" s="1393"/>
      <c r="T64" s="1393"/>
      <c r="U64" s="1394"/>
      <c r="V64" s="1393"/>
      <c r="W64" s="1393"/>
      <c r="X64" s="1394"/>
      <c r="Y64" s="1393"/>
      <c r="Z64" s="1393"/>
      <c r="AA64" s="1394"/>
      <c r="AB64" s="1393"/>
      <c r="AC64" s="1393"/>
      <c r="AD64" s="1394"/>
      <c r="AE64" s="1393"/>
      <c r="AF64" s="1393">
        <f t="shared" ref="AF64:AM64" si="17">SUM(AF60:AF62)</f>
        <v>4</v>
      </c>
      <c r="AG64" s="1394">
        <f t="shared" si="17"/>
        <v>19</v>
      </c>
      <c r="AH64" s="1393">
        <f t="shared" si="17"/>
        <v>22</v>
      </c>
      <c r="AI64" s="1393">
        <f t="shared" si="17"/>
        <v>21</v>
      </c>
      <c r="AJ64" s="1394">
        <f t="shared" si="17"/>
        <v>35</v>
      </c>
      <c r="AK64" s="1393">
        <f t="shared" si="17"/>
        <v>40</v>
      </c>
      <c r="AL64" s="1393">
        <f t="shared" si="17"/>
        <v>42</v>
      </c>
      <c r="AM64" s="1394">
        <f t="shared" si="17"/>
        <v>54</v>
      </c>
      <c r="AN64" s="1393">
        <f>SUM(AN60:AN62)</f>
        <v>52</v>
      </c>
      <c r="AO64" s="1393">
        <f>SUM(AO60:AO62)</f>
        <v>56</v>
      </c>
      <c r="AP64" s="1394">
        <f>SUM(AP60:AP62)</f>
        <v>73</v>
      </c>
      <c r="AQ64" s="1393">
        <f t="shared" ref="AQ64:BE64" si="18">SUM(AQ60:AQ63)</f>
        <v>66</v>
      </c>
      <c r="AR64" s="1393">
        <f t="shared" si="18"/>
        <v>65</v>
      </c>
      <c r="AS64" s="1394">
        <f t="shared" si="18"/>
        <v>73</v>
      </c>
      <c r="AT64" s="1393">
        <f t="shared" si="18"/>
        <v>61</v>
      </c>
      <c r="AU64" s="1393">
        <f t="shared" si="18"/>
        <v>72</v>
      </c>
      <c r="AV64" s="1394">
        <f t="shared" si="18"/>
        <v>74</v>
      </c>
      <c r="AW64" s="1392">
        <f t="shared" si="18"/>
        <v>64</v>
      </c>
      <c r="AX64" s="1393">
        <f t="shared" si="18"/>
        <v>60</v>
      </c>
      <c r="AY64" s="1394">
        <f t="shared" si="18"/>
        <v>71</v>
      </c>
      <c r="AZ64" s="1393">
        <f t="shared" si="18"/>
        <v>68</v>
      </c>
      <c r="BA64" s="1393">
        <f t="shared" si="18"/>
        <v>53</v>
      </c>
      <c r="BB64" s="1394">
        <f t="shared" si="18"/>
        <v>55</v>
      </c>
      <c r="BC64" s="1393">
        <f t="shared" si="18"/>
        <v>58</v>
      </c>
      <c r="BD64" s="1393">
        <f t="shared" si="18"/>
        <v>54</v>
      </c>
      <c r="BE64" s="1394">
        <f t="shared" si="18"/>
        <v>52</v>
      </c>
      <c r="BF64" s="1393">
        <f t="shared" ref="BF64:BH64" si="19">SUM(BF60:BF63)</f>
        <v>44</v>
      </c>
      <c r="BG64" s="1393">
        <f t="shared" si="19"/>
        <v>52</v>
      </c>
      <c r="BH64" s="4453">
        <f t="shared" si="19"/>
        <v>44</v>
      </c>
      <c r="BI64" s="1393">
        <f t="shared" ref="BI64:BJ64" si="20">SUM(BI60:BI63)</f>
        <v>51</v>
      </c>
      <c r="BJ64" s="1393">
        <f t="shared" si="20"/>
        <v>46</v>
      </c>
      <c r="BK64" s="1394">
        <f>SUM(BK60:BK63)</f>
        <v>56</v>
      </c>
    </row>
    <row r="65" spans="2:63" ht="15" customHeight="1" x14ac:dyDescent="0.25">
      <c r="B65" s="1300"/>
      <c r="C65" s="1418" t="s">
        <v>355</v>
      </c>
      <c r="D65" s="1419"/>
      <c r="E65" s="1420"/>
      <c r="F65" s="1420"/>
      <c r="G65" s="1419"/>
      <c r="H65" s="1420"/>
      <c r="I65" s="1420"/>
      <c r="J65" s="1419"/>
      <c r="K65" s="1420"/>
      <c r="L65" s="1421"/>
      <c r="M65" s="1420"/>
      <c r="N65" s="1420"/>
      <c r="O65" s="1421"/>
      <c r="P65" s="1420"/>
      <c r="Q65" s="1420"/>
      <c r="R65" s="1421"/>
      <c r="S65" s="1420"/>
      <c r="T65" s="1420"/>
      <c r="U65" s="1421"/>
      <c r="V65" s="1420"/>
      <c r="W65" s="1420"/>
      <c r="X65" s="1421"/>
      <c r="Y65" s="1420"/>
      <c r="Z65" s="1420"/>
      <c r="AA65" s="1421"/>
      <c r="AB65" s="1422">
        <f>SUM(AB57,AB59,AB64)</f>
        <v>32</v>
      </c>
      <c r="AC65" s="1422">
        <f t="shared" ref="AC65:BE65" si="21">SUM(AC57,AC59,AC64)</f>
        <v>31</v>
      </c>
      <c r="AD65" s="1423">
        <f t="shared" si="21"/>
        <v>30</v>
      </c>
      <c r="AE65" s="1422">
        <f t="shared" si="21"/>
        <v>53</v>
      </c>
      <c r="AF65" s="1422">
        <f t="shared" si="21"/>
        <v>53</v>
      </c>
      <c r="AG65" s="1423">
        <f t="shared" si="21"/>
        <v>80</v>
      </c>
      <c r="AH65" s="1422">
        <f t="shared" si="21"/>
        <v>92</v>
      </c>
      <c r="AI65" s="1422">
        <f t="shared" si="21"/>
        <v>87</v>
      </c>
      <c r="AJ65" s="1423">
        <f t="shared" si="21"/>
        <v>123</v>
      </c>
      <c r="AK65" s="1422">
        <f t="shared" si="21"/>
        <v>107</v>
      </c>
      <c r="AL65" s="1422">
        <f t="shared" si="21"/>
        <v>109</v>
      </c>
      <c r="AM65" s="1423">
        <f t="shared" si="21"/>
        <v>160</v>
      </c>
      <c r="AN65" s="1422">
        <f t="shared" si="21"/>
        <v>135</v>
      </c>
      <c r="AO65" s="1422">
        <f t="shared" si="21"/>
        <v>138</v>
      </c>
      <c r="AP65" s="1423">
        <f t="shared" si="21"/>
        <v>201</v>
      </c>
      <c r="AQ65" s="1422">
        <f t="shared" si="21"/>
        <v>189</v>
      </c>
      <c r="AR65" s="1422">
        <f t="shared" si="21"/>
        <v>187</v>
      </c>
      <c r="AS65" s="1423">
        <f t="shared" si="21"/>
        <v>210</v>
      </c>
      <c r="AT65" s="1422">
        <f t="shared" si="21"/>
        <v>176</v>
      </c>
      <c r="AU65" s="1422">
        <f t="shared" si="21"/>
        <v>184</v>
      </c>
      <c r="AV65" s="1423">
        <f t="shared" si="21"/>
        <v>209</v>
      </c>
      <c r="AW65" s="5525">
        <f t="shared" si="21"/>
        <v>172</v>
      </c>
      <c r="AX65" s="1422">
        <f t="shared" si="21"/>
        <v>166</v>
      </c>
      <c r="AY65" s="1423">
        <f t="shared" si="21"/>
        <v>216</v>
      </c>
      <c r="AZ65" s="1422">
        <f t="shared" si="21"/>
        <v>215</v>
      </c>
      <c r="BA65" s="1422">
        <f t="shared" si="21"/>
        <v>169</v>
      </c>
      <c r="BB65" s="1423">
        <f t="shared" si="21"/>
        <v>180</v>
      </c>
      <c r="BC65" s="1422">
        <f t="shared" si="21"/>
        <v>190</v>
      </c>
      <c r="BD65" s="1422">
        <f t="shared" si="21"/>
        <v>181</v>
      </c>
      <c r="BE65" s="1423">
        <f t="shared" si="21"/>
        <v>179</v>
      </c>
      <c r="BF65" s="1422">
        <f t="shared" ref="BF65:BH65" si="22">SUM(BF57,BF59,BF64)</f>
        <v>186</v>
      </c>
      <c r="BG65" s="1422">
        <f t="shared" si="22"/>
        <v>182</v>
      </c>
      <c r="BH65" s="1423">
        <f t="shared" si="22"/>
        <v>213</v>
      </c>
      <c r="BI65" s="1422">
        <f t="shared" ref="BI65:BK65" si="23">SUM(BI57,BI59,BI64)</f>
        <v>213</v>
      </c>
      <c r="BJ65" s="1422">
        <f t="shared" si="23"/>
        <v>179</v>
      </c>
      <c r="BK65" s="1423">
        <f t="shared" si="23"/>
        <v>220</v>
      </c>
    </row>
    <row r="66" spans="2:63" ht="15" customHeight="1" x14ac:dyDescent="0.3">
      <c r="B66" s="1305" t="s">
        <v>308</v>
      </c>
      <c r="C66" s="1417" t="s">
        <v>442</v>
      </c>
      <c r="D66" s="151"/>
      <c r="E66" s="152"/>
      <c r="F66" s="152"/>
      <c r="G66" s="151"/>
      <c r="H66" s="152"/>
      <c r="I66" s="152"/>
      <c r="J66" s="151"/>
      <c r="K66" s="152"/>
      <c r="L66" s="395"/>
      <c r="M66" s="152"/>
      <c r="N66" s="152"/>
      <c r="O66" s="395"/>
      <c r="P66" s="152"/>
      <c r="Q66" s="152"/>
      <c r="R66" s="395"/>
      <c r="S66" s="152"/>
      <c r="T66" s="152"/>
      <c r="U66" s="395"/>
      <c r="V66" s="152"/>
      <c r="W66" s="152"/>
      <c r="X66" s="395"/>
      <c r="Y66" s="152"/>
      <c r="Z66" s="152"/>
      <c r="AA66" s="395"/>
      <c r="AB66" s="152"/>
      <c r="AC66" s="152"/>
      <c r="AD66" s="395"/>
      <c r="AE66" s="152"/>
      <c r="AF66" s="152"/>
      <c r="AG66" s="395"/>
      <c r="AH66" s="152"/>
      <c r="AI66" s="152"/>
      <c r="AJ66" s="395"/>
      <c r="AK66" s="152"/>
      <c r="AL66" s="152"/>
      <c r="AM66" s="395"/>
      <c r="AN66" s="152"/>
      <c r="AO66" s="152"/>
      <c r="AP66" s="395"/>
      <c r="AQ66" s="151"/>
      <c r="AR66" s="152">
        <v>1</v>
      </c>
      <c r="AS66" s="395">
        <v>2</v>
      </c>
      <c r="AT66" s="151">
        <v>2</v>
      </c>
      <c r="AU66" s="152">
        <v>4</v>
      </c>
      <c r="AV66" s="395">
        <v>4</v>
      </c>
      <c r="AW66" s="4957">
        <v>4</v>
      </c>
      <c r="AX66" s="152">
        <v>3</v>
      </c>
      <c r="AY66" s="395">
        <v>3</v>
      </c>
      <c r="AZ66" s="151">
        <v>3</v>
      </c>
      <c r="BA66" s="152">
        <v>1</v>
      </c>
      <c r="BB66" s="395">
        <v>2</v>
      </c>
      <c r="BC66" s="151">
        <v>4</v>
      </c>
      <c r="BD66" s="152">
        <v>3</v>
      </c>
      <c r="BE66" s="395">
        <v>3</v>
      </c>
      <c r="BF66" s="151">
        <v>3</v>
      </c>
      <c r="BG66" s="152">
        <v>6</v>
      </c>
      <c r="BH66" s="395">
        <v>5</v>
      </c>
      <c r="BI66" s="151">
        <v>8</v>
      </c>
      <c r="BJ66" s="152">
        <v>6</v>
      </c>
      <c r="BK66" s="395">
        <v>6</v>
      </c>
    </row>
    <row r="67" spans="2:63" ht="15" customHeight="1" x14ac:dyDescent="0.3">
      <c r="B67" s="5834" t="s">
        <v>310</v>
      </c>
      <c r="C67" s="4455" t="s">
        <v>364</v>
      </c>
      <c r="D67" s="4456">
        <v>6</v>
      </c>
      <c r="E67" s="4457">
        <v>3</v>
      </c>
      <c r="F67" s="4457">
        <v>3</v>
      </c>
      <c r="G67" s="4456">
        <v>2</v>
      </c>
      <c r="H67" s="4457">
        <v>3</v>
      </c>
      <c r="I67" s="4457">
        <v>2</v>
      </c>
      <c r="J67" s="4456">
        <v>3</v>
      </c>
      <c r="K67" s="4457">
        <v>3</v>
      </c>
      <c r="L67" s="4458">
        <v>3</v>
      </c>
      <c r="M67" s="4457">
        <v>3</v>
      </c>
      <c r="N67" s="4457">
        <v>4</v>
      </c>
      <c r="O67" s="4458">
        <v>8</v>
      </c>
      <c r="P67" s="4457">
        <v>16</v>
      </c>
      <c r="Q67" s="4457">
        <v>10</v>
      </c>
      <c r="R67" s="4458">
        <v>13</v>
      </c>
      <c r="S67" s="4457">
        <v>9</v>
      </c>
      <c r="T67" s="4457">
        <v>12</v>
      </c>
      <c r="U67" s="4458">
        <v>11</v>
      </c>
      <c r="V67" s="4457">
        <v>9</v>
      </c>
      <c r="W67" s="4457">
        <v>9</v>
      </c>
      <c r="X67" s="4458">
        <v>7</v>
      </c>
      <c r="Y67" s="4457">
        <v>9</v>
      </c>
      <c r="Z67" s="4457">
        <v>11</v>
      </c>
      <c r="AA67" s="4458">
        <v>13</v>
      </c>
      <c r="AB67" s="4457">
        <v>18</v>
      </c>
      <c r="AC67" s="4457">
        <v>18</v>
      </c>
      <c r="AD67" s="4458">
        <v>18</v>
      </c>
      <c r="AE67" s="4457">
        <v>23</v>
      </c>
      <c r="AF67" s="4457">
        <v>21</v>
      </c>
      <c r="AG67" s="4458">
        <v>26</v>
      </c>
      <c r="AH67" s="4457">
        <v>29</v>
      </c>
      <c r="AI67" s="4457">
        <v>31</v>
      </c>
      <c r="AJ67" s="4458">
        <v>29</v>
      </c>
      <c r="AK67" s="4457">
        <v>27</v>
      </c>
      <c r="AL67" s="4457">
        <v>28</v>
      </c>
      <c r="AM67" s="4458">
        <v>33</v>
      </c>
      <c r="AN67" s="4457">
        <v>31</v>
      </c>
      <c r="AO67" s="4457">
        <v>37</v>
      </c>
      <c r="AP67" s="4458">
        <v>38</v>
      </c>
      <c r="AQ67" s="4456">
        <v>37</v>
      </c>
      <c r="AR67" s="4457">
        <v>43</v>
      </c>
      <c r="AS67" s="4458">
        <v>48</v>
      </c>
      <c r="AT67" s="4456">
        <v>50</v>
      </c>
      <c r="AU67" s="4457">
        <v>54</v>
      </c>
      <c r="AV67" s="4458">
        <v>55</v>
      </c>
      <c r="AW67" s="4456">
        <v>58</v>
      </c>
      <c r="AX67" s="4457">
        <v>64</v>
      </c>
      <c r="AY67" s="4458">
        <v>60</v>
      </c>
      <c r="AZ67" s="4456">
        <v>61</v>
      </c>
      <c r="BA67" s="4457">
        <v>61</v>
      </c>
      <c r="BB67" s="4458">
        <v>59</v>
      </c>
      <c r="BC67" s="4456">
        <v>51</v>
      </c>
      <c r="BD67" s="4457">
        <v>61</v>
      </c>
      <c r="BE67" s="4458">
        <v>63</v>
      </c>
      <c r="BF67" s="4456">
        <v>54</v>
      </c>
      <c r="BG67" s="4457">
        <v>51</v>
      </c>
      <c r="BH67" s="4458">
        <v>36</v>
      </c>
      <c r="BI67" s="4456">
        <v>56</v>
      </c>
      <c r="BJ67" s="4457">
        <v>66</v>
      </c>
      <c r="BK67" s="4458">
        <v>57</v>
      </c>
    </row>
    <row r="68" spans="2:63" ht="15" customHeight="1" x14ac:dyDescent="0.3">
      <c r="B68" s="5835"/>
      <c r="C68" s="4448" t="s">
        <v>443</v>
      </c>
      <c r="D68" s="4441">
        <v>10</v>
      </c>
      <c r="E68" s="4442">
        <v>10</v>
      </c>
      <c r="F68" s="4442">
        <v>12</v>
      </c>
      <c r="G68" s="4441">
        <v>10</v>
      </c>
      <c r="H68" s="4442">
        <v>12</v>
      </c>
      <c r="I68" s="4442">
        <v>22</v>
      </c>
      <c r="J68" s="4441">
        <v>27</v>
      </c>
      <c r="K68" s="4442">
        <v>34</v>
      </c>
      <c r="L68" s="4443">
        <v>44</v>
      </c>
      <c r="M68" s="4442">
        <v>42</v>
      </c>
      <c r="N68" s="4442">
        <v>47</v>
      </c>
      <c r="O68" s="4443">
        <v>53</v>
      </c>
      <c r="P68" s="4442">
        <v>59</v>
      </c>
      <c r="Q68" s="4442">
        <v>51</v>
      </c>
      <c r="R68" s="4443">
        <v>46</v>
      </c>
      <c r="S68" s="4442">
        <v>47</v>
      </c>
      <c r="T68" s="4442">
        <v>47</v>
      </c>
      <c r="U68" s="4443">
        <v>55</v>
      </c>
      <c r="V68" s="4442">
        <v>47</v>
      </c>
      <c r="W68" s="4442">
        <v>41</v>
      </c>
      <c r="X68" s="4443">
        <v>46</v>
      </c>
      <c r="Y68" s="4442">
        <v>39</v>
      </c>
      <c r="Z68" s="4442">
        <v>36</v>
      </c>
      <c r="AA68" s="4443">
        <v>43</v>
      </c>
      <c r="AB68" s="4442">
        <v>64</v>
      </c>
      <c r="AC68" s="4442">
        <v>71</v>
      </c>
      <c r="AD68" s="4443">
        <v>90</v>
      </c>
      <c r="AE68" s="4442">
        <v>86</v>
      </c>
      <c r="AF68" s="4442">
        <v>74</v>
      </c>
      <c r="AG68" s="4443">
        <v>77</v>
      </c>
      <c r="AH68" s="4442">
        <v>75</v>
      </c>
      <c r="AI68" s="4442">
        <v>80</v>
      </c>
      <c r="AJ68" s="4443">
        <v>88</v>
      </c>
      <c r="AK68" s="4442">
        <v>79</v>
      </c>
      <c r="AL68" s="4442">
        <v>75</v>
      </c>
      <c r="AM68" s="4443">
        <v>89</v>
      </c>
      <c r="AN68" s="4442">
        <v>77</v>
      </c>
      <c r="AO68" s="4442">
        <v>78</v>
      </c>
      <c r="AP68" s="4443">
        <v>82</v>
      </c>
      <c r="AQ68" s="4441">
        <v>70</v>
      </c>
      <c r="AR68" s="4442">
        <v>69</v>
      </c>
      <c r="AS68" s="4443">
        <v>67</v>
      </c>
      <c r="AT68" s="4441">
        <v>56</v>
      </c>
      <c r="AU68" s="4442">
        <v>50</v>
      </c>
      <c r="AV68" s="4443">
        <v>63</v>
      </c>
      <c r="AW68" s="4441">
        <v>55</v>
      </c>
      <c r="AX68" s="4442">
        <v>59</v>
      </c>
      <c r="AY68" s="4443">
        <v>67</v>
      </c>
      <c r="AZ68" s="4441">
        <v>49</v>
      </c>
      <c r="BA68" s="4442">
        <v>59</v>
      </c>
      <c r="BB68" s="4443">
        <v>60</v>
      </c>
      <c r="BC68" s="4441">
        <v>42</v>
      </c>
      <c r="BD68" s="4442">
        <v>45</v>
      </c>
      <c r="BE68" s="4443">
        <v>40</v>
      </c>
      <c r="BF68" s="4441">
        <v>32</v>
      </c>
      <c r="BG68" s="4442">
        <v>41</v>
      </c>
      <c r="BH68" s="4443">
        <v>25</v>
      </c>
      <c r="BI68" s="4441">
        <v>36</v>
      </c>
      <c r="BJ68" s="4442">
        <v>40</v>
      </c>
      <c r="BK68" s="4443">
        <v>38</v>
      </c>
    </row>
    <row r="69" spans="2:63" ht="15" customHeight="1" x14ac:dyDescent="0.3">
      <c r="B69" s="5835"/>
      <c r="C69" s="4448" t="s">
        <v>359</v>
      </c>
      <c r="D69" s="4441">
        <v>8</v>
      </c>
      <c r="E69" s="4442">
        <v>9</v>
      </c>
      <c r="F69" s="4442">
        <v>11</v>
      </c>
      <c r="G69" s="4441">
        <v>11</v>
      </c>
      <c r="H69" s="4442">
        <v>11</v>
      </c>
      <c r="I69" s="4442">
        <v>15</v>
      </c>
      <c r="J69" s="4441">
        <v>14</v>
      </c>
      <c r="K69" s="4442">
        <v>10</v>
      </c>
      <c r="L69" s="4443">
        <v>12</v>
      </c>
      <c r="M69" s="4442">
        <v>10</v>
      </c>
      <c r="N69" s="4442">
        <v>10</v>
      </c>
      <c r="O69" s="4443">
        <v>14</v>
      </c>
      <c r="P69" s="4442">
        <v>44</v>
      </c>
      <c r="Q69" s="4442">
        <v>11</v>
      </c>
      <c r="R69" s="4443">
        <v>11</v>
      </c>
      <c r="S69" s="4442">
        <v>11</v>
      </c>
      <c r="T69" s="4442">
        <v>9</v>
      </c>
      <c r="U69" s="4443">
        <v>14</v>
      </c>
      <c r="V69" s="4442">
        <v>13</v>
      </c>
      <c r="W69" s="4442">
        <v>9</v>
      </c>
      <c r="X69" s="4443">
        <v>12</v>
      </c>
      <c r="Y69" s="4442">
        <v>12</v>
      </c>
      <c r="Z69" s="4442">
        <v>11</v>
      </c>
      <c r="AA69" s="4443">
        <v>13</v>
      </c>
      <c r="AB69" s="4442">
        <v>56</v>
      </c>
      <c r="AC69" s="4442">
        <v>47</v>
      </c>
      <c r="AD69" s="4443">
        <v>54</v>
      </c>
      <c r="AE69" s="4442">
        <v>58</v>
      </c>
      <c r="AF69" s="4442">
        <v>60</v>
      </c>
      <c r="AG69" s="4443">
        <v>62</v>
      </c>
      <c r="AH69" s="4442">
        <v>57</v>
      </c>
      <c r="AI69" s="4442">
        <v>64</v>
      </c>
      <c r="AJ69" s="4443">
        <v>59</v>
      </c>
      <c r="AK69" s="4442">
        <v>59</v>
      </c>
      <c r="AL69" s="4442">
        <v>52</v>
      </c>
      <c r="AM69" s="4443">
        <v>55</v>
      </c>
      <c r="AN69" s="4442">
        <v>48</v>
      </c>
      <c r="AO69" s="4442">
        <v>51</v>
      </c>
      <c r="AP69" s="4443">
        <v>56</v>
      </c>
      <c r="AQ69" s="4441">
        <v>55</v>
      </c>
      <c r="AR69" s="4442">
        <v>47</v>
      </c>
      <c r="AS69" s="4443">
        <v>48</v>
      </c>
      <c r="AT69" s="4441">
        <v>56</v>
      </c>
      <c r="AU69" s="4442">
        <v>54</v>
      </c>
      <c r="AV69" s="4443">
        <v>39</v>
      </c>
      <c r="AW69" s="4441">
        <v>33</v>
      </c>
      <c r="AX69" s="4442">
        <v>31</v>
      </c>
      <c r="AY69" s="4443">
        <v>25</v>
      </c>
      <c r="AZ69" s="4441">
        <v>15</v>
      </c>
      <c r="BA69" s="4442">
        <v>19</v>
      </c>
      <c r="BB69" s="4443">
        <v>20</v>
      </c>
      <c r="BC69" s="4441">
        <v>17</v>
      </c>
      <c r="BD69" s="4442">
        <v>16</v>
      </c>
      <c r="BE69" s="4443">
        <v>15</v>
      </c>
      <c r="BF69" s="4441">
        <v>19</v>
      </c>
      <c r="BG69" s="4442">
        <v>19</v>
      </c>
      <c r="BH69" s="4443">
        <v>11</v>
      </c>
      <c r="BI69" s="4441">
        <v>20</v>
      </c>
      <c r="BJ69" s="4442">
        <v>22</v>
      </c>
      <c r="BK69" s="4443">
        <v>29</v>
      </c>
    </row>
    <row r="70" spans="2:63" ht="15" customHeight="1" x14ac:dyDescent="0.3">
      <c r="B70" s="5835"/>
      <c r="C70" s="4448" t="s">
        <v>360</v>
      </c>
      <c r="D70" s="4441">
        <v>20</v>
      </c>
      <c r="E70" s="4442">
        <v>18</v>
      </c>
      <c r="F70" s="4442">
        <v>25</v>
      </c>
      <c r="G70" s="4441">
        <v>20</v>
      </c>
      <c r="H70" s="4442">
        <v>17</v>
      </c>
      <c r="I70" s="4442">
        <v>20</v>
      </c>
      <c r="J70" s="4441">
        <v>18</v>
      </c>
      <c r="K70" s="4442">
        <v>15</v>
      </c>
      <c r="L70" s="4443">
        <v>17</v>
      </c>
      <c r="M70" s="4442">
        <v>15</v>
      </c>
      <c r="N70" s="4442">
        <v>13</v>
      </c>
      <c r="O70" s="4443">
        <v>20</v>
      </c>
      <c r="P70" s="4442">
        <v>22</v>
      </c>
      <c r="Q70" s="4442">
        <v>15</v>
      </c>
      <c r="R70" s="4443">
        <v>17</v>
      </c>
      <c r="S70" s="4442">
        <v>15</v>
      </c>
      <c r="T70" s="4442">
        <v>14</v>
      </c>
      <c r="U70" s="4443">
        <v>20</v>
      </c>
      <c r="V70" s="4442">
        <v>17</v>
      </c>
      <c r="W70" s="4442">
        <v>17</v>
      </c>
      <c r="X70" s="4443">
        <v>29</v>
      </c>
      <c r="Y70" s="4442">
        <v>29</v>
      </c>
      <c r="Z70" s="4442">
        <v>28</v>
      </c>
      <c r="AA70" s="4443">
        <v>30</v>
      </c>
      <c r="AB70" s="4442">
        <v>33</v>
      </c>
      <c r="AC70" s="4442">
        <v>30</v>
      </c>
      <c r="AD70" s="4443">
        <v>33</v>
      </c>
      <c r="AE70" s="4442">
        <v>32</v>
      </c>
      <c r="AF70" s="4442">
        <v>27</v>
      </c>
      <c r="AG70" s="4443">
        <v>30</v>
      </c>
      <c r="AH70" s="4442">
        <v>29</v>
      </c>
      <c r="AI70" s="4442">
        <v>23</v>
      </c>
      <c r="AJ70" s="4443">
        <v>30</v>
      </c>
      <c r="AK70" s="4442">
        <v>26</v>
      </c>
      <c r="AL70" s="4442">
        <v>22</v>
      </c>
      <c r="AM70" s="4443">
        <v>30</v>
      </c>
      <c r="AN70" s="4442">
        <v>26</v>
      </c>
      <c r="AO70" s="4442">
        <v>27</v>
      </c>
      <c r="AP70" s="4443">
        <v>34</v>
      </c>
      <c r="AQ70" s="4441">
        <v>30</v>
      </c>
      <c r="AR70" s="4442">
        <v>27</v>
      </c>
      <c r="AS70" s="4443">
        <v>35</v>
      </c>
      <c r="AT70" s="4441">
        <v>30</v>
      </c>
      <c r="AU70" s="4442">
        <v>30</v>
      </c>
      <c r="AV70" s="4443">
        <v>31</v>
      </c>
      <c r="AW70" s="4441">
        <v>29</v>
      </c>
      <c r="AX70" s="4442">
        <v>24</v>
      </c>
      <c r="AY70" s="4443">
        <v>33</v>
      </c>
      <c r="AZ70" s="4441">
        <v>25</v>
      </c>
      <c r="BA70" s="4442">
        <v>34</v>
      </c>
      <c r="BB70" s="4443">
        <v>30</v>
      </c>
      <c r="BC70" s="4441">
        <v>27</v>
      </c>
      <c r="BD70" s="4442">
        <v>35</v>
      </c>
      <c r="BE70" s="4443">
        <v>28</v>
      </c>
      <c r="BF70" s="4441">
        <v>24</v>
      </c>
      <c r="BG70" s="4442">
        <v>27</v>
      </c>
      <c r="BH70" s="4443">
        <v>16</v>
      </c>
      <c r="BI70" s="4441">
        <v>20</v>
      </c>
      <c r="BJ70" s="4442">
        <v>16</v>
      </c>
      <c r="BK70" s="4443">
        <v>19</v>
      </c>
    </row>
    <row r="71" spans="2:63" ht="15" customHeight="1" x14ac:dyDescent="0.3">
      <c r="B71" s="5835"/>
      <c r="C71" s="4448" t="s">
        <v>361</v>
      </c>
      <c r="D71" s="4441">
        <v>8</v>
      </c>
      <c r="E71" s="4442">
        <v>11</v>
      </c>
      <c r="F71" s="4442">
        <v>21</v>
      </c>
      <c r="G71" s="4441">
        <v>24</v>
      </c>
      <c r="H71" s="4442">
        <v>25</v>
      </c>
      <c r="I71" s="4442">
        <v>28</v>
      </c>
      <c r="J71" s="4441">
        <v>32</v>
      </c>
      <c r="K71" s="4442">
        <v>35</v>
      </c>
      <c r="L71" s="4443">
        <v>41</v>
      </c>
      <c r="M71" s="4442">
        <v>43</v>
      </c>
      <c r="N71" s="4442">
        <v>45</v>
      </c>
      <c r="O71" s="4443">
        <v>47</v>
      </c>
      <c r="P71" s="4442">
        <v>50</v>
      </c>
      <c r="Q71" s="4442">
        <v>48</v>
      </c>
      <c r="R71" s="4443">
        <v>50</v>
      </c>
      <c r="S71" s="4442">
        <v>55</v>
      </c>
      <c r="T71" s="4442">
        <v>42</v>
      </c>
      <c r="U71" s="4443">
        <v>37</v>
      </c>
      <c r="V71" s="4442">
        <v>36</v>
      </c>
      <c r="W71" s="4442">
        <v>37</v>
      </c>
      <c r="X71" s="4443">
        <v>40</v>
      </c>
      <c r="Y71" s="4442">
        <v>39</v>
      </c>
      <c r="Z71" s="4442">
        <v>38</v>
      </c>
      <c r="AA71" s="4443">
        <v>39</v>
      </c>
      <c r="AB71" s="4442">
        <v>48</v>
      </c>
      <c r="AC71" s="4442">
        <v>46</v>
      </c>
      <c r="AD71" s="4443">
        <v>46</v>
      </c>
      <c r="AE71" s="4442">
        <v>44</v>
      </c>
      <c r="AF71" s="4442">
        <v>47</v>
      </c>
      <c r="AG71" s="4443">
        <v>46</v>
      </c>
      <c r="AH71" s="4442">
        <v>42</v>
      </c>
      <c r="AI71" s="4442">
        <v>44</v>
      </c>
      <c r="AJ71" s="4443">
        <v>39</v>
      </c>
      <c r="AK71" s="4442">
        <v>33</v>
      </c>
      <c r="AL71" s="4442">
        <v>27</v>
      </c>
      <c r="AM71" s="4443">
        <v>28</v>
      </c>
      <c r="AN71" s="4442">
        <v>26</v>
      </c>
      <c r="AO71" s="4442">
        <v>26</v>
      </c>
      <c r="AP71" s="4443">
        <v>30</v>
      </c>
      <c r="AQ71" s="4441">
        <v>28</v>
      </c>
      <c r="AR71" s="4442">
        <v>27</v>
      </c>
      <c r="AS71" s="4443">
        <v>28</v>
      </c>
      <c r="AT71" s="4441">
        <v>28</v>
      </c>
      <c r="AU71" s="4442">
        <v>31</v>
      </c>
      <c r="AV71" s="4443">
        <v>29</v>
      </c>
      <c r="AW71" s="4441">
        <v>31</v>
      </c>
      <c r="AX71" s="4442">
        <v>32</v>
      </c>
      <c r="AY71" s="4443">
        <v>34</v>
      </c>
      <c r="AZ71" s="4441">
        <v>37</v>
      </c>
      <c r="BA71" s="4442">
        <v>33</v>
      </c>
      <c r="BB71" s="4443">
        <v>32</v>
      </c>
      <c r="BC71" s="4441">
        <v>27</v>
      </c>
      <c r="BD71" s="4442">
        <v>25</v>
      </c>
      <c r="BE71" s="4443">
        <v>24</v>
      </c>
      <c r="BF71" s="4441">
        <v>25</v>
      </c>
      <c r="BG71" s="4442">
        <v>29</v>
      </c>
      <c r="BH71" s="4443">
        <v>12</v>
      </c>
      <c r="BI71" s="4441">
        <v>28</v>
      </c>
      <c r="BJ71" s="4442">
        <v>22</v>
      </c>
      <c r="BK71" s="4443">
        <v>23</v>
      </c>
    </row>
    <row r="72" spans="2:63" ht="15" customHeight="1" x14ac:dyDescent="0.3">
      <c r="B72" s="5835"/>
      <c r="C72" s="4448" t="s">
        <v>362</v>
      </c>
      <c r="D72" s="4441"/>
      <c r="E72" s="4442"/>
      <c r="F72" s="4442"/>
      <c r="G72" s="4441"/>
      <c r="H72" s="4442"/>
      <c r="I72" s="4442"/>
      <c r="J72" s="4441"/>
      <c r="K72" s="4442"/>
      <c r="L72" s="4443">
        <v>11</v>
      </c>
      <c r="M72" s="4442">
        <v>9</v>
      </c>
      <c r="N72" s="4442">
        <v>9</v>
      </c>
      <c r="O72" s="4443">
        <v>20</v>
      </c>
      <c r="P72" s="4442">
        <v>17</v>
      </c>
      <c r="Q72" s="4442">
        <v>16</v>
      </c>
      <c r="R72" s="4443">
        <v>18</v>
      </c>
      <c r="S72" s="4442">
        <v>14</v>
      </c>
      <c r="T72" s="4442">
        <v>14</v>
      </c>
      <c r="U72" s="4443">
        <v>27</v>
      </c>
      <c r="V72" s="4442">
        <v>21</v>
      </c>
      <c r="W72" s="4442">
        <v>21</v>
      </c>
      <c r="X72" s="4443">
        <v>32</v>
      </c>
      <c r="Y72" s="4442">
        <v>30</v>
      </c>
      <c r="Z72" s="4442">
        <v>30</v>
      </c>
      <c r="AA72" s="4443">
        <v>43</v>
      </c>
      <c r="AB72" s="4442">
        <v>41</v>
      </c>
      <c r="AC72" s="4442">
        <v>37</v>
      </c>
      <c r="AD72" s="4443">
        <v>46</v>
      </c>
      <c r="AE72" s="4442">
        <v>41</v>
      </c>
      <c r="AF72" s="4442">
        <v>41</v>
      </c>
      <c r="AG72" s="4443">
        <v>54</v>
      </c>
      <c r="AH72" s="4442">
        <v>52</v>
      </c>
      <c r="AI72" s="4442">
        <v>52</v>
      </c>
      <c r="AJ72" s="4443">
        <v>51</v>
      </c>
      <c r="AK72" s="4442">
        <v>45</v>
      </c>
      <c r="AL72" s="4442">
        <v>40</v>
      </c>
      <c r="AM72" s="4443">
        <v>51</v>
      </c>
      <c r="AN72" s="4442">
        <v>36</v>
      </c>
      <c r="AO72" s="4442">
        <v>36</v>
      </c>
      <c r="AP72" s="4443">
        <v>47</v>
      </c>
      <c r="AQ72" s="4441">
        <v>38</v>
      </c>
      <c r="AR72" s="4442">
        <v>38</v>
      </c>
      <c r="AS72" s="4443">
        <v>38</v>
      </c>
      <c r="AT72" s="4441">
        <v>36</v>
      </c>
      <c r="AU72" s="4442">
        <v>34</v>
      </c>
      <c r="AV72" s="4443">
        <v>39</v>
      </c>
      <c r="AW72" s="4441">
        <v>34</v>
      </c>
      <c r="AX72" s="4442">
        <v>28</v>
      </c>
      <c r="AY72" s="4443">
        <v>38</v>
      </c>
      <c r="AZ72" s="4441">
        <v>23</v>
      </c>
      <c r="BA72" s="4442">
        <v>35</v>
      </c>
      <c r="BB72" s="4443">
        <v>27</v>
      </c>
      <c r="BC72" s="4441">
        <v>19</v>
      </c>
      <c r="BD72" s="4442">
        <v>27</v>
      </c>
      <c r="BE72" s="4443">
        <v>27</v>
      </c>
      <c r="BF72" s="4441">
        <v>19</v>
      </c>
      <c r="BG72" s="4442">
        <v>25</v>
      </c>
      <c r="BH72" s="4443">
        <v>17</v>
      </c>
      <c r="BI72" s="4441">
        <v>19</v>
      </c>
      <c r="BJ72" s="4442">
        <v>22</v>
      </c>
      <c r="BK72" s="4443">
        <v>24</v>
      </c>
    </row>
    <row r="73" spans="2:63" ht="15" customHeight="1" x14ac:dyDescent="0.3">
      <c r="B73" s="5836"/>
      <c r="C73" s="4448" t="s">
        <v>444</v>
      </c>
      <c r="D73" s="4441"/>
      <c r="E73" s="4442"/>
      <c r="F73" s="4442"/>
      <c r="G73" s="4441"/>
      <c r="H73" s="4442"/>
      <c r="I73" s="4442"/>
      <c r="J73" s="4441"/>
      <c r="K73" s="4442"/>
      <c r="L73" s="4443"/>
      <c r="M73" s="4442"/>
      <c r="N73" s="4442"/>
      <c r="O73" s="4443"/>
      <c r="P73" s="4442"/>
      <c r="Q73" s="4442"/>
      <c r="R73" s="4443"/>
      <c r="S73" s="4442"/>
      <c r="T73" s="4442"/>
      <c r="U73" s="4443"/>
      <c r="V73" s="4442"/>
      <c r="W73" s="4442"/>
      <c r="X73" s="4443"/>
      <c r="Y73" s="4442"/>
      <c r="Z73" s="4442"/>
      <c r="AA73" s="4443"/>
      <c r="AB73" s="4442"/>
      <c r="AC73" s="4442"/>
      <c r="AD73" s="4443"/>
      <c r="AE73" s="4442"/>
      <c r="AF73" s="4442"/>
      <c r="AG73" s="4443"/>
      <c r="AH73" s="4442">
        <v>25</v>
      </c>
      <c r="AI73" s="4442">
        <v>21</v>
      </c>
      <c r="AJ73" s="4443">
        <v>21</v>
      </c>
      <c r="AK73" s="4442">
        <v>33</v>
      </c>
      <c r="AL73" s="4442">
        <v>31</v>
      </c>
      <c r="AM73" s="4443">
        <v>30</v>
      </c>
      <c r="AN73" s="4442">
        <v>45</v>
      </c>
      <c r="AO73" s="4442">
        <v>47</v>
      </c>
      <c r="AP73" s="4443">
        <v>40</v>
      </c>
      <c r="AQ73" s="4441">
        <v>66</v>
      </c>
      <c r="AR73" s="4442">
        <v>58</v>
      </c>
      <c r="AS73" s="4443">
        <v>57</v>
      </c>
      <c r="AT73" s="4441">
        <v>65</v>
      </c>
      <c r="AU73" s="4442">
        <v>64</v>
      </c>
      <c r="AV73" s="4443">
        <v>51</v>
      </c>
      <c r="AW73" s="4441">
        <v>60</v>
      </c>
      <c r="AX73" s="4442">
        <v>52</v>
      </c>
      <c r="AY73" s="4443">
        <v>38</v>
      </c>
      <c r="AZ73" s="4441">
        <v>51</v>
      </c>
      <c r="BA73" s="4442">
        <v>50</v>
      </c>
      <c r="BB73" s="4443">
        <v>62</v>
      </c>
      <c r="BC73" s="4441">
        <v>59</v>
      </c>
      <c r="BD73" s="4442">
        <v>59</v>
      </c>
      <c r="BE73" s="4443">
        <v>54</v>
      </c>
      <c r="BF73" s="4441">
        <v>63</v>
      </c>
      <c r="BG73" s="4442">
        <v>54</v>
      </c>
      <c r="BH73" s="4443">
        <v>53</v>
      </c>
      <c r="BI73" s="4441">
        <v>53</v>
      </c>
      <c r="BJ73" s="4442">
        <v>48</v>
      </c>
      <c r="BK73" s="4443">
        <v>68</v>
      </c>
    </row>
    <row r="74" spans="2:63" ht="15" customHeight="1" x14ac:dyDescent="0.3">
      <c r="B74" s="5845" t="s">
        <v>317</v>
      </c>
      <c r="C74" s="1402" t="s">
        <v>364</v>
      </c>
      <c r="D74" s="129">
        <v>32</v>
      </c>
      <c r="E74" s="130">
        <v>32</v>
      </c>
      <c r="F74" s="130">
        <v>31</v>
      </c>
      <c r="G74" s="129">
        <v>30</v>
      </c>
      <c r="H74" s="130">
        <v>27</v>
      </c>
      <c r="I74" s="130">
        <v>31</v>
      </c>
      <c r="J74" s="129">
        <v>31</v>
      </c>
      <c r="K74" s="130">
        <v>31</v>
      </c>
      <c r="L74" s="396">
        <v>32</v>
      </c>
      <c r="M74" s="130">
        <v>34</v>
      </c>
      <c r="N74" s="130">
        <v>33</v>
      </c>
      <c r="O74" s="396">
        <v>33</v>
      </c>
      <c r="P74" s="130">
        <v>25</v>
      </c>
      <c r="Q74" s="130">
        <v>31</v>
      </c>
      <c r="R74" s="396">
        <v>32</v>
      </c>
      <c r="S74" s="130">
        <v>33</v>
      </c>
      <c r="T74" s="130">
        <v>31</v>
      </c>
      <c r="U74" s="396">
        <v>31</v>
      </c>
      <c r="V74" s="130">
        <v>35</v>
      </c>
      <c r="W74" s="130">
        <v>31</v>
      </c>
      <c r="X74" s="396">
        <v>30</v>
      </c>
      <c r="Y74" s="130">
        <v>26</v>
      </c>
      <c r="Z74" s="130">
        <v>21</v>
      </c>
      <c r="AA74" s="396">
        <v>25</v>
      </c>
      <c r="AB74" s="130">
        <v>26</v>
      </c>
      <c r="AC74" s="130">
        <v>19</v>
      </c>
      <c r="AD74" s="396">
        <v>21</v>
      </c>
      <c r="AE74" s="130">
        <v>19</v>
      </c>
      <c r="AF74" s="130">
        <v>20</v>
      </c>
      <c r="AG74" s="396">
        <v>18</v>
      </c>
      <c r="AH74" s="130">
        <v>19</v>
      </c>
      <c r="AI74" s="130">
        <v>20</v>
      </c>
      <c r="AJ74" s="396">
        <v>21</v>
      </c>
      <c r="AK74" s="130">
        <v>19</v>
      </c>
      <c r="AL74" s="130">
        <v>18</v>
      </c>
      <c r="AM74" s="396">
        <v>20</v>
      </c>
      <c r="AN74" s="130">
        <v>23</v>
      </c>
      <c r="AO74" s="130">
        <v>24</v>
      </c>
      <c r="AP74" s="396">
        <v>24</v>
      </c>
      <c r="AQ74" s="129">
        <v>24</v>
      </c>
      <c r="AR74" s="130">
        <v>22</v>
      </c>
      <c r="AS74" s="396">
        <v>22</v>
      </c>
      <c r="AT74" s="129">
        <v>23</v>
      </c>
      <c r="AU74" s="130">
        <v>24</v>
      </c>
      <c r="AV74" s="396">
        <v>25</v>
      </c>
      <c r="AW74" s="129">
        <v>29</v>
      </c>
      <c r="AX74" s="130">
        <v>29</v>
      </c>
      <c r="AY74" s="396">
        <v>29</v>
      </c>
      <c r="AZ74" s="129">
        <v>31</v>
      </c>
      <c r="BA74" s="130">
        <v>28</v>
      </c>
      <c r="BB74" s="396">
        <v>23</v>
      </c>
      <c r="BC74" s="129">
        <v>26</v>
      </c>
      <c r="BD74" s="130">
        <v>29</v>
      </c>
      <c r="BE74" s="396">
        <v>30</v>
      </c>
      <c r="BF74" s="129">
        <v>30</v>
      </c>
      <c r="BG74" s="130">
        <v>32</v>
      </c>
      <c r="BH74" s="396">
        <v>23</v>
      </c>
      <c r="BI74" s="129">
        <v>36</v>
      </c>
      <c r="BJ74" s="130">
        <v>43</v>
      </c>
      <c r="BK74" s="396">
        <v>44</v>
      </c>
    </row>
    <row r="75" spans="2:63" ht="15" customHeight="1" x14ac:dyDescent="0.3">
      <c r="B75" s="5846"/>
      <c r="C75" s="1402" t="s">
        <v>443</v>
      </c>
      <c r="D75" s="129">
        <v>17</v>
      </c>
      <c r="E75" s="130">
        <v>18</v>
      </c>
      <c r="F75" s="130">
        <v>19</v>
      </c>
      <c r="G75" s="129">
        <v>22</v>
      </c>
      <c r="H75" s="130">
        <v>25</v>
      </c>
      <c r="I75" s="130">
        <v>26</v>
      </c>
      <c r="J75" s="129">
        <v>25</v>
      </c>
      <c r="K75" s="130">
        <v>28</v>
      </c>
      <c r="L75" s="396">
        <v>28</v>
      </c>
      <c r="M75" s="130">
        <v>29</v>
      </c>
      <c r="N75" s="130">
        <v>30</v>
      </c>
      <c r="O75" s="396">
        <v>30</v>
      </c>
      <c r="P75" s="130">
        <v>22</v>
      </c>
      <c r="Q75" s="130">
        <v>31</v>
      </c>
      <c r="R75" s="396">
        <v>32</v>
      </c>
      <c r="S75" s="130">
        <v>34</v>
      </c>
      <c r="T75" s="130">
        <v>36</v>
      </c>
      <c r="U75" s="396">
        <v>36</v>
      </c>
      <c r="V75" s="130">
        <v>36</v>
      </c>
      <c r="W75" s="130">
        <v>37</v>
      </c>
      <c r="X75" s="396">
        <v>40</v>
      </c>
      <c r="Y75" s="130">
        <v>46</v>
      </c>
      <c r="Z75" s="130">
        <v>46</v>
      </c>
      <c r="AA75" s="396">
        <v>45</v>
      </c>
      <c r="AB75" s="130">
        <v>50</v>
      </c>
      <c r="AC75" s="130">
        <v>38</v>
      </c>
      <c r="AD75" s="396">
        <v>51</v>
      </c>
      <c r="AE75" s="130">
        <v>52</v>
      </c>
      <c r="AF75" s="130">
        <v>50</v>
      </c>
      <c r="AG75" s="396">
        <v>38</v>
      </c>
      <c r="AH75" s="130">
        <v>52</v>
      </c>
      <c r="AI75" s="130">
        <v>54</v>
      </c>
      <c r="AJ75" s="396">
        <v>54</v>
      </c>
      <c r="AK75" s="130">
        <v>52</v>
      </c>
      <c r="AL75" s="130">
        <v>52</v>
      </c>
      <c r="AM75" s="396">
        <v>54</v>
      </c>
      <c r="AN75" s="130">
        <v>51</v>
      </c>
      <c r="AO75" s="130">
        <v>55</v>
      </c>
      <c r="AP75" s="396">
        <v>59</v>
      </c>
      <c r="AQ75" s="129">
        <v>55</v>
      </c>
      <c r="AR75" s="130">
        <v>51</v>
      </c>
      <c r="AS75" s="396">
        <v>50</v>
      </c>
      <c r="AT75" s="129">
        <v>50</v>
      </c>
      <c r="AU75" s="130">
        <v>50</v>
      </c>
      <c r="AV75" s="396">
        <v>46</v>
      </c>
      <c r="AW75" s="129">
        <v>45</v>
      </c>
      <c r="AX75" s="130">
        <v>42</v>
      </c>
      <c r="AY75" s="396">
        <v>42</v>
      </c>
      <c r="AZ75" s="129">
        <v>40</v>
      </c>
      <c r="BA75" s="130">
        <v>40</v>
      </c>
      <c r="BB75" s="396">
        <v>35</v>
      </c>
      <c r="BC75" s="129">
        <v>33</v>
      </c>
      <c r="BD75" s="130">
        <v>46</v>
      </c>
      <c r="BE75" s="396">
        <v>46</v>
      </c>
      <c r="BF75" s="129">
        <v>33</v>
      </c>
      <c r="BG75" s="130">
        <v>36</v>
      </c>
      <c r="BH75" s="396">
        <v>24</v>
      </c>
      <c r="BI75" s="129">
        <v>41</v>
      </c>
      <c r="BJ75" s="130">
        <v>47</v>
      </c>
      <c r="BK75" s="396">
        <v>41</v>
      </c>
    </row>
    <row r="76" spans="2:63" ht="15" customHeight="1" x14ac:dyDescent="0.3">
      <c r="B76" s="5846"/>
      <c r="C76" s="1402" t="s">
        <v>359</v>
      </c>
      <c r="D76" s="129">
        <v>71</v>
      </c>
      <c r="E76" s="130">
        <v>76</v>
      </c>
      <c r="F76" s="130">
        <v>73</v>
      </c>
      <c r="G76" s="129">
        <v>78</v>
      </c>
      <c r="H76" s="130">
        <v>84</v>
      </c>
      <c r="I76" s="130">
        <v>84</v>
      </c>
      <c r="J76" s="129">
        <v>88</v>
      </c>
      <c r="K76" s="130">
        <v>92</v>
      </c>
      <c r="L76" s="396">
        <v>93</v>
      </c>
      <c r="M76" s="130">
        <v>95</v>
      </c>
      <c r="N76" s="130">
        <v>89</v>
      </c>
      <c r="O76" s="396">
        <v>88</v>
      </c>
      <c r="P76" s="130">
        <v>65</v>
      </c>
      <c r="Q76" s="130">
        <v>85</v>
      </c>
      <c r="R76" s="396">
        <v>80</v>
      </c>
      <c r="S76" s="130">
        <v>75</v>
      </c>
      <c r="T76" s="130">
        <v>69</v>
      </c>
      <c r="U76" s="396">
        <v>74</v>
      </c>
      <c r="V76" s="130">
        <v>72</v>
      </c>
      <c r="W76" s="130">
        <v>72</v>
      </c>
      <c r="X76" s="396">
        <v>72</v>
      </c>
      <c r="Y76" s="130">
        <v>80</v>
      </c>
      <c r="Z76" s="130">
        <v>83</v>
      </c>
      <c r="AA76" s="396">
        <v>87</v>
      </c>
      <c r="AB76" s="130">
        <v>86</v>
      </c>
      <c r="AC76" s="130">
        <v>70</v>
      </c>
      <c r="AD76" s="396">
        <v>79</v>
      </c>
      <c r="AE76" s="130">
        <v>80</v>
      </c>
      <c r="AF76" s="130">
        <v>76</v>
      </c>
      <c r="AG76" s="396">
        <v>40</v>
      </c>
      <c r="AH76" s="130">
        <v>88</v>
      </c>
      <c r="AI76" s="130">
        <v>91</v>
      </c>
      <c r="AJ76" s="396">
        <v>92</v>
      </c>
      <c r="AK76" s="130">
        <v>92</v>
      </c>
      <c r="AL76" s="130">
        <v>87</v>
      </c>
      <c r="AM76" s="396">
        <v>88</v>
      </c>
      <c r="AN76" s="130">
        <v>83</v>
      </c>
      <c r="AO76" s="130">
        <v>78</v>
      </c>
      <c r="AP76" s="396">
        <v>78</v>
      </c>
      <c r="AQ76" s="129">
        <v>68</v>
      </c>
      <c r="AR76" s="130">
        <v>60</v>
      </c>
      <c r="AS76" s="396">
        <v>60</v>
      </c>
      <c r="AT76" s="129">
        <v>52</v>
      </c>
      <c r="AU76" s="130">
        <v>48</v>
      </c>
      <c r="AV76" s="396">
        <v>47</v>
      </c>
      <c r="AW76" s="129">
        <v>54</v>
      </c>
      <c r="AX76" s="130">
        <v>53</v>
      </c>
      <c r="AY76" s="396">
        <v>51</v>
      </c>
      <c r="AZ76" s="129">
        <v>49</v>
      </c>
      <c r="BA76" s="130">
        <v>49</v>
      </c>
      <c r="BB76" s="396">
        <v>47</v>
      </c>
      <c r="BC76" s="129">
        <v>41</v>
      </c>
      <c r="BD76" s="130">
        <v>48</v>
      </c>
      <c r="BE76" s="396">
        <v>44</v>
      </c>
      <c r="BF76" s="129">
        <v>43</v>
      </c>
      <c r="BG76" s="130">
        <v>39</v>
      </c>
      <c r="BH76" s="396">
        <v>25</v>
      </c>
      <c r="BI76" s="129">
        <v>42</v>
      </c>
      <c r="BJ76" s="130">
        <v>41</v>
      </c>
      <c r="BK76" s="396">
        <v>37</v>
      </c>
    </row>
    <row r="77" spans="2:63" ht="15" customHeight="1" x14ac:dyDescent="0.3">
      <c r="B77" s="5846"/>
      <c r="C77" s="1402" t="s">
        <v>360</v>
      </c>
      <c r="D77" s="129">
        <v>49</v>
      </c>
      <c r="E77" s="130">
        <v>46</v>
      </c>
      <c r="F77" s="130">
        <v>53</v>
      </c>
      <c r="G77" s="129">
        <v>51</v>
      </c>
      <c r="H77" s="130">
        <v>50</v>
      </c>
      <c r="I77" s="130">
        <v>56</v>
      </c>
      <c r="J77" s="129">
        <v>55</v>
      </c>
      <c r="K77" s="130">
        <v>53</v>
      </c>
      <c r="L77" s="396">
        <v>50</v>
      </c>
      <c r="M77" s="130">
        <v>50</v>
      </c>
      <c r="N77" s="130">
        <v>50</v>
      </c>
      <c r="O77" s="396">
        <v>51</v>
      </c>
      <c r="P77" s="130">
        <v>48</v>
      </c>
      <c r="Q77" s="130">
        <v>50</v>
      </c>
      <c r="R77" s="396">
        <v>44</v>
      </c>
      <c r="S77" s="130">
        <v>43</v>
      </c>
      <c r="T77" s="130">
        <v>40</v>
      </c>
      <c r="U77" s="396">
        <v>37</v>
      </c>
      <c r="V77" s="130">
        <v>34</v>
      </c>
      <c r="W77" s="130">
        <v>33</v>
      </c>
      <c r="X77" s="396">
        <v>35</v>
      </c>
      <c r="Y77" s="130">
        <v>30</v>
      </c>
      <c r="Z77" s="130">
        <v>27</v>
      </c>
      <c r="AA77" s="396">
        <v>28</v>
      </c>
      <c r="AB77" s="130">
        <v>30</v>
      </c>
      <c r="AC77" s="130">
        <v>28</v>
      </c>
      <c r="AD77" s="396">
        <v>37</v>
      </c>
      <c r="AE77" s="130">
        <v>36</v>
      </c>
      <c r="AF77" s="130">
        <v>36</v>
      </c>
      <c r="AG77" s="396">
        <v>37</v>
      </c>
      <c r="AH77" s="130">
        <v>37</v>
      </c>
      <c r="AI77" s="130">
        <v>39</v>
      </c>
      <c r="AJ77" s="396">
        <v>37</v>
      </c>
      <c r="AK77" s="130">
        <v>33</v>
      </c>
      <c r="AL77" s="130">
        <v>33</v>
      </c>
      <c r="AM77" s="396">
        <v>36</v>
      </c>
      <c r="AN77" s="130">
        <v>32</v>
      </c>
      <c r="AO77" s="130">
        <v>37</v>
      </c>
      <c r="AP77" s="396">
        <v>38</v>
      </c>
      <c r="AQ77" s="129">
        <v>37</v>
      </c>
      <c r="AR77" s="130">
        <v>37</v>
      </c>
      <c r="AS77" s="396">
        <v>30</v>
      </c>
      <c r="AT77" s="129">
        <v>30</v>
      </c>
      <c r="AU77" s="130">
        <v>29</v>
      </c>
      <c r="AV77" s="396">
        <v>33</v>
      </c>
      <c r="AW77" s="129">
        <v>36</v>
      </c>
      <c r="AX77" s="130">
        <v>37</v>
      </c>
      <c r="AY77" s="396">
        <v>38</v>
      </c>
      <c r="AZ77" s="129">
        <v>38</v>
      </c>
      <c r="BA77" s="130">
        <v>35</v>
      </c>
      <c r="BB77" s="396">
        <v>36</v>
      </c>
      <c r="BC77" s="129">
        <v>31</v>
      </c>
      <c r="BD77" s="130">
        <v>31</v>
      </c>
      <c r="BE77" s="396">
        <v>32</v>
      </c>
      <c r="BF77" s="129">
        <v>30</v>
      </c>
      <c r="BG77" s="130">
        <v>22</v>
      </c>
      <c r="BH77" s="396">
        <v>16</v>
      </c>
      <c r="BI77" s="129">
        <v>21</v>
      </c>
      <c r="BJ77" s="130">
        <v>27</v>
      </c>
      <c r="BK77" s="396">
        <v>24</v>
      </c>
    </row>
    <row r="78" spans="2:63" ht="15" customHeight="1" x14ac:dyDescent="0.3">
      <c r="B78" s="5846"/>
      <c r="C78" s="1402" t="s">
        <v>361</v>
      </c>
      <c r="D78" s="129">
        <v>15</v>
      </c>
      <c r="E78" s="130">
        <v>16</v>
      </c>
      <c r="F78" s="130">
        <v>12</v>
      </c>
      <c r="G78" s="129">
        <v>10</v>
      </c>
      <c r="H78" s="130">
        <v>11</v>
      </c>
      <c r="I78" s="130">
        <v>11</v>
      </c>
      <c r="J78" s="129">
        <v>10</v>
      </c>
      <c r="K78" s="130">
        <v>12</v>
      </c>
      <c r="L78" s="396">
        <v>13</v>
      </c>
      <c r="M78" s="130">
        <v>14</v>
      </c>
      <c r="N78" s="130">
        <v>13</v>
      </c>
      <c r="O78" s="396">
        <v>15</v>
      </c>
      <c r="P78" s="130">
        <v>11</v>
      </c>
      <c r="Q78" s="130">
        <v>11</v>
      </c>
      <c r="R78" s="396">
        <v>13</v>
      </c>
      <c r="S78" s="130">
        <v>15</v>
      </c>
      <c r="T78" s="130">
        <v>12</v>
      </c>
      <c r="U78" s="396">
        <v>14</v>
      </c>
      <c r="V78" s="130">
        <v>13</v>
      </c>
      <c r="W78" s="130">
        <v>14</v>
      </c>
      <c r="X78" s="396">
        <v>15</v>
      </c>
      <c r="Y78" s="130">
        <v>18</v>
      </c>
      <c r="Z78" s="130">
        <v>16</v>
      </c>
      <c r="AA78" s="396">
        <v>17</v>
      </c>
      <c r="AB78" s="130">
        <v>17</v>
      </c>
      <c r="AC78" s="130">
        <v>14</v>
      </c>
      <c r="AD78" s="396">
        <v>17</v>
      </c>
      <c r="AE78" s="130">
        <v>17</v>
      </c>
      <c r="AF78" s="130">
        <v>18</v>
      </c>
      <c r="AG78" s="396">
        <v>17</v>
      </c>
      <c r="AH78" s="130">
        <v>22</v>
      </c>
      <c r="AI78" s="130">
        <v>24</v>
      </c>
      <c r="AJ78" s="396">
        <v>25</v>
      </c>
      <c r="AK78" s="130">
        <v>25</v>
      </c>
      <c r="AL78" s="130">
        <v>28</v>
      </c>
      <c r="AM78" s="396">
        <v>27</v>
      </c>
      <c r="AN78" s="130">
        <v>28</v>
      </c>
      <c r="AO78" s="130">
        <v>29</v>
      </c>
      <c r="AP78" s="396">
        <v>30</v>
      </c>
      <c r="AQ78" s="129">
        <v>29</v>
      </c>
      <c r="AR78" s="130">
        <v>27</v>
      </c>
      <c r="AS78" s="396">
        <v>24</v>
      </c>
      <c r="AT78" s="129">
        <v>25</v>
      </c>
      <c r="AU78" s="130">
        <v>24</v>
      </c>
      <c r="AV78" s="396">
        <v>22</v>
      </c>
      <c r="AW78" s="129">
        <v>22</v>
      </c>
      <c r="AX78" s="130">
        <v>22</v>
      </c>
      <c r="AY78" s="396">
        <v>21</v>
      </c>
      <c r="AZ78" s="129">
        <v>22</v>
      </c>
      <c r="BA78" s="130">
        <v>22</v>
      </c>
      <c r="BB78" s="396">
        <v>17</v>
      </c>
      <c r="BC78" s="129">
        <v>20</v>
      </c>
      <c r="BD78" s="130">
        <v>17</v>
      </c>
      <c r="BE78" s="396">
        <v>19</v>
      </c>
      <c r="BF78" s="129">
        <v>15</v>
      </c>
      <c r="BG78" s="130">
        <v>12</v>
      </c>
      <c r="BH78" s="396">
        <v>12</v>
      </c>
      <c r="BI78" s="129">
        <v>14</v>
      </c>
      <c r="BJ78" s="130">
        <v>17</v>
      </c>
      <c r="BK78" s="396">
        <v>11</v>
      </c>
    </row>
    <row r="79" spans="2:63" ht="15" customHeight="1" x14ac:dyDescent="0.3">
      <c r="B79" s="5846"/>
      <c r="C79" s="1402" t="s">
        <v>367</v>
      </c>
      <c r="D79" s="129"/>
      <c r="E79" s="130"/>
      <c r="F79" s="130"/>
      <c r="G79" s="129"/>
      <c r="H79" s="130"/>
      <c r="I79" s="130"/>
      <c r="J79" s="129"/>
      <c r="K79" s="130"/>
      <c r="L79" s="396"/>
      <c r="M79" s="130"/>
      <c r="N79" s="130"/>
      <c r="O79" s="396"/>
      <c r="P79" s="130"/>
      <c r="Q79" s="130"/>
      <c r="R79" s="396"/>
      <c r="S79" s="130"/>
      <c r="T79" s="130"/>
      <c r="U79" s="396"/>
      <c r="V79" s="130"/>
      <c r="W79" s="130"/>
      <c r="X79" s="396"/>
      <c r="Y79" s="130"/>
      <c r="Z79" s="130"/>
      <c r="AA79" s="396"/>
      <c r="AB79" s="130">
        <v>2</v>
      </c>
      <c r="AC79" s="130">
        <v>3</v>
      </c>
      <c r="AD79" s="396">
        <v>6</v>
      </c>
      <c r="AE79" s="130">
        <v>12</v>
      </c>
      <c r="AF79" s="130">
        <v>14</v>
      </c>
      <c r="AG79" s="396">
        <v>6</v>
      </c>
      <c r="AH79" s="130">
        <v>19</v>
      </c>
      <c r="AI79" s="130">
        <v>20</v>
      </c>
      <c r="AJ79" s="396">
        <v>24</v>
      </c>
      <c r="AK79" s="130">
        <v>26</v>
      </c>
      <c r="AL79" s="130">
        <v>24</v>
      </c>
      <c r="AM79" s="396">
        <v>27</v>
      </c>
      <c r="AN79" s="130">
        <v>26</v>
      </c>
      <c r="AO79" s="130">
        <v>28</v>
      </c>
      <c r="AP79" s="396">
        <v>29</v>
      </c>
      <c r="AQ79" s="129">
        <v>30</v>
      </c>
      <c r="AR79" s="130">
        <v>28</v>
      </c>
      <c r="AS79" s="396">
        <v>28</v>
      </c>
      <c r="AT79" s="129">
        <v>27</v>
      </c>
      <c r="AU79" s="130">
        <v>26</v>
      </c>
      <c r="AV79" s="396">
        <v>23</v>
      </c>
      <c r="AW79" s="129">
        <v>24</v>
      </c>
      <c r="AX79" s="130">
        <v>21</v>
      </c>
      <c r="AY79" s="396">
        <v>23</v>
      </c>
      <c r="AZ79" s="129">
        <v>23</v>
      </c>
      <c r="BA79" s="130">
        <v>21</v>
      </c>
      <c r="BB79" s="396">
        <v>24</v>
      </c>
      <c r="BC79" s="129">
        <v>21</v>
      </c>
      <c r="BD79" s="130">
        <v>19</v>
      </c>
      <c r="BE79" s="396">
        <v>21</v>
      </c>
      <c r="BF79" s="129">
        <v>22</v>
      </c>
      <c r="BG79" s="130">
        <v>21</v>
      </c>
      <c r="BH79" s="396">
        <v>15</v>
      </c>
      <c r="BI79" s="129">
        <v>18</v>
      </c>
      <c r="BJ79" s="130">
        <v>15</v>
      </c>
      <c r="BK79" s="396">
        <v>14</v>
      </c>
    </row>
    <row r="80" spans="2:63" ht="15" customHeight="1" x14ac:dyDescent="0.3">
      <c r="B80" s="5846"/>
      <c r="C80" s="1402" t="s">
        <v>445</v>
      </c>
      <c r="D80" s="129"/>
      <c r="E80" s="130"/>
      <c r="F80" s="130"/>
      <c r="G80" s="129"/>
      <c r="H80" s="130"/>
      <c r="I80" s="130"/>
      <c r="J80" s="129"/>
      <c r="K80" s="130"/>
      <c r="L80" s="396"/>
      <c r="M80" s="130"/>
      <c r="N80" s="130"/>
      <c r="O80" s="396"/>
      <c r="P80" s="130"/>
      <c r="Q80" s="130"/>
      <c r="R80" s="396"/>
      <c r="S80" s="130"/>
      <c r="T80" s="130"/>
      <c r="U80" s="396"/>
      <c r="V80" s="130"/>
      <c r="W80" s="130"/>
      <c r="X80" s="396"/>
      <c r="Y80" s="130"/>
      <c r="Z80" s="130"/>
      <c r="AA80" s="396"/>
      <c r="AB80" s="130"/>
      <c r="AC80" s="130"/>
      <c r="AD80" s="396"/>
      <c r="AE80" s="130"/>
      <c r="AF80" s="130"/>
      <c r="AG80" s="396"/>
      <c r="AH80" s="130">
        <v>5</v>
      </c>
      <c r="AI80" s="130">
        <v>5</v>
      </c>
      <c r="AJ80" s="396">
        <v>5</v>
      </c>
      <c r="AK80" s="130">
        <v>8</v>
      </c>
      <c r="AL80" s="130">
        <v>7</v>
      </c>
      <c r="AM80" s="396">
        <v>7</v>
      </c>
      <c r="AN80" s="130">
        <v>8</v>
      </c>
      <c r="AO80" s="130">
        <v>8</v>
      </c>
      <c r="AP80" s="396">
        <v>10</v>
      </c>
      <c r="AQ80" s="129">
        <v>14</v>
      </c>
      <c r="AR80" s="130">
        <v>14</v>
      </c>
      <c r="AS80" s="396">
        <v>14</v>
      </c>
      <c r="AT80" s="129">
        <v>14</v>
      </c>
      <c r="AU80" s="130">
        <v>15</v>
      </c>
      <c r="AV80" s="396">
        <v>16</v>
      </c>
      <c r="AW80" s="129">
        <v>17</v>
      </c>
      <c r="AX80" s="130">
        <v>15</v>
      </c>
      <c r="AY80" s="396">
        <v>19</v>
      </c>
      <c r="AZ80" s="129">
        <v>19</v>
      </c>
      <c r="BA80" s="130">
        <v>20</v>
      </c>
      <c r="BB80" s="396">
        <v>17</v>
      </c>
      <c r="BC80" s="129">
        <v>16</v>
      </c>
      <c r="BD80" s="130">
        <v>19</v>
      </c>
      <c r="BE80" s="396">
        <v>19</v>
      </c>
      <c r="BF80" s="129">
        <v>13</v>
      </c>
      <c r="BG80" s="130">
        <v>13</v>
      </c>
      <c r="BH80" s="396">
        <v>15</v>
      </c>
      <c r="BI80" s="129">
        <v>17</v>
      </c>
      <c r="BJ80" s="130">
        <v>16</v>
      </c>
      <c r="BK80" s="396">
        <v>18</v>
      </c>
    </row>
    <row r="81" spans="2:63" ht="15" customHeight="1" x14ac:dyDescent="0.3">
      <c r="B81" s="5847"/>
      <c r="C81" s="1389" t="s">
        <v>369</v>
      </c>
      <c r="D81" s="196">
        <v>43</v>
      </c>
      <c r="E81" s="197">
        <v>33</v>
      </c>
      <c r="F81" s="197">
        <v>30</v>
      </c>
      <c r="G81" s="196">
        <v>23</v>
      </c>
      <c r="H81" s="197">
        <v>11</v>
      </c>
      <c r="I81" s="197">
        <v>4</v>
      </c>
      <c r="J81" s="196">
        <v>3</v>
      </c>
      <c r="K81" s="197">
        <v>1</v>
      </c>
      <c r="L81" s="397">
        <v>1</v>
      </c>
      <c r="M81" s="197">
        <v>1</v>
      </c>
      <c r="N81" s="197">
        <v>1</v>
      </c>
      <c r="O81" s="397"/>
      <c r="P81" s="197"/>
      <c r="Q81" s="197"/>
      <c r="R81" s="397"/>
      <c r="S81" s="197"/>
      <c r="T81" s="197"/>
      <c r="U81" s="397">
        <v>2</v>
      </c>
      <c r="V81" s="197">
        <v>2</v>
      </c>
      <c r="W81" s="197">
        <v>4</v>
      </c>
      <c r="X81" s="397">
        <v>7</v>
      </c>
      <c r="Y81" s="197">
        <v>7</v>
      </c>
      <c r="Z81" s="197">
        <v>6</v>
      </c>
      <c r="AA81" s="397">
        <v>1</v>
      </c>
      <c r="AB81" s="197"/>
      <c r="AC81" s="197"/>
      <c r="AD81" s="397"/>
      <c r="AE81" s="197"/>
      <c r="AF81" s="197"/>
      <c r="AG81" s="397"/>
      <c r="AH81" s="197"/>
      <c r="AI81" s="197"/>
      <c r="AJ81" s="397"/>
      <c r="AK81" s="197"/>
      <c r="AL81" s="197"/>
      <c r="AM81" s="397"/>
      <c r="AN81" s="197"/>
      <c r="AO81" s="197"/>
      <c r="AP81" s="397"/>
      <c r="AQ81" s="196"/>
      <c r="AR81" s="197"/>
      <c r="AS81" s="397"/>
      <c r="AT81" s="196"/>
      <c r="AU81" s="197"/>
      <c r="AV81" s="397"/>
      <c r="AW81" s="196"/>
      <c r="AX81" s="197"/>
      <c r="AY81" s="397"/>
      <c r="AZ81" s="196"/>
      <c r="BA81" s="197"/>
      <c r="BB81" s="397"/>
      <c r="BC81" s="196"/>
      <c r="BD81" s="197"/>
      <c r="BE81" s="397"/>
      <c r="BF81" s="196"/>
      <c r="BG81" s="197"/>
      <c r="BH81" s="397"/>
      <c r="BI81" s="196"/>
      <c r="BJ81" s="197"/>
      <c r="BK81" s="397"/>
    </row>
    <row r="82" spans="2:63" ht="15" customHeight="1" x14ac:dyDescent="0.25">
      <c r="B82" s="1424"/>
      <c r="C82" s="1391" t="s">
        <v>59</v>
      </c>
      <c r="D82" s="1392">
        <f t="shared" ref="D82:AJ82" si="24">SUM(D67:D81)</f>
        <v>279</v>
      </c>
      <c r="E82" s="1393">
        <f t="shared" si="24"/>
        <v>272</v>
      </c>
      <c r="F82" s="1393">
        <f t="shared" si="24"/>
        <v>290</v>
      </c>
      <c r="G82" s="1392">
        <f t="shared" si="24"/>
        <v>281</v>
      </c>
      <c r="H82" s="1393">
        <f t="shared" si="24"/>
        <v>276</v>
      </c>
      <c r="I82" s="1393">
        <f t="shared" si="24"/>
        <v>299</v>
      </c>
      <c r="J82" s="1392">
        <f t="shared" si="24"/>
        <v>306</v>
      </c>
      <c r="K82" s="1393">
        <f t="shared" si="24"/>
        <v>314</v>
      </c>
      <c r="L82" s="1394">
        <f t="shared" si="24"/>
        <v>345</v>
      </c>
      <c r="M82" s="1393">
        <f t="shared" si="24"/>
        <v>345</v>
      </c>
      <c r="N82" s="1393">
        <f t="shared" si="24"/>
        <v>344</v>
      </c>
      <c r="O82" s="1394">
        <f t="shared" si="24"/>
        <v>379</v>
      </c>
      <c r="P82" s="1393">
        <f t="shared" si="24"/>
        <v>379</v>
      </c>
      <c r="Q82" s="1393">
        <f t="shared" si="24"/>
        <v>359</v>
      </c>
      <c r="R82" s="1394">
        <f t="shared" si="24"/>
        <v>356</v>
      </c>
      <c r="S82" s="1393">
        <f t="shared" si="24"/>
        <v>351</v>
      </c>
      <c r="T82" s="1393">
        <f t="shared" si="24"/>
        <v>326</v>
      </c>
      <c r="U82" s="1394">
        <f t="shared" si="24"/>
        <v>358</v>
      </c>
      <c r="V82" s="1393">
        <f t="shared" si="24"/>
        <v>335</v>
      </c>
      <c r="W82" s="1393">
        <f t="shared" si="24"/>
        <v>325</v>
      </c>
      <c r="X82" s="1394">
        <f t="shared" si="24"/>
        <v>365</v>
      </c>
      <c r="Y82" s="1393">
        <f t="shared" si="24"/>
        <v>365</v>
      </c>
      <c r="Z82" s="1393">
        <f t="shared" si="24"/>
        <v>353</v>
      </c>
      <c r="AA82" s="1394">
        <f t="shared" si="24"/>
        <v>384</v>
      </c>
      <c r="AB82" s="1393">
        <f t="shared" si="24"/>
        <v>471</v>
      </c>
      <c r="AC82" s="1393">
        <f t="shared" si="24"/>
        <v>421</v>
      </c>
      <c r="AD82" s="1394">
        <f t="shared" si="24"/>
        <v>498</v>
      </c>
      <c r="AE82" s="1393">
        <f t="shared" si="24"/>
        <v>500</v>
      </c>
      <c r="AF82" s="1393">
        <f t="shared" si="24"/>
        <v>484</v>
      </c>
      <c r="AG82" s="1394">
        <f t="shared" si="24"/>
        <v>451</v>
      </c>
      <c r="AH82" s="1393">
        <f t="shared" si="24"/>
        <v>551</v>
      </c>
      <c r="AI82" s="1393">
        <f t="shared" si="24"/>
        <v>568</v>
      </c>
      <c r="AJ82" s="1394">
        <f t="shared" si="24"/>
        <v>575</v>
      </c>
      <c r="AK82" s="1393">
        <f t="shared" ref="AK82:AP82" si="25">SUM(AK67:AK81)</f>
        <v>557</v>
      </c>
      <c r="AL82" s="1393">
        <f t="shared" si="25"/>
        <v>524</v>
      </c>
      <c r="AM82" s="1394">
        <f t="shared" si="25"/>
        <v>575</v>
      </c>
      <c r="AN82" s="1393">
        <f t="shared" si="25"/>
        <v>540</v>
      </c>
      <c r="AO82" s="1393">
        <f t="shared" si="25"/>
        <v>561</v>
      </c>
      <c r="AP82" s="1394">
        <f t="shared" si="25"/>
        <v>595</v>
      </c>
      <c r="AQ82" s="1392">
        <f t="shared" ref="AQ82:BE82" si="26">SUM(AQ66:AQ81)</f>
        <v>581</v>
      </c>
      <c r="AR82" s="1393">
        <f t="shared" si="26"/>
        <v>549</v>
      </c>
      <c r="AS82" s="1394">
        <f t="shared" si="26"/>
        <v>551</v>
      </c>
      <c r="AT82" s="1392">
        <f t="shared" si="26"/>
        <v>544</v>
      </c>
      <c r="AU82" s="1393">
        <f t="shared" si="26"/>
        <v>537</v>
      </c>
      <c r="AV82" s="1394">
        <f t="shared" si="26"/>
        <v>523</v>
      </c>
      <c r="AW82" s="1392">
        <f t="shared" si="26"/>
        <v>531</v>
      </c>
      <c r="AX82" s="1393">
        <f t="shared" si="26"/>
        <v>512</v>
      </c>
      <c r="AY82" s="1394">
        <f t="shared" si="26"/>
        <v>521</v>
      </c>
      <c r="AZ82" s="1392">
        <f t="shared" si="26"/>
        <v>486</v>
      </c>
      <c r="BA82" s="1393">
        <f t="shared" si="26"/>
        <v>507</v>
      </c>
      <c r="BB82" s="1394">
        <f t="shared" si="26"/>
        <v>491</v>
      </c>
      <c r="BC82" s="1392">
        <f t="shared" si="26"/>
        <v>434</v>
      </c>
      <c r="BD82" s="1393">
        <f t="shared" si="26"/>
        <v>480</v>
      </c>
      <c r="BE82" s="1394">
        <f t="shared" si="26"/>
        <v>465</v>
      </c>
      <c r="BF82" s="1392">
        <f t="shared" ref="BF82:BH82" si="27">SUM(BF66:BF81)</f>
        <v>425</v>
      </c>
      <c r="BG82" s="1393">
        <f t="shared" si="27"/>
        <v>427</v>
      </c>
      <c r="BH82" s="1394">
        <f t="shared" si="27"/>
        <v>305</v>
      </c>
      <c r="BI82" s="1392">
        <f t="shared" ref="BI82:BK82" si="28">SUM(BI66:BI81)</f>
        <v>429</v>
      </c>
      <c r="BJ82" s="1393">
        <f t="shared" si="28"/>
        <v>448</v>
      </c>
      <c r="BK82" s="1394">
        <f t="shared" si="28"/>
        <v>453</v>
      </c>
    </row>
    <row r="83" spans="2:63" ht="15" customHeight="1" x14ac:dyDescent="0.3">
      <c r="B83" s="1305" t="s">
        <v>308</v>
      </c>
      <c r="C83" s="1396" t="s">
        <v>370</v>
      </c>
      <c r="D83" s="151">
        <v>6</v>
      </c>
      <c r="E83" s="152">
        <v>5</v>
      </c>
      <c r="F83" s="152">
        <v>44</v>
      </c>
      <c r="G83" s="151">
        <v>41</v>
      </c>
      <c r="H83" s="152">
        <v>32</v>
      </c>
      <c r="I83" s="152">
        <v>76</v>
      </c>
      <c r="J83" s="151">
        <v>73</v>
      </c>
      <c r="K83" s="152">
        <v>65</v>
      </c>
      <c r="L83" s="395">
        <v>1</v>
      </c>
      <c r="M83" s="152">
        <v>86</v>
      </c>
      <c r="N83" s="152">
        <v>82</v>
      </c>
      <c r="O83" s="395">
        <v>68</v>
      </c>
      <c r="P83" s="152">
        <v>90</v>
      </c>
      <c r="Q83" s="152">
        <v>81</v>
      </c>
      <c r="R83" s="395">
        <v>100</v>
      </c>
      <c r="S83" s="152">
        <v>102</v>
      </c>
      <c r="T83" s="152">
        <v>89</v>
      </c>
      <c r="U83" s="395">
        <v>85</v>
      </c>
      <c r="V83" s="152"/>
      <c r="W83" s="152">
        <v>99</v>
      </c>
      <c r="X83" s="395">
        <v>116</v>
      </c>
      <c r="Y83" s="152">
        <v>67</v>
      </c>
      <c r="Z83" s="152" t="s">
        <v>122</v>
      </c>
      <c r="AA83" s="395">
        <v>104</v>
      </c>
      <c r="AB83" s="152">
        <v>65</v>
      </c>
      <c r="AC83" s="152">
        <v>62</v>
      </c>
      <c r="AD83" s="395">
        <v>92</v>
      </c>
      <c r="AE83" s="152">
        <v>81</v>
      </c>
      <c r="AF83" s="152">
        <v>65</v>
      </c>
      <c r="AG83" s="395">
        <v>3</v>
      </c>
      <c r="AH83" s="152"/>
      <c r="AI83" s="152">
        <v>1</v>
      </c>
      <c r="AJ83" s="395">
        <v>37</v>
      </c>
      <c r="AK83" s="152">
        <v>29</v>
      </c>
      <c r="AL83" s="152">
        <v>27</v>
      </c>
      <c r="AM83" s="395">
        <v>15</v>
      </c>
      <c r="AN83" s="152">
        <v>49</v>
      </c>
      <c r="AO83" s="152">
        <v>48</v>
      </c>
      <c r="AP83" s="395">
        <v>55</v>
      </c>
      <c r="AQ83" s="152">
        <v>22</v>
      </c>
      <c r="AR83" s="152">
        <v>20</v>
      </c>
      <c r="AS83" s="395">
        <v>12</v>
      </c>
      <c r="AT83" s="152">
        <v>12</v>
      </c>
      <c r="AU83" s="152">
        <v>73</v>
      </c>
      <c r="AV83" s="395">
        <v>57</v>
      </c>
      <c r="AW83" s="4957">
        <v>54</v>
      </c>
      <c r="AX83" s="152">
        <v>50</v>
      </c>
      <c r="AY83" s="395">
        <v>52</v>
      </c>
      <c r="AZ83" s="152">
        <v>48</v>
      </c>
      <c r="BA83" s="152">
        <v>38</v>
      </c>
      <c r="BB83" s="395">
        <v>27</v>
      </c>
      <c r="BC83" s="152">
        <v>27</v>
      </c>
      <c r="BD83" s="152">
        <v>57</v>
      </c>
      <c r="BE83" s="395">
        <v>56</v>
      </c>
      <c r="BF83" s="152">
        <v>67</v>
      </c>
      <c r="BG83" s="152">
        <v>10</v>
      </c>
      <c r="BH83" s="395"/>
      <c r="BI83" s="152">
        <v>45</v>
      </c>
      <c r="BJ83" s="152">
        <v>41</v>
      </c>
      <c r="BK83" s="395">
        <v>9</v>
      </c>
    </row>
    <row r="84" spans="2:63" ht="15" customHeight="1" x14ac:dyDescent="0.3">
      <c r="B84" s="5834" t="s">
        <v>310</v>
      </c>
      <c r="C84" s="4440" t="s">
        <v>371</v>
      </c>
      <c r="D84" s="4441">
        <v>7</v>
      </c>
      <c r="E84" s="4442">
        <v>8</v>
      </c>
      <c r="F84" s="4442">
        <v>7</v>
      </c>
      <c r="G84" s="4441">
        <v>6</v>
      </c>
      <c r="H84" s="4442">
        <v>5</v>
      </c>
      <c r="I84" s="4442">
        <v>5</v>
      </c>
      <c r="J84" s="4441">
        <v>6</v>
      </c>
      <c r="K84" s="4442">
        <v>4</v>
      </c>
      <c r="L84" s="4443">
        <v>7</v>
      </c>
      <c r="M84" s="4442">
        <v>6</v>
      </c>
      <c r="N84" s="4442">
        <v>7</v>
      </c>
      <c r="O84" s="4443">
        <v>8</v>
      </c>
      <c r="P84" s="4442">
        <v>23</v>
      </c>
      <c r="Q84" s="4442">
        <v>11</v>
      </c>
      <c r="R84" s="4443">
        <v>7</v>
      </c>
      <c r="S84" s="4442">
        <v>20</v>
      </c>
      <c r="T84" s="4442">
        <v>21</v>
      </c>
      <c r="U84" s="4443">
        <v>20</v>
      </c>
      <c r="V84" s="4442">
        <v>5</v>
      </c>
      <c r="W84" s="4442">
        <v>5</v>
      </c>
      <c r="X84" s="4443">
        <v>2</v>
      </c>
      <c r="Y84" s="4442">
        <v>16</v>
      </c>
      <c r="Z84" s="4442">
        <v>16</v>
      </c>
      <c r="AA84" s="4443">
        <v>15</v>
      </c>
      <c r="AB84" s="4442">
        <v>17</v>
      </c>
      <c r="AC84" s="4442">
        <v>15</v>
      </c>
      <c r="AD84" s="4443">
        <v>4</v>
      </c>
      <c r="AE84" s="4442">
        <v>1</v>
      </c>
      <c r="AF84" s="4442">
        <v>2</v>
      </c>
      <c r="AG84" s="4443">
        <v>14</v>
      </c>
      <c r="AH84" s="4442">
        <v>14</v>
      </c>
      <c r="AI84" s="4442">
        <v>14</v>
      </c>
      <c r="AJ84" s="4443">
        <v>16</v>
      </c>
      <c r="AK84" s="4442">
        <v>16</v>
      </c>
      <c r="AL84" s="4442">
        <v>15</v>
      </c>
      <c r="AM84" s="4443">
        <v>1</v>
      </c>
      <c r="AN84" s="4442"/>
      <c r="AO84" s="4442"/>
      <c r="AP84" s="4443">
        <v>15</v>
      </c>
      <c r="AQ84" s="4442">
        <v>15</v>
      </c>
      <c r="AR84" s="4442">
        <v>15</v>
      </c>
      <c r="AS84" s="4443">
        <v>5</v>
      </c>
      <c r="AT84" s="4442"/>
      <c r="AU84" s="4442"/>
      <c r="AV84" s="4443">
        <v>12</v>
      </c>
      <c r="AW84" s="4441">
        <v>12</v>
      </c>
      <c r="AX84" s="4442">
        <v>12</v>
      </c>
      <c r="AY84" s="4443"/>
      <c r="AZ84" s="4442"/>
      <c r="BA84" s="4442"/>
      <c r="BB84" s="4443">
        <v>11</v>
      </c>
      <c r="BC84" s="4442">
        <v>11</v>
      </c>
      <c r="BD84" s="4442">
        <v>12</v>
      </c>
      <c r="BE84" s="4443">
        <v>3</v>
      </c>
      <c r="BF84" s="4442">
        <v>1</v>
      </c>
      <c r="BG84" s="4442"/>
      <c r="BH84" s="4443">
        <v>11</v>
      </c>
      <c r="BI84" s="4442">
        <v>11</v>
      </c>
      <c r="BJ84" s="4442">
        <v>11</v>
      </c>
      <c r="BK84" s="4443">
        <v>1</v>
      </c>
    </row>
    <row r="85" spans="2:63" ht="15" customHeight="1" x14ac:dyDescent="0.3">
      <c r="B85" s="5835"/>
      <c r="C85" s="4440" t="s">
        <v>446</v>
      </c>
      <c r="D85" s="4441"/>
      <c r="E85" s="4442"/>
      <c r="F85" s="4442"/>
      <c r="G85" s="4441"/>
      <c r="H85" s="4442"/>
      <c r="I85" s="4442"/>
      <c r="J85" s="4441"/>
      <c r="K85" s="4442"/>
      <c r="L85" s="4443"/>
      <c r="M85" s="4442"/>
      <c r="N85" s="4442"/>
      <c r="O85" s="4443"/>
      <c r="P85" s="4442"/>
      <c r="Q85" s="4442"/>
      <c r="R85" s="4443"/>
      <c r="S85" s="4442"/>
      <c r="T85" s="4442"/>
      <c r="U85" s="4443"/>
      <c r="V85" s="4442"/>
      <c r="W85" s="4442"/>
      <c r="X85" s="4443">
        <v>1</v>
      </c>
      <c r="Y85" s="4442">
        <v>1</v>
      </c>
      <c r="Z85" s="4442">
        <v>1</v>
      </c>
      <c r="AA85" s="4443">
        <v>1</v>
      </c>
      <c r="AB85" s="4442">
        <v>1</v>
      </c>
      <c r="AC85" s="4442">
        <v>1</v>
      </c>
      <c r="AD85" s="4443"/>
      <c r="AE85" s="4442"/>
      <c r="AF85" s="4442"/>
      <c r="AG85" s="4443"/>
      <c r="AH85" s="4442"/>
      <c r="AI85" s="4442"/>
      <c r="AJ85" s="4443"/>
      <c r="AK85" s="4442"/>
      <c r="AL85" s="4442"/>
      <c r="AM85" s="4443"/>
      <c r="AN85" s="4442"/>
      <c r="AO85" s="4442"/>
      <c r="AP85" s="4443"/>
      <c r="AQ85" s="4442"/>
      <c r="AR85" s="4442"/>
      <c r="AS85" s="4443"/>
      <c r="AT85" s="4442"/>
      <c r="AU85" s="4442"/>
      <c r="AV85" s="4443"/>
      <c r="AW85" s="4441"/>
      <c r="AX85" s="4442"/>
      <c r="AY85" s="4443"/>
      <c r="AZ85" s="4442"/>
      <c r="BA85" s="4442"/>
      <c r="BB85" s="4443"/>
      <c r="BC85" s="4442"/>
      <c r="BD85" s="4442"/>
      <c r="BE85" s="4443"/>
      <c r="BF85" s="4442"/>
      <c r="BG85" s="4442"/>
      <c r="BH85" s="4443"/>
      <c r="BI85" s="4442"/>
      <c r="BJ85" s="4442"/>
      <c r="BK85" s="4443"/>
    </row>
    <row r="86" spans="2:63" ht="15" customHeight="1" x14ac:dyDescent="0.3">
      <c r="B86" s="5835"/>
      <c r="C86" s="4440" t="s">
        <v>447</v>
      </c>
      <c r="D86" s="4441"/>
      <c r="E86" s="4442"/>
      <c r="F86" s="4442"/>
      <c r="G86" s="4441"/>
      <c r="H86" s="4442"/>
      <c r="I86" s="4442"/>
      <c r="J86" s="4441"/>
      <c r="K86" s="4442"/>
      <c r="L86" s="4443"/>
      <c r="M86" s="4442"/>
      <c r="N86" s="4442"/>
      <c r="O86" s="4443"/>
      <c r="P86" s="4442"/>
      <c r="Q86" s="4442"/>
      <c r="R86" s="4443"/>
      <c r="S86" s="4442"/>
      <c r="T86" s="4442"/>
      <c r="U86" s="4443"/>
      <c r="V86" s="4442"/>
      <c r="W86" s="4442"/>
      <c r="X86" s="4443">
        <v>1</v>
      </c>
      <c r="Y86" s="4442"/>
      <c r="Z86" s="4442"/>
      <c r="AA86" s="4443"/>
      <c r="AB86" s="4442"/>
      <c r="AC86" s="4442"/>
      <c r="AD86" s="4443"/>
      <c r="AE86" s="4442"/>
      <c r="AF86" s="4442"/>
      <c r="AG86" s="4443"/>
      <c r="AH86" s="4442"/>
      <c r="AI86" s="4442"/>
      <c r="AJ86" s="4443"/>
      <c r="AK86" s="4442"/>
      <c r="AL86" s="4442"/>
      <c r="AM86" s="4443"/>
      <c r="AN86" s="4442"/>
      <c r="AO86" s="4442"/>
      <c r="AP86" s="4443"/>
      <c r="AQ86" s="4442"/>
      <c r="AR86" s="4442"/>
      <c r="AS86" s="4443"/>
      <c r="AT86" s="4442"/>
      <c r="AU86" s="4442"/>
      <c r="AV86" s="4443"/>
      <c r="AW86" s="4441"/>
      <c r="AX86" s="4442"/>
      <c r="AY86" s="4443"/>
      <c r="AZ86" s="4442"/>
      <c r="BA86" s="4442"/>
      <c r="BB86" s="4443"/>
      <c r="BC86" s="4442"/>
      <c r="BD86" s="4442"/>
      <c r="BE86" s="4443"/>
      <c r="BF86" s="4442"/>
      <c r="BG86" s="4442"/>
      <c r="BH86" s="4443"/>
      <c r="BI86" s="4442"/>
      <c r="BJ86" s="4442"/>
      <c r="BK86" s="4443"/>
    </row>
    <row r="87" spans="2:63" ht="15" customHeight="1" x14ac:dyDescent="0.3">
      <c r="B87" s="5835"/>
      <c r="C87" s="4440" t="s">
        <v>372</v>
      </c>
      <c r="D87" s="4441">
        <v>13</v>
      </c>
      <c r="E87" s="4442">
        <v>10</v>
      </c>
      <c r="F87" s="4442">
        <v>21</v>
      </c>
      <c r="G87" s="4441">
        <v>18</v>
      </c>
      <c r="H87" s="4442">
        <v>17</v>
      </c>
      <c r="I87" s="4442">
        <v>19</v>
      </c>
      <c r="J87" s="4441">
        <v>17</v>
      </c>
      <c r="K87" s="4442">
        <v>17</v>
      </c>
      <c r="L87" s="4443">
        <v>21</v>
      </c>
      <c r="M87" s="4442">
        <v>18</v>
      </c>
      <c r="N87" s="4442">
        <v>14</v>
      </c>
      <c r="O87" s="4443">
        <v>12</v>
      </c>
      <c r="P87" s="4442">
        <v>14</v>
      </c>
      <c r="Q87" s="4442">
        <v>11</v>
      </c>
      <c r="R87" s="4443">
        <v>24</v>
      </c>
      <c r="S87" s="4442">
        <v>20</v>
      </c>
      <c r="T87" s="4442">
        <v>18</v>
      </c>
      <c r="U87" s="4443">
        <v>37</v>
      </c>
      <c r="V87" s="4442">
        <v>36</v>
      </c>
      <c r="W87" s="4442">
        <v>35</v>
      </c>
      <c r="X87" s="4443">
        <v>34</v>
      </c>
      <c r="Y87" s="4442">
        <v>32</v>
      </c>
      <c r="Z87" s="4442">
        <v>32</v>
      </c>
      <c r="AA87" s="4443">
        <v>23</v>
      </c>
      <c r="AB87" s="4442">
        <v>24</v>
      </c>
      <c r="AC87" s="4442">
        <v>18</v>
      </c>
      <c r="AD87" s="4443">
        <v>36</v>
      </c>
      <c r="AE87" s="4442">
        <v>33</v>
      </c>
      <c r="AF87" s="4442">
        <v>32</v>
      </c>
      <c r="AG87" s="4443">
        <v>27</v>
      </c>
      <c r="AH87" s="4442">
        <v>25</v>
      </c>
      <c r="AI87" s="4442">
        <v>25</v>
      </c>
      <c r="AJ87" s="4443">
        <v>19</v>
      </c>
      <c r="AK87" s="4442">
        <v>16</v>
      </c>
      <c r="AL87" s="4442">
        <v>24</v>
      </c>
      <c r="AM87" s="4443">
        <v>20</v>
      </c>
      <c r="AN87" s="4442">
        <v>14</v>
      </c>
      <c r="AO87" s="4442">
        <v>14</v>
      </c>
      <c r="AP87" s="4443">
        <v>45</v>
      </c>
      <c r="AQ87" s="4442">
        <v>44</v>
      </c>
      <c r="AR87" s="4442">
        <v>29</v>
      </c>
      <c r="AS87" s="4443">
        <v>30</v>
      </c>
      <c r="AT87" s="4442">
        <v>30</v>
      </c>
      <c r="AU87" s="4442">
        <v>30</v>
      </c>
      <c r="AV87" s="4443">
        <v>32</v>
      </c>
      <c r="AW87" s="4441">
        <v>28</v>
      </c>
      <c r="AX87" s="4442">
        <v>27</v>
      </c>
      <c r="AY87" s="4443">
        <v>26</v>
      </c>
      <c r="AZ87" s="4442">
        <v>19</v>
      </c>
      <c r="BA87" s="4442">
        <v>26</v>
      </c>
      <c r="BB87" s="4443">
        <v>32</v>
      </c>
      <c r="BC87" s="4442">
        <v>26</v>
      </c>
      <c r="BD87" s="4442">
        <v>26</v>
      </c>
      <c r="BE87" s="4443">
        <v>23</v>
      </c>
      <c r="BF87" s="4442">
        <v>22</v>
      </c>
      <c r="BG87" s="4442">
        <v>21</v>
      </c>
      <c r="BH87" s="4443">
        <v>32</v>
      </c>
      <c r="BI87" s="4442">
        <v>53</v>
      </c>
      <c r="BJ87" s="4442">
        <v>45</v>
      </c>
      <c r="BK87" s="4443">
        <v>42</v>
      </c>
    </row>
    <row r="88" spans="2:63" ht="15" customHeight="1" x14ac:dyDescent="0.3">
      <c r="B88" s="5835"/>
      <c r="C88" s="4440" t="s">
        <v>373</v>
      </c>
      <c r="D88" s="4441">
        <v>63</v>
      </c>
      <c r="E88" s="4442">
        <v>45</v>
      </c>
      <c r="F88" s="4442">
        <v>48</v>
      </c>
      <c r="G88" s="4441">
        <v>47</v>
      </c>
      <c r="H88" s="4442">
        <v>39</v>
      </c>
      <c r="I88" s="4442">
        <v>29</v>
      </c>
      <c r="J88" s="4441">
        <v>78</v>
      </c>
      <c r="K88" s="4442">
        <v>72</v>
      </c>
      <c r="L88" s="4443">
        <v>66</v>
      </c>
      <c r="M88" s="4442">
        <v>61</v>
      </c>
      <c r="N88" s="4442">
        <v>60</v>
      </c>
      <c r="O88" s="4443">
        <v>49</v>
      </c>
      <c r="P88" s="4442">
        <v>96</v>
      </c>
      <c r="Q88" s="4442">
        <v>89</v>
      </c>
      <c r="R88" s="4443">
        <v>75</v>
      </c>
      <c r="S88" s="4442">
        <v>71</v>
      </c>
      <c r="T88" s="4442">
        <v>68</v>
      </c>
      <c r="U88" s="4443">
        <v>151</v>
      </c>
      <c r="V88" s="4442">
        <v>132</v>
      </c>
      <c r="W88" s="4442">
        <v>134</v>
      </c>
      <c r="X88" s="4443">
        <v>130</v>
      </c>
      <c r="Y88" s="4442">
        <v>120</v>
      </c>
      <c r="Z88" s="4442">
        <v>111</v>
      </c>
      <c r="AA88" s="4443">
        <v>164</v>
      </c>
      <c r="AB88" s="4442">
        <v>152</v>
      </c>
      <c r="AC88" s="4442">
        <v>104</v>
      </c>
      <c r="AD88" s="4443">
        <v>85</v>
      </c>
      <c r="AE88" s="4442">
        <v>78</v>
      </c>
      <c r="AF88" s="4442">
        <v>73</v>
      </c>
      <c r="AG88" s="4443">
        <v>122</v>
      </c>
      <c r="AH88" s="4442">
        <v>101</v>
      </c>
      <c r="AI88" s="4442">
        <v>75</v>
      </c>
      <c r="AJ88" s="4443">
        <v>71</v>
      </c>
      <c r="AK88" s="4442">
        <v>71</v>
      </c>
      <c r="AL88" s="4442">
        <v>70</v>
      </c>
      <c r="AM88" s="4443">
        <v>118</v>
      </c>
      <c r="AN88" s="4442">
        <v>82</v>
      </c>
      <c r="AO88" s="4442">
        <v>74</v>
      </c>
      <c r="AP88" s="4443">
        <v>71</v>
      </c>
      <c r="AQ88" s="4442">
        <v>67</v>
      </c>
      <c r="AR88" s="4442">
        <v>62</v>
      </c>
      <c r="AS88" s="4443">
        <v>82</v>
      </c>
      <c r="AT88" s="4442">
        <v>61</v>
      </c>
      <c r="AU88" s="4442">
        <v>57</v>
      </c>
      <c r="AV88" s="4443">
        <v>51</v>
      </c>
      <c r="AW88" s="4441">
        <v>49</v>
      </c>
      <c r="AX88" s="4442">
        <v>48</v>
      </c>
      <c r="AY88" s="4443">
        <v>99</v>
      </c>
      <c r="AZ88" s="4442">
        <v>82</v>
      </c>
      <c r="BA88" s="4442">
        <v>68</v>
      </c>
      <c r="BB88" s="4443">
        <v>61</v>
      </c>
      <c r="BC88" s="4442">
        <v>62</v>
      </c>
      <c r="BD88" s="4442">
        <v>63</v>
      </c>
      <c r="BE88" s="4443">
        <v>60</v>
      </c>
      <c r="BF88" s="4442">
        <v>63</v>
      </c>
      <c r="BG88" s="4442">
        <v>54</v>
      </c>
      <c r="BH88" s="4443">
        <v>44</v>
      </c>
      <c r="BI88" s="4442">
        <v>50</v>
      </c>
      <c r="BJ88" s="4442">
        <v>50</v>
      </c>
      <c r="BK88" s="4443">
        <v>82</v>
      </c>
    </row>
    <row r="89" spans="2:63" ht="15" customHeight="1" x14ac:dyDescent="0.3">
      <c r="B89" s="5835"/>
      <c r="C89" s="4440" t="s">
        <v>374</v>
      </c>
      <c r="D89" s="4441">
        <v>32</v>
      </c>
      <c r="E89" s="4442">
        <v>27</v>
      </c>
      <c r="F89" s="4442">
        <v>30</v>
      </c>
      <c r="G89" s="4441">
        <v>30</v>
      </c>
      <c r="H89" s="4442">
        <v>26</v>
      </c>
      <c r="I89" s="4442">
        <v>41</v>
      </c>
      <c r="J89" s="4441">
        <v>29</v>
      </c>
      <c r="K89" s="4442">
        <v>22</v>
      </c>
      <c r="L89" s="4443">
        <v>27</v>
      </c>
      <c r="M89" s="4442">
        <v>26</v>
      </c>
      <c r="N89" s="4442">
        <v>25</v>
      </c>
      <c r="O89" s="4443">
        <v>48</v>
      </c>
      <c r="P89" s="4442">
        <v>45</v>
      </c>
      <c r="Q89" s="4442">
        <v>40</v>
      </c>
      <c r="R89" s="4443">
        <v>41</v>
      </c>
      <c r="S89" s="4442">
        <v>37</v>
      </c>
      <c r="T89" s="4442">
        <v>37</v>
      </c>
      <c r="U89" s="4443">
        <v>58</v>
      </c>
      <c r="V89" s="4442">
        <v>42</v>
      </c>
      <c r="W89" s="4442">
        <v>38</v>
      </c>
      <c r="X89" s="4443">
        <v>33</v>
      </c>
      <c r="Y89" s="4442">
        <v>21</v>
      </c>
      <c r="Z89" s="4442">
        <v>20</v>
      </c>
      <c r="AA89" s="4443">
        <v>46</v>
      </c>
      <c r="AB89" s="4442">
        <v>43</v>
      </c>
      <c r="AC89" s="4442">
        <v>39</v>
      </c>
      <c r="AD89" s="4443">
        <v>37</v>
      </c>
      <c r="AE89" s="4442">
        <v>37</v>
      </c>
      <c r="AF89" s="4442">
        <v>36</v>
      </c>
      <c r="AG89" s="4443">
        <v>46</v>
      </c>
      <c r="AH89" s="4442">
        <v>28</v>
      </c>
      <c r="AI89" s="4442">
        <v>26</v>
      </c>
      <c r="AJ89" s="4443">
        <v>27</v>
      </c>
      <c r="AK89" s="4442">
        <v>25</v>
      </c>
      <c r="AL89" s="4442">
        <v>25</v>
      </c>
      <c r="AM89" s="4443">
        <v>33</v>
      </c>
      <c r="AN89" s="4442">
        <v>25</v>
      </c>
      <c r="AO89" s="4442">
        <v>25</v>
      </c>
      <c r="AP89" s="4443">
        <v>23</v>
      </c>
      <c r="AQ89" s="4442">
        <v>22</v>
      </c>
      <c r="AR89" s="4442">
        <v>22</v>
      </c>
      <c r="AS89" s="4443">
        <v>26</v>
      </c>
      <c r="AT89" s="4442">
        <v>19</v>
      </c>
      <c r="AU89" s="4442">
        <v>19</v>
      </c>
      <c r="AV89" s="4443">
        <v>19</v>
      </c>
      <c r="AW89" s="4441">
        <v>19</v>
      </c>
      <c r="AX89" s="4442">
        <v>19</v>
      </c>
      <c r="AY89" s="4443">
        <v>24</v>
      </c>
      <c r="AZ89" s="4442">
        <v>19</v>
      </c>
      <c r="BA89" s="4442">
        <v>18</v>
      </c>
      <c r="BB89" s="4443">
        <v>18</v>
      </c>
      <c r="BC89" s="4442">
        <v>18</v>
      </c>
      <c r="BD89" s="4442">
        <v>18</v>
      </c>
      <c r="BE89" s="4443">
        <v>21</v>
      </c>
      <c r="BF89" s="4442">
        <v>15</v>
      </c>
      <c r="BG89" s="4442">
        <v>14</v>
      </c>
      <c r="BH89" s="4443">
        <v>15</v>
      </c>
      <c r="BI89" s="4442">
        <v>14</v>
      </c>
      <c r="BJ89" s="4442">
        <v>14</v>
      </c>
      <c r="BK89" s="4443">
        <v>28</v>
      </c>
    </row>
    <row r="90" spans="2:63" ht="15" customHeight="1" x14ac:dyDescent="0.3">
      <c r="B90" s="5835"/>
      <c r="C90" s="4454" t="s">
        <v>328</v>
      </c>
      <c r="D90" s="4441"/>
      <c r="E90" s="4442"/>
      <c r="F90" s="4442"/>
      <c r="G90" s="4441">
        <v>1</v>
      </c>
      <c r="H90" s="4442"/>
      <c r="I90" s="4442">
        <v>1</v>
      </c>
      <c r="J90" s="4441">
        <v>9</v>
      </c>
      <c r="K90" s="4442"/>
      <c r="L90" s="4443"/>
      <c r="M90" s="4442">
        <v>6</v>
      </c>
      <c r="N90" s="4442"/>
      <c r="O90" s="4443">
        <v>1</v>
      </c>
      <c r="P90" s="4442">
        <v>9</v>
      </c>
      <c r="Q90" s="4442"/>
      <c r="R90" s="4443"/>
      <c r="S90" s="4442">
        <v>17</v>
      </c>
      <c r="T90" s="4442"/>
      <c r="U90" s="4443"/>
      <c r="V90" s="4442">
        <v>22</v>
      </c>
      <c r="W90" s="4442"/>
      <c r="X90" s="4443"/>
      <c r="Y90" s="4442">
        <v>25</v>
      </c>
      <c r="Z90" s="4442"/>
      <c r="AA90" s="4443" t="s">
        <v>122</v>
      </c>
      <c r="AB90" s="4442">
        <v>32</v>
      </c>
      <c r="AC90" s="4442">
        <v>30</v>
      </c>
      <c r="AD90" s="4443">
        <v>28</v>
      </c>
      <c r="AE90" s="4442">
        <v>32</v>
      </c>
      <c r="AF90" s="4442">
        <v>25</v>
      </c>
      <c r="AG90" s="4443">
        <v>24</v>
      </c>
      <c r="AH90" s="4442">
        <v>50</v>
      </c>
      <c r="AI90" s="4442">
        <v>44</v>
      </c>
      <c r="AJ90" s="4443">
        <v>36</v>
      </c>
      <c r="AK90" s="4442">
        <v>40</v>
      </c>
      <c r="AL90" s="4442">
        <v>32</v>
      </c>
      <c r="AM90" s="4443">
        <v>32</v>
      </c>
      <c r="AN90" s="4442">
        <v>22</v>
      </c>
      <c r="AO90" s="4442">
        <v>23</v>
      </c>
      <c r="AP90" s="4443">
        <v>22</v>
      </c>
      <c r="AQ90" s="4442">
        <v>22</v>
      </c>
      <c r="AR90" s="4442">
        <v>19</v>
      </c>
      <c r="AS90" s="4443">
        <v>19</v>
      </c>
      <c r="AT90" s="4442">
        <v>24</v>
      </c>
      <c r="AU90" s="4442">
        <v>24</v>
      </c>
      <c r="AV90" s="4443">
        <v>23</v>
      </c>
      <c r="AW90" s="4441">
        <v>25</v>
      </c>
      <c r="AX90" s="4442">
        <v>4</v>
      </c>
      <c r="AY90" s="4443">
        <v>4</v>
      </c>
      <c r="AZ90" s="4442"/>
      <c r="BA90" s="4442">
        <v>1</v>
      </c>
      <c r="BB90" s="4443">
        <v>1</v>
      </c>
      <c r="BC90" s="4442">
        <v>1</v>
      </c>
      <c r="BD90" s="4442">
        <v>1</v>
      </c>
      <c r="BE90" s="4443">
        <v>2</v>
      </c>
      <c r="BF90" s="4442">
        <v>13</v>
      </c>
      <c r="BG90" s="4442">
        <v>12</v>
      </c>
      <c r="BH90" s="4443">
        <v>12</v>
      </c>
      <c r="BI90" s="4442">
        <v>18</v>
      </c>
      <c r="BJ90" s="4442">
        <v>14</v>
      </c>
      <c r="BK90" s="4443">
        <v>14</v>
      </c>
    </row>
    <row r="91" spans="2:63" ht="15" customHeight="1" x14ac:dyDescent="0.3">
      <c r="B91" s="5835"/>
      <c r="C91" s="4454" t="s">
        <v>334</v>
      </c>
      <c r="D91" s="4441"/>
      <c r="E91" s="4442"/>
      <c r="F91" s="4442"/>
      <c r="G91" s="4441"/>
      <c r="H91" s="4442"/>
      <c r="I91" s="4442"/>
      <c r="J91" s="4441"/>
      <c r="K91" s="4442"/>
      <c r="L91" s="4443"/>
      <c r="M91" s="4442"/>
      <c r="N91" s="4442"/>
      <c r="O91" s="4443"/>
      <c r="P91" s="4442"/>
      <c r="Q91" s="4442"/>
      <c r="R91" s="4443"/>
      <c r="S91" s="4442"/>
      <c r="T91" s="4442"/>
      <c r="U91" s="4443"/>
      <c r="V91" s="4442"/>
      <c r="W91" s="4442"/>
      <c r="X91" s="4443"/>
      <c r="Y91" s="4442"/>
      <c r="Z91" s="4442"/>
      <c r="AA91" s="4443"/>
      <c r="AB91" s="4442"/>
      <c r="AC91" s="4442"/>
      <c r="AD91" s="4443"/>
      <c r="AE91" s="4442"/>
      <c r="AF91" s="4442"/>
      <c r="AG91" s="4443"/>
      <c r="AH91" s="4442"/>
      <c r="AI91" s="4442"/>
      <c r="AJ91" s="4443"/>
      <c r="AK91" s="4442"/>
      <c r="AL91" s="4442"/>
      <c r="AM91" s="4443"/>
      <c r="AN91" s="4442"/>
      <c r="AO91" s="4442"/>
      <c r="AP91" s="4443"/>
      <c r="AQ91" s="4442"/>
      <c r="AR91" s="4442"/>
      <c r="AS91" s="4443"/>
      <c r="AT91" s="4442">
        <v>10</v>
      </c>
      <c r="AU91" s="4442">
        <v>17</v>
      </c>
      <c r="AV91" s="4443">
        <v>17</v>
      </c>
      <c r="AW91" s="4441">
        <v>17</v>
      </c>
      <c r="AX91" s="4442">
        <v>17</v>
      </c>
      <c r="AY91" s="4443">
        <v>17</v>
      </c>
      <c r="AZ91" s="4442">
        <v>20</v>
      </c>
      <c r="BA91" s="4442">
        <v>26</v>
      </c>
      <c r="BB91" s="4443">
        <v>25</v>
      </c>
      <c r="BC91" s="4442">
        <v>14</v>
      </c>
      <c r="BD91" s="4442">
        <v>16</v>
      </c>
      <c r="BE91" s="4443">
        <v>10</v>
      </c>
      <c r="BF91" s="4442">
        <v>28</v>
      </c>
      <c r="BG91" s="4442">
        <v>19</v>
      </c>
      <c r="BH91" s="4443">
        <v>11</v>
      </c>
      <c r="BI91" s="4442">
        <v>12</v>
      </c>
      <c r="BJ91" s="4442">
        <v>10</v>
      </c>
      <c r="BK91" s="4443">
        <v>12</v>
      </c>
    </row>
    <row r="92" spans="2:63" ht="15" customHeight="1" x14ac:dyDescent="0.3">
      <c r="B92" s="5836"/>
      <c r="C92" s="4454" t="s">
        <v>448</v>
      </c>
      <c r="D92" s="4441"/>
      <c r="E92" s="4442"/>
      <c r="F92" s="4442"/>
      <c r="G92" s="4441"/>
      <c r="H92" s="4442"/>
      <c r="I92" s="4442"/>
      <c r="J92" s="4441"/>
      <c r="K92" s="4442"/>
      <c r="L92" s="4443"/>
      <c r="M92" s="4442"/>
      <c r="N92" s="4442"/>
      <c r="O92" s="4443"/>
      <c r="P92" s="4442"/>
      <c r="Q92" s="4442"/>
      <c r="R92" s="4443"/>
      <c r="S92" s="4442"/>
      <c r="T92" s="4442"/>
      <c r="U92" s="4443"/>
      <c r="V92" s="4442"/>
      <c r="W92" s="4442"/>
      <c r="X92" s="4443"/>
      <c r="Y92" s="4442"/>
      <c r="Z92" s="4442"/>
      <c r="AA92" s="4443"/>
      <c r="AB92" s="4442"/>
      <c r="AC92" s="4442"/>
      <c r="AD92" s="4443"/>
      <c r="AE92" s="4442"/>
      <c r="AF92" s="4442"/>
      <c r="AG92" s="4443"/>
      <c r="AH92" s="4442"/>
      <c r="AI92" s="4442"/>
      <c r="AJ92" s="4443"/>
      <c r="AK92" s="4442"/>
      <c r="AL92" s="4442"/>
      <c r="AM92" s="4443"/>
      <c r="AN92" s="4442"/>
      <c r="AO92" s="4442"/>
      <c r="AP92" s="4443"/>
      <c r="AQ92" s="4442"/>
      <c r="AR92" s="4442"/>
      <c r="AS92" s="4443"/>
      <c r="AT92" s="4442"/>
      <c r="AU92" s="4442"/>
      <c r="AV92" s="4443">
        <v>9</v>
      </c>
      <c r="AW92" s="4441">
        <v>9</v>
      </c>
      <c r="AX92" s="4442">
        <v>9</v>
      </c>
      <c r="AY92" s="4443">
        <v>9</v>
      </c>
      <c r="AZ92" s="4442">
        <v>9</v>
      </c>
      <c r="BA92" s="4442">
        <v>9</v>
      </c>
      <c r="BB92" s="4443">
        <v>13</v>
      </c>
      <c r="BC92" s="4442">
        <v>12</v>
      </c>
      <c r="BD92" s="4442">
        <v>12</v>
      </c>
      <c r="BE92" s="4443">
        <v>12</v>
      </c>
      <c r="BF92" s="4442">
        <v>12</v>
      </c>
      <c r="BG92" s="4442">
        <v>12</v>
      </c>
      <c r="BH92" s="4443">
        <v>1</v>
      </c>
      <c r="BI92" s="4442">
        <v>14</v>
      </c>
      <c r="BJ92" s="4442">
        <v>13</v>
      </c>
      <c r="BK92" s="4443">
        <v>12</v>
      </c>
    </row>
    <row r="93" spans="2:63" ht="15" customHeight="1" x14ac:dyDescent="0.3">
      <c r="B93" s="5845" t="s">
        <v>317</v>
      </c>
      <c r="C93" s="1425" t="s">
        <v>376</v>
      </c>
      <c r="D93" s="129">
        <v>62</v>
      </c>
      <c r="E93" s="130">
        <v>60</v>
      </c>
      <c r="F93" s="130">
        <v>56</v>
      </c>
      <c r="G93" s="129">
        <v>53</v>
      </c>
      <c r="H93" s="130">
        <v>50</v>
      </c>
      <c r="I93" s="130">
        <v>54</v>
      </c>
      <c r="J93" s="129">
        <v>54</v>
      </c>
      <c r="K93" s="130">
        <v>52</v>
      </c>
      <c r="L93" s="396">
        <v>52</v>
      </c>
      <c r="M93" s="130">
        <v>50</v>
      </c>
      <c r="N93" s="130">
        <v>48</v>
      </c>
      <c r="O93" s="396">
        <v>40</v>
      </c>
      <c r="P93" s="130">
        <v>33</v>
      </c>
      <c r="Q93" s="130">
        <v>43</v>
      </c>
      <c r="R93" s="396">
        <v>48</v>
      </c>
      <c r="S93" s="130">
        <v>49</v>
      </c>
      <c r="T93" s="130">
        <v>47</v>
      </c>
      <c r="U93" s="396">
        <v>49</v>
      </c>
      <c r="V93" s="130">
        <v>63</v>
      </c>
      <c r="W93" s="130">
        <v>62</v>
      </c>
      <c r="X93" s="396">
        <v>65</v>
      </c>
      <c r="Y93" s="130">
        <v>67</v>
      </c>
      <c r="Z93" s="130">
        <v>66</v>
      </c>
      <c r="AA93" s="396">
        <v>70</v>
      </c>
      <c r="AB93" s="130">
        <v>65</v>
      </c>
      <c r="AC93" s="130">
        <v>59</v>
      </c>
      <c r="AD93" s="396">
        <v>66</v>
      </c>
      <c r="AE93" s="130">
        <v>60</v>
      </c>
      <c r="AF93" s="130">
        <v>54</v>
      </c>
      <c r="AG93" s="396">
        <v>65</v>
      </c>
      <c r="AH93" s="130">
        <v>68</v>
      </c>
      <c r="AI93" s="130">
        <v>65</v>
      </c>
      <c r="AJ93" s="396">
        <v>64</v>
      </c>
      <c r="AK93" s="130">
        <v>55</v>
      </c>
      <c r="AL93" s="130">
        <v>46</v>
      </c>
      <c r="AM93" s="396">
        <v>67</v>
      </c>
      <c r="AN93" s="130">
        <v>62</v>
      </c>
      <c r="AO93" s="130">
        <v>57</v>
      </c>
      <c r="AP93" s="396">
        <v>53</v>
      </c>
      <c r="AQ93" s="130">
        <v>50</v>
      </c>
      <c r="AR93" s="130">
        <v>42</v>
      </c>
      <c r="AS93" s="396">
        <v>62</v>
      </c>
      <c r="AT93" s="130">
        <v>49</v>
      </c>
      <c r="AU93" s="130">
        <v>50</v>
      </c>
      <c r="AV93" s="396">
        <v>46</v>
      </c>
      <c r="AW93" s="129">
        <v>45</v>
      </c>
      <c r="AX93" s="130">
        <v>42</v>
      </c>
      <c r="AY93" s="396">
        <v>48</v>
      </c>
      <c r="AZ93" s="130">
        <v>56</v>
      </c>
      <c r="BA93" s="130">
        <v>45</v>
      </c>
      <c r="BB93" s="396">
        <v>41</v>
      </c>
      <c r="BC93" s="130">
        <v>40</v>
      </c>
      <c r="BD93" s="130">
        <v>42</v>
      </c>
      <c r="BE93" s="396">
        <v>47</v>
      </c>
      <c r="BF93" s="130">
        <v>44</v>
      </c>
      <c r="BG93" s="130">
        <v>43</v>
      </c>
      <c r="BH93" s="396">
        <v>36</v>
      </c>
      <c r="BI93" s="130">
        <v>42</v>
      </c>
      <c r="BJ93" s="130">
        <v>42</v>
      </c>
      <c r="BK93" s="396">
        <v>49</v>
      </c>
    </row>
    <row r="94" spans="2:63" ht="15" customHeight="1" x14ac:dyDescent="0.3">
      <c r="B94" s="5846"/>
      <c r="C94" s="1425" t="s">
        <v>377</v>
      </c>
      <c r="D94" s="129">
        <v>71</v>
      </c>
      <c r="E94" s="130">
        <v>70</v>
      </c>
      <c r="F94" s="130">
        <v>84</v>
      </c>
      <c r="G94" s="129">
        <v>71</v>
      </c>
      <c r="H94" s="130">
        <v>97</v>
      </c>
      <c r="I94" s="130">
        <v>87</v>
      </c>
      <c r="J94" s="129">
        <v>83</v>
      </c>
      <c r="K94" s="130">
        <v>83</v>
      </c>
      <c r="L94" s="396">
        <v>81</v>
      </c>
      <c r="M94" s="130">
        <v>81</v>
      </c>
      <c r="N94" s="130">
        <v>77</v>
      </c>
      <c r="O94" s="396">
        <v>78</v>
      </c>
      <c r="P94" s="130">
        <v>62</v>
      </c>
      <c r="Q94" s="130">
        <v>60</v>
      </c>
      <c r="R94" s="396">
        <v>53</v>
      </c>
      <c r="S94" s="130">
        <v>47</v>
      </c>
      <c r="T94" s="130">
        <v>39</v>
      </c>
      <c r="U94" s="396">
        <v>41</v>
      </c>
      <c r="V94" s="130">
        <v>41</v>
      </c>
      <c r="W94" s="130">
        <v>57</v>
      </c>
      <c r="X94" s="396">
        <v>52</v>
      </c>
      <c r="Y94" s="130">
        <v>54</v>
      </c>
      <c r="Z94" s="130">
        <v>53</v>
      </c>
      <c r="AA94" s="396">
        <v>69</v>
      </c>
      <c r="AB94" s="130">
        <v>84</v>
      </c>
      <c r="AC94" s="130">
        <v>76</v>
      </c>
      <c r="AD94" s="396">
        <v>74</v>
      </c>
      <c r="AE94" s="130">
        <v>71</v>
      </c>
      <c r="AF94" s="130">
        <v>71</v>
      </c>
      <c r="AG94" s="396">
        <v>77</v>
      </c>
      <c r="AH94" s="130">
        <v>75</v>
      </c>
      <c r="AI94" s="130">
        <v>69</v>
      </c>
      <c r="AJ94" s="396">
        <v>56</v>
      </c>
      <c r="AK94" s="130">
        <v>54</v>
      </c>
      <c r="AL94" s="130">
        <v>44</v>
      </c>
      <c r="AM94" s="396">
        <v>50</v>
      </c>
      <c r="AN94" s="130">
        <v>40</v>
      </c>
      <c r="AO94" s="130">
        <v>37</v>
      </c>
      <c r="AP94" s="396">
        <v>41</v>
      </c>
      <c r="AQ94" s="130">
        <v>38</v>
      </c>
      <c r="AR94" s="130">
        <v>36</v>
      </c>
      <c r="AS94" s="396">
        <v>45</v>
      </c>
      <c r="AT94" s="130">
        <v>46</v>
      </c>
      <c r="AU94" s="130">
        <v>46</v>
      </c>
      <c r="AV94" s="396">
        <v>45</v>
      </c>
      <c r="AW94" s="129">
        <v>43</v>
      </c>
      <c r="AX94" s="130">
        <v>41</v>
      </c>
      <c r="AY94" s="396">
        <v>39</v>
      </c>
      <c r="AZ94" s="130">
        <v>34</v>
      </c>
      <c r="BA94" s="130">
        <v>47</v>
      </c>
      <c r="BB94" s="396">
        <v>45</v>
      </c>
      <c r="BC94" s="130">
        <v>45</v>
      </c>
      <c r="BD94" s="130">
        <v>46</v>
      </c>
      <c r="BE94" s="396">
        <v>59</v>
      </c>
      <c r="BF94" s="130">
        <v>46</v>
      </c>
      <c r="BG94" s="130">
        <v>46</v>
      </c>
      <c r="BH94" s="396">
        <v>47</v>
      </c>
      <c r="BI94" s="130">
        <v>61</v>
      </c>
      <c r="BJ94" s="130">
        <v>59</v>
      </c>
      <c r="BK94" s="396">
        <v>62</v>
      </c>
    </row>
    <row r="95" spans="2:63" ht="15" customHeight="1" x14ac:dyDescent="0.3">
      <c r="B95" s="5846"/>
      <c r="C95" s="1425" t="s">
        <v>378</v>
      </c>
      <c r="D95" s="129">
        <v>43</v>
      </c>
      <c r="E95" s="130">
        <v>40</v>
      </c>
      <c r="F95" s="130">
        <v>35</v>
      </c>
      <c r="G95" s="129">
        <v>32</v>
      </c>
      <c r="H95" s="130">
        <v>27</v>
      </c>
      <c r="I95" s="130">
        <v>11</v>
      </c>
      <c r="J95" s="129">
        <v>18</v>
      </c>
      <c r="K95" s="130">
        <v>15</v>
      </c>
      <c r="L95" s="396">
        <v>13</v>
      </c>
      <c r="M95" s="130">
        <v>25</v>
      </c>
      <c r="N95" s="130">
        <v>23</v>
      </c>
      <c r="O95" s="396">
        <v>19</v>
      </c>
      <c r="P95" s="130">
        <v>38</v>
      </c>
      <c r="Q95" s="130">
        <v>37</v>
      </c>
      <c r="R95" s="396">
        <v>36</v>
      </c>
      <c r="S95" s="130">
        <v>35</v>
      </c>
      <c r="T95" s="130">
        <v>28</v>
      </c>
      <c r="U95" s="396">
        <v>65</v>
      </c>
      <c r="V95" s="130">
        <v>60</v>
      </c>
      <c r="W95" s="130">
        <v>67</v>
      </c>
      <c r="X95" s="396">
        <v>90</v>
      </c>
      <c r="Y95" s="130">
        <v>81</v>
      </c>
      <c r="Z95" s="130">
        <v>77</v>
      </c>
      <c r="AA95" s="396">
        <v>111</v>
      </c>
      <c r="AB95" s="130">
        <v>97</v>
      </c>
      <c r="AC95" s="130">
        <v>94</v>
      </c>
      <c r="AD95" s="396">
        <v>120</v>
      </c>
      <c r="AE95" s="130">
        <v>111</v>
      </c>
      <c r="AF95" s="130">
        <v>106</v>
      </c>
      <c r="AG95" s="396">
        <v>117</v>
      </c>
      <c r="AH95" s="130">
        <v>117</v>
      </c>
      <c r="AI95" s="130">
        <v>106</v>
      </c>
      <c r="AJ95" s="396">
        <v>119</v>
      </c>
      <c r="AK95" s="130">
        <v>112</v>
      </c>
      <c r="AL95" s="130">
        <v>106</v>
      </c>
      <c r="AM95" s="396">
        <v>130</v>
      </c>
      <c r="AN95" s="130">
        <v>106</v>
      </c>
      <c r="AO95" s="130">
        <v>102</v>
      </c>
      <c r="AP95" s="396">
        <v>118</v>
      </c>
      <c r="AQ95" s="130">
        <v>114</v>
      </c>
      <c r="AR95" s="130">
        <v>108</v>
      </c>
      <c r="AS95" s="396">
        <v>119</v>
      </c>
      <c r="AT95" s="130">
        <v>104</v>
      </c>
      <c r="AU95" s="130">
        <v>99</v>
      </c>
      <c r="AV95" s="396">
        <v>111</v>
      </c>
      <c r="AW95" s="129">
        <v>105</v>
      </c>
      <c r="AX95" s="130">
        <v>104</v>
      </c>
      <c r="AY95" s="396">
        <v>124</v>
      </c>
      <c r="AZ95" s="130">
        <v>111</v>
      </c>
      <c r="BA95" s="130">
        <v>100</v>
      </c>
      <c r="BB95" s="396">
        <v>114</v>
      </c>
      <c r="BC95" s="130">
        <v>105</v>
      </c>
      <c r="BD95" s="130">
        <v>102</v>
      </c>
      <c r="BE95" s="396">
        <v>98</v>
      </c>
      <c r="BF95" s="130">
        <v>102</v>
      </c>
      <c r="BG95" s="130">
        <v>89</v>
      </c>
      <c r="BH95" s="396">
        <v>95</v>
      </c>
      <c r="BI95" s="130">
        <v>105</v>
      </c>
      <c r="BJ95" s="130">
        <v>100</v>
      </c>
      <c r="BK95" s="396">
        <v>109</v>
      </c>
    </row>
    <row r="96" spans="2:63" ht="15" customHeight="1" x14ac:dyDescent="0.3">
      <c r="B96" s="5846"/>
      <c r="C96" s="1425" t="s">
        <v>379</v>
      </c>
      <c r="D96" s="129">
        <v>48</v>
      </c>
      <c r="E96" s="130">
        <v>44</v>
      </c>
      <c r="F96" s="130">
        <v>43</v>
      </c>
      <c r="G96" s="129">
        <v>40</v>
      </c>
      <c r="H96" s="130">
        <v>40</v>
      </c>
      <c r="I96" s="130">
        <v>43</v>
      </c>
      <c r="J96" s="129">
        <v>41</v>
      </c>
      <c r="K96" s="130">
        <v>39</v>
      </c>
      <c r="L96" s="396">
        <v>38</v>
      </c>
      <c r="M96" s="130">
        <v>34</v>
      </c>
      <c r="N96" s="130">
        <v>34</v>
      </c>
      <c r="O96" s="396">
        <v>40</v>
      </c>
      <c r="P96" s="130">
        <v>36</v>
      </c>
      <c r="Q96" s="130">
        <v>35</v>
      </c>
      <c r="R96" s="396">
        <v>35</v>
      </c>
      <c r="S96" s="130">
        <v>37</v>
      </c>
      <c r="T96" s="130">
        <v>34</v>
      </c>
      <c r="U96" s="396">
        <v>48</v>
      </c>
      <c r="V96" s="130">
        <v>51</v>
      </c>
      <c r="W96" s="130">
        <v>49</v>
      </c>
      <c r="X96" s="396">
        <v>46</v>
      </c>
      <c r="Y96" s="130">
        <v>50</v>
      </c>
      <c r="Z96" s="130">
        <v>49</v>
      </c>
      <c r="AA96" s="396">
        <v>52</v>
      </c>
      <c r="AB96" s="130">
        <v>52</v>
      </c>
      <c r="AC96" s="130">
        <v>48</v>
      </c>
      <c r="AD96" s="396">
        <v>44</v>
      </c>
      <c r="AE96" s="130">
        <v>39</v>
      </c>
      <c r="AF96" s="130">
        <v>36</v>
      </c>
      <c r="AG96" s="396">
        <v>53</v>
      </c>
      <c r="AH96" s="130">
        <v>52</v>
      </c>
      <c r="AI96" s="130">
        <v>51</v>
      </c>
      <c r="AJ96" s="396">
        <v>46</v>
      </c>
      <c r="AK96" s="130">
        <v>43</v>
      </c>
      <c r="AL96" s="130">
        <v>43</v>
      </c>
      <c r="AM96" s="396">
        <v>70</v>
      </c>
      <c r="AN96" s="130">
        <v>60</v>
      </c>
      <c r="AO96" s="130">
        <v>59</v>
      </c>
      <c r="AP96" s="396">
        <v>55</v>
      </c>
      <c r="AQ96" s="130">
        <v>55</v>
      </c>
      <c r="AR96" s="130">
        <v>54</v>
      </c>
      <c r="AS96" s="396">
        <v>56</v>
      </c>
      <c r="AT96" s="130">
        <v>48</v>
      </c>
      <c r="AU96" s="130">
        <v>47</v>
      </c>
      <c r="AV96" s="396">
        <v>45</v>
      </c>
      <c r="AW96" s="129">
        <v>43</v>
      </c>
      <c r="AX96" s="130">
        <v>43</v>
      </c>
      <c r="AY96" s="396">
        <v>56</v>
      </c>
      <c r="AZ96" s="130">
        <v>38</v>
      </c>
      <c r="BA96" s="130">
        <v>41</v>
      </c>
      <c r="BB96" s="396">
        <v>38</v>
      </c>
      <c r="BC96" s="130">
        <v>37</v>
      </c>
      <c r="BD96" s="130">
        <v>35</v>
      </c>
      <c r="BE96" s="396">
        <v>53</v>
      </c>
      <c r="BF96" s="130">
        <v>38</v>
      </c>
      <c r="BG96" s="130">
        <v>33</v>
      </c>
      <c r="BH96" s="396">
        <v>38</v>
      </c>
      <c r="BI96" s="130">
        <v>38</v>
      </c>
      <c r="BJ96" s="130">
        <v>37</v>
      </c>
      <c r="BK96" s="396">
        <v>42</v>
      </c>
    </row>
    <row r="97" spans="2:63" ht="15" customHeight="1" x14ac:dyDescent="0.3">
      <c r="B97" s="5846"/>
      <c r="C97" s="1401" t="s">
        <v>335</v>
      </c>
      <c r="D97" s="129">
        <v>3</v>
      </c>
      <c r="E97" s="130">
        <v>7</v>
      </c>
      <c r="F97" s="130">
        <v>2</v>
      </c>
      <c r="G97" s="129">
        <v>2</v>
      </c>
      <c r="H97" s="130">
        <v>1</v>
      </c>
      <c r="I97" s="130">
        <v>16</v>
      </c>
      <c r="J97" s="129">
        <v>27</v>
      </c>
      <c r="K97" s="130">
        <v>5</v>
      </c>
      <c r="L97" s="396">
        <v>4</v>
      </c>
      <c r="M97" s="130">
        <v>8</v>
      </c>
      <c r="N97" s="130">
        <v>3</v>
      </c>
      <c r="O97" s="396">
        <v>1</v>
      </c>
      <c r="P97" s="130">
        <v>11</v>
      </c>
      <c r="Q97" s="130"/>
      <c r="R97" s="396"/>
      <c r="S97" s="130">
        <v>19</v>
      </c>
      <c r="T97" s="130"/>
      <c r="U97" s="396"/>
      <c r="V97" s="130">
        <v>32</v>
      </c>
      <c r="W97" s="130">
        <v>1</v>
      </c>
      <c r="X97" s="396"/>
      <c r="Y97" s="130">
        <v>41</v>
      </c>
      <c r="Z97" s="130"/>
      <c r="AA97" s="396" t="s">
        <v>122</v>
      </c>
      <c r="AB97" s="130">
        <v>47</v>
      </c>
      <c r="AC97" s="130">
        <v>44</v>
      </c>
      <c r="AD97" s="396">
        <v>44</v>
      </c>
      <c r="AE97" s="130">
        <v>56</v>
      </c>
      <c r="AF97" s="130">
        <v>58</v>
      </c>
      <c r="AG97" s="396">
        <v>54</v>
      </c>
      <c r="AH97" s="130">
        <v>65</v>
      </c>
      <c r="AI97" s="130">
        <v>66</v>
      </c>
      <c r="AJ97" s="396">
        <v>64</v>
      </c>
      <c r="AK97" s="130">
        <v>73</v>
      </c>
      <c r="AL97" s="130">
        <v>66</v>
      </c>
      <c r="AM97" s="396">
        <v>68</v>
      </c>
      <c r="AN97" s="130">
        <v>77</v>
      </c>
      <c r="AO97" s="130">
        <v>77</v>
      </c>
      <c r="AP97" s="396">
        <v>73</v>
      </c>
      <c r="AQ97" s="129">
        <v>82</v>
      </c>
      <c r="AR97" s="130">
        <v>79</v>
      </c>
      <c r="AS97" s="396">
        <v>75</v>
      </c>
      <c r="AT97" s="129">
        <v>78</v>
      </c>
      <c r="AU97" s="130">
        <v>81</v>
      </c>
      <c r="AV97" s="396">
        <v>63</v>
      </c>
      <c r="AW97" s="129">
        <v>58</v>
      </c>
      <c r="AX97" s="130">
        <v>8</v>
      </c>
      <c r="AY97" s="396">
        <v>10</v>
      </c>
      <c r="AZ97" s="129">
        <v>9</v>
      </c>
      <c r="BA97" s="130">
        <v>42</v>
      </c>
      <c r="BB97" s="396">
        <v>33</v>
      </c>
      <c r="BC97" s="129">
        <v>42</v>
      </c>
      <c r="BD97" s="130">
        <v>30</v>
      </c>
      <c r="BE97" s="396">
        <v>30</v>
      </c>
      <c r="BF97" s="129">
        <v>41</v>
      </c>
      <c r="BG97" s="130">
        <v>47</v>
      </c>
      <c r="BH97" s="396">
        <v>35</v>
      </c>
      <c r="BI97" s="129">
        <v>53</v>
      </c>
      <c r="BJ97" s="130">
        <v>51</v>
      </c>
      <c r="BK97" s="396">
        <v>47</v>
      </c>
    </row>
    <row r="98" spans="2:63" ht="15" customHeight="1" x14ac:dyDescent="0.3">
      <c r="B98" s="5846"/>
      <c r="C98" s="1390" t="s">
        <v>334</v>
      </c>
      <c r="D98" s="129"/>
      <c r="E98" s="130"/>
      <c r="F98" s="130"/>
      <c r="G98" s="129"/>
      <c r="H98" s="130"/>
      <c r="I98" s="130"/>
      <c r="J98" s="129"/>
      <c r="K98" s="130"/>
      <c r="L98" s="396"/>
      <c r="M98" s="130"/>
      <c r="N98" s="130"/>
      <c r="O98" s="396"/>
      <c r="P98" s="130"/>
      <c r="Q98" s="130"/>
      <c r="R98" s="396"/>
      <c r="S98" s="130"/>
      <c r="T98" s="130"/>
      <c r="U98" s="396"/>
      <c r="V98" s="130"/>
      <c r="W98" s="130"/>
      <c r="X98" s="396"/>
      <c r="Y98" s="130"/>
      <c r="Z98" s="130"/>
      <c r="AA98" s="396"/>
      <c r="AB98" s="130"/>
      <c r="AC98" s="130"/>
      <c r="AD98" s="396"/>
      <c r="AE98" s="130"/>
      <c r="AF98" s="130"/>
      <c r="AG98" s="396"/>
      <c r="AH98" s="130"/>
      <c r="AI98" s="130"/>
      <c r="AJ98" s="396"/>
      <c r="AK98" s="130"/>
      <c r="AL98" s="130"/>
      <c r="AM98" s="396"/>
      <c r="AN98" s="130"/>
      <c r="AO98" s="130"/>
      <c r="AP98" s="396"/>
      <c r="AQ98" s="130"/>
      <c r="AR98" s="130"/>
      <c r="AS98" s="396"/>
      <c r="AT98" s="130">
        <v>7</v>
      </c>
      <c r="AU98" s="130">
        <v>7</v>
      </c>
      <c r="AV98" s="396">
        <v>7</v>
      </c>
      <c r="AW98" s="129">
        <v>8</v>
      </c>
      <c r="AX98" s="130">
        <v>14</v>
      </c>
      <c r="AY98" s="396">
        <v>10</v>
      </c>
      <c r="AZ98" s="130">
        <v>16</v>
      </c>
      <c r="BA98" s="130">
        <v>16</v>
      </c>
      <c r="BB98" s="396">
        <v>15</v>
      </c>
      <c r="BC98" s="130">
        <v>17</v>
      </c>
      <c r="BD98" s="130">
        <v>16</v>
      </c>
      <c r="BE98" s="396">
        <v>15</v>
      </c>
      <c r="BF98" s="130">
        <v>21</v>
      </c>
      <c r="BG98" s="130">
        <v>16</v>
      </c>
      <c r="BH98" s="396">
        <v>17</v>
      </c>
      <c r="BI98" s="130">
        <v>18</v>
      </c>
      <c r="BJ98" s="130">
        <v>18</v>
      </c>
      <c r="BK98" s="396">
        <v>17</v>
      </c>
    </row>
    <row r="99" spans="2:63" ht="15" customHeight="1" x14ac:dyDescent="0.3">
      <c r="B99" s="5847"/>
      <c r="C99" s="1390" t="s">
        <v>448</v>
      </c>
      <c r="D99" s="129"/>
      <c r="E99" s="130"/>
      <c r="F99" s="130"/>
      <c r="G99" s="129"/>
      <c r="H99" s="130"/>
      <c r="I99" s="130"/>
      <c r="J99" s="129"/>
      <c r="K99" s="130"/>
      <c r="L99" s="396"/>
      <c r="M99" s="130"/>
      <c r="N99" s="130"/>
      <c r="O99" s="396"/>
      <c r="P99" s="130"/>
      <c r="Q99" s="130"/>
      <c r="R99" s="396"/>
      <c r="S99" s="130"/>
      <c r="T99" s="130"/>
      <c r="U99" s="396"/>
      <c r="V99" s="130"/>
      <c r="W99" s="130"/>
      <c r="X99" s="396"/>
      <c r="Y99" s="130"/>
      <c r="Z99" s="130"/>
      <c r="AA99" s="396"/>
      <c r="AB99" s="130"/>
      <c r="AC99" s="130"/>
      <c r="AD99" s="396"/>
      <c r="AE99" s="130"/>
      <c r="AF99" s="130"/>
      <c r="AG99" s="396"/>
      <c r="AH99" s="130"/>
      <c r="AI99" s="130"/>
      <c r="AJ99" s="396"/>
      <c r="AK99" s="130"/>
      <c r="AL99" s="130"/>
      <c r="AM99" s="396"/>
      <c r="AN99" s="130"/>
      <c r="AO99" s="130"/>
      <c r="AP99" s="396"/>
      <c r="AQ99" s="130"/>
      <c r="AR99" s="130"/>
      <c r="AS99" s="396"/>
      <c r="AT99" s="130"/>
      <c r="AU99" s="130"/>
      <c r="AV99" s="396">
        <v>3</v>
      </c>
      <c r="AW99" s="129">
        <v>3</v>
      </c>
      <c r="AX99" s="130">
        <v>3</v>
      </c>
      <c r="AY99" s="396">
        <v>3</v>
      </c>
      <c r="AZ99" s="130">
        <v>3</v>
      </c>
      <c r="BA99" s="130">
        <v>3</v>
      </c>
      <c r="BB99" s="396">
        <v>11</v>
      </c>
      <c r="BC99" s="130">
        <v>14</v>
      </c>
      <c r="BD99" s="130">
        <v>14</v>
      </c>
      <c r="BE99" s="396">
        <v>14</v>
      </c>
      <c r="BF99" s="130">
        <v>14</v>
      </c>
      <c r="BG99" s="130">
        <v>14</v>
      </c>
      <c r="BH99" s="396">
        <v>15</v>
      </c>
      <c r="BI99" s="130">
        <v>21</v>
      </c>
      <c r="BJ99" s="130">
        <v>19</v>
      </c>
      <c r="BK99" s="396">
        <v>18</v>
      </c>
    </row>
    <row r="100" spans="2:63" ht="15" customHeight="1" x14ac:dyDescent="0.25">
      <c r="B100" s="1424"/>
      <c r="C100" s="1391" t="s">
        <v>64</v>
      </c>
      <c r="D100" s="1392">
        <f t="shared" ref="D100:AS100" si="29">SUM(D83:D97)</f>
        <v>348</v>
      </c>
      <c r="E100" s="1393">
        <f t="shared" si="29"/>
        <v>316</v>
      </c>
      <c r="F100" s="1393">
        <f t="shared" si="29"/>
        <v>370</v>
      </c>
      <c r="G100" s="1392">
        <f t="shared" si="29"/>
        <v>341</v>
      </c>
      <c r="H100" s="1393">
        <f t="shared" si="29"/>
        <v>334</v>
      </c>
      <c r="I100" s="1393">
        <f t="shared" si="29"/>
        <v>382</v>
      </c>
      <c r="J100" s="1392">
        <f t="shared" si="29"/>
        <v>435</v>
      </c>
      <c r="K100" s="1393">
        <f t="shared" si="29"/>
        <v>374</v>
      </c>
      <c r="L100" s="1394">
        <f t="shared" si="29"/>
        <v>310</v>
      </c>
      <c r="M100" s="1393">
        <f t="shared" si="29"/>
        <v>401</v>
      </c>
      <c r="N100" s="1393">
        <f t="shared" si="29"/>
        <v>373</v>
      </c>
      <c r="O100" s="1394">
        <f t="shared" si="29"/>
        <v>364</v>
      </c>
      <c r="P100" s="1393">
        <f t="shared" si="29"/>
        <v>457</v>
      </c>
      <c r="Q100" s="1393">
        <f t="shared" si="29"/>
        <v>407</v>
      </c>
      <c r="R100" s="1394">
        <f t="shared" si="29"/>
        <v>419</v>
      </c>
      <c r="S100" s="1393">
        <f t="shared" si="29"/>
        <v>454</v>
      </c>
      <c r="T100" s="1393">
        <f t="shared" si="29"/>
        <v>381</v>
      </c>
      <c r="U100" s="1394">
        <f t="shared" si="29"/>
        <v>554</v>
      </c>
      <c r="V100" s="1393">
        <f t="shared" si="29"/>
        <v>484</v>
      </c>
      <c r="W100" s="1393">
        <f t="shared" si="29"/>
        <v>547</v>
      </c>
      <c r="X100" s="1394">
        <f t="shared" si="29"/>
        <v>570</v>
      </c>
      <c r="Y100" s="1393">
        <f t="shared" si="29"/>
        <v>575</v>
      </c>
      <c r="Z100" s="1393">
        <f t="shared" si="29"/>
        <v>425</v>
      </c>
      <c r="AA100" s="1394">
        <f t="shared" si="29"/>
        <v>655</v>
      </c>
      <c r="AB100" s="1393">
        <f t="shared" si="29"/>
        <v>679</v>
      </c>
      <c r="AC100" s="1393">
        <f t="shared" si="29"/>
        <v>590</v>
      </c>
      <c r="AD100" s="1394">
        <f t="shared" si="29"/>
        <v>630</v>
      </c>
      <c r="AE100" s="1393">
        <f t="shared" si="29"/>
        <v>599</v>
      </c>
      <c r="AF100" s="1393">
        <f t="shared" si="29"/>
        <v>558</v>
      </c>
      <c r="AG100" s="1394">
        <f t="shared" si="29"/>
        <v>602</v>
      </c>
      <c r="AH100" s="1393">
        <f t="shared" si="29"/>
        <v>595</v>
      </c>
      <c r="AI100" s="1393">
        <f t="shared" si="29"/>
        <v>542</v>
      </c>
      <c r="AJ100" s="1394">
        <f t="shared" si="29"/>
        <v>555</v>
      </c>
      <c r="AK100" s="1393">
        <f t="shared" si="29"/>
        <v>534</v>
      </c>
      <c r="AL100" s="1393">
        <f t="shared" si="29"/>
        <v>498</v>
      </c>
      <c r="AM100" s="1394">
        <f t="shared" si="29"/>
        <v>604</v>
      </c>
      <c r="AN100" s="1393">
        <f t="shared" si="29"/>
        <v>537</v>
      </c>
      <c r="AO100" s="1393">
        <f t="shared" si="29"/>
        <v>516</v>
      </c>
      <c r="AP100" s="1394">
        <f t="shared" si="29"/>
        <v>571</v>
      </c>
      <c r="AQ100" s="1393">
        <f t="shared" si="29"/>
        <v>531</v>
      </c>
      <c r="AR100" s="1393">
        <f t="shared" si="29"/>
        <v>486</v>
      </c>
      <c r="AS100" s="1394">
        <f t="shared" si="29"/>
        <v>531</v>
      </c>
      <c r="AT100" s="1393">
        <f>SUM(AT83:AT98)</f>
        <v>488</v>
      </c>
      <c r="AU100" s="1393">
        <f>SUM(AU83:AU98)</f>
        <v>550</v>
      </c>
      <c r="AV100" s="1394">
        <f t="shared" ref="AV100:BB100" si="30">SUM(AV83:AV99)</f>
        <v>540</v>
      </c>
      <c r="AW100" s="1392">
        <f t="shared" si="30"/>
        <v>518</v>
      </c>
      <c r="AX100" s="1393">
        <f t="shared" si="30"/>
        <v>441</v>
      </c>
      <c r="AY100" s="1394">
        <f t="shared" si="30"/>
        <v>521</v>
      </c>
      <c r="AZ100" s="1393">
        <f t="shared" si="30"/>
        <v>464</v>
      </c>
      <c r="BA100" s="1393">
        <f t="shared" si="30"/>
        <v>480</v>
      </c>
      <c r="BB100" s="1394">
        <f t="shared" si="30"/>
        <v>485</v>
      </c>
      <c r="BC100" s="1393">
        <f t="shared" ref="BC100:BH100" si="31">SUM(BC83:BC99)</f>
        <v>471</v>
      </c>
      <c r="BD100" s="1393">
        <f t="shared" si="31"/>
        <v>490</v>
      </c>
      <c r="BE100" s="1394">
        <f t="shared" si="31"/>
        <v>503</v>
      </c>
      <c r="BF100" s="1393">
        <f t="shared" si="31"/>
        <v>527</v>
      </c>
      <c r="BG100" s="1393">
        <f t="shared" si="31"/>
        <v>430</v>
      </c>
      <c r="BH100" s="1394">
        <f t="shared" si="31"/>
        <v>409</v>
      </c>
      <c r="BI100" s="1393">
        <f t="shared" ref="BI100:BK100" si="32">SUM(BI83:BI99)</f>
        <v>555</v>
      </c>
      <c r="BJ100" s="1393">
        <f t="shared" si="32"/>
        <v>524</v>
      </c>
      <c r="BK100" s="1394">
        <f t="shared" si="32"/>
        <v>544</v>
      </c>
    </row>
    <row r="101" spans="2:63" ht="15" customHeight="1" x14ac:dyDescent="0.3">
      <c r="B101" s="5845" t="s">
        <v>308</v>
      </c>
      <c r="C101" s="1426" t="s">
        <v>381</v>
      </c>
      <c r="D101" s="1398">
        <v>7</v>
      </c>
      <c r="E101" s="1399">
        <v>9</v>
      </c>
      <c r="F101" s="1399">
        <v>6</v>
      </c>
      <c r="G101" s="1398">
        <v>5</v>
      </c>
      <c r="H101" s="1399">
        <v>6</v>
      </c>
      <c r="I101" s="1399">
        <v>6</v>
      </c>
      <c r="J101" s="1398">
        <v>6</v>
      </c>
      <c r="K101" s="1399">
        <v>9</v>
      </c>
      <c r="L101" s="1400">
        <v>13</v>
      </c>
      <c r="M101" s="1399">
        <v>21</v>
      </c>
      <c r="N101" s="1399">
        <v>24</v>
      </c>
      <c r="O101" s="1400">
        <v>25</v>
      </c>
      <c r="P101" s="1399">
        <v>20</v>
      </c>
      <c r="Q101" s="1399">
        <v>18</v>
      </c>
      <c r="R101" s="1400">
        <v>25</v>
      </c>
      <c r="S101" s="1399">
        <v>22</v>
      </c>
      <c r="T101" s="1399">
        <v>24</v>
      </c>
      <c r="U101" s="1400">
        <v>20</v>
      </c>
      <c r="V101" s="1399">
        <v>18</v>
      </c>
      <c r="W101" s="1399">
        <v>20</v>
      </c>
      <c r="X101" s="1400">
        <v>19</v>
      </c>
      <c r="Y101" s="1399">
        <v>24</v>
      </c>
      <c r="Z101" s="1399">
        <v>24</v>
      </c>
      <c r="AA101" s="1400">
        <v>27</v>
      </c>
      <c r="AB101" s="1399">
        <v>26</v>
      </c>
      <c r="AC101" s="1399">
        <v>24</v>
      </c>
      <c r="AD101" s="1400">
        <v>26</v>
      </c>
      <c r="AE101" s="1399">
        <v>26</v>
      </c>
      <c r="AF101" s="1399">
        <v>35</v>
      </c>
      <c r="AG101" s="1400">
        <v>31</v>
      </c>
      <c r="AH101" s="1399">
        <v>26</v>
      </c>
      <c r="AI101" s="1399">
        <v>22</v>
      </c>
      <c r="AJ101" s="1400">
        <v>16</v>
      </c>
      <c r="AK101" s="1399">
        <v>15</v>
      </c>
      <c r="AL101" s="1399">
        <v>15</v>
      </c>
      <c r="AM101" s="1400">
        <v>20</v>
      </c>
      <c r="AN101" s="1399">
        <v>17</v>
      </c>
      <c r="AO101" s="1399">
        <v>25</v>
      </c>
      <c r="AP101" s="1400">
        <v>10</v>
      </c>
      <c r="AQ101" s="1399">
        <v>22</v>
      </c>
      <c r="AR101" s="1399">
        <v>17</v>
      </c>
      <c r="AS101" s="1400">
        <v>18</v>
      </c>
      <c r="AT101" s="1399">
        <v>14</v>
      </c>
      <c r="AU101" s="1399">
        <v>19</v>
      </c>
      <c r="AV101" s="1400">
        <v>15</v>
      </c>
      <c r="AW101" s="1398">
        <v>11</v>
      </c>
      <c r="AX101" s="1399">
        <v>9</v>
      </c>
      <c r="AY101" s="1400">
        <v>10</v>
      </c>
      <c r="AZ101" s="1399">
        <v>10</v>
      </c>
      <c r="BA101" s="1399">
        <v>11</v>
      </c>
      <c r="BB101" s="1400">
        <v>9</v>
      </c>
      <c r="BC101" s="1399">
        <v>8</v>
      </c>
      <c r="BD101" s="1399">
        <v>5</v>
      </c>
      <c r="BE101" s="1400">
        <v>4</v>
      </c>
      <c r="BF101" s="1399">
        <v>6</v>
      </c>
      <c r="BG101" s="1399">
        <v>3</v>
      </c>
      <c r="BH101" s="1400">
        <v>2</v>
      </c>
      <c r="BI101" s="1399">
        <v>6</v>
      </c>
      <c r="BJ101" s="1399">
        <v>4</v>
      </c>
      <c r="BK101" s="1400">
        <v>5</v>
      </c>
    </row>
    <row r="102" spans="2:63" ht="15" customHeight="1" x14ac:dyDescent="0.3">
      <c r="B102" s="5846"/>
      <c r="C102" s="1402" t="s">
        <v>382</v>
      </c>
      <c r="D102" s="129">
        <v>22</v>
      </c>
      <c r="E102" s="130">
        <v>20</v>
      </c>
      <c r="F102" s="130">
        <v>25</v>
      </c>
      <c r="G102" s="129">
        <v>22</v>
      </c>
      <c r="H102" s="130">
        <v>23</v>
      </c>
      <c r="I102" s="130">
        <v>34</v>
      </c>
      <c r="J102" s="129">
        <v>26</v>
      </c>
      <c r="K102" s="130">
        <v>24</v>
      </c>
      <c r="L102" s="396">
        <v>22</v>
      </c>
      <c r="M102" s="130">
        <v>19</v>
      </c>
      <c r="N102" s="130">
        <v>18</v>
      </c>
      <c r="O102" s="396">
        <v>13</v>
      </c>
      <c r="P102" s="130">
        <v>14</v>
      </c>
      <c r="Q102" s="130">
        <v>27</v>
      </c>
      <c r="R102" s="396">
        <v>22</v>
      </c>
      <c r="S102" s="130">
        <v>18</v>
      </c>
      <c r="T102" s="130">
        <v>14</v>
      </c>
      <c r="U102" s="396">
        <v>24</v>
      </c>
      <c r="V102" s="130">
        <v>23</v>
      </c>
      <c r="W102" s="130">
        <v>19</v>
      </c>
      <c r="X102" s="396">
        <v>20</v>
      </c>
      <c r="Y102" s="130">
        <v>18</v>
      </c>
      <c r="Z102" s="130">
        <v>17</v>
      </c>
      <c r="AA102" s="396">
        <v>19</v>
      </c>
      <c r="AB102" s="130">
        <v>12</v>
      </c>
      <c r="AC102" s="130">
        <v>7</v>
      </c>
      <c r="AD102" s="396">
        <v>15</v>
      </c>
      <c r="AE102" s="130">
        <v>12</v>
      </c>
      <c r="AF102" s="130">
        <v>12</v>
      </c>
      <c r="AG102" s="396">
        <v>22</v>
      </c>
      <c r="AH102" s="130">
        <v>20</v>
      </c>
      <c r="AI102" s="130">
        <v>17</v>
      </c>
      <c r="AJ102" s="396">
        <v>25</v>
      </c>
      <c r="AK102" s="130">
        <v>24</v>
      </c>
      <c r="AL102" s="130">
        <v>20</v>
      </c>
      <c r="AM102" s="396">
        <v>21</v>
      </c>
      <c r="AN102" s="130">
        <v>22</v>
      </c>
      <c r="AO102" s="130">
        <v>16</v>
      </c>
      <c r="AP102" s="396">
        <v>25</v>
      </c>
      <c r="AQ102" s="130">
        <v>8</v>
      </c>
      <c r="AR102" s="130">
        <v>7</v>
      </c>
      <c r="AS102" s="396">
        <v>8</v>
      </c>
      <c r="AT102" s="130">
        <v>6</v>
      </c>
      <c r="AU102" s="130">
        <v>7</v>
      </c>
      <c r="AV102" s="396">
        <v>12</v>
      </c>
      <c r="AW102" s="129">
        <v>10</v>
      </c>
      <c r="AX102" s="130">
        <v>10</v>
      </c>
      <c r="AY102" s="396">
        <v>11</v>
      </c>
      <c r="AZ102" s="130">
        <v>5</v>
      </c>
      <c r="BA102" s="130">
        <v>4</v>
      </c>
      <c r="BB102" s="396">
        <v>9</v>
      </c>
      <c r="BC102" s="130">
        <v>9</v>
      </c>
      <c r="BD102" s="130">
        <v>6</v>
      </c>
      <c r="BE102" s="396">
        <v>5</v>
      </c>
      <c r="BF102" s="130">
        <v>10</v>
      </c>
      <c r="BG102" s="130">
        <v>10</v>
      </c>
      <c r="BH102" s="396">
        <v>7</v>
      </c>
      <c r="BI102" s="130">
        <v>3</v>
      </c>
      <c r="BJ102" s="130">
        <v>2</v>
      </c>
      <c r="BK102" s="396">
        <v>3</v>
      </c>
    </row>
    <row r="103" spans="2:63" ht="15" customHeight="1" x14ac:dyDescent="0.3">
      <c r="B103" s="5847"/>
      <c r="C103" s="1427" t="s">
        <v>442</v>
      </c>
      <c r="D103" s="129"/>
      <c r="E103" s="130"/>
      <c r="F103" s="130"/>
      <c r="G103" s="129"/>
      <c r="H103" s="130"/>
      <c r="I103" s="130"/>
      <c r="J103" s="129"/>
      <c r="K103" s="130"/>
      <c r="L103" s="396"/>
      <c r="M103" s="130"/>
      <c r="N103" s="130"/>
      <c r="O103" s="396"/>
      <c r="P103" s="130"/>
      <c r="Q103" s="130"/>
      <c r="R103" s="396"/>
      <c r="S103" s="130"/>
      <c r="T103" s="130"/>
      <c r="U103" s="396"/>
      <c r="V103" s="130"/>
      <c r="W103" s="130"/>
      <c r="X103" s="396"/>
      <c r="Y103" s="130"/>
      <c r="Z103" s="130"/>
      <c r="AA103" s="396"/>
      <c r="AB103" s="130"/>
      <c r="AC103" s="130"/>
      <c r="AD103" s="396"/>
      <c r="AE103" s="130"/>
      <c r="AF103" s="130"/>
      <c r="AG103" s="396"/>
      <c r="AH103" s="130"/>
      <c r="AI103" s="130"/>
      <c r="AJ103" s="396"/>
      <c r="AK103" s="130"/>
      <c r="AL103" s="130"/>
      <c r="AM103" s="396"/>
      <c r="AN103" s="130"/>
      <c r="AO103" s="130"/>
      <c r="AP103" s="396"/>
      <c r="AQ103" s="130"/>
      <c r="AR103" s="130">
        <v>2</v>
      </c>
      <c r="AS103" s="396"/>
      <c r="AT103" s="130"/>
      <c r="AU103" s="130"/>
      <c r="AV103" s="396"/>
      <c r="AW103" s="129"/>
      <c r="AX103" s="130"/>
      <c r="AY103" s="396"/>
      <c r="AZ103" s="130"/>
      <c r="BA103" s="130"/>
      <c r="BB103" s="396"/>
      <c r="BC103" s="130"/>
      <c r="BD103" s="130"/>
      <c r="BE103" s="396"/>
      <c r="BF103" s="130"/>
      <c r="BG103" s="130"/>
      <c r="BH103" s="396"/>
      <c r="BI103" s="130"/>
      <c r="BJ103" s="130"/>
      <c r="BK103" s="396"/>
    </row>
    <row r="104" spans="2:63" ht="15" customHeight="1" x14ac:dyDescent="0.3">
      <c r="B104" s="5834" t="s">
        <v>310</v>
      </c>
      <c r="C104" s="4448" t="s">
        <v>387</v>
      </c>
      <c r="D104" s="4441">
        <v>38</v>
      </c>
      <c r="E104" s="4442">
        <v>38</v>
      </c>
      <c r="F104" s="4442">
        <v>54</v>
      </c>
      <c r="G104" s="4441">
        <v>47</v>
      </c>
      <c r="H104" s="4442">
        <v>47</v>
      </c>
      <c r="I104" s="4442">
        <v>35</v>
      </c>
      <c r="J104" s="4441">
        <v>30</v>
      </c>
      <c r="K104" s="4442">
        <v>28</v>
      </c>
      <c r="L104" s="4443">
        <v>39</v>
      </c>
      <c r="M104" s="4442">
        <v>30</v>
      </c>
      <c r="N104" s="4442">
        <v>30</v>
      </c>
      <c r="O104" s="4443">
        <v>44</v>
      </c>
      <c r="P104" s="4442">
        <v>46</v>
      </c>
      <c r="Q104" s="4442">
        <v>38</v>
      </c>
      <c r="R104" s="4443">
        <v>61</v>
      </c>
      <c r="S104" s="4442">
        <v>43</v>
      </c>
      <c r="T104" s="4442">
        <v>40</v>
      </c>
      <c r="U104" s="4443">
        <v>57</v>
      </c>
      <c r="V104" s="4442">
        <v>49</v>
      </c>
      <c r="W104" s="4442">
        <v>47</v>
      </c>
      <c r="X104" s="4443">
        <v>65</v>
      </c>
      <c r="Y104" s="4442">
        <v>43</v>
      </c>
      <c r="Z104" s="4442">
        <v>33</v>
      </c>
      <c r="AA104" s="4443">
        <v>47</v>
      </c>
      <c r="AB104" s="4442">
        <v>47</v>
      </c>
      <c r="AC104" s="4442">
        <v>56</v>
      </c>
      <c r="AD104" s="4443">
        <v>48</v>
      </c>
      <c r="AE104" s="4442">
        <v>48</v>
      </c>
      <c r="AF104" s="4442">
        <v>43</v>
      </c>
      <c r="AG104" s="4443">
        <v>46</v>
      </c>
      <c r="AH104" s="4442">
        <v>40</v>
      </c>
      <c r="AI104" s="4442">
        <v>40</v>
      </c>
      <c r="AJ104" s="4443">
        <v>54</v>
      </c>
      <c r="AK104" s="4442">
        <v>50</v>
      </c>
      <c r="AL104" s="4442">
        <v>46</v>
      </c>
      <c r="AM104" s="4443">
        <v>57</v>
      </c>
      <c r="AN104" s="4442">
        <v>51</v>
      </c>
      <c r="AO104" s="4442">
        <v>49</v>
      </c>
      <c r="AP104" s="4443">
        <v>48</v>
      </c>
      <c r="AQ104" s="4442">
        <v>45</v>
      </c>
      <c r="AR104" s="4442">
        <v>36</v>
      </c>
      <c r="AS104" s="4443">
        <v>41</v>
      </c>
      <c r="AT104" s="4442">
        <v>35</v>
      </c>
      <c r="AU104" s="4442">
        <v>35</v>
      </c>
      <c r="AV104" s="4443">
        <v>37</v>
      </c>
      <c r="AW104" s="4441">
        <v>35</v>
      </c>
      <c r="AX104" s="4442">
        <v>32</v>
      </c>
      <c r="AY104" s="4443">
        <v>37</v>
      </c>
      <c r="AZ104" s="4442">
        <v>36</v>
      </c>
      <c r="BA104" s="4442">
        <v>38</v>
      </c>
      <c r="BB104" s="4443">
        <v>25</v>
      </c>
      <c r="BC104" s="4442">
        <v>25</v>
      </c>
      <c r="BD104" s="4442">
        <v>34</v>
      </c>
      <c r="BE104" s="4443">
        <v>23</v>
      </c>
      <c r="BF104" s="4442">
        <v>20</v>
      </c>
      <c r="BG104" s="4442">
        <v>17</v>
      </c>
      <c r="BH104" s="4443">
        <v>1</v>
      </c>
      <c r="BI104" s="4442">
        <v>14</v>
      </c>
      <c r="BJ104" s="4442">
        <v>13</v>
      </c>
      <c r="BK104" s="4443">
        <v>29</v>
      </c>
    </row>
    <row r="105" spans="2:63" ht="15" customHeight="1" x14ac:dyDescent="0.3">
      <c r="B105" s="5835"/>
      <c r="C105" s="4459" t="s">
        <v>385</v>
      </c>
      <c r="D105" s="4441">
        <v>5</v>
      </c>
      <c r="E105" s="4442">
        <v>5</v>
      </c>
      <c r="F105" s="4442">
        <v>5</v>
      </c>
      <c r="G105" s="4441">
        <v>1</v>
      </c>
      <c r="H105" s="4442">
        <v>1</v>
      </c>
      <c r="I105" s="4442">
        <v>1</v>
      </c>
      <c r="J105" s="4441"/>
      <c r="K105" s="4442"/>
      <c r="L105" s="4443"/>
      <c r="M105" s="4442"/>
      <c r="N105" s="4442"/>
      <c r="O105" s="4443"/>
      <c r="P105" s="4442"/>
      <c r="Q105" s="4442"/>
      <c r="R105" s="4443"/>
      <c r="S105" s="4442"/>
      <c r="T105" s="4442"/>
      <c r="U105" s="4443"/>
      <c r="V105" s="4442"/>
      <c r="W105" s="4442">
        <v>1</v>
      </c>
      <c r="X105" s="4443">
        <v>1</v>
      </c>
      <c r="Y105" s="4442">
        <v>1</v>
      </c>
      <c r="Z105" s="4442" t="s">
        <v>122</v>
      </c>
      <c r="AA105" s="4443" t="s">
        <v>122</v>
      </c>
      <c r="AB105" s="4442"/>
      <c r="AC105" s="4442"/>
      <c r="AD105" s="4443"/>
      <c r="AE105" s="4442">
        <v>8</v>
      </c>
      <c r="AF105" s="4442">
        <v>8</v>
      </c>
      <c r="AG105" s="4443">
        <v>16</v>
      </c>
      <c r="AH105" s="4442">
        <v>16</v>
      </c>
      <c r="AI105" s="4442">
        <v>16</v>
      </c>
      <c r="AJ105" s="4443">
        <v>26</v>
      </c>
      <c r="AK105" s="4442">
        <v>26</v>
      </c>
      <c r="AL105" s="4442">
        <v>24</v>
      </c>
      <c r="AM105" s="4443">
        <v>35</v>
      </c>
      <c r="AN105" s="4442">
        <v>27</v>
      </c>
      <c r="AO105" s="4442">
        <v>26</v>
      </c>
      <c r="AP105" s="4443">
        <v>39</v>
      </c>
      <c r="AQ105" s="4442">
        <v>34</v>
      </c>
      <c r="AR105" s="4442">
        <v>31</v>
      </c>
      <c r="AS105" s="4443">
        <v>41</v>
      </c>
      <c r="AT105" s="4442">
        <v>36</v>
      </c>
      <c r="AU105" s="4442">
        <v>31</v>
      </c>
      <c r="AV105" s="4443">
        <v>43</v>
      </c>
      <c r="AW105" s="4441">
        <v>39</v>
      </c>
      <c r="AX105" s="4442">
        <v>36</v>
      </c>
      <c r="AY105" s="4443">
        <v>47</v>
      </c>
      <c r="AZ105" s="4442">
        <v>39</v>
      </c>
      <c r="BA105" s="4442">
        <v>37</v>
      </c>
      <c r="BB105" s="4443">
        <v>39</v>
      </c>
      <c r="BC105" s="4442">
        <v>30</v>
      </c>
      <c r="BD105" s="4442">
        <v>31</v>
      </c>
      <c r="BE105" s="4443">
        <v>28</v>
      </c>
      <c r="BF105" s="4442">
        <v>27</v>
      </c>
      <c r="BG105" s="4442">
        <v>31</v>
      </c>
      <c r="BH105" s="4443">
        <v>28</v>
      </c>
      <c r="BI105" s="4442">
        <v>29</v>
      </c>
      <c r="BJ105" s="4442">
        <v>27</v>
      </c>
      <c r="BK105" s="4443">
        <v>18</v>
      </c>
    </row>
    <row r="106" spans="2:63" ht="15" customHeight="1" x14ac:dyDescent="0.3">
      <c r="B106" s="5835"/>
      <c r="C106" s="4448" t="s">
        <v>384</v>
      </c>
      <c r="D106" s="4441">
        <v>24</v>
      </c>
      <c r="E106" s="4442">
        <v>24</v>
      </c>
      <c r="F106" s="4442">
        <v>22</v>
      </c>
      <c r="G106" s="4441">
        <v>24</v>
      </c>
      <c r="H106" s="4442">
        <v>22</v>
      </c>
      <c r="I106" s="4442">
        <v>20</v>
      </c>
      <c r="J106" s="4441">
        <v>20</v>
      </c>
      <c r="K106" s="4442">
        <v>18</v>
      </c>
      <c r="L106" s="4443">
        <v>22</v>
      </c>
      <c r="M106" s="4442">
        <v>17</v>
      </c>
      <c r="N106" s="4442">
        <v>15</v>
      </c>
      <c r="O106" s="4443">
        <v>22</v>
      </c>
      <c r="P106" s="4442">
        <v>20</v>
      </c>
      <c r="Q106" s="4442">
        <v>18</v>
      </c>
      <c r="R106" s="4443">
        <v>34</v>
      </c>
      <c r="S106" s="4442">
        <v>30</v>
      </c>
      <c r="T106" s="4442">
        <v>27</v>
      </c>
      <c r="U106" s="4443">
        <v>40</v>
      </c>
      <c r="V106" s="4442">
        <v>30</v>
      </c>
      <c r="W106" s="4442">
        <v>29</v>
      </c>
      <c r="X106" s="4443">
        <v>50</v>
      </c>
      <c r="Y106" s="4442">
        <v>44</v>
      </c>
      <c r="Z106" s="4442">
        <v>39</v>
      </c>
      <c r="AA106" s="4443">
        <v>57</v>
      </c>
      <c r="AB106" s="4442">
        <v>58</v>
      </c>
      <c r="AC106" s="4442">
        <v>43</v>
      </c>
      <c r="AD106" s="4443">
        <v>66</v>
      </c>
      <c r="AE106" s="4442">
        <v>54</v>
      </c>
      <c r="AF106" s="4442">
        <v>48</v>
      </c>
      <c r="AG106" s="4443">
        <v>59</v>
      </c>
      <c r="AH106" s="4442">
        <v>47</v>
      </c>
      <c r="AI106" s="4442">
        <v>45</v>
      </c>
      <c r="AJ106" s="4443">
        <v>52</v>
      </c>
      <c r="AK106" s="4442">
        <v>41</v>
      </c>
      <c r="AL106" s="4442">
        <v>36</v>
      </c>
      <c r="AM106" s="4443">
        <v>47</v>
      </c>
      <c r="AN106" s="4442">
        <v>38</v>
      </c>
      <c r="AO106" s="4442">
        <v>35</v>
      </c>
      <c r="AP106" s="4443">
        <v>39</v>
      </c>
      <c r="AQ106" s="4442">
        <v>34</v>
      </c>
      <c r="AR106" s="4442">
        <v>29</v>
      </c>
      <c r="AS106" s="4443">
        <v>40</v>
      </c>
      <c r="AT106" s="4442">
        <v>30</v>
      </c>
      <c r="AU106" s="4442">
        <v>28</v>
      </c>
      <c r="AV106" s="4443">
        <v>35</v>
      </c>
      <c r="AW106" s="4441">
        <v>30</v>
      </c>
      <c r="AX106" s="4442">
        <v>25</v>
      </c>
      <c r="AY106" s="4443">
        <v>30</v>
      </c>
      <c r="AZ106" s="4442">
        <v>27</v>
      </c>
      <c r="BA106" s="4442">
        <v>34</v>
      </c>
      <c r="BB106" s="4443">
        <v>36</v>
      </c>
      <c r="BC106" s="4442">
        <v>34</v>
      </c>
      <c r="BD106" s="4442">
        <v>40</v>
      </c>
      <c r="BE106" s="4443">
        <v>29</v>
      </c>
      <c r="BF106" s="4442">
        <v>30</v>
      </c>
      <c r="BG106" s="4442">
        <v>21</v>
      </c>
      <c r="BH106" s="4443">
        <v>17</v>
      </c>
      <c r="BI106" s="4442">
        <v>15</v>
      </c>
      <c r="BJ106" s="4442">
        <v>14</v>
      </c>
      <c r="BK106" s="4443">
        <v>32</v>
      </c>
    </row>
    <row r="107" spans="2:63" ht="15" customHeight="1" x14ac:dyDescent="0.3">
      <c r="B107" s="5836"/>
      <c r="C107" s="4459" t="s">
        <v>386</v>
      </c>
      <c r="D107" s="4441">
        <v>33</v>
      </c>
      <c r="E107" s="4442">
        <v>33</v>
      </c>
      <c r="F107" s="4442">
        <v>39</v>
      </c>
      <c r="G107" s="4441">
        <v>33</v>
      </c>
      <c r="H107" s="4442">
        <v>27</v>
      </c>
      <c r="I107" s="4442">
        <v>33</v>
      </c>
      <c r="J107" s="4441">
        <v>23</v>
      </c>
      <c r="K107" s="4442">
        <v>20</v>
      </c>
      <c r="L107" s="4443">
        <v>25</v>
      </c>
      <c r="M107" s="4442">
        <v>19</v>
      </c>
      <c r="N107" s="4442">
        <v>17</v>
      </c>
      <c r="O107" s="4443">
        <v>25</v>
      </c>
      <c r="P107" s="4442">
        <v>22</v>
      </c>
      <c r="Q107" s="4442">
        <v>22</v>
      </c>
      <c r="R107" s="4443">
        <v>31</v>
      </c>
      <c r="S107" s="4442">
        <v>32</v>
      </c>
      <c r="T107" s="4442">
        <v>27</v>
      </c>
      <c r="U107" s="4443">
        <v>47</v>
      </c>
      <c r="V107" s="4442">
        <v>44</v>
      </c>
      <c r="W107" s="4442">
        <v>45</v>
      </c>
      <c r="X107" s="4443">
        <v>50</v>
      </c>
      <c r="Y107" s="4442">
        <v>46</v>
      </c>
      <c r="Z107" s="4442">
        <v>42</v>
      </c>
      <c r="AA107" s="4443">
        <v>49</v>
      </c>
      <c r="AB107" s="4442">
        <v>46</v>
      </c>
      <c r="AC107" s="4442">
        <v>40</v>
      </c>
      <c r="AD107" s="4443">
        <v>60</v>
      </c>
      <c r="AE107" s="4442">
        <v>55</v>
      </c>
      <c r="AF107" s="4442">
        <v>52</v>
      </c>
      <c r="AG107" s="4443">
        <v>56</v>
      </c>
      <c r="AH107" s="4442">
        <v>56</v>
      </c>
      <c r="AI107" s="4442">
        <v>55</v>
      </c>
      <c r="AJ107" s="4443">
        <v>69</v>
      </c>
      <c r="AK107" s="4442">
        <v>62</v>
      </c>
      <c r="AL107" s="4442">
        <v>52</v>
      </c>
      <c r="AM107" s="4443" t="s">
        <v>449</v>
      </c>
      <c r="AN107" s="4442">
        <v>56</v>
      </c>
      <c r="AO107" s="4442">
        <v>58</v>
      </c>
      <c r="AP107" s="4443">
        <v>66</v>
      </c>
      <c r="AQ107" s="4442">
        <v>62</v>
      </c>
      <c r="AR107" s="4442">
        <v>54</v>
      </c>
      <c r="AS107" s="4443">
        <v>62</v>
      </c>
      <c r="AT107" s="4442">
        <v>51</v>
      </c>
      <c r="AU107" s="4442">
        <v>48</v>
      </c>
      <c r="AV107" s="4443">
        <v>52</v>
      </c>
      <c r="AW107" s="4441">
        <v>47</v>
      </c>
      <c r="AX107" s="4442">
        <v>42</v>
      </c>
      <c r="AY107" s="4443">
        <v>44</v>
      </c>
      <c r="AZ107" s="4442">
        <v>38</v>
      </c>
      <c r="BA107" s="4442">
        <v>42</v>
      </c>
      <c r="BB107" s="4443">
        <v>36</v>
      </c>
      <c r="BC107" s="4442">
        <v>35</v>
      </c>
      <c r="BD107" s="4442">
        <v>42</v>
      </c>
      <c r="BE107" s="4443">
        <v>42</v>
      </c>
      <c r="BF107" s="4442">
        <v>33</v>
      </c>
      <c r="BG107" s="4442">
        <v>41</v>
      </c>
      <c r="BH107" s="4443">
        <v>29</v>
      </c>
      <c r="BI107" s="4442">
        <v>34</v>
      </c>
      <c r="BJ107" s="4442">
        <v>27</v>
      </c>
      <c r="BK107" s="4443">
        <v>45</v>
      </c>
    </row>
    <row r="108" spans="2:63" ht="15" customHeight="1" x14ac:dyDescent="0.3">
      <c r="B108" s="5845" t="s">
        <v>317</v>
      </c>
      <c r="C108" s="1402" t="s">
        <v>387</v>
      </c>
      <c r="D108" s="129">
        <v>54</v>
      </c>
      <c r="E108" s="130">
        <v>50</v>
      </c>
      <c r="F108" s="130">
        <v>49</v>
      </c>
      <c r="G108" s="129">
        <v>48</v>
      </c>
      <c r="H108" s="130">
        <v>45</v>
      </c>
      <c r="I108" s="130">
        <v>55</v>
      </c>
      <c r="J108" s="129">
        <v>62</v>
      </c>
      <c r="K108" s="130">
        <v>61</v>
      </c>
      <c r="L108" s="396">
        <v>67</v>
      </c>
      <c r="M108" s="130">
        <v>69</v>
      </c>
      <c r="N108" s="130">
        <v>68</v>
      </c>
      <c r="O108" s="396">
        <v>69</v>
      </c>
      <c r="P108" s="130">
        <v>67</v>
      </c>
      <c r="Q108" s="130">
        <v>71</v>
      </c>
      <c r="R108" s="396">
        <v>65</v>
      </c>
      <c r="S108" s="130">
        <v>72</v>
      </c>
      <c r="T108" s="130">
        <v>68</v>
      </c>
      <c r="U108" s="396">
        <v>77</v>
      </c>
      <c r="V108" s="130">
        <v>82</v>
      </c>
      <c r="W108" s="130">
        <v>77</v>
      </c>
      <c r="X108" s="396">
        <v>73</v>
      </c>
      <c r="Y108" s="130">
        <v>97</v>
      </c>
      <c r="Z108" s="130">
        <v>86</v>
      </c>
      <c r="AA108" s="396">
        <v>91</v>
      </c>
      <c r="AB108" s="130">
        <v>90</v>
      </c>
      <c r="AC108" s="130">
        <v>81</v>
      </c>
      <c r="AD108" s="396">
        <v>97</v>
      </c>
      <c r="AE108" s="130">
        <v>98</v>
      </c>
      <c r="AF108" s="130">
        <v>94</v>
      </c>
      <c r="AG108" s="396">
        <v>103</v>
      </c>
      <c r="AH108" s="130">
        <v>103</v>
      </c>
      <c r="AI108" s="130">
        <v>96</v>
      </c>
      <c r="AJ108" s="396">
        <v>101</v>
      </c>
      <c r="AK108" s="130">
        <v>105</v>
      </c>
      <c r="AL108" s="130">
        <v>100</v>
      </c>
      <c r="AM108" s="396">
        <v>100</v>
      </c>
      <c r="AN108" s="130">
        <v>96</v>
      </c>
      <c r="AO108" s="130">
        <v>93</v>
      </c>
      <c r="AP108" s="396">
        <v>105</v>
      </c>
      <c r="AQ108" s="130">
        <v>101</v>
      </c>
      <c r="AR108" s="130">
        <v>94</v>
      </c>
      <c r="AS108" s="396">
        <v>95</v>
      </c>
      <c r="AT108" s="130">
        <v>103</v>
      </c>
      <c r="AU108" s="130">
        <v>96</v>
      </c>
      <c r="AV108" s="396">
        <v>106</v>
      </c>
      <c r="AW108" s="129">
        <v>103</v>
      </c>
      <c r="AX108" s="130">
        <v>97</v>
      </c>
      <c r="AY108" s="396">
        <v>100</v>
      </c>
      <c r="AZ108" s="130">
        <v>95</v>
      </c>
      <c r="BA108" s="130">
        <v>91</v>
      </c>
      <c r="BB108" s="396">
        <v>92</v>
      </c>
      <c r="BC108" s="130">
        <v>85</v>
      </c>
      <c r="BD108" s="130">
        <v>88</v>
      </c>
      <c r="BE108" s="396">
        <v>78</v>
      </c>
      <c r="BF108" s="130">
        <v>72</v>
      </c>
      <c r="BG108" s="130">
        <v>72</v>
      </c>
      <c r="BH108" s="396">
        <v>15</v>
      </c>
      <c r="BI108" s="130">
        <v>68</v>
      </c>
      <c r="BJ108" s="130">
        <v>65</v>
      </c>
      <c r="BK108" s="396">
        <v>64</v>
      </c>
    </row>
    <row r="109" spans="2:63" ht="15" customHeight="1" x14ac:dyDescent="0.3">
      <c r="B109" s="5846"/>
      <c r="C109" s="1402" t="s">
        <v>384</v>
      </c>
      <c r="D109" s="129">
        <v>21</v>
      </c>
      <c r="E109" s="130">
        <v>21</v>
      </c>
      <c r="F109" s="130">
        <v>21</v>
      </c>
      <c r="G109" s="129">
        <v>26</v>
      </c>
      <c r="H109" s="130">
        <v>26</v>
      </c>
      <c r="I109" s="130">
        <v>24</v>
      </c>
      <c r="J109" s="129">
        <v>32</v>
      </c>
      <c r="K109" s="130">
        <v>31</v>
      </c>
      <c r="L109" s="396">
        <v>33</v>
      </c>
      <c r="M109" s="130">
        <v>32</v>
      </c>
      <c r="N109" s="130">
        <v>32</v>
      </c>
      <c r="O109" s="396">
        <v>31</v>
      </c>
      <c r="P109" s="130">
        <v>34</v>
      </c>
      <c r="Q109" s="130">
        <v>36</v>
      </c>
      <c r="R109" s="396">
        <v>37</v>
      </c>
      <c r="S109" s="130">
        <v>36</v>
      </c>
      <c r="T109" s="130">
        <v>33</v>
      </c>
      <c r="U109" s="396">
        <v>34</v>
      </c>
      <c r="V109" s="130">
        <v>40</v>
      </c>
      <c r="W109" s="130">
        <v>37</v>
      </c>
      <c r="X109" s="396">
        <v>38</v>
      </c>
      <c r="Y109" s="130">
        <v>41</v>
      </c>
      <c r="Z109" s="130">
        <v>41</v>
      </c>
      <c r="AA109" s="396">
        <v>45</v>
      </c>
      <c r="AB109" s="130">
        <v>47</v>
      </c>
      <c r="AC109" s="130">
        <v>46</v>
      </c>
      <c r="AD109" s="396">
        <v>54</v>
      </c>
      <c r="AE109" s="130">
        <v>63</v>
      </c>
      <c r="AF109" s="130">
        <v>60</v>
      </c>
      <c r="AG109" s="396">
        <v>61</v>
      </c>
      <c r="AH109" s="130">
        <v>66</v>
      </c>
      <c r="AI109" s="130">
        <v>65</v>
      </c>
      <c r="AJ109" s="396">
        <v>64</v>
      </c>
      <c r="AK109" s="130">
        <v>67</v>
      </c>
      <c r="AL109" s="130">
        <v>64</v>
      </c>
      <c r="AM109" s="396">
        <v>66</v>
      </c>
      <c r="AN109" s="130">
        <v>68</v>
      </c>
      <c r="AO109" s="130">
        <v>62</v>
      </c>
      <c r="AP109" s="396">
        <v>60</v>
      </c>
      <c r="AQ109" s="130">
        <v>56</v>
      </c>
      <c r="AR109" s="130">
        <v>54</v>
      </c>
      <c r="AS109" s="396">
        <v>54</v>
      </c>
      <c r="AT109" s="130">
        <v>58</v>
      </c>
      <c r="AU109" s="130">
        <v>51</v>
      </c>
      <c r="AV109" s="396">
        <v>49</v>
      </c>
      <c r="AW109" s="129">
        <v>48</v>
      </c>
      <c r="AX109" s="130">
        <v>46</v>
      </c>
      <c r="AY109" s="396">
        <v>52</v>
      </c>
      <c r="AZ109" s="130">
        <v>57</v>
      </c>
      <c r="BA109" s="130">
        <v>54</v>
      </c>
      <c r="BB109" s="396">
        <v>53</v>
      </c>
      <c r="BC109" s="130">
        <v>54</v>
      </c>
      <c r="BD109" s="130">
        <v>51</v>
      </c>
      <c r="BE109" s="396">
        <v>43</v>
      </c>
      <c r="BF109" s="130">
        <v>52</v>
      </c>
      <c r="BG109" s="130">
        <v>50</v>
      </c>
      <c r="BH109" s="396">
        <v>40</v>
      </c>
      <c r="BI109" s="130">
        <v>51</v>
      </c>
      <c r="BJ109" s="130">
        <v>50</v>
      </c>
      <c r="BK109" s="396">
        <v>55</v>
      </c>
    </row>
    <row r="110" spans="2:63" ht="15" customHeight="1" x14ac:dyDescent="0.3">
      <c r="B110" s="5847"/>
      <c r="C110" s="1389" t="s">
        <v>354</v>
      </c>
      <c r="D110" s="196">
        <v>75</v>
      </c>
      <c r="E110" s="197">
        <v>77</v>
      </c>
      <c r="F110" s="197">
        <v>69</v>
      </c>
      <c r="G110" s="196">
        <v>76</v>
      </c>
      <c r="H110" s="197">
        <v>72</v>
      </c>
      <c r="I110" s="197">
        <v>58</v>
      </c>
      <c r="J110" s="196">
        <v>62</v>
      </c>
      <c r="K110" s="197">
        <v>63</v>
      </c>
      <c r="L110" s="397">
        <v>54</v>
      </c>
      <c r="M110" s="197">
        <v>54</v>
      </c>
      <c r="N110" s="197">
        <v>47</v>
      </c>
      <c r="O110" s="397">
        <v>50</v>
      </c>
      <c r="P110" s="197">
        <v>51</v>
      </c>
      <c r="Q110" s="197">
        <v>44</v>
      </c>
      <c r="R110" s="397">
        <v>41</v>
      </c>
      <c r="S110" s="197">
        <v>39</v>
      </c>
      <c r="T110" s="197">
        <v>33</v>
      </c>
      <c r="U110" s="397">
        <v>41</v>
      </c>
      <c r="V110" s="197">
        <v>41</v>
      </c>
      <c r="W110" s="197">
        <v>47</v>
      </c>
      <c r="X110" s="397">
        <v>52</v>
      </c>
      <c r="Y110" s="197">
        <v>50</v>
      </c>
      <c r="Z110" s="197">
        <v>51</v>
      </c>
      <c r="AA110" s="397">
        <v>60</v>
      </c>
      <c r="AB110" s="197">
        <v>61</v>
      </c>
      <c r="AC110" s="197">
        <v>54</v>
      </c>
      <c r="AD110" s="397">
        <v>58</v>
      </c>
      <c r="AE110" s="197">
        <v>68</v>
      </c>
      <c r="AF110" s="197">
        <v>64</v>
      </c>
      <c r="AG110" s="397">
        <v>75</v>
      </c>
      <c r="AH110" s="197">
        <v>77</v>
      </c>
      <c r="AI110" s="197">
        <v>77</v>
      </c>
      <c r="AJ110" s="397">
        <v>79</v>
      </c>
      <c r="AK110" s="197">
        <v>86</v>
      </c>
      <c r="AL110" s="197">
        <v>85</v>
      </c>
      <c r="AM110" s="397">
        <v>95</v>
      </c>
      <c r="AN110" s="197">
        <v>102</v>
      </c>
      <c r="AO110" s="197">
        <v>93</v>
      </c>
      <c r="AP110" s="397">
        <v>99</v>
      </c>
      <c r="AQ110" s="197">
        <v>110</v>
      </c>
      <c r="AR110" s="197">
        <v>105</v>
      </c>
      <c r="AS110" s="397">
        <v>110</v>
      </c>
      <c r="AT110" s="197">
        <v>109</v>
      </c>
      <c r="AU110" s="197">
        <v>108</v>
      </c>
      <c r="AV110" s="397">
        <v>108</v>
      </c>
      <c r="AW110" s="196">
        <v>112</v>
      </c>
      <c r="AX110" s="197">
        <v>105</v>
      </c>
      <c r="AY110" s="397">
        <v>106</v>
      </c>
      <c r="AZ110" s="197">
        <v>114</v>
      </c>
      <c r="BA110" s="197">
        <v>110</v>
      </c>
      <c r="BB110" s="397">
        <v>111</v>
      </c>
      <c r="BC110" s="197">
        <v>103</v>
      </c>
      <c r="BD110" s="197">
        <v>115</v>
      </c>
      <c r="BE110" s="397">
        <v>110</v>
      </c>
      <c r="BF110" s="197">
        <v>76</v>
      </c>
      <c r="BG110" s="197">
        <v>76</v>
      </c>
      <c r="BH110" s="397">
        <v>63</v>
      </c>
      <c r="BI110" s="197">
        <v>81</v>
      </c>
      <c r="BJ110" s="197">
        <v>82</v>
      </c>
      <c r="BK110" s="397">
        <v>78</v>
      </c>
    </row>
    <row r="111" spans="2:63" ht="15" customHeight="1" x14ac:dyDescent="0.25">
      <c r="B111" s="1289"/>
      <c r="C111" s="1391" t="s">
        <v>92</v>
      </c>
      <c r="D111" s="1392">
        <f t="shared" ref="D111:BE111" si="33">SUM(D101:D110)</f>
        <v>279</v>
      </c>
      <c r="E111" s="1393">
        <f t="shared" si="33"/>
        <v>277</v>
      </c>
      <c r="F111" s="1393">
        <f t="shared" si="33"/>
        <v>290</v>
      </c>
      <c r="G111" s="1392">
        <f t="shared" si="33"/>
        <v>282</v>
      </c>
      <c r="H111" s="1393">
        <f t="shared" si="33"/>
        <v>269</v>
      </c>
      <c r="I111" s="1393">
        <f t="shared" si="33"/>
        <v>266</v>
      </c>
      <c r="J111" s="1392">
        <f t="shared" si="33"/>
        <v>261</v>
      </c>
      <c r="K111" s="1393">
        <f t="shared" si="33"/>
        <v>254</v>
      </c>
      <c r="L111" s="1394">
        <f t="shared" si="33"/>
        <v>275</v>
      </c>
      <c r="M111" s="1393">
        <f t="shared" si="33"/>
        <v>261</v>
      </c>
      <c r="N111" s="1393">
        <f t="shared" si="33"/>
        <v>251</v>
      </c>
      <c r="O111" s="1394">
        <f t="shared" si="33"/>
        <v>279</v>
      </c>
      <c r="P111" s="1393">
        <f t="shared" si="33"/>
        <v>274</v>
      </c>
      <c r="Q111" s="1393">
        <f t="shared" si="33"/>
        <v>274</v>
      </c>
      <c r="R111" s="1394">
        <f t="shared" si="33"/>
        <v>316</v>
      </c>
      <c r="S111" s="1393">
        <f t="shared" si="33"/>
        <v>292</v>
      </c>
      <c r="T111" s="1393">
        <f t="shared" si="33"/>
        <v>266</v>
      </c>
      <c r="U111" s="1394">
        <f t="shared" si="33"/>
        <v>340</v>
      </c>
      <c r="V111" s="1393">
        <f t="shared" si="33"/>
        <v>327</v>
      </c>
      <c r="W111" s="1393">
        <f t="shared" si="33"/>
        <v>322</v>
      </c>
      <c r="X111" s="1394">
        <f t="shared" si="33"/>
        <v>368</v>
      </c>
      <c r="Y111" s="1393">
        <f t="shared" si="33"/>
        <v>364</v>
      </c>
      <c r="Z111" s="1393">
        <f t="shared" si="33"/>
        <v>333</v>
      </c>
      <c r="AA111" s="1394">
        <f t="shared" si="33"/>
        <v>395</v>
      </c>
      <c r="AB111" s="1393">
        <f t="shared" si="33"/>
        <v>387</v>
      </c>
      <c r="AC111" s="1393">
        <f t="shared" si="33"/>
        <v>351</v>
      </c>
      <c r="AD111" s="1394">
        <f t="shared" si="33"/>
        <v>424</v>
      </c>
      <c r="AE111" s="1393">
        <f t="shared" si="33"/>
        <v>432</v>
      </c>
      <c r="AF111" s="1393">
        <f t="shared" si="33"/>
        <v>416</v>
      </c>
      <c r="AG111" s="1394">
        <f t="shared" si="33"/>
        <v>469</v>
      </c>
      <c r="AH111" s="1393">
        <f t="shared" si="33"/>
        <v>451</v>
      </c>
      <c r="AI111" s="1393">
        <f t="shared" si="33"/>
        <v>433</v>
      </c>
      <c r="AJ111" s="1394">
        <f t="shared" si="33"/>
        <v>486</v>
      </c>
      <c r="AK111" s="1393">
        <f t="shared" si="33"/>
        <v>476</v>
      </c>
      <c r="AL111" s="1393">
        <f t="shared" si="33"/>
        <v>442</v>
      </c>
      <c r="AM111" s="1394">
        <f t="shared" si="33"/>
        <v>441</v>
      </c>
      <c r="AN111" s="1393">
        <f t="shared" si="33"/>
        <v>477</v>
      </c>
      <c r="AO111" s="1393">
        <f t="shared" si="33"/>
        <v>457</v>
      </c>
      <c r="AP111" s="1394">
        <f t="shared" si="33"/>
        <v>491</v>
      </c>
      <c r="AQ111" s="1393">
        <f t="shared" si="33"/>
        <v>472</v>
      </c>
      <c r="AR111" s="1393">
        <f t="shared" si="33"/>
        <v>429</v>
      </c>
      <c r="AS111" s="1394">
        <f t="shared" si="33"/>
        <v>469</v>
      </c>
      <c r="AT111" s="1393">
        <f t="shared" si="33"/>
        <v>442</v>
      </c>
      <c r="AU111" s="1393">
        <f t="shared" si="33"/>
        <v>423</v>
      </c>
      <c r="AV111" s="1394">
        <f t="shared" si="33"/>
        <v>457</v>
      </c>
      <c r="AW111" s="1392">
        <f t="shared" si="33"/>
        <v>435</v>
      </c>
      <c r="AX111" s="1393">
        <f t="shared" si="33"/>
        <v>402</v>
      </c>
      <c r="AY111" s="1394">
        <f t="shared" si="33"/>
        <v>437</v>
      </c>
      <c r="AZ111" s="1393">
        <f t="shared" si="33"/>
        <v>421</v>
      </c>
      <c r="BA111" s="1393">
        <f t="shared" si="33"/>
        <v>421</v>
      </c>
      <c r="BB111" s="1394">
        <f t="shared" si="33"/>
        <v>410</v>
      </c>
      <c r="BC111" s="1393">
        <f t="shared" si="33"/>
        <v>383</v>
      </c>
      <c r="BD111" s="1393">
        <f t="shared" si="33"/>
        <v>412</v>
      </c>
      <c r="BE111" s="1394">
        <f t="shared" si="33"/>
        <v>362</v>
      </c>
      <c r="BF111" s="1393">
        <f t="shared" ref="BF111:BH111" si="34">SUM(BF101:BF110)</f>
        <v>326</v>
      </c>
      <c r="BG111" s="1393">
        <f t="shared" si="34"/>
        <v>321</v>
      </c>
      <c r="BH111" s="1394">
        <f t="shared" si="34"/>
        <v>202</v>
      </c>
      <c r="BI111" s="1393">
        <f t="shared" ref="BI111:BK111" si="35">SUM(BI101:BI110)</f>
        <v>301</v>
      </c>
      <c r="BJ111" s="1393">
        <f t="shared" si="35"/>
        <v>284</v>
      </c>
      <c r="BK111" s="1394">
        <f t="shared" si="35"/>
        <v>329</v>
      </c>
    </row>
    <row r="112" spans="2:63" ht="15" customHeight="1" x14ac:dyDescent="0.25">
      <c r="B112" s="1311"/>
      <c r="C112" s="1428" t="s">
        <v>388</v>
      </c>
      <c r="D112" s="1429">
        <f t="shared" ref="D112:BE112" si="36">SUM(D111,D100,D82)</f>
        <v>906</v>
      </c>
      <c r="E112" s="1430">
        <f t="shared" si="36"/>
        <v>865</v>
      </c>
      <c r="F112" s="1430">
        <f t="shared" si="36"/>
        <v>950</v>
      </c>
      <c r="G112" s="1429">
        <f t="shared" si="36"/>
        <v>904</v>
      </c>
      <c r="H112" s="1430">
        <f t="shared" si="36"/>
        <v>879</v>
      </c>
      <c r="I112" s="1430">
        <f t="shared" si="36"/>
        <v>947</v>
      </c>
      <c r="J112" s="1429">
        <f t="shared" si="36"/>
        <v>1002</v>
      </c>
      <c r="K112" s="1430">
        <f t="shared" si="36"/>
        <v>942</v>
      </c>
      <c r="L112" s="1431">
        <f t="shared" si="36"/>
        <v>930</v>
      </c>
      <c r="M112" s="1430">
        <f t="shared" si="36"/>
        <v>1007</v>
      </c>
      <c r="N112" s="1430">
        <f t="shared" si="36"/>
        <v>968</v>
      </c>
      <c r="O112" s="1431">
        <f t="shared" si="36"/>
        <v>1022</v>
      </c>
      <c r="P112" s="1430">
        <f t="shared" si="36"/>
        <v>1110</v>
      </c>
      <c r="Q112" s="1430">
        <f t="shared" si="36"/>
        <v>1040</v>
      </c>
      <c r="R112" s="1431">
        <f t="shared" si="36"/>
        <v>1091</v>
      </c>
      <c r="S112" s="1430">
        <f t="shared" si="36"/>
        <v>1097</v>
      </c>
      <c r="T112" s="1430">
        <f t="shared" si="36"/>
        <v>973</v>
      </c>
      <c r="U112" s="1431">
        <f t="shared" si="36"/>
        <v>1252</v>
      </c>
      <c r="V112" s="1430">
        <f t="shared" si="36"/>
        <v>1146</v>
      </c>
      <c r="W112" s="1430">
        <f t="shared" si="36"/>
        <v>1194</v>
      </c>
      <c r="X112" s="1431">
        <f t="shared" si="36"/>
        <v>1303</v>
      </c>
      <c r="Y112" s="1430">
        <f t="shared" si="36"/>
        <v>1304</v>
      </c>
      <c r="Z112" s="1430">
        <f t="shared" si="36"/>
        <v>1111</v>
      </c>
      <c r="AA112" s="1431">
        <f t="shared" si="36"/>
        <v>1434</v>
      </c>
      <c r="AB112" s="1430">
        <f t="shared" si="36"/>
        <v>1537</v>
      </c>
      <c r="AC112" s="1430">
        <f t="shared" si="36"/>
        <v>1362</v>
      </c>
      <c r="AD112" s="1431">
        <f t="shared" si="36"/>
        <v>1552</v>
      </c>
      <c r="AE112" s="1430">
        <f t="shared" si="36"/>
        <v>1531</v>
      </c>
      <c r="AF112" s="1430">
        <f t="shared" si="36"/>
        <v>1458</v>
      </c>
      <c r="AG112" s="1431">
        <f t="shared" si="36"/>
        <v>1522</v>
      </c>
      <c r="AH112" s="1430">
        <f t="shared" si="36"/>
        <v>1597</v>
      </c>
      <c r="AI112" s="1430">
        <f t="shared" si="36"/>
        <v>1543</v>
      </c>
      <c r="AJ112" s="1431">
        <f t="shared" si="36"/>
        <v>1616</v>
      </c>
      <c r="AK112" s="1430">
        <f t="shared" si="36"/>
        <v>1567</v>
      </c>
      <c r="AL112" s="1430">
        <f t="shared" si="36"/>
        <v>1464</v>
      </c>
      <c r="AM112" s="1431">
        <f t="shared" si="36"/>
        <v>1620</v>
      </c>
      <c r="AN112" s="1430">
        <f t="shared" si="36"/>
        <v>1554</v>
      </c>
      <c r="AO112" s="1430">
        <f t="shared" si="36"/>
        <v>1534</v>
      </c>
      <c r="AP112" s="1431">
        <f t="shared" si="36"/>
        <v>1657</v>
      </c>
      <c r="AQ112" s="1430">
        <f t="shared" si="36"/>
        <v>1584</v>
      </c>
      <c r="AR112" s="1430">
        <f t="shared" si="36"/>
        <v>1464</v>
      </c>
      <c r="AS112" s="1431">
        <f t="shared" si="36"/>
        <v>1551</v>
      </c>
      <c r="AT112" s="1430">
        <f t="shared" si="36"/>
        <v>1474</v>
      </c>
      <c r="AU112" s="1430">
        <f t="shared" si="36"/>
        <v>1510</v>
      </c>
      <c r="AV112" s="1431">
        <f t="shared" si="36"/>
        <v>1520</v>
      </c>
      <c r="AW112" s="5526">
        <f t="shared" si="36"/>
        <v>1484</v>
      </c>
      <c r="AX112" s="1430">
        <f t="shared" si="36"/>
        <v>1355</v>
      </c>
      <c r="AY112" s="1431">
        <f t="shared" si="36"/>
        <v>1479</v>
      </c>
      <c r="AZ112" s="1430">
        <f t="shared" si="36"/>
        <v>1371</v>
      </c>
      <c r="BA112" s="1430">
        <f t="shared" si="36"/>
        <v>1408</v>
      </c>
      <c r="BB112" s="1431">
        <f t="shared" si="36"/>
        <v>1386</v>
      </c>
      <c r="BC112" s="1430">
        <f t="shared" si="36"/>
        <v>1288</v>
      </c>
      <c r="BD112" s="1430">
        <f t="shared" si="36"/>
        <v>1382</v>
      </c>
      <c r="BE112" s="1431">
        <f t="shared" si="36"/>
        <v>1330</v>
      </c>
      <c r="BF112" s="1430">
        <f t="shared" ref="BF112:BH112" si="37">SUM(BF111,BF100,BF82)</f>
        <v>1278</v>
      </c>
      <c r="BG112" s="1430">
        <f t="shared" si="37"/>
        <v>1178</v>
      </c>
      <c r="BH112" s="1431">
        <f t="shared" si="37"/>
        <v>916</v>
      </c>
      <c r="BI112" s="1430">
        <f t="shared" ref="BI112:BK112" si="38">SUM(BI111,BI100,BI82)</f>
        <v>1285</v>
      </c>
      <c r="BJ112" s="1430">
        <f t="shared" si="38"/>
        <v>1256</v>
      </c>
      <c r="BK112" s="1431">
        <f t="shared" si="38"/>
        <v>1326</v>
      </c>
    </row>
    <row r="113" spans="2:63" ht="15" customHeight="1" x14ac:dyDescent="0.3">
      <c r="B113" s="1316" t="s">
        <v>317</v>
      </c>
      <c r="C113" s="1432" t="s">
        <v>354</v>
      </c>
      <c r="D113" s="129"/>
      <c r="E113" s="130"/>
      <c r="F113" s="130"/>
      <c r="G113" s="129"/>
      <c r="H113" s="130"/>
      <c r="I113" s="130"/>
      <c r="J113" s="129"/>
      <c r="K113" s="130"/>
      <c r="L113" s="396"/>
      <c r="M113" s="130"/>
      <c r="N113" s="130"/>
      <c r="O113" s="396"/>
      <c r="P113" s="130"/>
      <c r="Q113" s="130"/>
      <c r="R113" s="396"/>
      <c r="S113" s="130"/>
      <c r="T113" s="130"/>
      <c r="U113" s="396"/>
      <c r="V113" s="130"/>
      <c r="W113" s="130"/>
      <c r="X113" s="396"/>
      <c r="Y113" s="130"/>
      <c r="Z113" s="130"/>
      <c r="AA113" s="396"/>
      <c r="AB113" s="130"/>
      <c r="AC113" s="130"/>
      <c r="AD113" s="396"/>
      <c r="AE113" s="130"/>
      <c r="AF113" s="130"/>
      <c r="AG113" s="396"/>
      <c r="AH113" s="130"/>
      <c r="AI113" s="130"/>
      <c r="AJ113" s="396"/>
      <c r="AK113" s="130"/>
      <c r="AL113" s="130"/>
      <c r="AM113" s="396"/>
      <c r="AN113" s="130"/>
      <c r="AO113" s="130"/>
      <c r="AP113" s="396"/>
      <c r="AQ113" s="130"/>
      <c r="AR113" s="130"/>
      <c r="AS113" s="396"/>
      <c r="AT113" s="130"/>
      <c r="AU113" s="130"/>
      <c r="AV113" s="396"/>
      <c r="AW113" s="129"/>
      <c r="AX113" s="130"/>
      <c r="AY113" s="396">
        <v>1</v>
      </c>
      <c r="AZ113" s="130">
        <v>2</v>
      </c>
      <c r="BA113" s="130">
        <v>3</v>
      </c>
      <c r="BB113" s="396">
        <v>3</v>
      </c>
      <c r="BC113" s="130">
        <v>4</v>
      </c>
      <c r="BD113" s="130">
        <v>9</v>
      </c>
      <c r="BE113" s="396"/>
      <c r="BF113" s="130">
        <v>8</v>
      </c>
      <c r="BG113" s="130">
        <v>5</v>
      </c>
      <c r="BH113" s="396">
        <v>8</v>
      </c>
      <c r="BI113" s="130">
        <v>9</v>
      </c>
      <c r="BJ113" s="130">
        <v>11</v>
      </c>
      <c r="BK113" s="396">
        <v>10</v>
      </c>
    </row>
    <row r="114" spans="2:63" ht="15" customHeight="1" x14ac:dyDescent="0.25">
      <c r="B114" s="1289"/>
      <c r="C114" s="1391" t="s">
        <v>92</v>
      </c>
      <c r="D114" s="1392"/>
      <c r="E114" s="1393"/>
      <c r="F114" s="1393"/>
      <c r="G114" s="1392"/>
      <c r="H114" s="1393"/>
      <c r="I114" s="1393"/>
      <c r="J114" s="1392"/>
      <c r="K114" s="1393"/>
      <c r="L114" s="1394"/>
      <c r="M114" s="1393"/>
      <c r="N114" s="1393"/>
      <c r="O114" s="1394"/>
      <c r="P114" s="1393"/>
      <c r="Q114" s="1393"/>
      <c r="R114" s="1394"/>
      <c r="S114" s="1393"/>
      <c r="T114" s="1393"/>
      <c r="U114" s="1394"/>
      <c r="V114" s="1393"/>
      <c r="W114" s="1393"/>
      <c r="X114" s="1394"/>
      <c r="Y114" s="1393"/>
      <c r="Z114" s="1393"/>
      <c r="AA114" s="1394"/>
      <c r="AB114" s="1393"/>
      <c r="AC114" s="1393"/>
      <c r="AD114" s="1394"/>
      <c r="AE114" s="1393"/>
      <c r="AF114" s="1393"/>
      <c r="AG114" s="1394"/>
      <c r="AH114" s="1393"/>
      <c r="AI114" s="1393"/>
      <c r="AJ114" s="1394"/>
      <c r="AK114" s="1393"/>
      <c r="AL114" s="1393"/>
      <c r="AM114" s="1394"/>
      <c r="AN114" s="1393"/>
      <c r="AO114" s="1393"/>
      <c r="AP114" s="1394"/>
      <c r="AQ114" s="1393"/>
      <c r="AR114" s="1393"/>
      <c r="AS114" s="1394"/>
      <c r="AT114" s="1393"/>
      <c r="AU114" s="1393"/>
      <c r="AV114" s="1394"/>
      <c r="AW114" s="1392"/>
      <c r="AX114" s="1393"/>
      <c r="AY114" s="1394">
        <f t="shared" ref="AY114:BB115" si="39">SUM(AY113)</f>
        <v>1</v>
      </c>
      <c r="AZ114" s="1393">
        <f t="shared" si="39"/>
        <v>2</v>
      </c>
      <c r="BA114" s="1393">
        <f t="shared" si="39"/>
        <v>3</v>
      </c>
      <c r="BB114" s="1394">
        <f t="shared" si="39"/>
        <v>3</v>
      </c>
      <c r="BC114" s="1393">
        <f t="shared" ref="BC114:BE115" si="40">SUM(BC113)</f>
        <v>4</v>
      </c>
      <c r="BD114" s="1393">
        <f t="shared" si="40"/>
        <v>9</v>
      </c>
      <c r="BE114" s="1394">
        <f t="shared" si="40"/>
        <v>0</v>
      </c>
      <c r="BF114" s="1393">
        <f t="shared" ref="BF114:BH114" si="41">SUM(BF113)</f>
        <v>8</v>
      </c>
      <c r="BG114" s="1393">
        <f t="shared" si="41"/>
        <v>5</v>
      </c>
      <c r="BH114" s="1394">
        <f t="shared" si="41"/>
        <v>8</v>
      </c>
      <c r="BI114" s="1393">
        <f t="shared" ref="BI114:BK114" si="42">SUM(BI113)</f>
        <v>9</v>
      </c>
      <c r="BJ114" s="1393">
        <f t="shared" si="42"/>
        <v>11</v>
      </c>
      <c r="BK114" s="1394">
        <f t="shared" si="42"/>
        <v>10</v>
      </c>
    </row>
    <row r="115" spans="2:63" ht="15" customHeight="1" x14ac:dyDescent="0.25">
      <c r="B115" s="1433"/>
      <c r="C115" s="1434" t="s">
        <v>389</v>
      </c>
      <c r="D115" s="1435"/>
      <c r="E115" s="1436"/>
      <c r="F115" s="1436"/>
      <c r="G115" s="1435"/>
      <c r="H115" s="1436"/>
      <c r="I115" s="1436"/>
      <c r="J115" s="1435"/>
      <c r="K115" s="1436"/>
      <c r="L115" s="1437"/>
      <c r="M115" s="1436"/>
      <c r="N115" s="1436"/>
      <c r="O115" s="1437"/>
      <c r="P115" s="1436"/>
      <c r="Q115" s="1436"/>
      <c r="R115" s="1437"/>
      <c r="S115" s="1436"/>
      <c r="T115" s="1436"/>
      <c r="U115" s="1437"/>
      <c r="V115" s="1436"/>
      <c r="W115" s="1436"/>
      <c r="X115" s="1437"/>
      <c r="Y115" s="1436"/>
      <c r="Z115" s="1436"/>
      <c r="AA115" s="1437"/>
      <c r="AB115" s="1436"/>
      <c r="AC115" s="1436"/>
      <c r="AD115" s="1437"/>
      <c r="AE115" s="1436"/>
      <c r="AF115" s="1436"/>
      <c r="AG115" s="1437"/>
      <c r="AH115" s="1436"/>
      <c r="AI115" s="1436"/>
      <c r="AJ115" s="1437"/>
      <c r="AK115" s="1436"/>
      <c r="AL115" s="1436"/>
      <c r="AM115" s="1437"/>
      <c r="AN115" s="1436"/>
      <c r="AO115" s="1436"/>
      <c r="AP115" s="1437"/>
      <c r="AQ115" s="1436"/>
      <c r="AR115" s="1436"/>
      <c r="AS115" s="1437"/>
      <c r="AT115" s="1436"/>
      <c r="AU115" s="1436"/>
      <c r="AV115" s="1437"/>
      <c r="AW115" s="5527"/>
      <c r="AX115" s="1436"/>
      <c r="AY115" s="1437">
        <f t="shared" si="39"/>
        <v>1</v>
      </c>
      <c r="AZ115" s="1436">
        <f t="shared" si="39"/>
        <v>2</v>
      </c>
      <c r="BA115" s="1436">
        <f t="shared" si="39"/>
        <v>3</v>
      </c>
      <c r="BB115" s="1437">
        <f t="shared" si="39"/>
        <v>3</v>
      </c>
      <c r="BC115" s="1436">
        <f t="shared" si="40"/>
        <v>4</v>
      </c>
      <c r="BD115" s="1436">
        <f t="shared" si="40"/>
        <v>9</v>
      </c>
      <c r="BE115" s="1437">
        <f t="shared" si="40"/>
        <v>0</v>
      </c>
      <c r="BF115" s="1436">
        <f t="shared" ref="BF115:BH115" si="43">SUM(BF114)</f>
        <v>8</v>
      </c>
      <c r="BG115" s="1436">
        <f t="shared" si="43"/>
        <v>5</v>
      </c>
      <c r="BH115" s="1437">
        <f t="shared" si="43"/>
        <v>8</v>
      </c>
      <c r="BI115" s="1436">
        <f t="shared" ref="BI115:BK115" si="44">SUM(BI114)</f>
        <v>9</v>
      </c>
      <c r="BJ115" s="1436">
        <f t="shared" si="44"/>
        <v>11</v>
      </c>
      <c r="BK115" s="1437">
        <f t="shared" si="44"/>
        <v>10</v>
      </c>
    </row>
    <row r="116" spans="2:63" ht="15" customHeight="1" x14ac:dyDescent="0.3">
      <c r="B116" s="5850" t="s">
        <v>308</v>
      </c>
      <c r="C116" s="1396" t="s">
        <v>390</v>
      </c>
      <c r="D116" s="151">
        <v>7</v>
      </c>
      <c r="E116" s="152">
        <v>6</v>
      </c>
      <c r="F116" s="152"/>
      <c r="G116" s="151"/>
      <c r="H116" s="152"/>
      <c r="I116" s="152">
        <v>5</v>
      </c>
      <c r="J116" s="151">
        <v>3</v>
      </c>
      <c r="K116" s="152">
        <v>3</v>
      </c>
      <c r="L116" s="395"/>
      <c r="M116" s="152"/>
      <c r="N116" s="152"/>
      <c r="O116" s="395">
        <v>5</v>
      </c>
      <c r="P116" s="152">
        <v>16</v>
      </c>
      <c r="Q116" s="152">
        <v>2</v>
      </c>
      <c r="R116" s="395">
        <v>16</v>
      </c>
      <c r="S116" s="152">
        <v>4</v>
      </c>
      <c r="T116" s="152">
        <v>4</v>
      </c>
      <c r="U116" s="395">
        <v>22</v>
      </c>
      <c r="V116" s="152">
        <v>2</v>
      </c>
      <c r="W116" s="152">
        <v>2</v>
      </c>
      <c r="X116" s="395"/>
      <c r="Y116" s="152" t="s">
        <v>122</v>
      </c>
      <c r="Z116" s="152" t="s">
        <v>122</v>
      </c>
      <c r="AA116" s="395">
        <v>19</v>
      </c>
      <c r="AB116" s="152">
        <v>19</v>
      </c>
      <c r="AC116" s="152">
        <v>19</v>
      </c>
      <c r="AD116" s="395">
        <v>16</v>
      </c>
      <c r="AE116" s="152"/>
      <c r="AF116" s="152"/>
      <c r="AG116" s="395"/>
      <c r="AH116" s="152"/>
      <c r="AI116" s="152"/>
      <c r="AJ116" s="395"/>
      <c r="AK116" s="152"/>
      <c r="AL116" s="152"/>
      <c r="AM116" s="395"/>
      <c r="AN116" s="152"/>
      <c r="AO116" s="152">
        <v>9</v>
      </c>
      <c r="AP116" s="395"/>
      <c r="AQ116" s="152"/>
      <c r="AR116" s="152"/>
      <c r="AS116" s="395"/>
      <c r="AT116" s="152"/>
      <c r="AU116" s="152"/>
      <c r="AV116" s="395"/>
      <c r="AW116" s="4957"/>
      <c r="AX116" s="152"/>
      <c r="AY116" s="395"/>
      <c r="AZ116" s="152"/>
      <c r="BA116" s="152"/>
      <c r="BB116" s="395"/>
      <c r="BC116" s="152"/>
      <c r="BD116" s="152"/>
      <c r="BE116" s="395"/>
      <c r="BF116" s="152"/>
      <c r="BG116" s="152"/>
      <c r="BH116" s="395"/>
      <c r="BI116" s="152"/>
      <c r="BJ116" s="152"/>
      <c r="BK116" s="395"/>
    </row>
    <row r="117" spans="2:63" ht="15" customHeight="1" x14ac:dyDescent="0.3">
      <c r="B117" s="5851"/>
      <c r="C117" s="1388" t="s">
        <v>1397</v>
      </c>
      <c r="D117" s="129">
        <v>17</v>
      </c>
      <c r="E117" s="130">
        <v>16</v>
      </c>
      <c r="F117" s="130">
        <v>16</v>
      </c>
      <c r="G117" s="129"/>
      <c r="H117" s="130"/>
      <c r="I117" s="130">
        <v>1</v>
      </c>
      <c r="J117" s="129">
        <v>1</v>
      </c>
      <c r="K117" s="130">
        <v>1</v>
      </c>
      <c r="L117" s="396"/>
      <c r="M117" s="130"/>
      <c r="N117" s="130"/>
      <c r="O117" s="396"/>
      <c r="P117" s="130"/>
      <c r="Q117" s="130"/>
      <c r="R117" s="396">
        <v>1</v>
      </c>
      <c r="S117" s="130"/>
      <c r="T117" s="130"/>
      <c r="U117" s="396"/>
      <c r="V117" s="130"/>
      <c r="W117" s="130"/>
      <c r="X117" s="396">
        <v>2</v>
      </c>
      <c r="Y117" s="1266"/>
      <c r="Z117" s="1266"/>
      <c r="AA117" s="1438"/>
      <c r="AB117" s="1266">
        <v>3</v>
      </c>
      <c r="AC117" s="1266">
        <v>3</v>
      </c>
      <c r="AD117" s="1438">
        <v>41</v>
      </c>
      <c r="AE117" s="1266">
        <v>39</v>
      </c>
      <c r="AF117" s="1266">
        <v>40</v>
      </c>
      <c r="AG117" s="1438">
        <v>37</v>
      </c>
      <c r="AH117" s="1266">
        <v>28</v>
      </c>
      <c r="AI117" s="1266">
        <v>4</v>
      </c>
      <c r="AJ117" s="1438">
        <v>36</v>
      </c>
      <c r="AK117" s="1266">
        <v>37</v>
      </c>
      <c r="AL117" s="1266">
        <v>37</v>
      </c>
      <c r="AM117" s="1438">
        <v>33</v>
      </c>
      <c r="AN117" s="1266">
        <v>9</v>
      </c>
      <c r="AO117" s="1266"/>
      <c r="AP117" s="1438">
        <v>9</v>
      </c>
      <c r="AQ117" s="1266">
        <v>38</v>
      </c>
      <c r="AR117" s="1266">
        <v>38</v>
      </c>
      <c r="AS117" s="1438">
        <v>25</v>
      </c>
      <c r="AT117" s="1266">
        <v>36</v>
      </c>
      <c r="AU117" s="1266">
        <v>4</v>
      </c>
      <c r="AV117" s="1438">
        <v>33</v>
      </c>
      <c r="AW117" s="5528">
        <v>33</v>
      </c>
      <c r="AX117" s="1266">
        <v>31</v>
      </c>
      <c r="AY117" s="1438">
        <v>29</v>
      </c>
      <c r="AZ117" s="1266">
        <v>7</v>
      </c>
      <c r="BA117" s="1266">
        <v>2</v>
      </c>
      <c r="BB117" s="1438">
        <v>20</v>
      </c>
      <c r="BC117" s="1266">
        <v>20</v>
      </c>
      <c r="BD117" s="1266">
        <v>19</v>
      </c>
      <c r="BE117" s="1438">
        <v>19</v>
      </c>
      <c r="BF117" s="1266">
        <v>17</v>
      </c>
      <c r="BG117" s="1266">
        <v>25</v>
      </c>
      <c r="BH117" s="1438">
        <v>21</v>
      </c>
      <c r="BI117" s="1266">
        <v>21</v>
      </c>
      <c r="BJ117" s="1266">
        <v>21</v>
      </c>
      <c r="BK117" s="1438">
        <v>2</v>
      </c>
    </row>
    <row r="118" spans="2:63" ht="15" customHeight="1" x14ac:dyDescent="0.3">
      <c r="B118" s="5858" t="s">
        <v>310</v>
      </c>
      <c r="C118" s="4440" t="s">
        <v>392</v>
      </c>
      <c r="D118" s="4441">
        <v>14</v>
      </c>
      <c r="E118" s="4442">
        <v>14</v>
      </c>
      <c r="F118" s="4442">
        <v>14</v>
      </c>
      <c r="G118" s="4441">
        <v>14</v>
      </c>
      <c r="H118" s="4442">
        <v>14</v>
      </c>
      <c r="I118" s="4442">
        <v>20</v>
      </c>
      <c r="J118" s="4441">
        <v>20</v>
      </c>
      <c r="K118" s="4442">
        <v>20</v>
      </c>
      <c r="L118" s="4443">
        <v>20</v>
      </c>
      <c r="M118" s="4442">
        <v>20</v>
      </c>
      <c r="N118" s="4442">
        <v>20</v>
      </c>
      <c r="O118" s="4443">
        <v>12</v>
      </c>
      <c r="P118" s="4442"/>
      <c r="Q118" s="4442">
        <v>12</v>
      </c>
      <c r="R118" s="4443">
        <v>12</v>
      </c>
      <c r="S118" s="4442">
        <v>21</v>
      </c>
      <c r="T118" s="4442">
        <v>21</v>
      </c>
      <c r="U118" s="4443">
        <v>9</v>
      </c>
      <c r="V118" s="4442">
        <v>27</v>
      </c>
      <c r="W118" s="4442">
        <v>26</v>
      </c>
      <c r="X118" s="4443">
        <v>18</v>
      </c>
      <c r="Y118" s="4442">
        <v>17</v>
      </c>
      <c r="Z118" s="4442">
        <v>18</v>
      </c>
      <c r="AA118" s="4443">
        <v>3</v>
      </c>
      <c r="AB118" s="4442">
        <v>2</v>
      </c>
      <c r="AC118" s="4442"/>
      <c r="AD118" s="4443">
        <v>18</v>
      </c>
      <c r="AE118" s="4442">
        <v>17</v>
      </c>
      <c r="AF118" s="4442">
        <v>17</v>
      </c>
      <c r="AG118" s="4443">
        <v>23</v>
      </c>
      <c r="AH118" s="4442">
        <v>23</v>
      </c>
      <c r="AI118" s="4442">
        <v>23</v>
      </c>
      <c r="AJ118" s="4443">
        <v>23</v>
      </c>
      <c r="AK118" s="4442">
        <v>23</v>
      </c>
      <c r="AL118" s="4442">
        <v>23</v>
      </c>
      <c r="AM118" s="4443">
        <v>22</v>
      </c>
      <c r="AN118" s="4442">
        <v>22</v>
      </c>
      <c r="AO118" s="4442">
        <v>20</v>
      </c>
      <c r="AP118" s="4443">
        <v>20</v>
      </c>
      <c r="AQ118" s="4442">
        <v>20</v>
      </c>
      <c r="AR118" s="4442">
        <v>20</v>
      </c>
      <c r="AS118" s="4443">
        <v>25</v>
      </c>
      <c r="AT118" s="4442">
        <v>23</v>
      </c>
      <c r="AU118" s="4442">
        <v>24</v>
      </c>
      <c r="AV118" s="4443">
        <v>22</v>
      </c>
      <c r="AW118" s="4441">
        <v>22</v>
      </c>
      <c r="AX118" s="4442">
        <v>22</v>
      </c>
      <c r="AY118" s="4443">
        <v>20</v>
      </c>
      <c r="AZ118" s="4442">
        <v>19</v>
      </c>
      <c r="BA118" s="4442">
        <v>20</v>
      </c>
      <c r="BB118" s="4443">
        <v>20</v>
      </c>
      <c r="BC118" s="4442">
        <v>20</v>
      </c>
      <c r="BD118" s="4442">
        <v>31</v>
      </c>
      <c r="BE118" s="4443">
        <v>10</v>
      </c>
      <c r="BF118" s="4442">
        <v>10</v>
      </c>
      <c r="BG118" s="4442">
        <v>10</v>
      </c>
      <c r="BH118" s="4443">
        <v>10</v>
      </c>
      <c r="BI118" s="4442">
        <v>10</v>
      </c>
      <c r="BJ118" s="4442">
        <v>1</v>
      </c>
      <c r="BK118" s="4443">
        <v>21</v>
      </c>
    </row>
    <row r="119" spans="2:63" ht="15" customHeight="1" x14ac:dyDescent="0.3">
      <c r="B119" s="5853"/>
      <c r="C119" s="4440" t="s">
        <v>1397</v>
      </c>
      <c r="D119" s="4441">
        <v>13</v>
      </c>
      <c r="E119" s="4442">
        <v>16</v>
      </c>
      <c r="F119" s="4442">
        <v>44</v>
      </c>
      <c r="G119" s="4441">
        <v>29</v>
      </c>
      <c r="H119" s="4442">
        <v>28</v>
      </c>
      <c r="I119" s="4442">
        <v>25</v>
      </c>
      <c r="J119" s="4441">
        <v>25</v>
      </c>
      <c r="K119" s="4442">
        <v>25</v>
      </c>
      <c r="L119" s="4443">
        <v>30</v>
      </c>
      <c r="M119" s="4442">
        <v>30</v>
      </c>
      <c r="N119" s="4442">
        <v>30</v>
      </c>
      <c r="O119" s="4443">
        <v>31</v>
      </c>
      <c r="P119" s="4442">
        <v>35</v>
      </c>
      <c r="Q119" s="4442">
        <v>31</v>
      </c>
      <c r="R119" s="4443">
        <v>38</v>
      </c>
      <c r="S119" s="4442">
        <v>36</v>
      </c>
      <c r="T119" s="4442">
        <v>36</v>
      </c>
      <c r="U119" s="4443">
        <v>37</v>
      </c>
      <c r="V119" s="4442">
        <v>34</v>
      </c>
      <c r="W119" s="4442">
        <v>32</v>
      </c>
      <c r="X119" s="4443">
        <v>38</v>
      </c>
      <c r="Y119" s="4442">
        <v>40</v>
      </c>
      <c r="Z119" s="4442">
        <v>40</v>
      </c>
      <c r="AA119" s="4443">
        <v>40</v>
      </c>
      <c r="AB119" s="4442">
        <v>41</v>
      </c>
      <c r="AC119" s="4442">
        <v>40</v>
      </c>
      <c r="AD119" s="4443">
        <v>6</v>
      </c>
      <c r="AE119" s="4442">
        <v>2</v>
      </c>
      <c r="AF119" s="4442">
        <v>2</v>
      </c>
      <c r="AG119" s="4443">
        <v>1</v>
      </c>
      <c r="AH119" s="4442">
        <v>36</v>
      </c>
      <c r="AI119" s="4442">
        <v>41</v>
      </c>
      <c r="AJ119" s="4443">
        <v>2</v>
      </c>
      <c r="AK119" s="4442"/>
      <c r="AL119" s="4442"/>
      <c r="AM119" s="4443">
        <v>33</v>
      </c>
      <c r="AN119" s="4442">
        <v>34</v>
      </c>
      <c r="AO119" s="4442">
        <v>36</v>
      </c>
      <c r="AP119" s="4443">
        <v>40</v>
      </c>
      <c r="AQ119" s="4442">
        <v>37</v>
      </c>
      <c r="AR119" s="4442">
        <v>36</v>
      </c>
      <c r="AS119" s="4443">
        <v>34</v>
      </c>
      <c r="AT119" s="4442">
        <v>33</v>
      </c>
      <c r="AU119" s="4442">
        <v>34</v>
      </c>
      <c r="AV119" s="4443">
        <v>2</v>
      </c>
      <c r="AW119" s="4441">
        <v>2</v>
      </c>
      <c r="AX119" s="4442">
        <v>2</v>
      </c>
      <c r="AY119" s="4443">
        <v>28</v>
      </c>
      <c r="AZ119" s="4442">
        <v>29</v>
      </c>
      <c r="BA119" s="4442">
        <v>47</v>
      </c>
      <c r="BB119" s="4443"/>
      <c r="BC119" s="4442"/>
      <c r="BD119" s="4442">
        <v>18</v>
      </c>
      <c r="BE119" s="4443">
        <v>19</v>
      </c>
      <c r="BF119" s="4442">
        <v>20</v>
      </c>
      <c r="BG119" s="4442">
        <v>18</v>
      </c>
      <c r="BH119" s="4443">
        <v>14</v>
      </c>
      <c r="BI119" s="4442">
        <v>15</v>
      </c>
      <c r="BJ119" s="4442">
        <v>21</v>
      </c>
      <c r="BK119" s="4443">
        <v>17</v>
      </c>
    </row>
    <row r="120" spans="2:63" ht="15" customHeight="1" x14ac:dyDescent="0.3">
      <c r="B120" s="5853"/>
      <c r="C120" s="4454" t="s">
        <v>394</v>
      </c>
      <c r="D120" s="4441">
        <v>4</v>
      </c>
      <c r="E120" s="4442">
        <v>13</v>
      </c>
      <c r="F120" s="4442">
        <v>13</v>
      </c>
      <c r="G120" s="4441">
        <v>15</v>
      </c>
      <c r="H120" s="4442">
        <v>11</v>
      </c>
      <c r="I120" s="4442">
        <v>32</v>
      </c>
      <c r="J120" s="4441">
        <v>26</v>
      </c>
      <c r="K120" s="4442">
        <v>14</v>
      </c>
      <c r="L120" s="4443">
        <v>18</v>
      </c>
      <c r="M120" s="4442">
        <v>15</v>
      </c>
      <c r="N120" s="4442">
        <v>15</v>
      </c>
      <c r="O120" s="4443">
        <v>25</v>
      </c>
      <c r="P120" s="4442">
        <v>24</v>
      </c>
      <c r="Q120" s="4442">
        <v>23</v>
      </c>
      <c r="R120" s="4443">
        <v>23</v>
      </c>
      <c r="S120" s="4442">
        <v>22</v>
      </c>
      <c r="T120" s="4442">
        <v>23</v>
      </c>
      <c r="U120" s="4443">
        <v>34</v>
      </c>
      <c r="V120" s="4442">
        <v>30</v>
      </c>
      <c r="W120" s="4442">
        <v>33</v>
      </c>
      <c r="X120" s="4443">
        <v>34</v>
      </c>
      <c r="Y120" s="4442">
        <v>32</v>
      </c>
      <c r="Z120" s="4442">
        <v>31</v>
      </c>
      <c r="AA120" s="4443">
        <v>38</v>
      </c>
      <c r="AB120" s="4442">
        <v>37</v>
      </c>
      <c r="AC120" s="4442">
        <v>32</v>
      </c>
      <c r="AD120" s="4443">
        <v>29</v>
      </c>
      <c r="AE120" s="4442">
        <v>32</v>
      </c>
      <c r="AF120" s="4442">
        <v>30</v>
      </c>
      <c r="AG120" s="4443">
        <v>50</v>
      </c>
      <c r="AH120" s="4442">
        <v>45</v>
      </c>
      <c r="AI120" s="4442">
        <v>42</v>
      </c>
      <c r="AJ120" s="4443">
        <v>41</v>
      </c>
      <c r="AK120" s="4442">
        <v>37</v>
      </c>
      <c r="AL120" s="4442">
        <v>34</v>
      </c>
      <c r="AM120" s="4443">
        <v>36</v>
      </c>
      <c r="AN120" s="4442">
        <v>32</v>
      </c>
      <c r="AO120" s="4442">
        <v>31</v>
      </c>
      <c r="AP120" s="4443">
        <v>29</v>
      </c>
      <c r="AQ120" s="4442">
        <v>30</v>
      </c>
      <c r="AR120" s="4442">
        <v>34</v>
      </c>
      <c r="AS120" s="4443">
        <v>25</v>
      </c>
      <c r="AT120" s="4442">
        <v>24</v>
      </c>
      <c r="AU120" s="4442">
        <v>24</v>
      </c>
      <c r="AV120" s="4443">
        <v>26</v>
      </c>
      <c r="AW120" s="4441">
        <v>23</v>
      </c>
      <c r="AX120" s="4442">
        <v>24</v>
      </c>
      <c r="AY120" s="4443">
        <v>25</v>
      </c>
      <c r="AZ120" s="4442">
        <v>23</v>
      </c>
      <c r="BA120" s="4442">
        <v>24</v>
      </c>
      <c r="BB120" s="4443">
        <v>24</v>
      </c>
      <c r="BC120" s="4442">
        <v>24</v>
      </c>
      <c r="BD120" s="4442">
        <v>44</v>
      </c>
      <c r="BE120" s="4443">
        <v>22</v>
      </c>
      <c r="BF120" s="4442">
        <v>23</v>
      </c>
      <c r="BG120" s="4442">
        <v>21</v>
      </c>
      <c r="BH120" s="4443">
        <v>22</v>
      </c>
      <c r="BI120" s="4442">
        <v>21</v>
      </c>
      <c r="BJ120" s="4442">
        <v>20</v>
      </c>
      <c r="BK120" s="4443">
        <v>21</v>
      </c>
    </row>
    <row r="121" spans="2:63" ht="15" customHeight="1" x14ac:dyDescent="0.3">
      <c r="B121" s="5853"/>
      <c r="C121" s="4454" t="s">
        <v>395</v>
      </c>
      <c r="D121" s="4441">
        <v>23</v>
      </c>
      <c r="E121" s="4442">
        <v>20</v>
      </c>
      <c r="F121" s="4442">
        <v>19</v>
      </c>
      <c r="G121" s="4441">
        <v>20</v>
      </c>
      <c r="H121" s="4442">
        <v>23</v>
      </c>
      <c r="I121" s="4442">
        <v>18</v>
      </c>
      <c r="J121" s="4441">
        <v>18</v>
      </c>
      <c r="K121" s="4442">
        <v>17</v>
      </c>
      <c r="L121" s="4443">
        <v>17</v>
      </c>
      <c r="M121" s="4442">
        <v>17</v>
      </c>
      <c r="N121" s="4442">
        <v>17</v>
      </c>
      <c r="O121" s="4443">
        <v>12</v>
      </c>
      <c r="P121" s="4442">
        <v>12</v>
      </c>
      <c r="Q121" s="4442">
        <v>10</v>
      </c>
      <c r="R121" s="4443">
        <v>10</v>
      </c>
      <c r="S121" s="4442">
        <v>10</v>
      </c>
      <c r="T121" s="4442">
        <v>11</v>
      </c>
      <c r="U121" s="4443">
        <v>31</v>
      </c>
      <c r="V121" s="4442">
        <v>24</v>
      </c>
      <c r="W121" s="4442">
        <v>23</v>
      </c>
      <c r="X121" s="4443">
        <v>25</v>
      </c>
      <c r="Y121" s="4442">
        <v>21</v>
      </c>
      <c r="Z121" s="4442">
        <v>28</v>
      </c>
      <c r="AA121" s="4443">
        <v>31</v>
      </c>
      <c r="AB121" s="4442">
        <v>27</v>
      </c>
      <c r="AC121" s="4442">
        <v>26</v>
      </c>
      <c r="AD121" s="4443">
        <v>25</v>
      </c>
      <c r="AE121" s="4442">
        <v>23</v>
      </c>
      <c r="AF121" s="4442">
        <v>24</v>
      </c>
      <c r="AG121" s="4443">
        <v>28</v>
      </c>
      <c r="AH121" s="4442">
        <v>24</v>
      </c>
      <c r="AI121" s="4442">
        <v>24</v>
      </c>
      <c r="AJ121" s="4443">
        <v>22</v>
      </c>
      <c r="AK121" s="4442">
        <v>21</v>
      </c>
      <c r="AL121" s="4442">
        <v>21</v>
      </c>
      <c r="AM121" s="4443">
        <v>21</v>
      </c>
      <c r="AN121" s="4442">
        <v>14</v>
      </c>
      <c r="AO121" s="4442">
        <v>13</v>
      </c>
      <c r="AP121" s="4443">
        <v>13</v>
      </c>
      <c r="AQ121" s="4442">
        <v>13</v>
      </c>
      <c r="AR121" s="4442">
        <v>12</v>
      </c>
      <c r="AS121" s="4443">
        <v>18</v>
      </c>
      <c r="AT121" s="4442">
        <v>18</v>
      </c>
      <c r="AU121" s="4442">
        <v>18</v>
      </c>
      <c r="AV121" s="4443">
        <v>18</v>
      </c>
      <c r="AW121" s="4441">
        <v>20</v>
      </c>
      <c r="AX121" s="4442">
        <v>18</v>
      </c>
      <c r="AY121" s="4443">
        <v>27</v>
      </c>
      <c r="AZ121" s="4442">
        <v>24</v>
      </c>
      <c r="BA121" s="4442">
        <v>24</v>
      </c>
      <c r="BB121" s="4443">
        <v>24</v>
      </c>
      <c r="BC121" s="4442">
        <v>24</v>
      </c>
      <c r="BD121" s="4442">
        <v>47</v>
      </c>
      <c r="BE121" s="4443">
        <v>42</v>
      </c>
      <c r="BF121" s="4442">
        <v>24</v>
      </c>
      <c r="BG121" s="4442">
        <v>24</v>
      </c>
      <c r="BH121" s="4443">
        <v>24</v>
      </c>
      <c r="BI121" s="4442">
        <v>25</v>
      </c>
      <c r="BJ121" s="4442">
        <v>10</v>
      </c>
      <c r="BK121" s="4443">
        <v>17</v>
      </c>
    </row>
    <row r="122" spans="2:63" ht="15" customHeight="1" x14ac:dyDescent="0.3">
      <c r="B122" s="5853"/>
      <c r="C122" s="4454" t="s">
        <v>396</v>
      </c>
      <c r="D122" s="4441">
        <v>26</v>
      </c>
      <c r="E122" s="4442">
        <v>26</v>
      </c>
      <c r="F122" s="4442">
        <v>25</v>
      </c>
      <c r="G122" s="4441">
        <v>26</v>
      </c>
      <c r="H122" s="4442">
        <v>25</v>
      </c>
      <c r="I122" s="4442">
        <v>24</v>
      </c>
      <c r="J122" s="4441">
        <v>20</v>
      </c>
      <c r="K122" s="4442">
        <v>18</v>
      </c>
      <c r="L122" s="4443">
        <v>17</v>
      </c>
      <c r="M122" s="4442">
        <v>14</v>
      </c>
      <c r="N122" s="4442">
        <v>14</v>
      </c>
      <c r="O122" s="4443">
        <v>27</v>
      </c>
      <c r="P122" s="4442">
        <v>25</v>
      </c>
      <c r="Q122" s="4442">
        <v>23</v>
      </c>
      <c r="R122" s="4443">
        <v>23</v>
      </c>
      <c r="S122" s="4442">
        <v>22</v>
      </c>
      <c r="T122" s="4442">
        <v>21</v>
      </c>
      <c r="U122" s="4443">
        <v>30</v>
      </c>
      <c r="V122" s="4442">
        <v>32</v>
      </c>
      <c r="W122" s="4442">
        <v>29</v>
      </c>
      <c r="X122" s="4443">
        <v>30</v>
      </c>
      <c r="Y122" s="4442">
        <v>27</v>
      </c>
      <c r="Z122" s="4442">
        <v>26</v>
      </c>
      <c r="AA122" s="4443">
        <v>20</v>
      </c>
      <c r="AB122" s="4442">
        <v>19</v>
      </c>
      <c r="AC122" s="4442">
        <v>23</v>
      </c>
      <c r="AD122" s="4443">
        <v>17</v>
      </c>
      <c r="AE122" s="4442">
        <v>17</v>
      </c>
      <c r="AF122" s="4442">
        <v>18</v>
      </c>
      <c r="AG122" s="4443">
        <v>32</v>
      </c>
      <c r="AH122" s="4442">
        <v>27</v>
      </c>
      <c r="AI122" s="4442">
        <v>23</v>
      </c>
      <c r="AJ122" s="4443">
        <v>22</v>
      </c>
      <c r="AK122" s="4442">
        <v>20</v>
      </c>
      <c r="AL122" s="4442">
        <v>21</v>
      </c>
      <c r="AM122" s="4443">
        <v>22</v>
      </c>
      <c r="AN122" s="4442">
        <v>20</v>
      </c>
      <c r="AO122" s="4442">
        <v>20</v>
      </c>
      <c r="AP122" s="4443">
        <v>20</v>
      </c>
      <c r="AQ122" s="4442">
        <v>20</v>
      </c>
      <c r="AR122" s="4442">
        <v>20</v>
      </c>
      <c r="AS122" s="4443">
        <v>29</v>
      </c>
      <c r="AT122" s="4442">
        <v>24</v>
      </c>
      <c r="AU122" s="4442">
        <v>24</v>
      </c>
      <c r="AV122" s="4443">
        <v>24</v>
      </c>
      <c r="AW122" s="4441">
        <v>22</v>
      </c>
      <c r="AX122" s="4442">
        <v>23</v>
      </c>
      <c r="AY122" s="4443">
        <v>18</v>
      </c>
      <c r="AZ122" s="4442">
        <v>17</v>
      </c>
      <c r="BA122" s="4442">
        <v>17</v>
      </c>
      <c r="BB122" s="4443">
        <v>18</v>
      </c>
      <c r="BC122" s="4442">
        <v>18</v>
      </c>
      <c r="BD122" s="4442">
        <v>40</v>
      </c>
      <c r="BE122" s="4443">
        <v>20</v>
      </c>
      <c r="BF122" s="4442">
        <v>34</v>
      </c>
      <c r="BG122" s="4442">
        <v>23</v>
      </c>
      <c r="BH122" s="4443">
        <v>19</v>
      </c>
      <c r="BI122" s="4442">
        <v>23</v>
      </c>
      <c r="BJ122" s="4442">
        <v>43</v>
      </c>
      <c r="BK122" s="4443">
        <v>37</v>
      </c>
    </row>
    <row r="123" spans="2:63" ht="15" customHeight="1" x14ac:dyDescent="0.3">
      <c r="B123" s="5853"/>
      <c r="C123" s="4454" t="s">
        <v>397</v>
      </c>
      <c r="D123" s="4441">
        <v>23</v>
      </c>
      <c r="E123" s="4442">
        <v>23</v>
      </c>
      <c r="F123" s="4442">
        <v>23</v>
      </c>
      <c r="G123" s="4441">
        <v>24</v>
      </c>
      <c r="H123" s="4442">
        <v>24</v>
      </c>
      <c r="I123" s="4442">
        <v>18</v>
      </c>
      <c r="J123" s="4441">
        <v>12</v>
      </c>
      <c r="K123" s="4442">
        <v>16</v>
      </c>
      <c r="L123" s="4443">
        <v>15</v>
      </c>
      <c r="M123" s="4442">
        <v>12</v>
      </c>
      <c r="N123" s="4442">
        <v>12</v>
      </c>
      <c r="O123" s="4443">
        <v>26</v>
      </c>
      <c r="P123" s="4442">
        <v>23</v>
      </c>
      <c r="Q123" s="4442">
        <v>17</v>
      </c>
      <c r="R123" s="4443">
        <v>16</v>
      </c>
      <c r="S123" s="4442">
        <v>17</v>
      </c>
      <c r="T123" s="4442">
        <v>18</v>
      </c>
      <c r="U123" s="4443">
        <v>21</v>
      </c>
      <c r="V123" s="4442">
        <v>21</v>
      </c>
      <c r="W123" s="4442">
        <v>22</v>
      </c>
      <c r="X123" s="4443">
        <v>23</v>
      </c>
      <c r="Y123" s="4442">
        <v>21</v>
      </c>
      <c r="Z123" s="4442">
        <v>22</v>
      </c>
      <c r="AA123" s="4443">
        <v>21</v>
      </c>
      <c r="AB123" s="4442">
        <v>20</v>
      </c>
      <c r="AC123" s="4442">
        <v>20</v>
      </c>
      <c r="AD123" s="4443">
        <v>20</v>
      </c>
      <c r="AE123" s="4442">
        <v>20</v>
      </c>
      <c r="AF123" s="4442">
        <v>19</v>
      </c>
      <c r="AG123" s="4443">
        <v>18</v>
      </c>
      <c r="AH123" s="4442">
        <v>15</v>
      </c>
      <c r="AI123" s="4442">
        <v>12</v>
      </c>
      <c r="AJ123" s="4443">
        <v>11</v>
      </c>
      <c r="AK123" s="4442">
        <v>10</v>
      </c>
      <c r="AL123" s="4442">
        <v>11</v>
      </c>
      <c r="AM123" s="4443">
        <v>19</v>
      </c>
      <c r="AN123" s="4442">
        <v>17</v>
      </c>
      <c r="AO123" s="4442">
        <v>18</v>
      </c>
      <c r="AP123" s="4443">
        <v>18</v>
      </c>
      <c r="AQ123" s="4442">
        <v>18</v>
      </c>
      <c r="AR123" s="4442">
        <v>16</v>
      </c>
      <c r="AS123" s="4443">
        <v>17</v>
      </c>
      <c r="AT123" s="4442">
        <v>20</v>
      </c>
      <c r="AU123" s="4442">
        <v>20</v>
      </c>
      <c r="AV123" s="4443">
        <v>20</v>
      </c>
      <c r="AW123" s="4441">
        <v>19</v>
      </c>
      <c r="AX123" s="4442">
        <v>19</v>
      </c>
      <c r="AY123" s="4443">
        <v>19</v>
      </c>
      <c r="AZ123" s="4442">
        <v>20</v>
      </c>
      <c r="BA123" s="4442">
        <v>14</v>
      </c>
      <c r="BB123" s="4443">
        <v>14</v>
      </c>
      <c r="BC123" s="4442">
        <v>13</v>
      </c>
      <c r="BD123" s="4442">
        <v>29</v>
      </c>
      <c r="BE123" s="4443">
        <v>17</v>
      </c>
      <c r="BF123" s="4442">
        <v>16</v>
      </c>
      <c r="BG123" s="4442">
        <v>17</v>
      </c>
      <c r="BH123" s="4443">
        <v>17</v>
      </c>
      <c r="BI123" s="4442">
        <v>17</v>
      </c>
      <c r="BJ123" s="4442">
        <v>17</v>
      </c>
      <c r="BK123" s="4443">
        <v>25</v>
      </c>
    </row>
    <row r="124" spans="2:63" ht="15" customHeight="1" x14ac:dyDescent="0.3">
      <c r="B124" s="5853"/>
      <c r="C124" s="4454" t="s">
        <v>398</v>
      </c>
      <c r="D124" s="4441">
        <v>26</v>
      </c>
      <c r="E124" s="4442">
        <v>30</v>
      </c>
      <c r="F124" s="4442">
        <v>23</v>
      </c>
      <c r="G124" s="4441">
        <v>18</v>
      </c>
      <c r="H124" s="4442">
        <v>7</v>
      </c>
      <c r="I124" s="4442">
        <v>27</v>
      </c>
      <c r="J124" s="4441">
        <v>27</v>
      </c>
      <c r="K124" s="4442">
        <v>25</v>
      </c>
      <c r="L124" s="4443">
        <v>28</v>
      </c>
      <c r="M124" s="4442">
        <v>27</v>
      </c>
      <c r="N124" s="4442">
        <v>24</v>
      </c>
      <c r="O124" s="4443">
        <v>37</v>
      </c>
      <c r="P124" s="4442">
        <v>29</v>
      </c>
      <c r="Q124" s="4442">
        <v>17</v>
      </c>
      <c r="R124" s="4443">
        <v>14</v>
      </c>
      <c r="S124" s="4442">
        <v>14</v>
      </c>
      <c r="T124" s="4442">
        <v>12</v>
      </c>
      <c r="U124" s="4443">
        <v>27</v>
      </c>
      <c r="V124" s="4442">
        <v>23</v>
      </c>
      <c r="W124" s="4442">
        <v>21</v>
      </c>
      <c r="X124" s="4443">
        <v>20</v>
      </c>
      <c r="Y124" s="4442">
        <v>18</v>
      </c>
      <c r="Z124" s="4442">
        <v>18</v>
      </c>
      <c r="AA124" s="4443">
        <v>19</v>
      </c>
      <c r="AB124" s="4442">
        <v>16</v>
      </c>
      <c r="AC124" s="4442">
        <v>15</v>
      </c>
      <c r="AD124" s="4443">
        <v>15</v>
      </c>
      <c r="AE124" s="4442">
        <v>13</v>
      </c>
      <c r="AF124" s="4442">
        <v>13</v>
      </c>
      <c r="AG124" s="4443">
        <v>26</v>
      </c>
      <c r="AH124" s="4442">
        <v>20</v>
      </c>
      <c r="AI124" s="4442">
        <v>15</v>
      </c>
      <c r="AJ124" s="4443">
        <v>14</v>
      </c>
      <c r="AK124" s="4442">
        <v>14</v>
      </c>
      <c r="AL124" s="4442">
        <v>14</v>
      </c>
      <c r="AM124" s="4443">
        <v>28</v>
      </c>
      <c r="AN124" s="4442">
        <v>25</v>
      </c>
      <c r="AO124" s="4442">
        <v>20</v>
      </c>
      <c r="AP124" s="4443">
        <v>19</v>
      </c>
      <c r="AQ124" s="4442">
        <v>19</v>
      </c>
      <c r="AR124" s="4442">
        <v>18</v>
      </c>
      <c r="AS124" s="4443">
        <v>16</v>
      </c>
      <c r="AT124" s="4442">
        <v>16</v>
      </c>
      <c r="AU124" s="4442">
        <v>17</v>
      </c>
      <c r="AV124" s="4443">
        <v>16</v>
      </c>
      <c r="AW124" s="4441">
        <v>16</v>
      </c>
      <c r="AX124" s="4442">
        <v>16</v>
      </c>
      <c r="AY124" s="4443">
        <v>26</v>
      </c>
      <c r="AZ124" s="4442">
        <v>16</v>
      </c>
      <c r="BA124" s="4442">
        <v>12</v>
      </c>
      <c r="BB124" s="4443">
        <v>12</v>
      </c>
      <c r="BC124" s="4442">
        <v>12</v>
      </c>
      <c r="BD124" s="4442">
        <v>12</v>
      </c>
      <c r="BE124" s="4443">
        <v>15</v>
      </c>
      <c r="BF124" s="4442">
        <v>15</v>
      </c>
      <c r="BG124" s="4442">
        <v>15</v>
      </c>
      <c r="BH124" s="4443">
        <v>15</v>
      </c>
      <c r="BI124" s="4442">
        <v>14</v>
      </c>
      <c r="BJ124" s="4442">
        <v>14</v>
      </c>
      <c r="BK124" s="4443">
        <v>29</v>
      </c>
    </row>
    <row r="125" spans="2:63" ht="15" customHeight="1" x14ac:dyDescent="0.3">
      <c r="B125" s="5853"/>
      <c r="C125" s="4440" t="s">
        <v>328</v>
      </c>
      <c r="D125" s="4441">
        <v>2</v>
      </c>
      <c r="E125" s="4442">
        <v>2</v>
      </c>
      <c r="F125" s="4442">
        <v>2</v>
      </c>
      <c r="G125" s="4441">
        <v>4</v>
      </c>
      <c r="H125" s="4442">
        <v>2</v>
      </c>
      <c r="I125" s="4442">
        <v>1</v>
      </c>
      <c r="J125" s="4441">
        <v>2</v>
      </c>
      <c r="K125" s="4442">
        <v>6</v>
      </c>
      <c r="L125" s="4443">
        <v>5</v>
      </c>
      <c r="M125" s="4442">
        <v>11</v>
      </c>
      <c r="N125" s="4442">
        <v>8</v>
      </c>
      <c r="O125" s="4443">
        <v>3</v>
      </c>
      <c r="P125" s="4442">
        <v>2</v>
      </c>
      <c r="Q125" s="4442">
        <v>10</v>
      </c>
      <c r="R125" s="4443"/>
      <c r="S125" s="4442"/>
      <c r="T125" s="4442">
        <v>15</v>
      </c>
      <c r="U125" s="4443"/>
      <c r="V125" s="4442"/>
      <c r="W125" s="4442">
        <v>19</v>
      </c>
      <c r="X125" s="4443"/>
      <c r="Y125" s="4442" t="s">
        <v>122</v>
      </c>
      <c r="Z125" s="4442">
        <v>25</v>
      </c>
      <c r="AA125" s="4443" t="s">
        <v>122</v>
      </c>
      <c r="AB125" s="4442"/>
      <c r="AC125" s="4442"/>
      <c r="AD125" s="4443"/>
      <c r="AE125" s="4442"/>
      <c r="AF125" s="4442"/>
      <c r="AG125" s="4443"/>
      <c r="AH125" s="4442"/>
      <c r="AI125" s="4442"/>
      <c r="AJ125" s="4443"/>
      <c r="AK125" s="4442"/>
      <c r="AL125" s="4442"/>
      <c r="AM125" s="4443"/>
      <c r="AN125" s="4442"/>
      <c r="AO125" s="4442"/>
      <c r="AP125" s="4443"/>
      <c r="AQ125" s="4442"/>
      <c r="AR125" s="4442"/>
      <c r="AS125" s="4443"/>
      <c r="AT125" s="4442"/>
      <c r="AU125" s="4442"/>
      <c r="AV125" s="4443"/>
      <c r="AW125" s="4441"/>
      <c r="AX125" s="4442">
        <v>22</v>
      </c>
      <c r="AY125" s="4443">
        <v>22</v>
      </c>
      <c r="AZ125" s="4442">
        <v>23</v>
      </c>
      <c r="BA125" s="4442">
        <v>22</v>
      </c>
      <c r="BB125" s="4443">
        <v>22</v>
      </c>
      <c r="BC125" s="4442">
        <v>15</v>
      </c>
      <c r="BD125" s="4442">
        <v>16</v>
      </c>
      <c r="BE125" s="4443">
        <v>16</v>
      </c>
      <c r="BF125" s="4442">
        <v>1</v>
      </c>
      <c r="BG125" s="4442"/>
      <c r="BH125" s="4443"/>
      <c r="BI125" s="4442">
        <v>8</v>
      </c>
      <c r="BJ125" s="4442">
        <v>8</v>
      </c>
      <c r="BK125" s="4443">
        <v>16</v>
      </c>
    </row>
    <row r="126" spans="2:63" ht="15" customHeight="1" x14ac:dyDescent="0.3">
      <c r="B126" s="5853"/>
      <c r="C126" s="4440" t="s">
        <v>399</v>
      </c>
      <c r="D126" s="4441"/>
      <c r="E126" s="4442"/>
      <c r="F126" s="4442"/>
      <c r="G126" s="4441"/>
      <c r="H126" s="4442"/>
      <c r="I126" s="4442"/>
      <c r="J126" s="4441"/>
      <c r="K126" s="4442"/>
      <c r="L126" s="4443"/>
      <c r="M126" s="4442"/>
      <c r="N126" s="4442"/>
      <c r="O126" s="4443"/>
      <c r="P126" s="4442"/>
      <c r="Q126" s="4442"/>
      <c r="R126" s="4443"/>
      <c r="S126" s="4442"/>
      <c r="T126" s="4442"/>
      <c r="U126" s="4443"/>
      <c r="V126" s="4442"/>
      <c r="W126" s="4442"/>
      <c r="X126" s="4443"/>
      <c r="Y126" s="4442"/>
      <c r="Z126" s="4442"/>
      <c r="AA126" s="4443"/>
      <c r="AB126" s="4442"/>
      <c r="AC126" s="4442"/>
      <c r="AD126" s="4443"/>
      <c r="AE126" s="4442">
        <v>19</v>
      </c>
      <c r="AF126" s="4442">
        <v>16</v>
      </c>
      <c r="AG126" s="4443">
        <v>16</v>
      </c>
      <c r="AH126" s="4442">
        <v>16</v>
      </c>
      <c r="AI126" s="4442">
        <v>16</v>
      </c>
      <c r="AJ126" s="4443">
        <v>16</v>
      </c>
      <c r="AK126" s="4442">
        <v>21</v>
      </c>
      <c r="AL126" s="4442">
        <v>21</v>
      </c>
      <c r="AM126" s="4443">
        <v>21</v>
      </c>
      <c r="AN126" s="4442">
        <v>20</v>
      </c>
      <c r="AO126" s="4442">
        <v>20</v>
      </c>
      <c r="AP126" s="4443">
        <v>20</v>
      </c>
      <c r="AQ126" s="4442">
        <v>29</v>
      </c>
      <c r="AR126" s="4442">
        <v>23</v>
      </c>
      <c r="AS126" s="4443">
        <v>19</v>
      </c>
      <c r="AT126" s="4442">
        <v>16</v>
      </c>
      <c r="AU126" s="4442">
        <v>16</v>
      </c>
      <c r="AV126" s="4443">
        <v>13</v>
      </c>
      <c r="AW126" s="4441">
        <v>23</v>
      </c>
      <c r="AX126" s="4442">
        <v>24</v>
      </c>
      <c r="AY126" s="4443">
        <v>19</v>
      </c>
      <c r="AZ126" s="4442">
        <v>19</v>
      </c>
      <c r="BA126" s="4442">
        <v>19</v>
      </c>
      <c r="BB126" s="4443">
        <v>18</v>
      </c>
      <c r="BC126" s="4442">
        <v>28</v>
      </c>
      <c r="BD126" s="4442">
        <v>21</v>
      </c>
      <c r="BE126" s="4443">
        <v>18</v>
      </c>
      <c r="BF126" s="4442">
        <v>16</v>
      </c>
      <c r="BG126" s="4442">
        <v>16</v>
      </c>
      <c r="BH126" s="4443">
        <v>14</v>
      </c>
      <c r="BI126" s="4442">
        <v>24</v>
      </c>
      <c r="BJ126" s="4442">
        <v>21</v>
      </c>
      <c r="BK126" s="4443">
        <v>8</v>
      </c>
    </row>
    <row r="127" spans="2:63" ht="15" customHeight="1" x14ac:dyDescent="0.3">
      <c r="B127" s="5853"/>
      <c r="C127" s="4440" t="s">
        <v>400</v>
      </c>
      <c r="D127" s="4441"/>
      <c r="E127" s="4442"/>
      <c r="F127" s="4442"/>
      <c r="G127" s="4441"/>
      <c r="H127" s="4442"/>
      <c r="I127" s="4442"/>
      <c r="J127" s="4441"/>
      <c r="K127" s="4442"/>
      <c r="L127" s="4443"/>
      <c r="M127" s="4442"/>
      <c r="N127" s="4442"/>
      <c r="O127" s="4443"/>
      <c r="P127" s="4442"/>
      <c r="Q127" s="4442"/>
      <c r="R127" s="4443"/>
      <c r="S127" s="4442"/>
      <c r="T127" s="4442"/>
      <c r="U127" s="4443"/>
      <c r="V127" s="4442"/>
      <c r="W127" s="4442"/>
      <c r="X127" s="4443"/>
      <c r="Y127" s="4442"/>
      <c r="Z127" s="4442"/>
      <c r="AA127" s="4443"/>
      <c r="AB127" s="4442"/>
      <c r="AC127" s="4442"/>
      <c r="AD127" s="4443"/>
      <c r="AE127" s="4442"/>
      <c r="AF127" s="4442"/>
      <c r="AG127" s="4443"/>
      <c r="AH127" s="4442"/>
      <c r="AI127" s="4442"/>
      <c r="AJ127" s="4443"/>
      <c r="AK127" s="4442"/>
      <c r="AL127" s="4442"/>
      <c r="AM127" s="4443"/>
      <c r="AN127" s="4442"/>
      <c r="AO127" s="4442"/>
      <c r="AP127" s="4443"/>
      <c r="AQ127" s="4442"/>
      <c r="AR127" s="4442"/>
      <c r="AS127" s="4443"/>
      <c r="AT127" s="4442">
        <v>19</v>
      </c>
      <c r="AU127" s="4442">
        <v>17</v>
      </c>
      <c r="AV127" s="4443">
        <v>17</v>
      </c>
      <c r="AW127" s="4441">
        <v>17</v>
      </c>
      <c r="AX127" s="4442">
        <v>17</v>
      </c>
      <c r="AY127" s="4443">
        <v>17</v>
      </c>
      <c r="AZ127" s="4442">
        <v>19</v>
      </c>
      <c r="BA127" s="4442">
        <v>19</v>
      </c>
      <c r="BB127" s="4443">
        <v>19</v>
      </c>
      <c r="BC127" s="4442">
        <v>19</v>
      </c>
      <c r="BD127" s="4442">
        <v>19</v>
      </c>
      <c r="BE127" s="4443">
        <v>20</v>
      </c>
      <c r="BF127" s="4442">
        <v>20</v>
      </c>
      <c r="BG127" s="4442">
        <v>19</v>
      </c>
      <c r="BH127" s="4443">
        <v>19</v>
      </c>
      <c r="BI127" s="4442">
        <v>18</v>
      </c>
      <c r="BJ127" s="4442">
        <v>17</v>
      </c>
      <c r="BK127" s="4443">
        <v>18</v>
      </c>
    </row>
    <row r="128" spans="2:63" ht="15" customHeight="1" x14ac:dyDescent="0.3">
      <c r="B128" s="5854"/>
      <c r="C128" s="4440" t="s">
        <v>334</v>
      </c>
      <c r="D128" s="4441"/>
      <c r="E128" s="4442"/>
      <c r="F128" s="4442"/>
      <c r="G128" s="4441"/>
      <c r="H128" s="4442"/>
      <c r="I128" s="4442"/>
      <c r="J128" s="4441"/>
      <c r="K128" s="4442"/>
      <c r="L128" s="4443"/>
      <c r="M128" s="4442"/>
      <c r="N128" s="4442"/>
      <c r="O128" s="4443"/>
      <c r="P128" s="4442"/>
      <c r="Q128" s="4442"/>
      <c r="R128" s="4443"/>
      <c r="S128" s="4442"/>
      <c r="T128" s="4442"/>
      <c r="U128" s="4443"/>
      <c r="V128" s="4442"/>
      <c r="W128" s="4442"/>
      <c r="X128" s="4443"/>
      <c r="Y128" s="4442"/>
      <c r="Z128" s="4442"/>
      <c r="AA128" s="4443"/>
      <c r="AB128" s="4442"/>
      <c r="AC128" s="4442"/>
      <c r="AD128" s="4443"/>
      <c r="AE128" s="4442"/>
      <c r="AF128" s="4442"/>
      <c r="AG128" s="4443"/>
      <c r="AH128" s="4442"/>
      <c r="AI128" s="4442"/>
      <c r="AJ128" s="4443"/>
      <c r="AK128" s="4442"/>
      <c r="AL128" s="4442"/>
      <c r="AM128" s="4443"/>
      <c r="AN128" s="4442"/>
      <c r="AO128" s="4442"/>
      <c r="AP128" s="4443"/>
      <c r="AQ128" s="4442"/>
      <c r="AR128" s="4442"/>
      <c r="AS128" s="4443"/>
      <c r="AT128" s="4442">
        <v>4</v>
      </c>
      <c r="AU128" s="4442">
        <v>3</v>
      </c>
      <c r="AV128" s="4443">
        <v>3</v>
      </c>
      <c r="AW128" s="4441">
        <v>3</v>
      </c>
      <c r="AX128" s="4442">
        <v>3</v>
      </c>
      <c r="AY128" s="4443">
        <v>3</v>
      </c>
      <c r="AZ128" s="4442">
        <v>10</v>
      </c>
      <c r="BA128" s="4442">
        <v>8</v>
      </c>
      <c r="BB128" s="4443">
        <v>8</v>
      </c>
      <c r="BC128" s="4442">
        <v>8</v>
      </c>
      <c r="BD128" s="4442">
        <v>7</v>
      </c>
      <c r="BE128" s="4443">
        <v>7</v>
      </c>
      <c r="BF128" s="4442">
        <v>12</v>
      </c>
      <c r="BG128" s="4442">
        <v>13</v>
      </c>
      <c r="BH128" s="4443">
        <v>9</v>
      </c>
      <c r="BI128" s="4442">
        <v>9</v>
      </c>
      <c r="BJ128" s="4442">
        <v>9</v>
      </c>
      <c r="BK128" s="4443">
        <v>7</v>
      </c>
    </row>
    <row r="129" spans="2:63" ht="15" customHeight="1" x14ac:dyDescent="0.3">
      <c r="B129" s="5850" t="s">
        <v>317</v>
      </c>
      <c r="C129" s="1425" t="s">
        <v>1397</v>
      </c>
      <c r="D129" s="129">
        <v>15</v>
      </c>
      <c r="E129" s="130">
        <v>15</v>
      </c>
      <c r="F129" s="130">
        <v>29</v>
      </c>
      <c r="G129" s="129">
        <v>28</v>
      </c>
      <c r="H129" s="130">
        <v>28</v>
      </c>
      <c r="I129" s="130">
        <v>27</v>
      </c>
      <c r="J129" s="129">
        <v>20</v>
      </c>
      <c r="K129" s="130">
        <v>19</v>
      </c>
      <c r="L129" s="396">
        <v>29</v>
      </c>
      <c r="M129" s="130">
        <v>28</v>
      </c>
      <c r="N129" s="130">
        <v>26</v>
      </c>
      <c r="O129" s="396">
        <v>22</v>
      </c>
      <c r="P129" s="130">
        <v>24</v>
      </c>
      <c r="Q129" s="130">
        <v>20</v>
      </c>
      <c r="R129" s="396">
        <v>26</v>
      </c>
      <c r="S129" s="130">
        <v>25</v>
      </c>
      <c r="T129" s="130">
        <v>25</v>
      </c>
      <c r="U129" s="396">
        <v>19</v>
      </c>
      <c r="V129" s="130">
        <v>20</v>
      </c>
      <c r="W129" s="130">
        <v>20</v>
      </c>
      <c r="X129" s="396">
        <v>32</v>
      </c>
      <c r="Y129" s="130">
        <v>32</v>
      </c>
      <c r="Z129" s="130">
        <v>32</v>
      </c>
      <c r="AA129" s="396">
        <v>30</v>
      </c>
      <c r="AB129" s="130">
        <v>31</v>
      </c>
      <c r="AC129" s="130">
        <v>31</v>
      </c>
      <c r="AD129" s="396">
        <v>36</v>
      </c>
      <c r="AE129" s="130">
        <v>33</v>
      </c>
      <c r="AF129" s="130">
        <v>32</v>
      </c>
      <c r="AG129" s="396">
        <v>31</v>
      </c>
      <c r="AH129" s="130">
        <v>32</v>
      </c>
      <c r="AI129" s="130">
        <v>32</v>
      </c>
      <c r="AJ129" s="396">
        <v>40</v>
      </c>
      <c r="AK129" s="130">
        <v>40</v>
      </c>
      <c r="AL129" s="130">
        <v>40</v>
      </c>
      <c r="AM129" s="396">
        <v>40</v>
      </c>
      <c r="AN129" s="130">
        <v>39</v>
      </c>
      <c r="AO129" s="130">
        <v>32</v>
      </c>
      <c r="AP129" s="396">
        <v>45</v>
      </c>
      <c r="AQ129" s="130">
        <v>42</v>
      </c>
      <c r="AR129" s="130">
        <v>37</v>
      </c>
      <c r="AS129" s="396">
        <v>44</v>
      </c>
      <c r="AT129" s="130">
        <v>31</v>
      </c>
      <c r="AU129" s="130">
        <v>35</v>
      </c>
      <c r="AV129" s="396">
        <v>46</v>
      </c>
      <c r="AW129" s="129">
        <v>44</v>
      </c>
      <c r="AX129" s="130">
        <v>44</v>
      </c>
      <c r="AY129" s="396">
        <v>44</v>
      </c>
      <c r="AZ129" s="130">
        <v>42</v>
      </c>
      <c r="BA129" s="130">
        <v>63</v>
      </c>
      <c r="BB129" s="396">
        <v>44</v>
      </c>
      <c r="BC129" s="130">
        <v>43</v>
      </c>
      <c r="BD129" s="130">
        <v>44</v>
      </c>
      <c r="BE129" s="396">
        <v>41</v>
      </c>
      <c r="BF129" s="130">
        <v>42</v>
      </c>
      <c r="BG129" s="130">
        <v>42</v>
      </c>
      <c r="BH129" s="396">
        <v>41</v>
      </c>
      <c r="BI129" s="130">
        <v>42</v>
      </c>
      <c r="BJ129" s="130">
        <v>42</v>
      </c>
      <c r="BK129" s="396">
        <v>42</v>
      </c>
    </row>
    <row r="130" spans="2:63" ht="15" customHeight="1" x14ac:dyDescent="0.3">
      <c r="B130" s="5855"/>
      <c r="C130" s="1425" t="s">
        <v>335</v>
      </c>
      <c r="D130" s="129">
        <v>22</v>
      </c>
      <c r="E130" s="130">
        <v>22</v>
      </c>
      <c r="F130" s="130">
        <v>25</v>
      </c>
      <c r="G130" s="129">
        <v>28</v>
      </c>
      <c r="H130" s="130">
        <v>24</v>
      </c>
      <c r="I130" s="130">
        <v>12</v>
      </c>
      <c r="J130" s="129">
        <v>7</v>
      </c>
      <c r="K130" s="130">
        <v>29</v>
      </c>
      <c r="L130" s="396">
        <v>23</v>
      </c>
      <c r="M130" s="130">
        <v>18</v>
      </c>
      <c r="N130" s="130">
        <v>24</v>
      </c>
      <c r="O130" s="396">
        <v>20</v>
      </c>
      <c r="P130" s="130">
        <v>10</v>
      </c>
      <c r="Q130" s="130">
        <v>23</v>
      </c>
      <c r="R130" s="396"/>
      <c r="S130" s="130"/>
      <c r="T130" s="130">
        <v>19</v>
      </c>
      <c r="U130" s="396"/>
      <c r="V130" s="130"/>
      <c r="W130" s="130">
        <v>32</v>
      </c>
      <c r="X130" s="396"/>
      <c r="Y130" s="130" t="s">
        <v>122</v>
      </c>
      <c r="Z130" s="130">
        <v>39</v>
      </c>
      <c r="AA130" s="396" t="s">
        <v>122</v>
      </c>
      <c r="AB130" s="130">
        <v>4</v>
      </c>
      <c r="AC130" s="130">
        <v>4</v>
      </c>
      <c r="AD130" s="396">
        <v>4</v>
      </c>
      <c r="AE130" s="130">
        <v>3</v>
      </c>
      <c r="AF130" s="130">
        <v>3</v>
      </c>
      <c r="AG130" s="396">
        <v>4</v>
      </c>
      <c r="AH130" s="130">
        <v>4</v>
      </c>
      <c r="AI130" s="130">
        <v>3</v>
      </c>
      <c r="AJ130" s="396">
        <v>2</v>
      </c>
      <c r="AK130" s="130">
        <v>1</v>
      </c>
      <c r="AL130" s="130">
        <v>2</v>
      </c>
      <c r="AM130" s="396">
        <v>1</v>
      </c>
      <c r="AN130" s="130"/>
      <c r="AO130" s="130"/>
      <c r="AP130" s="396"/>
      <c r="AQ130" s="130"/>
      <c r="AR130" s="130"/>
      <c r="AS130" s="396"/>
      <c r="AT130" s="130">
        <v>1</v>
      </c>
      <c r="AU130" s="130"/>
      <c r="AV130" s="396">
        <v>8</v>
      </c>
      <c r="AW130" s="129">
        <v>8</v>
      </c>
      <c r="AX130" s="130">
        <v>60</v>
      </c>
      <c r="AY130" s="396">
        <v>54</v>
      </c>
      <c r="AZ130" s="130">
        <v>63</v>
      </c>
      <c r="BA130" s="130">
        <v>22</v>
      </c>
      <c r="BB130" s="396">
        <v>23</v>
      </c>
      <c r="BC130" s="130">
        <v>30</v>
      </c>
      <c r="BD130" s="130">
        <v>28</v>
      </c>
      <c r="BE130" s="396">
        <v>29</v>
      </c>
      <c r="BF130" s="130">
        <v>28</v>
      </c>
      <c r="BG130" s="130">
        <v>28</v>
      </c>
      <c r="BH130" s="396">
        <v>29</v>
      </c>
      <c r="BI130" s="130">
        <v>17</v>
      </c>
      <c r="BJ130" s="130">
        <v>13</v>
      </c>
      <c r="BK130" s="396">
        <v>13</v>
      </c>
    </row>
    <row r="131" spans="2:63" ht="15" customHeight="1" x14ac:dyDescent="0.3">
      <c r="B131" s="5855"/>
      <c r="C131" s="1401" t="s">
        <v>402</v>
      </c>
      <c r="D131" s="129">
        <v>88</v>
      </c>
      <c r="E131" s="130">
        <v>76</v>
      </c>
      <c r="F131" s="130">
        <v>75</v>
      </c>
      <c r="G131" s="129">
        <v>57</v>
      </c>
      <c r="H131" s="130">
        <v>51</v>
      </c>
      <c r="I131" s="130">
        <v>52</v>
      </c>
      <c r="J131" s="129">
        <v>94</v>
      </c>
      <c r="K131" s="130">
        <v>87</v>
      </c>
      <c r="L131" s="396">
        <v>89</v>
      </c>
      <c r="M131" s="130">
        <v>64</v>
      </c>
      <c r="N131" s="130">
        <v>58</v>
      </c>
      <c r="O131" s="396">
        <v>58</v>
      </c>
      <c r="P131" s="130">
        <v>133</v>
      </c>
      <c r="Q131" s="130">
        <v>122</v>
      </c>
      <c r="R131" s="396">
        <v>120</v>
      </c>
      <c r="S131" s="130">
        <v>120</v>
      </c>
      <c r="T131" s="130">
        <v>114</v>
      </c>
      <c r="U131" s="396">
        <v>108</v>
      </c>
      <c r="V131" s="130">
        <v>145</v>
      </c>
      <c r="W131" s="130">
        <v>154</v>
      </c>
      <c r="X131" s="396">
        <v>152</v>
      </c>
      <c r="Y131" s="130">
        <v>121</v>
      </c>
      <c r="Z131" s="130">
        <v>120</v>
      </c>
      <c r="AA131" s="396">
        <v>111</v>
      </c>
      <c r="AB131" s="130">
        <v>145</v>
      </c>
      <c r="AC131" s="130">
        <v>115</v>
      </c>
      <c r="AD131" s="396">
        <v>108</v>
      </c>
      <c r="AE131" s="130">
        <v>106</v>
      </c>
      <c r="AF131" s="130">
        <v>95</v>
      </c>
      <c r="AG131" s="396">
        <v>93</v>
      </c>
      <c r="AH131" s="130">
        <v>120</v>
      </c>
      <c r="AI131" s="130">
        <v>118</v>
      </c>
      <c r="AJ131" s="396">
        <v>108</v>
      </c>
      <c r="AK131" s="130">
        <v>96</v>
      </c>
      <c r="AL131" s="130">
        <v>101</v>
      </c>
      <c r="AM131" s="396">
        <v>100</v>
      </c>
      <c r="AN131" s="130">
        <v>114</v>
      </c>
      <c r="AO131" s="130">
        <v>108</v>
      </c>
      <c r="AP131" s="396">
        <v>107</v>
      </c>
      <c r="AQ131" s="130">
        <v>106</v>
      </c>
      <c r="AR131" s="130">
        <v>103</v>
      </c>
      <c r="AS131" s="396">
        <v>104</v>
      </c>
      <c r="AT131" s="130">
        <v>130</v>
      </c>
      <c r="AU131" s="130">
        <v>131</v>
      </c>
      <c r="AV131" s="396">
        <v>116</v>
      </c>
      <c r="AW131" s="129">
        <v>112</v>
      </c>
      <c r="AX131" s="130">
        <v>113</v>
      </c>
      <c r="AY131" s="396">
        <v>110</v>
      </c>
      <c r="AZ131" s="130">
        <v>148</v>
      </c>
      <c r="BA131" s="130">
        <v>134</v>
      </c>
      <c r="BB131" s="396">
        <v>130</v>
      </c>
      <c r="BC131" s="130">
        <v>128</v>
      </c>
      <c r="BD131" s="130">
        <v>122</v>
      </c>
      <c r="BE131" s="396">
        <v>120</v>
      </c>
      <c r="BF131" s="130">
        <v>161</v>
      </c>
      <c r="BG131" s="130">
        <v>128</v>
      </c>
      <c r="BH131" s="396">
        <v>125</v>
      </c>
      <c r="BI131" s="130">
        <v>121</v>
      </c>
      <c r="BJ131" s="130">
        <v>118</v>
      </c>
      <c r="BK131" s="396">
        <v>119</v>
      </c>
    </row>
    <row r="132" spans="2:63" ht="15" customHeight="1" x14ac:dyDescent="0.25">
      <c r="B132" s="5855"/>
      <c r="C132" s="1439" t="s">
        <v>403</v>
      </c>
      <c r="D132" s="129"/>
      <c r="E132" s="130"/>
      <c r="F132" s="130"/>
      <c r="G132" s="129"/>
      <c r="H132" s="130"/>
      <c r="I132" s="130"/>
      <c r="J132" s="129"/>
      <c r="K132" s="130"/>
      <c r="L132" s="396"/>
      <c r="M132" s="130"/>
      <c r="N132" s="130"/>
      <c r="O132" s="396"/>
      <c r="P132" s="130"/>
      <c r="Q132" s="130"/>
      <c r="R132" s="396"/>
      <c r="S132" s="130"/>
      <c r="T132" s="130"/>
      <c r="U132" s="396"/>
      <c r="V132" s="130"/>
      <c r="W132" s="130"/>
      <c r="X132" s="396"/>
      <c r="Y132" s="130"/>
      <c r="Z132" s="130"/>
      <c r="AA132" s="396"/>
      <c r="AB132" s="130"/>
      <c r="AC132" s="130"/>
      <c r="AD132" s="396"/>
      <c r="AE132" s="130"/>
      <c r="AF132" s="130"/>
      <c r="AG132" s="396"/>
      <c r="AH132" s="130"/>
      <c r="AI132" s="130"/>
      <c r="AJ132" s="396"/>
      <c r="AK132" s="130"/>
      <c r="AL132" s="130"/>
      <c r="AM132" s="396"/>
      <c r="AN132" s="130"/>
      <c r="AO132" s="130"/>
      <c r="AP132" s="396"/>
      <c r="AQ132" s="130"/>
      <c r="AR132" s="130"/>
      <c r="AS132" s="396"/>
      <c r="AT132" s="130"/>
      <c r="AU132" s="130"/>
      <c r="AV132" s="396"/>
      <c r="AW132" s="129">
        <v>8</v>
      </c>
      <c r="AX132" s="130">
        <v>9</v>
      </c>
      <c r="AY132" s="396">
        <v>9</v>
      </c>
      <c r="AZ132" s="130">
        <v>9</v>
      </c>
      <c r="BA132" s="130">
        <v>9</v>
      </c>
      <c r="BB132" s="396">
        <v>9</v>
      </c>
      <c r="BC132" s="130">
        <v>22</v>
      </c>
      <c r="BD132" s="130">
        <v>20</v>
      </c>
      <c r="BE132" s="396">
        <v>20</v>
      </c>
      <c r="BF132" s="130">
        <v>19</v>
      </c>
      <c r="BG132" s="130">
        <v>19</v>
      </c>
      <c r="BH132" s="396">
        <v>19</v>
      </c>
      <c r="BI132" s="130">
        <v>21</v>
      </c>
      <c r="BJ132" s="130">
        <v>25</v>
      </c>
      <c r="BK132" s="396">
        <v>29</v>
      </c>
    </row>
    <row r="133" spans="2:63" ht="15" customHeight="1" x14ac:dyDescent="0.3">
      <c r="B133" s="5855"/>
      <c r="C133" s="1425" t="s">
        <v>334</v>
      </c>
      <c r="D133" s="129"/>
      <c r="E133" s="130"/>
      <c r="F133" s="130"/>
      <c r="G133" s="129"/>
      <c r="H133" s="130"/>
      <c r="I133" s="130"/>
      <c r="J133" s="129"/>
      <c r="K133" s="130"/>
      <c r="L133" s="396"/>
      <c r="M133" s="130"/>
      <c r="N133" s="130"/>
      <c r="O133" s="396"/>
      <c r="P133" s="130"/>
      <c r="Q133" s="130"/>
      <c r="R133" s="396"/>
      <c r="S133" s="130"/>
      <c r="T133" s="130"/>
      <c r="U133" s="396"/>
      <c r="V133" s="130"/>
      <c r="W133" s="130"/>
      <c r="X133" s="396"/>
      <c r="Y133" s="130"/>
      <c r="Z133" s="130"/>
      <c r="AA133" s="396"/>
      <c r="AB133" s="130"/>
      <c r="AC133" s="130"/>
      <c r="AD133" s="396"/>
      <c r="AE133" s="130"/>
      <c r="AF133" s="130"/>
      <c r="AG133" s="396"/>
      <c r="AH133" s="130"/>
      <c r="AI133" s="130"/>
      <c r="AJ133" s="396"/>
      <c r="AK133" s="130"/>
      <c r="AL133" s="130"/>
      <c r="AM133" s="396"/>
      <c r="AN133" s="130"/>
      <c r="AO133" s="130"/>
      <c r="AP133" s="396"/>
      <c r="AQ133" s="130"/>
      <c r="AR133" s="130"/>
      <c r="AS133" s="396"/>
      <c r="AT133" s="130">
        <v>1</v>
      </c>
      <c r="AU133" s="130">
        <v>1</v>
      </c>
      <c r="AV133" s="396">
        <v>1</v>
      </c>
      <c r="AW133" s="129">
        <v>1</v>
      </c>
      <c r="AX133" s="130">
        <v>1</v>
      </c>
      <c r="AY133" s="396">
        <v>1</v>
      </c>
      <c r="AZ133" s="130">
        <v>4</v>
      </c>
      <c r="BA133" s="130">
        <v>4</v>
      </c>
      <c r="BB133" s="396">
        <v>3</v>
      </c>
      <c r="BC133" s="130">
        <v>3</v>
      </c>
      <c r="BD133" s="130">
        <v>3</v>
      </c>
      <c r="BE133" s="396">
        <v>3</v>
      </c>
      <c r="BF133" s="130">
        <v>2</v>
      </c>
      <c r="BG133" s="130">
        <v>1</v>
      </c>
      <c r="BH133" s="396">
        <v>1</v>
      </c>
      <c r="BI133" s="130">
        <v>1</v>
      </c>
      <c r="BJ133" s="130">
        <v>1</v>
      </c>
      <c r="BK133" s="396">
        <v>23</v>
      </c>
    </row>
    <row r="134" spans="2:63" ht="15" customHeight="1" x14ac:dyDescent="0.3">
      <c r="B134" s="5851"/>
      <c r="C134" s="1401" t="s">
        <v>378</v>
      </c>
      <c r="D134" s="129"/>
      <c r="E134" s="130"/>
      <c r="F134" s="130"/>
      <c r="G134" s="129"/>
      <c r="H134" s="130"/>
      <c r="I134" s="130"/>
      <c r="J134" s="129"/>
      <c r="K134" s="130"/>
      <c r="L134" s="396"/>
      <c r="M134" s="130"/>
      <c r="N134" s="130"/>
      <c r="O134" s="396"/>
      <c r="P134" s="130"/>
      <c r="Q134" s="130"/>
      <c r="R134" s="396"/>
      <c r="S134" s="130"/>
      <c r="T134" s="130"/>
      <c r="U134" s="396"/>
      <c r="V134" s="130"/>
      <c r="W134" s="130"/>
      <c r="X134" s="396"/>
      <c r="Y134" s="130"/>
      <c r="Z134" s="130"/>
      <c r="AA134" s="396"/>
      <c r="AB134" s="130"/>
      <c r="AC134" s="130"/>
      <c r="AD134" s="396"/>
      <c r="AE134" s="130"/>
      <c r="AF134" s="130"/>
      <c r="AG134" s="396"/>
      <c r="AH134" s="130"/>
      <c r="AI134" s="130"/>
      <c r="AJ134" s="396"/>
      <c r="AK134" s="130"/>
      <c r="AL134" s="130"/>
      <c r="AM134" s="396"/>
      <c r="AN134" s="130"/>
      <c r="AO134" s="130"/>
      <c r="AP134" s="396"/>
      <c r="AQ134" s="130"/>
      <c r="AR134" s="130"/>
      <c r="AS134" s="396"/>
      <c r="AT134" s="130"/>
      <c r="AU134" s="130"/>
      <c r="AV134" s="396">
        <v>15</v>
      </c>
      <c r="AW134" s="129">
        <v>15</v>
      </c>
      <c r="AX134" s="130">
        <v>15</v>
      </c>
      <c r="AY134" s="396">
        <v>14</v>
      </c>
      <c r="AZ134" s="130">
        <v>14</v>
      </c>
      <c r="BA134" s="130">
        <v>13</v>
      </c>
      <c r="BB134" s="396">
        <v>26</v>
      </c>
      <c r="BC134" s="130">
        <v>24</v>
      </c>
      <c r="BD134" s="130">
        <v>26</v>
      </c>
      <c r="BE134" s="396">
        <v>26</v>
      </c>
      <c r="BF134" s="130">
        <v>25</v>
      </c>
      <c r="BG134" s="130">
        <v>24</v>
      </c>
      <c r="BH134" s="396">
        <v>35</v>
      </c>
      <c r="BI134" s="130">
        <v>34</v>
      </c>
      <c r="BJ134" s="130">
        <v>31</v>
      </c>
      <c r="BK134" s="396">
        <v>2</v>
      </c>
    </row>
    <row r="135" spans="2:63" ht="15" customHeight="1" x14ac:dyDescent="0.25">
      <c r="B135" s="1307"/>
      <c r="C135" s="1391" t="s">
        <v>64</v>
      </c>
      <c r="D135" s="1392">
        <f t="shared" ref="D135:AS135" si="45">SUM(D116:D131)</f>
        <v>280</v>
      </c>
      <c r="E135" s="1393">
        <f t="shared" si="45"/>
        <v>279</v>
      </c>
      <c r="F135" s="1393">
        <f t="shared" si="45"/>
        <v>308</v>
      </c>
      <c r="G135" s="1392">
        <f t="shared" si="45"/>
        <v>263</v>
      </c>
      <c r="H135" s="1393">
        <f t="shared" si="45"/>
        <v>237</v>
      </c>
      <c r="I135" s="1393">
        <f t="shared" si="45"/>
        <v>262</v>
      </c>
      <c r="J135" s="1392">
        <f t="shared" si="45"/>
        <v>275</v>
      </c>
      <c r="K135" s="1393">
        <f t="shared" si="45"/>
        <v>280</v>
      </c>
      <c r="L135" s="1394">
        <f t="shared" si="45"/>
        <v>291</v>
      </c>
      <c r="M135" s="1393">
        <f t="shared" si="45"/>
        <v>256</v>
      </c>
      <c r="N135" s="1393">
        <f t="shared" si="45"/>
        <v>248</v>
      </c>
      <c r="O135" s="1394">
        <f t="shared" si="45"/>
        <v>278</v>
      </c>
      <c r="P135" s="1393">
        <f t="shared" si="45"/>
        <v>333</v>
      </c>
      <c r="Q135" s="1393">
        <f t="shared" si="45"/>
        <v>310</v>
      </c>
      <c r="R135" s="1394">
        <f t="shared" si="45"/>
        <v>299</v>
      </c>
      <c r="S135" s="1393">
        <f t="shared" si="45"/>
        <v>291</v>
      </c>
      <c r="T135" s="1393">
        <f t="shared" si="45"/>
        <v>319</v>
      </c>
      <c r="U135" s="1394">
        <f t="shared" si="45"/>
        <v>338</v>
      </c>
      <c r="V135" s="1393">
        <f t="shared" si="45"/>
        <v>358</v>
      </c>
      <c r="W135" s="1393">
        <f t="shared" si="45"/>
        <v>413</v>
      </c>
      <c r="X135" s="1394">
        <f t="shared" si="45"/>
        <v>374</v>
      </c>
      <c r="Y135" s="1393">
        <f t="shared" si="45"/>
        <v>329</v>
      </c>
      <c r="Z135" s="1393">
        <f t="shared" si="45"/>
        <v>399</v>
      </c>
      <c r="AA135" s="1394">
        <f t="shared" si="45"/>
        <v>332</v>
      </c>
      <c r="AB135" s="1393">
        <f t="shared" si="45"/>
        <v>364</v>
      </c>
      <c r="AC135" s="1393">
        <f t="shared" si="45"/>
        <v>328</v>
      </c>
      <c r="AD135" s="1394">
        <f t="shared" si="45"/>
        <v>335</v>
      </c>
      <c r="AE135" s="1393">
        <f t="shared" si="45"/>
        <v>324</v>
      </c>
      <c r="AF135" s="1393">
        <f t="shared" si="45"/>
        <v>309</v>
      </c>
      <c r="AG135" s="1394">
        <f t="shared" si="45"/>
        <v>359</v>
      </c>
      <c r="AH135" s="1393">
        <f t="shared" si="45"/>
        <v>390</v>
      </c>
      <c r="AI135" s="1393">
        <f t="shared" si="45"/>
        <v>353</v>
      </c>
      <c r="AJ135" s="1394">
        <f t="shared" si="45"/>
        <v>337</v>
      </c>
      <c r="AK135" s="1393">
        <f t="shared" si="45"/>
        <v>320</v>
      </c>
      <c r="AL135" s="1393">
        <f t="shared" si="45"/>
        <v>325</v>
      </c>
      <c r="AM135" s="1394">
        <f t="shared" si="45"/>
        <v>376</v>
      </c>
      <c r="AN135" s="1393">
        <f t="shared" si="45"/>
        <v>346</v>
      </c>
      <c r="AO135" s="1393">
        <f t="shared" si="45"/>
        <v>327</v>
      </c>
      <c r="AP135" s="1394">
        <f t="shared" si="45"/>
        <v>340</v>
      </c>
      <c r="AQ135" s="1393">
        <f t="shared" si="45"/>
        <v>372</v>
      </c>
      <c r="AR135" s="1393">
        <f t="shared" si="45"/>
        <v>357</v>
      </c>
      <c r="AS135" s="1394">
        <f t="shared" si="45"/>
        <v>356</v>
      </c>
      <c r="AT135" s="1393">
        <f>SUM(AT116:AT133)</f>
        <v>396</v>
      </c>
      <c r="AU135" s="1393">
        <f>SUM(AU116:AU133)</f>
        <v>368</v>
      </c>
      <c r="AV135" s="1394">
        <f t="shared" ref="AV135:BB135" si="46">SUM(AV116:AV134)</f>
        <v>380</v>
      </c>
      <c r="AW135" s="1392">
        <f t="shared" si="46"/>
        <v>388</v>
      </c>
      <c r="AX135" s="1393">
        <f t="shared" si="46"/>
        <v>463</v>
      </c>
      <c r="AY135" s="1394">
        <f t="shared" si="46"/>
        <v>485</v>
      </c>
      <c r="AZ135" s="1393">
        <f t="shared" si="46"/>
        <v>506</v>
      </c>
      <c r="BA135" s="1393">
        <f t="shared" si="46"/>
        <v>473</v>
      </c>
      <c r="BB135" s="1394">
        <f t="shared" si="46"/>
        <v>434</v>
      </c>
      <c r="BC135" s="1393">
        <f t="shared" ref="BC135:BH135" si="47">SUM(BC116:BC134)</f>
        <v>451</v>
      </c>
      <c r="BD135" s="1393">
        <f t="shared" si="47"/>
        <v>546</v>
      </c>
      <c r="BE135" s="1394">
        <f t="shared" si="47"/>
        <v>464</v>
      </c>
      <c r="BF135" s="1393">
        <f t="shared" si="47"/>
        <v>485</v>
      </c>
      <c r="BG135" s="1393">
        <f t="shared" si="47"/>
        <v>443</v>
      </c>
      <c r="BH135" s="1394">
        <f t="shared" si="47"/>
        <v>434</v>
      </c>
      <c r="BI135" s="1393">
        <f t="shared" ref="BI135:BJ135" si="48">SUM(BI116:BI134)</f>
        <v>441</v>
      </c>
      <c r="BJ135" s="1393">
        <f t="shared" si="48"/>
        <v>432</v>
      </c>
      <c r="BK135" s="1394">
        <f>SUM(BK116:BK134)</f>
        <v>446</v>
      </c>
    </row>
    <row r="136" spans="2:63" ht="15" customHeight="1" x14ac:dyDescent="0.3">
      <c r="B136" s="5850" t="s">
        <v>308</v>
      </c>
      <c r="C136" s="1426" t="s">
        <v>404</v>
      </c>
      <c r="D136" s="1398">
        <v>8</v>
      </c>
      <c r="E136" s="1399">
        <v>8</v>
      </c>
      <c r="F136" s="1399">
        <v>6</v>
      </c>
      <c r="G136" s="1398">
        <v>10</v>
      </c>
      <c r="H136" s="1399">
        <v>10</v>
      </c>
      <c r="I136" s="1399">
        <v>10</v>
      </c>
      <c r="J136" s="1398"/>
      <c r="K136" s="1399"/>
      <c r="L136" s="1400"/>
      <c r="M136" s="1399">
        <v>13</v>
      </c>
      <c r="N136" s="1399">
        <v>11</v>
      </c>
      <c r="O136" s="1400">
        <v>11</v>
      </c>
      <c r="P136" s="1399">
        <v>8</v>
      </c>
      <c r="Q136" s="1399">
        <v>8</v>
      </c>
      <c r="R136" s="1400">
        <v>8</v>
      </c>
      <c r="S136" s="1399">
        <v>12</v>
      </c>
      <c r="T136" s="1399">
        <v>12</v>
      </c>
      <c r="U136" s="1400">
        <v>12</v>
      </c>
      <c r="V136" s="1399">
        <v>10</v>
      </c>
      <c r="W136" s="1399">
        <v>8</v>
      </c>
      <c r="X136" s="1400">
        <v>7</v>
      </c>
      <c r="Y136" s="1399"/>
      <c r="Z136" s="1399" t="s">
        <v>122</v>
      </c>
      <c r="AA136" s="1400" t="s">
        <v>122</v>
      </c>
      <c r="AB136" s="1399">
        <v>17</v>
      </c>
      <c r="AC136" s="1399">
        <v>9</v>
      </c>
      <c r="AD136" s="1400">
        <v>9</v>
      </c>
      <c r="AE136" s="1399">
        <v>9</v>
      </c>
      <c r="AF136" s="1399"/>
      <c r="AG136" s="1400"/>
      <c r="AH136" s="1399">
        <v>12</v>
      </c>
      <c r="AI136" s="1399">
        <v>9</v>
      </c>
      <c r="AJ136" s="1400">
        <v>1</v>
      </c>
      <c r="AK136" s="1399">
        <v>8</v>
      </c>
      <c r="AL136" s="1399"/>
      <c r="AM136" s="1400"/>
      <c r="AN136" s="1399"/>
      <c r="AO136" s="1399"/>
      <c r="AP136" s="1400"/>
      <c r="AQ136" s="1399"/>
      <c r="AR136" s="1399"/>
      <c r="AS136" s="1400"/>
      <c r="AT136" s="1399"/>
      <c r="AU136" s="1399"/>
      <c r="AV136" s="1400"/>
      <c r="AW136" s="1398"/>
      <c r="AX136" s="1399"/>
      <c r="AY136" s="1400"/>
      <c r="AZ136" s="1399"/>
      <c r="BA136" s="1399"/>
      <c r="BB136" s="1400"/>
      <c r="BC136" s="1399"/>
      <c r="BD136" s="1399"/>
      <c r="BE136" s="1400"/>
      <c r="BF136" s="1399"/>
      <c r="BG136" s="1399"/>
      <c r="BH136" s="1400"/>
      <c r="BI136" s="1399"/>
      <c r="BJ136" s="1399"/>
      <c r="BK136" s="1400"/>
    </row>
    <row r="137" spans="2:63" ht="15" customHeight="1" x14ac:dyDescent="0.3">
      <c r="B137" s="5855"/>
      <c r="C137" s="1427" t="s">
        <v>405</v>
      </c>
      <c r="D137" s="129">
        <v>4</v>
      </c>
      <c r="E137" s="130"/>
      <c r="F137" s="130"/>
      <c r="G137" s="129"/>
      <c r="H137" s="130"/>
      <c r="I137" s="130"/>
      <c r="J137" s="129"/>
      <c r="K137" s="130"/>
      <c r="L137" s="396"/>
      <c r="M137" s="130"/>
      <c r="N137" s="130"/>
      <c r="O137" s="396"/>
      <c r="P137" s="130"/>
      <c r="Q137" s="130"/>
      <c r="R137" s="396"/>
      <c r="S137" s="130"/>
      <c r="T137" s="130"/>
      <c r="U137" s="396"/>
      <c r="V137" s="130"/>
      <c r="W137" s="130"/>
      <c r="X137" s="396"/>
      <c r="Y137" s="130"/>
      <c r="Z137" s="130"/>
      <c r="AA137" s="396"/>
      <c r="AB137" s="130"/>
      <c r="AC137" s="130"/>
      <c r="AD137" s="396"/>
      <c r="AE137" s="130"/>
      <c r="AF137" s="130"/>
      <c r="AG137" s="396"/>
      <c r="AH137" s="130"/>
      <c r="AI137" s="130"/>
      <c r="AJ137" s="396"/>
      <c r="AK137" s="130"/>
      <c r="AL137" s="130"/>
      <c r="AM137" s="396"/>
      <c r="AN137" s="130"/>
      <c r="AO137" s="130"/>
      <c r="AP137" s="396"/>
      <c r="AQ137" s="130"/>
      <c r="AR137" s="130"/>
      <c r="AS137" s="396"/>
      <c r="AT137" s="130"/>
      <c r="AU137" s="130"/>
      <c r="AV137" s="396"/>
      <c r="AW137" s="129"/>
      <c r="AX137" s="130"/>
      <c r="AY137" s="396"/>
      <c r="AZ137" s="130"/>
      <c r="BA137" s="130"/>
      <c r="BB137" s="396"/>
      <c r="BC137" s="130"/>
      <c r="BD137" s="130"/>
      <c r="BE137" s="396"/>
      <c r="BF137" s="130"/>
      <c r="BG137" s="130"/>
      <c r="BH137" s="396"/>
      <c r="BI137" s="130"/>
      <c r="BJ137" s="130"/>
      <c r="BK137" s="396"/>
    </row>
    <row r="138" spans="2:63" ht="15" customHeight="1" x14ac:dyDescent="0.3">
      <c r="B138" s="5851"/>
      <c r="C138" s="1427" t="s">
        <v>406</v>
      </c>
      <c r="D138" s="129"/>
      <c r="E138" s="130"/>
      <c r="F138" s="130"/>
      <c r="G138" s="129"/>
      <c r="H138" s="130"/>
      <c r="I138" s="130"/>
      <c r="J138" s="129"/>
      <c r="K138" s="130"/>
      <c r="L138" s="396"/>
      <c r="M138" s="130"/>
      <c r="N138" s="130"/>
      <c r="O138" s="396"/>
      <c r="P138" s="130"/>
      <c r="Q138" s="130"/>
      <c r="R138" s="396"/>
      <c r="S138" s="130"/>
      <c r="T138" s="130"/>
      <c r="U138" s="396"/>
      <c r="V138" s="130"/>
      <c r="W138" s="130"/>
      <c r="X138" s="396"/>
      <c r="Y138" s="130">
        <v>1</v>
      </c>
      <c r="Z138" s="130"/>
      <c r="AA138" s="396"/>
      <c r="AB138" s="130">
        <v>14</v>
      </c>
      <c r="AC138" s="130">
        <v>11</v>
      </c>
      <c r="AD138" s="396">
        <v>19</v>
      </c>
      <c r="AE138" s="130">
        <v>20</v>
      </c>
      <c r="AF138" s="130">
        <v>20</v>
      </c>
      <c r="AG138" s="396">
        <v>16</v>
      </c>
      <c r="AH138" s="130">
        <v>18</v>
      </c>
      <c r="AI138" s="130">
        <v>20</v>
      </c>
      <c r="AJ138" s="396">
        <v>9</v>
      </c>
      <c r="AK138" s="130">
        <v>9</v>
      </c>
      <c r="AL138" s="130">
        <v>10</v>
      </c>
      <c r="AM138" s="396">
        <v>10</v>
      </c>
      <c r="AN138" s="130">
        <v>11</v>
      </c>
      <c r="AO138" s="130">
        <v>6</v>
      </c>
      <c r="AP138" s="396">
        <v>6</v>
      </c>
      <c r="AQ138" s="130">
        <v>12</v>
      </c>
      <c r="AR138" s="130">
        <v>12</v>
      </c>
      <c r="AS138" s="396">
        <v>12</v>
      </c>
      <c r="AT138" s="130">
        <v>9</v>
      </c>
      <c r="AU138" s="130">
        <v>4</v>
      </c>
      <c r="AV138" s="396">
        <v>2</v>
      </c>
      <c r="AW138" s="129"/>
      <c r="AX138" s="130"/>
      <c r="AY138" s="396"/>
      <c r="AZ138" s="130"/>
      <c r="BA138" s="130"/>
      <c r="BB138" s="396"/>
      <c r="BC138" s="130"/>
      <c r="BD138" s="130"/>
      <c r="BE138" s="396"/>
      <c r="BF138" s="130"/>
      <c r="BG138" s="130"/>
      <c r="BH138" s="396"/>
      <c r="BI138" s="130"/>
      <c r="BJ138" s="130"/>
      <c r="BK138" s="396"/>
    </row>
    <row r="139" spans="2:63" ht="15" customHeight="1" x14ac:dyDescent="0.3">
      <c r="B139" s="5852" t="s">
        <v>310</v>
      </c>
      <c r="C139" s="4459" t="s">
        <v>407</v>
      </c>
      <c r="D139" s="4441"/>
      <c r="E139" s="4442"/>
      <c r="F139" s="4442"/>
      <c r="G139" s="4441"/>
      <c r="H139" s="4442"/>
      <c r="I139" s="4442"/>
      <c r="J139" s="4441"/>
      <c r="K139" s="4442"/>
      <c r="L139" s="4443"/>
      <c r="M139" s="4442"/>
      <c r="N139" s="4442"/>
      <c r="O139" s="4443"/>
      <c r="P139" s="4442"/>
      <c r="Q139" s="4442"/>
      <c r="R139" s="4443"/>
      <c r="S139" s="4442"/>
      <c r="T139" s="4442"/>
      <c r="U139" s="4443"/>
      <c r="V139" s="4442"/>
      <c r="W139" s="4442"/>
      <c r="X139" s="4443"/>
      <c r="Y139" s="4442">
        <v>6</v>
      </c>
      <c r="Z139" s="4442">
        <v>6</v>
      </c>
      <c r="AA139" s="4443">
        <v>6</v>
      </c>
      <c r="AB139" s="4442"/>
      <c r="AC139" s="4442">
        <v>1</v>
      </c>
      <c r="AD139" s="4443">
        <v>1</v>
      </c>
      <c r="AE139" s="4442">
        <v>10</v>
      </c>
      <c r="AF139" s="4442">
        <v>9</v>
      </c>
      <c r="AG139" s="4443">
        <v>9</v>
      </c>
      <c r="AH139" s="4442">
        <v>7</v>
      </c>
      <c r="AI139" s="4442">
        <v>7</v>
      </c>
      <c r="AJ139" s="4443"/>
      <c r="AK139" s="4442">
        <v>8</v>
      </c>
      <c r="AL139" s="4442">
        <v>7</v>
      </c>
      <c r="AM139" s="4443">
        <v>7</v>
      </c>
      <c r="AN139" s="4442">
        <v>12</v>
      </c>
      <c r="AO139" s="4442">
        <v>11</v>
      </c>
      <c r="AP139" s="4443">
        <v>11</v>
      </c>
      <c r="AQ139" s="4442">
        <v>10</v>
      </c>
      <c r="AR139" s="4442">
        <v>9</v>
      </c>
      <c r="AS139" s="4443">
        <v>9</v>
      </c>
      <c r="AT139" s="4442">
        <v>11</v>
      </c>
      <c r="AU139" s="4442">
        <v>11</v>
      </c>
      <c r="AV139" s="4443">
        <v>11</v>
      </c>
      <c r="AW139" s="4441">
        <v>11</v>
      </c>
      <c r="AX139" s="4442">
        <v>11</v>
      </c>
      <c r="AY139" s="4443">
        <v>11</v>
      </c>
      <c r="AZ139" s="4442">
        <v>7</v>
      </c>
      <c r="BA139" s="4442">
        <v>7</v>
      </c>
      <c r="BB139" s="4443">
        <v>7</v>
      </c>
      <c r="BC139" s="4442">
        <v>7</v>
      </c>
      <c r="BD139" s="4442">
        <v>7</v>
      </c>
      <c r="BE139" s="4443">
        <v>7</v>
      </c>
      <c r="BF139" s="4442">
        <v>7</v>
      </c>
      <c r="BG139" s="4442">
        <v>6</v>
      </c>
      <c r="BH139" s="4443">
        <v>6</v>
      </c>
      <c r="BI139" s="4442">
        <v>6</v>
      </c>
      <c r="BJ139" s="4442">
        <v>5</v>
      </c>
      <c r="BK139" s="4443">
        <v>5</v>
      </c>
    </row>
    <row r="140" spans="2:63" ht="15" customHeight="1" x14ac:dyDescent="0.3">
      <c r="B140" s="5853"/>
      <c r="C140" s="4459" t="s">
        <v>408</v>
      </c>
      <c r="D140" s="4441">
        <v>16</v>
      </c>
      <c r="E140" s="4442">
        <v>16</v>
      </c>
      <c r="F140" s="4442">
        <v>16</v>
      </c>
      <c r="G140" s="4441">
        <v>14</v>
      </c>
      <c r="H140" s="4442">
        <v>14</v>
      </c>
      <c r="I140" s="4442">
        <v>13</v>
      </c>
      <c r="J140" s="4441">
        <v>13</v>
      </c>
      <c r="K140" s="4442">
        <v>13</v>
      </c>
      <c r="L140" s="4443">
        <v>13</v>
      </c>
      <c r="M140" s="4442">
        <v>12</v>
      </c>
      <c r="N140" s="4442">
        <v>11</v>
      </c>
      <c r="O140" s="4443">
        <v>11</v>
      </c>
      <c r="P140" s="4442">
        <v>11</v>
      </c>
      <c r="Q140" s="4442">
        <v>11</v>
      </c>
      <c r="R140" s="4443">
        <v>16</v>
      </c>
      <c r="S140" s="4442">
        <v>15</v>
      </c>
      <c r="T140" s="4442">
        <v>15</v>
      </c>
      <c r="U140" s="4443">
        <v>14</v>
      </c>
      <c r="V140" s="4442">
        <v>15</v>
      </c>
      <c r="W140" s="4442">
        <v>17</v>
      </c>
      <c r="X140" s="4443">
        <v>17</v>
      </c>
      <c r="Y140" s="4442">
        <v>15</v>
      </c>
      <c r="Z140" s="4442">
        <v>14</v>
      </c>
      <c r="AA140" s="4443">
        <v>14</v>
      </c>
      <c r="AB140" s="4442">
        <v>13</v>
      </c>
      <c r="AC140" s="4442">
        <v>14</v>
      </c>
      <c r="AD140" s="4443">
        <v>3</v>
      </c>
      <c r="AE140" s="4442">
        <v>2</v>
      </c>
      <c r="AF140" s="4442"/>
      <c r="AG140" s="4443">
        <v>5</v>
      </c>
      <c r="AH140" s="4442">
        <v>20</v>
      </c>
      <c r="AI140" s="4442">
        <v>21</v>
      </c>
      <c r="AJ140" s="4443">
        <v>12</v>
      </c>
      <c r="AK140" s="4442">
        <v>10</v>
      </c>
      <c r="AL140" s="4442">
        <v>10</v>
      </c>
      <c r="AM140" s="4443">
        <v>11</v>
      </c>
      <c r="AN140" s="4442">
        <v>13</v>
      </c>
      <c r="AO140" s="4442">
        <v>12</v>
      </c>
      <c r="AP140" s="4443">
        <v>20</v>
      </c>
      <c r="AQ140" s="4442">
        <v>13</v>
      </c>
      <c r="AR140" s="4442">
        <v>13</v>
      </c>
      <c r="AS140" s="4443">
        <v>13</v>
      </c>
      <c r="AT140" s="4442">
        <v>14</v>
      </c>
      <c r="AU140" s="4442">
        <v>14</v>
      </c>
      <c r="AV140" s="4443">
        <v>16</v>
      </c>
      <c r="AW140" s="4441">
        <v>9</v>
      </c>
      <c r="AX140" s="4442">
        <v>7</v>
      </c>
      <c r="AY140" s="4443">
        <v>8</v>
      </c>
      <c r="AZ140" s="4442">
        <v>8</v>
      </c>
      <c r="BA140" s="4442">
        <v>20</v>
      </c>
      <c r="BB140" s="4443">
        <v>15</v>
      </c>
      <c r="BC140" s="4442">
        <v>14</v>
      </c>
      <c r="BD140" s="4442">
        <v>13</v>
      </c>
      <c r="BE140" s="4443">
        <v>13</v>
      </c>
      <c r="BF140" s="4442">
        <v>13</v>
      </c>
      <c r="BG140" s="4442">
        <v>16</v>
      </c>
      <c r="BH140" s="4443">
        <v>15</v>
      </c>
      <c r="BI140" s="4442">
        <v>14</v>
      </c>
      <c r="BJ140" s="4442">
        <v>13</v>
      </c>
      <c r="BK140" s="4443">
        <v>15</v>
      </c>
    </row>
    <row r="141" spans="2:63" ht="15" customHeight="1" x14ac:dyDescent="0.3">
      <c r="B141" s="5853"/>
      <c r="C141" s="4459" t="s">
        <v>409</v>
      </c>
      <c r="D141" s="4441">
        <v>24</v>
      </c>
      <c r="E141" s="4442">
        <v>18</v>
      </c>
      <c r="F141" s="4442">
        <v>7</v>
      </c>
      <c r="G141" s="4441">
        <v>19</v>
      </c>
      <c r="H141" s="4442">
        <v>19</v>
      </c>
      <c r="I141" s="4442">
        <v>13</v>
      </c>
      <c r="J141" s="4441">
        <v>13</v>
      </c>
      <c r="K141" s="4442">
        <v>13</v>
      </c>
      <c r="L141" s="4443">
        <v>26</v>
      </c>
      <c r="M141" s="4442">
        <v>25</v>
      </c>
      <c r="N141" s="4442">
        <v>24</v>
      </c>
      <c r="O141" s="4443">
        <v>25</v>
      </c>
      <c r="P141" s="4442">
        <v>22</v>
      </c>
      <c r="Q141" s="4442">
        <v>20</v>
      </c>
      <c r="R141" s="4443">
        <v>32</v>
      </c>
      <c r="S141" s="4442">
        <v>20</v>
      </c>
      <c r="T141" s="4442">
        <v>19</v>
      </c>
      <c r="U141" s="4443">
        <v>34</v>
      </c>
      <c r="V141" s="4442">
        <v>26</v>
      </c>
      <c r="W141" s="4442">
        <v>26</v>
      </c>
      <c r="X141" s="4443">
        <v>29</v>
      </c>
      <c r="Y141" s="4442">
        <v>30</v>
      </c>
      <c r="Z141" s="4442">
        <v>30</v>
      </c>
      <c r="AA141" s="4443">
        <v>32</v>
      </c>
      <c r="AB141" s="4442">
        <v>28</v>
      </c>
      <c r="AC141" s="4442">
        <v>28</v>
      </c>
      <c r="AD141" s="4443">
        <v>29</v>
      </c>
      <c r="AE141" s="4442">
        <v>27</v>
      </c>
      <c r="AF141" s="4442">
        <v>25</v>
      </c>
      <c r="AG141" s="4443">
        <v>38</v>
      </c>
      <c r="AH141" s="4442">
        <v>32</v>
      </c>
      <c r="AI141" s="4442">
        <v>31</v>
      </c>
      <c r="AJ141" s="4443">
        <v>37</v>
      </c>
      <c r="AK141" s="4442">
        <v>29</v>
      </c>
      <c r="AL141" s="4442">
        <v>29</v>
      </c>
      <c r="AM141" s="4443">
        <v>41</v>
      </c>
      <c r="AN141" s="4442">
        <v>32</v>
      </c>
      <c r="AO141" s="4442">
        <v>32</v>
      </c>
      <c r="AP141" s="4443">
        <v>30</v>
      </c>
      <c r="AQ141" s="4442">
        <v>29</v>
      </c>
      <c r="AR141" s="4442">
        <v>26</v>
      </c>
      <c r="AS141" s="4443">
        <v>26</v>
      </c>
      <c r="AT141" s="4442">
        <v>23</v>
      </c>
      <c r="AU141" s="4442">
        <v>23</v>
      </c>
      <c r="AV141" s="4443">
        <v>27</v>
      </c>
      <c r="AW141" s="4441">
        <v>27</v>
      </c>
      <c r="AX141" s="4442">
        <v>26</v>
      </c>
      <c r="AY141" s="4443">
        <v>40</v>
      </c>
      <c r="AZ141" s="4442">
        <v>31</v>
      </c>
      <c r="BA141" s="4442">
        <v>31</v>
      </c>
      <c r="BB141" s="4443">
        <v>33</v>
      </c>
      <c r="BC141" s="4442">
        <v>34</v>
      </c>
      <c r="BD141" s="4442">
        <v>30</v>
      </c>
      <c r="BE141" s="4443">
        <v>39</v>
      </c>
      <c r="BF141" s="4442">
        <v>23</v>
      </c>
      <c r="BG141" s="4442">
        <v>23</v>
      </c>
      <c r="BH141" s="4443">
        <v>40</v>
      </c>
      <c r="BI141" s="4442">
        <v>23</v>
      </c>
      <c r="BJ141" s="4442">
        <v>22</v>
      </c>
      <c r="BK141" s="4443">
        <v>35</v>
      </c>
    </row>
    <row r="142" spans="2:63" ht="15" customHeight="1" x14ac:dyDescent="0.3">
      <c r="B142" s="5853"/>
      <c r="C142" s="4459" t="s">
        <v>410</v>
      </c>
      <c r="D142" s="4441">
        <v>8</v>
      </c>
      <c r="E142" s="4442">
        <v>9</v>
      </c>
      <c r="F142" s="4442">
        <v>14</v>
      </c>
      <c r="G142" s="4441">
        <v>6</v>
      </c>
      <c r="H142" s="4442">
        <v>6</v>
      </c>
      <c r="I142" s="4442">
        <v>6</v>
      </c>
      <c r="J142" s="4441">
        <v>12</v>
      </c>
      <c r="K142" s="4442">
        <v>10</v>
      </c>
      <c r="L142" s="4443">
        <v>10</v>
      </c>
      <c r="M142" s="4442">
        <v>10</v>
      </c>
      <c r="N142" s="4442">
        <v>10</v>
      </c>
      <c r="O142" s="4443">
        <v>14</v>
      </c>
      <c r="P142" s="4442">
        <v>15</v>
      </c>
      <c r="Q142" s="4442">
        <v>8</v>
      </c>
      <c r="R142" s="4443">
        <v>8</v>
      </c>
      <c r="S142" s="4442">
        <v>9</v>
      </c>
      <c r="T142" s="4442">
        <v>11</v>
      </c>
      <c r="U142" s="4443">
        <v>14</v>
      </c>
      <c r="V142" s="4442">
        <v>9</v>
      </c>
      <c r="W142" s="4442">
        <v>9</v>
      </c>
      <c r="X142" s="4443">
        <v>9</v>
      </c>
      <c r="Y142" s="4442">
        <v>11</v>
      </c>
      <c r="Z142" s="4442">
        <v>16</v>
      </c>
      <c r="AA142" s="4443">
        <v>11</v>
      </c>
      <c r="AB142" s="4442">
        <v>11</v>
      </c>
      <c r="AC142" s="4442">
        <v>10</v>
      </c>
      <c r="AD142" s="4443">
        <v>13</v>
      </c>
      <c r="AE142" s="4442">
        <v>18</v>
      </c>
      <c r="AF142" s="4442">
        <v>13</v>
      </c>
      <c r="AG142" s="4443">
        <v>12</v>
      </c>
      <c r="AH142" s="4442">
        <v>12</v>
      </c>
      <c r="AI142" s="4442">
        <v>14</v>
      </c>
      <c r="AJ142" s="4443">
        <v>17</v>
      </c>
      <c r="AK142" s="4442">
        <v>10</v>
      </c>
      <c r="AL142" s="4442">
        <v>9</v>
      </c>
      <c r="AM142" s="4443">
        <v>9</v>
      </c>
      <c r="AN142" s="4442">
        <v>19</v>
      </c>
      <c r="AO142" s="4442">
        <v>14</v>
      </c>
      <c r="AP142" s="4443">
        <v>15</v>
      </c>
      <c r="AQ142" s="4442">
        <v>15</v>
      </c>
      <c r="AR142" s="4442">
        <v>13</v>
      </c>
      <c r="AS142" s="4443">
        <v>14</v>
      </c>
      <c r="AT142" s="4442">
        <v>23</v>
      </c>
      <c r="AU142" s="4442">
        <v>13</v>
      </c>
      <c r="AV142" s="4443">
        <v>14</v>
      </c>
      <c r="AW142" s="4441">
        <v>13</v>
      </c>
      <c r="AX142" s="4442">
        <v>11</v>
      </c>
      <c r="AY142" s="4443">
        <v>16</v>
      </c>
      <c r="AZ142" s="4442">
        <v>10</v>
      </c>
      <c r="BA142" s="4442">
        <v>10</v>
      </c>
      <c r="BB142" s="4443">
        <v>10</v>
      </c>
      <c r="BC142" s="4442">
        <v>20</v>
      </c>
      <c r="BD142" s="4442">
        <v>12</v>
      </c>
      <c r="BE142" s="4443">
        <v>10</v>
      </c>
      <c r="BF142" s="4442">
        <v>10</v>
      </c>
      <c r="BG142" s="4442">
        <v>10</v>
      </c>
      <c r="BH142" s="4443">
        <v>10</v>
      </c>
      <c r="BI142" s="4442">
        <v>9</v>
      </c>
      <c r="BJ142" s="4442">
        <v>7</v>
      </c>
      <c r="BK142" s="4443">
        <v>7</v>
      </c>
    </row>
    <row r="143" spans="2:63" ht="15" customHeight="1" x14ac:dyDescent="0.3">
      <c r="B143" s="5853"/>
      <c r="C143" s="4459" t="s">
        <v>450</v>
      </c>
      <c r="D143" s="4441">
        <v>7</v>
      </c>
      <c r="E143" s="4442">
        <v>7</v>
      </c>
      <c r="F143" s="4442">
        <v>10</v>
      </c>
      <c r="G143" s="4441">
        <v>10</v>
      </c>
      <c r="H143" s="4442">
        <v>10</v>
      </c>
      <c r="I143" s="4442">
        <v>10</v>
      </c>
      <c r="J143" s="4441">
        <v>9</v>
      </c>
      <c r="K143" s="4442">
        <v>9</v>
      </c>
      <c r="L143" s="4443">
        <v>5</v>
      </c>
      <c r="M143" s="4442">
        <v>5</v>
      </c>
      <c r="N143" s="4442">
        <v>4</v>
      </c>
      <c r="O143" s="4443">
        <v>4</v>
      </c>
      <c r="P143" s="4442">
        <v>5</v>
      </c>
      <c r="Q143" s="4442">
        <v>4</v>
      </c>
      <c r="R143" s="4443">
        <v>15</v>
      </c>
      <c r="S143" s="4442">
        <v>9</v>
      </c>
      <c r="T143" s="4442">
        <v>9</v>
      </c>
      <c r="U143" s="4443">
        <v>8</v>
      </c>
      <c r="V143" s="4442">
        <v>7</v>
      </c>
      <c r="W143" s="4442">
        <v>8</v>
      </c>
      <c r="X143" s="4443">
        <v>6</v>
      </c>
      <c r="Y143" s="4442">
        <v>1</v>
      </c>
      <c r="Z143" s="4442">
        <v>0</v>
      </c>
      <c r="AA143" s="4443">
        <v>6</v>
      </c>
      <c r="AB143" s="4442">
        <v>6</v>
      </c>
      <c r="AC143" s="4442">
        <v>6</v>
      </c>
      <c r="AD143" s="4443">
        <v>5</v>
      </c>
      <c r="AE143" s="4442">
        <v>5</v>
      </c>
      <c r="AF143" s="4442">
        <v>5</v>
      </c>
      <c r="AG143" s="4443">
        <v>6</v>
      </c>
      <c r="AH143" s="4442">
        <v>6</v>
      </c>
      <c r="AI143" s="4442">
        <v>5</v>
      </c>
      <c r="AJ143" s="4443">
        <v>4</v>
      </c>
      <c r="AK143" s="4442">
        <v>4</v>
      </c>
      <c r="AL143" s="4442">
        <v>4</v>
      </c>
      <c r="AM143" s="4443">
        <v>1</v>
      </c>
      <c r="AN143" s="4442"/>
      <c r="AO143" s="4442"/>
      <c r="AP143" s="4443">
        <v>7</v>
      </c>
      <c r="AQ143" s="4442">
        <v>6</v>
      </c>
      <c r="AR143" s="4442">
        <v>7</v>
      </c>
      <c r="AS143" s="4443">
        <v>6</v>
      </c>
      <c r="AT143" s="4442">
        <v>6</v>
      </c>
      <c r="AU143" s="4442">
        <v>6</v>
      </c>
      <c r="AV143" s="4443">
        <v>11</v>
      </c>
      <c r="AW143" s="4441">
        <v>11</v>
      </c>
      <c r="AX143" s="4442">
        <v>9</v>
      </c>
      <c r="AY143" s="4443">
        <v>9</v>
      </c>
      <c r="AZ143" s="4442">
        <v>9</v>
      </c>
      <c r="BA143" s="4442">
        <v>9</v>
      </c>
      <c r="BB143" s="4443">
        <v>10</v>
      </c>
      <c r="BC143" s="4442">
        <v>10</v>
      </c>
      <c r="BD143" s="4442">
        <v>8</v>
      </c>
      <c r="BE143" s="4443">
        <v>7</v>
      </c>
      <c r="BF143" s="4442">
        <v>8</v>
      </c>
      <c r="BG143" s="4442">
        <v>7</v>
      </c>
      <c r="BH143" s="4443">
        <v>6</v>
      </c>
      <c r="BI143" s="4442">
        <v>5</v>
      </c>
      <c r="BJ143" s="4442">
        <v>5</v>
      </c>
      <c r="BK143" s="4443">
        <v>5</v>
      </c>
    </row>
    <row r="144" spans="2:63" ht="15" customHeight="1" x14ac:dyDescent="0.3">
      <c r="B144" s="5853"/>
      <c r="C144" s="4459" t="s">
        <v>451</v>
      </c>
      <c r="D144" s="4441">
        <v>24</v>
      </c>
      <c r="E144" s="4442">
        <v>18</v>
      </c>
      <c r="F144" s="4442">
        <v>17</v>
      </c>
      <c r="G144" s="4441">
        <v>18</v>
      </c>
      <c r="H144" s="4442">
        <v>15</v>
      </c>
      <c r="I144" s="4442">
        <v>18</v>
      </c>
      <c r="J144" s="4441">
        <v>21</v>
      </c>
      <c r="K144" s="4442">
        <v>20</v>
      </c>
      <c r="L144" s="4443">
        <v>29</v>
      </c>
      <c r="M144" s="4442">
        <v>23</v>
      </c>
      <c r="N144" s="4442">
        <v>27</v>
      </c>
      <c r="O144" s="4443">
        <v>24</v>
      </c>
      <c r="P144" s="4442">
        <v>20</v>
      </c>
      <c r="Q144" s="4442">
        <v>27</v>
      </c>
      <c r="R144" s="4443">
        <v>25</v>
      </c>
      <c r="S144" s="4442">
        <v>26</v>
      </c>
      <c r="T144" s="4442">
        <v>25</v>
      </c>
      <c r="U144" s="4443">
        <v>34</v>
      </c>
      <c r="V144" s="4442">
        <v>42</v>
      </c>
      <c r="W144" s="4442">
        <v>44</v>
      </c>
      <c r="X144" s="4443">
        <v>44</v>
      </c>
      <c r="Y144" s="4442">
        <v>43</v>
      </c>
      <c r="Z144" s="4442">
        <v>46</v>
      </c>
      <c r="AA144" s="4443">
        <v>38</v>
      </c>
      <c r="AB144" s="4442">
        <v>34</v>
      </c>
      <c r="AC144" s="4442">
        <v>25</v>
      </c>
      <c r="AD144" s="4443">
        <v>23</v>
      </c>
      <c r="AE144" s="4442">
        <v>27</v>
      </c>
      <c r="AF144" s="4442">
        <v>28</v>
      </c>
      <c r="AG144" s="4443">
        <v>28</v>
      </c>
      <c r="AH144" s="4442">
        <v>29</v>
      </c>
      <c r="AI144" s="4442">
        <v>36</v>
      </c>
      <c r="AJ144" s="4443">
        <v>36</v>
      </c>
      <c r="AK144" s="4442">
        <v>35</v>
      </c>
      <c r="AL144" s="4442">
        <v>39</v>
      </c>
      <c r="AM144" s="4443">
        <v>42</v>
      </c>
      <c r="AN144" s="4442">
        <v>40</v>
      </c>
      <c r="AO144" s="4442">
        <v>42</v>
      </c>
      <c r="AP144" s="4443">
        <v>39</v>
      </c>
      <c r="AQ144" s="4442">
        <v>40</v>
      </c>
      <c r="AR144" s="4442">
        <v>40</v>
      </c>
      <c r="AS144" s="4443">
        <v>39</v>
      </c>
      <c r="AT144" s="4442">
        <v>40</v>
      </c>
      <c r="AU144" s="4442">
        <v>40</v>
      </c>
      <c r="AV144" s="4443">
        <v>39</v>
      </c>
      <c r="AW144" s="4441">
        <v>33</v>
      </c>
      <c r="AX144" s="4442">
        <v>37</v>
      </c>
      <c r="AY144" s="4443">
        <v>34</v>
      </c>
      <c r="AZ144" s="4442">
        <v>36</v>
      </c>
      <c r="BA144" s="4442">
        <v>38</v>
      </c>
      <c r="BB144" s="4443">
        <v>35</v>
      </c>
      <c r="BC144" s="4442">
        <v>41</v>
      </c>
      <c r="BD144" s="4442">
        <v>45</v>
      </c>
      <c r="BE144" s="4443">
        <v>42</v>
      </c>
      <c r="BF144" s="4442">
        <v>45</v>
      </c>
      <c r="BG144" s="4442">
        <v>43</v>
      </c>
      <c r="BH144" s="4443">
        <v>46</v>
      </c>
      <c r="BI144" s="4442">
        <v>48</v>
      </c>
      <c r="BJ144" s="4442">
        <v>39</v>
      </c>
      <c r="BK144" s="4443">
        <v>43</v>
      </c>
    </row>
    <row r="145" spans="2:63" ht="15" customHeight="1" x14ac:dyDescent="0.3">
      <c r="B145" s="5853"/>
      <c r="C145" s="4459" t="s">
        <v>413</v>
      </c>
      <c r="D145" s="4441">
        <v>14</v>
      </c>
      <c r="E145" s="4442">
        <v>12</v>
      </c>
      <c r="F145" s="4442">
        <v>24</v>
      </c>
      <c r="G145" s="4441">
        <v>16</v>
      </c>
      <c r="H145" s="4442">
        <v>15</v>
      </c>
      <c r="I145" s="4442">
        <v>17</v>
      </c>
      <c r="J145" s="4441">
        <v>16</v>
      </c>
      <c r="K145" s="4442">
        <v>16</v>
      </c>
      <c r="L145" s="4443">
        <v>31</v>
      </c>
      <c r="M145" s="4442">
        <v>30</v>
      </c>
      <c r="N145" s="4442">
        <v>29</v>
      </c>
      <c r="O145" s="4443">
        <v>40</v>
      </c>
      <c r="P145" s="4442">
        <v>42</v>
      </c>
      <c r="Q145" s="4442">
        <v>40</v>
      </c>
      <c r="R145" s="4443">
        <v>36</v>
      </c>
      <c r="S145" s="4442">
        <v>30</v>
      </c>
      <c r="T145" s="4442">
        <v>31</v>
      </c>
      <c r="U145" s="4443">
        <v>33</v>
      </c>
      <c r="V145" s="4442">
        <v>32</v>
      </c>
      <c r="W145" s="4442">
        <v>32</v>
      </c>
      <c r="X145" s="4443">
        <v>41</v>
      </c>
      <c r="Y145" s="4442">
        <v>39</v>
      </c>
      <c r="Z145" s="4442">
        <v>36</v>
      </c>
      <c r="AA145" s="4443">
        <v>41</v>
      </c>
      <c r="AB145" s="4442">
        <v>40</v>
      </c>
      <c r="AC145" s="4442">
        <v>48</v>
      </c>
      <c r="AD145" s="4443">
        <v>48</v>
      </c>
      <c r="AE145" s="4442">
        <v>45</v>
      </c>
      <c r="AF145" s="4442">
        <v>56</v>
      </c>
      <c r="AG145" s="4443">
        <v>59</v>
      </c>
      <c r="AH145" s="4442">
        <v>55</v>
      </c>
      <c r="AI145" s="4442">
        <v>55</v>
      </c>
      <c r="AJ145" s="4443">
        <v>54</v>
      </c>
      <c r="AK145" s="4442">
        <v>52</v>
      </c>
      <c r="AL145" s="4442">
        <v>60</v>
      </c>
      <c r="AM145" s="4443">
        <v>65</v>
      </c>
      <c r="AN145" s="4442">
        <v>56</v>
      </c>
      <c r="AO145" s="4442">
        <v>58</v>
      </c>
      <c r="AP145" s="4443">
        <v>52</v>
      </c>
      <c r="AQ145" s="4442">
        <v>50</v>
      </c>
      <c r="AR145" s="4442">
        <v>53</v>
      </c>
      <c r="AS145" s="4443">
        <v>48</v>
      </c>
      <c r="AT145" s="4442">
        <v>46</v>
      </c>
      <c r="AU145" s="4442">
        <v>45</v>
      </c>
      <c r="AV145" s="4443">
        <v>52</v>
      </c>
      <c r="AW145" s="4441">
        <v>49</v>
      </c>
      <c r="AX145" s="4442">
        <v>57</v>
      </c>
      <c r="AY145" s="4443">
        <v>70</v>
      </c>
      <c r="AZ145" s="4442">
        <v>58</v>
      </c>
      <c r="BA145" s="4442">
        <v>72</v>
      </c>
      <c r="BB145" s="4443">
        <v>61</v>
      </c>
      <c r="BC145" s="4442">
        <v>71</v>
      </c>
      <c r="BD145" s="4442">
        <v>57</v>
      </c>
      <c r="BE145" s="4443">
        <v>55</v>
      </c>
      <c r="BF145" s="4442">
        <v>35</v>
      </c>
      <c r="BG145" s="4442">
        <v>42</v>
      </c>
      <c r="BH145" s="4443">
        <v>41</v>
      </c>
      <c r="BI145" s="4442">
        <v>30</v>
      </c>
      <c r="BJ145" s="4442">
        <v>43</v>
      </c>
      <c r="BK145" s="4443">
        <v>40</v>
      </c>
    </row>
    <row r="146" spans="2:63" ht="15" customHeight="1" x14ac:dyDescent="0.3">
      <c r="B146" s="5853"/>
      <c r="C146" s="4460" t="s">
        <v>414</v>
      </c>
      <c r="D146" s="4441"/>
      <c r="E146" s="4442"/>
      <c r="F146" s="4442"/>
      <c r="G146" s="4441"/>
      <c r="H146" s="4442"/>
      <c r="I146" s="4442"/>
      <c r="J146" s="4441"/>
      <c r="K146" s="4442"/>
      <c r="L146" s="4443"/>
      <c r="M146" s="4442"/>
      <c r="N146" s="4442"/>
      <c r="O146" s="4443"/>
      <c r="P146" s="4442"/>
      <c r="Q146" s="4442"/>
      <c r="R146" s="4443"/>
      <c r="S146" s="4442"/>
      <c r="T146" s="4442"/>
      <c r="U146" s="4443"/>
      <c r="V146" s="4442"/>
      <c r="W146" s="4442"/>
      <c r="X146" s="4443"/>
      <c r="Y146" s="4442"/>
      <c r="Z146" s="4442"/>
      <c r="AA146" s="4443"/>
      <c r="AB146" s="4442"/>
      <c r="AC146" s="4442"/>
      <c r="AD146" s="4443"/>
      <c r="AE146" s="4442"/>
      <c r="AF146" s="4442"/>
      <c r="AG146" s="4443"/>
      <c r="AH146" s="4442"/>
      <c r="AI146" s="4442"/>
      <c r="AJ146" s="4443"/>
      <c r="AK146" s="4442"/>
      <c r="AL146" s="4442"/>
      <c r="AM146" s="4443"/>
      <c r="AN146" s="4442"/>
      <c r="AO146" s="4442"/>
      <c r="AP146" s="4443"/>
      <c r="AQ146" s="4442"/>
      <c r="AR146" s="4442"/>
      <c r="AS146" s="4443"/>
      <c r="AT146" s="4442"/>
      <c r="AU146" s="4442"/>
      <c r="AV146" s="4443"/>
      <c r="AW146" s="4441"/>
      <c r="AX146" s="4442">
        <v>10</v>
      </c>
      <c r="AY146" s="4443">
        <v>10</v>
      </c>
      <c r="AZ146" s="4442">
        <v>10</v>
      </c>
      <c r="BA146" s="4442">
        <v>16</v>
      </c>
      <c r="BB146" s="4443">
        <v>16</v>
      </c>
      <c r="BC146" s="4442">
        <v>16</v>
      </c>
      <c r="BD146" s="4442">
        <v>7</v>
      </c>
      <c r="BE146" s="4443">
        <v>7</v>
      </c>
      <c r="BF146" s="4442">
        <v>15</v>
      </c>
      <c r="BG146" s="4442">
        <v>8</v>
      </c>
      <c r="BH146" s="4443">
        <v>8</v>
      </c>
      <c r="BI146" s="4442">
        <v>8</v>
      </c>
      <c r="BJ146" s="4442">
        <v>8</v>
      </c>
      <c r="BK146" s="4443">
        <v>10</v>
      </c>
    </row>
    <row r="147" spans="2:63" ht="15" customHeight="1" x14ac:dyDescent="0.3">
      <c r="B147" s="5853"/>
      <c r="C147" s="4459" t="s">
        <v>415</v>
      </c>
      <c r="D147" s="4441"/>
      <c r="E147" s="4442"/>
      <c r="F147" s="4442"/>
      <c r="G147" s="4441"/>
      <c r="H147" s="4442"/>
      <c r="I147" s="4442"/>
      <c r="J147" s="4441"/>
      <c r="K147" s="4442"/>
      <c r="L147" s="4443"/>
      <c r="M147" s="4442"/>
      <c r="N147" s="4442"/>
      <c r="O147" s="4443"/>
      <c r="P147" s="4442"/>
      <c r="Q147" s="4442"/>
      <c r="R147" s="4443"/>
      <c r="S147" s="4442"/>
      <c r="T147" s="4442"/>
      <c r="U147" s="4443"/>
      <c r="V147" s="4442"/>
      <c r="W147" s="4442"/>
      <c r="X147" s="4443"/>
      <c r="Y147" s="4442"/>
      <c r="Z147" s="4442"/>
      <c r="AA147" s="4443"/>
      <c r="AB147" s="4442"/>
      <c r="AC147" s="4442"/>
      <c r="AD147" s="4443"/>
      <c r="AE147" s="4442"/>
      <c r="AF147" s="4442"/>
      <c r="AG147" s="4443"/>
      <c r="AH147" s="4442"/>
      <c r="AI147" s="4442"/>
      <c r="AJ147" s="4443"/>
      <c r="AK147" s="4442"/>
      <c r="AL147" s="4442">
        <v>10</v>
      </c>
      <c r="AM147" s="4443">
        <v>9</v>
      </c>
      <c r="AN147" s="4442">
        <v>9</v>
      </c>
      <c r="AO147" s="4442">
        <v>20</v>
      </c>
      <c r="AP147" s="4443">
        <v>20</v>
      </c>
      <c r="AQ147" s="4442">
        <v>20</v>
      </c>
      <c r="AR147" s="4442">
        <v>19</v>
      </c>
      <c r="AS147" s="4443">
        <v>20</v>
      </c>
      <c r="AT147" s="4442">
        <v>19</v>
      </c>
      <c r="AU147" s="4442">
        <v>19</v>
      </c>
      <c r="AV147" s="4443">
        <v>16</v>
      </c>
      <c r="AW147" s="4441">
        <v>16</v>
      </c>
      <c r="AX147" s="4442">
        <v>15</v>
      </c>
      <c r="AY147" s="4443">
        <v>14</v>
      </c>
      <c r="AZ147" s="4442">
        <v>14</v>
      </c>
      <c r="BA147" s="4442">
        <v>17</v>
      </c>
      <c r="BB147" s="4443">
        <v>15</v>
      </c>
      <c r="BC147" s="4442">
        <v>15</v>
      </c>
      <c r="BD147" s="4442">
        <v>21</v>
      </c>
      <c r="BE147" s="4443">
        <v>16</v>
      </c>
      <c r="BF147" s="4442">
        <v>16</v>
      </c>
      <c r="BG147" s="4442">
        <v>19</v>
      </c>
      <c r="BH147" s="4443">
        <v>17</v>
      </c>
      <c r="BI147" s="4442">
        <v>16</v>
      </c>
      <c r="BJ147" s="4442">
        <v>22</v>
      </c>
      <c r="BK147" s="4443">
        <v>19</v>
      </c>
    </row>
    <row r="148" spans="2:63" ht="15" customHeight="1" x14ac:dyDescent="0.3">
      <c r="B148" s="4975"/>
      <c r="C148" s="4459" t="s">
        <v>1536</v>
      </c>
      <c r="D148" s="4441"/>
      <c r="E148" s="4442"/>
      <c r="F148" s="4442"/>
      <c r="G148" s="4441"/>
      <c r="H148" s="4442"/>
      <c r="I148" s="4442"/>
      <c r="J148" s="4441"/>
      <c r="K148" s="4442"/>
      <c r="L148" s="4443"/>
      <c r="M148" s="4442"/>
      <c r="N148" s="4442"/>
      <c r="O148" s="4443"/>
      <c r="P148" s="4442"/>
      <c r="Q148" s="4442"/>
      <c r="R148" s="4443"/>
      <c r="S148" s="4442"/>
      <c r="T148" s="4442"/>
      <c r="U148" s="4443"/>
      <c r="V148" s="4442"/>
      <c r="W148" s="4442"/>
      <c r="X148" s="4443"/>
      <c r="Y148" s="4442"/>
      <c r="Z148" s="4442"/>
      <c r="AA148" s="4443"/>
      <c r="AB148" s="4442"/>
      <c r="AC148" s="4442"/>
      <c r="AD148" s="4443"/>
      <c r="AE148" s="4442"/>
      <c r="AF148" s="4442"/>
      <c r="AG148" s="4443"/>
      <c r="AH148" s="4442"/>
      <c r="AI148" s="4442"/>
      <c r="AJ148" s="4443"/>
      <c r="AK148" s="4442"/>
      <c r="AL148" s="4442"/>
      <c r="AM148" s="4443"/>
      <c r="AN148" s="4442"/>
      <c r="AO148" s="4442"/>
      <c r="AP148" s="4443"/>
      <c r="AQ148" s="4442"/>
      <c r="AR148" s="4442"/>
      <c r="AS148" s="4443"/>
      <c r="AT148" s="4442"/>
      <c r="AU148" s="4442"/>
      <c r="AV148" s="4443"/>
      <c r="AW148" s="4441"/>
      <c r="AX148" s="4442"/>
      <c r="AY148" s="4443"/>
      <c r="AZ148" s="4442"/>
      <c r="BA148" s="4442"/>
      <c r="BB148" s="4443"/>
      <c r="BC148" s="4442"/>
      <c r="BD148" s="4442"/>
      <c r="BE148" s="4443"/>
      <c r="BF148" s="4442"/>
      <c r="BG148" s="4442"/>
      <c r="BH148" s="4443"/>
      <c r="BI148" s="4442">
        <v>11</v>
      </c>
      <c r="BJ148" s="4442">
        <v>11</v>
      </c>
      <c r="BK148" s="4443">
        <v>11</v>
      </c>
    </row>
    <row r="149" spans="2:63" ht="15" customHeight="1" x14ac:dyDescent="0.3">
      <c r="B149" s="5850" t="s">
        <v>317</v>
      </c>
      <c r="C149" s="1402" t="s">
        <v>354</v>
      </c>
      <c r="D149" s="129">
        <v>62</v>
      </c>
      <c r="E149" s="130">
        <v>56</v>
      </c>
      <c r="F149" s="130">
        <v>55</v>
      </c>
      <c r="G149" s="129">
        <v>47</v>
      </c>
      <c r="H149" s="130">
        <v>46</v>
      </c>
      <c r="I149" s="130">
        <v>44</v>
      </c>
      <c r="J149" s="129">
        <v>43</v>
      </c>
      <c r="K149" s="130">
        <v>41</v>
      </c>
      <c r="L149" s="396">
        <v>38</v>
      </c>
      <c r="M149" s="130">
        <v>38</v>
      </c>
      <c r="N149" s="130">
        <v>28</v>
      </c>
      <c r="O149" s="396">
        <v>38</v>
      </c>
      <c r="P149" s="130">
        <v>49</v>
      </c>
      <c r="Q149" s="130">
        <v>41</v>
      </c>
      <c r="R149" s="396">
        <v>42</v>
      </c>
      <c r="S149" s="130">
        <v>44</v>
      </c>
      <c r="T149" s="130">
        <v>35</v>
      </c>
      <c r="U149" s="396">
        <v>40</v>
      </c>
      <c r="V149" s="130">
        <v>36</v>
      </c>
      <c r="W149" s="130">
        <v>43</v>
      </c>
      <c r="X149" s="396">
        <v>54</v>
      </c>
      <c r="Y149" s="130">
        <v>61</v>
      </c>
      <c r="Z149" s="130">
        <v>54</v>
      </c>
      <c r="AA149" s="396">
        <v>57</v>
      </c>
      <c r="AB149" s="130">
        <v>65</v>
      </c>
      <c r="AC149" s="130">
        <v>55</v>
      </c>
      <c r="AD149" s="396">
        <v>65</v>
      </c>
      <c r="AE149" s="130">
        <v>65</v>
      </c>
      <c r="AF149" s="130">
        <v>62</v>
      </c>
      <c r="AG149" s="396">
        <v>63</v>
      </c>
      <c r="AH149" s="130">
        <v>61</v>
      </c>
      <c r="AI149" s="130">
        <v>61</v>
      </c>
      <c r="AJ149" s="396">
        <v>59</v>
      </c>
      <c r="AK149" s="130">
        <v>57</v>
      </c>
      <c r="AL149" s="130">
        <v>61</v>
      </c>
      <c r="AM149" s="396">
        <v>64</v>
      </c>
      <c r="AN149" s="130">
        <v>70</v>
      </c>
      <c r="AO149" s="130">
        <v>63</v>
      </c>
      <c r="AP149" s="396">
        <v>70</v>
      </c>
      <c r="AQ149" s="130">
        <v>75</v>
      </c>
      <c r="AR149" s="130">
        <v>64</v>
      </c>
      <c r="AS149" s="396">
        <v>73</v>
      </c>
      <c r="AT149" s="130">
        <v>76</v>
      </c>
      <c r="AU149" s="130">
        <v>74</v>
      </c>
      <c r="AV149" s="396">
        <v>71</v>
      </c>
      <c r="AW149" s="129">
        <v>69</v>
      </c>
      <c r="AX149" s="130">
        <v>70</v>
      </c>
      <c r="AY149" s="396">
        <v>75</v>
      </c>
      <c r="AZ149" s="130">
        <v>68</v>
      </c>
      <c r="BA149" s="130">
        <v>70</v>
      </c>
      <c r="BB149" s="396">
        <v>75</v>
      </c>
      <c r="BC149" s="130">
        <v>75</v>
      </c>
      <c r="BD149" s="130">
        <v>68</v>
      </c>
      <c r="BE149" s="396">
        <v>70</v>
      </c>
      <c r="BF149" s="130">
        <v>77</v>
      </c>
      <c r="BG149" s="130">
        <v>77</v>
      </c>
      <c r="BH149" s="396">
        <v>69</v>
      </c>
      <c r="BI149" s="130">
        <v>64</v>
      </c>
      <c r="BJ149" s="130">
        <v>58</v>
      </c>
      <c r="BK149" s="396">
        <v>60</v>
      </c>
    </row>
    <row r="150" spans="2:63" ht="15" customHeight="1" x14ac:dyDescent="0.3">
      <c r="B150" s="5855"/>
      <c r="C150" s="1427" t="s">
        <v>451</v>
      </c>
      <c r="D150" s="196"/>
      <c r="E150" s="197"/>
      <c r="F150" s="197"/>
      <c r="G150" s="196"/>
      <c r="H150" s="197"/>
      <c r="I150" s="197"/>
      <c r="J150" s="196"/>
      <c r="K150" s="197"/>
      <c r="L150" s="397"/>
      <c r="M150" s="197"/>
      <c r="N150" s="197"/>
      <c r="O150" s="397"/>
      <c r="P150" s="197"/>
      <c r="Q150" s="197"/>
      <c r="R150" s="397"/>
      <c r="S150" s="197"/>
      <c r="T150" s="197"/>
      <c r="U150" s="397"/>
      <c r="V150" s="197"/>
      <c r="W150" s="197"/>
      <c r="X150" s="397"/>
      <c r="Y150" s="197"/>
      <c r="Z150" s="197"/>
      <c r="AA150" s="397"/>
      <c r="AB150" s="197"/>
      <c r="AC150" s="197"/>
      <c r="AD150" s="397"/>
      <c r="AE150" s="197"/>
      <c r="AF150" s="197"/>
      <c r="AG150" s="397"/>
      <c r="AH150" s="197"/>
      <c r="AI150" s="197"/>
      <c r="AJ150" s="397"/>
      <c r="AK150" s="197"/>
      <c r="AL150" s="197"/>
      <c r="AM150" s="397"/>
      <c r="AN150" s="197"/>
      <c r="AO150" s="197"/>
      <c r="AP150" s="397"/>
      <c r="AQ150" s="197"/>
      <c r="AR150" s="197"/>
      <c r="AS150" s="397"/>
      <c r="AT150" s="197"/>
      <c r="AU150" s="197"/>
      <c r="AV150" s="397"/>
      <c r="AW150" s="196"/>
      <c r="AX150" s="197"/>
      <c r="AY150" s="397"/>
      <c r="AZ150" s="197"/>
      <c r="BA150" s="197"/>
      <c r="BB150" s="397"/>
      <c r="BC150" s="197"/>
      <c r="BD150" s="197"/>
      <c r="BE150" s="397"/>
      <c r="BF150" s="197">
        <v>1</v>
      </c>
      <c r="BG150" s="197">
        <v>1</v>
      </c>
      <c r="BH150" s="397">
        <v>2</v>
      </c>
      <c r="BI150" s="197">
        <v>3</v>
      </c>
      <c r="BJ150" s="197">
        <v>3</v>
      </c>
      <c r="BK150" s="397">
        <v>5</v>
      </c>
    </row>
    <row r="151" spans="2:63" ht="15" customHeight="1" x14ac:dyDescent="0.3">
      <c r="B151" s="5855"/>
      <c r="C151" s="1389" t="s">
        <v>416</v>
      </c>
      <c r="D151" s="196"/>
      <c r="E151" s="197"/>
      <c r="F151" s="197">
        <v>11</v>
      </c>
      <c r="G151" s="196">
        <v>10</v>
      </c>
      <c r="H151" s="197">
        <v>10</v>
      </c>
      <c r="I151" s="197">
        <v>14</v>
      </c>
      <c r="J151" s="196">
        <v>14</v>
      </c>
      <c r="K151" s="197">
        <v>14</v>
      </c>
      <c r="L151" s="397">
        <v>25</v>
      </c>
      <c r="M151" s="197">
        <v>18</v>
      </c>
      <c r="N151" s="197">
        <v>20</v>
      </c>
      <c r="O151" s="397">
        <v>33</v>
      </c>
      <c r="P151" s="197">
        <v>30</v>
      </c>
      <c r="Q151" s="197">
        <v>23</v>
      </c>
      <c r="R151" s="397">
        <v>37</v>
      </c>
      <c r="S151" s="197">
        <v>32</v>
      </c>
      <c r="T151" s="197">
        <v>31</v>
      </c>
      <c r="U151" s="397">
        <v>32</v>
      </c>
      <c r="V151" s="197">
        <v>42</v>
      </c>
      <c r="W151" s="197">
        <v>35</v>
      </c>
      <c r="X151" s="397">
        <v>31</v>
      </c>
      <c r="Y151" s="197">
        <v>26</v>
      </c>
      <c r="Z151" s="197">
        <v>19</v>
      </c>
      <c r="AA151" s="397">
        <v>29</v>
      </c>
      <c r="AB151" s="197">
        <v>27</v>
      </c>
      <c r="AC151" s="197">
        <v>23</v>
      </c>
      <c r="AD151" s="397">
        <v>23</v>
      </c>
      <c r="AE151" s="197">
        <v>22</v>
      </c>
      <c r="AF151" s="197">
        <v>18</v>
      </c>
      <c r="AG151" s="397">
        <v>34</v>
      </c>
      <c r="AH151" s="197">
        <v>31</v>
      </c>
      <c r="AI151" s="197">
        <v>27</v>
      </c>
      <c r="AJ151" s="397">
        <v>32</v>
      </c>
      <c r="AK151" s="197">
        <v>20</v>
      </c>
      <c r="AL151" s="197">
        <v>18</v>
      </c>
      <c r="AM151" s="397">
        <v>34</v>
      </c>
      <c r="AN151" s="197">
        <v>26</v>
      </c>
      <c r="AO151" s="197">
        <v>27</v>
      </c>
      <c r="AP151" s="397">
        <v>19</v>
      </c>
      <c r="AQ151" s="197">
        <v>16</v>
      </c>
      <c r="AR151" s="197">
        <v>16</v>
      </c>
      <c r="AS151" s="397">
        <v>32</v>
      </c>
      <c r="AT151" s="197">
        <v>34</v>
      </c>
      <c r="AU151" s="197">
        <v>35</v>
      </c>
      <c r="AV151" s="397">
        <v>22</v>
      </c>
      <c r="AW151" s="196">
        <v>24</v>
      </c>
      <c r="AX151" s="197">
        <v>22</v>
      </c>
      <c r="AY151" s="397">
        <v>33</v>
      </c>
      <c r="AZ151" s="197">
        <v>32</v>
      </c>
      <c r="BA151" s="197">
        <v>32</v>
      </c>
      <c r="BB151" s="397">
        <v>25</v>
      </c>
      <c r="BC151" s="197">
        <v>22</v>
      </c>
      <c r="BD151" s="197">
        <v>32</v>
      </c>
      <c r="BE151" s="397">
        <v>30</v>
      </c>
      <c r="BF151" s="197">
        <v>31</v>
      </c>
      <c r="BG151" s="197">
        <v>30</v>
      </c>
      <c r="BH151" s="397">
        <v>23</v>
      </c>
      <c r="BI151" s="197">
        <v>24</v>
      </c>
      <c r="BJ151" s="197">
        <v>24</v>
      </c>
      <c r="BK151" s="397">
        <v>35</v>
      </c>
    </row>
    <row r="152" spans="2:63" ht="15" customHeight="1" x14ac:dyDescent="0.3">
      <c r="B152" s="5855"/>
      <c r="C152" s="1389" t="s">
        <v>417</v>
      </c>
      <c r="D152" s="196"/>
      <c r="E152" s="197"/>
      <c r="F152" s="197"/>
      <c r="G152" s="196"/>
      <c r="H152" s="197"/>
      <c r="I152" s="197"/>
      <c r="J152" s="196"/>
      <c r="K152" s="197"/>
      <c r="L152" s="397"/>
      <c r="M152" s="197"/>
      <c r="N152" s="197"/>
      <c r="O152" s="397"/>
      <c r="P152" s="197"/>
      <c r="Q152" s="197"/>
      <c r="R152" s="397"/>
      <c r="S152" s="197"/>
      <c r="T152" s="197"/>
      <c r="U152" s="397"/>
      <c r="V152" s="197"/>
      <c r="W152" s="197"/>
      <c r="X152" s="397"/>
      <c r="Y152" s="197"/>
      <c r="Z152" s="197"/>
      <c r="AA152" s="397"/>
      <c r="AB152" s="197"/>
      <c r="AC152" s="197"/>
      <c r="AD152" s="397"/>
      <c r="AE152" s="197"/>
      <c r="AF152" s="197"/>
      <c r="AG152" s="397"/>
      <c r="AH152" s="197">
        <v>9</v>
      </c>
      <c r="AI152" s="197">
        <v>9</v>
      </c>
      <c r="AJ152" s="397">
        <v>9</v>
      </c>
      <c r="AK152" s="197">
        <v>12</v>
      </c>
      <c r="AL152" s="197">
        <v>12</v>
      </c>
      <c r="AM152" s="397">
        <v>16</v>
      </c>
      <c r="AN152" s="197">
        <v>21</v>
      </c>
      <c r="AO152" s="197">
        <v>21</v>
      </c>
      <c r="AP152" s="397">
        <v>21</v>
      </c>
      <c r="AQ152" s="197">
        <v>25</v>
      </c>
      <c r="AR152" s="197">
        <v>25</v>
      </c>
      <c r="AS152" s="397">
        <v>24</v>
      </c>
      <c r="AT152" s="197">
        <v>29</v>
      </c>
      <c r="AU152" s="197">
        <v>28</v>
      </c>
      <c r="AV152" s="397">
        <v>27</v>
      </c>
      <c r="AW152" s="196">
        <v>27</v>
      </c>
      <c r="AX152" s="197">
        <v>26</v>
      </c>
      <c r="AY152" s="397">
        <v>24</v>
      </c>
      <c r="AZ152" s="197">
        <v>23</v>
      </c>
      <c r="BA152" s="197">
        <v>20</v>
      </c>
      <c r="BB152" s="397">
        <v>26</v>
      </c>
      <c r="BC152" s="197">
        <v>24</v>
      </c>
      <c r="BD152" s="197">
        <v>17</v>
      </c>
      <c r="BE152" s="397">
        <v>15</v>
      </c>
      <c r="BF152" s="197">
        <v>13</v>
      </c>
      <c r="BG152" s="197">
        <v>14</v>
      </c>
      <c r="BH152" s="397">
        <v>13</v>
      </c>
      <c r="BI152" s="197">
        <v>11</v>
      </c>
      <c r="BJ152" s="197">
        <v>19</v>
      </c>
      <c r="BK152" s="397">
        <v>18</v>
      </c>
    </row>
    <row r="153" spans="2:63" ht="15" customHeight="1" x14ac:dyDescent="0.25">
      <c r="B153" s="1307"/>
      <c r="C153" s="1391" t="s">
        <v>92</v>
      </c>
      <c r="D153" s="1392">
        <f t="shared" ref="D153:BB153" si="49">SUM(D136:D152)</f>
        <v>167</v>
      </c>
      <c r="E153" s="1393">
        <f t="shared" si="49"/>
        <v>144</v>
      </c>
      <c r="F153" s="1393">
        <f t="shared" si="49"/>
        <v>160</v>
      </c>
      <c r="G153" s="1392">
        <f t="shared" si="49"/>
        <v>150</v>
      </c>
      <c r="H153" s="1393">
        <f t="shared" si="49"/>
        <v>145</v>
      </c>
      <c r="I153" s="1393">
        <f t="shared" si="49"/>
        <v>145</v>
      </c>
      <c r="J153" s="1392">
        <f t="shared" si="49"/>
        <v>141</v>
      </c>
      <c r="K153" s="1393">
        <f t="shared" si="49"/>
        <v>136</v>
      </c>
      <c r="L153" s="1394">
        <f t="shared" si="49"/>
        <v>177</v>
      </c>
      <c r="M153" s="1393">
        <f t="shared" si="49"/>
        <v>174</v>
      </c>
      <c r="N153" s="1393">
        <f t="shared" si="49"/>
        <v>164</v>
      </c>
      <c r="O153" s="1394">
        <f t="shared" si="49"/>
        <v>200</v>
      </c>
      <c r="P153" s="1393">
        <f t="shared" si="49"/>
        <v>202</v>
      </c>
      <c r="Q153" s="1393">
        <f t="shared" si="49"/>
        <v>182</v>
      </c>
      <c r="R153" s="1394">
        <f t="shared" si="49"/>
        <v>219</v>
      </c>
      <c r="S153" s="1393">
        <f t="shared" si="49"/>
        <v>197</v>
      </c>
      <c r="T153" s="1393">
        <f t="shared" si="49"/>
        <v>188</v>
      </c>
      <c r="U153" s="1394">
        <f t="shared" si="49"/>
        <v>221</v>
      </c>
      <c r="V153" s="1393">
        <f t="shared" si="49"/>
        <v>219</v>
      </c>
      <c r="W153" s="1393">
        <f t="shared" si="49"/>
        <v>222</v>
      </c>
      <c r="X153" s="1394">
        <f t="shared" si="49"/>
        <v>238</v>
      </c>
      <c r="Y153" s="1393">
        <f t="shared" si="49"/>
        <v>233</v>
      </c>
      <c r="Z153" s="1393">
        <f t="shared" si="49"/>
        <v>221</v>
      </c>
      <c r="AA153" s="1394">
        <f t="shared" si="49"/>
        <v>234</v>
      </c>
      <c r="AB153" s="1393">
        <f t="shared" si="49"/>
        <v>255</v>
      </c>
      <c r="AC153" s="1393">
        <f t="shared" si="49"/>
        <v>230</v>
      </c>
      <c r="AD153" s="1394">
        <f t="shared" si="49"/>
        <v>238</v>
      </c>
      <c r="AE153" s="1393">
        <f t="shared" si="49"/>
        <v>250</v>
      </c>
      <c r="AF153" s="1393">
        <f t="shared" si="49"/>
        <v>236</v>
      </c>
      <c r="AG153" s="1394">
        <f t="shared" si="49"/>
        <v>270</v>
      </c>
      <c r="AH153" s="1393">
        <f t="shared" si="49"/>
        <v>292</v>
      </c>
      <c r="AI153" s="1393">
        <f t="shared" si="49"/>
        <v>295</v>
      </c>
      <c r="AJ153" s="1394">
        <f t="shared" si="49"/>
        <v>270</v>
      </c>
      <c r="AK153" s="1393">
        <f t="shared" si="49"/>
        <v>254</v>
      </c>
      <c r="AL153" s="1393">
        <f t="shared" si="49"/>
        <v>269</v>
      </c>
      <c r="AM153" s="1394">
        <f t="shared" si="49"/>
        <v>309</v>
      </c>
      <c r="AN153" s="1393">
        <f t="shared" si="49"/>
        <v>309</v>
      </c>
      <c r="AO153" s="1393">
        <f t="shared" si="49"/>
        <v>306</v>
      </c>
      <c r="AP153" s="1394">
        <f t="shared" si="49"/>
        <v>310</v>
      </c>
      <c r="AQ153" s="1393">
        <f t="shared" si="49"/>
        <v>311</v>
      </c>
      <c r="AR153" s="1393">
        <f t="shared" si="49"/>
        <v>297</v>
      </c>
      <c r="AS153" s="1394">
        <f t="shared" si="49"/>
        <v>316</v>
      </c>
      <c r="AT153" s="1393">
        <f t="shared" si="49"/>
        <v>330</v>
      </c>
      <c r="AU153" s="1393">
        <f t="shared" si="49"/>
        <v>312</v>
      </c>
      <c r="AV153" s="1394">
        <f t="shared" si="49"/>
        <v>308</v>
      </c>
      <c r="AW153" s="1392">
        <f t="shared" si="49"/>
        <v>289</v>
      </c>
      <c r="AX153" s="1393">
        <f t="shared" si="49"/>
        <v>301</v>
      </c>
      <c r="AY153" s="1394">
        <f t="shared" si="49"/>
        <v>344</v>
      </c>
      <c r="AZ153" s="1393">
        <f t="shared" si="49"/>
        <v>306</v>
      </c>
      <c r="BA153" s="1393">
        <f t="shared" si="49"/>
        <v>342</v>
      </c>
      <c r="BB153" s="1394">
        <f t="shared" si="49"/>
        <v>328</v>
      </c>
      <c r="BC153" s="1393">
        <f t="shared" ref="BC153:BH153" si="50">SUM(BC136:BC152)</f>
        <v>349</v>
      </c>
      <c r="BD153" s="1393">
        <f t="shared" si="50"/>
        <v>317</v>
      </c>
      <c r="BE153" s="1394">
        <f t="shared" si="50"/>
        <v>311</v>
      </c>
      <c r="BF153" s="1393">
        <f t="shared" si="50"/>
        <v>294</v>
      </c>
      <c r="BG153" s="1393">
        <f t="shared" si="50"/>
        <v>296</v>
      </c>
      <c r="BH153" s="1394">
        <f t="shared" si="50"/>
        <v>296</v>
      </c>
      <c r="BI153" s="1393">
        <f t="shared" ref="BI153:BJ153" si="51">SUM(BI136:BI152)</f>
        <v>272</v>
      </c>
      <c r="BJ153" s="1393">
        <f t="shared" si="51"/>
        <v>279</v>
      </c>
      <c r="BK153" s="1394">
        <f>SUM(BK136:BK152)</f>
        <v>308</v>
      </c>
    </row>
    <row r="154" spans="2:63" ht="15" customHeight="1" x14ac:dyDescent="0.3">
      <c r="B154" s="5852" t="s">
        <v>310</v>
      </c>
      <c r="C154" s="4461" t="s">
        <v>418</v>
      </c>
      <c r="D154" s="4437">
        <v>20</v>
      </c>
      <c r="E154" s="4438">
        <v>19</v>
      </c>
      <c r="F154" s="4438">
        <v>38</v>
      </c>
      <c r="G154" s="4437">
        <v>37</v>
      </c>
      <c r="H154" s="4438">
        <v>37</v>
      </c>
      <c r="I154" s="4438">
        <v>46</v>
      </c>
      <c r="J154" s="4437">
        <v>47</v>
      </c>
      <c r="K154" s="4438">
        <v>44</v>
      </c>
      <c r="L154" s="4439">
        <v>47</v>
      </c>
      <c r="M154" s="4438">
        <v>47</v>
      </c>
      <c r="N154" s="4438">
        <v>44</v>
      </c>
      <c r="O154" s="4439">
        <v>42</v>
      </c>
      <c r="P154" s="4438">
        <v>44</v>
      </c>
      <c r="Q154" s="4438">
        <v>42</v>
      </c>
      <c r="R154" s="4439">
        <v>43</v>
      </c>
      <c r="S154" s="4438">
        <v>42</v>
      </c>
      <c r="T154" s="4438">
        <v>42</v>
      </c>
      <c r="U154" s="4439">
        <v>39</v>
      </c>
      <c r="V154" s="4438">
        <v>39</v>
      </c>
      <c r="W154" s="4438">
        <v>36</v>
      </c>
      <c r="X154" s="4439">
        <v>47</v>
      </c>
      <c r="Y154" s="4438">
        <v>41</v>
      </c>
      <c r="Z154" s="4438">
        <v>44</v>
      </c>
      <c r="AA154" s="4439">
        <v>36</v>
      </c>
      <c r="AB154" s="4438">
        <v>36</v>
      </c>
      <c r="AC154" s="4438">
        <v>36</v>
      </c>
      <c r="AD154" s="4439">
        <v>35</v>
      </c>
      <c r="AE154" s="4438">
        <v>33</v>
      </c>
      <c r="AF154" s="4438">
        <v>31</v>
      </c>
      <c r="AG154" s="4439">
        <v>38</v>
      </c>
      <c r="AH154" s="4438">
        <v>38</v>
      </c>
      <c r="AI154" s="4438">
        <v>37</v>
      </c>
      <c r="AJ154" s="4439">
        <v>41</v>
      </c>
      <c r="AK154" s="4438">
        <v>42</v>
      </c>
      <c r="AL154" s="4438">
        <v>42</v>
      </c>
      <c r="AM154" s="4439">
        <v>47</v>
      </c>
      <c r="AN154" s="4438">
        <v>46</v>
      </c>
      <c r="AO154" s="4438">
        <v>47</v>
      </c>
      <c r="AP154" s="4439">
        <v>51</v>
      </c>
      <c r="AQ154" s="4438">
        <v>49</v>
      </c>
      <c r="AR154" s="4438">
        <v>48</v>
      </c>
      <c r="AS154" s="4439">
        <v>47</v>
      </c>
      <c r="AT154" s="4438">
        <v>48</v>
      </c>
      <c r="AU154" s="4438">
        <v>46</v>
      </c>
      <c r="AV154" s="4439">
        <v>48</v>
      </c>
      <c r="AW154" s="5523">
        <v>49</v>
      </c>
      <c r="AX154" s="4438">
        <v>48</v>
      </c>
      <c r="AY154" s="4439">
        <v>46</v>
      </c>
      <c r="AZ154" s="4438">
        <v>46</v>
      </c>
      <c r="BA154" s="4438">
        <v>46</v>
      </c>
      <c r="BB154" s="4439">
        <v>40</v>
      </c>
      <c r="BC154" s="4438">
        <v>40</v>
      </c>
      <c r="BD154" s="4438">
        <v>40</v>
      </c>
      <c r="BE154" s="4439">
        <v>42</v>
      </c>
      <c r="BF154" s="4438">
        <v>43</v>
      </c>
      <c r="BG154" s="4438">
        <v>43</v>
      </c>
      <c r="BH154" s="4439">
        <v>46</v>
      </c>
      <c r="BI154" s="4438">
        <v>45</v>
      </c>
      <c r="BJ154" s="4438">
        <v>45</v>
      </c>
      <c r="BK154" s="4439">
        <v>42</v>
      </c>
    </row>
    <row r="155" spans="2:63" ht="15" customHeight="1" x14ac:dyDescent="0.3">
      <c r="B155" s="5853"/>
      <c r="C155" s="4462" t="s">
        <v>419</v>
      </c>
      <c r="D155" s="4441"/>
      <c r="E155" s="4442"/>
      <c r="F155" s="4442"/>
      <c r="G155" s="4441"/>
      <c r="H155" s="4442"/>
      <c r="I155" s="4442"/>
      <c r="J155" s="4441"/>
      <c r="K155" s="4442"/>
      <c r="L155" s="4443"/>
      <c r="M155" s="4442"/>
      <c r="N155" s="4442"/>
      <c r="O155" s="4443"/>
      <c r="P155" s="4442"/>
      <c r="Q155" s="4442"/>
      <c r="R155" s="4443"/>
      <c r="S155" s="4442"/>
      <c r="T155" s="4442"/>
      <c r="U155" s="4443"/>
      <c r="V155" s="4442"/>
      <c r="W155" s="4442">
        <v>17</v>
      </c>
      <c r="X155" s="4443">
        <v>17</v>
      </c>
      <c r="Y155" s="4442">
        <v>17</v>
      </c>
      <c r="Z155" s="4442">
        <v>17</v>
      </c>
      <c r="AA155" s="4443">
        <v>17</v>
      </c>
      <c r="AB155" s="4442">
        <v>17</v>
      </c>
      <c r="AC155" s="4442">
        <v>21</v>
      </c>
      <c r="AD155" s="4443">
        <v>15</v>
      </c>
      <c r="AE155" s="4442">
        <v>15</v>
      </c>
      <c r="AF155" s="4442">
        <v>15</v>
      </c>
      <c r="AG155" s="4443">
        <v>16</v>
      </c>
      <c r="AH155" s="4442">
        <v>15</v>
      </c>
      <c r="AI155" s="4442">
        <v>28</v>
      </c>
      <c r="AJ155" s="4443">
        <v>23</v>
      </c>
      <c r="AK155" s="4442">
        <v>21</v>
      </c>
      <c r="AL155" s="4442">
        <v>20</v>
      </c>
      <c r="AM155" s="4443">
        <v>20</v>
      </c>
      <c r="AN155" s="4442">
        <v>21</v>
      </c>
      <c r="AO155" s="4442">
        <v>23</v>
      </c>
      <c r="AP155" s="4443">
        <v>23</v>
      </c>
      <c r="AQ155" s="4442">
        <v>21</v>
      </c>
      <c r="AR155" s="4442">
        <v>21</v>
      </c>
      <c r="AS155" s="4443">
        <v>19</v>
      </c>
      <c r="AT155" s="4442">
        <v>21</v>
      </c>
      <c r="AU155" s="4442">
        <v>17</v>
      </c>
      <c r="AV155" s="4443">
        <v>17</v>
      </c>
      <c r="AW155" s="4441">
        <v>15</v>
      </c>
      <c r="AX155" s="4442">
        <v>15</v>
      </c>
      <c r="AY155" s="4443">
        <v>15</v>
      </c>
      <c r="AZ155" s="4442">
        <v>15</v>
      </c>
      <c r="BA155" s="4442">
        <v>14</v>
      </c>
      <c r="BB155" s="4443">
        <v>13</v>
      </c>
      <c r="BC155" s="4442">
        <v>11</v>
      </c>
      <c r="BD155" s="4442">
        <v>11</v>
      </c>
      <c r="BE155" s="4443">
        <v>11</v>
      </c>
      <c r="BF155" s="4442">
        <v>12</v>
      </c>
      <c r="BG155" s="4442">
        <v>14</v>
      </c>
      <c r="BH155" s="4443">
        <v>14</v>
      </c>
      <c r="BI155" s="4442">
        <v>14</v>
      </c>
      <c r="BJ155" s="4442">
        <v>13</v>
      </c>
      <c r="BK155" s="4443">
        <v>13</v>
      </c>
    </row>
    <row r="156" spans="2:63" ht="15" customHeight="1" x14ac:dyDescent="0.3">
      <c r="B156" s="5854"/>
      <c r="C156" s="4463" t="s">
        <v>420</v>
      </c>
      <c r="D156" s="4444"/>
      <c r="E156" s="4445"/>
      <c r="F156" s="4445"/>
      <c r="G156" s="4444"/>
      <c r="H156" s="4445"/>
      <c r="I156" s="4445"/>
      <c r="J156" s="4444"/>
      <c r="K156" s="4445"/>
      <c r="L156" s="4446"/>
      <c r="M156" s="4445"/>
      <c r="N156" s="4445"/>
      <c r="O156" s="4446"/>
      <c r="P156" s="4445"/>
      <c r="Q156" s="4445"/>
      <c r="R156" s="4446"/>
      <c r="S156" s="4445"/>
      <c r="T156" s="4445"/>
      <c r="U156" s="4446"/>
      <c r="V156" s="4445"/>
      <c r="W156" s="4445"/>
      <c r="X156" s="4446">
        <v>33</v>
      </c>
      <c r="Y156" s="4445">
        <v>33</v>
      </c>
      <c r="Z156" s="4445">
        <v>33</v>
      </c>
      <c r="AA156" s="4446">
        <v>33</v>
      </c>
      <c r="AB156" s="4445">
        <v>33</v>
      </c>
      <c r="AC156" s="4445">
        <v>57</v>
      </c>
      <c r="AD156" s="4446">
        <v>24</v>
      </c>
      <c r="AE156" s="4445">
        <v>26</v>
      </c>
      <c r="AF156" s="4445">
        <v>28</v>
      </c>
      <c r="AG156" s="4446">
        <v>23</v>
      </c>
      <c r="AH156" s="4445">
        <v>24</v>
      </c>
      <c r="AI156" s="4445">
        <v>23</v>
      </c>
      <c r="AJ156" s="4446">
        <v>24</v>
      </c>
      <c r="AK156" s="4445">
        <v>23</v>
      </c>
      <c r="AL156" s="4445">
        <v>18</v>
      </c>
      <c r="AM156" s="4446">
        <v>18</v>
      </c>
      <c r="AN156" s="4445">
        <v>19</v>
      </c>
      <c r="AO156" s="4445">
        <v>24</v>
      </c>
      <c r="AP156" s="4446">
        <v>26</v>
      </c>
      <c r="AQ156" s="4445">
        <v>24</v>
      </c>
      <c r="AR156" s="4445">
        <v>25</v>
      </c>
      <c r="AS156" s="4446">
        <v>22</v>
      </c>
      <c r="AT156" s="4445">
        <v>24</v>
      </c>
      <c r="AU156" s="4445">
        <v>24</v>
      </c>
      <c r="AV156" s="4446">
        <v>24</v>
      </c>
      <c r="AW156" s="4444">
        <v>23</v>
      </c>
      <c r="AX156" s="4445">
        <v>23</v>
      </c>
      <c r="AY156" s="4446">
        <v>20</v>
      </c>
      <c r="AZ156" s="4445">
        <v>19</v>
      </c>
      <c r="BA156" s="4445">
        <v>23</v>
      </c>
      <c r="BB156" s="4446">
        <v>19</v>
      </c>
      <c r="BC156" s="4445">
        <v>24</v>
      </c>
      <c r="BD156" s="4445">
        <v>22</v>
      </c>
      <c r="BE156" s="4446">
        <v>21</v>
      </c>
      <c r="BF156" s="4445">
        <v>19</v>
      </c>
      <c r="BG156" s="4445">
        <v>28</v>
      </c>
      <c r="BH156" s="4446">
        <v>26</v>
      </c>
      <c r="BI156" s="4445">
        <v>27</v>
      </c>
      <c r="BJ156" s="4445">
        <v>26</v>
      </c>
      <c r="BK156" s="4446">
        <v>25</v>
      </c>
    </row>
    <row r="157" spans="2:63" ht="15" customHeight="1" x14ac:dyDescent="0.3">
      <c r="B157" s="1325" t="s">
        <v>317</v>
      </c>
      <c r="C157" s="1432" t="s">
        <v>421</v>
      </c>
      <c r="D157" s="129">
        <v>11</v>
      </c>
      <c r="E157" s="130">
        <v>11</v>
      </c>
      <c r="F157" s="130">
        <v>10</v>
      </c>
      <c r="G157" s="129">
        <v>10</v>
      </c>
      <c r="H157" s="130">
        <v>10</v>
      </c>
      <c r="I157" s="130">
        <v>23</v>
      </c>
      <c r="J157" s="129">
        <v>19</v>
      </c>
      <c r="K157" s="130">
        <v>19</v>
      </c>
      <c r="L157" s="396">
        <v>15</v>
      </c>
      <c r="M157" s="130">
        <v>30</v>
      </c>
      <c r="N157" s="130">
        <v>26</v>
      </c>
      <c r="O157" s="396">
        <v>27</v>
      </c>
      <c r="P157" s="130">
        <v>33</v>
      </c>
      <c r="Q157" s="130">
        <v>31</v>
      </c>
      <c r="R157" s="396">
        <v>29</v>
      </c>
      <c r="S157" s="130">
        <v>38</v>
      </c>
      <c r="T157" s="130">
        <v>34</v>
      </c>
      <c r="U157" s="396">
        <v>32</v>
      </c>
      <c r="V157" s="130">
        <v>42</v>
      </c>
      <c r="W157" s="130">
        <v>39</v>
      </c>
      <c r="X157" s="396">
        <v>38</v>
      </c>
      <c r="Y157" s="130">
        <v>39</v>
      </c>
      <c r="Z157" s="130">
        <v>35</v>
      </c>
      <c r="AA157" s="396">
        <v>33</v>
      </c>
      <c r="AB157" s="130">
        <v>42</v>
      </c>
      <c r="AC157" s="130">
        <v>39</v>
      </c>
      <c r="AD157" s="396">
        <v>40</v>
      </c>
      <c r="AE157" s="130">
        <v>44</v>
      </c>
      <c r="AF157" s="130">
        <v>43</v>
      </c>
      <c r="AG157" s="396">
        <v>40</v>
      </c>
      <c r="AH157" s="130">
        <v>42</v>
      </c>
      <c r="AI157" s="130">
        <v>45</v>
      </c>
      <c r="AJ157" s="396">
        <v>44</v>
      </c>
      <c r="AK157" s="130">
        <v>48</v>
      </c>
      <c r="AL157" s="130">
        <v>47</v>
      </c>
      <c r="AM157" s="396">
        <v>44</v>
      </c>
      <c r="AN157" s="130">
        <v>39</v>
      </c>
      <c r="AO157" s="130">
        <v>38</v>
      </c>
      <c r="AP157" s="396">
        <v>36</v>
      </c>
      <c r="AQ157" s="130">
        <v>40</v>
      </c>
      <c r="AR157" s="130">
        <v>36</v>
      </c>
      <c r="AS157" s="396">
        <v>35</v>
      </c>
      <c r="AT157" s="130">
        <v>35</v>
      </c>
      <c r="AU157" s="130">
        <v>35</v>
      </c>
      <c r="AV157" s="396">
        <v>35</v>
      </c>
      <c r="AW157" s="129">
        <v>39</v>
      </c>
      <c r="AX157" s="130">
        <v>37</v>
      </c>
      <c r="AY157" s="396">
        <v>37</v>
      </c>
      <c r="AZ157" s="130">
        <v>34</v>
      </c>
      <c r="BA157" s="130">
        <v>32</v>
      </c>
      <c r="BB157" s="396">
        <v>30</v>
      </c>
      <c r="BC157" s="130">
        <v>37</v>
      </c>
      <c r="BD157" s="130">
        <v>33</v>
      </c>
      <c r="BE157" s="396">
        <v>35</v>
      </c>
      <c r="BF157" s="130">
        <v>40</v>
      </c>
      <c r="BG157" s="130">
        <v>40</v>
      </c>
      <c r="BH157" s="396">
        <v>39</v>
      </c>
      <c r="BI157" s="130">
        <v>41</v>
      </c>
      <c r="BJ157" s="130">
        <v>41</v>
      </c>
      <c r="BK157" s="396">
        <v>43</v>
      </c>
    </row>
    <row r="158" spans="2:63" ht="18" customHeight="1" x14ac:dyDescent="0.25">
      <c r="B158" s="1289"/>
      <c r="C158" s="1391" t="s">
        <v>68</v>
      </c>
      <c r="D158" s="1392">
        <f t="shared" ref="D158:BE158" si="52">SUM(D154:D157)</f>
        <v>31</v>
      </c>
      <c r="E158" s="1393">
        <f t="shared" si="52"/>
        <v>30</v>
      </c>
      <c r="F158" s="1393">
        <f t="shared" si="52"/>
        <v>48</v>
      </c>
      <c r="G158" s="1392">
        <f t="shared" si="52"/>
        <v>47</v>
      </c>
      <c r="H158" s="1393">
        <f t="shared" si="52"/>
        <v>47</v>
      </c>
      <c r="I158" s="1393">
        <f t="shared" si="52"/>
        <v>69</v>
      </c>
      <c r="J158" s="1392">
        <f t="shared" si="52"/>
        <v>66</v>
      </c>
      <c r="K158" s="1393">
        <f t="shared" si="52"/>
        <v>63</v>
      </c>
      <c r="L158" s="1394">
        <f t="shared" si="52"/>
        <v>62</v>
      </c>
      <c r="M158" s="1393">
        <f t="shared" si="52"/>
        <v>77</v>
      </c>
      <c r="N158" s="1393">
        <f t="shared" si="52"/>
        <v>70</v>
      </c>
      <c r="O158" s="1394">
        <f t="shared" si="52"/>
        <v>69</v>
      </c>
      <c r="P158" s="1393">
        <f t="shared" si="52"/>
        <v>77</v>
      </c>
      <c r="Q158" s="1393">
        <f t="shared" si="52"/>
        <v>73</v>
      </c>
      <c r="R158" s="1394">
        <f t="shared" si="52"/>
        <v>72</v>
      </c>
      <c r="S158" s="1393">
        <f t="shared" si="52"/>
        <v>80</v>
      </c>
      <c r="T158" s="1393">
        <f t="shared" si="52"/>
        <v>76</v>
      </c>
      <c r="U158" s="1394">
        <f t="shared" si="52"/>
        <v>71</v>
      </c>
      <c r="V158" s="1393">
        <f t="shared" si="52"/>
        <v>81</v>
      </c>
      <c r="W158" s="1393">
        <f t="shared" si="52"/>
        <v>92</v>
      </c>
      <c r="X158" s="1394">
        <f t="shared" si="52"/>
        <v>135</v>
      </c>
      <c r="Y158" s="1393">
        <f t="shared" si="52"/>
        <v>130</v>
      </c>
      <c r="Z158" s="1393">
        <f t="shared" si="52"/>
        <v>129</v>
      </c>
      <c r="AA158" s="1394">
        <f t="shared" si="52"/>
        <v>119</v>
      </c>
      <c r="AB158" s="1393">
        <f t="shared" si="52"/>
        <v>128</v>
      </c>
      <c r="AC158" s="1393">
        <f t="shared" si="52"/>
        <v>153</v>
      </c>
      <c r="AD158" s="1394">
        <f t="shared" si="52"/>
        <v>114</v>
      </c>
      <c r="AE158" s="1393">
        <f t="shared" si="52"/>
        <v>118</v>
      </c>
      <c r="AF158" s="1393">
        <f t="shared" si="52"/>
        <v>117</v>
      </c>
      <c r="AG158" s="1394">
        <f t="shared" si="52"/>
        <v>117</v>
      </c>
      <c r="AH158" s="1393">
        <f t="shared" si="52"/>
        <v>119</v>
      </c>
      <c r="AI158" s="1393">
        <f t="shared" si="52"/>
        <v>133</v>
      </c>
      <c r="AJ158" s="1394">
        <f t="shared" si="52"/>
        <v>132</v>
      </c>
      <c r="AK158" s="1393">
        <f t="shared" si="52"/>
        <v>134</v>
      </c>
      <c r="AL158" s="1393">
        <f t="shared" si="52"/>
        <v>127</v>
      </c>
      <c r="AM158" s="1394">
        <f t="shared" si="52"/>
        <v>129</v>
      </c>
      <c r="AN158" s="1393">
        <f t="shared" si="52"/>
        <v>125</v>
      </c>
      <c r="AO158" s="1393">
        <f t="shared" si="52"/>
        <v>132</v>
      </c>
      <c r="AP158" s="1394">
        <f t="shared" si="52"/>
        <v>136</v>
      </c>
      <c r="AQ158" s="1393">
        <f t="shared" si="52"/>
        <v>134</v>
      </c>
      <c r="AR158" s="1393">
        <f t="shared" si="52"/>
        <v>130</v>
      </c>
      <c r="AS158" s="1394">
        <f t="shared" si="52"/>
        <v>123</v>
      </c>
      <c r="AT158" s="1393">
        <f t="shared" si="52"/>
        <v>128</v>
      </c>
      <c r="AU158" s="1393">
        <f t="shared" si="52"/>
        <v>122</v>
      </c>
      <c r="AV158" s="1394">
        <f t="shared" si="52"/>
        <v>124</v>
      </c>
      <c r="AW158" s="1392">
        <f t="shared" si="52"/>
        <v>126</v>
      </c>
      <c r="AX158" s="1393">
        <f t="shared" si="52"/>
        <v>123</v>
      </c>
      <c r="AY158" s="1394">
        <f t="shared" si="52"/>
        <v>118</v>
      </c>
      <c r="AZ158" s="1393">
        <f t="shared" si="52"/>
        <v>114</v>
      </c>
      <c r="BA158" s="1393">
        <f t="shared" si="52"/>
        <v>115</v>
      </c>
      <c r="BB158" s="1394">
        <f t="shared" si="52"/>
        <v>102</v>
      </c>
      <c r="BC158" s="1393">
        <f t="shared" si="52"/>
        <v>112</v>
      </c>
      <c r="BD158" s="1393">
        <f t="shared" si="52"/>
        <v>106</v>
      </c>
      <c r="BE158" s="1394">
        <f t="shared" si="52"/>
        <v>109</v>
      </c>
      <c r="BF158" s="1393">
        <f t="shared" ref="BF158:BH158" si="53">SUM(BF154:BF157)</f>
        <v>114</v>
      </c>
      <c r="BG158" s="1393">
        <f t="shared" si="53"/>
        <v>125</v>
      </c>
      <c r="BH158" s="1394">
        <f t="shared" si="53"/>
        <v>125</v>
      </c>
      <c r="BI158" s="1393">
        <f t="shared" ref="BI158:BK158" si="54">SUM(BI154:BI157)</f>
        <v>127</v>
      </c>
      <c r="BJ158" s="1393">
        <f t="shared" si="54"/>
        <v>125</v>
      </c>
      <c r="BK158" s="1394">
        <f t="shared" si="54"/>
        <v>123</v>
      </c>
    </row>
    <row r="159" spans="2:63" ht="14.4" x14ac:dyDescent="0.25">
      <c r="B159" s="1317"/>
      <c r="C159" s="1440" t="s">
        <v>422</v>
      </c>
      <c r="D159" s="1441">
        <f t="shared" ref="D159:BB159" si="55">SUM(D158,D153,D135)</f>
        <v>478</v>
      </c>
      <c r="E159" s="1442">
        <f t="shared" si="55"/>
        <v>453</v>
      </c>
      <c r="F159" s="1442">
        <f t="shared" si="55"/>
        <v>516</v>
      </c>
      <c r="G159" s="1441">
        <f t="shared" si="55"/>
        <v>460</v>
      </c>
      <c r="H159" s="1442">
        <f t="shared" si="55"/>
        <v>429</v>
      </c>
      <c r="I159" s="1442">
        <f t="shared" si="55"/>
        <v>476</v>
      </c>
      <c r="J159" s="1441">
        <f t="shared" si="55"/>
        <v>482</v>
      </c>
      <c r="K159" s="1442">
        <f t="shared" si="55"/>
        <v>479</v>
      </c>
      <c r="L159" s="1443">
        <f t="shared" si="55"/>
        <v>530</v>
      </c>
      <c r="M159" s="1442">
        <f t="shared" si="55"/>
        <v>507</v>
      </c>
      <c r="N159" s="1442">
        <f t="shared" si="55"/>
        <v>482</v>
      </c>
      <c r="O159" s="1443">
        <f t="shared" si="55"/>
        <v>547</v>
      </c>
      <c r="P159" s="1442">
        <f t="shared" si="55"/>
        <v>612</v>
      </c>
      <c r="Q159" s="1442">
        <f t="shared" si="55"/>
        <v>565</v>
      </c>
      <c r="R159" s="1443">
        <f t="shared" si="55"/>
        <v>590</v>
      </c>
      <c r="S159" s="1442">
        <f t="shared" si="55"/>
        <v>568</v>
      </c>
      <c r="T159" s="1442">
        <f t="shared" si="55"/>
        <v>583</v>
      </c>
      <c r="U159" s="1443">
        <f t="shared" si="55"/>
        <v>630</v>
      </c>
      <c r="V159" s="1442">
        <f t="shared" si="55"/>
        <v>658</v>
      </c>
      <c r="W159" s="1442">
        <f t="shared" si="55"/>
        <v>727</v>
      </c>
      <c r="X159" s="1443">
        <f t="shared" si="55"/>
        <v>747</v>
      </c>
      <c r="Y159" s="1442">
        <f t="shared" si="55"/>
        <v>692</v>
      </c>
      <c r="Z159" s="1442">
        <f t="shared" si="55"/>
        <v>749</v>
      </c>
      <c r="AA159" s="1443">
        <f t="shared" si="55"/>
        <v>685</v>
      </c>
      <c r="AB159" s="1442">
        <f t="shared" si="55"/>
        <v>747</v>
      </c>
      <c r="AC159" s="1442">
        <f t="shared" si="55"/>
        <v>711</v>
      </c>
      <c r="AD159" s="1443">
        <f t="shared" si="55"/>
        <v>687</v>
      </c>
      <c r="AE159" s="1442">
        <f t="shared" si="55"/>
        <v>692</v>
      </c>
      <c r="AF159" s="1442">
        <f t="shared" si="55"/>
        <v>662</v>
      </c>
      <c r="AG159" s="1443">
        <f t="shared" si="55"/>
        <v>746</v>
      </c>
      <c r="AH159" s="1442">
        <f t="shared" si="55"/>
        <v>801</v>
      </c>
      <c r="AI159" s="1442">
        <f t="shared" si="55"/>
        <v>781</v>
      </c>
      <c r="AJ159" s="1443">
        <f t="shared" si="55"/>
        <v>739</v>
      </c>
      <c r="AK159" s="1442">
        <f t="shared" si="55"/>
        <v>708</v>
      </c>
      <c r="AL159" s="1442">
        <f t="shared" si="55"/>
        <v>721</v>
      </c>
      <c r="AM159" s="1443">
        <f t="shared" si="55"/>
        <v>814</v>
      </c>
      <c r="AN159" s="1442">
        <f t="shared" si="55"/>
        <v>780</v>
      </c>
      <c r="AO159" s="1442">
        <f t="shared" si="55"/>
        <v>765</v>
      </c>
      <c r="AP159" s="1443">
        <f t="shared" si="55"/>
        <v>786</v>
      </c>
      <c r="AQ159" s="1442">
        <f t="shared" si="55"/>
        <v>817</v>
      </c>
      <c r="AR159" s="1442">
        <f t="shared" si="55"/>
        <v>784</v>
      </c>
      <c r="AS159" s="1443">
        <f t="shared" si="55"/>
        <v>795</v>
      </c>
      <c r="AT159" s="1442">
        <f t="shared" si="55"/>
        <v>854</v>
      </c>
      <c r="AU159" s="1442">
        <f t="shared" si="55"/>
        <v>802</v>
      </c>
      <c r="AV159" s="1443">
        <f t="shared" si="55"/>
        <v>812</v>
      </c>
      <c r="AW159" s="5529">
        <f t="shared" si="55"/>
        <v>803</v>
      </c>
      <c r="AX159" s="1442">
        <f t="shared" si="55"/>
        <v>887</v>
      </c>
      <c r="AY159" s="1443">
        <f t="shared" si="55"/>
        <v>947</v>
      </c>
      <c r="AZ159" s="1442">
        <f t="shared" si="55"/>
        <v>926</v>
      </c>
      <c r="BA159" s="1442">
        <f t="shared" si="55"/>
        <v>930</v>
      </c>
      <c r="BB159" s="1443">
        <f t="shared" si="55"/>
        <v>864</v>
      </c>
      <c r="BC159" s="1442">
        <f t="shared" ref="BC159:BH159" si="56">SUM(BC158,BC153,BC135)</f>
        <v>912</v>
      </c>
      <c r="BD159" s="1442">
        <f t="shared" si="56"/>
        <v>969</v>
      </c>
      <c r="BE159" s="1443">
        <f t="shared" si="56"/>
        <v>884</v>
      </c>
      <c r="BF159" s="1442">
        <f t="shared" si="56"/>
        <v>893</v>
      </c>
      <c r="BG159" s="1442">
        <f t="shared" si="56"/>
        <v>864</v>
      </c>
      <c r="BH159" s="1443">
        <f t="shared" si="56"/>
        <v>855</v>
      </c>
      <c r="BI159" s="1442">
        <f t="shared" ref="BI159:BK159" si="57">SUM(BI158,BI153,BI135)</f>
        <v>840</v>
      </c>
      <c r="BJ159" s="1442">
        <f t="shared" si="57"/>
        <v>836</v>
      </c>
      <c r="BK159" s="1443">
        <f t="shared" si="57"/>
        <v>877</v>
      </c>
    </row>
    <row r="160" spans="2:63" ht="14.4" x14ac:dyDescent="0.3">
      <c r="B160" s="1444"/>
      <c r="C160" s="1445"/>
      <c r="D160" s="1446"/>
      <c r="E160" s="1447"/>
      <c r="F160" s="1447"/>
      <c r="G160" s="1446"/>
      <c r="H160" s="1447"/>
      <c r="I160" s="1447"/>
      <c r="J160" s="1446"/>
      <c r="K160" s="1447"/>
      <c r="L160" s="1448"/>
      <c r="M160" s="1447"/>
      <c r="N160" s="1447"/>
      <c r="O160" s="1448"/>
      <c r="P160" s="1447"/>
      <c r="Q160" s="1447"/>
      <c r="R160" s="1448"/>
      <c r="S160" s="1447"/>
      <c r="T160" s="1447"/>
      <c r="U160" s="1448"/>
      <c r="V160" s="1447"/>
      <c r="W160" s="1447"/>
      <c r="X160" s="1448"/>
      <c r="Y160" s="1447"/>
      <c r="Z160" s="1447"/>
      <c r="AA160" s="1448"/>
      <c r="AB160" s="1447"/>
      <c r="AC160" s="1447"/>
      <c r="AD160" s="1448"/>
      <c r="AE160" s="1447"/>
      <c r="AF160" s="1447"/>
      <c r="AG160" s="1448"/>
      <c r="AH160" s="1447"/>
      <c r="AI160" s="1447"/>
      <c r="AJ160" s="1448"/>
      <c r="AK160" s="1447"/>
      <c r="AL160" s="1447"/>
      <c r="AM160" s="1448"/>
      <c r="AN160" s="1447"/>
      <c r="AO160" s="1447"/>
      <c r="AP160" s="1448"/>
      <c r="AQ160" s="1447"/>
      <c r="AR160" s="1447"/>
      <c r="AS160" s="1448"/>
      <c r="AT160" s="1447"/>
      <c r="AU160" s="1447"/>
      <c r="AV160" s="1448"/>
      <c r="AW160" s="1447"/>
      <c r="AX160" s="1447"/>
      <c r="AY160" s="1448"/>
      <c r="AZ160" s="1447"/>
      <c r="BA160" s="1447"/>
      <c r="BB160" s="1448"/>
      <c r="BC160" s="1447"/>
      <c r="BD160" s="1447"/>
      <c r="BE160" s="1448"/>
      <c r="BF160" s="1447"/>
      <c r="BG160" s="1447"/>
      <c r="BH160" s="1448"/>
      <c r="BI160" s="1447"/>
      <c r="BJ160" s="1447"/>
      <c r="BK160" s="1448"/>
    </row>
    <row r="161" spans="2:63" ht="14.4" x14ac:dyDescent="0.25">
      <c r="B161" s="5848" t="s">
        <v>128</v>
      </c>
      <c r="C161" s="5849"/>
      <c r="D161" s="398">
        <f t="shared" ref="D161:AX161" si="58">SUM(D54,D65,D112,D159)</f>
        <v>1652</v>
      </c>
      <c r="E161" s="399">
        <f t="shared" si="58"/>
        <v>1553</v>
      </c>
      <c r="F161" s="399">
        <f t="shared" si="58"/>
        <v>1692</v>
      </c>
      <c r="G161" s="398">
        <f t="shared" si="58"/>
        <v>1596</v>
      </c>
      <c r="H161" s="399">
        <f t="shared" si="58"/>
        <v>1510</v>
      </c>
      <c r="I161" s="399">
        <f t="shared" si="58"/>
        <v>1692</v>
      </c>
      <c r="J161" s="398">
        <f t="shared" si="58"/>
        <v>1724</v>
      </c>
      <c r="K161" s="399">
        <f t="shared" si="58"/>
        <v>1648</v>
      </c>
      <c r="L161" s="400">
        <f t="shared" si="58"/>
        <v>1741</v>
      </c>
      <c r="M161" s="399">
        <f t="shared" si="58"/>
        <v>1788</v>
      </c>
      <c r="N161" s="399">
        <f t="shared" si="58"/>
        <v>1701</v>
      </c>
      <c r="O161" s="400">
        <f t="shared" si="58"/>
        <v>1857</v>
      </c>
      <c r="P161" s="399">
        <f t="shared" si="58"/>
        <v>2014</v>
      </c>
      <c r="Q161" s="399">
        <f t="shared" si="58"/>
        <v>1875</v>
      </c>
      <c r="R161" s="400">
        <f t="shared" si="58"/>
        <v>2046</v>
      </c>
      <c r="S161" s="399">
        <f t="shared" si="58"/>
        <v>1962</v>
      </c>
      <c r="T161" s="399">
        <f t="shared" si="58"/>
        <v>1837</v>
      </c>
      <c r="U161" s="400">
        <f t="shared" si="58"/>
        <v>2247</v>
      </c>
      <c r="V161" s="399">
        <f t="shared" si="58"/>
        <v>2121</v>
      </c>
      <c r="W161" s="399">
        <f t="shared" si="58"/>
        <v>2224</v>
      </c>
      <c r="X161" s="400">
        <f t="shared" si="58"/>
        <v>2519</v>
      </c>
      <c r="Y161" s="399">
        <f t="shared" si="58"/>
        <v>2383</v>
      </c>
      <c r="Z161" s="399">
        <f t="shared" si="58"/>
        <v>2238</v>
      </c>
      <c r="AA161" s="400">
        <f t="shared" si="58"/>
        <v>2638</v>
      </c>
      <c r="AB161" s="399">
        <f t="shared" si="58"/>
        <v>2773</v>
      </c>
      <c r="AC161" s="399">
        <f t="shared" si="58"/>
        <v>2503</v>
      </c>
      <c r="AD161" s="400">
        <f t="shared" si="58"/>
        <v>2685</v>
      </c>
      <c r="AE161" s="399">
        <f t="shared" si="58"/>
        <v>2667</v>
      </c>
      <c r="AF161" s="399">
        <f t="shared" si="58"/>
        <v>2551</v>
      </c>
      <c r="AG161" s="400">
        <f t="shared" si="58"/>
        <v>2798</v>
      </c>
      <c r="AH161" s="399">
        <f t="shared" si="58"/>
        <v>2916</v>
      </c>
      <c r="AI161" s="399">
        <f t="shared" si="58"/>
        <v>2829</v>
      </c>
      <c r="AJ161" s="400">
        <f t="shared" si="58"/>
        <v>2947</v>
      </c>
      <c r="AK161" s="399">
        <f t="shared" si="58"/>
        <v>2839</v>
      </c>
      <c r="AL161" s="399">
        <f t="shared" si="58"/>
        <v>2727</v>
      </c>
      <c r="AM161" s="400">
        <f t="shared" si="58"/>
        <v>3191</v>
      </c>
      <c r="AN161" s="399">
        <f t="shared" si="58"/>
        <v>3014</v>
      </c>
      <c r="AO161" s="399">
        <f t="shared" si="58"/>
        <v>2940</v>
      </c>
      <c r="AP161" s="400">
        <f t="shared" si="58"/>
        <v>3153</v>
      </c>
      <c r="AQ161" s="399">
        <f t="shared" si="58"/>
        <v>3120</v>
      </c>
      <c r="AR161" s="399">
        <f t="shared" si="58"/>
        <v>2914</v>
      </c>
      <c r="AS161" s="400">
        <f t="shared" si="58"/>
        <v>3104</v>
      </c>
      <c r="AT161" s="399">
        <f t="shared" si="58"/>
        <v>3117</v>
      </c>
      <c r="AU161" s="399">
        <f t="shared" si="58"/>
        <v>3088</v>
      </c>
      <c r="AV161" s="400">
        <f t="shared" si="58"/>
        <v>3178</v>
      </c>
      <c r="AW161" s="399">
        <f t="shared" si="58"/>
        <v>3061</v>
      </c>
      <c r="AX161" s="399">
        <f t="shared" si="58"/>
        <v>2965</v>
      </c>
      <c r="AY161" s="400">
        <f t="shared" ref="AY161:BE161" si="59">SUM(AY54,AY65,AY112,AY115,AY159)</f>
        <v>3242</v>
      </c>
      <c r="AZ161" s="398">
        <f t="shared" si="59"/>
        <v>3149</v>
      </c>
      <c r="BA161" s="399">
        <f t="shared" si="59"/>
        <v>3127</v>
      </c>
      <c r="BB161" s="400">
        <f t="shared" si="59"/>
        <v>3018</v>
      </c>
      <c r="BC161" s="398">
        <f t="shared" si="59"/>
        <v>3041</v>
      </c>
      <c r="BD161" s="399">
        <f t="shared" si="59"/>
        <v>3146</v>
      </c>
      <c r="BE161" s="400">
        <f t="shared" si="59"/>
        <v>2965</v>
      </c>
      <c r="BF161" s="398">
        <f t="shared" ref="BF161:BH161" si="60">SUM(BF54,BF65,BF112,BF115,BF159)</f>
        <v>2953</v>
      </c>
      <c r="BG161" s="399">
        <f t="shared" si="60"/>
        <v>2871</v>
      </c>
      <c r="BH161" s="400">
        <f t="shared" si="60"/>
        <v>2602</v>
      </c>
      <c r="BI161" s="398">
        <f t="shared" ref="BI161:BK161" si="61">SUM(BI54,BI65,BI112,BI115,BI159)</f>
        <v>2940</v>
      </c>
      <c r="BJ161" s="399">
        <f t="shared" si="61"/>
        <v>2909</v>
      </c>
      <c r="BK161" s="400">
        <f t="shared" si="61"/>
        <v>3049</v>
      </c>
    </row>
    <row r="162" spans="2:63" x14ac:dyDescent="0.2">
      <c r="B162" s="1449" t="s">
        <v>423</v>
      </c>
    </row>
    <row r="163" spans="2:63" ht="13.8" x14ac:dyDescent="0.25">
      <c r="B163" s="635" t="s">
        <v>452</v>
      </c>
    </row>
  </sheetData>
  <mergeCells count="47">
    <mergeCell ref="B149:B152"/>
    <mergeCell ref="B154:B156"/>
    <mergeCell ref="B161:C161"/>
    <mergeCell ref="B108:B110"/>
    <mergeCell ref="B116:B117"/>
    <mergeCell ref="B129:B134"/>
    <mergeCell ref="B136:B138"/>
    <mergeCell ref="B139:B147"/>
    <mergeCell ref="B118:B128"/>
    <mergeCell ref="B104:B107"/>
    <mergeCell ref="B21:B29"/>
    <mergeCell ref="B30:B34"/>
    <mergeCell ref="B36:B38"/>
    <mergeCell ref="B39:B45"/>
    <mergeCell ref="B46:B52"/>
    <mergeCell ref="B62:B63"/>
    <mergeCell ref="B67:B73"/>
    <mergeCell ref="B74:B81"/>
    <mergeCell ref="B84:B92"/>
    <mergeCell ref="B93:B99"/>
    <mergeCell ref="B101:B103"/>
    <mergeCell ref="B16:B20"/>
    <mergeCell ref="AE3:AG3"/>
    <mergeCell ref="AH3:AJ3"/>
    <mergeCell ref="AK3:AM3"/>
    <mergeCell ref="AN3:AP3"/>
    <mergeCell ref="M3:O3"/>
    <mergeCell ref="P3:R3"/>
    <mergeCell ref="S3:U3"/>
    <mergeCell ref="V3:X3"/>
    <mergeCell ref="Y3:AA3"/>
    <mergeCell ref="AB3:AD3"/>
    <mergeCell ref="J3:L3"/>
    <mergeCell ref="B5:B10"/>
    <mergeCell ref="B11:B14"/>
    <mergeCell ref="BI3:BK3"/>
    <mergeCell ref="BF3:BH3"/>
    <mergeCell ref="B1:C1"/>
    <mergeCell ref="B3:B4"/>
    <mergeCell ref="C3:C4"/>
    <mergeCell ref="D3:F3"/>
    <mergeCell ref="G3:I3"/>
    <mergeCell ref="AW3:AY3"/>
    <mergeCell ref="AZ3:BB3"/>
    <mergeCell ref="BC3:BE3"/>
    <mergeCell ref="AQ3:AS3"/>
    <mergeCell ref="AT3:AV3"/>
  </mergeCells>
  <printOptions horizontalCentered="1" verticalCentered="1"/>
  <pageMargins left="0.39370078740157483" right="0.39370078740157483" top="0.31496062992125984" bottom="0.19685039370078741" header="0.43307086614173229" footer="0.31496062992125984"/>
  <pageSetup scale="56" firstPageNumber="60" pageOrder="overThenDown" orientation="landscape" useFirstPageNumber="1" r:id="rId1"/>
  <headerFooter scaleWithDoc="0" alignWithMargins="0">
    <oddFooter>&amp;R&amp;P</oddFooter>
  </headerFooter>
  <rowBreaks count="3" manualBreakCount="3">
    <brk id="65" min="1" max="5" man="1"/>
    <brk id="65" min="48" max="62" man="1"/>
    <brk id="112" max="16383" man="1"/>
  </rowBreaks>
  <colBreaks count="2" manualBreakCount="2">
    <brk id="21" max="121" man="1"/>
    <brk id="39" max="121" man="1"/>
  </col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7A519"/>
  </sheetPr>
  <dimension ref="A1:BO116"/>
  <sheetViews>
    <sheetView showGridLines="0" zoomScaleNormal="100" zoomScaleSheetLayoutView="80" workbookViewId="0">
      <pane xSplit="2" ySplit="5" topLeftCell="AM54" activePane="bottomRight" state="frozen"/>
      <selection activeCell="Q31" sqref="Q31"/>
      <selection pane="topRight" activeCell="Q31" sqref="Q31"/>
      <selection pane="bottomLeft" activeCell="Q31" sqref="Q31"/>
      <selection pane="bottomRight" activeCell="BJ17" activeCellId="2" sqref="BJ9 BJ13 BJ17"/>
    </sheetView>
  </sheetViews>
  <sheetFormatPr baseColWidth="10" defaultColWidth="22.88671875" defaultRowHeight="13.2" x14ac:dyDescent="0.25"/>
  <cols>
    <col min="1" max="1" width="2.88671875" style="25" customWidth="1"/>
    <col min="2" max="2" width="19.5546875" style="1450" customWidth="1"/>
    <col min="3" max="5" width="8.88671875" style="1450" customWidth="1"/>
    <col min="6" max="51" width="8.88671875" style="25" customWidth="1"/>
    <col min="52" max="59" width="7.88671875" style="25" customWidth="1"/>
    <col min="60" max="91" width="8.6640625" style="25" customWidth="1"/>
    <col min="92" max="245" width="11.44140625" style="25" customWidth="1"/>
    <col min="246" max="246" width="2.109375" style="25" customWidth="1"/>
    <col min="247" max="247" width="14.88671875" style="25" customWidth="1"/>
    <col min="248" max="248" width="11.109375" style="25" bestFit="1" customWidth="1"/>
    <col min="249" max="249" width="22.88671875" style="25"/>
    <col min="250" max="250" width="2.109375" style="25" customWidth="1"/>
    <col min="251" max="251" width="18.88671875" style="25" customWidth="1"/>
    <col min="252" max="252" width="11.109375" style="25" bestFit="1" customWidth="1"/>
    <col min="253" max="253" width="22.88671875" style="25" customWidth="1"/>
    <col min="254" max="268" width="9.88671875" style="25" customWidth="1"/>
    <col min="269" max="501" width="11.44140625" style="25" customWidth="1"/>
    <col min="502" max="502" width="2.109375" style="25" customWidth="1"/>
    <col min="503" max="503" width="14.88671875" style="25" customWidth="1"/>
    <col min="504" max="504" width="11.109375" style="25" bestFit="1" customWidth="1"/>
    <col min="505" max="505" width="22.88671875" style="25"/>
    <col min="506" max="506" width="2.109375" style="25" customWidth="1"/>
    <col min="507" max="507" width="18.88671875" style="25" customWidth="1"/>
    <col min="508" max="508" width="11.109375" style="25" bestFit="1" customWidth="1"/>
    <col min="509" max="509" width="22.88671875" style="25" customWidth="1"/>
    <col min="510" max="524" width="9.88671875" style="25" customWidth="1"/>
    <col min="525" max="757" width="11.44140625" style="25" customWidth="1"/>
    <col min="758" max="758" width="2.109375" style="25" customWidth="1"/>
    <col min="759" max="759" width="14.88671875" style="25" customWidth="1"/>
    <col min="760" max="760" width="11.109375" style="25" bestFit="1" customWidth="1"/>
    <col min="761" max="761" width="22.88671875" style="25"/>
    <col min="762" max="762" width="2.109375" style="25" customWidth="1"/>
    <col min="763" max="763" width="18.88671875" style="25" customWidth="1"/>
    <col min="764" max="764" width="11.109375" style="25" bestFit="1" customWidth="1"/>
    <col min="765" max="765" width="22.88671875" style="25" customWidth="1"/>
    <col min="766" max="780" width="9.88671875" style="25" customWidth="1"/>
    <col min="781" max="1013" width="11.44140625" style="25" customWidth="1"/>
    <col min="1014" max="1014" width="2.109375" style="25" customWidth="1"/>
    <col min="1015" max="1015" width="14.88671875" style="25" customWidth="1"/>
    <col min="1016" max="1016" width="11.109375" style="25" bestFit="1" customWidth="1"/>
    <col min="1017" max="1017" width="22.88671875" style="25"/>
    <col min="1018" max="1018" width="2.109375" style="25" customWidth="1"/>
    <col min="1019" max="1019" width="18.88671875" style="25" customWidth="1"/>
    <col min="1020" max="1020" width="11.109375" style="25" bestFit="1" customWidth="1"/>
    <col min="1021" max="1021" width="22.88671875" style="25" customWidth="1"/>
    <col min="1022" max="1036" width="9.88671875" style="25" customWidth="1"/>
    <col min="1037" max="1269" width="11.44140625" style="25" customWidth="1"/>
    <col min="1270" max="1270" width="2.109375" style="25" customWidth="1"/>
    <col min="1271" max="1271" width="14.88671875" style="25" customWidth="1"/>
    <col min="1272" max="1272" width="11.109375" style="25" bestFit="1" customWidth="1"/>
    <col min="1273" max="1273" width="22.88671875" style="25"/>
    <col min="1274" max="1274" width="2.109375" style="25" customWidth="1"/>
    <col min="1275" max="1275" width="18.88671875" style="25" customWidth="1"/>
    <col min="1276" max="1276" width="11.109375" style="25" bestFit="1" customWidth="1"/>
    <col min="1277" max="1277" width="22.88671875" style="25" customWidth="1"/>
    <col min="1278" max="1292" width="9.88671875" style="25" customWidth="1"/>
    <col min="1293" max="1525" width="11.44140625" style="25" customWidth="1"/>
    <col min="1526" max="1526" width="2.109375" style="25" customWidth="1"/>
    <col min="1527" max="1527" width="14.88671875" style="25" customWidth="1"/>
    <col min="1528" max="1528" width="11.109375" style="25" bestFit="1" customWidth="1"/>
    <col min="1529" max="1529" width="22.88671875" style="25"/>
    <col min="1530" max="1530" width="2.109375" style="25" customWidth="1"/>
    <col min="1531" max="1531" width="18.88671875" style="25" customWidth="1"/>
    <col min="1532" max="1532" width="11.109375" style="25" bestFit="1" customWidth="1"/>
    <col min="1533" max="1533" width="22.88671875" style="25" customWidth="1"/>
    <col min="1534" max="1548" width="9.88671875" style="25" customWidth="1"/>
    <col min="1549" max="1781" width="11.44140625" style="25" customWidth="1"/>
    <col min="1782" max="1782" width="2.109375" style="25" customWidth="1"/>
    <col min="1783" max="1783" width="14.88671875" style="25" customWidth="1"/>
    <col min="1784" max="1784" width="11.109375" style="25" bestFit="1" customWidth="1"/>
    <col min="1785" max="1785" width="22.88671875" style="25"/>
    <col min="1786" max="1786" width="2.109375" style="25" customWidth="1"/>
    <col min="1787" max="1787" width="18.88671875" style="25" customWidth="1"/>
    <col min="1788" max="1788" width="11.109375" style="25" bestFit="1" customWidth="1"/>
    <col min="1789" max="1789" width="22.88671875" style="25" customWidth="1"/>
    <col min="1790" max="1804" width="9.88671875" style="25" customWidth="1"/>
    <col min="1805" max="2037" width="11.44140625" style="25" customWidth="1"/>
    <col min="2038" max="2038" width="2.109375" style="25" customWidth="1"/>
    <col min="2039" max="2039" width="14.88671875" style="25" customWidth="1"/>
    <col min="2040" max="2040" width="11.109375" style="25" bestFit="1" customWidth="1"/>
    <col min="2041" max="2041" width="22.88671875" style="25"/>
    <col min="2042" max="2042" width="2.109375" style="25" customWidth="1"/>
    <col min="2043" max="2043" width="18.88671875" style="25" customWidth="1"/>
    <col min="2044" max="2044" width="11.109375" style="25" bestFit="1" customWidth="1"/>
    <col min="2045" max="2045" width="22.88671875" style="25" customWidth="1"/>
    <col min="2046" max="2060" width="9.88671875" style="25" customWidth="1"/>
    <col min="2061" max="2293" width="11.44140625" style="25" customWidth="1"/>
    <col min="2294" max="2294" width="2.109375" style="25" customWidth="1"/>
    <col min="2295" max="2295" width="14.88671875" style="25" customWidth="1"/>
    <col min="2296" max="2296" width="11.109375" style="25" bestFit="1" customWidth="1"/>
    <col min="2297" max="2297" width="22.88671875" style="25"/>
    <col min="2298" max="2298" width="2.109375" style="25" customWidth="1"/>
    <col min="2299" max="2299" width="18.88671875" style="25" customWidth="1"/>
    <col min="2300" max="2300" width="11.109375" style="25" bestFit="1" customWidth="1"/>
    <col min="2301" max="2301" width="22.88671875" style="25" customWidth="1"/>
    <col min="2302" max="2316" width="9.88671875" style="25" customWidth="1"/>
    <col min="2317" max="2549" width="11.44140625" style="25" customWidth="1"/>
    <col min="2550" max="2550" width="2.109375" style="25" customWidth="1"/>
    <col min="2551" max="2551" width="14.88671875" style="25" customWidth="1"/>
    <col min="2552" max="2552" width="11.109375" style="25" bestFit="1" customWidth="1"/>
    <col min="2553" max="2553" width="22.88671875" style="25"/>
    <col min="2554" max="2554" width="2.109375" style="25" customWidth="1"/>
    <col min="2555" max="2555" width="18.88671875" style="25" customWidth="1"/>
    <col min="2556" max="2556" width="11.109375" style="25" bestFit="1" customWidth="1"/>
    <col min="2557" max="2557" width="22.88671875" style="25" customWidth="1"/>
    <col min="2558" max="2572" width="9.88671875" style="25" customWidth="1"/>
    <col min="2573" max="2805" width="11.44140625" style="25" customWidth="1"/>
    <col min="2806" max="2806" width="2.109375" style="25" customWidth="1"/>
    <col min="2807" max="2807" width="14.88671875" style="25" customWidth="1"/>
    <col min="2808" max="2808" width="11.109375" style="25" bestFit="1" customWidth="1"/>
    <col min="2809" max="2809" width="22.88671875" style="25"/>
    <col min="2810" max="2810" width="2.109375" style="25" customWidth="1"/>
    <col min="2811" max="2811" width="18.88671875" style="25" customWidth="1"/>
    <col min="2812" max="2812" width="11.109375" style="25" bestFit="1" customWidth="1"/>
    <col min="2813" max="2813" width="22.88671875" style="25" customWidth="1"/>
    <col min="2814" max="2828" width="9.88671875" style="25" customWidth="1"/>
    <col min="2829" max="3061" width="11.44140625" style="25" customWidth="1"/>
    <col min="3062" max="3062" width="2.109375" style="25" customWidth="1"/>
    <col min="3063" max="3063" width="14.88671875" style="25" customWidth="1"/>
    <col min="3064" max="3064" width="11.109375" style="25" bestFit="1" customWidth="1"/>
    <col min="3065" max="3065" width="22.88671875" style="25"/>
    <col min="3066" max="3066" width="2.109375" style="25" customWidth="1"/>
    <col min="3067" max="3067" width="18.88671875" style="25" customWidth="1"/>
    <col min="3068" max="3068" width="11.109375" style="25" bestFit="1" customWidth="1"/>
    <col min="3069" max="3069" width="22.88671875" style="25" customWidth="1"/>
    <col min="3070" max="3084" width="9.88671875" style="25" customWidth="1"/>
    <col min="3085" max="3317" width="11.44140625" style="25" customWidth="1"/>
    <col min="3318" max="3318" width="2.109375" style="25" customWidth="1"/>
    <col min="3319" max="3319" width="14.88671875" style="25" customWidth="1"/>
    <col min="3320" max="3320" width="11.109375" style="25" bestFit="1" customWidth="1"/>
    <col min="3321" max="3321" width="22.88671875" style="25"/>
    <col min="3322" max="3322" width="2.109375" style="25" customWidth="1"/>
    <col min="3323" max="3323" width="18.88671875" style="25" customWidth="1"/>
    <col min="3324" max="3324" width="11.109375" style="25" bestFit="1" customWidth="1"/>
    <col min="3325" max="3325" width="22.88671875" style="25" customWidth="1"/>
    <col min="3326" max="3340" width="9.88671875" style="25" customWidth="1"/>
    <col min="3341" max="3573" width="11.44140625" style="25" customWidth="1"/>
    <col min="3574" max="3574" width="2.109375" style="25" customWidth="1"/>
    <col min="3575" max="3575" width="14.88671875" style="25" customWidth="1"/>
    <col min="3576" max="3576" width="11.109375" style="25" bestFit="1" customWidth="1"/>
    <col min="3577" max="3577" width="22.88671875" style="25"/>
    <col min="3578" max="3578" width="2.109375" style="25" customWidth="1"/>
    <col min="3579" max="3579" width="18.88671875" style="25" customWidth="1"/>
    <col min="3580" max="3580" width="11.109375" style="25" bestFit="1" customWidth="1"/>
    <col min="3581" max="3581" width="22.88671875" style="25" customWidth="1"/>
    <col min="3582" max="3596" width="9.88671875" style="25" customWidth="1"/>
    <col min="3597" max="3829" width="11.44140625" style="25" customWidth="1"/>
    <col min="3830" max="3830" width="2.109375" style="25" customWidth="1"/>
    <col min="3831" max="3831" width="14.88671875" style="25" customWidth="1"/>
    <col min="3832" max="3832" width="11.109375" style="25" bestFit="1" customWidth="1"/>
    <col min="3833" max="3833" width="22.88671875" style="25"/>
    <col min="3834" max="3834" width="2.109375" style="25" customWidth="1"/>
    <col min="3835" max="3835" width="18.88671875" style="25" customWidth="1"/>
    <col min="3836" max="3836" width="11.109375" style="25" bestFit="1" customWidth="1"/>
    <col min="3837" max="3837" width="22.88671875" style="25" customWidth="1"/>
    <col min="3838" max="3852" width="9.88671875" style="25" customWidth="1"/>
    <col min="3853" max="4085" width="11.44140625" style="25" customWidth="1"/>
    <col min="4086" max="4086" width="2.109375" style="25" customWidth="1"/>
    <col min="4087" max="4087" width="14.88671875" style="25" customWidth="1"/>
    <col min="4088" max="4088" width="11.109375" style="25" bestFit="1" customWidth="1"/>
    <col min="4089" max="4089" width="22.88671875" style="25"/>
    <col min="4090" max="4090" width="2.109375" style="25" customWidth="1"/>
    <col min="4091" max="4091" width="18.88671875" style="25" customWidth="1"/>
    <col min="4092" max="4092" width="11.109375" style="25" bestFit="1" customWidth="1"/>
    <col min="4093" max="4093" width="22.88671875" style="25" customWidth="1"/>
    <col min="4094" max="4108" width="9.88671875" style="25" customWidth="1"/>
    <col min="4109" max="4341" width="11.44140625" style="25" customWidth="1"/>
    <col min="4342" max="4342" width="2.109375" style="25" customWidth="1"/>
    <col min="4343" max="4343" width="14.88671875" style="25" customWidth="1"/>
    <col min="4344" max="4344" width="11.109375" style="25" bestFit="1" customWidth="1"/>
    <col min="4345" max="4345" width="22.88671875" style="25"/>
    <col min="4346" max="4346" width="2.109375" style="25" customWidth="1"/>
    <col min="4347" max="4347" width="18.88671875" style="25" customWidth="1"/>
    <col min="4348" max="4348" width="11.109375" style="25" bestFit="1" customWidth="1"/>
    <col min="4349" max="4349" width="22.88671875" style="25" customWidth="1"/>
    <col min="4350" max="4364" width="9.88671875" style="25" customWidth="1"/>
    <col min="4365" max="4597" width="11.44140625" style="25" customWidth="1"/>
    <col min="4598" max="4598" width="2.109375" style="25" customWidth="1"/>
    <col min="4599" max="4599" width="14.88671875" style="25" customWidth="1"/>
    <col min="4600" max="4600" width="11.109375" style="25" bestFit="1" customWidth="1"/>
    <col min="4601" max="4601" width="22.88671875" style="25"/>
    <col min="4602" max="4602" width="2.109375" style="25" customWidth="1"/>
    <col min="4603" max="4603" width="18.88671875" style="25" customWidth="1"/>
    <col min="4604" max="4604" width="11.109375" style="25" bestFit="1" customWidth="1"/>
    <col min="4605" max="4605" width="22.88671875" style="25" customWidth="1"/>
    <col min="4606" max="4620" width="9.88671875" style="25" customWidth="1"/>
    <col min="4621" max="4853" width="11.44140625" style="25" customWidth="1"/>
    <col min="4854" max="4854" width="2.109375" style="25" customWidth="1"/>
    <col min="4855" max="4855" width="14.88671875" style="25" customWidth="1"/>
    <col min="4856" max="4856" width="11.109375" style="25" bestFit="1" customWidth="1"/>
    <col min="4857" max="4857" width="22.88671875" style="25"/>
    <col min="4858" max="4858" width="2.109375" style="25" customWidth="1"/>
    <col min="4859" max="4859" width="18.88671875" style="25" customWidth="1"/>
    <col min="4860" max="4860" width="11.109375" style="25" bestFit="1" customWidth="1"/>
    <col min="4861" max="4861" width="22.88671875" style="25" customWidth="1"/>
    <col min="4862" max="4876" width="9.88671875" style="25" customWidth="1"/>
    <col min="4877" max="5109" width="11.44140625" style="25" customWidth="1"/>
    <col min="5110" max="5110" width="2.109375" style="25" customWidth="1"/>
    <col min="5111" max="5111" width="14.88671875" style="25" customWidth="1"/>
    <col min="5112" max="5112" width="11.109375" style="25" bestFit="1" customWidth="1"/>
    <col min="5113" max="5113" width="22.88671875" style="25"/>
    <col min="5114" max="5114" width="2.109375" style="25" customWidth="1"/>
    <col min="5115" max="5115" width="18.88671875" style="25" customWidth="1"/>
    <col min="5116" max="5116" width="11.109375" style="25" bestFit="1" customWidth="1"/>
    <col min="5117" max="5117" width="22.88671875" style="25" customWidth="1"/>
    <col min="5118" max="5132" width="9.88671875" style="25" customWidth="1"/>
    <col min="5133" max="5365" width="11.44140625" style="25" customWidth="1"/>
    <col min="5366" max="5366" width="2.109375" style="25" customWidth="1"/>
    <col min="5367" max="5367" width="14.88671875" style="25" customWidth="1"/>
    <col min="5368" max="5368" width="11.109375" style="25" bestFit="1" customWidth="1"/>
    <col min="5369" max="5369" width="22.88671875" style="25"/>
    <col min="5370" max="5370" width="2.109375" style="25" customWidth="1"/>
    <col min="5371" max="5371" width="18.88671875" style="25" customWidth="1"/>
    <col min="5372" max="5372" width="11.109375" style="25" bestFit="1" customWidth="1"/>
    <col min="5373" max="5373" width="22.88671875" style="25" customWidth="1"/>
    <col min="5374" max="5388" width="9.88671875" style="25" customWidth="1"/>
    <col min="5389" max="5621" width="11.44140625" style="25" customWidth="1"/>
    <col min="5622" max="5622" width="2.109375" style="25" customWidth="1"/>
    <col min="5623" max="5623" width="14.88671875" style="25" customWidth="1"/>
    <col min="5624" max="5624" width="11.109375" style="25" bestFit="1" customWidth="1"/>
    <col min="5625" max="5625" width="22.88671875" style="25"/>
    <col min="5626" max="5626" width="2.109375" style="25" customWidth="1"/>
    <col min="5627" max="5627" width="18.88671875" style="25" customWidth="1"/>
    <col min="5628" max="5628" width="11.109375" style="25" bestFit="1" customWidth="1"/>
    <col min="5629" max="5629" width="22.88671875" style="25" customWidth="1"/>
    <col min="5630" max="5644" width="9.88671875" style="25" customWidth="1"/>
    <col min="5645" max="5877" width="11.44140625" style="25" customWidth="1"/>
    <col min="5878" max="5878" width="2.109375" style="25" customWidth="1"/>
    <col min="5879" max="5879" width="14.88671875" style="25" customWidth="1"/>
    <col min="5880" max="5880" width="11.109375" style="25" bestFit="1" customWidth="1"/>
    <col min="5881" max="5881" width="22.88671875" style="25"/>
    <col min="5882" max="5882" width="2.109375" style="25" customWidth="1"/>
    <col min="5883" max="5883" width="18.88671875" style="25" customWidth="1"/>
    <col min="5884" max="5884" width="11.109375" style="25" bestFit="1" customWidth="1"/>
    <col min="5885" max="5885" width="22.88671875" style="25" customWidth="1"/>
    <col min="5886" max="5900" width="9.88671875" style="25" customWidth="1"/>
    <col min="5901" max="6133" width="11.44140625" style="25" customWidth="1"/>
    <col min="6134" max="6134" width="2.109375" style="25" customWidth="1"/>
    <col min="6135" max="6135" width="14.88671875" style="25" customWidth="1"/>
    <col min="6136" max="6136" width="11.109375" style="25" bestFit="1" customWidth="1"/>
    <col min="6137" max="6137" width="22.88671875" style="25"/>
    <col min="6138" max="6138" width="2.109375" style="25" customWidth="1"/>
    <col min="6139" max="6139" width="18.88671875" style="25" customWidth="1"/>
    <col min="6140" max="6140" width="11.109375" style="25" bestFit="1" customWidth="1"/>
    <col min="6141" max="6141" width="22.88671875" style="25" customWidth="1"/>
    <col min="6142" max="6156" width="9.88671875" style="25" customWidth="1"/>
    <col min="6157" max="6389" width="11.44140625" style="25" customWidth="1"/>
    <col min="6390" max="6390" width="2.109375" style="25" customWidth="1"/>
    <col min="6391" max="6391" width="14.88671875" style="25" customWidth="1"/>
    <col min="6392" max="6392" width="11.109375" style="25" bestFit="1" customWidth="1"/>
    <col min="6393" max="6393" width="22.88671875" style="25"/>
    <col min="6394" max="6394" width="2.109375" style="25" customWidth="1"/>
    <col min="6395" max="6395" width="18.88671875" style="25" customWidth="1"/>
    <col min="6396" max="6396" width="11.109375" style="25" bestFit="1" customWidth="1"/>
    <col min="6397" max="6397" width="22.88671875" style="25" customWidth="1"/>
    <col min="6398" max="6412" width="9.88671875" style="25" customWidth="1"/>
    <col min="6413" max="6645" width="11.44140625" style="25" customWidth="1"/>
    <col min="6646" max="6646" width="2.109375" style="25" customWidth="1"/>
    <col min="6647" max="6647" width="14.88671875" style="25" customWidth="1"/>
    <col min="6648" max="6648" width="11.109375" style="25" bestFit="1" customWidth="1"/>
    <col min="6649" max="6649" width="22.88671875" style="25"/>
    <col min="6650" max="6650" width="2.109375" style="25" customWidth="1"/>
    <col min="6651" max="6651" width="18.88671875" style="25" customWidth="1"/>
    <col min="6652" max="6652" width="11.109375" style="25" bestFit="1" customWidth="1"/>
    <col min="6653" max="6653" width="22.88671875" style="25" customWidth="1"/>
    <col min="6654" max="6668" width="9.88671875" style="25" customWidth="1"/>
    <col min="6669" max="6901" width="11.44140625" style="25" customWidth="1"/>
    <col min="6902" max="6902" width="2.109375" style="25" customWidth="1"/>
    <col min="6903" max="6903" width="14.88671875" style="25" customWidth="1"/>
    <col min="6904" max="6904" width="11.109375" style="25" bestFit="1" customWidth="1"/>
    <col min="6905" max="6905" width="22.88671875" style="25"/>
    <col min="6906" max="6906" width="2.109375" style="25" customWidth="1"/>
    <col min="6907" max="6907" width="18.88671875" style="25" customWidth="1"/>
    <col min="6908" max="6908" width="11.109375" style="25" bestFit="1" customWidth="1"/>
    <col min="6909" max="6909" width="22.88671875" style="25" customWidth="1"/>
    <col min="6910" max="6924" width="9.88671875" style="25" customWidth="1"/>
    <col min="6925" max="7157" width="11.44140625" style="25" customWidth="1"/>
    <col min="7158" max="7158" width="2.109375" style="25" customWidth="1"/>
    <col min="7159" max="7159" width="14.88671875" style="25" customWidth="1"/>
    <col min="7160" max="7160" width="11.109375" style="25" bestFit="1" customWidth="1"/>
    <col min="7161" max="7161" width="22.88671875" style="25"/>
    <col min="7162" max="7162" width="2.109375" style="25" customWidth="1"/>
    <col min="7163" max="7163" width="18.88671875" style="25" customWidth="1"/>
    <col min="7164" max="7164" width="11.109375" style="25" bestFit="1" customWidth="1"/>
    <col min="7165" max="7165" width="22.88671875" style="25" customWidth="1"/>
    <col min="7166" max="7180" width="9.88671875" style="25" customWidth="1"/>
    <col min="7181" max="7413" width="11.44140625" style="25" customWidth="1"/>
    <col min="7414" max="7414" width="2.109375" style="25" customWidth="1"/>
    <col min="7415" max="7415" width="14.88671875" style="25" customWidth="1"/>
    <col min="7416" max="7416" width="11.109375" style="25" bestFit="1" customWidth="1"/>
    <col min="7417" max="7417" width="22.88671875" style="25"/>
    <col min="7418" max="7418" width="2.109375" style="25" customWidth="1"/>
    <col min="7419" max="7419" width="18.88671875" style="25" customWidth="1"/>
    <col min="7420" max="7420" width="11.109375" style="25" bestFit="1" customWidth="1"/>
    <col min="7421" max="7421" width="22.88671875" style="25" customWidth="1"/>
    <col min="7422" max="7436" width="9.88671875" style="25" customWidth="1"/>
    <col min="7437" max="7669" width="11.44140625" style="25" customWidth="1"/>
    <col min="7670" max="7670" width="2.109375" style="25" customWidth="1"/>
    <col min="7671" max="7671" width="14.88671875" style="25" customWidth="1"/>
    <col min="7672" max="7672" width="11.109375" style="25" bestFit="1" customWidth="1"/>
    <col min="7673" max="7673" width="22.88671875" style="25"/>
    <col min="7674" max="7674" width="2.109375" style="25" customWidth="1"/>
    <col min="7675" max="7675" width="18.88671875" style="25" customWidth="1"/>
    <col min="7676" max="7676" width="11.109375" style="25" bestFit="1" customWidth="1"/>
    <col min="7677" max="7677" width="22.88671875" style="25" customWidth="1"/>
    <col min="7678" max="7692" width="9.88671875" style="25" customWidth="1"/>
    <col min="7693" max="7925" width="11.44140625" style="25" customWidth="1"/>
    <col min="7926" max="7926" width="2.109375" style="25" customWidth="1"/>
    <col min="7927" max="7927" width="14.88671875" style="25" customWidth="1"/>
    <col min="7928" max="7928" width="11.109375" style="25" bestFit="1" customWidth="1"/>
    <col min="7929" max="7929" width="22.88671875" style="25"/>
    <col min="7930" max="7930" width="2.109375" style="25" customWidth="1"/>
    <col min="7931" max="7931" width="18.88671875" style="25" customWidth="1"/>
    <col min="7932" max="7932" width="11.109375" style="25" bestFit="1" customWidth="1"/>
    <col min="7933" max="7933" width="22.88671875" style="25" customWidth="1"/>
    <col min="7934" max="7948" width="9.88671875" style="25" customWidth="1"/>
    <col min="7949" max="8181" width="11.44140625" style="25" customWidth="1"/>
    <col min="8182" max="8182" width="2.109375" style="25" customWidth="1"/>
    <col min="8183" max="8183" width="14.88671875" style="25" customWidth="1"/>
    <col min="8184" max="8184" width="11.109375" style="25" bestFit="1" customWidth="1"/>
    <col min="8185" max="8185" width="22.88671875" style="25"/>
    <col min="8186" max="8186" width="2.109375" style="25" customWidth="1"/>
    <col min="8187" max="8187" width="18.88671875" style="25" customWidth="1"/>
    <col min="8188" max="8188" width="11.109375" style="25" bestFit="1" customWidth="1"/>
    <col min="8189" max="8189" width="22.88671875" style="25" customWidth="1"/>
    <col min="8190" max="8204" width="9.88671875" style="25" customWidth="1"/>
    <col min="8205" max="8437" width="11.44140625" style="25" customWidth="1"/>
    <col min="8438" max="8438" width="2.109375" style="25" customWidth="1"/>
    <col min="8439" max="8439" width="14.88671875" style="25" customWidth="1"/>
    <col min="8440" max="8440" width="11.109375" style="25" bestFit="1" customWidth="1"/>
    <col min="8441" max="8441" width="22.88671875" style="25"/>
    <col min="8442" max="8442" width="2.109375" style="25" customWidth="1"/>
    <col min="8443" max="8443" width="18.88671875" style="25" customWidth="1"/>
    <col min="8444" max="8444" width="11.109375" style="25" bestFit="1" customWidth="1"/>
    <col min="8445" max="8445" width="22.88671875" style="25" customWidth="1"/>
    <col min="8446" max="8460" width="9.88671875" style="25" customWidth="1"/>
    <col min="8461" max="8693" width="11.44140625" style="25" customWidth="1"/>
    <col min="8694" max="8694" width="2.109375" style="25" customWidth="1"/>
    <col min="8695" max="8695" width="14.88671875" style="25" customWidth="1"/>
    <col min="8696" max="8696" width="11.109375" style="25" bestFit="1" customWidth="1"/>
    <col min="8697" max="8697" width="22.88671875" style="25"/>
    <col min="8698" max="8698" width="2.109375" style="25" customWidth="1"/>
    <col min="8699" max="8699" width="18.88671875" style="25" customWidth="1"/>
    <col min="8700" max="8700" width="11.109375" style="25" bestFit="1" customWidth="1"/>
    <col min="8701" max="8701" width="22.88671875" style="25" customWidth="1"/>
    <col min="8702" max="8716" width="9.88671875" style="25" customWidth="1"/>
    <col min="8717" max="8949" width="11.44140625" style="25" customWidth="1"/>
    <col min="8950" max="8950" width="2.109375" style="25" customWidth="1"/>
    <col min="8951" max="8951" width="14.88671875" style="25" customWidth="1"/>
    <col min="8952" max="8952" width="11.109375" style="25" bestFit="1" customWidth="1"/>
    <col min="8953" max="8953" width="22.88671875" style="25"/>
    <col min="8954" max="8954" width="2.109375" style="25" customWidth="1"/>
    <col min="8955" max="8955" width="18.88671875" style="25" customWidth="1"/>
    <col min="8956" max="8956" width="11.109375" style="25" bestFit="1" customWidth="1"/>
    <col min="8957" max="8957" width="22.88671875" style="25" customWidth="1"/>
    <col min="8958" max="8972" width="9.88671875" style="25" customWidth="1"/>
    <col min="8973" max="9205" width="11.44140625" style="25" customWidth="1"/>
    <col min="9206" max="9206" width="2.109375" style="25" customWidth="1"/>
    <col min="9207" max="9207" width="14.88671875" style="25" customWidth="1"/>
    <col min="9208" max="9208" width="11.109375" style="25" bestFit="1" customWidth="1"/>
    <col min="9209" max="9209" width="22.88671875" style="25"/>
    <col min="9210" max="9210" width="2.109375" style="25" customWidth="1"/>
    <col min="9211" max="9211" width="18.88671875" style="25" customWidth="1"/>
    <col min="9212" max="9212" width="11.109375" style="25" bestFit="1" customWidth="1"/>
    <col min="9213" max="9213" width="22.88671875" style="25" customWidth="1"/>
    <col min="9214" max="9228" width="9.88671875" style="25" customWidth="1"/>
    <col min="9229" max="9461" width="11.44140625" style="25" customWidth="1"/>
    <col min="9462" max="9462" width="2.109375" style="25" customWidth="1"/>
    <col min="9463" max="9463" width="14.88671875" style="25" customWidth="1"/>
    <col min="9464" max="9464" width="11.109375" style="25" bestFit="1" customWidth="1"/>
    <col min="9465" max="9465" width="22.88671875" style="25"/>
    <col min="9466" max="9466" width="2.109375" style="25" customWidth="1"/>
    <col min="9467" max="9467" width="18.88671875" style="25" customWidth="1"/>
    <col min="9468" max="9468" width="11.109375" style="25" bestFit="1" customWidth="1"/>
    <col min="9469" max="9469" width="22.88671875" style="25" customWidth="1"/>
    <col min="9470" max="9484" width="9.88671875" style="25" customWidth="1"/>
    <col min="9485" max="9717" width="11.44140625" style="25" customWidth="1"/>
    <col min="9718" max="9718" width="2.109375" style="25" customWidth="1"/>
    <col min="9719" max="9719" width="14.88671875" style="25" customWidth="1"/>
    <col min="9720" max="9720" width="11.109375" style="25" bestFit="1" customWidth="1"/>
    <col min="9721" max="9721" width="22.88671875" style="25"/>
    <col min="9722" max="9722" width="2.109375" style="25" customWidth="1"/>
    <col min="9723" max="9723" width="18.88671875" style="25" customWidth="1"/>
    <col min="9724" max="9724" width="11.109375" style="25" bestFit="1" customWidth="1"/>
    <col min="9725" max="9725" width="22.88671875" style="25" customWidth="1"/>
    <col min="9726" max="9740" width="9.88671875" style="25" customWidth="1"/>
    <col min="9741" max="9973" width="11.44140625" style="25" customWidth="1"/>
    <col min="9974" max="9974" width="2.109375" style="25" customWidth="1"/>
    <col min="9975" max="9975" width="14.88671875" style="25" customWidth="1"/>
    <col min="9976" max="9976" width="11.109375" style="25" bestFit="1" customWidth="1"/>
    <col min="9977" max="9977" width="22.88671875" style="25"/>
    <col min="9978" max="9978" width="2.109375" style="25" customWidth="1"/>
    <col min="9979" max="9979" width="18.88671875" style="25" customWidth="1"/>
    <col min="9980" max="9980" width="11.109375" style="25" bestFit="1" customWidth="1"/>
    <col min="9981" max="9981" width="22.88671875" style="25" customWidth="1"/>
    <col min="9982" max="9996" width="9.88671875" style="25" customWidth="1"/>
    <col min="9997" max="10229" width="11.44140625" style="25" customWidth="1"/>
    <col min="10230" max="10230" width="2.109375" style="25" customWidth="1"/>
    <col min="10231" max="10231" width="14.88671875" style="25" customWidth="1"/>
    <col min="10232" max="10232" width="11.109375" style="25" bestFit="1" customWidth="1"/>
    <col min="10233" max="10233" width="22.88671875" style="25"/>
    <col min="10234" max="10234" width="2.109375" style="25" customWidth="1"/>
    <col min="10235" max="10235" width="18.88671875" style="25" customWidth="1"/>
    <col min="10236" max="10236" width="11.109375" style="25" bestFit="1" customWidth="1"/>
    <col min="10237" max="10237" width="22.88671875" style="25" customWidth="1"/>
    <col min="10238" max="10252" width="9.88671875" style="25" customWidth="1"/>
    <col min="10253" max="10485" width="11.44140625" style="25" customWidth="1"/>
    <col min="10486" max="10486" width="2.109375" style="25" customWidth="1"/>
    <col min="10487" max="10487" width="14.88671875" style="25" customWidth="1"/>
    <col min="10488" max="10488" width="11.109375" style="25" bestFit="1" customWidth="1"/>
    <col min="10489" max="10489" width="22.88671875" style="25"/>
    <col min="10490" max="10490" width="2.109375" style="25" customWidth="1"/>
    <col min="10491" max="10491" width="18.88671875" style="25" customWidth="1"/>
    <col min="10492" max="10492" width="11.109375" style="25" bestFit="1" customWidth="1"/>
    <col min="10493" max="10493" width="22.88671875" style="25" customWidth="1"/>
    <col min="10494" max="10508" width="9.88671875" style="25" customWidth="1"/>
    <col min="10509" max="10741" width="11.44140625" style="25" customWidth="1"/>
    <col min="10742" max="10742" width="2.109375" style="25" customWidth="1"/>
    <col min="10743" max="10743" width="14.88671875" style="25" customWidth="1"/>
    <col min="10744" max="10744" width="11.109375" style="25" bestFit="1" customWidth="1"/>
    <col min="10745" max="10745" width="22.88671875" style="25"/>
    <col min="10746" max="10746" width="2.109375" style="25" customWidth="1"/>
    <col min="10747" max="10747" width="18.88671875" style="25" customWidth="1"/>
    <col min="10748" max="10748" width="11.109375" style="25" bestFit="1" customWidth="1"/>
    <col min="10749" max="10749" width="22.88671875" style="25" customWidth="1"/>
    <col min="10750" max="10764" width="9.88671875" style="25" customWidth="1"/>
    <col min="10765" max="10997" width="11.44140625" style="25" customWidth="1"/>
    <col min="10998" max="10998" width="2.109375" style="25" customWidth="1"/>
    <col min="10999" max="10999" width="14.88671875" style="25" customWidth="1"/>
    <col min="11000" max="11000" width="11.109375" style="25" bestFit="1" customWidth="1"/>
    <col min="11001" max="11001" width="22.88671875" style="25"/>
    <col min="11002" max="11002" width="2.109375" style="25" customWidth="1"/>
    <col min="11003" max="11003" width="18.88671875" style="25" customWidth="1"/>
    <col min="11004" max="11004" width="11.109375" style="25" bestFit="1" customWidth="1"/>
    <col min="11005" max="11005" width="22.88671875" style="25" customWidth="1"/>
    <col min="11006" max="11020" width="9.88671875" style="25" customWidth="1"/>
    <col min="11021" max="11253" width="11.44140625" style="25" customWidth="1"/>
    <col min="11254" max="11254" width="2.109375" style="25" customWidth="1"/>
    <col min="11255" max="11255" width="14.88671875" style="25" customWidth="1"/>
    <col min="11256" max="11256" width="11.109375" style="25" bestFit="1" customWidth="1"/>
    <col min="11257" max="11257" width="22.88671875" style="25"/>
    <col min="11258" max="11258" width="2.109375" style="25" customWidth="1"/>
    <col min="11259" max="11259" width="18.88671875" style="25" customWidth="1"/>
    <col min="11260" max="11260" width="11.109375" style="25" bestFit="1" customWidth="1"/>
    <col min="11261" max="11261" width="22.88671875" style="25" customWidth="1"/>
    <col min="11262" max="11276" width="9.88671875" style="25" customWidth="1"/>
    <col min="11277" max="11509" width="11.44140625" style="25" customWidth="1"/>
    <col min="11510" max="11510" width="2.109375" style="25" customWidth="1"/>
    <col min="11511" max="11511" width="14.88671875" style="25" customWidth="1"/>
    <col min="11512" max="11512" width="11.109375" style="25" bestFit="1" customWidth="1"/>
    <col min="11513" max="11513" width="22.88671875" style="25"/>
    <col min="11514" max="11514" width="2.109375" style="25" customWidth="1"/>
    <col min="11515" max="11515" width="18.88671875" style="25" customWidth="1"/>
    <col min="11516" max="11516" width="11.109375" style="25" bestFit="1" customWidth="1"/>
    <col min="11517" max="11517" width="22.88671875" style="25" customWidth="1"/>
    <col min="11518" max="11532" width="9.88671875" style="25" customWidth="1"/>
    <col min="11533" max="11765" width="11.44140625" style="25" customWidth="1"/>
    <col min="11766" max="11766" width="2.109375" style="25" customWidth="1"/>
    <col min="11767" max="11767" width="14.88671875" style="25" customWidth="1"/>
    <col min="11768" max="11768" width="11.109375" style="25" bestFit="1" customWidth="1"/>
    <col min="11769" max="11769" width="22.88671875" style="25"/>
    <col min="11770" max="11770" width="2.109375" style="25" customWidth="1"/>
    <col min="11771" max="11771" width="18.88671875" style="25" customWidth="1"/>
    <col min="11772" max="11772" width="11.109375" style="25" bestFit="1" customWidth="1"/>
    <col min="11773" max="11773" width="22.88671875" style="25" customWidth="1"/>
    <col min="11774" max="11788" width="9.88671875" style="25" customWidth="1"/>
    <col min="11789" max="12021" width="11.44140625" style="25" customWidth="1"/>
    <col min="12022" max="12022" width="2.109375" style="25" customWidth="1"/>
    <col min="12023" max="12023" width="14.88671875" style="25" customWidth="1"/>
    <col min="12024" max="12024" width="11.109375" style="25" bestFit="1" customWidth="1"/>
    <col min="12025" max="12025" width="22.88671875" style="25"/>
    <col min="12026" max="12026" width="2.109375" style="25" customWidth="1"/>
    <col min="12027" max="12027" width="18.88671875" style="25" customWidth="1"/>
    <col min="12028" max="12028" width="11.109375" style="25" bestFit="1" customWidth="1"/>
    <col min="12029" max="12029" width="22.88671875" style="25" customWidth="1"/>
    <col min="12030" max="12044" width="9.88671875" style="25" customWidth="1"/>
    <col min="12045" max="12277" width="11.44140625" style="25" customWidth="1"/>
    <col min="12278" max="12278" width="2.109375" style="25" customWidth="1"/>
    <col min="12279" max="12279" width="14.88671875" style="25" customWidth="1"/>
    <col min="12280" max="12280" width="11.109375" style="25" bestFit="1" customWidth="1"/>
    <col min="12281" max="12281" width="22.88671875" style="25"/>
    <col min="12282" max="12282" width="2.109375" style="25" customWidth="1"/>
    <col min="12283" max="12283" width="18.88671875" style="25" customWidth="1"/>
    <col min="12284" max="12284" width="11.109375" style="25" bestFit="1" customWidth="1"/>
    <col min="12285" max="12285" width="22.88671875" style="25" customWidth="1"/>
    <col min="12286" max="12300" width="9.88671875" style="25" customWidth="1"/>
    <col min="12301" max="12533" width="11.44140625" style="25" customWidth="1"/>
    <col min="12534" max="12534" width="2.109375" style="25" customWidth="1"/>
    <col min="12535" max="12535" width="14.88671875" style="25" customWidth="1"/>
    <col min="12536" max="12536" width="11.109375" style="25" bestFit="1" customWidth="1"/>
    <col min="12537" max="12537" width="22.88671875" style="25"/>
    <col min="12538" max="12538" width="2.109375" style="25" customWidth="1"/>
    <col min="12539" max="12539" width="18.88671875" style="25" customWidth="1"/>
    <col min="12540" max="12540" width="11.109375" style="25" bestFit="1" customWidth="1"/>
    <col min="12541" max="12541" width="22.88671875" style="25" customWidth="1"/>
    <col min="12542" max="12556" width="9.88671875" style="25" customWidth="1"/>
    <col min="12557" max="12789" width="11.44140625" style="25" customWidth="1"/>
    <col min="12790" max="12790" width="2.109375" style="25" customWidth="1"/>
    <col min="12791" max="12791" width="14.88671875" style="25" customWidth="1"/>
    <col min="12792" max="12792" width="11.109375" style="25" bestFit="1" customWidth="1"/>
    <col min="12793" max="12793" width="22.88671875" style="25"/>
    <col min="12794" max="12794" width="2.109375" style="25" customWidth="1"/>
    <col min="12795" max="12795" width="18.88671875" style="25" customWidth="1"/>
    <col min="12796" max="12796" width="11.109375" style="25" bestFit="1" customWidth="1"/>
    <col min="12797" max="12797" width="22.88671875" style="25" customWidth="1"/>
    <col min="12798" max="12812" width="9.88671875" style="25" customWidth="1"/>
    <col min="12813" max="13045" width="11.44140625" style="25" customWidth="1"/>
    <col min="13046" max="13046" width="2.109375" style="25" customWidth="1"/>
    <col min="13047" max="13047" width="14.88671875" style="25" customWidth="1"/>
    <col min="13048" max="13048" width="11.109375" style="25" bestFit="1" customWidth="1"/>
    <col min="13049" max="13049" width="22.88671875" style="25"/>
    <col min="13050" max="13050" width="2.109375" style="25" customWidth="1"/>
    <col min="13051" max="13051" width="18.88671875" style="25" customWidth="1"/>
    <col min="13052" max="13052" width="11.109375" style="25" bestFit="1" customWidth="1"/>
    <col min="13053" max="13053" width="22.88671875" style="25" customWidth="1"/>
    <col min="13054" max="13068" width="9.88671875" style="25" customWidth="1"/>
    <col min="13069" max="13301" width="11.44140625" style="25" customWidth="1"/>
    <col min="13302" max="13302" width="2.109375" style="25" customWidth="1"/>
    <col min="13303" max="13303" width="14.88671875" style="25" customWidth="1"/>
    <col min="13304" max="13304" width="11.109375" style="25" bestFit="1" customWidth="1"/>
    <col min="13305" max="13305" width="22.88671875" style="25"/>
    <col min="13306" max="13306" width="2.109375" style="25" customWidth="1"/>
    <col min="13307" max="13307" width="18.88671875" style="25" customWidth="1"/>
    <col min="13308" max="13308" width="11.109375" style="25" bestFit="1" customWidth="1"/>
    <col min="13309" max="13309" width="22.88671875" style="25" customWidth="1"/>
    <col min="13310" max="13324" width="9.88671875" style="25" customWidth="1"/>
    <col min="13325" max="13557" width="11.44140625" style="25" customWidth="1"/>
    <col min="13558" max="13558" width="2.109375" style="25" customWidth="1"/>
    <col min="13559" max="13559" width="14.88671875" style="25" customWidth="1"/>
    <col min="13560" max="13560" width="11.109375" style="25" bestFit="1" customWidth="1"/>
    <col min="13561" max="13561" width="22.88671875" style="25"/>
    <col min="13562" max="13562" width="2.109375" style="25" customWidth="1"/>
    <col min="13563" max="13563" width="18.88671875" style="25" customWidth="1"/>
    <col min="13564" max="13564" width="11.109375" style="25" bestFit="1" customWidth="1"/>
    <col min="13565" max="13565" width="22.88671875" style="25" customWidth="1"/>
    <col min="13566" max="13580" width="9.88671875" style="25" customWidth="1"/>
    <col min="13581" max="13813" width="11.44140625" style="25" customWidth="1"/>
    <col min="13814" max="13814" width="2.109375" style="25" customWidth="1"/>
    <col min="13815" max="13815" width="14.88671875" style="25" customWidth="1"/>
    <col min="13816" max="13816" width="11.109375" style="25" bestFit="1" customWidth="1"/>
    <col min="13817" max="13817" width="22.88671875" style="25"/>
    <col min="13818" max="13818" width="2.109375" style="25" customWidth="1"/>
    <col min="13819" max="13819" width="18.88671875" style="25" customWidth="1"/>
    <col min="13820" max="13820" width="11.109375" style="25" bestFit="1" customWidth="1"/>
    <col min="13821" max="13821" width="22.88671875" style="25" customWidth="1"/>
    <col min="13822" max="13836" width="9.88671875" style="25" customWidth="1"/>
    <col min="13837" max="14069" width="11.44140625" style="25" customWidth="1"/>
    <col min="14070" max="14070" width="2.109375" style="25" customWidth="1"/>
    <col min="14071" max="14071" width="14.88671875" style="25" customWidth="1"/>
    <col min="14072" max="14072" width="11.109375" style="25" bestFit="1" customWidth="1"/>
    <col min="14073" max="14073" width="22.88671875" style="25"/>
    <col min="14074" max="14074" width="2.109375" style="25" customWidth="1"/>
    <col min="14075" max="14075" width="18.88671875" style="25" customWidth="1"/>
    <col min="14076" max="14076" width="11.109375" style="25" bestFit="1" customWidth="1"/>
    <col min="14077" max="14077" width="22.88671875" style="25" customWidth="1"/>
    <col min="14078" max="14092" width="9.88671875" style="25" customWidth="1"/>
    <col min="14093" max="14325" width="11.44140625" style="25" customWidth="1"/>
    <col min="14326" max="14326" width="2.109375" style="25" customWidth="1"/>
    <col min="14327" max="14327" width="14.88671875" style="25" customWidth="1"/>
    <col min="14328" max="14328" width="11.109375" style="25" bestFit="1" customWidth="1"/>
    <col min="14329" max="14329" width="22.88671875" style="25"/>
    <col min="14330" max="14330" width="2.109375" style="25" customWidth="1"/>
    <col min="14331" max="14331" width="18.88671875" style="25" customWidth="1"/>
    <col min="14332" max="14332" width="11.109375" style="25" bestFit="1" customWidth="1"/>
    <col min="14333" max="14333" width="22.88671875" style="25" customWidth="1"/>
    <col min="14334" max="14348" width="9.88671875" style="25" customWidth="1"/>
    <col min="14349" max="14581" width="11.44140625" style="25" customWidth="1"/>
    <col min="14582" max="14582" width="2.109375" style="25" customWidth="1"/>
    <col min="14583" max="14583" width="14.88671875" style="25" customWidth="1"/>
    <col min="14584" max="14584" width="11.109375" style="25" bestFit="1" customWidth="1"/>
    <col min="14585" max="14585" width="22.88671875" style="25"/>
    <col min="14586" max="14586" width="2.109375" style="25" customWidth="1"/>
    <col min="14587" max="14587" width="18.88671875" style="25" customWidth="1"/>
    <col min="14588" max="14588" width="11.109375" style="25" bestFit="1" customWidth="1"/>
    <col min="14589" max="14589" width="22.88671875" style="25" customWidth="1"/>
    <col min="14590" max="14604" width="9.88671875" style="25" customWidth="1"/>
    <col min="14605" max="14837" width="11.44140625" style="25" customWidth="1"/>
    <col min="14838" max="14838" width="2.109375" style="25" customWidth="1"/>
    <col min="14839" max="14839" width="14.88671875" style="25" customWidth="1"/>
    <col min="14840" max="14840" width="11.109375" style="25" bestFit="1" customWidth="1"/>
    <col min="14841" max="14841" width="22.88671875" style="25"/>
    <col min="14842" max="14842" width="2.109375" style="25" customWidth="1"/>
    <col min="14843" max="14843" width="18.88671875" style="25" customWidth="1"/>
    <col min="14844" max="14844" width="11.109375" style="25" bestFit="1" customWidth="1"/>
    <col min="14845" max="14845" width="22.88671875" style="25" customWidth="1"/>
    <col min="14846" max="14860" width="9.88671875" style="25" customWidth="1"/>
    <col min="14861" max="15093" width="11.44140625" style="25" customWidth="1"/>
    <col min="15094" max="15094" width="2.109375" style="25" customWidth="1"/>
    <col min="15095" max="15095" width="14.88671875" style="25" customWidth="1"/>
    <col min="15096" max="15096" width="11.109375" style="25" bestFit="1" customWidth="1"/>
    <col min="15097" max="15097" width="22.88671875" style="25"/>
    <col min="15098" max="15098" width="2.109375" style="25" customWidth="1"/>
    <col min="15099" max="15099" width="18.88671875" style="25" customWidth="1"/>
    <col min="15100" max="15100" width="11.109375" style="25" bestFit="1" customWidth="1"/>
    <col min="15101" max="15101" width="22.88671875" style="25" customWidth="1"/>
    <col min="15102" max="15116" width="9.88671875" style="25" customWidth="1"/>
    <col min="15117" max="15349" width="11.44140625" style="25" customWidth="1"/>
    <col min="15350" max="15350" width="2.109375" style="25" customWidth="1"/>
    <col min="15351" max="15351" width="14.88671875" style="25" customWidth="1"/>
    <col min="15352" max="15352" width="11.109375" style="25" bestFit="1" customWidth="1"/>
    <col min="15353" max="15353" width="22.88671875" style="25"/>
    <col min="15354" max="15354" width="2.109375" style="25" customWidth="1"/>
    <col min="15355" max="15355" width="18.88671875" style="25" customWidth="1"/>
    <col min="15356" max="15356" width="11.109375" style="25" bestFit="1" customWidth="1"/>
    <col min="15357" max="15357" width="22.88671875" style="25" customWidth="1"/>
    <col min="15358" max="15372" width="9.88671875" style="25" customWidth="1"/>
    <col min="15373" max="15605" width="11.44140625" style="25" customWidth="1"/>
    <col min="15606" max="15606" width="2.109375" style="25" customWidth="1"/>
    <col min="15607" max="15607" width="14.88671875" style="25" customWidth="1"/>
    <col min="15608" max="15608" width="11.109375" style="25" bestFit="1" customWidth="1"/>
    <col min="15609" max="15609" width="22.88671875" style="25"/>
    <col min="15610" max="15610" width="2.109375" style="25" customWidth="1"/>
    <col min="15611" max="15611" width="18.88671875" style="25" customWidth="1"/>
    <col min="15612" max="15612" width="11.109375" style="25" bestFit="1" customWidth="1"/>
    <col min="15613" max="15613" width="22.88671875" style="25" customWidth="1"/>
    <col min="15614" max="15628" width="9.88671875" style="25" customWidth="1"/>
    <col min="15629" max="15861" width="11.44140625" style="25" customWidth="1"/>
    <col min="15862" max="15862" width="2.109375" style="25" customWidth="1"/>
    <col min="15863" max="15863" width="14.88671875" style="25" customWidth="1"/>
    <col min="15864" max="15864" width="11.109375" style="25" bestFit="1" customWidth="1"/>
    <col min="15865" max="15865" width="22.88671875" style="25"/>
    <col min="15866" max="15866" width="2.109375" style="25" customWidth="1"/>
    <col min="15867" max="15867" width="18.88671875" style="25" customWidth="1"/>
    <col min="15868" max="15868" width="11.109375" style="25" bestFit="1" customWidth="1"/>
    <col min="15869" max="15869" width="22.88671875" style="25" customWidth="1"/>
    <col min="15870" max="15884" width="9.88671875" style="25" customWidth="1"/>
    <col min="15885" max="16117" width="11.44140625" style="25" customWidth="1"/>
    <col min="16118" max="16118" width="2.109375" style="25" customWidth="1"/>
    <col min="16119" max="16119" width="14.88671875" style="25" customWidth="1"/>
    <col min="16120" max="16120" width="11.109375" style="25" bestFit="1" customWidth="1"/>
    <col min="16121" max="16121" width="22.88671875" style="25"/>
    <col min="16122" max="16122" width="2.109375" style="25" customWidth="1"/>
    <col min="16123" max="16123" width="18.88671875" style="25" customWidth="1"/>
    <col min="16124" max="16124" width="11.109375" style="25" bestFit="1" customWidth="1"/>
    <col min="16125" max="16125" width="22.88671875" style="25" customWidth="1"/>
    <col min="16126" max="16140" width="9.88671875" style="25" customWidth="1"/>
    <col min="16141" max="16373" width="11.44140625" style="25" customWidth="1"/>
    <col min="16374" max="16374" width="2.109375" style="25" customWidth="1"/>
    <col min="16375" max="16375" width="14.88671875" style="25" customWidth="1"/>
    <col min="16376" max="16376" width="11.109375" style="25" bestFit="1" customWidth="1"/>
    <col min="16377" max="16384" width="22.88671875" style="25"/>
  </cols>
  <sheetData>
    <row r="1" spans="1:62" ht="68.400000000000006" x14ac:dyDescent="0.25">
      <c r="B1" s="26" t="s">
        <v>1535</v>
      </c>
      <c r="C1" s="1254"/>
      <c r="D1" s="1254"/>
      <c r="E1" s="1254"/>
      <c r="F1" s="1254"/>
      <c r="G1" s="1254"/>
      <c r="H1" s="1254"/>
      <c r="I1" s="1254"/>
      <c r="J1" s="1254"/>
      <c r="K1" s="1254"/>
      <c r="L1" s="1254"/>
      <c r="M1" s="1254"/>
      <c r="N1" s="1254"/>
      <c r="O1" s="1254"/>
      <c r="P1" s="1254"/>
      <c r="Q1" s="1254"/>
    </row>
    <row r="2" spans="1:62" ht="15.75" customHeight="1" x14ac:dyDescent="0.25">
      <c r="B2" s="1252"/>
      <c r="C2" s="1252"/>
      <c r="D2" s="1252"/>
      <c r="E2" s="1252"/>
      <c r="F2" s="1252"/>
      <c r="G2" s="1252"/>
      <c r="H2" s="1252"/>
      <c r="I2" s="1252"/>
      <c r="J2" s="1252"/>
      <c r="K2" s="1252"/>
      <c r="L2" s="1252"/>
      <c r="M2" s="1252"/>
      <c r="N2" s="1252"/>
      <c r="O2" s="1252"/>
      <c r="P2" s="1252"/>
      <c r="Q2" s="1252"/>
      <c r="R2" s="1252"/>
      <c r="S2" s="1252"/>
      <c r="T2" s="1252"/>
      <c r="U2" s="1252"/>
      <c r="V2" s="1252"/>
      <c r="W2" s="1252"/>
    </row>
    <row r="3" spans="1:62" ht="12.75" customHeight="1" x14ac:dyDescent="0.25">
      <c r="B3" s="5727" t="s">
        <v>307</v>
      </c>
      <c r="C3" s="5860">
        <v>2003</v>
      </c>
      <c r="D3" s="5859"/>
      <c r="E3" s="5859"/>
      <c r="F3" s="5859">
        <v>2004</v>
      </c>
      <c r="G3" s="5859"/>
      <c r="H3" s="5859"/>
      <c r="I3" s="5859">
        <v>2005</v>
      </c>
      <c r="J3" s="5859"/>
      <c r="K3" s="5859"/>
      <c r="L3" s="5859">
        <v>2006</v>
      </c>
      <c r="M3" s="5859"/>
      <c r="N3" s="5859"/>
      <c r="O3" s="5859">
        <v>2007</v>
      </c>
      <c r="P3" s="5859"/>
      <c r="Q3" s="5859"/>
      <c r="R3" s="5859">
        <v>2008</v>
      </c>
      <c r="S3" s="5859"/>
      <c r="T3" s="5859"/>
      <c r="U3" s="5859">
        <v>2009</v>
      </c>
      <c r="V3" s="5859"/>
      <c r="W3" s="5859"/>
      <c r="X3" s="5859">
        <v>2010</v>
      </c>
      <c r="Y3" s="5859"/>
      <c r="Z3" s="5859"/>
      <c r="AA3" s="5859">
        <v>2011</v>
      </c>
      <c r="AB3" s="5859"/>
      <c r="AC3" s="5859"/>
      <c r="AD3" s="5859">
        <v>2012</v>
      </c>
      <c r="AE3" s="5859"/>
      <c r="AF3" s="5859"/>
      <c r="AG3" s="5859">
        <v>2013</v>
      </c>
      <c r="AH3" s="5859"/>
      <c r="AI3" s="5859"/>
      <c r="AJ3" s="5859">
        <v>2014</v>
      </c>
      <c r="AK3" s="5859"/>
      <c r="AL3" s="5859"/>
      <c r="AM3" s="5859">
        <v>2015</v>
      </c>
      <c r="AN3" s="5859"/>
      <c r="AO3" s="5859"/>
      <c r="AP3" s="5859">
        <v>2016</v>
      </c>
      <c r="AQ3" s="5859"/>
      <c r="AR3" s="5859"/>
      <c r="AS3" s="5859">
        <v>2017</v>
      </c>
      <c r="AT3" s="5859"/>
      <c r="AU3" s="5859"/>
      <c r="AV3" s="5859">
        <v>2018</v>
      </c>
      <c r="AW3" s="5859"/>
      <c r="AX3" s="5859"/>
      <c r="AY3" s="5859">
        <v>2019</v>
      </c>
      <c r="AZ3" s="5859"/>
      <c r="BA3" s="5859"/>
      <c r="BB3" s="5859">
        <v>2020</v>
      </c>
      <c r="BC3" s="5859"/>
      <c r="BD3" s="5859"/>
      <c r="BE3" s="5859">
        <v>2021</v>
      </c>
      <c r="BF3" s="5859"/>
      <c r="BG3" s="5859"/>
      <c r="BH3" s="5859">
        <v>2022</v>
      </c>
      <c r="BI3" s="5859"/>
      <c r="BJ3" s="5859"/>
    </row>
    <row r="4" spans="1:62" ht="12.75" customHeight="1" x14ac:dyDescent="0.25">
      <c r="B4" s="5728"/>
      <c r="C4" s="409" t="s">
        <v>1529</v>
      </c>
      <c r="D4" s="410" t="s">
        <v>1530</v>
      </c>
      <c r="E4" s="410" t="s">
        <v>1531</v>
      </c>
      <c r="F4" s="409" t="s">
        <v>1529</v>
      </c>
      <c r="G4" s="410" t="s">
        <v>1530</v>
      </c>
      <c r="H4" s="410" t="s">
        <v>1531</v>
      </c>
      <c r="I4" s="409" t="s">
        <v>1529</v>
      </c>
      <c r="J4" s="410" t="s">
        <v>1530</v>
      </c>
      <c r="K4" s="410" t="s">
        <v>1531</v>
      </c>
      <c r="L4" s="409" t="s">
        <v>1529</v>
      </c>
      <c r="M4" s="410" t="s">
        <v>1530</v>
      </c>
      <c r="N4" s="410" t="s">
        <v>1531</v>
      </c>
      <c r="O4" s="409" t="s">
        <v>1529</v>
      </c>
      <c r="P4" s="410" t="s">
        <v>1530</v>
      </c>
      <c r="Q4" s="410" t="s">
        <v>1531</v>
      </c>
      <c r="R4" s="409" t="s">
        <v>1529</v>
      </c>
      <c r="S4" s="410" t="s">
        <v>1530</v>
      </c>
      <c r="T4" s="410" t="s">
        <v>1531</v>
      </c>
      <c r="U4" s="409" t="s">
        <v>1529</v>
      </c>
      <c r="V4" s="410" t="s">
        <v>1530</v>
      </c>
      <c r="W4" s="410" t="s">
        <v>1531</v>
      </c>
      <c r="X4" s="409" t="s">
        <v>1529</v>
      </c>
      <c r="Y4" s="410" t="s">
        <v>1530</v>
      </c>
      <c r="Z4" s="410" t="s">
        <v>1531</v>
      </c>
      <c r="AA4" s="409" t="s">
        <v>1529</v>
      </c>
      <c r="AB4" s="410" t="s">
        <v>1530</v>
      </c>
      <c r="AC4" s="410" t="s">
        <v>1531</v>
      </c>
      <c r="AD4" s="409" t="s">
        <v>1529</v>
      </c>
      <c r="AE4" s="410" t="s">
        <v>1530</v>
      </c>
      <c r="AF4" s="410" t="s">
        <v>1531</v>
      </c>
      <c r="AG4" s="409" t="s">
        <v>1529</v>
      </c>
      <c r="AH4" s="410" t="s">
        <v>1530</v>
      </c>
      <c r="AI4" s="410" t="s">
        <v>1531</v>
      </c>
      <c r="AJ4" s="409" t="s">
        <v>1529</v>
      </c>
      <c r="AK4" s="410" t="s">
        <v>1530</v>
      </c>
      <c r="AL4" s="410" t="s">
        <v>1531</v>
      </c>
      <c r="AM4" s="409" t="s">
        <v>1529</v>
      </c>
      <c r="AN4" s="410" t="s">
        <v>1530</v>
      </c>
      <c r="AO4" s="410" t="s">
        <v>1531</v>
      </c>
      <c r="AP4" s="409" t="s">
        <v>1529</v>
      </c>
      <c r="AQ4" s="410" t="s">
        <v>1530</v>
      </c>
      <c r="AR4" s="410" t="s">
        <v>1531</v>
      </c>
      <c r="AS4" s="409" t="s">
        <v>1529</v>
      </c>
      <c r="AT4" s="410" t="s">
        <v>1530</v>
      </c>
      <c r="AU4" s="410" t="s">
        <v>1531</v>
      </c>
      <c r="AV4" s="409" t="s">
        <v>1529</v>
      </c>
      <c r="AW4" s="410" t="s">
        <v>1530</v>
      </c>
      <c r="AX4" s="410" t="s">
        <v>1531</v>
      </c>
      <c r="AY4" s="409" t="s">
        <v>1529</v>
      </c>
      <c r="AZ4" s="410" t="s">
        <v>1530</v>
      </c>
      <c r="BA4" s="410" t="s">
        <v>1531</v>
      </c>
      <c r="BB4" s="409" t="s">
        <v>1529</v>
      </c>
      <c r="BC4" s="410" t="s">
        <v>1530</v>
      </c>
      <c r="BD4" s="410" t="s">
        <v>1531</v>
      </c>
      <c r="BE4" s="409" t="s">
        <v>1529</v>
      </c>
      <c r="BF4" s="410" t="s">
        <v>1530</v>
      </c>
      <c r="BG4" s="410" t="s">
        <v>1531</v>
      </c>
      <c r="BH4" s="409" t="s">
        <v>1529</v>
      </c>
      <c r="BI4" s="410" t="s">
        <v>1530</v>
      </c>
      <c r="BJ4" s="4976" t="s">
        <v>1531</v>
      </c>
    </row>
    <row r="5" spans="1:62" ht="12.75" customHeight="1" x14ac:dyDescent="0.25">
      <c r="B5" s="354"/>
      <c r="C5" s="328"/>
      <c r="D5" s="328"/>
      <c r="E5" s="328"/>
      <c r="F5" s="328"/>
      <c r="G5" s="328"/>
      <c r="H5" s="328"/>
      <c r="I5" s="328"/>
      <c r="J5" s="328"/>
      <c r="K5" s="328"/>
      <c r="L5" s="328"/>
      <c r="M5" s="328"/>
      <c r="N5" s="328"/>
      <c r="O5" s="328"/>
      <c r="P5" s="328"/>
      <c r="Q5" s="328"/>
      <c r="R5" s="328"/>
      <c r="S5" s="328"/>
      <c r="T5" s="328"/>
      <c r="U5" s="328"/>
      <c r="V5" s="328"/>
      <c r="W5" s="328"/>
      <c r="X5" s="328"/>
      <c r="Y5" s="328"/>
      <c r="Z5" s="328"/>
      <c r="AA5" s="328"/>
      <c r="AB5" s="328"/>
      <c r="AC5" s="328"/>
      <c r="AD5" s="328"/>
      <c r="AE5" s="328"/>
      <c r="AF5" s="328"/>
      <c r="AG5" s="328"/>
      <c r="AH5" s="328"/>
      <c r="AI5" s="328"/>
      <c r="AJ5" s="328"/>
      <c r="AK5" s="328"/>
      <c r="AL5" s="328"/>
      <c r="AM5" s="328"/>
      <c r="AN5" s="328"/>
      <c r="AO5" s="328"/>
      <c r="AP5" s="328"/>
      <c r="AQ5" s="328"/>
      <c r="AR5" s="328"/>
      <c r="AS5" s="328"/>
      <c r="AT5" s="328"/>
      <c r="AU5" s="328"/>
      <c r="AV5" s="328"/>
      <c r="AW5" s="328"/>
      <c r="AX5" s="328"/>
      <c r="AY5" s="328"/>
      <c r="AZ5" s="328"/>
      <c r="BA5" s="328"/>
      <c r="BB5" s="328"/>
      <c r="BC5" s="328"/>
      <c r="BD5" s="328"/>
      <c r="BE5" s="328"/>
      <c r="BF5" s="328"/>
      <c r="BG5" s="328"/>
      <c r="BH5" s="328"/>
      <c r="BI5" s="328"/>
      <c r="BJ5" s="328"/>
    </row>
    <row r="6" spans="1:62" ht="12.75" customHeight="1" x14ac:dyDescent="0.25">
      <c r="B6" s="1334" t="s">
        <v>308</v>
      </c>
      <c r="C6" s="329"/>
      <c r="D6" s="330"/>
      <c r="E6" s="330"/>
      <c r="F6" s="329"/>
      <c r="G6" s="330"/>
      <c r="H6" s="330"/>
      <c r="I6" s="329"/>
      <c r="J6" s="330"/>
      <c r="K6" s="330"/>
      <c r="L6" s="329"/>
      <c r="M6" s="330"/>
      <c r="N6" s="331"/>
      <c r="O6" s="330"/>
      <c r="P6" s="330"/>
      <c r="Q6" s="331"/>
      <c r="R6" s="329"/>
      <c r="S6" s="330"/>
      <c r="T6" s="331"/>
      <c r="U6" s="329"/>
      <c r="V6" s="330"/>
      <c r="W6" s="331"/>
      <c r="X6" s="329"/>
      <c r="Y6" s="330"/>
      <c r="Z6" s="331"/>
      <c r="AA6" s="329"/>
      <c r="AB6" s="330"/>
      <c r="AC6" s="331"/>
      <c r="AD6" s="329"/>
      <c r="AE6" s="330"/>
      <c r="AF6" s="331"/>
      <c r="AG6" s="329"/>
      <c r="AH6" s="330"/>
      <c r="AI6" s="331"/>
      <c r="AJ6" s="329"/>
      <c r="AK6" s="330"/>
      <c r="AL6" s="331"/>
      <c r="AM6" s="329"/>
      <c r="AN6" s="330"/>
      <c r="AO6" s="331"/>
      <c r="AP6" s="329"/>
      <c r="AQ6" s="330"/>
      <c r="AR6" s="331"/>
      <c r="AS6" s="329"/>
      <c r="AT6" s="330"/>
      <c r="AU6" s="331"/>
      <c r="AV6" s="329"/>
      <c r="AW6" s="330"/>
      <c r="AX6" s="331"/>
      <c r="AY6" s="329"/>
      <c r="AZ6" s="330"/>
      <c r="BA6" s="331"/>
      <c r="BB6" s="329"/>
      <c r="BC6" s="330"/>
      <c r="BD6" s="331"/>
      <c r="BE6" s="329"/>
      <c r="BF6" s="330"/>
      <c r="BG6" s="331"/>
      <c r="BH6" s="329"/>
      <c r="BI6" s="330"/>
      <c r="BJ6" s="331"/>
    </row>
    <row r="7" spans="1:62" ht="12.75" customHeight="1" x14ac:dyDescent="0.25">
      <c r="B7" s="1336" t="s">
        <v>310</v>
      </c>
      <c r="C7" s="82">
        <v>102</v>
      </c>
      <c r="D7" s="83">
        <v>89</v>
      </c>
      <c r="E7" s="83">
        <v>88</v>
      </c>
      <c r="F7" s="82">
        <v>92</v>
      </c>
      <c r="G7" s="83">
        <v>81</v>
      </c>
      <c r="H7" s="83">
        <v>96</v>
      </c>
      <c r="I7" s="82">
        <v>89</v>
      </c>
      <c r="J7" s="83">
        <v>88</v>
      </c>
      <c r="K7" s="83">
        <v>98</v>
      </c>
      <c r="L7" s="82">
        <v>107</v>
      </c>
      <c r="M7" s="83">
        <v>96</v>
      </c>
      <c r="N7" s="332">
        <v>98</v>
      </c>
      <c r="O7" s="83">
        <v>95</v>
      </c>
      <c r="P7" s="83">
        <v>85</v>
      </c>
      <c r="Q7" s="332">
        <v>70</v>
      </c>
      <c r="R7" s="82">
        <v>49</v>
      </c>
      <c r="S7" s="83">
        <v>45</v>
      </c>
      <c r="T7" s="332">
        <v>59</v>
      </c>
      <c r="U7" s="82">
        <v>68</v>
      </c>
      <c r="V7" s="83">
        <v>55</v>
      </c>
      <c r="W7" s="332">
        <v>87</v>
      </c>
      <c r="X7" s="82">
        <v>102</v>
      </c>
      <c r="Y7" s="83">
        <v>94</v>
      </c>
      <c r="Z7" s="332">
        <v>108</v>
      </c>
      <c r="AA7" s="82">
        <v>110</v>
      </c>
      <c r="AB7" s="83">
        <v>90</v>
      </c>
      <c r="AC7" s="332">
        <v>99</v>
      </c>
      <c r="AD7" s="82">
        <f>SUM('MATRICULA-POS plan'!AE5,'MATRICULA-POS plan'!AE6,'MATRICULA-POS plan'!AE7,'MATRICULA-POS plan'!AE8,'MATRICULA-POS plan'!AE9)</f>
        <v>88</v>
      </c>
      <c r="AE7" s="83">
        <f>SUM('MATRICULA-POS plan'!AF5,'MATRICULA-POS plan'!AF6,'MATRICULA-POS plan'!AF7,'MATRICULA-POS plan'!AF8,'MATRICULA-POS plan'!AF9)</f>
        <v>84</v>
      </c>
      <c r="AF7" s="332">
        <f>SUM('MATRICULA-POS plan'!AG5,'MATRICULA-POS plan'!AG6,'MATRICULA-POS plan'!AG7,'MATRICULA-POS plan'!AG8,'MATRICULA-POS plan'!AG9)</f>
        <v>93</v>
      </c>
      <c r="AG7" s="82">
        <f>SUM('MATRICULA-POS plan'!AH5,'MATRICULA-POS plan'!AH6,'MATRICULA-POS plan'!AH7,'MATRICULA-POS plan'!AH8,'MATRICULA-POS plan'!AH9)</f>
        <v>102</v>
      </c>
      <c r="AH7" s="83">
        <f>SUM('MATRICULA-POS plan'!AI5,'MATRICULA-POS plan'!AI6,'MATRICULA-POS plan'!AI7,'MATRICULA-POS plan'!AI8,'MATRICULA-POS plan'!AI9)</f>
        <v>92</v>
      </c>
      <c r="AI7" s="332">
        <f>SUM('MATRICULA-POS plan'!AJ5,'MATRICULA-POS plan'!AJ6,'MATRICULA-POS plan'!AJ7,'MATRICULA-POS plan'!AJ8,'MATRICULA-POS plan'!AJ9)</f>
        <v>126</v>
      </c>
      <c r="AJ7" s="82">
        <f>SUM('MATRICULA-POS plan'!AK5,'MATRICULA-POS plan'!AK6,'MATRICULA-POS plan'!AK7,'MATRICULA-POS plan'!AK8,'MATRICULA-POS plan'!AK9)</f>
        <v>129</v>
      </c>
      <c r="AK7" s="83">
        <f>SUM('MATRICULA-POS plan'!AL5,'MATRICULA-POS plan'!AL6,'MATRICULA-POS plan'!AL7,'MATRICULA-POS plan'!AL8,'MATRICULA-POS plan'!AL9)</f>
        <v>125</v>
      </c>
      <c r="AL7" s="332">
        <f>SUM('MATRICULA-POS plan'!AM5,'MATRICULA-POS plan'!AM6,'MATRICULA-POS plan'!AM7,'MATRICULA-POS plan'!AM8,'MATRICULA-POS plan'!AM9)</f>
        <v>171</v>
      </c>
      <c r="AM7" s="82">
        <f>SUM('MATRICULA-POS plan'!AN5,'MATRICULA-POS plan'!AN6,'MATRICULA-POS plan'!AN7,'MATRICULA-POS plan'!AN8,'MATRICULA-POS plan'!AN9)</f>
        <v>157</v>
      </c>
      <c r="AN7" s="83">
        <f>SUM('MATRICULA-POS plan'!AO5,'MATRICULA-POS plan'!AO6,'MATRICULA-POS plan'!AO7,'MATRICULA-POS plan'!AO8,'MATRICULA-POS plan'!AO9)</f>
        <v>137</v>
      </c>
      <c r="AO7" s="332">
        <f>SUM('MATRICULA-POS plan'!AP5,'MATRICULA-POS plan'!AP6,'MATRICULA-POS plan'!AP7,'MATRICULA-POS plan'!AP8,'MATRICULA-POS plan'!AP9)</f>
        <v>167</v>
      </c>
      <c r="AP7" s="82">
        <f>SUM('MATRICULA-POS plan'!AQ5,'MATRICULA-POS plan'!AQ6,'MATRICULA-POS plan'!AQ7,'MATRICULA-POS plan'!AQ8,'MATRICULA-POS plan'!AQ9)</f>
        <v>180</v>
      </c>
      <c r="AQ7" s="83">
        <f>SUM('MATRICULA-POS plan'!AR5,'MATRICULA-POS plan'!AR6,'MATRICULA-POS plan'!AR7,'MATRICULA-POS plan'!AR8,'MATRICULA-POS plan'!AR9)</f>
        <v>154</v>
      </c>
      <c r="AR7" s="332">
        <f>SUM('MATRICULA-POS plan'!AS5,'MATRICULA-POS plan'!AS6,'MATRICULA-POS plan'!AS7,'MATRICULA-POS plan'!AS8,'MATRICULA-POS plan'!AS9)</f>
        <v>181</v>
      </c>
      <c r="AS7" s="82">
        <f>SUM('MATRICULA-POS plan'!AT5,'MATRICULA-POS plan'!AT6,'MATRICULA-POS plan'!AT7,'MATRICULA-POS plan'!AT8,'MATRICULA-POS plan'!AT9)</f>
        <v>173</v>
      </c>
      <c r="AT7" s="83">
        <f>SUM('MATRICULA-POS plan'!AU5,'MATRICULA-POS plan'!AU6,'MATRICULA-POS plan'!AU7,'MATRICULA-POS plan'!AU8,'MATRICULA-POS plan'!AU9)</f>
        <v>165</v>
      </c>
      <c r="AU7" s="332">
        <f>SUM('MATRICULA-POS plan'!AV5,'MATRICULA-POS plan'!AV6,'MATRICULA-POS plan'!AV7,'MATRICULA-POS plan'!AV8,'MATRICULA-POS plan'!AV9)</f>
        <v>174</v>
      </c>
      <c r="AV7" s="82">
        <f>SUM('MATRICULA-POS plan'!AW5,'MATRICULA-POS plan'!AW6,'MATRICULA-POS plan'!AW7,'MATRICULA-POS plan'!AW8,'MATRICULA-POS plan'!AW9)</f>
        <v>177</v>
      </c>
      <c r="AW7" s="83">
        <f>SUM('MATRICULA-POS plan'!AX5,'MATRICULA-POS plan'!AX6,'MATRICULA-POS plan'!AX7,'MATRICULA-POS plan'!AX8,'MATRICULA-POS plan'!AX9)</f>
        <v>156</v>
      </c>
      <c r="AX7" s="332">
        <f>SUM('MATRICULA-POS plan'!AY5:AY10)</f>
        <v>183</v>
      </c>
      <c r="AY7" s="82">
        <f>SUM('MATRICULA-POS plan'!AZ5:AZ10)</f>
        <v>170</v>
      </c>
      <c r="AZ7" s="83">
        <f>SUM('MATRICULA-POS plan'!BA5:BA10)</f>
        <v>169</v>
      </c>
      <c r="BA7" s="332">
        <f>SUM('MATRICULA-POS plan'!BB5:BB10)</f>
        <v>156</v>
      </c>
      <c r="BB7" s="82">
        <f>SUM('MATRICULA-POS plan'!BC5:BC10)</f>
        <v>153</v>
      </c>
      <c r="BC7" s="83">
        <f>SUM('MATRICULA-POS plan'!BD5:BD10)</f>
        <v>162</v>
      </c>
      <c r="BD7" s="332">
        <f>SUM('MATRICULA-POS plan'!BE5:BE10)</f>
        <v>166</v>
      </c>
      <c r="BE7" s="82">
        <f>SUM('MATRICULA-POS plan'!BF5:BF10)</f>
        <v>149</v>
      </c>
      <c r="BF7" s="83">
        <f>SUM('MATRICULA-POS plan'!BG5:BG10)</f>
        <v>155</v>
      </c>
      <c r="BG7" s="332">
        <f>SUM('MATRICULA-POS plan'!BH5:BH10)</f>
        <v>145</v>
      </c>
      <c r="BH7" s="82">
        <f>SUM('MATRICULA-POS plan'!BI5:BI10)</f>
        <v>125</v>
      </c>
      <c r="BI7" s="83">
        <f>SUM('MATRICULA-POS plan'!BJ5:BJ10)</f>
        <v>129</v>
      </c>
      <c r="BJ7" s="332">
        <f>SUM('MATRICULA-POS plan'!BK5:BK10)</f>
        <v>131</v>
      </c>
    </row>
    <row r="8" spans="1:62" s="1330" customFormat="1" ht="12.75" customHeight="1" x14ac:dyDescent="0.25">
      <c r="A8" s="25"/>
      <c r="B8" s="1339" t="s">
        <v>317</v>
      </c>
      <c r="C8" s="333">
        <v>22</v>
      </c>
      <c r="D8" s="334">
        <v>19</v>
      </c>
      <c r="E8" s="334">
        <v>28</v>
      </c>
      <c r="F8" s="333">
        <v>25</v>
      </c>
      <c r="G8" s="334">
        <v>25</v>
      </c>
      <c r="H8" s="334">
        <v>29</v>
      </c>
      <c r="I8" s="333">
        <v>28</v>
      </c>
      <c r="J8" s="334">
        <v>27</v>
      </c>
      <c r="K8" s="334">
        <v>24</v>
      </c>
      <c r="L8" s="333">
        <v>21</v>
      </c>
      <c r="M8" s="334">
        <v>21</v>
      </c>
      <c r="N8" s="335">
        <v>24</v>
      </c>
      <c r="O8" s="334">
        <v>27</v>
      </c>
      <c r="P8" s="334">
        <v>31</v>
      </c>
      <c r="Q8" s="335">
        <v>33</v>
      </c>
      <c r="R8" s="333">
        <v>35</v>
      </c>
      <c r="S8" s="334">
        <v>37</v>
      </c>
      <c r="T8" s="335">
        <v>40</v>
      </c>
      <c r="U8" s="333">
        <v>38</v>
      </c>
      <c r="V8" s="334">
        <v>38</v>
      </c>
      <c r="W8" s="335">
        <v>38</v>
      </c>
      <c r="X8" s="333">
        <v>38</v>
      </c>
      <c r="Y8" s="334">
        <v>34</v>
      </c>
      <c r="Z8" s="335">
        <v>31</v>
      </c>
      <c r="AA8" s="333">
        <v>28</v>
      </c>
      <c r="AB8" s="334">
        <v>36</v>
      </c>
      <c r="AC8" s="335">
        <v>28</v>
      </c>
      <c r="AD8" s="333">
        <f>SUM('MATRICULA-POS plan'!AE11,'MATRICULA-POS plan'!AE12)</f>
        <v>26</v>
      </c>
      <c r="AE8" s="334">
        <f>SUM('MATRICULA-POS plan'!AF11,'MATRICULA-POS plan'!AF12)</f>
        <v>23</v>
      </c>
      <c r="AF8" s="335">
        <f>SUM('MATRICULA-POS plan'!AG11,'MATRICULA-POS plan'!AG12)</f>
        <v>26</v>
      </c>
      <c r="AG8" s="333">
        <f>SUM('MATRICULA-POS plan'!AH11,'MATRICULA-POS plan'!AH12)</f>
        <v>21</v>
      </c>
      <c r="AH8" s="334">
        <f>SUM('MATRICULA-POS plan'!AI11,'MATRICULA-POS plan'!AI12)</f>
        <v>25</v>
      </c>
      <c r="AI8" s="335">
        <f>SUM('MATRICULA-POS plan'!AJ11:AJ14)</f>
        <v>28</v>
      </c>
      <c r="AJ8" s="333">
        <f>SUM('MATRICULA-POS plan'!AK11:AK14)</f>
        <v>23</v>
      </c>
      <c r="AK8" s="334">
        <f>SUM('MATRICULA-POS plan'!AL11:AL14)</f>
        <v>25</v>
      </c>
      <c r="AL8" s="335">
        <f>SUM('MATRICULA-POS plan'!AM11:AM14)</f>
        <v>30</v>
      </c>
      <c r="AM8" s="333">
        <f>SUM('MATRICULA-POS plan'!AN11:AN14)</f>
        <v>36</v>
      </c>
      <c r="AN8" s="334">
        <f>SUM('MATRICULA-POS plan'!AO11:AO14)</f>
        <v>32</v>
      </c>
      <c r="AO8" s="335">
        <f>SUM('MATRICULA-POS plan'!AP11:AP14)</f>
        <v>33</v>
      </c>
      <c r="AP8" s="333">
        <f>SUM('MATRICULA-POS plan'!AQ11:AQ14)</f>
        <v>40</v>
      </c>
      <c r="AQ8" s="334">
        <f>SUM('MATRICULA-POS plan'!AR11:AR14)</f>
        <v>43</v>
      </c>
      <c r="AR8" s="335">
        <f>SUM('MATRICULA-POS plan'!AS11:AS14)</f>
        <v>43</v>
      </c>
      <c r="AS8" s="333">
        <f>SUM('MATRICULA-POS plan'!AT11:AT14)</f>
        <v>46</v>
      </c>
      <c r="AT8" s="334">
        <f>SUM('MATRICULA-POS plan'!AU11:AU14)</f>
        <v>43</v>
      </c>
      <c r="AU8" s="335">
        <f>SUM('MATRICULA-POS plan'!AV11:AV14)</f>
        <v>45</v>
      </c>
      <c r="AV8" s="333">
        <f>SUM('MATRICULA-POS plan'!AW11:AW14)</f>
        <v>49</v>
      </c>
      <c r="AW8" s="334">
        <f>SUM('MATRICULA-POS plan'!AX11:AX14)</f>
        <v>51</v>
      </c>
      <c r="AX8" s="335">
        <f>SUM('MATRICULA-POS plan'!AY11:AY14)</f>
        <v>54</v>
      </c>
      <c r="AY8" s="333">
        <f>SUM('MATRICULA-POS plan'!AZ11:AZ14)</f>
        <v>53</v>
      </c>
      <c r="AZ8" s="334">
        <f>SUM('MATRICULA-POS plan'!BA11:BA14)</f>
        <v>51</v>
      </c>
      <c r="BA8" s="335">
        <f>SUM('MATRICULA-POS plan'!BB11:BB14)</f>
        <v>56</v>
      </c>
      <c r="BB8" s="333">
        <f>SUM('MATRICULA-POS plan'!BC11:BC14)</f>
        <v>56</v>
      </c>
      <c r="BC8" s="334">
        <f>SUM('MATRICULA-POS plan'!BD11:BD14)</f>
        <v>54</v>
      </c>
      <c r="BD8" s="335">
        <f>SUM('MATRICULA-POS plan'!BE11:BE14)</f>
        <v>54</v>
      </c>
      <c r="BE8" s="333">
        <f>SUM('MATRICULA-POS plan'!BF11:BF14)</f>
        <v>56</v>
      </c>
      <c r="BF8" s="334">
        <f>SUM('MATRICULA-POS plan'!BG11:BG14)</f>
        <v>59</v>
      </c>
      <c r="BG8" s="335">
        <f>SUM('MATRICULA-POS plan'!BH11:BH14)</f>
        <v>55</v>
      </c>
      <c r="BH8" s="333">
        <f>SUM('MATRICULA-POS plan'!BI11:BI14)</f>
        <v>54</v>
      </c>
      <c r="BI8" s="334">
        <f>SUM('MATRICULA-POS plan'!BJ11:BJ14)</f>
        <v>48</v>
      </c>
      <c r="BJ8" s="335">
        <f>SUM('MATRICULA-POS plan'!BK11:BK14)</f>
        <v>46</v>
      </c>
    </row>
    <row r="9" spans="1:62" s="1330" customFormat="1" ht="12.75" customHeight="1" x14ac:dyDescent="0.25">
      <c r="A9" s="25"/>
      <c r="B9" s="1342" t="s">
        <v>425</v>
      </c>
      <c r="C9" s="201">
        <v>124</v>
      </c>
      <c r="D9" s="202">
        <v>108</v>
      </c>
      <c r="E9" s="202">
        <v>116</v>
      </c>
      <c r="F9" s="201">
        <v>117</v>
      </c>
      <c r="G9" s="202">
        <v>106</v>
      </c>
      <c r="H9" s="202">
        <v>125</v>
      </c>
      <c r="I9" s="201">
        <v>117</v>
      </c>
      <c r="J9" s="202">
        <v>115</v>
      </c>
      <c r="K9" s="202">
        <v>122</v>
      </c>
      <c r="L9" s="201">
        <v>128</v>
      </c>
      <c r="M9" s="202">
        <v>117</v>
      </c>
      <c r="N9" s="203">
        <v>122</v>
      </c>
      <c r="O9" s="202">
        <v>122</v>
      </c>
      <c r="P9" s="202">
        <v>116</v>
      </c>
      <c r="Q9" s="203">
        <v>103</v>
      </c>
      <c r="R9" s="201">
        <v>84</v>
      </c>
      <c r="S9" s="202">
        <v>82</v>
      </c>
      <c r="T9" s="203">
        <v>99</v>
      </c>
      <c r="U9" s="201">
        <f t="shared" ref="U9:Z9" si="0">SUM(U6:U8)</f>
        <v>106</v>
      </c>
      <c r="V9" s="202">
        <f t="shared" si="0"/>
        <v>93</v>
      </c>
      <c r="W9" s="203">
        <f t="shared" si="0"/>
        <v>125</v>
      </c>
      <c r="X9" s="201">
        <f t="shared" si="0"/>
        <v>140</v>
      </c>
      <c r="Y9" s="202">
        <f t="shared" si="0"/>
        <v>128</v>
      </c>
      <c r="Z9" s="203">
        <f t="shared" si="0"/>
        <v>139</v>
      </c>
      <c r="AA9" s="201">
        <f t="shared" ref="AA9:BD9" si="1">SUM(AA6:AA8)</f>
        <v>138</v>
      </c>
      <c r="AB9" s="202">
        <f t="shared" si="1"/>
        <v>126</v>
      </c>
      <c r="AC9" s="203">
        <f t="shared" si="1"/>
        <v>127</v>
      </c>
      <c r="AD9" s="201">
        <f t="shared" si="1"/>
        <v>114</v>
      </c>
      <c r="AE9" s="202">
        <f t="shared" si="1"/>
        <v>107</v>
      </c>
      <c r="AF9" s="203">
        <f t="shared" si="1"/>
        <v>119</v>
      </c>
      <c r="AG9" s="201">
        <f t="shared" si="1"/>
        <v>123</v>
      </c>
      <c r="AH9" s="202">
        <f t="shared" si="1"/>
        <v>117</v>
      </c>
      <c r="AI9" s="203">
        <f t="shared" si="1"/>
        <v>154</v>
      </c>
      <c r="AJ9" s="201">
        <f t="shared" si="1"/>
        <v>152</v>
      </c>
      <c r="AK9" s="202">
        <f t="shared" si="1"/>
        <v>150</v>
      </c>
      <c r="AL9" s="203">
        <f t="shared" si="1"/>
        <v>201</v>
      </c>
      <c r="AM9" s="201">
        <f t="shared" si="1"/>
        <v>193</v>
      </c>
      <c r="AN9" s="202">
        <f t="shared" si="1"/>
        <v>169</v>
      </c>
      <c r="AO9" s="203">
        <f t="shared" si="1"/>
        <v>200</v>
      </c>
      <c r="AP9" s="201">
        <f t="shared" si="1"/>
        <v>220</v>
      </c>
      <c r="AQ9" s="202">
        <f t="shared" si="1"/>
        <v>197</v>
      </c>
      <c r="AR9" s="203">
        <f t="shared" si="1"/>
        <v>224</v>
      </c>
      <c r="AS9" s="201">
        <f t="shared" si="1"/>
        <v>219</v>
      </c>
      <c r="AT9" s="202">
        <f t="shared" si="1"/>
        <v>208</v>
      </c>
      <c r="AU9" s="203">
        <f t="shared" si="1"/>
        <v>219</v>
      </c>
      <c r="AV9" s="201">
        <f t="shared" si="1"/>
        <v>226</v>
      </c>
      <c r="AW9" s="202">
        <f t="shared" si="1"/>
        <v>207</v>
      </c>
      <c r="AX9" s="203">
        <f t="shared" si="1"/>
        <v>237</v>
      </c>
      <c r="AY9" s="201">
        <f t="shared" si="1"/>
        <v>223</v>
      </c>
      <c r="AZ9" s="202">
        <f t="shared" si="1"/>
        <v>220</v>
      </c>
      <c r="BA9" s="203">
        <f t="shared" si="1"/>
        <v>212</v>
      </c>
      <c r="BB9" s="201">
        <f t="shared" si="1"/>
        <v>209</v>
      </c>
      <c r="BC9" s="202">
        <f t="shared" si="1"/>
        <v>216</v>
      </c>
      <c r="BD9" s="203">
        <f t="shared" si="1"/>
        <v>220</v>
      </c>
      <c r="BE9" s="201">
        <f t="shared" ref="BE9:BG9" si="2">SUM(BE6:BE8)</f>
        <v>205</v>
      </c>
      <c r="BF9" s="202">
        <f t="shared" si="2"/>
        <v>214</v>
      </c>
      <c r="BG9" s="203">
        <f t="shared" si="2"/>
        <v>200</v>
      </c>
      <c r="BH9" s="201">
        <f t="shared" ref="BH9:BJ9" si="3">SUM(BH6:BH8)</f>
        <v>179</v>
      </c>
      <c r="BI9" s="202">
        <f t="shared" si="3"/>
        <v>177</v>
      </c>
      <c r="BJ9" s="203">
        <f t="shared" si="3"/>
        <v>177</v>
      </c>
    </row>
    <row r="10" spans="1:62" ht="12.75" customHeight="1" x14ac:dyDescent="0.25">
      <c r="B10" s="1334" t="s">
        <v>308</v>
      </c>
      <c r="C10" s="329">
        <v>14</v>
      </c>
      <c r="D10" s="330">
        <v>13</v>
      </c>
      <c r="E10" s="330">
        <v>31</v>
      </c>
      <c r="F10" s="329">
        <v>26</v>
      </c>
      <c r="G10" s="330">
        <v>24</v>
      </c>
      <c r="H10" s="330">
        <v>38</v>
      </c>
      <c r="I10" s="329">
        <v>35</v>
      </c>
      <c r="J10" s="330">
        <v>32</v>
      </c>
      <c r="K10" s="330">
        <v>32</v>
      </c>
      <c r="L10" s="329">
        <v>25</v>
      </c>
      <c r="M10" s="330">
        <v>28</v>
      </c>
      <c r="N10" s="331">
        <v>33</v>
      </c>
      <c r="O10" s="330">
        <v>29</v>
      </c>
      <c r="P10" s="330">
        <v>32</v>
      </c>
      <c r="Q10" s="331">
        <v>39</v>
      </c>
      <c r="R10" s="329">
        <v>27</v>
      </c>
      <c r="S10" s="330">
        <v>27</v>
      </c>
      <c r="T10" s="331">
        <v>31</v>
      </c>
      <c r="U10" s="329">
        <v>31</v>
      </c>
      <c r="V10" s="330">
        <v>27</v>
      </c>
      <c r="W10" s="331">
        <v>19</v>
      </c>
      <c r="X10" s="329">
        <v>14</v>
      </c>
      <c r="Y10" s="330">
        <v>15</v>
      </c>
      <c r="Z10" s="331">
        <v>27</v>
      </c>
      <c r="AA10" s="329">
        <v>26</v>
      </c>
      <c r="AB10" s="330">
        <v>23</v>
      </c>
      <c r="AC10" s="331">
        <v>27</v>
      </c>
      <c r="AD10" s="329">
        <f>SUM('MATRICULA-POS plan'!AE18:AE20)</f>
        <v>25</v>
      </c>
      <c r="AE10" s="330">
        <f>SUM('MATRICULA-POS plan'!AF18:AF20)</f>
        <v>28</v>
      </c>
      <c r="AF10" s="331">
        <f>SUM('MATRICULA-POS plan'!AG18:AG20)</f>
        <v>19</v>
      </c>
      <c r="AG10" s="329">
        <f>SUM('MATRICULA-POS plan'!AH18:AH20)</f>
        <v>18</v>
      </c>
      <c r="AH10" s="330">
        <f>SUM('MATRICULA-POS plan'!AI18:AI20)</f>
        <v>18</v>
      </c>
      <c r="AI10" s="331">
        <f>SUM('MATRICULA-POS plan'!AJ18:AJ20)</f>
        <v>30</v>
      </c>
      <c r="AJ10" s="329">
        <f>SUM('MATRICULA-POS plan'!AK18:AK20)</f>
        <v>27</v>
      </c>
      <c r="AK10" s="330">
        <f>SUM('MATRICULA-POS plan'!AL18:AL20)</f>
        <v>26</v>
      </c>
      <c r="AL10" s="331">
        <f>SUM('MATRICULA-POS plan'!AM18:AM20)</f>
        <v>18</v>
      </c>
      <c r="AM10" s="329">
        <f>SUM('MATRICULA-POS plan'!AN18:AN20)</f>
        <v>17</v>
      </c>
      <c r="AN10" s="330">
        <f>SUM('MATRICULA-POS plan'!AO18:AO20)</f>
        <v>19</v>
      </c>
      <c r="AO10" s="331">
        <f>SUM('MATRICULA-POS plan'!AP18:AP20)</f>
        <v>30</v>
      </c>
      <c r="AP10" s="329">
        <f>SUM('MATRICULA-POS plan'!AQ18:AQ20)</f>
        <v>27</v>
      </c>
      <c r="AQ10" s="330">
        <f>SUM('MATRICULA-POS plan'!AR18:AR20)</f>
        <v>28</v>
      </c>
      <c r="AR10" s="331">
        <f>SUM('MATRICULA-POS plan'!AS18:AS20)</f>
        <v>20</v>
      </c>
      <c r="AS10" s="329">
        <f>SUM('MATRICULA-POS plan'!AT18:AT20)</f>
        <v>20</v>
      </c>
      <c r="AT10" s="330">
        <f>SUM('MATRICULA-POS plan'!AU18:AU20)</f>
        <v>20</v>
      </c>
      <c r="AU10" s="331">
        <f>SUM('MATRICULA-POS plan'!AV18:AV20)</f>
        <v>21</v>
      </c>
      <c r="AV10" s="329">
        <f>SUM('MATRICULA-POS plan'!AW18:AW20)</f>
        <v>20</v>
      </c>
      <c r="AW10" s="330">
        <f>SUM('MATRICULA-POS plan'!AX18:AX20)</f>
        <v>20</v>
      </c>
      <c r="AX10" s="331">
        <f>SUM('MATRICULA-POS plan'!AY18:AY20)</f>
        <v>15</v>
      </c>
      <c r="AY10" s="329">
        <f>SUM('MATRICULA-POS plan'!AZ18:AZ20)</f>
        <v>15</v>
      </c>
      <c r="AZ10" s="330">
        <f>SUM('MATRICULA-POS plan'!BA16:BA20)</f>
        <v>29</v>
      </c>
      <c r="BA10" s="331">
        <f>SUM('MATRICULA-POS plan'!BB16:BB20)</f>
        <v>29</v>
      </c>
      <c r="BB10" s="329">
        <f>SUM('MATRICULA-POS plan'!BC16:BC19)</f>
        <v>29</v>
      </c>
      <c r="BC10" s="330">
        <f>SUM('MATRICULA-POS plan'!BD16:BD20)</f>
        <v>22</v>
      </c>
      <c r="BD10" s="331">
        <f>SUM('MATRICULA-POS plan'!BE16:BE20)</f>
        <v>13</v>
      </c>
      <c r="BE10" s="329">
        <f>SUM('MATRICULA-POS plan'!BF16:BF19)</f>
        <v>12</v>
      </c>
      <c r="BF10" s="330">
        <f>SUM('MATRICULA-POS plan'!BG16:BG20)</f>
        <v>22</v>
      </c>
      <c r="BG10" s="331">
        <f>SUM('MATRICULA-POS plan'!BH16:BH20)</f>
        <v>27</v>
      </c>
      <c r="BH10" s="329">
        <f>SUM('MATRICULA-POS plan'!BI16:BI19)</f>
        <v>24</v>
      </c>
      <c r="BI10" s="330">
        <f>SUM('MATRICULA-POS plan'!BJ16:BJ20)</f>
        <v>34</v>
      </c>
      <c r="BJ10" s="331">
        <f>SUM('MATRICULA-POS plan'!BK16:BK20)</f>
        <v>33</v>
      </c>
    </row>
    <row r="11" spans="1:62" ht="12.9" customHeight="1" x14ac:dyDescent="0.25">
      <c r="B11" s="1336" t="s">
        <v>310</v>
      </c>
      <c r="C11" s="82">
        <v>51</v>
      </c>
      <c r="D11" s="83">
        <v>48</v>
      </c>
      <c r="E11" s="83">
        <v>26</v>
      </c>
      <c r="F11" s="82">
        <v>40</v>
      </c>
      <c r="G11" s="83">
        <v>29</v>
      </c>
      <c r="H11" s="83">
        <v>45</v>
      </c>
      <c r="I11" s="82">
        <v>45</v>
      </c>
      <c r="J11" s="83">
        <v>43</v>
      </c>
      <c r="K11" s="83">
        <v>61</v>
      </c>
      <c r="L11" s="82">
        <v>60</v>
      </c>
      <c r="M11" s="83">
        <v>59</v>
      </c>
      <c r="N11" s="332">
        <v>43</v>
      </c>
      <c r="O11" s="83">
        <v>56</v>
      </c>
      <c r="P11" s="83">
        <v>49</v>
      </c>
      <c r="Q11" s="332">
        <v>77</v>
      </c>
      <c r="R11" s="82">
        <v>78</v>
      </c>
      <c r="S11" s="83">
        <v>75</v>
      </c>
      <c r="T11" s="332">
        <v>86</v>
      </c>
      <c r="U11" s="82">
        <v>54</v>
      </c>
      <c r="V11" s="83">
        <v>56</v>
      </c>
      <c r="W11" s="332">
        <v>118</v>
      </c>
      <c r="X11" s="82">
        <v>75</v>
      </c>
      <c r="Y11" s="83">
        <v>65</v>
      </c>
      <c r="Z11" s="332">
        <v>97</v>
      </c>
      <c r="AA11" s="82">
        <v>69</v>
      </c>
      <c r="AB11" s="83">
        <v>67</v>
      </c>
      <c r="AC11" s="332">
        <v>77</v>
      </c>
      <c r="AD11" s="82">
        <f>SUM('MATRICULA-POS plan'!AE21,'MATRICULA-POS plan'!AE22,'MATRICULA-POS plan'!AE23,'MATRICULA-POS plan'!AE24,'MATRICULA-POS plan'!AE25,'MATRICULA-POS plan'!AE26,'MATRICULA-POS plan'!AE27)</f>
        <v>74</v>
      </c>
      <c r="AE11" s="83">
        <f>SUM('MATRICULA-POS plan'!AF21,'MATRICULA-POS plan'!AF22,'MATRICULA-POS plan'!AF23,'MATRICULA-POS plan'!AF24,'MATRICULA-POS plan'!AF25,'MATRICULA-POS plan'!AF26,'MATRICULA-POS plan'!AF27)</f>
        <v>68</v>
      </c>
      <c r="AF11" s="332">
        <f>SUM('MATRICULA-POS plan'!AG21,'MATRICULA-POS plan'!AG22,'MATRICULA-POS plan'!AG23,'MATRICULA-POS plan'!AG24,'MATRICULA-POS plan'!AG25,'MATRICULA-POS plan'!AG26,'MATRICULA-POS plan'!AG27)</f>
        <v>86</v>
      </c>
      <c r="AG11" s="82">
        <f>SUM('MATRICULA-POS plan'!AH21,'MATRICULA-POS plan'!AH22,'MATRICULA-POS plan'!AH23,'MATRICULA-POS plan'!AH24,'MATRICULA-POS plan'!AH25,'MATRICULA-POS plan'!AH26,'MATRICULA-POS plan'!AH27)</f>
        <v>83</v>
      </c>
      <c r="AH11" s="83">
        <f>SUM('MATRICULA-POS plan'!AI21,'MATRICULA-POS plan'!AI22,'MATRICULA-POS plan'!AI23,'MATRICULA-POS plan'!AI24,'MATRICULA-POS plan'!AI25,'MATRICULA-POS plan'!AI26,'MATRICULA-POS plan'!AI27)</f>
        <v>83</v>
      </c>
      <c r="AI11" s="332">
        <f>SUM('MATRICULA-POS plan'!AJ21,'MATRICULA-POS plan'!AJ22,'MATRICULA-POS plan'!AJ23,'MATRICULA-POS plan'!AJ24,'MATRICULA-POS plan'!AJ25,'MATRICULA-POS plan'!AJ26,'MATRICULA-POS plan'!AJ27)</f>
        <v>101</v>
      </c>
      <c r="AJ11" s="82">
        <f>SUM('MATRICULA-POS plan'!AK21,'MATRICULA-POS plan'!AK22,'MATRICULA-POS plan'!AK23,'MATRICULA-POS plan'!AK24,'MATRICULA-POS plan'!AK25,'MATRICULA-POS plan'!AK26,'MATRICULA-POS plan'!AK27)</f>
        <v>119</v>
      </c>
      <c r="AK11" s="83">
        <f>SUM('MATRICULA-POS plan'!AL21,'MATRICULA-POS plan'!AL22,'MATRICULA-POS plan'!AL23,'MATRICULA-POS plan'!AL24,'MATRICULA-POS plan'!AL25,'MATRICULA-POS plan'!AL26,'MATRICULA-POS plan'!AL27)</f>
        <v>107</v>
      </c>
      <c r="AL11" s="332">
        <f>SUM('MATRICULA-POS plan'!AM21,'MATRICULA-POS plan'!AM22,'MATRICULA-POS plan'!AM23,'MATRICULA-POS plan'!AM24,'MATRICULA-POS plan'!AM25,'MATRICULA-POS plan'!AM26,'MATRICULA-POS plan'!AM27)</f>
        <v>109</v>
      </c>
      <c r="AM11" s="82">
        <f>SUM('MATRICULA-POS plan'!AN21,'MATRICULA-POS plan'!AN22,'MATRICULA-POS plan'!AN23,'MATRICULA-POS plan'!AN24,'MATRICULA-POS plan'!AN25,'MATRICULA-POS plan'!AN26,'MATRICULA-POS plan'!AN27)</f>
        <v>106</v>
      </c>
      <c r="AN11" s="83">
        <f>SUM('MATRICULA-POS plan'!AO21,'MATRICULA-POS plan'!AO22,'MATRICULA-POS plan'!AO23,'MATRICULA-POS plan'!AO24,'MATRICULA-POS plan'!AO25,'MATRICULA-POS plan'!AO26,'MATRICULA-POS plan'!AO27)</f>
        <v>99</v>
      </c>
      <c r="AO11" s="332">
        <f>SUM('MATRICULA-POS plan'!AP21,'MATRICULA-POS plan'!AP22,'MATRICULA-POS plan'!AP23,'MATRICULA-POS plan'!AP24,'MATRICULA-POS plan'!AP25,'MATRICULA-POS plan'!AP26,'MATRICULA-POS plan'!AP27)</f>
        <v>107</v>
      </c>
      <c r="AP11" s="82">
        <f>SUM('MATRICULA-POS plan'!AQ21,'MATRICULA-POS plan'!AQ22,'MATRICULA-POS plan'!AQ23,'MATRICULA-POS plan'!AQ24,'MATRICULA-POS plan'!AQ25,'MATRICULA-POS plan'!AQ26,'MATRICULA-POS plan'!AQ27)</f>
        <v>93</v>
      </c>
      <c r="AQ11" s="83">
        <f>SUM('MATRICULA-POS plan'!AR21,'MATRICULA-POS plan'!AR22,'MATRICULA-POS plan'!AR23,'MATRICULA-POS plan'!AR24,'MATRICULA-POS plan'!AR25,'MATRICULA-POS plan'!AR26,'MATRICULA-POS plan'!AR27)</f>
        <v>69</v>
      </c>
      <c r="AR11" s="332">
        <f>SUM('MATRICULA-POS plan'!AS21,'MATRICULA-POS plan'!AS22,'MATRICULA-POS plan'!AS23,'MATRICULA-POS plan'!AS24,'MATRICULA-POS plan'!AS25,'MATRICULA-POS plan'!AS26,'MATRICULA-POS plan'!AS27)</f>
        <v>81</v>
      </c>
      <c r="AS11" s="82">
        <f>SUM('MATRICULA-POS plan'!AT21,'MATRICULA-POS plan'!AT22,'MATRICULA-POS plan'!AT23,'MATRICULA-POS plan'!AT24,'MATRICULA-POS plan'!AT25,'MATRICULA-POS plan'!AT26,'MATRICULA-POS plan'!AT27)</f>
        <v>81</v>
      </c>
      <c r="AT11" s="83">
        <f>SUM('MATRICULA-POS plan'!AU21,'MATRICULA-POS plan'!AU22,'MATRICULA-POS plan'!AU23,'MATRICULA-POS plan'!AU24,'MATRICULA-POS plan'!AU25,'MATRICULA-POS plan'!AU26,'MATRICULA-POS plan'!AU27)</f>
        <v>79</v>
      </c>
      <c r="AU11" s="332">
        <f>SUM('MATRICULA-POS plan'!AV21:AV29)</f>
        <v>155</v>
      </c>
      <c r="AV11" s="82">
        <f>SUM('MATRICULA-POS plan'!AW21:AW29)</f>
        <v>142</v>
      </c>
      <c r="AW11" s="83">
        <f>SUM('MATRICULA-POS plan'!AX21:AX29)</f>
        <v>140</v>
      </c>
      <c r="AX11" s="332">
        <f>SUM('MATRICULA-POS plan'!AY21:AY29)</f>
        <v>140</v>
      </c>
      <c r="AY11" s="82">
        <f>SUM('MATRICULA-POS plan'!AZ21:AZ29)</f>
        <v>167</v>
      </c>
      <c r="AZ11" s="83">
        <f>SUM('MATRICULA-POS plan'!BA21:BA29)</f>
        <v>146</v>
      </c>
      <c r="BA11" s="332">
        <f>SUM('MATRICULA-POS plan'!BB21:BB29)</f>
        <v>162</v>
      </c>
      <c r="BB11" s="82">
        <f>SUM('MATRICULA-POS plan'!BC21:BC29)</f>
        <v>166</v>
      </c>
      <c r="BC11" s="83">
        <f>SUM('MATRICULA-POS plan'!BD21:BD29)</f>
        <v>135</v>
      </c>
      <c r="BD11" s="332">
        <f>SUM('MATRICULA-POS plan'!BE21:BE29)</f>
        <v>109</v>
      </c>
      <c r="BE11" s="82">
        <f>SUM('MATRICULA-POS plan'!BF21:BF29)</f>
        <v>149</v>
      </c>
      <c r="BF11" s="83">
        <f>SUM('MATRICULA-POS plan'!BG21:BG29)</f>
        <v>139</v>
      </c>
      <c r="BG11" s="332">
        <f>SUM('MATRICULA-POS plan'!BH21:BH29)</f>
        <v>127</v>
      </c>
      <c r="BH11" s="82">
        <f>SUM('MATRICULA-POS plan'!BI21:BI29)</f>
        <v>139</v>
      </c>
      <c r="BI11" s="83">
        <f>SUM('MATRICULA-POS plan'!BJ21:BJ29)</f>
        <v>131</v>
      </c>
      <c r="BJ11" s="332">
        <f>SUM('MATRICULA-POS plan'!BK21:BK29)</f>
        <v>122</v>
      </c>
    </row>
    <row r="12" spans="1:62" ht="12.9" customHeight="1" x14ac:dyDescent="0.25">
      <c r="B12" s="1339" t="s">
        <v>317</v>
      </c>
      <c r="C12" s="333">
        <v>7</v>
      </c>
      <c r="D12" s="334">
        <v>0</v>
      </c>
      <c r="E12" s="334">
        <v>0</v>
      </c>
      <c r="F12" s="333">
        <v>3</v>
      </c>
      <c r="G12" s="334">
        <v>5</v>
      </c>
      <c r="H12" s="334">
        <v>4</v>
      </c>
      <c r="I12" s="333">
        <v>1</v>
      </c>
      <c r="J12" s="334">
        <v>0</v>
      </c>
      <c r="K12" s="334">
        <v>17</v>
      </c>
      <c r="L12" s="333">
        <v>13</v>
      </c>
      <c r="M12" s="334">
        <v>12</v>
      </c>
      <c r="N12" s="335">
        <v>14</v>
      </c>
      <c r="O12" s="334">
        <v>17</v>
      </c>
      <c r="P12" s="334">
        <v>8</v>
      </c>
      <c r="Q12" s="335">
        <v>60</v>
      </c>
      <c r="R12" s="333">
        <v>33</v>
      </c>
      <c r="S12" s="334">
        <v>33</v>
      </c>
      <c r="T12" s="335">
        <v>43</v>
      </c>
      <c r="U12" s="333">
        <v>25</v>
      </c>
      <c r="V12" s="334">
        <v>26</v>
      </c>
      <c r="W12" s="335">
        <v>60</v>
      </c>
      <c r="X12" s="333">
        <v>29</v>
      </c>
      <c r="Y12" s="334">
        <v>49</v>
      </c>
      <c r="Z12" s="335">
        <v>69</v>
      </c>
      <c r="AA12" s="333">
        <v>33</v>
      </c>
      <c r="AB12" s="334">
        <v>26</v>
      </c>
      <c r="AC12" s="335">
        <v>37</v>
      </c>
      <c r="AD12" s="333">
        <f>SUM('MATRICULA-POS plan'!AE30,'MATRICULA-POS plan'!AE32,'MATRICULA-POS plan'!AE33)</f>
        <v>36</v>
      </c>
      <c r="AE12" s="334">
        <f>SUM('MATRICULA-POS plan'!AF30,'MATRICULA-POS plan'!AF32,'MATRICULA-POS plan'!AF33)</f>
        <v>33</v>
      </c>
      <c r="AF12" s="335">
        <f>SUM('MATRICULA-POS plan'!AG30,'MATRICULA-POS plan'!AG32,'MATRICULA-POS plan'!AG33)</f>
        <v>39</v>
      </c>
      <c r="AG12" s="333">
        <f>SUM('MATRICULA-POS plan'!AH30,'MATRICULA-POS plan'!AH32,'MATRICULA-POS plan'!AH33)</f>
        <v>44</v>
      </c>
      <c r="AH12" s="334">
        <f>SUM('MATRICULA-POS plan'!AI30,'MATRICULA-POS plan'!AI32,'MATRICULA-POS plan'!AI33)</f>
        <v>33</v>
      </c>
      <c r="AI12" s="335">
        <f>SUM('MATRICULA-POS plan'!AJ30,'MATRICULA-POS plan'!AJ32,'MATRICULA-POS plan'!AJ33)</f>
        <v>41</v>
      </c>
      <c r="AJ12" s="333">
        <f>SUM('MATRICULA-POS plan'!AK30,'MATRICULA-POS plan'!AK32,'MATRICULA-POS plan'!AK33)</f>
        <v>39</v>
      </c>
      <c r="AK12" s="334">
        <f>SUM('MATRICULA-POS plan'!AL30,'MATRICULA-POS plan'!AL32,'MATRICULA-POS plan'!AL33)</f>
        <v>33</v>
      </c>
      <c r="AL12" s="335">
        <f>SUM('MATRICULA-POS plan'!AM30,'MATRICULA-POS plan'!AM32,'MATRICULA-POS plan'!AM33)</f>
        <v>45</v>
      </c>
      <c r="AM12" s="333">
        <f>SUM('MATRICULA-POS plan'!AN30,'MATRICULA-POS plan'!AN32,'MATRICULA-POS plan'!AN33)</f>
        <v>42</v>
      </c>
      <c r="AN12" s="334">
        <f>SUM('MATRICULA-POS plan'!AO30,'MATRICULA-POS plan'!AO32,'MATRICULA-POS plan'!AO33)</f>
        <v>41</v>
      </c>
      <c r="AO12" s="335">
        <f>SUM('MATRICULA-POS plan'!AP30,'MATRICULA-POS plan'!AP32,'MATRICULA-POS plan'!AP33)</f>
        <v>35</v>
      </c>
      <c r="AP12" s="333">
        <f>SUM('MATRICULA-POS plan'!AQ30,'MATRICULA-POS plan'!AQ32,'MATRICULA-POS plan'!AQ33)</f>
        <v>36</v>
      </c>
      <c r="AQ12" s="334">
        <f>SUM('MATRICULA-POS plan'!AR30,'MATRICULA-POS plan'!AR32,'MATRICULA-POS plan'!AR33)</f>
        <v>31</v>
      </c>
      <c r="AR12" s="335">
        <f>SUM('MATRICULA-POS plan'!AS30,'MATRICULA-POS plan'!AS32,'MATRICULA-POS plan'!AS33)</f>
        <v>57</v>
      </c>
      <c r="AS12" s="333">
        <f>SUM('MATRICULA-POS plan'!AT30,'MATRICULA-POS plan'!AT32,'MATRICULA-POS plan'!AT33)</f>
        <v>58</v>
      </c>
      <c r="AT12" s="334">
        <f>SUM('MATRICULA-POS plan'!AU30,'MATRICULA-POS plan'!AU32,'MATRICULA-POS plan'!AU33)</f>
        <v>55</v>
      </c>
      <c r="AU12" s="335">
        <f>SUM('MATRICULA-POS plan'!AV30:AV34)</f>
        <v>59</v>
      </c>
      <c r="AV12" s="333">
        <f>SUM('MATRICULA-POS plan'!AW30:AW34)</f>
        <v>59</v>
      </c>
      <c r="AW12" s="334">
        <f>SUM('MATRICULA-POS plan'!AX30:AX34)</f>
        <v>58</v>
      </c>
      <c r="AX12" s="335">
        <f>SUM('MATRICULA-POS plan'!AY30:AY34)</f>
        <v>81</v>
      </c>
      <c r="AY12" s="333">
        <f>SUM('MATRICULA-POS plan'!AZ30:AZ34)</f>
        <v>82</v>
      </c>
      <c r="AZ12" s="334">
        <f>SUM('MATRICULA-POS plan'!BA30:BA34)</f>
        <v>82</v>
      </c>
      <c r="BA12" s="335">
        <f>SUM('MATRICULA-POS plan'!BB30:BB34)</f>
        <v>79</v>
      </c>
      <c r="BB12" s="333">
        <f>SUM('MATRICULA-POS plan'!BC30:BC34)</f>
        <v>87</v>
      </c>
      <c r="BC12" s="334">
        <f>SUM('MATRICULA-POS plan'!BD30:BD34)</f>
        <v>81</v>
      </c>
      <c r="BD12" s="335">
        <f>SUM('MATRICULA-POS plan'!BE30:BE34)</f>
        <v>76</v>
      </c>
      <c r="BE12" s="333">
        <f>SUM('MATRICULA-POS plan'!BF30:BF34)</f>
        <v>94</v>
      </c>
      <c r="BF12" s="334">
        <f>SUM('MATRICULA-POS plan'!BG30:BG34)</f>
        <v>92</v>
      </c>
      <c r="BG12" s="335">
        <f>SUM('MATRICULA-POS plan'!BH30:BH34)</f>
        <v>94</v>
      </c>
      <c r="BH12" s="333">
        <f>SUM('MATRICULA-POS plan'!BI30:BI34)</f>
        <v>92</v>
      </c>
      <c r="BI12" s="334">
        <f>SUM('MATRICULA-POS plan'!BJ30:BJ34)</f>
        <v>91</v>
      </c>
      <c r="BJ12" s="335">
        <f>SUM('MATRICULA-POS plan'!BK30:BK34)</f>
        <v>104</v>
      </c>
    </row>
    <row r="13" spans="1:62" s="1330" customFormat="1" ht="12.9" customHeight="1" x14ac:dyDescent="0.25">
      <c r="A13" s="25"/>
      <c r="B13" s="1342" t="s">
        <v>426</v>
      </c>
      <c r="C13" s="201">
        <v>72</v>
      </c>
      <c r="D13" s="202">
        <v>61</v>
      </c>
      <c r="E13" s="202">
        <v>57</v>
      </c>
      <c r="F13" s="201">
        <v>69</v>
      </c>
      <c r="G13" s="202">
        <v>58</v>
      </c>
      <c r="H13" s="202">
        <v>87</v>
      </c>
      <c r="I13" s="201">
        <v>81</v>
      </c>
      <c r="J13" s="202">
        <v>75</v>
      </c>
      <c r="K13" s="202">
        <v>110</v>
      </c>
      <c r="L13" s="201">
        <v>98</v>
      </c>
      <c r="M13" s="202">
        <v>99</v>
      </c>
      <c r="N13" s="203">
        <v>90</v>
      </c>
      <c r="O13" s="202">
        <v>102</v>
      </c>
      <c r="P13" s="202">
        <v>89</v>
      </c>
      <c r="Q13" s="203">
        <v>176</v>
      </c>
      <c r="R13" s="201">
        <v>138</v>
      </c>
      <c r="S13" s="202">
        <v>135</v>
      </c>
      <c r="T13" s="203">
        <v>160</v>
      </c>
      <c r="U13" s="201">
        <f t="shared" ref="U13:Z13" si="4">SUM(U10:U12)</f>
        <v>110</v>
      </c>
      <c r="V13" s="202">
        <f t="shared" si="4"/>
        <v>109</v>
      </c>
      <c r="W13" s="203">
        <f t="shared" si="4"/>
        <v>197</v>
      </c>
      <c r="X13" s="201">
        <f t="shared" si="4"/>
        <v>118</v>
      </c>
      <c r="Y13" s="202">
        <f t="shared" si="4"/>
        <v>129</v>
      </c>
      <c r="Z13" s="203">
        <f t="shared" si="4"/>
        <v>193</v>
      </c>
      <c r="AA13" s="201">
        <f t="shared" ref="AA13:BD13" si="5">SUM(AA10:AA12)</f>
        <v>128</v>
      </c>
      <c r="AB13" s="202">
        <f t="shared" si="5"/>
        <v>116</v>
      </c>
      <c r="AC13" s="203">
        <f t="shared" si="5"/>
        <v>141</v>
      </c>
      <c r="AD13" s="201">
        <f t="shared" si="5"/>
        <v>135</v>
      </c>
      <c r="AE13" s="202">
        <f t="shared" si="5"/>
        <v>129</v>
      </c>
      <c r="AF13" s="203">
        <f t="shared" si="5"/>
        <v>144</v>
      </c>
      <c r="AG13" s="201">
        <f t="shared" si="5"/>
        <v>145</v>
      </c>
      <c r="AH13" s="202">
        <f t="shared" si="5"/>
        <v>134</v>
      </c>
      <c r="AI13" s="203">
        <f t="shared" si="5"/>
        <v>172</v>
      </c>
      <c r="AJ13" s="201">
        <f t="shared" si="5"/>
        <v>185</v>
      </c>
      <c r="AK13" s="202">
        <f t="shared" si="5"/>
        <v>166</v>
      </c>
      <c r="AL13" s="203">
        <f t="shared" si="5"/>
        <v>172</v>
      </c>
      <c r="AM13" s="201">
        <f t="shared" si="5"/>
        <v>165</v>
      </c>
      <c r="AN13" s="202">
        <f t="shared" si="5"/>
        <v>159</v>
      </c>
      <c r="AO13" s="203">
        <f t="shared" si="5"/>
        <v>172</v>
      </c>
      <c r="AP13" s="201">
        <f t="shared" si="5"/>
        <v>156</v>
      </c>
      <c r="AQ13" s="202">
        <f t="shared" si="5"/>
        <v>128</v>
      </c>
      <c r="AR13" s="203">
        <f t="shared" si="5"/>
        <v>158</v>
      </c>
      <c r="AS13" s="201">
        <f t="shared" si="5"/>
        <v>159</v>
      </c>
      <c r="AT13" s="202">
        <f t="shared" si="5"/>
        <v>154</v>
      </c>
      <c r="AU13" s="203">
        <f t="shared" si="5"/>
        <v>235</v>
      </c>
      <c r="AV13" s="201">
        <f t="shared" si="5"/>
        <v>221</v>
      </c>
      <c r="AW13" s="202">
        <f t="shared" si="5"/>
        <v>218</v>
      </c>
      <c r="AX13" s="203">
        <f t="shared" si="5"/>
        <v>236</v>
      </c>
      <c r="AY13" s="201">
        <f t="shared" si="5"/>
        <v>264</v>
      </c>
      <c r="AZ13" s="202">
        <f t="shared" si="5"/>
        <v>257</v>
      </c>
      <c r="BA13" s="203">
        <f t="shared" si="5"/>
        <v>270</v>
      </c>
      <c r="BB13" s="201">
        <f t="shared" si="5"/>
        <v>282</v>
      </c>
      <c r="BC13" s="202">
        <f t="shared" si="5"/>
        <v>238</v>
      </c>
      <c r="BD13" s="203">
        <f t="shared" si="5"/>
        <v>198</v>
      </c>
      <c r="BE13" s="201">
        <f t="shared" ref="BE13:BG13" si="6">SUM(BE10:BE12)</f>
        <v>255</v>
      </c>
      <c r="BF13" s="202">
        <f t="shared" si="6"/>
        <v>253</v>
      </c>
      <c r="BG13" s="203">
        <f t="shared" si="6"/>
        <v>248</v>
      </c>
      <c r="BH13" s="201">
        <f t="shared" ref="BH13:BJ13" si="7">SUM(BH10:BH12)</f>
        <v>255</v>
      </c>
      <c r="BI13" s="202">
        <f t="shared" si="7"/>
        <v>256</v>
      </c>
      <c r="BJ13" s="203">
        <f t="shared" si="7"/>
        <v>259</v>
      </c>
    </row>
    <row r="14" spans="1:62" ht="12.9" customHeight="1" x14ac:dyDescent="0.25">
      <c r="B14" s="1334" t="s">
        <v>308</v>
      </c>
      <c r="C14" s="329">
        <v>29</v>
      </c>
      <c r="D14" s="330">
        <v>28</v>
      </c>
      <c r="E14" s="330">
        <v>19</v>
      </c>
      <c r="F14" s="329">
        <v>16</v>
      </c>
      <c r="G14" s="330">
        <v>13</v>
      </c>
      <c r="H14" s="330">
        <v>25</v>
      </c>
      <c r="I14" s="329">
        <v>16</v>
      </c>
      <c r="J14" s="330">
        <v>14</v>
      </c>
      <c r="K14" s="330">
        <v>14</v>
      </c>
      <c r="L14" s="329">
        <v>8</v>
      </c>
      <c r="M14" s="330">
        <v>7</v>
      </c>
      <c r="N14" s="331">
        <v>25</v>
      </c>
      <c r="O14" s="330">
        <v>36</v>
      </c>
      <c r="P14" s="330">
        <v>17</v>
      </c>
      <c r="Q14" s="331">
        <v>42</v>
      </c>
      <c r="R14" s="329">
        <v>16</v>
      </c>
      <c r="S14" s="330">
        <v>11</v>
      </c>
      <c r="T14" s="331">
        <v>48</v>
      </c>
      <c r="U14" s="329">
        <v>9</v>
      </c>
      <c r="V14" s="330">
        <v>10</v>
      </c>
      <c r="W14" s="331">
        <v>54</v>
      </c>
      <c r="X14" s="329">
        <v>17</v>
      </c>
      <c r="Y14" s="330">
        <v>12</v>
      </c>
      <c r="Z14" s="331">
        <v>87</v>
      </c>
      <c r="AA14" s="329">
        <v>87</v>
      </c>
      <c r="AB14" s="330">
        <v>75</v>
      </c>
      <c r="AC14" s="331">
        <v>32</v>
      </c>
      <c r="AD14" s="329">
        <f>SUM('MATRICULA-POS plan'!AE36)</f>
        <v>33</v>
      </c>
      <c r="AE14" s="330">
        <f>SUM('MATRICULA-POS plan'!AF36)</f>
        <v>31</v>
      </c>
      <c r="AF14" s="331">
        <f>SUM('MATRICULA-POS plan'!AG36)</f>
        <v>79</v>
      </c>
      <c r="AG14" s="329">
        <f>SUM('MATRICULA-POS plan'!AH36)</f>
        <v>69</v>
      </c>
      <c r="AH14" s="330">
        <f>SUM('MATRICULA-POS plan'!AI36)</f>
        <v>69</v>
      </c>
      <c r="AI14" s="331">
        <f>SUM('MATRICULA-POS plan'!AJ36)</f>
        <v>45</v>
      </c>
      <c r="AJ14" s="329">
        <f>SUM('MATRICULA-POS plan'!AK36)</f>
        <v>29</v>
      </c>
      <c r="AK14" s="330">
        <f>SUM('MATRICULA-POS plan'!AL36)</f>
        <v>24</v>
      </c>
      <c r="AL14" s="331">
        <f>SUM('MATRICULA-POS plan'!AM36)</f>
        <v>95</v>
      </c>
      <c r="AM14" s="329">
        <f>SUM('MATRICULA-POS plan'!AN36)</f>
        <v>70</v>
      </c>
      <c r="AN14" s="330">
        <f>SUM('MATRICULA-POS plan'!AO36)</f>
        <v>70</v>
      </c>
      <c r="AO14" s="331">
        <f>SUM('MATRICULA-POS plan'!AP36)</f>
        <v>2</v>
      </c>
      <c r="AP14" s="329">
        <f>SUM('MATRICULA-POS plan'!AQ36:AQ38)</f>
        <v>0</v>
      </c>
      <c r="AQ14" s="330">
        <f>SUM('MATRICULA-POS plan'!AR36:AR38)</f>
        <v>0</v>
      </c>
      <c r="AR14" s="331">
        <f>SUM('MATRICULA-POS plan'!AS36:AS38)</f>
        <v>10</v>
      </c>
      <c r="AS14" s="329">
        <f>SUM('MATRICULA-POS plan'!AT36:AT38)</f>
        <v>9</v>
      </c>
      <c r="AT14" s="330">
        <f>SUM('MATRICULA-POS plan'!AU36:AU38)</f>
        <v>9</v>
      </c>
      <c r="AU14" s="331">
        <f>SUM('MATRICULA-POS plan'!AV36:AV38)</f>
        <v>19</v>
      </c>
      <c r="AV14" s="329">
        <f>SUM('MATRICULA-POS plan'!AW36:AW38)</f>
        <v>12</v>
      </c>
      <c r="AW14" s="330">
        <f>SUM('MATRICULA-POS plan'!AX36:AX38)</f>
        <v>12</v>
      </c>
      <c r="AX14" s="331">
        <f>SUM('MATRICULA-POS plan'!AY36:AY38)</f>
        <v>15</v>
      </c>
      <c r="AY14" s="329">
        <f>SUM('MATRICULA-POS plan'!AZ36:AZ38)</f>
        <v>13</v>
      </c>
      <c r="AZ14" s="330">
        <f>SUM('MATRICULA-POS plan'!BA36:BA38)</f>
        <v>13</v>
      </c>
      <c r="BA14" s="331">
        <f>SUM('MATRICULA-POS plan'!BB36:BB38)</f>
        <v>0</v>
      </c>
      <c r="BB14" s="329">
        <f>SUM('MATRICULA-POS plan'!BC36:BC38)</f>
        <v>12</v>
      </c>
      <c r="BC14" s="330">
        <f>SUM('MATRICULA-POS plan'!BD36:BD38)</f>
        <v>13</v>
      </c>
      <c r="BD14" s="331">
        <f>SUM('MATRICULA-POS plan'!BE36:BE38)</f>
        <v>19</v>
      </c>
      <c r="BE14" s="329">
        <f>SUM('MATRICULA-POS plan'!BF36:BF38)</f>
        <v>0</v>
      </c>
      <c r="BF14" s="330">
        <f>SUM('MATRICULA-POS plan'!BG36:BG38)</f>
        <v>15</v>
      </c>
      <c r="BG14" s="331">
        <f>SUM('MATRICULA-POS plan'!BH36:BH38)</f>
        <v>13</v>
      </c>
      <c r="BH14" s="329">
        <f>SUM('MATRICULA-POS plan'!BI36:BI38)</f>
        <v>14</v>
      </c>
      <c r="BI14" s="330">
        <f>SUM('MATRICULA-POS plan'!BJ36:BJ38)</f>
        <v>25</v>
      </c>
      <c r="BJ14" s="331">
        <f>SUM('MATRICULA-POS plan'!BK36:BK38)</f>
        <v>26</v>
      </c>
    </row>
    <row r="15" spans="1:62" ht="12.9" customHeight="1" x14ac:dyDescent="0.25">
      <c r="B15" s="1336" t="s">
        <v>310</v>
      </c>
      <c r="C15" s="82">
        <v>26</v>
      </c>
      <c r="D15" s="83">
        <v>21</v>
      </c>
      <c r="E15" s="83">
        <v>27</v>
      </c>
      <c r="F15" s="82">
        <v>26</v>
      </c>
      <c r="G15" s="83">
        <v>21</v>
      </c>
      <c r="H15" s="83">
        <v>31</v>
      </c>
      <c r="I15" s="82">
        <v>25</v>
      </c>
      <c r="J15" s="83">
        <v>22</v>
      </c>
      <c r="K15" s="83">
        <v>27</v>
      </c>
      <c r="L15" s="82">
        <v>34</v>
      </c>
      <c r="M15" s="83">
        <v>22</v>
      </c>
      <c r="N15" s="332">
        <v>39</v>
      </c>
      <c r="O15" s="83">
        <v>23</v>
      </c>
      <c r="P15" s="83">
        <v>37</v>
      </c>
      <c r="Q15" s="332">
        <v>28</v>
      </c>
      <c r="R15" s="82">
        <v>46</v>
      </c>
      <c r="S15" s="83">
        <v>42</v>
      </c>
      <c r="T15" s="332">
        <v>34</v>
      </c>
      <c r="U15" s="82">
        <v>72</v>
      </c>
      <c r="V15" s="83">
        <v>72</v>
      </c>
      <c r="W15" s="332">
        <v>62</v>
      </c>
      <c r="X15" s="82">
        <v>80</v>
      </c>
      <c r="Y15" s="83">
        <v>75</v>
      </c>
      <c r="Z15" s="332">
        <v>49</v>
      </c>
      <c r="AA15" s="82">
        <v>53</v>
      </c>
      <c r="AB15" s="83">
        <v>38</v>
      </c>
      <c r="AC15" s="332">
        <v>78</v>
      </c>
      <c r="AD15" s="82">
        <f>SUM('MATRICULA-POS plan'!AE39)</f>
        <v>74</v>
      </c>
      <c r="AE15" s="83">
        <f>SUM('MATRICULA-POS plan'!AF39)</f>
        <v>76</v>
      </c>
      <c r="AF15" s="332">
        <f>SUM('MATRICULA-POS plan'!AG39)</f>
        <v>57</v>
      </c>
      <c r="AG15" s="82">
        <f>SUM('MATRICULA-POS plan'!AH39)</f>
        <v>43</v>
      </c>
      <c r="AH15" s="83">
        <f>SUM('MATRICULA-POS plan'!AI39)</f>
        <v>49</v>
      </c>
      <c r="AI15" s="332">
        <f>SUM('MATRICULA-POS plan'!AJ39)</f>
        <v>56</v>
      </c>
      <c r="AJ15" s="82">
        <f>SUM('MATRICULA-POS plan'!AK39)</f>
        <v>56</v>
      </c>
      <c r="AK15" s="83">
        <f>SUM('MATRICULA-POS plan'!AL39)</f>
        <v>59</v>
      </c>
      <c r="AL15" s="332">
        <f>SUM('MATRICULA-POS plan'!AM39)</f>
        <v>63</v>
      </c>
      <c r="AM15" s="82">
        <f>SUM('MATRICULA-POS plan'!AN39)</f>
        <v>48</v>
      </c>
      <c r="AN15" s="83">
        <f>SUM('MATRICULA-POS plan'!AO39)</f>
        <v>40</v>
      </c>
      <c r="AO15" s="332">
        <f>SUM('MATRICULA-POS plan'!AP39:AP45)</f>
        <v>79</v>
      </c>
      <c r="AP15" s="82">
        <f>SUM('MATRICULA-POS plan'!AQ39:AQ45)</f>
        <v>94</v>
      </c>
      <c r="AQ15" s="83">
        <f>SUM('MATRICULA-POS plan'!AR39:AR45)</f>
        <v>94</v>
      </c>
      <c r="AR15" s="332">
        <f>SUM('MATRICULA-POS plan'!AS39:AS45)</f>
        <v>99</v>
      </c>
      <c r="AS15" s="82">
        <f>SUM('MATRICULA-POS plan'!AT39:AT45)</f>
        <v>97</v>
      </c>
      <c r="AT15" s="83">
        <f>SUM('MATRICULA-POS plan'!AU39:AU45)</f>
        <v>92</v>
      </c>
      <c r="AU15" s="332">
        <f>SUM('MATRICULA-POS plan'!AV39:AV45)</f>
        <v>94</v>
      </c>
      <c r="AV15" s="82">
        <f>SUM('MATRICULA-POS plan'!AW39:AW45)</f>
        <v>84</v>
      </c>
      <c r="AW15" s="83">
        <f>SUM('MATRICULA-POS plan'!AX39:AX45)</f>
        <v>73</v>
      </c>
      <c r="AX15" s="332">
        <f>SUM('MATRICULA-POS plan'!AY39:AY45)</f>
        <v>63</v>
      </c>
      <c r="AY15" s="82">
        <f>SUM('MATRICULA-POS plan'!AZ39:AZ45)</f>
        <v>76</v>
      </c>
      <c r="AZ15" s="83">
        <f>SUM('MATRICULA-POS plan'!BA39:BA45)</f>
        <v>66</v>
      </c>
      <c r="BA15" s="332">
        <f>SUM('MATRICULA-POS plan'!BB39:BB45)</f>
        <v>52</v>
      </c>
      <c r="BB15" s="82">
        <f>SUM('MATRICULA-POS plan'!BC39:BC45)</f>
        <v>81</v>
      </c>
      <c r="BC15" s="83">
        <f>SUM('MATRICULA-POS plan'!BD39:BD45)</f>
        <v>75</v>
      </c>
      <c r="BD15" s="332">
        <f>SUM('MATRICULA-POS plan'!BE39:BE45)</f>
        <v>75</v>
      </c>
      <c r="BE15" s="82">
        <f>SUM('MATRICULA-POS plan'!BF39:BF45)</f>
        <v>75</v>
      </c>
      <c r="BF15" s="83">
        <f>SUM('MATRICULA-POS plan'!BG39:BG45)</f>
        <v>97</v>
      </c>
      <c r="BG15" s="332">
        <f>SUM('MATRICULA-POS plan'!BH39:BH45)</f>
        <v>85</v>
      </c>
      <c r="BH15" s="82">
        <f>SUM('MATRICULA-POS plan'!BI39:BI45)</f>
        <v>81</v>
      </c>
      <c r="BI15" s="83">
        <f>SUM('MATRICULA-POS plan'!BJ39:BJ45)</f>
        <v>101</v>
      </c>
      <c r="BJ15" s="332">
        <f>SUM('MATRICULA-POS plan'!BK39:BK45)</f>
        <v>90</v>
      </c>
    </row>
    <row r="16" spans="1:62" ht="12.9" customHeight="1" x14ac:dyDescent="0.25">
      <c r="B16" s="1339" t="s">
        <v>317</v>
      </c>
      <c r="C16" s="333">
        <v>17</v>
      </c>
      <c r="D16" s="334">
        <v>17</v>
      </c>
      <c r="E16" s="334">
        <v>7</v>
      </c>
      <c r="F16" s="333">
        <v>4</v>
      </c>
      <c r="G16" s="334">
        <v>4</v>
      </c>
      <c r="H16" s="334">
        <v>1</v>
      </c>
      <c r="I16" s="333">
        <v>1</v>
      </c>
      <c r="J16" s="334">
        <v>1</v>
      </c>
      <c r="K16" s="334">
        <v>8</v>
      </c>
      <c r="L16" s="333">
        <v>6</v>
      </c>
      <c r="M16" s="334">
        <v>6</v>
      </c>
      <c r="N16" s="335">
        <v>12</v>
      </c>
      <c r="O16" s="334">
        <v>9</v>
      </c>
      <c r="P16" s="334">
        <v>11</v>
      </c>
      <c r="Q16" s="335">
        <v>16</v>
      </c>
      <c r="R16" s="333">
        <v>13</v>
      </c>
      <c r="S16" s="334">
        <v>11</v>
      </c>
      <c r="T16" s="335">
        <v>24</v>
      </c>
      <c r="U16" s="333">
        <v>20</v>
      </c>
      <c r="V16" s="334">
        <v>19</v>
      </c>
      <c r="W16" s="335">
        <v>31</v>
      </c>
      <c r="X16" s="333">
        <v>32</v>
      </c>
      <c r="Y16" s="334">
        <v>34</v>
      </c>
      <c r="Z16" s="335">
        <v>51</v>
      </c>
      <c r="AA16" s="333">
        <v>51</v>
      </c>
      <c r="AB16" s="334">
        <v>44</v>
      </c>
      <c r="AC16" s="335">
        <v>38</v>
      </c>
      <c r="AD16" s="333">
        <f>SUM('MATRICULA-POS plan'!AE46)</f>
        <v>35</v>
      </c>
      <c r="AE16" s="334">
        <f>SUM('MATRICULA-POS plan'!AF46)</f>
        <v>35</v>
      </c>
      <c r="AF16" s="335">
        <f>SUM('MATRICULA-POS plan'!AG46)</f>
        <v>51</v>
      </c>
      <c r="AG16" s="333">
        <f>SUM('MATRICULA-POS plan'!AH46)</f>
        <v>46</v>
      </c>
      <c r="AH16" s="334">
        <f>SUM('MATRICULA-POS plan'!AI46)</f>
        <v>49</v>
      </c>
      <c r="AI16" s="335">
        <f>SUM('MATRICULA-POS plan'!AJ46)</f>
        <v>42</v>
      </c>
      <c r="AJ16" s="333">
        <f>SUM('MATRICULA-POS plan'!AK46)</f>
        <v>35</v>
      </c>
      <c r="AK16" s="334">
        <f>SUM('MATRICULA-POS plan'!AL46)</f>
        <v>34</v>
      </c>
      <c r="AL16" s="335">
        <f>SUM('MATRICULA-POS plan'!AM46)</f>
        <v>66</v>
      </c>
      <c r="AM16" s="333">
        <f>SUM('MATRICULA-POS plan'!AN46)</f>
        <v>69</v>
      </c>
      <c r="AN16" s="334">
        <f>SUM('MATRICULA-POS plan'!AO46)</f>
        <v>65</v>
      </c>
      <c r="AO16" s="335">
        <f>SUM('MATRICULA-POS plan'!AP46:AP52)</f>
        <v>56</v>
      </c>
      <c r="AP16" s="333">
        <f>SUM('MATRICULA-POS plan'!AQ46:AQ52)</f>
        <v>60</v>
      </c>
      <c r="AQ16" s="334">
        <f>SUM('MATRICULA-POS plan'!AR46:AR52)</f>
        <v>60</v>
      </c>
      <c r="AR16" s="335">
        <f>SUM('MATRICULA-POS plan'!AS46:AS52)</f>
        <v>57</v>
      </c>
      <c r="AS16" s="333">
        <f>SUM('MATRICULA-POS plan'!AT46:AT52)</f>
        <v>61</v>
      </c>
      <c r="AT16" s="334">
        <f>SUM('MATRICULA-POS plan'!AU46:AU52)</f>
        <v>68</v>
      </c>
      <c r="AU16" s="335">
        <f>SUM('MATRICULA-POS plan'!AV46:AV52)</f>
        <v>70</v>
      </c>
      <c r="AV16" s="333">
        <f>SUM('MATRICULA-POS plan'!AW46:AW52)</f>
        <v>59</v>
      </c>
      <c r="AW16" s="334">
        <f>SUM('MATRICULA-POS plan'!AX46:AX52)</f>
        <v>47</v>
      </c>
      <c r="AX16" s="335">
        <f>SUM('MATRICULA-POS plan'!AY46:AY52)</f>
        <v>48</v>
      </c>
      <c r="AY16" s="333">
        <f>SUM('MATRICULA-POS plan'!AZ46:AZ52)</f>
        <v>59</v>
      </c>
      <c r="AZ16" s="334">
        <f>SUM('MATRICULA-POS plan'!BA46:BA52)</f>
        <v>61</v>
      </c>
      <c r="BA16" s="335">
        <f>SUM('MATRICULA-POS plan'!BB46:BB52)</f>
        <v>51</v>
      </c>
      <c r="BB16" s="333">
        <f>SUM('MATRICULA-POS plan'!BC46:BC52)</f>
        <v>63</v>
      </c>
      <c r="BC16" s="334">
        <f>SUM('MATRICULA-POS plan'!BD46:BD52)</f>
        <v>63</v>
      </c>
      <c r="BD16" s="335">
        <f>SUM('MATRICULA-POS plan'!BE46:BE52)</f>
        <v>60</v>
      </c>
      <c r="BE16" s="333">
        <f>SUM('MATRICULA-POS plan'!BF46:BF52)</f>
        <v>53</v>
      </c>
      <c r="BF16" s="334">
        <f>SUM('MATRICULA-POS plan'!BG46:BG52)</f>
        <v>63</v>
      </c>
      <c r="BG16" s="335">
        <f>SUM('MATRICULA-POS plan'!BH46:BH52)</f>
        <v>64</v>
      </c>
      <c r="BH16" s="333">
        <f>SUM('MATRICULA-POS plan'!BI46:BI52)</f>
        <v>64</v>
      </c>
      <c r="BI16" s="334">
        <f>SUM('MATRICULA-POS plan'!BJ46:BJ52)</f>
        <v>68</v>
      </c>
      <c r="BJ16" s="335">
        <f>SUM('MATRICULA-POS plan'!BK46:BK52)</f>
        <v>64</v>
      </c>
    </row>
    <row r="17" spans="1:65" s="1330" customFormat="1" ht="12.9" customHeight="1" x14ac:dyDescent="0.25">
      <c r="A17" s="25"/>
      <c r="B17" s="1342" t="s">
        <v>427</v>
      </c>
      <c r="C17" s="201">
        <v>72</v>
      </c>
      <c r="D17" s="202">
        <v>66</v>
      </c>
      <c r="E17" s="202">
        <v>53</v>
      </c>
      <c r="F17" s="201">
        <v>46</v>
      </c>
      <c r="G17" s="202">
        <v>38</v>
      </c>
      <c r="H17" s="202">
        <v>57</v>
      </c>
      <c r="I17" s="201">
        <v>42</v>
      </c>
      <c r="J17" s="202">
        <v>37</v>
      </c>
      <c r="K17" s="202">
        <v>49</v>
      </c>
      <c r="L17" s="201">
        <v>48</v>
      </c>
      <c r="M17" s="202">
        <v>35</v>
      </c>
      <c r="N17" s="203">
        <v>76</v>
      </c>
      <c r="O17" s="202">
        <v>68</v>
      </c>
      <c r="P17" s="202">
        <v>65</v>
      </c>
      <c r="Q17" s="203">
        <v>86</v>
      </c>
      <c r="R17" s="201">
        <v>75</v>
      </c>
      <c r="S17" s="202">
        <v>64</v>
      </c>
      <c r="T17" s="203">
        <v>106</v>
      </c>
      <c r="U17" s="201">
        <f t="shared" ref="U17:AI17" si="8">SUM(U14:U16)</f>
        <v>101</v>
      </c>
      <c r="V17" s="202">
        <f t="shared" si="8"/>
        <v>101</v>
      </c>
      <c r="W17" s="203">
        <f t="shared" si="8"/>
        <v>147</v>
      </c>
      <c r="X17" s="201">
        <f t="shared" si="8"/>
        <v>129</v>
      </c>
      <c r="Y17" s="202">
        <f t="shared" si="8"/>
        <v>121</v>
      </c>
      <c r="Z17" s="203">
        <f t="shared" si="8"/>
        <v>187</v>
      </c>
      <c r="AA17" s="201">
        <f t="shared" si="8"/>
        <v>191</v>
      </c>
      <c r="AB17" s="202">
        <f t="shared" si="8"/>
        <v>157</v>
      </c>
      <c r="AC17" s="203">
        <f t="shared" si="8"/>
        <v>148</v>
      </c>
      <c r="AD17" s="201">
        <f t="shared" si="8"/>
        <v>142</v>
      </c>
      <c r="AE17" s="202">
        <f t="shared" si="8"/>
        <v>142</v>
      </c>
      <c r="AF17" s="203">
        <f t="shared" si="8"/>
        <v>187</v>
      </c>
      <c r="AG17" s="201">
        <f t="shared" si="8"/>
        <v>158</v>
      </c>
      <c r="AH17" s="202">
        <f t="shared" si="8"/>
        <v>167</v>
      </c>
      <c r="AI17" s="203">
        <f t="shared" si="8"/>
        <v>143</v>
      </c>
      <c r="AJ17" s="201">
        <f t="shared" ref="AJ17:BD17" si="9">SUM(AJ14:AJ16)</f>
        <v>120</v>
      </c>
      <c r="AK17" s="202">
        <f t="shared" si="9"/>
        <v>117</v>
      </c>
      <c r="AL17" s="203">
        <f t="shared" si="9"/>
        <v>224</v>
      </c>
      <c r="AM17" s="201">
        <f t="shared" si="9"/>
        <v>187</v>
      </c>
      <c r="AN17" s="202">
        <f t="shared" si="9"/>
        <v>175</v>
      </c>
      <c r="AO17" s="203">
        <f t="shared" si="9"/>
        <v>137</v>
      </c>
      <c r="AP17" s="201">
        <f t="shared" si="9"/>
        <v>154</v>
      </c>
      <c r="AQ17" s="202">
        <f t="shared" si="9"/>
        <v>154</v>
      </c>
      <c r="AR17" s="203">
        <f t="shared" si="9"/>
        <v>166</v>
      </c>
      <c r="AS17" s="201">
        <f t="shared" si="9"/>
        <v>167</v>
      </c>
      <c r="AT17" s="202">
        <f t="shared" si="9"/>
        <v>169</v>
      </c>
      <c r="AU17" s="203">
        <f t="shared" si="9"/>
        <v>183</v>
      </c>
      <c r="AV17" s="201">
        <f t="shared" si="9"/>
        <v>155</v>
      </c>
      <c r="AW17" s="202">
        <f t="shared" si="9"/>
        <v>132</v>
      </c>
      <c r="AX17" s="203">
        <f t="shared" si="9"/>
        <v>126</v>
      </c>
      <c r="AY17" s="201">
        <f t="shared" si="9"/>
        <v>148</v>
      </c>
      <c r="AZ17" s="202">
        <f t="shared" si="9"/>
        <v>140</v>
      </c>
      <c r="BA17" s="203">
        <f t="shared" si="9"/>
        <v>103</v>
      </c>
      <c r="BB17" s="201">
        <f t="shared" si="9"/>
        <v>156</v>
      </c>
      <c r="BC17" s="202">
        <f t="shared" si="9"/>
        <v>151</v>
      </c>
      <c r="BD17" s="203">
        <f t="shared" si="9"/>
        <v>154</v>
      </c>
      <c r="BE17" s="201">
        <f t="shared" ref="BE17:BG17" si="10">SUM(BE14:BE16)</f>
        <v>128</v>
      </c>
      <c r="BF17" s="202">
        <f t="shared" si="10"/>
        <v>175</v>
      </c>
      <c r="BG17" s="203">
        <f t="shared" si="10"/>
        <v>162</v>
      </c>
      <c r="BH17" s="201">
        <f t="shared" ref="BH17:BJ17" si="11">SUM(BH14:BH16)</f>
        <v>159</v>
      </c>
      <c r="BI17" s="202">
        <f t="shared" si="11"/>
        <v>194</v>
      </c>
      <c r="BJ17" s="203">
        <f t="shared" si="11"/>
        <v>180</v>
      </c>
    </row>
    <row r="18" spans="1:65" ht="12.9" customHeight="1" x14ac:dyDescent="0.25">
      <c r="B18" s="1334" t="s">
        <v>308</v>
      </c>
      <c r="C18" s="329">
        <v>43</v>
      </c>
      <c r="D18" s="330">
        <v>41</v>
      </c>
      <c r="E18" s="330">
        <v>50</v>
      </c>
      <c r="F18" s="329">
        <v>42</v>
      </c>
      <c r="G18" s="330">
        <v>37</v>
      </c>
      <c r="H18" s="330">
        <v>63</v>
      </c>
      <c r="I18" s="329">
        <v>51</v>
      </c>
      <c r="J18" s="330">
        <v>46</v>
      </c>
      <c r="K18" s="330">
        <v>46</v>
      </c>
      <c r="L18" s="329">
        <v>33</v>
      </c>
      <c r="M18" s="330">
        <v>35</v>
      </c>
      <c r="N18" s="331">
        <v>58</v>
      </c>
      <c r="O18" s="330">
        <v>65</v>
      </c>
      <c r="P18" s="330">
        <v>49</v>
      </c>
      <c r="Q18" s="331">
        <v>81</v>
      </c>
      <c r="R18" s="329">
        <v>43</v>
      </c>
      <c r="S18" s="330">
        <v>38</v>
      </c>
      <c r="T18" s="331">
        <v>79</v>
      </c>
      <c r="U18" s="329">
        <f t="shared" ref="U18:BD21" si="12">U6+U10+U14</f>
        <v>40</v>
      </c>
      <c r="V18" s="330">
        <f t="shared" si="12"/>
        <v>37</v>
      </c>
      <c r="W18" s="331">
        <f t="shared" si="12"/>
        <v>73</v>
      </c>
      <c r="X18" s="329">
        <f t="shared" si="12"/>
        <v>31</v>
      </c>
      <c r="Y18" s="330">
        <f t="shared" si="12"/>
        <v>27</v>
      </c>
      <c r="Z18" s="331">
        <f t="shared" si="12"/>
        <v>114</v>
      </c>
      <c r="AA18" s="329">
        <f t="shared" si="12"/>
        <v>113</v>
      </c>
      <c r="AB18" s="330">
        <f t="shared" si="12"/>
        <v>98</v>
      </c>
      <c r="AC18" s="331">
        <f t="shared" si="12"/>
        <v>59</v>
      </c>
      <c r="AD18" s="329">
        <f t="shared" si="12"/>
        <v>58</v>
      </c>
      <c r="AE18" s="330">
        <f t="shared" si="12"/>
        <v>59</v>
      </c>
      <c r="AF18" s="331">
        <f t="shared" si="12"/>
        <v>98</v>
      </c>
      <c r="AG18" s="329">
        <f t="shared" si="12"/>
        <v>87</v>
      </c>
      <c r="AH18" s="330">
        <f t="shared" si="12"/>
        <v>87</v>
      </c>
      <c r="AI18" s="331">
        <f t="shared" si="12"/>
        <v>75</v>
      </c>
      <c r="AJ18" s="329">
        <f t="shared" si="12"/>
        <v>56</v>
      </c>
      <c r="AK18" s="330">
        <f t="shared" si="12"/>
        <v>50</v>
      </c>
      <c r="AL18" s="331">
        <f t="shared" si="12"/>
        <v>113</v>
      </c>
      <c r="AM18" s="329">
        <f t="shared" si="12"/>
        <v>87</v>
      </c>
      <c r="AN18" s="330">
        <f t="shared" si="12"/>
        <v>89</v>
      </c>
      <c r="AO18" s="331">
        <f t="shared" si="12"/>
        <v>32</v>
      </c>
      <c r="AP18" s="329">
        <f t="shared" si="12"/>
        <v>27</v>
      </c>
      <c r="AQ18" s="330">
        <f t="shared" si="12"/>
        <v>28</v>
      </c>
      <c r="AR18" s="331">
        <f t="shared" si="12"/>
        <v>30</v>
      </c>
      <c r="AS18" s="329">
        <f t="shared" si="12"/>
        <v>29</v>
      </c>
      <c r="AT18" s="330">
        <f t="shared" si="12"/>
        <v>29</v>
      </c>
      <c r="AU18" s="331">
        <f t="shared" si="12"/>
        <v>40</v>
      </c>
      <c r="AV18" s="329">
        <f t="shared" si="12"/>
        <v>32</v>
      </c>
      <c r="AW18" s="330">
        <f t="shared" si="12"/>
        <v>32</v>
      </c>
      <c r="AX18" s="331">
        <f t="shared" si="12"/>
        <v>30</v>
      </c>
      <c r="AY18" s="329">
        <f t="shared" si="12"/>
        <v>28</v>
      </c>
      <c r="AZ18" s="330">
        <f t="shared" si="12"/>
        <v>42</v>
      </c>
      <c r="BA18" s="331">
        <f t="shared" si="12"/>
        <v>29</v>
      </c>
      <c r="BB18" s="329">
        <f t="shared" si="12"/>
        <v>41</v>
      </c>
      <c r="BC18" s="330">
        <f t="shared" si="12"/>
        <v>35</v>
      </c>
      <c r="BD18" s="331">
        <f t="shared" si="12"/>
        <v>32</v>
      </c>
      <c r="BE18" s="329">
        <f t="shared" ref="BE18:BG18" si="13">BE6+BE10+BE14</f>
        <v>12</v>
      </c>
      <c r="BF18" s="330">
        <f t="shared" si="13"/>
        <v>37</v>
      </c>
      <c r="BG18" s="331">
        <f t="shared" si="13"/>
        <v>40</v>
      </c>
      <c r="BH18" s="329">
        <f t="shared" ref="BH18:BJ18" si="14">BH6+BH10+BH14</f>
        <v>38</v>
      </c>
      <c r="BI18" s="330">
        <f t="shared" si="14"/>
        <v>59</v>
      </c>
      <c r="BJ18" s="331">
        <f t="shared" si="14"/>
        <v>59</v>
      </c>
    </row>
    <row r="19" spans="1:65" ht="12.9" customHeight="1" x14ac:dyDescent="0.25">
      <c r="B19" s="1336" t="s">
        <v>310</v>
      </c>
      <c r="C19" s="82">
        <v>179</v>
      </c>
      <c r="D19" s="83">
        <v>158</v>
      </c>
      <c r="E19" s="83">
        <v>141</v>
      </c>
      <c r="F19" s="82">
        <v>158</v>
      </c>
      <c r="G19" s="83">
        <v>131</v>
      </c>
      <c r="H19" s="83">
        <v>172</v>
      </c>
      <c r="I19" s="82">
        <v>159</v>
      </c>
      <c r="J19" s="83">
        <v>153</v>
      </c>
      <c r="K19" s="83">
        <v>186</v>
      </c>
      <c r="L19" s="82">
        <v>201</v>
      </c>
      <c r="M19" s="83">
        <v>177</v>
      </c>
      <c r="N19" s="332">
        <v>180</v>
      </c>
      <c r="O19" s="83">
        <v>174</v>
      </c>
      <c r="P19" s="83">
        <v>171</v>
      </c>
      <c r="Q19" s="332">
        <v>175</v>
      </c>
      <c r="R19" s="82">
        <v>173</v>
      </c>
      <c r="S19" s="83">
        <v>162</v>
      </c>
      <c r="T19" s="332">
        <v>179</v>
      </c>
      <c r="U19" s="82">
        <f t="shared" si="12"/>
        <v>194</v>
      </c>
      <c r="V19" s="83">
        <f t="shared" si="12"/>
        <v>183</v>
      </c>
      <c r="W19" s="332">
        <f t="shared" si="12"/>
        <v>267</v>
      </c>
      <c r="X19" s="82">
        <f t="shared" si="12"/>
        <v>257</v>
      </c>
      <c r="Y19" s="83">
        <f t="shared" si="12"/>
        <v>234</v>
      </c>
      <c r="Z19" s="332">
        <f t="shared" si="12"/>
        <v>254</v>
      </c>
      <c r="AA19" s="82">
        <f t="shared" si="12"/>
        <v>232</v>
      </c>
      <c r="AB19" s="83">
        <f t="shared" si="12"/>
        <v>195</v>
      </c>
      <c r="AC19" s="332">
        <f t="shared" si="12"/>
        <v>254</v>
      </c>
      <c r="AD19" s="82">
        <f t="shared" si="12"/>
        <v>236</v>
      </c>
      <c r="AE19" s="83">
        <f t="shared" si="12"/>
        <v>228</v>
      </c>
      <c r="AF19" s="332">
        <f t="shared" si="12"/>
        <v>236</v>
      </c>
      <c r="AG19" s="82">
        <f t="shared" si="12"/>
        <v>228</v>
      </c>
      <c r="AH19" s="83">
        <f t="shared" si="12"/>
        <v>224</v>
      </c>
      <c r="AI19" s="332">
        <f t="shared" si="12"/>
        <v>283</v>
      </c>
      <c r="AJ19" s="82">
        <f t="shared" si="12"/>
        <v>304</v>
      </c>
      <c r="AK19" s="83">
        <f t="shared" si="12"/>
        <v>291</v>
      </c>
      <c r="AL19" s="332">
        <f t="shared" si="12"/>
        <v>343</v>
      </c>
      <c r="AM19" s="82">
        <f t="shared" si="12"/>
        <v>311</v>
      </c>
      <c r="AN19" s="83">
        <f t="shared" si="12"/>
        <v>276</v>
      </c>
      <c r="AO19" s="332">
        <f t="shared" si="12"/>
        <v>353</v>
      </c>
      <c r="AP19" s="82">
        <f t="shared" si="12"/>
        <v>367</v>
      </c>
      <c r="AQ19" s="83">
        <f t="shared" si="12"/>
        <v>317</v>
      </c>
      <c r="AR19" s="332">
        <f t="shared" si="12"/>
        <v>361</v>
      </c>
      <c r="AS19" s="82">
        <f t="shared" si="12"/>
        <v>351</v>
      </c>
      <c r="AT19" s="83">
        <f t="shared" si="12"/>
        <v>336</v>
      </c>
      <c r="AU19" s="332">
        <f t="shared" si="12"/>
        <v>423</v>
      </c>
      <c r="AV19" s="82">
        <f t="shared" si="12"/>
        <v>403</v>
      </c>
      <c r="AW19" s="83">
        <f t="shared" si="12"/>
        <v>369</v>
      </c>
      <c r="AX19" s="332">
        <f t="shared" si="12"/>
        <v>386</v>
      </c>
      <c r="AY19" s="82">
        <f t="shared" si="12"/>
        <v>413</v>
      </c>
      <c r="AZ19" s="83">
        <f t="shared" si="12"/>
        <v>381</v>
      </c>
      <c r="BA19" s="332">
        <f t="shared" si="12"/>
        <v>370</v>
      </c>
      <c r="BB19" s="82">
        <f t="shared" si="12"/>
        <v>400</v>
      </c>
      <c r="BC19" s="83">
        <f t="shared" si="12"/>
        <v>372</v>
      </c>
      <c r="BD19" s="332">
        <f t="shared" si="12"/>
        <v>350</v>
      </c>
      <c r="BE19" s="82">
        <f t="shared" ref="BE19:BG19" si="15">BE7+BE11+BE15</f>
        <v>373</v>
      </c>
      <c r="BF19" s="83">
        <f t="shared" si="15"/>
        <v>391</v>
      </c>
      <c r="BG19" s="332">
        <f t="shared" si="15"/>
        <v>357</v>
      </c>
      <c r="BH19" s="82">
        <f t="shared" ref="BH19:BJ19" si="16">BH7+BH11+BH15</f>
        <v>345</v>
      </c>
      <c r="BI19" s="83">
        <f t="shared" si="16"/>
        <v>361</v>
      </c>
      <c r="BJ19" s="332">
        <f t="shared" si="16"/>
        <v>343</v>
      </c>
    </row>
    <row r="20" spans="1:65" ht="12.9" customHeight="1" x14ac:dyDescent="0.25">
      <c r="B20" s="1339" t="s">
        <v>317</v>
      </c>
      <c r="C20" s="333">
        <v>46</v>
      </c>
      <c r="D20" s="334">
        <v>36</v>
      </c>
      <c r="E20" s="334">
        <v>35</v>
      </c>
      <c r="F20" s="333">
        <v>32</v>
      </c>
      <c r="G20" s="334">
        <v>34</v>
      </c>
      <c r="H20" s="334">
        <v>34</v>
      </c>
      <c r="I20" s="333">
        <v>30</v>
      </c>
      <c r="J20" s="334">
        <v>28</v>
      </c>
      <c r="K20" s="334">
        <v>49</v>
      </c>
      <c r="L20" s="333">
        <v>40</v>
      </c>
      <c r="M20" s="334">
        <v>39</v>
      </c>
      <c r="N20" s="335">
        <v>50</v>
      </c>
      <c r="O20" s="334">
        <v>53</v>
      </c>
      <c r="P20" s="334">
        <v>50</v>
      </c>
      <c r="Q20" s="335">
        <v>109</v>
      </c>
      <c r="R20" s="333">
        <v>81</v>
      </c>
      <c r="S20" s="334">
        <v>81</v>
      </c>
      <c r="T20" s="335">
        <v>107</v>
      </c>
      <c r="U20" s="333">
        <f t="shared" si="12"/>
        <v>83</v>
      </c>
      <c r="V20" s="334">
        <f t="shared" si="12"/>
        <v>83</v>
      </c>
      <c r="W20" s="335">
        <f t="shared" si="12"/>
        <v>129</v>
      </c>
      <c r="X20" s="333">
        <f t="shared" si="12"/>
        <v>99</v>
      </c>
      <c r="Y20" s="334">
        <f t="shared" si="12"/>
        <v>117</v>
      </c>
      <c r="Z20" s="335">
        <f t="shared" si="12"/>
        <v>151</v>
      </c>
      <c r="AA20" s="333">
        <f t="shared" si="12"/>
        <v>112</v>
      </c>
      <c r="AB20" s="334">
        <f t="shared" si="12"/>
        <v>106</v>
      </c>
      <c r="AC20" s="335">
        <f t="shared" si="12"/>
        <v>103</v>
      </c>
      <c r="AD20" s="333">
        <f t="shared" si="12"/>
        <v>97</v>
      </c>
      <c r="AE20" s="334">
        <f t="shared" si="12"/>
        <v>91</v>
      </c>
      <c r="AF20" s="335">
        <f t="shared" si="12"/>
        <v>116</v>
      </c>
      <c r="AG20" s="333">
        <f t="shared" si="12"/>
        <v>111</v>
      </c>
      <c r="AH20" s="334">
        <f t="shared" si="12"/>
        <v>107</v>
      </c>
      <c r="AI20" s="335">
        <f t="shared" si="12"/>
        <v>111</v>
      </c>
      <c r="AJ20" s="333">
        <f t="shared" si="12"/>
        <v>97</v>
      </c>
      <c r="AK20" s="334">
        <f t="shared" si="12"/>
        <v>92</v>
      </c>
      <c r="AL20" s="335">
        <f t="shared" si="12"/>
        <v>141</v>
      </c>
      <c r="AM20" s="333">
        <f t="shared" si="12"/>
        <v>147</v>
      </c>
      <c r="AN20" s="334">
        <f t="shared" si="12"/>
        <v>138</v>
      </c>
      <c r="AO20" s="335">
        <f t="shared" si="12"/>
        <v>124</v>
      </c>
      <c r="AP20" s="333">
        <f t="shared" si="12"/>
        <v>136</v>
      </c>
      <c r="AQ20" s="334">
        <f t="shared" si="12"/>
        <v>134</v>
      </c>
      <c r="AR20" s="335">
        <f t="shared" si="12"/>
        <v>157</v>
      </c>
      <c r="AS20" s="333">
        <f t="shared" si="12"/>
        <v>165</v>
      </c>
      <c r="AT20" s="334">
        <f t="shared" si="12"/>
        <v>166</v>
      </c>
      <c r="AU20" s="335">
        <f t="shared" si="12"/>
        <v>174</v>
      </c>
      <c r="AV20" s="333">
        <f t="shared" si="12"/>
        <v>167</v>
      </c>
      <c r="AW20" s="334">
        <f t="shared" si="12"/>
        <v>156</v>
      </c>
      <c r="AX20" s="335">
        <f t="shared" si="12"/>
        <v>183</v>
      </c>
      <c r="AY20" s="333">
        <f t="shared" si="12"/>
        <v>194</v>
      </c>
      <c r="AZ20" s="334">
        <f t="shared" si="12"/>
        <v>194</v>
      </c>
      <c r="BA20" s="335">
        <f t="shared" si="12"/>
        <v>186</v>
      </c>
      <c r="BB20" s="333">
        <f t="shared" si="12"/>
        <v>206</v>
      </c>
      <c r="BC20" s="334">
        <f t="shared" si="12"/>
        <v>198</v>
      </c>
      <c r="BD20" s="335">
        <f t="shared" si="12"/>
        <v>190</v>
      </c>
      <c r="BE20" s="333">
        <f t="shared" ref="BE20:BG20" si="17">BE8+BE12+BE16</f>
        <v>203</v>
      </c>
      <c r="BF20" s="334">
        <f t="shared" si="17"/>
        <v>214</v>
      </c>
      <c r="BG20" s="335">
        <f t="shared" si="17"/>
        <v>213</v>
      </c>
      <c r="BH20" s="333">
        <f t="shared" ref="BH20:BJ20" si="18">BH8+BH12+BH16</f>
        <v>210</v>
      </c>
      <c r="BI20" s="334">
        <f t="shared" si="18"/>
        <v>207</v>
      </c>
      <c r="BJ20" s="335">
        <f t="shared" si="18"/>
        <v>214</v>
      </c>
    </row>
    <row r="21" spans="1:65" s="161" customFormat="1" ht="12.9" customHeight="1" x14ac:dyDescent="0.25">
      <c r="A21" s="25"/>
      <c r="B21" s="1346" t="s">
        <v>347</v>
      </c>
      <c r="C21" s="1350">
        <f>SUM(C18:C20)</f>
        <v>268</v>
      </c>
      <c r="D21" s="1351">
        <f>SUM(D18:D20)</f>
        <v>235</v>
      </c>
      <c r="E21" s="1351">
        <f>SUM(E18:E20)</f>
        <v>226</v>
      </c>
      <c r="F21" s="1350">
        <f t="shared" ref="F21:Q21" si="19">SUM(F18:F20)</f>
        <v>232</v>
      </c>
      <c r="G21" s="1351">
        <f t="shared" si="19"/>
        <v>202</v>
      </c>
      <c r="H21" s="1351">
        <f t="shared" si="19"/>
        <v>269</v>
      </c>
      <c r="I21" s="1350">
        <f t="shared" si="19"/>
        <v>240</v>
      </c>
      <c r="J21" s="1351">
        <f t="shared" si="19"/>
        <v>227</v>
      </c>
      <c r="K21" s="1351">
        <f t="shared" si="19"/>
        <v>281</v>
      </c>
      <c r="L21" s="1350">
        <f t="shared" si="19"/>
        <v>274</v>
      </c>
      <c r="M21" s="1351">
        <f t="shared" si="19"/>
        <v>251</v>
      </c>
      <c r="N21" s="1352">
        <f t="shared" si="19"/>
        <v>288</v>
      </c>
      <c r="O21" s="1351">
        <f t="shared" si="19"/>
        <v>292</v>
      </c>
      <c r="P21" s="1351">
        <f t="shared" si="19"/>
        <v>270</v>
      </c>
      <c r="Q21" s="1352">
        <f t="shared" si="19"/>
        <v>365</v>
      </c>
      <c r="R21" s="1350">
        <v>297</v>
      </c>
      <c r="S21" s="1351">
        <v>281</v>
      </c>
      <c r="T21" s="1352">
        <v>365</v>
      </c>
      <c r="U21" s="1350">
        <f t="shared" si="12"/>
        <v>317</v>
      </c>
      <c r="V21" s="1351">
        <f t="shared" si="12"/>
        <v>303</v>
      </c>
      <c r="W21" s="1352">
        <f t="shared" si="12"/>
        <v>469</v>
      </c>
      <c r="X21" s="1350">
        <f t="shared" si="12"/>
        <v>387</v>
      </c>
      <c r="Y21" s="1351">
        <f t="shared" si="12"/>
        <v>378</v>
      </c>
      <c r="Z21" s="1352">
        <f t="shared" si="12"/>
        <v>519</v>
      </c>
      <c r="AA21" s="1350">
        <f t="shared" si="12"/>
        <v>457</v>
      </c>
      <c r="AB21" s="1351">
        <f t="shared" si="12"/>
        <v>399</v>
      </c>
      <c r="AC21" s="1352">
        <f t="shared" si="12"/>
        <v>416</v>
      </c>
      <c r="AD21" s="1350">
        <f t="shared" si="12"/>
        <v>391</v>
      </c>
      <c r="AE21" s="1351">
        <f t="shared" si="12"/>
        <v>378</v>
      </c>
      <c r="AF21" s="1352">
        <f t="shared" si="12"/>
        <v>450</v>
      </c>
      <c r="AG21" s="1350">
        <f t="shared" si="12"/>
        <v>426</v>
      </c>
      <c r="AH21" s="1351">
        <f t="shared" si="12"/>
        <v>418</v>
      </c>
      <c r="AI21" s="1352">
        <f t="shared" si="12"/>
        <v>469</v>
      </c>
      <c r="AJ21" s="1350">
        <f t="shared" si="12"/>
        <v>457</v>
      </c>
      <c r="AK21" s="1351">
        <f t="shared" si="12"/>
        <v>433</v>
      </c>
      <c r="AL21" s="1352">
        <f t="shared" si="12"/>
        <v>597</v>
      </c>
      <c r="AM21" s="1350">
        <f t="shared" si="12"/>
        <v>545</v>
      </c>
      <c r="AN21" s="1351">
        <f t="shared" si="12"/>
        <v>503</v>
      </c>
      <c r="AO21" s="1352">
        <f t="shared" si="12"/>
        <v>509</v>
      </c>
      <c r="AP21" s="1350">
        <f t="shared" si="12"/>
        <v>530</v>
      </c>
      <c r="AQ21" s="1351">
        <f t="shared" si="12"/>
        <v>479</v>
      </c>
      <c r="AR21" s="1352">
        <f t="shared" si="12"/>
        <v>548</v>
      </c>
      <c r="AS21" s="1350">
        <f t="shared" si="12"/>
        <v>545</v>
      </c>
      <c r="AT21" s="1351">
        <f t="shared" si="12"/>
        <v>531</v>
      </c>
      <c r="AU21" s="1352">
        <f t="shared" si="12"/>
        <v>637</v>
      </c>
      <c r="AV21" s="1350">
        <f t="shared" si="12"/>
        <v>602</v>
      </c>
      <c r="AW21" s="1351">
        <f t="shared" si="12"/>
        <v>557</v>
      </c>
      <c r="AX21" s="1352">
        <f t="shared" si="12"/>
        <v>599</v>
      </c>
      <c r="AY21" s="1350">
        <f t="shared" si="12"/>
        <v>635</v>
      </c>
      <c r="AZ21" s="1351">
        <f t="shared" si="12"/>
        <v>617</v>
      </c>
      <c r="BA21" s="1352">
        <f t="shared" si="12"/>
        <v>585</v>
      </c>
      <c r="BB21" s="1350">
        <f t="shared" si="12"/>
        <v>647</v>
      </c>
      <c r="BC21" s="1351">
        <f t="shared" si="12"/>
        <v>605</v>
      </c>
      <c r="BD21" s="1352">
        <f t="shared" si="12"/>
        <v>572</v>
      </c>
      <c r="BE21" s="1350">
        <f t="shared" ref="BE21:BG21" si="20">BE9+BE13+BE17</f>
        <v>588</v>
      </c>
      <c r="BF21" s="1351">
        <f t="shared" si="20"/>
        <v>642</v>
      </c>
      <c r="BG21" s="1352">
        <f t="shared" si="20"/>
        <v>610</v>
      </c>
      <c r="BH21" s="1350">
        <f t="shared" ref="BH21:BJ21" si="21">BH9+BH13+BH17</f>
        <v>593</v>
      </c>
      <c r="BI21" s="1351">
        <f t="shared" si="21"/>
        <v>627</v>
      </c>
      <c r="BJ21" s="1352">
        <f t="shared" si="21"/>
        <v>616</v>
      </c>
    </row>
    <row r="22" spans="1:65" s="161" customFormat="1" ht="12.9" customHeight="1" x14ac:dyDescent="0.25">
      <c r="A22" s="25"/>
      <c r="B22" s="1353"/>
      <c r="C22" s="1354"/>
      <c r="D22" s="1354"/>
      <c r="E22" s="1354"/>
      <c r="F22" s="1354"/>
      <c r="G22" s="1354"/>
      <c r="H22" s="1354"/>
      <c r="I22" s="1354"/>
      <c r="J22" s="1354"/>
      <c r="K22" s="1354"/>
      <c r="L22" s="1354"/>
      <c r="M22" s="1354"/>
      <c r="N22" s="1354"/>
      <c r="O22" s="1354"/>
      <c r="P22" s="1354"/>
      <c r="Q22" s="1354"/>
      <c r="R22" s="1354"/>
      <c r="S22" s="1354"/>
      <c r="T22" s="1354"/>
      <c r="U22" s="1354"/>
      <c r="V22" s="1354"/>
      <c r="W22" s="1354"/>
      <c r="X22" s="1354"/>
      <c r="Y22" s="1354"/>
      <c r="Z22" s="1354"/>
      <c r="AA22" s="1354"/>
      <c r="AB22" s="1354"/>
      <c r="AC22" s="1354"/>
      <c r="AD22" s="1354"/>
      <c r="AE22" s="1354"/>
      <c r="AF22" s="1354"/>
      <c r="AG22" s="1354"/>
      <c r="AH22" s="1354"/>
      <c r="AI22" s="1354"/>
      <c r="AJ22" s="1354"/>
      <c r="AK22" s="1354"/>
      <c r="AL22" s="1354"/>
      <c r="AM22" s="1354"/>
      <c r="AN22" s="1354"/>
      <c r="AO22" s="1354"/>
      <c r="AP22" s="1354"/>
      <c r="AQ22" s="1354"/>
      <c r="AR22" s="1354"/>
      <c r="AS22" s="1354"/>
      <c r="AT22" s="1354"/>
      <c r="AU22" s="1354"/>
      <c r="AV22" s="1354"/>
      <c r="AW22" s="1354"/>
      <c r="AX22" s="1354"/>
      <c r="AY22" s="1354"/>
      <c r="AZ22" s="1354"/>
      <c r="BA22" s="1354"/>
      <c r="BB22" s="1354"/>
      <c r="BC22" s="1354"/>
      <c r="BD22" s="1354"/>
      <c r="BE22" s="1354"/>
      <c r="BF22" s="1354"/>
      <c r="BG22" s="1354"/>
      <c r="BH22" s="1354"/>
      <c r="BI22" s="1354"/>
      <c r="BJ22" s="1354"/>
      <c r="BL22" s="4647"/>
      <c r="BM22" s="4647"/>
    </row>
    <row r="23" spans="1:65" s="161" customFormat="1" ht="12.9" customHeight="1" x14ac:dyDescent="0.25">
      <c r="A23" s="25"/>
      <c r="B23" s="1334" t="s">
        <v>308</v>
      </c>
      <c r="C23" s="329"/>
      <c r="D23" s="330"/>
      <c r="E23" s="330"/>
      <c r="F23" s="329"/>
      <c r="G23" s="330"/>
      <c r="H23" s="330"/>
      <c r="I23" s="329"/>
      <c r="J23" s="330"/>
      <c r="K23" s="330"/>
      <c r="L23" s="329"/>
      <c r="M23" s="330"/>
      <c r="N23" s="331"/>
      <c r="O23" s="330"/>
      <c r="P23" s="330"/>
      <c r="Q23" s="331"/>
      <c r="R23" s="329"/>
      <c r="S23" s="330"/>
      <c r="T23" s="331"/>
      <c r="U23" s="329"/>
      <c r="V23" s="330"/>
      <c r="W23" s="331"/>
      <c r="X23" s="329"/>
      <c r="Y23" s="330"/>
      <c r="Z23" s="331"/>
      <c r="AA23" s="329"/>
      <c r="AB23" s="330"/>
      <c r="AC23" s="331"/>
      <c r="AD23" s="329"/>
      <c r="AE23" s="330"/>
      <c r="AF23" s="331"/>
      <c r="AG23" s="329"/>
      <c r="AH23" s="330"/>
      <c r="AI23" s="331"/>
      <c r="AJ23" s="329"/>
      <c r="AK23" s="330"/>
      <c r="AL23" s="331"/>
      <c r="AM23" s="329"/>
      <c r="AN23" s="330"/>
      <c r="AO23" s="331"/>
      <c r="AP23" s="329"/>
      <c r="AQ23" s="330"/>
      <c r="AR23" s="331"/>
      <c r="AS23" s="329"/>
      <c r="AT23" s="330"/>
      <c r="AU23" s="331"/>
      <c r="AV23" s="329"/>
      <c r="AW23" s="330"/>
      <c r="AX23" s="331"/>
      <c r="AY23" s="329"/>
      <c r="AZ23" s="330"/>
      <c r="BA23" s="331"/>
      <c r="BB23" s="329"/>
      <c r="BC23" s="330"/>
      <c r="BD23" s="331"/>
      <c r="BE23" s="329"/>
      <c r="BF23" s="330"/>
      <c r="BG23" s="331"/>
      <c r="BH23" s="329"/>
      <c r="BI23" s="330"/>
      <c r="BJ23" s="331"/>
    </row>
    <row r="24" spans="1:65" s="161" customFormat="1" ht="12.9" customHeight="1" x14ac:dyDescent="0.25">
      <c r="A24" s="25"/>
      <c r="B24" s="1336" t="s">
        <v>310</v>
      </c>
      <c r="C24" s="82"/>
      <c r="D24" s="83"/>
      <c r="E24" s="83"/>
      <c r="F24" s="82"/>
      <c r="G24" s="83"/>
      <c r="H24" s="83"/>
      <c r="I24" s="82"/>
      <c r="J24" s="83"/>
      <c r="K24" s="83"/>
      <c r="L24" s="82"/>
      <c r="M24" s="83"/>
      <c r="N24" s="332"/>
      <c r="O24" s="83"/>
      <c r="P24" s="83"/>
      <c r="Q24" s="332"/>
      <c r="R24" s="82"/>
      <c r="S24" s="83"/>
      <c r="T24" s="332"/>
      <c r="U24" s="82"/>
      <c r="V24" s="83"/>
      <c r="W24" s="332"/>
      <c r="X24" s="82"/>
      <c r="Y24" s="83"/>
      <c r="Z24" s="332"/>
      <c r="AA24" s="82">
        <v>20</v>
      </c>
      <c r="AB24" s="83">
        <v>19</v>
      </c>
      <c r="AC24" s="332">
        <v>18</v>
      </c>
      <c r="AD24" s="82">
        <f>SUM('MATRICULA-POS plan'!AE55)</f>
        <v>31</v>
      </c>
      <c r="AE24" s="83">
        <f>SUM('MATRICULA-POS plan'!AF55)</f>
        <v>28</v>
      </c>
      <c r="AF24" s="332">
        <f>SUM('MATRICULA-POS plan'!AG55)</f>
        <v>28</v>
      </c>
      <c r="AG24" s="82">
        <f>SUM('MATRICULA-POS plan'!AH55)</f>
        <v>39</v>
      </c>
      <c r="AH24" s="83">
        <f>SUM('MATRICULA-POS plan'!AI55)</f>
        <v>37</v>
      </c>
      <c r="AI24" s="332">
        <f>SUM('MATRICULA-POS plan'!AJ55)</f>
        <v>31</v>
      </c>
      <c r="AJ24" s="82">
        <f>SUM('MATRICULA-POS plan'!AK55)</f>
        <v>23</v>
      </c>
      <c r="AK24" s="83">
        <f>SUM('MATRICULA-POS plan'!AL55)</f>
        <v>21</v>
      </c>
      <c r="AL24" s="332">
        <f>SUM('MATRICULA-POS plan'!AM55)</f>
        <v>33</v>
      </c>
      <c r="AM24" s="82">
        <f>SUM('MATRICULA-POS plan'!AN55)</f>
        <v>15</v>
      </c>
      <c r="AN24" s="83">
        <f>SUM('MATRICULA-POS plan'!AO55)</f>
        <v>14</v>
      </c>
      <c r="AO24" s="332">
        <f>SUM('MATRICULA-POS plan'!AP55)</f>
        <v>33</v>
      </c>
      <c r="AP24" s="82">
        <f>SUM('MATRICULA-POS plan'!AQ55)</f>
        <v>32</v>
      </c>
      <c r="AQ24" s="83">
        <f>SUM('MATRICULA-POS plan'!AR55)</f>
        <v>32</v>
      </c>
      <c r="AR24" s="332">
        <f>SUM('MATRICULA-POS plan'!AS55)</f>
        <v>31</v>
      </c>
      <c r="AS24" s="82">
        <f>SUM('MATRICULA-POS plan'!AT55)</f>
        <v>29</v>
      </c>
      <c r="AT24" s="83">
        <f>SUM('MATRICULA-POS plan'!AU55)</f>
        <v>27</v>
      </c>
      <c r="AU24" s="332">
        <f>SUM('MATRICULA-POS plan'!AV55)</f>
        <v>26</v>
      </c>
      <c r="AV24" s="82">
        <f>SUM('MATRICULA-POS plan'!AW55)</f>
        <v>22</v>
      </c>
      <c r="AW24" s="83">
        <f>SUM('MATRICULA-POS plan'!AX55)</f>
        <v>22</v>
      </c>
      <c r="AX24" s="332">
        <f>SUM('MATRICULA-POS plan'!AY55)</f>
        <v>25</v>
      </c>
      <c r="AY24" s="82">
        <f>SUM('MATRICULA-POS plan'!AZ55)</f>
        <v>27</v>
      </c>
      <c r="AZ24" s="83">
        <f>SUM('MATRICULA-POS plan'!BA55)</f>
        <v>24</v>
      </c>
      <c r="BA24" s="332">
        <f>SUM('MATRICULA-POS plan'!BB55)</f>
        <v>29</v>
      </c>
      <c r="BB24" s="82">
        <f>SUM('MATRICULA-POS plan'!BC55)</f>
        <v>28</v>
      </c>
      <c r="BC24" s="83">
        <f>SUM('MATRICULA-POS plan'!BD55)</f>
        <v>27</v>
      </c>
      <c r="BD24" s="332">
        <f>SUM('MATRICULA-POS plan'!BE55)</f>
        <v>24</v>
      </c>
      <c r="BE24" s="82">
        <f>SUM('MATRICULA-POS plan'!BF55)</f>
        <v>34</v>
      </c>
      <c r="BF24" s="83">
        <f>SUM('MATRICULA-POS plan'!BG55)</f>
        <v>30</v>
      </c>
      <c r="BG24" s="332">
        <f>SUM('MATRICULA-POS plan'!BH55)</f>
        <v>39</v>
      </c>
      <c r="BH24" s="82">
        <f>SUM('MATRICULA-POS plan'!BI55)</f>
        <v>36</v>
      </c>
      <c r="BI24" s="83">
        <f>SUM('MATRICULA-POS plan'!BJ55)</f>
        <v>32</v>
      </c>
      <c r="BJ24" s="332">
        <f>SUM('MATRICULA-POS plan'!BK55)</f>
        <v>46</v>
      </c>
    </row>
    <row r="25" spans="1:65" s="161" customFormat="1" ht="12.9" customHeight="1" x14ac:dyDescent="0.25">
      <c r="A25" s="25"/>
      <c r="B25" s="1339" t="s">
        <v>317</v>
      </c>
      <c r="C25" s="333"/>
      <c r="D25" s="334"/>
      <c r="E25" s="334"/>
      <c r="F25" s="333"/>
      <c r="G25" s="334"/>
      <c r="H25" s="334"/>
      <c r="I25" s="333"/>
      <c r="J25" s="334"/>
      <c r="K25" s="334"/>
      <c r="L25" s="333"/>
      <c r="M25" s="334"/>
      <c r="N25" s="335"/>
      <c r="O25" s="334"/>
      <c r="P25" s="334"/>
      <c r="Q25" s="335"/>
      <c r="R25" s="333"/>
      <c r="S25" s="334"/>
      <c r="T25" s="335"/>
      <c r="U25" s="333"/>
      <c r="V25" s="334"/>
      <c r="W25" s="335"/>
      <c r="X25" s="333"/>
      <c r="Y25" s="334"/>
      <c r="Z25" s="335"/>
      <c r="AA25" s="333">
        <v>12</v>
      </c>
      <c r="AB25" s="334">
        <v>12</v>
      </c>
      <c r="AC25" s="335">
        <v>12</v>
      </c>
      <c r="AD25" s="333">
        <f>SUM('MATRICULA-POS plan'!AE56)</f>
        <v>22</v>
      </c>
      <c r="AE25" s="334">
        <f>SUM('MATRICULA-POS plan'!AF56)</f>
        <v>21</v>
      </c>
      <c r="AF25" s="335">
        <f>SUM('MATRICULA-POS plan'!AG56)</f>
        <v>21</v>
      </c>
      <c r="AG25" s="333">
        <f>SUM('MATRICULA-POS plan'!AH56)</f>
        <v>19</v>
      </c>
      <c r="AH25" s="334">
        <f>SUM('MATRICULA-POS plan'!AI56)</f>
        <v>18</v>
      </c>
      <c r="AI25" s="335">
        <f>SUM('MATRICULA-POS plan'!AJ56)</f>
        <v>35</v>
      </c>
      <c r="AJ25" s="333">
        <f>SUM('MATRICULA-POS plan'!AK56)</f>
        <v>24</v>
      </c>
      <c r="AK25" s="334">
        <f>SUM('MATRICULA-POS plan'!AL56)</f>
        <v>25</v>
      </c>
      <c r="AL25" s="335">
        <f>SUM('MATRICULA-POS plan'!AM56)</f>
        <v>41</v>
      </c>
      <c r="AM25" s="333">
        <f>SUM('MATRICULA-POS plan'!AN56)</f>
        <v>36</v>
      </c>
      <c r="AN25" s="334">
        <f>SUM('MATRICULA-POS plan'!AO56)</f>
        <v>36</v>
      </c>
      <c r="AO25" s="335">
        <f>SUM('MATRICULA-POS plan'!AP56)</f>
        <v>54</v>
      </c>
      <c r="AP25" s="333">
        <f>SUM('MATRICULA-POS plan'!AQ56)</f>
        <v>52</v>
      </c>
      <c r="AQ25" s="334">
        <f>SUM('MATRICULA-POS plan'!AR56)</f>
        <v>51</v>
      </c>
      <c r="AR25" s="335">
        <f>SUM('MATRICULA-POS plan'!AS56)</f>
        <v>48</v>
      </c>
      <c r="AS25" s="333">
        <f>SUM('MATRICULA-POS plan'!AT56)</f>
        <v>46</v>
      </c>
      <c r="AT25" s="334">
        <f>SUM('MATRICULA-POS plan'!AU56)</f>
        <v>46</v>
      </c>
      <c r="AU25" s="335">
        <f>SUM('MATRICULA-POS plan'!AV56)</f>
        <v>48</v>
      </c>
      <c r="AV25" s="333">
        <f>SUM('MATRICULA-POS plan'!AW56)</f>
        <v>42</v>
      </c>
      <c r="AW25" s="334">
        <f>SUM('MATRICULA-POS plan'!AX56)</f>
        <v>40</v>
      </c>
      <c r="AX25" s="335">
        <f>SUM('MATRICULA-POS plan'!AY56)</f>
        <v>55</v>
      </c>
      <c r="AY25" s="333">
        <f>SUM('MATRICULA-POS plan'!AZ56)</f>
        <v>56</v>
      </c>
      <c r="AZ25" s="334">
        <f>SUM('MATRICULA-POS plan'!BA56)</f>
        <v>49</v>
      </c>
      <c r="BA25" s="335">
        <f>SUM('MATRICULA-POS plan'!BB56)</f>
        <v>54</v>
      </c>
      <c r="BB25" s="333">
        <f>SUM('MATRICULA-POS plan'!BC56)</f>
        <v>58</v>
      </c>
      <c r="BC25" s="334">
        <f>SUM('MATRICULA-POS plan'!BD56)</f>
        <v>58</v>
      </c>
      <c r="BD25" s="335">
        <f>SUM('MATRICULA-POS plan'!BE56)</f>
        <v>50</v>
      </c>
      <c r="BE25" s="333">
        <f>SUM('MATRICULA-POS plan'!BF56)</f>
        <v>68</v>
      </c>
      <c r="BF25" s="334">
        <f>SUM('MATRICULA-POS plan'!BG56)</f>
        <v>62</v>
      </c>
      <c r="BG25" s="335">
        <f>SUM('MATRICULA-POS plan'!BH56)</f>
        <v>73</v>
      </c>
      <c r="BH25" s="333">
        <f>SUM('MATRICULA-POS plan'!BI56)</f>
        <v>75</v>
      </c>
      <c r="BI25" s="334">
        <f>SUM('MATRICULA-POS plan'!BJ56)</f>
        <v>63</v>
      </c>
      <c r="BJ25" s="335">
        <f>SUM('MATRICULA-POS plan'!BK56)</f>
        <v>62</v>
      </c>
    </row>
    <row r="26" spans="1:65" s="161" customFormat="1" ht="12.9" customHeight="1" x14ac:dyDescent="0.25">
      <c r="A26" s="25"/>
      <c r="B26" s="1342" t="s">
        <v>426</v>
      </c>
      <c r="C26" s="201"/>
      <c r="D26" s="202"/>
      <c r="E26" s="202"/>
      <c r="F26" s="201"/>
      <c r="G26" s="202"/>
      <c r="H26" s="202"/>
      <c r="I26" s="201"/>
      <c r="J26" s="202"/>
      <c r="K26" s="202"/>
      <c r="L26" s="201"/>
      <c r="M26" s="202"/>
      <c r="N26" s="203"/>
      <c r="O26" s="202"/>
      <c r="P26" s="202"/>
      <c r="Q26" s="203"/>
      <c r="R26" s="201"/>
      <c r="S26" s="202"/>
      <c r="T26" s="203"/>
      <c r="U26" s="201"/>
      <c r="V26" s="202"/>
      <c r="W26" s="203"/>
      <c r="X26" s="201"/>
      <c r="Y26" s="202"/>
      <c r="Z26" s="203"/>
      <c r="AA26" s="201">
        <f>SUM(AA23:AA25)</f>
        <v>32</v>
      </c>
      <c r="AB26" s="202">
        <f>SUM(AB23:AB25)</f>
        <v>31</v>
      </c>
      <c r="AC26" s="203">
        <f>SUM(AC23:AC25)</f>
        <v>30</v>
      </c>
      <c r="AD26" s="201">
        <f t="shared" ref="AD26:BD26" si="22">SUM(AD23:AD25)</f>
        <v>53</v>
      </c>
      <c r="AE26" s="202">
        <f t="shared" si="22"/>
        <v>49</v>
      </c>
      <c r="AF26" s="203">
        <f t="shared" si="22"/>
        <v>49</v>
      </c>
      <c r="AG26" s="201">
        <f t="shared" si="22"/>
        <v>58</v>
      </c>
      <c r="AH26" s="202">
        <f t="shared" si="22"/>
        <v>55</v>
      </c>
      <c r="AI26" s="203">
        <f t="shared" si="22"/>
        <v>66</v>
      </c>
      <c r="AJ26" s="201">
        <f t="shared" si="22"/>
        <v>47</v>
      </c>
      <c r="AK26" s="202">
        <f t="shared" si="22"/>
        <v>46</v>
      </c>
      <c r="AL26" s="203">
        <f t="shared" si="22"/>
        <v>74</v>
      </c>
      <c r="AM26" s="201">
        <f t="shared" si="22"/>
        <v>51</v>
      </c>
      <c r="AN26" s="202">
        <f t="shared" si="22"/>
        <v>50</v>
      </c>
      <c r="AO26" s="203">
        <f t="shared" si="22"/>
        <v>87</v>
      </c>
      <c r="AP26" s="201">
        <f t="shared" si="22"/>
        <v>84</v>
      </c>
      <c r="AQ26" s="202">
        <f t="shared" si="22"/>
        <v>83</v>
      </c>
      <c r="AR26" s="203">
        <f t="shared" si="22"/>
        <v>79</v>
      </c>
      <c r="AS26" s="201">
        <f t="shared" si="22"/>
        <v>75</v>
      </c>
      <c r="AT26" s="202">
        <f t="shared" si="22"/>
        <v>73</v>
      </c>
      <c r="AU26" s="203">
        <f t="shared" si="22"/>
        <v>74</v>
      </c>
      <c r="AV26" s="201">
        <f t="shared" si="22"/>
        <v>64</v>
      </c>
      <c r="AW26" s="202">
        <f t="shared" si="22"/>
        <v>62</v>
      </c>
      <c r="AX26" s="203">
        <f t="shared" si="22"/>
        <v>80</v>
      </c>
      <c r="AY26" s="201">
        <f t="shared" si="22"/>
        <v>83</v>
      </c>
      <c r="AZ26" s="202">
        <f t="shared" si="22"/>
        <v>73</v>
      </c>
      <c r="BA26" s="203">
        <f t="shared" si="22"/>
        <v>83</v>
      </c>
      <c r="BB26" s="201">
        <f t="shared" si="22"/>
        <v>86</v>
      </c>
      <c r="BC26" s="202">
        <f t="shared" si="22"/>
        <v>85</v>
      </c>
      <c r="BD26" s="203">
        <f t="shared" si="22"/>
        <v>74</v>
      </c>
      <c r="BE26" s="201">
        <f t="shared" ref="BE26:BG26" si="23">SUM(BE23:BE25)</f>
        <v>102</v>
      </c>
      <c r="BF26" s="202">
        <f t="shared" si="23"/>
        <v>92</v>
      </c>
      <c r="BG26" s="203">
        <f t="shared" si="23"/>
        <v>112</v>
      </c>
      <c r="BH26" s="201">
        <f t="shared" ref="BH26:BJ26" si="24">SUM(BH23:BH25)</f>
        <v>111</v>
      </c>
      <c r="BI26" s="202">
        <f t="shared" si="24"/>
        <v>95</v>
      </c>
      <c r="BJ26" s="203">
        <f t="shared" si="24"/>
        <v>108</v>
      </c>
    </row>
    <row r="27" spans="1:65" s="161" customFormat="1" ht="12.9" customHeight="1" x14ac:dyDescent="0.25">
      <c r="A27" s="25"/>
      <c r="B27" s="1334" t="s">
        <v>308</v>
      </c>
      <c r="C27" s="329"/>
      <c r="D27" s="330"/>
      <c r="E27" s="330"/>
      <c r="F27" s="329"/>
      <c r="G27" s="330"/>
      <c r="H27" s="330"/>
      <c r="I27" s="329"/>
      <c r="J27" s="330"/>
      <c r="K27" s="330"/>
      <c r="L27" s="329"/>
      <c r="M27" s="330"/>
      <c r="N27" s="331"/>
      <c r="O27" s="330"/>
      <c r="P27" s="330"/>
      <c r="Q27" s="331"/>
      <c r="R27" s="329"/>
      <c r="S27" s="330"/>
      <c r="T27" s="331"/>
      <c r="U27" s="329"/>
      <c r="V27" s="330"/>
      <c r="W27" s="331"/>
      <c r="X27" s="329"/>
      <c r="Y27" s="330"/>
      <c r="Z27" s="331"/>
      <c r="AA27" s="329"/>
      <c r="AB27" s="330"/>
      <c r="AC27" s="331"/>
      <c r="AD27" s="329"/>
      <c r="AE27" s="330"/>
      <c r="AF27" s="331"/>
      <c r="AG27" s="329"/>
      <c r="AH27" s="330"/>
      <c r="AI27" s="331"/>
      <c r="AJ27" s="329"/>
      <c r="AK27" s="330"/>
      <c r="AL27" s="331"/>
      <c r="AM27" s="329"/>
      <c r="AN27" s="330"/>
      <c r="AO27" s="331"/>
      <c r="AP27" s="329"/>
      <c r="AQ27" s="330"/>
      <c r="AR27" s="331"/>
      <c r="AS27" s="329"/>
      <c r="AT27" s="330"/>
      <c r="AU27" s="331"/>
      <c r="AV27" s="329"/>
      <c r="AW27" s="330"/>
      <c r="AX27" s="331"/>
      <c r="AY27" s="329"/>
      <c r="AZ27" s="330"/>
      <c r="BA27" s="331"/>
      <c r="BB27" s="329"/>
      <c r="BC27" s="330"/>
      <c r="BD27" s="331"/>
      <c r="BE27" s="329"/>
      <c r="BF27" s="330"/>
      <c r="BG27" s="331"/>
      <c r="BH27" s="329"/>
      <c r="BI27" s="330"/>
      <c r="BJ27" s="331"/>
    </row>
    <row r="28" spans="1:65" s="161" customFormat="1" ht="12.9" customHeight="1" x14ac:dyDescent="0.25">
      <c r="A28" s="25"/>
      <c r="B28" s="1336" t="s">
        <v>310</v>
      </c>
      <c r="C28" s="82"/>
      <c r="D28" s="83"/>
      <c r="E28" s="83"/>
      <c r="F28" s="82"/>
      <c r="G28" s="83"/>
      <c r="H28" s="83"/>
      <c r="I28" s="82"/>
      <c r="J28" s="83"/>
      <c r="K28" s="83"/>
      <c r="L28" s="82"/>
      <c r="M28" s="83"/>
      <c r="N28" s="332"/>
      <c r="O28" s="83"/>
      <c r="P28" s="83"/>
      <c r="Q28" s="332"/>
      <c r="R28" s="82"/>
      <c r="S28" s="83"/>
      <c r="T28" s="332"/>
      <c r="U28" s="82"/>
      <c r="V28" s="83"/>
      <c r="W28" s="332"/>
      <c r="X28" s="82"/>
      <c r="Y28" s="83"/>
      <c r="Z28" s="332"/>
      <c r="AA28" s="82"/>
      <c r="AB28" s="83"/>
      <c r="AC28" s="332"/>
      <c r="AD28" s="82"/>
      <c r="AE28" s="83"/>
      <c r="AF28" s="332">
        <f>SUM('MATRICULA-POS plan'!AG58)</f>
        <v>12</v>
      </c>
      <c r="AG28" s="82">
        <f>SUM('MATRICULA-POS plan'!AH58)</f>
        <v>12</v>
      </c>
      <c r="AH28" s="83">
        <f>SUM('MATRICULA-POS plan'!AI58)</f>
        <v>11</v>
      </c>
      <c r="AI28" s="332">
        <f>SUM('MATRICULA-POS plan'!AJ58)</f>
        <v>22</v>
      </c>
      <c r="AJ28" s="82">
        <f>SUM('MATRICULA-POS plan'!AK58)</f>
        <v>20</v>
      </c>
      <c r="AK28" s="83">
        <f>SUM('MATRICULA-POS plan'!AL58)</f>
        <v>21</v>
      </c>
      <c r="AL28" s="332">
        <f>SUM('MATRICULA-POS plan'!AM58)</f>
        <v>32</v>
      </c>
      <c r="AM28" s="82">
        <f>SUM('MATRICULA-POS plan'!AN58)</f>
        <v>32</v>
      </c>
      <c r="AN28" s="83">
        <f>SUM('MATRICULA-POS plan'!AO58)</f>
        <v>32</v>
      </c>
      <c r="AO28" s="332">
        <f>SUM('MATRICULA-POS plan'!AP58)</f>
        <v>41</v>
      </c>
      <c r="AP28" s="82">
        <f>SUM('MATRICULA-POS plan'!AQ58)</f>
        <v>39</v>
      </c>
      <c r="AQ28" s="83">
        <f>SUM('MATRICULA-POS plan'!AR58)</f>
        <v>39</v>
      </c>
      <c r="AR28" s="332">
        <f>SUM('MATRICULA-POS plan'!AS58)</f>
        <v>58</v>
      </c>
      <c r="AS28" s="82">
        <f>SUM('MATRICULA-POS plan'!AT58)</f>
        <v>40</v>
      </c>
      <c r="AT28" s="83">
        <f>SUM('MATRICULA-POS plan'!AU58)</f>
        <v>39</v>
      </c>
      <c r="AU28" s="332">
        <f>SUM('MATRICULA-POS plan'!AV58)</f>
        <v>61</v>
      </c>
      <c r="AV28" s="82">
        <f>SUM('MATRICULA-POS plan'!AW58)</f>
        <v>44</v>
      </c>
      <c r="AW28" s="83">
        <f>SUM('MATRICULA-POS plan'!AX58)</f>
        <v>44</v>
      </c>
      <c r="AX28" s="332">
        <f>SUM('MATRICULA-POS plan'!AY58)</f>
        <v>65</v>
      </c>
      <c r="AY28" s="82">
        <f>SUM('MATRICULA-POS plan'!AZ58)</f>
        <v>64</v>
      </c>
      <c r="AZ28" s="83">
        <f>SUM('MATRICULA-POS plan'!BA58)</f>
        <v>43</v>
      </c>
      <c r="BA28" s="332">
        <f>SUM('MATRICULA-POS plan'!BB58)</f>
        <v>42</v>
      </c>
      <c r="BB28" s="82">
        <f>SUM('MATRICULA-POS plan'!BC58)</f>
        <v>46</v>
      </c>
      <c r="BC28" s="83">
        <f>SUM('MATRICULA-POS plan'!BD58)</f>
        <v>42</v>
      </c>
      <c r="BD28" s="332">
        <f>SUM('MATRICULA-POS plan'!BE58)</f>
        <v>53</v>
      </c>
      <c r="BE28" s="82">
        <f>SUM('MATRICULA-POS plan'!BF58)</f>
        <v>40</v>
      </c>
      <c r="BF28" s="83">
        <f>SUM('MATRICULA-POS plan'!BG58)</f>
        <v>38</v>
      </c>
      <c r="BG28" s="332">
        <f>SUM('MATRICULA-POS plan'!BH58)</f>
        <v>57</v>
      </c>
      <c r="BH28" s="82">
        <f>SUM('MATRICULA-POS plan'!BI58)</f>
        <v>51</v>
      </c>
      <c r="BI28" s="83">
        <f>SUM('MATRICULA-POS plan'!BJ58)</f>
        <v>38</v>
      </c>
      <c r="BJ28" s="332">
        <f>SUM('MATRICULA-POS plan'!BK58)</f>
        <v>56</v>
      </c>
    </row>
    <row r="29" spans="1:65" s="161" customFormat="1" ht="12.9" customHeight="1" x14ac:dyDescent="0.25">
      <c r="A29" s="25"/>
      <c r="B29" s="1339" t="s">
        <v>317</v>
      </c>
      <c r="C29" s="333"/>
      <c r="D29" s="334"/>
      <c r="E29" s="334"/>
      <c r="F29" s="333"/>
      <c r="G29" s="334"/>
      <c r="H29" s="334"/>
      <c r="I29" s="333"/>
      <c r="J29" s="334"/>
      <c r="K29" s="334"/>
      <c r="L29" s="333"/>
      <c r="M29" s="334"/>
      <c r="N29" s="335"/>
      <c r="O29" s="334"/>
      <c r="P29" s="334"/>
      <c r="Q29" s="335"/>
      <c r="R29" s="333"/>
      <c r="S29" s="334"/>
      <c r="T29" s="335"/>
      <c r="U29" s="333"/>
      <c r="V29" s="334"/>
      <c r="W29" s="335"/>
      <c r="X29" s="333"/>
      <c r="Y29" s="334"/>
      <c r="Z29" s="335"/>
      <c r="AA29" s="333"/>
      <c r="AB29" s="334"/>
      <c r="AC29" s="335"/>
      <c r="AD29" s="333"/>
      <c r="AE29" s="334"/>
      <c r="AF29" s="335"/>
      <c r="AG29" s="333"/>
      <c r="AH29" s="334"/>
      <c r="AI29" s="335"/>
      <c r="AJ29" s="333"/>
      <c r="AK29" s="334"/>
      <c r="AL29" s="335"/>
      <c r="AM29" s="333"/>
      <c r="AN29" s="334"/>
      <c r="AO29" s="335"/>
      <c r="AP29" s="333"/>
      <c r="AQ29" s="334"/>
      <c r="AR29" s="335"/>
      <c r="AS29" s="333"/>
      <c r="AT29" s="334"/>
      <c r="AU29" s="335"/>
      <c r="AV29" s="333"/>
      <c r="AW29" s="334"/>
      <c r="AX29" s="335"/>
      <c r="AY29" s="333"/>
      <c r="AZ29" s="334"/>
      <c r="BA29" s="335"/>
      <c r="BB29" s="333"/>
      <c r="BC29" s="334"/>
      <c r="BD29" s="335"/>
      <c r="BE29" s="333"/>
      <c r="BF29" s="334"/>
      <c r="BG29" s="335"/>
      <c r="BH29" s="333"/>
      <c r="BI29" s="334"/>
      <c r="BJ29" s="335"/>
    </row>
    <row r="30" spans="1:65" s="161" customFormat="1" ht="12.9" customHeight="1" x14ac:dyDescent="0.25">
      <c r="A30" s="25"/>
      <c r="B30" s="1342" t="s">
        <v>428</v>
      </c>
      <c r="C30" s="201"/>
      <c r="D30" s="202"/>
      <c r="E30" s="202"/>
      <c r="F30" s="201"/>
      <c r="G30" s="202"/>
      <c r="H30" s="202"/>
      <c r="I30" s="201"/>
      <c r="J30" s="202"/>
      <c r="K30" s="202"/>
      <c r="L30" s="201"/>
      <c r="M30" s="202"/>
      <c r="N30" s="203"/>
      <c r="O30" s="202"/>
      <c r="P30" s="202"/>
      <c r="Q30" s="203"/>
      <c r="R30" s="201"/>
      <c r="S30" s="202"/>
      <c r="T30" s="203"/>
      <c r="U30" s="201"/>
      <c r="V30" s="202"/>
      <c r="W30" s="203"/>
      <c r="X30" s="201"/>
      <c r="Y30" s="202"/>
      <c r="Z30" s="203"/>
      <c r="AA30" s="201"/>
      <c r="AB30" s="202"/>
      <c r="AC30" s="203"/>
      <c r="AD30" s="201"/>
      <c r="AE30" s="202"/>
      <c r="AF30" s="203">
        <f t="shared" ref="AF30:BD30" si="25">SUM(AF28:AF29)</f>
        <v>12</v>
      </c>
      <c r="AG30" s="201">
        <f t="shared" si="25"/>
        <v>12</v>
      </c>
      <c r="AH30" s="202">
        <f t="shared" si="25"/>
        <v>11</v>
      </c>
      <c r="AI30" s="203">
        <f t="shared" si="25"/>
        <v>22</v>
      </c>
      <c r="AJ30" s="201">
        <f t="shared" si="25"/>
        <v>20</v>
      </c>
      <c r="AK30" s="202">
        <f t="shared" si="25"/>
        <v>21</v>
      </c>
      <c r="AL30" s="203">
        <f t="shared" si="25"/>
        <v>32</v>
      </c>
      <c r="AM30" s="201">
        <f t="shared" si="25"/>
        <v>32</v>
      </c>
      <c r="AN30" s="202">
        <f t="shared" si="25"/>
        <v>32</v>
      </c>
      <c r="AO30" s="203">
        <f t="shared" si="25"/>
        <v>41</v>
      </c>
      <c r="AP30" s="201">
        <f t="shared" si="25"/>
        <v>39</v>
      </c>
      <c r="AQ30" s="202">
        <f t="shared" si="25"/>
        <v>39</v>
      </c>
      <c r="AR30" s="203">
        <f t="shared" si="25"/>
        <v>58</v>
      </c>
      <c r="AS30" s="201">
        <f t="shared" si="25"/>
        <v>40</v>
      </c>
      <c r="AT30" s="202">
        <f t="shared" si="25"/>
        <v>39</v>
      </c>
      <c r="AU30" s="203">
        <f t="shared" si="25"/>
        <v>61</v>
      </c>
      <c r="AV30" s="201">
        <f t="shared" si="25"/>
        <v>44</v>
      </c>
      <c r="AW30" s="202">
        <f t="shared" si="25"/>
        <v>44</v>
      </c>
      <c r="AX30" s="203">
        <f t="shared" si="25"/>
        <v>65</v>
      </c>
      <c r="AY30" s="201">
        <f t="shared" si="25"/>
        <v>64</v>
      </c>
      <c r="AZ30" s="202">
        <f t="shared" si="25"/>
        <v>43</v>
      </c>
      <c r="BA30" s="203">
        <f t="shared" si="25"/>
        <v>42</v>
      </c>
      <c r="BB30" s="201">
        <f t="shared" si="25"/>
        <v>46</v>
      </c>
      <c r="BC30" s="202">
        <f t="shared" si="25"/>
        <v>42</v>
      </c>
      <c r="BD30" s="203">
        <f t="shared" si="25"/>
        <v>53</v>
      </c>
      <c r="BE30" s="201">
        <f t="shared" ref="BE30:BG30" si="26">SUM(BE28:BE29)</f>
        <v>40</v>
      </c>
      <c r="BF30" s="202">
        <f t="shared" si="26"/>
        <v>38</v>
      </c>
      <c r="BG30" s="203">
        <f t="shared" si="26"/>
        <v>57</v>
      </c>
      <c r="BH30" s="201">
        <f t="shared" ref="BH30:BJ30" si="27">SUM(BH28:BH29)</f>
        <v>51</v>
      </c>
      <c r="BI30" s="202">
        <f t="shared" si="27"/>
        <v>38</v>
      </c>
      <c r="BJ30" s="203">
        <f t="shared" si="27"/>
        <v>56</v>
      </c>
    </row>
    <row r="31" spans="1:65" s="161" customFormat="1" ht="12.9" customHeight="1" x14ac:dyDescent="0.25">
      <c r="A31" s="25"/>
      <c r="B31" s="1334" t="s">
        <v>308</v>
      </c>
      <c r="C31" s="329"/>
      <c r="D31" s="330"/>
      <c r="E31" s="330"/>
      <c r="F31" s="329"/>
      <c r="G31" s="330"/>
      <c r="H31" s="330"/>
      <c r="I31" s="329"/>
      <c r="J31" s="330"/>
      <c r="K31" s="330"/>
      <c r="L31" s="329"/>
      <c r="M31" s="330"/>
      <c r="N31" s="331"/>
      <c r="O31" s="330"/>
      <c r="P31" s="330"/>
      <c r="Q31" s="331"/>
      <c r="R31" s="329"/>
      <c r="S31" s="330"/>
      <c r="T31" s="331"/>
      <c r="U31" s="329"/>
      <c r="V31" s="330"/>
      <c r="W31" s="331"/>
      <c r="X31" s="329"/>
      <c r="Y31" s="330"/>
      <c r="Z31" s="331"/>
      <c r="AA31" s="329"/>
      <c r="AB31" s="330"/>
      <c r="AC31" s="331"/>
      <c r="AD31" s="329"/>
      <c r="AE31" s="330">
        <f>SUM('MATRICULA-POS plan'!AF60)</f>
        <v>2</v>
      </c>
      <c r="AF31" s="331">
        <f>SUM('MATRICULA-POS plan'!AG60)</f>
        <v>3</v>
      </c>
      <c r="AG31" s="329">
        <f>SUM('MATRICULA-POS plan'!AH60)</f>
        <v>4</v>
      </c>
      <c r="AH31" s="330">
        <f>SUM('MATRICULA-POS plan'!AI60)</f>
        <v>2</v>
      </c>
      <c r="AI31" s="331">
        <f>SUM('MATRICULA-POS plan'!AJ60)</f>
        <v>1</v>
      </c>
      <c r="AJ31" s="329">
        <f>SUM('MATRICULA-POS plan'!AK60)</f>
        <v>3</v>
      </c>
      <c r="AK31" s="330">
        <f>SUM('MATRICULA-POS plan'!AL60)</f>
        <v>3</v>
      </c>
      <c r="AL31" s="331">
        <f>SUM('MATRICULA-POS plan'!AM60)</f>
        <v>2</v>
      </c>
      <c r="AM31" s="329">
        <f>SUM('MATRICULA-POS plan'!AN60)</f>
        <v>3</v>
      </c>
      <c r="AN31" s="330">
        <f>SUM('MATRICULA-POS plan'!AO60)</f>
        <v>5</v>
      </c>
      <c r="AO31" s="331">
        <f>SUM('MATRICULA-POS plan'!AP60)</f>
        <v>8</v>
      </c>
      <c r="AP31" s="329">
        <f>SUM('MATRICULA-POS plan'!AQ60)</f>
        <v>6</v>
      </c>
      <c r="AQ31" s="330">
        <f>SUM('MATRICULA-POS plan'!AR60)</f>
        <v>6</v>
      </c>
      <c r="AR31" s="331">
        <f>SUM('MATRICULA-POS plan'!AS60)</f>
        <v>5</v>
      </c>
      <c r="AS31" s="329">
        <f>SUM('MATRICULA-POS plan'!AT60)</f>
        <v>5</v>
      </c>
      <c r="AT31" s="330">
        <f>SUM('MATRICULA-POS plan'!AU60)</f>
        <v>4</v>
      </c>
      <c r="AU31" s="331">
        <f>SUM('MATRICULA-POS plan'!AV60)</f>
        <v>2</v>
      </c>
      <c r="AV31" s="329">
        <f>SUM('MATRICULA-POS plan'!AW60)</f>
        <v>3</v>
      </c>
      <c r="AW31" s="330">
        <f>SUM('MATRICULA-POS plan'!AX60)</f>
        <v>3</v>
      </c>
      <c r="AX31" s="331">
        <f>SUM('MATRICULA-POS plan'!AY60)</f>
        <v>2</v>
      </c>
      <c r="AY31" s="329">
        <f>SUM('MATRICULA-POS plan'!AZ60)</f>
        <v>0</v>
      </c>
      <c r="AZ31" s="330">
        <f>SUM('MATRICULA-POS plan'!BA60)</f>
        <v>0</v>
      </c>
      <c r="BA31" s="331">
        <f>SUM('MATRICULA-POS plan'!BB60)</f>
        <v>0</v>
      </c>
      <c r="BB31" s="329">
        <f>SUM('MATRICULA-POS plan'!BC60)</f>
        <v>2</v>
      </c>
      <c r="BC31" s="330">
        <f>SUM('MATRICULA-POS plan'!BD60)</f>
        <v>2</v>
      </c>
      <c r="BD31" s="331">
        <f>SUM('MATRICULA-POS plan'!BE60)</f>
        <v>2</v>
      </c>
      <c r="BE31" s="329">
        <f>SUM('MATRICULA-POS plan'!BF60)</f>
        <v>2</v>
      </c>
      <c r="BF31" s="330">
        <f>SUM('MATRICULA-POS plan'!BG60)</f>
        <v>1</v>
      </c>
      <c r="BG31" s="331">
        <f>SUM('MATRICULA-POS plan'!BH60)</f>
        <v>1</v>
      </c>
      <c r="BH31" s="329">
        <f>SUM('MATRICULA-POS plan'!BI60)</f>
        <v>1</v>
      </c>
      <c r="BI31" s="330">
        <f>SUM('MATRICULA-POS plan'!BJ60)</f>
        <v>1</v>
      </c>
      <c r="BJ31" s="331">
        <f>SUM('MATRICULA-POS plan'!BK60)</f>
        <v>1</v>
      </c>
    </row>
    <row r="32" spans="1:65" s="161" customFormat="1" ht="12.9" customHeight="1" x14ac:dyDescent="0.25">
      <c r="A32" s="25"/>
      <c r="B32" s="1336" t="s">
        <v>310</v>
      </c>
      <c r="C32" s="82"/>
      <c r="D32" s="83"/>
      <c r="E32" s="83"/>
      <c r="F32" s="82"/>
      <c r="G32" s="83"/>
      <c r="H32" s="83"/>
      <c r="I32" s="82"/>
      <c r="J32" s="83"/>
      <c r="K32" s="83"/>
      <c r="L32" s="82"/>
      <c r="M32" s="83"/>
      <c r="N32" s="332"/>
      <c r="O32" s="83"/>
      <c r="P32" s="83"/>
      <c r="Q32" s="332"/>
      <c r="R32" s="82"/>
      <c r="S32" s="83"/>
      <c r="T32" s="332"/>
      <c r="U32" s="82"/>
      <c r="V32" s="83"/>
      <c r="W32" s="332"/>
      <c r="X32" s="82"/>
      <c r="Y32" s="83"/>
      <c r="Z32" s="332"/>
      <c r="AA32" s="82"/>
      <c r="AB32" s="83"/>
      <c r="AC32" s="332"/>
      <c r="AD32" s="82"/>
      <c r="AE32" s="83"/>
      <c r="AF32" s="332">
        <f>SUM('MATRICULA-POS plan'!AG61)</f>
        <v>9</v>
      </c>
      <c r="AG32" s="82">
        <f>SUM('MATRICULA-POS plan'!AH61)</f>
        <v>9</v>
      </c>
      <c r="AH32" s="83">
        <f>SUM('MATRICULA-POS plan'!AI61)</f>
        <v>8</v>
      </c>
      <c r="AI32" s="332">
        <f>SUM('MATRICULA-POS plan'!AJ61)</f>
        <v>21</v>
      </c>
      <c r="AJ32" s="82">
        <f>SUM('MATRICULA-POS plan'!AK61)</f>
        <v>22</v>
      </c>
      <c r="AK32" s="83">
        <f>SUM('MATRICULA-POS plan'!AL61)</f>
        <v>20</v>
      </c>
      <c r="AL32" s="332">
        <f>SUM('MATRICULA-POS plan'!AM61)</f>
        <v>31</v>
      </c>
      <c r="AM32" s="82">
        <f>SUM('MATRICULA-POS plan'!AN61)</f>
        <v>25</v>
      </c>
      <c r="AN32" s="83">
        <f>SUM('MATRICULA-POS plan'!AO61)</f>
        <v>25</v>
      </c>
      <c r="AO32" s="332">
        <f>SUM('MATRICULA-POS plan'!AP61)</f>
        <v>34</v>
      </c>
      <c r="AP32" s="82">
        <f>SUM('MATRICULA-POS plan'!AQ61)</f>
        <v>30</v>
      </c>
      <c r="AQ32" s="83">
        <f>SUM('MATRICULA-POS plan'!AR61)</f>
        <v>26</v>
      </c>
      <c r="AR32" s="332">
        <f>SUM('MATRICULA-POS plan'!AS61)</f>
        <v>34</v>
      </c>
      <c r="AS32" s="82">
        <f>SUM('MATRICULA-POS plan'!AT61)</f>
        <v>27</v>
      </c>
      <c r="AT32" s="83">
        <f>SUM('MATRICULA-POS plan'!AU61)</f>
        <v>31</v>
      </c>
      <c r="AU32" s="332">
        <f>SUM('MATRICULA-POS plan'!AV61)</f>
        <v>35</v>
      </c>
      <c r="AV32" s="82">
        <f>SUM('MATRICULA-POS plan'!AW61)</f>
        <v>26</v>
      </c>
      <c r="AW32" s="83">
        <f>SUM('MATRICULA-POS plan'!AX61)</f>
        <v>24</v>
      </c>
      <c r="AX32" s="332">
        <f>SUM('MATRICULA-POS plan'!AY61)</f>
        <v>31</v>
      </c>
      <c r="AY32" s="82">
        <f>SUM('MATRICULA-POS plan'!AZ61)</f>
        <v>30</v>
      </c>
      <c r="AZ32" s="83">
        <f>SUM('MATRICULA-POS plan'!BA61)</f>
        <v>20</v>
      </c>
      <c r="BA32" s="332">
        <f>SUM('MATRICULA-POS plan'!BB61)</f>
        <v>20</v>
      </c>
      <c r="BB32" s="82">
        <f>SUM('MATRICULA-POS plan'!BC61)</f>
        <v>20</v>
      </c>
      <c r="BC32" s="83">
        <f>SUM('MATRICULA-POS plan'!BD61)</f>
        <v>20</v>
      </c>
      <c r="BD32" s="332">
        <f>SUM('MATRICULA-POS plan'!BE61)</f>
        <v>21</v>
      </c>
      <c r="BE32" s="82">
        <f>SUM('MATRICULA-POS plan'!BF61)</f>
        <v>15</v>
      </c>
      <c r="BF32" s="83">
        <f>SUM('MATRICULA-POS plan'!BG61)</f>
        <v>23</v>
      </c>
      <c r="BG32" s="332">
        <f>SUM('MATRICULA-POS plan'!BH61)</f>
        <v>20</v>
      </c>
      <c r="BH32" s="82">
        <f>SUM('MATRICULA-POS plan'!BI61)</f>
        <v>17</v>
      </c>
      <c r="BI32" s="83">
        <f>SUM('MATRICULA-POS plan'!BJ61)</f>
        <v>14</v>
      </c>
      <c r="BJ32" s="332">
        <f>SUM('MATRICULA-POS plan'!BK61)</f>
        <v>26</v>
      </c>
    </row>
    <row r="33" spans="1:62" s="161" customFormat="1" ht="12.9" customHeight="1" x14ac:dyDescent="0.25">
      <c r="A33" s="25"/>
      <c r="B33" s="1339" t="s">
        <v>317</v>
      </c>
      <c r="C33" s="333"/>
      <c r="D33" s="334"/>
      <c r="E33" s="334"/>
      <c r="F33" s="333"/>
      <c r="G33" s="334"/>
      <c r="H33" s="334"/>
      <c r="I33" s="333"/>
      <c r="J33" s="334"/>
      <c r="K33" s="334"/>
      <c r="L33" s="333"/>
      <c r="M33" s="334"/>
      <c r="N33" s="335"/>
      <c r="O33" s="334"/>
      <c r="P33" s="334"/>
      <c r="Q33" s="335"/>
      <c r="R33" s="333"/>
      <c r="S33" s="334"/>
      <c r="T33" s="335"/>
      <c r="U33" s="333"/>
      <c r="V33" s="334"/>
      <c r="W33" s="335"/>
      <c r="X33" s="333"/>
      <c r="Y33" s="334"/>
      <c r="Z33" s="335"/>
      <c r="AA33" s="333"/>
      <c r="AB33" s="334"/>
      <c r="AC33" s="335"/>
      <c r="AD33" s="333"/>
      <c r="AE33" s="334">
        <f>SUM('MATRICULA-POS plan'!AF62)</f>
        <v>2</v>
      </c>
      <c r="AF33" s="335">
        <f>SUM('MATRICULA-POS plan'!AG62)</f>
        <v>7</v>
      </c>
      <c r="AG33" s="333">
        <f>SUM('MATRICULA-POS plan'!AH62)</f>
        <v>9</v>
      </c>
      <c r="AH33" s="334">
        <f>SUM('MATRICULA-POS plan'!AI62)</f>
        <v>11</v>
      </c>
      <c r="AI33" s="335">
        <f>SUM('MATRICULA-POS plan'!AJ62)</f>
        <v>13</v>
      </c>
      <c r="AJ33" s="333">
        <f>SUM('MATRICULA-POS plan'!AK62)</f>
        <v>15</v>
      </c>
      <c r="AK33" s="334">
        <f>SUM('MATRICULA-POS plan'!AL62)</f>
        <v>19</v>
      </c>
      <c r="AL33" s="335">
        <f>SUM('MATRICULA-POS plan'!AM62)</f>
        <v>21</v>
      </c>
      <c r="AM33" s="333">
        <f>SUM('MATRICULA-POS plan'!AN62)</f>
        <v>24</v>
      </c>
      <c r="AN33" s="334">
        <f>SUM('MATRICULA-POS plan'!AO62)</f>
        <v>26</v>
      </c>
      <c r="AO33" s="335">
        <f>SUM('MATRICULA-POS plan'!AP62)</f>
        <v>31</v>
      </c>
      <c r="AP33" s="333">
        <f>SUM('MATRICULA-POS plan'!AQ62:AQ63)</f>
        <v>30</v>
      </c>
      <c r="AQ33" s="334">
        <f>SUM('MATRICULA-POS plan'!AR62:AR63)</f>
        <v>33</v>
      </c>
      <c r="AR33" s="335">
        <f>SUM('MATRICULA-POS plan'!AS62:AS63)</f>
        <v>34</v>
      </c>
      <c r="AS33" s="333">
        <f>SUM('MATRICULA-POS plan'!AT62:AT63)</f>
        <v>29</v>
      </c>
      <c r="AT33" s="334">
        <f>SUM('MATRICULA-POS plan'!AU62:AU63)</f>
        <v>37</v>
      </c>
      <c r="AU33" s="335">
        <f>SUM('MATRICULA-POS plan'!AV62:AV63)</f>
        <v>37</v>
      </c>
      <c r="AV33" s="333">
        <f>SUM('MATRICULA-POS plan'!AW62:AW63)</f>
        <v>35</v>
      </c>
      <c r="AW33" s="334">
        <f>SUM('MATRICULA-POS plan'!AX62:AX63)</f>
        <v>33</v>
      </c>
      <c r="AX33" s="335">
        <f>SUM('MATRICULA-POS plan'!AY62:AY63)</f>
        <v>38</v>
      </c>
      <c r="AY33" s="333">
        <f>SUM('MATRICULA-POS plan'!AZ62:AZ63)</f>
        <v>38</v>
      </c>
      <c r="AZ33" s="334">
        <f>SUM('MATRICULA-POS plan'!BA62:BA63)</f>
        <v>33</v>
      </c>
      <c r="BA33" s="335">
        <f>SUM('MATRICULA-POS plan'!BB62:BB63)</f>
        <v>35</v>
      </c>
      <c r="BB33" s="333">
        <f>SUM('MATRICULA-POS plan'!BC62:BC63)</f>
        <v>36</v>
      </c>
      <c r="BC33" s="334">
        <f>SUM('MATRICULA-POS plan'!BD62:BD63)</f>
        <v>32</v>
      </c>
      <c r="BD33" s="335">
        <f>SUM('MATRICULA-POS plan'!BE62:BE63)</f>
        <v>29</v>
      </c>
      <c r="BE33" s="333">
        <f>SUM('MATRICULA-POS plan'!BF62:BF63)</f>
        <v>27</v>
      </c>
      <c r="BF33" s="334">
        <f>SUM('MATRICULA-POS plan'!BG62:BG63)</f>
        <v>28</v>
      </c>
      <c r="BG33" s="335">
        <f>SUM('MATRICULA-POS plan'!BH62:BH63)</f>
        <v>23</v>
      </c>
      <c r="BH33" s="333">
        <f>SUM('MATRICULA-POS plan'!BI62:BI63)</f>
        <v>33</v>
      </c>
      <c r="BI33" s="334">
        <f>SUM('MATRICULA-POS plan'!BJ62:BJ63)</f>
        <v>31</v>
      </c>
      <c r="BJ33" s="335">
        <f>SUM('MATRICULA-POS plan'!BK62:BK63)</f>
        <v>29</v>
      </c>
    </row>
    <row r="34" spans="1:62" s="161" customFormat="1" ht="12.9" customHeight="1" x14ac:dyDescent="0.25">
      <c r="A34" s="25"/>
      <c r="B34" s="1342" t="s">
        <v>429</v>
      </c>
      <c r="C34" s="201"/>
      <c r="D34" s="202"/>
      <c r="E34" s="202"/>
      <c r="F34" s="201"/>
      <c r="G34" s="202"/>
      <c r="H34" s="202"/>
      <c r="I34" s="201"/>
      <c r="J34" s="202"/>
      <c r="K34" s="202"/>
      <c r="L34" s="201"/>
      <c r="M34" s="202"/>
      <c r="N34" s="203"/>
      <c r="O34" s="202"/>
      <c r="P34" s="202"/>
      <c r="Q34" s="203"/>
      <c r="R34" s="201"/>
      <c r="S34" s="202"/>
      <c r="T34" s="203"/>
      <c r="U34" s="201"/>
      <c r="V34" s="202"/>
      <c r="W34" s="203"/>
      <c r="X34" s="201"/>
      <c r="Y34" s="202"/>
      <c r="Z34" s="203"/>
      <c r="AA34" s="201"/>
      <c r="AB34" s="202"/>
      <c r="AC34" s="203"/>
      <c r="AD34" s="201"/>
      <c r="AE34" s="202">
        <f t="shared" ref="AE34:AL34" si="28">SUM(AE31:AE33)</f>
        <v>4</v>
      </c>
      <c r="AF34" s="203">
        <f t="shared" si="28"/>
        <v>19</v>
      </c>
      <c r="AG34" s="201">
        <f t="shared" si="28"/>
        <v>22</v>
      </c>
      <c r="AH34" s="202">
        <f t="shared" si="28"/>
        <v>21</v>
      </c>
      <c r="AI34" s="203">
        <f t="shared" si="28"/>
        <v>35</v>
      </c>
      <c r="AJ34" s="201">
        <f t="shared" si="28"/>
        <v>40</v>
      </c>
      <c r="AK34" s="202">
        <f t="shared" si="28"/>
        <v>42</v>
      </c>
      <c r="AL34" s="203">
        <f t="shared" si="28"/>
        <v>54</v>
      </c>
      <c r="AM34" s="201">
        <f t="shared" ref="AM34:BD34" si="29">SUM(AM31:AM33)</f>
        <v>52</v>
      </c>
      <c r="AN34" s="202">
        <f t="shared" si="29"/>
        <v>56</v>
      </c>
      <c r="AO34" s="203">
        <f t="shared" si="29"/>
        <v>73</v>
      </c>
      <c r="AP34" s="201">
        <f t="shared" si="29"/>
        <v>66</v>
      </c>
      <c r="AQ34" s="202">
        <f t="shared" si="29"/>
        <v>65</v>
      </c>
      <c r="AR34" s="203">
        <f t="shared" si="29"/>
        <v>73</v>
      </c>
      <c r="AS34" s="201">
        <f t="shared" si="29"/>
        <v>61</v>
      </c>
      <c r="AT34" s="202">
        <f t="shared" si="29"/>
        <v>72</v>
      </c>
      <c r="AU34" s="203">
        <f t="shared" si="29"/>
        <v>74</v>
      </c>
      <c r="AV34" s="201">
        <f t="shared" si="29"/>
        <v>64</v>
      </c>
      <c r="AW34" s="202">
        <f t="shared" si="29"/>
        <v>60</v>
      </c>
      <c r="AX34" s="203">
        <f t="shared" si="29"/>
        <v>71</v>
      </c>
      <c r="AY34" s="201">
        <f t="shared" si="29"/>
        <v>68</v>
      </c>
      <c r="AZ34" s="202">
        <f t="shared" si="29"/>
        <v>53</v>
      </c>
      <c r="BA34" s="203">
        <f t="shared" si="29"/>
        <v>55</v>
      </c>
      <c r="BB34" s="201">
        <f t="shared" si="29"/>
        <v>58</v>
      </c>
      <c r="BC34" s="202">
        <f t="shared" si="29"/>
        <v>54</v>
      </c>
      <c r="BD34" s="203">
        <f t="shared" si="29"/>
        <v>52</v>
      </c>
      <c r="BE34" s="201">
        <f t="shared" ref="BE34:BG34" si="30">SUM(BE31:BE33)</f>
        <v>44</v>
      </c>
      <c r="BF34" s="202">
        <f t="shared" si="30"/>
        <v>52</v>
      </c>
      <c r="BG34" s="203">
        <f t="shared" si="30"/>
        <v>44</v>
      </c>
      <c r="BH34" s="201">
        <f t="shared" ref="BH34:BJ34" si="31">SUM(BH31:BH33)</f>
        <v>51</v>
      </c>
      <c r="BI34" s="202">
        <f t="shared" si="31"/>
        <v>46</v>
      </c>
      <c r="BJ34" s="203">
        <f t="shared" si="31"/>
        <v>56</v>
      </c>
    </row>
    <row r="35" spans="1:62" s="161" customFormat="1" ht="12.9" customHeight="1" x14ac:dyDescent="0.25">
      <c r="A35" s="25"/>
      <c r="B35" s="1334" t="s">
        <v>308</v>
      </c>
      <c r="C35" s="329"/>
      <c r="D35" s="330"/>
      <c r="E35" s="330"/>
      <c r="F35" s="329"/>
      <c r="G35" s="330"/>
      <c r="H35" s="330"/>
      <c r="I35" s="329"/>
      <c r="J35" s="330"/>
      <c r="K35" s="330"/>
      <c r="L35" s="329"/>
      <c r="M35" s="330"/>
      <c r="N35" s="331"/>
      <c r="O35" s="330"/>
      <c r="P35" s="330"/>
      <c r="Q35" s="331"/>
      <c r="R35" s="329"/>
      <c r="S35" s="330"/>
      <c r="T35" s="331"/>
      <c r="U35" s="329"/>
      <c r="V35" s="330"/>
      <c r="W35" s="331"/>
      <c r="X35" s="329"/>
      <c r="Y35" s="330"/>
      <c r="Z35" s="331"/>
      <c r="AA35" s="329"/>
      <c r="AB35" s="330"/>
      <c r="AC35" s="331"/>
      <c r="AD35" s="329">
        <f>SUM(AD23,AD27,AD31)</f>
        <v>0</v>
      </c>
      <c r="AE35" s="330">
        <f t="shared" ref="AE35:BD37" si="32">SUM(AE23,AE27,AE31)</f>
        <v>2</v>
      </c>
      <c r="AF35" s="331">
        <f t="shared" si="32"/>
        <v>3</v>
      </c>
      <c r="AG35" s="329">
        <f t="shared" si="32"/>
        <v>4</v>
      </c>
      <c r="AH35" s="330">
        <f t="shared" si="32"/>
        <v>2</v>
      </c>
      <c r="AI35" s="331">
        <f t="shared" si="32"/>
        <v>1</v>
      </c>
      <c r="AJ35" s="329">
        <f t="shared" si="32"/>
        <v>3</v>
      </c>
      <c r="AK35" s="330">
        <f t="shared" si="32"/>
        <v>3</v>
      </c>
      <c r="AL35" s="331">
        <f t="shared" si="32"/>
        <v>2</v>
      </c>
      <c r="AM35" s="329">
        <f t="shared" si="32"/>
        <v>3</v>
      </c>
      <c r="AN35" s="330">
        <f t="shared" si="32"/>
        <v>5</v>
      </c>
      <c r="AO35" s="331">
        <f t="shared" si="32"/>
        <v>8</v>
      </c>
      <c r="AP35" s="329">
        <f t="shared" si="32"/>
        <v>6</v>
      </c>
      <c r="AQ35" s="330">
        <f t="shared" si="32"/>
        <v>6</v>
      </c>
      <c r="AR35" s="331">
        <f t="shared" si="32"/>
        <v>5</v>
      </c>
      <c r="AS35" s="329">
        <f t="shared" si="32"/>
        <v>5</v>
      </c>
      <c r="AT35" s="330">
        <f t="shared" si="32"/>
        <v>4</v>
      </c>
      <c r="AU35" s="331">
        <f t="shared" si="32"/>
        <v>2</v>
      </c>
      <c r="AV35" s="329">
        <f t="shared" si="32"/>
        <v>3</v>
      </c>
      <c r="AW35" s="330">
        <f t="shared" si="32"/>
        <v>3</v>
      </c>
      <c r="AX35" s="331">
        <f t="shared" si="32"/>
        <v>2</v>
      </c>
      <c r="AY35" s="329">
        <f t="shared" si="32"/>
        <v>0</v>
      </c>
      <c r="AZ35" s="330">
        <f t="shared" si="32"/>
        <v>0</v>
      </c>
      <c r="BA35" s="331">
        <f t="shared" si="32"/>
        <v>0</v>
      </c>
      <c r="BB35" s="329">
        <f t="shared" si="32"/>
        <v>2</v>
      </c>
      <c r="BC35" s="330">
        <f t="shared" si="32"/>
        <v>2</v>
      </c>
      <c r="BD35" s="331">
        <f t="shared" si="32"/>
        <v>2</v>
      </c>
      <c r="BE35" s="329">
        <f t="shared" ref="BE35:BG35" si="33">SUM(BE23,BE27,BE31)</f>
        <v>2</v>
      </c>
      <c r="BF35" s="330">
        <f t="shared" si="33"/>
        <v>1</v>
      </c>
      <c r="BG35" s="331">
        <f t="shared" si="33"/>
        <v>1</v>
      </c>
      <c r="BH35" s="329">
        <f t="shared" ref="BH35:BJ35" si="34">SUM(BH23,BH27,BH31)</f>
        <v>1</v>
      </c>
      <c r="BI35" s="330">
        <f t="shared" si="34"/>
        <v>1</v>
      </c>
      <c r="BJ35" s="331">
        <f t="shared" si="34"/>
        <v>1</v>
      </c>
    </row>
    <row r="36" spans="1:62" s="161" customFormat="1" ht="12.9" customHeight="1" x14ac:dyDescent="0.25">
      <c r="A36" s="25"/>
      <c r="B36" s="1336" t="s">
        <v>310</v>
      </c>
      <c r="C36" s="82"/>
      <c r="D36" s="83"/>
      <c r="E36" s="83"/>
      <c r="F36" s="82"/>
      <c r="G36" s="83"/>
      <c r="H36" s="83"/>
      <c r="I36" s="82"/>
      <c r="J36" s="83"/>
      <c r="K36" s="83"/>
      <c r="L36" s="82"/>
      <c r="M36" s="83"/>
      <c r="N36" s="332"/>
      <c r="O36" s="83"/>
      <c r="P36" s="83"/>
      <c r="Q36" s="332"/>
      <c r="R36" s="82"/>
      <c r="S36" s="83"/>
      <c r="T36" s="332"/>
      <c r="U36" s="82"/>
      <c r="V36" s="83"/>
      <c r="W36" s="332"/>
      <c r="X36" s="82"/>
      <c r="Y36" s="83"/>
      <c r="Z36" s="332"/>
      <c r="AA36" s="82">
        <f>SUM(AA24,AA28,AA32)</f>
        <v>20</v>
      </c>
      <c r="AB36" s="83">
        <f t="shared" ref="AB36:AD37" si="35">SUM(AB24,AB28,AB32)</f>
        <v>19</v>
      </c>
      <c r="AC36" s="332">
        <f t="shared" si="35"/>
        <v>18</v>
      </c>
      <c r="AD36" s="82">
        <f t="shared" si="35"/>
        <v>31</v>
      </c>
      <c r="AE36" s="83">
        <f t="shared" si="32"/>
        <v>28</v>
      </c>
      <c r="AF36" s="332">
        <f t="shared" si="32"/>
        <v>49</v>
      </c>
      <c r="AG36" s="82">
        <f t="shared" si="32"/>
        <v>60</v>
      </c>
      <c r="AH36" s="83">
        <f t="shared" si="32"/>
        <v>56</v>
      </c>
      <c r="AI36" s="332">
        <f t="shared" si="32"/>
        <v>74</v>
      </c>
      <c r="AJ36" s="82">
        <f t="shared" si="32"/>
        <v>65</v>
      </c>
      <c r="AK36" s="83">
        <f t="shared" si="32"/>
        <v>62</v>
      </c>
      <c r="AL36" s="332">
        <f t="shared" si="32"/>
        <v>96</v>
      </c>
      <c r="AM36" s="82">
        <f t="shared" si="32"/>
        <v>72</v>
      </c>
      <c r="AN36" s="83">
        <f t="shared" si="32"/>
        <v>71</v>
      </c>
      <c r="AO36" s="332">
        <f t="shared" si="32"/>
        <v>108</v>
      </c>
      <c r="AP36" s="82">
        <f t="shared" si="32"/>
        <v>101</v>
      </c>
      <c r="AQ36" s="83">
        <f t="shared" si="32"/>
        <v>97</v>
      </c>
      <c r="AR36" s="332">
        <f t="shared" si="32"/>
        <v>123</v>
      </c>
      <c r="AS36" s="82">
        <f t="shared" si="32"/>
        <v>96</v>
      </c>
      <c r="AT36" s="83">
        <f t="shared" si="32"/>
        <v>97</v>
      </c>
      <c r="AU36" s="332">
        <f t="shared" si="32"/>
        <v>122</v>
      </c>
      <c r="AV36" s="82">
        <f t="shared" si="32"/>
        <v>92</v>
      </c>
      <c r="AW36" s="83">
        <f t="shared" si="32"/>
        <v>90</v>
      </c>
      <c r="AX36" s="332">
        <f t="shared" si="32"/>
        <v>121</v>
      </c>
      <c r="AY36" s="82">
        <f t="shared" si="32"/>
        <v>121</v>
      </c>
      <c r="AZ36" s="83">
        <f t="shared" si="32"/>
        <v>87</v>
      </c>
      <c r="BA36" s="332">
        <f t="shared" si="32"/>
        <v>91</v>
      </c>
      <c r="BB36" s="82">
        <f t="shared" si="32"/>
        <v>94</v>
      </c>
      <c r="BC36" s="83">
        <f t="shared" si="32"/>
        <v>89</v>
      </c>
      <c r="BD36" s="332">
        <f t="shared" si="32"/>
        <v>98</v>
      </c>
      <c r="BE36" s="82">
        <f t="shared" ref="BE36:BG36" si="36">SUM(BE24,BE28,BE32)</f>
        <v>89</v>
      </c>
      <c r="BF36" s="83">
        <f t="shared" si="36"/>
        <v>91</v>
      </c>
      <c r="BG36" s="332">
        <f t="shared" si="36"/>
        <v>116</v>
      </c>
      <c r="BH36" s="82">
        <f t="shared" ref="BH36:BJ36" si="37">SUM(BH24,BH28,BH32)</f>
        <v>104</v>
      </c>
      <c r="BI36" s="83">
        <f t="shared" si="37"/>
        <v>84</v>
      </c>
      <c r="BJ36" s="332">
        <f t="shared" si="37"/>
        <v>128</v>
      </c>
    </row>
    <row r="37" spans="1:62" s="161" customFormat="1" ht="12.9" customHeight="1" x14ac:dyDescent="0.25">
      <c r="A37" s="25"/>
      <c r="B37" s="1339" t="s">
        <v>317</v>
      </c>
      <c r="C37" s="333"/>
      <c r="D37" s="334"/>
      <c r="E37" s="334"/>
      <c r="F37" s="333"/>
      <c r="G37" s="334"/>
      <c r="H37" s="334"/>
      <c r="I37" s="333"/>
      <c r="J37" s="334"/>
      <c r="K37" s="334"/>
      <c r="L37" s="333"/>
      <c r="M37" s="334"/>
      <c r="N37" s="335"/>
      <c r="O37" s="334"/>
      <c r="P37" s="334"/>
      <c r="Q37" s="335"/>
      <c r="R37" s="333"/>
      <c r="S37" s="334"/>
      <c r="T37" s="335"/>
      <c r="U37" s="333"/>
      <c r="V37" s="334"/>
      <c r="W37" s="335"/>
      <c r="X37" s="333"/>
      <c r="Y37" s="334"/>
      <c r="Z37" s="335"/>
      <c r="AA37" s="333">
        <f>SUM(AA25,AA29,AA33)</f>
        <v>12</v>
      </c>
      <c r="AB37" s="334">
        <f t="shared" si="35"/>
        <v>12</v>
      </c>
      <c r="AC37" s="335">
        <f t="shared" si="35"/>
        <v>12</v>
      </c>
      <c r="AD37" s="333">
        <f t="shared" si="35"/>
        <v>22</v>
      </c>
      <c r="AE37" s="334">
        <f t="shared" si="32"/>
        <v>23</v>
      </c>
      <c r="AF37" s="335">
        <f t="shared" si="32"/>
        <v>28</v>
      </c>
      <c r="AG37" s="333">
        <f t="shared" si="32"/>
        <v>28</v>
      </c>
      <c r="AH37" s="334">
        <f t="shared" si="32"/>
        <v>29</v>
      </c>
      <c r="AI37" s="335">
        <f t="shared" si="32"/>
        <v>48</v>
      </c>
      <c r="AJ37" s="333">
        <f t="shared" si="32"/>
        <v>39</v>
      </c>
      <c r="AK37" s="334">
        <f t="shared" si="32"/>
        <v>44</v>
      </c>
      <c r="AL37" s="335">
        <f t="shared" si="32"/>
        <v>62</v>
      </c>
      <c r="AM37" s="333">
        <f t="shared" si="32"/>
        <v>60</v>
      </c>
      <c r="AN37" s="334">
        <f t="shared" si="32"/>
        <v>62</v>
      </c>
      <c r="AO37" s="335">
        <f t="shared" si="32"/>
        <v>85</v>
      </c>
      <c r="AP37" s="333">
        <f>SUM(AP25,AP29,AP33)</f>
        <v>82</v>
      </c>
      <c r="AQ37" s="334">
        <f t="shared" si="32"/>
        <v>84</v>
      </c>
      <c r="AR37" s="335">
        <f t="shared" si="32"/>
        <v>82</v>
      </c>
      <c r="AS37" s="333">
        <f t="shared" si="32"/>
        <v>75</v>
      </c>
      <c r="AT37" s="334">
        <f t="shared" si="32"/>
        <v>83</v>
      </c>
      <c r="AU37" s="335">
        <f t="shared" si="32"/>
        <v>85</v>
      </c>
      <c r="AV37" s="333">
        <f t="shared" si="32"/>
        <v>77</v>
      </c>
      <c r="AW37" s="334">
        <f t="shared" si="32"/>
        <v>73</v>
      </c>
      <c r="AX37" s="335">
        <f t="shared" si="32"/>
        <v>93</v>
      </c>
      <c r="AY37" s="333">
        <f t="shared" si="32"/>
        <v>94</v>
      </c>
      <c r="AZ37" s="334">
        <f t="shared" si="32"/>
        <v>82</v>
      </c>
      <c r="BA37" s="335">
        <f t="shared" si="32"/>
        <v>89</v>
      </c>
      <c r="BB37" s="333">
        <f t="shared" si="32"/>
        <v>94</v>
      </c>
      <c r="BC37" s="334">
        <f t="shared" si="32"/>
        <v>90</v>
      </c>
      <c r="BD37" s="335">
        <f t="shared" si="32"/>
        <v>79</v>
      </c>
      <c r="BE37" s="333">
        <f t="shared" ref="BE37:BG37" si="38">SUM(BE25,BE29,BE33)</f>
        <v>95</v>
      </c>
      <c r="BF37" s="334">
        <f t="shared" si="38"/>
        <v>90</v>
      </c>
      <c r="BG37" s="335">
        <f t="shared" si="38"/>
        <v>96</v>
      </c>
      <c r="BH37" s="333">
        <f t="shared" ref="BH37:BJ37" si="39">SUM(BH25,BH29,BH33)</f>
        <v>108</v>
      </c>
      <c r="BI37" s="334">
        <f t="shared" si="39"/>
        <v>94</v>
      </c>
      <c r="BJ37" s="335">
        <f t="shared" si="39"/>
        <v>91</v>
      </c>
    </row>
    <row r="38" spans="1:62" s="161" customFormat="1" ht="12.9" customHeight="1" x14ac:dyDescent="0.25">
      <c r="A38" s="25"/>
      <c r="B38" s="1355" t="s">
        <v>355</v>
      </c>
      <c r="C38" s="1357"/>
      <c r="D38" s="1356"/>
      <c r="E38" s="1356"/>
      <c r="F38" s="1357"/>
      <c r="G38" s="1356"/>
      <c r="H38" s="1356"/>
      <c r="I38" s="1357"/>
      <c r="J38" s="1356"/>
      <c r="K38" s="1356"/>
      <c r="L38" s="1357"/>
      <c r="M38" s="1356"/>
      <c r="N38" s="1358"/>
      <c r="O38" s="1356"/>
      <c r="P38" s="1356"/>
      <c r="Q38" s="1358"/>
      <c r="R38" s="1357"/>
      <c r="S38" s="1356"/>
      <c r="T38" s="1358"/>
      <c r="U38" s="1357"/>
      <c r="V38" s="1356"/>
      <c r="W38" s="1358"/>
      <c r="X38" s="1357"/>
      <c r="Y38" s="1356"/>
      <c r="Z38" s="1358"/>
      <c r="AA38" s="1357">
        <f>SUM(AA36:AA37)</f>
        <v>32</v>
      </c>
      <c r="AB38" s="1356">
        <f>SUM(AB36:AB37)</f>
        <v>31</v>
      </c>
      <c r="AC38" s="1358">
        <f>SUM(AC36:AC37)</f>
        <v>30</v>
      </c>
      <c r="AD38" s="1357">
        <f t="shared" ref="AD38:BD38" si="40">SUM(AD35:AD37)</f>
        <v>53</v>
      </c>
      <c r="AE38" s="1356">
        <f t="shared" si="40"/>
        <v>53</v>
      </c>
      <c r="AF38" s="1358">
        <f t="shared" si="40"/>
        <v>80</v>
      </c>
      <c r="AG38" s="1357">
        <f t="shared" si="40"/>
        <v>92</v>
      </c>
      <c r="AH38" s="1356">
        <f t="shared" si="40"/>
        <v>87</v>
      </c>
      <c r="AI38" s="1358">
        <f t="shared" si="40"/>
        <v>123</v>
      </c>
      <c r="AJ38" s="1357">
        <f t="shared" si="40"/>
        <v>107</v>
      </c>
      <c r="AK38" s="1356">
        <f t="shared" si="40"/>
        <v>109</v>
      </c>
      <c r="AL38" s="1358">
        <f t="shared" si="40"/>
        <v>160</v>
      </c>
      <c r="AM38" s="1357">
        <f t="shared" si="40"/>
        <v>135</v>
      </c>
      <c r="AN38" s="1356">
        <f t="shared" si="40"/>
        <v>138</v>
      </c>
      <c r="AO38" s="1358">
        <f t="shared" si="40"/>
        <v>201</v>
      </c>
      <c r="AP38" s="1357">
        <f t="shared" si="40"/>
        <v>189</v>
      </c>
      <c r="AQ38" s="1356">
        <f t="shared" si="40"/>
        <v>187</v>
      </c>
      <c r="AR38" s="1358">
        <f t="shared" si="40"/>
        <v>210</v>
      </c>
      <c r="AS38" s="1357">
        <f t="shared" si="40"/>
        <v>176</v>
      </c>
      <c r="AT38" s="1356">
        <f t="shared" si="40"/>
        <v>184</v>
      </c>
      <c r="AU38" s="1358">
        <f t="shared" si="40"/>
        <v>209</v>
      </c>
      <c r="AV38" s="1357">
        <f t="shared" si="40"/>
        <v>172</v>
      </c>
      <c r="AW38" s="1356">
        <f t="shared" si="40"/>
        <v>166</v>
      </c>
      <c r="AX38" s="1358">
        <f t="shared" si="40"/>
        <v>216</v>
      </c>
      <c r="AY38" s="1357">
        <f t="shared" si="40"/>
        <v>215</v>
      </c>
      <c r="AZ38" s="1356">
        <f t="shared" si="40"/>
        <v>169</v>
      </c>
      <c r="BA38" s="1358">
        <f t="shared" si="40"/>
        <v>180</v>
      </c>
      <c r="BB38" s="1357">
        <f t="shared" si="40"/>
        <v>190</v>
      </c>
      <c r="BC38" s="1356">
        <f t="shared" si="40"/>
        <v>181</v>
      </c>
      <c r="BD38" s="1358">
        <f t="shared" si="40"/>
        <v>179</v>
      </c>
      <c r="BE38" s="1357">
        <f t="shared" ref="BE38:BG38" si="41">SUM(BE35:BE37)</f>
        <v>186</v>
      </c>
      <c r="BF38" s="1356">
        <f t="shared" si="41"/>
        <v>182</v>
      </c>
      <c r="BG38" s="1358">
        <f t="shared" si="41"/>
        <v>213</v>
      </c>
      <c r="BH38" s="1357">
        <f t="shared" ref="BH38:BJ38" si="42">SUM(BH35:BH37)</f>
        <v>213</v>
      </c>
      <c r="BI38" s="1356">
        <f t="shared" si="42"/>
        <v>179</v>
      </c>
      <c r="BJ38" s="1358">
        <f t="shared" si="42"/>
        <v>220</v>
      </c>
    </row>
    <row r="39" spans="1:62" ht="12.9" customHeight="1" x14ac:dyDescent="0.25">
      <c r="B39" s="1353"/>
      <c r="C39" s="342"/>
      <c r="D39" s="342"/>
      <c r="E39" s="342"/>
      <c r="F39" s="342"/>
      <c r="G39" s="342"/>
      <c r="H39" s="342"/>
      <c r="I39" s="342"/>
      <c r="J39" s="342"/>
      <c r="K39" s="342"/>
      <c r="L39" s="342"/>
      <c r="M39" s="342"/>
      <c r="N39" s="342"/>
      <c r="O39" s="342"/>
      <c r="P39" s="342"/>
      <c r="Q39" s="342"/>
      <c r="R39" s="342"/>
      <c r="S39" s="342"/>
      <c r="T39" s="342"/>
      <c r="U39" s="342"/>
      <c r="V39" s="342"/>
      <c r="W39" s="342"/>
      <c r="X39" s="342"/>
      <c r="Y39" s="342"/>
      <c r="Z39" s="342"/>
      <c r="AA39" s="342"/>
      <c r="AB39" s="342"/>
      <c r="AC39" s="342"/>
      <c r="AD39" s="342"/>
      <c r="AE39" s="342"/>
      <c r="AF39" s="342"/>
      <c r="AG39" s="342"/>
      <c r="AH39" s="342"/>
      <c r="AI39" s="342"/>
      <c r="AJ39" s="342"/>
      <c r="AK39" s="342"/>
      <c r="AL39" s="342"/>
      <c r="AM39" s="342"/>
      <c r="AN39" s="342"/>
      <c r="AO39" s="342"/>
      <c r="AP39" s="342"/>
      <c r="AQ39" s="342"/>
      <c r="AR39" s="342"/>
      <c r="AS39" s="342"/>
      <c r="AT39" s="342"/>
      <c r="AU39" s="342"/>
      <c r="AV39" s="342"/>
      <c r="AW39" s="342"/>
      <c r="AX39" s="342"/>
      <c r="AY39" s="342"/>
      <c r="AZ39" s="342"/>
      <c r="BA39" s="342"/>
      <c r="BB39" s="342"/>
      <c r="BC39" s="342"/>
      <c r="BD39" s="342"/>
      <c r="BE39" s="342"/>
      <c r="BF39" s="342"/>
      <c r="BG39" s="342"/>
      <c r="BH39" s="342"/>
      <c r="BI39" s="342"/>
      <c r="BJ39" s="342"/>
    </row>
    <row r="40" spans="1:62" ht="12.9" customHeight="1" x14ac:dyDescent="0.25">
      <c r="B40" s="1334" t="s">
        <v>308</v>
      </c>
      <c r="C40" s="329"/>
      <c r="D40" s="330"/>
      <c r="E40" s="330"/>
      <c r="F40" s="329"/>
      <c r="G40" s="330"/>
      <c r="H40" s="330"/>
      <c r="I40" s="329"/>
      <c r="J40" s="330"/>
      <c r="K40" s="330"/>
      <c r="L40" s="329"/>
      <c r="M40" s="330"/>
      <c r="N40" s="331"/>
      <c r="O40" s="330"/>
      <c r="P40" s="330"/>
      <c r="Q40" s="331"/>
      <c r="R40" s="329"/>
      <c r="S40" s="330"/>
      <c r="T40" s="331"/>
      <c r="U40" s="329"/>
      <c r="V40" s="330"/>
      <c r="W40" s="331"/>
      <c r="X40" s="329"/>
      <c r="Y40" s="330"/>
      <c r="Z40" s="331"/>
      <c r="AA40" s="329"/>
      <c r="AB40" s="330"/>
      <c r="AC40" s="331"/>
      <c r="AD40" s="329"/>
      <c r="AE40" s="330"/>
      <c r="AF40" s="331"/>
      <c r="AG40" s="329"/>
      <c r="AH40" s="330"/>
      <c r="AI40" s="331"/>
      <c r="AJ40" s="329"/>
      <c r="AK40" s="330"/>
      <c r="AL40" s="331"/>
      <c r="AM40" s="329"/>
      <c r="AN40" s="330"/>
      <c r="AO40" s="331"/>
      <c r="AP40" s="329"/>
      <c r="AQ40" s="330">
        <f>SUM('MATRICULA-POS plan'!AR66)</f>
        <v>1</v>
      </c>
      <c r="AR40" s="331">
        <f>SUM('MATRICULA-POS plan'!AS66)</f>
        <v>2</v>
      </c>
      <c r="AS40" s="329"/>
      <c r="AT40" s="330">
        <f>SUM('MATRICULA-POS plan'!AU66)</f>
        <v>4</v>
      </c>
      <c r="AU40" s="331">
        <f>SUM('MATRICULA-POS plan'!AV66)</f>
        <v>4</v>
      </c>
      <c r="AV40" s="329">
        <f>SUM('MATRICULA-POS plan'!AW66)</f>
        <v>4</v>
      </c>
      <c r="AW40" s="330">
        <f>SUM('MATRICULA-POS plan'!AX66)</f>
        <v>3</v>
      </c>
      <c r="AX40" s="331">
        <f>SUM('MATRICULA-POS plan'!AY66)</f>
        <v>3</v>
      </c>
      <c r="AY40" s="329">
        <f>SUM('MATRICULA-POS plan'!AZ66)</f>
        <v>3</v>
      </c>
      <c r="AZ40" s="330">
        <f>SUM('MATRICULA-POS plan'!BA66)</f>
        <v>1</v>
      </c>
      <c r="BA40" s="331">
        <f>SUM('MATRICULA-POS plan'!BB66)</f>
        <v>2</v>
      </c>
      <c r="BB40" s="329">
        <f>SUM('MATRICULA-POS plan'!BC66)</f>
        <v>4</v>
      </c>
      <c r="BC40" s="330">
        <f>SUM('MATRICULA-POS plan'!BD66)</f>
        <v>3</v>
      </c>
      <c r="BD40" s="331">
        <f>SUM('MATRICULA-POS plan'!BE66)</f>
        <v>3</v>
      </c>
      <c r="BE40" s="329">
        <f>SUM('MATRICULA-POS plan'!BF66)</f>
        <v>3</v>
      </c>
      <c r="BF40" s="330">
        <f>SUM('MATRICULA-POS plan'!BG66)</f>
        <v>6</v>
      </c>
      <c r="BG40" s="331">
        <f>SUM('MATRICULA-POS plan'!BH66)</f>
        <v>5</v>
      </c>
      <c r="BH40" s="329">
        <f>SUM('MATRICULA-POS plan'!BI66)</f>
        <v>8</v>
      </c>
      <c r="BI40" s="330">
        <f>SUM('MATRICULA-POS plan'!BJ66)</f>
        <v>6</v>
      </c>
      <c r="BJ40" s="331">
        <f>SUM('MATRICULA-POS plan'!BK66)</f>
        <v>6</v>
      </c>
    </row>
    <row r="41" spans="1:62" ht="12.9" customHeight="1" x14ac:dyDescent="0.25">
      <c r="B41" s="1336" t="s">
        <v>310</v>
      </c>
      <c r="C41" s="82">
        <f>SUM('MATRICULA-POS plan'!D67:D73)</f>
        <v>52</v>
      </c>
      <c r="D41" s="83">
        <f>SUM('MATRICULA-POS plan'!E67:E73)</f>
        <v>51</v>
      </c>
      <c r="E41" s="83">
        <f>SUM('MATRICULA-POS plan'!F67:F73)</f>
        <v>72</v>
      </c>
      <c r="F41" s="82">
        <f>SUM('MATRICULA-POS plan'!G67:G73)</f>
        <v>67</v>
      </c>
      <c r="G41" s="83">
        <f>SUM('MATRICULA-POS plan'!H67:H73)</f>
        <v>68</v>
      </c>
      <c r="H41" s="83">
        <f>SUM('MATRICULA-POS plan'!I67:I73)</f>
        <v>87</v>
      </c>
      <c r="I41" s="82">
        <f>SUM('MATRICULA-POS plan'!J67:J73)</f>
        <v>94</v>
      </c>
      <c r="J41" s="83">
        <f>SUM('MATRICULA-POS plan'!K67:K73)</f>
        <v>97</v>
      </c>
      <c r="K41" s="83">
        <f>SUM('MATRICULA-POS plan'!L67:L73)</f>
        <v>128</v>
      </c>
      <c r="L41" s="82">
        <f>SUM('MATRICULA-POS plan'!M67:M73)</f>
        <v>122</v>
      </c>
      <c r="M41" s="83">
        <f>SUM('MATRICULA-POS plan'!N67:N73)</f>
        <v>128</v>
      </c>
      <c r="N41" s="332">
        <f>SUM('MATRICULA-POS plan'!O67:O73)</f>
        <v>162</v>
      </c>
      <c r="O41" s="83">
        <f>SUM('MATRICULA-POS plan'!P67:P73)</f>
        <v>208</v>
      </c>
      <c r="P41" s="83">
        <f>SUM('MATRICULA-POS plan'!Q67:Q73)</f>
        <v>151</v>
      </c>
      <c r="Q41" s="332">
        <f>SUM('MATRICULA-POS plan'!R67:R73)</f>
        <v>155</v>
      </c>
      <c r="R41" s="82">
        <f>SUM('MATRICULA-POS plan'!S67:S73)</f>
        <v>151</v>
      </c>
      <c r="S41" s="83">
        <f>SUM('MATRICULA-POS plan'!T67:T73)</f>
        <v>138</v>
      </c>
      <c r="T41" s="332">
        <f>SUM('MATRICULA-POS plan'!U67:U73)</f>
        <v>164</v>
      </c>
      <c r="U41" s="82">
        <f>SUM('MATRICULA-POS plan'!V67:V73)</f>
        <v>143</v>
      </c>
      <c r="V41" s="83">
        <f>SUM('MATRICULA-POS plan'!W67:W73)</f>
        <v>134</v>
      </c>
      <c r="W41" s="332">
        <f>SUM('MATRICULA-POS plan'!X67:X73)</f>
        <v>166</v>
      </c>
      <c r="X41" s="82">
        <f>SUM('MATRICULA-POS plan'!Y67:Y73)</f>
        <v>158</v>
      </c>
      <c r="Y41" s="83">
        <f>SUM('MATRICULA-POS plan'!Z67:Z73)</f>
        <v>154</v>
      </c>
      <c r="Z41" s="332">
        <f>SUM('MATRICULA-POS plan'!AA67:AA73)</f>
        <v>181</v>
      </c>
      <c r="AA41" s="82">
        <f>SUM('MATRICULA-POS plan'!AB67:AB73)</f>
        <v>260</v>
      </c>
      <c r="AB41" s="83">
        <f>SUM('MATRICULA-POS plan'!AC67:AC73)</f>
        <v>249</v>
      </c>
      <c r="AC41" s="332">
        <f>SUM('MATRICULA-POS plan'!AD67:AD73)</f>
        <v>287</v>
      </c>
      <c r="AD41" s="82">
        <f>SUM('MATRICULA-POS plan'!AE67:AE73)</f>
        <v>284</v>
      </c>
      <c r="AE41" s="83">
        <f>SUM('MATRICULA-POS plan'!AF67:AF73)</f>
        <v>270</v>
      </c>
      <c r="AF41" s="332">
        <f>SUM('MATRICULA-POS plan'!AG67:AG73)</f>
        <v>295</v>
      </c>
      <c r="AG41" s="82">
        <f>SUM('MATRICULA-POS plan'!AH67:AH73)</f>
        <v>309</v>
      </c>
      <c r="AH41" s="83">
        <f>SUM('MATRICULA-POS plan'!AI67:AI73)</f>
        <v>315</v>
      </c>
      <c r="AI41" s="332">
        <f>SUM('MATRICULA-POS plan'!AJ67:AJ73)</f>
        <v>317</v>
      </c>
      <c r="AJ41" s="82">
        <f>SUM('MATRICULA-POS plan'!AK67:AK73)</f>
        <v>302</v>
      </c>
      <c r="AK41" s="83">
        <f>SUM('MATRICULA-POS plan'!AL67:AL73)</f>
        <v>275</v>
      </c>
      <c r="AL41" s="332">
        <f>SUM('MATRICULA-POS plan'!AM67:AM73)</f>
        <v>316</v>
      </c>
      <c r="AM41" s="82">
        <f>SUM('MATRICULA-POS plan'!AN67:AN73)</f>
        <v>289</v>
      </c>
      <c r="AN41" s="83">
        <f>SUM('MATRICULA-POS plan'!AO67:AO73)</f>
        <v>302</v>
      </c>
      <c r="AO41" s="332">
        <f>SUM('MATRICULA-POS plan'!AP67:AP73)</f>
        <v>327</v>
      </c>
      <c r="AP41" s="82">
        <f>SUM('MATRICULA-POS plan'!AQ67:AQ73)</f>
        <v>324</v>
      </c>
      <c r="AQ41" s="83">
        <f>SUM('MATRICULA-POS plan'!AR67:AR73)</f>
        <v>309</v>
      </c>
      <c r="AR41" s="332">
        <f>SUM('MATRICULA-POS plan'!AS67:AS73)</f>
        <v>321</v>
      </c>
      <c r="AS41" s="82">
        <f>SUM('MATRICULA-POS plan'!AT67:AT73)</f>
        <v>321</v>
      </c>
      <c r="AT41" s="83">
        <f>SUM('MATRICULA-POS plan'!AU67:AU73)</f>
        <v>317</v>
      </c>
      <c r="AU41" s="332">
        <f>SUM('MATRICULA-POS plan'!AV67:AV73)</f>
        <v>307</v>
      </c>
      <c r="AV41" s="82">
        <f>SUM('MATRICULA-POS plan'!AW67:AW73)</f>
        <v>300</v>
      </c>
      <c r="AW41" s="83">
        <f>SUM('MATRICULA-POS plan'!AX67:AX73)</f>
        <v>290</v>
      </c>
      <c r="AX41" s="332">
        <f>SUM('MATRICULA-POS plan'!AY67:AY73)</f>
        <v>295</v>
      </c>
      <c r="AY41" s="82">
        <f>SUM('MATRICULA-POS plan'!AZ67:AZ73)</f>
        <v>261</v>
      </c>
      <c r="AZ41" s="83">
        <f>SUM('MATRICULA-POS plan'!BA67:BA73)</f>
        <v>291</v>
      </c>
      <c r="BA41" s="332">
        <f>SUM('MATRICULA-POS plan'!BB67:BB73)</f>
        <v>290</v>
      </c>
      <c r="BB41" s="82">
        <f>SUM('MATRICULA-POS plan'!BC67:BC73)</f>
        <v>242</v>
      </c>
      <c r="BC41" s="83">
        <f>SUM('MATRICULA-POS plan'!BD67:BD73)</f>
        <v>268</v>
      </c>
      <c r="BD41" s="332">
        <f>SUM('MATRICULA-POS plan'!BE67:BE73)</f>
        <v>251</v>
      </c>
      <c r="BE41" s="82">
        <f>SUM('MATRICULA-POS plan'!BF67:BF73)</f>
        <v>236</v>
      </c>
      <c r="BF41" s="83">
        <f>SUM('MATRICULA-POS plan'!BG67:BG73)</f>
        <v>246</v>
      </c>
      <c r="BG41" s="332">
        <f>SUM('MATRICULA-POS plan'!BH67:BH73)</f>
        <v>170</v>
      </c>
      <c r="BH41" s="82">
        <f>SUM('MATRICULA-POS plan'!BI67:BI73)</f>
        <v>232</v>
      </c>
      <c r="BI41" s="83">
        <f>SUM('MATRICULA-POS plan'!BJ67:BJ73)</f>
        <v>236</v>
      </c>
      <c r="BJ41" s="332">
        <f>SUM('MATRICULA-POS plan'!BK67:BK73)</f>
        <v>258</v>
      </c>
    </row>
    <row r="42" spans="1:62" ht="12.9" customHeight="1" x14ac:dyDescent="0.25">
      <c r="B42" s="1339" t="s">
        <v>317</v>
      </c>
      <c r="C42" s="333">
        <f>SUM('MATRICULA-POS plan'!D74:D81)</f>
        <v>227</v>
      </c>
      <c r="D42" s="334">
        <f>SUM('MATRICULA-POS plan'!E74:E81)</f>
        <v>221</v>
      </c>
      <c r="E42" s="334">
        <f>SUM('MATRICULA-POS plan'!F74:F81)</f>
        <v>218</v>
      </c>
      <c r="F42" s="333">
        <f>SUM('MATRICULA-POS plan'!G74:G81)</f>
        <v>214</v>
      </c>
      <c r="G42" s="334">
        <f>SUM('MATRICULA-POS plan'!H74:H81)</f>
        <v>208</v>
      </c>
      <c r="H42" s="334">
        <f>SUM('MATRICULA-POS plan'!I74:I81)</f>
        <v>212</v>
      </c>
      <c r="I42" s="333">
        <f>SUM('MATRICULA-POS plan'!J74:J81)</f>
        <v>212</v>
      </c>
      <c r="J42" s="334">
        <f>SUM('MATRICULA-POS plan'!K74:K81)</f>
        <v>217</v>
      </c>
      <c r="K42" s="334">
        <f>SUM('MATRICULA-POS plan'!L74:L81)</f>
        <v>217</v>
      </c>
      <c r="L42" s="333">
        <f>SUM('MATRICULA-POS plan'!M74:M81)</f>
        <v>223</v>
      </c>
      <c r="M42" s="334">
        <f>SUM('MATRICULA-POS plan'!N74:N81)</f>
        <v>216</v>
      </c>
      <c r="N42" s="335">
        <f>SUM('MATRICULA-POS plan'!O74:O81)</f>
        <v>217</v>
      </c>
      <c r="O42" s="334">
        <f>SUM('MATRICULA-POS plan'!P74:P81)</f>
        <v>171</v>
      </c>
      <c r="P42" s="334">
        <f>SUM('MATRICULA-POS plan'!Q74:Q81)</f>
        <v>208</v>
      </c>
      <c r="Q42" s="335">
        <f>SUM('MATRICULA-POS plan'!R74:R81)</f>
        <v>201</v>
      </c>
      <c r="R42" s="333">
        <f>SUM('MATRICULA-POS plan'!S74:S81)</f>
        <v>200</v>
      </c>
      <c r="S42" s="334">
        <f>SUM('MATRICULA-POS plan'!T74:T81)</f>
        <v>188</v>
      </c>
      <c r="T42" s="335">
        <f>SUM('MATRICULA-POS plan'!U74:U81)</f>
        <v>194</v>
      </c>
      <c r="U42" s="333">
        <f>SUM('MATRICULA-POS plan'!V74:V81)</f>
        <v>192</v>
      </c>
      <c r="V42" s="334">
        <f>SUM('MATRICULA-POS plan'!W74:W81)</f>
        <v>191</v>
      </c>
      <c r="W42" s="335">
        <f>SUM('MATRICULA-POS plan'!X74:X81)</f>
        <v>199</v>
      </c>
      <c r="X42" s="333">
        <f>SUM('MATRICULA-POS plan'!Y74:Y81)</f>
        <v>207</v>
      </c>
      <c r="Y42" s="334">
        <f>SUM('MATRICULA-POS plan'!Z74:Z81)</f>
        <v>199</v>
      </c>
      <c r="Z42" s="335">
        <f>SUM('MATRICULA-POS plan'!AA74:AA81)</f>
        <v>203</v>
      </c>
      <c r="AA42" s="333">
        <f>SUM('MATRICULA-POS plan'!AB74:AB81)</f>
        <v>211</v>
      </c>
      <c r="AB42" s="334">
        <f>SUM('MATRICULA-POS plan'!AC74:AC81)</f>
        <v>172</v>
      </c>
      <c r="AC42" s="335">
        <f>SUM('MATRICULA-POS plan'!AD74:AD81)</f>
        <v>211</v>
      </c>
      <c r="AD42" s="333">
        <f>SUM('MATRICULA-POS plan'!AE74:AE81)</f>
        <v>216</v>
      </c>
      <c r="AE42" s="334">
        <f>SUM('MATRICULA-POS plan'!AF74:AF81)</f>
        <v>214</v>
      </c>
      <c r="AF42" s="335">
        <f>SUM('MATRICULA-POS plan'!AG74:AG81)</f>
        <v>156</v>
      </c>
      <c r="AG42" s="333">
        <f>SUM('MATRICULA-POS plan'!AH74:AH81)</f>
        <v>242</v>
      </c>
      <c r="AH42" s="334">
        <f>SUM('MATRICULA-POS plan'!AI74:AI81)</f>
        <v>253</v>
      </c>
      <c r="AI42" s="335">
        <f>SUM('MATRICULA-POS plan'!AJ74:AJ81)</f>
        <v>258</v>
      </c>
      <c r="AJ42" s="333">
        <f>SUM('MATRICULA-POS plan'!AK74:AK81)</f>
        <v>255</v>
      </c>
      <c r="AK42" s="334">
        <f>SUM('MATRICULA-POS plan'!AL74:AL81)</f>
        <v>249</v>
      </c>
      <c r="AL42" s="335">
        <f>SUM('MATRICULA-POS plan'!AM74:AM81)</f>
        <v>259</v>
      </c>
      <c r="AM42" s="333">
        <f>SUM('MATRICULA-POS plan'!AN74:AN81)</f>
        <v>251</v>
      </c>
      <c r="AN42" s="334">
        <f>SUM('MATRICULA-POS plan'!AO74:AO81)</f>
        <v>259</v>
      </c>
      <c r="AO42" s="335">
        <f>SUM('MATRICULA-POS plan'!AP74:AP81)</f>
        <v>268</v>
      </c>
      <c r="AP42" s="333">
        <f>SUM('MATRICULA-POS plan'!AQ74:AQ81)</f>
        <v>257</v>
      </c>
      <c r="AQ42" s="334">
        <f>SUM('MATRICULA-POS plan'!AR74:AR81)</f>
        <v>239</v>
      </c>
      <c r="AR42" s="335">
        <f>SUM('MATRICULA-POS plan'!AS74:AS81)</f>
        <v>228</v>
      </c>
      <c r="AS42" s="333">
        <f>SUM('MATRICULA-POS plan'!AT74:AT81)</f>
        <v>221</v>
      </c>
      <c r="AT42" s="334">
        <f>SUM('MATRICULA-POS plan'!AU74:AU81)</f>
        <v>216</v>
      </c>
      <c r="AU42" s="335">
        <f>SUM('MATRICULA-POS plan'!AV74:AV81)</f>
        <v>212</v>
      </c>
      <c r="AV42" s="333">
        <f>SUM('MATRICULA-POS plan'!AW74:AW81)</f>
        <v>227</v>
      </c>
      <c r="AW42" s="334">
        <f>SUM('MATRICULA-POS plan'!AX74:AX81)</f>
        <v>219</v>
      </c>
      <c r="AX42" s="335">
        <f>SUM('MATRICULA-POS plan'!AY74:AY81)</f>
        <v>223</v>
      </c>
      <c r="AY42" s="333">
        <f>SUM('MATRICULA-POS plan'!AZ74:AZ81)</f>
        <v>222</v>
      </c>
      <c r="AZ42" s="334">
        <f>SUM('MATRICULA-POS plan'!BA74:BA81)</f>
        <v>215</v>
      </c>
      <c r="BA42" s="335">
        <f>SUM('MATRICULA-POS plan'!BB74:BB81)</f>
        <v>199</v>
      </c>
      <c r="BB42" s="333">
        <f>SUM('MATRICULA-POS plan'!BC74:BC81)</f>
        <v>188</v>
      </c>
      <c r="BC42" s="334">
        <f>SUM('MATRICULA-POS plan'!BD74:BD81)</f>
        <v>209</v>
      </c>
      <c r="BD42" s="335">
        <f>SUM('MATRICULA-POS plan'!BE74:BE81)</f>
        <v>211</v>
      </c>
      <c r="BE42" s="333">
        <f>SUM('MATRICULA-POS plan'!BF74:BF81)</f>
        <v>186</v>
      </c>
      <c r="BF42" s="334">
        <f>SUM('MATRICULA-POS plan'!BG74:BG81)</f>
        <v>175</v>
      </c>
      <c r="BG42" s="335">
        <f>SUM('MATRICULA-POS plan'!BH74:BH81)</f>
        <v>130</v>
      </c>
      <c r="BH42" s="333">
        <f>SUM('MATRICULA-POS plan'!BI74:BI81)</f>
        <v>189</v>
      </c>
      <c r="BI42" s="334">
        <f>SUM('MATRICULA-POS plan'!BJ74:BJ81)</f>
        <v>206</v>
      </c>
      <c r="BJ42" s="335">
        <f>SUM('MATRICULA-POS plan'!BK74:BK81)</f>
        <v>189</v>
      </c>
    </row>
    <row r="43" spans="1:62" s="1330" customFormat="1" ht="12.9" customHeight="1" x14ac:dyDescent="0.25">
      <c r="A43" s="25"/>
      <c r="B43" s="1342" t="s">
        <v>425</v>
      </c>
      <c r="C43" s="201">
        <v>279</v>
      </c>
      <c r="D43" s="202">
        <v>272</v>
      </c>
      <c r="E43" s="202">
        <v>290</v>
      </c>
      <c r="F43" s="201">
        <v>281</v>
      </c>
      <c r="G43" s="202">
        <v>276</v>
      </c>
      <c r="H43" s="202">
        <v>299</v>
      </c>
      <c r="I43" s="201">
        <v>306</v>
      </c>
      <c r="J43" s="202">
        <v>314</v>
      </c>
      <c r="K43" s="202">
        <v>345</v>
      </c>
      <c r="L43" s="201">
        <v>345</v>
      </c>
      <c r="M43" s="202">
        <v>344</v>
      </c>
      <c r="N43" s="203">
        <v>379</v>
      </c>
      <c r="O43" s="202">
        <v>379</v>
      </c>
      <c r="P43" s="202">
        <v>359</v>
      </c>
      <c r="Q43" s="203">
        <v>356</v>
      </c>
      <c r="R43" s="201">
        <v>351</v>
      </c>
      <c r="S43" s="202">
        <v>326</v>
      </c>
      <c r="T43" s="203">
        <v>358</v>
      </c>
      <c r="U43" s="201">
        <f t="shared" ref="U43:Z43" si="43">SUM(U40:U42)</f>
        <v>335</v>
      </c>
      <c r="V43" s="202">
        <f t="shared" si="43"/>
        <v>325</v>
      </c>
      <c r="W43" s="203">
        <f t="shared" si="43"/>
        <v>365</v>
      </c>
      <c r="X43" s="201">
        <f t="shared" si="43"/>
        <v>365</v>
      </c>
      <c r="Y43" s="202">
        <f t="shared" si="43"/>
        <v>353</v>
      </c>
      <c r="Z43" s="203">
        <f t="shared" si="43"/>
        <v>384</v>
      </c>
      <c r="AA43" s="201">
        <f>SUM(AA40:AA42)</f>
        <v>471</v>
      </c>
      <c r="AB43" s="202">
        <f>SUM(AB40:AB42)</f>
        <v>421</v>
      </c>
      <c r="AC43" s="203">
        <f>SUM(AC40:AC42)</f>
        <v>498</v>
      </c>
      <c r="AD43" s="201">
        <f>SUM(AD40:AD42)</f>
        <v>500</v>
      </c>
      <c r="AE43" s="202">
        <f t="shared" ref="AE43:BD43" si="44">SUM(AE40:AE42)</f>
        <v>484</v>
      </c>
      <c r="AF43" s="203">
        <f t="shared" si="44"/>
        <v>451</v>
      </c>
      <c r="AG43" s="201">
        <f t="shared" si="44"/>
        <v>551</v>
      </c>
      <c r="AH43" s="202">
        <f t="shared" si="44"/>
        <v>568</v>
      </c>
      <c r="AI43" s="203">
        <f t="shared" si="44"/>
        <v>575</v>
      </c>
      <c r="AJ43" s="201">
        <f t="shared" si="44"/>
        <v>557</v>
      </c>
      <c r="AK43" s="202">
        <f t="shared" si="44"/>
        <v>524</v>
      </c>
      <c r="AL43" s="203">
        <f t="shared" si="44"/>
        <v>575</v>
      </c>
      <c r="AM43" s="201">
        <f t="shared" si="44"/>
        <v>540</v>
      </c>
      <c r="AN43" s="202">
        <f t="shared" si="44"/>
        <v>561</v>
      </c>
      <c r="AO43" s="203">
        <f t="shared" si="44"/>
        <v>595</v>
      </c>
      <c r="AP43" s="201">
        <f t="shared" si="44"/>
        <v>581</v>
      </c>
      <c r="AQ43" s="202">
        <f t="shared" si="44"/>
        <v>549</v>
      </c>
      <c r="AR43" s="203">
        <f t="shared" si="44"/>
        <v>551</v>
      </c>
      <c r="AS43" s="201">
        <f t="shared" si="44"/>
        <v>542</v>
      </c>
      <c r="AT43" s="202">
        <f t="shared" si="44"/>
        <v>537</v>
      </c>
      <c r="AU43" s="203">
        <f t="shared" si="44"/>
        <v>523</v>
      </c>
      <c r="AV43" s="201">
        <f t="shared" si="44"/>
        <v>531</v>
      </c>
      <c r="AW43" s="202">
        <f t="shared" si="44"/>
        <v>512</v>
      </c>
      <c r="AX43" s="203">
        <f t="shared" si="44"/>
        <v>521</v>
      </c>
      <c r="AY43" s="201">
        <f t="shared" si="44"/>
        <v>486</v>
      </c>
      <c r="AZ43" s="202">
        <f t="shared" si="44"/>
        <v>507</v>
      </c>
      <c r="BA43" s="203">
        <f t="shared" si="44"/>
        <v>491</v>
      </c>
      <c r="BB43" s="201">
        <f t="shared" si="44"/>
        <v>434</v>
      </c>
      <c r="BC43" s="202">
        <f t="shared" si="44"/>
        <v>480</v>
      </c>
      <c r="BD43" s="203">
        <f t="shared" si="44"/>
        <v>465</v>
      </c>
      <c r="BE43" s="201">
        <f t="shared" ref="BE43:BG43" si="45">SUM(BE40:BE42)</f>
        <v>425</v>
      </c>
      <c r="BF43" s="202">
        <f t="shared" si="45"/>
        <v>427</v>
      </c>
      <c r="BG43" s="203">
        <f t="shared" si="45"/>
        <v>305</v>
      </c>
      <c r="BH43" s="201">
        <f t="shared" ref="BH43:BJ43" si="46">SUM(BH40:BH42)</f>
        <v>429</v>
      </c>
      <c r="BI43" s="202">
        <f t="shared" si="46"/>
        <v>448</v>
      </c>
      <c r="BJ43" s="203">
        <f t="shared" si="46"/>
        <v>453</v>
      </c>
    </row>
    <row r="44" spans="1:62" ht="12.9" customHeight="1" x14ac:dyDescent="0.25">
      <c r="B44" s="1334" t="s">
        <v>308</v>
      </c>
      <c r="C44" s="329">
        <f>SUM('MATRICULA-POS plan'!D83)</f>
        <v>6</v>
      </c>
      <c r="D44" s="330">
        <f>SUM('MATRICULA-POS plan'!E83)</f>
        <v>5</v>
      </c>
      <c r="E44" s="330">
        <f>SUM('MATRICULA-POS plan'!F83)</f>
        <v>44</v>
      </c>
      <c r="F44" s="329">
        <f>SUM('MATRICULA-POS plan'!G83)</f>
        <v>41</v>
      </c>
      <c r="G44" s="330">
        <f>SUM('MATRICULA-POS plan'!H83)</f>
        <v>32</v>
      </c>
      <c r="H44" s="330">
        <f>SUM('MATRICULA-POS plan'!I83)</f>
        <v>76</v>
      </c>
      <c r="I44" s="329">
        <f>SUM('MATRICULA-POS plan'!J83)</f>
        <v>73</v>
      </c>
      <c r="J44" s="330">
        <f>SUM('MATRICULA-POS plan'!K83)</f>
        <v>65</v>
      </c>
      <c r="K44" s="330">
        <f>SUM('MATRICULA-POS plan'!L83)</f>
        <v>1</v>
      </c>
      <c r="L44" s="329">
        <f>SUM('MATRICULA-POS plan'!M83)</f>
        <v>86</v>
      </c>
      <c r="M44" s="330">
        <f>SUM('MATRICULA-POS plan'!N83)</f>
        <v>82</v>
      </c>
      <c r="N44" s="331">
        <f>SUM('MATRICULA-POS plan'!O83)</f>
        <v>68</v>
      </c>
      <c r="O44" s="330">
        <f>SUM('MATRICULA-POS plan'!P83)</f>
        <v>90</v>
      </c>
      <c r="P44" s="330">
        <f>SUM('MATRICULA-POS plan'!Q83)</f>
        <v>81</v>
      </c>
      <c r="Q44" s="331">
        <f>SUM('MATRICULA-POS plan'!R83)</f>
        <v>100</v>
      </c>
      <c r="R44" s="329">
        <f>SUM('MATRICULA-POS plan'!S83)</f>
        <v>102</v>
      </c>
      <c r="S44" s="330">
        <f>SUM('MATRICULA-POS plan'!T83)</f>
        <v>89</v>
      </c>
      <c r="T44" s="331">
        <f>SUM('MATRICULA-POS plan'!U83)</f>
        <v>85</v>
      </c>
      <c r="U44" s="329">
        <f>SUM('MATRICULA-POS plan'!V83)</f>
        <v>0</v>
      </c>
      <c r="V44" s="330">
        <f>SUM('MATRICULA-POS plan'!W83)</f>
        <v>99</v>
      </c>
      <c r="W44" s="331">
        <f>SUM('MATRICULA-POS plan'!X83)</f>
        <v>116</v>
      </c>
      <c r="X44" s="329">
        <f>SUM('MATRICULA-POS plan'!Y83)</f>
        <v>67</v>
      </c>
      <c r="Y44" s="330">
        <f>SUM('MATRICULA-POS plan'!Z83)</f>
        <v>0</v>
      </c>
      <c r="Z44" s="331">
        <f>SUM('MATRICULA-POS plan'!AA83)</f>
        <v>104</v>
      </c>
      <c r="AA44" s="329">
        <f>SUM('MATRICULA-POS plan'!AB83)</f>
        <v>65</v>
      </c>
      <c r="AB44" s="330">
        <f>SUM('MATRICULA-POS plan'!AC83)</f>
        <v>62</v>
      </c>
      <c r="AC44" s="331">
        <f>SUM('MATRICULA-POS plan'!AD83)</f>
        <v>92</v>
      </c>
      <c r="AD44" s="329">
        <f>SUM('MATRICULA-POS plan'!AE83)</f>
        <v>81</v>
      </c>
      <c r="AE44" s="330">
        <f>SUM('MATRICULA-POS plan'!AF83)</f>
        <v>65</v>
      </c>
      <c r="AF44" s="331">
        <f>SUM('MATRICULA-POS plan'!AG83)</f>
        <v>3</v>
      </c>
      <c r="AG44" s="329">
        <f>SUM('MATRICULA-POS plan'!AH83)</f>
        <v>0</v>
      </c>
      <c r="AH44" s="330">
        <f>SUM('MATRICULA-POS plan'!AI83)</f>
        <v>1</v>
      </c>
      <c r="AI44" s="331">
        <f>SUM('MATRICULA-POS plan'!AJ83)</f>
        <v>37</v>
      </c>
      <c r="AJ44" s="329">
        <f>SUM('MATRICULA-POS plan'!AK83)</f>
        <v>29</v>
      </c>
      <c r="AK44" s="330">
        <f>SUM('MATRICULA-POS plan'!AL83)</f>
        <v>27</v>
      </c>
      <c r="AL44" s="331">
        <f>SUM('MATRICULA-POS plan'!AM83)</f>
        <v>15</v>
      </c>
      <c r="AM44" s="329">
        <f>SUM('MATRICULA-POS plan'!AN83)</f>
        <v>49</v>
      </c>
      <c r="AN44" s="330">
        <f>SUM('MATRICULA-POS plan'!AO83)</f>
        <v>48</v>
      </c>
      <c r="AO44" s="331">
        <f>SUM('MATRICULA-POS plan'!AP83)</f>
        <v>55</v>
      </c>
      <c r="AP44" s="329">
        <f>SUM('MATRICULA-POS plan'!AQ83)</f>
        <v>22</v>
      </c>
      <c r="AQ44" s="330">
        <f>SUM('MATRICULA-POS plan'!AR83)</f>
        <v>20</v>
      </c>
      <c r="AR44" s="331">
        <f>SUM('MATRICULA-POS plan'!AS83)</f>
        <v>12</v>
      </c>
      <c r="AS44" s="329">
        <f>SUM('MATRICULA-POS plan'!AT83)</f>
        <v>12</v>
      </c>
      <c r="AT44" s="330">
        <f>SUM('MATRICULA-POS plan'!AU83)</f>
        <v>73</v>
      </c>
      <c r="AU44" s="331">
        <f>SUM('MATRICULA-POS plan'!AV83)</f>
        <v>57</v>
      </c>
      <c r="AV44" s="329">
        <f>SUM('MATRICULA-POS plan'!AW83)</f>
        <v>54</v>
      </c>
      <c r="AW44" s="330">
        <f>SUM('MATRICULA-POS plan'!AX83)</f>
        <v>50</v>
      </c>
      <c r="AX44" s="331">
        <f>SUM('MATRICULA-POS plan'!AY83)</f>
        <v>52</v>
      </c>
      <c r="AY44" s="329">
        <f>SUM('MATRICULA-POS plan'!AZ83)</f>
        <v>48</v>
      </c>
      <c r="AZ44" s="330">
        <f>SUM('MATRICULA-POS plan'!BA83)</f>
        <v>38</v>
      </c>
      <c r="BA44" s="331">
        <f>SUM('MATRICULA-POS plan'!BB83)</f>
        <v>27</v>
      </c>
      <c r="BB44" s="329">
        <f>SUM('MATRICULA-POS plan'!BC83)</f>
        <v>27</v>
      </c>
      <c r="BC44" s="330">
        <f>SUM('MATRICULA-POS plan'!BD83)</f>
        <v>57</v>
      </c>
      <c r="BD44" s="331">
        <f>SUM('MATRICULA-POS plan'!BE83)</f>
        <v>56</v>
      </c>
      <c r="BE44" s="329">
        <f>SUM('MATRICULA-POS plan'!BF83)</f>
        <v>67</v>
      </c>
      <c r="BF44" s="330">
        <f>SUM('MATRICULA-POS plan'!BG83)</f>
        <v>10</v>
      </c>
      <c r="BG44" s="331">
        <f>SUM('MATRICULA-POS plan'!BH83)</f>
        <v>0</v>
      </c>
      <c r="BH44" s="329">
        <f>SUM('MATRICULA-POS plan'!BI83)</f>
        <v>45</v>
      </c>
      <c r="BI44" s="330">
        <f>SUM('MATRICULA-POS plan'!BJ83)</f>
        <v>41</v>
      </c>
      <c r="BJ44" s="331">
        <f>SUM('MATRICULA-POS plan'!BK83)</f>
        <v>9</v>
      </c>
    </row>
    <row r="45" spans="1:62" ht="12.9" customHeight="1" x14ac:dyDescent="0.25">
      <c r="B45" s="1336" t="s">
        <v>310</v>
      </c>
      <c r="C45" s="82">
        <f>SUM('MATRICULA-POS plan'!D84:D90)</f>
        <v>115</v>
      </c>
      <c r="D45" s="83">
        <f>SUM('MATRICULA-POS plan'!E84:E90)</f>
        <v>90</v>
      </c>
      <c r="E45" s="83">
        <f>SUM('MATRICULA-POS plan'!F84:F90)</f>
        <v>106</v>
      </c>
      <c r="F45" s="82">
        <f>SUM('MATRICULA-POS plan'!G84:G90)</f>
        <v>102</v>
      </c>
      <c r="G45" s="83">
        <f>SUM('MATRICULA-POS plan'!H84:H90)</f>
        <v>87</v>
      </c>
      <c r="H45" s="83">
        <f>SUM('MATRICULA-POS plan'!I84:I90)</f>
        <v>95</v>
      </c>
      <c r="I45" s="82">
        <f>SUM('MATRICULA-POS plan'!J84:J90)</f>
        <v>139</v>
      </c>
      <c r="J45" s="83">
        <f>SUM('MATRICULA-POS plan'!K84:K90)</f>
        <v>115</v>
      </c>
      <c r="K45" s="83">
        <f>SUM('MATRICULA-POS plan'!L84:L90)</f>
        <v>121</v>
      </c>
      <c r="L45" s="82">
        <f>SUM('MATRICULA-POS plan'!M84:M90)</f>
        <v>117</v>
      </c>
      <c r="M45" s="83">
        <f>SUM('MATRICULA-POS plan'!N84:N90)</f>
        <v>106</v>
      </c>
      <c r="N45" s="332">
        <f>SUM('MATRICULA-POS plan'!O84:O90)</f>
        <v>118</v>
      </c>
      <c r="O45" s="83">
        <f>SUM('MATRICULA-POS plan'!P84:P90)</f>
        <v>187</v>
      </c>
      <c r="P45" s="83">
        <f>SUM('MATRICULA-POS plan'!Q84:Q90)</f>
        <v>151</v>
      </c>
      <c r="Q45" s="332">
        <f>SUM('MATRICULA-POS plan'!R84:R90)</f>
        <v>147</v>
      </c>
      <c r="R45" s="82">
        <f>SUM('MATRICULA-POS plan'!S84:S90)</f>
        <v>165</v>
      </c>
      <c r="S45" s="83">
        <f>SUM('MATRICULA-POS plan'!T84:T90)</f>
        <v>144</v>
      </c>
      <c r="T45" s="332">
        <f>SUM('MATRICULA-POS plan'!U84:U90)</f>
        <v>266</v>
      </c>
      <c r="U45" s="82">
        <f>SUM('MATRICULA-POS plan'!V84:V90)</f>
        <v>237</v>
      </c>
      <c r="V45" s="83">
        <f>SUM('MATRICULA-POS plan'!W84:W90)</f>
        <v>212</v>
      </c>
      <c r="W45" s="332">
        <f>SUM('MATRICULA-POS plan'!X84:X90)</f>
        <v>201</v>
      </c>
      <c r="X45" s="82">
        <f>SUM('MATRICULA-POS plan'!Y84:Y90)</f>
        <v>215</v>
      </c>
      <c r="Y45" s="83">
        <f>SUM('MATRICULA-POS plan'!Z84:Z90)</f>
        <v>180</v>
      </c>
      <c r="Z45" s="332">
        <f>SUM('MATRICULA-POS plan'!AA84:AA90)</f>
        <v>249</v>
      </c>
      <c r="AA45" s="82">
        <f>SUM('MATRICULA-POS plan'!AB84:AB90)</f>
        <v>269</v>
      </c>
      <c r="AB45" s="83">
        <f>SUM('MATRICULA-POS plan'!AC84:AC90)</f>
        <v>207</v>
      </c>
      <c r="AC45" s="332">
        <f>SUM('MATRICULA-POS plan'!AD84:AD90)</f>
        <v>190</v>
      </c>
      <c r="AD45" s="82">
        <f>SUM('MATRICULA-POS plan'!AE84:AE90)</f>
        <v>181</v>
      </c>
      <c r="AE45" s="83">
        <f>SUM('MATRICULA-POS plan'!AF84:AF90)</f>
        <v>168</v>
      </c>
      <c r="AF45" s="332">
        <f>SUM('MATRICULA-POS plan'!AG84:AG90)</f>
        <v>233</v>
      </c>
      <c r="AG45" s="82">
        <f>SUM('MATRICULA-POS plan'!AH84:AH90)</f>
        <v>218</v>
      </c>
      <c r="AH45" s="83">
        <f>SUM('MATRICULA-POS plan'!AI84:AI90)</f>
        <v>184</v>
      </c>
      <c r="AI45" s="332">
        <f>SUM('MATRICULA-POS plan'!AJ84:AJ90)</f>
        <v>169</v>
      </c>
      <c r="AJ45" s="82">
        <f>SUM('MATRICULA-POS plan'!AK84:AK90)</f>
        <v>168</v>
      </c>
      <c r="AK45" s="83">
        <f>SUM('MATRICULA-POS plan'!AL84:AL90)</f>
        <v>166</v>
      </c>
      <c r="AL45" s="332">
        <f>SUM('MATRICULA-POS plan'!AM84:AM90)</f>
        <v>204</v>
      </c>
      <c r="AM45" s="82">
        <f>SUM('MATRICULA-POS plan'!AN84:AN90)</f>
        <v>143</v>
      </c>
      <c r="AN45" s="83">
        <f>SUM('MATRICULA-POS plan'!AO84:AO90)</f>
        <v>136</v>
      </c>
      <c r="AO45" s="332">
        <f>SUM('MATRICULA-POS plan'!AP84:AP90)</f>
        <v>176</v>
      </c>
      <c r="AP45" s="82">
        <f>SUM('MATRICULA-POS plan'!AQ84:AQ90)</f>
        <v>170</v>
      </c>
      <c r="AQ45" s="83">
        <f>SUM('MATRICULA-POS plan'!AR84:AR90)</f>
        <v>147</v>
      </c>
      <c r="AR45" s="332">
        <f>SUM('MATRICULA-POS plan'!AS84:AS90)</f>
        <v>162</v>
      </c>
      <c r="AS45" s="82">
        <f>SUM('MATRICULA-POS plan'!AT84:AT90)</f>
        <v>134</v>
      </c>
      <c r="AT45" s="83">
        <f>SUM('MATRICULA-POS plan'!AU84:AU90)</f>
        <v>130</v>
      </c>
      <c r="AU45" s="332">
        <f>SUM('MATRICULA-POS plan'!AV84:AV92)</f>
        <v>163</v>
      </c>
      <c r="AV45" s="82">
        <f>SUM('MATRICULA-POS plan'!AW84:AW92)</f>
        <v>159</v>
      </c>
      <c r="AW45" s="83">
        <f>SUM('MATRICULA-POS plan'!AX84:AX92)</f>
        <v>136</v>
      </c>
      <c r="AX45" s="332">
        <f>SUM('MATRICULA-POS plan'!AY84:AY92)</f>
        <v>179</v>
      </c>
      <c r="AY45" s="82">
        <f>SUM('MATRICULA-POS plan'!AZ84:AZ92)</f>
        <v>149</v>
      </c>
      <c r="AZ45" s="83">
        <f>SUM('MATRICULA-POS plan'!BA84:BA92)</f>
        <v>148</v>
      </c>
      <c r="BA45" s="332">
        <f>SUM('MATRICULA-POS plan'!BB84:BB92)</f>
        <v>161</v>
      </c>
      <c r="BB45" s="82">
        <f>SUM('MATRICULA-POS plan'!BC84:BC92)</f>
        <v>144</v>
      </c>
      <c r="BC45" s="83">
        <f>SUM('MATRICULA-POS plan'!BD84:BD92)</f>
        <v>148</v>
      </c>
      <c r="BD45" s="332">
        <f>SUM('MATRICULA-POS plan'!BE84:BE92)</f>
        <v>131</v>
      </c>
      <c r="BE45" s="82">
        <f>SUM('MATRICULA-POS plan'!BF84:BF92)</f>
        <v>154</v>
      </c>
      <c r="BF45" s="83">
        <f>SUM('MATRICULA-POS plan'!BG84:BG92)</f>
        <v>132</v>
      </c>
      <c r="BG45" s="332">
        <f>SUM('MATRICULA-POS plan'!BH84:BH92)</f>
        <v>126</v>
      </c>
      <c r="BH45" s="82">
        <f>SUM('MATRICULA-POS plan'!BI84:BI92)</f>
        <v>172</v>
      </c>
      <c r="BI45" s="83">
        <f>SUM('MATRICULA-POS plan'!BJ84:BJ92)</f>
        <v>157</v>
      </c>
      <c r="BJ45" s="332">
        <f>SUM('MATRICULA-POS plan'!BK84:BK92)</f>
        <v>191</v>
      </c>
    </row>
    <row r="46" spans="1:62" ht="12.9" customHeight="1" x14ac:dyDescent="0.25">
      <c r="B46" s="1339" t="s">
        <v>317</v>
      </c>
      <c r="C46" s="333">
        <f>SUM('MATRICULA-POS plan'!D93:D97)</f>
        <v>227</v>
      </c>
      <c r="D46" s="334">
        <f>SUM('MATRICULA-POS plan'!E93:E97)</f>
        <v>221</v>
      </c>
      <c r="E46" s="334">
        <f>SUM('MATRICULA-POS plan'!F93:F97)</f>
        <v>220</v>
      </c>
      <c r="F46" s="333">
        <f>SUM('MATRICULA-POS plan'!G93:G97)</f>
        <v>198</v>
      </c>
      <c r="G46" s="334">
        <f>SUM('MATRICULA-POS plan'!H93:H97)</f>
        <v>215</v>
      </c>
      <c r="H46" s="334">
        <f>SUM('MATRICULA-POS plan'!I93:I97)</f>
        <v>211</v>
      </c>
      <c r="I46" s="333">
        <f>SUM('MATRICULA-POS plan'!J93:J97)</f>
        <v>223</v>
      </c>
      <c r="J46" s="334">
        <f>SUM('MATRICULA-POS plan'!K93:K97)</f>
        <v>194</v>
      </c>
      <c r="K46" s="334">
        <f>SUM('MATRICULA-POS plan'!L93:L97)</f>
        <v>188</v>
      </c>
      <c r="L46" s="333">
        <f>SUM('MATRICULA-POS plan'!M93:M97)</f>
        <v>198</v>
      </c>
      <c r="M46" s="334">
        <f>SUM('MATRICULA-POS plan'!N93:N97)</f>
        <v>185</v>
      </c>
      <c r="N46" s="335">
        <f>SUM('MATRICULA-POS plan'!O93:O97)</f>
        <v>178</v>
      </c>
      <c r="O46" s="334">
        <f>SUM('MATRICULA-POS plan'!P93:P97)</f>
        <v>180</v>
      </c>
      <c r="P46" s="334">
        <f>SUM('MATRICULA-POS plan'!Q93:Q97)</f>
        <v>175</v>
      </c>
      <c r="Q46" s="335">
        <f>SUM('MATRICULA-POS plan'!R93:R97)</f>
        <v>172</v>
      </c>
      <c r="R46" s="333">
        <f>SUM('MATRICULA-POS plan'!S93:S97)</f>
        <v>187</v>
      </c>
      <c r="S46" s="334">
        <f>SUM('MATRICULA-POS plan'!T93:T97)</f>
        <v>148</v>
      </c>
      <c r="T46" s="335">
        <f>SUM('MATRICULA-POS plan'!U93:U97)</f>
        <v>203</v>
      </c>
      <c r="U46" s="333">
        <f>SUM('MATRICULA-POS plan'!V93:V97)</f>
        <v>247</v>
      </c>
      <c r="V46" s="334">
        <f>SUM('MATRICULA-POS plan'!W93:W97)</f>
        <v>236</v>
      </c>
      <c r="W46" s="335">
        <f>SUM('MATRICULA-POS plan'!X93:X97)</f>
        <v>253</v>
      </c>
      <c r="X46" s="333">
        <f>SUM('MATRICULA-POS plan'!Y93:Y97)</f>
        <v>293</v>
      </c>
      <c r="Y46" s="334">
        <f>SUM('MATRICULA-POS plan'!Z93:Z97)</f>
        <v>245</v>
      </c>
      <c r="Z46" s="335">
        <f>SUM('MATRICULA-POS plan'!AA93:AA97)</f>
        <v>302</v>
      </c>
      <c r="AA46" s="333">
        <f>SUM('MATRICULA-POS plan'!AB93:AB97)</f>
        <v>345</v>
      </c>
      <c r="AB46" s="334">
        <f>SUM('MATRICULA-POS plan'!AC93:AC97)</f>
        <v>321</v>
      </c>
      <c r="AC46" s="335">
        <f>SUM('MATRICULA-POS plan'!AD93:AD97)</f>
        <v>348</v>
      </c>
      <c r="AD46" s="333">
        <f>SUM('MATRICULA-POS plan'!AE93:AE97)</f>
        <v>337</v>
      </c>
      <c r="AE46" s="334">
        <f>SUM('MATRICULA-POS plan'!AF93:AF97)</f>
        <v>325</v>
      </c>
      <c r="AF46" s="335">
        <f>SUM('MATRICULA-POS plan'!AG93:AG97)</f>
        <v>366</v>
      </c>
      <c r="AG46" s="333">
        <f>SUM('MATRICULA-POS plan'!AH93:AH97)</f>
        <v>377</v>
      </c>
      <c r="AH46" s="334">
        <f>SUM('MATRICULA-POS plan'!AI93:AI97)</f>
        <v>357</v>
      </c>
      <c r="AI46" s="335">
        <f>SUM('MATRICULA-POS plan'!AJ93:AJ97)</f>
        <v>349</v>
      </c>
      <c r="AJ46" s="333">
        <f>SUM('MATRICULA-POS plan'!AK93:AK97)</f>
        <v>337</v>
      </c>
      <c r="AK46" s="334">
        <f>SUM('MATRICULA-POS plan'!AL93:AL97)</f>
        <v>305</v>
      </c>
      <c r="AL46" s="335">
        <f>SUM('MATRICULA-POS plan'!AM93:AM97)</f>
        <v>385</v>
      </c>
      <c r="AM46" s="333">
        <f>SUM('MATRICULA-POS plan'!AN93:AN97)</f>
        <v>345</v>
      </c>
      <c r="AN46" s="334">
        <f>SUM('MATRICULA-POS plan'!AO93:AO97)</f>
        <v>332</v>
      </c>
      <c r="AO46" s="335">
        <f>SUM('MATRICULA-POS plan'!AP93:AP97)</f>
        <v>340</v>
      </c>
      <c r="AP46" s="333">
        <f>SUM('MATRICULA-POS plan'!AQ93:AQ97)</f>
        <v>339</v>
      </c>
      <c r="AQ46" s="334">
        <f>SUM('MATRICULA-POS plan'!AR93:AR97)</f>
        <v>319</v>
      </c>
      <c r="AR46" s="335">
        <f>SUM('MATRICULA-POS plan'!AS93:AS97)</f>
        <v>357</v>
      </c>
      <c r="AS46" s="333">
        <f>SUM('MATRICULA-POS plan'!AT93:AT97)</f>
        <v>325</v>
      </c>
      <c r="AT46" s="334">
        <f>SUM('MATRICULA-POS plan'!AU93:AU97)</f>
        <v>323</v>
      </c>
      <c r="AU46" s="335">
        <f>SUM('MATRICULA-POS plan'!AV93:AV99)</f>
        <v>320</v>
      </c>
      <c r="AV46" s="333">
        <f>SUM('MATRICULA-POS plan'!AW93:AW99)</f>
        <v>305</v>
      </c>
      <c r="AW46" s="334">
        <f>SUM('MATRICULA-POS plan'!AX93:AX99)</f>
        <v>255</v>
      </c>
      <c r="AX46" s="335">
        <f>SUM('MATRICULA-POS plan'!AY93:AY99)</f>
        <v>290</v>
      </c>
      <c r="AY46" s="333">
        <f>SUM('MATRICULA-POS plan'!AZ93:AZ99)</f>
        <v>267</v>
      </c>
      <c r="AZ46" s="334">
        <f>SUM('MATRICULA-POS plan'!BA93:BA99)</f>
        <v>294</v>
      </c>
      <c r="BA46" s="335">
        <f>SUM('MATRICULA-POS plan'!BB93:BB99)</f>
        <v>297</v>
      </c>
      <c r="BB46" s="333">
        <f>SUM('MATRICULA-POS plan'!BC93:BC99)</f>
        <v>300</v>
      </c>
      <c r="BC46" s="334">
        <f>SUM('MATRICULA-POS plan'!BD93:BD99)</f>
        <v>285</v>
      </c>
      <c r="BD46" s="335">
        <f>SUM('MATRICULA-POS plan'!BE93:BE99)</f>
        <v>316</v>
      </c>
      <c r="BE46" s="333">
        <f>SUM('MATRICULA-POS plan'!BF93:BF99)</f>
        <v>306</v>
      </c>
      <c r="BF46" s="334">
        <f>SUM('MATRICULA-POS plan'!BG93:BG99)</f>
        <v>288</v>
      </c>
      <c r="BG46" s="335">
        <f>SUM('MATRICULA-POS plan'!BH93:BH99)</f>
        <v>283</v>
      </c>
      <c r="BH46" s="333">
        <f>SUM('MATRICULA-POS plan'!BI93:BI99)</f>
        <v>338</v>
      </c>
      <c r="BI46" s="334">
        <f>SUM('MATRICULA-POS plan'!BJ93:BJ99)</f>
        <v>326</v>
      </c>
      <c r="BJ46" s="335">
        <f>SUM('MATRICULA-POS plan'!BK93:BK99)</f>
        <v>344</v>
      </c>
    </row>
    <row r="47" spans="1:62" s="1330" customFormat="1" ht="12.9" customHeight="1" x14ac:dyDescent="0.25">
      <c r="A47" s="25"/>
      <c r="B47" s="1342" t="s">
        <v>426</v>
      </c>
      <c r="C47" s="201">
        <v>348</v>
      </c>
      <c r="D47" s="202">
        <v>316</v>
      </c>
      <c r="E47" s="202">
        <v>370</v>
      </c>
      <c r="F47" s="201">
        <v>341</v>
      </c>
      <c r="G47" s="202">
        <v>334</v>
      </c>
      <c r="H47" s="202">
        <v>382</v>
      </c>
      <c r="I47" s="201">
        <v>435</v>
      </c>
      <c r="J47" s="202">
        <v>374</v>
      </c>
      <c r="K47" s="202">
        <v>310</v>
      </c>
      <c r="L47" s="201">
        <v>401</v>
      </c>
      <c r="M47" s="202">
        <v>373</v>
      </c>
      <c r="N47" s="203">
        <v>364</v>
      </c>
      <c r="O47" s="202">
        <v>457</v>
      </c>
      <c r="P47" s="202">
        <v>407</v>
      </c>
      <c r="Q47" s="203">
        <v>419</v>
      </c>
      <c r="R47" s="201">
        <v>454</v>
      </c>
      <c r="S47" s="202">
        <v>381</v>
      </c>
      <c r="T47" s="203">
        <v>554</v>
      </c>
      <c r="U47" s="201">
        <f t="shared" ref="U47:Z47" si="47">SUM(U44:U46)</f>
        <v>484</v>
      </c>
      <c r="V47" s="202">
        <f t="shared" si="47"/>
        <v>547</v>
      </c>
      <c r="W47" s="203">
        <f t="shared" si="47"/>
        <v>570</v>
      </c>
      <c r="X47" s="201">
        <f t="shared" si="47"/>
        <v>575</v>
      </c>
      <c r="Y47" s="202">
        <f t="shared" si="47"/>
        <v>425</v>
      </c>
      <c r="Z47" s="203">
        <f t="shared" si="47"/>
        <v>655</v>
      </c>
      <c r="AA47" s="201">
        <f>SUM(AA44:AA46)</f>
        <v>679</v>
      </c>
      <c r="AB47" s="202">
        <f>SUM(AB44:AB46)</f>
        <v>590</v>
      </c>
      <c r="AC47" s="203">
        <f>SUM(AC44:AC46)</f>
        <v>630</v>
      </c>
      <c r="AD47" s="201">
        <f>SUM(AD44:AD46)</f>
        <v>599</v>
      </c>
      <c r="AE47" s="202">
        <f t="shared" ref="AE47:BD47" si="48">SUM(AE44:AE46)</f>
        <v>558</v>
      </c>
      <c r="AF47" s="203">
        <f t="shared" si="48"/>
        <v>602</v>
      </c>
      <c r="AG47" s="201">
        <f t="shared" si="48"/>
        <v>595</v>
      </c>
      <c r="AH47" s="202">
        <f t="shared" si="48"/>
        <v>542</v>
      </c>
      <c r="AI47" s="203">
        <f t="shared" si="48"/>
        <v>555</v>
      </c>
      <c r="AJ47" s="201">
        <f t="shared" si="48"/>
        <v>534</v>
      </c>
      <c r="AK47" s="202">
        <f t="shared" si="48"/>
        <v>498</v>
      </c>
      <c r="AL47" s="203">
        <f t="shared" si="48"/>
        <v>604</v>
      </c>
      <c r="AM47" s="201">
        <f t="shared" si="48"/>
        <v>537</v>
      </c>
      <c r="AN47" s="202">
        <f t="shared" si="48"/>
        <v>516</v>
      </c>
      <c r="AO47" s="203">
        <f t="shared" si="48"/>
        <v>571</v>
      </c>
      <c r="AP47" s="201">
        <f t="shared" si="48"/>
        <v>531</v>
      </c>
      <c r="AQ47" s="202">
        <f t="shared" si="48"/>
        <v>486</v>
      </c>
      <c r="AR47" s="203">
        <f t="shared" si="48"/>
        <v>531</v>
      </c>
      <c r="AS47" s="201">
        <f t="shared" si="48"/>
        <v>471</v>
      </c>
      <c r="AT47" s="202">
        <f t="shared" si="48"/>
        <v>526</v>
      </c>
      <c r="AU47" s="203">
        <f t="shared" si="48"/>
        <v>540</v>
      </c>
      <c r="AV47" s="201">
        <f t="shared" si="48"/>
        <v>518</v>
      </c>
      <c r="AW47" s="202">
        <f t="shared" si="48"/>
        <v>441</v>
      </c>
      <c r="AX47" s="203">
        <f t="shared" si="48"/>
        <v>521</v>
      </c>
      <c r="AY47" s="201">
        <f t="shared" si="48"/>
        <v>464</v>
      </c>
      <c r="AZ47" s="202">
        <f t="shared" si="48"/>
        <v>480</v>
      </c>
      <c r="BA47" s="203">
        <f t="shared" si="48"/>
        <v>485</v>
      </c>
      <c r="BB47" s="201">
        <f t="shared" si="48"/>
        <v>471</v>
      </c>
      <c r="BC47" s="202">
        <f t="shared" si="48"/>
        <v>490</v>
      </c>
      <c r="BD47" s="203">
        <f t="shared" si="48"/>
        <v>503</v>
      </c>
      <c r="BE47" s="201">
        <f t="shared" ref="BE47:BG47" si="49">SUM(BE44:BE46)</f>
        <v>527</v>
      </c>
      <c r="BF47" s="202">
        <f t="shared" si="49"/>
        <v>430</v>
      </c>
      <c r="BG47" s="203">
        <f t="shared" si="49"/>
        <v>409</v>
      </c>
      <c r="BH47" s="201">
        <f t="shared" ref="BH47:BJ47" si="50">SUM(BH44:BH46)</f>
        <v>555</v>
      </c>
      <c r="BI47" s="202">
        <f t="shared" si="50"/>
        <v>524</v>
      </c>
      <c r="BJ47" s="203">
        <f t="shared" si="50"/>
        <v>544</v>
      </c>
    </row>
    <row r="48" spans="1:62" ht="12.9" customHeight="1" x14ac:dyDescent="0.25">
      <c r="B48" s="1334" t="s">
        <v>308</v>
      </c>
      <c r="C48" s="329">
        <f>SUM('MATRICULA-POS plan'!D101:D103)</f>
        <v>29</v>
      </c>
      <c r="D48" s="330">
        <f>SUM('MATRICULA-POS plan'!E101:E103)</f>
        <v>29</v>
      </c>
      <c r="E48" s="330">
        <f>SUM('MATRICULA-POS plan'!F101:F103)</f>
        <v>31</v>
      </c>
      <c r="F48" s="329">
        <f>SUM('MATRICULA-POS plan'!G101:G103)</f>
        <v>27</v>
      </c>
      <c r="G48" s="330">
        <f>SUM('MATRICULA-POS plan'!H101:H103)</f>
        <v>29</v>
      </c>
      <c r="H48" s="330">
        <f>SUM('MATRICULA-POS plan'!I101:I103)</f>
        <v>40</v>
      </c>
      <c r="I48" s="329">
        <f>SUM('MATRICULA-POS plan'!J101:J103)</f>
        <v>32</v>
      </c>
      <c r="J48" s="330">
        <f>SUM('MATRICULA-POS plan'!K101:K103)</f>
        <v>33</v>
      </c>
      <c r="K48" s="330">
        <f>SUM('MATRICULA-POS plan'!L101:L103)</f>
        <v>35</v>
      </c>
      <c r="L48" s="329">
        <f>SUM('MATRICULA-POS plan'!M101:M103)</f>
        <v>40</v>
      </c>
      <c r="M48" s="330">
        <f>SUM('MATRICULA-POS plan'!N101:N103)</f>
        <v>42</v>
      </c>
      <c r="N48" s="331">
        <f>SUM('MATRICULA-POS plan'!O101:O103)</f>
        <v>38</v>
      </c>
      <c r="O48" s="330">
        <f>SUM('MATRICULA-POS plan'!P101:P103)</f>
        <v>34</v>
      </c>
      <c r="P48" s="330">
        <f>SUM('MATRICULA-POS plan'!Q101:Q103)</f>
        <v>45</v>
      </c>
      <c r="Q48" s="331">
        <f>SUM('MATRICULA-POS plan'!R101:R103)</f>
        <v>47</v>
      </c>
      <c r="R48" s="329">
        <f>SUM('MATRICULA-POS plan'!S101:S103)</f>
        <v>40</v>
      </c>
      <c r="S48" s="330">
        <f>SUM('MATRICULA-POS plan'!T101:T103)</f>
        <v>38</v>
      </c>
      <c r="T48" s="331">
        <f>SUM('MATRICULA-POS plan'!U101:U103)</f>
        <v>44</v>
      </c>
      <c r="U48" s="329">
        <f>SUM('MATRICULA-POS plan'!V101:V103)</f>
        <v>41</v>
      </c>
      <c r="V48" s="330">
        <f>SUM('MATRICULA-POS plan'!W101:W103)</f>
        <v>39</v>
      </c>
      <c r="W48" s="331">
        <f>SUM('MATRICULA-POS plan'!X101:X103)</f>
        <v>39</v>
      </c>
      <c r="X48" s="329">
        <f>SUM('MATRICULA-POS plan'!Y101:Y103)</f>
        <v>42</v>
      </c>
      <c r="Y48" s="330">
        <f>SUM('MATRICULA-POS plan'!Z101:Z103)</f>
        <v>41</v>
      </c>
      <c r="Z48" s="331">
        <f>SUM('MATRICULA-POS plan'!AA101:AA103)</f>
        <v>46</v>
      </c>
      <c r="AA48" s="329">
        <f>SUM('MATRICULA-POS plan'!AB101:AB103)</f>
        <v>38</v>
      </c>
      <c r="AB48" s="330">
        <f>SUM('MATRICULA-POS plan'!AC101:AC103)</f>
        <v>31</v>
      </c>
      <c r="AC48" s="331">
        <f>SUM('MATRICULA-POS plan'!AD101:AD103)</f>
        <v>41</v>
      </c>
      <c r="AD48" s="329">
        <f>SUM('MATRICULA-POS plan'!AE101:AE103)</f>
        <v>38</v>
      </c>
      <c r="AE48" s="330">
        <f>SUM('MATRICULA-POS plan'!AF101:AF103)</f>
        <v>47</v>
      </c>
      <c r="AF48" s="331">
        <f>SUM('MATRICULA-POS plan'!AG101:AG103)</f>
        <v>53</v>
      </c>
      <c r="AG48" s="329">
        <f>SUM('MATRICULA-POS plan'!AH101:AH103)</f>
        <v>46</v>
      </c>
      <c r="AH48" s="330">
        <f>SUM('MATRICULA-POS plan'!AI101:AI103)</f>
        <v>39</v>
      </c>
      <c r="AI48" s="331">
        <f>SUM('MATRICULA-POS plan'!AJ101:AJ103)</f>
        <v>41</v>
      </c>
      <c r="AJ48" s="329">
        <f>SUM('MATRICULA-POS plan'!AK101:AK103)</f>
        <v>39</v>
      </c>
      <c r="AK48" s="330">
        <f>SUM('MATRICULA-POS plan'!AL101:AL103)</f>
        <v>35</v>
      </c>
      <c r="AL48" s="331">
        <f>SUM('MATRICULA-POS plan'!AM101:AM103)</f>
        <v>41</v>
      </c>
      <c r="AM48" s="329">
        <f>SUM('MATRICULA-POS plan'!AN101:AN103)</f>
        <v>39</v>
      </c>
      <c r="AN48" s="330">
        <f>SUM('MATRICULA-POS plan'!AO101:AO103)</f>
        <v>41</v>
      </c>
      <c r="AO48" s="331">
        <f>SUM('MATRICULA-POS plan'!AP101:AP103)</f>
        <v>35</v>
      </c>
      <c r="AP48" s="329">
        <f>SUM('MATRICULA-POS plan'!AQ101:AQ103)</f>
        <v>30</v>
      </c>
      <c r="AQ48" s="330">
        <f>SUM('MATRICULA-POS plan'!AR101:AR103)</f>
        <v>26</v>
      </c>
      <c r="AR48" s="331">
        <f>SUM('MATRICULA-POS plan'!AS101:AS103)</f>
        <v>26</v>
      </c>
      <c r="AS48" s="329">
        <f>SUM('MATRICULA-POS plan'!AT101:AT103)</f>
        <v>20</v>
      </c>
      <c r="AT48" s="330">
        <f>SUM('MATRICULA-POS plan'!AU101:AU103)</f>
        <v>26</v>
      </c>
      <c r="AU48" s="331">
        <f>SUM('MATRICULA-POS plan'!AV101:AV103)</f>
        <v>27</v>
      </c>
      <c r="AV48" s="329">
        <f>SUM('MATRICULA-POS plan'!AW101:AW103)</f>
        <v>21</v>
      </c>
      <c r="AW48" s="330">
        <f>SUM('MATRICULA-POS plan'!AX101:AX103)</f>
        <v>19</v>
      </c>
      <c r="AX48" s="331">
        <f>SUM('MATRICULA-POS plan'!AY101:AY103)</f>
        <v>21</v>
      </c>
      <c r="AY48" s="329">
        <f>SUM('MATRICULA-POS plan'!AZ101:AZ103)</f>
        <v>15</v>
      </c>
      <c r="AZ48" s="330">
        <f>SUM('MATRICULA-POS plan'!BA101:BA103)</f>
        <v>15</v>
      </c>
      <c r="BA48" s="331">
        <f>SUM('MATRICULA-POS plan'!BB101:BB103)</f>
        <v>18</v>
      </c>
      <c r="BB48" s="329">
        <f>SUM('MATRICULA-POS plan'!BC101:BC103)</f>
        <v>17</v>
      </c>
      <c r="BC48" s="330">
        <f>SUM('MATRICULA-POS plan'!BD101:BD103)</f>
        <v>11</v>
      </c>
      <c r="BD48" s="331">
        <f>SUM('MATRICULA-POS plan'!BE101:BE103)</f>
        <v>9</v>
      </c>
      <c r="BE48" s="329">
        <f>SUM('MATRICULA-POS plan'!BF101:BF103)</f>
        <v>16</v>
      </c>
      <c r="BF48" s="330">
        <f>SUM('MATRICULA-POS plan'!BG101:BG103)</f>
        <v>13</v>
      </c>
      <c r="BG48" s="331">
        <f>SUM('MATRICULA-POS plan'!BH101:BH103)</f>
        <v>9</v>
      </c>
      <c r="BH48" s="329">
        <f>SUM('MATRICULA-POS plan'!BI101:BI103)</f>
        <v>9</v>
      </c>
      <c r="BI48" s="330">
        <f>SUM('MATRICULA-POS plan'!BJ101:BJ103)</f>
        <v>6</v>
      </c>
      <c r="BJ48" s="331">
        <f>SUM('MATRICULA-POS plan'!BK101:BK103)</f>
        <v>8</v>
      </c>
    </row>
    <row r="49" spans="1:67" ht="12.9" customHeight="1" x14ac:dyDescent="0.25">
      <c r="B49" s="1336" t="s">
        <v>310</v>
      </c>
      <c r="C49" s="82">
        <f>SUM('MATRICULA-POS plan'!D104:D107)</f>
        <v>100</v>
      </c>
      <c r="D49" s="83">
        <f>SUM('MATRICULA-POS plan'!E104:E107)</f>
        <v>100</v>
      </c>
      <c r="E49" s="83">
        <f>SUM('MATRICULA-POS plan'!F104:F107)</f>
        <v>120</v>
      </c>
      <c r="F49" s="82">
        <f>SUM('MATRICULA-POS plan'!G104:G107)</f>
        <v>105</v>
      </c>
      <c r="G49" s="83">
        <f>SUM('MATRICULA-POS plan'!H104:H107)</f>
        <v>97</v>
      </c>
      <c r="H49" s="83">
        <f>SUM('MATRICULA-POS plan'!I104:I107)</f>
        <v>89</v>
      </c>
      <c r="I49" s="82">
        <f>SUM('MATRICULA-POS plan'!J104:J107)</f>
        <v>73</v>
      </c>
      <c r="J49" s="83">
        <f>SUM('MATRICULA-POS plan'!K104:K107)</f>
        <v>66</v>
      </c>
      <c r="K49" s="83">
        <f>SUM('MATRICULA-POS plan'!L104:L107)</f>
        <v>86</v>
      </c>
      <c r="L49" s="82">
        <f>SUM('MATRICULA-POS plan'!M104:M107)</f>
        <v>66</v>
      </c>
      <c r="M49" s="83">
        <f>SUM('MATRICULA-POS plan'!N104:N107)</f>
        <v>62</v>
      </c>
      <c r="N49" s="332">
        <f>SUM('MATRICULA-POS plan'!O104:O107)</f>
        <v>91</v>
      </c>
      <c r="O49" s="83">
        <f>SUM('MATRICULA-POS plan'!P104:P107)</f>
        <v>88</v>
      </c>
      <c r="P49" s="83">
        <f>SUM('MATRICULA-POS plan'!Q104:Q107)</f>
        <v>78</v>
      </c>
      <c r="Q49" s="332">
        <f>SUM('MATRICULA-POS plan'!R104:R107)</f>
        <v>126</v>
      </c>
      <c r="R49" s="82">
        <f>SUM('MATRICULA-POS plan'!S104:S107)</f>
        <v>105</v>
      </c>
      <c r="S49" s="83">
        <f>SUM('MATRICULA-POS plan'!T104:T107)</f>
        <v>94</v>
      </c>
      <c r="T49" s="332">
        <f>SUM('MATRICULA-POS plan'!U104:U107)</f>
        <v>144</v>
      </c>
      <c r="U49" s="82">
        <f>SUM('MATRICULA-POS plan'!V104:V107)</f>
        <v>123</v>
      </c>
      <c r="V49" s="83">
        <f>SUM('MATRICULA-POS plan'!W104:W107)</f>
        <v>122</v>
      </c>
      <c r="W49" s="332">
        <f>SUM('MATRICULA-POS plan'!X104:X107)</f>
        <v>166</v>
      </c>
      <c r="X49" s="82">
        <f>SUM('MATRICULA-POS plan'!Y104:Y107)</f>
        <v>134</v>
      </c>
      <c r="Y49" s="83">
        <f>SUM('MATRICULA-POS plan'!Z104:Z107)</f>
        <v>114</v>
      </c>
      <c r="Z49" s="332">
        <f>SUM('MATRICULA-POS plan'!AA104:AA107)</f>
        <v>153</v>
      </c>
      <c r="AA49" s="82">
        <f>SUM('MATRICULA-POS plan'!AB104:AB107)</f>
        <v>151</v>
      </c>
      <c r="AB49" s="83">
        <f>SUM('MATRICULA-POS plan'!AC104:AC107)</f>
        <v>139</v>
      </c>
      <c r="AC49" s="332">
        <f>SUM('MATRICULA-POS plan'!AD104:AD107)</f>
        <v>174</v>
      </c>
      <c r="AD49" s="82">
        <f>SUM('MATRICULA-POS plan'!AE104:AE107)</f>
        <v>165</v>
      </c>
      <c r="AE49" s="83">
        <f>SUM('MATRICULA-POS plan'!AF104:AF107)</f>
        <v>151</v>
      </c>
      <c r="AF49" s="332">
        <f>SUM('MATRICULA-POS plan'!AG104:AG107)</f>
        <v>177</v>
      </c>
      <c r="AG49" s="82">
        <f>SUM('MATRICULA-POS plan'!AH104:AH107)</f>
        <v>159</v>
      </c>
      <c r="AH49" s="83">
        <f>SUM('MATRICULA-POS plan'!AI104:AI107)</f>
        <v>156</v>
      </c>
      <c r="AI49" s="332">
        <f>SUM('MATRICULA-POS plan'!AJ104:AJ107)</f>
        <v>201</v>
      </c>
      <c r="AJ49" s="82">
        <f>SUM('MATRICULA-POS plan'!AK104:AK107)</f>
        <v>179</v>
      </c>
      <c r="AK49" s="83">
        <f>SUM('MATRICULA-POS plan'!AL104:AL107)</f>
        <v>158</v>
      </c>
      <c r="AL49" s="332">
        <f>SUM('MATRICULA-POS plan'!AM104:AM107)</f>
        <v>139</v>
      </c>
      <c r="AM49" s="82">
        <f>SUM('MATRICULA-POS plan'!AN104:AN107)</f>
        <v>172</v>
      </c>
      <c r="AN49" s="83">
        <f>SUM('MATRICULA-POS plan'!AO104:AO107)</f>
        <v>168</v>
      </c>
      <c r="AO49" s="332">
        <f>SUM('MATRICULA-POS plan'!AP104:AP107)</f>
        <v>192</v>
      </c>
      <c r="AP49" s="82">
        <f>SUM('MATRICULA-POS plan'!AQ104:AQ107)</f>
        <v>175</v>
      </c>
      <c r="AQ49" s="83">
        <f>SUM('MATRICULA-POS plan'!AR104:AR107)</f>
        <v>150</v>
      </c>
      <c r="AR49" s="332">
        <f>SUM('MATRICULA-POS plan'!AS104:AS107)</f>
        <v>184</v>
      </c>
      <c r="AS49" s="82">
        <f>SUM('MATRICULA-POS plan'!AT104:AT107)</f>
        <v>152</v>
      </c>
      <c r="AT49" s="83">
        <f>SUM('MATRICULA-POS plan'!AU104:AU107)</f>
        <v>142</v>
      </c>
      <c r="AU49" s="332">
        <f>SUM('MATRICULA-POS plan'!AV104:AV107)</f>
        <v>167</v>
      </c>
      <c r="AV49" s="82">
        <f>SUM('MATRICULA-POS plan'!AW104:AW107)</f>
        <v>151</v>
      </c>
      <c r="AW49" s="83">
        <f>SUM('MATRICULA-POS plan'!AX104:AX107)</f>
        <v>135</v>
      </c>
      <c r="AX49" s="332">
        <f>SUM('MATRICULA-POS plan'!AY104:AY107)</f>
        <v>158</v>
      </c>
      <c r="AY49" s="82">
        <f>SUM('MATRICULA-POS plan'!AZ104:AZ107)</f>
        <v>140</v>
      </c>
      <c r="AZ49" s="83">
        <f>SUM('MATRICULA-POS plan'!BA104:BA107)</f>
        <v>151</v>
      </c>
      <c r="BA49" s="332">
        <f>SUM('MATRICULA-POS plan'!BB104:BB107)</f>
        <v>136</v>
      </c>
      <c r="BB49" s="82">
        <f>SUM('MATRICULA-POS plan'!BC104:BC107)</f>
        <v>124</v>
      </c>
      <c r="BC49" s="83">
        <f>SUM('MATRICULA-POS plan'!BD104:BD107)</f>
        <v>147</v>
      </c>
      <c r="BD49" s="332">
        <f>SUM('MATRICULA-POS plan'!BE104:BE107)</f>
        <v>122</v>
      </c>
      <c r="BE49" s="82">
        <f>SUM('MATRICULA-POS plan'!BF104:BF107)</f>
        <v>110</v>
      </c>
      <c r="BF49" s="83">
        <f>SUM('MATRICULA-POS plan'!BG104:BG107)</f>
        <v>110</v>
      </c>
      <c r="BG49" s="332">
        <f>SUM('MATRICULA-POS plan'!BH104:BH107)</f>
        <v>75</v>
      </c>
      <c r="BH49" s="82">
        <f>SUM('MATRICULA-POS plan'!BI104:BI107)</f>
        <v>92</v>
      </c>
      <c r="BI49" s="83">
        <f>SUM('MATRICULA-POS plan'!BJ104:BJ107)</f>
        <v>81</v>
      </c>
      <c r="BJ49" s="332">
        <f>SUM('MATRICULA-POS plan'!BK104:BK107)</f>
        <v>124</v>
      </c>
    </row>
    <row r="50" spans="1:67" ht="12.9" customHeight="1" x14ac:dyDescent="0.25">
      <c r="B50" s="1339" t="s">
        <v>317</v>
      </c>
      <c r="C50" s="333">
        <f>SUM('MATRICULA-POS plan'!D108:D110)</f>
        <v>150</v>
      </c>
      <c r="D50" s="334">
        <f>SUM('MATRICULA-POS plan'!E108:E110)</f>
        <v>148</v>
      </c>
      <c r="E50" s="334">
        <f>SUM('MATRICULA-POS plan'!F108:F110)</f>
        <v>139</v>
      </c>
      <c r="F50" s="333">
        <f>SUM('MATRICULA-POS plan'!G108:G110)</f>
        <v>150</v>
      </c>
      <c r="G50" s="334">
        <f>SUM('MATRICULA-POS plan'!H108:H110)</f>
        <v>143</v>
      </c>
      <c r="H50" s="334">
        <f>SUM('MATRICULA-POS plan'!I108:I110)</f>
        <v>137</v>
      </c>
      <c r="I50" s="333">
        <f>SUM('MATRICULA-POS plan'!J108:J110)</f>
        <v>156</v>
      </c>
      <c r="J50" s="334">
        <f>SUM('MATRICULA-POS plan'!K108:K110)</f>
        <v>155</v>
      </c>
      <c r="K50" s="334">
        <f>SUM('MATRICULA-POS plan'!L108:L110)</f>
        <v>154</v>
      </c>
      <c r="L50" s="333">
        <f>SUM('MATRICULA-POS plan'!M108:M110)</f>
        <v>155</v>
      </c>
      <c r="M50" s="334">
        <f>SUM('MATRICULA-POS plan'!N108:N110)</f>
        <v>147</v>
      </c>
      <c r="N50" s="335">
        <f>SUM('MATRICULA-POS plan'!O108:O110)</f>
        <v>150</v>
      </c>
      <c r="O50" s="334">
        <f>SUM('MATRICULA-POS plan'!P108:P110)</f>
        <v>152</v>
      </c>
      <c r="P50" s="334">
        <f>SUM('MATRICULA-POS plan'!Q108:Q110)</f>
        <v>151</v>
      </c>
      <c r="Q50" s="335">
        <f>SUM('MATRICULA-POS plan'!R108:R110)</f>
        <v>143</v>
      </c>
      <c r="R50" s="333">
        <f>SUM('MATRICULA-POS plan'!S108:S110)</f>
        <v>147</v>
      </c>
      <c r="S50" s="334">
        <f>SUM('MATRICULA-POS plan'!T108:T110)</f>
        <v>134</v>
      </c>
      <c r="T50" s="335">
        <f>SUM('MATRICULA-POS plan'!U108:U110)</f>
        <v>152</v>
      </c>
      <c r="U50" s="333">
        <f>SUM('MATRICULA-POS plan'!V108:V110)</f>
        <v>163</v>
      </c>
      <c r="V50" s="334">
        <f>SUM('MATRICULA-POS plan'!W108:W110)</f>
        <v>161</v>
      </c>
      <c r="W50" s="335">
        <f>SUM('MATRICULA-POS plan'!X108:X110)</f>
        <v>163</v>
      </c>
      <c r="X50" s="333">
        <f>SUM('MATRICULA-POS plan'!Y108:Y110)</f>
        <v>188</v>
      </c>
      <c r="Y50" s="334">
        <f>SUM('MATRICULA-POS plan'!Z108:Z110)</f>
        <v>178</v>
      </c>
      <c r="Z50" s="335">
        <f>SUM('MATRICULA-POS plan'!AA108:AA110)</f>
        <v>196</v>
      </c>
      <c r="AA50" s="333">
        <f>SUM('MATRICULA-POS plan'!AB108:AB110)</f>
        <v>198</v>
      </c>
      <c r="AB50" s="334">
        <f>SUM('MATRICULA-POS plan'!AC108:AC110)</f>
        <v>181</v>
      </c>
      <c r="AC50" s="335">
        <f>SUM('MATRICULA-POS plan'!AD108:AD110)</f>
        <v>209</v>
      </c>
      <c r="AD50" s="333">
        <f>SUM('MATRICULA-POS plan'!AE108:AE110)</f>
        <v>229</v>
      </c>
      <c r="AE50" s="334">
        <f>SUM('MATRICULA-POS plan'!AF108:AF110)</f>
        <v>218</v>
      </c>
      <c r="AF50" s="335">
        <f>SUM('MATRICULA-POS plan'!AG108:AG110)</f>
        <v>239</v>
      </c>
      <c r="AG50" s="333">
        <f>SUM('MATRICULA-POS plan'!AH108:AH110)</f>
        <v>246</v>
      </c>
      <c r="AH50" s="334">
        <f>SUM('MATRICULA-POS plan'!AI108:AI110)</f>
        <v>238</v>
      </c>
      <c r="AI50" s="335">
        <f>SUM('MATRICULA-POS plan'!AJ108:AJ110)</f>
        <v>244</v>
      </c>
      <c r="AJ50" s="333">
        <f>SUM('MATRICULA-POS plan'!AK108:AK110)</f>
        <v>258</v>
      </c>
      <c r="AK50" s="334">
        <f>SUM('MATRICULA-POS plan'!AL108:AL110)</f>
        <v>249</v>
      </c>
      <c r="AL50" s="335">
        <f>SUM('MATRICULA-POS plan'!AM108:AM110)</f>
        <v>261</v>
      </c>
      <c r="AM50" s="333">
        <f>SUM('MATRICULA-POS plan'!AN108:AN110)</f>
        <v>266</v>
      </c>
      <c r="AN50" s="334">
        <f>SUM('MATRICULA-POS plan'!AO108:AO110)</f>
        <v>248</v>
      </c>
      <c r="AO50" s="335">
        <f>SUM('MATRICULA-POS plan'!AP108:AP110)</f>
        <v>264</v>
      </c>
      <c r="AP50" s="333">
        <f>SUM('MATRICULA-POS plan'!AQ108:AQ110)</f>
        <v>267</v>
      </c>
      <c r="AQ50" s="334">
        <f>SUM('MATRICULA-POS plan'!AR108:AR110)</f>
        <v>253</v>
      </c>
      <c r="AR50" s="335">
        <f>SUM('MATRICULA-POS plan'!AS108:AS110)</f>
        <v>259</v>
      </c>
      <c r="AS50" s="333">
        <f>SUM('MATRICULA-POS plan'!AT108:AT110)</f>
        <v>270</v>
      </c>
      <c r="AT50" s="334">
        <f>SUM('MATRICULA-POS plan'!AU108:AU110)</f>
        <v>255</v>
      </c>
      <c r="AU50" s="335">
        <f>SUM('MATRICULA-POS plan'!AV108:AV110)</f>
        <v>263</v>
      </c>
      <c r="AV50" s="333">
        <f>SUM('MATRICULA-POS plan'!AW108:AW110)</f>
        <v>263</v>
      </c>
      <c r="AW50" s="334">
        <f>SUM('MATRICULA-POS plan'!AX108:AX110)</f>
        <v>248</v>
      </c>
      <c r="AX50" s="335">
        <f>SUM('MATRICULA-POS plan'!AY108:AY110)</f>
        <v>258</v>
      </c>
      <c r="AY50" s="333">
        <f>SUM('MATRICULA-POS plan'!AZ108:AZ110)</f>
        <v>266</v>
      </c>
      <c r="AZ50" s="334">
        <f>SUM('MATRICULA-POS plan'!BA108:BA110)</f>
        <v>255</v>
      </c>
      <c r="BA50" s="335">
        <f>SUM('MATRICULA-POS plan'!BB108:BB110)</f>
        <v>256</v>
      </c>
      <c r="BB50" s="333">
        <f>SUM('MATRICULA-POS plan'!BC108:BC110)</f>
        <v>242</v>
      </c>
      <c r="BC50" s="334">
        <f>SUM('MATRICULA-POS plan'!BD108:BD110)</f>
        <v>254</v>
      </c>
      <c r="BD50" s="335">
        <f>SUM('MATRICULA-POS plan'!BE108:BE110)</f>
        <v>231</v>
      </c>
      <c r="BE50" s="333">
        <f>SUM('MATRICULA-POS plan'!BF108:BF110)</f>
        <v>200</v>
      </c>
      <c r="BF50" s="334">
        <f>SUM('MATRICULA-POS plan'!BG108:BG110)</f>
        <v>198</v>
      </c>
      <c r="BG50" s="335">
        <f>SUM('MATRICULA-POS plan'!BH108:BH110)</f>
        <v>118</v>
      </c>
      <c r="BH50" s="333">
        <f>SUM('MATRICULA-POS plan'!BI108:BI110)</f>
        <v>200</v>
      </c>
      <c r="BI50" s="334">
        <f>SUM('MATRICULA-POS plan'!BJ108:BJ110)</f>
        <v>197</v>
      </c>
      <c r="BJ50" s="335">
        <f>SUM('MATRICULA-POS plan'!BK108:BK110)</f>
        <v>197</v>
      </c>
    </row>
    <row r="51" spans="1:67" s="1330" customFormat="1" ht="12.9" customHeight="1" x14ac:dyDescent="0.25">
      <c r="A51" s="25"/>
      <c r="B51" s="1342" t="s">
        <v>430</v>
      </c>
      <c r="C51" s="201">
        <v>279</v>
      </c>
      <c r="D51" s="202">
        <v>277</v>
      </c>
      <c r="E51" s="202">
        <v>290</v>
      </c>
      <c r="F51" s="201">
        <v>282</v>
      </c>
      <c r="G51" s="202">
        <v>269</v>
      </c>
      <c r="H51" s="202">
        <v>266</v>
      </c>
      <c r="I51" s="201">
        <v>261</v>
      </c>
      <c r="J51" s="202">
        <v>254</v>
      </c>
      <c r="K51" s="202">
        <v>275</v>
      </c>
      <c r="L51" s="201">
        <v>261</v>
      </c>
      <c r="M51" s="202">
        <v>251</v>
      </c>
      <c r="N51" s="203">
        <v>279</v>
      </c>
      <c r="O51" s="202">
        <v>274</v>
      </c>
      <c r="P51" s="202">
        <v>274</v>
      </c>
      <c r="Q51" s="203">
        <v>316</v>
      </c>
      <c r="R51" s="201">
        <v>292</v>
      </c>
      <c r="S51" s="202">
        <v>266</v>
      </c>
      <c r="T51" s="203">
        <v>340</v>
      </c>
      <c r="U51" s="201">
        <f t="shared" ref="U51:Z51" si="51">SUM(U48:U50)</f>
        <v>327</v>
      </c>
      <c r="V51" s="202">
        <f t="shared" si="51"/>
        <v>322</v>
      </c>
      <c r="W51" s="203">
        <f t="shared" si="51"/>
        <v>368</v>
      </c>
      <c r="X51" s="201">
        <f t="shared" si="51"/>
        <v>364</v>
      </c>
      <c r="Y51" s="202">
        <f t="shared" si="51"/>
        <v>333</v>
      </c>
      <c r="Z51" s="203">
        <f t="shared" si="51"/>
        <v>395</v>
      </c>
      <c r="AA51" s="201">
        <f>SUM(AA48:AA50)</f>
        <v>387</v>
      </c>
      <c r="AB51" s="202">
        <f>SUM(AB48:AB50)</f>
        <v>351</v>
      </c>
      <c r="AC51" s="203">
        <f>SUM(AC48:AC50)</f>
        <v>424</v>
      </c>
      <c r="AD51" s="201">
        <f>SUM(AD48:AD50)</f>
        <v>432</v>
      </c>
      <c r="AE51" s="202">
        <f t="shared" ref="AE51:BD51" si="52">SUM(AE48:AE50)</f>
        <v>416</v>
      </c>
      <c r="AF51" s="203">
        <f t="shared" si="52"/>
        <v>469</v>
      </c>
      <c r="AG51" s="201">
        <f t="shared" si="52"/>
        <v>451</v>
      </c>
      <c r="AH51" s="202">
        <f t="shared" si="52"/>
        <v>433</v>
      </c>
      <c r="AI51" s="203">
        <f t="shared" si="52"/>
        <v>486</v>
      </c>
      <c r="AJ51" s="201">
        <f t="shared" si="52"/>
        <v>476</v>
      </c>
      <c r="AK51" s="202">
        <f t="shared" si="52"/>
        <v>442</v>
      </c>
      <c r="AL51" s="203">
        <f t="shared" si="52"/>
        <v>441</v>
      </c>
      <c r="AM51" s="201">
        <f t="shared" si="52"/>
        <v>477</v>
      </c>
      <c r="AN51" s="202">
        <f t="shared" si="52"/>
        <v>457</v>
      </c>
      <c r="AO51" s="203">
        <f t="shared" si="52"/>
        <v>491</v>
      </c>
      <c r="AP51" s="201">
        <f t="shared" si="52"/>
        <v>472</v>
      </c>
      <c r="AQ51" s="202">
        <f t="shared" si="52"/>
        <v>429</v>
      </c>
      <c r="AR51" s="203">
        <f t="shared" si="52"/>
        <v>469</v>
      </c>
      <c r="AS51" s="201">
        <f t="shared" si="52"/>
        <v>442</v>
      </c>
      <c r="AT51" s="202">
        <f t="shared" si="52"/>
        <v>423</v>
      </c>
      <c r="AU51" s="203">
        <f t="shared" si="52"/>
        <v>457</v>
      </c>
      <c r="AV51" s="201">
        <f t="shared" si="52"/>
        <v>435</v>
      </c>
      <c r="AW51" s="202">
        <f t="shared" si="52"/>
        <v>402</v>
      </c>
      <c r="AX51" s="203">
        <f t="shared" si="52"/>
        <v>437</v>
      </c>
      <c r="AY51" s="201">
        <f t="shared" si="52"/>
        <v>421</v>
      </c>
      <c r="AZ51" s="202">
        <f t="shared" si="52"/>
        <v>421</v>
      </c>
      <c r="BA51" s="203">
        <f t="shared" si="52"/>
        <v>410</v>
      </c>
      <c r="BB51" s="201">
        <f t="shared" si="52"/>
        <v>383</v>
      </c>
      <c r="BC51" s="202">
        <f t="shared" si="52"/>
        <v>412</v>
      </c>
      <c r="BD51" s="203">
        <f t="shared" si="52"/>
        <v>362</v>
      </c>
      <c r="BE51" s="201">
        <f t="shared" ref="BE51:BG51" si="53">SUM(BE48:BE50)</f>
        <v>326</v>
      </c>
      <c r="BF51" s="202">
        <f t="shared" si="53"/>
        <v>321</v>
      </c>
      <c r="BG51" s="203">
        <f t="shared" si="53"/>
        <v>202</v>
      </c>
      <c r="BH51" s="201">
        <f t="shared" ref="BH51:BJ51" si="54">SUM(BH48:BH50)</f>
        <v>301</v>
      </c>
      <c r="BI51" s="202">
        <f t="shared" si="54"/>
        <v>284</v>
      </c>
      <c r="BJ51" s="203">
        <f t="shared" si="54"/>
        <v>329</v>
      </c>
    </row>
    <row r="52" spans="1:67" ht="12.9" customHeight="1" x14ac:dyDescent="0.25">
      <c r="B52" s="1334" t="s">
        <v>308</v>
      </c>
      <c r="C52" s="329">
        <f t="shared" ref="C52:Q54" si="55">C40+C44+C48</f>
        <v>35</v>
      </c>
      <c r="D52" s="330">
        <f t="shared" si="55"/>
        <v>34</v>
      </c>
      <c r="E52" s="330">
        <f t="shared" si="55"/>
        <v>75</v>
      </c>
      <c r="F52" s="329">
        <f t="shared" si="55"/>
        <v>68</v>
      </c>
      <c r="G52" s="330">
        <f t="shared" si="55"/>
        <v>61</v>
      </c>
      <c r="H52" s="330">
        <f t="shared" si="55"/>
        <v>116</v>
      </c>
      <c r="I52" s="329">
        <f t="shared" si="55"/>
        <v>105</v>
      </c>
      <c r="J52" s="330">
        <f t="shared" si="55"/>
        <v>98</v>
      </c>
      <c r="K52" s="330">
        <f t="shared" si="55"/>
        <v>36</v>
      </c>
      <c r="L52" s="329">
        <f t="shared" si="55"/>
        <v>126</v>
      </c>
      <c r="M52" s="330">
        <f t="shared" si="55"/>
        <v>124</v>
      </c>
      <c r="N52" s="331">
        <f t="shared" si="55"/>
        <v>106</v>
      </c>
      <c r="O52" s="330">
        <f t="shared" si="55"/>
        <v>124</v>
      </c>
      <c r="P52" s="330">
        <f t="shared" si="55"/>
        <v>126</v>
      </c>
      <c r="Q52" s="331">
        <f t="shared" si="55"/>
        <v>147</v>
      </c>
      <c r="R52" s="329">
        <v>142</v>
      </c>
      <c r="S52" s="330">
        <v>127</v>
      </c>
      <c r="T52" s="331">
        <v>129</v>
      </c>
      <c r="U52" s="329">
        <f t="shared" ref="U52:AJ55" si="56">U40+U44+U48</f>
        <v>41</v>
      </c>
      <c r="V52" s="330">
        <f t="shared" si="56"/>
        <v>138</v>
      </c>
      <c r="W52" s="331">
        <f t="shared" si="56"/>
        <v>155</v>
      </c>
      <c r="X52" s="329">
        <f t="shared" si="56"/>
        <v>109</v>
      </c>
      <c r="Y52" s="330">
        <f t="shared" si="56"/>
        <v>41</v>
      </c>
      <c r="Z52" s="331">
        <f t="shared" si="56"/>
        <v>150</v>
      </c>
      <c r="AA52" s="329">
        <f t="shared" si="56"/>
        <v>103</v>
      </c>
      <c r="AB52" s="330">
        <f t="shared" si="56"/>
        <v>93</v>
      </c>
      <c r="AC52" s="331">
        <f t="shared" si="56"/>
        <v>133</v>
      </c>
      <c r="AD52" s="329">
        <f>SUM(AD40,AD44,AD48)</f>
        <v>119</v>
      </c>
      <c r="AE52" s="330">
        <f t="shared" ref="AE52:BD54" si="57">SUM(AE40,AE44,AE48)</f>
        <v>112</v>
      </c>
      <c r="AF52" s="331">
        <f t="shared" si="57"/>
        <v>56</v>
      </c>
      <c r="AG52" s="329">
        <f t="shared" si="57"/>
        <v>46</v>
      </c>
      <c r="AH52" s="330">
        <f t="shared" si="57"/>
        <v>40</v>
      </c>
      <c r="AI52" s="331">
        <f t="shared" si="57"/>
        <v>78</v>
      </c>
      <c r="AJ52" s="329">
        <f t="shared" si="57"/>
        <v>68</v>
      </c>
      <c r="AK52" s="330">
        <f t="shared" si="57"/>
        <v>62</v>
      </c>
      <c r="AL52" s="331">
        <f t="shared" si="57"/>
        <v>56</v>
      </c>
      <c r="AM52" s="329">
        <f t="shared" si="57"/>
        <v>88</v>
      </c>
      <c r="AN52" s="330">
        <f t="shared" si="57"/>
        <v>89</v>
      </c>
      <c r="AO52" s="331">
        <f t="shared" si="57"/>
        <v>90</v>
      </c>
      <c r="AP52" s="329">
        <f t="shared" si="57"/>
        <v>52</v>
      </c>
      <c r="AQ52" s="330">
        <f t="shared" si="57"/>
        <v>47</v>
      </c>
      <c r="AR52" s="331">
        <f t="shared" si="57"/>
        <v>40</v>
      </c>
      <c r="AS52" s="329">
        <f t="shared" si="57"/>
        <v>32</v>
      </c>
      <c r="AT52" s="330">
        <f t="shared" si="57"/>
        <v>103</v>
      </c>
      <c r="AU52" s="331">
        <f t="shared" si="57"/>
        <v>88</v>
      </c>
      <c r="AV52" s="329">
        <f t="shared" si="57"/>
        <v>79</v>
      </c>
      <c r="AW52" s="330">
        <f t="shared" si="57"/>
        <v>72</v>
      </c>
      <c r="AX52" s="331">
        <f t="shared" si="57"/>
        <v>76</v>
      </c>
      <c r="AY52" s="329">
        <f t="shared" si="57"/>
        <v>66</v>
      </c>
      <c r="AZ52" s="330">
        <f t="shared" si="57"/>
        <v>54</v>
      </c>
      <c r="BA52" s="331">
        <f t="shared" si="57"/>
        <v>47</v>
      </c>
      <c r="BB52" s="329">
        <f t="shared" si="57"/>
        <v>48</v>
      </c>
      <c r="BC52" s="330">
        <f t="shared" si="57"/>
        <v>71</v>
      </c>
      <c r="BD52" s="331">
        <f t="shared" si="57"/>
        <v>68</v>
      </c>
      <c r="BE52" s="329">
        <f t="shared" ref="BE52:BG52" si="58">SUM(BE40,BE44,BE48)</f>
        <v>86</v>
      </c>
      <c r="BF52" s="330">
        <f t="shared" si="58"/>
        <v>29</v>
      </c>
      <c r="BG52" s="331">
        <f t="shared" si="58"/>
        <v>14</v>
      </c>
      <c r="BH52" s="329">
        <f t="shared" ref="BH52:BJ52" si="59">SUM(BH40,BH44,BH48)</f>
        <v>62</v>
      </c>
      <c r="BI52" s="330">
        <f t="shared" si="59"/>
        <v>53</v>
      </c>
      <c r="BJ52" s="331">
        <f t="shared" si="59"/>
        <v>23</v>
      </c>
      <c r="BO52" s="5535"/>
    </row>
    <row r="53" spans="1:67" ht="12.9" customHeight="1" x14ac:dyDescent="0.25">
      <c r="B53" s="1336" t="s">
        <v>310</v>
      </c>
      <c r="C53" s="82">
        <f t="shared" si="55"/>
        <v>267</v>
      </c>
      <c r="D53" s="83">
        <f t="shared" si="55"/>
        <v>241</v>
      </c>
      <c r="E53" s="83">
        <f t="shared" si="55"/>
        <v>298</v>
      </c>
      <c r="F53" s="82">
        <f t="shared" si="55"/>
        <v>274</v>
      </c>
      <c r="G53" s="83">
        <f t="shared" si="55"/>
        <v>252</v>
      </c>
      <c r="H53" s="83">
        <f t="shared" si="55"/>
        <v>271</v>
      </c>
      <c r="I53" s="82">
        <f t="shared" si="55"/>
        <v>306</v>
      </c>
      <c r="J53" s="83">
        <f t="shared" si="55"/>
        <v>278</v>
      </c>
      <c r="K53" s="83">
        <f t="shared" si="55"/>
        <v>335</v>
      </c>
      <c r="L53" s="82">
        <f t="shared" si="55"/>
        <v>305</v>
      </c>
      <c r="M53" s="83">
        <f t="shared" si="55"/>
        <v>296</v>
      </c>
      <c r="N53" s="332">
        <f t="shared" si="55"/>
        <v>371</v>
      </c>
      <c r="O53" s="83">
        <f t="shared" si="55"/>
        <v>483</v>
      </c>
      <c r="P53" s="83">
        <f t="shared" si="55"/>
        <v>380</v>
      </c>
      <c r="Q53" s="332">
        <f t="shared" si="55"/>
        <v>428</v>
      </c>
      <c r="R53" s="82">
        <v>421</v>
      </c>
      <c r="S53" s="83">
        <v>376</v>
      </c>
      <c r="T53" s="332">
        <v>574</v>
      </c>
      <c r="U53" s="82">
        <f t="shared" si="56"/>
        <v>503</v>
      </c>
      <c r="V53" s="83">
        <f t="shared" si="56"/>
        <v>468</v>
      </c>
      <c r="W53" s="332">
        <f t="shared" si="56"/>
        <v>533</v>
      </c>
      <c r="X53" s="82">
        <f t="shared" si="56"/>
        <v>507</v>
      </c>
      <c r="Y53" s="83">
        <f t="shared" si="56"/>
        <v>448</v>
      </c>
      <c r="Z53" s="332">
        <f t="shared" si="56"/>
        <v>583</v>
      </c>
      <c r="AA53" s="82">
        <f t="shared" si="56"/>
        <v>680</v>
      </c>
      <c r="AB53" s="83">
        <f t="shared" si="56"/>
        <v>595</v>
      </c>
      <c r="AC53" s="332">
        <f t="shared" si="56"/>
        <v>651</v>
      </c>
      <c r="AD53" s="82">
        <f>SUM(AD41,AD45,AD49)</f>
        <v>630</v>
      </c>
      <c r="AE53" s="83">
        <f t="shared" si="57"/>
        <v>589</v>
      </c>
      <c r="AF53" s="332">
        <f t="shared" si="57"/>
        <v>705</v>
      </c>
      <c r="AG53" s="82">
        <f t="shared" si="57"/>
        <v>686</v>
      </c>
      <c r="AH53" s="83">
        <f t="shared" si="57"/>
        <v>655</v>
      </c>
      <c r="AI53" s="332">
        <f t="shared" si="57"/>
        <v>687</v>
      </c>
      <c r="AJ53" s="82">
        <f t="shared" si="57"/>
        <v>649</v>
      </c>
      <c r="AK53" s="83">
        <f t="shared" si="57"/>
        <v>599</v>
      </c>
      <c r="AL53" s="332">
        <f t="shared" si="57"/>
        <v>659</v>
      </c>
      <c r="AM53" s="82">
        <f t="shared" si="57"/>
        <v>604</v>
      </c>
      <c r="AN53" s="83">
        <f t="shared" si="57"/>
        <v>606</v>
      </c>
      <c r="AO53" s="332">
        <f t="shared" si="57"/>
        <v>695</v>
      </c>
      <c r="AP53" s="82">
        <f t="shared" si="57"/>
        <v>669</v>
      </c>
      <c r="AQ53" s="83">
        <f t="shared" si="57"/>
        <v>606</v>
      </c>
      <c r="AR53" s="332">
        <f t="shared" si="57"/>
        <v>667</v>
      </c>
      <c r="AS53" s="82">
        <f t="shared" si="57"/>
        <v>607</v>
      </c>
      <c r="AT53" s="83">
        <f t="shared" si="57"/>
        <v>589</v>
      </c>
      <c r="AU53" s="332">
        <f t="shared" si="57"/>
        <v>637</v>
      </c>
      <c r="AV53" s="82">
        <f t="shared" si="57"/>
        <v>610</v>
      </c>
      <c r="AW53" s="83">
        <f t="shared" si="57"/>
        <v>561</v>
      </c>
      <c r="AX53" s="332">
        <f t="shared" si="57"/>
        <v>632</v>
      </c>
      <c r="AY53" s="82">
        <f t="shared" si="57"/>
        <v>550</v>
      </c>
      <c r="AZ53" s="83">
        <f t="shared" si="57"/>
        <v>590</v>
      </c>
      <c r="BA53" s="332">
        <f t="shared" si="57"/>
        <v>587</v>
      </c>
      <c r="BB53" s="82">
        <f t="shared" si="57"/>
        <v>510</v>
      </c>
      <c r="BC53" s="83">
        <f t="shared" si="57"/>
        <v>563</v>
      </c>
      <c r="BD53" s="332">
        <f t="shared" si="57"/>
        <v>504</v>
      </c>
      <c r="BE53" s="82">
        <f t="shared" ref="BE53:BG53" si="60">SUM(BE41,BE45,BE49)</f>
        <v>500</v>
      </c>
      <c r="BF53" s="83">
        <f t="shared" si="60"/>
        <v>488</v>
      </c>
      <c r="BG53" s="332">
        <f t="shared" si="60"/>
        <v>371</v>
      </c>
      <c r="BH53" s="82">
        <f t="shared" ref="BH53:BJ53" si="61">SUM(BH41,BH45,BH49)</f>
        <v>496</v>
      </c>
      <c r="BI53" s="83">
        <f t="shared" si="61"/>
        <v>474</v>
      </c>
      <c r="BJ53" s="332">
        <f t="shared" si="61"/>
        <v>573</v>
      </c>
      <c r="BO53" s="5536"/>
    </row>
    <row r="54" spans="1:67" ht="12.9" customHeight="1" x14ac:dyDescent="0.25">
      <c r="B54" s="1339" t="s">
        <v>317</v>
      </c>
      <c r="C54" s="333">
        <f t="shared" si="55"/>
        <v>604</v>
      </c>
      <c r="D54" s="334">
        <f t="shared" si="55"/>
        <v>590</v>
      </c>
      <c r="E54" s="334">
        <f t="shared" si="55"/>
        <v>577</v>
      </c>
      <c r="F54" s="333">
        <f t="shared" si="55"/>
        <v>562</v>
      </c>
      <c r="G54" s="334">
        <f t="shared" si="55"/>
        <v>566</v>
      </c>
      <c r="H54" s="334">
        <f t="shared" si="55"/>
        <v>560</v>
      </c>
      <c r="I54" s="333">
        <f t="shared" si="55"/>
        <v>591</v>
      </c>
      <c r="J54" s="334">
        <f t="shared" si="55"/>
        <v>566</v>
      </c>
      <c r="K54" s="334">
        <f t="shared" si="55"/>
        <v>559</v>
      </c>
      <c r="L54" s="333">
        <f t="shared" si="55"/>
        <v>576</v>
      </c>
      <c r="M54" s="334">
        <f t="shared" si="55"/>
        <v>548</v>
      </c>
      <c r="N54" s="335">
        <f t="shared" si="55"/>
        <v>545</v>
      </c>
      <c r="O54" s="334">
        <f t="shared" si="55"/>
        <v>503</v>
      </c>
      <c r="P54" s="334">
        <f t="shared" si="55"/>
        <v>534</v>
      </c>
      <c r="Q54" s="335">
        <f t="shared" si="55"/>
        <v>516</v>
      </c>
      <c r="R54" s="333">
        <v>534</v>
      </c>
      <c r="S54" s="334">
        <v>470</v>
      </c>
      <c r="T54" s="335">
        <v>549</v>
      </c>
      <c r="U54" s="333">
        <f t="shared" si="56"/>
        <v>602</v>
      </c>
      <c r="V54" s="334">
        <f t="shared" si="56"/>
        <v>588</v>
      </c>
      <c r="W54" s="335">
        <f t="shared" si="56"/>
        <v>615</v>
      </c>
      <c r="X54" s="333">
        <f t="shared" si="56"/>
        <v>688</v>
      </c>
      <c r="Y54" s="334">
        <f t="shared" si="56"/>
        <v>622</v>
      </c>
      <c r="Z54" s="335">
        <f t="shared" si="56"/>
        <v>701</v>
      </c>
      <c r="AA54" s="333">
        <f t="shared" si="56"/>
        <v>754</v>
      </c>
      <c r="AB54" s="334">
        <f t="shared" si="56"/>
        <v>674</v>
      </c>
      <c r="AC54" s="335">
        <f t="shared" si="56"/>
        <v>768</v>
      </c>
      <c r="AD54" s="333">
        <f>SUM(AD42,AD46,AD50)</f>
        <v>782</v>
      </c>
      <c r="AE54" s="334">
        <f t="shared" si="57"/>
        <v>757</v>
      </c>
      <c r="AF54" s="335">
        <f t="shared" si="57"/>
        <v>761</v>
      </c>
      <c r="AG54" s="333">
        <f t="shared" si="57"/>
        <v>865</v>
      </c>
      <c r="AH54" s="334">
        <f t="shared" si="57"/>
        <v>848</v>
      </c>
      <c r="AI54" s="335">
        <f t="shared" si="57"/>
        <v>851</v>
      </c>
      <c r="AJ54" s="333">
        <f t="shared" si="57"/>
        <v>850</v>
      </c>
      <c r="AK54" s="334">
        <f t="shared" si="57"/>
        <v>803</v>
      </c>
      <c r="AL54" s="335">
        <f t="shared" si="57"/>
        <v>905</v>
      </c>
      <c r="AM54" s="333">
        <f t="shared" si="57"/>
        <v>862</v>
      </c>
      <c r="AN54" s="334">
        <f t="shared" si="57"/>
        <v>839</v>
      </c>
      <c r="AO54" s="335">
        <f t="shared" si="57"/>
        <v>872</v>
      </c>
      <c r="AP54" s="333">
        <f t="shared" si="57"/>
        <v>863</v>
      </c>
      <c r="AQ54" s="334">
        <f t="shared" si="57"/>
        <v>811</v>
      </c>
      <c r="AR54" s="335">
        <f t="shared" si="57"/>
        <v>844</v>
      </c>
      <c r="AS54" s="333">
        <f t="shared" si="57"/>
        <v>816</v>
      </c>
      <c r="AT54" s="334">
        <f t="shared" si="57"/>
        <v>794</v>
      </c>
      <c r="AU54" s="335">
        <f t="shared" si="57"/>
        <v>795</v>
      </c>
      <c r="AV54" s="333">
        <f t="shared" si="57"/>
        <v>795</v>
      </c>
      <c r="AW54" s="334">
        <f t="shared" si="57"/>
        <v>722</v>
      </c>
      <c r="AX54" s="335">
        <f t="shared" si="57"/>
        <v>771</v>
      </c>
      <c r="AY54" s="333">
        <f t="shared" si="57"/>
        <v>755</v>
      </c>
      <c r="AZ54" s="334">
        <f t="shared" si="57"/>
        <v>764</v>
      </c>
      <c r="BA54" s="335">
        <f t="shared" si="57"/>
        <v>752</v>
      </c>
      <c r="BB54" s="333">
        <f t="shared" si="57"/>
        <v>730</v>
      </c>
      <c r="BC54" s="334">
        <f t="shared" si="57"/>
        <v>748</v>
      </c>
      <c r="BD54" s="335">
        <f t="shared" si="57"/>
        <v>758</v>
      </c>
      <c r="BE54" s="333">
        <f t="shared" ref="BE54:BG54" si="62">SUM(BE42,BE46,BE50)</f>
        <v>692</v>
      </c>
      <c r="BF54" s="334">
        <f t="shared" si="62"/>
        <v>661</v>
      </c>
      <c r="BG54" s="335">
        <f t="shared" si="62"/>
        <v>531</v>
      </c>
      <c r="BH54" s="333">
        <f t="shared" ref="BH54:BJ54" si="63">SUM(BH42,BH46,BH50)</f>
        <v>727</v>
      </c>
      <c r="BI54" s="334">
        <f t="shared" si="63"/>
        <v>729</v>
      </c>
      <c r="BJ54" s="335">
        <f t="shared" si="63"/>
        <v>730</v>
      </c>
      <c r="BO54" s="5537"/>
    </row>
    <row r="55" spans="1:67" s="1330" customFormat="1" ht="12.9" customHeight="1" x14ac:dyDescent="0.25">
      <c r="A55" s="25"/>
      <c r="B55" s="1359" t="s">
        <v>388</v>
      </c>
      <c r="C55" s="1363">
        <f>SUM(C52:C54)</f>
        <v>906</v>
      </c>
      <c r="D55" s="1364">
        <f>SUM(D52:D54)</f>
        <v>865</v>
      </c>
      <c r="E55" s="1364">
        <f>SUM(E52:E54)</f>
        <v>950</v>
      </c>
      <c r="F55" s="1363">
        <f t="shared" ref="F55:Q55" si="64">SUM(F52:F54)</f>
        <v>904</v>
      </c>
      <c r="G55" s="1364">
        <f t="shared" si="64"/>
        <v>879</v>
      </c>
      <c r="H55" s="1364">
        <f t="shared" si="64"/>
        <v>947</v>
      </c>
      <c r="I55" s="1363">
        <f t="shared" si="64"/>
        <v>1002</v>
      </c>
      <c r="J55" s="1364">
        <f t="shared" si="64"/>
        <v>942</v>
      </c>
      <c r="K55" s="1364">
        <f t="shared" si="64"/>
        <v>930</v>
      </c>
      <c r="L55" s="1363">
        <f t="shared" si="64"/>
        <v>1007</v>
      </c>
      <c r="M55" s="1364">
        <f t="shared" si="64"/>
        <v>968</v>
      </c>
      <c r="N55" s="1365">
        <f t="shared" si="64"/>
        <v>1022</v>
      </c>
      <c r="O55" s="1364">
        <f t="shared" si="64"/>
        <v>1110</v>
      </c>
      <c r="P55" s="1364">
        <f t="shared" si="64"/>
        <v>1040</v>
      </c>
      <c r="Q55" s="1365">
        <f t="shared" si="64"/>
        <v>1091</v>
      </c>
      <c r="R55" s="1363">
        <v>1097</v>
      </c>
      <c r="S55" s="1364">
        <v>973</v>
      </c>
      <c r="T55" s="1365">
        <v>1252</v>
      </c>
      <c r="U55" s="1363">
        <f t="shared" si="56"/>
        <v>1146</v>
      </c>
      <c r="V55" s="1364">
        <f t="shared" si="56"/>
        <v>1194</v>
      </c>
      <c r="W55" s="1365">
        <f t="shared" si="56"/>
        <v>1303</v>
      </c>
      <c r="X55" s="1363">
        <f t="shared" si="56"/>
        <v>1304</v>
      </c>
      <c r="Y55" s="1364">
        <f t="shared" si="56"/>
        <v>1111</v>
      </c>
      <c r="Z55" s="1365">
        <f t="shared" si="56"/>
        <v>1434</v>
      </c>
      <c r="AA55" s="1363">
        <f t="shared" si="56"/>
        <v>1537</v>
      </c>
      <c r="AB55" s="1364">
        <f t="shared" si="56"/>
        <v>1362</v>
      </c>
      <c r="AC55" s="1365">
        <f t="shared" si="56"/>
        <v>1552</v>
      </c>
      <c r="AD55" s="1363">
        <f t="shared" si="56"/>
        <v>1531</v>
      </c>
      <c r="AE55" s="1364">
        <f t="shared" si="56"/>
        <v>1458</v>
      </c>
      <c r="AF55" s="1365">
        <f t="shared" si="56"/>
        <v>1522</v>
      </c>
      <c r="AG55" s="1363">
        <f t="shared" si="56"/>
        <v>1597</v>
      </c>
      <c r="AH55" s="1364">
        <f t="shared" si="56"/>
        <v>1543</v>
      </c>
      <c r="AI55" s="1365">
        <f t="shared" si="56"/>
        <v>1616</v>
      </c>
      <c r="AJ55" s="1363">
        <f t="shared" si="56"/>
        <v>1567</v>
      </c>
      <c r="AK55" s="1364">
        <f t="shared" ref="AK55:BD55" si="65">AK43+AK47+AK51</f>
        <v>1464</v>
      </c>
      <c r="AL55" s="1365">
        <f t="shared" si="65"/>
        <v>1620</v>
      </c>
      <c r="AM55" s="1363">
        <f t="shared" si="65"/>
        <v>1554</v>
      </c>
      <c r="AN55" s="1364">
        <f t="shared" si="65"/>
        <v>1534</v>
      </c>
      <c r="AO55" s="1365">
        <f t="shared" si="65"/>
        <v>1657</v>
      </c>
      <c r="AP55" s="1363">
        <f t="shared" si="65"/>
        <v>1584</v>
      </c>
      <c r="AQ55" s="1364">
        <f t="shared" si="65"/>
        <v>1464</v>
      </c>
      <c r="AR55" s="1365">
        <f t="shared" si="65"/>
        <v>1551</v>
      </c>
      <c r="AS55" s="1363">
        <f t="shared" si="65"/>
        <v>1455</v>
      </c>
      <c r="AT55" s="1364">
        <f t="shared" si="65"/>
        <v>1486</v>
      </c>
      <c r="AU55" s="1365">
        <f t="shared" si="65"/>
        <v>1520</v>
      </c>
      <c r="AV55" s="1363">
        <f t="shared" si="65"/>
        <v>1484</v>
      </c>
      <c r="AW55" s="1364">
        <f t="shared" si="65"/>
        <v>1355</v>
      </c>
      <c r="AX55" s="1365">
        <f t="shared" si="65"/>
        <v>1479</v>
      </c>
      <c r="AY55" s="1363">
        <f t="shared" si="65"/>
        <v>1371</v>
      </c>
      <c r="AZ55" s="1364">
        <f t="shared" si="65"/>
        <v>1408</v>
      </c>
      <c r="BA55" s="1365">
        <f t="shared" si="65"/>
        <v>1386</v>
      </c>
      <c r="BB55" s="1363">
        <f t="shared" si="65"/>
        <v>1288</v>
      </c>
      <c r="BC55" s="1364">
        <f t="shared" si="65"/>
        <v>1382</v>
      </c>
      <c r="BD55" s="1365">
        <f t="shared" si="65"/>
        <v>1330</v>
      </c>
      <c r="BE55" s="1363">
        <f t="shared" ref="BE55:BG55" si="66">BE43+BE47+BE51</f>
        <v>1278</v>
      </c>
      <c r="BF55" s="1364">
        <f t="shared" si="66"/>
        <v>1178</v>
      </c>
      <c r="BG55" s="1365">
        <f t="shared" si="66"/>
        <v>916</v>
      </c>
      <c r="BH55" s="1363">
        <f t="shared" ref="BH55:BJ55" si="67">BH43+BH47+BH51</f>
        <v>1285</v>
      </c>
      <c r="BI55" s="1364">
        <f t="shared" si="67"/>
        <v>1256</v>
      </c>
      <c r="BJ55" s="1365">
        <f t="shared" si="67"/>
        <v>1326</v>
      </c>
      <c r="BO55" s="5537"/>
    </row>
    <row r="56" spans="1:67" s="1330" customFormat="1" ht="12.9" customHeight="1" x14ac:dyDescent="0.25">
      <c r="A56" s="25"/>
      <c r="B56" s="25"/>
      <c r="C56" s="1451"/>
      <c r="D56" s="1451"/>
      <c r="E56" s="1451"/>
      <c r="F56" s="1451"/>
      <c r="G56" s="1451"/>
      <c r="H56" s="1451"/>
      <c r="I56" s="1451"/>
      <c r="J56" s="1451"/>
      <c r="K56" s="1451"/>
      <c r="L56" s="1451"/>
      <c r="M56" s="1451"/>
      <c r="N56" s="1451"/>
      <c r="O56" s="1451"/>
      <c r="P56" s="1451"/>
      <c r="Q56" s="1451"/>
      <c r="R56" s="1451"/>
      <c r="S56" s="1451"/>
      <c r="T56" s="1451"/>
      <c r="U56" s="1451"/>
      <c r="V56" s="1451"/>
      <c r="W56" s="1451"/>
      <c r="X56" s="1451"/>
      <c r="Y56" s="1451"/>
      <c r="Z56" s="1451"/>
      <c r="AA56" s="1451"/>
      <c r="AB56" s="1451"/>
      <c r="AC56" s="1451"/>
      <c r="AD56" s="1451"/>
      <c r="AE56" s="1451"/>
      <c r="AF56" s="1451"/>
      <c r="AG56" s="1451"/>
      <c r="AH56" s="1451"/>
      <c r="AI56" s="1451"/>
      <c r="AJ56" s="1451"/>
      <c r="AK56" s="1451"/>
      <c r="AL56" s="1451"/>
      <c r="AM56" s="1451"/>
      <c r="AN56" s="1451"/>
      <c r="AO56" s="1451"/>
      <c r="AP56" s="1451"/>
      <c r="AQ56" s="1451"/>
      <c r="AR56" s="1451"/>
      <c r="AS56" s="1451"/>
      <c r="AT56" s="1451"/>
      <c r="AU56" s="1451"/>
      <c r="AV56" s="1451"/>
      <c r="AW56" s="1451"/>
      <c r="AX56" s="1451"/>
      <c r="AY56" s="1451"/>
      <c r="AZ56" s="1451"/>
      <c r="BA56" s="1451"/>
      <c r="BB56" s="1451"/>
      <c r="BC56" s="1451"/>
      <c r="BD56" s="1451"/>
      <c r="BE56" s="1451"/>
      <c r="BF56" s="1451"/>
      <c r="BG56" s="1451"/>
      <c r="BH56" s="1451"/>
      <c r="BI56" s="1451"/>
      <c r="BJ56" s="1451"/>
      <c r="BO56" s="5537"/>
    </row>
    <row r="57" spans="1:67" s="1330" customFormat="1" ht="12.9" customHeight="1" x14ac:dyDescent="0.25">
      <c r="A57" s="25"/>
      <c r="B57" s="1334" t="s">
        <v>308</v>
      </c>
      <c r="C57" s="329"/>
      <c r="D57" s="330"/>
      <c r="E57" s="330"/>
      <c r="F57" s="329"/>
      <c r="G57" s="330"/>
      <c r="H57" s="330"/>
      <c r="I57" s="329"/>
      <c r="J57" s="330"/>
      <c r="K57" s="330"/>
      <c r="L57" s="329"/>
      <c r="M57" s="330"/>
      <c r="N57" s="331"/>
      <c r="O57" s="330"/>
      <c r="P57" s="330"/>
      <c r="Q57" s="331"/>
      <c r="R57" s="329"/>
      <c r="S57" s="330"/>
      <c r="T57" s="331"/>
      <c r="U57" s="329"/>
      <c r="V57" s="330"/>
      <c r="W57" s="331"/>
      <c r="X57" s="329"/>
      <c r="Y57" s="330"/>
      <c r="Z57" s="331"/>
      <c r="AA57" s="329"/>
      <c r="AB57" s="330"/>
      <c r="AC57" s="331"/>
      <c r="AD57" s="329"/>
      <c r="AE57" s="330"/>
      <c r="AF57" s="331"/>
      <c r="AG57" s="329"/>
      <c r="AH57" s="330"/>
      <c r="AI57" s="331"/>
      <c r="AJ57" s="329"/>
      <c r="AK57" s="330"/>
      <c r="AL57" s="331"/>
      <c r="AM57" s="329"/>
      <c r="AN57" s="330"/>
      <c r="AO57" s="331"/>
      <c r="AP57" s="329"/>
      <c r="AQ57" s="330"/>
      <c r="AR57" s="331"/>
      <c r="AS57" s="329"/>
      <c r="AT57" s="330"/>
      <c r="AU57" s="331"/>
      <c r="AV57" s="329"/>
      <c r="AW57" s="330"/>
      <c r="AX57" s="331"/>
      <c r="AY57" s="329"/>
      <c r="AZ57" s="330"/>
      <c r="BA57" s="331"/>
      <c r="BB57" s="329"/>
      <c r="BC57" s="330"/>
      <c r="BD57" s="331"/>
      <c r="BE57" s="329"/>
      <c r="BF57" s="330"/>
      <c r="BG57" s="331"/>
      <c r="BH57" s="329"/>
      <c r="BI57" s="330"/>
      <c r="BJ57" s="331"/>
      <c r="BO57" s="5540"/>
    </row>
    <row r="58" spans="1:67" s="1330" customFormat="1" ht="12.9" customHeight="1" x14ac:dyDescent="0.25">
      <c r="A58" s="25"/>
      <c r="B58" s="1336" t="s">
        <v>310</v>
      </c>
      <c r="C58" s="82"/>
      <c r="D58" s="83"/>
      <c r="E58" s="83"/>
      <c r="F58" s="82"/>
      <c r="G58" s="83"/>
      <c r="H58" s="83"/>
      <c r="I58" s="82"/>
      <c r="J58" s="83"/>
      <c r="K58" s="83"/>
      <c r="L58" s="82"/>
      <c r="M58" s="83"/>
      <c r="N58" s="332"/>
      <c r="O58" s="83"/>
      <c r="P58" s="83"/>
      <c r="Q58" s="332"/>
      <c r="R58" s="82"/>
      <c r="S58" s="83"/>
      <c r="T58" s="332"/>
      <c r="U58" s="82"/>
      <c r="V58" s="83"/>
      <c r="W58" s="332"/>
      <c r="X58" s="82"/>
      <c r="Y58" s="83"/>
      <c r="Z58" s="332"/>
      <c r="AA58" s="82"/>
      <c r="AB58" s="83"/>
      <c r="AC58" s="332"/>
      <c r="AD58" s="82"/>
      <c r="AE58" s="83"/>
      <c r="AF58" s="332"/>
      <c r="AG58" s="82"/>
      <c r="AH58" s="83"/>
      <c r="AI58" s="332"/>
      <c r="AJ58" s="82"/>
      <c r="AK58" s="83"/>
      <c r="AL58" s="332"/>
      <c r="AM58" s="82"/>
      <c r="AN58" s="83"/>
      <c r="AO58" s="332"/>
      <c r="AP58" s="82"/>
      <c r="AQ58" s="83"/>
      <c r="AR58" s="332"/>
      <c r="AS58" s="82"/>
      <c r="AT58" s="83"/>
      <c r="AU58" s="332"/>
      <c r="AV58" s="82"/>
      <c r="AW58" s="83"/>
      <c r="AX58" s="332"/>
      <c r="AY58" s="82"/>
      <c r="AZ58" s="83"/>
      <c r="BA58" s="332"/>
      <c r="BB58" s="82"/>
      <c r="BC58" s="83"/>
      <c r="BD58" s="332"/>
      <c r="BE58" s="82"/>
      <c r="BF58" s="83"/>
      <c r="BG58" s="332"/>
      <c r="BH58" s="82"/>
      <c r="BI58" s="83"/>
      <c r="BJ58" s="332"/>
      <c r="BO58" s="5535"/>
    </row>
    <row r="59" spans="1:67" s="1330" customFormat="1" ht="12.9" customHeight="1" x14ac:dyDescent="0.25">
      <c r="A59" s="25"/>
      <c r="B59" s="1339" t="s">
        <v>317</v>
      </c>
      <c r="C59" s="333"/>
      <c r="D59" s="334"/>
      <c r="E59" s="334"/>
      <c r="F59" s="333"/>
      <c r="G59" s="334"/>
      <c r="H59" s="334"/>
      <c r="I59" s="333"/>
      <c r="J59" s="334"/>
      <c r="K59" s="334"/>
      <c r="L59" s="333"/>
      <c r="M59" s="334"/>
      <c r="N59" s="335"/>
      <c r="O59" s="334"/>
      <c r="P59" s="334"/>
      <c r="Q59" s="335"/>
      <c r="R59" s="333"/>
      <c r="S59" s="334"/>
      <c r="T59" s="335"/>
      <c r="U59" s="333"/>
      <c r="V59" s="334"/>
      <c r="W59" s="335"/>
      <c r="X59" s="333"/>
      <c r="Y59" s="334"/>
      <c r="Z59" s="335"/>
      <c r="AA59" s="333"/>
      <c r="AB59" s="334"/>
      <c r="AC59" s="335"/>
      <c r="AD59" s="333"/>
      <c r="AE59" s="334"/>
      <c r="AF59" s="335"/>
      <c r="AG59" s="333"/>
      <c r="AH59" s="334"/>
      <c r="AI59" s="335"/>
      <c r="AJ59" s="333"/>
      <c r="AK59" s="334"/>
      <c r="AL59" s="335"/>
      <c r="AM59" s="333"/>
      <c r="AN59" s="334"/>
      <c r="AO59" s="335"/>
      <c r="AP59" s="333"/>
      <c r="AQ59" s="334"/>
      <c r="AR59" s="335"/>
      <c r="AS59" s="333"/>
      <c r="AT59" s="334"/>
      <c r="AU59" s="335"/>
      <c r="AV59" s="333"/>
      <c r="AW59" s="334"/>
      <c r="AX59" s="335">
        <f>SUM('MATRICULA-POS plan'!AY113)</f>
        <v>1</v>
      </c>
      <c r="AY59" s="333">
        <f>SUM('MATRICULA-POS plan'!AZ113)</f>
        <v>2</v>
      </c>
      <c r="AZ59" s="334">
        <f>SUM('MATRICULA-POS plan'!BA113)</f>
        <v>3</v>
      </c>
      <c r="BA59" s="335">
        <f>SUM('MATRICULA-POS plan'!BB113)</f>
        <v>3</v>
      </c>
      <c r="BB59" s="333">
        <f>SUM('MATRICULA-POS plan'!BC113)</f>
        <v>4</v>
      </c>
      <c r="BC59" s="334">
        <f>SUM('MATRICULA-POS plan'!BD113)</f>
        <v>9</v>
      </c>
      <c r="BD59" s="335">
        <f>SUM('MATRICULA-POS plan'!BE113)</f>
        <v>0</v>
      </c>
      <c r="BE59" s="333">
        <f>SUM('MATRICULA-POS plan'!BF113)</f>
        <v>8</v>
      </c>
      <c r="BF59" s="334">
        <f>SUM('MATRICULA-POS plan'!BG113)</f>
        <v>5</v>
      </c>
      <c r="BG59" s="335">
        <f>SUM('MATRICULA-POS plan'!BH113)</f>
        <v>8</v>
      </c>
      <c r="BH59" s="333">
        <f>SUM('MATRICULA-POS plan'!BI113)</f>
        <v>9</v>
      </c>
      <c r="BI59" s="334">
        <f>SUM('MATRICULA-POS plan'!BJ113)</f>
        <v>11</v>
      </c>
      <c r="BJ59" s="335">
        <f>SUM('MATRICULA-POS plan'!BK113)</f>
        <v>10</v>
      </c>
      <c r="BO59" s="5535"/>
    </row>
    <row r="60" spans="1:67" s="1330" customFormat="1" ht="12.9" customHeight="1" x14ac:dyDescent="0.25">
      <c r="A60" s="25"/>
      <c r="B60" s="1342" t="s">
        <v>430</v>
      </c>
      <c r="C60" s="201"/>
      <c r="D60" s="202"/>
      <c r="E60" s="202"/>
      <c r="F60" s="201"/>
      <c r="G60" s="202"/>
      <c r="H60" s="202"/>
      <c r="I60" s="201"/>
      <c r="J60" s="202"/>
      <c r="K60" s="202"/>
      <c r="L60" s="201"/>
      <c r="M60" s="202"/>
      <c r="N60" s="203"/>
      <c r="O60" s="202"/>
      <c r="P60" s="202"/>
      <c r="Q60" s="203"/>
      <c r="R60" s="201"/>
      <c r="S60" s="202"/>
      <c r="T60" s="203"/>
      <c r="U60" s="201"/>
      <c r="V60" s="202"/>
      <c r="W60" s="203"/>
      <c r="X60" s="201"/>
      <c r="Y60" s="202"/>
      <c r="Z60" s="203"/>
      <c r="AA60" s="201"/>
      <c r="AB60" s="202"/>
      <c r="AC60" s="203"/>
      <c r="AD60" s="201"/>
      <c r="AE60" s="202"/>
      <c r="AF60" s="203"/>
      <c r="AG60" s="201"/>
      <c r="AH60" s="202"/>
      <c r="AI60" s="203"/>
      <c r="AJ60" s="201"/>
      <c r="AK60" s="202"/>
      <c r="AL60" s="203"/>
      <c r="AM60" s="201"/>
      <c r="AN60" s="202"/>
      <c r="AO60" s="203"/>
      <c r="AP60" s="201"/>
      <c r="AQ60" s="202"/>
      <c r="AR60" s="203"/>
      <c r="AS60" s="201"/>
      <c r="AT60" s="202"/>
      <c r="AU60" s="203"/>
      <c r="AV60" s="201"/>
      <c r="AW60" s="202"/>
      <c r="AX60" s="203">
        <f>SUM(AX57:AX59)</f>
        <v>1</v>
      </c>
      <c r="AY60" s="201">
        <f t="shared" ref="AY60:BD61" si="68">SUM(AY59)</f>
        <v>2</v>
      </c>
      <c r="AZ60" s="202">
        <f t="shared" si="68"/>
        <v>3</v>
      </c>
      <c r="BA60" s="203">
        <f t="shared" si="68"/>
        <v>3</v>
      </c>
      <c r="BB60" s="201">
        <f t="shared" si="68"/>
        <v>4</v>
      </c>
      <c r="BC60" s="202">
        <f t="shared" si="68"/>
        <v>9</v>
      </c>
      <c r="BD60" s="203">
        <f t="shared" si="68"/>
        <v>0</v>
      </c>
      <c r="BE60" s="201">
        <f t="shared" ref="BE60:BG60" si="69">SUM(BE59)</f>
        <v>8</v>
      </c>
      <c r="BF60" s="202">
        <f t="shared" si="69"/>
        <v>5</v>
      </c>
      <c r="BG60" s="203">
        <f t="shared" si="69"/>
        <v>8</v>
      </c>
      <c r="BH60" s="201">
        <f t="shared" ref="BH60:BJ60" si="70">SUM(BH59)</f>
        <v>9</v>
      </c>
      <c r="BI60" s="202">
        <f t="shared" si="70"/>
        <v>11</v>
      </c>
      <c r="BJ60" s="203">
        <f t="shared" si="70"/>
        <v>10</v>
      </c>
      <c r="BO60" s="5540"/>
    </row>
    <row r="61" spans="1:67" s="1330" customFormat="1" ht="12.9" customHeight="1" x14ac:dyDescent="0.25">
      <c r="A61" s="25"/>
      <c r="B61" s="1369" t="s">
        <v>389</v>
      </c>
      <c r="C61" s="1373"/>
      <c r="D61" s="1374"/>
      <c r="E61" s="1374"/>
      <c r="F61" s="1373"/>
      <c r="G61" s="1374"/>
      <c r="H61" s="1374"/>
      <c r="I61" s="1373"/>
      <c r="J61" s="1374"/>
      <c r="K61" s="1374"/>
      <c r="L61" s="1373"/>
      <c r="M61" s="1374"/>
      <c r="N61" s="1375"/>
      <c r="O61" s="1374"/>
      <c r="P61" s="1374"/>
      <c r="Q61" s="1375"/>
      <c r="R61" s="1373"/>
      <c r="S61" s="1374"/>
      <c r="T61" s="1375"/>
      <c r="U61" s="1373"/>
      <c r="V61" s="1374"/>
      <c r="W61" s="1375"/>
      <c r="X61" s="1373"/>
      <c r="Y61" s="1374"/>
      <c r="Z61" s="1375"/>
      <c r="AA61" s="1373"/>
      <c r="AB61" s="1374"/>
      <c r="AC61" s="1375"/>
      <c r="AD61" s="1373"/>
      <c r="AE61" s="1374"/>
      <c r="AF61" s="1375"/>
      <c r="AG61" s="1373"/>
      <c r="AH61" s="1374"/>
      <c r="AI61" s="1375"/>
      <c r="AJ61" s="1373"/>
      <c r="AK61" s="1374"/>
      <c r="AL61" s="1375"/>
      <c r="AM61" s="1373"/>
      <c r="AN61" s="1374"/>
      <c r="AO61" s="1375"/>
      <c r="AP61" s="1373"/>
      <c r="AQ61" s="1374"/>
      <c r="AR61" s="1375"/>
      <c r="AS61" s="1373"/>
      <c r="AT61" s="1374"/>
      <c r="AU61" s="1375"/>
      <c r="AV61" s="1373"/>
      <c r="AW61" s="1374"/>
      <c r="AX61" s="1375">
        <f>SUM(AX60)</f>
        <v>1</v>
      </c>
      <c r="AY61" s="1373">
        <f t="shared" si="68"/>
        <v>2</v>
      </c>
      <c r="AZ61" s="1374">
        <f t="shared" si="68"/>
        <v>3</v>
      </c>
      <c r="BA61" s="1375">
        <f t="shared" si="68"/>
        <v>3</v>
      </c>
      <c r="BB61" s="1373">
        <f t="shared" si="68"/>
        <v>4</v>
      </c>
      <c r="BC61" s="1374">
        <f t="shared" si="68"/>
        <v>9</v>
      </c>
      <c r="BD61" s="1375">
        <f t="shared" si="68"/>
        <v>0</v>
      </c>
      <c r="BE61" s="1373">
        <f t="shared" ref="BE61:BG61" si="71">SUM(BE60)</f>
        <v>8</v>
      </c>
      <c r="BF61" s="1374">
        <f t="shared" si="71"/>
        <v>5</v>
      </c>
      <c r="BG61" s="1375">
        <f t="shared" si="71"/>
        <v>8</v>
      </c>
      <c r="BH61" s="1373">
        <f t="shared" ref="BH61:BJ61" si="72">SUM(BH60)</f>
        <v>9</v>
      </c>
      <c r="BI61" s="1374">
        <f t="shared" si="72"/>
        <v>11</v>
      </c>
      <c r="BJ61" s="1375">
        <f t="shared" si="72"/>
        <v>10</v>
      </c>
      <c r="BO61" s="5538"/>
    </row>
    <row r="62" spans="1:67" s="1330" customFormat="1" ht="12.9" customHeight="1" x14ac:dyDescent="0.25">
      <c r="A62" s="25"/>
      <c r="B62" s="25"/>
      <c r="C62" s="1451"/>
      <c r="D62" s="1451"/>
      <c r="E62" s="1451"/>
      <c r="F62" s="1451"/>
      <c r="G62" s="1451"/>
      <c r="H62" s="1451"/>
      <c r="I62" s="1451"/>
      <c r="J62" s="1451"/>
      <c r="K62" s="1451"/>
      <c r="L62" s="1451"/>
      <c r="M62" s="1451"/>
      <c r="N62" s="1451"/>
      <c r="O62" s="1451"/>
      <c r="P62" s="1451"/>
      <c r="Q62" s="1451"/>
      <c r="R62" s="1451"/>
      <c r="S62" s="1451"/>
      <c r="T62" s="1451"/>
      <c r="U62" s="1451"/>
      <c r="V62" s="1451"/>
      <c r="W62" s="1451"/>
      <c r="X62" s="1451"/>
      <c r="Y62" s="1451"/>
      <c r="Z62" s="1451"/>
      <c r="AA62" s="1451"/>
      <c r="AB62" s="1451"/>
      <c r="AC62" s="1451"/>
      <c r="AD62" s="1451"/>
      <c r="AE62" s="1451"/>
      <c r="AF62" s="1451"/>
      <c r="AG62" s="1451"/>
      <c r="AH62" s="1451"/>
      <c r="AI62" s="1451"/>
      <c r="AJ62" s="1451"/>
      <c r="AK62" s="1451"/>
      <c r="AL62" s="1451"/>
      <c r="AM62" s="1451"/>
      <c r="AN62" s="1451"/>
      <c r="AO62" s="1451"/>
      <c r="AP62" s="1451"/>
      <c r="AQ62" s="1451"/>
      <c r="AR62" s="1451"/>
      <c r="AS62" s="1451"/>
      <c r="AT62" s="1451"/>
      <c r="AU62" s="1451"/>
      <c r="AV62" s="1451"/>
      <c r="AW62" s="1451"/>
      <c r="AX62" s="1451"/>
      <c r="AY62" s="1451"/>
      <c r="AZ62" s="1451"/>
      <c r="BA62" s="1451"/>
      <c r="BB62" s="1451"/>
      <c r="BC62" s="1451"/>
      <c r="BD62" s="1451"/>
      <c r="BE62" s="1451"/>
      <c r="BF62" s="1451"/>
      <c r="BG62" s="1451"/>
      <c r="BH62" s="1451"/>
      <c r="BI62" s="1451"/>
      <c r="BJ62" s="1451"/>
      <c r="BO62" s="5539"/>
    </row>
    <row r="63" spans="1:67" ht="12.9" customHeight="1" x14ac:dyDescent="0.25">
      <c r="B63" s="1334" t="s">
        <v>308</v>
      </c>
      <c r="C63" s="329">
        <f>SUM('MATRICULA-POS plan'!D116:D117)</f>
        <v>24</v>
      </c>
      <c r="D63" s="330">
        <f>SUM('MATRICULA-POS plan'!E116:E117)</f>
        <v>22</v>
      </c>
      <c r="E63" s="330">
        <f>SUM('MATRICULA-POS plan'!F116:F117)</f>
        <v>16</v>
      </c>
      <c r="F63" s="329">
        <f>SUM('MATRICULA-POS plan'!G116:G117)</f>
        <v>0</v>
      </c>
      <c r="G63" s="330">
        <f>SUM('MATRICULA-POS plan'!H116:H117)</f>
        <v>0</v>
      </c>
      <c r="H63" s="330">
        <f>SUM('MATRICULA-POS plan'!I116:I117)</f>
        <v>6</v>
      </c>
      <c r="I63" s="329">
        <f>SUM('MATRICULA-POS plan'!J116:J117)</f>
        <v>4</v>
      </c>
      <c r="J63" s="330">
        <f>SUM('MATRICULA-POS plan'!K116:K117)</f>
        <v>4</v>
      </c>
      <c r="K63" s="330">
        <f>SUM('MATRICULA-POS plan'!L116:L117)</f>
        <v>0</v>
      </c>
      <c r="L63" s="329">
        <f>SUM('MATRICULA-POS plan'!M116:M117)</f>
        <v>0</v>
      </c>
      <c r="M63" s="330">
        <f>SUM('MATRICULA-POS plan'!N116:N117)</f>
        <v>0</v>
      </c>
      <c r="N63" s="331">
        <f>SUM('MATRICULA-POS plan'!O116:O117)</f>
        <v>5</v>
      </c>
      <c r="O63" s="330">
        <f>SUM('MATRICULA-POS plan'!P116:P117)</f>
        <v>16</v>
      </c>
      <c r="P63" s="330">
        <f>SUM('MATRICULA-POS plan'!Q116:Q117)</f>
        <v>2</v>
      </c>
      <c r="Q63" s="331">
        <f>SUM('MATRICULA-POS plan'!R116:R117)</f>
        <v>17</v>
      </c>
      <c r="R63" s="329">
        <f>SUM('MATRICULA-POS plan'!S116:S117)</f>
        <v>4</v>
      </c>
      <c r="S63" s="330">
        <f>SUM('MATRICULA-POS plan'!T116:T117)</f>
        <v>4</v>
      </c>
      <c r="T63" s="331">
        <f>SUM('MATRICULA-POS plan'!U116:U117)</f>
        <v>22</v>
      </c>
      <c r="U63" s="329">
        <f>SUM('MATRICULA-POS plan'!V116:V117)</f>
        <v>2</v>
      </c>
      <c r="V63" s="330">
        <f>SUM('MATRICULA-POS plan'!W116:W117)</f>
        <v>2</v>
      </c>
      <c r="W63" s="331">
        <f>SUM('MATRICULA-POS plan'!X116:X117)</f>
        <v>2</v>
      </c>
      <c r="X63" s="329">
        <f>SUM('MATRICULA-POS plan'!Y116:Y117)</f>
        <v>0</v>
      </c>
      <c r="Y63" s="330">
        <f>SUM('MATRICULA-POS plan'!Z116:Z117)</f>
        <v>0</v>
      </c>
      <c r="Z63" s="331">
        <f>SUM('MATRICULA-POS plan'!AA116:AA117)</f>
        <v>19</v>
      </c>
      <c r="AA63" s="329">
        <f>SUM('MATRICULA-POS plan'!AB116:AB117)</f>
        <v>22</v>
      </c>
      <c r="AB63" s="330">
        <f>SUM('MATRICULA-POS plan'!AC116:AC117)</f>
        <v>22</v>
      </c>
      <c r="AC63" s="331">
        <f>SUM('MATRICULA-POS plan'!AD116:AD117)</f>
        <v>57</v>
      </c>
      <c r="AD63" s="329">
        <f>SUM('MATRICULA-POS plan'!AE116:AE117)</f>
        <v>39</v>
      </c>
      <c r="AE63" s="330">
        <f>SUM('MATRICULA-POS plan'!AF116:AF117)</f>
        <v>40</v>
      </c>
      <c r="AF63" s="331">
        <f>SUM('MATRICULA-POS plan'!AG116:AG117)</f>
        <v>37</v>
      </c>
      <c r="AG63" s="329">
        <f>SUM('MATRICULA-POS plan'!AH116:AH117)</f>
        <v>28</v>
      </c>
      <c r="AH63" s="330">
        <f>SUM('MATRICULA-POS plan'!AI116:AI117)</f>
        <v>4</v>
      </c>
      <c r="AI63" s="331">
        <f>SUM('MATRICULA-POS plan'!AJ116:AJ117)</f>
        <v>36</v>
      </c>
      <c r="AJ63" s="329">
        <f>SUM('MATRICULA-POS plan'!AK116:AK117)</f>
        <v>37</v>
      </c>
      <c r="AK63" s="330">
        <f>SUM('MATRICULA-POS plan'!AL116:AL117)</f>
        <v>37</v>
      </c>
      <c r="AL63" s="331">
        <f>SUM('MATRICULA-POS plan'!AM116:AM117)</f>
        <v>33</v>
      </c>
      <c r="AM63" s="329">
        <f>SUM('MATRICULA-POS plan'!AN116:AN117)</f>
        <v>9</v>
      </c>
      <c r="AN63" s="330">
        <f>SUM('MATRICULA-POS plan'!AO116:AO117)</f>
        <v>9</v>
      </c>
      <c r="AO63" s="331">
        <f>SUM('MATRICULA-POS plan'!AP116:AP117)</f>
        <v>9</v>
      </c>
      <c r="AP63" s="329">
        <f>SUM('MATRICULA-POS plan'!AQ116:AQ117)</f>
        <v>38</v>
      </c>
      <c r="AQ63" s="330">
        <f>SUM('MATRICULA-POS plan'!AR116:AR117)</f>
        <v>38</v>
      </c>
      <c r="AR63" s="331">
        <f>SUM('MATRICULA-POS plan'!AS116:AS117)</f>
        <v>25</v>
      </c>
      <c r="AS63" s="329">
        <f>SUM('MATRICULA-POS plan'!AT116:AT117)</f>
        <v>36</v>
      </c>
      <c r="AT63" s="330">
        <f>SUM('MATRICULA-POS plan'!AU116:AU117)</f>
        <v>4</v>
      </c>
      <c r="AU63" s="331">
        <f>SUM('MATRICULA-POS plan'!AV116:AV117)</f>
        <v>33</v>
      </c>
      <c r="AV63" s="329">
        <f>SUM('MATRICULA-POS plan'!AW116:AW117)</f>
        <v>33</v>
      </c>
      <c r="AW63" s="330">
        <f>SUM('MATRICULA-POS plan'!AX116:AX117)</f>
        <v>31</v>
      </c>
      <c r="AX63" s="331">
        <f>SUM('MATRICULA-POS plan'!AY116:AY117)</f>
        <v>29</v>
      </c>
      <c r="AY63" s="329">
        <f>SUM('MATRICULA-POS plan'!AZ116:AZ117)</f>
        <v>7</v>
      </c>
      <c r="AZ63" s="330">
        <f>SUM('MATRICULA-POS plan'!BA116:BA117)</f>
        <v>2</v>
      </c>
      <c r="BA63" s="331">
        <f>SUM('MATRICULA-POS plan'!BB116:BB117)</f>
        <v>20</v>
      </c>
      <c r="BB63" s="329">
        <f>SUM('MATRICULA-POS plan'!BC116:BC117)</f>
        <v>20</v>
      </c>
      <c r="BC63" s="330">
        <f>SUM('MATRICULA-POS plan'!BD116:BD117)</f>
        <v>19</v>
      </c>
      <c r="BD63" s="331">
        <f>SUM('MATRICULA-POS plan'!BE116:BE117)</f>
        <v>19</v>
      </c>
      <c r="BE63" s="329">
        <f>SUM('MATRICULA-POS plan'!BF116:BF117)</f>
        <v>17</v>
      </c>
      <c r="BF63" s="330">
        <f>SUM('MATRICULA-POS plan'!BG116:BG117)</f>
        <v>25</v>
      </c>
      <c r="BG63" s="331">
        <f>SUM('MATRICULA-POS plan'!BH116:BH117)</f>
        <v>21</v>
      </c>
      <c r="BH63" s="329">
        <f>SUM('MATRICULA-POS plan'!BI116:BI117)</f>
        <v>21</v>
      </c>
      <c r="BI63" s="330">
        <f>SUM('MATRICULA-POS plan'!BJ116:BJ117)</f>
        <v>21</v>
      </c>
      <c r="BJ63" s="331">
        <f>SUM('MATRICULA-POS plan'!BK116:BK117)</f>
        <v>2</v>
      </c>
      <c r="BO63" s="5538"/>
    </row>
    <row r="64" spans="1:67" ht="12.9" customHeight="1" x14ac:dyDescent="0.25">
      <c r="B64" s="1336" t="s">
        <v>310</v>
      </c>
      <c r="C64" s="82">
        <f>SUM('MATRICULA-POS plan'!D118:D126)</f>
        <v>131</v>
      </c>
      <c r="D64" s="83">
        <f>SUM('MATRICULA-POS plan'!E118:E126)</f>
        <v>144</v>
      </c>
      <c r="E64" s="83">
        <f>SUM('MATRICULA-POS plan'!F118:F126)</f>
        <v>163</v>
      </c>
      <c r="F64" s="82">
        <f>SUM('MATRICULA-POS plan'!G118:G126)</f>
        <v>150</v>
      </c>
      <c r="G64" s="83">
        <f>SUM('MATRICULA-POS plan'!H118:H126)</f>
        <v>134</v>
      </c>
      <c r="H64" s="83">
        <f>SUM('MATRICULA-POS plan'!I118:I126)</f>
        <v>165</v>
      </c>
      <c r="I64" s="82">
        <f>SUM('MATRICULA-POS plan'!J118:J126)</f>
        <v>150</v>
      </c>
      <c r="J64" s="83">
        <f>SUM('MATRICULA-POS plan'!K118:K126)</f>
        <v>141</v>
      </c>
      <c r="K64" s="83">
        <f>SUM('MATRICULA-POS plan'!L118:L126)</f>
        <v>150</v>
      </c>
      <c r="L64" s="82">
        <f>SUM('MATRICULA-POS plan'!M118:M126)</f>
        <v>146</v>
      </c>
      <c r="M64" s="83">
        <f>SUM('MATRICULA-POS plan'!N118:N126)</f>
        <v>140</v>
      </c>
      <c r="N64" s="332">
        <f>SUM('MATRICULA-POS plan'!O118:O126)</f>
        <v>173</v>
      </c>
      <c r="O64" s="83">
        <f>SUM('MATRICULA-POS plan'!P118:P126)</f>
        <v>150</v>
      </c>
      <c r="P64" s="83">
        <f>SUM('MATRICULA-POS plan'!Q118:Q126)</f>
        <v>143</v>
      </c>
      <c r="Q64" s="332">
        <f>SUM('MATRICULA-POS plan'!R118:R126)</f>
        <v>136</v>
      </c>
      <c r="R64" s="82">
        <f>SUM('MATRICULA-POS plan'!S118:S126)</f>
        <v>142</v>
      </c>
      <c r="S64" s="83">
        <f>SUM('MATRICULA-POS plan'!T118:T126)</f>
        <v>157</v>
      </c>
      <c r="T64" s="332">
        <f>SUM('MATRICULA-POS plan'!U118:U126)</f>
        <v>189</v>
      </c>
      <c r="U64" s="82">
        <f>SUM('MATRICULA-POS plan'!V118:V126)</f>
        <v>191</v>
      </c>
      <c r="V64" s="83">
        <f>SUM('MATRICULA-POS plan'!W118:W126)</f>
        <v>205</v>
      </c>
      <c r="W64" s="332">
        <f>SUM('MATRICULA-POS plan'!X118:X126)</f>
        <v>188</v>
      </c>
      <c r="X64" s="82">
        <f>SUM('MATRICULA-POS plan'!Y118:Y126)</f>
        <v>176</v>
      </c>
      <c r="Y64" s="83">
        <f>SUM('MATRICULA-POS plan'!Z118:Z126)</f>
        <v>208</v>
      </c>
      <c r="Z64" s="332">
        <f>SUM('MATRICULA-POS plan'!AA118:AA126)</f>
        <v>172</v>
      </c>
      <c r="AA64" s="82">
        <f>SUM('MATRICULA-POS plan'!AB118:AB126)</f>
        <v>162</v>
      </c>
      <c r="AB64" s="83">
        <f>SUM('MATRICULA-POS plan'!AC118:AC126)</f>
        <v>156</v>
      </c>
      <c r="AC64" s="332">
        <f>SUM('MATRICULA-POS plan'!AD118:AD126)</f>
        <v>130</v>
      </c>
      <c r="AD64" s="82">
        <f>SUM('MATRICULA-POS plan'!AE118:AE126)</f>
        <v>143</v>
      </c>
      <c r="AE64" s="83">
        <f>SUM('MATRICULA-POS plan'!AF118:AF126)</f>
        <v>139</v>
      </c>
      <c r="AF64" s="332">
        <f>SUM('MATRICULA-POS plan'!AG118:AG126)</f>
        <v>194</v>
      </c>
      <c r="AG64" s="82">
        <f>SUM('MATRICULA-POS plan'!AH118:AH126)</f>
        <v>206</v>
      </c>
      <c r="AH64" s="83">
        <f>SUM('MATRICULA-POS plan'!AI118:AI126)</f>
        <v>196</v>
      </c>
      <c r="AI64" s="332">
        <f>SUM('MATRICULA-POS plan'!AJ118:AJ126)</f>
        <v>151</v>
      </c>
      <c r="AJ64" s="82">
        <f>SUM('MATRICULA-POS plan'!AK118:AK126)</f>
        <v>146</v>
      </c>
      <c r="AK64" s="83">
        <f>SUM('MATRICULA-POS plan'!AL118:AL126)</f>
        <v>145</v>
      </c>
      <c r="AL64" s="332">
        <f>SUM('MATRICULA-POS plan'!AM118:AM126)</f>
        <v>202</v>
      </c>
      <c r="AM64" s="82">
        <f>SUM('MATRICULA-POS plan'!AN118:AN126)</f>
        <v>184</v>
      </c>
      <c r="AN64" s="83">
        <f>SUM('MATRICULA-POS plan'!AO118:AO126)</f>
        <v>178</v>
      </c>
      <c r="AO64" s="332">
        <f>SUM('MATRICULA-POS plan'!AP118:AP126)</f>
        <v>179</v>
      </c>
      <c r="AP64" s="82">
        <f>SUM('MATRICULA-POS plan'!AQ118:AQ126)</f>
        <v>186</v>
      </c>
      <c r="AQ64" s="83">
        <f>SUM('MATRICULA-POS plan'!AR118:AR126)</f>
        <v>179</v>
      </c>
      <c r="AR64" s="332">
        <f>SUM('MATRICULA-POS plan'!AS118:AS126)</f>
        <v>183</v>
      </c>
      <c r="AS64" s="82">
        <f>SUM('MATRICULA-POS plan'!AT118:AT126)</f>
        <v>174</v>
      </c>
      <c r="AT64" s="83">
        <f>SUM('MATRICULA-POS plan'!AU118:AU126)</f>
        <v>177</v>
      </c>
      <c r="AU64" s="332">
        <f>SUM('MATRICULA-POS plan'!AV118:AV128)</f>
        <v>161</v>
      </c>
      <c r="AV64" s="82">
        <f>SUM('MATRICULA-POS plan'!AW118:AW128)</f>
        <v>167</v>
      </c>
      <c r="AW64" s="83">
        <f>SUM('MATRICULA-POS plan'!AX118:AX128)</f>
        <v>190</v>
      </c>
      <c r="AX64" s="332">
        <f>SUM('MATRICULA-POS plan'!AY118:AY128)</f>
        <v>224</v>
      </c>
      <c r="AY64" s="82">
        <f>SUM('MATRICULA-POS plan'!AZ118:AZ128)</f>
        <v>219</v>
      </c>
      <c r="AZ64" s="83">
        <f>SUM('MATRICULA-POS plan'!BA118:BA128)</f>
        <v>226</v>
      </c>
      <c r="BA64" s="332">
        <f>SUM('MATRICULA-POS plan'!BB118:BB128)</f>
        <v>179</v>
      </c>
      <c r="BB64" s="82">
        <f>SUM('MATRICULA-POS plan'!BC118:BC128)</f>
        <v>181</v>
      </c>
      <c r="BC64" s="83">
        <f>SUM('MATRICULA-POS plan'!BD118:BD128)</f>
        <v>284</v>
      </c>
      <c r="BD64" s="332">
        <f>SUM('MATRICULA-POS plan'!BE118:BE128)</f>
        <v>206</v>
      </c>
      <c r="BE64" s="82">
        <f>SUM('MATRICULA-POS plan'!BF118:BF128)</f>
        <v>191</v>
      </c>
      <c r="BF64" s="83">
        <f>SUM('MATRICULA-POS plan'!BG118:BG128)</f>
        <v>176</v>
      </c>
      <c r="BG64" s="332">
        <f>SUM('MATRICULA-POS plan'!BH118:BH128)</f>
        <v>163</v>
      </c>
      <c r="BH64" s="82">
        <f>SUM('MATRICULA-POS plan'!BI118:BI128)</f>
        <v>184</v>
      </c>
      <c r="BI64" s="83">
        <f>SUM('MATRICULA-POS plan'!BJ118:BJ128)</f>
        <v>181</v>
      </c>
      <c r="BJ64" s="332">
        <f>SUM('MATRICULA-POS plan'!BK118:BK128)</f>
        <v>216</v>
      </c>
      <c r="BO64" s="5538"/>
    </row>
    <row r="65" spans="1:64" ht="12.9" customHeight="1" x14ac:dyDescent="0.25">
      <c r="B65" s="1339" t="s">
        <v>317</v>
      </c>
      <c r="C65" s="333">
        <f>SUM('MATRICULA-POS plan'!D129:D131)</f>
        <v>125</v>
      </c>
      <c r="D65" s="334">
        <f>SUM('MATRICULA-POS plan'!E129:E131)</f>
        <v>113</v>
      </c>
      <c r="E65" s="334">
        <f>SUM('MATRICULA-POS plan'!F129:F131)</f>
        <v>129</v>
      </c>
      <c r="F65" s="333">
        <f>SUM('MATRICULA-POS plan'!G129:G131)</f>
        <v>113</v>
      </c>
      <c r="G65" s="334">
        <f>SUM('MATRICULA-POS plan'!H129:H131)</f>
        <v>103</v>
      </c>
      <c r="H65" s="334">
        <f>SUM('MATRICULA-POS plan'!I129:I131)</f>
        <v>91</v>
      </c>
      <c r="I65" s="333">
        <f>SUM('MATRICULA-POS plan'!J129:J131)</f>
        <v>121</v>
      </c>
      <c r="J65" s="334">
        <f>SUM('MATRICULA-POS plan'!K129:K131)</f>
        <v>135</v>
      </c>
      <c r="K65" s="334">
        <f>SUM('MATRICULA-POS plan'!L129:L131)</f>
        <v>141</v>
      </c>
      <c r="L65" s="333">
        <f>SUM('MATRICULA-POS plan'!M129:M131)</f>
        <v>110</v>
      </c>
      <c r="M65" s="334">
        <f>SUM('MATRICULA-POS plan'!N129:N131)</f>
        <v>108</v>
      </c>
      <c r="N65" s="335">
        <f>SUM('MATRICULA-POS plan'!O129:O131)</f>
        <v>100</v>
      </c>
      <c r="O65" s="334">
        <f>SUM('MATRICULA-POS plan'!P129:P131)</f>
        <v>167</v>
      </c>
      <c r="P65" s="334">
        <f>SUM('MATRICULA-POS plan'!Q129:Q131)</f>
        <v>165</v>
      </c>
      <c r="Q65" s="335">
        <f>SUM('MATRICULA-POS plan'!R129:R131)</f>
        <v>146</v>
      </c>
      <c r="R65" s="333">
        <f>SUM('MATRICULA-POS plan'!S129:S131)</f>
        <v>145</v>
      </c>
      <c r="S65" s="334">
        <f>SUM('MATRICULA-POS plan'!T129:T131)</f>
        <v>158</v>
      </c>
      <c r="T65" s="335">
        <f>SUM('MATRICULA-POS plan'!U129:U131)</f>
        <v>127</v>
      </c>
      <c r="U65" s="333">
        <f>SUM('MATRICULA-POS plan'!V129:V131)</f>
        <v>165</v>
      </c>
      <c r="V65" s="334">
        <f>SUM('MATRICULA-POS plan'!W129:W131)</f>
        <v>206</v>
      </c>
      <c r="W65" s="335">
        <f>SUM('MATRICULA-POS plan'!X129:X131)</f>
        <v>184</v>
      </c>
      <c r="X65" s="333">
        <f>SUM('MATRICULA-POS plan'!Y129:Y131)</f>
        <v>153</v>
      </c>
      <c r="Y65" s="334">
        <f>SUM('MATRICULA-POS plan'!Z129:Z131)</f>
        <v>191</v>
      </c>
      <c r="Z65" s="335">
        <f>SUM('MATRICULA-POS plan'!AA129:AA131)</f>
        <v>141</v>
      </c>
      <c r="AA65" s="333">
        <f>SUM('MATRICULA-POS plan'!AB129:AB131)</f>
        <v>180</v>
      </c>
      <c r="AB65" s="334">
        <f>SUM('MATRICULA-POS plan'!AC129:AC131)</f>
        <v>150</v>
      </c>
      <c r="AC65" s="335">
        <f>SUM('MATRICULA-POS plan'!AD129:AD131)</f>
        <v>148</v>
      </c>
      <c r="AD65" s="333">
        <f>SUM('MATRICULA-POS plan'!AE129:AE131)</f>
        <v>142</v>
      </c>
      <c r="AE65" s="334">
        <f>SUM('MATRICULA-POS plan'!AF129:AF131)</f>
        <v>130</v>
      </c>
      <c r="AF65" s="335">
        <f>SUM('MATRICULA-POS plan'!AG129:AG131)</f>
        <v>128</v>
      </c>
      <c r="AG65" s="333">
        <f>SUM('MATRICULA-POS plan'!AH129:AH131)</f>
        <v>156</v>
      </c>
      <c r="AH65" s="334">
        <f>SUM('MATRICULA-POS plan'!AI129:AI131)</f>
        <v>153</v>
      </c>
      <c r="AI65" s="335">
        <f>SUM('MATRICULA-POS plan'!AJ129:AJ131)</f>
        <v>150</v>
      </c>
      <c r="AJ65" s="333">
        <f>SUM('MATRICULA-POS plan'!AK129:AK131)</f>
        <v>137</v>
      </c>
      <c r="AK65" s="334">
        <f>SUM('MATRICULA-POS plan'!AL129:AL131)</f>
        <v>143</v>
      </c>
      <c r="AL65" s="335">
        <f>SUM('MATRICULA-POS plan'!AM129:AM131)</f>
        <v>141</v>
      </c>
      <c r="AM65" s="333">
        <f>SUM('MATRICULA-POS plan'!AN129:AN131)</f>
        <v>153</v>
      </c>
      <c r="AN65" s="334">
        <f>SUM('MATRICULA-POS plan'!AO129:AO131)</f>
        <v>140</v>
      </c>
      <c r="AO65" s="335">
        <f>SUM('MATRICULA-POS plan'!AP129:AP131)</f>
        <v>152</v>
      </c>
      <c r="AP65" s="333">
        <f>SUM('MATRICULA-POS plan'!AQ129:AQ131)</f>
        <v>148</v>
      </c>
      <c r="AQ65" s="334">
        <f>SUM('MATRICULA-POS plan'!AR129:AR131)</f>
        <v>140</v>
      </c>
      <c r="AR65" s="335">
        <f>SUM('MATRICULA-POS plan'!AS129:AS131)</f>
        <v>148</v>
      </c>
      <c r="AS65" s="333">
        <f>SUM('MATRICULA-POS plan'!AT129:AT131)</f>
        <v>162</v>
      </c>
      <c r="AT65" s="334">
        <f>SUM('MATRICULA-POS plan'!AU129:AU131)</f>
        <v>166</v>
      </c>
      <c r="AU65" s="335">
        <f>SUM('MATRICULA-POS plan'!AV129:AV134)</f>
        <v>186</v>
      </c>
      <c r="AV65" s="333">
        <f>SUM('MATRICULA-POS plan'!AW129:AW134)</f>
        <v>188</v>
      </c>
      <c r="AW65" s="334">
        <f>SUM('MATRICULA-POS plan'!AX129:AX134)</f>
        <v>242</v>
      </c>
      <c r="AX65" s="335">
        <f>SUM('MATRICULA-POS plan'!AY129:AY134)</f>
        <v>232</v>
      </c>
      <c r="AY65" s="333">
        <f>SUM('MATRICULA-POS plan'!AZ129:AZ134)</f>
        <v>280</v>
      </c>
      <c r="AZ65" s="334">
        <f>SUM('MATRICULA-POS plan'!BA129:BA134)</f>
        <v>245</v>
      </c>
      <c r="BA65" s="335">
        <f>SUM('MATRICULA-POS plan'!BB129:BB134)</f>
        <v>235</v>
      </c>
      <c r="BB65" s="333">
        <f>SUM('MATRICULA-POS plan'!BC129:BC134)</f>
        <v>250</v>
      </c>
      <c r="BC65" s="334">
        <f>SUM('MATRICULA-POS plan'!BD129:BD134)</f>
        <v>243</v>
      </c>
      <c r="BD65" s="335">
        <f>SUM('MATRICULA-POS plan'!BE129:BE134)</f>
        <v>239</v>
      </c>
      <c r="BE65" s="333">
        <f>SUM('MATRICULA-POS plan'!BF129:BF134)</f>
        <v>277</v>
      </c>
      <c r="BF65" s="334">
        <f>SUM('MATRICULA-POS plan'!BG129:BG134)</f>
        <v>242</v>
      </c>
      <c r="BG65" s="335">
        <f>SUM('MATRICULA-POS plan'!BH129:BH134)</f>
        <v>250</v>
      </c>
      <c r="BH65" s="333">
        <f>SUM('MATRICULA-POS plan'!BI129:BI134)</f>
        <v>236</v>
      </c>
      <c r="BI65" s="334">
        <f>SUM('MATRICULA-POS plan'!BJ129:BJ134)</f>
        <v>230</v>
      </c>
      <c r="BJ65" s="335">
        <f>SUM('MATRICULA-POS plan'!BK129:BK134)</f>
        <v>228</v>
      </c>
    </row>
    <row r="66" spans="1:64" s="1330" customFormat="1" ht="12.9" customHeight="1" x14ac:dyDescent="0.25">
      <c r="A66" s="25"/>
      <c r="B66" s="1342" t="s">
        <v>426</v>
      </c>
      <c r="C66" s="201">
        <v>280</v>
      </c>
      <c r="D66" s="202">
        <v>279</v>
      </c>
      <c r="E66" s="202">
        <v>308</v>
      </c>
      <c r="F66" s="201">
        <v>263</v>
      </c>
      <c r="G66" s="202">
        <v>237</v>
      </c>
      <c r="H66" s="202">
        <v>262</v>
      </c>
      <c r="I66" s="201">
        <v>275</v>
      </c>
      <c r="J66" s="202">
        <v>280</v>
      </c>
      <c r="K66" s="202">
        <v>291</v>
      </c>
      <c r="L66" s="201">
        <v>256</v>
      </c>
      <c r="M66" s="202">
        <v>248</v>
      </c>
      <c r="N66" s="203">
        <v>278</v>
      </c>
      <c r="O66" s="202">
        <v>333</v>
      </c>
      <c r="P66" s="202">
        <v>310</v>
      </c>
      <c r="Q66" s="203">
        <v>299</v>
      </c>
      <c r="R66" s="201">
        <v>291</v>
      </c>
      <c r="S66" s="202">
        <v>319</v>
      </c>
      <c r="T66" s="203">
        <v>338</v>
      </c>
      <c r="U66" s="201">
        <f t="shared" ref="U66:Z66" si="73">SUM(U63:U65)</f>
        <v>358</v>
      </c>
      <c r="V66" s="202">
        <f t="shared" si="73"/>
        <v>413</v>
      </c>
      <c r="W66" s="203">
        <f t="shared" si="73"/>
        <v>374</v>
      </c>
      <c r="X66" s="201">
        <f t="shared" si="73"/>
        <v>329</v>
      </c>
      <c r="Y66" s="202">
        <f t="shared" si="73"/>
        <v>399</v>
      </c>
      <c r="Z66" s="203">
        <f t="shared" si="73"/>
        <v>332</v>
      </c>
      <c r="AA66" s="201">
        <f>SUM(AA63:AA65)</f>
        <v>364</v>
      </c>
      <c r="AB66" s="202">
        <f>SUM(AB63:AB65)</f>
        <v>328</v>
      </c>
      <c r="AC66" s="203">
        <f>SUM(AC63:AC65)</f>
        <v>335</v>
      </c>
      <c r="AD66" s="201">
        <f>SUM(AD63:AD65)</f>
        <v>324</v>
      </c>
      <c r="AE66" s="202">
        <f t="shared" ref="AE66:BD66" si="74">SUM(AE63:AE65)</f>
        <v>309</v>
      </c>
      <c r="AF66" s="203">
        <f t="shared" si="74"/>
        <v>359</v>
      </c>
      <c r="AG66" s="201">
        <f t="shared" si="74"/>
        <v>390</v>
      </c>
      <c r="AH66" s="202">
        <f t="shared" si="74"/>
        <v>353</v>
      </c>
      <c r="AI66" s="203">
        <f t="shared" si="74"/>
        <v>337</v>
      </c>
      <c r="AJ66" s="201">
        <f t="shared" si="74"/>
        <v>320</v>
      </c>
      <c r="AK66" s="202">
        <f t="shared" si="74"/>
        <v>325</v>
      </c>
      <c r="AL66" s="203">
        <f t="shared" si="74"/>
        <v>376</v>
      </c>
      <c r="AM66" s="201">
        <f t="shared" si="74"/>
        <v>346</v>
      </c>
      <c r="AN66" s="202">
        <f t="shared" si="74"/>
        <v>327</v>
      </c>
      <c r="AO66" s="203">
        <f t="shared" si="74"/>
        <v>340</v>
      </c>
      <c r="AP66" s="201">
        <f t="shared" si="74"/>
        <v>372</v>
      </c>
      <c r="AQ66" s="202">
        <f t="shared" si="74"/>
        <v>357</v>
      </c>
      <c r="AR66" s="203">
        <f t="shared" si="74"/>
        <v>356</v>
      </c>
      <c r="AS66" s="201">
        <f t="shared" si="74"/>
        <v>372</v>
      </c>
      <c r="AT66" s="202">
        <f t="shared" si="74"/>
        <v>347</v>
      </c>
      <c r="AU66" s="203">
        <f t="shared" si="74"/>
        <v>380</v>
      </c>
      <c r="AV66" s="201">
        <f t="shared" si="74"/>
        <v>388</v>
      </c>
      <c r="AW66" s="202">
        <f t="shared" si="74"/>
        <v>463</v>
      </c>
      <c r="AX66" s="203">
        <f t="shared" si="74"/>
        <v>485</v>
      </c>
      <c r="AY66" s="201">
        <f t="shared" si="74"/>
        <v>506</v>
      </c>
      <c r="AZ66" s="202">
        <f t="shared" si="74"/>
        <v>473</v>
      </c>
      <c r="BA66" s="203">
        <f t="shared" si="74"/>
        <v>434</v>
      </c>
      <c r="BB66" s="201">
        <f t="shared" si="74"/>
        <v>451</v>
      </c>
      <c r="BC66" s="202">
        <f t="shared" si="74"/>
        <v>546</v>
      </c>
      <c r="BD66" s="203">
        <f t="shared" si="74"/>
        <v>464</v>
      </c>
      <c r="BE66" s="201">
        <f t="shared" ref="BE66:BG66" si="75">SUM(BE63:BE65)</f>
        <v>485</v>
      </c>
      <c r="BF66" s="202">
        <f t="shared" si="75"/>
        <v>443</v>
      </c>
      <c r="BG66" s="203">
        <f t="shared" si="75"/>
        <v>434</v>
      </c>
      <c r="BH66" s="201">
        <f t="shared" ref="BH66:BJ66" si="76">SUM(BH63:BH65)</f>
        <v>441</v>
      </c>
      <c r="BI66" s="202">
        <f t="shared" si="76"/>
        <v>432</v>
      </c>
      <c r="BJ66" s="203">
        <f t="shared" si="76"/>
        <v>446</v>
      </c>
    </row>
    <row r="67" spans="1:64" ht="12.9" customHeight="1" x14ac:dyDescent="0.25">
      <c r="B67" s="1334" t="s">
        <v>308</v>
      </c>
      <c r="C67" s="329">
        <f>SUM('MATRICULA-POS plan'!D136:D138)</f>
        <v>12</v>
      </c>
      <c r="D67" s="330">
        <f>SUM('MATRICULA-POS plan'!E136:E138)</f>
        <v>8</v>
      </c>
      <c r="E67" s="330">
        <f>SUM('MATRICULA-POS plan'!F136:F138)</f>
        <v>6</v>
      </c>
      <c r="F67" s="329">
        <f>SUM('MATRICULA-POS plan'!G136:G138)</f>
        <v>10</v>
      </c>
      <c r="G67" s="330">
        <f>SUM('MATRICULA-POS plan'!H136:H138)</f>
        <v>10</v>
      </c>
      <c r="H67" s="330">
        <f>SUM('MATRICULA-POS plan'!I136:I138)</f>
        <v>10</v>
      </c>
      <c r="I67" s="329">
        <f>SUM('MATRICULA-POS plan'!J136:J138)</f>
        <v>0</v>
      </c>
      <c r="J67" s="330">
        <f>SUM('MATRICULA-POS plan'!K136:K138)</f>
        <v>0</v>
      </c>
      <c r="K67" s="330">
        <f>SUM('MATRICULA-POS plan'!L136:L138)</f>
        <v>0</v>
      </c>
      <c r="L67" s="329">
        <f>SUM('MATRICULA-POS plan'!M136:M138)</f>
        <v>13</v>
      </c>
      <c r="M67" s="330">
        <f>SUM('MATRICULA-POS plan'!N136:N138)</f>
        <v>11</v>
      </c>
      <c r="N67" s="331">
        <f>SUM('MATRICULA-POS plan'!O136:O138)</f>
        <v>11</v>
      </c>
      <c r="O67" s="330">
        <f>SUM('MATRICULA-POS plan'!P136:P138)</f>
        <v>8</v>
      </c>
      <c r="P67" s="330">
        <f>SUM('MATRICULA-POS plan'!Q136:Q138)</f>
        <v>8</v>
      </c>
      <c r="Q67" s="331">
        <f>SUM('MATRICULA-POS plan'!R136:R138)</f>
        <v>8</v>
      </c>
      <c r="R67" s="329">
        <f>SUM('MATRICULA-POS plan'!S136:S138)</f>
        <v>12</v>
      </c>
      <c r="S67" s="330">
        <f>SUM('MATRICULA-POS plan'!T136:T138)</f>
        <v>12</v>
      </c>
      <c r="T67" s="331">
        <f>SUM('MATRICULA-POS plan'!U136:U138)</f>
        <v>12</v>
      </c>
      <c r="U67" s="329">
        <f>SUM('MATRICULA-POS plan'!V136:V138)</f>
        <v>10</v>
      </c>
      <c r="V67" s="330">
        <f>SUM('MATRICULA-POS plan'!W136:W138)</f>
        <v>8</v>
      </c>
      <c r="W67" s="331">
        <f>SUM('MATRICULA-POS plan'!X136:X138)</f>
        <v>7</v>
      </c>
      <c r="X67" s="329">
        <f>SUM('MATRICULA-POS plan'!Y136:Y138)</f>
        <v>1</v>
      </c>
      <c r="Y67" s="330">
        <f>SUM('MATRICULA-POS plan'!Z136:Z138)</f>
        <v>0</v>
      </c>
      <c r="Z67" s="331">
        <f>SUM('MATRICULA-POS plan'!AA136:AA138)</f>
        <v>0</v>
      </c>
      <c r="AA67" s="329">
        <f>SUM('MATRICULA-POS plan'!AB136:AB138)</f>
        <v>31</v>
      </c>
      <c r="AB67" s="330">
        <f>SUM('MATRICULA-POS plan'!AC136:AC138)</f>
        <v>20</v>
      </c>
      <c r="AC67" s="331">
        <f>SUM('MATRICULA-POS plan'!AD136:AD138)</f>
        <v>28</v>
      </c>
      <c r="AD67" s="329">
        <f>SUM('MATRICULA-POS plan'!AE136:AE138)</f>
        <v>29</v>
      </c>
      <c r="AE67" s="330">
        <f>SUM('MATRICULA-POS plan'!AF136:AF138)</f>
        <v>20</v>
      </c>
      <c r="AF67" s="331">
        <f>SUM('MATRICULA-POS plan'!AG136:AG138)</f>
        <v>16</v>
      </c>
      <c r="AG67" s="329">
        <f>SUM('MATRICULA-POS plan'!AH136:AH138)</f>
        <v>30</v>
      </c>
      <c r="AH67" s="330">
        <f>SUM('MATRICULA-POS plan'!AI136:AI138)</f>
        <v>29</v>
      </c>
      <c r="AI67" s="331">
        <f>SUM('MATRICULA-POS plan'!AJ136:AJ138)</f>
        <v>10</v>
      </c>
      <c r="AJ67" s="329">
        <f>SUM('MATRICULA-POS plan'!AK136:AK138)</f>
        <v>17</v>
      </c>
      <c r="AK67" s="330">
        <f>SUM('MATRICULA-POS plan'!AL136:AL138)</f>
        <v>10</v>
      </c>
      <c r="AL67" s="331">
        <f>SUM('MATRICULA-POS plan'!AM136:AM138)</f>
        <v>10</v>
      </c>
      <c r="AM67" s="329">
        <f>SUM('MATRICULA-POS plan'!AN136:AN138)</f>
        <v>11</v>
      </c>
      <c r="AN67" s="330">
        <f>SUM('MATRICULA-POS plan'!AO136:AO138)</f>
        <v>6</v>
      </c>
      <c r="AO67" s="331">
        <f>SUM('MATRICULA-POS plan'!AP136:AP138)</f>
        <v>6</v>
      </c>
      <c r="AP67" s="329">
        <f>SUM('MATRICULA-POS plan'!AQ136:AQ138)</f>
        <v>12</v>
      </c>
      <c r="AQ67" s="330">
        <f>SUM('MATRICULA-POS plan'!AR136:AR138)</f>
        <v>12</v>
      </c>
      <c r="AR67" s="331">
        <f>SUM('MATRICULA-POS plan'!AS136:AS138)</f>
        <v>12</v>
      </c>
      <c r="AS67" s="329">
        <f>SUM('MATRICULA-POS plan'!AT136:AT138)</f>
        <v>9</v>
      </c>
      <c r="AT67" s="330">
        <f>SUM('MATRICULA-POS plan'!AU136:AU138)</f>
        <v>4</v>
      </c>
      <c r="AU67" s="331">
        <f>SUM('MATRICULA-POS plan'!AV136:AV138)</f>
        <v>2</v>
      </c>
      <c r="AV67" s="329">
        <f>SUM('MATRICULA-POS plan'!AW136:AW138)</f>
        <v>0</v>
      </c>
      <c r="AW67" s="330">
        <f>SUM('MATRICULA-POS plan'!AX136:AX138)</f>
        <v>0</v>
      </c>
      <c r="AX67" s="331">
        <f>SUM('MATRICULA-POS plan'!AY136:AY138)</f>
        <v>0</v>
      </c>
      <c r="AY67" s="329">
        <f>SUM('MATRICULA-POS plan'!AZ136:AZ138)</f>
        <v>0</v>
      </c>
      <c r="AZ67" s="330">
        <f>SUM('MATRICULA-POS plan'!BA136:BA138)</f>
        <v>0</v>
      </c>
      <c r="BA67" s="331">
        <f>SUM('MATRICULA-POS plan'!BB136:BB138)</f>
        <v>0</v>
      </c>
      <c r="BB67" s="329">
        <f>SUM('MATRICULA-POS plan'!BC136:BC138)</f>
        <v>0</v>
      </c>
      <c r="BC67" s="330">
        <f>SUM('MATRICULA-POS plan'!BD136:BD138)</f>
        <v>0</v>
      </c>
      <c r="BD67" s="331">
        <f>SUM('MATRICULA-POS plan'!BE136:BE138)</f>
        <v>0</v>
      </c>
      <c r="BE67" s="329">
        <f>SUM('MATRICULA-POS plan'!BF136:BF138)</f>
        <v>0</v>
      </c>
      <c r="BF67" s="330">
        <f>SUM('MATRICULA-POS plan'!BG136:BG138)</f>
        <v>0</v>
      </c>
      <c r="BG67" s="331">
        <f>SUM('MATRICULA-POS plan'!BH136:BH138)</f>
        <v>0</v>
      </c>
      <c r="BH67" s="329">
        <f>SUM('MATRICULA-POS plan'!BI136:BI138)</f>
        <v>0</v>
      </c>
      <c r="BI67" s="330">
        <f>SUM('MATRICULA-POS plan'!BJ136:BJ138)</f>
        <v>0</v>
      </c>
      <c r="BJ67" s="331">
        <f>SUM('MATRICULA-POS plan'!BK136:BK138)</f>
        <v>0</v>
      </c>
    </row>
    <row r="68" spans="1:64" ht="12.9" customHeight="1" x14ac:dyDescent="0.25">
      <c r="B68" s="1336" t="s">
        <v>310</v>
      </c>
      <c r="C68" s="82">
        <f>SUM('MATRICULA-POS plan'!D139:D147)</f>
        <v>93</v>
      </c>
      <c r="D68" s="83">
        <f>SUM('MATRICULA-POS plan'!E139:E147)</f>
        <v>80</v>
      </c>
      <c r="E68" s="83">
        <f>SUM('MATRICULA-POS plan'!F139:F147)</f>
        <v>88</v>
      </c>
      <c r="F68" s="82">
        <f>SUM('MATRICULA-POS plan'!G139:G147)</f>
        <v>83</v>
      </c>
      <c r="G68" s="83">
        <f>SUM('MATRICULA-POS plan'!H139:H147)</f>
        <v>79</v>
      </c>
      <c r="H68" s="83">
        <f>SUM('MATRICULA-POS plan'!I139:I147)</f>
        <v>77</v>
      </c>
      <c r="I68" s="82">
        <f>SUM('MATRICULA-POS plan'!J139:J147)</f>
        <v>84</v>
      </c>
      <c r="J68" s="83">
        <f>SUM('MATRICULA-POS plan'!K139:K147)</f>
        <v>81</v>
      </c>
      <c r="K68" s="83">
        <f>SUM('MATRICULA-POS plan'!L139:L147)</f>
        <v>114</v>
      </c>
      <c r="L68" s="82">
        <f>SUM('MATRICULA-POS plan'!M139:M147)</f>
        <v>105</v>
      </c>
      <c r="M68" s="83">
        <f>SUM('MATRICULA-POS plan'!N139:N147)</f>
        <v>105</v>
      </c>
      <c r="N68" s="332">
        <f>SUM('MATRICULA-POS plan'!O139:O147)</f>
        <v>118</v>
      </c>
      <c r="O68" s="83">
        <f>SUM('MATRICULA-POS plan'!P139:P147)</f>
        <v>115</v>
      </c>
      <c r="P68" s="83">
        <f>SUM('MATRICULA-POS plan'!Q139:Q147)</f>
        <v>110</v>
      </c>
      <c r="Q68" s="332">
        <f>SUM('MATRICULA-POS plan'!R139:R147)</f>
        <v>132</v>
      </c>
      <c r="R68" s="82">
        <f>SUM('MATRICULA-POS plan'!S139:S147)</f>
        <v>109</v>
      </c>
      <c r="S68" s="83">
        <f>SUM('MATRICULA-POS plan'!T139:T147)</f>
        <v>110</v>
      </c>
      <c r="T68" s="332">
        <f>SUM('MATRICULA-POS plan'!U139:U147)</f>
        <v>137</v>
      </c>
      <c r="U68" s="82">
        <f>SUM('MATRICULA-POS plan'!V139:V147)</f>
        <v>131</v>
      </c>
      <c r="V68" s="83">
        <f>SUM('MATRICULA-POS plan'!W139:W147)</f>
        <v>136</v>
      </c>
      <c r="W68" s="332">
        <f>SUM('MATRICULA-POS plan'!X139:X147)</f>
        <v>146</v>
      </c>
      <c r="X68" s="82">
        <f>SUM('MATRICULA-POS plan'!Y139:Y147)</f>
        <v>145</v>
      </c>
      <c r="Y68" s="83">
        <f>SUM('MATRICULA-POS plan'!Z139:Z147)</f>
        <v>148</v>
      </c>
      <c r="Z68" s="332">
        <f>SUM('MATRICULA-POS plan'!AA139:AA147)</f>
        <v>148</v>
      </c>
      <c r="AA68" s="82">
        <f>SUM('MATRICULA-POS plan'!AB139:AB147)</f>
        <v>132</v>
      </c>
      <c r="AB68" s="83">
        <f>SUM('MATRICULA-POS plan'!AC139:AC147)</f>
        <v>132</v>
      </c>
      <c r="AC68" s="332">
        <f>SUM('MATRICULA-POS plan'!AD139:AD147)</f>
        <v>122</v>
      </c>
      <c r="AD68" s="82">
        <f>SUM('MATRICULA-POS plan'!AE139:AE147)</f>
        <v>134</v>
      </c>
      <c r="AE68" s="83">
        <f>SUM('MATRICULA-POS plan'!AF139:AF147)</f>
        <v>136</v>
      </c>
      <c r="AF68" s="332">
        <f>SUM('MATRICULA-POS plan'!AG139:AG147)</f>
        <v>157</v>
      </c>
      <c r="AG68" s="82">
        <f>SUM('MATRICULA-POS plan'!AH139:AH147)</f>
        <v>161</v>
      </c>
      <c r="AH68" s="83">
        <f>SUM('MATRICULA-POS plan'!AI139:AI147)</f>
        <v>169</v>
      </c>
      <c r="AI68" s="332">
        <f>SUM('MATRICULA-POS plan'!AJ139:AJ147)</f>
        <v>160</v>
      </c>
      <c r="AJ68" s="82">
        <f>SUM('MATRICULA-POS plan'!AK139:AK147)</f>
        <v>148</v>
      </c>
      <c r="AK68" s="83">
        <f>SUM('MATRICULA-POS plan'!AL139:AL147)</f>
        <v>168</v>
      </c>
      <c r="AL68" s="332">
        <f>SUM('MATRICULA-POS plan'!AM139:AM147)</f>
        <v>185</v>
      </c>
      <c r="AM68" s="82">
        <f>SUM('MATRICULA-POS plan'!AN139:AN147)</f>
        <v>181</v>
      </c>
      <c r="AN68" s="83">
        <f>SUM('MATRICULA-POS plan'!AO139:AO147)</f>
        <v>189</v>
      </c>
      <c r="AO68" s="332">
        <f>SUM('MATRICULA-POS plan'!AP139:AP147)</f>
        <v>194</v>
      </c>
      <c r="AP68" s="82">
        <f>SUM('MATRICULA-POS plan'!AQ139:AQ147)</f>
        <v>183</v>
      </c>
      <c r="AQ68" s="83">
        <f>SUM('MATRICULA-POS plan'!AR139:AR147)</f>
        <v>180</v>
      </c>
      <c r="AR68" s="332">
        <f>SUM('MATRICULA-POS plan'!AS139:AS147)</f>
        <v>175</v>
      </c>
      <c r="AS68" s="82">
        <f>SUM('MATRICULA-POS plan'!AT139:AT147)</f>
        <v>182</v>
      </c>
      <c r="AT68" s="83">
        <f>SUM('MATRICULA-POS plan'!AU139:AU147)</f>
        <v>171</v>
      </c>
      <c r="AU68" s="332">
        <f>SUM('MATRICULA-POS plan'!AV139:AV147)</f>
        <v>186</v>
      </c>
      <c r="AV68" s="82">
        <f>SUM('MATRICULA-POS plan'!AW139:AW147)</f>
        <v>169</v>
      </c>
      <c r="AW68" s="83">
        <f>SUM('MATRICULA-POS plan'!AX139:AX147)</f>
        <v>183</v>
      </c>
      <c r="AX68" s="332">
        <f>SUM('MATRICULA-POS plan'!AY139:AY147)</f>
        <v>212</v>
      </c>
      <c r="AY68" s="82">
        <f>SUM('MATRICULA-POS plan'!AZ139:AZ147)</f>
        <v>183</v>
      </c>
      <c r="AZ68" s="83">
        <f>SUM('MATRICULA-POS plan'!BA139:BA147)</f>
        <v>220</v>
      </c>
      <c r="BA68" s="332">
        <f>SUM('MATRICULA-POS plan'!BB139:BB147)</f>
        <v>202</v>
      </c>
      <c r="BB68" s="82">
        <f>SUM('MATRICULA-POS plan'!BC139:BC147)</f>
        <v>228</v>
      </c>
      <c r="BC68" s="83">
        <f>SUM('MATRICULA-POS plan'!BD139:BD147)</f>
        <v>200</v>
      </c>
      <c r="BD68" s="332">
        <f>SUM('MATRICULA-POS plan'!BE139:BE147)</f>
        <v>196</v>
      </c>
      <c r="BE68" s="82">
        <f>SUM('MATRICULA-POS plan'!BF139:BF147)</f>
        <v>172</v>
      </c>
      <c r="BF68" s="83">
        <f>SUM('MATRICULA-POS plan'!BG139:BG147)</f>
        <v>174</v>
      </c>
      <c r="BG68" s="332">
        <f>SUM('MATRICULA-POS plan'!BH139:BH147)</f>
        <v>189</v>
      </c>
      <c r="BH68" s="82">
        <f>SUM('MATRICULA-POS plan'!BI139:BI148)</f>
        <v>170</v>
      </c>
      <c r="BI68" s="83">
        <f>SUM('MATRICULA-POS plan'!BJ139:BJ148)</f>
        <v>175</v>
      </c>
      <c r="BJ68" s="332">
        <f>SUM('MATRICULA-POS plan'!BK139:BK148)</f>
        <v>190</v>
      </c>
    </row>
    <row r="69" spans="1:64" ht="12.9" customHeight="1" x14ac:dyDescent="0.25">
      <c r="B69" s="1339" t="s">
        <v>317</v>
      </c>
      <c r="C69" s="333">
        <f>SUM('MATRICULA-POS plan'!D149:D152)</f>
        <v>62</v>
      </c>
      <c r="D69" s="334">
        <f>SUM('MATRICULA-POS plan'!E149:E152)</f>
        <v>56</v>
      </c>
      <c r="E69" s="334">
        <f>SUM('MATRICULA-POS plan'!F149:F152)</f>
        <v>66</v>
      </c>
      <c r="F69" s="333">
        <f>SUM('MATRICULA-POS plan'!G149:G152)</f>
        <v>57</v>
      </c>
      <c r="G69" s="334">
        <f>SUM('MATRICULA-POS plan'!H149:H152)</f>
        <v>56</v>
      </c>
      <c r="H69" s="334">
        <f>SUM('MATRICULA-POS plan'!I149:I152)</f>
        <v>58</v>
      </c>
      <c r="I69" s="333">
        <f>SUM('MATRICULA-POS plan'!J149:J152)</f>
        <v>57</v>
      </c>
      <c r="J69" s="334">
        <f>SUM('MATRICULA-POS plan'!K149:K152)</f>
        <v>55</v>
      </c>
      <c r="K69" s="334">
        <f>SUM('MATRICULA-POS plan'!L149:L152)</f>
        <v>63</v>
      </c>
      <c r="L69" s="333">
        <f>SUM('MATRICULA-POS plan'!M149:M152)</f>
        <v>56</v>
      </c>
      <c r="M69" s="334">
        <f>SUM('MATRICULA-POS plan'!N149:N152)</f>
        <v>48</v>
      </c>
      <c r="N69" s="335">
        <f>SUM('MATRICULA-POS plan'!O149:O152)</f>
        <v>71</v>
      </c>
      <c r="O69" s="334">
        <f>SUM('MATRICULA-POS plan'!P149:P152)</f>
        <v>79</v>
      </c>
      <c r="P69" s="334">
        <f>SUM('MATRICULA-POS plan'!Q149:Q152)</f>
        <v>64</v>
      </c>
      <c r="Q69" s="335">
        <f>SUM('MATRICULA-POS plan'!R149:R152)</f>
        <v>79</v>
      </c>
      <c r="R69" s="333">
        <f>SUM('MATRICULA-POS plan'!S149:S152)</f>
        <v>76</v>
      </c>
      <c r="S69" s="334">
        <f>SUM('MATRICULA-POS plan'!T149:T152)</f>
        <v>66</v>
      </c>
      <c r="T69" s="335">
        <f>SUM('MATRICULA-POS plan'!U149:U152)</f>
        <v>72</v>
      </c>
      <c r="U69" s="333">
        <f>SUM('MATRICULA-POS plan'!V149:V152)</f>
        <v>78</v>
      </c>
      <c r="V69" s="334">
        <f>SUM('MATRICULA-POS plan'!W149:W152)</f>
        <v>78</v>
      </c>
      <c r="W69" s="335">
        <f>SUM('MATRICULA-POS plan'!X149:X152)</f>
        <v>85</v>
      </c>
      <c r="X69" s="333">
        <f>SUM('MATRICULA-POS plan'!Y149:Y152)</f>
        <v>87</v>
      </c>
      <c r="Y69" s="334">
        <f>SUM('MATRICULA-POS plan'!Z149:Z152)</f>
        <v>73</v>
      </c>
      <c r="Z69" s="335">
        <f>SUM('MATRICULA-POS plan'!AA149:AA152)</f>
        <v>86</v>
      </c>
      <c r="AA69" s="333">
        <f>SUM('MATRICULA-POS plan'!AB149:AB152)</f>
        <v>92</v>
      </c>
      <c r="AB69" s="334">
        <f>SUM('MATRICULA-POS plan'!AC149:AC152)</f>
        <v>78</v>
      </c>
      <c r="AC69" s="335">
        <f>SUM('MATRICULA-POS plan'!AD149:AD152)</f>
        <v>88</v>
      </c>
      <c r="AD69" s="333">
        <f>SUM('MATRICULA-POS plan'!AE149:AE152)</f>
        <v>87</v>
      </c>
      <c r="AE69" s="334">
        <f>SUM('MATRICULA-POS plan'!AF149:AF152)</f>
        <v>80</v>
      </c>
      <c r="AF69" s="335">
        <f>SUM('MATRICULA-POS plan'!AG149:AG152)</f>
        <v>97</v>
      </c>
      <c r="AG69" s="333">
        <f>SUM('MATRICULA-POS plan'!AH149:AH152)</f>
        <v>101</v>
      </c>
      <c r="AH69" s="334">
        <f>SUM('MATRICULA-POS plan'!AI149:AI152)</f>
        <v>97</v>
      </c>
      <c r="AI69" s="335">
        <f>SUM('MATRICULA-POS plan'!AJ149:AJ152)</f>
        <v>100</v>
      </c>
      <c r="AJ69" s="333">
        <f>SUM('MATRICULA-POS plan'!AK149:AK152)</f>
        <v>89</v>
      </c>
      <c r="AK69" s="334">
        <f>SUM('MATRICULA-POS plan'!AL149:AL152)</f>
        <v>91</v>
      </c>
      <c r="AL69" s="335">
        <f>SUM('MATRICULA-POS plan'!AM149:AM152)</f>
        <v>114</v>
      </c>
      <c r="AM69" s="333">
        <f>SUM('MATRICULA-POS plan'!AN149:AN152)</f>
        <v>117</v>
      </c>
      <c r="AN69" s="334">
        <f>SUM('MATRICULA-POS plan'!AO149:AO152)</f>
        <v>111</v>
      </c>
      <c r="AO69" s="335">
        <f>SUM('MATRICULA-POS plan'!AP149:AP152)</f>
        <v>110</v>
      </c>
      <c r="AP69" s="333">
        <f>SUM('MATRICULA-POS plan'!AQ149:AQ152)</f>
        <v>116</v>
      </c>
      <c r="AQ69" s="334">
        <f>SUM('MATRICULA-POS plan'!AR149:AR152)</f>
        <v>105</v>
      </c>
      <c r="AR69" s="335">
        <f>SUM('MATRICULA-POS plan'!AS149:AS152)</f>
        <v>129</v>
      </c>
      <c r="AS69" s="333">
        <f>SUM('MATRICULA-POS plan'!AT149:AT152)</f>
        <v>139</v>
      </c>
      <c r="AT69" s="334">
        <f>SUM('MATRICULA-POS plan'!AU149:AU152)</f>
        <v>137</v>
      </c>
      <c r="AU69" s="335">
        <f>SUM('MATRICULA-POS plan'!AV149:AV152)</f>
        <v>120</v>
      </c>
      <c r="AV69" s="333">
        <f>SUM('MATRICULA-POS plan'!AW149:AW152)</f>
        <v>120</v>
      </c>
      <c r="AW69" s="334">
        <f>SUM('MATRICULA-POS plan'!AX149:AX152)</f>
        <v>118</v>
      </c>
      <c r="AX69" s="335">
        <f>SUM('MATRICULA-POS plan'!AY149:AY152)</f>
        <v>132</v>
      </c>
      <c r="AY69" s="333">
        <f>SUM('MATRICULA-POS plan'!AZ149:AZ152)</f>
        <v>123</v>
      </c>
      <c r="AZ69" s="334">
        <f>SUM('MATRICULA-POS plan'!BA149:BA152)</f>
        <v>122</v>
      </c>
      <c r="BA69" s="335">
        <f>SUM('MATRICULA-POS plan'!BB149:BB152)</f>
        <v>126</v>
      </c>
      <c r="BB69" s="333">
        <f>SUM('MATRICULA-POS plan'!BC149:BC152)</f>
        <v>121</v>
      </c>
      <c r="BC69" s="334">
        <f>SUM('MATRICULA-POS plan'!BD149:BD152)</f>
        <v>117</v>
      </c>
      <c r="BD69" s="335">
        <f>SUM('MATRICULA-POS plan'!BE149:BE152)</f>
        <v>115</v>
      </c>
      <c r="BE69" s="333">
        <f>SUM('MATRICULA-POS plan'!BF149:BF152)</f>
        <v>122</v>
      </c>
      <c r="BF69" s="334">
        <f>SUM('MATRICULA-POS plan'!BG149:BG152)</f>
        <v>122</v>
      </c>
      <c r="BG69" s="335">
        <f>SUM('MATRICULA-POS plan'!BH149:BH152)</f>
        <v>107</v>
      </c>
      <c r="BH69" s="333">
        <f>SUM('MATRICULA-POS plan'!BI149:BI152)</f>
        <v>102</v>
      </c>
      <c r="BI69" s="334">
        <f>SUM('MATRICULA-POS plan'!BJ149:BJ152)</f>
        <v>104</v>
      </c>
      <c r="BJ69" s="335">
        <f>SUM('MATRICULA-POS plan'!BK149:BK152)</f>
        <v>118</v>
      </c>
    </row>
    <row r="70" spans="1:64" s="1330" customFormat="1" ht="12.9" customHeight="1" x14ac:dyDescent="0.25">
      <c r="A70" s="25"/>
      <c r="B70" s="1342" t="s">
        <v>430</v>
      </c>
      <c r="C70" s="201">
        <v>167</v>
      </c>
      <c r="D70" s="202">
        <v>144</v>
      </c>
      <c r="E70" s="202">
        <v>160</v>
      </c>
      <c r="F70" s="201">
        <v>150</v>
      </c>
      <c r="G70" s="202">
        <v>145</v>
      </c>
      <c r="H70" s="202">
        <v>145</v>
      </c>
      <c r="I70" s="201">
        <v>141</v>
      </c>
      <c r="J70" s="202">
        <v>136</v>
      </c>
      <c r="K70" s="202">
        <v>177</v>
      </c>
      <c r="L70" s="201">
        <v>174</v>
      </c>
      <c r="M70" s="202">
        <v>164</v>
      </c>
      <c r="N70" s="203">
        <v>200</v>
      </c>
      <c r="O70" s="202">
        <v>202</v>
      </c>
      <c r="P70" s="202">
        <v>182</v>
      </c>
      <c r="Q70" s="203">
        <v>219</v>
      </c>
      <c r="R70" s="201">
        <v>197</v>
      </c>
      <c r="S70" s="202">
        <v>188</v>
      </c>
      <c r="T70" s="203">
        <v>221</v>
      </c>
      <c r="U70" s="201">
        <f t="shared" ref="U70:Z70" si="77">SUM(U67:U69)</f>
        <v>219</v>
      </c>
      <c r="V70" s="202">
        <f t="shared" si="77"/>
        <v>222</v>
      </c>
      <c r="W70" s="203">
        <f t="shared" si="77"/>
        <v>238</v>
      </c>
      <c r="X70" s="201">
        <f t="shared" si="77"/>
        <v>233</v>
      </c>
      <c r="Y70" s="202">
        <f t="shared" si="77"/>
        <v>221</v>
      </c>
      <c r="Z70" s="203">
        <f t="shared" si="77"/>
        <v>234</v>
      </c>
      <c r="AA70" s="201">
        <f>SUM(AA67:AA69)</f>
        <v>255</v>
      </c>
      <c r="AB70" s="202">
        <f>SUM(AB67:AB69)</f>
        <v>230</v>
      </c>
      <c r="AC70" s="203">
        <f>SUM(AC67:AC69)</f>
        <v>238</v>
      </c>
      <c r="AD70" s="201">
        <f>SUM(AD67:AD69)</f>
        <v>250</v>
      </c>
      <c r="AE70" s="202">
        <f t="shared" ref="AE70:BD70" si="78">SUM(AE67:AE69)</f>
        <v>236</v>
      </c>
      <c r="AF70" s="203">
        <f t="shared" si="78"/>
        <v>270</v>
      </c>
      <c r="AG70" s="201">
        <f t="shared" si="78"/>
        <v>292</v>
      </c>
      <c r="AH70" s="202">
        <f t="shared" si="78"/>
        <v>295</v>
      </c>
      <c r="AI70" s="203">
        <f t="shared" si="78"/>
        <v>270</v>
      </c>
      <c r="AJ70" s="201">
        <f t="shared" si="78"/>
        <v>254</v>
      </c>
      <c r="AK70" s="202">
        <f t="shared" si="78"/>
        <v>269</v>
      </c>
      <c r="AL70" s="203">
        <f t="shared" si="78"/>
        <v>309</v>
      </c>
      <c r="AM70" s="201">
        <f t="shared" si="78"/>
        <v>309</v>
      </c>
      <c r="AN70" s="202">
        <f t="shared" si="78"/>
        <v>306</v>
      </c>
      <c r="AO70" s="203">
        <f t="shared" si="78"/>
        <v>310</v>
      </c>
      <c r="AP70" s="201">
        <f t="shared" si="78"/>
        <v>311</v>
      </c>
      <c r="AQ70" s="202">
        <f t="shared" si="78"/>
        <v>297</v>
      </c>
      <c r="AR70" s="203">
        <f t="shared" si="78"/>
        <v>316</v>
      </c>
      <c r="AS70" s="201">
        <f t="shared" si="78"/>
        <v>330</v>
      </c>
      <c r="AT70" s="202">
        <f t="shared" si="78"/>
        <v>312</v>
      </c>
      <c r="AU70" s="203">
        <f t="shared" si="78"/>
        <v>308</v>
      </c>
      <c r="AV70" s="201">
        <f t="shared" si="78"/>
        <v>289</v>
      </c>
      <c r="AW70" s="202">
        <f t="shared" si="78"/>
        <v>301</v>
      </c>
      <c r="AX70" s="203">
        <f t="shared" si="78"/>
        <v>344</v>
      </c>
      <c r="AY70" s="201">
        <f t="shared" si="78"/>
        <v>306</v>
      </c>
      <c r="AZ70" s="202">
        <f t="shared" si="78"/>
        <v>342</v>
      </c>
      <c r="BA70" s="203">
        <f t="shared" si="78"/>
        <v>328</v>
      </c>
      <c r="BB70" s="201">
        <f t="shared" si="78"/>
        <v>349</v>
      </c>
      <c r="BC70" s="202">
        <f t="shared" si="78"/>
        <v>317</v>
      </c>
      <c r="BD70" s="203">
        <f t="shared" si="78"/>
        <v>311</v>
      </c>
      <c r="BE70" s="201">
        <f t="shared" ref="BE70:BG70" si="79">SUM(BE67:BE69)</f>
        <v>294</v>
      </c>
      <c r="BF70" s="202">
        <f t="shared" si="79"/>
        <v>296</v>
      </c>
      <c r="BG70" s="203">
        <f t="shared" si="79"/>
        <v>296</v>
      </c>
      <c r="BH70" s="201">
        <f t="shared" ref="BH70:BJ70" si="80">SUM(BH67:BH69)</f>
        <v>272</v>
      </c>
      <c r="BI70" s="202">
        <f t="shared" si="80"/>
        <v>279</v>
      </c>
      <c r="BJ70" s="203">
        <f t="shared" si="80"/>
        <v>308</v>
      </c>
    </row>
    <row r="71" spans="1:64" ht="12.9" customHeight="1" x14ac:dyDescent="0.25">
      <c r="B71" s="1334" t="s">
        <v>308</v>
      </c>
      <c r="C71" s="329"/>
      <c r="D71" s="330"/>
      <c r="E71" s="330"/>
      <c r="F71" s="329"/>
      <c r="G71" s="330"/>
      <c r="H71" s="330"/>
      <c r="I71" s="329"/>
      <c r="J71" s="330"/>
      <c r="K71" s="330"/>
      <c r="L71" s="329"/>
      <c r="M71" s="330"/>
      <c r="N71" s="331"/>
      <c r="O71" s="330"/>
      <c r="P71" s="330"/>
      <c r="Q71" s="331"/>
      <c r="R71" s="329"/>
      <c r="S71" s="330"/>
      <c r="T71" s="331"/>
      <c r="U71" s="329"/>
      <c r="V71" s="330"/>
      <c r="W71" s="331"/>
      <c r="X71" s="329"/>
      <c r="Y71" s="330"/>
      <c r="Z71" s="331"/>
      <c r="AA71" s="329"/>
      <c r="AB71" s="330"/>
      <c r="AC71" s="331"/>
      <c r="AD71" s="329"/>
      <c r="AE71" s="330"/>
      <c r="AF71" s="331"/>
      <c r="AG71" s="329"/>
      <c r="AH71" s="330"/>
      <c r="AI71" s="331"/>
      <c r="AJ71" s="329"/>
      <c r="AK71" s="330"/>
      <c r="AL71" s="331"/>
      <c r="AM71" s="329"/>
      <c r="AN71" s="330"/>
      <c r="AO71" s="331"/>
      <c r="AP71" s="329"/>
      <c r="AQ71" s="330"/>
      <c r="AR71" s="331"/>
      <c r="AS71" s="329"/>
      <c r="AT71" s="330"/>
      <c r="AU71" s="331"/>
      <c r="AV71" s="329"/>
      <c r="AW71" s="330"/>
      <c r="AX71" s="331"/>
      <c r="AY71" s="329"/>
      <c r="AZ71" s="330"/>
      <c r="BA71" s="331"/>
      <c r="BB71" s="329"/>
      <c r="BC71" s="330"/>
      <c r="BD71" s="331"/>
      <c r="BE71" s="329"/>
      <c r="BF71" s="330"/>
      <c r="BG71" s="331"/>
      <c r="BH71" s="329"/>
      <c r="BI71" s="330"/>
      <c r="BJ71" s="331"/>
    </row>
    <row r="72" spans="1:64" ht="12.9" customHeight="1" x14ac:dyDescent="0.25">
      <c r="B72" s="1336" t="s">
        <v>310</v>
      </c>
      <c r="C72" s="82">
        <f>SUM('MATRICULA-POS plan'!D154:D156)</f>
        <v>20</v>
      </c>
      <c r="D72" s="83">
        <f>SUM('MATRICULA-POS plan'!E154:E156)</f>
        <v>19</v>
      </c>
      <c r="E72" s="83">
        <f>SUM('MATRICULA-POS plan'!F154:F156)</f>
        <v>38</v>
      </c>
      <c r="F72" s="82">
        <f>SUM('MATRICULA-POS plan'!G154:G156)</f>
        <v>37</v>
      </c>
      <c r="G72" s="83">
        <f>SUM('MATRICULA-POS plan'!H154:H156)</f>
        <v>37</v>
      </c>
      <c r="H72" s="83">
        <f>SUM('MATRICULA-POS plan'!I154:I156)</f>
        <v>46</v>
      </c>
      <c r="I72" s="82">
        <f>SUM('MATRICULA-POS plan'!J154:J156)</f>
        <v>47</v>
      </c>
      <c r="J72" s="83">
        <f>SUM('MATRICULA-POS plan'!K154:K156)</f>
        <v>44</v>
      </c>
      <c r="K72" s="83">
        <f>SUM('MATRICULA-POS plan'!L154:L156)</f>
        <v>47</v>
      </c>
      <c r="L72" s="82">
        <f>SUM('MATRICULA-POS plan'!M154:M156)</f>
        <v>47</v>
      </c>
      <c r="M72" s="83">
        <f>SUM('MATRICULA-POS plan'!N154:N156)</f>
        <v>44</v>
      </c>
      <c r="N72" s="332">
        <f>SUM('MATRICULA-POS plan'!O154:O156)</f>
        <v>42</v>
      </c>
      <c r="O72" s="83">
        <f>SUM('MATRICULA-POS plan'!P154:P156)</f>
        <v>44</v>
      </c>
      <c r="P72" s="83">
        <f>SUM('MATRICULA-POS plan'!Q154:Q156)</f>
        <v>42</v>
      </c>
      <c r="Q72" s="332">
        <f>SUM('MATRICULA-POS plan'!R154:R156)</f>
        <v>43</v>
      </c>
      <c r="R72" s="82">
        <f>SUM('MATRICULA-POS plan'!S154:S156)</f>
        <v>42</v>
      </c>
      <c r="S72" s="83">
        <f>SUM('MATRICULA-POS plan'!T154:T156)</f>
        <v>42</v>
      </c>
      <c r="T72" s="332">
        <f>SUM('MATRICULA-POS plan'!U154:U156)</f>
        <v>39</v>
      </c>
      <c r="U72" s="82">
        <f>SUM('MATRICULA-POS plan'!V154:V156)</f>
        <v>39</v>
      </c>
      <c r="V72" s="83">
        <f>SUM('MATRICULA-POS plan'!W154:W156)</f>
        <v>53</v>
      </c>
      <c r="W72" s="332">
        <f>SUM('MATRICULA-POS plan'!X154:X156)</f>
        <v>97</v>
      </c>
      <c r="X72" s="82">
        <f>SUM('MATRICULA-POS plan'!Y154:Y156)</f>
        <v>91</v>
      </c>
      <c r="Y72" s="83">
        <f>SUM('MATRICULA-POS plan'!Z154:Z156)</f>
        <v>94</v>
      </c>
      <c r="Z72" s="332">
        <f>SUM('MATRICULA-POS plan'!AA154:AA156)</f>
        <v>86</v>
      </c>
      <c r="AA72" s="82">
        <f>SUM('MATRICULA-POS plan'!AB154:AB156)</f>
        <v>86</v>
      </c>
      <c r="AB72" s="83">
        <f>SUM('MATRICULA-POS plan'!AC154:AC156)</f>
        <v>114</v>
      </c>
      <c r="AC72" s="332">
        <f>SUM('MATRICULA-POS plan'!AD154:AD156)</f>
        <v>74</v>
      </c>
      <c r="AD72" s="82">
        <f>SUM('MATRICULA-POS plan'!AE154:AE156)</f>
        <v>74</v>
      </c>
      <c r="AE72" s="83">
        <f>SUM('MATRICULA-POS plan'!AF154:AF156)</f>
        <v>74</v>
      </c>
      <c r="AF72" s="332">
        <f>SUM('MATRICULA-POS plan'!AG154:AG156)</f>
        <v>77</v>
      </c>
      <c r="AG72" s="82">
        <f>SUM('MATRICULA-POS plan'!AH154:AH156)</f>
        <v>77</v>
      </c>
      <c r="AH72" s="83">
        <f>SUM('MATRICULA-POS plan'!AI154:AI156)</f>
        <v>88</v>
      </c>
      <c r="AI72" s="332">
        <f>SUM('MATRICULA-POS plan'!AJ154:AJ156)</f>
        <v>88</v>
      </c>
      <c r="AJ72" s="82">
        <f>SUM('MATRICULA-POS plan'!AK154:AK156)</f>
        <v>86</v>
      </c>
      <c r="AK72" s="83">
        <f>SUM('MATRICULA-POS plan'!AL154:AL156)</f>
        <v>80</v>
      </c>
      <c r="AL72" s="332">
        <f>SUM('MATRICULA-POS plan'!AM154:AM156)</f>
        <v>85</v>
      </c>
      <c r="AM72" s="82">
        <f>SUM('MATRICULA-POS plan'!AN154:AN156)</f>
        <v>86</v>
      </c>
      <c r="AN72" s="83">
        <f>SUM('MATRICULA-POS plan'!AO154:AO156)</f>
        <v>94</v>
      </c>
      <c r="AO72" s="332">
        <f>SUM('MATRICULA-POS plan'!AP154:AP156)</f>
        <v>100</v>
      </c>
      <c r="AP72" s="82">
        <f>SUM('MATRICULA-POS plan'!AQ154:AQ156)</f>
        <v>94</v>
      </c>
      <c r="AQ72" s="83">
        <f>SUM('MATRICULA-POS plan'!AR154:AR156)</f>
        <v>94</v>
      </c>
      <c r="AR72" s="332">
        <f>SUM('MATRICULA-POS plan'!AS154:AS156)</f>
        <v>88</v>
      </c>
      <c r="AS72" s="82">
        <f>SUM('MATRICULA-POS plan'!AT154:AT156)</f>
        <v>93</v>
      </c>
      <c r="AT72" s="83">
        <f>SUM('MATRICULA-POS plan'!AU154:AU156)</f>
        <v>87</v>
      </c>
      <c r="AU72" s="332">
        <f>SUM('MATRICULA-POS plan'!AV154:AV156)</f>
        <v>89</v>
      </c>
      <c r="AV72" s="82">
        <f>SUM('MATRICULA-POS plan'!AW154:AW156)</f>
        <v>87</v>
      </c>
      <c r="AW72" s="83">
        <f>SUM('MATRICULA-POS plan'!AX154:AX156)</f>
        <v>86</v>
      </c>
      <c r="AX72" s="332">
        <f>SUM('MATRICULA-POS plan'!AY154:AY156)</f>
        <v>81</v>
      </c>
      <c r="AY72" s="82">
        <f>SUM('MATRICULA-POS plan'!AZ154:AZ156)</f>
        <v>80</v>
      </c>
      <c r="AZ72" s="83">
        <f>SUM('MATRICULA-POS plan'!BA154:BA156)</f>
        <v>83</v>
      </c>
      <c r="BA72" s="332">
        <f>SUM('MATRICULA-POS plan'!BB154:BB156)</f>
        <v>72</v>
      </c>
      <c r="BB72" s="82">
        <f>SUM('MATRICULA-POS plan'!BC154:BC156)</f>
        <v>75</v>
      </c>
      <c r="BC72" s="83">
        <f>SUM('MATRICULA-POS plan'!BD154:BD156)</f>
        <v>73</v>
      </c>
      <c r="BD72" s="332">
        <f>SUM('MATRICULA-POS plan'!BE154:BE156)</f>
        <v>74</v>
      </c>
      <c r="BE72" s="82">
        <f>SUM('MATRICULA-POS plan'!BF154:BF156)</f>
        <v>74</v>
      </c>
      <c r="BF72" s="83">
        <f>SUM('MATRICULA-POS plan'!BG154:BG156)</f>
        <v>85</v>
      </c>
      <c r="BG72" s="332">
        <f>SUM('MATRICULA-POS plan'!BH154:BH156)</f>
        <v>86</v>
      </c>
      <c r="BH72" s="82">
        <f>SUM('MATRICULA-POS plan'!BI154:BI156)</f>
        <v>86</v>
      </c>
      <c r="BI72" s="83">
        <f>SUM('MATRICULA-POS plan'!BJ154:BJ156)</f>
        <v>84</v>
      </c>
      <c r="BJ72" s="332">
        <f>SUM('MATRICULA-POS plan'!BK154:BK156)</f>
        <v>80</v>
      </c>
    </row>
    <row r="73" spans="1:64" ht="12.9" customHeight="1" x14ac:dyDescent="0.25">
      <c r="B73" s="1339" t="s">
        <v>317</v>
      </c>
      <c r="C73" s="333">
        <f>SUM('MATRICULA-POS plan'!D157)</f>
        <v>11</v>
      </c>
      <c r="D73" s="334">
        <f>SUM('MATRICULA-POS plan'!E157)</f>
        <v>11</v>
      </c>
      <c r="E73" s="334">
        <f>SUM('MATRICULA-POS plan'!F157)</f>
        <v>10</v>
      </c>
      <c r="F73" s="333">
        <f>SUM('MATRICULA-POS plan'!G157)</f>
        <v>10</v>
      </c>
      <c r="G73" s="334">
        <f>SUM('MATRICULA-POS plan'!H157)</f>
        <v>10</v>
      </c>
      <c r="H73" s="334">
        <f>SUM('MATRICULA-POS plan'!I157)</f>
        <v>23</v>
      </c>
      <c r="I73" s="333">
        <f>SUM('MATRICULA-POS plan'!J157)</f>
        <v>19</v>
      </c>
      <c r="J73" s="334">
        <f>SUM('MATRICULA-POS plan'!K157)</f>
        <v>19</v>
      </c>
      <c r="K73" s="334">
        <f>SUM('MATRICULA-POS plan'!L157)</f>
        <v>15</v>
      </c>
      <c r="L73" s="333">
        <f>SUM('MATRICULA-POS plan'!M157)</f>
        <v>30</v>
      </c>
      <c r="M73" s="334">
        <f>SUM('MATRICULA-POS plan'!N157)</f>
        <v>26</v>
      </c>
      <c r="N73" s="335">
        <f>SUM('MATRICULA-POS plan'!O157)</f>
        <v>27</v>
      </c>
      <c r="O73" s="334">
        <f>SUM('MATRICULA-POS plan'!P157)</f>
        <v>33</v>
      </c>
      <c r="P73" s="334">
        <f>SUM('MATRICULA-POS plan'!Q157)</f>
        <v>31</v>
      </c>
      <c r="Q73" s="335">
        <f>SUM('MATRICULA-POS plan'!R157)</f>
        <v>29</v>
      </c>
      <c r="R73" s="333">
        <f>SUM('MATRICULA-POS plan'!S157)</f>
        <v>38</v>
      </c>
      <c r="S73" s="334">
        <f>SUM('MATRICULA-POS plan'!T157)</f>
        <v>34</v>
      </c>
      <c r="T73" s="335">
        <f>SUM('MATRICULA-POS plan'!U157)</f>
        <v>32</v>
      </c>
      <c r="U73" s="333">
        <f>SUM('MATRICULA-POS plan'!V157)</f>
        <v>42</v>
      </c>
      <c r="V73" s="334">
        <f>SUM('MATRICULA-POS plan'!W157)</f>
        <v>39</v>
      </c>
      <c r="W73" s="335">
        <f>SUM('MATRICULA-POS plan'!X157)</f>
        <v>38</v>
      </c>
      <c r="X73" s="333">
        <f>SUM('MATRICULA-POS plan'!Y157)</f>
        <v>39</v>
      </c>
      <c r="Y73" s="334">
        <f>SUM('MATRICULA-POS plan'!Z157)</f>
        <v>35</v>
      </c>
      <c r="Z73" s="335">
        <f>SUM('MATRICULA-POS plan'!AA157)</f>
        <v>33</v>
      </c>
      <c r="AA73" s="333">
        <f>SUM('MATRICULA-POS plan'!AB157)</f>
        <v>42</v>
      </c>
      <c r="AB73" s="334">
        <f>SUM('MATRICULA-POS plan'!AC157)</f>
        <v>39</v>
      </c>
      <c r="AC73" s="335">
        <f>SUM('MATRICULA-POS plan'!AD157)</f>
        <v>40</v>
      </c>
      <c r="AD73" s="333">
        <f>SUM('MATRICULA-POS plan'!AE157)</f>
        <v>44</v>
      </c>
      <c r="AE73" s="334">
        <f>SUM('MATRICULA-POS plan'!AF157)</f>
        <v>43</v>
      </c>
      <c r="AF73" s="335">
        <f>SUM('MATRICULA-POS plan'!AG157)</f>
        <v>40</v>
      </c>
      <c r="AG73" s="333">
        <f>SUM('MATRICULA-POS plan'!AH157)</f>
        <v>42</v>
      </c>
      <c r="AH73" s="334">
        <f>SUM('MATRICULA-POS plan'!AI157)</f>
        <v>45</v>
      </c>
      <c r="AI73" s="335">
        <f>SUM('MATRICULA-POS plan'!AJ157)</f>
        <v>44</v>
      </c>
      <c r="AJ73" s="333">
        <f>SUM('MATRICULA-POS plan'!AK157)</f>
        <v>48</v>
      </c>
      <c r="AK73" s="334">
        <f>SUM('MATRICULA-POS plan'!AL157)</f>
        <v>47</v>
      </c>
      <c r="AL73" s="335">
        <f>SUM('MATRICULA-POS plan'!AM157)</f>
        <v>44</v>
      </c>
      <c r="AM73" s="333">
        <f>SUM('MATRICULA-POS plan'!AN157)</f>
        <v>39</v>
      </c>
      <c r="AN73" s="334">
        <f>SUM('MATRICULA-POS plan'!AO157)</f>
        <v>38</v>
      </c>
      <c r="AO73" s="335">
        <f>SUM('MATRICULA-POS plan'!AP157)</f>
        <v>36</v>
      </c>
      <c r="AP73" s="333">
        <f>SUM('MATRICULA-POS plan'!AQ157)</f>
        <v>40</v>
      </c>
      <c r="AQ73" s="334">
        <f>SUM('MATRICULA-POS plan'!AR157)</f>
        <v>36</v>
      </c>
      <c r="AR73" s="335">
        <f>SUM('MATRICULA-POS plan'!AS157)</f>
        <v>35</v>
      </c>
      <c r="AS73" s="333">
        <f>SUM('MATRICULA-POS plan'!AT157)</f>
        <v>35</v>
      </c>
      <c r="AT73" s="334">
        <f>SUM('MATRICULA-POS plan'!AU157)</f>
        <v>35</v>
      </c>
      <c r="AU73" s="335">
        <f>SUM('MATRICULA-POS plan'!AV157)</f>
        <v>35</v>
      </c>
      <c r="AV73" s="333">
        <f>SUM('MATRICULA-POS plan'!AW157)</f>
        <v>39</v>
      </c>
      <c r="AW73" s="334">
        <f>SUM('MATRICULA-POS plan'!AX157)</f>
        <v>37</v>
      </c>
      <c r="AX73" s="335">
        <f>SUM('MATRICULA-POS plan'!AY157)</f>
        <v>37</v>
      </c>
      <c r="AY73" s="333">
        <f>SUM('MATRICULA-POS plan'!AZ157)</f>
        <v>34</v>
      </c>
      <c r="AZ73" s="334">
        <f>SUM('MATRICULA-POS plan'!BA157)</f>
        <v>32</v>
      </c>
      <c r="BA73" s="335">
        <f>SUM('MATRICULA-POS plan'!BB157)</f>
        <v>30</v>
      </c>
      <c r="BB73" s="333">
        <f>SUM('MATRICULA-POS plan'!BC157)</f>
        <v>37</v>
      </c>
      <c r="BC73" s="334">
        <f>SUM('MATRICULA-POS plan'!BD157)</f>
        <v>33</v>
      </c>
      <c r="BD73" s="335">
        <f>SUM('MATRICULA-POS plan'!BE157)</f>
        <v>35</v>
      </c>
      <c r="BE73" s="333">
        <f>SUM('MATRICULA-POS plan'!BF157)</f>
        <v>40</v>
      </c>
      <c r="BF73" s="334">
        <f>SUM('MATRICULA-POS plan'!BG157)</f>
        <v>40</v>
      </c>
      <c r="BG73" s="335">
        <f>SUM('MATRICULA-POS plan'!BH157)</f>
        <v>39</v>
      </c>
      <c r="BH73" s="333">
        <f>SUM('MATRICULA-POS plan'!BI157)</f>
        <v>41</v>
      </c>
      <c r="BI73" s="334">
        <f>SUM('MATRICULA-POS plan'!BJ157)</f>
        <v>41</v>
      </c>
      <c r="BJ73" s="335">
        <f>SUM('MATRICULA-POS plan'!BK157)</f>
        <v>43</v>
      </c>
    </row>
    <row r="74" spans="1:64" s="1330" customFormat="1" ht="12.9" customHeight="1" x14ac:dyDescent="0.25">
      <c r="A74" s="25"/>
      <c r="B74" s="1342" t="s">
        <v>427</v>
      </c>
      <c r="C74" s="201">
        <v>31</v>
      </c>
      <c r="D74" s="202">
        <v>30</v>
      </c>
      <c r="E74" s="202">
        <v>48</v>
      </c>
      <c r="F74" s="201">
        <v>47</v>
      </c>
      <c r="G74" s="202">
        <v>47</v>
      </c>
      <c r="H74" s="202">
        <v>69</v>
      </c>
      <c r="I74" s="201">
        <v>66</v>
      </c>
      <c r="J74" s="202">
        <v>63</v>
      </c>
      <c r="K74" s="202">
        <v>62</v>
      </c>
      <c r="L74" s="201">
        <v>77</v>
      </c>
      <c r="M74" s="202">
        <v>70</v>
      </c>
      <c r="N74" s="203">
        <v>69</v>
      </c>
      <c r="O74" s="202">
        <v>77</v>
      </c>
      <c r="P74" s="202">
        <v>73</v>
      </c>
      <c r="Q74" s="203">
        <v>72</v>
      </c>
      <c r="R74" s="201">
        <v>80</v>
      </c>
      <c r="S74" s="202">
        <v>76</v>
      </c>
      <c r="T74" s="203">
        <v>71</v>
      </c>
      <c r="U74" s="201">
        <f t="shared" ref="U74:Z74" si="81">SUM(U71:U73)</f>
        <v>81</v>
      </c>
      <c r="V74" s="202">
        <f t="shared" si="81"/>
        <v>92</v>
      </c>
      <c r="W74" s="203">
        <f t="shared" si="81"/>
        <v>135</v>
      </c>
      <c r="X74" s="201">
        <f t="shared" si="81"/>
        <v>130</v>
      </c>
      <c r="Y74" s="202">
        <f t="shared" si="81"/>
        <v>129</v>
      </c>
      <c r="Z74" s="203">
        <f t="shared" si="81"/>
        <v>119</v>
      </c>
      <c r="AA74" s="201">
        <f>SUM(AA71:AA73)</f>
        <v>128</v>
      </c>
      <c r="AB74" s="202">
        <f>SUM(AB71:AB73)</f>
        <v>153</v>
      </c>
      <c r="AC74" s="203">
        <f>SUM(AC71:AC73)</f>
        <v>114</v>
      </c>
      <c r="AD74" s="201">
        <f>SUM(AD72:AD73)</f>
        <v>118</v>
      </c>
      <c r="AE74" s="202">
        <f t="shared" ref="AE74:BD74" si="82">SUM(AE72:AE73)</f>
        <v>117</v>
      </c>
      <c r="AF74" s="203">
        <f t="shared" si="82"/>
        <v>117</v>
      </c>
      <c r="AG74" s="201">
        <f t="shared" si="82"/>
        <v>119</v>
      </c>
      <c r="AH74" s="202">
        <f t="shared" si="82"/>
        <v>133</v>
      </c>
      <c r="AI74" s="203">
        <f t="shared" si="82"/>
        <v>132</v>
      </c>
      <c r="AJ74" s="201">
        <f t="shared" si="82"/>
        <v>134</v>
      </c>
      <c r="AK74" s="202">
        <f t="shared" si="82"/>
        <v>127</v>
      </c>
      <c r="AL74" s="203">
        <f t="shared" si="82"/>
        <v>129</v>
      </c>
      <c r="AM74" s="201">
        <f t="shared" si="82"/>
        <v>125</v>
      </c>
      <c r="AN74" s="202">
        <f t="shared" si="82"/>
        <v>132</v>
      </c>
      <c r="AO74" s="203">
        <f t="shared" si="82"/>
        <v>136</v>
      </c>
      <c r="AP74" s="201">
        <f t="shared" si="82"/>
        <v>134</v>
      </c>
      <c r="AQ74" s="202">
        <f t="shared" si="82"/>
        <v>130</v>
      </c>
      <c r="AR74" s="203">
        <f t="shared" si="82"/>
        <v>123</v>
      </c>
      <c r="AS74" s="201">
        <f t="shared" si="82"/>
        <v>128</v>
      </c>
      <c r="AT74" s="202">
        <f t="shared" si="82"/>
        <v>122</v>
      </c>
      <c r="AU74" s="203">
        <f t="shared" si="82"/>
        <v>124</v>
      </c>
      <c r="AV74" s="201">
        <f t="shared" si="82"/>
        <v>126</v>
      </c>
      <c r="AW74" s="202">
        <f t="shared" si="82"/>
        <v>123</v>
      </c>
      <c r="AX74" s="203">
        <f t="shared" si="82"/>
        <v>118</v>
      </c>
      <c r="AY74" s="201">
        <f t="shared" si="82"/>
        <v>114</v>
      </c>
      <c r="AZ74" s="202">
        <f t="shared" si="82"/>
        <v>115</v>
      </c>
      <c r="BA74" s="203">
        <f t="shared" si="82"/>
        <v>102</v>
      </c>
      <c r="BB74" s="201">
        <f t="shared" si="82"/>
        <v>112</v>
      </c>
      <c r="BC74" s="202">
        <f t="shared" si="82"/>
        <v>106</v>
      </c>
      <c r="BD74" s="203">
        <f t="shared" si="82"/>
        <v>109</v>
      </c>
      <c r="BE74" s="201">
        <f t="shared" ref="BE74:BG74" si="83">SUM(BE72:BE73)</f>
        <v>114</v>
      </c>
      <c r="BF74" s="202">
        <f t="shared" si="83"/>
        <v>125</v>
      </c>
      <c r="BG74" s="203">
        <f t="shared" si="83"/>
        <v>125</v>
      </c>
      <c r="BH74" s="201">
        <f t="shared" ref="BH74:BJ74" si="84">SUM(BH72:BH73)</f>
        <v>127</v>
      </c>
      <c r="BI74" s="202">
        <f t="shared" si="84"/>
        <v>125</v>
      </c>
      <c r="BJ74" s="203">
        <f t="shared" si="84"/>
        <v>123</v>
      </c>
    </row>
    <row r="75" spans="1:64" ht="12.9" customHeight="1" x14ac:dyDescent="0.25">
      <c r="B75" s="1334" t="s">
        <v>308</v>
      </c>
      <c r="C75" s="329">
        <f t="shared" ref="C75:Q77" si="85">C63+C67+C71</f>
        <v>36</v>
      </c>
      <c r="D75" s="330">
        <f t="shared" si="85"/>
        <v>30</v>
      </c>
      <c r="E75" s="330">
        <f t="shared" si="85"/>
        <v>22</v>
      </c>
      <c r="F75" s="329">
        <f t="shared" si="85"/>
        <v>10</v>
      </c>
      <c r="G75" s="330">
        <f t="shared" si="85"/>
        <v>10</v>
      </c>
      <c r="H75" s="330">
        <f t="shared" si="85"/>
        <v>16</v>
      </c>
      <c r="I75" s="329">
        <f t="shared" si="85"/>
        <v>4</v>
      </c>
      <c r="J75" s="330">
        <f t="shared" si="85"/>
        <v>4</v>
      </c>
      <c r="K75" s="330">
        <f t="shared" si="85"/>
        <v>0</v>
      </c>
      <c r="L75" s="329">
        <f t="shared" si="85"/>
        <v>13</v>
      </c>
      <c r="M75" s="330">
        <f t="shared" si="85"/>
        <v>11</v>
      </c>
      <c r="N75" s="331">
        <f t="shared" si="85"/>
        <v>16</v>
      </c>
      <c r="O75" s="330">
        <f t="shared" si="85"/>
        <v>24</v>
      </c>
      <c r="P75" s="330">
        <f t="shared" si="85"/>
        <v>10</v>
      </c>
      <c r="Q75" s="331">
        <f t="shared" si="85"/>
        <v>25</v>
      </c>
      <c r="R75" s="329">
        <v>16</v>
      </c>
      <c r="S75" s="330">
        <v>16</v>
      </c>
      <c r="T75" s="331">
        <v>34</v>
      </c>
      <c r="U75" s="329">
        <f t="shared" ref="U75:AJ78" si="86">U63+U67+U71</f>
        <v>12</v>
      </c>
      <c r="V75" s="330">
        <f t="shared" si="86"/>
        <v>10</v>
      </c>
      <c r="W75" s="331">
        <f t="shared" si="86"/>
        <v>9</v>
      </c>
      <c r="X75" s="329">
        <f t="shared" si="86"/>
        <v>1</v>
      </c>
      <c r="Y75" s="330">
        <f t="shared" si="86"/>
        <v>0</v>
      </c>
      <c r="Z75" s="331">
        <f t="shared" si="86"/>
        <v>19</v>
      </c>
      <c r="AA75" s="329">
        <f t="shared" si="86"/>
        <v>53</v>
      </c>
      <c r="AB75" s="330">
        <f t="shared" si="86"/>
        <v>42</v>
      </c>
      <c r="AC75" s="331">
        <f t="shared" si="86"/>
        <v>85</v>
      </c>
      <c r="AD75" s="329">
        <f>SUM(AD63,AD67,AD71)</f>
        <v>68</v>
      </c>
      <c r="AE75" s="330">
        <f t="shared" ref="AE75:BD77" si="87">SUM(AE63,AE67,AE71)</f>
        <v>60</v>
      </c>
      <c r="AF75" s="331">
        <f t="shared" si="87"/>
        <v>53</v>
      </c>
      <c r="AG75" s="329">
        <f t="shared" si="87"/>
        <v>58</v>
      </c>
      <c r="AH75" s="330">
        <f t="shared" si="87"/>
        <v>33</v>
      </c>
      <c r="AI75" s="331">
        <f t="shared" si="87"/>
        <v>46</v>
      </c>
      <c r="AJ75" s="329">
        <f t="shared" si="87"/>
        <v>54</v>
      </c>
      <c r="AK75" s="330">
        <f t="shared" si="87"/>
        <v>47</v>
      </c>
      <c r="AL75" s="331">
        <f t="shared" si="87"/>
        <v>43</v>
      </c>
      <c r="AM75" s="329">
        <f t="shared" si="87"/>
        <v>20</v>
      </c>
      <c r="AN75" s="330">
        <f t="shared" si="87"/>
        <v>15</v>
      </c>
      <c r="AO75" s="331">
        <f t="shared" si="87"/>
        <v>15</v>
      </c>
      <c r="AP75" s="329">
        <f t="shared" si="87"/>
        <v>50</v>
      </c>
      <c r="AQ75" s="330">
        <f t="shared" si="87"/>
        <v>50</v>
      </c>
      <c r="AR75" s="331">
        <f t="shared" si="87"/>
        <v>37</v>
      </c>
      <c r="AS75" s="329">
        <f t="shared" si="87"/>
        <v>45</v>
      </c>
      <c r="AT75" s="330">
        <f t="shared" si="87"/>
        <v>8</v>
      </c>
      <c r="AU75" s="331">
        <f t="shared" si="87"/>
        <v>35</v>
      </c>
      <c r="AV75" s="329">
        <f t="shared" si="87"/>
        <v>33</v>
      </c>
      <c r="AW75" s="330">
        <f t="shared" si="87"/>
        <v>31</v>
      </c>
      <c r="AX75" s="331">
        <f t="shared" si="87"/>
        <v>29</v>
      </c>
      <c r="AY75" s="329">
        <f t="shared" si="87"/>
        <v>7</v>
      </c>
      <c r="AZ75" s="330">
        <f t="shared" si="87"/>
        <v>2</v>
      </c>
      <c r="BA75" s="331">
        <f t="shared" si="87"/>
        <v>20</v>
      </c>
      <c r="BB75" s="329">
        <f t="shared" si="87"/>
        <v>20</v>
      </c>
      <c r="BC75" s="330">
        <f t="shared" si="87"/>
        <v>19</v>
      </c>
      <c r="BD75" s="331">
        <f t="shared" si="87"/>
        <v>19</v>
      </c>
      <c r="BE75" s="329">
        <f t="shared" ref="BE75:BG75" si="88">SUM(BE63,BE67,BE71)</f>
        <v>17</v>
      </c>
      <c r="BF75" s="330">
        <f t="shared" si="88"/>
        <v>25</v>
      </c>
      <c r="BG75" s="331">
        <f t="shared" si="88"/>
        <v>21</v>
      </c>
      <c r="BH75" s="329">
        <f t="shared" ref="BH75:BJ75" si="89">SUM(BH63,BH67,BH71)</f>
        <v>21</v>
      </c>
      <c r="BI75" s="330">
        <f t="shared" si="89"/>
        <v>21</v>
      </c>
      <c r="BJ75" s="331">
        <f t="shared" si="89"/>
        <v>2</v>
      </c>
    </row>
    <row r="76" spans="1:64" ht="12.9" customHeight="1" x14ac:dyDescent="0.25">
      <c r="B76" s="1336" t="s">
        <v>310</v>
      </c>
      <c r="C76" s="82">
        <f t="shared" si="85"/>
        <v>244</v>
      </c>
      <c r="D76" s="83">
        <f t="shared" si="85"/>
        <v>243</v>
      </c>
      <c r="E76" s="83">
        <f t="shared" si="85"/>
        <v>289</v>
      </c>
      <c r="F76" s="82">
        <f t="shared" si="85"/>
        <v>270</v>
      </c>
      <c r="G76" s="83">
        <f t="shared" si="85"/>
        <v>250</v>
      </c>
      <c r="H76" s="83">
        <f t="shared" si="85"/>
        <v>288</v>
      </c>
      <c r="I76" s="82">
        <f t="shared" si="85"/>
        <v>281</v>
      </c>
      <c r="J76" s="83">
        <f t="shared" si="85"/>
        <v>266</v>
      </c>
      <c r="K76" s="83">
        <f t="shared" si="85"/>
        <v>311</v>
      </c>
      <c r="L76" s="82">
        <f t="shared" si="85"/>
        <v>298</v>
      </c>
      <c r="M76" s="83">
        <f t="shared" si="85"/>
        <v>289</v>
      </c>
      <c r="N76" s="332">
        <f t="shared" si="85"/>
        <v>333</v>
      </c>
      <c r="O76" s="83">
        <f t="shared" si="85"/>
        <v>309</v>
      </c>
      <c r="P76" s="83">
        <f t="shared" si="85"/>
        <v>295</v>
      </c>
      <c r="Q76" s="332">
        <f t="shared" si="85"/>
        <v>311</v>
      </c>
      <c r="R76" s="82">
        <v>293</v>
      </c>
      <c r="S76" s="83">
        <v>309</v>
      </c>
      <c r="T76" s="332">
        <v>365</v>
      </c>
      <c r="U76" s="82">
        <f t="shared" si="86"/>
        <v>361</v>
      </c>
      <c r="V76" s="83">
        <f t="shared" si="86"/>
        <v>394</v>
      </c>
      <c r="W76" s="332">
        <f t="shared" si="86"/>
        <v>431</v>
      </c>
      <c r="X76" s="82">
        <f t="shared" si="86"/>
        <v>412</v>
      </c>
      <c r="Y76" s="83">
        <f t="shared" si="86"/>
        <v>450</v>
      </c>
      <c r="Z76" s="332">
        <f t="shared" si="86"/>
        <v>406</v>
      </c>
      <c r="AA76" s="82">
        <f t="shared" si="86"/>
        <v>380</v>
      </c>
      <c r="AB76" s="83">
        <f t="shared" si="86"/>
        <v>402</v>
      </c>
      <c r="AC76" s="332">
        <f t="shared" si="86"/>
        <v>326</v>
      </c>
      <c r="AD76" s="82">
        <f>SUM(AD64,AD68,AD72)</f>
        <v>351</v>
      </c>
      <c r="AE76" s="83">
        <f t="shared" si="87"/>
        <v>349</v>
      </c>
      <c r="AF76" s="332">
        <f t="shared" si="87"/>
        <v>428</v>
      </c>
      <c r="AG76" s="82">
        <f t="shared" si="87"/>
        <v>444</v>
      </c>
      <c r="AH76" s="83">
        <f t="shared" si="87"/>
        <v>453</v>
      </c>
      <c r="AI76" s="332">
        <f t="shared" si="87"/>
        <v>399</v>
      </c>
      <c r="AJ76" s="82">
        <f t="shared" si="87"/>
        <v>380</v>
      </c>
      <c r="AK76" s="83">
        <f t="shared" si="87"/>
        <v>393</v>
      </c>
      <c r="AL76" s="332">
        <f t="shared" si="87"/>
        <v>472</v>
      </c>
      <c r="AM76" s="82">
        <f t="shared" si="87"/>
        <v>451</v>
      </c>
      <c r="AN76" s="83">
        <f t="shared" si="87"/>
        <v>461</v>
      </c>
      <c r="AO76" s="332">
        <f t="shared" si="87"/>
        <v>473</v>
      </c>
      <c r="AP76" s="82">
        <f t="shared" si="87"/>
        <v>463</v>
      </c>
      <c r="AQ76" s="83">
        <f t="shared" si="87"/>
        <v>453</v>
      </c>
      <c r="AR76" s="332">
        <f t="shared" si="87"/>
        <v>446</v>
      </c>
      <c r="AS76" s="82">
        <f t="shared" si="87"/>
        <v>449</v>
      </c>
      <c r="AT76" s="83">
        <f t="shared" si="87"/>
        <v>435</v>
      </c>
      <c r="AU76" s="332">
        <f t="shared" si="87"/>
        <v>436</v>
      </c>
      <c r="AV76" s="82">
        <f t="shared" si="87"/>
        <v>423</v>
      </c>
      <c r="AW76" s="83">
        <f t="shared" si="87"/>
        <v>459</v>
      </c>
      <c r="AX76" s="332">
        <f t="shared" si="87"/>
        <v>517</v>
      </c>
      <c r="AY76" s="82">
        <f t="shared" si="87"/>
        <v>482</v>
      </c>
      <c r="AZ76" s="83">
        <f t="shared" si="87"/>
        <v>529</v>
      </c>
      <c r="BA76" s="332">
        <f t="shared" si="87"/>
        <v>453</v>
      </c>
      <c r="BB76" s="82">
        <f t="shared" si="87"/>
        <v>484</v>
      </c>
      <c r="BC76" s="83">
        <f t="shared" si="87"/>
        <v>557</v>
      </c>
      <c r="BD76" s="332">
        <f t="shared" si="87"/>
        <v>476</v>
      </c>
      <c r="BE76" s="82">
        <f t="shared" ref="BE76:BG76" si="90">SUM(BE64,BE68,BE72)</f>
        <v>437</v>
      </c>
      <c r="BF76" s="83">
        <f t="shared" si="90"/>
        <v>435</v>
      </c>
      <c r="BG76" s="332">
        <f t="shared" si="90"/>
        <v>438</v>
      </c>
      <c r="BH76" s="82">
        <f t="shared" ref="BH76:BJ76" si="91">SUM(BH64,BH68,BH72)</f>
        <v>440</v>
      </c>
      <c r="BI76" s="83">
        <f t="shared" si="91"/>
        <v>440</v>
      </c>
      <c r="BJ76" s="332">
        <f t="shared" si="91"/>
        <v>486</v>
      </c>
    </row>
    <row r="77" spans="1:64" ht="12.9" customHeight="1" x14ac:dyDescent="0.25">
      <c r="B77" s="1339" t="s">
        <v>317</v>
      </c>
      <c r="C77" s="333">
        <f t="shared" si="85"/>
        <v>198</v>
      </c>
      <c r="D77" s="334">
        <f t="shared" si="85"/>
        <v>180</v>
      </c>
      <c r="E77" s="334">
        <f t="shared" si="85"/>
        <v>205</v>
      </c>
      <c r="F77" s="333">
        <f t="shared" si="85"/>
        <v>180</v>
      </c>
      <c r="G77" s="334">
        <f t="shared" si="85"/>
        <v>169</v>
      </c>
      <c r="H77" s="334">
        <f t="shared" si="85"/>
        <v>172</v>
      </c>
      <c r="I77" s="333">
        <f t="shared" si="85"/>
        <v>197</v>
      </c>
      <c r="J77" s="334">
        <f t="shared" si="85"/>
        <v>209</v>
      </c>
      <c r="K77" s="334">
        <f t="shared" si="85"/>
        <v>219</v>
      </c>
      <c r="L77" s="333">
        <f t="shared" si="85"/>
        <v>196</v>
      </c>
      <c r="M77" s="334">
        <f t="shared" si="85"/>
        <v>182</v>
      </c>
      <c r="N77" s="335">
        <f t="shared" si="85"/>
        <v>198</v>
      </c>
      <c r="O77" s="334">
        <f t="shared" si="85"/>
        <v>279</v>
      </c>
      <c r="P77" s="334">
        <f t="shared" si="85"/>
        <v>260</v>
      </c>
      <c r="Q77" s="335">
        <f t="shared" si="85"/>
        <v>254</v>
      </c>
      <c r="R77" s="333">
        <v>259</v>
      </c>
      <c r="S77" s="334">
        <v>258</v>
      </c>
      <c r="T77" s="335">
        <v>231</v>
      </c>
      <c r="U77" s="333">
        <f t="shared" si="86"/>
        <v>285</v>
      </c>
      <c r="V77" s="334">
        <f t="shared" si="86"/>
        <v>323</v>
      </c>
      <c r="W77" s="335">
        <f t="shared" si="86"/>
        <v>307</v>
      </c>
      <c r="X77" s="333">
        <f t="shared" si="86"/>
        <v>279</v>
      </c>
      <c r="Y77" s="334">
        <f t="shared" si="86"/>
        <v>299</v>
      </c>
      <c r="Z77" s="335">
        <f t="shared" si="86"/>
        <v>260</v>
      </c>
      <c r="AA77" s="333">
        <f t="shared" si="86"/>
        <v>314</v>
      </c>
      <c r="AB77" s="334">
        <f t="shared" si="86"/>
        <v>267</v>
      </c>
      <c r="AC77" s="335">
        <f t="shared" si="86"/>
        <v>276</v>
      </c>
      <c r="AD77" s="333">
        <f>SUM(AD65,AD69,AD73)</f>
        <v>273</v>
      </c>
      <c r="AE77" s="334">
        <f t="shared" si="87"/>
        <v>253</v>
      </c>
      <c r="AF77" s="335">
        <f t="shared" si="87"/>
        <v>265</v>
      </c>
      <c r="AG77" s="333">
        <f t="shared" si="87"/>
        <v>299</v>
      </c>
      <c r="AH77" s="334">
        <f t="shared" si="87"/>
        <v>295</v>
      </c>
      <c r="AI77" s="335">
        <f t="shared" si="87"/>
        <v>294</v>
      </c>
      <c r="AJ77" s="333">
        <f t="shared" si="87"/>
        <v>274</v>
      </c>
      <c r="AK77" s="334">
        <f t="shared" si="87"/>
        <v>281</v>
      </c>
      <c r="AL77" s="335">
        <f t="shared" si="87"/>
        <v>299</v>
      </c>
      <c r="AM77" s="333">
        <f t="shared" si="87"/>
        <v>309</v>
      </c>
      <c r="AN77" s="334">
        <f t="shared" si="87"/>
        <v>289</v>
      </c>
      <c r="AO77" s="335">
        <f t="shared" si="87"/>
        <v>298</v>
      </c>
      <c r="AP77" s="333">
        <f t="shared" si="87"/>
        <v>304</v>
      </c>
      <c r="AQ77" s="334">
        <f t="shared" si="87"/>
        <v>281</v>
      </c>
      <c r="AR77" s="335">
        <f t="shared" si="87"/>
        <v>312</v>
      </c>
      <c r="AS77" s="333">
        <f t="shared" si="87"/>
        <v>336</v>
      </c>
      <c r="AT77" s="334">
        <f t="shared" si="87"/>
        <v>338</v>
      </c>
      <c r="AU77" s="335">
        <f t="shared" si="87"/>
        <v>341</v>
      </c>
      <c r="AV77" s="333">
        <f t="shared" si="87"/>
        <v>347</v>
      </c>
      <c r="AW77" s="334">
        <f t="shared" si="87"/>
        <v>397</v>
      </c>
      <c r="AX77" s="335">
        <f t="shared" si="87"/>
        <v>401</v>
      </c>
      <c r="AY77" s="333">
        <f t="shared" si="87"/>
        <v>437</v>
      </c>
      <c r="AZ77" s="334">
        <f t="shared" si="87"/>
        <v>399</v>
      </c>
      <c r="BA77" s="335">
        <f t="shared" si="87"/>
        <v>391</v>
      </c>
      <c r="BB77" s="333">
        <f t="shared" si="87"/>
        <v>408</v>
      </c>
      <c r="BC77" s="334">
        <f t="shared" si="87"/>
        <v>393</v>
      </c>
      <c r="BD77" s="335">
        <f t="shared" si="87"/>
        <v>389</v>
      </c>
      <c r="BE77" s="333">
        <f t="shared" ref="BE77:BG77" si="92">SUM(BE65,BE69,BE73)</f>
        <v>439</v>
      </c>
      <c r="BF77" s="334">
        <f t="shared" si="92"/>
        <v>404</v>
      </c>
      <c r="BG77" s="335">
        <f t="shared" si="92"/>
        <v>396</v>
      </c>
      <c r="BH77" s="333">
        <f t="shared" ref="BH77:BJ77" si="93">SUM(BH65,BH69,BH73)</f>
        <v>379</v>
      </c>
      <c r="BI77" s="334">
        <f t="shared" si="93"/>
        <v>375</v>
      </c>
      <c r="BJ77" s="335">
        <f t="shared" si="93"/>
        <v>389</v>
      </c>
    </row>
    <row r="78" spans="1:64" s="1330" customFormat="1" ht="12.9" customHeight="1" x14ac:dyDescent="0.25">
      <c r="A78" s="25"/>
      <c r="B78" s="1376" t="s">
        <v>422</v>
      </c>
      <c r="C78" s="1380">
        <f>SUM(C75:C77)</f>
        <v>478</v>
      </c>
      <c r="D78" s="1381">
        <f>SUM(D75:D77)</f>
        <v>453</v>
      </c>
      <c r="E78" s="1381">
        <f>SUM(E75:E77)</f>
        <v>516</v>
      </c>
      <c r="F78" s="1380">
        <f t="shared" ref="F78:Q78" si="94">SUM(F75:F77)</f>
        <v>460</v>
      </c>
      <c r="G78" s="1381">
        <f t="shared" si="94"/>
        <v>429</v>
      </c>
      <c r="H78" s="1381">
        <f t="shared" si="94"/>
        <v>476</v>
      </c>
      <c r="I78" s="1380">
        <f t="shared" si="94"/>
        <v>482</v>
      </c>
      <c r="J78" s="1381">
        <f t="shared" si="94"/>
        <v>479</v>
      </c>
      <c r="K78" s="1381">
        <f t="shared" si="94"/>
        <v>530</v>
      </c>
      <c r="L78" s="1380">
        <f t="shared" si="94"/>
        <v>507</v>
      </c>
      <c r="M78" s="1381">
        <f t="shared" si="94"/>
        <v>482</v>
      </c>
      <c r="N78" s="1382">
        <f t="shared" si="94"/>
        <v>547</v>
      </c>
      <c r="O78" s="1381">
        <f t="shared" si="94"/>
        <v>612</v>
      </c>
      <c r="P78" s="1381">
        <f t="shared" si="94"/>
        <v>565</v>
      </c>
      <c r="Q78" s="1382">
        <f t="shared" si="94"/>
        <v>590</v>
      </c>
      <c r="R78" s="1380">
        <v>568</v>
      </c>
      <c r="S78" s="1381">
        <v>583</v>
      </c>
      <c r="T78" s="1382">
        <v>630</v>
      </c>
      <c r="U78" s="1380">
        <f t="shared" si="86"/>
        <v>658</v>
      </c>
      <c r="V78" s="1381">
        <f t="shared" si="86"/>
        <v>727</v>
      </c>
      <c r="W78" s="1382">
        <f t="shared" si="86"/>
        <v>747</v>
      </c>
      <c r="X78" s="1380">
        <f t="shared" si="86"/>
        <v>692</v>
      </c>
      <c r="Y78" s="1381">
        <f t="shared" si="86"/>
        <v>749</v>
      </c>
      <c r="Z78" s="1382">
        <f t="shared" si="86"/>
        <v>685</v>
      </c>
      <c r="AA78" s="1380">
        <f t="shared" si="86"/>
        <v>747</v>
      </c>
      <c r="AB78" s="1381">
        <f t="shared" si="86"/>
        <v>711</v>
      </c>
      <c r="AC78" s="1382">
        <f t="shared" si="86"/>
        <v>687</v>
      </c>
      <c r="AD78" s="1380">
        <f t="shared" si="86"/>
        <v>692</v>
      </c>
      <c r="AE78" s="1381">
        <f t="shared" si="86"/>
        <v>662</v>
      </c>
      <c r="AF78" s="1382">
        <f t="shared" si="86"/>
        <v>746</v>
      </c>
      <c r="AG78" s="1380">
        <f t="shared" si="86"/>
        <v>801</v>
      </c>
      <c r="AH78" s="1381">
        <f t="shared" si="86"/>
        <v>781</v>
      </c>
      <c r="AI78" s="1382">
        <f t="shared" si="86"/>
        <v>739</v>
      </c>
      <c r="AJ78" s="1380">
        <f t="shared" si="86"/>
        <v>708</v>
      </c>
      <c r="AK78" s="1381">
        <f t="shared" ref="AK78:BD78" si="95">AK66+AK70+AK74</f>
        <v>721</v>
      </c>
      <c r="AL78" s="1382">
        <f t="shared" si="95"/>
        <v>814</v>
      </c>
      <c r="AM78" s="1380">
        <f t="shared" si="95"/>
        <v>780</v>
      </c>
      <c r="AN78" s="1381">
        <f t="shared" si="95"/>
        <v>765</v>
      </c>
      <c r="AO78" s="1382">
        <f t="shared" si="95"/>
        <v>786</v>
      </c>
      <c r="AP78" s="1380">
        <f t="shared" si="95"/>
        <v>817</v>
      </c>
      <c r="AQ78" s="1381">
        <f t="shared" si="95"/>
        <v>784</v>
      </c>
      <c r="AR78" s="1382">
        <f t="shared" si="95"/>
        <v>795</v>
      </c>
      <c r="AS78" s="1380">
        <f t="shared" si="95"/>
        <v>830</v>
      </c>
      <c r="AT78" s="1381">
        <f t="shared" si="95"/>
        <v>781</v>
      </c>
      <c r="AU78" s="1382">
        <f t="shared" si="95"/>
        <v>812</v>
      </c>
      <c r="AV78" s="1380">
        <f t="shared" si="95"/>
        <v>803</v>
      </c>
      <c r="AW78" s="1381">
        <f t="shared" si="95"/>
        <v>887</v>
      </c>
      <c r="AX78" s="1382">
        <f t="shared" si="95"/>
        <v>947</v>
      </c>
      <c r="AY78" s="1380">
        <f t="shared" si="95"/>
        <v>926</v>
      </c>
      <c r="AZ78" s="1381">
        <f t="shared" si="95"/>
        <v>930</v>
      </c>
      <c r="BA78" s="1382">
        <f t="shared" si="95"/>
        <v>864</v>
      </c>
      <c r="BB78" s="1380">
        <f t="shared" si="95"/>
        <v>912</v>
      </c>
      <c r="BC78" s="1381">
        <f t="shared" si="95"/>
        <v>969</v>
      </c>
      <c r="BD78" s="1382">
        <f t="shared" si="95"/>
        <v>884</v>
      </c>
      <c r="BE78" s="1380">
        <f t="shared" ref="BE78:BG78" si="96">BE66+BE70+BE74</f>
        <v>893</v>
      </c>
      <c r="BF78" s="1381">
        <f t="shared" si="96"/>
        <v>864</v>
      </c>
      <c r="BG78" s="1382">
        <f t="shared" si="96"/>
        <v>855</v>
      </c>
      <c r="BH78" s="1380">
        <f t="shared" ref="BH78:BJ78" si="97">BH66+BH70+BH74</f>
        <v>840</v>
      </c>
      <c r="BI78" s="1381">
        <f t="shared" si="97"/>
        <v>836</v>
      </c>
      <c r="BJ78" s="1382">
        <f t="shared" si="97"/>
        <v>877</v>
      </c>
      <c r="BK78" s="4648"/>
      <c r="BL78" s="4648"/>
    </row>
    <row r="79" spans="1:64" ht="12.9" customHeight="1" x14ac:dyDescent="0.25">
      <c r="B79" s="1353"/>
      <c r="C79" s="342"/>
      <c r="D79" s="342"/>
      <c r="E79" s="342"/>
      <c r="F79" s="342"/>
      <c r="G79" s="342"/>
      <c r="H79" s="342"/>
      <c r="I79" s="342"/>
      <c r="J79" s="342"/>
      <c r="K79" s="342"/>
      <c r="L79" s="342"/>
      <c r="M79" s="342"/>
      <c r="N79" s="342"/>
      <c r="O79" s="342"/>
      <c r="P79" s="342"/>
      <c r="Q79" s="342"/>
      <c r="R79" s="342"/>
      <c r="S79" s="342"/>
      <c r="T79" s="342"/>
      <c r="U79" s="342"/>
      <c r="V79" s="342"/>
      <c r="W79" s="342"/>
      <c r="X79" s="342"/>
      <c r="Y79" s="342"/>
      <c r="Z79" s="342"/>
      <c r="AA79" s="342"/>
      <c r="AB79" s="342"/>
      <c r="AC79" s="342"/>
      <c r="AD79" s="342"/>
      <c r="AE79" s="342"/>
      <c r="AF79" s="342"/>
      <c r="AG79" s="342"/>
      <c r="AH79" s="342"/>
      <c r="AI79" s="342"/>
      <c r="AJ79" s="342"/>
      <c r="AK79" s="342"/>
      <c r="AL79" s="342"/>
      <c r="AM79" s="342"/>
      <c r="AN79" s="342"/>
      <c r="AO79" s="342"/>
      <c r="AP79" s="342"/>
      <c r="AQ79" s="342"/>
      <c r="AR79" s="342"/>
      <c r="AS79" s="342"/>
      <c r="AT79" s="342"/>
      <c r="AU79" s="342"/>
      <c r="AV79" s="342"/>
      <c r="AW79" s="342"/>
      <c r="AX79" s="342"/>
      <c r="AY79" s="342"/>
      <c r="AZ79" s="342"/>
      <c r="BA79" s="342"/>
      <c r="BB79" s="342"/>
      <c r="BC79" s="342"/>
      <c r="BD79" s="342"/>
      <c r="BE79" s="342"/>
      <c r="BF79" s="342"/>
      <c r="BG79" s="342"/>
      <c r="BH79" s="342"/>
      <c r="BI79" s="342"/>
      <c r="BJ79" s="342"/>
    </row>
    <row r="80" spans="1:64" ht="12.9" customHeight="1" x14ac:dyDescent="0.25">
      <c r="B80" s="1334" t="s">
        <v>308</v>
      </c>
      <c r="C80" s="329">
        <f t="shared" ref="C80:Q82" si="98">C18+C52+C75</f>
        <v>114</v>
      </c>
      <c r="D80" s="330">
        <f t="shared" si="98"/>
        <v>105</v>
      </c>
      <c r="E80" s="330">
        <f t="shared" si="98"/>
        <v>147</v>
      </c>
      <c r="F80" s="329">
        <f t="shared" si="98"/>
        <v>120</v>
      </c>
      <c r="G80" s="330">
        <f t="shared" si="98"/>
        <v>108</v>
      </c>
      <c r="H80" s="330">
        <f t="shared" si="98"/>
        <v>195</v>
      </c>
      <c r="I80" s="329">
        <f t="shared" si="98"/>
        <v>160</v>
      </c>
      <c r="J80" s="330">
        <f t="shared" si="98"/>
        <v>148</v>
      </c>
      <c r="K80" s="330">
        <f t="shared" si="98"/>
        <v>82</v>
      </c>
      <c r="L80" s="329">
        <f t="shared" si="98"/>
        <v>172</v>
      </c>
      <c r="M80" s="330">
        <f t="shared" si="98"/>
        <v>170</v>
      </c>
      <c r="N80" s="331">
        <f t="shared" si="98"/>
        <v>180</v>
      </c>
      <c r="O80" s="330">
        <f t="shared" si="98"/>
        <v>213</v>
      </c>
      <c r="P80" s="330">
        <f t="shared" si="98"/>
        <v>185</v>
      </c>
      <c r="Q80" s="331">
        <f t="shared" si="98"/>
        <v>253</v>
      </c>
      <c r="R80" s="329">
        <v>201</v>
      </c>
      <c r="S80" s="330">
        <v>181</v>
      </c>
      <c r="T80" s="331">
        <v>242</v>
      </c>
      <c r="U80" s="329">
        <f t="shared" ref="U80:Z83" si="99">U18+U52+U75</f>
        <v>93</v>
      </c>
      <c r="V80" s="330">
        <f t="shared" si="99"/>
        <v>185</v>
      </c>
      <c r="W80" s="331">
        <f t="shared" si="99"/>
        <v>237</v>
      </c>
      <c r="X80" s="329">
        <f t="shared" si="99"/>
        <v>141</v>
      </c>
      <c r="Y80" s="330">
        <f t="shared" si="99"/>
        <v>68</v>
      </c>
      <c r="Z80" s="331">
        <f t="shared" si="99"/>
        <v>283</v>
      </c>
      <c r="AA80" s="329">
        <f t="shared" ref="AA80:AC82" si="100">AA18+AA52+AA75+AA23</f>
        <v>269</v>
      </c>
      <c r="AB80" s="330">
        <f t="shared" si="100"/>
        <v>233</v>
      </c>
      <c r="AC80" s="331">
        <f t="shared" si="100"/>
        <v>277</v>
      </c>
      <c r="AD80" s="329">
        <f t="shared" ref="AD80:AX82" si="101">SUM(AD18,AD35,AD52,AD75)</f>
        <v>245</v>
      </c>
      <c r="AE80" s="330">
        <f t="shared" si="101"/>
        <v>233</v>
      </c>
      <c r="AF80" s="331">
        <f t="shared" si="101"/>
        <v>210</v>
      </c>
      <c r="AG80" s="329">
        <f t="shared" si="101"/>
        <v>195</v>
      </c>
      <c r="AH80" s="330">
        <f t="shared" si="101"/>
        <v>162</v>
      </c>
      <c r="AI80" s="331">
        <f t="shared" si="101"/>
        <v>200</v>
      </c>
      <c r="AJ80" s="329">
        <f t="shared" si="101"/>
        <v>181</v>
      </c>
      <c r="AK80" s="330">
        <f t="shared" si="101"/>
        <v>162</v>
      </c>
      <c r="AL80" s="331">
        <f t="shared" si="101"/>
        <v>214</v>
      </c>
      <c r="AM80" s="329">
        <f t="shared" si="101"/>
        <v>198</v>
      </c>
      <c r="AN80" s="330">
        <f t="shared" si="101"/>
        <v>198</v>
      </c>
      <c r="AO80" s="331">
        <f t="shared" si="101"/>
        <v>145</v>
      </c>
      <c r="AP80" s="329">
        <f t="shared" si="101"/>
        <v>135</v>
      </c>
      <c r="AQ80" s="330">
        <f t="shared" si="101"/>
        <v>131</v>
      </c>
      <c r="AR80" s="331">
        <f t="shared" si="101"/>
        <v>112</v>
      </c>
      <c r="AS80" s="329">
        <f t="shared" si="101"/>
        <v>111</v>
      </c>
      <c r="AT80" s="330">
        <f t="shared" si="101"/>
        <v>144</v>
      </c>
      <c r="AU80" s="331">
        <f t="shared" si="101"/>
        <v>165</v>
      </c>
      <c r="AV80" s="329">
        <f t="shared" si="101"/>
        <v>147</v>
      </c>
      <c r="AW80" s="330">
        <f t="shared" si="101"/>
        <v>138</v>
      </c>
      <c r="AX80" s="331">
        <f t="shared" si="101"/>
        <v>137</v>
      </c>
      <c r="AY80" s="329">
        <f>SUM(AY18,AY35,AY52,AY75)</f>
        <v>101</v>
      </c>
      <c r="AZ80" s="330">
        <f t="shared" ref="AZ80:BD81" si="102">SUM(AZ18,AZ35,AZ52,AZ75)</f>
        <v>98</v>
      </c>
      <c r="BA80" s="331">
        <f t="shared" si="102"/>
        <v>96</v>
      </c>
      <c r="BB80" s="329">
        <f t="shared" si="102"/>
        <v>111</v>
      </c>
      <c r="BC80" s="330">
        <f>SUM(BC18,BC35,BC52,BC75)</f>
        <v>127</v>
      </c>
      <c r="BD80" s="331">
        <f>SUM(BD18,BD35,BD52,BD75)</f>
        <v>121</v>
      </c>
      <c r="BE80" s="329">
        <f t="shared" ref="BE80" si="103">SUM(BE18,BE35,BE52,BE75)</f>
        <v>117</v>
      </c>
      <c r="BF80" s="330">
        <f>SUM(BF18,BF35,BF52,BF75)</f>
        <v>92</v>
      </c>
      <c r="BG80" s="331">
        <f>SUM(BG18,BG35,BG52,BG75)</f>
        <v>76</v>
      </c>
      <c r="BH80" s="329">
        <f t="shared" ref="BH80" si="104">SUM(BH18,BH35,BH52,BH75)</f>
        <v>122</v>
      </c>
      <c r="BI80" s="330">
        <f>SUM(BI18,BI35,BI52,BI75)</f>
        <v>134</v>
      </c>
      <c r="BJ80" s="331">
        <f>SUM(BJ18,BJ35,BJ52,BJ75)</f>
        <v>85</v>
      </c>
    </row>
    <row r="81" spans="1:62" ht="12.9" customHeight="1" x14ac:dyDescent="0.25">
      <c r="B81" s="1336" t="s">
        <v>310</v>
      </c>
      <c r="C81" s="82">
        <f t="shared" si="98"/>
        <v>690</v>
      </c>
      <c r="D81" s="83">
        <f t="shared" si="98"/>
        <v>642</v>
      </c>
      <c r="E81" s="83">
        <f t="shared" si="98"/>
        <v>728</v>
      </c>
      <c r="F81" s="82">
        <f t="shared" si="98"/>
        <v>702</v>
      </c>
      <c r="G81" s="83">
        <f t="shared" si="98"/>
        <v>633</v>
      </c>
      <c r="H81" s="83">
        <f t="shared" si="98"/>
        <v>731</v>
      </c>
      <c r="I81" s="82">
        <f t="shared" si="98"/>
        <v>746</v>
      </c>
      <c r="J81" s="83">
        <f t="shared" si="98"/>
        <v>697</v>
      </c>
      <c r="K81" s="83">
        <f t="shared" si="98"/>
        <v>832</v>
      </c>
      <c r="L81" s="82">
        <f t="shared" si="98"/>
        <v>804</v>
      </c>
      <c r="M81" s="83">
        <f t="shared" si="98"/>
        <v>762</v>
      </c>
      <c r="N81" s="332">
        <f t="shared" si="98"/>
        <v>884</v>
      </c>
      <c r="O81" s="83">
        <f t="shared" si="98"/>
        <v>966</v>
      </c>
      <c r="P81" s="83">
        <f t="shared" si="98"/>
        <v>846</v>
      </c>
      <c r="Q81" s="332">
        <f t="shared" si="98"/>
        <v>914</v>
      </c>
      <c r="R81" s="82">
        <v>887</v>
      </c>
      <c r="S81" s="83">
        <v>847</v>
      </c>
      <c r="T81" s="332">
        <v>1118</v>
      </c>
      <c r="U81" s="82">
        <f t="shared" si="99"/>
        <v>1058</v>
      </c>
      <c r="V81" s="83">
        <f t="shared" si="99"/>
        <v>1045</v>
      </c>
      <c r="W81" s="332">
        <f t="shared" si="99"/>
        <v>1231</v>
      </c>
      <c r="X81" s="82">
        <f t="shared" si="99"/>
        <v>1176</v>
      </c>
      <c r="Y81" s="83">
        <f t="shared" si="99"/>
        <v>1132</v>
      </c>
      <c r="Z81" s="332">
        <f t="shared" si="99"/>
        <v>1243</v>
      </c>
      <c r="AA81" s="82">
        <f t="shared" si="100"/>
        <v>1312</v>
      </c>
      <c r="AB81" s="83">
        <f t="shared" si="100"/>
        <v>1211</v>
      </c>
      <c r="AC81" s="332">
        <f t="shared" si="100"/>
        <v>1249</v>
      </c>
      <c r="AD81" s="82">
        <f t="shared" si="101"/>
        <v>1248</v>
      </c>
      <c r="AE81" s="83">
        <f t="shared" si="101"/>
        <v>1194</v>
      </c>
      <c r="AF81" s="332">
        <f t="shared" si="101"/>
        <v>1418</v>
      </c>
      <c r="AG81" s="82">
        <f t="shared" si="101"/>
        <v>1418</v>
      </c>
      <c r="AH81" s="83">
        <f t="shared" si="101"/>
        <v>1388</v>
      </c>
      <c r="AI81" s="332">
        <f t="shared" si="101"/>
        <v>1443</v>
      </c>
      <c r="AJ81" s="82">
        <f t="shared" si="101"/>
        <v>1398</v>
      </c>
      <c r="AK81" s="83">
        <f t="shared" si="101"/>
        <v>1345</v>
      </c>
      <c r="AL81" s="332">
        <f t="shared" si="101"/>
        <v>1570</v>
      </c>
      <c r="AM81" s="82">
        <f t="shared" si="101"/>
        <v>1438</v>
      </c>
      <c r="AN81" s="83">
        <f t="shared" si="101"/>
        <v>1414</v>
      </c>
      <c r="AO81" s="332">
        <f t="shared" si="101"/>
        <v>1629</v>
      </c>
      <c r="AP81" s="82">
        <f t="shared" si="101"/>
        <v>1600</v>
      </c>
      <c r="AQ81" s="83">
        <f t="shared" si="101"/>
        <v>1473</v>
      </c>
      <c r="AR81" s="332">
        <f t="shared" si="101"/>
        <v>1597</v>
      </c>
      <c r="AS81" s="82">
        <f t="shared" si="101"/>
        <v>1503</v>
      </c>
      <c r="AT81" s="83">
        <f t="shared" si="101"/>
        <v>1457</v>
      </c>
      <c r="AU81" s="332">
        <f t="shared" si="101"/>
        <v>1618</v>
      </c>
      <c r="AV81" s="82">
        <f t="shared" si="101"/>
        <v>1528</v>
      </c>
      <c r="AW81" s="83">
        <f t="shared" si="101"/>
        <v>1479</v>
      </c>
      <c r="AX81" s="332">
        <f t="shared" si="101"/>
        <v>1656</v>
      </c>
      <c r="AY81" s="82">
        <f>SUM(AY19,AY36,AY53,AY76)</f>
        <v>1566</v>
      </c>
      <c r="AZ81" s="83">
        <f>SUM(AZ19,AZ36,AZ53,AZ76)</f>
        <v>1587</v>
      </c>
      <c r="BA81" s="332">
        <f>SUM(BA19,BA36,BA53,BA76)</f>
        <v>1501</v>
      </c>
      <c r="BB81" s="82">
        <f t="shared" si="102"/>
        <v>1488</v>
      </c>
      <c r="BC81" s="83">
        <f t="shared" si="102"/>
        <v>1581</v>
      </c>
      <c r="BD81" s="332">
        <f t="shared" si="102"/>
        <v>1428</v>
      </c>
      <c r="BE81" s="82">
        <f t="shared" ref="BE81:BG81" si="105">SUM(BE19,BE36,BE53,BE76)</f>
        <v>1399</v>
      </c>
      <c r="BF81" s="83">
        <f t="shared" si="105"/>
        <v>1405</v>
      </c>
      <c r="BG81" s="332">
        <f t="shared" si="105"/>
        <v>1282</v>
      </c>
      <c r="BH81" s="82">
        <f t="shared" ref="BH81:BJ81" si="106">SUM(BH19,BH36,BH53,BH76)</f>
        <v>1385</v>
      </c>
      <c r="BI81" s="83">
        <f t="shared" si="106"/>
        <v>1359</v>
      </c>
      <c r="BJ81" s="332">
        <f t="shared" si="106"/>
        <v>1530</v>
      </c>
    </row>
    <row r="82" spans="1:62" ht="12.9" customHeight="1" x14ac:dyDescent="0.25">
      <c r="B82" s="1339" t="s">
        <v>317</v>
      </c>
      <c r="C82" s="333">
        <f t="shared" si="98"/>
        <v>848</v>
      </c>
      <c r="D82" s="334">
        <f t="shared" si="98"/>
        <v>806</v>
      </c>
      <c r="E82" s="334">
        <f t="shared" si="98"/>
        <v>817</v>
      </c>
      <c r="F82" s="333">
        <f t="shared" si="98"/>
        <v>774</v>
      </c>
      <c r="G82" s="334">
        <f t="shared" si="98"/>
        <v>769</v>
      </c>
      <c r="H82" s="334">
        <f t="shared" si="98"/>
        <v>766</v>
      </c>
      <c r="I82" s="333">
        <f t="shared" si="98"/>
        <v>818</v>
      </c>
      <c r="J82" s="334">
        <f t="shared" si="98"/>
        <v>803</v>
      </c>
      <c r="K82" s="334">
        <f t="shared" si="98"/>
        <v>827</v>
      </c>
      <c r="L82" s="333">
        <f t="shared" si="98"/>
        <v>812</v>
      </c>
      <c r="M82" s="334">
        <f t="shared" si="98"/>
        <v>769</v>
      </c>
      <c r="N82" s="335">
        <f t="shared" si="98"/>
        <v>793</v>
      </c>
      <c r="O82" s="334">
        <f t="shared" si="98"/>
        <v>835</v>
      </c>
      <c r="P82" s="334">
        <f t="shared" si="98"/>
        <v>844</v>
      </c>
      <c r="Q82" s="335">
        <f t="shared" si="98"/>
        <v>879</v>
      </c>
      <c r="R82" s="333">
        <v>874</v>
      </c>
      <c r="S82" s="334">
        <v>809</v>
      </c>
      <c r="T82" s="335">
        <v>887</v>
      </c>
      <c r="U82" s="333">
        <f t="shared" si="99"/>
        <v>970</v>
      </c>
      <c r="V82" s="334">
        <f t="shared" si="99"/>
        <v>994</v>
      </c>
      <c r="W82" s="335">
        <f t="shared" si="99"/>
        <v>1051</v>
      </c>
      <c r="X82" s="333">
        <f t="shared" si="99"/>
        <v>1066</v>
      </c>
      <c r="Y82" s="334">
        <f t="shared" si="99"/>
        <v>1038</v>
      </c>
      <c r="Z82" s="335">
        <f t="shared" si="99"/>
        <v>1112</v>
      </c>
      <c r="AA82" s="333">
        <f t="shared" si="100"/>
        <v>1192</v>
      </c>
      <c r="AB82" s="334">
        <f t="shared" si="100"/>
        <v>1059</v>
      </c>
      <c r="AC82" s="335">
        <f t="shared" si="100"/>
        <v>1159</v>
      </c>
      <c r="AD82" s="333">
        <f t="shared" si="101"/>
        <v>1174</v>
      </c>
      <c r="AE82" s="334">
        <f t="shared" si="101"/>
        <v>1124</v>
      </c>
      <c r="AF82" s="335">
        <f t="shared" si="101"/>
        <v>1170</v>
      </c>
      <c r="AG82" s="333">
        <f t="shared" si="101"/>
        <v>1303</v>
      </c>
      <c r="AH82" s="334">
        <f t="shared" si="101"/>
        <v>1279</v>
      </c>
      <c r="AI82" s="335">
        <f t="shared" si="101"/>
        <v>1304</v>
      </c>
      <c r="AJ82" s="333">
        <f t="shared" si="101"/>
        <v>1260</v>
      </c>
      <c r="AK82" s="334">
        <f t="shared" si="101"/>
        <v>1220</v>
      </c>
      <c r="AL82" s="335">
        <f t="shared" si="101"/>
        <v>1407</v>
      </c>
      <c r="AM82" s="333">
        <f t="shared" si="101"/>
        <v>1378</v>
      </c>
      <c r="AN82" s="334">
        <f t="shared" si="101"/>
        <v>1328</v>
      </c>
      <c r="AO82" s="335">
        <f t="shared" si="101"/>
        <v>1379</v>
      </c>
      <c r="AP82" s="333">
        <f t="shared" si="101"/>
        <v>1385</v>
      </c>
      <c r="AQ82" s="334">
        <f t="shared" si="101"/>
        <v>1310</v>
      </c>
      <c r="AR82" s="335">
        <f t="shared" si="101"/>
        <v>1395</v>
      </c>
      <c r="AS82" s="333">
        <f t="shared" si="101"/>
        <v>1392</v>
      </c>
      <c r="AT82" s="334">
        <f t="shared" si="101"/>
        <v>1381</v>
      </c>
      <c r="AU82" s="335">
        <f t="shared" si="101"/>
        <v>1395</v>
      </c>
      <c r="AV82" s="333">
        <f t="shared" si="101"/>
        <v>1386</v>
      </c>
      <c r="AW82" s="334">
        <f t="shared" si="101"/>
        <v>1348</v>
      </c>
      <c r="AX82" s="335">
        <f t="shared" ref="AX82:BD82" si="107">SUM(AX20,AX37,AX54,AX59,AX77)</f>
        <v>1449</v>
      </c>
      <c r="AY82" s="333">
        <f t="shared" si="107"/>
        <v>1482</v>
      </c>
      <c r="AZ82" s="334">
        <f t="shared" si="107"/>
        <v>1442</v>
      </c>
      <c r="BA82" s="335">
        <f t="shared" si="107"/>
        <v>1421</v>
      </c>
      <c r="BB82" s="333">
        <f t="shared" si="107"/>
        <v>1442</v>
      </c>
      <c r="BC82" s="334">
        <f t="shared" si="107"/>
        <v>1438</v>
      </c>
      <c r="BD82" s="335">
        <f t="shared" si="107"/>
        <v>1416</v>
      </c>
      <c r="BE82" s="333">
        <f t="shared" ref="BE82:BG82" si="108">SUM(BE20,BE37,BE54,BE59,BE77)</f>
        <v>1437</v>
      </c>
      <c r="BF82" s="334">
        <f t="shared" si="108"/>
        <v>1374</v>
      </c>
      <c r="BG82" s="335">
        <f t="shared" si="108"/>
        <v>1244</v>
      </c>
      <c r="BH82" s="333">
        <f t="shared" ref="BH82:BJ82" si="109">SUM(BH20,BH37,BH54,BH59,BH77)</f>
        <v>1433</v>
      </c>
      <c r="BI82" s="334">
        <f t="shared" si="109"/>
        <v>1416</v>
      </c>
      <c r="BJ82" s="335">
        <f t="shared" si="109"/>
        <v>1434</v>
      </c>
    </row>
    <row r="83" spans="1:62" s="161" customFormat="1" ht="12.9" customHeight="1" x14ac:dyDescent="0.25">
      <c r="A83" s="25"/>
      <c r="B83" s="1383" t="s">
        <v>431</v>
      </c>
      <c r="C83" s="399">
        <f>SUM(C80:C82)</f>
        <v>1652</v>
      </c>
      <c r="D83" s="399">
        <f>SUM(D80:D82)</f>
        <v>1553</v>
      </c>
      <c r="E83" s="399">
        <f>SUM(E80:E82)</f>
        <v>1692</v>
      </c>
      <c r="F83" s="398">
        <f t="shared" ref="F83:Q83" si="110">SUM(F80:F82)</f>
        <v>1596</v>
      </c>
      <c r="G83" s="399">
        <f t="shared" si="110"/>
        <v>1510</v>
      </c>
      <c r="H83" s="399">
        <f t="shared" si="110"/>
        <v>1692</v>
      </c>
      <c r="I83" s="398">
        <f t="shared" si="110"/>
        <v>1724</v>
      </c>
      <c r="J83" s="399">
        <f t="shared" si="110"/>
        <v>1648</v>
      </c>
      <c r="K83" s="399">
        <f t="shared" si="110"/>
        <v>1741</v>
      </c>
      <c r="L83" s="398">
        <f t="shared" si="110"/>
        <v>1788</v>
      </c>
      <c r="M83" s="399">
        <f t="shared" si="110"/>
        <v>1701</v>
      </c>
      <c r="N83" s="400">
        <f t="shared" si="110"/>
        <v>1857</v>
      </c>
      <c r="O83" s="399">
        <f t="shared" si="110"/>
        <v>2014</v>
      </c>
      <c r="P83" s="399">
        <f t="shared" si="110"/>
        <v>1875</v>
      </c>
      <c r="Q83" s="400">
        <f t="shared" si="110"/>
        <v>2046</v>
      </c>
      <c r="R83" s="398">
        <v>1962</v>
      </c>
      <c r="S83" s="399">
        <v>1837</v>
      </c>
      <c r="T83" s="400">
        <v>2247</v>
      </c>
      <c r="U83" s="398">
        <f t="shared" si="99"/>
        <v>2121</v>
      </c>
      <c r="V83" s="399">
        <f t="shared" si="99"/>
        <v>2224</v>
      </c>
      <c r="W83" s="400">
        <f t="shared" si="99"/>
        <v>2519</v>
      </c>
      <c r="X83" s="398">
        <f t="shared" si="99"/>
        <v>2383</v>
      </c>
      <c r="Y83" s="399">
        <f t="shared" si="99"/>
        <v>2238</v>
      </c>
      <c r="Z83" s="400">
        <f t="shared" si="99"/>
        <v>2638</v>
      </c>
      <c r="AA83" s="398">
        <f>SUM(AA80:AA82)</f>
        <v>2773</v>
      </c>
      <c r="AB83" s="399">
        <f>SUM(AB80:AB82)</f>
        <v>2503</v>
      </c>
      <c r="AC83" s="400">
        <f>SUM(AC80:AC82)</f>
        <v>2685</v>
      </c>
      <c r="AD83" s="398">
        <f t="shared" ref="AD83:AY83" si="111">SUM(AD80:AD82)</f>
        <v>2667</v>
      </c>
      <c r="AE83" s="399">
        <f t="shared" si="111"/>
        <v>2551</v>
      </c>
      <c r="AF83" s="400">
        <f t="shared" si="111"/>
        <v>2798</v>
      </c>
      <c r="AG83" s="398">
        <f t="shared" si="111"/>
        <v>2916</v>
      </c>
      <c r="AH83" s="399">
        <f t="shared" si="111"/>
        <v>2829</v>
      </c>
      <c r="AI83" s="400">
        <f t="shared" si="111"/>
        <v>2947</v>
      </c>
      <c r="AJ83" s="398">
        <f t="shared" si="111"/>
        <v>2839</v>
      </c>
      <c r="AK83" s="399">
        <f t="shared" si="111"/>
        <v>2727</v>
      </c>
      <c r="AL83" s="400">
        <f t="shared" si="111"/>
        <v>3191</v>
      </c>
      <c r="AM83" s="398">
        <f t="shared" si="111"/>
        <v>3014</v>
      </c>
      <c r="AN83" s="399">
        <f t="shared" si="111"/>
        <v>2940</v>
      </c>
      <c r="AO83" s="400">
        <f t="shared" si="111"/>
        <v>3153</v>
      </c>
      <c r="AP83" s="398">
        <f t="shared" si="111"/>
        <v>3120</v>
      </c>
      <c r="AQ83" s="399">
        <f t="shared" si="111"/>
        <v>2914</v>
      </c>
      <c r="AR83" s="400">
        <f t="shared" si="111"/>
        <v>3104</v>
      </c>
      <c r="AS83" s="398">
        <f t="shared" si="111"/>
        <v>3006</v>
      </c>
      <c r="AT83" s="399">
        <f t="shared" si="111"/>
        <v>2982</v>
      </c>
      <c r="AU83" s="400">
        <f t="shared" si="111"/>
        <v>3178</v>
      </c>
      <c r="AV83" s="398">
        <f t="shared" si="111"/>
        <v>3061</v>
      </c>
      <c r="AW83" s="399">
        <f t="shared" si="111"/>
        <v>2965</v>
      </c>
      <c r="AX83" s="400">
        <f t="shared" si="111"/>
        <v>3242</v>
      </c>
      <c r="AY83" s="398">
        <f t="shared" si="111"/>
        <v>3149</v>
      </c>
      <c r="AZ83" s="399">
        <f t="shared" ref="AZ83:BG83" si="112">SUM(AZ80:AZ82)</f>
        <v>3127</v>
      </c>
      <c r="BA83" s="400">
        <f t="shared" si="112"/>
        <v>3018</v>
      </c>
      <c r="BB83" s="398">
        <f t="shared" si="112"/>
        <v>3041</v>
      </c>
      <c r="BC83" s="399">
        <f t="shared" si="112"/>
        <v>3146</v>
      </c>
      <c r="BD83" s="400">
        <f t="shared" si="112"/>
        <v>2965</v>
      </c>
      <c r="BE83" s="398">
        <f t="shared" si="112"/>
        <v>2953</v>
      </c>
      <c r="BF83" s="399">
        <f t="shared" si="112"/>
        <v>2871</v>
      </c>
      <c r="BG83" s="400">
        <f t="shared" si="112"/>
        <v>2602</v>
      </c>
      <c r="BH83" s="398">
        <f t="shared" ref="BH83:BJ83" si="113">SUM(BH80:BH82)</f>
        <v>2940</v>
      </c>
      <c r="BI83" s="399">
        <f t="shared" si="113"/>
        <v>2909</v>
      </c>
      <c r="BJ83" s="400">
        <f t="shared" si="113"/>
        <v>3049</v>
      </c>
    </row>
    <row r="84" spans="1:62" s="161" customFormat="1" ht="12.9" customHeight="1" x14ac:dyDescent="0.25">
      <c r="AG84" s="5547"/>
      <c r="AH84" s="5548"/>
      <c r="AI84" s="5549"/>
    </row>
    <row r="85" spans="1:62" s="161" customFormat="1" ht="12.9" customHeight="1" x14ac:dyDescent="0.25">
      <c r="B85" s="1334" t="s">
        <v>59</v>
      </c>
      <c r="C85" s="5541">
        <f t="shared" ref="C85:BI85" si="114">SUM(C9,C43)</f>
        <v>403</v>
      </c>
      <c r="D85" s="5542">
        <f t="shared" si="114"/>
        <v>380</v>
      </c>
      <c r="E85" s="5543">
        <f t="shared" si="114"/>
        <v>406</v>
      </c>
      <c r="F85" s="5542">
        <f t="shared" si="114"/>
        <v>398</v>
      </c>
      <c r="G85" s="5542">
        <f t="shared" si="114"/>
        <v>382</v>
      </c>
      <c r="H85" s="5542">
        <f t="shared" si="114"/>
        <v>424</v>
      </c>
      <c r="I85" s="5541">
        <f t="shared" si="114"/>
        <v>423</v>
      </c>
      <c r="J85" s="5542">
        <f t="shared" si="114"/>
        <v>429</v>
      </c>
      <c r="K85" s="5543">
        <f t="shared" si="114"/>
        <v>467</v>
      </c>
      <c r="L85" s="5542">
        <f t="shared" si="114"/>
        <v>473</v>
      </c>
      <c r="M85" s="5542">
        <f t="shared" si="114"/>
        <v>461</v>
      </c>
      <c r="N85" s="5542">
        <f t="shared" si="114"/>
        <v>501</v>
      </c>
      <c r="O85" s="5541">
        <f t="shared" si="114"/>
        <v>501</v>
      </c>
      <c r="P85" s="5542">
        <f t="shared" si="114"/>
        <v>475</v>
      </c>
      <c r="Q85" s="5543">
        <f t="shared" si="114"/>
        <v>459</v>
      </c>
      <c r="R85" s="5542">
        <f t="shared" si="114"/>
        <v>435</v>
      </c>
      <c r="S85" s="5542">
        <f t="shared" si="114"/>
        <v>408</v>
      </c>
      <c r="T85" s="5542">
        <f t="shared" si="114"/>
        <v>457</v>
      </c>
      <c r="U85" s="5541">
        <f t="shared" si="114"/>
        <v>441</v>
      </c>
      <c r="V85" s="5542">
        <f t="shared" si="114"/>
        <v>418</v>
      </c>
      <c r="W85" s="5543">
        <f t="shared" si="114"/>
        <v>490</v>
      </c>
      <c r="X85" s="5542">
        <f t="shared" si="114"/>
        <v>505</v>
      </c>
      <c r="Y85" s="5542">
        <f t="shared" si="114"/>
        <v>481</v>
      </c>
      <c r="Z85" s="5542">
        <f t="shared" si="114"/>
        <v>523</v>
      </c>
      <c r="AA85" s="5541">
        <f t="shared" si="114"/>
        <v>609</v>
      </c>
      <c r="AB85" s="5542">
        <f t="shared" si="114"/>
        <v>547</v>
      </c>
      <c r="AC85" s="5543">
        <f t="shared" si="114"/>
        <v>625</v>
      </c>
      <c r="AD85" s="5542">
        <f t="shared" si="114"/>
        <v>614</v>
      </c>
      <c r="AE85" s="5542">
        <f t="shared" si="114"/>
        <v>591</v>
      </c>
      <c r="AF85" s="5542">
        <f t="shared" si="114"/>
        <v>570</v>
      </c>
      <c r="AG85" s="5541">
        <f t="shared" si="114"/>
        <v>674</v>
      </c>
      <c r="AH85" s="5542">
        <f t="shared" si="114"/>
        <v>685</v>
      </c>
      <c r="AI85" s="5543">
        <f t="shared" si="114"/>
        <v>729</v>
      </c>
      <c r="AJ85" s="5542">
        <f t="shared" si="114"/>
        <v>709</v>
      </c>
      <c r="AK85" s="5542">
        <f t="shared" si="114"/>
        <v>674</v>
      </c>
      <c r="AL85" s="5542">
        <f t="shared" si="114"/>
        <v>776</v>
      </c>
      <c r="AM85" s="5541">
        <f t="shared" si="114"/>
        <v>733</v>
      </c>
      <c r="AN85" s="5542">
        <f t="shared" si="114"/>
        <v>730</v>
      </c>
      <c r="AO85" s="5543">
        <f t="shared" si="114"/>
        <v>795</v>
      </c>
      <c r="AP85" s="5542">
        <f t="shared" si="114"/>
        <v>801</v>
      </c>
      <c r="AQ85" s="5542">
        <f t="shared" si="114"/>
        <v>746</v>
      </c>
      <c r="AR85" s="5542">
        <f t="shared" si="114"/>
        <v>775</v>
      </c>
      <c r="AS85" s="5541">
        <f t="shared" si="114"/>
        <v>761</v>
      </c>
      <c r="AT85" s="5542">
        <f t="shared" si="114"/>
        <v>745</v>
      </c>
      <c r="AU85" s="5543">
        <f t="shared" si="114"/>
        <v>742</v>
      </c>
      <c r="AV85" s="5542">
        <f t="shared" si="114"/>
        <v>757</v>
      </c>
      <c r="AW85" s="5542">
        <f t="shared" si="114"/>
        <v>719</v>
      </c>
      <c r="AX85" s="5542">
        <f t="shared" si="114"/>
        <v>758</v>
      </c>
      <c r="AY85" s="5541">
        <f t="shared" si="114"/>
        <v>709</v>
      </c>
      <c r="AZ85" s="5542">
        <f t="shared" si="114"/>
        <v>727</v>
      </c>
      <c r="BA85" s="5543">
        <f t="shared" si="114"/>
        <v>703</v>
      </c>
      <c r="BB85" s="5542">
        <f t="shared" si="114"/>
        <v>643</v>
      </c>
      <c r="BC85" s="5542">
        <f t="shared" si="114"/>
        <v>696</v>
      </c>
      <c r="BD85" s="5542">
        <f t="shared" si="114"/>
        <v>685</v>
      </c>
      <c r="BE85" s="5541">
        <f t="shared" si="114"/>
        <v>630</v>
      </c>
      <c r="BF85" s="5542">
        <f t="shared" si="114"/>
        <v>641</v>
      </c>
      <c r="BG85" s="5543">
        <f t="shared" si="114"/>
        <v>505</v>
      </c>
      <c r="BH85" s="5542">
        <f t="shared" si="114"/>
        <v>608</v>
      </c>
      <c r="BI85" s="5542">
        <f t="shared" si="114"/>
        <v>625</v>
      </c>
      <c r="BJ85" s="5543">
        <f>SUM(BJ9,BJ43)</f>
        <v>630</v>
      </c>
    </row>
    <row r="86" spans="1:62" s="161" customFormat="1" ht="12.9" customHeight="1" x14ac:dyDescent="0.25">
      <c r="B86" s="1336" t="s">
        <v>64</v>
      </c>
      <c r="C86" s="5544">
        <f t="shared" ref="C86:BI86" si="115">SUM(C13,C26,C47,C66)</f>
        <v>700</v>
      </c>
      <c r="D86" s="5545">
        <f t="shared" si="115"/>
        <v>656</v>
      </c>
      <c r="E86" s="5546">
        <f t="shared" si="115"/>
        <v>735</v>
      </c>
      <c r="F86" s="5545">
        <f t="shared" si="115"/>
        <v>673</v>
      </c>
      <c r="G86" s="5545">
        <f t="shared" si="115"/>
        <v>629</v>
      </c>
      <c r="H86" s="5545">
        <f t="shared" si="115"/>
        <v>731</v>
      </c>
      <c r="I86" s="5544">
        <f t="shared" si="115"/>
        <v>791</v>
      </c>
      <c r="J86" s="5545">
        <f t="shared" si="115"/>
        <v>729</v>
      </c>
      <c r="K86" s="5546">
        <f t="shared" si="115"/>
        <v>711</v>
      </c>
      <c r="L86" s="5545">
        <f t="shared" si="115"/>
        <v>755</v>
      </c>
      <c r="M86" s="5545">
        <f t="shared" si="115"/>
        <v>720</v>
      </c>
      <c r="N86" s="5545">
        <f t="shared" si="115"/>
        <v>732</v>
      </c>
      <c r="O86" s="5544">
        <f t="shared" si="115"/>
        <v>892</v>
      </c>
      <c r="P86" s="5545">
        <f t="shared" si="115"/>
        <v>806</v>
      </c>
      <c r="Q86" s="5546">
        <f t="shared" si="115"/>
        <v>894</v>
      </c>
      <c r="R86" s="5545">
        <f t="shared" si="115"/>
        <v>883</v>
      </c>
      <c r="S86" s="5545">
        <f t="shared" si="115"/>
        <v>835</v>
      </c>
      <c r="T86" s="5545">
        <f t="shared" si="115"/>
        <v>1052</v>
      </c>
      <c r="U86" s="5544">
        <f t="shared" si="115"/>
        <v>952</v>
      </c>
      <c r="V86" s="5545">
        <f t="shared" si="115"/>
        <v>1069</v>
      </c>
      <c r="W86" s="5546">
        <f t="shared" si="115"/>
        <v>1141</v>
      </c>
      <c r="X86" s="5545">
        <f t="shared" si="115"/>
        <v>1022</v>
      </c>
      <c r="Y86" s="5545">
        <f t="shared" si="115"/>
        <v>953</v>
      </c>
      <c r="Z86" s="5545">
        <f t="shared" si="115"/>
        <v>1180</v>
      </c>
      <c r="AA86" s="5544">
        <f t="shared" si="115"/>
        <v>1203</v>
      </c>
      <c r="AB86" s="5545">
        <f t="shared" si="115"/>
        <v>1065</v>
      </c>
      <c r="AC86" s="5546">
        <f t="shared" si="115"/>
        <v>1136</v>
      </c>
      <c r="AD86" s="5545">
        <f t="shared" si="115"/>
        <v>1111</v>
      </c>
      <c r="AE86" s="5545">
        <f t="shared" si="115"/>
        <v>1045</v>
      </c>
      <c r="AF86" s="5545">
        <f t="shared" si="115"/>
        <v>1154</v>
      </c>
      <c r="AG86" s="5544">
        <f t="shared" si="115"/>
        <v>1188</v>
      </c>
      <c r="AH86" s="5545">
        <f t="shared" si="115"/>
        <v>1084</v>
      </c>
      <c r="AI86" s="5546">
        <f t="shared" si="115"/>
        <v>1130</v>
      </c>
      <c r="AJ86" s="5545">
        <f t="shared" si="115"/>
        <v>1086</v>
      </c>
      <c r="AK86" s="5545">
        <f t="shared" si="115"/>
        <v>1035</v>
      </c>
      <c r="AL86" s="5545">
        <f t="shared" si="115"/>
        <v>1226</v>
      </c>
      <c r="AM86" s="5544">
        <f t="shared" si="115"/>
        <v>1099</v>
      </c>
      <c r="AN86" s="5545">
        <f t="shared" si="115"/>
        <v>1052</v>
      </c>
      <c r="AO86" s="5546">
        <f t="shared" si="115"/>
        <v>1170</v>
      </c>
      <c r="AP86" s="5545">
        <f t="shared" si="115"/>
        <v>1143</v>
      </c>
      <c r="AQ86" s="5545">
        <f t="shared" si="115"/>
        <v>1054</v>
      </c>
      <c r="AR86" s="5545">
        <f t="shared" si="115"/>
        <v>1124</v>
      </c>
      <c r="AS86" s="5544">
        <f t="shared" si="115"/>
        <v>1077</v>
      </c>
      <c r="AT86" s="5545">
        <f t="shared" si="115"/>
        <v>1100</v>
      </c>
      <c r="AU86" s="5546">
        <f t="shared" si="115"/>
        <v>1229</v>
      </c>
      <c r="AV86" s="5545">
        <f t="shared" si="115"/>
        <v>1191</v>
      </c>
      <c r="AW86" s="5545">
        <f t="shared" si="115"/>
        <v>1184</v>
      </c>
      <c r="AX86" s="5545">
        <f t="shared" si="115"/>
        <v>1322</v>
      </c>
      <c r="AY86" s="5544">
        <f t="shared" si="115"/>
        <v>1317</v>
      </c>
      <c r="AZ86" s="5545">
        <f t="shared" si="115"/>
        <v>1283</v>
      </c>
      <c r="BA86" s="5546">
        <f t="shared" si="115"/>
        <v>1272</v>
      </c>
      <c r="BB86" s="5545">
        <f t="shared" si="115"/>
        <v>1290</v>
      </c>
      <c r="BC86" s="5545">
        <f t="shared" si="115"/>
        <v>1359</v>
      </c>
      <c r="BD86" s="5545">
        <f t="shared" si="115"/>
        <v>1239</v>
      </c>
      <c r="BE86" s="5544">
        <f t="shared" si="115"/>
        <v>1369</v>
      </c>
      <c r="BF86" s="5545">
        <f t="shared" si="115"/>
        <v>1218</v>
      </c>
      <c r="BG86" s="5546">
        <f t="shared" si="115"/>
        <v>1203</v>
      </c>
      <c r="BH86" s="5545">
        <f t="shared" si="115"/>
        <v>1362</v>
      </c>
      <c r="BI86" s="5545">
        <f t="shared" si="115"/>
        <v>1307</v>
      </c>
      <c r="BJ86" s="5546">
        <f>SUM(BJ13,BJ26,BJ47,BJ66)</f>
        <v>1357</v>
      </c>
    </row>
    <row r="87" spans="1:62" s="161" customFormat="1" ht="12.9" customHeight="1" x14ac:dyDescent="0.25">
      <c r="B87" s="1336" t="s">
        <v>92</v>
      </c>
      <c r="C87" s="5544">
        <f t="shared" ref="C87:BI87" si="116">SUM(C51,C60,C70)</f>
        <v>446</v>
      </c>
      <c r="D87" s="5545">
        <f t="shared" si="116"/>
        <v>421</v>
      </c>
      <c r="E87" s="5546">
        <f t="shared" si="116"/>
        <v>450</v>
      </c>
      <c r="F87" s="5545">
        <f t="shared" si="116"/>
        <v>432</v>
      </c>
      <c r="G87" s="5545">
        <f t="shared" si="116"/>
        <v>414</v>
      </c>
      <c r="H87" s="5545">
        <f t="shared" si="116"/>
        <v>411</v>
      </c>
      <c r="I87" s="5544">
        <f t="shared" si="116"/>
        <v>402</v>
      </c>
      <c r="J87" s="5545">
        <f t="shared" si="116"/>
        <v>390</v>
      </c>
      <c r="K87" s="5546">
        <f t="shared" si="116"/>
        <v>452</v>
      </c>
      <c r="L87" s="5545">
        <f t="shared" si="116"/>
        <v>435</v>
      </c>
      <c r="M87" s="5545">
        <f t="shared" si="116"/>
        <v>415</v>
      </c>
      <c r="N87" s="5545">
        <f t="shared" si="116"/>
        <v>479</v>
      </c>
      <c r="O87" s="5544">
        <f t="shared" si="116"/>
        <v>476</v>
      </c>
      <c r="P87" s="5545">
        <f t="shared" si="116"/>
        <v>456</v>
      </c>
      <c r="Q87" s="5546">
        <f t="shared" si="116"/>
        <v>535</v>
      </c>
      <c r="R87" s="5545">
        <f t="shared" si="116"/>
        <v>489</v>
      </c>
      <c r="S87" s="5545">
        <f t="shared" si="116"/>
        <v>454</v>
      </c>
      <c r="T87" s="5545">
        <f t="shared" si="116"/>
        <v>561</v>
      </c>
      <c r="U87" s="5544">
        <f t="shared" si="116"/>
        <v>546</v>
      </c>
      <c r="V87" s="5545">
        <f t="shared" si="116"/>
        <v>544</v>
      </c>
      <c r="W87" s="5546">
        <f t="shared" si="116"/>
        <v>606</v>
      </c>
      <c r="X87" s="5545">
        <f t="shared" si="116"/>
        <v>597</v>
      </c>
      <c r="Y87" s="5545">
        <f t="shared" si="116"/>
        <v>554</v>
      </c>
      <c r="Z87" s="5545">
        <f t="shared" si="116"/>
        <v>629</v>
      </c>
      <c r="AA87" s="5544">
        <f t="shared" si="116"/>
        <v>642</v>
      </c>
      <c r="AB87" s="5545">
        <f t="shared" si="116"/>
        <v>581</v>
      </c>
      <c r="AC87" s="5546">
        <f t="shared" si="116"/>
        <v>662</v>
      </c>
      <c r="AD87" s="5545">
        <f t="shared" si="116"/>
        <v>682</v>
      </c>
      <c r="AE87" s="5545">
        <f t="shared" si="116"/>
        <v>652</v>
      </c>
      <c r="AF87" s="5545">
        <f t="shared" si="116"/>
        <v>739</v>
      </c>
      <c r="AG87" s="5544">
        <f t="shared" si="116"/>
        <v>743</v>
      </c>
      <c r="AH87" s="5545">
        <f t="shared" si="116"/>
        <v>728</v>
      </c>
      <c r="AI87" s="5546">
        <f t="shared" si="116"/>
        <v>756</v>
      </c>
      <c r="AJ87" s="5545">
        <f t="shared" si="116"/>
        <v>730</v>
      </c>
      <c r="AK87" s="5545">
        <f t="shared" si="116"/>
        <v>711</v>
      </c>
      <c r="AL87" s="5545">
        <f t="shared" si="116"/>
        <v>750</v>
      </c>
      <c r="AM87" s="5544">
        <f t="shared" si="116"/>
        <v>786</v>
      </c>
      <c r="AN87" s="5545">
        <f t="shared" si="116"/>
        <v>763</v>
      </c>
      <c r="AO87" s="5546">
        <f t="shared" si="116"/>
        <v>801</v>
      </c>
      <c r="AP87" s="5545">
        <f t="shared" si="116"/>
        <v>783</v>
      </c>
      <c r="AQ87" s="5545">
        <f t="shared" si="116"/>
        <v>726</v>
      </c>
      <c r="AR87" s="5545">
        <f t="shared" si="116"/>
        <v>785</v>
      </c>
      <c r="AS87" s="5544">
        <f t="shared" si="116"/>
        <v>772</v>
      </c>
      <c r="AT87" s="5545">
        <f t="shared" si="116"/>
        <v>735</v>
      </c>
      <c r="AU87" s="5546">
        <f t="shared" si="116"/>
        <v>765</v>
      </c>
      <c r="AV87" s="5545">
        <f t="shared" si="116"/>
        <v>724</v>
      </c>
      <c r="AW87" s="5545">
        <f t="shared" si="116"/>
        <v>703</v>
      </c>
      <c r="AX87" s="5545">
        <f t="shared" si="116"/>
        <v>782</v>
      </c>
      <c r="AY87" s="5544">
        <f t="shared" si="116"/>
        <v>729</v>
      </c>
      <c r="AZ87" s="5545">
        <f t="shared" si="116"/>
        <v>766</v>
      </c>
      <c r="BA87" s="5546">
        <f t="shared" si="116"/>
        <v>741</v>
      </c>
      <c r="BB87" s="5545">
        <f t="shared" si="116"/>
        <v>736</v>
      </c>
      <c r="BC87" s="5545">
        <f t="shared" si="116"/>
        <v>738</v>
      </c>
      <c r="BD87" s="5545">
        <f t="shared" si="116"/>
        <v>673</v>
      </c>
      <c r="BE87" s="5544">
        <f t="shared" si="116"/>
        <v>628</v>
      </c>
      <c r="BF87" s="5545">
        <f t="shared" si="116"/>
        <v>622</v>
      </c>
      <c r="BG87" s="5546">
        <f t="shared" si="116"/>
        <v>506</v>
      </c>
      <c r="BH87" s="5545">
        <f t="shared" si="116"/>
        <v>582</v>
      </c>
      <c r="BI87" s="5545">
        <f t="shared" si="116"/>
        <v>574</v>
      </c>
      <c r="BJ87" s="5546">
        <f>SUM(BJ51,BJ60,BJ70)</f>
        <v>647</v>
      </c>
    </row>
    <row r="88" spans="1:62" s="161" customFormat="1" ht="12.9" customHeight="1" x14ac:dyDescent="0.25">
      <c r="B88" s="1336" t="s">
        <v>68</v>
      </c>
      <c r="C88" s="5544">
        <f t="shared" ref="C88:BI88" si="117">SUM(C17,C74)</f>
        <v>103</v>
      </c>
      <c r="D88" s="5545">
        <f t="shared" si="117"/>
        <v>96</v>
      </c>
      <c r="E88" s="5546">
        <f t="shared" si="117"/>
        <v>101</v>
      </c>
      <c r="F88" s="5545">
        <f t="shared" si="117"/>
        <v>93</v>
      </c>
      <c r="G88" s="5545">
        <f t="shared" si="117"/>
        <v>85</v>
      </c>
      <c r="H88" s="5545">
        <f t="shared" si="117"/>
        <v>126</v>
      </c>
      <c r="I88" s="5544">
        <f t="shared" si="117"/>
        <v>108</v>
      </c>
      <c r="J88" s="5545">
        <f t="shared" si="117"/>
        <v>100</v>
      </c>
      <c r="K88" s="5546">
        <f t="shared" si="117"/>
        <v>111</v>
      </c>
      <c r="L88" s="5545">
        <f t="shared" si="117"/>
        <v>125</v>
      </c>
      <c r="M88" s="5545">
        <f t="shared" si="117"/>
        <v>105</v>
      </c>
      <c r="N88" s="5545">
        <f t="shared" si="117"/>
        <v>145</v>
      </c>
      <c r="O88" s="5544">
        <f t="shared" si="117"/>
        <v>145</v>
      </c>
      <c r="P88" s="5545">
        <f t="shared" si="117"/>
        <v>138</v>
      </c>
      <c r="Q88" s="5546">
        <f t="shared" si="117"/>
        <v>158</v>
      </c>
      <c r="R88" s="5545">
        <f t="shared" si="117"/>
        <v>155</v>
      </c>
      <c r="S88" s="5545">
        <f t="shared" si="117"/>
        <v>140</v>
      </c>
      <c r="T88" s="5545">
        <f t="shared" si="117"/>
        <v>177</v>
      </c>
      <c r="U88" s="5544">
        <f t="shared" si="117"/>
        <v>182</v>
      </c>
      <c r="V88" s="5545">
        <f t="shared" si="117"/>
        <v>193</v>
      </c>
      <c r="W88" s="5546">
        <f t="shared" si="117"/>
        <v>282</v>
      </c>
      <c r="X88" s="5545">
        <f t="shared" si="117"/>
        <v>259</v>
      </c>
      <c r="Y88" s="5545">
        <f t="shared" si="117"/>
        <v>250</v>
      </c>
      <c r="Z88" s="5545">
        <f t="shared" si="117"/>
        <v>306</v>
      </c>
      <c r="AA88" s="5544">
        <f t="shared" si="117"/>
        <v>319</v>
      </c>
      <c r="AB88" s="5545">
        <f t="shared" si="117"/>
        <v>310</v>
      </c>
      <c r="AC88" s="5546">
        <f t="shared" si="117"/>
        <v>262</v>
      </c>
      <c r="AD88" s="5545">
        <f t="shared" si="117"/>
        <v>260</v>
      </c>
      <c r="AE88" s="5545">
        <f t="shared" si="117"/>
        <v>259</v>
      </c>
      <c r="AF88" s="5545">
        <f t="shared" si="117"/>
        <v>304</v>
      </c>
      <c r="AG88" s="5544">
        <f t="shared" si="117"/>
        <v>277</v>
      </c>
      <c r="AH88" s="5545">
        <f t="shared" si="117"/>
        <v>300</v>
      </c>
      <c r="AI88" s="5546">
        <f t="shared" si="117"/>
        <v>275</v>
      </c>
      <c r="AJ88" s="5545">
        <f t="shared" si="117"/>
        <v>254</v>
      </c>
      <c r="AK88" s="5545">
        <f t="shared" si="117"/>
        <v>244</v>
      </c>
      <c r="AL88" s="5545">
        <f t="shared" si="117"/>
        <v>353</v>
      </c>
      <c r="AM88" s="5544">
        <f t="shared" si="117"/>
        <v>312</v>
      </c>
      <c r="AN88" s="5545">
        <f t="shared" si="117"/>
        <v>307</v>
      </c>
      <c r="AO88" s="5546">
        <f t="shared" si="117"/>
        <v>273</v>
      </c>
      <c r="AP88" s="5545">
        <f t="shared" si="117"/>
        <v>288</v>
      </c>
      <c r="AQ88" s="5545">
        <f t="shared" si="117"/>
        <v>284</v>
      </c>
      <c r="AR88" s="5545">
        <f t="shared" si="117"/>
        <v>289</v>
      </c>
      <c r="AS88" s="5544">
        <f t="shared" si="117"/>
        <v>295</v>
      </c>
      <c r="AT88" s="5545">
        <f t="shared" si="117"/>
        <v>291</v>
      </c>
      <c r="AU88" s="5546">
        <f t="shared" si="117"/>
        <v>307</v>
      </c>
      <c r="AV88" s="5545">
        <f t="shared" si="117"/>
        <v>281</v>
      </c>
      <c r="AW88" s="5545">
        <f t="shared" si="117"/>
        <v>255</v>
      </c>
      <c r="AX88" s="5545">
        <f t="shared" si="117"/>
        <v>244</v>
      </c>
      <c r="AY88" s="5544">
        <f t="shared" si="117"/>
        <v>262</v>
      </c>
      <c r="AZ88" s="5545">
        <f t="shared" si="117"/>
        <v>255</v>
      </c>
      <c r="BA88" s="5546">
        <f t="shared" si="117"/>
        <v>205</v>
      </c>
      <c r="BB88" s="5545">
        <f t="shared" si="117"/>
        <v>268</v>
      </c>
      <c r="BC88" s="5545">
        <f t="shared" si="117"/>
        <v>257</v>
      </c>
      <c r="BD88" s="5545">
        <f t="shared" si="117"/>
        <v>263</v>
      </c>
      <c r="BE88" s="5544">
        <f t="shared" si="117"/>
        <v>242</v>
      </c>
      <c r="BF88" s="5545">
        <f t="shared" si="117"/>
        <v>300</v>
      </c>
      <c r="BG88" s="5546">
        <f t="shared" si="117"/>
        <v>287</v>
      </c>
      <c r="BH88" s="5545">
        <f t="shared" si="117"/>
        <v>286</v>
      </c>
      <c r="BI88" s="5545">
        <f t="shared" si="117"/>
        <v>319</v>
      </c>
      <c r="BJ88" s="5546">
        <f>SUM(BJ17,BJ74)</f>
        <v>303</v>
      </c>
    </row>
    <row r="89" spans="1:62" s="161" customFormat="1" ht="12.9" customHeight="1" x14ac:dyDescent="0.25">
      <c r="B89" s="1336" t="s">
        <v>111</v>
      </c>
      <c r="C89" s="5544">
        <f t="shared" ref="C89:BI89" si="118">SUM(C30)</f>
        <v>0</v>
      </c>
      <c r="D89" s="5545">
        <f t="shared" si="118"/>
        <v>0</v>
      </c>
      <c r="E89" s="5546">
        <f t="shared" si="118"/>
        <v>0</v>
      </c>
      <c r="F89" s="5545">
        <f t="shared" si="118"/>
        <v>0</v>
      </c>
      <c r="G89" s="5545">
        <f t="shared" si="118"/>
        <v>0</v>
      </c>
      <c r="H89" s="5545">
        <f t="shared" si="118"/>
        <v>0</v>
      </c>
      <c r="I89" s="5544">
        <f t="shared" si="118"/>
        <v>0</v>
      </c>
      <c r="J89" s="5545">
        <f t="shared" si="118"/>
        <v>0</v>
      </c>
      <c r="K89" s="5546">
        <f t="shared" si="118"/>
        <v>0</v>
      </c>
      <c r="L89" s="5545">
        <f t="shared" si="118"/>
        <v>0</v>
      </c>
      <c r="M89" s="5545">
        <f t="shared" si="118"/>
        <v>0</v>
      </c>
      <c r="N89" s="5545">
        <f t="shared" si="118"/>
        <v>0</v>
      </c>
      <c r="O89" s="5544">
        <f t="shared" si="118"/>
        <v>0</v>
      </c>
      <c r="P89" s="5545">
        <f t="shared" si="118"/>
        <v>0</v>
      </c>
      <c r="Q89" s="5546">
        <f t="shared" si="118"/>
        <v>0</v>
      </c>
      <c r="R89" s="5545">
        <f t="shared" si="118"/>
        <v>0</v>
      </c>
      <c r="S89" s="5545">
        <f t="shared" si="118"/>
        <v>0</v>
      </c>
      <c r="T89" s="5545">
        <f t="shared" si="118"/>
        <v>0</v>
      </c>
      <c r="U89" s="5544">
        <f t="shared" si="118"/>
        <v>0</v>
      </c>
      <c r="V89" s="5545">
        <f t="shared" si="118"/>
        <v>0</v>
      </c>
      <c r="W89" s="5546">
        <f t="shared" si="118"/>
        <v>0</v>
      </c>
      <c r="X89" s="5545">
        <f t="shared" si="118"/>
        <v>0</v>
      </c>
      <c r="Y89" s="5545">
        <f t="shared" si="118"/>
        <v>0</v>
      </c>
      <c r="Z89" s="5545">
        <f t="shared" si="118"/>
        <v>0</v>
      </c>
      <c r="AA89" s="5544">
        <f t="shared" si="118"/>
        <v>0</v>
      </c>
      <c r="AB89" s="5545">
        <f t="shared" si="118"/>
        <v>0</v>
      </c>
      <c r="AC89" s="5546">
        <f t="shared" si="118"/>
        <v>0</v>
      </c>
      <c r="AD89" s="5545">
        <f t="shared" si="118"/>
        <v>0</v>
      </c>
      <c r="AE89" s="5545">
        <f t="shared" si="118"/>
        <v>0</v>
      </c>
      <c r="AF89" s="5545">
        <f t="shared" si="118"/>
        <v>12</v>
      </c>
      <c r="AG89" s="5544">
        <f t="shared" si="118"/>
        <v>12</v>
      </c>
      <c r="AH89" s="5545">
        <f t="shared" si="118"/>
        <v>11</v>
      </c>
      <c r="AI89" s="5546">
        <f t="shared" si="118"/>
        <v>22</v>
      </c>
      <c r="AJ89" s="5545">
        <f t="shared" si="118"/>
        <v>20</v>
      </c>
      <c r="AK89" s="5545">
        <f t="shared" si="118"/>
        <v>21</v>
      </c>
      <c r="AL89" s="5545">
        <f t="shared" si="118"/>
        <v>32</v>
      </c>
      <c r="AM89" s="5544">
        <f t="shared" si="118"/>
        <v>32</v>
      </c>
      <c r="AN89" s="5545">
        <f t="shared" si="118"/>
        <v>32</v>
      </c>
      <c r="AO89" s="5546">
        <f t="shared" si="118"/>
        <v>41</v>
      </c>
      <c r="AP89" s="5545">
        <f t="shared" si="118"/>
        <v>39</v>
      </c>
      <c r="AQ89" s="5545">
        <f t="shared" si="118"/>
        <v>39</v>
      </c>
      <c r="AR89" s="5545">
        <f t="shared" si="118"/>
        <v>58</v>
      </c>
      <c r="AS89" s="5544">
        <f t="shared" si="118"/>
        <v>40</v>
      </c>
      <c r="AT89" s="5545">
        <f t="shared" si="118"/>
        <v>39</v>
      </c>
      <c r="AU89" s="5546">
        <f t="shared" si="118"/>
        <v>61</v>
      </c>
      <c r="AV89" s="5545">
        <f t="shared" si="118"/>
        <v>44</v>
      </c>
      <c r="AW89" s="5545">
        <f t="shared" si="118"/>
        <v>44</v>
      </c>
      <c r="AX89" s="5545">
        <f t="shared" si="118"/>
        <v>65</v>
      </c>
      <c r="AY89" s="5544">
        <f t="shared" si="118"/>
        <v>64</v>
      </c>
      <c r="AZ89" s="5545">
        <f t="shared" si="118"/>
        <v>43</v>
      </c>
      <c r="BA89" s="5546">
        <f t="shared" si="118"/>
        <v>42</v>
      </c>
      <c r="BB89" s="5545">
        <f t="shared" si="118"/>
        <v>46</v>
      </c>
      <c r="BC89" s="5545">
        <f t="shared" si="118"/>
        <v>42</v>
      </c>
      <c r="BD89" s="5545">
        <f t="shared" si="118"/>
        <v>53</v>
      </c>
      <c r="BE89" s="5544">
        <f t="shared" si="118"/>
        <v>40</v>
      </c>
      <c r="BF89" s="5545">
        <f t="shared" si="118"/>
        <v>38</v>
      </c>
      <c r="BG89" s="5546">
        <f t="shared" si="118"/>
        <v>57</v>
      </c>
      <c r="BH89" s="5545">
        <f t="shared" si="118"/>
        <v>51</v>
      </c>
      <c r="BI89" s="5545">
        <f t="shared" si="118"/>
        <v>38</v>
      </c>
      <c r="BJ89" s="5546">
        <f>SUM(BJ30)</f>
        <v>56</v>
      </c>
    </row>
    <row r="90" spans="1:62" s="161" customFormat="1" ht="12.9" customHeight="1" x14ac:dyDescent="0.25">
      <c r="B90" s="1514" t="s">
        <v>115</v>
      </c>
      <c r="C90" s="5550">
        <f t="shared" ref="C90:BI90" si="119">SUM(C34)</f>
        <v>0</v>
      </c>
      <c r="D90" s="5551">
        <f t="shared" si="119"/>
        <v>0</v>
      </c>
      <c r="E90" s="5552">
        <f t="shared" si="119"/>
        <v>0</v>
      </c>
      <c r="F90" s="5551">
        <f t="shared" si="119"/>
        <v>0</v>
      </c>
      <c r="G90" s="5551">
        <f t="shared" si="119"/>
        <v>0</v>
      </c>
      <c r="H90" s="5551">
        <f t="shared" si="119"/>
        <v>0</v>
      </c>
      <c r="I90" s="5550">
        <f t="shared" si="119"/>
        <v>0</v>
      </c>
      <c r="J90" s="5551">
        <f t="shared" si="119"/>
        <v>0</v>
      </c>
      <c r="K90" s="5552">
        <f t="shared" si="119"/>
        <v>0</v>
      </c>
      <c r="L90" s="5551">
        <f t="shared" si="119"/>
        <v>0</v>
      </c>
      <c r="M90" s="5551">
        <f t="shared" si="119"/>
        <v>0</v>
      </c>
      <c r="N90" s="5551">
        <f t="shared" si="119"/>
        <v>0</v>
      </c>
      <c r="O90" s="5550">
        <f t="shared" si="119"/>
        <v>0</v>
      </c>
      <c r="P90" s="5551">
        <f t="shared" si="119"/>
        <v>0</v>
      </c>
      <c r="Q90" s="5552">
        <f t="shared" si="119"/>
        <v>0</v>
      </c>
      <c r="R90" s="5551">
        <f t="shared" si="119"/>
        <v>0</v>
      </c>
      <c r="S90" s="5551">
        <f t="shared" si="119"/>
        <v>0</v>
      </c>
      <c r="T90" s="5551">
        <f t="shared" si="119"/>
        <v>0</v>
      </c>
      <c r="U90" s="5550">
        <f t="shared" si="119"/>
        <v>0</v>
      </c>
      <c r="V90" s="5551">
        <f t="shared" si="119"/>
        <v>0</v>
      </c>
      <c r="W90" s="5552">
        <f t="shared" si="119"/>
        <v>0</v>
      </c>
      <c r="X90" s="5551">
        <f t="shared" si="119"/>
        <v>0</v>
      </c>
      <c r="Y90" s="5551">
        <f t="shared" si="119"/>
        <v>0</v>
      </c>
      <c r="Z90" s="5551">
        <f t="shared" si="119"/>
        <v>0</v>
      </c>
      <c r="AA90" s="5550">
        <f t="shared" si="119"/>
        <v>0</v>
      </c>
      <c r="AB90" s="5551">
        <f t="shared" si="119"/>
        <v>0</v>
      </c>
      <c r="AC90" s="5552">
        <f t="shared" si="119"/>
        <v>0</v>
      </c>
      <c r="AD90" s="5551">
        <f t="shared" si="119"/>
        <v>0</v>
      </c>
      <c r="AE90" s="5551">
        <f t="shared" si="119"/>
        <v>4</v>
      </c>
      <c r="AF90" s="5551">
        <f t="shared" si="119"/>
        <v>19</v>
      </c>
      <c r="AG90" s="5550">
        <f t="shared" si="119"/>
        <v>22</v>
      </c>
      <c r="AH90" s="5551">
        <f t="shared" si="119"/>
        <v>21</v>
      </c>
      <c r="AI90" s="5552">
        <f t="shared" si="119"/>
        <v>35</v>
      </c>
      <c r="AJ90" s="5551">
        <f t="shared" si="119"/>
        <v>40</v>
      </c>
      <c r="AK90" s="5551">
        <f t="shared" si="119"/>
        <v>42</v>
      </c>
      <c r="AL90" s="5551">
        <f t="shared" si="119"/>
        <v>54</v>
      </c>
      <c r="AM90" s="5550">
        <f t="shared" si="119"/>
        <v>52</v>
      </c>
      <c r="AN90" s="5551">
        <f t="shared" si="119"/>
        <v>56</v>
      </c>
      <c r="AO90" s="5552">
        <f t="shared" si="119"/>
        <v>73</v>
      </c>
      <c r="AP90" s="5551">
        <f t="shared" si="119"/>
        <v>66</v>
      </c>
      <c r="AQ90" s="5551">
        <f t="shared" si="119"/>
        <v>65</v>
      </c>
      <c r="AR90" s="5551">
        <f t="shared" si="119"/>
        <v>73</v>
      </c>
      <c r="AS90" s="5550">
        <f t="shared" si="119"/>
        <v>61</v>
      </c>
      <c r="AT90" s="5551">
        <f t="shared" si="119"/>
        <v>72</v>
      </c>
      <c r="AU90" s="5552">
        <f t="shared" si="119"/>
        <v>74</v>
      </c>
      <c r="AV90" s="5551">
        <f t="shared" si="119"/>
        <v>64</v>
      </c>
      <c r="AW90" s="5551">
        <f t="shared" si="119"/>
        <v>60</v>
      </c>
      <c r="AX90" s="5551">
        <f t="shared" si="119"/>
        <v>71</v>
      </c>
      <c r="AY90" s="5550">
        <f t="shared" si="119"/>
        <v>68</v>
      </c>
      <c r="AZ90" s="5551">
        <f t="shared" si="119"/>
        <v>53</v>
      </c>
      <c r="BA90" s="5552">
        <f t="shared" si="119"/>
        <v>55</v>
      </c>
      <c r="BB90" s="5551">
        <f t="shared" si="119"/>
        <v>58</v>
      </c>
      <c r="BC90" s="5551">
        <f t="shared" si="119"/>
        <v>54</v>
      </c>
      <c r="BD90" s="5551">
        <f t="shared" si="119"/>
        <v>52</v>
      </c>
      <c r="BE90" s="5550">
        <f t="shared" si="119"/>
        <v>44</v>
      </c>
      <c r="BF90" s="5551">
        <f t="shared" si="119"/>
        <v>52</v>
      </c>
      <c r="BG90" s="5552">
        <f t="shared" si="119"/>
        <v>44</v>
      </c>
      <c r="BH90" s="5551">
        <f t="shared" si="119"/>
        <v>51</v>
      </c>
      <c r="BI90" s="5551">
        <f t="shared" si="119"/>
        <v>46</v>
      </c>
      <c r="BJ90" s="5552">
        <f>SUM(BJ34)</f>
        <v>56</v>
      </c>
    </row>
    <row r="91" spans="1:62" s="161" customFormat="1" ht="12.9" customHeight="1" x14ac:dyDescent="0.25">
      <c r="B91" s="1383" t="s">
        <v>128</v>
      </c>
      <c r="C91" s="5553">
        <f t="shared" ref="C91:BI91" si="120">SUM(C85:C90)</f>
        <v>1652</v>
      </c>
      <c r="D91" s="5554">
        <f t="shared" si="120"/>
        <v>1553</v>
      </c>
      <c r="E91" s="5555">
        <f t="shared" si="120"/>
        <v>1692</v>
      </c>
      <c r="F91" s="5554">
        <f t="shared" si="120"/>
        <v>1596</v>
      </c>
      <c r="G91" s="5554">
        <f t="shared" si="120"/>
        <v>1510</v>
      </c>
      <c r="H91" s="5554">
        <f t="shared" si="120"/>
        <v>1692</v>
      </c>
      <c r="I91" s="5553">
        <f t="shared" si="120"/>
        <v>1724</v>
      </c>
      <c r="J91" s="5554">
        <f t="shared" si="120"/>
        <v>1648</v>
      </c>
      <c r="K91" s="5555">
        <f t="shared" si="120"/>
        <v>1741</v>
      </c>
      <c r="L91" s="5554">
        <f t="shared" si="120"/>
        <v>1788</v>
      </c>
      <c r="M91" s="5554">
        <f t="shared" si="120"/>
        <v>1701</v>
      </c>
      <c r="N91" s="5554">
        <f t="shared" si="120"/>
        <v>1857</v>
      </c>
      <c r="O91" s="5553">
        <f t="shared" si="120"/>
        <v>2014</v>
      </c>
      <c r="P91" s="5554">
        <f t="shared" si="120"/>
        <v>1875</v>
      </c>
      <c r="Q91" s="5555">
        <f t="shared" si="120"/>
        <v>2046</v>
      </c>
      <c r="R91" s="5554">
        <f t="shared" si="120"/>
        <v>1962</v>
      </c>
      <c r="S91" s="5554">
        <f t="shared" si="120"/>
        <v>1837</v>
      </c>
      <c r="T91" s="5554">
        <f t="shared" si="120"/>
        <v>2247</v>
      </c>
      <c r="U91" s="5553">
        <f t="shared" si="120"/>
        <v>2121</v>
      </c>
      <c r="V91" s="5554">
        <f t="shared" si="120"/>
        <v>2224</v>
      </c>
      <c r="W91" s="5555">
        <f t="shared" si="120"/>
        <v>2519</v>
      </c>
      <c r="X91" s="5554">
        <f t="shared" si="120"/>
        <v>2383</v>
      </c>
      <c r="Y91" s="5554">
        <f t="shared" si="120"/>
        <v>2238</v>
      </c>
      <c r="Z91" s="5554">
        <f t="shared" si="120"/>
        <v>2638</v>
      </c>
      <c r="AA91" s="5553">
        <f t="shared" si="120"/>
        <v>2773</v>
      </c>
      <c r="AB91" s="5554">
        <f t="shared" si="120"/>
        <v>2503</v>
      </c>
      <c r="AC91" s="5555">
        <f t="shared" si="120"/>
        <v>2685</v>
      </c>
      <c r="AD91" s="5554">
        <f t="shared" si="120"/>
        <v>2667</v>
      </c>
      <c r="AE91" s="5554">
        <f t="shared" si="120"/>
        <v>2551</v>
      </c>
      <c r="AF91" s="5554">
        <f t="shared" si="120"/>
        <v>2798</v>
      </c>
      <c r="AG91" s="5553">
        <f t="shared" si="120"/>
        <v>2916</v>
      </c>
      <c r="AH91" s="5554">
        <f t="shared" si="120"/>
        <v>2829</v>
      </c>
      <c r="AI91" s="5555">
        <f t="shared" si="120"/>
        <v>2947</v>
      </c>
      <c r="AJ91" s="5554">
        <f t="shared" si="120"/>
        <v>2839</v>
      </c>
      <c r="AK91" s="5554">
        <f t="shared" si="120"/>
        <v>2727</v>
      </c>
      <c r="AL91" s="5554">
        <f t="shared" si="120"/>
        <v>3191</v>
      </c>
      <c r="AM91" s="5553">
        <f t="shared" si="120"/>
        <v>3014</v>
      </c>
      <c r="AN91" s="5554">
        <f t="shared" si="120"/>
        <v>2940</v>
      </c>
      <c r="AO91" s="5555">
        <f t="shared" si="120"/>
        <v>3153</v>
      </c>
      <c r="AP91" s="5554">
        <f t="shared" si="120"/>
        <v>3120</v>
      </c>
      <c r="AQ91" s="5554">
        <f t="shared" si="120"/>
        <v>2914</v>
      </c>
      <c r="AR91" s="5554">
        <f t="shared" si="120"/>
        <v>3104</v>
      </c>
      <c r="AS91" s="5553">
        <f t="shared" si="120"/>
        <v>3006</v>
      </c>
      <c r="AT91" s="5554">
        <f t="shared" si="120"/>
        <v>2982</v>
      </c>
      <c r="AU91" s="5555">
        <f t="shared" si="120"/>
        <v>3178</v>
      </c>
      <c r="AV91" s="5554">
        <f t="shared" si="120"/>
        <v>3061</v>
      </c>
      <c r="AW91" s="5554">
        <f t="shared" si="120"/>
        <v>2965</v>
      </c>
      <c r="AX91" s="5554">
        <f t="shared" si="120"/>
        <v>3242</v>
      </c>
      <c r="AY91" s="5553">
        <f t="shared" si="120"/>
        <v>3149</v>
      </c>
      <c r="AZ91" s="5554">
        <f t="shared" si="120"/>
        <v>3127</v>
      </c>
      <c r="BA91" s="5555">
        <f t="shared" si="120"/>
        <v>3018</v>
      </c>
      <c r="BB91" s="5554">
        <f t="shared" si="120"/>
        <v>3041</v>
      </c>
      <c r="BC91" s="5554">
        <f t="shared" si="120"/>
        <v>3146</v>
      </c>
      <c r="BD91" s="5554">
        <f t="shared" si="120"/>
        <v>2965</v>
      </c>
      <c r="BE91" s="5553">
        <f t="shared" si="120"/>
        <v>2953</v>
      </c>
      <c r="BF91" s="5554">
        <f t="shared" si="120"/>
        <v>2871</v>
      </c>
      <c r="BG91" s="5555">
        <f t="shared" si="120"/>
        <v>2602</v>
      </c>
      <c r="BH91" s="5554">
        <f t="shared" si="120"/>
        <v>2940</v>
      </c>
      <c r="BI91" s="5554">
        <f t="shared" si="120"/>
        <v>2909</v>
      </c>
      <c r="BJ91" s="5555">
        <f>SUM(BJ85:BJ90)</f>
        <v>3049</v>
      </c>
    </row>
    <row r="92" spans="1:62" s="161" customFormat="1" ht="12.9" customHeight="1" x14ac:dyDescent="0.25"/>
    <row r="93" spans="1:62" x14ac:dyDescent="0.25">
      <c r="B93" s="1452"/>
      <c r="C93" s="1332"/>
      <c r="D93" s="1332"/>
      <c r="E93" s="1332"/>
      <c r="F93" s="1332"/>
      <c r="G93" s="1332"/>
      <c r="H93" s="1332"/>
      <c r="I93" s="1332"/>
      <c r="J93" s="1332"/>
      <c r="K93" s="1332"/>
      <c r="L93" s="1332"/>
      <c r="M93" s="1332"/>
      <c r="N93" s="1332"/>
      <c r="O93" s="1332"/>
      <c r="P93" s="1332"/>
      <c r="Q93" s="1332"/>
      <c r="R93" s="1332"/>
      <c r="S93" s="1332"/>
      <c r="T93" s="1332"/>
      <c r="U93" s="1332"/>
      <c r="V93" s="1332"/>
      <c r="W93" s="1332"/>
      <c r="X93" s="1332"/>
      <c r="Y93" s="1332"/>
      <c r="Z93" s="1332"/>
      <c r="AA93" s="1332"/>
      <c r="AB93" s="1332"/>
      <c r="AC93" s="1332"/>
      <c r="AD93" s="1332"/>
      <c r="AE93" s="1332"/>
      <c r="AF93" s="1332"/>
      <c r="AG93" s="1332"/>
      <c r="AH93" s="1332"/>
      <c r="AI93" s="1332"/>
      <c r="AJ93" s="1332"/>
      <c r="AK93" s="1332"/>
      <c r="AL93" s="1332"/>
      <c r="AM93" s="1332"/>
      <c r="AN93" s="1332"/>
      <c r="AO93" s="1332"/>
    </row>
    <row r="94" spans="1:62" x14ac:dyDescent="0.25">
      <c r="F94" s="1384"/>
      <c r="G94" s="1384"/>
      <c r="H94" s="1384"/>
      <c r="I94" s="1384"/>
      <c r="J94" s="1384"/>
      <c r="K94" s="1384"/>
      <c r="L94" s="1385"/>
      <c r="M94" s="1384"/>
      <c r="N94" s="1384"/>
      <c r="O94" s="1384"/>
      <c r="P94" s="1385"/>
      <c r="Q94" s="1384"/>
      <c r="R94" s="1384"/>
      <c r="S94" s="1384"/>
      <c r="T94" s="1385"/>
      <c r="U94" s="1384"/>
      <c r="V94" s="1384"/>
      <c r="W94" s="1385"/>
    </row>
    <row r="95" spans="1:62" x14ac:dyDescent="0.25">
      <c r="F95" s="146"/>
      <c r="G95" s="146"/>
      <c r="H95" s="146"/>
      <c r="I95" s="146"/>
      <c r="J95" s="146"/>
      <c r="K95" s="146"/>
      <c r="L95" s="146"/>
      <c r="M95" s="146"/>
      <c r="N95" s="146"/>
      <c r="O95" s="146"/>
      <c r="P95" s="146"/>
      <c r="Q95" s="146"/>
      <c r="R95" s="146"/>
      <c r="U95" s="146"/>
    </row>
    <row r="97" spans="40:41" x14ac:dyDescent="0.25">
      <c r="AN97" s="1386">
        <v>2003</v>
      </c>
    </row>
    <row r="98" spans="40:41" x14ac:dyDescent="0.25">
      <c r="AN98" s="1386">
        <v>2004</v>
      </c>
    </row>
    <row r="99" spans="40:41" x14ac:dyDescent="0.25">
      <c r="AN99" s="1386">
        <v>2005</v>
      </c>
    </row>
    <row r="100" spans="40:41" x14ac:dyDescent="0.25">
      <c r="AN100" s="1386">
        <v>2006</v>
      </c>
    </row>
    <row r="101" spans="40:41" x14ac:dyDescent="0.25">
      <c r="AN101" s="1386">
        <v>2007</v>
      </c>
    </row>
    <row r="102" spans="40:41" x14ac:dyDescent="0.25">
      <c r="AN102" s="1386">
        <v>2008</v>
      </c>
    </row>
    <row r="103" spans="40:41" x14ac:dyDescent="0.25">
      <c r="AN103" s="1386">
        <v>2009</v>
      </c>
    </row>
    <row r="104" spans="40:41" x14ac:dyDescent="0.25">
      <c r="AN104" s="1386">
        <v>2010</v>
      </c>
    </row>
    <row r="105" spans="40:41" x14ac:dyDescent="0.25">
      <c r="AN105" s="1386">
        <v>2011</v>
      </c>
    </row>
    <row r="106" spans="40:41" x14ac:dyDescent="0.25">
      <c r="AN106" s="1386">
        <v>2012</v>
      </c>
    </row>
    <row r="107" spans="40:41" x14ac:dyDescent="0.25">
      <c r="AN107" s="1386">
        <v>2013</v>
      </c>
    </row>
    <row r="108" spans="40:41" x14ac:dyDescent="0.25">
      <c r="AN108" s="1386">
        <v>2014</v>
      </c>
    </row>
    <row r="109" spans="40:41" x14ac:dyDescent="0.25">
      <c r="AN109" s="1386">
        <v>2015</v>
      </c>
    </row>
    <row r="110" spans="40:41" x14ac:dyDescent="0.25">
      <c r="AN110" s="1386">
        <v>2016</v>
      </c>
    </row>
    <row r="111" spans="40:41" x14ac:dyDescent="0.25">
      <c r="AN111" s="1386">
        <v>2017</v>
      </c>
      <c r="AO111" s="1453" t="s">
        <v>138</v>
      </c>
    </row>
    <row r="112" spans="40:41" x14ac:dyDescent="0.25">
      <c r="AN112" s="1386">
        <v>2018</v>
      </c>
      <c r="AO112" s="1453" t="s">
        <v>134</v>
      </c>
    </row>
    <row r="113" spans="40:41" x14ac:dyDescent="0.25">
      <c r="AN113" s="1386">
        <v>2019</v>
      </c>
      <c r="AO113" s="1453" t="s">
        <v>135</v>
      </c>
    </row>
    <row r="114" spans="40:41" x14ac:dyDescent="0.25">
      <c r="AN114" s="1386">
        <v>2020</v>
      </c>
      <c r="AO114" s="1453" t="s">
        <v>136</v>
      </c>
    </row>
    <row r="115" spans="40:41" x14ac:dyDescent="0.25">
      <c r="AN115" s="1386">
        <v>2021</v>
      </c>
      <c r="AO115" s="1453" t="s">
        <v>137</v>
      </c>
    </row>
    <row r="116" spans="40:41" x14ac:dyDescent="0.25">
      <c r="AN116" s="1386">
        <v>2022</v>
      </c>
    </row>
  </sheetData>
  <mergeCells count="21">
    <mergeCell ref="AS3:AU3"/>
    <mergeCell ref="AV3:AX3"/>
    <mergeCell ref="AY3:BA3"/>
    <mergeCell ref="BE3:BG3"/>
    <mergeCell ref="BB3:BD3"/>
    <mergeCell ref="BH3:BJ3"/>
    <mergeCell ref="AJ3:AL3"/>
    <mergeCell ref="AM3:AO3"/>
    <mergeCell ref="AG3:AI3"/>
    <mergeCell ref="B3:B4"/>
    <mergeCell ref="C3:E3"/>
    <mergeCell ref="F3:H3"/>
    <mergeCell ref="I3:K3"/>
    <mergeCell ref="L3:N3"/>
    <mergeCell ref="O3:Q3"/>
    <mergeCell ref="R3:T3"/>
    <mergeCell ref="U3:W3"/>
    <mergeCell ref="X3:Z3"/>
    <mergeCell ref="AA3:AC3"/>
    <mergeCell ref="AD3:AF3"/>
    <mergeCell ref="AP3:AR3"/>
  </mergeCells>
  <printOptions horizontalCentered="1" verticalCentered="1"/>
  <pageMargins left="0.39370078740157483" right="0.39370078740157483" top="0.31496062992125984" bottom="0.39370078740157483" header="0.43307086614173229" footer="0.31496062992125984"/>
  <pageSetup scale="60" firstPageNumber="63" pageOrder="overThenDown" orientation="portrait" useFirstPageNumber="1" r:id="rId1"/>
  <headerFooter scaleWithDoc="0" alignWithMargins="0">
    <oddFooter>&amp;R&amp;P</oddFooter>
  </headerFooter>
  <rowBreaks count="1" manualBreakCount="1">
    <brk id="92" min="47" max="61" man="1"/>
  </rowBreaks>
  <colBreaks count="1" manualBreakCount="1">
    <brk id="20" max="109" man="1"/>
  </colBreaks>
  <ignoredErrors>
    <ignoredError sqref="C7:BF18 C21:BG21 AM63:BG73 BG7:BG16 AH41:BG50 AP33:BG33 BH7:BI16 BH41:BI50 BH63:BI72 BH33:BI33 BJ7:BJ16 BJ33:BJ50 BJ63:BJ67 BJ69:BJ72" formulaRange="1"/>
  </ignoredError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7A519"/>
  </sheetPr>
  <dimension ref="B1:W166"/>
  <sheetViews>
    <sheetView showGridLines="0" zoomScaleNormal="100" workbookViewId="0">
      <pane xSplit="3" ySplit="3" topLeftCell="N4" activePane="bottomRight" state="frozen"/>
      <selection activeCell="Q31" sqref="Q31"/>
      <selection pane="topRight" activeCell="Q31" sqref="Q31"/>
      <selection pane="bottomLeft" activeCell="Q31" sqref="Q31"/>
      <selection pane="bottomRight" activeCell="Q31" sqref="Q31"/>
    </sheetView>
  </sheetViews>
  <sheetFormatPr baseColWidth="10" defaultColWidth="1.5546875" defaultRowHeight="13.2" x14ac:dyDescent="0.25"/>
  <cols>
    <col min="1" max="1" width="2.88671875" style="25" customWidth="1"/>
    <col min="2" max="2" width="15.88671875" style="25" customWidth="1"/>
    <col min="3" max="3" width="83" style="25" bestFit="1" customWidth="1"/>
    <col min="4" max="33" width="9.88671875" style="25" customWidth="1"/>
    <col min="34" max="256" width="11.44140625" style="25" customWidth="1"/>
    <col min="257" max="257" width="1.5546875" style="25"/>
    <col min="258" max="258" width="16.5546875" style="25" bestFit="1" customWidth="1"/>
    <col min="259" max="259" width="11.109375" style="25" customWidth="1"/>
    <col min="260" max="260" width="77" style="25" customWidth="1"/>
    <col min="261" max="268" width="8.88671875" style="25" customWidth="1"/>
    <col min="269" max="512" width="11.44140625" style="25" customWidth="1"/>
    <col min="513" max="513" width="1.5546875" style="25"/>
    <col min="514" max="514" width="16.5546875" style="25" bestFit="1" customWidth="1"/>
    <col min="515" max="515" width="11.109375" style="25" customWidth="1"/>
    <col min="516" max="516" width="77" style="25" customWidth="1"/>
    <col min="517" max="524" width="8.88671875" style="25" customWidth="1"/>
    <col min="525" max="768" width="11.44140625" style="25" customWidth="1"/>
    <col min="769" max="769" width="1.5546875" style="25"/>
    <col min="770" max="770" width="16.5546875" style="25" bestFit="1" customWidth="1"/>
    <col min="771" max="771" width="11.109375" style="25" customWidth="1"/>
    <col min="772" max="772" width="77" style="25" customWidth="1"/>
    <col min="773" max="780" width="8.88671875" style="25" customWidth="1"/>
    <col min="781" max="1024" width="11.44140625" style="25" customWidth="1"/>
    <col min="1025" max="1025" width="1.5546875" style="25"/>
    <col min="1026" max="1026" width="16.5546875" style="25" bestFit="1" customWidth="1"/>
    <col min="1027" max="1027" width="11.109375" style="25" customWidth="1"/>
    <col min="1028" max="1028" width="77" style="25" customWidth="1"/>
    <col min="1029" max="1036" width="8.88671875" style="25" customWidth="1"/>
    <col min="1037" max="1280" width="11.44140625" style="25" customWidth="1"/>
    <col min="1281" max="1281" width="1.5546875" style="25"/>
    <col min="1282" max="1282" width="16.5546875" style="25" bestFit="1" customWidth="1"/>
    <col min="1283" max="1283" width="11.109375" style="25" customWidth="1"/>
    <col min="1284" max="1284" width="77" style="25" customWidth="1"/>
    <col min="1285" max="1292" width="8.88671875" style="25" customWidth="1"/>
    <col min="1293" max="1536" width="11.44140625" style="25" customWidth="1"/>
    <col min="1537" max="1537" width="1.5546875" style="25"/>
    <col min="1538" max="1538" width="16.5546875" style="25" bestFit="1" customWidth="1"/>
    <col min="1539" max="1539" width="11.109375" style="25" customWidth="1"/>
    <col min="1540" max="1540" width="77" style="25" customWidth="1"/>
    <col min="1541" max="1548" width="8.88671875" style="25" customWidth="1"/>
    <col min="1549" max="1792" width="11.44140625" style="25" customWidth="1"/>
    <col min="1793" max="1793" width="1.5546875" style="25"/>
    <col min="1794" max="1794" width="16.5546875" style="25" bestFit="1" customWidth="1"/>
    <col min="1795" max="1795" width="11.109375" style="25" customWidth="1"/>
    <col min="1796" max="1796" width="77" style="25" customWidth="1"/>
    <col min="1797" max="1804" width="8.88671875" style="25" customWidth="1"/>
    <col min="1805" max="2048" width="11.44140625" style="25" customWidth="1"/>
    <col min="2049" max="2049" width="1.5546875" style="25"/>
    <col min="2050" max="2050" width="16.5546875" style="25" bestFit="1" customWidth="1"/>
    <col min="2051" max="2051" width="11.109375" style="25" customWidth="1"/>
    <col min="2052" max="2052" width="77" style="25" customWidth="1"/>
    <col min="2053" max="2060" width="8.88671875" style="25" customWidth="1"/>
    <col min="2061" max="2304" width="11.44140625" style="25" customWidth="1"/>
    <col min="2305" max="2305" width="1.5546875" style="25"/>
    <col min="2306" max="2306" width="16.5546875" style="25" bestFit="1" customWidth="1"/>
    <col min="2307" max="2307" width="11.109375" style="25" customWidth="1"/>
    <col min="2308" max="2308" width="77" style="25" customWidth="1"/>
    <col min="2309" max="2316" width="8.88671875" style="25" customWidth="1"/>
    <col min="2317" max="2560" width="11.44140625" style="25" customWidth="1"/>
    <col min="2561" max="2561" width="1.5546875" style="25"/>
    <col min="2562" max="2562" width="16.5546875" style="25" bestFit="1" customWidth="1"/>
    <col min="2563" max="2563" width="11.109375" style="25" customWidth="1"/>
    <col min="2564" max="2564" width="77" style="25" customWidth="1"/>
    <col min="2565" max="2572" width="8.88671875" style="25" customWidth="1"/>
    <col min="2573" max="2816" width="11.44140625" style="25" customWidth="1"/>
    <col min="2817" max="2817" width="1.5546875" style="25"/>
    <col min="2818" max="2818" width="16.5546875" style="25" bestFit="1" customWidth="1"/>
    <col min="2819" max="2819" width="11.109375" style="25" customWidth="1"/>
    <col min="2820" max="2820" width="77" style="25" customWidth="1"/>
    <col min="2821" max="2828" width="8.88671875" style="25" customWidth="1"/>
    <col min="2829" max="3072" width="11.44140625" style="25" customWidth="1"/>
    <col min="3073" max="3073" width="1.5546875" style="25"/>
    <col min="3074" max="3074" width="16.5546875" style="25" bestFit="1" customWidth="1"/>
    <col min="3075" max="3075" width="11.109375" style="25" customWidth="1"/>
    <col min="3076" max="3076" width="77" style="25" customWidth="1"/>
    <col min="3077" max="3084" width="8.88671875" style="25" customWidth="1"/>
    <col min="3085" max="3328" width="11.44140625" style="25" customWidth="1"/>
    <col min="3329" max="3329" width="1.5546875" style="25"/>
    <col min="3330" max="3330" width="16.5546875" style="25" bestFit="1" customWidth="1"/>
    <col min="3331" max="3331" width="11.109375" style="25" customWidth="1"/>
    <col min="3332" max="3332" width="77" style="25" customWidth="1"/>
    <col min="3333" max="3340" width="8.88671875" style="25" customWidth="1"/>
    <col min="3341" max="3584" width="11.44140625" style="25" customWidth="1"/>
    <col min="3585" max="3585" width="1.5546875" style="25"/>
    <col min="3586" max="3586" width="16.5546875" style="25" bestFit="1" customWidth="1"/>
    <col min="3587" max="3587" width="11.109375" style="25" customWidth="1"/>
    <col min="3588" max="3588" width="77" style="25" customWidth="1"/>
    <col min="3589" max="3596" width="8.88671875" style="25" customWidth="1"/>
    <col min="3597" max="3840" width="11.44140625" style="25" customWidth="1"/>
    <col min="3841" max="3841" width="1.5546875" style="25"/>
    <col min="3842" max="3842" width="16.5546875" style="25" bestFit="1" customWidth="1"/>
    <col min="3843" max="3843" width="11.109375" style="25" customWidth="1"/>
    <col min="3844" max="3844" width="77" style="25" customWidth="1"/>
    <col min="3845" max="3852" width="8.88671875" style="25" customWidth="1"/>
    <col min="3853" max="4096" width="11.44140625" style="25" customWidth="1"/>
    <col min="4097" max="4097" width="1.5546875" style="25"/>
    <col min="4098" max="4098" width="16.5546875" style="25" bestFit="1" customWidth="1"/>
    <col min="4099" max="4099" width="11.109375" style="25" customWidth="1"/>
    <col min="4100" max="4100" width="77" style="25" customWidth="1"/>
    <col min="4101" max="4108" width="8.88671875" style="25" customWidth="1"/>
    <col min="4109" max="4352" width="11.44140625" style="25" customWidth="1"/>
    <col min="4353" max="4353" width="1.5546875" style="25"/>
    <col min="4354" max="4354" width="16.5546875" style="25" bestFit="1" customWidth="1"/>
    <col min="4355" max="4355" width="11.109375" style="25" customWidth="1"/>
    <col min="4356" max="4356" width="77" style="25" customWidth="1"/>
    <col min="4357" max="4364" width="8.88671875" style="25" customWidth="1"/>
    <col min="4365" max="4608" width="11.44140625" style="25" customWidth="1"/>
    <col min="4609" max="4609" width="1.5546875" style="25"/>
    <col min="4610" max="4610" width="16.5546875" style="25" bestFit="1" customWidth="1"/>
    <col min="4611" max="4611" width="11.109375" style="25" customWidth="1"/>
    <col min="4612" max="4612" width="77" style="25" customWidth="1"/>
    <col min="4613" max="4620" width="8.88671875" style="25" customWidth="1"/>
    <col min="4621" max="4864" width="11.44140625" style="25" customWidth="1"/>
    <col min="4865" max="4865" width="1.5546875" style="25"/>
    <col min="4866" max="4866" width="16.5546875" style="25" bestFit="1" customWidth="1"/>
    <col min="4867" max="4867" width="11.109375" style="25" customWidth="1"/>
    <col min="4868" max="4868" width="77" style="25" customWidth="1"/>
    <col min="4869" max="4876" width="8.88671875" style="25" customWidth="1"/>
    <col min="4877" max="5120" width="11.44140625" style="25" customWidth="1"/>
    <col min="5121" max="5121" width="1.5546875" style="25"/>
    <col min="5122" max="5122" width="16.5546875" style="25" bestFit="1" customWidth="1"/>
    <col min="5123" max="5123" width="11.109375" style="25" customWidth="1"/>
    <col min="5124" max="5124" width="77" style="25" customWidth="1"/>
    <col min="5125" max="5132" width="8.88671875" style="25" customWidth="1"/>
    <col min="5133" max="5376" width="11.44140625" style="25" customWidth="1"/>
    <col min="5377" max="5377" width="1.5546875" style="25"/>
    <col min="5378" max="5378" width="16.5546875" style="25" bestFit="1" customWidth="1"/>
    <col min="5379" max="5379" width="11.109375" style="25" customWidth="1"/>
    <col min="5380" max="5380" width="77" style="25" customWidth="1"/>
    <col min="5381" max="5388" width="8.88671875" style="25" customWidth="1"/>
    <col min="5389" max="5632" width="11.44140625" style="25" customWidth="1"/>
    <col min="5633" max="5633" width="1.5546875" style="25"/>
    <col min="5634" max="5634" width="16.5546875" style="25" bestFit="1" customWidth="1"/>
    <col min="5635" max="5635" width="11.109375" style="25" customWidth="1"/>
    <col min="5636" max="5636" width="77" style="25" customWidth="1"/>
    <col min="5637" max="5644" width="8.88671875" style="25" customWidth="1"/>
    <col min="5645" max="5888" width="11.44140625" style="25" customWidth="1"/>
    <col min="5889" max="5889" width="1.5546875" style="25"/>
    <col min="5890" max="5890" width="16.5546875" style="25" bestFit="1" customWidth="1"/>
    <col min="5891" max="5891" width="11.109375" style="25" customWidth="1"/>
    <col min="5892" max="5892" width="77" style="25" customWidth="1"/>
    <col min="5893" max="5900" width="8.88671875" style="25" customWidth="1"/>
    <col min="5901" max="6144" width="11.44140625" style="25" customWidth="1"/>
    <col min="6145" max="6145" width="1.5546875" style="25"/>
    <col min="6146" max="6146" width="16.5546875" style="25" bestFit="1" customWidth="1"/>
    <col min="6147" max="6147" width="11.109375" style="25" customWidth="1"/>
    <col min="6148" max="6148" width="77" style="25" customWidth="1"/>
    <col min="6149" max="6156" width="8.88671875" style="25" customWidth="1"/>
    <col min="6157" max="6400" width="11.44140625" style="25" customWidth="1"/>
    <col min="6401" max="6401" width="1.5546875" style="25"/>
    <col min="6402" max="6402" width="16.5546875" style="25" bestFit="1" customWidth="1"/>
    <col min="6403" max="6403" width="11.109375" style="25" customWidth="1"/>
    <col min="6404" max="6404" width="77" style="25" customWidth="1"/>
    <col min="6405" max="6412" width="8.88671875" style="25" customWidth="1"/>
    <col min="6413" max="6656" width="11.44140625" style="25" customWidth="1"/>
    <col min="6657" max="6657" width="1.5546875" style="25"/>
    <col min="6658" max="6658" width="16.5546875" style="25" bestFit="1" customWidth="1"/>
    <col min="6659" max="6659" width="11.109375" style="25" customWidth="1"/>
    <col min="6660" max="6660" width="77" style="25" customWidth="1"/>
    <col min="6661" max="6668" width="8.88671875" style="25" customWidth="1"/>
    <col min="6669" max="6912" width="11.44140625" style="25" customWidth="1"/>
    <col min="6913" max="6913" width="1.5546875" style="25"/>
    <col min="6914" max="6914" width="16.5546875" style="25" bestFit="1" customWidth="1"/>
    <col min="6915" max="6915" width="11.109375" style="25" customWidth="1"/>
    <col min="6916" max="6916" width="77" style="25" customWidth="1"/>
    <col min="6917" max="6924" width="8.88671875" style="25" customWidth="1"/>
    <col min="6925" max="7168" width="11.44140625" style="25" customWidth="1"/>
    <col min="7169" max="7169" width="1.5546875" style="25"/>
    <col min="7170" max="7170" width="16.5546875" style="25" bestFit="1" customWidth="1"/>
    <col min="7171" max="7171" width="11.109375" style="25" customWidth="1"/>
    <col min="7172" max="7172" width="77" style="25" customWidth="1"/>
    <col min="7173" max="7180" width="8.88671875" style="25" customWidth="1"/>
    <col min="7181" max="7424" width="11.44140625" style="25" customWidth="1"/>
    <col min="7425" max="7425" width="1.5546875" style="25"/>
    <col min="7426" max="7426" width="16.5546875" style="25" bestFit="1" customWidth="1"/>
    <col min="7427" max="7427" width="11.109375" style="25" customWidth="1"/>
    <col min="7428" max="7428" width="77" style="25" customWidth="1"/>
    <col min="7429" max="7436" width="8.88671875" style="25" customWidth="1"/>
    <col min="7437" max="7680" width="11.44140625" style="25" customWidth="1"/>
    <col min="7681" max="7681" width="1.5546875" style="25"/>
    <col min="7682" max="7682" width="16.5546875" style="25" bestFit="1" customWidth="1"/>
    <col min="7683" max="7683" width="11.109375" style="25" customWidth="1"/>
    <col min="7684" max="7684" width="77" style="25" customWidth="1"/>
    <col min="7685" max="7692" width="8.88671875" style="25" customWidth="1"/>
    <col min="7693" max="7936" width="11.44140625" style="25" customWidth="1"/>
    <col min="7937" max="7937" width="1.5546875" style="25"/>
    <col min="7938" max="7938" width="16.5546875" style="25" bestFit="1" customWidth="1"/>
    <col min="7939" max="7939" width="11.109375" style="25" customWidth="1"/>
    <col min="7940" max="7940" width="77" style="25" customWidth="1"/>
    <col min="7941" max="7948" width="8.88671875" style="25" customWidth="1"/>
    <col min="7949" max="8192" width="11.44140625" style="25" customWidth="1"/>
    <col min="8193" max="8193" width="1.5546875" style="25"/>
    <col min="8194" max="8194" width="16.5546875" style="25" bestFit="1" customWidth="1"/>
    <col min="8195" max="8195" width="11.109375" style="25" customWidth="1"/>
    <col min="8196" max="8196" width="77" style="25" customWidth="1"/>
    <col min="8197" max="8204" width="8.88671875" style="25" customWidth="1"/>
    <col min="8205" max="8448" width="11.44140625" style="25" customWidth="1"/>
    <col min="8449" max="8449" width="1.5546875" style="25"/>
    <col min="8450" max="8450" width="16.5546875" style="25" bestFit="1" customWidth="1"/>
    <col min="8451" max="8451" width="11.109375" style="25" customWidth="1"/>
    <col min="8452" max="8452" width="77" style="25" customWidth="1"/>
    <col min="8453" max="8460" width="8.88671875" style="25" customWidth="1"/>
    <col min="8461" max="8704" width="11.44140625" style="25" customWidth="1"/>
    <col min="8705" max="8705" width="1.5546875" style="25"/>
    <col min="8706" max="8706" width="16.5546875" style="25" bestFit="1" customWidth="1"/>
    <col min="8707" max="8707" width="11.109375" style="25" customWidth="1"/>
    <col min="8708" max="8708" width="77" style="25" customWidth="1"/>
    <col min="8709" max="8716" width="8.88671875" style="25" customWidth="1"/>
    <col min="8717" max="8960" width="11.44140625" style="25" customWidth="1"/>
    <col min="8961" max="8961" width="1.5546875" style="25"/>
    <col min="8962" max="8962" width="16.5546875" style="25" bestFit="1" customWidth="1"/>
    <col min="8963" max="8963" width="11.109375" style="25" customWidth="1"/>
    <col min="8964" max="8964" width="77" style="25" customWidth="1"/>
    <col min="8965" max="8972" width="8.88671875" style="25" customWidth="1"/>
    <col min="8973" max="9216" width="11.44140625" style="25" customWidth="1"/>
    <col min="9217" max="9217" width="1.5546875" style="25"/>
    <col min="9218" max="9218" width="16.5546875" style="25" bestFit="1" customWidth="1"/>
    <col min="9219" max="9219" width="11.109375" style="25" customWidth="1"/>
    <col min="9220" max="9220" width="77" style="25" customWidth="1"/>
    <col min="9221" max="9228" width="8.88671875" style="25" customWidth="1"/>
    <col min="9229" max="9472" width="11.44140625" style="25" customWidth="1"/>
    <col min="9473" max="9473" width="1.5546875" style="25"/>
    <col min="9474" max="9474" width="16.5546875" style="25" bestFit="1" customWidth="1"/>
    <col min="9475" max="9475" width="11.109375" style="25" customWidth="1"/>
    <col min="9476" max="9476" width="77" style="25" customWidth="1"/>
    <col min="9477" max="9484" width="8.88671875" style="25" customWidth="1"/>
    <col min="9485" max="9728" width="11.44140625" style="25" customWidth="1"/>
    <col min="9729" max="9729" width="1.5546875" style="25"/>
    <col min="9730" max="9730" width="16.5546875" style="25" bestFit="1" customWidth="1"/>
    <col min="9731" max="9731" width="11.109375" style="25" customWidth="1"/>
    <col min="9732" max="9732" width="77" style="25" customWidth="1"/>
    <col min="9733" max="9740" width="8.88671875" style="25" customWidth="1"/>
    <col min="9741" max="9984" width="11.44140625" style="25" customWidth="1"/>
    <col min="9985" max="9985" width="1.5546875" style="25"/>
    <col min="9986" max="9986" width="16.5546875" style="25" bestFit="1" customWidth="1"/>
    <col min="9987" max="9987" width="11.109375" style="25" customWidth="1"/>
    <col min="9988" max="9988" width="77" style="25" customWidth="1"/>
    <col min="9989" max="9996" width="8.88671875" style="25" customWidth="1"/>
    <col min="9997" max="10240" width="11.44140625" style="25" customWidth="1"/>
    <col min="10241" max="10241" width="1.5546875" style="25"/>
    <col min="10242" max="10242" width="16.5546875" style="25" bestFit="1" customWidth="1"/>
    <col min="10243" max="10243" width="11.109375" style="25" customWidth="1"/>
    <col min="10244" max="10244" width="77" style="25" customWidth="1"/>
    <col min="10245" max="10252" width="8.88671875" style="25" customWidth="1"/>
    <col min="10253" max="10496" width="11.44140625" style="25" customWidth="1"/>
    <col min="10497" max="10497" width="1.5546875" style="25"/>
    <col min="10498" max="10498" width="16.5546875" style="25" bestFit="1" customWidth="1"/>
    <col min="10499" max="10499" width="11.109375" style="25" customWidth="1"/>
    <col min="10500" max="10500" width="77" style="25" customWidth="1"/>
    <col min="10501" max="10508" width="8.88671875" style="25" customWidth="1"/>
    <col min="10509" max="10752" width="11.44140625" style="25" customWidth="1"/>
    <col min="10753" max="10753" width="1.5546875" style="25"/>
    <col min="10754" max="10754" width="16.5546875" style="25" bestFit="1" customWidth="1"/>
    <col min="10755" max="10755" width="11.109375" style="25" customWidth="1"/>
    <col min="10756" max="10756" width="77" style="25" customWidth="1"/>
    <col min="10757" max="10764" width="8.88671875" style="25" customWidth="1"/>
    <col min="10765" max="11008" width="11.44140625" style="25" customWidth="1"/>
    <col min="11009" max="11009" width="1.5546875" style="25"/>
    <col min="11010" max="11010" width="16.5546875" style="25" bestFit="1" customWidth="1"/>
    <col min="11011" max="11011" width="11.109375" style="25" customWidth="1"/>
    <col min="11012" max="11012" width="77" style="25" customWidth="1"/>
    <col min="11013" max="11020" width="8.88671875" style="25" customWidth="1"/>
    <col min="11021" max="11264" width="11.44140625" style="25" customWidth="1"/>
    <col min="11265" max="11265" width="1.5546875" style="25"/>
    <col min="11266" max="11266" width="16.5546875" style="25" bestFit="1" customWidth="1"/>
    <col min="11267" max="11267" width="11.109375" style="25" customWidth="1"/>
    <col min="11268" max="11268" width="77" style="25" customWidth="1"/>
    <col min="11269" max="11276" width="8.88671875" style="25" customWidth="1"/>
    <col min="11277" max="11520" width="11.44140625" style="25" customWidth="1"/>
    <col min="11521" max="11521" width="1.5546875" style="25"/>
    <col min="11522" max="11522" width="16.5546875" style="25" bestFit="1" customWidth="1"/>
    <col min="11523" max="11523" width="11.109375" style="25" customWidth="1"/>
    <col min="11524" max="11524" width="77" style="25" customWidth="1"/>
    <col min="11525" max="11532" width="8.88671875" style="25" customWidth="1"/>
    <col min="11533" max="11776" width="11.44140625" style="25" customWidth="1"/>
    <col min="11777" max="11777" width="1.5546875" style="25"/>
    <col min="11778" max="11778" width="16.5546875" style="25" bestFit="1" customWidth="1"/>
    <col min="11779" max="11779" width="11.109375" style="25" customWidth="1"/>
    <col min="11780" max="11780" width="77" style="25" customWidth="1"/>
    <col min="11781" max="11788" width="8.88671875" style="25" customWidth="1"/>
    <col min="11789" max="12032" width="11.44140625" style="25" customWidth="1"/>
    <col min="12033" max="12033" width="1.5546875" style="25"/>
    <col min="12034" max="12034" width="16.5546875" style="25" bestFit="1" customWidth="1"/>
    <col min="12035" max="12035" width="11.109375" style="25" customWidth="1"/>
    <col min="12036" max="12036" width="77" style="25" customWidth="1"/>
    <col min="12037" max="12044" width="8.88671875" style="25" customWidth="1"/>
    <col min="12045" max="12288" width="11.44140625" style="25" customWidth="1"/>
    <col min="12289" max="12289" width="1.5546875" style="25"/>
    <col min="12290" max="12290" width="16.5546875" style="25" bestFit="1" customWidth="1"/>
    <col min="12291" max="12291" width="11.109375" style="25" customWidth="1"/>
    <col min="12292" max="12292" width="77" style="25" customWidth="1"/>
    <col min="12293" max="12300" width="8.88671875" style="25" customWidth="1"/>
    <col min="12301" max="12544" width="11.44140625" style="25" customWidth="1"/>
    <col min="12545" max="12545" width="1.5546875" style="25"/>
    <col min="12546" max="12546" width="16.5546875" style="25" bestFit="1" customWidth="1"/>
    <col min="12547" max="12547" width="11.109375" style="25" customWidth="1"/>
    <col min="12548" max="12548" width="77" style="25" customWidth="1"/>
    <col min="12549" max="12556" width="8.88671875" style="25" customWidth="1"/>
    <col min="12557" max="12800" width="11.44140625" style="25" customWidth="1"/>
    <col min="12801" max="12801" width="1.5546875" style="25"/>
    <col min="12802" max="12802" width="16.5546875" style="25" bestFit="1" customWidth="1"/>
    <col min="12803" max="12803" width="11.109375" style="25" customWidth="1"/>
    <col min="12804" max="12804" width="77" style="25" customWidth="1"/>
    <col min="12805" max="12812" width="8.88671875" style="25" customWidth="1"/>
    <col min="12813" max="13056" width="11.44140625" style="25" customWidth="1"/>
    <col min="13057" max="13057" width="1.5546875" style="25"/>
    <col min="13058" max="13058" width="16.5546875" style="25" bestFit="1" customWidth="1"/>
    <col min="13059" max="13059" width="11.109375" style="25" customWidth="1"/>
    <col min="13060" max="13060" width="77" style="25" customWidth="1"/>
    <col min="13061" max="13068" width="8.88671875" style="25" customWidth="1"/>
    <col min="13069" max="13312" width="11.44140625" style="25" customWidth="1"/>
    <col min="13313" max="13313" width="1.5546875" style="25"/>
    <col min="13314" max="13314" width="16.5546875" style="25" bestFit="1" customWidth="1"/>
    <col min="13315" max="13315" width="11.109375" style="25" customWidth="1"/>
    <col min="13316" max="13316" width="77" style="25" customWidth="1"/>
    <col min="13317" max="13324" width="8.88671875" style="25" customWidth="1"/>
    <col min="13325" max="13568" width="11.44140625" style="25" customWidth="1"/>
    <col min="13569" max="13569" width="1.5546875" style="25"/>
    <col min="13570" max="13570" width="16.5546875" style="25" bestFit="1" customWidth="1"/>
    <col min="13571" max="13571" width="11.109375" style="25" customWidth="1"/>
    <col min="13572" max="13572" width="77" style="25" customWidth="1"/>
    <col min="13573" max="13580" width="8.88671875" style="25" customWidth="1"/>
    <col min="13581" max="13824" width="11.44140625" style="25" customWidth="1"/>
    <col min="13825" max="13825" width="1.5546875" style="25"/>
    <col min="13826" max="13826" width="16.5546875" style="25" bestFit="1" customWidth="1"/>
    <col min="13827" max="13827" width="11.109375" style="25" customWidth="1"/>
    <col min="13828" max="13828" width="77" style="25" customWidth="1"/>
    <col min="13829" max="13836" width="8.88671875" style="25" customWidth="1"/>
    <col min="13837" max="14080" width="11.44140625" style="25" customWidth="1"/>
    <col min="14081" max="14081" width="1.5546875" style="25"/>
    <col min="14082" max="14082" width="16.5546875" style="25" bestFit="1" customWidth="1"/>
    <col min="14083" max="14083" width="11.109375" style="25" customWidth="1"/>
    <col min="14084" max="14084" width="77" style="25" customWidth="1"/>
    <col min="14085" max="14092" width="8.88671875" style="25" customWidth="1"/>
    <col min="14093" max="14336" width="11.44140625" style="25" customWidth="1"/>
    <col min="14337" max="14337" width="1.5546875" style="25"/>
    <col min="14338" max="14338" width="16.5546875" style="25" bestFit="1" customWidth="1"/>
    <col min="14339" max="14339" width="11.109375" style="25" customWidth="1"/>
    <col min="14340" max="14340" width="77" style="25" customWidth="1"/>
    <col min="14341" max="14348" width="8.88671875" style="25" customWidth="1"/>
    <col min="14349" max="14592" width="11.44140625" style="25" customWidth="1"/>
    <col min="14593" max="14593" width="1.5546875" style="25"/>
    <col min="14594" max="14594" width="16.5546875" style="25" bestFit="1" customWidth="1"/>
    <col min="14595" max="14595" width="11.109375" style="25" customWidth="1"/>
    <col min="14596" max="14596" width="77" style="25" customWidth="1"/>
    <col min="14597" max="14604" width="8.88671875" style="25" customWidth="1"/>
    <col min="14605" max="14848" width="11.44140625" style="25" customWidth="1"/>
    <col min="14849" max="14849" width="1.5546875" style="25"/>
    <col min="14850" max="14850" width="16.5546875" style="25" bestFit="1" customWidth="1"/>
    <col min="14851" max="14851" width="11.109375" style="25" customWidth="1"/>
    <col min="14852" max="14852" width="77" style="25" customWidth="1"/>
    <col min="14853" max="14860" width="8.88671875" style="25" customWidth="1"/>
    <col min="14861" max="15104" width="11.44140625" style="25" customWidth="1"/>
    <col min="15105" max="15105" width="1.5546875" style="25"/>
    <col min="15106" max="15106" width="16.5546875" style="25" bestFit="1" customWidth="1"/>
    <col min="15107" max="15107" width="11.109375" style="25" customWidth="1"/>
    <col min="15108" max="15108" width="77" style="25" customWidth="1"/>
    <col min="15109" max="15116" width="8.88671875" style="25" customWidth="1"/>
    <col min="15117" max="15360" width="11.44140625" style="25" customWidth="1"/>
    <col min="15361" max="15361" width="1.5546875" style="25"/>
    <col min="15362" max="15362" width="16.5546875" style="25" bestFit="1" customWidth="1"/>
    <col min="15363" max="15363" width="11.109375" style="25" customWidth="1"/>
    <col min="15364" max="15364" width="77" style="25" customWidth="1"/>
    <col min="15365" max="15372" width="8.88671875" style="25" customWidth="1"/>
    <col min="15373" max="15616" width="11.44140625" style="25" customWidth="1"/>
    <col min="15617" max="15617" width="1.5546875" style="25"/>
    <col min="15618" max="15618" width="16.5546875" style="25" bestFit="1" customWidth="1"/>
    <col min="15619" max="15619" width="11.109375" style="25" customWidth="1"/>
    <col min="15620" max="15620" width="77" style="25" customWidth="1"/>
    <col min="15621" max="15628" width="8.88671875" style="25" customWidth="1"/>
    <col min="15629" max="15872" width="11.44140625" style="25" customWidth="1"/>
    <col min="15873" max="15873" width="1.5546875" style="25"/>
    <col min="15874" max="15874" width="16.5546875" style="25" bestFit="1" customWidth="1"/>
    <col min="15875" max="15875" width="11.109375" style="25" customWidth="1"/>
    <col min="15876" max="15876" width="77" style="25" customWidth="1"/>
    <col min="15877" max="15884" width="8.88671875" style="25" customWidth="1"/>
    <col min="15885" max="16128" width="11.44140625" style="25" customWidth="1"/>
    <col min="16129" max="16129" width="1.5546875" style="25"/>
    <col min="16130" max="16130" width="16.5546875" style="25" bestFit="1" customWidth="1"/>
    <col min="16131" max="16131" width="11.109375" style="25" customWidth="1"/>
    <col min="16132" max="16132" width="77" style="25" customWidth="1"/>
    <col min="16133" max="16140" width="8.88671875" style="25" customWidth="1"/>
    <col min="16141" max="16384" width="11.44140625" style="25" customWidth="1"/>
  </cols>
  <sheetData>
    <row r="1" spans="2:23" ht="16.8" x14ac:dyDescent="0.25">
      <c r="B1" s="161" t="s">
        <v>453</v>
      </c>
      <c r="C1" s="26"/>
      <c r="D1" s="1454"/>
      <c r="E1" s="1454"/>
      <c r="F1" s="1454"/>
      <c r="G1" s="1454"/>
      <c r="H1" s="1454"/>
      <c r="I1" s="1454"/>
      <c r="J1" s="1454"/>
      <c r="K1" s="1454"/>
    </row>
    <row r="2" spans="2:23" ht="15.75" customHeight="1" x14ac:dyDescent="0.25"/>
    <row r="3" spans="2:23" ht="27.75" customHeight="1" x14ac:dyDescent="0.25">
      <c r="B3" s="552" t="s">
        <v>432</v>
      </c>
      <c r="C3" s="552" t="s">
        <v>433</v>
      </c>
      <c r="D3" s="1455">
        <v>2003</v>
      </c>
      <c r="E3" s="1455">
        <v>2004</v>
      </c>
      <c r="F3" s="1455">
        <v>2005</v>
      </c>
      <c r="G3" s="1455">
        <v>2006</v>
      </c>
      <c r="H3" s="1455">
        <v>2007</v>
      </c>
      <c r="I3" s="1455">
        <v>2008</v>
      </c>
      <c r="J3" s="1455">
        <v>2009</v>
      </c>
      <c r="K3" s="1455">
        <v>2010</v>
      </c>
      <c r="L3" s="1455">
        <v>2011</v>
      </c>
      <c r="M3" s="1455">
        <v>2012</v>
      </c>
      <c r="N3" s="1455">
        <v>2013</v>
      </c>
      <c r="O3" s="1455">
        <v>2014</v>
      </c>
      <c r="P3" s="1455">
        <v>2015</v>
      </c>
      <c r="Q3" s="1455">
        <v>2016</v>
      </c>
      <c r="R3" s="1455">
        <v>2017</v>
      </c>
      <c r="S3" s="1455">
        <v>2018</v>
      </c>
      <c r="T3" s="1455">
        <v>2019</v>
      </c>
      <c r="U3" s="1455">
        <v>2020</v>
      </c>
      <c r="V3" s="1455">
        <v>2021</v>
      </c>
      <c r="W3" s="1455">
        <v>2022</v>
      </c>
    </row>
    <row r="4" spans="2:23" ht="14.25" customHeight="1" x14ac:dyDescent="0.3">
      <c r="B4" s="5837" t="s">
        <v>310</v>
      </c>
      <c r="C4" s="4977" t="s">
        <v>454</v>
      </c>
      <c r="D4" s="4978">
        <v>77</v>
      </c>
      <c r="E4" s="4979">
        <v>80</v>
      </c>
      <c r="F4" s="4979">
        <v>77</v>
      </c>
      <c r="G4" s="4979">
        <v>88</v>
      </c>
      <c r="H4" s="4979">
        <v>77</v>
      </c>
      <c r="I4" s="4979">
        <v>54</v>
      </c>
      <c r="J4" s="4979">
        <v>67</v>
      </c>
      <c r="K4" s="4979">
        <v>74</v>
      </c>
      <c r="L4" s="4979">
        <v>74</v>
      </c>
      <c r="M4" s="4979">
        <v>65</v>
      </c>
      <c r="N4" s="4979">
        <v>72</v>
      </c>
      <c r="O4" s="4979">
        <v>96</v>
      </c>
      <c r="P4" s="4979">
        <v>98</v>
      </c>
      <c r="Q4" s="4979">
        <v>110</v>
      </c>
      <c r="R4" s="4979">
        <v>19</v>
      </c>
      <c r="S4" s="4979"/>
      <c r="T4" s="4979"/>
      <c r="U4" s="4979"/>
      <c r="V4" s="4979"/>
      <c r="W4" s="4979">
        <v>61</v>
      </c>
    </row>
    <row r="5" spans="2:23" ht="14.25" customHeight="1" x14ac:dyDescent="0.3">
      <c r="B5" s="5838"/>
      <c r="C5" s="4980" t="s">
        <v>312</v>
      </c>
      <c r="D5" s="4978">
        <v>13</v>
      </c>
      <c r="E5" s="4979">
        <v>17</v>
      </c>
      <c r="F5" s="4979">
        <v>23</v>
      </c>
      <c r="G5" s="4979">
        <v>21</v>
      </c>
      <c r="H5" s="4979">
        <v>25</v>
      </c>
      <c r="I5" s="4979">
        <v>21</v>
      </c>
      <c r="J5" s="4979">
        <v>22</v>
      </c>
      <c r="K5" s="4979">
        <v>27</v>
      </c>
      <c r="L5" s="4979">
        <v>38</v>
      </c>
      <c r="M5" s="4979">
        <v>39</v>
      </c>
      <c r="N5" s="4979">
        <v>43</v>
      </c>
      <c r="O5" s="4979">
        <v>47</v>
      </c>
      <c r="P5" s="4979">
        <v>49</v>
      </c>
      <c r="Q5" s="4979">
        <v>54</v>
      </c>
      <c r="R5" s="4979">
        <v>58</v>
      </c>
      <c r="S5" s="4979">
        <v>58</v>
      </c>
      <c r="T5" s="4979">
        <v>50</v>
      </c>
      <c r="U5" s="4979">
        <v>41</v>
      </c>
      <c r="V5" s="4979">
        <v>38</v>
      </c>
      <c r="W5" s="4979">
        <v>30</v>
      </c>
    </row>
    <row r="6" spans="2:23" ht="14.25" customHeight="1" x14ac:dyDescent="0.3">
      <c r="B6" s="5838"/>
      <c r="C6" s="4981" t="s">
        <v>435</v>
      </c>
      <c r="D6" s="4982"/>
      <c r="E6" s="4983"/>
      <c r="F6" s="4983"/>
      <c r="G6" s="4983"/>
      <c r="H6" s="4983"/>
      <c r="I6" s="4983"/>
      <c r="J6" s="4983"/>
      <c r="K6" s="4983"/>
      <c r="L6" s="4983"/>
      <c r="M6" s="4983">
        <v>12</v>
      </c>
      <c r="N6" s="4983">
        <v>21</v>
      </c>
      <c r="O6" s="4983">
        <v>36</v>
      </c>
      <c r="P6" s="4983">
        <v>41</v>
      </c>
      <c r="Q6" s="4983">
        <v>45</v>
      </c>
      <c r="R6" s="4983">
        <v>46</v>
      </c>
      <c r="S6" s="4983">
        <v>43</v>
      </c>
      <c r="T6" s="4983">
        <v>41</v>
      </c>
      <c r="U6" s="4983">
        <v>29</v>
      </c>
      <c r="V6" s="4983">
        <v>25</v>
      </c>
      <c r="W6" s="4983">
        <v>19</v>
      </c>
    </row>
    <row r="7" spans="2:23" ht="14.25" customHeight="1" x14ac:dyDescent="0.3">
      <c r="B7" s="5838"/>
      <c r="C7" s="4981" t="s">
        <v>436</v>
      </c>
      <c r="D7" s="4982"/>
      <c r="E7" s="4983"/>
      <c r="F7" s="4983"/>
      <c r="G7" s="4983"/>
      <c r="H7" s="4983"/>
      <c r="I7" s="4983"/>
      <c r="J7" s="4983"/>
      <c r="K7" s="4983"/>
      <c r="L7" s="4983"/>
      <c r="M7" s="4983">
        <v>4</v>
      </c>
      <c r="N7" s="4983">
        <v>8</v>
      </c>
      <c r="O7" s="4983">
        <v>11</v>
      </c>
      <c r="P7" s="4983">
        <v>14</v>
      </c>
      <c r="Q7" s="4983">
        <v>16</v>
      </c>
      <c r="R7" s="4983">
        <v>18</v>
      </c>
      <c r="S7" s="4983">
        <v>19</v>
      </c>
      <c r="T7" s="4983">
        <v>13</v>
      </c>
      <c r="U7" s="4983">
        <v>13</v>
      </c>
      <c r="V7" s="4983">
        <v>10</v>
      </c>
      <c r="W7" s="4983">
        <v>6</v>
      </c>
    </row>
    <row r="8" spans="2:23" ht="14.25" customHeight="1" x14ac:dyDescent="0.3">
      <c r="B8" s="5838"/>
      <c r="C8" s="4981" t="s">
        <v>313</v>
      </c>
      <c r="D8" s="4982">
        <v>39</v>
      </c>
      <c r="E8" s="4983">
        <v>31</v>
      </c>
      <c r="F8" s="4983">
        <v>28</v>
      </c>
      <c r="G8" s="4983">
        <v>16</v>
      </c>
      <c r="H8" s="4983">
        <v>13</v>
      </c>
      <c r="I8" s="4983">
        <v>10</v>
      </c>
      <c r="J8" s="4983">
        <v>26</v>
      </c>
      <c r="K8" s="4983">
        <v>30</v>
      </c>
      <c r="L8" s="4983">
        <v>24</v>
      </c>
      <c r="M8" s="4983">
        <v>11</v>
      </c>
      <c r="N8" s="4983">
        <v>9</v>
      </c>
      <c r="O8" s="4983">
        <v>4</v>
      </c>
      <c r="P8" s="4983">
        <v>7</v>
      </c>
      <c r="Q8" s="4983">
        <v>11</v>
      </c>
      <c r="R8" s="4983">
        <v>15</v>
      </c>
      <c r="S8" s="4983">
        <v>16</v>
      </c>
      <c r="T8" s="4983">
        <v>20</v>
      </c>
      <c r="U8" s="4983">
        <v>29</v>
      </c>
      <c r="V8" s="4983">
        <v>32</v>
      </c>
      <c r="W8" s="4983">
        <v>38</v>
      </c>
    </row>
    <row r="9" spans="2:23" ht="14.25" customHeight="1" x14ac:dyDescent="0.3">
      <c r="B9" s="5838"/>
      <c r="C9" s="4984" t="s">
        <v>455</v>
      </c>
      <c r="D9" s="4982"/>
      <c r="E9" s="4983"/>
      <c r="F9" s="4983"/>
      <c r="G9" s="4983"/>
      <c r="H9" s="4983"/>
      <c r="I9" s="4983"/>
      <c r="J9" s="4983"/>
      <c r="K9" s="4983"/>
      <c r="L9" s="4983"/>
      <c r="M9" s="4983"/>
      <c r="N9" s="4983"/>
      <c r="O9" s="4983"/>
      <c r="P9" s="4983"/>
      <c r="Q9" s="4983"/>
      <c r="R9" s="4983">
        <v>75</v>
      </c>
      <c r="S9" s="4983">
        <v>88</v>
      </c>
      <c r="T9" s="4983">
        <v>79</v>
      </c>
      <c r="U9" s="4983">
        <v>71</v>
      </c>
      <c r="V9" s="4983">
        <v>65</v>
      </c>
      <c r="W9" s="4983"/>
    </row>
    <row r="10" spans="2:23" ht="14.25" customHeight="1" x14ac:dyDescent="0.3">
      <c r="B10" s="5839"/>
      <c r="C10" s="4984" t="s">
        <v>437</v>
      </c>
      <c r="D10" s="4982"/>
      <c r="E10" s="4983"/>
      <c r="F10" s="4983"/>
      <c r="G10" s="4983"/>
      <c r="H10" s="4983"/>
      <c r="I10" s="4983"/>
      <c r="J10" s="4983"/>
      <c r="K10" s="4983"/>
      <c r="L10" s="4983"/>
      <c r="M10" s="4983"/>
      <c r="N10" s="4983"/>
      <c r="O10" s="4983"/>
      <c r="P10" s="4983"/>
      <c r="Q10" s="4983"/>
      <c r="R10" s="4983"/>
      <c r="S10" s="4983">
        <v>6</v>
      </c>
      <c r="T10" s="4983">
        <v>12</v>
      </c>
      <c r="U10" s="4983">
        <v>19</v>
      </c>
      <c r="V10" s="4983">
        <v>23</v>
      </c>
      <c r="W10" s="4983">
        <v>26</v>
      </c>
    </row>
    <row r="11" spans="2:23" ht="15" customHeight="1" x14ac:dyDescent="0.3">
      <c r="B11" s="5840" t="s">
        <v>317</v>
      </c>
      <c r="C11" s="1463" t="s">
        <v>456</v>
      </c>
      <c r="D11" s="1461">
        <v>25</v>
      </c>
      <c r="E11" s="1462">
        <v>25</v>
      </c>
      <c r="F11" s="1462">
        <v>26</v>
      </c>
      <c r="G11" s="1462">
        <v>16</v>
      </c>
      <c r="H11" s="1462">
        <v>25</v>
      </c>
      <c r="I11" s="1462">
        <v>35</v>
      </c>
      <c r="J11" s="1462">
        <v>32</v>
      </c>
      <c r="K11" s="1462">
        <v>30</v>
      </c>
      <c r="L11" s="1462">
        <v>35</v>
      </c>
      <c r="M11" s="1462">
        <v>27</v>
      </c>
      <c r="N11" s="1462">
        <v>24</v>
      </c>
      <c r="O11" s="1462">
        <v>26</v>
      </c>
      <c r="P11" s="1462">
        <v>27</v>
      </c>
      <c r="Q11" s="1462">
        <v>30</v>
      </c>
      <c r="R11" s="1462">
        <v>6</v>
      </c>
      <c r="S11" s="1462"/>
      <c r="T11" s="1462"/>
      <c r="U11" s="1462"/>
      <c r="V11" s="1462">
        <v>32</v>
      </c>
      <c r="W11" s="1462"/>
    </row>
    <row r="12" spans="2:23" ht="15" customHeight="1" x14ac:dyDescent="0.3">
      <c r="B12" s="5841"/>
      <c r="C12" s="1463" t="s">
        <v>319</v>
      </c>
      <c r="D12" s="1457">
        <v>6</v>
      </c>
      <c r="E12" s="1458">
        <v>7</v>
      </c>
      <c r="F12" s="1458">
        <v>9</v>
      </c>
      <c r="G12" s="1458">
        <v>11</v>
      </c>
      <c r="H12" s="1458">
        <v>10</v>
      </c>
      <c r="I12" s="1458">
        <v>10</v>
      </c>
      <c r="J12" s="1458">
        <v>10</v>
      </c>
      <c r="K12" s="1458">
        <v>10</v>
      </c>
      <c r="L12" s="1458">
        <v>7</v>
      </c>
      <c r="M12" s="1458">
        <v>6</v>
      </c>
      <c r="N12" s="1458">
        <v>6</v>
      </c>
      <c r="O12" s="1458">
        <v>5</v>
      </c>
      <c r="P12" s="1458">
        <v>5</v>
      </c>
      <c r="Q12" s="1458">
        <v>7</v>
      </c>
      <c r="R12" s="1458">
        <v>12</v>
      </c>
      <c r="S12" s="1458">
        <v>12</v>
      </c>
      <c r="T12" s="1458">
        <v>10</v>
      </c>
      <c r="U12" s="1458">
        <v>10</v>
      </c>
      <c r="V12" s="1458">
        <v>10</v>
      </c>
      <c r="W12" s="1458">
        <v>6</v>
      </c>
    </row>
    <row r="13" spans="2:23" ht="15" customHeight="1" x14ac:dyDescent="0.3">
      <c r="B13" s="5841"/>
      <c r="C13" s="1463" t="s">
        <v>435</v>
      </c>
      <c r="D13" s="1464"/>
      <c r="E13" s="1464"/>
      <c r="F13" s="1464"/>
      <c r="G13" s="1464"/>
      <c r="H13" s="1464"/>
      <c r="I13" s="1464"/>
      <c r="J13" s="1464"/>
      <c r="K13" s="1464"/>
      <c r="L13" s="1464"/>
      <c r="M13" s="1464"/>
      <c r="N13" s="1464">
        <v>3</v>
      </c>
      <c r="O13" s="1464">
        <v>3</v>
      </c>
      <c r="P13" s="1464">
        <v>9</v>
      </c>
      <c r="Q13" s="1464">
        <v>9</v>
      </c>
      <c r="R13" s="1464">
        <v>9</v>
      </c>
      <c r="S13" s="1464">
        <v>15</v>
      </c>
      <c r="T13" s="1464">
        <v>18</v>
      </c>
      <c r="U13" s="1464">
        <v>19</v>
      </c>
      <c r="V13" s="1464">
        <v>19</v>
      </c>
      <c r="W13" s="1464">
        <v>21</v>
      </c>
    </row>
    <row r="14" spans="2:23" ht="15" customHeight="1" x14ac:dyDescent="0.3">
      <c r="B14" s="5841"/>
      <c r="C14" s="1463" t="s">
        <v>436</v>
      </c>
      <c r="D14" s="1461"/>
      <c r="E14" s="1462"/>
      <c r="F14" s="1462"/>
      <c r="G14" s="1462"/>
      <c r="H14" s="1462"/>
      <c r="I14" s="1462"/>
      <c r="J14" s="1462"/>
      <c r="K14" s="1462"/>
      <c r="L14" s="1462"/>
      <c r="M14" s="1462"/>
      <c r="N14" s="1462">
        <v>2</v>
      </c>
      <c r="O14" s="1462">
        <v>2</v>
      </c>
      <c r="P14" s="1462">
        <v>3</v>
      </c>
      <c r="Q14" s="1462">
        <v>6</v>
      </c>
      <c r="R14" s="1462">
        <v>6</v>
      </c>
      <c r="S14" s="1462">
        <v>3</v>
      </c>
      <c r="T14" s="1462">
        <v>3</v>
      </c>
      <c r="U14" s="1462">
        <v>3</v>
      </c>
      <c r="V14" s="1462">
        <v>3</v>
      </c>
      <c r="W14" s="1462">
        <v>3</v>
      </c>
    </row>
    <row r="15" spans="2:23" ht="15" customHeight="1" x14ac:dyDescent="0.3">
      <c r="B15" s="5842"/>
      <c r="C15" s="1463" t="s">
        <v>455</v>
      </c>
      <c r="D15" s="1461"/>
      <c r="E15" s="1462"/>
      <c r="F15" s="1462"/>
      <c r="G15" s="1462"/>
      <c r="H15" s="1462"/>
      <c r="I15" s="1462"/>
      <c r="J15" s="1462"/>
      <c r="K15" s="1462"/>
      <c r="L15" s="1462"/>
      <c r="M15" s="1462"/>
      <c r="N15" s="1462"/>
      <c r="O15" s="1462"/>
      <c r="P15" s="1462"/>
      <c r="Q15" s="1462"/>
      <c r="R15" s="1462">
        <v>22</v>
      </c>
      <c r="S15" s="1462">
        <v>29</v>
      </c>
      <c r="T15" s="1462">
        <v>34</v>
      </c>
      <c r="U15" s="1462">
        <v>32</v>
      </c>
      <c r="V15" s="1462"/>
      <c r="W15" s="1462">
        <v>31</v>
      </c>
    </row>
    <row r="16" spans="2:23" ht="15" customHeight="1" x14ac:dyDescent="0.25">
      <c r="B16" s="1270"/>
      <c r="C16" s="1465" t="s">
        <v>59</v>
      </c>
      <c r="D16" s="1466">
        <f t="shared" ref="D16:M16" si="0">SUM(D4:D12)</f>
        <v>160</v>
      </c>
      <c r="E16" s="1466">
        <f t="shared" si="0"/>
        <v>160</v>
      </c>
      <c r="F16" s="1466">
        <f t="shared" si="0"/>
        <v>163</v>
      </c>
      <c r="G16" s="1466">
        <f t="shared" si="0"/>
        <v>152</v>
      </c>
      <c r="H16" s="1466">
        <f t="shared" si="0"/>
        <v>150</v>
      </c>
      <c r="I16" s="1466">
        <f t="shared" si="0"/>
        <v>130</v>
      </c>
      <c r="J16" s="1466">
        <f t="shared" si="0"/>
        <v>157</v>
      </c>
      <c r="K16" s="1466">
        <f t="shared" si="0"/>
        <v>171</v>
      </c>
      <c r="L16" s="1466">
        <f t="shared" si="0"/>
        <v>178</v>
      </c>
      <c r="M16" s="1466">
        <f t="shared" si="0"/>
        <v>164</v>
      </c>
      <c r="N16" s="1466">
        <f>SUM(N4:N14)</f>
        <v>188</v>
      </c>
      <c r="O16" s="1466">
        <f>SUM(O4:O14)</f>
        <v>230</v>
      </c>
      <c r="P16" s="1466">
        <f>SUM(P4:P14)</f>
        <v>253</v>
      </c>
      <c r="Q16" s="1466">
        <f>SUM(Q4:Q14)</f>
        <v>288</v>
      </c>
      <c r="R16" s="1466">
        <f t="shared" ref="R16:W16" si="1">SUM(R4:R15)</f>
        <v>286</v>
      </c>
      <c r="S16" s="1466">
        <f t="shared" si="1"/>
        <v>289</v>
      </c>
      <c r="T16" s="1466">
        <f t="shared" si="1"/>
        <v>280</v>
      </c>
      <c r="U16" s="1466">
        <f t="shared" si="1"/>
        <v>266</v>
      </c>
      <c r="V16" s="1466">
        <f t="shared" si="1"/>
        <v>257</v>
      </c>
      <c r="W16" s="1466">
        <f t="shared" si="1"/>
        <v>241</v>
      </c>
    </row>
    <row r="17" spans="2:23" ht="15" customHeight="1" x14ac:dyDescent="0.3">
      <c r="B17" s="5840" t="s">
        <v>308</v>
      </c>
      <c r="C17" s="1467" t="s">
        <v>457</v>
      </c>
      <c r="D17" s="1468">
        <v>44</v>
      </c>
      <c r="E17" s="1469">
        <v>46</v>
      </c>
      <c r="F17" s="1469">
        <v>41</v>
      </c>
      <c r="G17" s="1469">
        <v>35</v>
      </c>
      <c r="H17" s="1469">
        <v>35</v>
      </c>
      <c r="I17" s="1469">
        <v>35</v>
      </c>
      <c r="J17" s="1469">
        <v>36</v>
      </c>
      <c r="K17" s="1469">
        <v>29</v>
      </c>
      <c r="L17" s="1469">
        <v>31</v>
      </c>
      <c r="M17" s="1469">
        <v>35</v>
      </c>
      <c r="N17" s="1469">
        <v>36</v>
      </c>
      <c r="O17" s="1469">
        <v>37</v>
      </c>
      <c r="P17" s="1469">
        <v>40</v>
      </c>
      <c r="Q17" s="1469">
        <v>43</v>
      </c>
      <c r="R17" s="1469">
        <v>40</v>
      </c>
      <c r="S17" s="1469">
        <v>35</v>
      </c>
      <c r="T17" s="1469">
        <v>31</v>
      </c>
      <c r="U17" s="1469">
        <v>24</v>
      </c>
      <c r="V17" s="1469">
        <v>22</v>
      </c>
      <c r="W17" s="1469">
        <v>23</v>
      </c>
    </row>
    <row r="18" spans="2:23" ht="15" customHeight="1" x14ac:dyDescent="0.3">
      <c r="B18" s="5841"/>
      <c r="C18" s="1467" t="s">
        <v>323</v>
      </c>
      <c r="D18" s="1464"/>
      <c r="E18" s="1470"/>
      <c r="F18" s="1470"/>
      <c r="G18" s="1470"/>
      <c r="H18" s="1470"/>
      <c r="I18" s="1470"/>
      <c r="J18" s="1470"/>
      <c r="K18" s="1470"/>
      <c r="L18" s="1470"/>
      <c r="M18" s="1470"/>
      <c r="N18" s="1470"/>
      <c r="O18" s="1470"/>
      <c r="P18" s="1470"/>
      <c r="Q18" s="1470"/>
      <c r="R18" s="1470"/>
      <c r="S18" s="1470"/>
      <c r="T18" s="1470">
        <v>8</v>
      </c>
      <c r="U18" s="1470">
        <v>12</v>
      </c>
      <c r="V18" s="1470">
        <v>17</v>
      </c>
      <c r="W18" s="1470">
        <v>26</v>
      </c>
    </row>
    <row r="19" spans="2:23" ht="15" customHeight="1" x14ac:dyDescent="0.25">
      <c r="B19" s="5841"/>
      <c r="C19" s="754" t="s">
        <v>1537</v>
      </c>
      <c r="D19" s="1464"/>
      <c r="E19" s="1470"/>
      <c r="F19" s="1470"/>
      <c r="G19" s="1470"/>
      <c r="H19" s="1470"/>
      <c r="I19" s="1470"/>
      <c r="J19" s="1470"/>
      <c r="K19" s="1470"/>
      <c r="L19" s="1470"/>
      <c r="M19" s="1470"/>
      <c r="N19" s="1470"/>
      <c r="O19" s="1470"/>
      <c r="P19" s="1470"/>
      <c r="Q19" s="1470"/>
      <c r="R19" s="1470"/>
      <c r="S19" s="1470"/>
      <c r="T19" s="1470"/>
      <c r="U19" s="1470"/>
      <c r="V19" s="1470"/>
      <c r="W19" s="1470">
        <v>9</v>
      </c>
    </row>
    <row r="20" spans="2:23" ht="15" customHeight="1" x14ac:dyDescent="0.3">
      <c r="B20" s="5841"/>
      <c r="C20" s="1456" t="s">
        <v>324</v>
      </c>
      <c r="D20" s="1457"/>
      <c r="E20" s="1458">
        <v>18</v>
      </c>
      <c r="F20" s="1458">
        <v>26</v>
      </c>
      <c r="G20" s="1458">
        <v>27</v>
      </c>
      <c r="H20" s="1458">
        <v>30</v>
      </c>
      <c r="I20" s="1458">
        <v>24</v>
      </c>
      <c r="J20" s="1458">
        <v>12</v>
      </c>
      <c r="K20" s="1458">
        <v>12</v>
      </c>
      <c r="L20" s="1458">
        <v>21</v>
      </c>
      <c r="M20" s="1458">
        <v>10</v>
      </c>
      <c r="N20" s="1458">
        <v>11</v>
      </c>
      <c r="O20" s="1458">
        <v>9</v>
      </c>
      <c r="P20" s="1458">
        <v>9</v>
      </c>
      <c r="Q20" s="1458">
        <v>6</v>
      </c>
      <c r="R20" s="1458"/>
      <c r="S20" s="1458"/>
      <c r="T20" s="1458">
        <v>7</v>
      </c>
      <c r="U20" s="1458">
        <v>7</v>
      </c>
      <c r="V20" s="1458"/>
      <c r="W20" s="1458"/>
    </row>
    <row r="21" spans="2:23" ht="15" customHeight="1" x14ac:dyDescent="0.3">
      <c r="B21" s="5842"/>
      <c r="C21" s="1456" t="s">
        <v>458</v>
      </c>
      <c r="D21" s="1457"/>
      <c r="E21" s="1458"/>
      <c r="F21" s="1458"/>
      <c r="G21" s="1458"/>
      <c r="H21" s="1458">
        <v>5</v>
      </c>
      <c r="I21" s="1458"/>
      <c r="J21" s="1458"/>
      <c r="K21" s="1458"/>
      <c r="L21" s="1458"/>
      <c r="M21" s="1458">
        <v>2</v>
      </c>
      <c r="N21" s="1458"/>
      <c r="O21" s="1458"/>
      <c r="P21" s="1458"/>
      <c r="Q21" s="1458"/>
      <c r="R21" s="1458"/>
      <c r="S21" s="1458"/>
      <c r="T21" s="1458"/>
      <c r="U21" s="1458"/>
      <c r="V21" s="1458"/>
      <c r="W21" s="1458"/>
    </row>
    <row r="22" spans="2:23" ht="15" customHeight="1" x14ac:dyDescent="0.3">
      <c r="B22" s="5837" t="s">
        <v>310</v>
      </c>
      <c r="C22" s="4977" t="s">
        <v>326</v>
      </c>
      <c r="D22" s="4978"/>
      <c r="E22" s="4979"/>
      <c r="F22" s="4979"/>
      <c r="G22" s="4979"/>
      <c r="H22" s="4979">
        <v>10</v>
      </c>
      <c r="I22" s="4979">
        <v>11</v>
      </c>
      <c r="J22" s="4979">
        <v>23</v>
      </c>
      <c r="K22" s="4979">
        <v>21</v>
      </c>
      <c r="L22" s="4979">
        <v>22</v>
      </c>
      <c r="M22" s="4979">
        <v>8</v>
      </c>
      <c r="N22" s="4979">
        <v>20</v>
      </c>
      <c r="O22" s="4979">
        <v>18</v>
      </c>
      <c r="P22" s="4979">
        <v>17</v>
      </c>
      <c r="Q22" s="4979">
        <v>13</v>
      </c>
      <c r="R22" s="4979">
        <v>13</v>
      </c>
      <c r="S22" s="4979">
        <v>10</v>
      </c>
      <c r="T22" s="4979">
        <v>17</v>
      </c>
      <c r="U22" s="4979">
        <v>9</v>
      </c>
      <c r="V22" s="4979">
        <v>11</v>
      </c>
      <c r="W22" s="4979">
        <v>5</v>
      </c>
    </row>
    <row r="23" spans="2:23" ht="15" customHeight="1" x14ac:dyDescent="0.3">
      <c r="B23" s="5838"/>
      <c r="C23" s="4977" t="s">
        <v>327</v>
      </c>
      <c r="D23" s="4978">
        <v>18</v>
      </c>
      <c r="E23" s="4979">
        <v>41</v>
      </c>
      <c r="F23" s="4979">
        <v>21</v>
      </c>
      <c r="G23" s="4979">
        <v>17</v>
      </c>
      <c r="H23" s="4979"/>
      <c r="I23" s="4979">
        <v>1</v>
      </c>
      <c r="J23" s="4979"/>
      <c r="K23" s="4979">
        <v>2</v>
      </c>
      <c r="L23" s="4979">
        <v>3</v>
      </c>
      <c r="M23" s="4979"/>
      <c r="N23" s="4979"/>
      <c r="O23" s="4979"/>
      <c r="P23" s="4979"/>
      <c r="Q23" s="4979"/>
      <c r="R23" s="4979"/>
      <c r="S23" s="4979"/>
      <c r="T23" s="4979"/>
      <c r="U23" s="4979"/>
      <c r="V23" s="4979"/>
      <c r="W23" s="4979"/>
    </row>
    <row r="24" spans="2:23" ht="15" customHeight="1" x14ac:dyDescent="0.3">
      <c r="B24" s="5838"/>
      <c r="C24" s="4980" t="s">
        <v>328</v>
      </c>
      <c r="D24" s="4978"/>
      <c r="E24" s="4979"/>
      <c r="F24" s="4979">
        <v>1</v>
      </c>
      <c r="G24" s="4979">
        <v>2</v>
      </c>
      <c r="H24" s="4979">
        <v>11</v>
      </c>
      <c r="I24" s="4979"/>
      <c r="J24" s="4979"/>
      <c r="K24" s="4979"/>
      <c r="L24" s="4979">
        <v>1</v>
      </c>
      <c r="M24" s="4979">
        <v>1</v>
      </c>
      <c r="N24" s="4979"/>
      <c r="O24" s="4979"/>
      <c r="P24" s="4979"/>
      <c r="Q24" s="4979"/>
      <c r="R24" s="4979"/>
      <c r="S24" s="4979"/>
      <c r="T24" s="4979"/>
      <c r="U24" s="4979">
        <v>11</v>
      </c>
      <c r="V24" s="4979">
        <v>10</v>
      </c>
      <c r="W24" s="4979">
        <v>44</v>
      </c>
    </row>
    <row r="25" spans="2:23" ht="15" customHeight="1" x14ac:dyDescent="0.3">
      <c r="B25" s="5838"/>
      <c r="C25" s="4977" t="s">
        <v>329</v>
      </c>
      <c r="D25" s="4978"/>
      <c r="E25" s="4979"/>
      <c r="F25" s="4979">
        <v>20</v>
      </c>
      <c r="G25" s="4979">
        <v>19</v>
      </c>
      <c r="H25" s="4979">
        <v>41</v>
      </c>
      <c r="I25" s="4979">
        <v>25</v>
      </c>
      <c r="J25" s="4979">
        <v>37</v>
      </c>
      <c r="K25" s="4979">
        <v>16</v>
      </c>
      <c r="L25" s="4979">
        <v>13</v>
      </c>
      <c r="M25" s="4979">
        <v>16</v>
      </c>
      <c r="N25" s="4979">
        <v>14</v>
      </c>
      <c r="O25" s="4979">
        <v>32</v>
      </c>
      <c r="P25" s="4979">
        <v>42</v>
      </c>
      <c r="Q25" s="4979">
        <v>28</v>
      </c>
      <c r="R25" s="4979">
        <v>40</v>
      </c>
      <c r="S25" s="4979">
        <v>33</v>
      </c>
      <c r="T25" s="4979">
        <v>40</v>
      </c>
      <c r="U25" s="4979">
        <v>31</v>
      </c>
      <c r="V25" s="4979">
        <v>18</v>
      </c>
      <c r="W25" s="4979"/>
    </row>
    <row r="26" spans="2:23" ht="15" customHeight="1" x14ac:dyDescent="0.3">
      <c r="B26" s="5838"/>
      <c r="C26" s="4977" t="s">
        <v>330</v>
      </c>
      <c r="D26" s="4978">
        <v>18</v>
      </c>
      <c r="E26" s="4979">
        <v>17</v>
      </c>
      <c r="F26" s="4979">
        <v>17</v>
      </c>
      <c r="G26" s="4979">
        <v>9</v>
      </c>
      <c r="H26" s="4979">
        <v>20</v>
      </c>
      <c r="I26" s="4979">
        <v>28</v>
      </c>
      <c r="J26" s="4979">
        <v>32</v>
      </c>
      <c r="K26" s="4979">
        <v>25</v>
      </c>
      <c r="L26" s="4979">
        <v>37</v>
      </c>
      <c r="M26" s="4979">
        <v>37</v>
      </c>
      <c r="N26" s="4979">
        <v>43</v>
      </c>
      <c r="O26" s="4979">
        <v>42</v>
      </c>
      <c r="P26" s="4979">
        <v>33</v>
      </c>
      <c r="Q26" s="4979">
        <v>29</v>
      </c>
      <c r="R26" s="4979">
        <v>26</v>
      </c>
      <c r="S26" s="4979">
        <v>34</v>
      </c>
      <c r="T26" s="4979">
        <v>37</v>
      </c>
      <c r="U26" s="4979">
        <v>29</v>
      </c>
      <c r="V26" s="4979">
        <v>29</v>
      </c>
      <c r="W26" s="4979">
        <v>24</v>
      </c>
    </row>
    <row r="27" spans="2:23" ht="15" customHeight="1" x14ac:dyDescent="0.3">
      <c r="B27" s="5838"/>
      <c r="C27" s="4985" t="s">
        <v>331</v>
      </c>
      <c r="D27" s="4982"/>
      <c r="E27" s="4983"/>
      <c r="F27" s="4983"/>
      <c r="G27" s="4983"/>
      <c r="H27" s="4983"/>
      <c r="I27" s="4983"/>
      <c r="J27" s="4983"/>
      <c r="K27" s="4983"/>
      <c r="L27" s="4983"/>
      <c r="M27" s="4983">
        <v>8</v>
      </c>
      <c r="N27" s="4983">
        <v>12</v>
      </c>
      <c r="O27" s="4983">
        <v>29</v>
      </c>
      <c r="P27" s="4983">
        <v>19</v>
      </c>
      <c r="Q27" s="4983">
        <v>33</v>
      </c>
      <c r="R27" s="4983">
        <v>23</v>
      </c>
      <c r="S27" s="4983">
        <v>37</v>
      </c>
      <c r="T27" s="4983">
        <v>21</v>
      </c>
      <c r="U27" s="4983">
        <v>18</v>
      </c>
      <c r="V27" s="4983">
        <v>20</v>
      </c>
      <c r="W27" s="4983">
        <v>19</v>
      </c>
    </row>
    <row r="28" spans="2:23" ht="15" customHeight="1" x14ac:dyDescent="0.3">
      <c r="B28" s="5838"/>
      <c r="C28" s="4985" t="s">
        <v>332</v>
      </c>
      <c r="D28" s="4978">
        <v>21</v>
      </c>
      <c r="E28" s="4979">
        <v>11</v>
      </c>
      <c r="F28" s="4979">
        <v>7</v>
      </c>
      <c r="G28" s="4979">
        <v>15</v>
      </c>
      <c r="H28" s="4979">
        <v>15</v>
      </c>
      <c r="I28" s="4979">
        <v>18</v>
      </c>
      <c r="J28" s="4979">
        <v>33</v>
      </c>
      <c r="K28" s="4979">
        <v>18</v>
      </c>
      <c r="L28" s="4979">
        <v>40</v>
      </c>
      <c r="M28" s="4979">
        <v>26</v>
      </c>
      <c r="N28" s="4979">
        <v>49</v>
      </c>
      <c r="O28" s="4979">
        <v>26</v>
      </c>
      <c r="P28" s="4979">
        <v>32</v>
      </c>
      <c r="Q28" s="4979">
        <v>18</v>
      </c>
      <c r="R28" s="4979">
        <v>29</v>
      </c>
      <c r="S28" s="4979">
        <v>10</v>
      </c>
      <c r="T28" s="4979">
        <v>32</v>
      </c>
      <c r="U28" s="4979">
        <v>18</v>
      </c>
      <c r="V28" s="4979">
        <v>27</v>
      </c>
      <c r="W28" s="4979">
        <v>12</v>
      </c>
    </row>
    <row r="29" spans="2:23" ht="15" customHeight="1" x14ac:dyDescent="0.3">
      <c r="B29" s="5838"/>
      <c r="C29" s="4986" t="s">
        <v>333</v>
      </c>
      <c r="D29" s="4978"/>
      <c r="E29" s="4979"/>
      <c r="F29" s="4979"/>
      <c r="G29" s="4979"/>
      <c r="H29" s="4979"/>
      <c r="I29" s="4979"/>
      <c r="J29" s="4979"/>
      <c r="K29" s="4979"/>
      <c r="L29" s="4979"/>
      <c r="M29" s="4979"/>
      <c r="N29" s="4979"/>
      <c r="O29" s="4979"/>
      <c r="P29" s="4979"/>
      <c r="Q29" s="4979"/>
      <c r="R29" s="4979">
        <v>52</v>
      </c>
      <c r="S29" s="4979">
        <v>36</v>
      </c>
      <c r="T29" s="4979">
        <v>71</v>
      </c>
      <c r="U29" s="4979">
        <v>44</v>
      </c>
      <c r="V29" s="4979">
        <v>45</v>
      </c>
      <c r="W29" s="4979">
        <v>33</v>
      </c>
    </row>
    <row r="30" spans="2:23" ht="15" customHeight="1" x14ac:dyDescent="0.3">
      <c r="B30" s="5839"/>
      <c r="C30" s="4986" t="s">
        <v>334</v>
      </c>
      <c r="D30" s="4978"/>
      <c r="E30" s="4979"/>
      <c r="F30" s="4979"/>
      <c r="G30" s="4979"/>
      <c r="H30" s="4979"/>
      <c r="I30" s="4979"/>
      <c r="J30" s="4979"/>
      <c r="K30" s="4979"/>
      <c r="L30" s="4979"/>
      <c r="M30" s="4979"/>
      <c r="N30" s="4979"/>
      <c r="O30" s="4979"/>
      <c r="P30" s="4979"/>
      <c r="Q30" s="4979"/>
      <c r="R30" s="4979">
        <v>13</v>
      </c>
      <c r="S30" s="4979">
        <v>12</v>
      </c>
      <c r="T30" s="4979">
        <v>10</v>
      </c>
      <c r="U30" s="4979">
        <v>5</v>
      </c>
      <c r="V30" s="4979">
        <v>9</v>
      </c>
      <c r="W30" s="4979">
        <v>12</v>
      </c>
    </row>
    <row r="31" spans="2:23" ht="15" customHeight="1" x14ac:dyDescent="0.3">
      <c r="B31" s="5840" t="s">
        <v>317</v>
      </c>
      <c r="C31" s="1473" t="s">
        <v>326</v>
      </c>
      <c r="D31" s="1457"/>
      <c r="E31" s="1458"/>
      <c r="F31" s="1458"/>
      <c r="G31" s="1458"/>
      <c r="H31" s="1458">
        <v>16</v>
      </c>
      <c r="I31" s="1458">
        <v>12</v>
      </c>
      <c r="J31" s="1458">
        <v>18</v>
      </c>
      <c r="K31" s="1458">
        <v>18</v>
      </c>
      <c r="L31" s="1458">
        <v>17</v>
      </c>
      <c r="M31" s="1458">
        <v>15</v>
      </c>
      <c r="N31" s="1458">
        <v>24</v>
      </c>
      <c r="O31" s="1458">
        <v>24</v>
      </c>
      <c r="P31" s="1458">
        <v>26</v>
      </c>
      <c r="Q31" s="1458">
        <v>18</v>
      </c>
      <c r="R31" s="1458">
        <v>17</v>
      </c>
      <c r="S31" s="1458">
        <v>18</v>
      </c>
      <c r="T31" s="1458">
        <v>24</v>
      </c>
      <c r="U31" s="1458">
        <v>16</v>
      </c>
      <c r="V31" s="1458">
        <v>27</v>
      </c>
      <c r="W31" s="1458">
        <v>20</v>
      </c>
    </row>
    <row r="32" spans="2:23" ht="15" customHeight="1" x14ac:dyDescent="0.3">
      <c r="B32" s="5841"/>
      <c r="C32" s="1474" t="s">
        <v>335</v>
      </c>
      <c r="D32" s="1457">
        <v>7</v>
      </c>
      <c r="E32" s="1458">
        <v>9</v>
      </c>
      <c r="F32" s="1458">
        <v>5</v>
      </c>
      <c r="G32" s="1458">
        <v>5</v>
      </c>
      <c r="H32" s="1458">
        <v>23</v>
      </c>
      <c r="I32" s="1458">
        <v>7</v>
      </c>
      <c r="J32" s="1458">
        <v>7</v>
      </c>
      <c r="K32" s="1458">
        <v>3</v>
      </c>
      <c r="L32" s="1458">
        <v>3</v>
      </c>
      <c r="M32" s="1458">
        <v>2</v>
      </c>
      <c r="N32" s="1458">
        <v>1</v>
      </c>
      <c r="O32" s="1458">
        <v>1</v>
      </c>
      <c r="P32" s="1458"/>
      <c r="Q32" s="1458"/>
      <c r="R32" s="1458"/>
      <c r="S32" s="1458"/>
      <c r="T32" s="1458"/>
      <c r="U32" s="1458">
        <v>11</v>
      </c>
      <c r="V32" s="1458">
        <v>11</v>
      </c>
      <c r="W32" s="1458"/>
    </row>
    <row r="33" spans="2:23" ht="15" customHeight="1" x14ac:dyDescent="0.3">
      <c r="B33" s="5841"/>
      <c r="C33" s="1474" t="s">
        <v>1391</v>
      </c>
      <c r="D33" s="1457"/>
      <c r="E33" s="1458"/>
      <c r="F33" s="1458"/>
      <c r="G33" s="1458"/>
      <c r="H33" s="1458"/>
      <c r="I33" s="1458"/>
      <c r="J33" s="1458"/>
      <c r="K33" s="1458"/>
      <c r="L33" s="1458"/>
      <c r="M33" s="1458"/>
      <c r="N33" s="1458"/>
      <c r="O33" s="1458"/>
      <c r="P33" s="1458"/>
      <c r="Q33" s="1458"/>
      <c r="R33" s="1458"/>
      <c r="S33" s="1458"/>
      <c r="T33" s="1458"/>
      <c r="U33" s="1458"/>
      <c r="V33" s="1458">
        <v>5</v>
      </c>
      <c r="W33" s="1458">
        <v>5</v>
      </c>
    </row>
    <row r="34" spans="2:23" ht="15" customHeight="1" x14ac:dyDescent="0.3">
      <c r="B34" s="5841"/>
      <c r="C34" s="1473" t="s">
        <v>336</v>
      </c>
      <c r="D34" s="1457"/>
      <c r="E34" s="1458"/>
      <c r="F34" s="1458">
        <v>12</v>
      </c>
      <c r="G34" s="1458">
        <v>12</v>
      </c>
      <c r="H34" s="1458">
        <v>22</v>
      </c>
      <c r="I34" s="1458">
        <v>21</v>
      </c>
      <c r="J34" s="1458">
        <v>14</v>
      </c>
      <c r="K34" s="1458">
        <v>33</v>
      </c>
      <c r="L34" s="1458">
        <v>25</v>
      </c>
      <c r="M34" s="1458">
        <v>29</v>
      </c>
      <c r="N34" s="1458">
        <v>29</v>
      </c>
      <c r="O34" s="1458">
        <v>26</v>
      </c>
      <c r="P34" s="1458">
        <v>24</v>
      </c>
      <c r="Q34" s="1458">
        <v>49</v>
      </c>
      <c r="R34" s="1458">
        <v>47</v>
      </c>
      <c r="S34" s="1458">
        <v>68</v>
      </c>
      <c r="T34" s="1458">
        <v>59</v>
      </c>
      <c r="U34" s="1458">
        <v>67</v>
      </c>
      <c r="V34" s="1458">
        <v>57</v>
      </c>
      <c r="W34" s="1458">
        <v>59</v>
      </c>
    </row>
    <row r="35" spans="2:23" ht="15" customHeight="1" x14ac:dyDescent="0.25">
      <c r="B35" s="1475"/>
      <c r="C35" s="1476" t="s">
        <v>334</v>
      </c>
      <c r="D35" s="1477"/>
      <c r="E35" s="1478"/>
      <c r="F35" s="1478"/>
      <c r="G35" s="1478"/>
      <c r="H35" s="1478"/>
      <c r="I35" s="1478"/>
      <c r="J35" s="1478"/>
      <c r="K35" s="1478"/>
      <c r="L35" s="1478"/>
      <c r="M35" s="1478"/>
      <c r="N35" s="1478"/>
      <c r="O35" s="1478"/>
      <c r="P35" s="1478"/>
      <c r="Q35" s="1478"/>
      <c r="R35" s="1478">
        <v>3</v>
      </c>
      <c r="S35" s="1478">
        <v>2</v>
      </c>
      <c r="T35" s="1478">
        <v>11</v>
      </c>
      <c r="U35" s="1478">
        <v>10</v>
      </c>
      <c r="V35" s="1478">
        <v>13</v>
      </c>
      <c r="W35" s="1478">
        <v>12</v>
      </c>
    </row>
    <row r="36" spans="2:23" ht="15" customHeight="1" x14ac:dyDescent="0.25">
      <c r="B36" s="1270"/>
      <c r="C36" s="1479" t="s">
        <v>64</v>
      </c>
      <c r="D36" s="1480">
        <f t="shared" ref="D36:M36" si="2">SUM(D17:D34)</f>
        <v>108</v>
      </c>
      <c r="E36" s="1480">
        <f t="shared" si="2"/>
        <v>142</v>
      </c>
      <c r="F36" s="1480">
        <f t="shared" si="2"/>
        <v>150</v>
      </c>
      <c r="G36" s="1480">
        <f t="shared" si="2"/>
        <v>141</v>
      </c>
      <c r="H36" s="1480">
        <f t="shared" si="2"/>
        <v>228</v>
      </c>
      <c r="I36" s="1480">
        <f t="shared" si="2"/>
        <v>182</v>
      </c>
      <c r="J36" s="1480">
        <f t="shared" si="2"/>
        <v>212</v>
      </c>
      <c r="K36" s="1480">
        <f t="shared" si="2"/>
        <v>177</v>
      </c>
      <c r="L36" s="1480">
        <f t="shared" si="2"/>
        <v>213</v>
      </c>
      <c r="M36" s="1480">
        <f t="shared" si="2"/>
        <v>189</v>
      </c>
      <c r="N36" s="1480">
        <f>SUM(N17:N34)</f>
        <v>239</v>
      </c>
      <c r="O36" s="1480">
        <f>SUM(O17:O34)</f>
        <v>244</v>
      </c>
      <c r="P36" s="1480">
        <f>SUM(P17:P34)</f>
        <v>242</v>
      </c>
      <c r="Q36" s="1480">
        <f>SUM(Q17:Q34)</f>
        <v>237</v>
      </c>
      <c r="R36" s="1480">
        <f t="shared" ref="R36:W36" si="3">SUM(R17:R35)</f>
        <v>303</v>
      </c>
      <c r="S36" s="1480">
        <f t="shared" si="3"/>
        <v>295</v>
      </c>
      <c r="T36" s="1480">
        <f t="shared" si="3"/>
        <v>368</v>
      </c>
      <c r="U36" s="1480">
        <f t="shared" si="3"/>
        <v>312</v>
      </c>
      <c r="V36" s="1480">
        <f t="shared" si="3"/>
        <v>321</v>
      </c>
      <c r="W36" s="1480">
        <f t="shared" si="3"/>
        <v>303</v>
      </c>
    </row>
    <row r="37" spans="2:23" ht="15" customHeight="1" x14ac:dyDescent="0.3">
      <c r="B37" s="5840" t="s">
        <v>308</v>
      </c>
      <c r="C37" s="1481" t="s">
        <v>459</v>
      </c>
      <c r="D37" s="1464">
        <v>43</v>
      </c>
      <c r="E37" s="1470">
        <v>37</v>
      </c>
      <c r="F37" s="1470">
        <v>29</v>
      </c>
      <c r="G37" s="1470">
        <v>34</v>
      </c>
      <c r="H37" s="1470">
        <v>61</v>
      </c>
      <c r="I37" s="1470">
        <v>64</v>
      </c>
      <c r="J37" s="1470">
        <v>103</v>
      </c>
      <c r="K37" s="1470">
        <v>102</v>
      </c>
      <c r="L37" s="1470">
        <v>20</v>
      </c>
      <c r="M37" s="1470">
        <v>95</v>
      </c>
      <c r="N37" s="1470">
        <v>23</v>
      </c>
      <c r="O37" s="1470">
        <v>70</v>
      </c>
      <c r="P37" s="1470">
        <v>24</v>
      </c>
      <c r="Q37" s="1470"/>
      <c r="R37" s="1470"/>
      <c r="S37" s="1470"/>
      <c r="T37" s="1470"/>
      <c r="U37" s="1470"/>
      <c r="V37" s="1470"/>
      <c r="W37" s="1470"/>
    </row>
    <row r="38" spans="2:23" ht="15" customHeight="1" x14ac:dyDescent="0.3">
      <c r="B38" s="5841"/>
      <c r="C38" s="1467" t="s">
        <v>338</v>
      </c>
      <c r="D38" s="1464"/>
      <c r="E38" s="1470"/>
      <c r="F38" s="1470"/>
      <c r="G38" s="1470"/>
      <c r="H38" s="1470"/>
      <c r="I38" s="1470"/>
      <c r="J38" s="1470"/>
      <c r="K38" s="1470"/>
      <c r="L38" s="1470"/>
      <c r="M38" s="1470"/>
      <c r="N38" s="1470"/>
      <c r="O38" s="1470"/>
      <c r="P38" s="1470"/>
      <c r="Q38" s="1470"/>
      <c r="R38" s="1470">
        <v>5</v>
      </c>
      <c r="S38" s="1470">
        <v>11</v>
      </c>
      <c r="T38" s="1470">
        <v>6</v>
      </c>
      <c r="U38" s="1470">
        <v>6</v>
      </c>
      <c r="V38" s="1470">
        <v>8</v>
      </c>
      <c r="W38" s="1470">
        <v>18</v>
      </c>
    </row>
    <row r="39" spans="2:23" ht="15" customHeight="1" x14ac:dyDescent="0.3">
      <c r="B39" s="5842"/>
      <c r="C39" s="1456" t="s">
        <v>339</v>
      </c>
      <c r="D39" s="1464"/>
      <c r="E39" s="1470"/>
      <c r="F39" s="1470"/>
      <c r="G39" s="1470"/>
      <c r="H39" s="1470"/>
      <c r="I39" s="1470"/>
      <c r="J39" s="1470"/>
      <c r="K39" s="1470"/>
      <c r="L39" s="1470"/>
      <c r="M39" s="1470"/>
      <c r="N39" s="1470"/>
      <c r="O39" s="1470"/>
      <c r="P39" s="1470"/>
      <c r="Q39" s="1470">
        <v>9</v>
      </c>
      <c r="R39" s="1470">
        <v>9</v>
      </c>
      <c r="S39" s="1470">
        <v>14</v>
      </c>
      <c r="T39" s="1470">
        <v>8</v>
      </c>
      <c r="U39" s="1470">
        <v>7</v>
      </c>
      <c r="V39" s="1470">
        <v>7</v>
      </c>
      <c r="W39" s="1470">
        <v>14</v>
      </c>
    </row>
    <row r="40" spans="2:23" ht="15" customHeight="1" x14ac:dyDescent="0.3">
      <c r="B40" s="5837" t="s">
        <v>310</v>
      </c>
      <c r="C40" s="4977" t="s">
        <v>460</v>
      </c>
      <c r="D40" s="4978">
        <v>45</v>
      </c>
      <c r="E40" s="4979">
        <v>37</v>
      </c>
      <c r="F40" s="4979">
        <v>48</v>
      </c>
      <c r="G40" s="4979">
        <v>55</v>
      </c>
      <c r="H40" s="4979">
        <v>51</v>
      </c>
      <c r="I40" s="4979">
        <v>55</v>
      </c>
      <c r="J40" s="4979">
        <v>47</v>
      </c>
      <c r="K40" s="4979">
        <v>87</v>
      </c>
      <c r="L40" s="4979">
        <v>108</v>
      </c>
      <c r="M40" s="4979">
        <v>79</v>
      </c>
      <c r="N40" s="4979">
        <v>102</v>
      </c>
      <c r="O40" s="4979">
        <v>74</v>
      </c>
      <c r="P40" s="4979">
        <v>38</v>
      </c>
      <c r="Q40" s="4979"/>
      <c r="R40" s="4979"/>
      <c r="S40" s="4979"/>
      <c r="T40" s="4979"/>
      <c r="U40" s="4979"/>
      <c r="V40" s="4979"/>
      <c r="W40" s="4979"/>
    </row>
    <row r="41" spans="2:23" ht="15" customHeight="1" x14ac:dyDescent="0.3">
      <c r="B41" s="5838"/>
      <c r="C41" s="4977" t="s">
        <v>341</v>
      </c>
      <c r="D41" s="4978"/>
      <c r="E41" s="4979"/>
      <c r="F41" s="4979"/>
      <c r="G41" s="4979"/>
      <c r="H41" s="4979"/>
      <c r="I41" s="4979"/>
      <c r="J41" s="4979"/>
      <c r="K41" s="4979"/>
      <c r="L41" s="4979"/>
      <c r="M41" s="4979"/>
      <c r="N41" s="4979"/>
      <c r="O41" s="4979"/>
      <c r="P41" s="4979">
        <v>16</v>
      </c>
      <c r="Q41" s="4979">
        <v>22</v>
      </c>
      <c r="R41" s="4979">
        <v>10</v>
      </c>
      <c r="S41" s="4979">
        <v>9</v>
      </c>
      <c r="T41" s="4979">
        <v>7</v>
      </c>
      <c r="U41" s="4979">
        <v>13</v>
      </c>
      <c r="V41" s="4979">
        <v>21</v>
      </c>
      <c r="W41" s="4979">
        <v>24</v>
      </c>
    </row>
    <row r="42" spans="2:23" ht="15" customHeight="1" x14ac:dyDescent="0.3">
      <c r="B42" s="5838"/>
      <c r="C42" s="4977" t="s">
        <v>342</v>
      </c>
      <c r="D42" s="4978"/>
      <c r="E42" s="4979"/>
      <c r="F42" s="4979"/>
      <c r="G42" s="4979"/>
      <c r="H42" s="4979"/>
      <c r="I42" s="4979"/>
      <c r="J42" s="4979"/>
      <c r="K42" s="4979"/>
      <c r="L42" s="4979"/>
      <c r="M42" s="4979"/>
      <c r="N42" s="4979"/>
      <c r="O42" s="4979"/>
      <c r="P42" s="4979">
        <v>14</v>
      </c>
      <c r="Q42" s="4979">
        <v>18</v>
      </c>
      <c r="R42" s="4979">
        <v>20</v>
      </c>
      <c r="S42" s="4979">
        <v>15</v>
      </c>
      <c r="T42" s="4979">
        <v>17</v>
      </c>
      <c r="U42" s="4979">
        <v>12</v>
      </c>
      <c r="V42" s="4979">
        <v>13</v>
      </c>
      <c r="W42" s="4979">
        <v>12</v>
      </c>
    </row>
    <row r="43" spans="2:23" ht="15" customHeight="1" x14ac:dyDescent="0.3">
      <c r="B43" s="5838"/>
      <c r="C43" s="4977" t="s">
        <v>343</v>
      </c>
      <c r="D43" s="4978"/>
      <c r="E43" s="4979"/>
      <c r="F43" s="4979"/>
      <c r="G43" s="4979"/>
      <c r="H43" s="4979"/>
      <c r="I43" s="4979"/>
      <c r="J43" s="4979"/>
      <c r="K43" s="4979"/>
      <c r="L43" s="4979"/>
      <c r="M43" s="4979"/>
      <c r="N43" s="4979"/>
      <c r="O43" s="4979"/>
      <c r="P43" s="4979">
        <v>21</v>
      </c>
      <c r="Q43" s="4979">
        <v>28</v>
      </c>
      <c r="R43" s="4979">
        <v>28</v>
      </c>
      <c r="S43" s="4979">
        <v>19</v>
      </c>
      <c r="T43" s="4979">
        <v>14</v>
      </c>
      <c r="U43" s="4979">
        <v>22</v>
      </c>
      <c r="V43" s="4979">
        <v>27</v>
      </c>
      <c r="W43" s="4979">
        <v>37</v>
      </c>
    </row>
    <row r="44" spans="2:23" ht="15" customHeight="1" x14ac:dyDescent="0.3">
      <c r="B44" s="5838"/>
      <c r="C44" s="4977" t="s">
        <v>339</v>
      </c>
      <c r="D44" s="4978"/>
      <c r="E44" s="4979"/>
      <c r="F44" s="4979"/>
      <c r="G44" s="4979"/>
      <c r="H44" s="4979"/>
      <c r="I44" s="4979"/>
      <c r="J44" s="4979"/>
      <c r="K44" s="4979"/>
      <c r="L44" s="4979"/>
      <c r="M44" s="4979"/>
      <c r="N44" s="4979"/>
      <c r="O44" s="4979"/>
      <c r="P44" s="4979">
        <v>9</v>
      </c>
      <c r="Q44" s="4979">
        <v>21</v>
      </c>
      <c r="R44" s="4979">
        <v>26</v>
      </c>
      <c r="S44" s="4979">
        <v>23</v>
      </c>
      <c r="T44" s="4979">
        <v>16</v>
      </c>
      <c r="U44" s="4979">
        <v>21</v>
      </c>
      <c r="V44" s="4979">
        <v>19</v>
      </c>
      <c r="W44" s="4979">
        <v>21</v>
      </c>
    </row>
    <row r="45" spans="2:23" ht="15" customHeight="1" x14ac:dyDescent="0.3">
      <c r="B45" s="5838"/>
      <c r="C45" s="4977" t="s">
        <v>344</v>
      </c>
      <c r="D45" s="4978"/>
      <c r="E45" s="4979"/>
      <c r="F45" s="4979"/>
      <c r="G45" s="4979"/>
      <c r="H45" s="4979"/>
      <c r="I45" s="4979"/>
      <c r="J45" s="4979"/>
      <c r="K45" s="4979"/>
      <c r="L45" s="4979"/>
      <c r="M45" s="4979"/>
      <c r="N45" s="4979"/>
      <c r="O45" s="4979"/>
      <c r="P45" s="4979">
        <v>12</v>
      </c>
      <c r="Q45" s="4979">
        <v>24</v>
      </c>
      <c r="R45" s="4979">
        <v>25</v>
      </c>
      <c r="S45" s="4979">
        <v>17</v>
      </c>
      <c r="T45" s="4979">
        <v>17</v>
      </c>
      <c r="U45" s="4979">
        <v>16</v>
      </c>
      <c r="V45" s="4979">
        <v>18</v>
      </c>
      <c r="W45" s="4979">
        <v>17</v>
      </c>
    </row>
    <row r="46" spans="2:23" ht="15" customHeight="1" x14ac:dyDescent="0.3">
      <c r="B46" s="5839"/>
      <c r="C46" s="4977" t="s">
        <v>345</v>
      </c>
      <c r="D46" s="4978"/>
      <c r="E46" s="4979"/>
      <c r="F46" s="4979"/>
      <c r="G46" s="4979"/>
      <c r="H46" s="4979"/>
      <c r="I46" s="4979"/>
      <c r="J46" s="4979"/>
      <c r="K46" s="4979"/>
      <c r="L46" s="4979"/>
      <c r="M46" s="4979"/>
      <c r="N46" s="4979"/>
      <c r="O46" s="4979"/>
      <c r="P46" s="4979">
        <v>7</v>
      </c>
      <c r="Q46" s="4979">
        <v>9</v>
      </c>
      <c r="R46" s="4979">
        <v>14</v>
      </c>
      <c r="S46" s="4979">
        <v>14</v>
      </c>
      <c r="T46" s="4979">
        <v>9</v>
      </c>
      <c r="U46" s="4979">
        <v>6</v>
      </c>
      <c r="V46" s="4979">
        <v>5</v>
      </c>
      <c r="W46" s="4979">
        <v>11</v>
      </c>
    </row>
    <row r="47" spans="2:23" ht="15" customHeight="1" x14ac:dyDescent="0.3">
      <c r="B47" s="5840" t="s">
        <v>317</v>
      </c>
      <c r="C47" s="1471" t="s">
        <v>461</v>
      </c>
      <c r="D47" s="1457">
        <v>18</v>
      </c>
      <c r="E47" s="1458">
        <v>5</v>
      </c>
      <c r="F47" s="1458">
        <v>8</v>
      </c>
      <c r="G47" s="1458">
        <v>13</v>
      </c>
      <c r="H47" s="1458">
        <v>20</v>
      </c>
      <c r="I47" s="1458">
        <v>31</v>
      </c>
      <c r="J47" s="1458">
        <v>34</v>
      </c>
      <c r="K47" s="1458">
        <v>62</v>
      </c>
      <c r="L47" s="1458">
        <v>56</v>
      </c>
      <c r="M47" s="1458">
        <v>63</v>
      </c>
      <c r="N47" s="1458">
        <v>55</v>
      </c>
      <c r="O47" s="1458">
        <v>80</v>
      </c>
      <c r="P47" s="1458">
        <v>15</v>
      </c>
      <c r="Q47" s="1458"/>
      <c r="R47" s="1458"/>
      <c r="S47" s="1458"/>
      <c r="T47" s="1458"/>
      <c r="U47" s="1458"/>
      <c r="V47" s="1458"/>
      <c r="W47" s="1458"/>
    </row>
    <row r="48" spans="2:23" ht="15" customHeight="1" x14ac:dyDescent="0.3">
      <c r="B48" s="5841"/>
      <c r="C48" s="1456" t="s">
        <v>341</v>
      </c>
      <c r="D48" s="1458"/>
      <c r="E48" s="1458"/>
      <c r="F48" s="1458"/>
      <c r="G48" s="1458"/>
      <c r="H48" s="1458"/>
      <c r="I48" s="1458"/>
      <c r="J48" s="1458"/>
      <c r="K48" s="1458"/>
      <c r="L48" s="1458"/>
      <c r="M48" s="1458"/>
      <c r="N48" s="1458"/>
      <c r="O48" s="1458"/>
      <c r="P48" s="1458">
        <v>4</v>
      </c>
      <c r="Q48" s="1458">
        <v>4</v>
      </c>
      <c r="R48" s="1458">
        <v>8</v>
      </c>
      <c r="S48" s="1458">
        <v>5</v>
      </c>
      <c r="T48" s="1458">
        <v>4</v>
      </c>
      <c r="U48" s="1458">
        <v>8</v>
      </c>
      <c r="V48" s="1458">
        <v>8</v>
      </c>
      <c r="W48" s="1458">
        <v>9</v>
      </c>
    </row>
    <row r="49" spans="2:23" ht="15" customHeight="1" x14ac:dyDescent="0.3">
      <c r="B49" s="5841"/>
      <c r="C49" s="1456" t="s">
        <v>342</v>
      </c>
      <c r="D49" s="1458"/>
      <c r="E49" s="1458"/>
      <c r="F49" s="1458"/>
      <c r="G49" s="1458"/>
      <c r="H49" s="1458"/>
      <c r="I49" s="1458"/>
      <c r="J49" s="1458"/>
      <c r="K49" s="1458"/>
      <c r="L49" s="1458"/>
      <c r="M49" s="1458"/>
      <c r="N49" s="1458"/>
      <c r="O49" s="1458"/>
      <c r="P49" s="1458">
        <v>9</v>
      </c>
      <c r="Q49" s="1458">
        <v>11</v>
      </c>
      <c r="R49" s="1458">
        <v>12</v>
      </c>
      <c r="S49" s="1458">
        <v>7</v>
      </c>
      <c r="T49" s="1458">
        <v>10</v>
      </c>
      <c r="U49" s="1458">
        <v>11</v>
      </c>
      <c r="V49" s="1458">
        <v>8</v>
      </c>
      <c r="W49" s="1458">
        <v>8</v>
      </c>
    </row>
    <row r="50" spans="2:23" ht="15" customHeight="1" x14ac:dyDescent="0.3">
      <c r="B50" s="5841"/>
      <c r="C50" s="1456" t="s">
        <v>343</v>
      </c>
      <c r="D50" s="1458"/>
      <c r="E50" s="1458"/>
      <c r="F50" s="1458"/>
      <c r="G50" s="1458"/>
      <c r="H50" s="1458"/>
      <c r="I50" s="1458"/>
      <c r="J50" s="1458"/>
      <c r="K50" s="1458"/>
      <c r="L50" s="1458"/>
      <c r="M50" s="1458"/>
      <c r="N50" s="1458"/>
      <c r="O50" s="1458"/>
      <c r="P50" s="1458">
        <v>23</v>
      </c>
      <c r="Q50" s="1458">
        <v>28</v>
      </c>
      <c r="R50" s="1458">
        <v>34</v>
      </c>
      <c r="S50" s="1458">
        <v>24</v>
      </c>
      <c r="T50" s="1458">
        <v>23</v>
      </c>
      <c r="U50" s="1458">
        <v>26</v>
      </c>
      <c r="V50" s="1458">
        <v>29</v>
      </c>
      <c r="W50" s="1458">
        <v>32</v>
      </c>
    </row>
    <row r="51" spans="2:23" ht="15" customHeight="1" x14ac:dyDescent="0.3">
      <c r="B51" s="5841"/>
      <c r="C51" s="1456" t="s">
        <v>339</v>
      </c>
      <c r="D51" s="1458"/>
      <c r="E51" s="1458"/>
      <c r="F51" s="1458"/>
      <c r="G51" s="1458"/>
      <c r="H51" s="1458"/>
      <c r="I51" s="1458"/>
      <c r="J51" s="1458"/>
      <c r="K51" s="1458"/>
      <c r="L51" s="1458"/>
      <c r="M51" s="1458"/>
      <c r="N51" s="1458"/>
      <c r="O51" s="1458"/>
      <c r="P51" s="1458">
        <v>2</v>
      </c>
      <c r="Q51" s="1458">
        <v>2</v>
      </c>
      <c r="R51" s="1458">
        <v>5</v>
      </c>
      <c r="S51" s="1458">
        <v>4</v>
      </c>
      <c r="T51" s="1458">
        <v>4</v>
      </c>
      <c r="U51" s="1458">
        <v>3</v>
      </c>
      <c r="V51" s="1458">
        <v>3</v>
      </c>
      <c r="W51" s="1458">
        <v>3</v>
      </c>
    </row>
    <row r="52" spans="2:23" ht="15" customHeight="1" x14ac:dyDescent="0.3">
      <c r="B52" s="5841"/>
      <c r="C52" s="1456" t="s">
        <v>344</v>
      </c>
      <c r="D52" s="1458"/>
      <c r="E52" s="1458"/>
      <c r="F52" s="1458"/>
      <c r="G52" s="1458"/>
      <c r="H52" s="1458"/>
      <c r="I52" s="1458"/>
      <c r="J52" s="1458"/>
      <c r="K52" s="1458"/>
      <c r="L52" s="1458"/>
      <c r="M52" s="1458"/>
      <c r="N52" s="1458"/>
      <c r="O52" s="1458"/>
      <c r="P52" s="1458">
        <v>18</v>
      </c>
      <c r="Q52" s="1458">
        <v>26</v>
      </c>
      <c r="R52" s="1458">
        <v>28</v>
      </c>
      <c r="S52" s="1458">
        <v>18</v>
      </c>
      <c r="T52" s="1458">
        <v>19</v>
      </c>
      <c r="U52" s="1458">
        <v>18</v>
      </c>
      <c r="V52" s="1458">
        <v>20</v>
      </c>
      <c r="W52" s="1458">
        <v>20</v>
      </c>
    </row>
    <row r="53" spans="2:23" ht="15" customHeight="1" x14ac:dyDescent="0.3">
      <c r="B53" s="5842"/>
      <c r="C53" s="1456" t="s">
        <v>345</v>
      </c>
      <c r="D53" s="1458"/>
      <c r="E53" s="1458"/>
      <c r="F53" s="1458"/>
      <c r="G53" s="1458"/>
      <c r="H53" s="1458"/>
      <c r="I53" s="1458"/>
      <c r="J53" s="1458"/>
      <c r="K53" s="1458"/>
      <c r="L53" s="1458"/>
      <c r="M53" s="1458"/>
      <c r="N53" s="1458"/>
      <c r="O53" s="1458"/>
      <c r="P53" s="1478">
        <v>0</v>
      </c>
      <c r="Q53" s="1478"/>
      <c r="R53" s="1478">
        <v>3</v>
      </c>
      <c r="S53" s="1478">
        <v>4</v>
      </c>
      <c r="T53" s="1478">
        <v>6</v>
      </c>
      <c r="U53" s="1478">
        <v>7</v>
      </c>
      <c r="V53" s="1478">
        <v>6</v>
      </c>
      <c r="W53" s="1478">
        <v>10</v>
      </c>
    </row>
    <row r="54" spans="2:23" ht="15" customHeight="1" x14ac:dyDescent="0.25">
      <c r="B54" s="1270"/>
      <c r="C54" s="1482" t="s">
        <v>68</v>
      </c>
      <c r="D54" s="1480">
        <f>SUM(D37:D47)</f>
        <v>106</v>
      </c>
      <c r="E54" s="1480">
        <f t="shared" ref="E54:M54" si="4">SUM(E37:E47)</f>
        <v>79</v>
      </c>
      <c r="F54" s="1480">
        <f t="shared" si="4"/>
        <v>85</v>
      </c>
      <c r="G54" s="1480">
        <f t="shared" si="4"/>
        <v>102</v>
      </c>
      <c r="H54" s="1480">
        <f t="shared" si="4"/>
        <v>132</v>
      </c>
      <c r="I54" s="1480">
        <f t="shared" si="4"/>
        <v>150</v>
      </c>
      <c r="J54" s="1480">
        <f t="shared" si="4"/>
        <v>184</v>
      </c>
      <c r="K54" s="1480">
        <f t="shared" si="4"/>
        <v>251</v>
      </c>
      <c r="L54" s="1480">
        <f t="shared" si="4"/>
        <v>184</v>
      </c>
      <c r="M54" s="1480">
        <f t="shared" si="4"/>
        <v>237</v>
      </c>
      <c r="N54" s="1480">
        <f>SUM(N37:N47)</f>
        <v>180</v>
      </c>
      <c r="O54" s="1480">
        <f>SUM(O37:O47)</f>
        <v>224</v>
      </c>
      <c r="P54" s="1480">
        <f t="shared" ref="P54:U54" si="5">SUM(P37:P53)</f>
        <v>212</v>
      </c>
      <c r="Q54" s="1480">
        <f t="shared" si="5"/>
        <v>202</v>
      </c>
      <c r="R54" s="1480">
        <f t="shared" si="5"/>
        <v>227</v>
      </c>
      <c r="S54" s="1480">
        <f t="shared" si="5"/>
        <v>184</v>
      </c>
      <c r="T54" s="1480">
        <f t="shared" si="5"/>
        <v>160</v>
      </c>
      <c r="U54" s="1480">
        <f t="shared" si="5"/>
        <v>176</v>
      </c>
      <c r="V54" s="1480">
        <f t="shared" ref="V54:W54" si="6">SUM(V37:V53)</f>
        <v>192</v>
      </c>
      <c r="W54" s="1480">
        <f t="shared" si="6"/>
        <v>236</v>
      </c>
    </row>
    <row r="55" spans="2:23" ht="15" customHeight="1" x14ac:dyDescent="0.25">
      <c r="B55" s="1290"/>
      <c r="C55" s="1483" t="s">
        <v>347</v>
      </c>
      <c r="D55" s="1484">
        <f t="shared" ref="D55:S55" si="7">SUM(D16,D36,D54)</f>
        <v>374</v>
      </c>
      <c r="E55" s="1416">
        <f t="shared" si="7"/>
        <v>381</v>
      </c>
      <c r="F55" s="1416">
        <f t="shared" si="7"/>
        <v>398</v>
      </c>
      <c r="G55" s="1416">
        <f t="shared" si="7"/>
        <v>395</v>
      </c>
      <c r="H55" s="1416">
        <f t="shared" si="7"/>
        <v>510</v>
      </c>
      <c r="I55" s="1416">
        <f t="shared" si="7"/>
        <v>462</v>
      </c>
      <c r="J55" s="1416">
        <f t="shared" si="7"/>
        <v>553</v>
      </c>
      <c r="K55" s="1416">
        <f t="shared" si="7"/>
        <v>599</v>
      </c>
      <c r="L55" s="1416">
        <f t="shared" si="7"/>
        <v>575</v>
      </c>
      <c r="M55" s="1416">
        <f t="shared" si="7"/>
        <v>590</v>
      </c>
      <c r="N55" s="1416">
        <f t="shared" si="7"/>
        <v>607</v>
      </c>
      <c r="O55" s="1416">
        <f t="shared" si="7"/>
        <v>698</v>
      </c>
      <c r="P55" s="1416">
        <f t="shared" si="7"/>
        <v>707</v>
      </c>
      <c r="Q55" s="1416">
        <f t="shared" si="7"/>
        <v>727</v>
      </c>
      <c r="R55" s="1416">
        <f t="shared" si="7"/>
        <v>816</v>
      </c>
      <c r="S55" s="1416">
        <f t="shared" si="7"/>
        <v>768</v>
      </c>
      <c r="T55" s="1416">
        <f>SUM(T16,T36,T54)</f>
        <v>808</v>
      </c>
      <c r="U55" s="1416">
        <f>SUM(U16,U36,U54)</f>
        <v>754</v>
      </c>
      <c r="V55" s="1416">
        <f>SUM(V16,V36,V54)</f>
        <v>770</v>
      </c>
      <c r="W55" s="1416">
        <f>SUM(W16,W36,W54)</f>
        <v>780</v>
      </c>
    </row>
    <row r="56" spans="2:23" ht="15" customHeight="1" x14ac:dyDescent="0.3">
      <c r="B56" s="1485" t="s">
        <v>308</v>
      </c>
      <c r="C56" s="1474" t="s">
        <v>356</v>
      </c>
      <c r="D56" s="1457"/>
      <c r="E56" s="1458"/>
      <c r="F56" s="1458"/>
      <c r="G56" s="1458"/>
      <c r="H56" s="1458"/>
      <c r="I56" s="1458"/>
      <c r="J56" s="1458"/>
      <c r="K56" s="1458"/>
      <c r="L56" s="1458"/>
      <c r="M56" s="1458"/>
      <c r="N56" s="1458"/>
      <c r="O56" s="1458"/>
      <c r="P56" s="1458"/>
      <c r="Q56" s="1458">
        <v>2</v>
      </c>
      <c r="R56" s="1458">
        <v>4</v>
      </c>
      <c r="S56" s="1458">
        <v>5</v>
      </c>
      <c r="T56" s="1458">
        <v>3</v>
      </c>
      <c r="U56" s="1458">
        <v>4</v>
      </c>
      <c r="V56" s="1458">
        <v>6</v>
      </c>
      <c r="W56" s="1458">
        <v>8</v>
      </c>
    </row>
    <row r="57" spans="2:23" ht="15" customHeight="1" x14ac:dyDescent="0.3">
      <c r="B57" s="5834" t="s">
        <v>310</v>
      </c>
      <c r="C57" s="4987" t="s">
        <v>364</v>
      </c>
      <c r="D57" s="4978">
        <v>6</v>
      </c>
      <c r="E57" s="4979">
        <v>3</v>
      </c>
      <c r="F57" s="4979">
        <v>5</v>
      </c>
      <c r="G57" s="4979">
        <v>10</v>
      </c>
      <c r="H57" s="4979">
        <v>13</v>
      </c>
      <c r="I57" s="4979">
        <v>16</v>
      </c>
      <c r="J57" s="4979">
        <v>15</v>
      </c>
      <c r="K57" s="4979">
        <v>12</v>
      </c>
      <c r="L57" s="4979">
        <v>16</v>
      </c>
      <c r="M57" s="4979">
        <v>29</v>
      </c>
      <c r="N57" s="4979">
        <v>30</v>
      </c>
      <c r="O57" s="4979">
        <v>30</v>
      </c>
      <c r="P57" s="4979">
        <v>36</v>
      </c>
      <c r="Q57" s="4979">
        <v>49</v>
      </c>
      <c r="R57" s="4979">
        <v>63</v>
      </c>
      <c r="S57" s="4979">
        <v>66</v>
      </c>
      <c r="T57" s="4979">
        <v>71</v>
      </c>
      <c r="U57" s="4979">
        <v>69</v>
      </c>
      <c r="V57" s="4979">
        <v>63</v>
      </c>
      <c r="W57" s="4979">
        <v>76</v>
      </c>
    </row>
    <row r="58" spans="2:23" ht="15" customHeight="1" x14ac:dyDescent="0.3">
      <c r="B58" s="5835"/>
      <c r="C58" s="4988" t="s">
        <v>443</v>
      </c>
      <c r="D58" s="4978">
        <v>13</v>
      </c>
      <c r="E58" s="4979">
        <v>25</v>
      </c>
      <c r="F58" s="4979">
        <v>50</v>
      </c>
      <c r="G58" s="4979">
        <v>58</v>
      </c>
      <c r="H58" s="4979">
        <v>60</v>
      </c>
      <c r="I58" s="4979">
        <v>70</v>
      </c>
      <c r="J58" s="4979">
        <v>78</v>
      </c>
      <c r="K58" s="4979">
        <v>52</v>
      </c>
      <c r="L58" s="4979">
        <v>72</v>
      </c>
      <c r="M58" s="4979">
        <v>96</v>
      </c>
      <c r="N58" s="4979">
        <v>74</v>
      </c>
      <c r="O58" s="4979">
        <v>82</v>
      </c>
      <c r="P58" s="4979">
        <v>79</v>
      </c>
      <c r="Q58" s="4979">
        <v>71</v>
      </c>
      <c r="R58" s="4979">
        <v>59</v>
      </c>
      <c r="S58" s="4979">
        <v>55</v>
      </c>
      <c r="T58" s="4979">
        <v>62</v>
      </c>
      <c r="U58" s="4979">
        <v>47</v>
      </c>
      <c r="V58" s="4979">
        <v>41</v>
      </c>
      <c r="W58" s="4979">
        <v>55</v>
      </c>
    </row>
    <row r="59" spans="2:23" ht="15" customHeight="1" x14ac:dyDescent="0.3">
      <c r="B59" s="5835"/>
      <c r="C59" s="4988" t="s">
        <v>359</v>
      </c>
      <c r="D59" s="4978">
        <v>14</v>
      </c>
      <c r="E59" s="4979">
        <v>17</v>
      </c>
      <c r="F59" s="4979">
        <v>18</v>
      </c>
      <c r="G59" s="4979">
        <v>15</v>
      </c>
      <c r="H59" s="4979">
        <v>18</v>
      </c>
      <c r="I59" s="4979">
        <v>20</v>
      </c>
      <c r="J59" s="4979">
        <v>26</v>
      </c>
      <c r="K59" s="4979">
        <v>18</v>
      </c>
      <c r="L59" s="4979">
        <v>17</v>
      </c>
      <c r="M59" s="4979">
        <v>68</v>
      </c>
      <c r="N59" s="4979">
        <v>18</v>
      </c>
      <c r="O59" s="4979">
        <v>20</v>
      </c>
      <c r="P59" s="4979">
        <v>22</v>
      </c>
      <c r="Q59" s="4979">
        <v>36</v>
      </c>
      <c r="R59" s="4979">
        <v>36</v>
      </c>
      <c r="S59" s="4979">
        <v>24</v>
      </c>
      <c r="T59" s="4979">
        <v>19</v>
      </c>
      <c r="U59" s="4979">
        <v>17</v>
      </c>
      <c r="V59" s="4979">
        <v>20</v>
      </c>
      <c r="W59" s="4979">
        <v>35</v>
      </c>
    </row>
    <row r="60" spans="2:23" ht="15" customHeight="1" x14ac:dyDescent="0.3">
      <c r="B60" s="5835"/>
      <c r="C60" s="4988" t="s">
        <v>360</v>
      </c>
      <c r="D60" s="4978">
        <v>28</v>
      </c>
      <c r="E60" s="4979">
        <v>24</v>
      </c>
      <c r="F60" s="4979">
        <v>24</v>
      </c>
      <c r="G60" s="4979">
        <v>24</v>
      </c>
      <c r="H60" s="4979">
        <v>21</v>
      </c>
      <c r="I60" s="4979">
        <v>24</v>
      </c>
      <c r="J60" s="4979">
        <v>33</v>
      </c>
      <c r="K60" s="4979">
        <v>38</v>
      </c>
      <c r="L60" s="4979">
        <v>30</v>
      </c>
      <c r="M60" s="4979">
        <v>36</v>
      </c>
      <c r="N60" s="4979">
        <v>31</v>
      </c>
      <c r="O60" s="4979">
        <v>26</v>
      </c>
      <c r="P60" s="4979">
        <v>32</v>
      </c>
      <c r="Q60" s="4979">
        <v>35</v>
      </c>
      <c r="R60" s="4979">
        <v>35</v>
      </c>
      <c r="S60" s="4979">
        <v>37</v>
      </c>
      <c r="T60" s="4979">
        <v>32</v>
      </c>
      <c r="U60" s="4979">
        <v>36</v>
      </c>
      <c r="V60" s="4979">
        <v>28</v>
      </c>
      <c r="W60" s="4979">
        <v>33</v>
      </c>
    </row>
    <row r="61" spans="2:23" ht="15" customHeight="1" x14ac:dyDescent="0.3">
      <c r="B61" s="5835"/>
      <c r="C61" s="4988" t="s">
        <v>361</v>
      </c>
      <c r="D61" s="4978">
        <v>22</v>
      </c>
      <c r="E61" s="4979">
        <v>30</v>
      </c>
      <c r="F61" s="4979">
        <v>45</v>
      </c>
      <c r="G61" s="4979">
        <v>51</v>
      </c>
      <c r="H61" s="4979">
        <v>60</v>
      </c>
      <c r="I61" s="4979">
        <v>61</v>
      </c>
      <c r="J61" s="4979">
        <v>55</v>
      </c>
      <c r="K61" s="4979">
        <v>52</v>
      </c>
      <c r="L61" s="4979">
        <v>58</v>
      </c>
      <c r="M61" s="4979">
        <v>56</v>
      </c>
      <c r="N61" s="4979">
        <v>43</v>
      </c>
      <c r="O61" s="4979">
        <v>32</v>
      </c>
      <c r="P61" s="4979">
        <v>26</v>
      </c>
      <c r="Q61" s="4979">
        <v>32</v>
      </c>
      <c r="R61" s="4979">
        <v>33</v>
      </c>
      <c r="S61" s="4979">
        <v>33</v>
      </c>
      <c r="T61" s="4979">
        <v>42</v>
      </c>
      <c r="U61" s="4979">
        <v>31</v>
      </c>
      <c r="V61" s="4979">
        <v>30</v>
      </c>
      <c r="W61" s="4979">
        <v>34</v>
      </c>
    </row>
    <row r="62" spans="2:23" ht="15" customHeight="1" x14ac:dyDescent="0.3">
      <c r="B62" s="5835"/>
      <c r="C62" s="4988" t="s">
        <v>362</v>
      </c>
      <c r="D62" s="4978"/>
      <c r="E62" s="4979"/>
      <c r="F62" s="4979">
        <v>11</v>
      </c>
      <c r="G62" s="4979">
        <v>21</v>
      </c>
      <c r="H62" s="4979">
        <v>25</v>
      </c>
      <c r="I62" s="4979">
        <v>28</v>
      </c>
      <c r="J62" s="4979">
        <v>37</v>
      </c>
      <c r="K62" s="4979">
        <v>48</v>
      </c>
      <c r="L62" s="4979">
        <v>58</v>
      </c>
      <c r="M62" s="4979">
        <v>60</v>
      </c>
      <c r="N62" s="4979">
        <v>52</v>
      </c>
      <c r="O62" s="4979">
        <v>47</v>
      </c>
      <c r="P62" s="4979">
        <v>41</v>
      </c>
      <c r="Q62" s="4979">
        <v>38</v>
      </c>
      <c r="R62" s="4979">
        <v>36</v>
      </c>
      <c r="S62" s="4979">
        <v>32</v>
      </c>
      <c r="T62" s="4979">
        <v>27</v>
      </c>
      <c r="U62" s="4979">
        <v>29</v>
      </c>
      <c r="V62" s="4979">
        <v>24</v>
      </c>
      <c r="W62" s="4979">
        <v>29</v>
      </c>
    </row>
    <row r="63" spans="2:23" ht="15" customHeight="1" x14ac:dyDescent="0.3">
      <c r="B63" s="5836"/>
      <c r="C63" s="4988" t="s">
        <v>363</v>
      </c>
      <c r="D63" s="4978"/>
      <c r="E63" s="4979"/>
      <c r="F63" s="4979"/>
      <c r="G63" s="4979"/>
      <c r="H63" s="4979"/>
      <c r="I63" s="4979"/>
      <c r="J63" s="4979"/>
      <c r="K63" s="4979"/>
      <c r="L63" s="4979"/>
      <c r="M63" s="4979"/>
      <c r="N63" s="4979">
        <v>25</v>
      </c>
      <c r="O63" s="4979">
        <v>33</v>
      </c>
      <c r="P63" s="4979">
        <v>44</v>
      </c>
      <c r="Q63" s="4979">
        <v>63</v>
      </c>
      <c r="R63" s="4979">
        <v>62</v>
      </c>
      <c r="S63" s="4979">
        <v>57</v>
      </c>
      <c r="T63" s="4979">
        <v>73</v>
      </c>
      <c r="U63" s="4979">
        <v>63</v>
      </c>
      <c r="V63" s="4979">
        <v>87</v>
      </c>
      <c r="W63" s="4979">
        <v>85</v>
      </c>
    </row>
    <row r="64" spans="2:23" ht="15" customHeight="1" x14ac:dyDescent="0.3">
      <c r="B64" s="5845" t="s">
        <v>317</v>
      </c>
      <c r="C64" s="1459" t="s">
        <v>364</v>
      </c>
      <c r="D64" s="1457">
        <v>34</v>
      </c>
      <c r="E64" s="1458">
        <v>35</v>
      </c>
      <c r="F64" s="1458">
        <v>36</v>
      </c>
      <c r="G64" s="1458">
        <v>35</v>
      </c>
      <c r="H64" s="1458">
        <v>38</v>
      </c>
      <c r="I64" s="1458">
        <v>32</v>
      </c>
      <c r="J64" s="1458">
        <v>32</v>
      </c>
      <c r="K64" s="1458">
        <v>30</v>
      </c>
      <c r="L64" s="1458">
        <v>27</v>
      </c>
      <c r="M64" s="1458">
        <v>19</v>
      </c>
      <c r="N64" s="1458">
        <v>24</v>
      </c>
      <c r="O64" s="1458">
        <v>26</v>
      </c>
      <c r="P64" s="1458">
        <v>27</v>
      </c>
      <c r="Q64" s="1458">
        <v>25</v>
      </c>
      <c r="R64" s="1458">
        <v>25</v>
      </c>
      <c r="S64" s="1458">
        <v>33</v>
      </c>
      <c r="T64" s="1458">
        <v>34</v>
      </c>
      <c r="U64" s="1458">
        <v>34</v>
      </c>
      <c r="V64" s="1458">
        <v>36</v>
      </c>
      <c r="W64" s="1458">
        <v>48</v>
      </c>
    </row>
    <row r="65" spans="2:23" ht="15" customHeight="1" x14ac:dyDescent="0.3">
      <c r="B65" s="5846"/>
      <c r="C65" s="1459" t="s">
        <v>443</v>
      </c>
      <c r="D65" s="1457">
        <v>20</v>
      </c>
      <c r="E65" s="1458">
        <v>28</v>
      </c>
      <c r="F65" s="1458">
        <v>32</v>
      </c>
      <c r="G65" s="1458">
        <v>34</v>
      </c>
      <c r="H65" s="1458">
        <v>34</v>
      </c>
      <c r="I65" s="1458">
        <v>37</v>
      </c>
      <c r="J65" s="1458">
        <v>30</v>
      </c>
      <c r="K65" s="1458">
        <v>51</v>
      </c>
      <c r="L65" s="1458">
        <v>58</v>
      </c>
      <c r="M65" s="1458">
        <v>43</v>
      </c>
      <c r="N65" s="1458">
        <v>62</v>
      </c>
      <c r="O65" s="1458">
        <v>61</v>
      </c>
      <c r="P65" s="1458">
        <v>63</v>
      </c>
      <c r="Q65" s="1458">
        <v>61</v>
      </c>
      <c r="R65" s="1458">
        <v>52</v>
      </c>
      <c r="S65" s="1458">
        <v>49</v>
      </c>
      <c r="T65" s="1458">
        <v>46</v>
      </c>
      <c r="U65" s="1458">
        <v>48</v>
      </c>
      <c r="V65" s="1458">
        <v>46</v>
      </c>
      <c r="W65" s="1458">
        <v>50</v>
      </c>
    </row>
    <row r="66" spans="2:23" ht="15" customHeight="1" x14ac:dyDescent="0.3">
      <c r="B66" s="5846"/>
      <c r="C66" s="1459" t="s">
        <v>359</v>
      </c>
      <c r="D66" s="1457">
        <v>85</v>
      </c>
      <c r="E66" s="1458">
        <v>92</v>
      </c>
      <c r="F66" s="1458">
        <v>101</v>
      </c>
      <c r="G66" s="1458">
        <v>97</v>
      </c>
      <c r="H66" s="1458">
        <v>95</v>
      </c>
      <c r="I66" s="1458">
        <v>79</v>
      </c>
      <c r="J66" s="1458">
        <v>71</v>
      </c>
      <c r="K66" s="1458">
        <v>90</v>
      </c>
      <c r="L66" s="1458">
        <v>93</v>
      </c>
      <c r="M66" s="1458">
        <v>49</v>
      </c>
      <c r="N66" s="1458">
        <v>100</v>
      </c>
      <c r="O66" s="1458">
        <v>104</v>
      </c>
      <c r="P66" s="1458">
        <v>86</v>
      </c>
      <c r="Q66" s="1458">
        <v>70</v>
      </c>
      <c r="R66" s="1458">
        <v>63</v>
      </c>
      <c r="S66" s="1458">
        <v>61</v>
      </c>
      <c r="T66" s="1458">
        <v>56</v>
      </c>
      <c r="U66" s="1458">
        <v>49</v>
      </c>
      <c r="V66" s="1458">
        <v>45</v>
      </c>
      <c r="W66" s="1458">
        <v>46</v>
      </c>
    </row>
    <row r="67" spans="2:23" ht="15" customHeight="1" x14ac:dyDescent="0.3">
      <c r="B67" s="5846"/>
      <c r="C67" s="1459" t="s">
        <v>360</v>
      </c>
      <c r="D67" s="1457">
        <v>57</v>
      </c>
      <c r="E67" s="1458">
        <v>58</v>
      </c>
      <c r="F67" s="1458">
        <v>60</v>
      </c>
      <c r="G67" s="1458">
        <v>54</v>
      </c>
      <c r="H67" s="1458">
        <v>53</v>
      </c>
      <c r="I67" s="1458">
        <v>42</v>
      </c>
      <c r="J67" s="1458">
        <v>40</v>
      </c>
      <c r="K67" s="1458">
        <v>34</v>
      </c>
      <c r="L67" s="1458">
        <v>43</v>
      </c>
      <c r="M67" s="1458">
        <v>40</v>
      </c>
      <c r="N67" s="1458">
        <v>41</v>
      </c>
      <c r="O67" s="1458">
        <v>37</v>
      </c>
      <c r="P67" s="1458">
        <v>41</v>
      </c>
      <c r="Q67" s="1458">
        <v>40</v>
      </c>
      <c r="R67" s="1458">
        <v>37</v>
      </c>
      <c r="S67" s="1458">
        <v>43</v>
      </c>
      <c r="T67" s="1458">
        <v>42</v>
      </c>
      <c r="U67" s="1458">
        <v>36</v>
      </c>
      <c r="V67" s="1458">
        <v>34</v>
      </c>
      <c r="W67" s="1458">
        <v>32</v>
      </c>
    </row>
    <row r="68" spans="2:23" ht="15" customHeight="1" x14ac:dyDescent="0.3">
      <c r="B68" s="5846"/>
      <c r="C68" s="1459" t="s">
        <v>361</v>
      </c>
      <c r="D68" s="1457">
        <v>17</v>
      </c>
      <c r="E68" s="1458">
        <v>13</v>
      </c>
      <c r="F68" s="1458">
        <v>15</v>
      </c>
      <c r="G68" s="1458">
        <v>19</v>
      </c>
      <c r="H68" s="1458">
        <v>15</v>
      </c>
      <c r="I68" s="1458">
        <v>15</v>
      </c>
      <c r="J68" s="1458">
        <v>14</v>
      </c>
      <c r="K68" s="1458">
        <v>21</v>
      </c>
      <c r="L68" s="1458">
        <v>19</v>
      </c>
      <c r="M68" s="1458">
        <v>18</v>
      </c>
      <c r="N68" s="1458">
        <v>27</v>
      </c>
      <c r="O68" s="1458">
        <v>29</v>
      </c>
      <c r="P68" s="1458">
        <v>32</v>
      </c>
      <c r="Q68" s="1458">
        <v>29</v>
      </c>
      <c r="R68" s="1458">
        <v>26</v>
      </c>
      <c r="S68" s="1458">
        <v>25</v>
      </c>
      <c r="T68" s="1458">
        <v>24</v>
      </c>
      <c r="U68" s="1458">
        <v>22</v>
      </c>
      <c r="V68" s="1458">
        <v>17</v>
      </c>
      <c r="W68" s="1458">
        <v>19</v>
      </c>
    </row>
    <row r="69" spans="2:23" ht="15" customHeight="1" x14ac:dyDescent="0.3">
      <c r="B69" s="5846"/>
      <c r="C69" s="1459" t="s">
        <v>367</v>
      </c>
      <c r="D69" s="1461"/>
      <c r="E69" s="1462"/>
      <c r="F69" s="1462"/>
      <c r="G69" s="1462"/>
      <c r="H69" s="1462"/>
      <c r="I69" s="1462"/>
      <c r="J69" s="1462"/>
      <c r="K69" s="1462"/>
      <c r="L69" s="1462">
        <v>6</v>
      </c>
      <c r="M69" s="1462">
        <v>6</v>
      </c>
      <c r="N69" s="1462">
        <v>24</v>
      </c>
      <c r="O69" s="1462">
        <v>31</v>
      </c>
      <c r="P69" s="1462">
        <v>29</v>
      </c>
      <c r="Q69" s="1462">
        <v>30</v>
      </c>
      <c r="R69" s="1462">
        <v>28</v>
      </c>
      <c r="S69" s="1462">
        <v>27</v>
      </c>
      <c r="T69" s="1462">
        <v>29</v>
      </c>
      <c r="U69" s="1462">
        <v>24</v>
      </c>
      <c r="V69" s="1462">
        <v>25</v>
      </c>
      <c r="W69" s="1462">
        <v>19</v>
      </c>
    </row>
    <row r="70" spans="2:23" ht="15" customHeight="1" x14ac:dyDescent="0.3">
      <c r="B70" s="5846"/>
      <c r="C70" s="1459" t="s">
        <v>369</v>
      </c>
      <c r="D70" s="1457">
        <v>47</v>
      </c>
      <c r="E70" s="1458">
        <v>24</v>
      </c>
      <c r="F70" s="1458">
        <v>4</v>
      </c>
      <c r="G70" s="1458">
        <v>2</v>
      </c>
      <c r="H70" s="1458"/>
      <c r="I70" s="1458">
        <v>2</v>
      </c>
      <c r="J70" s="1458">
        <v>10</v>
      </c>
      <c r="K70" s="1458">
        <v>8</v>
      </c>
      <c r="L70" s="1458"/>
      <c r="M70" s="1458"/>
      <c r="N70" s="1458"/>
      <c r="O70" s="1458"/>
      <c r="P70" s="1458"/>
      <c r="Q70" s="1458"/>
      <c r="R70" s="1458"/>
      <c r="S70" s="1458"/>
      <c r="T70" s="1458"/>
      <c r="U70" s="1458"/>
      <c r="V70" s="1458"/>
      <c r="W70" s="1458"/>
    </row>
    <row r="71" spans="2:23" ht="15" customHeight="1" x14ac:dyDescent="0.3">
      <c r="B71" s="5847"/>
      <c r="C71" s="1459" t="s">
        <v>363</v>
      </c>
      <c r="D71" s="1457"/>
      <c r="E71" s="1458"/>
      <c r="F71" s="1458"/>
      <c r="G71" s="1458"/>
      <c r="H71" s="1458"/>
      <c r="I71" s="1458"/>
      <c r="J71" s="1458"/>
      <c r="K71" s="1458"/>
      <c r="L71" s="1458"/>
      <c r="M71" s="1458"/>
      <c r="N71" s="1458">
        <v>5</v>
      </c>
      <c r="O71" s="1458">
        <v>8</v>
      </c>
      <c r="P71" s="1458">
        <v>10</v>
      </c>
      <c r="Q71" s="1458">
        <v>14</v>
      </c>
      <c r="R71" s="1458">
        <v>16</v>
      </c>
      <c r="S71" s="1458">
        <v>21</v>
      </c>
      <c r="T71" s="1458">
        <v>20</v>
      </c>
      <c r="U71" s="1458">
        <v>20</v>
      </c>
      <c r="V71" s="1458">
        <v>18</v>
      </c>
      <c r="W71" s="1458">
        <v>21</v>
      </c>
    </row>
    <row r="72" spans="2:23" ht="15" customHeight="1" x14ac:dyDescent="0.25">
      <c r="B72" s="1424"/>
      <c r="C72" s="1479" t="s">
        <v>59</v>
      </c>
      <c r="D72" s="1480">
        <f>SUM(D57:D70)</f>
        <v>343</v>
      </c>
      <c r="E72" s="1480">
        <f t="shared" ref="E72:M72" si="8">SUM(E57:E70)</f>
        <v>349</v>
      </c>
      <c r="F72" s="1480">
        <f t="shared" si="8"/>
        <v>401</v>
      </c>
      <c r="G72" s="1480">
        <f t="shared" si="8"/>
        <v>420</v>
      </c>
      <c r="H72" s="1480">
        <f t="shared" si="8"/>
        <v>432</v>
      </c>
      <c r="I72" s="1480">
        <f t="shared" si="8"/>
        <v>426</v>
      </c>
      <c r="J72" s="1480">
        <f t="shared" si="8"/>
        <v>441</v>
      </c>
      <c r="K72" s="1480">
        <f t="shared" si="8"/>
        <v>454</v>
      </c>
      <c r="L72" s="1480">
        <f t="shared" si="8"/>
        <v>497</v>
      </c>
      <c r="M72" s="1480">
        <f t="shared" si="8"/>
        <v>520</v>
      </c>
      <c r="N72" s="1480">
        <f>SUM(N57:N71)</f>
        <v>556</v>
      </c>
      <c r="O72" s="1480">
        <f>SUM(O57:O71)</f>
        <v>566</v>
      </c>
      <c r="P72" s="1480">
        <f>SUM(P57:P71)</f>
        <v>568</v>
      </c>
      <c r="Q72" s="1480">
        <f t="shared" ref="Q72:V72" si="9">SUM(Q56:Q71)</f>
        <v>595</v>
      </c>
      <c r="R72" s="1480">
        <f t="shared" si="9"/>
        <v>575</v>
      </c>
      <c r="S72" s="1480">
        <f t="shared" si="9"/>
        <v>568</v>
      </c>
      <c r="T72" s="1480">
        <f t="shared" si="9"/>
        <v>580</v>
      </c>
      <c r="U72" s="1480">
        <f t="shared" si="9"/>
        <v>529</v>
      </c>
      <c r="V72" s="1480">
        <f t="shared" si="9"/>
        <v>520</v>
      </c>
      <c r="W72" s="1480">
        <f t="shared" ref="W72" si="10">SUM(W56:W71)</f>
        <v>590</v>
      </c>
    </row>
    <row r="73" spans="2:23" ht="15" customHeight="1" x14ac:dyDescent="0.3">
      <c r="B73" s="1486" t="s">
        <v>308</v>
      </c>
      <c r="C73" s="1487" t="s">
        <v>370</v>
      </c>
      <c r="D73" s="1468">
        <v>47</v>
      </c>
      <c r="E73" s="1469">
        <v>114</v>
      </c>
      <c r="F73" s="1469">
        <v>74</v>
      </c>
      <c r="G73" s="1469">
        <v>86</v>
      </c>
      <c r="H73" s="1469">
        <v>109</v>
      </c>
      <c r="I73" s="1469">
        <v>101</v>
      </c>
      <c r="J73" s="1469">
        <v>118</v>
      </c>
      <c r="K73" s="1469">
        <v>169</v>
      </c>
      <c r="L73" s="1469">
        <v>153</v>
      </c>
      <c r="M73" s="1469">
        <v>83</v>
      </c>
      <c r="N73" s="1469">
        <v>36</v>
      </c>
      <c r="O73" s="1469">
        <v>44</v>
      </c>
      <c r="P73" s="1469">
        <v>59</v>
      </c>
      <c r="Q73" s="1469">
        <v>34</v>
      </c>
      <c r="R73" s="1469">
        <v>61</v>
      </c>
      <c r="S73" s="1469">
        <v>110</v>
      </c>
      <c r="T73" s="1469">
        <v>64</v>
      </c>
      <c r="U73" s="1469">
        <v>83</v>
      </c>
      <c r="V73" s="1469">
        <v>56</v>
      </c>
      <c r="W73" s="1469">
        <v>54</v>
      </c>
    </row>
    <row r="74" spans="2:23" ht="15" customHeight="1" x14ac:dyDescent="0.3">
      <c r="B74" s="5834" t="s">
        <v>310</v>
      </c>
      <c r="C74" s="4980" t="s">
        <v>371</v>
      </c>
      <c r="D74" s="4978">
        <v>9</v>
      </c>
      <c r="E74" s="4979">
        <v>7</v>
      </c>
      <c r="F74" s="4979">
        <v>11</v>
      </c>
      <c r="G74" s="4979">
        <v>10</v>
      </c>
      <c r="H74" s="4979">
        <v>11</v>
      </c>
      <c r="I74" s="4979">
        <v>21</v>
      </c>
      <c r="J74" s="4979">
        <v>19</v>
      </c>
      <c r="K74" s="4979">
        <v>16</v>
      </c>
      <c r="L74" s="4979">
        <v>4</v>
      </c>
      <c r="M74" s="4979">
        <v>15</v>
      </c>
      <c r="N74" s="4979">
        <v>15</v>
      </c>
      <c r="O74" s="4979">
        <v>4</v>
      </c>
      <c r="P74" s="4979">
        <v>15</v>
      </c>
      <c r="Q74" s="4979">
        <v>6</v>
      </c>
      <c r="R74" s="4979">
        <v>12</v>
      </c>
      <c r="S74" s="4979">
        <v>2</v>
      </c>
      <c r="T74" s="4979">
        <v>11</v>
      </c>
      <c r="U74" s="4979">
        <v>5</v>
      </c>
      <c r="V74" s="4979">
        <v>12</v>
      </c>
      <c r="W74" s="4979">
        <v>12</v>
      </c>
    </row>
    <row r="75" spans="2:23" ht="15" customHeight="1" x14ac:dyDescent="0.3">
      <c r="B75" s="5835"/>
      <c r="C75" s="4980" t="s">
        <v>446</v>
      </c>
      <c r="D75" s="4978"/>
      <c r="E75" s="4979"/>
      <c r="F75" s="4979"/>
      <c r="G75" s="4979"/>
      <c r="H75" s="4979"/>
      <c r="I75" s="4979"/>
      <c r="J75" s="4979">
        <v>1</v>
      </c>
      <c r="K75" s="4979">
        <v>1</v>
      </c>
      <c r="L75" s="4979">
        <v>1</v>
      </c>
      <c r="M75" s="4979"/>
      <c r="N75" s="4979"/>
      <c r="O75" s="4979"/>
      <c r="P75" s="4979"/>
      <c r="Q75" s="4979"/>
      <c r="R75" s="4979"/>
      <c r="S75" s="4979"/>
      <c r="T75" s="4979"/>
      <c r="U75" s="4979"/>
      <c r="V75" s="4979"/>
      <c r="W75" s="4979"/>
    </row>
    <row r="76" spans="2:23" ht="15" customHeight="1" x14ac:dyDescent="0.3">
      <c r="B76" s="5835"/>
      <c r="C76" s="4980" t="s">
        <v>462</v>
      </c>
      <c r="D76" s="4978"/>
      <c r="E76" s="4979"/>
      <c r="F76" s="4979"/>
      <c r="G76" s="4979"/>
      <c r="H76" s="4979"/>
      <c r="I76" s="4979"/>
      <c r="J76" s="4979">
        <v>1</v>
      </c>
      <c r="K76" s="4979"/>
      <c r="L76" s="4979"/>
      <c r="M76" s="4979"/>
      <c r="N76" s="4979"/>
      <c r="O76" s="4979"/>
      <c r="P76" s="4979"/>
      <c r="Q76" s="4979"/>
      <c r="R76" s="4979"/>
      <c r="S76" s="4979"/>
      <c r="T76" s="4979"/>
      <c r="U76" s="4979"/>
      <c r="V76" s="4979"/>
      <c r="W76" s="4979"/>
    </row>
    <row r="77" spans="2:23" ht="15" customHeight="1" x14ac:dyDescent="0.3">
      <c r="B77" s="5835"/>
      <c r="C77" s="4980" t="s">
        <v>372</v>
      </c>
      <c r="D77" s="4978">
        <v>26</v>
      </c>
      <c r="E77" s="4979">
        <v>19</v>
      </c>
      <c r="F77" s="4979">
        <v>28</v>
      </c>
      <c r="G77" s="4979">
        <v>19</v>
      </c>
      <c r="H77" s="4979">
        <v>28</v>
      </c>
      <c r="I77" s="4979">
        <v>41</v>
      </c>
      <c r="J77" s="4979">
        <v>50</v>
      </c>
      <c r="K77" s="4979">
        <v>32</v>
      </c>
      <c r="L77" s="4979">
        <v>43</v>
      </c>
      <c r="M77" s="4979">
        <v>32</v>
      </c>
      <c r="N77" s="4979">
        <v>22</v>
      </c>
      <c r="O77" s="4979">
        <v>33</v>
      </c>
      <c r="P77" s="4979">
        <v>46</v>
      </c>
      <c r="Q77" s="4979">
        <v>43</v>
      </c>
      <c r="R77" s="4979">
        <v>54</v>
      </c>
      <c r="S77" s="4979">
        <v>21</v>
      </c>
      <c r="T77" s="4979">
        <v>44</v>
      </c>
      <c r="U77" s="4979">
        <v>25</v>
      </c>
      <c r="V77" s="4979">
        <v>45</v>
      </c>
      <c r="W77" s="4979">
        <v>56</v>
      </c>
    </row>
    <row r="78" spans="2:23" ht="15" customHeight="1" x14ac:dyDescent="0.3">
      <c r="B78" s="5835"/>
      <c r="C78" s="4980" t="s">
        <v>373</v>
      </c>
      <c r="D78" s="4978">
        <v>64</v>
      </c>
      <c r="E78" s="4979">
        <v>47</v>
      </c>
      <c r="F78" s="4979">
        <v>78</v>
      </c>
      <c r="G78" s="4979">
        <v>63</v>
      </c>
      <c r="H78" s="4979">
        <v>98</v>
      </c>
      <c r="I78" s="4979">
        <v>156</v>
      </c>
      <c r="J78" s="4979">
        <v>161</v>
      </c>
      <c r="K78" s="4979">
        <v>191</v>
      </c>
      <c r="L78" s="4979">
        <v>153</v>
      </c>
      <c r="M78" s="4979">
        <v>142</v>
      </c>
      <c r="N78" s="4979">
        <v>101</v>
      </c>
      <c r="O78" s="4979">
        <v>131</v>
      </c>
      <c r="P78" s="4979">
        <v>82</v>
      </c>
      <c r="Q78" s="4979">
        <v>111</v>
      </c>
      <c r="R78" s="4979">
        <v>61</v>
      </c>
      <c r="S78" s="4979">
        <v>103</v>
      </c>
      <c r="T78" s="4979">
        <v>80</v>
      </c>
      <c r="U78" s="4979">
        <v>74</v>
      </c>
      <c r="V78" s="4979">
        <v>64</v>
      </c>
      <c r="W78" s="4979">
        <v>93</v>
      </c>
    </row>
    <row r="79" spans="2:23" ht="15" customHeight="1" x14ac:dyDescent="0.3">
      <c r="B79" s="5835"/>
      <c r="C79" s="4980" t="s">
        <v>374</v>
      </c>
      <c r="D79" s="4978">
        <v>38</v>
      </c>
      <c r="E79" s="4979">
        <v>50</v>
      </c>
      <c r="F79" s="4979">
        <v>37</v>
      </c>
      <c r="G79" s="4979">
        <v>58</v>
      </c>
      <c r="H79" s="4979">
        <v>51</v>
      </c>
      <c r="I79" s="4979">
        <v>69</v>
      </c>
      <c r="J79" s="4979">
        <v>43</v>
      </c>
      <c r="K79" s="4979">
        <v>58</v>
      </c>
      <c r="L79" s="4979">
        <v>44</v>
      </c>
      <c r="M79" s="4979">
        <v>52</v>
      </c>
      <c r="N79" s="4979">
        <v>30</v>
      </c>
      <c r="O79" s="4979">
        <v>36</v>
      </c>
      <c r="P79" s="4979">
        <v>25</v>
      </c>
      <c r="Q79" s="4979">
        <v>32</v>
      </c>
      <c r="R79" s="4979">
        <v>19</v>
      </c>
      <c r="S79" s="4979">
        <v>28</v>
      </c>
      <c r="T79" s="4979">
        <v>19</v>
      </c>
      <c r="U79" s="4979">
        <v>22</v>
      </c>
      <c r="V79" s="4979">
        <v>15</v>
      </c>
      <c r="W79" s="4979">
        <v>30</v>
      </c>
    </row>
    <row r="80" spans="2:23" ht="15" customHeight="1" x14ac:dyDescent="0.3">
      <c r="B80" s="5835"/>
      <c r="C80" s="4977" t="s">
        <v>328</v>
      </c>
      <c r="D80" s="4978"/>
      <c r="E80" s="4979">
        <v>2</v>
      </c>
      <c r="F80" s="4979">
        <v>8</v>
      </c>
      <c r="G80" s="4979">
        <v>6</v>
      </c>
      <c r="H80" s="4979">
        <v>1</v>
      </c>
      <c r="I80" s="4979">
        <v>14</v>
      </c>
      <c r="J80" s="4979">
        <v>8</v>
      </c>
      <c r="K80" s="4979">
        <v>24</v>
      </c>
      <c r="L80" s="4979">
        <v>29</v>
      </c>
      <c r="M80" s="4979">
        <v>28</v>
      </c>
      <c r="N80" s="4979">
        <v>40</v>
      </c>
      <c r="O80" s="4979">
        <v>34</v>
      </c>
      <c r="P80" s="4979">
        <v>23</v>
      </c>
      <c r="Q80" s="4979">
        <v>22</v>
      </c>
      <c r="R80" s="4979">
        <v>24</v>
      </c>
      <c r="S80" s="4979">
        <v>4</v>
      </c>
      <c r="T80" s="4979">
        <v>1</v>
      </c>
      <c r="U80" s="4979"/>
      <c r="V80" s="4979">
        <v>12</v>
      </c>
      <c r="W80" s="4979">
        <v>28</v>
      </c>
    </row>
    <row r="81" spans="2:23" ht="15" customHeight="1" x14ac:dyDescent="0.3">
      <c r="B81" s="5835"/>
      <c r="C81" s="4986" t="s">
        <v>334</v>
      </c>
      <c r="D81" s="4978"/>
      <c r="E81" s="4979"/>
      <c r="F81" s="4979"/>
      <c r="G81" s="4979"/>
      <c r="H81" s="4979"/>
      <c r="I81" s="4979"/>
      <c r="J81" s="4979"/>
      <c r="K81" s="4979"/>
      <c r="L81" s="4979"/>
      <c r="M81" s="4979"/>
      <c r="N81" s="4979"/>
      <c r="O81" s="4979"/>
      <c r="P81" s="4979"/>
      <c r="Q81" s="4979"/>
      <c r="R81" s="4979">
        <v>10</v>
      </c>
      <c r="S81" s="4979">
        <v>3</v>
      </c>
      <c r="T81" s="4979">
        <v>19</v>
      </c>
      <c r="U81" s="4979">
        <v>13</v>
      </c>
      <c r="V81" s="4979">
        <v>18</v>
      </c>
      <c r="W81" s="4979">
        <v>18</v>
      </c>
    </row>
    <row r="82" spans="2:23" ht="15" customHeight="1" x14ac:dyDescent="0.3">
      <c r="B82" s="5836"/>
      <c r="C82" s="4986" t="s">
        <v>448</v>
      </c>
      <c r="D82" s="4978"/>
      <c r="E82" s="4979"/>
      <c r="F82" s="4979"/>
      <c r="G82" s="4979"/>
      <c r="H82" s="4979"/>
      <c r="I82" s="4979"/>
      <c r="J82" s="4979"/>
      <c r="K82" s="4979"/>
      <c r="L82" s="4979"/>
      <c r="M82" s="4979"/>
      <c r="N82" s="4979"/>
      <c r="O82" s="4979"/>
      <c r="P82" s="4979"/>
      <c r="Q82" s="4979"/>
      <c r="R82" s="4979">
        <v>9</v>
      </c>
      <c r="S82" s="4979">
        <v>9</v>
      </c>
      <c r="T82" s="4979">
        <v>18</v>
      </c>
      <c r="U82" s="4979">
        <v>12</v>
      </c>
      <c r="V82" s="4979">
        <v>8</v>
      </c>
      <c r="W82" s="4979">
        <v>14</v>
      </c>
    </row>
    <row r="83" spans="2:23" ht="15" customHeight="1" x14ac:dyDescent="0.3">
      <c r="B83" s="5845" t="s">
        <v>317</v>
      </c>
      <c r="C83" s="1459" t="s">
        <v>376</v>
      </c>
      <c r="D83" s="1457">
        <v>69</v>
      </c>
      <c r="E83" s="1458">
        <v>64</v>
      </c>
      <c r="F83" s="1458">
        <v>67</v>
      </c>
      <c r="G83" s="1458">
        <v>54</v>
      </c>
      <c r="H83" s="1458">
        <v>51</v>
      </c>
      <c r="I83" s="1458">
        <v>56</v>
      </c>
      <c r="J83" s="1458">
        <v>66</v>
      </c>
      <c r="K83" s="1458">
        <v>79</v>
      </c>
      <c r="L83" s="1458">
        <v>76</v>
      </c>
      <c r="M83" s="1458">
        <v>71</v>
      </c>
      <c r="N83" s="1458">
        <v>69</v>
      </c>
      <c r="O83" s="1458">
        <v>76</v>
      </c>
      <c r="P83" s="1458">
        <v>63</v>
      </c>
      <c r="Q83" s="1458">
        <v>76</v>
      </c>
      <c r="R83" s="1458">
        <v>51</v>
      </c>
      <c r="S83" s="1458">
        <v>62</v>
      </c>
      <c r="T83" s="1458">
        <v>57</v>
      </c>
      <c r="U83" s="1458">
        <v>49</v>
      </c>
      <c r="V83" s="1458">
        <v>48</v>
      </c>
      <c r="W83" s="1458">
        <v>54</v>
      </c>
    </row>
    <row r="84" spans="2:23" ht="15" customHeight="1" x14ac:dyDescent="0.3">
      <c r="B84" s="5846"/>
      <c r="C84" s="1459" t="s">
        <v>377</v>
      </c>
      <c r="D84" s="1457">
        <v>92</v>
      </c>
      <c r="E84" s="1458">
        <v>111</v>
      </c>
      <c r="F84" s="1458">
        <v>88</v>
      </c>
      <c r="G84" s="1458">
        <v>88</v>
      </c>
      <c r="H84" s="1458">
        <v>75</v>
      </c>
      <c r="I84" s="1458">
        <v>57</v>
      </c>
      <c r="J84" s="1458">
        <v>57</v>
      </c>
      <c r="K84" s="1458">
        <v>77</v>
      </c>
      <c r="L84" s="1458">
        <v>84</v>
      </c>
      <c r="M84" s="1458">
        <v>81</v>
      </c>
      <c r="N84" s="1458">
        <v>77</v>
      </c>
      <c r="O84" s="1458">
        <v>73</v>
      </c>
      <c r="P84" s="1458">
        <v>53</v>
      </c>
      <c r="Q84" s="1458">
        <v>57</v>
      </c>
      <c r="R84" s="1458">
        <v>47</v>
      </c>
      <c r="S84" s="1458">
        <v>59</v>
      </c>
      <c r="T84" s="1458">
        <v>49</v>
      </c>
      <c r="U84" s="1458">
        <v>61</v>
      </c>
      <c r="V84" s="1458">
        <v>48</v>
      </c>
      <c r="W84" s="1458">
        <v>73</v>
      </c>
    </row>
    <row r="85" spans="2:23" ht="15" customHeight="1" x14ac:dyDescent="0.3">
      <c r="B85" s="5846"/>
      <c r="C85" s="1459" t="s">
        <v>378</v>
      </c>
      <c r="D85" s="1457">
        <v>44</v>
      </c>
      <c r="E85" s="1458">
        <v>33</v>
      </c>
      <c r="F85" s="1458">
        <v>20</v>
      </c>
      <c r="G85" s="1458">
        <v>25</v>
      </c>
      <c r="H85" s="1458">
        <v>38</v>
      </c>
      <c r="I85" s="1458">
        <v>70</v>
      </c>
      <c r="J85" s="1458">
        <v>94</v>
      </c>
      <c r="K85" s="1458">
        <v>121</v>
      </c>
      <c r="L85" s="1458">
        <v>137</v>
      </c>
      <c r="M85" s="1458">
        <v>142</v>
      </c>
      <c r="N85" s="1458">
        <v>139</v>
      </c>
      <c r="O85" s="1458">
        <v>140</v>
      </c>
      <c r="P85" s="1458">
        <v>135</v>
      </c>
      <c r="Q85" s="1458">
        <v>136</v>
      </c>
      <c r="R85" s="1458">
        <v>129</v>
      </c>
      <c r="S85" s="1458">
        <v>129</v>
      </c>
      <c r="T85" s="1458">
        <v>133</v>
      </c>
      <c r="U85" s="1458">
        <v>116</v>
      </c>
      <c r="V85" s="1458">
        <v>121</v>
      </c>
      <c r="W85" s="1458">
        <v>133</v>
      </c>
    </row>
    <row r="86" spans="2:23" ht="15" customHeight="1" x14ac:dyDescent="0.3">
      <c r="B86" s="5846"/>
      <c r="C86" s="1459" t="s">
        <v>379</v>
      </c>
      <c r="D86" s="1457">
        <v>53</v>
      </c>
      <c r="E86" s="1458">
        <v>57</v>
      </c>
      <c r="F86" s="1458">
        <v>47</v>
      </c>
      <c r="G86" s="1458">
        <v>49</v>
      </c>
      <c r="H86" s="1458">
        <v>43</v>
      </c>
      <c r="I86" s="1458">
        <v>55</v>
      </c>
      <c r="J86" s="1458">
        <v>52</v>
      </c>
      <c r="K86" s="1458">
        <v>64</v>
      </c>
      <c r="L86" s="1458">
        <v>53</v>
      </c>
      <c r="M86" s="1458">
        <v>67</v>
      </c>
      <c r="N86" s="1458">
        <v>52</v>
      </c>
      <c r="O86" s="1458">
        <v>71</v>
      </c>
      <c r="P86" s="1458">
        <v>60</v>
      </c>
      <c r="Q86" s="1458">
        <v>74</v>
      </c>
      <c r="R86" s="1458">
        <v>49</v>
      </c>
      <c r="S86" s="1458">
        <v>64</v>
      </c>
      <c r="T86" s="1458">
        <v>43</v>
      </c>
      <c r="U86" s="1458">
        <v>56</v>
      </c>
      <c r="V86" s="1458">
        <v>38</v>
      </c>
      <c r="W86" s="1458">
        <v>43</v>
      </c>
    </row>
    <row r="87" spans="2:23" ht="15" customHeight="1" x14ac:dyDescent="0.3">
      <c r="B87" s="5846"/>
      <c r="C87" s="1456" t="s">
        <v>335</v>
      </c>
      <c r="D87" s="1457">
        <v>4</v>
      </c>
      <c r="E87" s="1458">
        <v>14</v>
      </c>
      <c r="F87" s="1458">
        <v>26</v>
      </c>
      <c r="G87" s="1458">
        <v>8</v>
      </c>
      <c r="H87" s="1458">
        <v>5</v>
      </c>
      <c r="I87" s="1458">
        <v>9</v>
      </c>
      <c r="J87" s="1458">
        <v>15</v>
      </c>
      <c r="K87" s="1458">
        <v>34</v>
      </c>
      <c r="L87" s="1458">
        <v>48</v>
      </c>
      <c r="M87" s="1458">
        <v>56</v>
      </c>
      <c r="N87" s="1458">
        <v>68</v>
      </c>
      <c r="O87" s="1458">
        <v>72</v>
      </c>
      <c r="P87" s="1458">
        <v>79</v>
      </c>
      <c r="Q87" s="1458">
        <v>83</v>
      </c>
      <c r="R87" s="1458">
        <v>75</v>
      </c>
      <c r="S87" s="1458">
        <v>12</v>
      </c>
      <c r="T87" s="1458">
        <v>49</v>
      </c>
      <c r="U87" s="1458">
        <v>43</v>
      </c>
      <c r="V87" s="1458">
        <v>46</v>
      </c>
      <c r="W87" s="1458">
        <v>83</v>
      </c>
    </row>
    <row r="88" spans="2:23" ht="15" customHeight="1" x14ac:dyDescent="0.3">
      <c r="B88" s="5846"/>
      <c r="C88" s="1472" t="s">
        <v>334</v>
      </c>
      <c r="D88" s="1457"/>
      <c r="E88" s="1458"/>
      <c r="F88" s="1458"/>
      <c r="G88" s="1458"/>
      <c r="H88" s="1458"/>
      <c r="I88" s="1458"/>
      <c r="J88" s="1458"/>
      <c r="K88" s="1458"/>
      <c r="L88" s="1458"/>
      <c r="M88" s="1458"/>
      <c r="N88" s="1458"/>
      <c r="O88" s="1458"/>
      <c r="P88" s="1458"/>
      <c r="Q88" s="1458"/>
      <c r="R88" s="1458">
        <v>7</v>
      </c>
      <c r="S88" s="1458">
        <v>14</v>
      </c>
      <c r="T88" s="1458">
        <v>15</v>
      </c>
      <c r="U88" s="1458">
        <v>17</v>
      </c>
      <c r="V88" s="1458">
        <v>24</v>
      </c>
      <c r="W88" s="1458">
        <v>19</v>
      </c>
    </row>
    <row r="89" spans="2:23" ht="15" customHeight="1" x14ac:dyDescent="0.3">
      <c r="B89" s="5847"/>
      <c r="C89" s="1472" t="s">
        <v>448</v>
      </c>
      <c r="D89" s="1457"/>
      <c r="E89" s="1458"/>
      <c r="F89" s="1458"/>
      <c r="G89" s="1458"/>
      <c r="H89" s="1458"/>
      <c r="I89" s="1458"/>
      <c r="J89" s="1458"/>
      <c r="K89" s="1458"/>
      <c r="L89" s="1458"/>
      <c r="M89" s="1458"/>
      <c r="N89" s="1458"/>
      <c r="O89" s="1458"/>
      <c r="P89" s="1458"/>
      <c r="Q89" s="1458"/>
      <c r="R89" s="1458">
        <v>3</v>
      </c>
      <c r="S89" s="1458">
        <v>3</v>
      </c>
      <c r="T89" s="1458">
        <v>11</v>
      </c>
      <c r="U89" s="1458">
        <v>14</v>
      </c>
      <c r="V89" s="1458">
        <v>18</v>
      </c>
      <c r="W89" s="1458">
        <v>21</v>
      </c>
    </row>
    <row r="90" spans="2:23" ht="15" customHeight="1" x14ac:dyDescent="0.25">
      <c r="B90" s="1424"/>
      <c r="C90" s="1482" t="s">
        <v>64</v>
      </c>
      <c r="D90" s="1480">
        <f>SUM(D73:D87)</f>
        <v>446</v>
      </c>
      <c r="E90" s="1480">
        <f t="shared" ref="E90:M90" si="11">SUM(E73:E87)</f>
        <v>518</v>
      </c>
      <c r="F90" s="1480">
        <f t="shared" si="11"/>
        <v>484</v>
      </c>
      <c r="G90" s="1480">
        <f t="shared" si="11"/>
        <v>466</v>
      </c>
      <c r="H90" s="1480">
        <f t="shared" si="11"/>
        <v>510</v>
      </c>
      <c r="I90" s="1480">
        <f t="shared" si="11"/>
        <v>649</v>
      </c>
      <c r="J90" s="1480">
        <f t="shared" si="11"/>
        <v>685</v>
      </c>
      <c r="K90" s="1480">
        <f t="shared" si="11"/>
        <v>866</v>
      </c>
      <c r="L90" s="1480">
        <f t="shared" si="11"/>
        <v>825</v>
      </c>
      <c r="M90" s="1480">
        <f t="shared" si="11"/>
        <v>769</v>
      </c>
      <c r="N90" s="1480">
        <f>SUM(N73:N87)</f>
        <v>649</v>
      </c>
      <c r="O90" s="1480">
        <f>SUM(O73:O87)</f>
        <v>714</v>
      </c>
      <c r="P90" s="1480">
        <f>SUM(P73:P87)</f>
        <v>640</v>
      </c>
      <c r="Q90" s="1480">
        <f>SUM(Q73:Q87)</f>
        <v>674</v>
      </c>
      <c r="R90" s="1480">
        <f t="shared" ref="R90:W90" si="12">SUM(R73:R89)</f>
        <v>611</v>
      </c>
      <c r="S90" s="1480">
        <f t="shared" si="12"/>
        <v>623</v>
      </c>
      <c r="T90" s="1480">
        <f t="shared" si="12"/>
        <v>613</v>
      </c>
      <c r="U90" s="1480">
        <f t="shared" si="12"/>
        <v>590</v>
      </c>
      <c r="V90" s="1480">
        <f t="shared" si="12"/>
        <v>573</v>
      </c>
      <c r="W90" s="1480">
        <f t="shared" si="12"/>
        <v>731</v>
      </c>
    </row>
    <row r="91" spans="2:23" ht="15" customHeight="1" x14ac:dyDescent="0.3">
      <c r="B91" s="5845" t="s">
        <v>463</v>
      </c>
      <c r="C91" s="1467" t="s">
        <v>381</v>
      </c>
      <c r="D91" s="1464">
        <v>12</v>
      </c>
      <c r="E91" s="1470">
        <v>12</v>
      </c>
      <c r="F91" s="1470">
        <v>17</v>
      </c>
      <c r="G91" s="1470">
        <v>35</v>
      </c>
      <c r="H91" s="1470">
        <v>36</v>
      </c>
      <c r="I91" s="1470">
        <v>33</v>
      </c>
      <c r="J91" s="1470">
        <v>33</v>
      </c>
      <c r="K91" s="1470">
        <v>40</v>
      </c>
      <c r="L91" s="1470">
        <v>43</v>
      </c>
      <c r="M91" s="1470">
        <v>42</v>
      </c>
      <c r="N91" s="1470">
        <v>35</v>
      </c>
      <c r="O91" s="1470">
        <v>28</v>
      </c>
      <c r="P91" s="1470">
        <v>34</v>
      </c>
      <c r="Q91" s="1470">
        <v>29</v>
      </c>
      <c r="R91" s="1470">
        <v>24</v>
      </c>
      <c r="S91" s="1470">
        <v>17</v>
      </c>
      <c r="T91" s="1470">
        <v>13</v>
      </c>
      <c r="U91" s="1470">
        <v>12</v>
      </c>
      <c r="V91" s="1470">
        <v>7</v>
      </c>
      <c r="W91" s="1470">
        <v>7</v>
      </c>
    </row>
    <row r="92" spans="2:23" ht="15" customHeight="1" x14ac:dyDescent="0.3">
      <c r="B92" s="5846"/>
      <c r="C92" s="1456" t="s">
        <v>382</v>
      </c>
      <c r="D92" s="1457">
        <v>41</v>
      </c>
      <c r="E92" s="1458">
        <v>38</v>
      </c>
      <c r="F92" s="1458">
        <v>34</v>
      </c>
      <c r="G92" s="1458">
        <v>19</v>
      </c>
      <c r="H92" s="1458">
        <v>31</v>
      </c>
      <c r="I92" s="1458">
        <v>28</v>
      </c>
      <c r="J92" s="1458">
        <v>30</v>
      </c>
      <c r="K92" s="1458">
        <v>23</v>
      </c>
      <c r="L92" s="1458">
        <v>23</v>
      </c>
      <c r="M92" s="1458">
        <v>23</v>
      </c>
      <c r="N92" s="1458">
        <v>28</v>
      </c>
      <c r="O92" s="1458">
        <v>27</v>
      </c>
      <c r="P92" s="1458">
        <v>17</v>
      </c>
      <c r="Q92" s="1458">
        <v>13</v>
      </c>
      <c r="R92" s="1458">
        <v>13</v>
      </c>
      <c r="S92" s="1458">
        <v>13</v>
      </c>
      <c r="T92" s="1458">
        <v>11</v>
      </c>
      <c r="U92" s="1458">
        <v>9</v>
      </c>
      <c r="V92" s="1458">
        <v>10</v>
      </c>
      <c r="W92" s="1458">
        <v>5</v>
      </c>
    </row>
    <row r="93" spans="2:23" ht="15" customHeight="1" x14ac:dyDescent="0.3">
      <c r="B93" s="1488"/>
      <c r="C93" s="1474" t="s">
        <v>356</v>
      </c>
      <c r="D93" s="1457"/>
      <c r="E93" s="1458"/>
      <c r="F93" s="1458"/>
      <c r="G93" s="1458"/>
      <c r="H93" s="1458"/>
      <c r="I93" s="1458"/>
      <c r="J93" s="1458"/>
      <c r="K93" s="1458"/>
      <c r="L93" s="1458"/>
      <c r="M93" s="1458"/>
      <c r="N93" s="1458"/>
      <c r="O93" s="1458"/>
      <c r="P93" s="1458"/>
      <c r="Q93" s="1458">
        <v>1</v>
      </c>
      <c r="R93" s="1458"/>
      <c r="S93" s="1458"/>
      <c r="T93" s="1458"/>
      <c r="U93" s="1458"/>
      <c r="V93" s="1458"/>
      <c r="W93" s="1458"/>
    </row>
    <row r="94" spans="2:23" ht="15" customHeight="1" x14ac:dyDescent="0.3">
      <c r="B94" s="5834" t="s">
        <v>310</v>
      </c>
      <c r="C94" s="4980" t="s">
        <v>387</v>
      </c>
      <c r="D94" s="4978">
        <v>63</v>
      </c>
      <c r="E94" s="4979">
        <v>51</v>
      </c>
      <c r="F94" s="4979">
        <v>44</v>
      </c>
      <c r="G94" s="4979">
        <v>51</v>
      </c>
      <c r="H94" s="4979">
        <v>68</v>
      </c>
      <c r="I94" s="4979">
        <v>60</v>
      </c>
      <c r="J94" s="4979">
        <v>77</v>
      </c>
      <c r="K94" s="4979">
        <v>59</v>
      </c>
      <c r="L94" s="4979">
        <v>53</v>
      </c>
      <c r="M94" s="4979">
        <v>56</v>
      </c>
      <c r="N94" s="4979">
        <v>62</v>
      </c>
      <c r="O94" s="4979">
        <v>69</v>
      </c>
      <c r="P94" s="4979">
        <v>65</v>
      </c>
      <c r="Q94" s="4979">
        <v>52</v>
      </c>
      <c r="R94" s="4979">
        <v>41</v>
      </c>
      <c r="S94" s="4979">
        <v>43</v>
      </c>
      <c r="T94" s="4979">
        <v>34</v>
      </c>
      <c r="U94" s="4979">
        <v>31</v>
      </c>
      <c r="V94" s="4979">
        <v>19</v>
      </c>
      <c r="W94" s="4979">
        <v>36</v>
      </c>
    </row>
    <row r="95" spans="2:23" ht="15" customHeight="1" x14ac:dyDescent="0.3">
      <c r="B95" s="5835"/>
      <c r="C95" s="4977" t="s">
        <v>385</v>
      </c>
      <c r="D95" s="4978">
        <v>5</v>
      </c>
      <c r="E95" s="4979">
        <v>1</v>
      </c>
      <c r="F95" s="4979"/>
      <c r="G95" s="4979"/>
      <c r="H95" s="4979"/>
      <c r="I95" s="4979"/>
      <c r="J95" s="4979">
        <v>1</v>
      </c>
      <c r="K95" s="4979">
        <v>1</v>
      </c>
      <c r="L95" s="4979"/>
      <c r="M95" s="4979">
        <v>16</v>
      </c>
      <c r="N95" s="4979">
        <v>26</v>
      </c>
      <c r="O95" s="4979">
        <v>41</v>
      </c>
      <c r="P95" s="4979">
        <v>41</v>
      </c>
      <c r="Q95" s="4979">
        <v>47</v>
      </c>
      <c r="R95" s="4979">
        <v>51</v>
      </c>
      <c r="S95" s="4979">
        <v>54</v>
      </c>
      <c r="T95" s="4979">
        <v>49</v>
      </c>
      <c r="U95" s="4979">
        <v>35</v>
      </c>
      <c r="V95" s="4979">
        <v>32</v>
      </c>
      <c r="W95" s="4979">
        <v>37</v>
      </c>
    </row>
    <row r="96" spans="2:23" ht="15" customHeight="1" x14ac:dyDescent="0.3">
      <c r="B96" s="5835"/>
      <c r="C96" s="4980" t="s">
        <v>384</v>
      </c>
      <c r="D96" s="4978">
        <v>24</v>
      </c>
      <c r="E96" s="4979">
        <v>24</v>
      </c>
      <c r="F96" s="4979">
        <v>26</v>
      </c>
      <c r="G96" s="4979">
        <v>24</v>
      </c>
      <c r="H96" s="4979">
        <v>35</v>
      </c>
      <c r="I96" s="4979">
        <v>44</v>
      </c>
      <c r="J96" s="4979">
        <v>60</v>
      </c>
      <c r="K96" s="4979">
        <v>63</v>
      </c>
      <c r="L96" s="4979">
        <v>71</v>
      </c>
      <c r="M96" s="4979">
        <v>71</v>
      </c>
      <c r="N96" s="4979">
        <v>62</v>
      </c>
      <c r="O96" s="4979">
        <v>55</v>
      </c>
      <c r="P96" s="4979">
        <v>48</v>
      </c>
      <c r="Q96" s="4979">
        <v>46</v>
      </c>
      <c r="R96" s="4979">
        <v>38</v>
      </c>
      <c r="S96" s="4979">
        <v>39</v>
      </c>
      <c r="T96" s="4979">
        <v>39</v>
      </c>
      <c r="U96" s="4979">
        <v>41</v>
      </c>
      <c r="V96" s="4979">
        <v>31</v>
      </c>
      <c r="W96" s="4979">
        <v>27</v>
      </c>
    </row>
    <row r="97" spans="2:23" ht="15" customHeight="1" x14ac:dyDescent="0.3">
      <c r="B97" s="5836"/>
      <c r="C97" s="4977" t="s">
        <v>386</v>
      </c>
      <c r="D97" s="4978">
        <v>41</v>
      </c>
      <c r="E97" s="4979">
        <v>42</v>
      </c>
      <c r="F97" s="4979">
        <v>32</v>
      </c>
      <c r="G97" s="4979">
        <v>28</v>
      </c>
      <c r="H97" s="4979">
        <v>34</v>
      </c>
      <c r="I97" s="4979">
        <v>54</v>
      </c>
      <c r="J97" s="4979">
        <v>57</v>
      </c>
      <c r="K97" s="4979">
        <v>58</v>
      </c>
      <c r="L97" s="4979">
        <v>74</v>
      </c>
      <c r="M97" s="4979">
        <v>66</v>
      </c>
      <c r="N97" s="4979">
        <v>83</v>
      </c>
      <c r="O97" s="4979">
        <v>84</v>
      </c>
      <c r="P97" s="4979">
        <v>87</v>
      </c>
      <c r="Q97" s="4979">
        <v>80</v>
      </c>
      <c r="R97" s="4979">
        <v>64</v>
      </c>
      <c r="S97" s="4979">
        <v>57</v>
      </c>
      <c r="T97" s="4979">
        <v>49</v>
      </c>
      <c r="U97" s="4979">
        <v>51</v>
      </c>
      <c r="V97" s="4979">
        <v>45</v>
      </c>
      <c r="W97" s="4979">
        <v>55</v>
      </c>
    </row>
    <row r="98" spans="2:23" ht="15" customHeight="1" x14ac:dyDescent="0.3">
      <c r="B98" s="5845" t="s">
        <v>317</v>
      </c>
      <c r="C98" s="1459" t="s">
        <v>387</v>
      </c>
      <c r="D98" s="1457">
        <v>57</v>
      </c>
      <c r="E98" s="1458">
        <v>66</v>
      </c>
      <c r="F98" s="1458">
        <v>71</v>
      </c>
      <c r="G98" s="1458">
        <v>77</v>
      </c>
      <c r="H98" s="1458">
        <v>73</v>
      </c>
      <c r="I98" s="1458">
        <v>79</v>
      </c>
      <c r="J98" s="1458">
        <v>83</v>
      </c>
      <c r="K98" s="1458">
        <v>105</v>
      </c>
      <c r="L98" s="1458">
        <v>111</v>
      </c>
      <c r="M98" s="1458">
        <v>115</v>
      </c>
      <c r="N98" s="1458">
        <v>115</v>
      </c>
      <c r="O98" s="1458">
        <v>115</v>
      </c>
      <c r="P98" s="1458">
        <v>116</v>
      </c>
      <c r="Q98" s="1458">
        <v>110</v>
      </c>
      <c r="R98" s="1458">
        <v>117</v>
      </c>
      <c r="S98" s="1458">
        <v>116</v>
      </c>
      <c r="T98" s="1458">
        <v>112</v>
      </c>
      <c r="U98" s="1458">
        <v>103</v>
      </c>
      <c r="V98" s="1458">
        <v>88</v>
      </c>
      <c r="W98" s="1458">
        <v>85</v>
      </c>
    </row>
    <row r="99" spans="2:23" ht="15" customHeight="1" x14ac:dyDescent="0.3">
      <c r="B99" s="5846"/>
      <c r="C99" s="1459" t="s">
        <v>384</v>
      </c>
      <c r="D99" s="1457">
        <v>21</v>
      </c>
      <c r="E99" s="1458">
        <v>26</v>
      </c>
      <c r="F99" s="1458">
        <v>35</v>
      </c>
      <c r="G99" s="1458">
        <v>33</v>
      </c>
      <c r="H99" s="1458">
        <v>37</v>
      </c>
      <c r="I99" s="1458">
        <v>40</v>
      </c>
      <c r="J99" s="1458">
        <v>36</v>
      </c>
      <c r="K99" s="1458">
        <v>47</v>
      </c>
      <c r="L99" s="1458">
        <v>55</v>
      </c>
      <c r="M99" s="1458">
        <v>67</v>
      </c>
      <c r="N99" s="1458">
        <v>70</v>
      </c>
      <c r="O99" s="1458">
        <v>74</v>
      </c>
      <c r="P99" s="1458">
        <v>74</v>
      </c>
      <c r="Q99" s="1458">
        <v>62</v>
      </c>
      <c r="R99" s="1458">
        <v>64</v>
      </c>
      <c r="S99" s="1458">
        <v>59</v>
      </c>
      <c r="T99" s="1458">
        <v>65</v>
      </c>
      <c r="U99" s="1458">
        <v>55</v>
      </c>
      <c r="V99" s="1458">
        <v>60</v>
      </c>
      <c r="W99" s="1458">
        <v>59</v>
      </c>
    </row>
    <row r="100" spans="2:23" ht="15" customHeight="1" x14ac:dyDescent="0.3">
      <c r="B100" s="5847"/>
      <c r="C100" s="1472" t="s">
        <v>354</v>
      </c>
      <c r="D100" s="1457">
        <v>89</v>
      </c>
      <c r="E100" s="1458">
        <v>82</v>
      </c>
      <c r="F100" s="1458">
        <v>69</v>
      </c>
      <c r="G100" s="1458">
        <v>57</v>
      </c>
      <c r="H100" s="1458">
        <v>58</v>
      </c>
      <c r="I100" s="1458">
        <v>46</v>
      </c>
      <c r="J100" s="1458">
        <v>60</v>
      </c>
      <c r="K100" s="1458">
        <v>65</v>
      </c>
      <c r="L100" s="1458">
        <v>69</v>
      </c>
      <c r="M100" s="1458">
        <v>81</v>
      </c>
      <c r="N100" s="1458">
        <v>87</v>
      </c>
      <c r="O100" s="1458">
        <v>102</v>
      </c>
      <c r="P100" s="1458">
        <v>112</v>
      </c>
      <c r="Q100" s="1458">
        <v>124</v>
      </c>
      <c r="R100" s="1458">
        <v>119</v>
      </c>
      <c r="S100" s="1458">
        <v>121</v>
      </c>
      <c r="T100" s="1458">
        <v>128</v>
      </c>
      <c r="U100" s="1458">
        <v>118</v>
      </c>
      <c r="V100" s="1458">
        <v>90</v>
      </c>
      <c r="W100" s="1458">
        <v>92</v>
      </c>
    </row>
    <row r="101" spans="2:23" ht="15" customHeight="1" x14ac:dyDescent="0.25">
      <c r="B101" s="1289"/>
      <c r="C101" s="1482" t="s">
        <v>92</v>
      </c>
      <c r="D101" s="1480">
        <f>SUM(D91:D100)</f>
        <v>353</v>
      </c>
      <c r="E101" s="1480">
        <f t="shared" ref="E101:S101" si="13">SUM(E91:E100)</f>
        <v>342</v>
      </c>
      <c r="F101" s="1480">
        <f t="shared" si="13"/>
        <v>328</v>
      </c>
      <c r="G101" s="1480">
        <f t="shared" si="13"/>
        <v>324</v>
      </c>
      <c r="H101" s="1480">
        <f t="shared" si="13"/>
        <v>372</v>
      </c>
      <c r="I101" s="1480">
        <f t="shared" si="13"/>
        <v>384</v>
      </c>
      <c r="J101" s="1480">
        <f t="shared" si="13"/>
        <v>437</v>
      </c>
      <c r="K101" s="1480">
        <f t="shared" si="13"/>
        <v>461</v>
      </c>
      <c r="L101" s="1480">
        <f t="shared" si="13"/>
        <v>499</v>
      </c>
      <c r="M101" s="1480">
        <f t="shared" si="13"/>
        <v>537</v>
      </c>
      <c r="N101" s="1480">
        <f t="shared" si="13"/>
        <v>568</v>
      </c>
      <c r="O101" s="1480">
        <f t="shared" si="13"/>
        <v>595</v>
      </c>
      <c r="P101" s="1480">
        <f t="shared" si="13"/>
        <v>594</v>
      </c>
      <c r="Q101" s="1480">
        <f t="shared" si="13"/>
        <v>564</v>
      </c>
      <c r="R101" s="1480">
        <f t="shared" si="13"/>
        <v>531</v>
      </c>
      <c r="S101" s="1480">
        <f t="shared" si="13"/>
        <v>519</v>
      </c>
      <c r="T101" s="1480">
        <f>SUM(T91:T100)</f>
        <v>500</v>
      </c>
      <c r="U101" s="1480">
        <f>SUM(U91:U100)</f>
        <v>455</v>
      </c>
      <c r="V101" s="1480">
        <f>SUM(V91:V100)</f>
        <v>382</v>
      </c>
      <c r="W101" s="1480">
        <f>SUM(W91:W100)</f>
        <v>403</v>
      </c>
    </row>
    <row r="102" spans="2:23" ht="15" customHeight="1" x14ac:dyDescent="0.25">
      <c r="B102" s="1311"/>
      <c r="C102" s="1489" t="s">
        <v>388</v>
      </c>
      <c r="D102" s="1431">
        <f>SUM(D101,D90,D72)</f>
        <v>1142</v>
      </c>
      <c r="E102" s="1431">
        <f t="shared" ref="E102:M102" si="14">SUM(E101,E90,E72)</f>
        <v>1209</v>
      </c>
      <c r="F102" s="1431">
        <f t="shared" si="14"/>
        <v>1213</v>
      </c>
      <c r="G102" s="1431">
        <f t="shared" si="14"/>
        <v>1210</v>
      </c>
      <c r="H102" s="1431">
        <f t="shared" si="14"/>
        <v>1314</v>
      </c>
      <c r="I102" s="1431">
        <f t="shared" si="14"/>
        <v>1459</v>
      </c>
      <c r="J102" s="1431">
        <f t="shared" si="14"/>
        <v>1563</v>
      </c>
      <c r="K102" s="1431">
        <f t="shared" si="14"/>
        <v>1781</v>
      </c>
      <c r="L102" s="1431">
        <f t="shared" si="14"/>
        <v>1821</v>
      </c>
      <c r="M102" s="1431">
        <f t="shared" si="14"/>
        <v>1826</v>
      </c>
      <c r="N102" s="1431">
        <f>SUM(N101,N90,N72)</f>
        <v>1773</v>
      </c>
      <c r="O102" s="1431">
        <f>SUM(O101,O90,O72)</f>
        <v>1875</v>
      </c>
      <c r="P102" s="1431">
        <f>SUM(P101,P90,P72)</f>
        <v>1802</v>
      </c>
      <c r="Q102" s="1431">
        <f>SUM(Q101,Q90,Q72)</f>
        <v>1833</v>
      </c>
      <c r="R102" s="1431">
        <f t="shared" ref="R102:W102" si="15">SUM(R72,R90,R101)</f>
        <v>1717</v>
      </c>
      <c r="S102" s="1431">
        <f t="shared" si="15"/>
        <v>1710</v>
      </c>
      <c r="T102" s="1431">
        <f t="shared" si="15"/>
        <v>1693</v>
      </c>
      <c r="U102" s="1431">
        <f t="shared" si="15"/>
        <v>1574</v>
      </c>
      <c r="V102" s="1431">
        <f t="shared" si="15"/>
        <v>1475</v>
      </c>
      <c r="W102" s="1431">
        <f t="shared" si="15"/>
        <v>1724</v>
      </c>
    </row>
    <row r="103" spans="2:23" ht="15" customHeight="1" x14ac:dyDescent="0.3">
      <c r="B103" s="5850" t="s">
        <v>308</v>
      </c>
      <c r="C103" s="1487" t="s">
        <v>390</v>
      </c>
      <c r="D103" s="1468">
        <v>7</v>
      </c>
      <c r="E103" s="1469">
        <v>5</v>
      </c>
      <c r="F103" s="1469">
        <v>3</v>
      </c>
      <c r="G103" s="1469">
        <v>5</v>
      </c>
      <c r="H103" s="1469">
        <v>20</v>
      </c>
      <c r="I103" s="1469">
        <v>25</v>
      </c>
      <c r="J103" s="1469">
        <v>20</v>
      </c>
      <c r="K103" s="1469">
        <v>19</v>
      </c>
      <c r="L103" s="1469">
        <v>1</v>
      </c>
      <c r="M103" s="1469"/>
      <c r="N103" s="1469"/>
      <c r="O103" s="1469"/>
      <c r="P103" s="1469"/>
      <c r="Q103" s="1469"/>
      <c r="R103" s="1469"/>
      <c r="S103" s="1469"/>
      <c r="T103" s="1469"/>
      <c r="U103" s="1469"/>
      <c r="V103" s="1469"/>
      <c r="W103" s="1469"/>
    </row>
    <row r="104" spans="2:23" ht="15" customHeight="1" x14ac:dyDescent="0.3">
      <c r="B104" s="5855"/>
      <c r="C104" s="1490" t="s">
        <v>464</v>
      </c>
      <c r="D104" s="1464"/>
      <c r="E104" s="1470"/>
      <c r="F104" s="1470"/>
      <c r="G104" s="1470"/>
      <c r="H104" s="1470"/>
      <c r="I104" s="1470"/>
      <c r="J104" s="1470"/>
      <c r="K104" s="1470"/>
      <c r="L104" s="1470"/>
      <c r="M104" s="1470">
        <v>17</v>
      </c>
      <c r="N104" s="1470"/>
      <c r="O104" s="1470"/>
      <c r="P104" s="1470"/>
      <c r="Q104" s="1470"/>
      <c r="R104" s="1470"/>
      <c r="S104" s="1470"/>
      <c r="T104" s="1470"/>
      <c r="U104" s="1470"/>
      <c r="V104" s="1470"/>
      <c r="W104" s="1470"/>
    </row>
    <row r="105" spans="2:23" ht="15" customHeight="1" x14ac:dyDescent="0.3">
      <c r="B105" s="5851"/>
      <c r="C105" s="1459" t="s">
        <v>1397</v>
      </c>
      <c r="D105" s="1457">
        <v>17</v>
      </c>
      <c r="E105" s="1458">
        <v>1</v>
      </c>
      <c r="F105" s="1458">
        <v>1</v>
      </c>
      <c r="G105" s="1458"/>
      <c r="H105" s="1458">
        <v>1</v>
      </c>
      <c r="I105" s="1458"/>
      <c r="J105" s="1458">
        <v>2</v>
      </c>
      <c r="K105" s="1458"/>
      <c r="L105" s="1458">
        <v>35</v>
      </c>
      <c r="M105" s="1458">
        <v>39</v>
      </c>
      <c r="N105" s="1458">
        <v>34</v>
      </c>
      <c r="O105" s="1458">
        <v>2</v>
      </c>
      <c r="P105" s="1458"/>
      <c r="Q105" s="1458"/>
      <c r="R105" s="1458">
        <v>30</v>
      </c>
      <c r="S105" s="1458">
        <v>4</v>
      </c>
      <c r="T105" s="1458">
        <v>4</v>
      </c>
      <c r="U105" s="1458"/>
      <c r="V105" s="1458">
        <v>7</v>
      </c>
      <c r="W105" s="1458">
        <v>21</v>
      </c>
    </row>
    <row r="106" spans="2:23" ht="15" customHeight="1" x14ac:dyDescent="0.3">
      <c r="B106" s="5852" t="s">
        <v>310</v>
      </c>
      <c r="C106" s="4980" t="s">
        <v>392</v>
      </c>
      <c r="D106" s="4978">
        <v>14</v>
      </c>
      <c r="E106" s="4979">
        <v>34</v>
      </c>
      <c r="F106" s="4979">
        <v>20</v>
      </c>
      <c r="G106" s="4979">
        <v>32</v>
      </c>
      <c r="H106" s="4979">
        <v>12</v>
      </c>
      <c r="I106" s="4979">
        <v>21</v>
      </c>
      <c r="J106" s="4979">
        <v>9</v>
      </c>
      <c r="K106" s="4979">
        <v>18</v>
      </c>
      <c r="L106" s="4979">
        <v>20</v>
      </c>
      <c r="M106" s="4979">
        <v>23</v>
      </c>
      <c r="N106" s="4979">
        <v>23</v>
      </c>
      <c r="O106" s="4979">
        <v>45</v>
      </c>
      <c r="P106" s="4979">
        <v>22</v>
      </c>
      <c r="Q106" s="4979">
        <v>43</v>
      </c>
      <c r="R106" s="4979">
        <v>24</v>
      </c>
      <c r="S106" s="4979">
        <v>42</v>
      </c>
      <c r="T106" s="4979">
        <v>20</v>
      </c>
      <c r="U106" s="4979">
        <v>31</v>
      </c>
      <c r="V106" s="4979">
        <v>10</v>
      </c>
      <c r="W106" s="4979">
        <v>25</v>
      </c>
    </row>
    <row r="107" spans="2:23" ht="15" customHeight="1" x14ac:dyDescent="0.3">
      <c r="B107" s="5853"/>
      <c r="C107" s="4980" t="s">
        <v>1397</v>
      </c>
      <c r="D107" s="4978">
        <v>46</v>
      </c>
      <c r="E107" s="4979">
        <v>29</v>
      </c>
      <c r="F107" s="4979">
        <v>55</v>
      </c>
      <c r="G107" s="4979">
        <v>32</v>
      </c>
      <c r="H107" s="4979">
        <v>71</v>
      </c>
      <c r="I107" s="4979">
        <v>37</v>
      </c>
      <c r="J107" s="4979">
        <v>74</v>
      </c>
      <c r="K107" s="4979">
        <v>41</v>
      </c>
      <c r="L107" s="4979">
        <v>39</v>
      </c>
      <c r="M107" s="4979">
        <v>1</v>
      </c>
      <c r="N107" s="4979">
        <v>40</v>
      </c>
      <c r="O107" s="4979">
        <v>33</v>
      </c>
      <c r="P107" s="4979">
        <v>66</v>
      </c>
      <c r="Q107" s="4979">
        <v>37</v>
      </c>
      <c r="R107" s="4979">
        <v>34</v>
      </c>
      <c r="S107" s="4979">
        <v>28</v>
      </c>
      <c r="T107" s="4979">
        <v>45</v>
      </c>
      <c r="U107" s="4979">
        <v>20</v>
      </c>
      <c r="V107" s="4979">
        <v>37</v>
      </c>
      <c r="W107" s="4979">
        <v>21</v>
      </c>
    </row>
    <row r="108" spans="2:23" ht="15" customHeight="1" x14ac:dyDescent="0.3">
      <c r="B108" s="5853"/>
      <c r="C108" s="4977" t="s">
        <v>394</v>
      </c>
      <c r="D108" s="4978">
        <v>18</v>
      </c>
      <c r="E108" s="4979">
        <v>36</v>
      </c>
      <c r="F108" s="4979">
        <v>27</v>
      </c>
      <c r="G108" s="4979">
        <v>39</v>
      </c>
      <c r="H108" s="4979">
        <v>26</v>
      </c>
      <c r="I108" s="4979">
        <v>54</v>
      </c>
      <c r="J108" s="4979">
        <v>40</v>
      </c>
      <c r="K108" s="4979">
        <v>60</v>
      </c>
      <c r="L108" s="4979">
        <v>37</v>
      </c>
      <c r="M108" s="4979">
        <v>72</v>
      </c>
      <c r="N108" s="4979">
        <v>47</v>
      </c>
      <c r="O108" s="4979">
        <v>66</v>
      </c>
      <c r="P108" s="4979">
        <v>34</v>
      </c>
      <c r="Q108" s="4979">
        <v>61</v>
      </c>
      <c r="R108" s="4979">
        <v>29</v>
      </c>
      <c r="S108" s="4979">
        <v>50</v>
      </c>
      <c r="T108" s="4979">
        <v>24</v>
      </c>
      <c r="U108" s="4979">
        <v>46</v>
      </c>
      <c r="V108" s="4979">
        <v>23</v>
      </c>
      <c r="W108" s="4979">
        <v>42</v>
      </c>
    </row>
    <row r="109" spans="2:23" ht="15" customHeight="1" x14ac:dyDescent="0.3">
      <c r="B109" s="5853"/>
      <c r="C109" s="4977" t="s">
        <v>395</v>
      </c>
      <c r="D109" s="4978">
        <v>23</v>
      </c>
      <c r="E109" s="4979">
        <v>41</v>
      </c>
      <c r="F109" s="4979">
        <v>18</v>
      </c>
      <c r="G109" s="4979">
        <v>29</v>
      </c>
      <c r="H109" s="4979">
        <v>13</v>
      </c>
      <c r="I109" s="4979">
        <v>35</v>
      </c>
      <c r="J109" s="4979">
        <v>27</v>
      </c>
      <c r="K109" s="4979">
        <v>54</v>
      </c>
      <c r="L109" s="4979">
        <v>27</v>
      </c>
      <c r="M109" s="4979">
        <v>52</v>
      </c>
      <c r="N109" s="4979">
        <v>24</v>
      </c>
      <c r="O109" s="4979">
        <v>37</v>
      </c>
      <c r="P109" s="4979">
        <v>15</v>
      </c>
      <c r="Q109" s="4979">
        <v>31</v>
      </c>
      <c r="R109" s="4979">
        <v>18</v>
      </c>
      <c r="S109" s="4979">
        <v>45</v>
      </c>
      <c r="T109" s="4979">
        <v>24</v>
      </c>
      <c r="U109" s="4979">
        <v>48</v>
      </c>
      <c r="V109" s="4979">
        <v>24</v>
      </c>
      <c r="W109" s="4979">
        <v>46</v>
      </c>
    </row>
    <row r="110" spans="2:23" ht="15" customHeight="1" x14ac:dyDescent="0.3">
      <c r="B110" s="5853"/>
      <c r="C110" s="4977" t="s">
        <v>396</v>
      </c>
      <c r="D110" s="4978">
        <v>28</v>
      </c>
      <c r="E110" s="4979">
        <v>46</v>
      </c>
      <c r="F110" s="4979">
        <v>22</v>
      </c>
      <c r="G110" s="4979">
        <v>40</v>
      </c>
      <c r="H110" s="4979">
        <v>26</v>
      </c>
      <c r="I110" s="4979">
        <v>48</v>
      </c>
      <c r="J110" s="4979">
        <v>32</v>
      </c>
      <c r="K110" s="4979">
        <v>46</v>
      </c>
      <c r="L110" s="4979">
        <v>23</v>
      </c>
      <c r="M110" s="4979">
        <v>39</v>
      </c>
      <c r="N110" s="4979">
        <v>28</v>
      </c>
      <c r="O110" s="4979">
        <v>41</v>
      </c>
      <c r="P110" s="4979">
        <v>21</v>
      </c>
      <c r="Q110" s="4979">
        <v>43</v>
      </c>
      <c r="R110" s="4979">
        <v>25</v>
      </c>
      <c r="S110" s="4979">
        <v>41</v>
      </c>
      <c r="T110" s="4979">
        <v>18</v>
      </c>
      <c r="U110" s="4979">
        <v>41</v>
      </c>
      <c r="V110" s="4979">
        <v>34</v>
      </c>
      <c r="W110" s="4979">
        <v>46</v>
      </c>
    </row>
    <row r="111" spans="2:23" ht="15" customHeight="1" x14ac:dyDescent="0.3">
      <c r="B111" s="5853"/>
      <c r="C111" s="4977" t="s">
        <v>397</v>
      </c>
      <c r="D111" s="4978">
        <v>23</v>
      </c>
      <c r="E111" s="4979">
        <v>42</v>
      </c>
      <c r="F111" s="4979">
        <v>17</v>
      </c>
      <c r="G111" s="4979">
        <v>37</v>
      </c>
      <c r="H111" s="4979">
        <v>23</v>
      </c>
      <c r="I111" s="4979">
        <v>41</v>
      </c>
      <c r="J111" s="4979">
        <v>23</v>
      </c>
      <c r="K111" s="4979">
        <v>42</v>
      </c>
      <c r="L111" s="4979">
        <v>20</v>
      </c>
      <c r="M111" s="4979">
        <v>35</v>
      </c>
      <c r="N111" s="4979">
        <v>15</v>
      </c>
      <c r="O111" s="4979">
        <v>29</v>
      </c>
      <c r="P111" s="4979">
        <v>19</v>
      </c>
      <c r="Q111" s="4979">
        <v>35</v>
      </c>
      <c r="R111" s="4979">
        <v>21</v>
      </c>
      <c r="S111" s="4979">
        <v>34</v>
      </c>
      <c r="T111" s="4979">
        <v>20</v>
      </c>
      <c r="U111" s="4979">
        <v>31</v>
      </c>
      <c r="V111" s="4979">
        <v>18</v>
      </c>
      <c r="W111" s="4979">
        <v>31</v>
      </c>
    </row>
    <row r="112" spans="2:23" ht="15" customHeight="1" x14ac:dyDescent="0.3">
      <c r="B112" s="5853"/>
      <c r="C112" s="4977" t="s">
        <v>398</v>
      </c>
      <c r="D112" s="4978">
        <v>34</v>
      </c>
      <c r="E112" s="4979">
        <v>44</v>
      </c>
      <c r="F112" s="4979">
        <v>31</v>
      </c>
      <c r="G112" s="4979">
        <v>46</v>
      </c>
      <c r="H112" s="4979">
        <v>29</v>
      </c>
      <c r="I112" s="4979">
        <v>32</v>
      </c>
      <c r="J112" s="4979">
        <v>24</v>
      </c>
      <c r="K112" s="4979">
        <v>35</v>
      </c>
      <c r="L112" s="4979">
        <v>16</v>
      </c>
      <c r="M112" s="4979">
        <v>27</v>
      </c>
      <c r="N112" s="4979">
        <v>20</v>
      </c>
      <c r="O112" s="4979">
        <v>31</v>
      </c>
      <c r="P112" s="4979">
        <v>25</v>
      </c>
      <c r="Q112" s="4979">
        <v>35</v>
      </c>
      <c r="R112" s="4979">
        <v>17</v>
      </c>
      <c r="S112" s="4979">
        <v>29</v>
      </c>
      <c r="T112" s="4979">
        <v>16</v>
      </c>
      <c r="U112" s="4979">
        <v>27</v>
      </c>
      <c r="V112" s="4979">
        <v>15</v>
      </c>
      <c r="W112" s="4979">
        <v>29</v>
      </c>
    </row>
    <row r="113" spans="2:23" ht="15" customHeight="1" x14ac:dyDescent="0.3">
      <c r="B113" s="5853"/>
      <c r="C113" s="4980" t="s">
        <v>328</v>
      </c>
      <c r="D113" s="4978">
        <v>2</v>
      </c>
      <c r="E113" s="4979">
        <v>3</v>
      </c>
      <c r="F113" s="4979">
        <v>2</v>
      </c>
      <c r="G113" s="4979">
        <v>12</v>
      </c>
      <c r="H113" s="4979"/>
      <c r="I113" s="4979">
        <v>3</v>
      </c>
      <c r="J113" s="4979">
        <v>15</v>
      </c>
      <c r="K113" s="4979">
        <v>1</v>
      </c>
      <c r="L113" s="4979"/>
      <c r="M113" s="4979"/>
      <c r="N113" s="4979"/>
      <c r="O113" s="4979"/>
      <c r="P113" s="4979"/>
      <c r="Q113" s="4979"/>
      <c r="R113" s="4979"/>
      <c r="S113" s="4979">
        <v>22</v>
      </c>
      <c r="T113" s="4979">
        <v>22</v>
      </c>
      <c r="U113" s="4979">
        <v>10</v>
      </c>
      <c r="V113" s="4979"/>
      <c r="W113" s="4979"/>
    </row>
    <row r="114" spans="2:23" ht="15" customHeight="1" x14ac:dyDescent="0.3">
      <c r="B114" s="5853"/>
      <c r="C114" s="4981" t="s">
        <v>399</v>
      </c>
      <c r="D114" s="4982"/>
      <c r="E114" s="4983"/>
      <c r="F114" s="4983"/>
      <c r="G114" s="4983"/>
      <c r="H114" s="4983"/>
      <c r="I114" s="4983"/>
      <c r="J114" s="4983"/>
      <c r="K114" s="4983"/>
      <c r="L114" s="4983"/>
      <c r="M114" s="4983">
        <v>19</v>
      </c>
      <c r="N114" s="4983">
        <v>16</v>
      </c>
      <c r="O114" s="4983">
        <v>22</v>
      </c>
      <c r="P114" s="4983">
        <v>20</v>
      </c>
      <c r="Q114" s="4983">
        <v>29</v>
      </c>
      <c r="R114" s="4983">
        <v>16</v>
      </c>
      <c r="S114" s="4983">
        <v>27</v>
      </c>
      <c r="T114" s="4983">
        <v>19</v>
      </c>
      <c r="U114" s="4983">
        <v>30</v>
      </c>
      <c r="V114" s="4983">
        <v>17</v>
      </c>
      <c r="W114" s="4983">
        <v>25</v>
      </c>
    </row>
    <row r="115" spans="2:23" ht="15" customHeight="1" x14ac:dyDescent="0.3">
      <c r="B115" s="5853"/>
      <c r="C115" s="4986" t="s">
        <v>334</v>
      </c>
      <c r="D115" s="4982"/>
      <c r="E115" s="4983"/>
      <c r="F115" s="4983"/>
      <c r="G115" s="4983"/>
      <c r="H115" s="4983"/>
      <c r="I115" s="4983"/>
      <c r="J115" s="4983"/>
      <c r="K115" s="4983"/>
      <c r="L115" s="4983"/>
      <c r="M115" s="4983"/>
      <c r="N115" s="4983"/>
      <c r="O115" s="4983"/>
      <c r="P115" s="4983"/>
      <c r="Q115" s="4983"/>
      <c r="R115" s="4983">
        <v>4</v>
      </c>
      <c r="S115" s="4983">
        <v>3</v>
      </c>
      <c r="T115" s="4983">
        <v>8</v>
      </c>
      <c r="U115" s="4983">
        <v>6</v>
      </c>
      <c r="V115" s="4983">
        <v>12</v>
      </c>
      <c r="W115" s="4983">
        <v>9</v>
      </c>
    </row>
    <row r="116" spans="2:23" ht="15" customHeight="1" x14ac:dyDescent="0.3">
      <c r="B116" s="5854"/>
      <c r="C116" s="4986" t="s">
        <v>400</v>
      </c>
      <c r="D116" s="4982"/>
      <c r="E116" s="4983"/>
      <c r="F116" s="4983"/>
      <c r="G116" s="4983"/>
      <c r="H116" s="4983"/>
      <c r="I116" s="4983"/>
      <c r="J116" s="4983"/>
      <c r="K116" s="4983"/>
      <c r="L116" s="4983"/>
      <c r="M116" s="4983"/>
      <c r="N116" s="4983"/>
      <c r="O116" s="4983"/>
      <c r="P116" s="4983"/>
      <c r="Q116" s="4983"/>
      <c r="R116" s="4983">
        <v>19</v>
      </c>
      <c r="S116" s="4983">
        <v>17</v>
      </c>
      <c r="T116" s="4983">
        <v>19</v>
      </c>
      <c r="U116" s="4983">
        <v>20</v>
      </c>
      <c r="V116" s="4983">
        <v>20</v>
      </c>
      <c r="W116" s="4983">
        <v>19</v>
      </c>
    </row>
    <row r="117" spans="2:23" ht="15" customHeight="1" x14ac:dyDescent="0.3">
      <c r="B117" s="5850" t="s">
        <v>317</v>
      </c>
      <c r="C117" s="1474" t="s">
        <v>1397</v>
      </c>
      <c r="D117" s="1457">
        <v>29</v>
      </c>
      <c r="E117" s="1458">
        <v>28</v>
      </c>
      <c r="F117" s="1458">
        <v>31</v>
      </c>
      <c r="G117" s="1458">
        <v>28</v>
      </c>
      <c r="H117" s="1458">
        <v>41</v>
      </c>
      <c r="I117" s="1458">
        <v>26</v>
      </c>
      <c r="J117" s="1458">
        <v>30</v>
      </c>
      <c r="K117" s="1458">
        <v>32</v>
      </c>
      <c r="L117" s="1458">
        <v>53</v>
      </c>
      <c r="M117" s="1458">
        <v>31</v>
      </c>
      <c r="N117" s="1458">
        <v>52</v>
      </c>
      <c r="O117" s="1458">
        <v>40</v>
      </c>
      <c r="P117" s="1458">
        <v>63</v>
      </c>
      <c r="Q117" s="1458">
        <v>45</v>
      </c>
      <c r="R117" s="1458">
        <v>57</v>
      </c>
      <c r="S117" s="1458">
        <v>46</v>
      </c>
      <c r="T117" s="1458">
        <v>67</v>
      </c>
      <c r="U117" s="1458">
        <v>45</v>
      </c>
      <c r="V117" s="1458">
        <v>64</v>
      </c>
      <c r="W117" s="1458">
        <v>42</v>
      </c>
    </row>
    <row r="118" spans="2:23" ht="15" customHeight="1" x14ac:dyDescent="0.3">
      <c r="B118" s="5855"/>
      <c r="C118" s="1474" t="s">
        <v>335</v>
      </c>
      <c r="D118" s="1457">
        <v>23</v>
      </c>
      <c r="E118" s="1458">
        <v>13</v>
      </c>
      <c r="F118" s="1458">
        <v>8</v>
      </c>
      <c r="G118" s="1458">
        <v>17</v>
      </c>
      <c r="H118" s="1458">
        <v>1</v>
      </c>
      <c r="I118" s="1458">
        <v>4</v>
      </c>
      <c r="J118" s="1458">
        <v>11</v>
      </c>
      <c r="K118" s="1458">
        <v>4</v>
      </c>
      <c r="L118" s="1458">
        <v>4</v>
      </c>
      <c r="M118" s="1458">
        <v>5</v>
      </c>
      <c r="N118" s="1458">
        <v>3</v>
      </c>
      <c r="O118" s="1458">
        <v>2</v>
      </c>
      <c r="P118" s="1458"/>
      <c r="Q118" s="1458"/>
      <c r="R118" s="1458">
        <v>8</v>
      </c>
      <c r="S118" s="1458">
        <v>60</v>
      </c>
      <c r="T118" s="1458">
        <v>24</v>
      </c>
      <c r="U118" s="1458">
        <v>31</v>
      </c>
      <c r="V118" s="1458">
        <v>31</v>
      </c>
      <c r="W118" s="1458"/>
    </row>
    <row r="119" spans="2:23" ht="15" customHeight="1" x14ac:dyDescent="0.3">
      <c r="B119" s="5855"/>
      <c r="C119" s="1463" t="s">
        <v>402</v>
      </c>
      <c r="D119" s="397">
        <v>90</v>
      </c>
      <c r="E119" s="1491">
        <v>59</v>
      </c>
      <c r="F119" s="1491">
        <v>97</v>
      </c>
      <c r="G119" s="1491">
        <v>73</v>
      </c>
      <c r="H119" s="1491">
        <v>145</v>
      </c>
      <c r="I119" s="1491">
        <v>126</v>
      </c>
      <c r="J119" s="1491">
        <v>161</v>
      </c>
      <c r="K119" s="1491">
        <v>135</v>
      </c>
      <c r="L119" s="1491">
        <v>154</v>
      </c>
      <c r="M119" s="1491">
        <v>107</v>
      </c>
      <c r="N119" s="1491">
        <v>123</v>
      </c>
      <c r="O119" s="1491">
        <v>106</v>
      </c>
      <c r="P119" s="1491">
        <v>120</v>
      </c>
      <c r="Q119" s="1491">
        <v>109</v>
      </c>
      <c r="R119" s="1491">
        <v>136</v>
      </c>
      <c r="S119" s="1491">
        <v>117</v>
      </c>
      <c r="T119" s="1491">
        <v>155</v>
      </c>
      <c r="U119" s="1491">
        <v>130</v>
      </c>
      <c r="V119" s="1491">
        <v>164</v>
      </c>
      <c r="W119" s="1491">
        <v>126</v>
      </c>
    </row>
    <row r="120" spans="2:23" ht="15" customHeight="1" x14ac:dyDescent="0.3">
      <c r="B120" s="5855"/>
      <c r="C120" s="1474" t="s">
        <v>334</v>
      </c>
      <c r="D120" s="1457"/>
      <c r="E120" s="1458"/>
      <c r="F120" s="1458"/>
      <c r="G120" s="1458"/>
      <c r="H120" s="1458"/>
      <c r="I120" s="1458"/>
      <c r="J120" s="1458"/>
      <c r="K120" s="1458"/>
      <c r="L120" s="1458"/>
      <c r="M120" s="1458"/>
      <c r="N120" s="1458"/>
      <c r="O120" s="1458"/>
      <c r="P120" s="1458"/>
      <c r="Q120" s="1458"/>
      <c r="R120" s="1458">
        <v>1</v>
      </c>
      <c r="S120" s="1458">
        <v>1</v>
      </c>
      <c r="T120" s="1458">
        <v>6</v>
      </c>
      <c r="U120" s="1458">
        <v>3</v>
      </c>
      <c r="V120" s="1458">
        <v>1</v>
      </c>
      <c r="W120" s="1458">
        <v>2</v>
      </c>
    </row>
    <row r="121" spans="2:23" ht="15" customHeight="1" x14ac:dyDescent="0.3">
      <c r="B121" s="5855"/>
      <c r="C121" s="1472" t="s">
        <v>378</v>
      </c>
      <c r="D121" s="1461"/>
      <c r="E121" s="1462"/>
      <c r="F121" s="1462"/>
      <c r="G121" s="1462"/>
      <c r="H121" s="1462"/>
      <c r="I121" s="1462"/>
      <c r="J121" s="1462"/>
      <c r="K121" s="1462"/>
      <c r="L121" s="1462"/>
      <c r="M121" s="1462"/>
      <c r="N121" s="1462"/>
      <c r="O121" s="1462"/>
      <c r="P121" s="1462"/>
      <c r="Q121" s="1462"/>
      <c r="R121" s="1462">
        <v>15</v>
      </c>
      <c r="S121" s="1462">
        <v>15</v>
      </c>
      <c r="T121" s="1462">
        <v>27</v>
      </c>
      <c r="U121" s="1462">
        <v>26</v>
      </c>
      <c r="V121" s="1462">
        <v>38</v>
      </c>
      <c r="W121" s="1462">
        <v>34</v>
      </c>
    </row>
    <row r="122" spans="2:23" ht="15" customHeight="1" x14ac:dyDescent="0.3">
      <c r="B122" s="5851"/>
      <c r="C122" s="1472" t="s">
        <v>403</v>
      </c>
      <c r="D122" s="1461"/>
      <c r="E122" s="1462"/>
      <c r="F122" s="1462"/>
      <c r="G122" s="1462"/>
      <c r="H122" s="1462"/>
      <c r="I122" s="1462"/>
      <c r="J122" s="1462"/>
      <c r="K122" s="1462"/>
      <c r="L122" s="1462"/>
      <c r="M122" s="1462"/>
      <c r="N122" s="1462"/>
      <c r="O122" s="1462"/>
      <c r="P122" s="1462"/>
      <c r="Q122" s="1462"/>
      <c r="R122" s="1462"/>
      <c r="S122" s="1462">
        <v>9</v>
      </c>
      <c r="T122" s="1462">
        <v>9</v>
      </c>
      <c r="U122" s="1462">
        <v>22</v>
      </c>
      <c r="V122" s="1462">
        <v>19</v>
      </c>
      <c r="W122" s="1462">
        <v>28</v>
      </c>
    </row>
    <row r="123" spans="2:23" ht="15" customHeight="1" x14ac:dyDescent="0.25">
      <c r="B123" s="1307"/>
      <c r="C123" s="1482" t="s">
        <v>64</v>
      </c>
      <c r="D123" s="1480">
        <f t="shared" ref="D123:Q123" si="16">SUM(D103:D119)</f>
        <v>354</v>
      </c>
      <c r="E123" s="1480">
        <f t="shared" si="16"/>
        <v>381</v>
      </c>
      <c r="F123" s="1480">
        <f t="shared" si="16"/>
        <v>332</v>
      </c>
      <c r="G123" s="1480">
        <f t="shared" si="16"/>
        <v>390</v>
      </c>
      <c r="H123" s="1480">
        <f t="shared" si="16"/>
        <v>408</v>
      </c>
      <c r="I123" s="1480">
        <f t="shared" si="16"/>
        <v>452</v>
      </c>
      <c r="J123" s="1480">
        <f t="shared" si="16"/>
        <v>468</v>
      </c>
      <c r="K123" s="1480">
        <f t="shared" si="16"/>
        <v>487</v>
      </c>
      <c r="L123" s="1480">
        <f t="shared" si="16"/>
        <v>429</v>
      </c>
      <c r="M123" s="1480">
        <f t="shared" si="16"/>
        <v>467</v>
      </c>
      <c r="N123" s="1480">
        <f t="shared" si="16"/>
        <v>425</v>
      </c>
      <c r="O123" s="1480">
        <f t="shared" si="16"/>
        <v>454</v>
      </c>
      <c r="P123" s="1480">
        <f t="shared" si="16"/>
        <v>405</v>
      </c>
      <c r="Q123" s="1480">
        <f t="shared" si="16"/>
        <v>468</v>
      </c>
      <c r="R123" s="1480">
        <f>SUM(R103:R121)</f>
        <v>454</v>
      </c>
      <c r="S123" s="1480">
        <f>SUM(S103:S122)</f>
        <v>590</v>
      </c>
      <c r="T123" s="1480">
        <f>SUM(T103:T122)</f>
        <v>527</v>
      </c>
      <c r="U123" s="1480">
        <f>SUM(U103:U122)</f>
        <v>567</v>
      </c>
      <c r="V123" s="1480">
        <f>SUM(V103:V122)</f>
        <v>534</v>
      </c>
      <c r="W123" s="1480">
        <f>SUM(W103:W122)</f>
        <v>546</v>
      </c>
    </row>
    <row r="124" spans="2:23" ht="15" customHeight="1" x14ac:dyDescent="0.3">
      <c r="B124" s="5850" t="s">
        <v>308</v>
      </c>
      <c r="C124" s="1467" t="s">
        <v>404</v>
      </c>
      <c r="D124" s="1468">
        <v>8</v>
      </c>
      <c r="E124" s="1469">
        <v>11</v>
      </c>
      <c r="F124" s="1469"/>
      <c r="G124" s="1469">
        <v>13</v>
      </c>
      <c r="H124" s="1469">
        <v>8</v>
      </c>
      <c r="I124" s="1469">
        <v>12</v>
      </c>
      <c r="J124" s="1469">
        <v>11</v>
      </c>
      <c r="K124" s="1469"/>
      <c r="L124" s="1469">
        <v>16</v>
      </c>
      <c r="M124" s="1469">
        <v>1</v>
      </c>
      <c r="N124" s="1469">
        <v>12</v>
      </c>
      <c r="O124" s="1469"/>
      <c r="P124" s="1469"/>
      <c r="Q124" s="1469"/>
      <c r="R124" s="1469"/>
      <c r="S124" s="1469"/>
      <c r="T124" s="1469"/>
      <c r="U124" s="1469"/>
      <c r="V124" s="1469"/>
      <c r="W124" s="1469"/>
    </row>
    <row r="125" spans="2:23" ht="15" customHeight="1" x14ac:dyDescent="0.3">
      <c r="B125" s="5855"/>
      <c r="C125" s="1456" t="s">
        <v>405</v>
      </c>
      <c r="D125" s="1457">
        <v>4</v>
      </c>
      <c r="E125" s="1458"/>
      <c r="F125" s="1458"/>
      <c r="G125" s="1458"/>
      <c r="H125" s="1458"/>
      <c r="I125" s="1458"/>
      <c r="J125" s="1458"/>
      <c r="K125" s="1458"/>
      <c r="L125" s="1458"/>
      <c r="M125" s="1458"/>
      <c r="N125" s="1458"/>
      <c r="O125" s="1458"/>
      <c r="P125" s="1458"/>
      <c r="Q125" s="1458"/>
      <c r="R125" s="1458"/>
      <c r="S125" s="1458"/>
      <c r="T125" s="1458"/>
      <c r="U125" s="1458"/>
      <c r="V125" s="1458"/>
      <c r="W125" s="1458"/>
    </row>
    <row r="126" spans="2:23" ht="15" customHeight="1" x14ac:dyDescent="0.3">
      <c r="B126" s="5851"/>
      <c r="C126" s="1456" t="s">
        <v>406</v>
      </c>
      <c r="D126" s="1457"/>
      <c r="E126" s="1458"/>
      <c r="F126" s="1458"/>
      <c r="G126" s="1458"/>
      <c r="H126" s="1458"/>
      <c r="I126" s="1458"/>
      <c r="J126" s="1458"/>
      <c r="K126" s="1458"/>
      <c r="L126" s="1458">
        <v>20</v>
      </c>
      <c r="M126" s="1458">
        <v>16</v>
      </c>
      <c r="N126" s="1458">
        <v>1</v>
      </c>
      <c r="O126" s="1458"/>
      <c r="P126" s="1458"/>
      <c r="Q126" s="1458"/>
      <c r="R126" s="1458"/>
      <c r="S126" s="1458"/>
      <c r="T126" s="1458"/>
      <c r="U126" s="1458"/>
      <c r="V126" s="1458"/>
      <c r="W126" s="1458"/>
    </row>
    <row r="127" spans="2:23" ht="15" customHeight="1" x14ac:dyDescent="0.3">
      <c r="B127" s="5852" t="s">
        <v>310</v>
      </c>
      <c r="C127" s="4977" t="s">
        <v>407</v>
      </c>
      <c r="D127" s="4978"/>
      <c r="E127" s="4979"/>
      <c r="F127" s="4979"/>
      <c r="G127" s="4979"/>
      <c r="H127" s="4979"/>
      <c r="I127" s="4979"/>
      <c r="J127" s="4979"/>
      <c r="K127" s="4979">
        <v>6</v>
      </c>
      <c r="L127" s="4979">
        <v>1</v>
      </c>
      <c r="M127" s="4979">
        <v>9</v>
      </c>
      <c r="N127" s="4979">
        <v>7</v>
      </c>
      <c r="O127" s="4979">
        <v>8</v>
      </c>
      <c r="P127" s="4979">
        <v>12</v>
      </c>
      <c r="Q127" s="4979">
        <v>10</v>
      </c>
      <c r="R127" s="4979">
        <v>12</v>
      </c>
      <c r="S127" s="4979">
        <v>11</v>
      </c>
      <c r="T127" s="4979">
        <v>7</v>
      </c>
      <c r="U127" s="4979">
        <v>7</v>
      </c>
      <c r="V127" s="4979">
        <v>7</v>
      </c>
      <c r="W127" s="4979">
        <v>6</v>
      </c>
    </row>
    <row r="128" spans="2:23" ht="15" customHeight="1" x14ac:dyDescent="0.3">
      <c r="B128" s="5853"/>
      <c r="C128" s="4977" t="s">
        <v>408</v>
      </c>
      <c r="D128" s="4978">
        <v>32</v>
      </c>
      <c r="E128" s="4979">
        <v>14</v>
      </c>
      <c r="F128" s="4979">
        <v>26</v>
      </c>
      <c r="G128" s="4979">
        <v>12</v>
      </c>
      <c r="H128" s="4979">
        <v>27</v>
      </c>
      <c r="I128" s="4979">
        <v>16</v>
      </c>
      <c r="J128" s="4979">
        <v>31</v>
      </c>
      <c r="K128" s="4979">
        <v>16</v>
      </c>
      <c r="L128" s="4979">
        <v>14</v>
      </c>
      <c r="M128" s="4979">
        <v>6</v>
      </c>
      <c r="N128" s="4979">
        <v>31</v>
      </c>
      <c r="O128" s="4979">
        <v>11</v>
      </c>
      <c r="P128" s="4979">
        <v>25</v>
      </c>
      <c r="Q128" s="4979">
        <v>13</v>
      </c>
      <c r="R128" s="4979">
        <v>20</v>
      </c>
      <c r="S128" s="4979">
        <v>9</v>
      </c>
      <c r="T128" s="4979">
        <v>22</v>
      </c>
      <c r="U128" s="4979">
        <v>14</v>
      </c>
      <c r="V128" s="4979">
        <v>29</v>
      </c>
      <c r="W128" s="4979">
        <v>15</v>
      </c>
    </row>
    <row r="129" spans="2:23" ht="15" customHeight="1" x14ac:dyDescent="0.3">
      <c r="B129" s="5853"/>
      <c r="C129" s="4977" t="s">
        <v>409</v>
      </c>
      <c r="D129" s="4978">
        <v>24</v>
      </c>
      <c r="E129" s="4979">
        <v>19</v>
      </c>
      <c r="F129" s="4979">
        <v>27</v>
      </c>
      <c r="G129" s="4979">
        <v>38</v>
      </c>
      <c r="H129" s="4979">
        <v>34</v>
      </c>
      <c r="I129" s="4979">
        <v>36</v>
      </c>
      <c r="J129" s="4979">
        <v>43</v>
      </c>
      <c r="K129" s="4979">
        <v>46</v>
      </c>
      <c r="L129" s="4979">
        <v>43</v>
      </c>
      <c r="M129" s="4979">
        <v>42</v>
      </c>
      <c r="N129" s="4979">
        <v>50</v>
      </c>
      <c r="O129" s="4979">
        <v>45</v>
      </c>
      <c r="P129" s="4979">
        <v>45</v>
      </c>
      <c r="Q129" s="4979">
        <v>41</v>
      </c>
      <c r="R129" s="4979">
        <v>39</v>
      </c>
      <c r="S129" s="4979">
        <v>43</v>
      </c>
      <c r="T129" s="4979">
        <v>46</v>
      </c>
      <c r="U129" s="4979">
        <v>43</v>
      </c>
      <c r="V129" s="4979">
        <v>41</v>
      </c>
      <c r="W129" s="4979">
        <v>38</v>
      </c>
    </row>
    <row r="130" spans="2:23" ht="15" customHeight="1" x14ac:dyDescent="0.3">
      <c r="B130" s="5853"/>
      <c r="C130" s="4977" t="s">
        <v>410</v>
      </c>
      <c r="D130" s="4978">
        <v>17</v>
      </c>
      <c r="E130" s="4979">
        <v>6</v>
      </c>
      <c r="F130" s="4979">
        <v>12</v>
      </c>
      <c r="G130" s="4979">
        <v>21</v>
      </c>
      <c r="H130" s="4979">
        <v>15</v>
      </c>
      <c r="I130" s="4979">
        <v>19</v>
      </c>
      <c r="J130" s="4979">
        <v>9</v>
      </c>
      <c r="K130" s="4979">
        <v>16</v>
      </c>
      <c r="L130" s="4979">
        <v>24</v>
      </c>
      <c r="M130" s="4979">
        <v>18</v>
      </c>
      <c r="N130" s="4979">
        <v>26</v>
      </c>
      <c r="O130" s="4979">
        <v>10</v>
      </c>
      <c r="P130" s="4979">
        <v>19</v>
      </c>
      <c r="Q130" s="4979">
        <v>29</v>
      </c>
      <c r="R130" s="4979">
        <v>24</v>
      </c>
      <c r="S130" s="4979">
        <v>24</v>
      </c>
      <c r="T130" s="4979">
        <v>10</v>
      </c>
      <c r="U130" s="4979">
        <v>20</v>
      </c>
      <c r="V130" s="4979">
        <v>20</v>
      </c>
      <c r="W130" s="4979">
        <v>9</v>
      </c>
    </row>
    <row r="131" spans="2:23" ht="15" customHeight="1" x14ac:dyDescent="0.3">
      <c r="B131" s="5853"/>
      <c r="C131" s="4977" t="s">
        <v>450</v>
      </c>
      <c r="D131" s="4978">
        <v>17</v>
      </c>
      <c r="E131" s="4979">
        <v>10</v>
      </c>
      <c r="F131" s="4979">
        <v>15</v>
      </c>
      <c r="G131" s="4979">
        <v>5</v>
      </c>
      <c r="H131" s="4979">
        <v>15</v>
      </c>
      <c r="I131" s="4979">
        <v>9</v>
      </c>
      <c r="J131" s="4979">
        <v>8</v>
      </c>
      <c r="K131" s="4979">
        <v>6</v>
      </c>
      <c r="L131" s="4979">
        <v>6</v>
      </c>
      <c r="M131" s="4979">
        <v>11</v>
      </c>
      <c r="N131" s="4979">
        <v>6</v>
      </c>
      <c r="O131" s="4979">
        <v>4</v>
      </c>
      <c r="P131" s="4979">
        <v>7</v>
      </c>
      <c r="Q131" s="4979">
        <v>7</v>
      </c>
      <c r="R131" s="4979">
        <v>17</v>
      </c>
      <c r="S131" s="4979">
        <v>11</v>
      </c>
      <c r="T131" s="4979">
        <v>19</v>
      </c>
      <c r="U131" s="4979">
        <v>10</v>
      </c>
      <c r="V131" s="4979">
        <v>14</v>
      </c>
      <c r="W131" s="4979">
        <v>5</v>
      </c>
    </row>
    <row r="132" spans="2:23" ht="15" customHeight="1" x14ac:dyDescent="0.3">
      <c r="B132" s="5853"/>
      <c r="C132" s="4977" t="s">
        <v>1392</v>
      </c>
      <c r="D132" s="4978">
        <v>28</v>
      </c>
      <c r="E132" s="4979">
        <v>23</v>
      </c>
      <c r="F132" s="4979">
        <v>34</v>
      </c>
      <c r="G132" s="4979">
        <v>30</v>
      </c>
      <c r="H132" s="4979">
        <v>32</v>
      </c>
      <c r="I132" s="4979">
        <v>40</v>
      </c>
      <c r="J132" s="4979">
        <v>54</v>
      </c>
      <c r="K132" s="4979">
        <v>50</v>
      </c>
      <c r="L132" s="4979">
        <v>41</v>
      </c>
      <c r="M132" s="4979">
        <v>37</v>
      </c>
      <c r="N132" s="4979">
        <v>43</v>
      </c>
      <c r="O132" s="4979">
        <v>48</v>
      </c>
      <c r="P132" s="4979">
        <v>50</v>
      </c>
      <c r="Q132" s="4979">
        <v>53</v>
      </c>
      <c r="R132" s="4979">
        <v>50</v>
      </c>
      <c r="S132" s="4979">
        <v>45</v>
      </c>
      <c r="T132" s="4979">
        <v>50</v>
      </c>
      <c r="U132" s="4979">
        <v>49</v>
      </c>
      <c r="V132" s="4979">
        <v>60</v>
      </c>
      <c r="W132" s="4979">
        <v>58</v>
      </c>
    </row>
    <row r="133" spans="2:23" ht="15" customHeight="1" x14ac:dyDescent="0.3">
      <c r="B133" s="5853"/>
      <c r="C133" s="4977" t="s">
        <v>413</v>
      </c>
      <c r="D133" s="4978">
        <v>26</v>
      </c>
      <c r="E133" s="4979">
        <v>22</v>
      </c>
      <c r="F133" s="4979">
        <v>40</v>
      </c>
      <c r="G133" s="4979">
        <v>49</v>
      </c>
      <c r="H133" s="4979">
        <v>57</v>
      </c>
      <c r="I133" s="4979">
        <v>50</v>
      </c>
      <c r="J133" s="4979">
        <v>50</v>
      </c>
      <c r="K133" s="4979">
        <v>60</v>
      </c>
      <c r="L133" s="4979">
        <v>64</v>
      </c>
      <c r="M133" s="4979">
        <v>70</v>
      </c>
      <c r="N133" s="4979">
        <v>79</v>
      </c>
      <c r="O133" s="4979">
        <v>76</v>
      </c>
      <c r="P133" s="4979">
        <v>80</v>
      </c>
      <c r="Q133" s="4979">
        <v>72</v>
      </c>
      <c r="R133" s="4979">
        <v>69</v>
      </c>
      <c r="S133" s="4979">
        <v>77</v>
      </c>
      <c r="T133" s="4979">
        <v>80</v>
      </c>
      <c r="U133" s="4979">
        <v>71</v>
      </c>
      <c r="V133" s="4979">
        <v>55</v>
      </c>
      <c r="W133" s="4979">
        <v>48</v>
      </c>
    </row>
    <row r="134" spans="2:23" ht="15" customHeight="1" x14ac:dyDescent="0.3">
      <c r="B134" s="5853"/>
      <c r="C134" s="4977" t="s">
        <v>414</v>
      </c>
      <c r="D134" s="4978"/>
      <c r="E134" s="4979"/>
      <c r="F134" s="4979"/>
      <c r="G134" s="4979"/>
      <c r="H134" s="4979"/>
      <c r="I134" s="4979"/>
      <c r="J134" s="4979"/>
      <c r="K134" s="4979"/>
      <c r="L134" s="4979"/>
      <c r="M134" s="4979"/>
      <c r="N134" s="4979"/>
      <c r="O134" s="4979"/>
      <c r="P134" s="4979"/>
      <c r="Q134" s="4979"/>
      <c r="R134" s="4979"/>
      <c r="S134" s="4979">
        <v>10</v>
      </c>
      <c r="T134" s="4979">
        <v>17</v>
      </c>
      <c r="U134" s="4979">
        <v>16</v>
      </c>
      <c r="V134" s="4979">
        <v>15</v>
      </c>
      <c r="W134" s="4979">
        <v>11</v>
      </c>
    </row>
    <row r="135" spans="2:23" ht="15" customHeight="1" x14ac:dyDescent="0.25">
      <c r="B135" s="5853"/>
      <c r="C135" s="5152" t="s">
        <v>1551</v>
      </c>
      <c r="D135" s="4978"/>
      <c r="E135" s="4979"/>
      <c r="F135" s="4979"/>
      <c r="G135" s="4979"/>
      <c r="H135" s="4979"/>
      <c r="I135" s="4979"/>
      <c r="J135" s="4979"/>
      <c r="K135" s="4979"/>
      <c r="L135" s="4979"/>
      <c r="M135" s="4979"/>
      <c r="N135" s="4979"/>
      <c r="O135" s="4979"/>
      <c r="P135" s="4979"/>
      <c r="Q135" s="4979"/>
      <c r="R135" s="4979"/>
      <c r="S135" s="4979"/>
      <c r="T135" s="4979"/>
      <c r="U135" s="4979"/>
      <c r="V135" s="4979"/>
      <c r="W135" s="4979">
        <v>11</v>
      </c>
    </row>
    <row r="136" spans="2:23" ht="15" customHeight="1" x14ac:dyDescent="0.3">
      <c r="B136" s="5853"/>
      <c r="C136" s="4977" t="s">
        <v>415</v>
      </c>
      <c r="D136" s="4978"/>
      <c r="E136" s="4979"/>
      <c r="F136" s="4979"/>
      <c r="G136" s="4979"/>
      <c r="H136" s="4979"/>
      <c r="I136" s="4979"/>
      <c r="J136" s="4979"/>
      <c r="K136" s="4979"/>
      <c r="L136" s="4979"/>
      <c r="M136" s="4979"/>
      <c r="N136" s="4979"/>
      <c r="O136" s="4979">
        <v>10</v>
      </c>
      <c r="P136" s="4979">
        <v>20</v>
      </c>
      <c r="Q136" s="4979">
        <v>30</v>
      </c>
      <c r="R136" s="4979">
        <v>28</v>
      </c>
      <c r="S136" s="4979">
        <v>23</v>
      </c>
      <c r="T136" s="4979">
        <v>18</v>
      </c>
      <c r="U136" s="4979">
        <v>23</v>
      </c>
      <c r="V136" s="4979">
        <v>22</v>
      </c>
      <c r="W136" s="4979">
        <v>23</v>
      </c>
    </row>
    <row r="137" spans="2:23" ht="15" customHeight="1" x14ac:dyDescent="0.3">
      <c r="B137" s="5850" t="s">
        <v>317</v>
      </c>
      <c r="C137" s="1459" t="s">
        <v>354</v>
      </c>
      <c r="D137" s="396">
        <v>66</v>
      </c>
      <c r="E137" s="617">
        <v>51</v>
      </c>
      <c r="F137" s="617">
        <v>47</v>
      </c>
      <c r="G137" s="617">
        <v>47</v>
      </c>
      <c r="H137" s="617">
        <v>55</v>
      </c>
      <c r="I137" s="617">
        <v>55</v>
      </c>
      <c r="J137" s="617">
        <v>61</v>
      </c>
      <c r="K137" s="617">
        <v>69</v>
      </c>
      <c r="L137" s="617">
        <v>76</v>
      </c>
      <c r="M137" s="617">
        <v>73</v>
      </c>
      <c r="N137" s="617">
        <v>71</v>
      </c>
      <c r="O137" s="617">
        <v>70</v>
      </c>
      <c r="P137" s="617">
        <v>80</v>
      </c>
      <c r="Q137" s="617">
        <v>85</v>
      </c>
      <c r="R137" s="617">
        <v>82</v>
      </c>
      <c r="S137" s="617">
        <v>82</v>
      </c>
      <c r="T137" s="617">
        <v>88</v>
      </c>
      <c r="U137" s="617">
        <v>84</v>
      </c>
      <c r="V137" s="617">
        <v>86</v>
      </c>
      <c r="W137" s="617">
        <v>69</v>
      </c>
    </row>
    <row r="138" spans="2:23" ht="15" customHeight="1" x14ac:dyDescent="0.3">
      <c r="B138" s="5855"/>
      <c r="C138" s="1456" t="s">
        <v>416</v>
      </c>
      <c r="D138" s="1457">
        <v>11</v>
      </c>
      <c r="E138" s="1458">
        <v>14</v>
      </c>
      <c r="F138" s="1458">
        <v>25</v>
      </c>
      <c r="G138" s="1458">
        <v>34</v>
      </c>
      <c r="H138" s="1458">
        <v>43</v>
      </c>
      <c r="I138" s="1458">
        <v>34</v>
      </c>
      <c r="J138" s="1458">
        <v>43</v>
      </c>
      <c r="K138" s="1458">
        <v>41</v>
      </c>
      <c r="L138" s="1458">
        <v>28</v>
      </c>
      <c r="M138" s="1458">
        <v>41</v>
      </c>
      <c r="N138" s="1458">
        <v>38</v>
      </c>
      <c r="O138" s="1458">
        <v>41</v>
      </c>
      <c r="P138" s="1458">
        <v>27</v>
      </c>
      <c r="Q138" s="1458">
        <v>34</v>
      </c>
      <c r="R138" s="1458">
        <v>35</v>
      </c>
      <c r="S138" s="1458">
        <v>41</v>
      </c>
      <c r="T138" s="1458">
        <v>32</v>
      </c>
      <c r="U138" s="1458">
        <v>39</v>
      </c>
      <c r="V138" s="1458">
        <v>31</v>
      </c>
      <c r="W138" s="1458">
        <v>38</v>
      </c>
    </row>
    <row r="139" spans="2:23" ht="15" customHeight="1" x14ac:dyDescent="0.3">
      <c r="B139" s="5855"/>
      <c r="C139" s="1456" t="s">
        <v>1392</v>
      </c>
      <c r="D139" s="1457"/>
      <c r="E139" s="1458"/>
      <c r="F139" s="1458"/>
      <c r="G139" s="1458"/>
      <c r="H139" s="1458"/>
      <c r="I139" s="1458"/>
      <c r="J139" s="1458"/>
      <c r="K139" s="1458"/>
      <c r="L139" s="1458"/>
      <c r="M139" s="1458"/>
      <c r="N139" s="1458"/>
      <c r="O139" s="1458"/>
      <c r="P139" s="1458"/>
      <c r="Q139" s="1458"/>
      <c r="R139" s="1458"/>
      <c r="S139" s="1458"/>
      <c r="T139" s="1458"/>
      <c r="U139" s="1458"/>
      <c r="V139" s="1458">
        <v>2</v>
      </c>
      <c r="W139" s="1458">
        <v>5</v>
      </c>
    </row>
    <row r="140" spans="2:23" ht="15" customHeight="1" x14ac:dyDescent="0.3">
      <c r="B140" s="5851"/>
      <c r="C140" s="1456" t="s">
        <v>417</v>
      </c>
      <c r="D140" s="1457"/>
      <c r="E140" s="1458"/>
      <c r="F140" s="1458"/>
      <c r="G140" s="1458"/>
      <c r="H140" s="1458"/>
      <c r="I140" s="1458"/>
      <c r="J140" s="1458"/>
      <c r="K140" s="1458"/>
      <c r="L140" s="1458"/>
      <c r="M140" s="1458"/>
      <c r="N140" s="1458">
        <v>9</v>
      </c>
      <c r="O140" s="1458">
        <v>16</v>
      </c>
      <c r="P140" s="1458">
        <v>21</v>
      </c>
      <c r="Q140" s="1458">
        <v>25</v>
      </c>
      <c r="R140" s="1458">
        <v>30</v>
      </c>
      <c r="S140" s="1458">
        <v>27</v>
      </c>
      <c r="T140" s="1458">
        <v>31</v>
      </c>
      <c r="U140" s="1458">
        <v>24</v>
      </c>
      <c r="V140" s="1458">
        <v>15</v>
      </c>
      <c r="W140" s="1458">
        <v>19</v>
      </c>
    </row>
    <row r="141" spans="2:23" ht="15" customHeight="1" x14ac:dyDescent="0.25">
      <c r="B141" s="1307"/>
      <c r="C141" s="1482" t="s">
        <v>92</v>
      </c>
      <c r="D141" s="1480">
        <f t="shared" ref="D141:M141" si="17">SUM(D124:D138)</f>
        <v>233</v>
      </c>
      <c r="E141" s="1480">
        <f t="shared" si="17"/>
        <v>170</v>
      </c>
      <c r="F141" s="1480">
        <f t="shared" si="17"/>
        <v>226</v>
      </c>
      <c r="G141" s="1480">
        <f t="shared" si="17"/>
        <v>249</v>
      </c>
      <c r="H141" s="1480">
        <f t="shared" si="17"/>
        <v>286</v>
      </c>
      <c r="I141" s="1480">
        <f t="shared" si="17"/>
        <v>271</v>
      </c>
      <c r="J141" s="1480">
        <f t="shared" si="17"/>
        <v>310</v>
      </c>
      <c r="K141" s="1480">
        <f t="shared" si="17"/>
        <v>310</v>
      </c>
      <c r="L141" s="1480">
        <f t="shared" si="17"/>
        <v>333</v>
      </c>
      <c r="M141" s="1480">
        <f t="shared" si="17"/>
        <v>324</v>
      </c>
      <c r="N141" s="1480">
        <f t="shared" ref="N141:T141" si="18">SUM(N124:N140)</f>
        <v>373</v>
      </c>
      <c r="O141" s="1480">
        <f t="shared" si="18"/>
        <v>339</v>
      </c>
      <c r="P141" s="1480">
        <f t="shared" si="18"/>
        <v>386</v>
      </c>
      <c r="Q141" s="1480">
        <f t="shared" si="18"/>
        <v>399</v>
      </c>
      <c r="R141" s="1480">
        <f t="shared" si="18"/>
        <v>406</v>
      </c>
      <c r="S141" s="1480">
        <f t="shared" si="18"/>
        <v>403</v>
      </c>
      <c r="T141" s="1480">
        <f t="shared" si="18"/>
        <v>420</v>
      </c>
      <c r="U141" s="1480">
        <f>SUM(U124:U140)</f>
        <v>400</v>
      </c>
      <c r="V141" s="1480">
        <f>SUM(V124:V140)</f>
        <v>397</v>
      </c>
      <c r="W141" s="1480">
        <f>SUM(W124:W140)</f>
        <v>355</v>
      </c>
    </row>
    <row r="142" spans="2:23" ht="15" customHeight="1" x14ac:dyDescent="0.3">
      <c r="B142" s="5852" t="s">
        <v>310</v>
      </c>
      <c r="C142" s="4989" t="s">
        <v>418</v>
      </c>
      <c r="D142" s="4990">
        <v>40</v>
      </c>
      <c r="E142" s="4991">
        <v>67</v>
      </c>
      <c r="F142" s="4991">
        <v>68</v>
      </c>
      <c r="G142" s="4991">
        <v>70</v>
      </c>
      <c r="H142" s="4991">
        <v>66</v>
      </c>
      <c r="I142" s="4991">
        <v>62</v>
      </c>
      <c r="J142" s="4991">
        <v>63</v>
      </c>
      <c r="K142" s="4991">
        <v>60</v>
      </c>
      <c r="L142" s="4991">
        <v>58</v>
      </c>
      <c r="M142" s="4991">
        <v>53</v>
      </c>
      <c r="N142" s="4991">
        <v>62</v>
      </c>
      <c r="O142" s="4991">
        <v>68</v>
      </c>
      <c r="P142" s="4991">
        <v>72</v>
      </c>
      <c r="Q142" s="4991">
        <v>75</v>
      </c>
      <c r="R142" s="4991">
        <v>71</v>
      </c>
      <c r="S142" s="4991">
        <v>73</v>
      </c>
      <c r="T142" s="4991">
        <v>67</v>
      </c>
      <c r="U142" s="4991">
        <v>68</v>
      </c>
      <c r="V142" s="4991">
        <v>65</v>
      </c>
      <c r="W142" s="4991">
        <v>64</v>
      </c>
    </row>
    <row r="143" spans="2:23" ht="15" customHeight="1" x14ac:dyDescent="0.3">
      <c r="B143" s="5853"/>
      <c r="C143" s="4977" t="s">
        <v>419</v>
      </c>
      <c r="D143" s="4978"/>
      <c r="E143" s="4979"/>
      <c r="F143" s="4979"/>
      <c r="G143" s="4979"/>
      <c r="H143" s="4979"/>
      <c r="I143" s="4979"/>
      <c r="J143" s="4979">
        <v>17</v>
      </c>
      <c r="K143" s="4979">
        <v>17</v>
      </c>
      <c r="L143" s="4979">
        <v>32</v>
      </c>
      <c r="M143" s="4979">
        <v>16</v>
      </c>
      <c r="N143" s="4979">
        <v>35</v>
      </c>
      <c r="O143" s="4979">
        <v>21</v>
      </c>
      <c r="P143" s="4979">
        <v>42</v>
      </c>
      <c r="Q143" s="4979">
        <v>21</v>
      </c>
      <c r="R143" s="4979">
        <v>37</v>
      </c>
      <c r="S143" s="4979">
        <v>15</v>
      </c>
      <c r="T143" s="4979">
        <v>27</v>
      </c>
      <c r="U143" s="4979">
        <v>11</v>
      </c>
      <c r="V143" s="4979">
        <v>26</v>
      </c>
      <c r="W143" s="4979">
        <v>14</v>
      </c>
    </row>
    <row r="144" spans="2:23" ht="15" customHeight="1" x14ac:dyDescent="0.3">
      <c r="B144" s="5854"/>
      <c r="C144" s="4981" t="s">
        <v>420</v>
      </c>
      <c r="D144" s="4446"/>
      <c r="E144" s="4992"/>
      <c r="F144" s="4992"/>
      <c r="G144" s="4992"/>
      <c r="H144" s="4992"/>
      <c r="I144" s="4992"/>
      <c r="J144" s="4992">
        <v>33</v>
      </c>
      <c r="K144" s="4992">
        <v>33</v>
      </c>
      <c r="L144" s="4992">
        <v>57</v>
      </c>
      <c r="M144" s="4992">
        <v>31</v>
      </c>
      <c r="N144" s="4992">
        <v>48</v>
      </c>
      <c r="O144" s="4992">
        <v>25</v>
      </c>
      <c r="P144" s="4992">
        <v>45</v>
      </c>
      <c r="Q144" s="4992">
        <v>25</v>
      </c>
      <c r="R144" s="4992">
        <v>48</v>
      </c>
      <c r="S144" s="4992">
        <v>23</v>
      </c>
      <c r="T144" s="4992">
        <v>41</v>
      </c>
      <c r="U144" s="4992">
        <v>26</v>
      </c>
      <c r="V144" s="4992">
        <v>47</v>
      </c>
      <c r="W144" s="4992">
        <v>29</v>
      </c>
    </row>
    <row r="145" spans="2:23" ht="15" customHeight="1" x14ac:dyDescent="0.3">
      <c r="B145" s="1325" t="s">
        <v>317</v>
      </c>
      <c r="C145" s="1456" t="s">
        <v>421</v>
      </c>
      <c r="D145" s="1457">
        <v>11</v>
      </c>
      <c r="E145" s="1458">
        <v>24</v>
      </c>
      <c r="F145" s="1458">
        <v>19</v>
      </c>
      <c r="G145" s="1458">
        <v>30</v>
      </c>
      <c r="H145" s="1458">
        <v>33</v>
      </c>
      <c r="I145" s="1458">
        <v>38</v>
      </c>
      <c r="J145" s="1458">
        <v>42</v>
      </c>
      <c r="K145" s="1458">
        <v>39</v>
      </c>
      <c r="L145" s="1458">
        <v>43</v>
      </c>
      <c r="M145" s="1458">
        <v>45</v>
      </c>
      <c r="N145" s="1458">
        <v>47</v>
      </c>
      <c r="O145" s="1458">
        <v>49</v>
      </c>
      <c r="P145" s="1458">
        <v>40</v>
      </c>
      <c r="Q145" s="1458">
        <v>41</v>
      </c>
      <c r="R145" s="1458">
        <v>37</v>
      </c>
      <c r="S145" s="1458">
        <v>41</v>
      </c>
      <c r="T145" s="1458">
        <v>34</v>
      </c>
      <c r="U145" s="1458">
        <v>40</v>
      </c>
      <c r="V145" s="1458">
        <v>41</v>
      </c>
      <c r="W145" s="1458">
        <v>43</v>
      </c>
    </row>
    <row r="146" spans="2:23" ht="15" customHeight="1" x14ac:dyDescent="0.25">
      <c r="B146" s="1289"/>
      <c r="C146" s="1482" t="s">
        <v>68</v>
      </c>
      <c r="D146" s="1480">
        <f>SUM(D142:D145)</f>
        <v>51</v>
      </c>
      <c r="E146" s="1480">
        <f t="shared" ref="E146:S146" si="19">SUM(E142:E145)</f>
        <v>91</v>
      </c>
      <c r="F146" s="1480">
        <f t="shared" si="19"/>
        <v>87</v>
      </c>
      <c r="G146" s="1480">
        <f t="shared" si="19"/>
        <v>100</v>
      </c>
      <c r="H146" s="1480">
        <f t="shared" si="19"/>
        <v>99</v>
      </c>
      <c r="I146" s="1480">
        <f t="shared" si="19"/>
        <v>100</v>
      </c>
      <c r="J146" s="1480">
        <f t="shared" si="19"/>
        <v>155</v>
      </c>
      <c r="K146" s="1480">
        <f t="shared" si="19"/>
        <v>149</v>
      </c>
      <c r="L146" s="1480">
        <f t="shared" si="19"/>
        <v>190</v>
      </c>
      <c r="M146" s="1480">
        <f t="shared" si="19"/>
        <v>145</v>
      </c>
      <c r="N146" s="1480">
        <f t="shared" si="19"/>
        <v>192</v>
      </c>
      <c r="O146" s="1480">
        <f t="shared" si="19"/>
        <v>163</v>
      </c>
      <c r="P146" s="1480">
        <f t="shared" si="19"/>
        <v>199</v>
      </c>
      <c r="Q146" s="1480">
        <f t="shared" si="19"/>
        <v>162</v>
      </c>
      <c r="R146" s="1480">
        <f t="shared" si="19"/>
        <v>193</v>
      </c>
      <c r="S146" s="1480">
        <f t="shared" si="19"/>
        <v>152</v>
      </c>
      <c r="T146" s="1480">
        <f>SUM(T142:T145)</f>
        <v>169</v>
      </c>
      <c r="U146" s="1480">
        <f>SUM(U142:U145)</f>
        <v>145</v>
      </c>
      <c r="V146" s="1480">
        <f>SUM(V142:V145)</f>
        <v>179</v>
      </c>
      <c r="W146" s="1480">
        <f>SUM(W142:W145)</f>
        <v>150</v>
      </c>
    </row>
    <row r="147" spans="2:23" ht="15" customHeight="1" x14ac:dyDescent="0.25">
      <c r="B147" s="1317"/>
      <c r="C147" s="1492" t="s">
        <v>422</v>
      </c>
      <c r="D147" s="1443">
        <f t="shared" ref="D147:Q147" si="20">SUM(D146,D141,D123)</f>
        <v>638</v>
      </c>
      <c r="E147" s="1443">
        <f t="shared" si="20"/>
        <v>642</v>
      </c>
      <c r="F147" s="1443">
        <f t="shared" si="20"/>
        <v>645</v>
      </c>
      <c r="G147" s="1443">
        <f t="shared" si="20"/>
        <v>739</v>
      </c>
      <c r="H147" s="1443">
        <f t="shared" si="20"/>
        <v>793</v>
      </c>
      <c r="I147" s="1443">
        <f t="shared" si="20"/>
        <v>823</v>
      </c>
      <c r="J147" s="1443">
        <f t="shared" si="20"/>
        <v>933</v>
      </c>
      <c r="K147" s="1443">
        <f t="shared" si="20"/>
        <v>946</v>
      </c>
      <c r="L147" s="1443">
        <f t="shared" si="20"/>
        <v>952</v>
      </c>
      <c r="M147" s="1443">
        <f t="shared" si="20"/>
        <v>936</v>
      </c>
      <c r="N147" s="1443">
        <f t="shared" si="20"/>
        <v>990</v>
      </c>
      <c r="O147" s="1443">
        <f t="shared" si="20"/>
        <v>956</v>
      </c>
      <c r="P147" s="1443">
        <f t="shared" si="20"/>
        <v>990</v>
      </c>
      <c r="Q147" s="1443">
        <f t="shared" si="20"/>
        <v>1029</v>
      </c>
      <c r="R147" s="1443">
        <f t="shared" ref="R147:W147" si="21">SUM(R123,R141,R146)</f>
        <v>1053</v>
      </c>
      <c r="S147" s="1443">
        <f t="shared" si="21"/>
        <v>1145</v>
      </c>
      <c r="T147" s="1443">
        <f t="shared" si="21"/>
        <v>1116</v>
      </c>
      <c r="U147" s="1443">
        <f t="shared" si="21"/>
        <v>1112</v>
      </c>
      <c r="V147" s="1443">
        <f t="shared" si="21"/>
        <v>1110</v>
      </c>
      <c r="W147" s="1443">
        <f t="shared" si="21"/>
        <v>1051</v>
      </c>
    </row>
    <row r="148" spans="2:23" ht="15" customHeight="1" x14ac:dyDescent="0.3">
      <c r="B148" s="4431" t="s">
        <v>310</v>
      </c>
      <c r="C148" s="4993" t="s">
        <v>348</v>
      </c>
      <c r="D148" s="4994"/>
      <c r="E148" s="4995"/>
      <c r="F148" s="4995"/>
      <c r="G148" s="4995"/>
      <c r="H148" s="4995"/>
      <c r="I148" s="4995"/>
      <c r="J148" s="4995"/>
      <c r="K148" s="4995"/>
      <c r="L148" s="4995">
        <v>20</v>
      </c>
      <c r="M148" s="4995">
        <v>31</v>
      </c>
      <c r="N148" s="4995">
        <v>38</v>
      </c>
      <c r="O148" s="4995">
        <v>36</v>
      </c>
      <c r="P148" s="4995">
        <v>36</v>
      </c>
      <c r="Q148" s="4995">
        <v>43</v>
      </c>
      <c r="R148" s="4995">
        <v>43</v>
      </c>
      <c r="S148" s="4995">
        <v>34</v>
      </c>
      <c r="T148" s="4995">
        <v>40</v>
      </c>
      <c r="U148" s="4995">
        <v>29</v>
      </c>
      <c r="V148" s="4995">
        <v>43</v>
      </c>
      <c r="W148" s="4995">
        <v>55</v>
      </c>
    </row>
    <row r="149" spans="2:23" ht="15" customHeight="1" x14ac:dyDescent="0.3">
      <c r="B149" s="1295" t="s">
        <v>317</v>
      </c>
      <c r="C149" s="1460" t="s">
        <v>349</v>
      </c>
      <c r="D149" s="397"/>
      <c r="E149" s="1491"/>
      <c r="F149" s="1491"/>
      <c r="G149" s="1491"/>
      <c r="H149" s="1491"/>
      <c r="I149" s="1491"/>
      <c r="J149" s="1491"/>
      <c r="K149" s="1491"/>
      <c r="L149" s="1491">
        <v>12</v>
      </c>
      <c r="M149" s="1491">
        <v>22</v>
      </c>
      <c r="N149" s="1491">
        <v>36</v>
      </c>
      <c r="O149" s="1491">
        <v>42</v>
      </c>
      <c r="P149" s="1491">
        <v>56</v>
      </c>
      <c r="Q149" s="1491">
        <v>63</v>
      </c>
      <c r="R149" s="1491">
        <v>59</v>
      </c>
      <c r="S149" s="1491">
        <v>58</v>
      </c>
      <c r="T149" s="1491">
        <v>69</v>
      </c>
      <c r="U149" s="1491">
        <v>63</v>
      </c>
      <c r="V149" s="1491">
        <v>81</v>
      </c>
      <c r="W149" s="1491">
        <v>84</v>
      </c>
    </row>
    <row r="150" spans="2:23" ht="15" customHeight="1" x14ac:dyDescent="0.25">
      <c r="B150" s="1496"/>
      <c r="C150" s="1482" t="s">
        <v>64</v>
      </c>
      <c r="D150" s="1480"/>
      <c r="E150" s="1480"/>
      <c r="F150" s="1480"/>
      <c r="G150" s="1480"/>
      <c r="H150" s="1480"/>
      <c r="I150" s="1480"/>
      <c r="J150" s="1480"/>
      <c r="K150" s="1480"/>
      <c r="L150" s="1480">
        <f t="shared" ref="L150:Q150" si="22">SUM(L148:L149)</f>
        <v>32</v>
      </c>
      <c r="M150" s="1480">
        <f t="shared" si="22"/>
        <v>53</v>
      </c>
      <c r="N150" s="1480">
        <f t="shared" si="22"/>
        <v>74</v>
      </c>
      <c r="O150" s="1480">
        <f t="shared" si="22"/>
        <v>78</v>
      </c>
      <c r="P150" s="1480">
        <f t="shared" si="22"/>
        <v>92</v>
      </c>
      <c r="Q150" s="1480">
        <f t="shared" si="22"/>
        <v>106</v>
      </c>
      <c r="R150" s="1480">
        <f t="shared" ref="R150:W150" si="23">SUM(R148:R149)</f>
        <v>102</v>
      </c>
      <c r="S150" s="1480">
        <f t="shared" si="23"/>
        <v>92</v>
      </c>
      <c r="T150" s="1480">
        <f t="shared" si="23"/>
        <v>109</v>
      </c>
      <c r="U150" s="1480">
        <f t="shared" si="23"/>
        <v>92</v>
      </c>
      <c r="V150" s="1480">
        <f t="shared" si="23"/>
        <v>124</v>
      </c>
      <c r="W150" s="1480">
        <f t="shared" si="23"/>
        <v>139</v>
      </c>
    </row>
    <row r="151" spans="2:23" ht="15" customHeight="1" x14ac:dyDescent="0.3">
      <c r="B151" s="1295" t="s">
        <v>310</v>
      </c>
      <c r="C151" s="1460" t="s">
        <v>350</v>
      </c>
      <c r="D151" s="397"/>
      <c r="E151" s="1491"/>
      <c r="F151" s="1491"/>
      <c r="G151" s="1491"/>
      <c r="H151" s="1491"/>
      <c r="I151" s="1491"/>
      <c r="J151" s="1491"/>
      <c r="K151" s="1491"/>
      <c r="L151" s="1491"/>
      <c r="M151" s="1491">
        <v>12</v>
      </c>
      <c r="N151" s="1491">
        <v>24</v>
      </c>
      <c r="O151" s="1491">
        <v>42</v>
      </c>
      <c r="P151" s="1491">
        <v>50</v>
      </c>
      <c r="Q151" s="1491">
        <v>61</v>
      </c>
      <c r="R151" s="1491">
        <v>62</v>
      </c>
      <c r="S151" s="1491">
        <v>66</v>
      </c>
      <c r="T151" s="1491">
        <v>85</v>
      </c>
      <c r="U151" s="1491">
        <v>67</v>
      </c>
      <c r="V151" s="1491">
        <v>61</v>
      </c>
      <c r="W151" s="1491">
        <v>70</v>
      </c>
    </row>
    <row r="152" spans="2:23" ht="15" customHeight="1" x14ac:dyDescent="0.25">
      <c r="B152" s="1496"/>
      <c r="C152" s="1482" t="s">
        <v>111</v>
      </c>
      <c r="D152" s="1480"/>
      <c r="E152" s="1480"/>
      <c r="F152" s="1480"/>
      <c r="G152" s="1480"/>
      <c r="H152" s="1480"/>
      <c r="I152" s="1480"/>
      <c r="J152" s="1480"/>
      <c r="K152" s="1480"/>
      <c r="L152" s="1480"/>
      <c r="M152" s="1480">
        <f t="shared" ref="M152:R152" si="24">SUM(M151)</f>
        <v>12</v>
      </c>
      <c r="N152" s="1480">
        <f t="shared" si="24"/>
        <v>24</v>
      </c>
      <c r="O152" s="1480">
        <f t="shared" si="24"/>
        <v>42</v>
      </c>
      <c r="P152" s="1480">
        <f t="shared" si="24"/>
        <v>50</v>
      </c>
      <c r="Q152" s="1480">
        <f t="shared" si="24"/>
        <v>61</v>
      </c>
      <c r="R152" s="1480">
        <f t="shared" si="24"/>
        <v>62</v>
      </c>
      <c r="S152" s="1480">
        <f>SUM(S151)</f>
        <v>66</v>
      </c>
      <c r="T152" s="1480">
        <f>SUM(T151)</f>
        <v>85</v>
      </c>
      <c r="U152" s="1480">
        <f>SUM(U151)</f>
        <v>67</v>
      </c>
      <c r="V152" s="1480">
        <f>SUM(V151)</f>
        <v>61</v>
      </c>
      <c r="W152" s="1480">
        <f>SUM(W151)</f>
        <v>70</v>
      </c>
    </row>
    <row r="153" spans="2:23" ht="15" customHeight="1" x14ac:dyDescent="0.3">
      <c r="B153" s="1497" t="s">
        <v>308</v>
      </c>
      <c r="C153" s="1493" t="s">
        <v>465</v>
      </c>
      <c r="D153" s="1494"/>
      <c r="E153" s="1495"/>
      <c r="F153" s="1495"/>
      <c r="G153" s="1495"/>
      <c r="H153" s="1495"/>
      <c r="I153" s="1495"/>
      <c r="J153" s="1495"/>
      <c r="K153" s="1495"/>
      <c r="L153" s="1495"/>
      <c r="M153" s="1495">
        <v>3</v>
      </c>
      <c r="N153" s="1495">
        <v>5</v>
      </c>
      <c r="O153" s="1495">
        <v>4</v>
      </c>
      <c r="P153" s="1495">
        <v>7</v>
      </c>
      <c r="Q153" s="1495">
        <v>8</v>
      </c>
      <c r="R153" s="1495">
        <v>6</v>
      </c>
      <c r="S153" s="1495">
        <v>3</v>
      </c>
      <c r="T153" s="1495"/>
      <c r="U153" s="1495">
        <v>3</v>
      </c>
      <c r="V153" s="1495">
        <v>2</v>
      </c>
      <c r="W153" s="1495">
        <v>1</v>
      </c>
    </row>
    <row r="154" spans="2:23" ht="15" customHeight="1" x14ac:dyDescent="0.3">
      <c r="B154" s="4431" t="s">
        <v>310</v>
      </c>
      <c r="C154" s="4977" t="s">
        <v>466</v>
      </c>
      <c r="D154" s="4978"/>
      <c r="E154" s="4979"/>
      <c r="F154" s="4979"/>
      <c r="G154" s="4979"/>
      <c r="H154" s="4979"/>
      <c r="I154" s="4979"/>
      <c r="J154" s="4979"/>
      <c r="K154" s="4979"/>
      <c r="L154" s="4979"/>
      <c r="M154" s="4979">
        <v>9</v>
      </c>
      <c r="N154" s="4979">
        <v>22</v>
      </c>
      <c r="O154" s="4979">
        <v>34</v>
      </c>
      <c r="P154" s="4979">
        <v>37</v>
      </c>
      <c r="Q154" s="4979">
        <v>42</v>
      </c>
      <c r="R154" s="4979">
        <v>42</v>
      </c>
      <c r="S154" s="4979">
        <v>37</v>
      </c>
      <c r="T154" s="4979">
        <v>39</v>
      </c>
      <c r="U154" s="4979">
        <v>23</v>
      </c>
      <c r="V154" s="4979">
        <v>24</v>
      </c>
      <c r="W154" s="4979">
        <v>30</v>
      </c>
    </row>
    <row r="155" spans="2:23" ht="15" customHeight="1" x14ac:dyDescent="0.3">
      <c r="B155" s="5843" t="s">
        <v>317</v>
      </c>
      <c r="C155" s="1460" t="s">
        <v>467</v>
      </c>
      <c r="D155" s="396"/>
      <c r="E155" s="617"/>
      <c r="F155" s="617"/>
      <c r="G155" s="617"/>
      <c r="H155" s="617"/>
      <c r="I155" s="617"/>
      <c r="J155" s="617"/>
      <c r="K155" s="617"/>
      <c r="L155" s="617"/>
      <c r="M155" s="617">
        <v>7</v>
      </c>
      <c r="N155" s="617">
        <v>13</v>
      </c>
      <c r="O155" s="617">
        <v>21</v>
      </c>
      <c r="P155" s="617">
        <v>33</v>
      </c>
      <c r="Q155" s="617">
        <v>34</v>
      </c>
      <c r="R155" s="617">
        <v>38</v>
      </c>
      <c r="S155" s="617">
        <v>44</v>
      </c>
      <c r="T155" s="617">
        <v>38</v>
      </c>
      <c r="U155" s="617">
        <v>33</v>
      </c>
      <c r="V155" s="617">
        <v>25</v>
      </c>
      <c r="W155" s="617">
        <v>33</v>
      </c>
    </row>
    <row r="156" spans="2:23" ht="15" customHeight="1" x14ac:dyDescent="0.3">
      <c r="B156" s="5844"/>
      <c r="C156" s="1459" t="s">
        <v>354</v>
      </c>
      <c r="D156" s="1457"/>
      <c r="E156" s="1458"/>
      <c r="F156" s="1458"/>
      <c r="G156" s="1458"/>
      <c r="H156" s="1458"/>
      <c r="I156" s="1458"/>
      <c r="J156" s="1458"/>
      <c r="K156" s="1458"/>
      <c r="L156" s="1458"/>
      <c r="M156" s="1458"/>
      <c r="N156" s="1458"/>
      <c r="O156" s="1458"/>
      <c r="P156" s="1458"/>
      <c r="Q156" s="1458">
        <v>2</v>
      </c>
      <c r="R156" s="1458">
        <v>2</v>
      </c>
      <c r="S156" s="1458">
        <v>2</v>
      </c>
      <c r="T156" s="1458">
        <v>3</v>
      </c>
      <c r="U156" s="1458">
        <v>6</v>
      </c>
      <c r="V156" s="1458">
        <v>3</v>
      </c>
      <c r="W156" s="1458">
        <v>5</v>
      </c>
    </row>
    <row r="157" spans="2:23" ht="15" customHeight="1" x14ac:dyDescent="0.25">
      <c r="B157" s="1498"/>
      <c r="C157" s="1482" t="s">
        <v>115</v>
      </c>
      <c r="D157" s="1480"/>
      <c r="E157" s="1480"/>
      <c r="F157" s="1480"/>
      <c r="G157" s="1480"/>
      <c r="H157" s="1480"/>
      <c r="I157" s="1480"/>
      <c r="J157" s="1480"/>
      <c r="K157" s="1480"/>
      <c r="L157" s="1480"/>
      <c r="M157" s="1480">
        <f>SUM(M153:M155)</f>
        <v>19</v>
      </c>
      <c r="N157" s="1480">
        <f>SUM(N153:N155)</f>
        <v>40</v>
      </c>
      <c r="O157" s="1480">
        <f>SUM(O153:O155)</f>
        <v>59</v>
      </c>
      <c r="P157" s="1480">
        <f>SUM(P153:P155)</f>
        <v>77</v>
      </c>
      <c r="Q157" s="1480">
        <f t="shared" ref="Q157:V157" si="25">SUM(Q153:Q156)</f>
        <v>86</v>
      </c>
      <c r="R157" s="1480">
        <f t="shared" si="25"/>
        <v>88</v>
      </c>
      <c r="S157" s="1480">
        <f t="shared" si="25"/>
        <v>86</v>
      </c>
      <c r="T157" s="1480">
        <f t="shared" si="25"/>
        <v>80</v>
      </c>
      <c r="U157" s="1480">
        <f t="shared" si="25"/>
        <v>65</v>
      </c>
      <c r="V157" s="1480">
        <f t="shared" si="25"/>
        <v>54</v>
      </c>
      <c r="W157" s="1480">
        <f t="shared" ref="W157" si="26">SUM(W153:W156)</f>
        <v>69</v>
      </c>
    </row>
    <row r="158" spans="2:23" ht="14.4" x14ac:dyDescent="0.25">
      <c r="B158" s="1499"/>
      <c r="C158" s="1500" t="s">
        <v>355</v>
      </c>
      <c r="D158" s="1423"/>
      <c r="E158" s="1423"/>
      <c r="F158" s="1423"/>
      <c r="G158" s="1423"/>
      <c r="H158" s="1423"/>
      <c r="I158" s="1423"/>
      <c r="J158" s="1423"/>
      <c r="K158" s="1423"/>
      <c r="L158" s="1423">
        <f t="shared" ref="L158:Q158" si="27">SUM(L150,L152,L157)</f>
        <v>32</v>
      </c>
      <c r="M158" s="1423">
        <f t="shared" si="27"/>
        <v>84</v>
      </c>
      <c r="N158" s="1423">
        <f t="shared" si="27"/>
        <v>138</v>
      </c>
      <c r="O158" s="1423">
        <f t="shared" si="27"/>
        <v>179</v>
      </c>
      <c r="P158" s="1423">
        <f t="shared" si="27"/>
        <v>219</v>
      </c>
      <c r="Q158" s="1423">
        <f t="shared" si="27"/>
        <v>253</v>
      </c>
      <c r="R158" s="1423">
        <f t="shared" ref="R158:W158" si="28">SUM(R150,R152,R157)</f>
        <v>252</v>
      </c>
      <c r="S158" s="1423">
        <f t="shared" si="28"/>
        <v>244</v>
      </c>
      <c r="T158" s="1423">
        <f t="shared" si="28"/>
        <v>274</v>
      </c>
      <c r="U158" s="1423">
        <f t="shared" si="28"/>
        <v>224</v>
      </c>
      <c r="V158" s="1423">
        <f t="shared" si="28"/>
        <v>239</v>
      </c>
      <c r="W158" s="1423">
        <f t="shared" si="28"/>
        <v>278</v>
      </c>
    </row>
    <row r="159" spans="2:23" ht="14.4" x14ac:dyDescent="0.3">
      <c r="B159" s="1316" t="s">
        <v>317</v>
      </c>
      <c r="C159" s="1459" t="s">
        <v>354</v>
      </c>
      <c r="D159" s="1457"/>
      <c r="E159" s="1458"/>
      <c r="F159" s="1458"/>
      <c r="G159" s="1458"/>
      <c r="H159" s="1458"/>
      <c r="I159" s="1458"/>
      <c r="J159" s="1458"/>
      <c r="K159" s="1458"/>
      <c r="L159" s="1458"/>
      <c r="M159" s="1458"/>
      <c r="N159" s="1458"/>
      <c r="O159" s="1458"/>
      <c r="P159" s="1458"/>
      <c r="Q159" s="1458"/>
      <c r="R159" s="1458"/>
      <c r="S159" s="1458">
        <v>1</v>
      </c>
      <c r="T159" s="1458">
        <v>3</v>
      </c>
      <c r="U159" s="1458">
        <v>7</v>
      </c>
      <c r="V159" s="1458">
        <v>9</v>
      </c>
      <c r="W159" s="1458">
        <v>13</v>
      </c>
    </row>
    <row r="160" spans="2:23" ht="14.4" x14ac:dyDescent="0.25">
      <c r="B160" s="1498"/>
      <c r="C160" s="1482" t="s">
        <v>92</v>
      </c>
      <c r="D160" s="1480"/>
      <c r="E160" s="1480"/>
      <c r="F160" s="1480"/>
      <c r="G160" s="1480"/>
      <c r="H160" s="1480"/>
      <c r="I160" s="1480"/>
      <c r="J160" s="1480"/>
      <c r="K160" s="1480"/>
      <c r="L160" s="1480"/>
      <c r="M160" s="1480"/>
      <c r="N160" s="1480"/>
      <c r="O160" s="1480"/>
      <c r="P160" s="1480"/>
      <c r="Q160" s="1480"/>
      <c r="R160" s="1480"/>
      <c r="S160" s="1480">
        <f t="shared" ref="S160:U161" si="29">SUM(S159)</f>
        <v>1</v>
      </c>
      <c r="T160" s="1480">
        <f t="shared" si="29"/>
        <v>3</v>
      </c>
      <c r="U160" s="1480">
        <f t="shared" si="29"/>
        <v>7</v>
      </c>
      <c r="V160" s="1480">
        <f t="shared" ref="V160:W160" si="30">SUM(V159)</f>
        <v>9</v>
      </c>
      <c r="W160" s="1480">
        <f t="shared" si="30"/>
        <v>13</v>
      </c>
    </row>
    <row r="161" spans="2:23" ht="14.4" x14ac:dyDescent="0.25">
      <c r="B161" s="1499"/>
      <c r="C161" s="1501" t="s">
        <v>389</v>
      </c>
      <c r="D161" s="1437"/>
      <c r="E161" s="1437"/>
      <c r="F161" s="1437"/>
      <c r="G161" s="1437"/>
      <c r="H161" s="1437"/>
      <c r="I161" s="1437"/>
      <c r="J161" s="1437"/>
      <c r="K161" s="1437"/>
      <c r="L161" s="1437"/>
      <c r="M161" s="1437"/>
      <c r="N161" s="1437"/>
      <c r="O161" s="1437"/>
      <c r="P161" s="1437"/>
      <c r="Q161" s="1437"/>
      <c r="R161" s="1437"/>
      <c r="S161" s="1437">
        <f t="shared" si="29"/>
        <v>1</v>
      </c>
      <c r="T161" s="1437">
        <f t="shared" si="29"/>
        <v>3</v>
      </c>
      <c r="U161" s="1437">
        <f t="shared" si="29"/>
        <v>7</v>
      </c>
      <c r="V161" s="1437">
        <f t="shared" ref="V161:W161" si="31">SUM(V160)</f>
        <v>9</v>
      </c>
      <c r="W161" s="1437">
        <f t="shared" si="31"/>
        <v>13</v>
      </c>
    </row>
    <row r="162" spans="2:23" x14ac:dyDescent="0.25">
      <c r="D162" s="1451"/>
      <c r="E162" s="1451"/>
      <c r="F162" s="1451"/>
      <c r="G162" s="1451"/>
      <c r="H162" s="1451"/>
      <c r="I162" s="1451"/>
      <c r="J162" s="1451"/>
      <c r="K162" s="1451"/>
      <c r="L162" s="1451"/>
      <c r="M162" s="1451"/>
      <c r="N162" s="1451"/>
      <c r="O162" s="1451"/>
      <c r="P162" s="1451"/>
      <c r="Q162" s="1451"/>
      <c r="R162" s="1451"/>
      <c r="S162" s="1451"/>
      <c r="T162" s="1451"/>
      <c r="U162" s="1451"/>
      <c r="V162" s="1451"/>
      <c r="W162" s="1451"/>
    </row>
    <row r="163" spans="2:23" ht="15" customHeight="1" x14ac:dyDescent="0.25">
      <c r="B163" s="5848" t="s">
        <v>128</v>
      </c>
      <c r="C163" s="5849"/>
      <c r="D163" s="1502">
        <f t="shared" ref="D163:R163" si="32">SUM(D55,D102,D147,D158)</f>
        <v>2154</v>
      </c>
      <c r="E163" s="1502">
        <f t="shared" si="32"/>
        <v>2232</v>
      </c>
      <c r="F163" s="1502">
        <f t="shared" si="32"/>
        <v>2256</v>
      </c>
      <c r="G163" s="1502">
        <f t="shared" si="32"/>
        <v>2344</v>
      </c>
      <c r="H163" s="1502">
        <f t="shared" si="32"/>
        <v>2617</v>
      </c>
      <c r="I163" s="1502">
        <f t="shared" si="32"/>
        <v>2744</v>
      </c>
      <c r="J163" s="1502">
        <f t="shared" si="32"/>
        <v>3049</v>
      </c>
      <c r="K163" s="1502">
        <f t="shared" si="32"/>
        <v>3326</v>
      </c>
      <c r="L163" s="1502">
        <f t="shared" si="32"/>
        <v>3380</v>
      </c>
      <c r="M163" s="1502">
        <f t="shared" si="32"/>
        <v>3436</v>
      </c>
      <c r="N163" s="1502">
        <f t="shared" si="32"/>
        <v>3508</v>
      </c>
      <c r="O163" s="1502">
        <f t="shared" si="32"/>
        <v>3708</v>
      </c>
      <c r="P163" s="1502">
        <f t="shared" si="32"/>
        <v>3718</v>
      </c>
      <c r="Q163" s="1502">
        <f t="shared" si="32"/>
        <v>3842</v>
      </c>
      <c r="R163" s="1502">
        <f t="shared" si="32"/>
        <v>3838</v>
      </c>
      <c r="S163" s="1502">
        <f>SUM(S55,S102,S147,S158,S161)</f>
        <v>3868</v>
      </c>
      <c r="T163" s="1502">
        <f>SUM(T55,T102,T147,T158,T161)</f>
        <v>3894</v>
      </c>
      <c r="U163" s="1502">
        <f>SUM(U55,U102,U147,U158,U161)</f>
        <v>3671</v>
      </c>
      <c r="V163" s="1502">
        <f>SUM(V55,V102,V147,V158,V161)</f>
        <v>3603</v>
      </c>
      <c r="W163" s="1502">
        <f>SUM(W55,W102,W147,W158,W161)</f>
        <v>3846</v>
      </c>
    </row>
    <row r="166" spans="2:23" x14ac:dyDescent="0.25">
      <c r="B166" s="5861"/>
      <c r="C166" s="5861"/>
    </row>
  </sheetData>
  <mergeCells count="25">
    <mergeCell ref="B166:C166"/>
    <mergeCell ref="B124:B126"/>
    <mergeCell ref="B127:B136"/>
    <mergeCell ref="B137:B140"/>
    <mergeCell ref="B142:B144"/>
    <mergeCell ref="B155:B156"/>
    <mergeCell ref="B163:C163"/>
    <mergeCell ref="B117:B122"/>
    <mergeCell ref="B40:B46"/>
    <mergeCell ref="B47:B53"/>
    <mergeCell ref="B57:B63"/>
    <mergeCell ref="B64:B71"/>
    <mergeCell ref="B74:B82"/>
    <mergeCell ref="B83:B89"/>
    <mergeCell ref="B91:B92"/>
    <mergeCell ref="B94:B97"/>
    <mergeCell ref="B98:B100"/>
    <mergeCell ref="B103:B105"/>
    <mergeCell ref="B106:B116"/>
    <mergeCell ref="B37:B39"/>
    <mergeCell ref="B4:B10"/>
    <mergeCell ref="B11:B15"/>
    <mergeCell ref="B17:B21"/>
    <mergeCell ref="B22:B30"/>
    <mergeCell ref="B31:B34"/>
  </mergeCells>
  <printOptions horizontalCentered="1" verticalCentered="1"/>
  <pageMargins left="0.39370078740157483" right="0.39370078740157483" top="0.27559055118110237" bottom="0.31496062992125984" header="0" footer="0.31496062992125984"/>
  <pageSetup scale="60" firstPageNumber="65" orientation="landscape" useFirstPageNumber="1" r:id="rId1"/>
  <headerFooter scaleWithDoc="0" alignWithMargins="0">
    <oddFooter>&amp;R&amp;P</oddFooter>
  </headerFooter>
  <rowBreaks count="4" manualBreakCount="4">
    <brk id="55" min="1" max="2" man="1"/>
    <brk id="55" min="13" max="22" man="1"/>
    <brk id="102" min="1" max="2" man="1"/>
    <brk id="102" min="13" max="22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7A519"/>
  </sheetPr>
  <dimension ref="B1:X330"/>
  <sheetViews>
    <sheetView showGridLines="0" topLeftCell="B1" zoomScale="102" zoomScaleNormal="102" zoomScaleSheetLayoutView="70" workbookViewId="0">
      <pane xSplit="2" ySplit="4" topLeftCell="N73" activePane="bottomRight" state="frozen"/>
      <selection activeCell="Q31" sqref="Q31"/>
      <selection pane="topRight" activeCell="Q31" sqref="Q31"/>
      <selection pane="bottomLeft" activeCell="Q31" sqref="Q31"/>
      <selection pane="bottomRight" activeCell="Q31" sqref="Q31"/>
    </sheetView>
  </sheetViews>
  <sheetFormatPr baseColWidth="10" defaultColWidth="1.5546875" defaultRowHeight="13.2" x14ac:dyDescent="0.25"/>
  <cols>
    <col min="1" max="1" width="7" style="25" customWidth="1"/>
    <col min="2" max="2" width="2.88671875" style="25" customWidth="1"/>
    <col min="3" max="3" width="22.109375" style="25" customWidth="1"/>
    <col min="4" max="21" width="9.88671875" style="25" customWidth="1"/>
    <col min="22" max="22" width="9.6640625" style="25" customWidth="1"/>
    <col min="23" max="41" width="9.88671875" style="25" customWidth="1"/>
    <col min="42" max="255" width="11.44140625" style="25" customWidth="1"/>
    <col min="256" max="256" width="1.5546875" style="25"/>
    <col min="257" max="257" width="1.5546875" style="25" customWidth="1"/>
    <col min="258" max="258" width="15.88671875" style="25" customWidth="1"/>
    <col min="259" max="259" width="28.88671875" style="25" customWidth="1"/>
    <col min="260" max="264" width="12.88671875" style="25" customWidth="1"/>
    <col min="265" max="511" width="11.44140625" style="25" customWidth="1"/>
    <col min="512" max="512" width="1.5546875" style="25"/>
    <col min="513" max="513" width="1.5546875" style="25" customWidth="1"/>
    <col min="514" max="514" width="15.88671875" style="25" customWidth="1"/>
    <col min="515" max="515" width="28.88671875" style="25" customWidth="1"/>
    <col min="516" max="520" width="12.88671875" style="25" customWidth="1"/>
    <col min="521" max="767" width="11.44140625" style="25" customWidth="1"/>
    <col min="768" max="768" width="1.5546875" style="25"/>
    <col min="769" max="769" width="1.5546875" style="25" customWidth="1"/>
    <col min="770" max="770" width="15.88671875" style="25" customWidth="1"/>
    <col min="771" max="771" width="28.88671875" style="25" customWidth="1"/>
    <col min="772" max="776" width="12.88671875" style="25" customWidth="1"/>
    <col min="777" max="1023" width="11.44140625" style="25" customWidth="1"/>
    <col min="1024" max="1024" width="1.5546875" style="25"/>
    <col min="1025" max="1025" width="1.5546875" style="25" customWidth="1"/>
    <col min="1026" max="1026" width="15.88671875" style="25" customWidth="1"/>
    <col min="1027" max="1027" width="28.88671875" style="25" customWidth="1"/>
    <col min="1028" max="1032" width="12.88671875" style="25" customWidth="1"/>
    <col min="1033" max="1279" width="11.44140625" style="25" customWidth="1"/>
    <col min="1280" max="1280" width="1.5546875" style="25"/>
    <col min="1281" max="1281" width="1.5546875" style="25" customWidth="1"/>
    <col min="1282" max="1282" width="15.88671875" style="25" customWidth="1"/>
    <col min="1283" max="1283" width="28.88671875" style="25" customWidth="1"/>
    <col min="1284" max="1288" width="12.88671875" style="25" customWidth="1"/>
    <col min="1289" max="1535" width="11.44140625" style="25" customWidth="1"/>
    <col min="1536" max="1536" width="1.5546875" style="25"/>
    <col min="1537" max="1537" width="1.5546875" style="25" customWidth="1"/>
    <col min="1538" max="1538" width="15.88671875" style="25" customWidth="1"/>
    <col min="1539" max="1539" width="28.88671875" style="25" customWidth="1"/>
    <col min="1540" max="1544" width="12.88671875" style="25" customWidth="1"/>
    <col min="1545" max="1791" width="11.44140625" style="25" customWidth="1"/>
    <col min="1792" max="1792" width="1.5546875" style="25"/>
    <col min="1793" max="1793" width="1.5546875" style="25" customWidth="1"/>
    <col min="1794" max="1794" width="15.88671875" style="25" customWidth="1"/>
    <col min="1795" max="1795" width="28.88671875" style="25" customWidth="1"/>
    <col min="1796" max="1800" width="12.88671875" style="25" customWidth="1"/>
    <col min="1801" max="2047" width="11.44140625" style="25" customWidth="1"/>
    <col min="2048" max="2048" width="1.5546875" style="25"/>
    <col min="2049" max="2049" width="1.5546875" style="25" customWidth="1"/>
    <col min="2050" max="2050" width="15.88671875" style="25" customWidth="1"/>
    <col min="2051" max="2051" width="28.88671875" style="25" customWidth="1"/>
    <col min="2052" max="2056" width="12.88671875" style="25" customWidth="1"/>
    <col min="2057" max="2303" width="11.44140625" style="25" customWidth="1"/>
    <col min="2304" max="2304" width="1.5546875" style="25"/>
    <col min="2305" max="2305" width="1.5546875" style="25" customWidth="1"/>
    <col min="2306" max="2306" width="15.88671875" style="25" customWidth="1"/>
    <col min="2307" max="2307" width="28.88671875" style="25" customWidth="1"/>
    <col min="2308" max="2312" width="12.88671875" style="25" customWidth="1"/>
    <col min="2313" max="2559" width="11.44140625" style="25" customWidth="1"/>
    <col min="2560" max="2560" width="1.5546875" style="25"/>
    <col min="2561" max="2561" width="1.5546875" style="25" customWidth="1"/>
    <col min="2562" max="2562" width="15.88671875" style="25" customWidth="1"/>
    <col min="2563" max="2563" width="28.88671875" style="25" customWidth="1"/>
    <col min="2564" max="2568" width="12.88671875" style="25" customWidth="1"/>
    <col min="2569" max="2815" width="11.44140625" style="25" customWidth="1"/>
    <col min="2816" max="2816" width="1.5546875" style="25"/>
    <col min="2817" max="2817" width="1.5546875" style="25" customWidth="1"/>
    <col min="2818" max="2818" width="15.88671875" style="25" customWidth="1"/>
    <col min="2819" max="2819" width="28.88671875" style="25" customWidth="1"/>
    <col min="2820" max="2824" width="12.88671875" style="25" customWidth="1"/>
    <col min="2825" max="3071" width="11.44140625" style="25" customWidth="1"/>
    <col min="3072" max="3072" width="1.5546875" style="25"/>
    <col min="3073" max="3073" width="1.5546875" style="25" customWidth="1"/>
    <col min="3074" max="3074" width="15.88671875" style="25" customWidth="1"/>
    <col min="3075" max="3075" width="28.88671875" style="25" customWidth="1"/>
    <col min="3076" max="3080" width="12.88671875" style="25" customWidth="1"/>
    <col min="3081" max="3327" width="11.44140625" style="25" customWidth="1"/>
    <col min="3328" max="3328" width="1.5546875" style="25"/>
    <col min="3329" max="3329" width="1.5546875" style="25" customWidth="1"/>
    <col min="3330" max="3330" width="15.88671875" style="25" customWidth="1"/>
    <col min="3331" max="3331" width="28.88671875" style="25" customWidth="1"/>
    <col min="3332" max="3336" width="12.88671875" style="25" customWidth="1"/>
    <col min="3337" max="3583" width="11.44140625" style="25" customWidth="1"/>
    <col min="3584" max="3584" width="1.5546875" style="25"/>
    <col min="3585" max="3585" width="1.5546875" style="25" customWidth="1"/>
    <col min="3586" max="3586" width="15.88671875" style="25" customWidth="1"/>
    <col min="3587" max="3587" width="28.88671875" style="25" customWidth="1"/>
    <col min="3588" max="3592" width="12.88671875" style="25" customWidth="1"/>
    <col min="3593" max="3839" width="11.44140625" style="25" customWidth="1"/>
    <col min="3840" max="3840" width="1.5546875" style="25"/>
    <col min="3841" max="3841" width="1.5546875" style="25" customWidth="1"/>
    <col min="3842" max="3842" width="15.88671875" style="25" customWidth="1"/>
    <col min="3843" max="3843" width="28.88671875" style="25" customWidth="1"/>
    <col min="3844" max="3848" width="12.88671875" style="25" customWidth="1"/>
    <col min="3849" max="4095" width="11.44140625" style="25" customWidth="1"/>
    <col min="4096" max="4096" width="1.5546875" style="25"/>
    <col min="4097" max="4097" width="1.5546875" style="25" customWidth="1"/>
    <col min="4098" max="4098" width="15.88671875" style="25" customWidth="1"/>
    <col min="4099" max="4099" width="28.88671875" style="25" customWidth="1"/>
    <col min="4100" max="4104" width="12.88671875" style="25" customWidth="1"/>
    <col min="4105" max="4351" width="11.44140625" style="25" customWidth="1"/>
    <col min="4352" max="4352" width="1.5546875" style="25"/>
    <col min="4353" max="4353" width="1.5546875" style="25" customWidth="1"/>
    <col min="4354" max="4354" width="15.88671875" style="25" customWidth="1"/>
    <col min="4355" max="4355" width="28.88671875" style="25" customWidth="1"/>
    <col min="4356" max="4360" width="12.88671875" style="25" customWidth="1"/>
    <col min="4361" max="4607" width="11.44140625" style="25" customWidth="1"/>
    <col min="4608" max="4608" width="1.5546875" style="25"/>
    <col min="4609" max="4609" width="1.5546875" style="25" customWidth="1"/>
    <col min="4610" max="4610" width="15.88671875" style="25" customWidth="1"/>
    <col min="4611" max="4611" width="28.88671875" style="25" customWidth="1"/>
    <col min="4612" max="4616" width="12.88671875" style="25" customWidth="1"/>
    <col min="4617" max="4863" width="11.44140625" style="25" customWidth="1"/>
    <col min="4864" max="4864" width="1.5546875" style="25"/>
    <col min="4865" max="4865" width="1.5546875" style="25" customWidth="1"/>
    <col min="4866" max="4866" width="15.88671875" style="25" customWidth="1"/>
    <col min="4867" max="4867" width="28.88671875" style="25" customWidth="1"/>
    <col min="4868" max="4872" width="12.88671875" style="25" customWidth="1"/>
    <col min="4873" max="5119" width="11.44140625" style="25" customWidth="1"/>
    <col min="5120" max="5120" width="1.5546875" style="25"/>
    <col min="5121" max="5121" width="1.5546875" style="25" customWidth="1"/>
    <col min="5122" max="5122" width="15.88671875" style="25" customWidth="1"/>
    <col min="5123" max="5123" width="28.88671875" style="25" customWidth="1"/>
    <col min="5124" max="5128" width="12.88671875" style="25" customWidth="1"/>
    <col min="5129" max="5375" width="11.44140625" style="25" customWidth="1"/>
    <col min="5376" max="5376" width="1.5546875" style="25"/>
    <col min="5377" max="5377" width="1.5546875" style="25" customWidth="1"/>
    <col min="5378" max="5378" width="15.88671875" style="25" customWidth="1"/>
    <col min="5379" max="5379" width="28.88671875" style="25" customWidth="1"/>
    <col min="5380" max="5384" width="12.88671875" style="25" customWidth="1"/>
    <col min="5385" max="5631" width="11.44140625" style="25" customWidth="1"/>
    <col min="5632" max="5632" width="1.5546875" style="25"/>
    <col min="5633" max="5633" width="1.5546875" style="25" customWidth="1"/>
    <col min="5634" max="5634" width="15.88671875" style="25" customWidth="1"/>
    <col min="5635" max="5635" width="28.88671875" style="25" customWidth="1"/>
    <col min="5636" max="5640" width="12.88671875" style="25" customWidth="1"/>
    <col min="5641" max="5887" width="11.44140625" style="25" customWidth="1"/>
    <col min="5888" max="5888" width="1.5546875" style="25"/>
    <col min="5889" max="5889" width="1.5546875" style="25" customWidth="1"/>
    <col min="5890" max="5890" width="15.88671875" style="25" customWidth="1"/>
    <col min="5891" max="5891" width="28.88671875" style="25" customWidth="1"/>
    <col min="5892" max="5896" width="12.88671875" style="25" customWidth="1"/>
    <col min="5897" max="6143" width="11.44140625" style="25" customWidth="1"/>
    <col min="6144" max="6144" width="1.5546875" style="25"/>
    <col min="6145" max="6145" width="1.5546875" style="25" customWidth="1"/>
    <col min="6146" max="6146" width="15.88671875" style="25" customWidth="1"/>
    <col min="6147" max="6147" width="28.88671875" style="25" customWidth="1"/>
    <col min="6148" max="6152" width="12.88671875" style="25" customWidth="1"/>
    <col min="6153" max="6399" width="11.44140625" style="25" customWidth="1"/>
    <col min="6400" max="6400" width="1.5546875" style="25"/>
    <col min="6401" max="6401" width="1.5546875" style="25" customWidth="1"/>
    <col min="6402" max="6402" width="15.88671875" style="25" customWidth="1"/>
    <col min="6403" max="6403" width="28.88671875" style="25" customWidth="1"/>
    <col min="6404" max="6408" width="12.88671875" style="25" customWidth="1"/>
    <col min="6409" max="6655" width="11.44140625" style="25" customWidth="1"/>
    <col min="6656" max="6656" width="1.5546875" style="25"/>
    <col min="6657" max="6657" width="1.5546875" style="25" customWidth="1"/>
    <col min="6658" max="6658" width="15.88671875" style="25" customWidth="1"/>
    <col min="6659" max="6659" width="28.88671875" style="25" customWidth="1"/>
    <col min="6660" max="6664" width="12.88671875" style="25" customWidth="1"/>
    <col min="6665" max="6911" width="11.44140625" style="25" customWidth="1"/>
    <col min="6912" max="6912" width="1.5546875" style="25"/>
    <col min="6913" max="6913" width="1.5546875" style="25" customWidth="1"/>
    <col min="6914" max="6914" width="15.88671875" style="25" customWidth="1"/>
    <col min="6915" max="6915" width="28.88671875" style="25" customWidth="1"/>
    <col min="6916" max="6920" width="12.88671875" style="25" customWidth="1"/>
    <col min="6921" max="7167" width="11.44140625" style="25" customWidth="1"/>
    <col min="7168" max="7168" width="1.5546875" style="25"/>
    <col min="7169" max="7169" width="1.5546875" style="25" customWidth="1"/>
    <col min="7170" max="7170" width="15.88671875" style="25" customWidth="1"/>
    <col min="7171" max="7171" width="28.88671875" style="25" customWidth="1"/>
    <col min="7172" max="7176" width="12.88671875" style="25" customWidth="1"/>
    <col min="7177" max="7423" width="11.44140625" style="25" customWidth="1"/>
    <col min="7424" max="7424" width="1.5546875" style="25"/>
    <col min="7425" max="7425" width="1.5546875" style="25" customWidth="1"/>
    <col min="7426" max="7426" width="15.88671875" style="25" customWidth="1"/>
    <col min="7427" max="7427" width="28.88671875" style="25" customWidth="1"/>
    <col min="7428" max="7432" width="12.88671875" style="25" customWidth="1"/>
    <col min="7433" max="7679" width="11.44140625" style="25" customWidth="1"/>
    <col min="7680" max="7680" width="1.5546875" style="25"/>
    <col min="7681" max="7681" width="1.5546875" style="25" customWidth="1"/>
    <col min="7682" max="7682" width="15.88671875" style="25" customWidth="1"/>
    <col min="7683" max="7683" width="28.88671875" style="25" customWidth="1"/>
    <col min="7684" max="7688" width="12.88671875" style="25" customWidth="1"/>
    <col min="7689" max="7935" width="11.44140625" style="25" customWidth="1"/>
    <col min="7936" max="7936" width="1.5546875" style="25"/>
    <col min="7937" max="7937" width="1.5546875" style="25" customWidth="1"/>
    <col min="7938" max="7938" width="15.88671875" style="25" customWidth="1"/>
    <col min="7939" max="7939" width="28.88671875" style="25" customWidth="1"/>
    <col min="7940" max="7944" width="12.88671875" style="25" customWidth="1"/>
    <col min="7945" max="8191" width="11.44140625" style="25" customWidth="1"/>
    <col min="8192" max="8192" width="1.5546875" style="25"/>
    <col min="8193" max="8193" width="1.5546875" style="25" customWidth="1"/>
    <col min="8194" max="8194" width="15.88671875" style="25" customWidth="1"/>
    <col min="8195" max="8195" width="28.88671875" style="25" customWidth="1"/>
    <col min="8196" max="8200" width="12.88671875" style="25" customWidth="1"/>
    <col min="8201" max="8447" width="11.44140625" style="25" customWidth="1"/>
    <col min="8448" max="8448" width="1.5546875" style="25"/>
    <col min="8449" max="8449" width="1.5546875" style="25" customWidth="1"/>
    <col min="8450" max="8450" width="15.88671875" style="25" customWidth="1"/>
    <col min="8451" max="8451" width="28.88671875" style="25" customWidth="1"/>
    <col min="8452" max="8456" width="12.88671875" style="25" customWidth="1"/>
    <col min="8457" max="8703" width="11.44140625" style="25" customWidth="1"/>
    <col min="8704" max="8704" width="1.5546875" style="25"/>
    <col min="8705" max="8705" width="1.5546875" style="25" customWidth="1"/>
    <col min="8706" max="8706" width="15.88671875" style="25" customWidth="1"/>
    <col min="8707" max="8707" width="28.88671875" style="25" customWidth="1"/>
    <col min="8708" max="8712" width="12.88671875" style="25" customWidth="1"/>
    <col min="8713" max="8959" width="11.44140625" style="25" customWidth="1"/>
    <col min="8960" max="8960" width="1.5546875" style="25"/>
    <col min="8961" max="8961" width="1.5546875" style="25" customWidth="1"/>
    <col min="8962" max="8962" width="15.88671875" style="25" customWidth="1"/>
    <col min="8963" max="8963" width="28.88671875" style="25" customWidth="1"/>
    <col min="8964" max="8968" width="12.88671875" style="25" customWidth="1"/>
    <col min="8969" max="9215" width="11.44140625" style="25" customWidth="1"/>
    <col min="9216" max="9216" width="1.5546875" style="25"/>
    <col min="9217" max="9217" width="1.5546875" style="25" customWidth="1"/>
    <col min="9218" max="9218" width="15.88671875" style="25" customWidth="1"/>
    <col min="9219" max="9219" width="28.88671875" style="25" customWidth="1"/>
    <col min="9220" max="9224" width="12.88671875" style="25" customWidth="1"/>
    <col min="9225" max="9471" width="11.44140625" style="25" customWidth="1"/>
    <col min="9472" max="9472" width="1.5546875" style="25"/>
    <col min="9473" max="9473" width="1.5546875" style="25" customWidth="1"/>
    <col min="9474" max="9474" width="15.88671875" style="25" customWidth="1"/>
    <col min="9475" max="9475" width="28.88671875" style="25" customWidth="1"/>
    <col min="9476" max="9480" width="12.88671875" style="25" customWidth="1"/>
    <col min="9481" max="9727" width="11.44140625" style="25" customWidth="1"/>
    <col min="9728" max="9728" width="1.5546875" style="25"/>
    <col min="9729" max="9729" width="1.5546875" style="25" customWidth="1"/>
    <col min="9730" max="9730" width="15.88671875" style="25" customWidth="1"/>
    <col min="9731" max="9731" width="28.88671875" style="25" customWidth="1"/>
    <col min="9732" max="9736" width="12.88671875" style="25" customWidth="1"/>
    <col min="9737" max="9983" width="11.44140625" style="25" customWidth="1"/>
    <col min="9984" max="9984" width="1.5546875" style="25"/>
    <col min="9985" max="9985" width="1.5546875" style="25" customWidth="1"/>
    <col min="9986" max="9986" width="15.88671875" style="25" customWidth="1"/>
    <col min="9987" max="9987" width="28.88671875" style="25" customWidth="1"/>
    <col min="9988" max="9992" width="12.88671875" style="25" customWidth="1"/>
    <col min="9993" max="10239" width="11.44140625" style="25" customWidth="1"/>
    <col min="10240" max="10240" width="1.5546875" style="25"/>
    <col min="10241" max="10241" width="1.5546875" style="25" customWidth="1"/>
    <col min="10242" max="10242" width="15.88671875" style="25" customWidth="1"/>
    <col min="10243" max="10243" width="28.88671875" style="25" customWidth="1"/>
    <col min="10244" max="10248" width="12.88671875" style="25" customWidth="1"/>
    <col min="10249" max="10495" width="11.44140625" style="25" customWidth="1"/>
    <col min="10496" max="10496" width="1.5546875" style="25"/>
    <col min="10497" max="10497" width="1.5546875" style="25" customWidth="1"/>
    <col min="10498" max="10498" width="15.88671875" style="25" customWidth="1"/>
    <col min="10499" max="10499" width="28.88671875" style="25" customWidth="1"/>
    <col min="10500" max="10504" width="12.88671875" style="25" customWidth="1"/>
    <col min="10505" max="10751" width="11.44140625" style="25" customWidth="1"/>
    <col min="10752" max="10752" width="1.5546875" style="25"/>
    <col min="10753" max="10753" width="1.5546875" style="25" customWidth="1"/>
    <col min="10754" max="10754" width="15.88671875" style="25" customWidth="1"/>
    <col min="10755" max="10755" width="28.88671875" style="25" customWidth="1"/>
    <col min="10756" max="10760" width="12.88671875" style="25" customWidth="1"/>
    <col min="10761" max="11007" width="11.44140625" style="25" customWidth="1"/>
    <col min="11008" max="11008" width="1.5546875" style="25"/>
    <col min="11009" max="11009" width="1.5546875" style="25" customWidth="1"/>
    <col min="11010" max="11010" width="15.88671875" style="25" customWidth="1"/>
    <col min="11011" max="11011" width="28.88671875" style="25" customWidth="1"/>
    <col min="11012" max="11016" width="12.88671875" style="25" customWidth="1"/>
    <col min="11017" max="11263" width="11.44140625" style="25" customWidth="1"/>
    <col min="11264" max="11264" width="1.5546875" style="25"/>
    <col min="11265" max="11265" width="1.5546875" style="25" customWidth="1"/>
    <col min="11266" max="11266" width="15.88671875" style="25" customWidth="1"/>
    <col min="11267" max="11267" width="28.88671875" style="25" customWidth="1"/>
    <col min="11268" max="11272" width="12.88671875" style="25" customWidth="1"/>
    <col min="11273" max="11519" width="11.44140625" style="25" customWidth="1"/>
    <col min="11520" max="11520" width="1.5546875" style="25"/>
    <col min="11521" max="11521" width="1.5546875" style="25" customWidth="1"/>
    <col min="11522" max="11522" width="15.88671875" style="25" customWidth="1"/>
    <col min="11523" max="11523" width="28.88671875" style="25" customWidth="1"/>
    <col min="11524" max="11528" width="12.88671875" style="25" customWidth="1"/>
    <col min="11529" max="11775" width="11.44140625" style="25" customWidth="1"/>
    <col min="11776" max="11776" width="1.5546875" style="25"/>
    <col min="11777" max="11777" width="1.5546875" style="25" customWidth="1"/>
    <col min="11778" max="11778" width="15.88671875" style="25" customWidth="1"/>
    <col min="11779" max="11779" width="28.88671875" style="25" customWidth="1"/>
    <col min="11780" max="11784" width="12.88671875" style="25" customWidth="1"/>
    <col min="11785" max="12031" width="11.44140625" style="25" customWidth="1"/>
    <col min="12032" max="12032" width="1.5546875" style="25"/>
    <col min="12033" max="12033" width="1.5546875" style="25" customWidth="1"/>
    <col min="12034" max="12034" width="15.88671875" style="25" customWidth="1"/>
    <col min="12035" max="12035" width="28.88671875" style="25" customWidth="1"/>
    <col min="12036" max="12040" width="12.88671875" style="25" customWidth="1"/>
    <col min="12041" max="12287" width="11.44140625" style="25" customWidth="1"/>
    <col min="12288" max="12288" width="1.5546875" style="25"/>
    <col min="12289" max="12289" width="1.5546875" style="25" customWidth="1"/>
    <col min="12290" max="12290" width="15.88671875" style="25" customWidth="1"/>
    <col min="12291" max="12291" width="28.88671875" style="25" customWidth="1"/>
    <col min="12292" max="12296" width="12.88671875" style="25" customWidth="1"/>
    <col min="12297" max="12543" width="11.44140625" style="25" customWidth="1"/>
    <col min="12544" max="12544" width="1.5546875" style="25"/>
    <col min="12545" max="12545" width="1.5546875" style="25" customWidth="1"/>
    <col min="12546" max="12546" width="15.88671875" style="25" customWidth="1"/>
    <col min="12547" max="12547" width="28.88671875" style="25" customWidth="1"/>
    <col min="12548" max="12552" width="12.88671875" style="25" customWidth="1"/>
    <col min="12553" max="12799" width="11.44140625" style="25" customWidth="1"/>
    <col min="12800" max="12800" width="1.5546875" style="25"/>
    <col min="12801" max="12801" width="1.5546875" style="25" customWidth="1"/>
    <col min="12802" max="12802" width="15.88671875" style="25" customWidth="1"/>
    <col min="12803" max="12803" width="28.88671875" style="25" customWidth="1"/>
    <col min="12804" max="12808" width="12.88671875" style="25" customWidth="1"/>
    <col min="12809" max="13055" width="11.44140625" style="25" customWidth="1"/>
    <col min="13056" max="13056" width="1.5546875" style="25"/>
    <col min="13057" max="13057" width="1.5546875" style="25" customWidth="1"/>
    <col min="13058" max="13058" width="15.88671875" style="25" customWidth="1"/>
    <col min="13059" max="13059" width="28.88671875" style="25" customWidth="1"/>
    <col min="13060" max="13064" width="12.88671875" style="25" customWidth="1"/>
    <col min="13065" max="13311" width="11.44140625" style="25" customWidth="1"/>
    <col min="13312" max="13312" width="1.5546875" style="25"/>
    <col min="13313" max="13313" width="1.5546875" style="25" customWidth="1"/>
    <col min="13314" max="13314" width="15.88671875" style="25" customWidth="1"/>
    <col min="13315" max="13315" width="28.88671875" style="25" customWidth="1"/>
    <col min="13316" max="13320" width="12.88671875" style="25" customWidth="1"/>
    <col min="13321" max="13567" width="11.44140625" style="25" customWidth="1"/>
    <col min="13568" max="13568" width="1.5546875" style="25"/>
    <col min="13569" max="13569" width="1.5546875" style="25" customWidth="1"/>
    <col min="13570" max="13570" width="15.88671875" style="25" customWidth="1"/>
    <col min="13571" max="13571" width="28.88671875" style="25" customWidth="1"/>
    <col min="13572" max="13576" width="12.88671875" style="25" customWidth="1"/>
    <col min="13577" max="13823" width="11.44140625" style="25" customWidth="1"/>
    <col min="13824" max="13824" width="1.5546875" style="25"/>
    <col min="13825" max="13825" width="1.5546875" style="25" customWidth="1"/>
    <col min="13826" max="13826" width="15.88671875" style="25" customWidth="1"/>
    <col min="13827" max="13827" width="28.88671875" style="25" customWidth="1"/>
    <col min="13828" max="13832" width="12.88671875" style="25" customWidth="1"/>
    <col min="13833" max="14079" width="11.44140625" style="25" customWidth="1"/>
    <col min="14080" max="14080" width="1.5546875" style="25"/>
    <col min="14081" max="14081" width="1.5546875" style="25" customWidth="1"/>
    <col min="14082" max="14082" width="15.88671875" style="25" customWidth="1"/>
    <col min="14083" max="14083" width="28.88671875" style="25" customWidth="1"/>
    <col min="14084" max="14088" width="12.88671875" style="25" customWidth="1"/>
    <col min="14089" max="14335" width="11.44140625" style="25" customWidth="1"/>
    <col min="14336" max="14336" width="1.5546875" style="25"/>
    <col min="14337" max="14337" width="1.5546875" style="25" customWidth="1"/>
    <col min="14338" max="14338" width="15.88671875" style="25" customWidth="1"/>
    <col min="14339" max="14339" width="28.88671875" style="25" customWidth="1"/>
    <col min="14340" max="14344" width="12.88671875" style="25" customWidth="1"/>
    <col min="14345" max="14591" width="11.44140625" style="25" customWidth="1"/>
    <col min="14592" max="14592" width="1.5546875" style="25"/>
    <col min="14593" max="14593" width="1.5546875" style="25" customWidth="1"/>
    <col min="14594" max="14594" width="15.88671875" style="25" customWidth="1"/>
    <col min="14595" max="14595" width="28.88671875" style="25" customWidth="1"/>
    <col min="14596" max="14600" width="12.88671875" style="25" customWidth="1"/>
    <col min="14601" max="14847" width="11.44140625" style="25" customWidth="1"/>
    <col min="14848" max="14848" width="1.5546875" style="25"/>
    <col min="14849" max="14849" width="1.5546875" style="25" customWidth="1"/>
    <col min="14850" max="14850" width="15.88671875" style="25" customWidth="1"/>
    <col min="14851" max="14851" width="28.88671875" style="25" customWidth="1"/>
    <col min="14852" max="14856" width="12.88671875" style="25" customWidth="1"/>
    <col min="14857" max="15103" width="11.44140625" style="25" customWidth="1"/>
    <col min="15104" max="15104" width="1.5546875" style="25"/>
    <col min="15105" max="15105" width="1.5546875" style="25" customWidth="1"/>
    <col min="15106" max="15106" width="15.88671875" style="25" customWidth="1"/>
    <col min="15107" max="15107" width="28.88671875" style="25" customWidth="1"/>
    <col min="15108" max="15112" width="12.88671875" style="25" customWidth="1"/>
    <col min="15113" max="15359" width="11.44140625" style="25" customWidth="1"/>
    <col min="15360" max="15360" width="1.5546875" style="25"/>
    <col min="15361" max="15361" width="1.5546875" style="25" customWidth="1"/>
    <col min="15362" max="15362" width="15.88671875" style="25" customWidth="1"/>
    <col min="15363" max="15363" width="28.88671875" style="25" customWidth="1"/>
    <col min="15364" max="15368" width="12.88671875" style="25" customWidth="1"/>
    <col min="15369" max="15615" width="11.44140625" style="25" customWidth="1"/>
    <col min="15616" max="15616" width="1.5546875" style="25"/>
    <col min="15617" max="15617" width="1.5546875" style="25" customWidth="1"/>
    <col min="15618" max="15618" width="15.88671875" style="25" customWidth="1"/>
    <col min="15619" max="15619" width="28.88671875" style="25" customWidth="1"/>
    <col min="15620" max="15624" width="12.88671875" style="25" customWidth="1"/>
    <col min="15625" max="15871" width="11.44140625" style="25" customWidth="1"/>
    <col min="15872" max="15872" width="1.5546875" style="25"/>
    <col min="15873" max="15873" width="1.5546875" style="25" customWidth="1"/>
    <col min="15874" max="15874" width="15.88671875" style="25" customWidth="1"/>
    <col min="15875" max="15875" width="28.88671875" style="25" customWidth="1"/>
    <col min="15876" max="15880" width="12.88671875" style="25" customWidth="1"/>
    <col min="15881" max="16127" width="11.44140625" style="25" customWidth="1"/>
    <col min="16128" max="16128" width="1.5546875" style="25"/>
    <col min="16129" max="16129" width="1.5546875" style="25" customWidth="1"/>
    <col min="16130" max="16130" width="15.88671875" style="25" customWidth="1"/>
    <col min="16131" max="16131" width="28.88671875" style="25" customWidth="1"/>
    <col min="16132" max="16136" width="12.88671875" style="25" customWidth="1"/>
    <col min="16137" max="16383" width="11.44140625" style="25" customWidth="1"/>
    <col min="16384" max="16384" width="1.5546875" style="25"/>
  </cols>
  <sheetData>
    <row r="1" spans="2:23" ht="69" x14ac:dyDescent="0.25">
      <c r="C1" s="26" t="s">
        <v>453</v>
      </c>
      <c r="D1" s="372"/>
      <c r="E1" s="372"/>
      <c r="F1" s="372"/>
      <c r="G1" s="372"/>
      <c r="H1" s="372"/>
      <c r="I1" s="372"/>
      <c r="J1" s="372"/>
      <c r="K1" s="372"/>
      <c r="L1" s="372"/>
    </row>
    <row r="2" spans="2:23" ht="15.6" x14ac:dyDescent="0.25"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</row>
    <row r="3" spans="2:23" ht="32.25" customHeight="1" x14ac:dyDescent="0.25">
      <c r="B3" s="147"/>
      <c r="C3" s="552" t="s">
        <v>307</v>
      </c>
      <c r="D3" s="1455">
        <v>2003</v>
      </c>
      <c r="E3" s="1455">
        <v>2004</v>
      </c>
      <c r="F3" s="1455">
        <v>2005</v>
      </c>
      <c r="G3" s="1455">
        <v>2006</v>
      </c>
      <c r="H3" s="1455">
        <v>2007</v>
      </c>
      <c r="I3" s="1455">
        <v>2008</v>
      </c>
      <c r="J3" s="1455">
        <v>2009</v>
      </c>
      <c r="K3" s="1455">
        <v>2010</v>
      </c>
      <c r="L3" s="1455">
        <v>2011</v>
      </c>
      <c r="M3" s="1455">
        <v>2012</v>
      </c>
      <c r="N3" s="1455">
        <v>2013</v>
      </c>
      <c r="O3" s="1455">
        <v>2014</v>
      </c>
      <c r="P3" s="1455">
        <v>2015</v>
      </c>
      <c r="Q3" s="1455">
        <v>2016</v>
      </c>
      <c r="R3" s="1455">
        <v>2017</v>
      </c>
      <c r="S3" s="1455">
        <v>2018</v>
      </c>
      <c r="T3" s="1455">
        <v>2019</v>
      </c>
      <c r="U3" s="1455">
        <v>2020</v>
      </c>
      <c r="V3" s="1455">
        <v>2021</v>
      </c>
      <c r="W3" s="1455">
        <v>2022</v>
      </c>
    </row>
    <row r="4" spans="2:23" ht="14.4" x14ac:dyDescent="0.25">
      <c r="B4" s="328"/>
      <c r="C4" s="328"/>
      <c r="D4" s="328"/>
      <c r="E4" s="328"/>
      <c r="F4" s="328"/>
      <c r="G4" s="328"/>
      <c r="H4" s="328"/>
      <c r="I4" s="328"/>
      <c r="J4" s="328"/>
      <c r="K4" s="328"/>
      <c r="L4" s="328"/>
      <c r="M4" s="328"/>
      <c r="N4" s="328"/>
      <c r="O4" s="328"/>
      <c r="P4" s="328"/>
      <c r="Q4" s="328"/>
      <c r="R4" s="328"/>
      <c r="S4" s="328"/>
      <c r="T4" s="328"/>
      <c r="U4" s="328"/>
      <c r="V4" s="328"/>
      <c r="W4" s="328"/>
    </row>
    <row r="5" spans="2:23" ht="15.6" x14ac:dyDescent="0.25">
      <c r="B5" s="147"/>
      <c r="C5" s="1334" t="s">
        <v>308</v>
      </c>
      <c r="D5" s="1503"/>
      <c r="E5" s="1503"/>
      <c r="F5" s="1503"/>
      <c r="G5" s="1504"/>
      <c r="H5" s="1503"/>
      <c r="I5" s="1503"/>
      <c r="J5" s="1503"/>
      <c r="K5" s="1503"/>
      <c r="L5" s="1503"/>
      <c r="M5" s="1503"/>
      <c r="N5" s="1503"/>
      <c r="O5" s="1503"/>
      <c r="P5" s="1503"/>
      <c r="Q5" s="1503"/>
      <c r="R5" s="1503"/>
      <c r="S5" s="1503"/>
      <c r="T5" s="1503"/>
      <c r="U5" s="1503"/>
      <c r="V5" s="1503"/>
      <c r="W5" s="1503"/>
    </row>
    <row r="6" spans="2:23" ht="15.6" x14ac:dyDescent="0.25">
      <c r="B6" s="147"/>
      <c r="C6" s="1336" t="s">
        <v>310</v>
      </c>
      <c r="D6" s="1505">
        <v>129</v>
      </c>
      <c r="E6" s="1505">
        <v>128</v>
      </c>
      <c r="F6" s="1505">
        <v>128</v>
      </c>
      <c r="G6" s="1505">
        <v>125</v>
      </c>
      <c r="H6" s="1505">
        <v>115</v>
      </c>
      <c r="I6" s="1505">
        <v>85</v>
      </c>
      <c r="J6" s="1505">
        <v>115</v>
      </c>
      <c r="K6" s="1505">
        <v>131</v>
      </c>
      <c r="L6" s="1505">
        <v>136</v>
      </c>
      <c r="M6" s="1505">
        <v>131</v>
      </c>
      <c r="N6" s="1505">
        <f>SUM('ACTIVOS-POS plan'!N4:N8)</f>
        <v>153</v>
      </c>
      <c r="O6" s="1505">
        <f>SUM('ACTIVOS-POS plan'!O4:O8)</f>
        <v>194</v>
      </c>
      <c r="P6" s="1505">
        <f>SUM('ACTIVOS-POS plan'!P4:P8)</f>
        <v>209</v>
      </c>
      <c r="Q6" s="1505">
        <f>SUM('ACTIVOS-POS plan'!Q4:Q8)</f>
        <v>236</v>
      </c>
      <c r="R6" s="1505">
        <f>SUM('ACTIVOS-POS plan'!R4:R9)</f>
        <v>231</v>
      </c>
      <c r="S6" s="1505">
        <f>SUM('ACTIVOS-POS plan'!S4:S10)</f>
        <v>230</v>
      </c>
      <c r="T6" s="1505">
        <f>SUM('ACTIVOS-POS plan'!T4:T10)</f>
        <v>215</v>
      </c>
      <c r="U6" s="1505">
        <f>SUM('ACTIVOS-POS plan'!U4:U10)</f>
        <v>202</v>
      </c>
      <c r="V6" s="1505">
        <f>SUM('ACTIVOS-POS plan'!V4:V10)</f>
        <v>193</v>
      </c>
      <c r="W6" s="1505">
        <f>SUM('ACTIVOS-POS plan'!W4:W10)</f>
        <v>180</v>
      </c>
    </row>
    <row r="7" spans="2:23" ht="15.6" x14ac:dyDescent="0.25">
      <c r="B7" s="147"/>
      <c r="C7" s="1339" t="s">
        <v>317</v>
      </c>
      <c r="D7" s="1505">
        <v>31</v>
      </c>
      <c r="E7" s="1505">
        <v>32</v>
      </c>
      <c r="F7" s="1505">
        <v>35</v>
      </c>
      <c r="G7" s="1505">
        <v>27</v>
      </c>
      <c r="H7" s="1505">
        <v>35</v>
      </c>
      <c r="I7" s="1505">
        <v>45</v>
      </c>
      <c r="J7" s="1505">
        <v>42</v>
      </c>
      <c r="K7" s="1505">
        <v>40</v>
      </c>
      <c r="L7" s="1505">
        <v>42</v>
      </c>
      <c r="M7" s="1505">
        <v>33</v>
      </c>
      <c r="N7" s="1505">
        <f>SUM('ACTIVOS-POS plan'!N11:N14)</f>
        <v>35</v>
      </c>
      <c r="O7" s="1505">
        <f>SUM('ACTIVOS-POS plan'!O11:O14)</f>
        <v>36</v>
      </c>
      <c r="P7" s="1505">
        <f>SUM('ACTIVOS-POS plan'!P11:P14)</f>
        <v>44</v>
      </c>
      <c r="Q7" s="1505">
        <f>SUM('ACTIVOS-POS plan'!Q11:Q14)</f>
        <v>52</v>
      </c>
      <c r="R7" s="1505">
        <f>SUM('ACTIVOS-POS plan'!R11:R15)</f>
        <v>55</v>
      </c>
      <c r="S7" s="1505">
        <f>SUM('ACTIVOS-POS plan'!S11:S15)</f>
        <v>59</v>
      </c>
      <c r="T7" s="1505">
        <f>SUM('ACTIVOS-POS plan'!T11:T15)</f>
        <v>65</v>
      </c>
      <c r="U7" s="1505">
        <f>SUM('ACTIVOS-POS plan'!U11:U15)</f>
        <v>64</v>
      </c>
      <c r="V7" s="1505">
        <f>SUM('ACTIVOS-POS plan'!V11:V15)</f>
        <v>64</v>
      </c>
      <c r="W7" s="1505">
        <f>SUM('ACTIVOS-POS plan'!W11:W15)</f>
        <v>61</v>
      </c>
    </row>
    <row r="8" spans="2:23" ht="15.6" x14ac:dyDescent="0.25">
      <c r="B8" s="147"/>
      <c r="C8" s="1342" t="s">
        <v>425</v>
      </c>
      <c r="D8" s="1506">
        <v>160</v>
      </c>
      <c r="E8" s="1506">
        <v>160</v>
      </c>
      <c r="F8" s="1506">
        <v>163</v>
      </c>
      <c r="G8" s="1506">
        <v>152</v>
      </c>
      <c r="H8" s="1506">
        <v>150</v>
      </c>
      <c r="I8" s="1506">
        <v>130</v>
      </c>
      <c r="J8" s="1506">
        <f t="shared" ref="J8:O8" si="0">SUM(J5:J7)</f>
        <v>157</v>
      </c>
      <c r="K8" s="1506">
        <f t="shared" si="0"/>
        <v>171</v>
      </c>
      <c r="L8" s="1506">
        <f t="shared" si="0"/>
        <v>178</v>
      </c>
      <c r="M8" s="1506">
        <f t="shared" si="0"/>
        <v>164</v>
      </c>
      <c r="N8" s="1506">
        <f t="shared" si="0"/>
        <v>188</v>
      </c>
      <c r="O8" s="1506">
        <f t="shared" si="0"/>
        <v>230</v>
      </c>
      <c r="P8" s="1506">
        <f t="shared" ref="P8:U8" si="1">SUM(P5:P7)</f>
        <v>253</v>
      </c>
      <c r="Q8" s="1506">
        <f t="shared" si="1"/>
        <v>288</v>
      </c>
      <c r="R8" s="1506">
        <f t="shared" si="1"/>
        <v>286</v>
      </c>
      <c r="S8" s="1506">
        <f t="shared" si="1"/>
        <v>289</v>
      </c>
      <c r="T8" s="1506">
        <f t="shared" si="1"/>
        <v>280</v>
      </c>
      <c r="U8" s="1506">
        <f t="shared" si="1"/>
        <v>266</v>
      </c>
      <c r="V8" s="1506">
        <f t="shared" ref="V8:W8" si="2">SUM(V5:V7)</f>
        <v>257</v>
      </c>
      <c r="W8" s="1506">
        <f t="shared" si="2"/>
        <v>241</v>
      </c>
    </row>
    <row r="9" spans="2:23" ht="15.6" x14ac:dyDescent="0.25">
      <c r="B9" s="147"/>
      <c r="C9" s="1334" t="s">
        <v>308</v>
      </c>
      <c r="D9" s="1503">
        <v>44</v>
      </c>
      <c r="E9" s="1503">
        <v>64</v>
      </c>
      <c r="F9" s="1503">
        <v>67</v>
      </c>
      <c r="G9" s="1504">
        <v>62</v>
      </c>
      <c r="H9" s="1503">
        <v>70</v>
      </c>
      <c r="I9" s="1503">
        <v>59</v>
      </c>
      <c r="J9" s="1503">
        <v>48</v>
      </c>
      <c r="K9" s="1503">
        <v>41</v>
      </c>
      <c r="L9" s="1503">
        <v>52</v>
      </c>
      <c r="M9" s="1503">
        <v>47</v>
      </c>
      <c r="N9" s="1503">
        <f>SUM('ACTIVOS-POS plan'!N17:N21)</f>
        <v>47</v>
      </c>
      <c r="O9" s="1503">
        <f>SUM('ACTIVOS-POS plan'!O17:O21)</f>
        <v>46</v>
      </c>
      <c r="P9" s="1503">
        <f>SUM('ACTIVOS-POS plan'!P17:P21)</f>
        <v>49</v>
      </c>
      <c r="Q9" s="1503">
        <f>SUM('ACTIVOS-POS plan'!Q17:Q21)</f>
        <v>49</v>
      </c>
      <c r="R9" s="1503">
        <f>SUM('ACTIVOS-POS plan'!R17:R21)</f>
        <v>40</v>
      </c>
      <c r="S9" s="1503">
        <f>SUM('ACTIVOS-POS plan'!S17:S21)</f>
        <v>35</v>
      </c>
      <c r="T9" s="1503">
        <f>SUM('ACTIVOS-POS plan'!T17:T21)</f>
        <v>46</v>
      </c>
      <c r="U9" s="1503">
        <f>SUM('ACTIVOS-POS plan'!U17:U21)</f>
        <v>43</v>
      </c>
      <c r="V9" s="1503">
        <f>SUM('ACTIVOS-POS plan'!V17:V21)</f>
        <v>39</v>
      </c>
      <c r="W9" s="1503">
        <f>SUM('ACTIVOS-POS plan'!W17:W21)</f>
        <v>58</v>
      </c>
    </row>
    <row r="10" spans="2:23" ht="15.6" x14ac:dyDescent="0.25">
      <c r="B10" s="147"/>
      <c r="C10" s="1336" t="s">
        <v>310</v>
      </c>
      <c r="D10" s="1505">
        <v>57</v>
      </c>
      <c r="E10" s="1505">
        <v>69</v>
      </c>
      <c r="F10" s="1505">
        <v>66</v>
      </c>
      <c r="G10" s="1505">
        <v>62</v>
      </c>
      <c r="H10" s="1505">
        <v>97</v>
      </c>
      <c r="I10" s="1505">
        <v>83</v>
      </c>
      <c r="J10" s="1505">
        <v>125</v>
      </c>
      <c r="K10" s="1505">
        <v>82</v>
      </c>
      <c r="L10" s="1505">
        <v>116</v>
      </c>
      <c r="M10" s="1505">
        <v>95</v>
      </c>
      <c r="N10" s="1505">
        <f>SUM('ACTIVOS-POS plan'!N22:N28)</f>
        <v>138</v>
      </c>
      <c r="O10" s="1505">
        <f>SUM('ACTIVOS-POS plan'!O22:O28)</f>
        <v>147</v>
      </c>
      <c r="P10" s="1505">
        <f>SUM('ACTIVOS-POS plan'!P22:P28)</f>
        <v>143</v>
      </c>
      <c r="Q10" s="1505">
        <f>SUM('ACTIVOS-POS plan'!Q22:Q28)</f>
        <v>121</v>
      </c>
      <c r="R10" s="1505">
        <f>SUM('ACTIVOS-POS plan'!R22:R30)</f>
        <v>196</v>
      </c>
      <c r="S10" s="1505">
        <f>SUM('ACTIVOS-POS plan'!S22:S30)</f>
        <v>172</v>
      </c>
      <c r="T10" s="1505">
        <f>SUM('ACTIVOS-POS plan'!T22:T30)</f>
        <v>228</v>
      </c>
      <c r="U10" s="1505">
        <f>SUM('ACTIVOS-POS plan'!U22:U30)</f>
        <v>165</v>
      </c>
      <c r="V10" s="1505">
        <f>SUM('ACTIVOS-POS plan'!V22:V30)</f>
        <v>169</v>
      </c>
      <c r="W10" s="1505">
        <f>SUM('ACTIVOS-POS plan'!W22:W30)</f>
        <v>149</v>
      </c>
    </row>
    <row r="11" spans="2:23" ht="15.6" x14ac:dyDescent="0.25">
      <c r="B11" s="147"/>
      <c r="C11" s="1339" t="s">
        <v>317</v>
      </c>
      <c r="D11" s="1505">
        <v>7</v>
      </c>
      <c r="E11" s="1505">
        <v>9</v>
      </c>
      <c r="F11" s="1505">
        <v>17</v>
      </c>
      <c r="G11" s="1505">
        <v>17</v>
      </c>
      <c r="H11" s="1505">
        <v>61</v>
      </c>
      <c r="I11" s="1505">
        <v>40</v>
      </c>
      <c r="J11" s="1505">
        <v>39</v>
      </c>
      <c r="K11" s="1505">
        <v>54</v>
      </c>
      <c r="L11" s="1505">
        <v>45</v>
      </c>
      <c r="M11" s="1505">
        <v>46</v>
      </c>
      <c r="N11" s="1505">
        <f>SUM('ACTIVOS-POS plan'!N31:N34)</f>
        <v>54</v>
      </c>
      <c r="O11" s="1505">
        <f>SUM('ACTIVOS-POS plan'!O31:O34)</f>
        <v>51</v>
      </c>
      <c r="P11" s="1505">
        <f>SUM('ACTIVOS-POS plan'!P31:P34)</f>
        <v>50</v>
      </c>
      <c r="Q11" s="1505">
        <f>SUM('ACTIVOS-POS plan'!Q31:Q34)</f>
        <v>67</v>
      </c>
      <c r="R11" s="1505">
        <f>SUM('ACTIVOS-POS plan'!R31:R35)</f>
        <v>67</v>
      </c>
      <c r="S11" s="1505">
        <f>SUM('ACTIVOS-POS plan'!S31:S35)</f>
        <v>88</v>
      </c>
      <c r="T11" s="1505">
        <f>SUM('ACTIVOS-POS plan'!T31:T35)</f>
        <v>94</v>
      </c>
      <c r="U11" s="1505">
        <f>SUM('ACTIVOS-POS plan'!U31:U35)</f>
        <v>104</v>
      </c>
      <c r="V11" s="1505">
        <f>SUM('ACTIVOS-POS plan'!V31:V35)</f>
        <v>113</v>
      </c>
      <c r="W11" s="1505">
        <f>SUM('ACTIVOS-POS plan'!W31:W35)</f>
        <v>96</v>
      </c>
    </row>
    <row r="12" spans="2:23" ht="15.6" x14ac:dyDescent="0.25">
      <c r="B12" s="147"/>
      <c r="C12" s="1342" t="s">
        <v>426</v>
      </c>
      <c r="D12" s="1507">
        <v>108</v>
      </c>
      <c r="E12" s="1507">
        <v>142</v>
      </c>
      <c r="F12" s="1507">
        <v>150</v>
      </c>
      <c r="G12" s="1507">
        <v>141</v>
      </c>
      <c r="H12" s="1507">
        <v>228</v>
      </c>
      <c r="I12" s="1507">
        <v>182</v>
      </c>
      <c r="J12" s="1507">
        <f t="shared" ref="J12:O12" si="3">SUM(J9:J11)</f>
        <v>212</v>
      </c>
      <c r="K12" s="1507">
        <f t="shared" si="3"/>
        <v>177</v>
      </c>
      <c r="L12" s="1507">
        <f t="shared" si="3"/>
        <v>213</v>
      </c>
      <c r="M12" s="1507">
        <f t="shared" si="3"/>
        <v>188</v>
      </c>
      <c r="N12" s="1507">
        <f t="shared" si="3"/>
        <v>239</v>
      </c>
      <c r="O12" s="1507">
        <f t="shared" si="3"/>
        <v>244</v>
      </c>
      <c r="P12" s="1507">
        <f t="shared" ref="P12:U12" si="4">SUM(P9:P11)</f>
        <v>242</v>
      </c>
      <c r="Q12" s="1507">
        <f t="shared" si="4"/>
        <v>237</v>
      </c>
      <c r="R12" s="1507">
        <f t="shared" si="4"/>
        <v>303</v>
      </c>
      <c r="S12" s="1507">
        <f t="shared" si="4"/>
        <v>295</v>
      </c>
      <c r="T12" s="1507">
        <f t="shared" si="4"/>
        <v>368</v>
      </c>
      <c r="U12" s="1507">
        <f t="shared" si="4"/>
        <v>312</v>
      </c>
      <c r="V12" s="1507">
        <f t="shared" ref="V12:W12" si="5">SUM(V9:V11)</f>
        <v>321</v>
      </c>
      <c r="W12" s="1507">
        <f t="shared" si="5"/>
        <v>303</v>
      </c>
    </row>
    <row r="13" spans="2:23" ht="15.6" x14ac:dyDescent="0.25">
      <c r="B13" s="147"/>
      <c r="C13" s="1334" t="s">
        <v>308</v>
      </c>
      <c r="D13" s="1503">
        <v>43</v>
      </c>
      <c r="E13" s="1503">
        <v>37</v>
      </c>
      <c r="F13" s="1503">
        <v>29</v>
      </c>
      <c r="G13" s="1504">
        <v>34</v>
      </c>
      <c r="H13" s="1503">
        <v>61</v>
      </c>
      <c r="I13" s="1503">
        <v>64</v>
      </c>
      <c r="J13" s="1503">
        <v>103</v>
      </c>
      <c r="K13" s="1503">
        <v>102</v>
      </c>
      <c r="L13" s="1503">
        <v>20</v>
      </c>
      <c r="M13" s="1503">
        <v>95</v>
      </c>
      <c r="N13" s="1503">
        <f>SUM('ACTIVOS-POS plan'!N37)</f>
        <v>23</v>
      </c>
      <c r="O13" s="1503">
        <f>SUM('ACTIVOS-POS plan'!O37)</f>
        <v>70</v>
      </c>
      <c r="P13" s="1503">
        <f>SUM('ACTIVOS-POS plan'!P37)</f>
        <v>24</v>
      </c>
      <c r="Q13" s="1503">
        <f>SUM('ACTIVOS-POS plan'!Q37:Q39)</f>
        <v>9</v>
      </c>
      <c r="R13" s="1503">
        <f>SUM('ACTIVOS-POS plan'!R37:R39)</f>
        <v>14</v>
      </c>
      <c r="S13" s="1503">
        <f>SUM('ACTIVOS-POS plan'!S37:S39)</f>
        <v>25</v>
      </c>
      <c r="T13" s="1503">
        <f>SUM('ACTIVOS-POS plan'!T37:T39)</f>
        <v>14</v>
      </c>
      <c r="U13" s="1503">
        <f>SUM('ACTIVOS-POS plan'!U37:U39)</f>
        <v>13</v>
      </c>
      <c r="V13" s="1503">
        <f>SUM('ACTIVOS-POS plan'!V37:V39)</f>
        <v>15</v>
      </c>
      <c r="W13" s="1503">
        <f>SUM('ACTIVOS-POS plan'!W37:W39)</f>
        <v>32</v>
      </c>
    </row>
    <row r="14" spans="2:23" ht="15.6" x14ac:dyDescent="0.25">
      <c r="B14" s="147"/>
      <c r="C14" s="1336" t="s">
        <v>310</v>
      </c>
      <c r="D14" s="1505">
        <v>45</v>
      </c>
      <c r="E14" s="1505">
        <v>37</v>
      </c>
      <c r="F14" s="1505">
        <v>48</v>
      </c>
      <c r="G14" s="1505">
        <v>55</v>
      </c>
      <c r="H14" s="1505">
        <v>51</v>
      </c>
      <c r="I14" s="1505">
        <v>55</v>
      </c>
      <c r="J14" s="1505">
        <v>47</v>
      </c>
      <c r="K14" s="1505">
        <v>87</v>
      </c>
      <c r="L14" s="1505">
        <v>108</v>
      </c>
      <c r="M14" s="1505">
        <v>79</v>
      </c>
      <c r="N14" s="1505">
        <f>SUM('ACTIVOS-POS plan'!N40)</f>
        <v>102</v>
      </c>
      <c r="O14" s="1505">
        <f>SUM('ACTIVOS-POS plan'!O40)</f>
        <v>74</v>
      </c>
      <c r="P14" s="1505">
        <f>SUM('ACTIVOS-POS plan'!P40:P46)</f>
        <v>117</v>
      </c>
      <c r="Q14" s="1505">
        <f>SUM('ACTIVOS-POS plan'!Q40:Q46)</f>
        <v>122</v>
      </c>
      <c r="R14" s="1505">
        <f>SUM('ACTIVOS-POS plan'!R40:R46)</f>
        <v>123</v>
      </c>
      <c r="S14" s="1505">
        <f>SUM('ACTIVOS-POS plan'!S40:S46)</f>
        <v>97</v>
      </c>
      <c r="T14" s="1505">
        <f>SUM('ACTIVOS-POS plan'!T40:T46)</f>
        <v>80</v>
      </c>
      <c r="U14" s="1505">
        <f>SUM('ACTIVOS-POS plan'!U40:U46)</f>
        <v>90</v>
      </c>
      <c r="V14" s="1505">
        <f>SUM('ACTIVOS-POS plan'!V40:V46)</f>
        <v>103</v>
      </c>
      <c r="W14" s="1505">
        <f>SUM('ACTIVOS-POS plan'!W40:W46)</f>
        <v>122</v>
      </c>
    </row>
    <row r="15" spans="2:23" ht="15.6" x14ac:dyDescent="0.25">
      <c r="B15" s="147"/>
      <c r="C15" s="1339" t="s">
        <v>317</v>
      </c>
      <c r="D15" s="1505">
        <v>18</v>
      </c>
      <c r="E15" s="1505">
        <v>5</v>
      </c>
      <c r="F15" s="1505">
        <v>8</v>
      </c>
      <c r="G15" s="1505">
        <v>13</v>
      </c>
      <c r="H15" s="1505">
        <v>20</v>
      </c>
      <c r="I15" s="1505">
        <v>31</v>
      </c>
      <c r="J15" s="1505">
        <v>34</v>
      </c>
      <c r="K15" s="1505">
        <v>62</v>
      </c>
      <c r="L15" s="1505">
        <v>56</v>
      </c>
      <c r="M15" s="1505">
        <v>63</v>
      </c>
      <c r="N15" s="1505">
        <f>SUM('ACTIVOS-POS plan'!N47)</f>
        <v>55</v>
      </c>
      <c r="O15" s="1505">
        <f>SUM('ACTIVOS-POS plan'!O47)</f>
        <v>80</v>
      </c>
      <c r="P15" s="1505">
        <f>SUM('ACTIVOS-POS plan'!P47:P53)</f>
        <v>71</v>
      </c>
      <c r="Q15" s="1505">
        <f>SUM('ACTIVOS-POS plan'!Q47:Q53)</f>
        <v>71</v>
      </c>
      <c r="R15" s="1505">
        <f>SUM('ACTIVOS-POS plan'!R47:R53)</f>
        <v>90</v>
      </c>
      <c r="S15" s="1505">
        <f>SUM('ACTIVOS-POS plan'!S47:S53)</f>
        <v>62</v>
      </c>
      <c r="T15" s="1505">
        <f>SUM('ACTIVOS-POS plan'!T47:T53)</f>
        <v>66</v>
      </c>
      <c r="U15" s="1505">
        <f>SUM('ACTIVOS-POS plan'!U47:U53)</f>
        <v>73</v>
      </c>
      <c r="V15" s="1505">
        <f>SUM('ACTIVOS-POS plan'!V47:V53)</f>
        <v>74</v>
      </c>
      <c r="W15" s="1505">
        <f>SUM('ACTIVOS-POS plan'!W47:W53)</f>
        <v>82</v>
      </c>
    </row>
    <row r="16" spans="2:23" ht="15.6" x14ac:dyDescent="0.25">
      <c r="B16" s="147"/>
      <c r="C16" s="1342" t="s">
        <v>427</v>
      </c>
      <c r="D16" s="1507">
        <v>106</v>
      </c>
      <c r="E16" s="1507">
        <v>79</v>
      </c>
      <c r="F16" s="1507">
        <v>85</v>
      </c>
      <c r="G16" s="1507">
        <v>102</v>
      </c>
      <c r="H16" s="1507">
        <v>132</v>
      </c>
      <c r="I16" s="1507">
        <v>150</v>
      </c>
      <c r="J16" s="1507">
        <f t="shared" ref="J16:O16" si="6">SUM(J13:J15)</f>
        <v>184</v>
      </c>
      <c r="K16" s="1507">
        <f t="shared" si="6"/>
        <v>251</v>
      </c>
      <c r="L16" s="1507">
        <f t="shared" si="6"/>
        <v>184</v>
      </c>
      <c r="M16" s="1507">
        <f t="shared" si="6"/>
        <v>237</v>
      </c>
      <c r="N16" s="1507">
        <f t="shared" si="6"/>
        <v>180</v>
      </c>
      <c r="O16" s="1507">
        <f t="shared" si="6"/>
        <v>224</v>
      </c>
      <c r="P16" s="1507">
        <f t="shared" ref="P16:U16" si="7">SUM(P13:P15)</f>
        <v>212</v>
      </c>
      <c r="Q16" s="1507">
        <f t="shared" si="7"/>
        <v>202</v>
      </c>
      <c r="R16" s="1507">
        <f t="shared" si="7"/>
        <v>227</v>
      </c>
      <c r="S16" s="1507">
        <f t="shared" si="7"/>
        <v>184</v>
      </c>
      <c r="T16" s="1507">
        <f t="shared" si="7"/>
        <v>160</v>
      </c>
      <c r="U16" s="1507">
        <f t="shared" si="7"/>
        <v>176</v>
      </c>
      <c r="V16" s="1507">
        <f t="shared" ref="V16:W16" si="8">SUM(V13:V15)</f>
        <v>192</v>
      </c>
      <c r="W16" s="1507">
        <f t="shared" si="8"/>
        <v>236</v>
      </c>
    </row>
    <row r="17" spans="2:23" ht="15" customHeight="1" x14ac:dyDescent="0.25">
      <c r="B17" s="147"/>
      <c r="C17" s="1334" t="s">
        <v>308</v>
      </c>
      <c r="D17" s="1503">
        <f>D5+D9+D13</f>
        <v>87</v>
      </c>
      <c r="E17" s="1503">
        <f t="shared" ref="D17:M19" si="9">E5+E9+E13</f>
        <v>101</v>
      </c>
      <c r="F17" s="1503">
        <f t="shared" si="9"/>
        <v>96</v>
      </c>
      <c r="G17" s="1504">
        <f t="shared" si="9"/>
        <v>96</v>
      </c>
      <c r="H17" s="1503">
        <f t="shared" si="9"/>
        <v>131</v>
      </c>
      <c r="I17" s="1503">
        <f t="shared" si="9"/>
        <v>123</v>
      </c>
      <c r="J17" s="1503">
        <f t="shared" si="9"/>
        <v>151</v>
      </c>
      <c r="K17" s="1503">
        <f t="shared" si="9"/>
        <v>143</v>
      </c>
      <c r="L17" s="1503">
        <f t="shared" si="9"/>
        <v>72</v>
      </c>
      <c r="M17" s="1503">
        <f t="shared" si="9"/>
        <v>142</v>
      </c>
      <c r="N17" s="1503">
        <f t="shared" ref="N17:U19" si="10">SUM(N5,N9,N13)</f>
        <v>70</v>
      </c>
      <c r="O17" s="1503">
        <f t="shared" si="10"/>
        <v>116</v>
      </c>
      <c r="P17" s="1503">
        <f t="shared" si="10"/>
        <v>73</v>
      </c>
      <c r="Q17" s="1503">
        <f t="shared" si="10"/>
        <v>58</v>
      </c>
      <c r="R17" s="1503">
        <f t="shared" si="10"/>
        <v>54</v>
      </c>
      <c r="S17" s="1503">
        <f t="shared" si="10"/>
        <v>60</v>
      </c>
      <c r="T17" s="1503">
        <f t="shared" si="10"/>
        <v>60</v>
      </c>
      <c r="U17" s="1503">
        <f t="shared" si="10"/>
        <v>56</v>
      </c>
      <c r="V17" s="1503">
        <f t="shared" ref="V17:W17" si="11">SUM(V5,V9,V13)</f>
        <v>54</v>
      </c>
      <c r="W17" s="1503">
        <f t="shared" si="11"/>
        <v>90</v>
      </c>
    </row>
    <row r="18" spans="2:23" ht="15.6" x14ac:dyDescent="0.25">
      <c r="B18" s="147"/>
      <c r="C18" s="1336" t="s">
        <v>310</v>
      </c>
      <c r="D18" s="1505">
        <f t="shared" si="9"/>
        <v>231</v>
      </c>
      <c r="E18" s="1505">
        <f t="shared" si="9"/>
        <v>234</v>
      </c>
      <c r="F18" s="1505">
        <f t="shared" si="9"/>
        <v>242</v>
      </c>
      <c r="G18" s="1505">
        <f t="shared" si="9"/>
        <v>242</v>
      </c>
      <c r="H18" s="1505">
        <f t="shared" si="9"/>
        <v>263</v>
      </c>
      <c r="I18" s="1505">
        <f t="shared" si="9"/>
        <v>223</v>
      </c>
      <c r="J18" s="1505">
        <f t="shared" si="9"/>
        <v>287</v>
      </c>
      <c r="K18" s="1505">
        <f t="shared" si="9"/>
        <v>300</v>
      </c>
      <c r="L18" s="1505">
        <f t="shared" si="9"/>
        <v>360</v>
      </c>
      <c r="M18" s="1505">
        <f t="shared" si="9"/>
        <v>305</v>
      </c>
      <c r="N18" s="1505">
        <f t="shared" si="10"/>
        <v>393</v>
      </c>
      <c r="O18" s="1505">
        <f t="shared" si="10"/>
        <v>415</v>
      </c>
      <c r="P18" s="1505">
        <f t="shared" si="10"/>
        <v>469</v>
      </c>
      <c r="Q18" s="1505">
        <f t="shared" si="10"/>
        <v>479</v>
      </c>
      <c r="R18" s="1505">
        <f t="shared" si="10"/>
        <v>550</v>
      </c>
      <c r="S18" s="1505">
        <f t="shared" si="10"/>
        <v>499</v>
      </c>
      <c r="T18" s="1505">
        <f t="shared" si="10"/>
        <v>523</v>
      </c>
      <c r="U18" s="1505">
        <f t="shared" si="10"/>
        <v>457</v>
      </c>
      <c r="V18" s="1505">
        <f t="shared" ref="V18:W18" si="12">SUM(V6,V10,V14)</f>
        <v>465</v>
      </c>
      <c r="W18" s="1505">
        <f t="shared" si="12"/>
        <v>451</v>
      </c>
    </row>
    <row r="19" spans="2:23" ht="15.6" x14ac:dyDescent="0.25">
      <c r="B19" s="147"/>
      <c r="C19" s="1339" t="s">
        <v>317</v>
      </c>
      <c r="D19" s="1505">
        <f t="shared" si="9"/>
        <v>56</v>
      </c>
      <c r="E19" s="1505">
        <f t="shared" si="9"/>
        <v>46</v>
      </c>
      <c r="F19" s="1505">
        <f t="shared" si="9"/>
        <v>60</v>
      </c>
      <c r="G19" s="1505">
        <f t="shared" si="9"/>
        <v>57</v>
      </c>
      <c r="H19" s="1505">
        <f t="shared" si="9"/>
        <v>116</v>
      </c>
      <c r="I19" s="1505">
        <f t="shared" si="9"/>
        <v>116</v>
      </c>
      <c r="J19" s="1505">
        <f t="shared" si="9"/>
        <v>115</v>
      </c>
      <c r="K19" s="1505">
        <f t="shared" si="9"/>
        <v>156</v>
      </c>
      <c r="L19" s="1505">
        <f t="shared" si="9"/>
        <v>143</v>
      </c>
      <c r="M19" s="1505">
        <f t="shared" si="9"/>
        <v>142</v>
      </c>
      <c r="N19" s="1505">
        <f t="shared" si="10"/>
        <v>144</v>
      </c>
      <c r="O19" s="1505">
        <f t="shared" si="10"/>
        <v>167</v>
      </c>
      <c r="P19" s="1505">
        <f t="shared" si="10"/>
        <v>165</v>
      </c>
      <c r="Q19" s="1505">
        <f t="shared" si="10"/>
        <v>190</v>
      </c>
      <c r="R19" s="1505">
        <f t="shared" si="10"/>
        <v>212</v>
      </c>
      <c r="S19" s="1505">
        <f t="shared" si="10"/>
        <v>209</v>
      </c>
      <c r="T19" s="1505">
        <f t="shared" si="10"/>
        <v>225</v>
      </c>
      <c r="U19" s="1505">
        <f t="shared" si="10"/>
        <v>241</v>
      </c>
      <c r="V19" s="1505">
        <f t="shared" ref="V19:W19" si="13">SUM(V7,V11,V15)</f>
        <v>251</v>
      </c>
      <c r="W19" s="1505">
        <f t="shared" si="13"/>
        <v>239</v>
      </c>
    </row>
    <row r="20" spans="2:23" ht="15.6" x14ac:dyDescent="0.25">
      <c r="B20" s="147"/>
      <c r="C20" s="1346" t="s">
        <v>347</v>
      </c>
      <c r="D20" s="1508">
        <f t="shared" ref="D20:I20" si="14">SUM(D17:D19)</f>
        <v>374</v>
      </c>
      <c r="E20" s="1508">
        <f t="shared" si="14"/>
        <v>381</v>
      </c>
      <c r="F20" s="1508">
        <f t="shared" si="14"/>
        <v>398</v>
      </c>
      <c r="G20" s="1508">
        <f t="shared" si="14"/>
        <v>395</v>
      </c>
      <c r="H20" s="1508">
        <f t="shared" si="14"/>
        <v>510</v>
      </c>
      <c r="I20" s="1508">
        <f t="shared" si="14"/>
        <v>462</v>
      </c>
      <c r="J20" s="1508">
        <f>J8+J12+J16</f>
        <v>553</v>
      </c>
      <c r="K20" s="1508">
        <f>K8+K12+K16</f>
        <v>599</v>
      </c>
      <c r="L20" s="1508">
        <f>L8+L12+L16</f>
        <v>575</v>
      </c>
      <c r="M20" s="1508">
        <f t="shared" ref="M20:R20" si="15">SUM(M17:M19)</f>
        <v>589</v>
      </c>
      <c r="N20" s="1508">
        <f t="shared" si="15"/>
        <v>607</v>
      </c>
      <c r="O20" s="1508">
        <f t="shared" si="15"/>
        <v>698</v>
      </c>
      <c r="P20" s="1508">
        <f t="shared" si="15"/>
        <v>707</v>
      </c>
      <c r="Q20" s="1508">
        <f t="shared" si="15"/>
        <v>727</v>
      </c>
      <c r="R20" s="1508">
        <f t="shared" si="15"/>
        <v>816</v>
      </c>
      <c r="S20" s="1508">
        <f>SUM(S17:S19)</f>
        <v>768</v>
      </c>
      <c r="T20" s="1508">
        <f>SUM(T17:T19)</f>
        <v>808</v>
      </c>
      <c r="U20" s="1508">
        <f>SUM(U17:U19)</f>
        <v>754</v>
      </c>
      <c r="V20" s="1508">
        <f>SUM(V17:V19)</f>
        <v>770</v>
      </c>
      <c r="W20" s="1508">
        <f>SUM(W17:W19)</f>
        <v>780</v>
      </c>
    </row>
    <row r="21" spans="2:23" ht="15.6" x14ac:dyDescent="0.25">
      <c r="B21" s="147"/>
      <c r="C21" s="1353"/>
      <c r="D21" s="342"/>
      <c r="E21" s="342"/>
      <c r="F21" s="342"/>
      <c r="G21" s="342"/>
      <c r="H21" s="342"/>
      <c r="I21" s="342"/>
      <c r="J21" s="342"/>
      <c r="K21" s="342"/>
      <c r="L21" s="342"/>
      <c r="M21" s="342"/>
      <c r="N21" s="342"/>
      <c r="O21" s="342"/>
      <c r="P21" s="342"/>
      <c r="Q21" s="342"/>
      <c r="R21" s="342"/>
      <c r="S21" s="342"/>
      <c r="T21" s="342"/>
      <c r="U21" s="342"/>
      <c r="V21" s="342"/>
      <c r="W21" s="342"/>
    </row>
    <row r="22" spans="2:23" ht="15.6" x14ac:dyDescent="0.25">
      <c r="B22" s="147"/>
      <c r="C22" s="1334" t="s">
        <v>308</v>
      </c>
      <c r="D22" s="1503"/>
      <c r="E22" s="1503"/>
      <c r="F22" s="1503"/>
      <c r="G22" s="1504"/>
      <c r="H22" s="1503"/>
      <c r="I22" s="1503"/>
      <c r="J22" s="1503"/>
      <c r="K22" s="1503"/>
      <c r="L22" s="1503"/>
      <c r="M22" s="1503"/>
      <c r="N22" s="1503"/>
      <c r="O22" s="1503"/>
      <c r="P22" s="1503"/>
      <c r="Q22" s="1503">
        <f>SUM('ACTIVOS-POS plan'!Q56)</f>
        <v>2</v>
      </c>
      <c r="R22" s="1503">
        <f>SUM('ACTIVOS-POS plan'!R56)</f>
        <v>4</v>
      </c>
      <c r="S22" s="1503">
        <f>SUM('ACTIVOS-POS plan'!S56)</f>
        <v>5</v>
      </c>
      <c r="T22" s="1503">
        <f>SUM('ACTIVOS-POS plan'!T56)</f>
        <v>3</v>
      </c>
      <c r="U22" s="1503">
        <f>SUM('ACTIVOS-POS plan'!U56)</f>
        <v>4</v>
      </c>
      <c r="V22" s="1503">
        <f>SUM('ACTIVOS-POS plan'!V56)</f>
        <v>6</v>
      </c>
      <c r="W22" s="1503">
        <f>SUM('ACTIVOS-POS plan'!W56)</f>
        <v>8</v>
      </c>
    </row>
    <row r="23" spans="2:23" ht="15.6" x14ac:dyDescent="0.25">
      <c r="B23" s="147"/>
      <c r="C23" s="1336" t="s">
        <v>310</v>
      </c>
      <c r="D23" s="1505">
        <v>83</v>
      </c>
      <c r="E23" s="1505">
        <v>99</v>
      </c>
      <c r="F23" s="1505">
        <v>153</v>
      </c>
      <c r="G23" s="1505">
        <v>179</v>
      </c>
      <c r="H23" s="1505">
        <v>197</v>
      </c>
      <c r="I23" s="1505">
        <v>219</v>
      </c>
      <c r="J23" s="1505">
        <v>244</v>
      </c>
      <c r="K23" s="1505">
        <v>220</v>
      </c>
      <c r="L23" s="1505">
        <v>251</v>
      </c>
      <c r="M23" s="1505">
        <v>345</v>
      </c>
      <c r="N23" s="1505">
        <f>SUM('ACTIVOS-POS plan'!N57:N63)</f>
        <v>273</v>
      </c>
      <c r="O23" s="1505">
        <f>SUM('ACTIVOS-POS plan'!O57:O63)</f>
        <v>270</v>
      </c>
      <c r="P23" s="1505">
        <f>SUM('ACTIVOS-POS plan'!P57:P63)</f>
        <v>280</v>
      </c>
      <c r="Q23" s="1505">
        <f>SUM('ACTIVOS-POS plan'!Q57:Q63)</f>
        <v>324</v>
      </c>
      <c r="R23" s="1505">
        <f>SUM('ACTIVOS-POS plan'!R57:R63)</f>
        <v>324</v>
      </c>
      <c r="S23" s="1505">
        <f>SUM('ACTIVOS-POS plan'!S57:S63)</f>
        <v>304</v>
      </c>
      <c r="T23" s="1505">
        <f>SUM('ACTIVOS-POS plan'!T57:T63)</f>
        <v>326</v>
      </c>
      <c r="U23" s="1505">
        <f>SUM('ACTIVOS-POS plan'!U57:U63)</f>
        <v>292</v>
      </c>
      <c r="V23" s="1505">
        <f>SUM('ACTIVOS-POS plan'!V57:V63)</f>
        <v>293</v>
      </c>
      <c r="W23" s="1505">
        <f>SUM('ACTIVOS-POS plan'!W57:W63)</f>
        <v>347</v>
      </c>
    </row>
    <row r="24" spans="2:23" ht="15.6" x14ac:dyDescent="0.25">
      <c r="B24" s="147"/>
      <c r="C24" s="1339" t="s">
        <v>317</v>
      </c>
      <c r="D24" s="1505">
        <v>260</v>
      </c>
      <c r="E24" s="1505">
        <v>250</v>
      </c>
      <c r="F24" s="1505">
        <v>248</v>
      </c>
      <c r="G24" s="1505">
        <v>241</v>
      </c>
      <c r="H24" s="1505">
        <v>235</v>
      </c>
      <c r="I24" s="1505">
        <v>207</v>
      </c>
      <c r="J24" s="1505">
        <v>197</v>
      </c>
      <c r="K24" s="1505">
        <v>234</v>
      </c>
      <c r="L24" s="1505">
        <v>246</v>
      </c>
      <c r="M24" s="1505">
        <v>175</v>
      </c>
      <c r="N24" s="1505">
        <f>SUM('ACTIVOS-POS plan'!N64:N71)</f>
        <v>283</v>
      </c>
      <c r="O24" s="1505">
        <f>SUM('ACTIVOS-POS plan'!O64:O71)</f>
        <v>296</v>
      </c>
      <c r="P24" s="1505">
        <f>SUM('ACTIVOS-POS plan'!P64:P71)</f>
        <v>288</v>
      </c>
      <c r="Q24" s="1505">
        <f>SUM('ACTIVOS-POS plan'!Q64:Q71)</f>
        <v>269</v>
      </c>
      <c r="R24" s="1505">
        <f>SUM('ACTIVOS-POS plan'!R64:R71)</f>
        <v>247</v>
      </c>
      <c r="S24" s="1505">
        <f>SUM('ACTIVOS-POS plan'!S64:S71)</f>
        <v>259</v>
      </c>
      <c r="T24" s="1505">
        <f>SUM('ACTIVOS-POS plan'!T64:T71)</f>
        <v>251</v>
      </c>
      <c r="U24" s="1505">
        <f>SUM('ACTIVOS-POS plan'!U64:U71)</f>
        <v>233</v>
      </c>
      <c r="V24" s="1505">
        <f>SUM('ACTIVOS-POS plan'!V64:V71)</f>
        <v>221</v>
      </c>
      <c r="W24" s="1505">
        <f>SUM('ACTIVOS-POS plan'!W64:W71)</f>
        <v>235</v>
      </c>
    </row>
    <row r="25" spans="2:23" ht="15.6" x14ac:dyDescent="0.25">
      <c r="B25" s="147"/>
      <c r="C25" s="1342" t="s">
        <v>425</v>
      </c>
      <c r="D25" s="1507">
        <v>343</v>
      </c>
      <c r="E25" s="1507">
        <v>349</v>
      </c>
      <c r="F25" s="1507">
        <v>401</v>
      </c>
      <c r="G25" s="1507">
        <v>420</v>
      </c>
      <c r="H25" s="1507">
        <v>432</v>
      </c>
      <c r="I25" s="1507">
        <v>426</v>
      </c>
      <c r="J25" s="1507">
        <f>SUM(J22:J24)</f>
        <v>441</v>
      </c>
      <c r="K25" s="1507">
        <f>SUM(K22:K24)</f>
        <v>454</v>
      </c>
      <c r="L25" s="1507">
        <f>SUM(L22:L24)</f>
        <v>497</v>
      </c>
      <c r="M25" s="1507">
        <f>SUM(M23:M24)</f>
        <v>520</v>
      </c>
      <c r="N25" s="1507">
        <f>SUM(N23:N24)</f>
        <v>556</v>
      </c>
      <c r="O25" s="1507">
        <f>SUM(O23:O24)</f>
        <v>566</v>
      </c>
      <c r="P25" s="1507">
        <f>SUM(P23:P24)</f>
        <v>568</v>
      </c>
      <c r="Q25" s="1507">
        <f t="shared" ref="Q25:V25" si="16">SUM(Q22:Q24)</f>
        <v>595</v>
      </c>
      <c r="R25" s="1507">
        <f t="shared" si="16"/>
        <v>575</v>
      </c>
      <c r="S25" s="1507">
        <f t="shared" si="16"/>
        <v>568</v>
      </c>
      <c r="T25" s="1507">
        <f t="shared" si="16"/>
        <v>580</v>
      </c>
      <c r="U25" s="1507">
        <f t="shared" si="16"/>
        <v>529</v>
      </c>
      <c r="V25" s="1507">
        <f t="shared" si="16"/>
        <v>520</v>
      </c>
      <c r="W25" s="1507">
        <f t="shared" ref="W25" si="17">SUM(W22:W24)</f>
        <v>590</v>
      </c>
    </row>
    <row r="26" spans="2:23" ht="15.6" x14ac:dyDescent="0.25">
      <c r="B26" s="147"/>
      <c r="C26" s="1334" t="s">
        <v>308</v>
      </c>
      <c r="D26" s="1503">
        <v>47</v>
      </c>
      <c r="E26" s="1503">
        <v>114</v>
      </c>
      <c r="F26" s="1503">
        <v>74</v>
      </c>
      <c r="G26" s="1504">
        <v>86</v>
      </c>
      <c r="H26" s="1503">
        <v>109</v>
      </c>
      <c r="I26" s="1503">
        <v>101</v>
      </c>
      <c r="J26" s="1503">
        <v>118</v>
      </c>
      <c r="K26" s="1503">
        <v>169</v>
      </c>
      <c r="L26" s="1503">
        <v>153</v>
      </c>
      <c r="M26" s="1503">
        <v>83</v>
      </c>
      <c r="N26" s="1503">
        <f>SUM('ACTIVOS-POS plan'!N73)</f>
        <v>36</v>
      </c>
      <c r="O26" s="1503">
        <f>SUM('ACTIVOS-POS plan'!O73)</f>
        <v>44</v>
      </c>
      <c r="P26" s="1503">
        <f>SUM('ACTIVOS-POS plan'!P73)</f>
        <v>59</v>
      </c>
      <c r="Q26" s="1503">
        <f>SUM('ACTIVOS-POS plan'!Q73)</f>
        <v>34</v>
      </c>
      <c r="R26" s="1503">
        <f>SUM('ACTIVOS-POS plan'!R73)</f>
        <v>61</v>
      </c>
      <c r="S26" s="1503">
        <f>SUM('ACTIVOS-POS plan'!S73)</f>
        <v>110</v>
      </c>
      <c r="T26" s="1503">
        <f>SUM('ACTIVOS-POS plan'!T73)</f>
        <v>64</v>
      </c>
      <c r="U26" s="1503">
        <f>SUM('ACTIVOS-POS plan'!U73)</f>
        <v>83</v>
      </c>
      <c r="V26" s="1503">
        <f>SUM('ACTIVOS-POS plan'!V73)</f>
        <v>56</v>
      </c>
      <c r="W26" s="1503">
        <f>SUM('ACTIVOS-POS plan'!W73)</f>
        <v>54</v>
      </c>
    </row>
    <row r="27" spans="2:23" ht="15.6" x14ac:dyDescent="0.25">
      <c r="B27" s="147"/>
      <c r="C27" s="1336" t="s">
        <v>310</v>
      </c>
      <c r="D27" s="1505">
        <v>137</v>
      </c>
      <c r="E27" s="1505">
        <v>125</v>
      </c>
      <c r="F27" s="1505">
        <v>162</v>
      </c>
      <c r="G27" s="1505">
        <v>156</v>
      </c>
      <c r="H27" s="1505">
        <v>189</v>
      </c>
      <c r="I27" s="1505">
        <v>301</v>
      </c>
      <c r="J27" s="1505">
        <v>283</v>
      </c>
      <c r="K27" s="1505">
        <v>322</v>
      </c>
      <c r="L27" s="1505">
        <v>274</v>
      </c>
      <c r="M27" s="1505">
        <v>269</v>
      </c>
      <c r="N27" s="1505">
        <f>SUM('ACTIVOS-POS plan'!N74:N80)</f>
        <v>208</v>
      </c>
      <c r="O27" s="1505">
        <f>SUM('ACTIVOS-POS plan'!O74:O80)</f>
        <v>238</v>
      </c>
      <c r="P27" s="1505">
        <f>SUM('ACTIVOS-POS plan'!P74:P80)</f>
        <v>191</v>
      </c>
      <c r="Q27" s="1505">
        <f>SUM('ACTIVOS-POS plan'!Q74:Q80)</f>
        <v>214</v>
      </c>
      <c r="R27" s="1505">
        <f>SUM('ACTIVOS-POS plan'!R74:R82)</f>
        <v>189</v>
      </c>
      <c r="S27" s="1505">
        <f>SUM('ACTIVOS-POS plan'!S74:S82)</f>
        <v>170</v>
      </c>
      <c r="T27" s="1505">
        <f>SUM('ACTIVOS-POS plan'!T74:T82)</f>
        <v>192</v>
      </c>
      <c r="U27" s="1505">
        <f>SUM('ACTIVOS-POS plan'!U74:U82)</f>
        <v>151</v>
      </c>
      <c r="V27" s="1505">
        <f>SUM('ACTIVOS-POS plan'!V74:V82)</f>
        <v>174</v>
      </c>
      <c r="W27" s="1505">
        <f>SUM('ACTIVOS-POS plan'!W74:W82)</f>
        <v>251</v>
      </c>
    </row>
    <row r="28" spans="2:23" ht="15.6" x14ac:dyDescent="0.25">
      <c r="B28" s="147"/>
      <c r="C28" s="1339" t="s">
        <v>317</v>
      </c>
      <c r="D28" s="1505">
        <v>262</v>
      </c>
      <c r="E28" s="1505">
        <v>279</v>
      </c>
      <c r="F28" s="1505">
        <v>248</v>
      </c>
      <c r="G28" s="1505">
        <v>224</v>
      </c>
      <c r="H28" s="1505">
        <v>212</v>
      </c>
      <c r="I28" s="1505">
        <v>247</v>
      </c>
      <c r="J28" s="1505">
        <v>284</v>
      </c>
      <c r="K28" s="1505">
        <v>375</v>
      </c>
      <c r="L28" s="1505">
        <v>398</v>
      </c>
      <c r="M28" s="1505">
        <v>417</v>
      </c>
      <c r="N28" s="1505">
        <f>SUM('ACTIVOS-POS plan'!N83:N87)</f>
        <v>405</v>
      </c>
      <c r="O28" s="1505">
        <f>SUM('ACTIVOS-POS plan'!O83:O87)</f>
        <v>432</v>
      </c>
      <c r="P28" s="1505">
        <f>SUM('ACTIVOS-POS plan'!P83:P87)</f>
        <v>390</v>
      </c>
      <c r="Q28" s="1505">
        <f>SUM('ACTIVOS-POS plan'!Q83:Q87)</f>
        <v>426</v>
      </c>
      <c r="R28" s="1505">
        <f>SUM('ACTIVOS-POS plan'!R83:R89)</f>
        <v>361</v>
      </c>
      <c r="S28" s="1505">
        <f>SUM('ACTIVOS-POS plan'!S83:S89)</f>
        <v>343</v>
      </c>
      <c r="T28" s="1505">
        <f>SUM('ACTIVOS-POS plan'!T83:T89)</f>
        <v>357</v>
      </c>
      <c r="U28" s="1505">
        <f>SUM('ACTIVOS-POS plan'!U83:U89)</f>
        <v>356</v>
      </c>
      <c r="V28" s="1505">
        <f>SUM('ACTIVOS-POS plan'!V83:V89)</f>
        <v>343</v>
      </c>
      <c r="W28" s="1505">
        <f>SUM('ACTIVOS-POS plan'!W83:W89)</f>
        <v>426</v>
      </c>
    </row>
    <row r="29" spans="2:23" ht="15.6" x14ac:dyDescent="0.25">
      <c r="B29" s="147"/>
      <c r="C29" s="1342" t="s">
        <v>426</v>
      </c>
      <c r="D29" s="1507">
        <v>446</v>
      </c>
      <c r="E29" s="1507">
        <v>518</v>
      </c>
      <c r="F29" s="1507">
        <v>484</v>
      </c>
      <c r="G29" s="1507">
        <v>466</v>
      </c>
      <c r="H29" s="1507">
        <v>510</v>
      </c>
      <c r="I29" s="1507">
        <v>649</v>
      </c>
      <c r="J29" s="1507">
        <f t="shared" ref="J29:O29" si="18">SUM(J26:J28)</f>
        <v>685</v>
      </c>
      <c r="K29" s="1507">
        <f t="shared" si="18"/>
        <v>866</v>
      </c>
      <c r="L29" s="1507">
        <f t="shared" si="18"/>
        <v>825</v>
      </c>
      <c r="M29" s="1507">
        <f t="shared" si="18"/>
        <v>769</v>
      </c>
      <c r="N29" s="1507">
        <f t="shared" si="18"/>
        <v>649</v>
      </c>
      <c r="O29" s="1507">
        <f t="shared" si="18"/>
        <v>714</v>
      </c>
      <c r="P29" s="1507">
        <f t="shared" ref="P29:U29" si="19">SUM(P26:P28)</f>
        <v>640</v>
      </c>
      <c r="Q29" s="1507">
        <f t="shared" si="19"/>
        <v>674</v>
      </c>
      <c r="R29" s="1507">
        <f t="shared" si="19"/>
        <v>611</v>
      </c>
      <c r="S29" s="1507">
        <f t="shared" si="19"/>
        <v>623</v>
      </c>
      <c r="T29" s="1507">
        <f t="shared" si="19"/>
        <v>613</v>
      </c>
      <c r="U29" s="1507">
        <f t="shared" si="19"/>
        <v>590</v>
      </c>
      <c r="V29" s="1507">
        <f t="shared" ref="V29:W29" si="20">SUM(V26:V28)</f>
        <v>573</v>
      </c>
      <c r="W29" s="1507">
        <f t="shared" si="20"/>
        <v>731</v>
      </c>
    </row>
    <row r="30" spans="2:23" ht="15.6" x14ac:dyDescent="0.25">
      <c r="B30" s="147"/>
      <c r="C30" s="1334" t="s">
        <v>308</v>
      </c>
      <c r="D30" s="1503">
        <v>53</v>
      </c>
      <c r="E30" s="1503">
        <v>50</v>
      </c>
      <c r="F30" s="1503">
        <v>51</v>
      </c>
      <c r="G30" s="1504">
        <v>54</v>
      </c>
      <c r="H30" s="1503">
        <v>67</v>
      </c>
      <c r="I30" s="1503">
        <v>61</v>
      </c>
      <c r="J30" s="1503">
        <v>63</v>
      </c>
      <c r="K30" s="1503">
        <v>63</v>
      </c>
      <c r="L30" s="1503">
        <v>66</v>
      </c>
      <c r="M30" s="1503">
        <v>65</v>
      </c>
      <c r="N30" s="1503">
        <f>SUM('ACTIVOS-POS plan'!N91:N92)</f>
        <v>63</v>
      </c>
      <c r="O30" s="1503">
        <f>SUM('ACTIVOS-POS plan'!O91:O92)</f>
        <v>55</v>
      </c>
      <c r="P30" s="1503">
        <f>SUM('ACTIVOS-POS plan'!P91:P92)</f>
        <v>51</v>
      </c>
      <c r="Q30" s="1503">
        <f>SUM('ACTIVOS-POS plan'!Q91:Q93)</f>
        <v>43</v>
      </c>
      <c r="R30" s="1503">
        <f>SUM('ACTIVOS-POS plan'!R91:R93)</f>
        <v>37</v>
      </c>
      <c r="S30" s="1503">
        <f>SUM('ACTIVOS-POS plan'!S91:S93)</f>
        <v>30</v>
      </c>
      <c r="T30" s="1503">
        <f>SUM('ACTIVOS-POS plan'!T91:T93)</f>
        <v>24</v>
      </c>
      <c r="U30" s="1503">
        <f>SUM('ACTIVOS-POS plan'!U91:U93)</f>
        <v>21</v>
      </c>
      <c r="V30" s="1503">
        <f>SUM('ACTIVOS-POS plan'!V91:V93)</f>
        <v>17</v>
      </c>
      <c r="W30" s="1503">
        <f>SUM('ACTIVOS-POS plan'!W91:W93)</f>
        <v>12</v>
      </c>
    </row>
    <row r="31" spans="2:23" ht="15.6" x14ac:dyDescent="0.25">
      <c r="B31" s="147"/>
      <c r="C31" s="1336" t="s">
        <v>310</v>
      </c>
      <c r="D31" s="1505">
        <v>133</v>
      </c>
      <c r="E31" s="1505">
        <v>118</v>
      </c>
      <c r="F31" s="1505">
        <v>102</v>
      </c>
      <c r="G31" s="1505">
        <v>103</v>
      </c>
      <c r="H31" s="1505">
        <v>137</v>
      </c>
      <c r="I31" s="1505">
        <v>158</v>
      </c>
      <c r="J31" s="1505">
        <v>195</v>
      </c>
      <c r="K31" s="1505">
        <v>181</v>
      </c>
      <c r="L31" s="1505">
        <v>198</v>
      </c>
      <c r="M31" s="1505">
        <v>209</v>
      </c>
      <c r="N31" s="1505">
        <f>SUM('ACTIVOS-POS plan'!N94:N97)</f>
        <v>233</v>
      </c>
      <c r="O31" s="1505">
        <f>SUM('ACTIVOS-POS plan'!O94:O97)</f>
        <v>249</v>
      </c>
      <c r="P31" s="1505">
        <f>SUM('ACTIVOS-POS plan'!P94:P97)</f>
        <v>241</v>
      </c>
      <c r="Q31" s="1505">
        <f>SUM('ACTIVOS-POS plan'!Q94:Q97)</f>
        <v>225</v>
      </c>
      <c r="R31" s="1505">
        <f>SUM('ACTIVOS-POS plan'!R94:R97)</f>
        <v>194</v>
      </c>
      <c r="S31" s="1505">
        <f>SUM('ACTIVOS-POS plan'!S94:S97)</f>
        <v>193</v>
      </c>
      <c r="T31" s="1505">
        <f>SUM('ACTIVOS-POS plan'!T94:T97)</f>
        <v>171</v>
      </c>
      <c r="U31" s="1505">
        <f>SUM('ACTIVOS-POS plan'!U94:U97)</f>
        <v>158</v>
      </c>
      <c r="V31" s="1505">
        <f>SUM('ACTIVOS-POS plan'!V94:V97)</f>
        <v>127</v>
      </c>
      <c r="W31" s="1505">
        <f>SUM('ACTIVOS-POS plan'!W94:W97)</f>
        <v>155</v>
      </c>
    </row>
    <row r="32" spans="2:23" ht="15.6" x14ac:dyDescent="0.25">
      <c r="B32" s="147"/>
      <c r="C32" s="1339" t="s">
        <v>317</v>
      </c>
      <c r="D32" s="1505">
        <v>167</v>
      </c>
      <c r="E32" s="1505">
        <v>174</v>
      </c>
      <c r="F32" s="1505">
        <v>175</v>
      </c>
      <c r="G32" s="1505">
        <v>167</v>
      </c>
      <c r="H32" s="1505">
        <v>168</v>
      </c>
      <c r="I32" s="1505">
        <v>165</v>
      </c>
      <c r="J32" s="1505">
        <v>179</v>
      </c>
      <c r="K32" s="1505">
        <v>217</v>
      </c>
      <c r="L32" s="1505">
        <v>235</v>
      </c>
      <c r="M32" s="1505">
        <v>263</v>
      </c>
      <c r="N32" s="1505">
        <f>SUM('ACTIVOS-POS plan'!N98:N100)</f>
        <v>272</v>
      </c>
      <c r="O32" s="1505">
        <f>SUM('ACTIVOS-POS plan'!O98:O100)</f>
        <v>291</v>
      </c>
      <c r="P32" s="1505">
        <f>SUM('ACTIVOS-POS plan'!P98:P100)</f>
        <v>302</v>
      </c>
      <c r="Q32" s="1505">
        <f>SUM('ACTIVOS-POS plan'!Q98:Q100)</f>
        <v>296</v>
      </c>
      <c r="R32" s="1505">
        <f>SUM('ACTIVOS-POS plan'!R98:R100)</f>
        <v>300</v>
      </c>
      <c r="S32" s="1505">
        <f>SUM('ACTIVOS-POS plan'!S98:S100)</f>
        <v>296</v>
      </c>
      <c r="T32" s="1505">
        <f>SUM('ACTIVOS-POS plan'!T98:T100)</f>
        <v>305</v>
      </c>
      <c r="U32" s="1505">
        <f>SUM('ACTIVOS-POS plan'!U98:U100)</f>
        <v>276</v>
      </c>
      <c r="V32" s="1505">
        <f>SUM('ACTIVOS-POS plan'!V98:V100)</f>
        <v>238</v>
      </c>
      <c r="W32" s="1505">
        <f>SUM('ACTIVOS-POS plan'!W98:W100)</f>
        <v>236</v>
      </c>
    </row>
    <row r="33" spans="2:23" ht="15.6" x14ac:dyDescent="0.25">
      <c r="B33" s="147"/>
      <c r="C33" s="1342" t="s">
        <v>430</v>
      </c>
      <c r="D33" s="1507">
        <v>353</v>
      </c>
      <c r="E33" s="1507">
        <v>342</v>
      </c>
      <c r="F33" s="1507">
        <v>328</v>
      </c>
      <c r="G33" s="1507">
        <v>324</v>
      </c>
      <c r="H33" s="1507">
        <v>372</v>
      </c>
      <c r="I33" s="1507">
        <v>384</v>
      </c>
      <c r="J33" s="1507">
        <f t="shared" ref="J33:O33" si="21">SUM(J30:J32)</f>
        <v>437</v>
      </c>
      <c r="K33" s="1507">
        <f t="shared" si="21"/>
        <v>461</v>
      </c>
      <c r="L33" s="1507">
        <f t="shared" si="21"/>
        <v>499</v>
      </c>
      <c r="M33" s="1507">
        <f t="shared" si="21"/>
        <v>537</v>
      </c>
      <c r="N33" s="1507">
        <f t="shared" si="21"/>
        <v>568</v>
      </c>
      <c r="O33" s="1507">
        <f t="shared" si="21"/>
        <v>595</v>
      </c>
      <c r="P33" s="1507">
        <f t="shared" ref="P33:U33" si="22">SUM(P30:P32)</f>
        <v>594</v>
      </c>
      <c r="Q33" s="1507">
        <f t="shared" si="22"/>
        <v>564</v>
      </c>
      <c r="R33" s="1507">
        <f t="shared" si="22"/>
        <v>531</v>
      </c>
      <c r="S33" s="1507">
        <f t="shared" si="22"/>
        <v>519</v>
      </c>
      <c r="T33" s="1507">
        <f t="shared" si="22"/>
        <v>500</v>
      </c>
      <c r="U33" s="1507">
        <f t="shared" si="22"/>
        <v>455</v>
      </c>
      <c r="V33" s="1507">
        <f t="shared" ref="V33:W33" si="23">SUM(V30:V32)</f>
        <v>382</v>
      </c>
      <c r="W33" s="1507">
        <f t="shared" si="23"/>
        <v>403</v>
      </c>
    </row>
    <row r="34" spans="2:23" ht="15" customHeight="1" x14ac:dyDescent="0.25">
      <c r="B34" s="147"/>
      <c r="C34" s="1334" t="s">
        <v>308</v>
      </c>
      <c r="D34" s="1503">
        <f t="shared" ref="D34:M36" si="24">D22+D26+D30</f>
        <v>100</v>
      </c>
      <c r="E34" s="1503">
        <f t="shared" si="24"/>
        <v>164</v>
      </c>
      <c r="F34" s="1503">
        <f t="shared" si="24"/>
        <v>125</v>
      </c>
      <c r="G34" s="1504">
        <f t="shared" si="24"/>
        <v>140</v>
      </c>
      <c r="H34" s="1503">
        <f t="shared" si="24"/>
        <v>176</v>
      </c>
      <c r="I34" s="1503">
        <f t="shared" si="24"/>
        <v>162</v>
      </c>
      <c r="J34" s="1503">
        <f t="shared" si="24"/>
        <v>181</v>
      </c>
      <c r="K34" s="1503">
        <f t="shared" si="24"/>
        <v>232</v>
      </c>
      <c r="L34" s="1503">
        <f t="shared" si="24"/>
        <v>219</v>
      </c>
      <c r="M34" s="1503">
        <f t="shared" si="24"/>
        <v>148</v>
      </c>
      <c r="N34" s="1503">
        <f t="shared" ref="N34:U36" si="25">SUM(N22,N26,N30)</f>
        <v>99</v>
      </c>
      <c r="O34" s="1503">
        <f t="shared" si="25"/>
        <v>99</v>
      </c>
      <c r="P34" s="1503">
        <f t="shared" si="25"/>
        <v>110</v>
      </c>
      <c r="Q34" s="1503">
        <f t="shared" si="25"/>
        <v>79</v>
      </c>
      <c r="R34" s="1503">
        <f t="shared" si="25"/>
        <v>102</v>
      </c>
      <c r="S34" s="1503">
        <f t="shared" si="25"/>
        <v>145</v>
      </c>
      <c r="T34" s="1503">
        <f t="shared" si="25"/>
        <v>91</v>
      </c>
      <c r="U34" s="1503">
        <f t="shared" si="25"/>
        <v>108</v>
      </c>
      <c r="V34" s="1503">
        <f t="shared" ref="V34:W34" si="26">SUM(V22,V26,V30)</f>
        <v>79</v>
      </c>
      <c r="W34" s="1503">
        <f t="shared" si="26"/>
        <v>74</v>
      </c>
    </row>
    <row r="35" spans="2:23" ht="15.6" x14ac:dyDescent="0.25">
      <c r="B35" s="147"/>
      <c r="C35" s="1336" t="s">
        <v>310</v>
      </c>
      <c r="D35" s="1505">
        <f t="shared" si="24"/>
        <v>353</v>
      </c>
      <c r="E35" s="1505">
        <f t="shared" si="24"/>
        <v>342</v>
      </c>
      <c r="F35" s="1505">
        <f t="shared" si="24"/>
        <v>417</v>
      </c>
      <c r="G35" s="1505">
        <f t="shared" si="24"/>
        <v>438</v>
      </c>
      <c r="H35" s="1505">
        <f t="shared" si="24"/>
        <v>523</v>
      </c>
      <c r="I35" s="1505">
        <f t="shared" si="24"/>
        <v>678</v>
      </c>
      <c r="J35" s="1505">
        <f t="shared" si="24"/>
        <v>722</v>
      </c>
      <c r="K35" s="1505">
        <f t="shared" si="24"/>
        <v>723</v>
      </c>
      <c r="L35" s="1505">
        <f t="shared" si="24"/>
        <v>723</v>
      </c>
      <c r="M35" s="1505">
        <f t="shared" si="24"/>
        <v>823</v>
      </c>
      <c r="N35" s="1505">
        <f t="shared" si="25"/>
        <v>714</v>
      </c>
      <c r="O35" s="1505">
        <f t="shared" si="25"/>
        <v>757</v>
      </c>
      <c r="P35" s="1505">
        <f t="shared" si="25"/>
        <v>712</v>
      </c>
      <c r="Q35" s="1505">
        <f t="shared" si="25"/>
        <v>763</v>
      </c>
      <c r="R35" s="1505">
        <f t="shared" si="25"/>
        <v>707</v>
      </c>
      <c r="S35" s="1505">
        <f t="shared" si="25"/>
        <v>667</v>
      </c>
      <c r="T35" s="1505">
        <f t="shared" si="25"/>
        <v>689</v>
      </c>
      <c r="U35" s="1505">
        <f t="shared" si="25"/>
        <v>601</v>
      </c>
      <c r="V35" s="1505">
        <f t="shared" ref="V35:W35" si="27">SUM(V23,V27,V31)</f>
        <v>594</v>
      </c>
      <c r="W35" s="1505">
        <f t="shared" si="27"/>
        <v>753</v>
      </c>
    </row>
    <row r="36" spans="2:23" ht="15.6" x14ac:dyDescent="0.25">
      <c r="B36" s="147"/>
      <c r="C36" s="1339" t="s">
        <v>317</v>
      </c>
      <c r="D36" s="1505">
        <f t="shared" si="24"/>
        <v>689</v>
      </c>
      <c r="E36" s="1505">
        <f t="shared" si="24"/>
        <v>703</v>
      </c>
      <c r="F36" s="1505">
        <f t="shared" si="24"/>
        <v>671</v>
      </c>
      <c r="G36" s="1505">
        <f t="shared" si="24"/>
        <v>632</v>
      </c>
      <c r="H36" s="1505">
        <f t="shared" si="24"/>
        <v>615</v>
      </c>
      <c r="I36" s="1505">
        <f t="shared" si="24"/>
        <v>619</v>
      </c>
      <c r="J36" s="1505">
        <f t="shared" si="24"/>
        <v>660</v>
      </c>
      <c r="K36" s="1505">
        <f t="shared" si="24"/>
        <v>826</v>
      </c>
      <c r="L36" s="1505">
        <f t="shared" si="24"/>
        <v>879</v>
      </c>
      <c r="M36" s="1505">
        <f t="shared" si="24"/>
        <v>855</v>
      </c>
      <c r="N36" s="1505">
        <f t="shared" si="25"/>
        <v>960</v>
      </c>
      <c r="O36" s="1505">
        <f t="shared" si="25"/>
        <v>1019</v>
      </c>
      <c r="P36" s="1505">
        <f t="shared" si="25"/>
        <v>980</v>
      </c>
      <c r="Q36" s="1505">
        <f t="shared" si="25"/>
        <v>991</v>
      </c>
      <c r="R36" s="1505">
        <f t="shared" si="25"/>
        <v>908</v>
      </c>
      <c r="S36" s="1505">
        <f t="shared" si="25"/>
        <v>898</v>
      </c>
      <c r="T36" s="1505">
        <f t="shared" si="25"/>
        <v>913</v>
      </c>
      <c r="U36" s="1505">
        <f t="shared" si="25"/>
        <v>865</v>
      </c>
      <c r="V36" s="1505">
        <f t="shared" ref="V36:W36" si="28">SUM(V24,V28,V32)</f>
        <v>802</v>
      </c>
      <c r="W36" s="1505">
        <f t="shared" si="28"/>
        <v>897</v>
      </c>
    </row>
    <row r="37" spans="2:23" ht="15.6" x14ac:dyDescent="0.25">
      <c r="B37" s="147"/>
      <c r="C37" s="1359" t="s">
        <v>388</v>
      </c>
      <c r="D37" s="1509">
        <f t="shared" ref="D37:I37" si="29">SUM(D34:D36)</f>
        <v>1142</v>
      </c>
      <c r="E37" s="1509">
        <f t="shared" si="29"/>
        <v>1209</v>
      </c>
      <c r="F37" s="1509">
        <f t="shared" si="29"/>
        <v>1213</v>
      </c>
      <c r="G37" s="1509">
        <f t="shared" si="29"/>
        <v>1210</v>
      </c>
      <c r="H37" s="1509">
        <f t="shared" si="29"/>
        <v>1314</v>
      </c>
      <c r="I37" s="1509">
        <f t="shared" si="29"/>
        <v>1459</v>
      </c>
      <c r="J37" s="1509">
        <f>J25+J29+J33</f>
        <v>1563</v>
      </c>
      <c r="K37" s="1509">
        <f>K25+K29+K33</f>
        <v>1781</v>
      </c>
      <c r="L37" s="1509">
        <f>L25+L29+L33</f>
        <v>1821</v>
      </c>
      <c r="M37" s="1509">
        <f t="shared" ref="M37:R37" si="30">SUM(M34:M36)</f>
        <v>1826</v>
      </c>
      <c r="N37" s="1509">
        <f t="shared" si="30"/>
        <v>1773</v>
      </c>
      <c r="O37" s="1509">
        <f t="shared" si="30"/>
        <v>1875</v>
      </c>
      <c r="P37" s="1509">
        <f t="shared" si="30"/>
        <v>1802</v>
      </c>
      <c r="Q37" s="1509">
        <f t="shared" si="30"/>
        <v>1833</v>
      </c>
      <c r="R37" s="1509">
        <f t="shared" si="30"/>
        <v>1717</v>
      </c>
      <c r="S37" s="1509">
        <f>SUM(S34:S36)</f>
        <v>1710</v>
      </c>
      <c r="T37" s="1509">
        <f>SUM(T34:T36)</f>
        <v>1693</v>
      </c>
      <c r="U37" s="1509">
        <f>SUM(U34:U36)</f>
        <v>1574</v>
      </c>
      <c r="V37" s="1509">
        <f>SUM(V34:V36)</f>
        <v>1475</v>
      </c>
      <c r="W37" s="1509">
        <f>SUM(W34:W36)</f>
        <v>1724</v>
      </c>
    </row>
    <row r="38" spans="2:23" ht="15.6" x14ac:dyDescent="0.25">
      <c r="B38" s="147"/>
      <c r="C38" s="1353"/>
      <c r="D38" s="342"/>
      <c r="E38" s="342"/>
      <c r="F38" s="342"/>
      <c r="G38" s="342"/>
      <c r="H38" s="342"/>
      <c r="I38" s="342"/>
      <c r="J38" s="342"/>
      <c r="K38" s="342"/>
      <c r="L38" s="342"/>
      <c r="M38" s="342"/>
      <c r="N38" s="342"/>
      <c r="O38" s="342"/>
      <c r="P38" s="342"/>
      <c r="Q38" s="342"/>
      <c r="R38" s="342"/>
      <c r="S38" s="342"/>
      <c r="T38" s="342"/>
      <c r="U38" s="342"/>
      <c r="V38" s="342"/>
      <c r="W38" s="342"/>
    </row>
    <row r="39" spans="2:23" ht="15.6" x14ac:dyDescent="0.25">
      <c r="B39" s="147"/>
      <c r="C39" s="1334" t="s">
        <v>308</v>
      </c>
      <c r="D39" s="1503">
        <v>24</v>
      </c>
      <c r="E39" s="1503">
        <v>6</v>
      </c>
      <c r="F39" s="1503">
        <v>4</v>
      </c>
      <c r="G39" s="1504">
        <v>5</v>
      </c>
      <c r="H39" s="1503">
        <v>21</v>
      </c>
      <c r="I39" s="1503">
        <v>25</v>
      </c>
      <c r="J39" s="1503">
        <v>22</v>
      </c>
      <c r="K39" s="1503">
        <v>19</v>
      </c>
      <c r="L39" s="1503">
        <v>36</v>
      </c>
      <c r="M39" s="1503">
        <v>39</v>
      </c>
      <c r="N39" s="1503">
        <f>SUM('ACTIVOS-POS plan'!N103:N105)</f>
        <v>34</v>
      </c>
      <c r="O39" s="1503">
        <f>SUM('ACTIVOS-POS plan'!O103:O105)</f>
        <v>2</v>
      </c>
      <c r="P39" s="1503">
        <f>SUM('ACTIVOS-POS plan'!P103:P105)</f>
        <v>0</v>
      </c>
      <c r="Q39" s="1503">
        <f>SUM('ACTIVOS-POS plan'!Q103:Q105)</f>
        <v>0</v>
      </c>
      <c r="R39" s="1503">
        <f>SUM('ACTIVOS-POS plan'!R103:R105)</f>
        <v>30</v>
      </c>
      <c r="S39" s="1503">
        <f>SUM('ACTIVOS-POS plan'!S103:S105)</f>
        <v>4</v>
      </c>
      <c r="T39" s="1503">
        <f>SUM('ACTIVOS-POS plan'!T103:T105)</f>
        <v>4</v>
      </c>
      <c r="U39" s="1503">
        <f>SUM('ACTIVOS-POS plan'!U103:U105)</f>
        <v>0</v>
      </c>
      <c r="V39" s="1503">
        <f>SUM('ACTIVOS-POS plan'!V103:V105)</f>
        <v>7</v>
      </c>
      <c r="W39" s="1503">
        <f>SUM('ACTIVOS-POS plan'!W103:W105)</f>
        <v>21</v>
      </c>
    </row>
    <row r="40" spans="2:23" ht="15.6" x14ac:dyDescent="0.25">
      <c r="B40" s="147"/>
      <c r="C40" s="1336" t="s">
        <v>310</v>
      </c>
      <c r="D40" s="1505">
        <v>188</v>
      </c>
      <c r="E40" s="1505">
        <v>275</v>
      </c>
      <c r="F40" s="1505">
        <v>192</v>
      </c>
      <c r="G40" s="1505">
        <v>267</v>
      </c>
      <c r="H40" s="1505">
        <v>200</v>
      </c>
      <c r="I40" s="1505">
        <v>271</v>
      </c>
      <c r="J40" s="1505">
        <v>244</v>
      </c>
      <c r="K40" s="1505">
        <v>297</v>
      </c>
      <c r="L40" s="1505">
        <v>182</v>
      </c>
      <c r="M40" s="1505">
        <v>285</v>
      </c>
      <c r="N40" s="1505">
        <f>SUM('ACTIVOS-POS plan'!N106:N114)</f>
        <v>213</v>
      </c>
      <c r="O40" s="1505">
        <f>SUM('ACTIVOS-POS plan'!O106:O114)</f>
        <v>304</v>
      </c>
      <c r="P40" s="1505">
        <f>SUM('ACTIVOS-POS plan'!P106:P114)</f>
        <v>222</v>
      </c>
      <c r="Q40" s="1505">
        <f>SUM('ACTIVOS-POS plan'!Q106:Q114)</f>
        <v>314</v>
      </c>
      <c r="R40" s="1505">
        <f>SUM('ACTIVOS-POS plan'!R106:R116)</f>
        <v>207</v>
      </c>
      <c r="S40" s="1505">
        <f>SUM('ACTIVOS-POS plan'!S106:S116)</f>
        <v>338</v>
      </c>
      <c r="T40" s="1505">
        <f>SUM('ACTIVOS-POS plan'!T106:T116)</f>
        <v>235</v>
      </c>
      <c r="U40" s="1505">
        <f>SUM('ACTIVOS-POS plan'!U106:U116)</f>
        <v>310</v>
      </c>
      <c r="V40" s="1505">
        <f>SUM('ACTIVOS-POS plan'!V106:V116)</f>
        <v>210</v>
      </c>
      <c r="W40" s="1505">
        <f>SUM('ACTIVOS-POS plan'!W106:W116)</f>
        <v>293</v>
      </c>
    </row>
    <row r="41" spans="2:23" ht="15.6" x14ac:dyDescent="0.25">
      <c r="B41" s="147"/>
      <c r="C41" s="1339" t="s">
        <v>317</v>
      </c>
      <c r="D41" s="1505">
        <v>142</v>
      </c>
      <c r="E41" s="1505">
        <v>100</v>
      </c>
      <c r="F41" s="1505">
        <v>136</v>
      </c>
      <c r="G41" s="1505">
        <v>118</v>
      </c>
      <c r="H41" s="1505">
        <v>187</v>
      </c>
      <c r="I41" s="1505">
        <v>156</v>
      </c>
      <c r="J41" s="1505">
        <v>202</v>
      </c>
      <c r="K41" s="1505">
        <v>171</v>
      </c>
      <c r="L41" s="1505">
        <v>211</v>
      </c>
      <c r="M41" s="1505">
        <v>143</v>
      </c>
      <c r="N41" s="1505">
        <f>SUM('ACTIVOS-POS plan'!N117:N119)</f>
        <v>178</v>
      </c>
      <c r="O41" s="1505">
        <f>SUM('ACTIVOS-POS plan'!O117:O119)</f>
        <v>148</v>
      </c>
      <c r="P41" s="1505">
        <f>SUM('ACTIVOS-POS plan'!P117:P119)</f>
        <v>183</v>
      </c>
      <c r="Q41" s="1505">
        <f>SUM('ACTIVOS-POS plan'!Q117:Q119)</f>
        <v>154</v>
      </c>
      <c r="R41" s="1505">
        <f>SUM('ACTIVOS-POS plan'!R117:R121)</f>
        <v>217</v>
      </c>
      <c r="S41" s="1505">
        <f>SUM('ACTIVOS-POS plan'!S117:S122)</f>
        <v>248</v>
      </c>
      <c r="T41" s="1505">
        <f>SUM('ACTIVOS-POS plan'!T117:T122)</f>
        <v>288</v>
      </c>
      <c r="U41" s="1505">
        <f>SUM('ACTIVOS-POS plan'!U117:U122)</f>
        <v>257</v>
      </c>
      <c r="V41" s="1505">
        <f>SUM('ACTIVOS-POS plan'!V117:V122)</f>
        <v>317</v>
      </c>
      <c r="W41" s="1505">
        <f>SUM('ACTIVOS-POS plan'!W117:W122)</f>
        <v>232</v>
      </c>
    </row>
    <row r="42" spans="2:23" ht="15.6" x14ac:dyDescent="0.25">
      <c r="B42" s="147"/>
      <c r="C42" s="1342" t="s">
        <v>426</v>
      </c>
      <c r="D42" s="1507">
        <v>354</v>
      </c>
      <c r="E42" s="1507">
        <v>381</v>
      </c>
      <c r="F42" s="1507">
        <v>332</v>
      </c>
      <c r="G42" s="1507">
        <v>390</v>
      </c>
      <c r="H42" s="1507">
        <v>408</v>
      </c>
      <c r="I42" s="1507">
        <v>452</v>
      </c>
      <c r="J42" s="1507">
        <f t="shared" ref="J42:O42" si="31">SUM(J39:J41)</f>
        <v>468</v>
      </c>
      <c r="K42" s="1507">
        <f t="shared" si="31"/>
        <v>487</v>
      </c>
      <c r="L42" s="1507">
        <f t="shared" si="31"/>
        <v>429</v>
      </c>
      <c r="M42" s="1507">
        <f t="shared" si="31"/>
        <v>467</v>
      </c>
      <c r="N42" s="1507">
        <f t="shared" si="31"/>
        <v>425</v>
      </c>
      <c r="O42" s="1507">
        <f t="shared" si="31"/>
        <v>454</v>
      </c>
      <c r="P42" s="1507">
        <f t="shared" ref="P42:U42" si="32">SUM(P39:P41)</f>
        <v>405</v>
      </c>
      <c r="Q42" s="1507">
        <f t="shared" si="32"/>
        <v>468</v>
      </c>
      <c r="R42" s="1507">
        <f t="shared" si="32"/>
        <v>454</v>
      </c>
      <c r="S42" s="1507">
        <f t="shared" si="32"/>
        <v>590</v>
      </c>
      <c r="T42" s="1507">
        <f t="shared" si="32"/>
        <v>527</v>
      </c>
      <c r="U42" s="1507">
        <f t="shared" si="32"/>
        <v>567</v>
      </c>
      <c r="V42" s="1507">
        <f t="shared" ref="V42:W42" si="33">SUM(V39:V41)</f>
        <v>534</v>
      </c>
      <c r="W42" s="1507">
        <f t="shared" si="33"/>
        <v>546</v>
      </c>
    </row>
    <row r="43" spans="2:23" ht="15.6" x14ac:dyDescent="0.25">
      <c r="B43" s="147"/>
      <c r="C43" s="1334" t="s">
        <v>308</v>
      </c>
      <c r="D43" s="1503">
        <v>12</v>
      </c>
      <c r="E43" s="1503">
        <v>11</v>
      </c>
      <c r="F43" s="1503">
        <v>0</v>
      </c>
      <c r="G43" s="1504">
        <v>13</v>
      </c>
      <c r="H43" s="1503">
        <v>8</v>
      </c>
      <c r="I43" s="1503">
        <v>12</v>
      </c>
      <c r="J43" s="1503">
        <v>11</v>
      </c>
      <c r="K43" s="1503"/>
      <c r="L43" s="1503">
        <v>36</v>
      </c>
      <c r="M43" s="1503">
        <v>17</v>
      </c>
      <c r="N43" s="1503">
        <f>SUM('ACTIVOS-POS plan'!N124:N126)</f>
        <v>13</v>
      </c>
      <c r="O43" s="1503">
        <f>SUM('ACTIVOS-POS plan'!O124:O126)</f>
        <v>0</v>
      </c>
      <c r="P43" s="1503">
        <f>SUM('ACTIVOS-POS plan'!P124:P126)</f>
        <v>0</v>
      </c>
      <c r="Q43" s="1503">
        <f>SUM('ACTIVOS-POS plan'!Q124:Q126)</f>
        <v>0</v>
      </c>
      <c r="R43" s="1503">
        <f>SUM('ACTIVOS-POS plan'!R124:R126)</f>
        <v>0</v>
      </c>
      <c r="S43" s="1503">
        <f>SUM('ACTIVOS-POS plan'!S124:S126)</f>
        <v>0</v>
      </c>
      <c r="T43" s="1503">
        <f>SUM('ACTIVOS-POS plan'!T124:T126)</f>
        <v>0</v>
      </c>
      <c r="U43" s="1503">
        <f>SUM('ACTIVOS-POS plan'!U124:U126)</f>
        <v>0</v>
      </c>
      <c r="V43" s="1503">
        <f>SUM('ACTIVOS-POS plan'!V124:V126)</f>
        <v>0</v>
      </c>
      <c r="W43" s="1503">
        <f>SUM('ACTIVOS-POS plan'!W124:W126)</f>
        <v>0</v>
      </c>
    </row>
    <row r="44" spans="2:23" ht="15.6" x14ac:dyDescent="0.25">
      <c r="B44" s="147"/>
      <c r="C44" s="1336" t="s">
        <v>310</v>
      </c>
      <c r="D44" s="1505">
        <v>144</v>
      </c>
      <c r="E44" s="1505">
        <v>94</v>
      </c>
      <c r="F44" s="1505">
        <v>154</v>
      </c>
      <c r="G44" s="1505">
        <v>155</v>
      </c>
      <c r="H44" s="1505">
        <v>180</v>
      </c>
      <c r="I44" s="1505">
        <v>170</v>
      </c>
      <c r="J44" s="1505">
        <v>195</v>
      </c>
      <c r="K44" s="1505">
        <v>200</v>
      </c>
      <c r="L44" s="1505">
        <v>193</v>
      </c>
      <c r="M44" s="1505">
        <v>193</v>
      </c>
      <c r="N44" s="1505">
        <f>SUM('ACTIVOS-POS plan'!N127:N133)</f>
        <v>242</v>
      </c>
      <c r="O44" s="1505">
        <f>SUM('ACTIVOS-POS plan'!O127:O136)</f>
        <v>212</v>
      </c>
      <c r="P44" s="1505">
        <f>SUM('ACTIVOS-POS plan'!P127:P136)</f>
        <v>258</v>
      </c>
      <c r="Q44" s="1505">
        <f>SUM('ACTIVOS-POS plan'!Q127:Q136)</f>
        <v>255</v>
      </c>
      <c r="R44" s="1505">
        <f>SUM('ACTIVOS-POS plan'!R127:R136)</f>
        <v>259</v>
      </c>
      <c r="S44" s="1505">
        <f>SUM('ACTIVOS-POS plan'!S127:S136)</f>
        <v>253</v>
      </c>
      <c r="T44" s="1505">
        <f>SUM('ACTIVOS-POS plan'!T127:T136)</f>
        <v>269</v>
      </c>
      <c r="U44" s="1505">
        <f>SUM('ACTIVOS-POS plan'!U127:U136)</f>
        <v>253</v>
      </c>
      <c r="V44" s="1505">
        <f>SUM('ACTIVOS-POS plan'!V127:V136)</f>
        <v>263</v>
      </c>
      <c r="W44" s="1505">
        <f>SUM('ACTIVOS-POS plan'!W127:W136)</f>
        <v>224</v>
      </c>
    </row>
    <row r="45" spans="2:23" ht="15.6" x14ac:dyDescent="0.25">
      <c r="B45" s="147"/>
      <c r="C45" s="1339" t="s">
        <v>317</v>
      </c>
      <c r="D45" s="1505">
        <v>77</v>
      </c>
      <c r="E45" s="1505">
        <v>65</v>
      </c>
      <c r="F45" s="1505">
        <v>72</v>
      </c>
      <c r="G45" s="1505">
        <v>81</v>
      </c>
      <c r="H45" s="1505">
        <v>98</v>
      </c>
      <c r="I45" s="1505">
        <v>89</v>
      </c>
      <c r="J45" s="1505">
        <v>104</v>
      </c>
      <c r="K45" s="1505">
        <v>110</v>
      </c>
      <c r="L45" s="1505">
        <v>104</v>
      </c>
      <c r="M45" s="1505">
        <v>114</v>
      </c>
      <c r="N45" s="1505">
        <f>SUM('ACTIVOS-POS plan'!N137:N140)</f>
        <v>118</v>
      </c>
      <c r="O45" s="1505">
        <f>SUM('ACTIVOS-POS plan'!O137:O140)</f>
        <v>127</v>
      </c>
      <c r="P45" s="1505">
        <f>SUM('ACTIVOS-POS plan'!P137:P140)</f>
        <v>128</v>
      </c>
      <c r="Q45" s="1505">
        <f>SUM('ACTIVOS-POS plan'!Q137:Q140)</f>
        <v>144</v>
      </c>
      <c r="R45" s="1505">
        <f>SUM('ACTIVOS-POS plan'!R137:R140)</f>
        <v>147</v>
      </c>
      <c r="S45" s="1505">
        <f>SUM('ACTIVOS-POS plan'!S137:S140)</f>
        <v>150</v>
      </c>
      <c r="T45" s="1505">
        <f>SUM('ACTIVOS-POS plan'!T137:T140)</f>
        <v>151</v>
      </c>
      <c r="U45" s="1505">
        <f>SUM('ACTIVOS-POS plan'!U137:U140)</f>
        <v>147</v>
      </c>
      <c r="V45" s="1505">
        <f>SUM('ACTIVOS-POS plan'!V137:V140)</f>
        <v>134</v>
      </c>
      <c r="W45" s="1505">
        <f>SUM('ACTIVOS-POS plan'!W137:W140)</f>
        <v>131</v>
      </c>
    </row>
    <row r="46" spans="2:23" ht="15.6" x14ac:dyDescent="0.25">
      <c r="B46" s="147"/>
      <c r="C46" s="1342" t="s">
        <v>430</v>
      </c>
      <c r="D46" s="1507">
        <v>233</v>
      </c>
      <c r="E46" s="1507">
        <v>170</v>
      </c>
      <c r="F46" s="1507">
        <v>226</v>
      </c>
      <c r="G46" s="1507">
        <v>249</v>
      </c>
      <c r="H46" s="1507">
        <v>286</v>
      </c>
      <c r="I46" s="1507">
        <v>271</v>
      </c>
      <c r="J46" s="1507">
        <f t="shared" ref="J46:O46" si="34">SUM(J43:J45)</f>
        <v>310</v>
      </c>
      <c r="K46" s="1507">
        <f t="shared" si="34"/>
        <v>310</v>
      </c>
      <c r="L46" s="1507">
        <f t="shared" si="34"/>
        <v>333</v>
      </c>
      <c r="M46" s="1507">
        <f t="shared" si="34"/>
        <v>324</v>
      </c>
      <c r="N46" s="1507">
        <f t="shared" si="34"/>
        <v>373</v>
      </c>
      <c r="O46" s="1507">
        <f t="shared" si="34"/>
        <v>339</v>
      </c>
      <c r="P46" s="1507">
        <f t="shared" ref="P46:U46" si="35">SUM(P43:P45)</f>
        <v>386</v>
      </c>
      <c r="Q46" s="1507">
        <f t="shared" si="35"/>
        <v>399</v>
      </c>
      <c r="R46" s="1507">
        <f t="shared" si="35"/>
        <v>406</v>
      </c>
      <c r="S46" s="1507">
        <f t="shared" si="35"/>
        <v>403</v>
      </c>
      <c r="T46" s="1507">
        <f t="shared" si="35"/>
        <v>420</v>
      </c>
      <c r="U46" s="1507">
        <f t="shared" si="35"/>
        <v>400</v>
      </c>
      <c r="V46" s="1507">
        <f t="shared" ref="V46:W46" si="36">SUM(V43:V45)</f>
        <v>397</v>
      </c>
      <c r="W46" s="1507">
        <f t="shared" si="36"/>
        <v>355</v>
      </c>
    </row>
    <row r="47" spans="2:23" ht="15.6" x14ac:dyDescent="0.25">
      <c r="B47" s="147"/>
      <c r="C47" s="1334" t="s">
        <v>308</v>
      </c>
      <c r="D47" s="1503"/>
      <c r="E47" s="1503"/>
      <c r="F47" s="1503"/>
      <c r="G47" s="1504"/>
      <c r="H47" s="1503"/>
      <c r="I47" s="1503"/>
      <c r="J47" s="1503"/>
      <c r="K47" s="1503"/>
      <c r="L47" s="1503"/>
      <c r="M47" s="1503"/>
      <c r="N47" s="1503"/>
      <c r="O47" s="1503"/>
      <c r="P47" s="1503"/>
      <c r="Q47" s="1503"/>
      <c r="R47" s="1503"/>
      <c r="S47" s="1503"/>
      <c r="T47" s="1503"/>
      <c r="U47" s="1503"/>
      <c r="V47" s="1503"/>
      <c r="W47" s="1503"/>
    </row>
    <row r="48" spans="2:23" ht="15.6" x14ac:dyDescent="0.25">
      <c r="B48" s="147"/>
      <c r="C48" s="1336" t="s">
        <v>310</v>
      </c>
      <c r="D48" s="1505">
        <v>40</v>
      </c>
      <c r="E48" s="1505">
        <v>67</v>
      </c>
      <c r="F48" s="1505">
        <v>68</v>
      </c>
      <c r="G48" s="1505">
        <v>70</v>
      </c>
      <c r="H48" s="1505">
        <v>66</v>
      </c>
      <c r="I48" s="1505">
        <v>62</v>
      </c>
      <c r="J48" s="1505">
        <v>113</v>
      </c>
      <c r="K48" s="1505">
        <v>110</v>
      </c>
      <c r="L48" s="1505">
        <v>147</v>
      </c>
      <c r="M48" s="1505">
        <v>100</v>
      </c>
      <c r="N48" s="1505">
        <f>SUM('ACTIVOS-POS plan'!N142:N144)</f>
        <v>145</v>
      </c>
      <c r="O48" s="1505">
        <f>SUM('ACTIVOS-POS plan'!O142:O144)</f>
        <v>114</v>
      </c>
      <c r="P48" s="1505">
        <f>SUM('ACTIVOS-POS plan'!P142:P144)</f>
        <v>159</v>
      </c>
      <c r="Q48" s="1505">
        <f>SUM('ACTIVOS-POS plan'!Q142:Q144)</f>
        <v>121</v>
      </c>
      <c r="R48" s="1505">
        <f>SUM('ACTIVOS-POS plan'!R142:R144)</f>
        <v>156</v>
      </c>
      <c r="S48" s="1505">
        <f>SUM('ACTIVOS-POS plan'!S142:S144)</f>
        <v>111</v>
      </c>
      <c r="T48" s="1505">
        <f>SUM('ACTIVOS-POS plan'!T142:T144)</f>
        <v>135</v>
      </c>
      <c r="U48" s="1505">
        <f>SUM('ACTIVOS-POS plan'!U142:U144)</f>
        <v>105</v>
      </c>
      <c r="V48" s="1505">
        <f>SUM('ACTIVOS-POS plan'!V142:V144)</f>
        <v>138</v>
      </c>
      <c r="W48" s="1505">
        <f>SUM('ACTIVOS-POS plan'!W142:W144)</f>
        <v>107</v>
      </c>
    </row>
    <row r="49" spans="2:23" ht="15.6" x14ac:dyDescent="0.25">
      <c r="B49" s="147"/>
      <c r="C49" s="1339" t="s">
        <v>317</v>
      </c>
      <c r="D49" s="1505">
        <v>11</v>
      </c>
      <c r="E49" s="1505">
        <v>24</v>
      </c>
      <c r="F49" s="1505">
        <v>19</v>
      </c>
      <c r="G49" s="1505">
        <v>30</v>
      </c>
      <c r="H49" s="1505">
        <v>33</v>
      </c>
      <c r="I49" s="1505">
        <v>38</v>
      </c>
      <c r="J49" s="1505">
        <v>42</v>
      </c>
      <c r="K49" s="1505">
        <v>39</v>
      </c>
      <c r="L49" s="1505">
        <v>43</v>
      </c>
      <c r="M49" s="1505">
        <v>45</v>
      </c>
      <c r="N49" s="1505">
        <f>SUM('ACTIVOS-POS plan'!N145)</f>
        <v>47</v>
      </c>
      <c r="O49" s="1505">
        <f>SUM('ACTIVOS-POS plan'!O145)</f>
        <v>49</v>
      </c>
      <c r="P49" s="1505">
        <f>SUM('ACTIVOS-POS plan'!P145)</f>
        <v>40</v>
      </c>
      <c r="Q49" s="1505">
        <f>SUM('ACTIVOS-POS plan'!Q145)</f>
        <v>41</v>
      </c>
      <c r="R49" s="1505">
        <f>SUM('ACTIVOS-POS plan'!R145)</f>
        <v>37</v>
      </c>
      <c r="S49" s="1505">
        <f>SUM('ACTIVOS-POS plan'!S145)</f>
        <v>41</v>
      </c>
      <c r="T49" s="1505">
        <f>SUM('ACTIVOS-POS plan'!T145)</f>
        <v>34</v>
      </c>
      <c r="U49" s="1505">
        <f>SUM('ACTIVOS-POS plan'!U145)</f>
        <v>40</v>
      </c>
      <c r="V49" s="1505">
        <f>SUM('ACTIVOS-POS plan'!V145)</f>
        <v>41</v>
      </c>
      <c r="W49" s="1505">
        <f>SUM('ACTIVOS-POS plan'!W145)</f>
        <v>43</v>
      </c>
    </row>
    <row r="50" spans="2:23" ht="15.6" x14ac:dyDescent="0.25">
      <c r="B50" s="147"/>
      <c r="C50" s="1342" t="s">
        <v>427</v>
      </c>
      <c r="D50" s="1507">
        <v>51</v>
      </c>
      <c r="E50" s="1507">
        <v>91</v>
      </c>
      <c r="F50" s="1507">
        <v>87</v>
      </c>
      <c r="G50" s="1507">
        <v>100</v>
      </c>
      <c r="H50" s="1507">
        <v>99</v>
      </c>
      <c r="I50" s="1507">
        <v>100</v>
      </c>
      <c r="J50" s="1507">
        <f>SUM(J47:J49)</f>
        <v>155</v>
      </c>
      <c r="K50" s="1507">
        <f>SUM(K47:K49)</f>
        <v>149</v>
      </c>
      <c r="L50" s="1507">
        <f>SUM(L47:L49)</f>
        <v>190</v>
      </c>
      <c r="M50" s="1507">
        <f t="shared" ref="M50:R50" si="37">SUM(M48:M49)</f>
        <v>145</v>
      </c>
      <c r="N50" s="1507">
        <f t="shared" si="37"/>
        <v>192</v>
      </c>
      <c r="O50" s="1507">
        <f t="shared" si="37"/>
        <v>163</v>
      </c>
      <c r="P50" s="1507">
        <f t="shared" si="37"/>
        <v>199</v>
      </c>
      <c r="Q50" s="1507">
        <f t="shared" si="37"/>
        <v>162</v>
      </c>
      <c r="R50" s="1507">
        <f t="shared" si="37"/>
        <v>193</v>
      </c>
      <c r="S50" s="1507">
        <f>SUM(S48:S49)</f>
        <v>152</v>
      </c>
      <c r="T50" s="1507">
        <f>SUM(T48:T49)</f>
        <v>169</v>
      </c>
      <c r="U50" s="1507">
        <f>SUM(U48:U49)</f>
        <v>145</v>
      </c>
      <c r="V50" s="1507">
        <f>SUM(V48:V49)</f>
        <v>179</v>
      </c>
      <c r="W50" s="1507">
        <f>SUM(W48:W49)</f>
        <v>150</v>
      </c>
    </row>
    <row r="51" spans="2:23" ht="12.75" customHeight="1" x14ac:dyDescent="0.25">
      <c r="B51" s="147"/>
      <c r="C51" s="1334" t="s">
        <v>308</v>
      </c>
      <c r="D51" s="1503">
        <f t="shared" ref="D51:M53" si="38">D39+D43+D47</f>
        <v>36</v>
      </c>
      <c r="E51" s="1503">
        <f t="shared" si="38"/>
        <v>17</v>
      </c>
      <c r="F51" s="1503">
        <f t="shared" si="38"/>
        <v>4</v>
      </c>
      <c r="G51" s="1504">
        <f t="shared" si="38"/>
        <v>18</v>
      </c>
      <c r="H51" s="1503">
        <f t="shared" si="38"/>
        <v>29</v>
      </c>
      <c r="I51" s="1503">
        <f t="shared" si="38"/>
        <v>37</v>
      </c>
      <c r="J51" s="1503">
        <f t="shared" si="38"/>
        <v>33</v>
      </c>
      <c r="K51" s="1503">
        <f t="shared" si="38"/>
        <v>19</v>
      </c>
      <c r="L51" s="1503">
        <f t="shared" si="38"/>
        <v>72</v>
      </c>
      <c r="M51" s="1503">
        <f t="shared" si="38"/>
        <v>56</v>
      </c>
      <c r="N51" s="1503">
        <f t="shared" ref="N51:U53" si="39">SUM(N39,N43,N47)</f>
        <v>47</v>
      </c>
      <c r="O51" s="1503">
        <f t="shared" si="39"/>
        <v>2</v>
      </c>
      <c r="P51" s="1503">
        <f t="shared" si="39"/>
        <v>0</v>
      </c>
      <c r="Q51" s="1503">
        <f t="shared" si="39"/>
        <v>0</v>
      </c>
      <c r="R51" s="1503">
        <f t="shared" si="39"/>
        <v>30</v>
      </c>
      <c r="S51" s="1503">
        <f t="shared" si="39"/>
        <v>4</v>
      </c>
      <c r="T51" s="1503">
        <f t="shared" si="39"/>
        <v>4</v>
      </c>
      <c r="U51" s="1503">
        <f t="shared" si="39"/>
        <v>0</v>
      </c>
      <c r="V51" s="1503">
        <f t="shared" ref="V51:W51" si="40">SUM(V39,V43,V47)</f>
        <v>7</v>
      </c>
      <c r="W51" s="1503">
        <f t="shared" si="40"/>
        <v>21</v>
      </c>
    </row>
    <row r="52" spans="2:23" ht="15.6" x14ac:dyDescent="0.25">
      <c r="B52" s="147"/>
      <c r="C52" s="1336" t="s">
        <v>310</v>
      </c>
      <c r="D52" s="1505">
        <f t="shared" si="38"/>
        <v>372</v>
      </c>
      <c r="E52" s="1505">
        <f t="shared" si="38"/>
        <v>436</v>
      </c>
      <c r="F52" s="1505">
        <f t="shared" si="38"/>
        <v>414</v>
      </c>
      <c r="G52" s="1505">
        <f t="shared" si="38"/>
        <v>492</v>
      </c>
      <c r="H52" s="1505">
        <f t="shared" si="38"/>
        <v>446</v>
      </c>
      <c r="I52" s="1505">
        <f t="shared" si="38"/>
        <v>503</v>
      </c>
      <c r="J52" s="1505">
        <f t="shared" si="38"/>
        <v>552</v>
      </c>
      <c r="K52" s="1505">
        <f t="shared" si="38"/>
        <v>607</v>
      </c>
      <c r="L52" s="1505">
        <f t="shared" si="38"/>
        <v>522</v>
      </c>
      <c r="M52" s="1505">
        <f t="shared" si="38"/>
        <v>578</v>
      </c>
      <c r="N52" s="1505">
        <f t="shared" si="39"/>
        <v>600</v>
      </c>
      <c r="O52" s="1505">
        <f t="shared" si="39"/>
        <v>630</v>
      </c>
      <c r="P52" s="1505">
        <f t="shared" si="39"/>
        <v>639</v>
      </c>
      <c r="Q52" s="1505">
        <f t="shared" si="39"/>
        <v>690</v>
      </c>
      <c r="R52" s="1505">
        <f t="shared" si="39"/>
        <v>622</v>
      </c>
      <c r="S52" s="1505">
        <f t="shared" si="39"/>
        <v>702</v>
      </c>
      <c r="T52" s="1505">
        <f t="shared" si="39"/>
        <v>639</v>
      </c>
      <c r="U52" s="1505">
        <f t="shared" si="39"/>
        <v>668</v>
      </c>
      <c r="V52" s="1505">
        <f t="shared" ref="V52:W52" si="41">SUM(V40,V44,V48)</f>
        <v>611</v>
      </c>
      <c r="W52" s="1505">
        <f t="shared" si="41"/>
        <v>624</v>
      </c>
    </row>
    <row r="53" spans="2:23" ht="15.6" x14ac:dyDescent="0.25">
      <c r="B53" s="147"/>
      <c r="C53" s="1339" t="s">
        <v>317</v>
      </c>
      <c r="D53" s="1505">
        <f t="shared" si="38"/>
        <v>230</v>
      </c>
      <c r="E53" s="1505">
        <f t="shared" si="38"/>
        <v>189</v>
      </c>
      <c r="F53" s="1505">
        <f t="shared" si="38"/>
        <v>227</v>
      </c>
      <c r="G53" s="1505">
        <f t="shared" si="38"/>
        <v>229</v>
      </c>
      <c r="H53" s="1505">
        <f t="shared" si="38"/>
        <v>318</v>
      </c>
      <c r="I53" s="1505">
        <f t="shared" si="38"/>
        <v>283</v>
      </c>
      <c r="J53" s="1505">
        <f t="shared" si="38"/>
        <v>348</v>
      </c>
      <c r="K53" s="1505">
        <f t="shared" si="38"/>
        <v>320</v>
      </c>
      <c r="L53" s="1505">
        <f t="shared" si="38"/>
        <v>358</v>
      </c>
      <c r="M53" s="1505">
        <f t="shared" si="38"/>
        <v>302</v>
      </c>
      <c r="N53" s="1505">
        <f t="shared" si="39"/>
        <v>343</v>
      </c>
      <c r="O53" s="1505">
        <f t="shared" si="39"/>
        <v>324</v>
      </c>
      <c r="P53" s="1505">
        <f t="shared" si="39"/>
        <v>351</v>
      </c>
      <c r="Q53" s="1505">
        <f t="shared" si="39"/>
        <v>339</v>
      </c>
      <c r="R53" s="1505">
        <f t="shared" si="39"/>
        <v>401</v>
      </c>
      <c r="S53" s="1505">
        <f t="shared" si="39"/>
        <v>439</v>
      </c>
      <c r="T53" s="1505">
        <f t="shared" si="39"/>
        <v>473</v>
      </c>
      <c r="U53" s="1505">
        <f t="shared" si="39"/>
        <v>444</v>
      </c>
      <c r="V53" s="1505">
        <f t="shared" ref="V53:W53" si="42">SUM(V41,V45,V49)</f>
        <v>492</v>
      </c>
      <c r="W53" s="1505">
        <f t="shared" si="42"/>
        <v>406</v>
      </c>
    </row>
    <row r="54" spans="2:23" ht="15.6" x14ac:dyDescent="0.25">
      <c r="B54" s="147"/>
      <c r="C54" s="1376" t="s">
        <v>422</v>
      </c>
      <c r="D54" s="1510">
        <f t="shared" ref="D54:I54" si="43">SUM(D51:D53)</f>
        <v>638</v>
      </c>
      <c r="E54" s="1510">
        <f t="shared" si="43"/>
        <v>642</v>
      </c>
      <c r="F54" s="1510">
        <f t="shared" si="43"/>
        <v>645</v>
      </c>
      <c r="G54" s="1510">
        <f t="shared" si="43"/>
        <v>739</v>
      </c>
      <c r="H54" s="1510">
        <f t="shared" si="43"/>
        <v>793</v>
      </c>
      <c r="I54" s="1510">
        <f t="shared" si="43"/>
        <v>823</v>
      </c>
      <c r="J54" s="1510">
        <f>J42+J46+J50</f>
        <v>933</v>
      </c>
      <c r="K54" s="1510">
        <f>K42+K46+K50</f>
        <v>946</v>
      </c>
      <c r="L54" s="1510">
        <f>L42+L46+L50</f>
        <v>952</v>
      </c>
      <c r="M54" s="1510">
        <f t="shared" ref="M54:R54" si="44">SUM(M51:M53)</f>
        <v>936</v>
      </c>
      <c r="N54" s="1510">
        <f t="shared" si="44"/>
        <v>990</v>
      </c>
      <c r="O54" s="1510">
        <f t="shared" si="44"/>
        <v>956</v>
      </c>
      <c r="P54" s="1510">
        <f t="shared" si="44"/>
        <v>990</v>
      </c>
      <c r="Q54" s="1510">
        <f t="shared" si="44"/>
        <v>1029</v>
      </c>
      <c r="R54" s="1510">
        <f t="shared" si="44"/>
        <v>1053</v>
      </c>
      <c r="S54" s="1510">
        <f>SUM(S51:S53)</f>
        <v>1145</v>
      </c>
      <c r="T54" s="1510">
        <f>SUM(T51:T53)</f>
        <v>1116</v>
      </c>
      <c r="U54" s="1510">
        <f>SUM(U51:U53)</f>
        <v>1112</v>
      </c>
      <c r="V54" s="1510">
        <f>SUM(V51:V53)</f>
        <v>1110</v>
      </c>
      <c r="W54" s="1510">
        <f>SUM(W51:W53)</f>
        <v>1051</v>
      </c>
    </row>
    <row r="55" spans="2:23" ht="15.6" x14ac:dyDescent="0.25">
      <c r="B55" s="147"/>
      <c r="C55" s="328"/>
      <c r="D55" s="342"/>
      <c r="E55" s="342"/>
      <c r="F55" s="342"/>
      <c r="G55" s="342"/>
      <c r="H55" s="342"/>
      <c r="I55" s="342"/>
      <c r="J55" s="342"/>
      <c r="K55" s="342"/>
      <c r="L55" s="342"/>
      <c r="M55" s="342"/>
      <c r="N55" s="342"/>
      <c r="O55" s="342"/>
      <c r="P55" s="342"/>
      <c r="Q55" s="342"/>
      <c r="R55" s="342"/>
      <c r="S55" s="342"/>
      <c r="T55" s="342"/>
      <c r="U55" s="342"/>
      <c r="V55" s="342"/>
      <c r="W55" s="342"/>
    </row>
    <row r="56" spans="2:23" ht="12.75" customHeight="1" x14ac:dyDescent="0.25">
      <c r="B56" s="147"/>
      <c r="C56" s="1334" t="s">
        <v>308</v>
      </c>
      <c r="D56" s="1503"/>
      <c r="E56" s="1503"/>
      <c r="F56" s="1503"/>
      <c r="G56" s="1504"/>
      <c r="H56" s="1503"/>
      <c r="I56" s="1503"/>
      <c r="J56" s="1503"/>
      <c r="K56" s="1503"/>
      <c r="L56" s="1503"/>
      <c r="M56" s="1503"/>
      <c r="N56" s="1503"/>
      <c r="O56" s="1503"/>
      <c r="P56" s="1503"/>
      <c r="Q56" s="1503"/>
      <c r="R56" s="1503"/>
      <c r="S56" s="1503"/>
      <c r="T56" s="1503"/>
      <c r="U56" s="1503"/>
      <c r="V56" s="1503"/>
      <c r="W56" s="1503"/>
    </row>
    <row r="57" spans="2:23" ht="15.6" x14ac:dyDescent="0.25">
      <c r="B57" s="147"/>
      <c r="C57" s="1336" t="s">
        <v>310</v>
      </c>
      <c r="D57" s="1505"/>
      <c r="E57" s="1505"/>
      <c r="F57" s="1505"/>
      <c r="G57" s="1505"/>
      <c r="H57" s="1505"/>
      <c r="I57" s="1505"/>
      <c r="J57" s="1505"/>
      <c r="K57" s="1505"/>
      <c r="L57" s="1505">
        <v>20</v>
      </c>
      <c r="M57" s="1505">
        <v>32</v>
      </c>
      <c r="N57" s="1505">
        <f>SUM('ACTIVOS-POS plan'!N148)</f>
        <v>38</v>
      </c>
      <c r="O57" s="1505">
        <f>SUM('ACTIVOS-POS plan'!O148)</f>
        <v>36</v>
      </c>
      <c r="P57" s="1505">
        <f>SUM('ACTIVOS-POS plan'!P148)</f>
        <v>36</v>
      </c>
      <c r="Q57" s="1505">
        <f>SUM('ACTIVOS-POS plan'!Q148)</f>
        <v>43</v>
      </c>
      <c r="R57" s="1505">
        <f>SUM('ACTIVOS-POS plan'!R148)</f>
        <v>43</v>
      </c>
      <c r="S57" s="1505">
        <f>SUM('ACTIVOS-POS plan'!S148)</f>
        <v>34</v>
      </c>
      <c r="T57" s="1505">
        <f>SUM('ACTIVOS-POS plan'!T148)</f>
        <v>40</v>
      </c>
      <c r="U57" s="1505">
        <f>SUM('ACTIVOS-POS plan'!U148)</f>
        <v>29</v>
      </c>
      <c r="V57" s="1505">
        <f>SUM('ACTIVOS-POS plan'!V148)</f>
        <v>43</v>
      </c>
      <c r="W57" s="1505">
        <f>SUM('ACTIVOS-POS plan'!W148)</f>
        <v>55</v>
      </c>
    </row>
    <row r="58" spans="2:23" ht="15.6" x14ac:dyDescent="0.25">
      <c r="B58" s="147"/>
      <c r="C58" s="1339" t="s">
        <v>317</v>
      </c>
      <c r="D58" s="1505"/>
      <c r="E58" s="1505"/>
      <c r="F58" s="1505"/>
      <c r="G58" s="1505"/>
      <c r="H58" s="1505"/>
      <c r="I58" s="1505"/>
      <c r="J58" s="1505"/>
      <c r="K58" s="1505"/>
      <c r="L58" s="1505">
        <v>12</v>
      </c>
      <c r="M58" s="1505">
        <v>22</v>
      </c>
      <c r="N58" s="1505">
        <f>SUM('ACTIVOS-POS plan'!N149)</f>
        <v>36</v>
      </c>
      <c r="O58" s="1505">
        <f>SUM('ACTIVOS-POS plan'!O149)</f>
        <v>42</v>
      </c>
      <c r="P58" s="1505">
        <f>SUM('ACTIVOS-POS plan'!P149)</f>
        <v>56</v>
      </c>
      <c r="Q58" s="1505">
        <f>SUM('ACTIVOS-POS plan'!Q149)</f>
        <v>63</v>
      </c>
      <c r="R58" s="1505">
        <f>SUM('ACTIVOS-POS plan'!R149)</f>
        <v>59</v>
      </c>
      <c r="S58" s="1505">
        <f>SUM('ACTIVOS-POS plan'!S149)</f>
        <v>58</v>
      </c>
      <c r="T58" s="1505">
        <f>SUM('ACTIVOS-POS plan'!T149)</f>
        <v>69</v>
      </c>
      <c r="U58" s="1505">
        <f>SUM('ACTIVOS-POS plan'!U149)</f>
        <v>63</v>
      </c>
      <c r="V58" s="1505">
        <f>SUM('ACTIVOS-POS plan'!V149)</f>
        <v>81</v>
      </c>
      <c r="W58" s="1505">
        <f>SUM('ACTIVOS-POS plan'!W149)</f>
        <v>84</v>
      </c>
    </row>
    <row r="59" spans="2:23" ht="15.6" x14ac:dyDescent="0.25">
      <c r="B59" s="147"/>
      <c r="C59" s="1342" t="s">
        <v>426</v>
      </c>
      <c r="D59" s="1507"/>
      <c r="E59" s="1507"/>
      <c r="F59" s="1507"/>
      <c r="G59" s="1507"/>
      <c r="H59" s="1507"/>
      <c r="I59" s="1507"/>
      <c r="J59" s="1507"/>
      <c r="K59" s="1507"/>
      <c r="L59" s="1507">
        <f t="shared" ref="L59:Q59" si="45">SUM(L57:L58)</f>
        <v>32</v>
      </c>
      <c r="M59" s="1507">
        <f t="shared" si="45"/>
        <v>54</v>
      </c>
      <c r="N59" s="1507">
        <f t="shared" si="45"/>
        <v>74</v>
      </c>
      <c r="O59" s="1507">
        <f t="shared" si="45"/>
        <v>78</v>
      </c>
      <c r="P59" s="1507">
        <f t="shared" si="45"/>
        <v>92</v>
      </c>
      <c r="Q59" s="1507">
        <f t="shared" si="45"/>
        <v>106</v>
      </c>
      <c r="R59" s="1507">
        <f t="shared" ref="R59:W59" si="46">SUM(R57:R58)</f>
        <v>102</v>
      </c>
      <c r="S59" s="1507">
        <f t="shared" si="46"/>
        <v>92</v>
      </c>
      <c r="T59" s="1507">
        <f t="shared" si="46"/>
        <v>109</v>
      </c>
      <c r="U59" s="1507">
        <f t="shared" si="46"/>
        <v>92</v>
      </c>
      <c r="V59" s="1507">
        <f t="shared" si="46"/>
        <v>124</v>
      </c>
      <c r="W59" s="1507">
        <f t="shared" si="46"/>
        <v>139</v>
      </c>
    </row>
    <row r="60" spans="2:23" ht="15.6" x14ac:dyDescent="0.25">
      <c r="B60" s="147"/>
      <c r="C60" s="1334" t="s">
        <v>308</v>
      </c>
      <c r="D60" s="1503"/>
      <c r="E60" s="1503"/>
      <c r="F60" s="1503"/>
      <c r="G60" s="1504"/>
      <c r="H60" s="1503"/>
      <c r="I60" s="1503"/>
      <c r="J60" s="1503"/>
      <c r="K60" s="1503"/>
      <c r="L60" s="1503"/>
      <c r="M60" s="1503"/>
      <c r="N60" s="1503"/>
      <c r="O60" s="1503"/>
      <c r="P60" s="1503"/>
      <c r="Q60" s="1503"/>
      <c r="R60" s="1503"/>
      <c r="S60" s="1503"/>
      <c r="T60" s="1503"/>
      <c r="U60" s="1503"/>
      <c r="V60" s="1503"/>
      <c r="W60" s="1503"/>
    </row>
    <row r="61" spans="2:23" ht="15.6" x14ac:dyDescent="0.25">
      <c r="B61" s="147"/>
      <c r="C61" s="1336" t="s">
        <v>310</v>
      </c>
      <c r="D61" s="1505"/>
      <c r="E61" s="1505"/>
      <c r="F61" s="1505"/>
      <c r="G61" s="1505"/>
      <c r="H61" s="1505"/>
      <c r="I61" s="1505"/>
      <c r="J61" s="1505"/>
      <c r="K61" s="1505"/>
      <c r="L61" s="1505"/>
      <c r="M61" s="1505">
        <v>12</v>
      </c>
      <c r="N61" s="1505">
        <f>SUM('ACTIVOS-POS plan'!N151)</f>
        <v>24</v>
      </c>
      <c r="O61" s="1505">
        <f>SUM('ACTIVOS-POS plan'!O151)</f>
        <v>42</v>
      </c>
      <c r="P61" s="1505">
        <f>SUM('ACTIVOS-POS plan'!P151)</f>
        <v>50</v>
      </c>
      <c r="Q61" s="1505">
        <f>SUM('ACTIVOS-POS plan'!Q151)</f>
        <v>61</v>
      </c>
      <c r="R61" s="1505">
        <f>SUM('ACTIVOS-POS plan'!R151)</f>
        <v>62</v>
      </c>
      <c r="S61" s="1505">
        <f>SUM('ACTIVOS-POS plan'!S151)</f>
        <v>66</v>
      </c>
      <c r="T61" s="1505">
        <f>SUM('ACTIVOS-POS plan'!T151)</f>
        <v>85</v>
      </c>
      <c r="U61" s="1505">
        <f>SUM('ACTIVOS-POS plan'!U151)</f>
        <v>67</v>
      </c>
      <c r="V61" s="1505">
        <f>SUM('ACTIVOS-POS plan'!V151)</f>
        <v>61</v>
      </c>
      <c r="W61" s="1505">
        <f>SUM('ACTIVOS-POS plan'!W151)</f>
        <v>70</v>
      </c>
    </row>
    <row r="62" spans="2:23" ht="15.6" x14ac:dyDescent="0.25">
      <c r="B62" s="147"/>
      <c r="C62" s="1339" t="s">
        <v>317</v>
      </c>
      <c r="D62" s="1505"/>
      <c r="E62" s="1505"/>
      <c r="F62" s="1505"/>
      <c r="G62" s="1505"/>
      <c r="H62" s="1505"/>
      <c r="I62" s="1505"/>
      <c r="J62" s="1505"/>
      <c r="K62" s="1505"/>
      <c r="L62" s="1505"/>
      <c r="M62" s="1505"/>
      <c r="N62" s="1505"/>
      <c r="O62" s="1505"/>
      <c r="P62" s="1505"/>
      <c r="Q62" s="1505"/>
      <c r="R62" s="1505"/>
      <c r="S62" s="1505"/>
      <c r="T62" s="1505"/>
      <c r="U62" s="1505"/>
      <c r="V62" s="1505"/>
      <c r="W62" s="1505"/>
    </row>
    <row r="63" spans="2:23" ht="15.6" x14ac:dyDescent="0.25">
      <c r="B63" s="147"/>
      <c r="C63" s="1342" t="s">
        <v>428</v>
      </c>
      <c r="D63" s="1507"/>
      <c r="E63" s="1507"/>
      <c r="F63" s="1507"/>
      <c r="G63" s="1507"/>
      <c r="H63" s="1507"/>
      <c r="I63" s="1507"/>
      <c r="J63" s="1507"/>
      <c r="K63" s="1507"/>
      <c r="L63" s="1507"/>
      <c r="M63" s="1507">
        <f t="shared" ref="M63:R63" si="47">SUM(M61:M62)</f>
        <v>12</v>
      </c>
      <c r="N63" s="1507">
        <f t="shared" si="47"/>
        <v>24</v>
      </c>
      <c r="O63" s="1507">
        <f t="shared" si="47"/>
        <v>42</v>
      </c>
      <c r="P63" s="1507">
        <f t="shared" si="47"/>
        <v>50</v>
      </c>
      <c r="Q63" s="1507">
        <f t="shared" si="47"/>
        <v>61</v>
      </c>
      <c r="R63" s="1507">
        <f t="shared" si="47"/>
        <v>62</v>
      </c>
      <c r="S63" s="1507">
        <f>SUM(S61:S62)</f>
        <v>66</v>
      </c>
      <c r="T63" s="1507">
        <f>SUM(T61:T62)</f>
        <v>85</v>
      </c>
      <c r="U63" s="1507">
        <f>SUM(U61:U62)</f>
        <v>67</v>
      </c>
      <c r="V63" s="1507">
        <f>SUM(V61:V62)</f>
        <v>61</v>
      </c>
      <c r="W63" s="1507">
        <f>SUM(W61:W62)</f>
        <v>70</v>
      </c>
    </row>
    <row r="64" spans="2:23" ht="15.6" x14ac:dyDescent="0.25">
      <c r="B64" s="147"/>
      <c r="C64" s="1334" t="s">
        <v>308</v>
      </c>
      <c r="D64" s="1503"/>
      <c r="E64" s="1503"/>
      <c r="F64" s="1503"/>
      <c r="G64" s="1504"/>
      <c r="H64" s="1503"/>
      <c r="I64" s="1503"/>
      <c r="J64" s="1503"/>
      <c r="K64" s="1503"/>
      <c r="L64" s="1503"/>
      <c r="M64" s="1503">
        <v>3</v>
      </c>
      <c r="N64" s="1503">
        <f>SUM('ACTIVOS-POS plan'!N153)</f>
        <v>5</v>
      </c>
      <c r="O64" s="1503">
        <f>SUM('ACTIVOS-POS plan'!O153)</f>
        <v>4</v>
      </c>
      <c r="P64" s="1503">
        <f>SUM('ACTIVOS-POS plan'!P153)</f>
        <v>7</v>
      </c>
      <c r="Q64" s="1503">
        <f>SUM('ACTIVOS-POS plan'!Q153)</f>
        <v>8</v>
      </c>
      <c r="R64" s="1503">
        <f>SUM('ACTIVOS-POS plan'!R153)</f>
        <v>6</v>
      </c>
      <c r="S64" s="1503">
        <f>SUM('ACTIVOS-POS plan'!S153)</f>
        <v>3</v>
      </c>
      <c r="T64" s="1503">
        <f>SUM('ACTIVOS-POS plan'!T153)</f>
        <v>0</v>
      </c>
      <c r="U64" s="1503">
        <f>SUM('ACTIVOS-POS plan'!U153)</f>
        <v>3</v>
      </c>
      <c r="V64" s="1503">
        <f>SUM('ACTIVOS-POS plan'!V153)</f>
        <v>2</v>
      </c>
      <c r="W64" s="1503">
        <f>SUM('ACTIVOS-POS plan'!W153)</f>
        <v>1</v>
      </c>
    </row>
    <row r="65" spans="2:23" ht="15.6" x14ac:dyDescent="0.25">
      <c r="B65" s="147"/>
      <c r="C65" s="1336" t="s">
        <v>310</v>
      </c>
      <c r="D65" s="1505"/>
      <c r="E65" s="1505"/>
      <c r="F65" s="1505"/>
      <c r="G65" s="1505"/>
      <c r="H65" s="1505"/>
      <c r="I65" s="1505"/>
      <c r="J65" s="1505"/>
      <c r="K65" s="1505"/>
      <c r="L65" s="1505"/>
      <c r="M65" s="1505">
        <v>9</v>
      </c>
      <c r="N65" s="1505">
        <f>SUM('ACTIVOS-POS plan'!N154)</f>
        <v>22</v>
      </c>
      <c r="O65" s="1505">
        <f>SUM('ACTIVOS-POS plan'!O154)</f>
        <v>34</v>
      </c>
      <c r="P65" s="1505">
        <f>SUM('ACTIVOS-POS plan'!P154)</f>
        <v>37</v>
      </c>
      <c r="Q65" s="1505">
        <f>SUM('ACTIVOS-POS plan'!Q154)</f>
        <v>42</v>
      </c>
      <c r="R65" s="1505">
        <f>SUM('ACTIVOS-POS plan'!R154)</f>
        <v>42</v>
      </c>
      <c r="S65" s="1505">
        <f>SUM('ACTIVOS-POS plan'!S154)</f>
        <v>37</v>
      </c>
      <c r="T65" s="1505">
        <f>SUM('ACTIVOS-POS plan'!T154)</f>
        <v>39</v>
      </c>
      <c r="U65" s="1505">
        <f>SUM('ACTIVOS-POS plan'!U154)</f>
        <v>23</v>
      </c>
      <c r="V65" s="1505">
        <f>SUM('ACTIVOS-POS plan'!V154)</f>
        <v>24</v>
      </c>
      <c r="W65" s="1505">
        <f>SUM('ACTIVOS-POS plan'!W154)</f>
        <v>30</v>
      </c>
    </row>
    <row r="66" spans="2:23" ht="15.6" x14ac:dyDescent="0.25">
      <c r="B66" s="147"/>
      <c r="C66" s="1339" t="s">
        <v>317</v>
      </c>
      <c r="D66" s="1505"/>
      <c r="E66" s="1505"/>
      <c r="F66" s="1505"/>
      <c r="G66" s="1505"/>
      <c r="H66" s="1505"/>
      <c r="I66" s="1505"/>
      <c r="J66" s="1505"/>
      <c r="K66" s="1505"/>
      <c r="L66" s="1505"/>
      <c r="M66" s="1505">
        <v>7</v>
      </c>
      <c r="N66" s="1505">
        <f>SUM('ACTIVOS-POS plan'!N155)</f>
        <v>13</v>
      </c>
      <c r="O66" s="1505">
        <f>SUM('ACTIVOS-POS plan'!O155)</f>
        <v>21</v>
      </c>
      <c r="P66" s="1505">
        <f>SUM('ACTIVOS-POS plan'!P155)</f>
        <v>33</v>
      </c>
      <c r="Q66" s="1505">
        <f>SUM('ACTIVOS-POS plan'!Q155:Q156)</f>
        <v>36</v>
      </c>
      <c r="R66" s="1505">
        <f>SUM('ACTIVOS-POS plan'!R155:R156)</f>
        <v>40</v>
      </c>
      <c r="S66" s="1505">
        <f>SUM('ACTIVOS-POS plan'!S155:S156)</f>
        <v>46</v>
      </c>
      <c r="T66" s="1505">
        <f>SUM('ACTIVOS-POS plan'!T155:T156)</f>
        <v>41</v>
      </c>
      <c r="U66" s="1505">
        <f>SUM('ACTIVOS-POS plan'!U155:U156)</f>
        <v>39</v>
      </c>
      <c r="V66" s="1505">
        <f>SUM('ACTIVOS-POS plan'!V155:V156)</f>
        <v>28</v>
      </c>
      <c r="W66" s="1505">
        <f>SUM('ACTIVOS-POS plan'!W155:W156)</f>
        <v>38</v>
      </c>
    </row>
    <row r="67" spans="2:23" ht="15.6" x14ac:dyDescent="0.25">
      <c r="B67" s="147"/>
      <c r="C67" s="1342" t="s">
        <v>429</v>
      </c>
      <c r="D67" s="1507"/>
      <c r="E67" s="1507"/>
      <c r="F67" s="1507"/>
      <c r="G67" s="1507"/>
      <c r="H67" s="1507"/>
      <c r="I67" s="1507"/>
      <c r="J67" s="1507"/>
      <c r="K67" s="1507"/>
      <c r="L67" s="1507"/>
      <c r="M67" s="1507">
        <f t="shared" ref="M67:R67" si="48">SUM(M64:M66)</f>
        <v>19</v>
      </c>
      <c r="N67" s="1507">
        <f t="shared" si="48"/>
        <v>40</v>
      </c>
      <c r="O67" s="1507">
        <f t="shared" si="48"/>
        <v>59</v>
      </c>
      <c r="P67" s="1507">
        <f t="shared" si="48"/>
        <v>77</v>
      </c>
      <c r="Q67" s="1507">
        <f t="shared" si="48"/>
        <v>86</v>
      </c>
      <c r="R67" s="1507">
        <f t="shared" si="48"/>
        <v>88</v>
      </c>
      <c r="S67" s="1507">
        <f>SUM(S64:S66)</f>
        <v>86</v>
      </c>
      <c r="T67" s="1507">
        <f>SUM(T64:T66)</f>
        <v>80</v>
      </c>
      <c r="U67" s="1507">
        <f>SUM(U64:U66)</f>
        <v>65</v>
      </c>
      <c r="V67" s="1507">
        <f>SUM(V64:V66)</f>
        <v>54</v>
      </c>
      <c r="W67" s="1507">
        <f>SUM(W64:W66)</f>
        <v>69</v>
      </c>
    </row>
    <row r="68" spans="2:23" ht="15" customHeight="1" x14ac:dyDescent="0.25">
      <c r="B68" s="147"/>
      <c r="C68" s="1334" t="s">
        <v>308</v>
      </c>
      <c r="D68" s="1503"/>
      <c r="E68" s="1503"/>
      <c r="F68" s="1503"/>
      <c r="G68" s="1504"/>
      <c r="H68" s="1503"/>
      <c r="I68" s="1503"/>
      <c r="J68" s="1503"/>
      <c r="K68" s="1503"/>
      <c r="L68" s="1503">
        <f t="shared" ref="L68:U70" si="49">SUM(L56,L60,L64)</f>
        <v>0</v>
      </c>
      <c r="M68" s="1503">
        <f t="shared" si="49"/>
        <v>3</v>
      </c>
      <c r="N68" s="1503">
        <f t="shared" si="49"/>
        <v>5</v>
      </c>
      <c r="O68" s="1503">
        <f t="shared" si="49"/>
        <v>4</v>
      </c>
      <c r="P68" s="1503">
        <f t="shared" si="49"/>
        <v>7</v>
      </c>
      <c r="Q68" s="1503">
        <f t="shared" si="49"/>
        <v>8</v>
      </c>
      <c r="R68" s="1503">
        <f t="shared" si="49"/>
        <v>6</v>
      </c>
      <c r="S68" s="1503">
        <f t="shared" si="49"/>
        <v>3</v>
      </c>
      <c r="T68" s="1503">
        <f t="shared" si="49"/>
        <v>0</v>
      </c>
      <c r="U68" s="1503">
        <f t="shared" si="49"/>
        <v>3</v>
      </c>
      <c r="V68" s="1503">
        <f t="shared" ref="V68:W68" si="50">SUM(V56,V60,V64)</f>
        <v>2</v>
      </c>
      <c r="W68" s="1503">
        <f t="shared" si="50"/>
        <v>1</v>
      </c>
    </row>
    <row r="69" spans="2:23" ht="15.6" x14ac:dyDescent="0.25">
      <c r="B69" s="147"/>
      <c r="C69" s="1336" t="s">
        <v>310</v>
      </c>
      <c r="D69" s="1505"/>
      <c r="E69" s="1505"/>
      <c r="F69" s="1505"/>
      <c r="G69" s="1505"/>
      <c r="H69" s="1505"/>
      <c r="I69" s="1505"/>
      <c r="J69" s="1505"/>
      <c r="K69" s="1505"/>
      <c r="L69" s="1505">
        <f t="shared" si="49"/>
        <v>20</v>
      </c>
      <c r="M69" s="1505">
        <f t="shared" si="49"/>
        <v>53</v>
      </c>
      <c r="N69" s="1505">
        <f t="shared" si="49"/>
        <v>84</v>
      </c>
      <c r="O69" s="1505">
        <f t="shared" si="49"/>
        <v>112</v>
      </c>
      <c r="P69" s="1505">
        <f t="shared" si="49"/>
        <v>123</v>
      </c>
      <c r="Q69" s="1505">
        <f t="shared" si="49"/>
        <v>146</v>
      </c>
      <c r="R69" s="1505">
        <f t="shared" si="49"/>
        <v>147</v>
      </c>
      <c r="S69" s="1505">
        <f t="shared" si="49"/>
        <v>137</v>
      </c>
      <c r="T69" s="1505">
        <f t="shared" si="49"/>
        <v>164</v>
      </c>
      <c r="U69" s="1505">
        <f t="shared" si="49"/>
        <v>119</v>
      </c>
      <c r="V69" s="1505">
        <f t="shared" ref="V69:W69" si="51">SUM(V57,V61,V65)</f>
        <v>128</v>
      </c>
      <c r="W69" s="1505">
        <f t="shared" si="51"/>
        <v>155</v>
      </c>
    </row>
    <row r="70" spans="2:23" ht="15.6" x14ac:dyDescent="0.25">
      <c r="B70" s="147"/>
      <c r="C70" s="1339" t="s">
        <v>317</v>
      </c>
      <c r="D70" s="1505"/>
      <c r="E70" s="1505"/>
      <c r="F70" s="1505"/>
      <c r="G70" s="1505"/>
      <c r="H70" s="1505"/>
      <c r="I70" s="1505"/>
      <c r="J70" s="1505"/>
      <c r="K70" s="1505"/>
      <c r="L70" s="1505">
        <f t="shared" si="49"/>
        <v>12</v>
      </c>
      <c r="M70" s="1505">
        <f t="shared" si="49"/>
        <v>29</v>
      </c>
      <c r="N70" s="1505">
        <f t="shared" si="49"/>
        <v>49</v>
      </c>
      <c r="O70" s="1505">
        <f t="shared" si="49"/>
        <v>63</v>
      </c>
      <c r="P70" s="1505">
        <f t="shared" si="49"/>
        <v>89</v>
      </c>
      <c r="Q70" s="1505">
        <f t="shared" si="49"/>
        <v>99</v>
      </c>
      <c r="R70" s="1505">
        <f t="shared" si="49"/>
        <v>99</v>
      </c>
      <c r="S70" s="1505">
        <f t="shared" si="49"/>
        <v>104</v>
      </c>
      <c r="T70" s="1505">
        <f t="shared" si="49"/>
        <v>110</v>
      </c>
      <c r="U70" s="1505">
        <f t="shared" si="49"/>
        <v>102</v>
      </c>
      <c r="V70" s="1505">
        <f t="shared" ref="V70:W70" si="52">SUM(V58,V62,V66)</f>
        <v>109</v>
      </c>
      <c r="W70" s="1505">
        <f t="shared" si="52"/>
        <v>122</v>
      </c>
    </row>
    <row r="71" spans="2:23" ht="15.6" x14ac:dyDescent="0.25">
      <c r="B71" s="147"/>
      <c r="C71" s="1355" t="s">
        <v>355</v>
      </c>
      <c r="D71" s="1511"/>
      <c r="E71" s="1511"/>
      <c r="F71" s="1511"/>
      <c r="G71" s="1511"/>
      <c r="H71" s="1511"/>
      <c r="I71" s="1511"/>
      <c r="J71" s="1511"/>
      <c r="K71" s="1511"/>
      <c r="L71" s="1511">
        <f t="shared" ref="L71:Q71" si="53">SUM(L68:L70)</f>
        <v>32</v>
      </c>
      <c r="M71" s="1511">
        <f t="shared" si="53"/>
        <v>85</v>
      </c>
      <c r="N71" s="1511">
        <f t="shared" si="53"/>
        <v>138</v>
      </c>
      <c r="O71" s="1511">
        <f t="shared" si="53"/>
        <v>179</v>
      </c>
      <c r="P71" s="1511">
        <f t="shared" si="53"/>
        <v>219</v>
      </c>
      <c r="Q71" s="1511">
        <f t="shared" si="53"/>
        <v>253</v>
      </c>
      <c r="R71" s="1511">
        <f t="shared" ref="R71:W71" si="54">SUM(R68:R70)</f>
        <v>252</v>
      </c>
      <c r="S71" s="1511">
        <f t="shared" si="54"/>
        <v>244</v>
      </c>
      <c r="T71" s="1511">
        <f t="shared" si="54"/>
        <v>274</v>
      </c>
      <c r="U71" s="1511">
        <f t="shared" si="54"/>
        <v>224</v>
      </c>
      <c r="V71" s="1511">
        <f t="shared" si="54"/>
        <v>239</v>
      </c>
      <c r="W71" s="1511">
        <f t="shared" si="54"/>
        <v>278</v>
      </c>
    </row>
    <row r="72" spans="2:23" ht="15.6" x14ac:dyDescent="0.25">
      <c r="B72" s="147"/>
      <c r="D72" s="1451"/>
      <c r="E72" s="1451"/>
      <c r="F72" s="1451"/>
      <c r="G72" s="1451"/>
      <c r="H72" s="1451"/>
      <c r="I72" s="1451"/>
      <c r="J72" s="1451"/>
      <c r="K72" s="1451"/>
      <c r="L72" s="1451"/>
      <c r="M72" s="1451"/>
      <c r="N72" s="1451"/>
      <c r="O72" s="1451"/>
      <c r="P72" s="1451"/>
      <c r="Q72" s="1451"/>
      <c r="R72" s="1451"/>
      <c r="S72" s="1451"/>
      <c r="T72" s="1451"/>
      <c r="U72" s="1451"/>
      <c r="V72" s="1451"/>
      <c r="W72" s="1451"/>
    </row>
    <row r="73" spans="2:23" ht="15.6" x14ac:dyDescent="0.25">
      <c r="B73" s="147"/>
      <c r="C73" s="1334" t="s">
        <v>308</v>
      </c>
      <c r="D73" s="1503"/>
      <c r="E73" s="1503"/>
      <c r="F73" s="1503"/>
      <c r="G73" s="1504"/>
      <c r="H73" s="1503"/>
      <c r="I73" s="1503"/>
      <c r="J73" s="1503"/>
      <c r="K73" s="1503"/>
      <c r="L73" s="1503"/>
      <c r="M73" s="1503"/>
      <c r="N73" s="1503"/>
      <c r="O73" s="1503"/>
      <c r="P73" s="1503"/>
      <c r="Q73" s="1503"/>
      <c r="R73" s="1503"/>
      <c r="S73" s="1503"/>
      <c r="T73" s="1503"/>
      <c r="U73" s="1503"/>
      <c r="V73" s="1503"/>
      <c r="W73" s="1503"/>
    </row>
    <row r="74" spans="2:23" ht="15.6" x14ac:dyDescent="0.25">
      <c r="B74" s="147"/>
      <c r="C74" s="1336" t="s">
        <v>310</v>
      </c>
      <c r="D74" s="1505"/>
      <c r="E74" s="1505"/>
      <c r="F74" s="1505"/>
      <c r="G74" s="1505"/>
      <c r="H74" s="1505"/>
      <c r="I74" s="1505"/>
      <c r="J74" s="1505"/>
      <c r="K74" s="1505"/>
      <c r="L74" s="1505"/>
      <c r="M74" s="1505"/>
      <c r="N74" s="1505"/>
      <c r="O74" s="1505"/>
      <c r="P74" s="1505"/>
      <c r="Q74" s="1505"/>
      <c r="R74" s="1505"/>
      <c r="S74" s="1505"/>
      <c r="T74" s="1505"/>
      <c r="U74" s="1505"/>
      <c r="V74" s="1505"/>
      <c r="W74" s="1505"/>
    </row>
    <row r="75" spans="2:23" ht="15.6" x14ac:dyDescent="0.25">
      <c r="B75" s="147"/>
      <c r="C75" s="1339" t="s">
        <v>317</v>
      </c>
      <c r="D75" s="1505"/>
      <c r="E75" s="1505"/>
      <c r="F75" s="1505"/>
      <c r="G75" s="1505"/>
      <c r="H75" s="1505"/>
      <c r="I75" s="1505"/>
      <c r="J75" s="1505"/>
      <c r="K75" s="1505"/>
      <c r="L75" s="1505"/>
      <c r="M75" s="1505"/>
      <c r="N75" s="1505"/>
      <c r="O75" s="1505"/>
      <c r="P75" s="1505"/>
      <c r="Q75" s="1505"/>
      <c r="R75" s="1505"/>
      <c r="S75" s="1505">
        <f>SUM('ACTIVOS-POS plan'!S159)</f>
        <v>1</v>
      </c>
      <c r="T75" s="1505">
        <f>SUM('ACTIVOS-POS plan'!T159)</f>
        <v>3</v>
      </c>
      <c r="U75" s="1505">
        <f>SUM('ACTIVOS-POS plan'!U159)</f>
        <v>7</v>
      </c>
      <c r="V75" s="1505">
        <f>SUM('ACTIVOS-POS plan'!V159)</f>
        <v>9</v>
      </c>
      <c r="W75" s="1505">
        <f>SUM('ACTIVOS-POS plan'!W159)</f>
        <v>13</v>
      </c>
    </row>
    <row r="76" spans="2:23" ht="15.6" x14ac:dyDescent="0.25">
      <c r="B76" s="147"/>
      <c r="C76" s="1342" t="s">
        <v>430</v>
      </c>
      <c r="D76" s="1507"/>
      <c r="E76" s="1507"/>
      <c r="F76" s="1507"/>
      <c r="G76" s="1507"/>
      <c r="H76" s="1507"/>
      <c r="I76" s="1507"/>
      <c r="J76" s="1507"/>
      <c r="K76" s="1507"/>
      <c r="L76" s="1507"/>
      <c r="M76" s="1507"/>
      <c r="N76" s="1507"/>
      <c r="O76" s="1507"/>
      <c r="P76" s="1507"/>
      <c r="Q76" s="1507"/>
      <c r="R76" s="1507"/>
      <c r="S76" s="1507">
        <f t="shared" ref="S76:U77" si="55">SUM(S75)</f>
        <v>1</v>
      </c>
      <c r="T76" s="1507">
        <f t="shared" si="55"/>
        <v>3</v>
      </c>
      <c r="U76" s="1507">
        <f t="shared" si="55"/>
        <v>7</v>
      </c>
      <c r="V76" s="1507">
        <f t="shared" ref="V76:W76" si="56">SUM(V75)</f>
        <v>9</v>
      </c>
      <c r="W76" s="1507">
        <f t="shared" si="56"/>
        <v>13</v>
      </c>
    </row>
    <row r="77" spans="2:23" ht="15.6" x14ac:dyDescent="0.25">
      <c r="B77" s="147"/>
      <c r="C77" s="1369" t="s">
        <v>389</v>
      </c>
      <c r="D77" s="1512"/>
      <c r="E77" s="1512"/>
      <c r="F77" s="1512"/>
      <c r="G77" s="1512"/>
      <c r="H77" s="1512"/>
      <c r="I77" s="1512"/>
      <c r="J77" s="1512"/>
      <c r="K77" s="1512"/>
      <c r="L77" s="1512"/>
      <c r="M77" s="1512"/>
      <c r="N77" s="1512"/>
      <c r="O77" s="1512"/>
      <c r="P77" s="1512"/>
      <c r="Q77" s="1512"/>
      <c r="R77" s="1512"/>
      <c r="S77" s="1512">
        <f t="shared" si="55"/>
        <v>1</v>
      </c>
      <c r="T77" s="1512">
        <f t="shared" si="55"/>
        <v>3</v>
      </c>
      <c r="U77" s="1512">
        <f t="shared" si="55"/>
        <v>7</v>
      </c>
      <c r="V77" s="1512">
        <f t="shared" ref="V77:W77" si="57">SUM(V76)</f>
        <v>9</v>
      </c>
      <c r="W77" s="1512">
        <f t="shared" si="57"/>
        <v>13</v>
      </c>
    </row>
    <row r="78" spans="2:23" x14ac:dyDescent="0.25">
      <c r="D78" s="1451"/>
      <c r="E78" s="1451"/>
      <c r="F78" s="1451"/>
      <c r="G78" s="1451"/>
      <c r="H78" s="1451"/>
      <c r="I78" s="1451"/>
      <c r="J78" s="1451"/>
      <c r="K78" s="1451"/>
      <c r="L78" s="1451"/>
      <c r="M78" s="1451"/>
      <c r="N78" s="1451"/>
      <c r="O78" s="1451"/>
      <c r="P78" s="1451"/>
      <c r="Q78" s="1451"/>
      <c r="R78" s="1451"/>
      <c r="S78" s="1451"/>
      <c r="T78" s="1451"/>
      <c r="U78" s="1451"/>
      <c r="V78" s="1451"/>
      <c r="W78" s="1451"/>
    </row>
    <row r="79" spans="2:23" ht="15" customHeight="1" x14ac:dyDescent="0.25">
      <c r="B79" s="147"/>
      <c r="C79" s="1334" t="s">
        <v>308</v>
      </c>
      <c r="D79" s="1503">
        <f t="shared" ref="D79:K81" si="58">D17+D34+D51</f>
        <v>223</v>
      </c>
      <c r="E79" s="1503">
        <f t="shared" si="58"/>
        <v>282</v>
      </c>
      <c r="F79" s="1503">
        <f t="shared" si="58"/>
        <v>225</v>
      </c>
      <c r="G79" s="1504">
        <f t="shared" si="58"/>
        <v>254</v>
      </c>
      <c r="H79" s="1503">
        <f t="shared" si="58"/>
        <v>336</v>
      </c>
      <c r="I79" s="1503">
        <f t="shared" si="58"/>
        <v>322</v>
      </c>
      <c r="J79" s="1503">
        <f t="shared" si="58"/>
        <v>365</v>
      </c>
      <c r="K79" s="1503">
        <f t="shared" si="58"/>
        <v>394</v>
      </c>
      <c r="L79" s="1503">
        <f t="shared" ref="L79:S81" si="59">SUM(L17,L34,L51,L68)</f>
        <v>363</v>
      </c>
      <c r="M79" s="1503">
        <f t="shared" si="59"/>
        <v>349</v>
      </c>
      <c r="N79" s="1503">
        <f t="shared" si="59"/>
        <v>221</v>
      </c>
      <c r="O79" s="1503">
        <f t="shared" si="59"/>
        <v>221</v>
      </c>
      <c r="P79" s="1503">
        <f t="shared" si="59"/>
        <v>190</v>
      </c>
      <c r="Q79" s="1503">
        <f t="shared" si="59"/>
        <v>145</v>
      </c>
      <c r="R79" s="1503">
        <f t="shared" si="59"/>
        <v>192</v>
      </c>
      <c r="S79" s="1503">
        <f t="shared" si="59"/>
        <v>212</v>
      </c>
      <c r="T79" s="1503">
        <f t="shared" ref="T79:V80" si="60">SUM(T17,T34,T51,T68)</f>
        <v>155</v>
      </c>
      <c r="U79" s="1503">
        <f t="shared" si="60"/>
        <v>167</v>
      </c>
      <c r="V79" s="1503">
        <f t="shared" si="60"/>
        <v>142</v>
      </c>
      <c r="W79" s="1503">
        <f t="shared" ref="W79" si="61">SUM(W17,W34,W51,W68)</f>
        <v>186</v>
      </c>
    </row>
    <row r="80" spans="2:23" ht="15.6" x14ac:dyDescent="0.25">
      <c r="B80" s="147"/>
      <c r="C80" s="1336" t="s">
        <v>310</v>
      </c>
      <c r="D80" s="1505">
        <f t="shared" si="58"/>
        <v>956</v>
      </c>
      <c r="E80" s="1505">
        <f t="shared" si="58"/>
        <v>1012</v>
      </c>
      <c r="F80" s="1505">
        <f t="shared" si="58"/>
        <v>1073</v>
      </c>
      <c r="G80" s="1505">
        <f t="shared" si="58"/>
        <v>1172</v>
      </c>
      <c r="H80" s="1505">
        <f t="shared" si="58"/>
        <v>1232</v>
      </c>
      <c r="I80" s="1505">
        <f t="shared" si="58"/>
        <v>1404</v>
      </c>
      <c r="J80" s="1505">
        <f t="shared" si="58"/>
        <v>1561</v>
      </c>
      <c r="K80" s="1505">
        <f t="shared" si="58"/>
        <v>1630</v>
      </c>
      <c r="L80" s="1505">
        <f t="shared" si="59"/>
        <v>1625</v>
      </c>
      <c r="M80" s="1505">
        <f t="shared" si="59"/>
        <v>1759</v>
      </c>
      <c r="N80" s="1505">
        <f t="shared" si="59"/>
        <v>1791</v>
      </c>
      <c r="O80" s="1505">
        <f t="shared" si="59"/>
        <v>1914</v>
      </c>
      <c r="P80" s="1505">
        <f t="shared" si="59"/>
        <v>1943</v>
      </c>
      <c r="Q80" s="1505">
        <f t="shared" si="59"/>
        <v>2078</v>
      </c>
      <c r="R80" s="1505">
        <f t="shared" si="59"/>
        <v>2026</v>
      </c>
      <c r="S80" s="1505">
        <f>SUM(S18,S35,S52,S69)</f>
        <v>2005</v>
      </c>
      <c r="T80" s="1505">
        <f t="shared" si="60"/>
        <v>2015</v>
      </c>
      <c r="U80" s="1505">
        <f t="shared" si="60"/>
        <v>1845</v>
      </c>
      <c r="V80" s="1505">
        <f t="shared" si="60"/>
        <v>1798</v>
      </c>
      <c r="W80" s="1505">
        <f t="shared" ref="W80" si="62">SUM(W18,W35,W52,W69)</f>
        <v>1983</v>
      </c>
    </row>
    <row r="81" spans="2:24" ht="15.6" x14ac:dyDescent="0.25">
      <c r="B81" s="147"/>
      <c r="C81" s="1339" t="s">
        <v>317</v>
      </c>
      <c r="D81" s="1505">
        <f t="shared" si="58"/>
        <v>975</v>
      </c>
      <c r="E81" s="1505">
        <f t="shared" si="58"/>
        <v>938</v>
      </c>
      <c r="F81" s="1505">
        <f t="shared" si="58"/>
        <v>958</v>
      </c>
      <c r="G81" s="1505">
        <f t="shared" si="58"/>
        <v>918</v>
      </c>
      <c r="H81" s="1505">
        <f t="shared" si="58"/>
        <v>1049</v>
      </c>
      <c r="I81" s="1505">
        <f t="shared" si="58"/>
        <v>1018</v>
      </c>
      <c r="J81" s="1505">
        <f t="shared" si="58"/>
        <v>1123</v>
      </c>
      <c r="K81" s="1505">
        <f t="shared" si="58"/>
        <v>1302</v>
      </c>
      <c r="L81" s="1505">
        <f t="shared" si="59"/>
        <v>1392</v>
      </c>
      <c r="M81" s="1505">
        <f t="shared" si="59"/>
        <v>1328</v>
      </c>
      <c r="N81" s="1505">
        <f t="shared" si="59"/>
        <v>1496</v>
      </c>
      <c r="O81" s="1505">
        <f t="shared" si="59"/>
        <v>1573</v>
      </c>
      <c r="P81" s="1505">
        <f t="shared" si="59"/>
        <v>1585</v>
      </c>
      <c r="Q81" s="1505">
        <f t="shared" si="59"/>
        <v>1619</v>
      </c>
      <c r="R81" s="1505">
        <f t="shared" si="59"/>
        <v>1620</v>
      </c>
      <c r="S81" s="1505">
        <f>SUM(S19,S36,S53,S70,S75)</f>
        <v>1651</v>
      </c>
      <c r="T81" s="1505">
        <f>SUM(T19,T36,T53,T70,T75)</f>
        <v>1724</v>
      </c>
      <c r="U81" s="1505">
        <f>SUM(U19,U36,U53,U70,U75)</f>
        <v>1659</v>
      </c>
      <c r="V81" s="1505">
        <f>SUM(V19,V36,V53,V70,V75)</f>
        <v>1663</v>
      </c>
      <c r="W81" s="1505">
        <f>SUM(W19,W36,W53,W70,W75)</f>
        <v>1677</v>
      </c>
    </row>
    <row r="82" spans="2:24" ht="15.6" x14ac:dyDescent="0.25">
      <c r="B82" s="147"/>
      <c r="C82" s="1383" t="s">
        <v>128</v>
      </c>
      <c r="D82" s="1513">
        <f t="shared" ref="D82:Q82" si="63">SUM(D79:D81)</f>
        <v>2154</v>
      </c>
      <c r="E82" s="1513">
        <f t="shared" si="63"/>
        <v>2232</v>
      </c>
      <c r="F82" s="1513">
        <f t="shared" si="63"/>
        <v>2256</v>
      </c>
      <c r="G82" s="1513">
        <f t="shared" si="63"/>
        <v>2344</v>
      </c>
      <c r="H82" s="1513">
        <f t="shared" si="63"/>
        <v>2617</v>
      </c>
      <c r="I82" s="1513">
        <f t="shared" si="63"/>
        <v>2744</v>
      </c>
      <c r="J82" s="1513">
        <f t="shared" si="63"/>
        <v>3049</v>
      </c>
      <c r="K82" s="1513">
        <f t="shared" si="63"/>
        <v>3326</v>
      </c>
      <c r="L82" s="1513">
        <f t="shared" si="63"/>
        <v>3380</v>
      </c>
      <c r="M82" s="1513">
        <f t="shared" si="63"/>
        <v>3436</v>
      </c>
      <c r="N82" s="1513">
        <f t="shared" si="63"/>
        <v>3508</v>
      </c>
      <c r="O82" s="1513">
        <f t="shared" si="63"/>
        <v>3708</v>
      </c>
      <c r="P82" s="1513">
        <f t="shared" si="63"/>
        <v>3718</v>
      </c>
      <c r="Q82" s="1513">
        <f t="shared" si="63"/>
        <v>3842</v>
      </c>
      <c r="R82" s="1513">
        <f t="shared" ref="R82:W82" si="64">SUM(R79:R81)</f>
        <v>3838</v>
      </c>
      <c r="S82" s="1513">
        <f t="shared" si="64"/>
        <v>3868</v>
      </c>
      <c r="T82" s="1513">
        <f t="shared" si="64"/>
        <v>3894</v>
      </c>
      <c r="U82" s="1513">
        <f t="shared" si="64"/>
        <v>3671</v>
      </c>
      <c r="V82" s="1513">
        <f t="shared" si="64"/>
        <v>3603</v>
      </c>
      <c r="W82" s="1513">
        <f t="shared" si="64"/>
        <v>3846</v>
      </c>
    </row>
    <row r="83" spans="2:24" ht="15.6" x14ac:dyDescent="0.25">
      <c r="B83" s="147"/>
      <c r="C83" s="328"/>
      <c r="D83" s="342"/>
      <c r="E83" s="342"/>
      <c r="F83" s="342"/>
      <c r="G83" s="342"/>
      <c r="H83" s="342"/>
      <c r="I83" s="342"/>
      <c r="J83" s="342"/>
      <c r="K83" s="342"/>
      <c r="L83" s="342"/>
      <c r="M83" s="342"/>
      <c r="N83" s="342"/>
      <c r="O83" s="342"/>
      <c r="P83" s="342"/>
      <c r="Q83" s="342"/>
      <c r="R83" s="342"/>
      <c r="S83" s="342"/>
      <c r="T83" s="342"/>
      <c r="U83" s="342"/>
      <c r="V83" s="342"/>
      <c r="W83" s="342"/>
    </row>
    <row r="84" spans="2:24" ht="15" customHeight="1" x14ac:dyDescent="0.25">
      <c r="B84" s="147"/>
      <c r="C84" s="1334" t="s">
        <v>59</v>
      </c>
      <c r="D84" s="616">
        <f t="shared" ref="D84:Q84" si="65">SUM(D8,D25)</f>
        <v>503</v>
      </c>
      <c r="E84" s="616">
        <f t="shared" si="65"/>
        <v>509</v>
      </c>
      <c r="F84" s="616">
        <f t="shared" si="65"/>
        <v>564</v>
      </c>
      <c r="G84" s="616">
        <f t="shared" si="65"/>
        <v>572</v>
      </c>
      <c r="H84" s="616">
        <f t="shared" si="65"/>
        <v>582</v>
      </c>
      <c r="I84" s="616">
        <f t="shared" si="65"/>
        <v>556</v>
      </c>
      <c r="J84" s="616">
        <f t="shared" si="65"/>
        <v>598</v>
      </c>
      <c r="K84" s="616">
        <f t="shared" si="65"/>
        <v>625</v>
      </c>
      <c r="L84" s="616">
        <f t="shared" si="65"/>
        <v>675</v>
      </c>
      <c r="M84" s="616">
        <f t="shared" si="65"/>
        <v>684</v>
      </c>
      <c r="N84" s="616">
        <f t="shared" si="65"/>
        <v>744</v>
      </c>
      <c r="O84" s="616">
        <f t="shared" si="65"/>
        <v>796</v>
      </c>
      <c r="P84" s="616">
        <f t="shared" si="65"/>
        <v>821</v>
      </c>
      <c r="Q84" s="616">
        <f t="shared" si="65"/>
        <v>883</v>
      </c>
      <c r="R84" s="616">
        <f t="shared" ref="R84:W84" si="66">SUM(R8,R25)</f>
        <v>861</v>
      </c>
      <c r="S84" s="616">
        <f t="shared" si="66"/>
        <v>857</v>
      </c>
      <c r="T84" s="616">
        <f t="shared" si="66"/>
        <v>860</v>
      </c>
      <c r="U84" s="616">
        <f t="shared" si="66"/>
        <v>795</v>
      </c>
      <c r="V84" s="616">
        <f t="shared" si="66"/>
        <v>777</v>
      </c>
      <c r="W84" s="616">
        <f t="shared" si="66"/>
        <v>831</v>
      </c>
    </row>
    <row r="85" spans="2:24" ht="15.6" x14ac:dyDescent="0.25">
      <c r="B85" s="147"/>
      <c r="C85" s="1336" t="s">
        <v>64</v>
      </c>
      <c r="D85" s="617">
        <f t="shared" ref="D85:K85" si="67">SUM(D12,D29,D42,D71)</f>
        <v>908</v>
      </c>
      <c r="E85" s="617">
        <f>SUM(E12,E29,E42,L71)</f>
        <v>1073</v>
      </c>
      <c r="F85" s="617">
        <f>SUM(F12,F29,F42,M71)</f>
        <v>1051</v>
      </c>
      <c r="G85" s="617">
        <f t="shared" si="67"/>
        <v>997</v>
      </c>
      <c r="H85" s="617">
        <f t="shared" si="67"/>
        <v>1146</v>
      </c>
      <c r="I85" s="617">
        <f t="shared" si="67"/>
        <v>1283</v>
      </c>
      <c r="J85" s="617">
        <f t="shared" si="67"/>
        <v>1365</v>
      </c>
      <c r="K85" s="617">
        <f t="shared" si="67"/>
        <v>1530</v>
      </c>
      <c r="L85" s="617">
        <f>SUM(L12,L29,L42,L71)</f>
        <v>1499</v>
      </c>
      <c r="M85" s="617">
        <f t="shared" ref="M85:R85" si="68">SUM(M12,M29,M42,M59)</f>
        <v>1478</v>
      </c>
      <c r="N85" s="617">
        <f t="shared" si="68"/>
        <v>1387</v>
      </c>
      <c r="O85" s="617">
        <f t="shared" si="68"/>
        <v>1490</v>
      </c>
      <c r="P85" s="617">
        <f t="shared" si="68"/>
        <v>1379</v>
      </c>
      <c r="Q85" s="617">
        <f t="shared" si="68"/>
        <v>1485</v>
      </c>
      <c r="R85" s="617">
        <f t="shared" si="68"/>
        <v>1470</v>
      </c>
      <c r="S85" s="617">
        <f>SUM(S12,S29,S42,S59)</f>
        <v>1600</v>
      </c>
      <c r="T85" s="617">
        <f>SUM(T12,T29,T42,T59)</f>
        <v>1617</v>
      </c>
      <c r="U85" s="617">
        <f>SUM(U12,U29,U42,U59)</f>
        <v>1561</v>
      </c>
      <c r="V85" s="617">
        <f>SUM(V12,V29,V42,V59)</f>
        <v>1552</v>
      </c>
      <c r="W85" s="617">
        <f>SUM(W12,W29,W42,W59)</f>
        <v>1719</v>
      </c>
    </row>
    <row r="86" spans="2:24" ht="15.6" x14ac:dyDescent="0.25">
      <c r="B86" s="147"/>
      <c r="C86" s="1336" t="s">
        <v>92</v>
      </c>
      <c r="D86" s="617">
        <f t="shared" ref="D86:Q86" si="69">SUM(D33,D46)</f>
        <v>586</v>
      </c>
      <c r="E86" s="617">
        <f t="shared" si="69"/>
        <v>512</v>
      </c>
      <c r="F86" s="617">
        <f t="shared" si="69"/>
        <v>554</v>
      </c>
      <c r="G86" s="617">
        <f t="shared" si="69"/>
        <v>573</v>
      </c>
      <c r="H86" s="617">
        <f t="shared" si="69"/>
        <v>658</v>
      </c>
      <c r="I86" s="617">
        <f t="shared" si="69"/>
        <v>655</v>
      </c>
      <c r="J86" s="617">
        <f t="shared" si="69"/>
        <v>747</v>
      </c>
      <c r="K86" s="617">
        <f t="shared" si="69"/>
        <v>771</v>
      </c>
      <c r="L86" s="617">
        <f t="shared" si="69"/>
        <v>832</v>
      </c>
      <c r="M86" s="617">
        <f t="shared" si="69"/>
        <v>861</v>
      </c>
      <c r="N86" s="617">
        <f t="shared" si="69"/>
        <v>941</v>
      </c>
      <c r="O86" s="617">
        <f t="shared" si="69"/>
        <v>934</v>
      </c>
      <c r="P86" s="617">
        <f t="shared" si="69"/>
        <v>980</v>
      </c>
      <c r="Q86" s="617">
        <f t="shared" si="69"/>
        <v>963</v>
      </c>
      <c r="R86" s="617">
        <f>SUM(R33,R46)</f>
        <v>937</v>
      </c>
      <c r="S86" s="617">
        <f>SUM(S33,S46,S76)</f>
        <v>923</v>
      </c>
      <c r="T86" s="617">
        <f>SUM(T33,T46,T76)</f>
        <v>923</v>
      </c>
      <c r="U86" s="617">
        <f>SUM(U33,U46,U76)</f>
        <v>862</v>
      </c>
      <c r="V86" s="617">
        <f>SUM(V33,V46,V76)</f>
        <v>788</v>
      </c>
      <c r="W86" s="617">
        <f>SUM(W33,W46,W76)</f>
        <v>771</v>
      </c>
    </row>
    <row r="87" spans="2:24" ht="15.6" x14ac:dyDescent="0.25">
      <c r="B87" s="147"/>
      <c r="C87" s="1336" t="s">
        <v>68</v>
      </c>
      <c r="D87" s="617">
        <f t="shared" ref="D87:Q87" si="70">SUM(D16,D50)</f>
        <v>157</v>
      </c>
      <c r="E87" s="617">
        <f t="shared" si="70"/>
        <v>170</v>
      </c>
      <c r="F87" s="617">
        <f t="shared" si="70"/>
        <v>172</v>
      </c>
      <c r="G87" s="617">
        <f t="shared" si="70"/>
        <v>202</v>
      </c>
      <c r="H87" s="617">
        <f t="shared" si="70"/>
        <v>231</v>
      </c>
      <c r="I87" s="617">
        <f t="shared" si="70"/>
        <v>250</v>
      </c>
      <c r="J87" s="617">
        <f t="shared" si="70"/>
        <v>339</v>
      </c>
      <c r="K87" s="617">
        <f t="shared" si="70"/>
        <v>400</v>
      </c>
      <c r="L87" s="617">
        <f t="shared" si="70"/>
        <v>374</v>
      </c>
      <c r="M87" s="617">
        <f t="shared" si="70"/>
        <v>382</v>
      </c>
      <c r="N87" s="617">
        <f t="shared" si="70"/>
        <v>372</v>
      </c>
      <c r="O87" s="617">
        <f t="shared" si="70"/>
        <v>387</v>
      </c>
      <c r="P87" s="617">
        <f t="shared" si="70"/>
        <v>411</v>
      </c>
      <c r="Q87" s="617">
        <f t="shared" si="70"/>
        <v>364</v>
      </c>
      <c r="R87" s="617">
        <f t="shared" ref="R87:W87" si="71">SUM(R16,R50)</f>
        <v>420</v>
      </c>
      <c r="S87" s="617">
        <f t="shared" si="71"/>
        <v>336</v>
      </c>
      <c r="T87" s="617">
        <f t="shared" si="71"/>
        <v>329</v>
      </c>
      <c r="U87" s="617">
        <f t="shared" si="71"/>
        <v>321</v>
      </c>
      <c r="V87" s="617">
        <f t="shared" si="71"/>
        <v>371</v>
      </c>
      <c r="W87" s="617">
        <f t="shared" si="71"/>
        <v>386</v>
      </c>
    </row>
    <row r="88" spans="2:24" ht="15.6" x14ac:dyDescent="0.25">
      <c r="B88" s="147"/>
      <c r="C88" s="1336" t="s">
        <v>111</v>
      </c>
      <c r="D88" s="617"/>
      <c r="E88" s="617"/>
      <c r="F88" s="617"/>
      <c r="G88" s="617"/>
      <c r="H88" s="617"/>
      <c r="I88" s="617"/>
      <c r="J88" s="617"/>
      <c r="K88" s="617"/>
      <c r="L88" s="617"/>
      <c r="M88" s="617">
        <f t="shared" ref="M88:R88" si="72">SUM(M63)</f>
        <v>12</v>
      </c>
      <c r="N88" s="617">
        <f t="shared" si="72"/>
        <v>24</v>
      </c>
      <c r="O88" s="617">
        <f t="shared" si="72"/>
        <v>42</v>
      </c>
      <c r="P88" s="617">
        <f t="shared" si="72"/>
        <v>50</v>
      </c>
      <c r="Q88" s="617">
        <f t="shared" si="72"/>
        <v>61</v>
      </c>
      <c r="R88" s="617">
        <f t="shared" si="72"/>
        <v>62</v>
      </c>
      <c r="S88" s="617">
        <f>SUM(S63)</f>
        <v>66</v>
      </c>
      <c r="T88" s="617">
        <f>SUM(T63)</f>
        <v>85</v>
      </c>
      <c r="U88" s="617">
        <f>SUM(U63)</f>
        <v>67</v>
      </c>
      <c r="V88" s="617">
        <f>SUM(V63)</f>
        <v>61</v>
      </c>
      <c r="W88" s="617">
        <f>SUM(W63)</f>
        <v>70</v>
      </c>
    </row>
    <row r="89" spans="2:24" ht="15.6" x14ac:dyDescent="0.25">
      <c r="B89" s="147"/>
      <c r="C89" s="1514" t="s">
        <v>115</v>
      </c>
      <c r="D89" s="629"/>
      <c r="E89" s="629"/>
      <c r="F89" s="629"/>
      <c r="G89" s="629"/>
      <c r="H89" s="629"/>
      <c r="I89" s="629"/>
      <c r="J89" s="629"/>
      <c r="K89" s="629"/>
      <c r="L89" s="629"/>
      <c r="M89" s="629">
        <f t="shared" ref="M89:R89" si="73">SUM(M67)</f>
        <v>19</v>
      </c>
      <c r="N89" s="629">
        <f t="shared" si="73"/>
        <v>40</v>
      </c>
      <c r="O89" s="629">
        <f t="shared" si="73"/>
        <v>59</v>
      </c>
      <c r="P89" s="629">
        <f t="shared" si="73"/>
        <v>77</v>
      </c>
      <c r="Q89" s="629">
        <f t="shared" si="73"/>
        <v>86</v>
      </c>
      <c r="R89" s="629">
        <f t="shared" si="73"/>
        <v>88</v>
      </c>
      <c r="S89" s="629">
        <f>SUM(S67)</f>
        <v>86</v>
      </c>
      <c r="T89" s="629">
        <f>SUM(T67)</f>
        <v>80</v>
      </c>
      <c r="U89" s="629">
        <f>SUM(U67)</f>
        <v>65</v>
      </c>
      <c r="V89" s="629">
        <f>SUM(V67)</f>
        <v>54</v>
      </c>
      <c r="W89" s="629">
        <f>SUM(W67)</f>
        <v>69</v>
      </c>
    </row>
    <row r="90" spans="2:24" ht="15.6" x14ac:dyDescent="0.25">
      <c r="B90" s="147"/>
      <c r="C90" s="1383" t="s">
        <v>128</v>
      </c>
      <c r="D90" s="1513">
        <f t="shared" ref="D90:K90" si="74">SUM(D84:D89)</f>
        <v>2154</v>
      </c>
      <c r="E90" s="1513">
        <f t="shared" si="74"/>
        <v>2264</v>
      </c>
      <c r="F90" s="1513">
        <f t="shared" si="74"/>
        <v>2341</v>
      </c>
      <c r="G90" s="1513">
        <f t="shared" si="74"/>
        <v>2344</v>
      </c>
      <c r="H90" s="1513">
        <f t="shared" si="74"/>
        <v>2617</v>
      </c>
      <c r="I90" s="1513">
        <f t="shared" si="74"/>
        <v>2744</v>
      </c>
      <c r="J90" s="1513">
        <f t="shared" si="74"/>
        <v>3049</v>
      </c>
      <c r="K90" s="1513">
        <f t="shared" si="74"/>
        <v>3326</v>
      </c>
      <c r="L90" s="1513">
        <f t="shared" ref="L90:Q90" si="75">SUM(L84:L89)</f>
        <v>3380</v>
      </c>
      <c r="M90" s="1513">
        <f t="shared" si="75"/>
        <v>3436</v>
      </c>
      <c r="N90" s="1513">
        <f t="shared" si="75"/>
        <v>3508</v>
      </c>
      <c r="O90" s="1513">
        <f t="shared" si="75"/>
        <v>3708</v>
      </c>
      <c r="P90" s="1513">
        <f t="shared" si="75"/>
        <v>3718</v>
      </c>
      <c r="Q90" s="1513">
        <f t="shared" si="75"/>
        <v>3842</v>
      </c>
      <c r="R90" s="1513">
        <f t="shared" ref="R90:W90" si="76">SUM(R84:R89)</f>
        <v>3838</v>
      </c>
      <c r="S90" s="1513">
        <f t="shared" si="76"/>
        <v>3868</v>
      </c>
      <c r="T90" s="1513">
        <f t="shared" si="76"/>
        <v>3894</v>
      </c>
      <c r="U90" s="1513">
        <f t="shared" si="76"/>
        <v>3671</v>
      </c>
      <c r="V90" s="1513">
        <f t="shared" si="76"/>
        <v>3603</v>
      </c>
      <c r="W90" s="1513">
        <f t="shared" si="76"/>
        <v>3846</v>
      </c>
    </row>
    <row r="91" spans="2:24" x14ac:dyDescent="0.25">
      <c r="B91" s="276"/>
    </row>
    <row r="92" spans="2:24" x14ac:dyDescent="0.25">
      <c r="B92" s="393"/>
      <c r="N92" s="146"/>
    </row>
    <row r="93" spans="2:24" x14ac:dyDescent="0.25">
      <c r="H93" s="1515"/>
      <c r="X93" s="1387"/>
    </row>
    <row r="95" spans="2:24" x14ac:dyDescent="0.25">
      <c r="I95" s="1453" t="s">
        <v>138</v>
      </c>
    </row>
    <row r="96" spans="2:24" x14ac:dyDescent="0.25">
      <c r="I96" s="1453" t="s">
        <v>134</v>
      </c>
    </row>
    <row r="97" spans="3:9" x14ac:dyDescent="0.25">
      <c r="I97" s="1453" t="s">
        <v>135</v>
      </c>
    </row>
    <row r="98" spans="3:9" x14ac:dyDescent="0.25">
      <c r="I98" s="1453" t="s">
        <v>136</v>
      </c>
    </row>
    <row r="99" spans="3:9" x14ac:dyDescent="0.25">
      <c r="C99" s="1516"/>
      <c r="I99" s="1453" t="s">
        <v>137</v>
      </c>
    </row>
    <row r="100" spans="3:9" x14ac:dyDescent="0.25">
      <c r="C100" s="1516"/>
    </row>
    <row r="101" spans="3:9" x14ac:dyDescent="0.25">
      <c r="C101" s="1516"/>
    </row>
    <row r="102" spans="3:9" x14ac:dyDescent="0.25">
      <c r="C102" s="1516"/>
    </row>
    <row r="103" spans="3:9" x14ac:dyDescent="0.25">
      <c r="C103" s="1516"/>
    </row>
    <row r="104" spans="3:9" x14ac:dyDescent="0.25">
      <c r="C104" s="1516"/>
    </row>
    <row r="105" spans="3:9" x14ac:dyDescent="0.25">
      <c r="C105" s="1516"/>
    </row>
    <row r="106" spans="3:9" x14ac:dyDescent="0.25">
      <c r="C106" s="1516"/>
    </row>
    <row r="107" spans="3:9" x14ac:dyDescent="0.25">
      <c r="C107" s="1516"/>
    </row>
    <row r="108" spans="3:9" x14ac:dyDescent="0.25">
      <c r="C108" s="1516"/>
    </row>
    <row r="109" spans="3:9" x14ac:dyDescent="0.25">
      <c r="C109" s="1516"/>
    </row>
    <row r="110" spans="3:9" x14ac:dyDescent="0.25">
      <c r="C110" s="1516"/>
    </row>
    <row r="153" spans="3:3" ht="11.25" customHeight="1" x14ac:dyDescent="0.25"/>
    <row r="154" spans="3:3" ht="11.25" customHeight="1" x14ac:dyDescent="0.25"/>
    <row r="155" spans="3:3" ht="11.25" customHeight="1" x14ac:dyDescent="0.25"/>
    <row r="156" spans="3:3" ht="11.25" customHeight="1" x14ac:dyDescent="0.25"/>
    <row r="157" spans="3:3" ht="11.25" customHeight="1" x14ac:dyDescent="0.25"/>
    <row r="158" spans="3:3" ht="11.25" customHeight="1" x14ac:dyDescent="0.25"/>
    <row r="160" spans="3:3" x14ac:dyDescent="0.25">
      <c r="C160" s="1517" t="s">
        <v>468</v>
      </c>
    </row>
    <row r="162" spans="3:23" x14ac:dyDescent="0.25">
      <c r="C162" s="1518" t="s">
        <v>469</v>
      </c>
      <c r="D162" s="1519">
        <v>2003</v>
      </c>
      <c r="E162" s="1519">
        <v>2004</v>
      </c>
      <c r="F162" s="1519">
        <v>2005</v>
      </c>
      <c r="G162" s="1519">
        <v>2006</v>
      </c>
      <c r="H162" s="1519">
        <v>2007</v>
      </c>
      <c r="I162" s="1519">
        <v>2008</v>
      </c>
      <c r="J162" s="1519">
        <v>2009</v>
      </c>
      <c r="K162" s="1519">
        <v>2010</v>
      </c>
      <c r="L162" s="1519">
        <v>2011</v>
      </c>
      <c r="M162" s="1519">
        <v>2012</v>
      </c>
      <c r="N162" s="1519">
        <v>2013</v>
      </c>
      <c r="O162" s="1519">
        <v>2014</v>
      </c>
      <c r="P162" s="1519">
        <v>2015</v>
      </c>
      <c r="Q162" s="1519">
        <v>2016</v>
      </c>
      <c r="R162" s="1519">
        <v>2017</v>
      </c>
      <c r="S162" s="1519">
        <v>2018</v>
      </c>
      <c r="T162" s="1519">
        <v>2019</v>
      </c>
      <c r="U162" s="1519">
        <v>2020</v>
      </c>
      <c r="V162" s="1519">
        <v>2021</v>
      </c>
      <c r="W162" s="1519">
        <v>2022</v>
      </c>
    </row>
    <row r="163" spans="3:23" x14ac:dyDescent="0.25">
      <c r="C163" s="635"/>
      <c r="D163" s="1520"/>
      <c r="E163" s="635"/>
      <c r="F163" s="635"/>
      <c r="G163" s="635"/>
      <c r="H163" s="635"/>
      <c r="I163" s="635"/>
      <c r="J163" s="635"/>
      <c r="K163" s="635"/>
      <c r="L163" s="635"/>
      <c r="M163" s="635"/>
      <c r="N163" s="635"/>
      <c r="O163" s="635"/>
      <c r="P163" s="635"/>
      <c r="Q163" s="635"/>
      <c r="R163" s="635"/>
      <c r="S163" s="635"/>
      <c r="T163" s="1520"/>
      <c r="U163" s="1520"/>
      <c r="V163" s="1520"/>
      <c r="W163" s="1520"/>
    </row>
    <row r="164" spans="3:23" x14ac:dyDescent="0.25">
      <c r="C164" s="1521" t="s">
        <v>308</v>
      </c>
      <c r="D164" s="1522">
        <f>SUM(D5)</f>
        <v>0</v>
      </c>
      <c r="E164" s="1522">
        <f t="shared" ref="E164:R164" si="77">SUM(E5)</f>
        <v>0</v>
      </c>
      <c r="F164" s="1522">
        <f t="shared" si="77"/>
        <v>0</v>
      </c>
      <c r="G164" s="1522">
        <f t="shared" si="77"/>
        <v>0</v>
      </c>
      <c r="H164" s="1522">
        <f t="shared" si="77"/>
        <v>0</v>
      </c>
      <c r="I164" s="1522">
        <f t="shared" si="77"/>
        <v>0</v>
      </c>
      <c r="J164" s="1522">
        <f t="shared" si="77"/>
        <v>0</v>
      </c>
      <c r="K164" s="1522">
        <f t="shared" si="77"/>
        <v>0</v>
      </c>
      <c r="L164" s="1522">
        <f t="shared" si="77"/>
        <v>0</v>
      </c>
      <c r="M164" s="1522">
        <f t="shared" si="77"/>
        <v>0</v>
      </c>
      <c r="N164" s="1522">
        <f t="shared" si="77"/>
        <v>0</v>
      </c>
      <c r="O164" s="1522">
        <f t="shared" si="77"/>
        <v>0</v>
      </c>
      <c r="P164" s="1522">
        <f t="shared" si="77"/>
        <v>0</v>
      </c>
      <c r="Q164" s="1522">
        <f t="shared" si="77"/>
        <v>0</v>
      </c>
      <c r="R164" s="1522">
        <f t="shared" si="77"/>
        <v>0</v>
      </c>
      <c r="S164" s="1522">
        <f>SUM(S5)</f>
        <v>0</v>
      </c>
      <c r="T164" s="1522">
        <f>SUM(T5)</f>
        <v>0</v>
      </c>
      <c r="U164" s="1522">
        <f>SUM(U5)</f>
        <v>0</v>
      </c>
      <c r="V164" s="1522">
        <f>SUM(V5)</f>
        <v>0</v>
      </c>
      <c r="W164" s="1522">
        <f>SUM(W5)</f>
        <v>0</v>
      </c>
    </row>
    <row r="165" spans="3:23" x14ac:dyDescent="0.25">
      <c r="C165" s="1523" t="s">
        <v>310</v>
      </c>
      <c r="D165" s="1524">
        <f>D6*2</f>
        <v>258</v>
      </c>
      <c r="E165" s="1524">
        <f t="shared" ref="E165:R165" si="78">E6*2</f>
        <v>256</v>
      </c>
      <c r="F165" s="1524">
        <f t="shared" si="78"/>
        <v>256</v>
      </c>
      <c r="G165" s="1524">
        <f t="shared" si="78"/>
        <v>250</v>
      </c>
      <c r="H165" s="1524">
        <f t="shared" si="78"/>
        <v>230</v>
      </c>
      <c r="I165" s="1524">
        <f t="shared" si="78"/>
        <v>170</v>
      </c>
      <c r="J165" s="1524">
        <f t="shared" si="78"/>
        <v>230</v>
      </c>
      <c r="K165" s="1524">
        <f t="shared" si="78"/>
        <v>262</v>
      </c>
      <c r="L165" s="1524">
        <f t="shared" si="78"/>
        <v>272</v>
      </c>
      <c r="M165" s="1524">
        <f t="shared" si="78"/>
        <v>262</v>
      </c>
      <c r="N165" s="1524">
        <f t="shared" si="78"/>
        <v>306</v>
      </c>
      <c r="O165" s="1524">
        <f t="shared" si="78"/>
        <v>388</v>
      </c>
      <c r="P165" s="1524">
        <f t="shared" si="78"/>
        <v>418</v>
      </c>
      <c r="Q165" s="1524">
        <f t="shared" si="78"/>
        <v>472</v>
      </c>
      <c r="R165" s="1524">
        <f t="shared" si="78"/>
        <v>462</v>
      </c>
      <c r="S165" s="1524">
        <f>S6*2</f>
        <v>460</v>
      </c>
      <c r="T165" s="1524">
        <f>T6*2</f>
        <v>430</v>
      </c>
      <c r="U165" s="1524">
        <f>U6*2</f>
        <v>404</v>
      </c>
      <c r="V165" s="1524">
        <f>V6*2</f>
        <v>386</v>
      </c>
      <c r="W165" s="1524">
        <f>W6*2</f>
        <v>360</v>
      </c>
    </row>
    <row r="166" spans="3:23" x14ac:dyDescent="0.25">
      <c r="C166" s="1525" t="s">
        <v>317</v>
      </c>
      <c r="D166" s="1524">
        <f>D7*3</f>
        <v>93</v>
      </c>
      <c r="E166" s="1524">
        <f>E7*3</f>
        <v>96</v>
      </c>
      <c r="F166" s="1524">
        <f t="shared" ref="F166:T166" si="79">F7*3</f>
        <v>105</v>
      </c>
      <c r="G166" s="1524">
        <f t="shared" si="79"/>
        <v>81</v>
      </c>
      <c r="H166" s="1524">
        <f t="shared" si="79"/>
        <v>105</v>
      </c>
      <c r="I166" s="1524">
        <f t="shared" si="79"/>
        <v>135</v>
      </c>
      <c r="J166" s="1524">
        <f t="shared" si="79"/>
        <v>126</v>
      </c>
      <c r="K166" s="1524">
        <f t="shared" si="79"/>
        <v>120</v>
      </c>
      <c r="L166" s="1524">
        <f t="shared" si="79"/>
        <v>126</v>
      </c>
      <c r="M166" s="1524">
        <f t="shared" si="79"/>
        <v>99</v>
      </c>
      <c r="N166" s="1524">
        <f t="shared" si="79"/>
        <v>105</v>
      </c>
      <c r="O166" s="1524">
        <f t="shared" si="79"/>
        <v>108</v>
      </c>
      <c r="P166" s="1524">
        <f t="shared" si="79"/>
        <v>132</v>
      </c>
      <c r="Q166" s="1524">
        <f t="shared" si="79"/>
        <v>156</v>
      </c>
      <c r="R166" s="1524">
        <f t="shared" si="79"/>
        <v>165</v>
      </c>
      <c r="S166" s="1524">
        <f t="shared" si="79"/>
        <v>177</v>
      </c>
      <c r="T166" s="1524">
        <f t="shared" si="79"/>
        <v>195</v>
      </c>
      <c r="U166" s="1524">
        <f>U7*3</f>
        <v>192</v>
      </c>
      <c r="V166" s="1524">
        <f>V7*3</f>
        <v>192</v>
      </c>
      <c r="W166" s="1524">
        <f>W7*3</f>
        <v>183</v>
      </c>
    </row>
    <row r="167" spans="3:23" x14ac:dyDescent="0.25">
      <c r="C167" s="1526" t="s">
        <v>470</v>
      </c>
      <c r="D167" s="1527">
        <f>SUM(D164:D166)</f>
        <v>351</v>
      </c>
      <c r="E167" s="1527">
        <f>SUM(E164:E166)</f>
        <v>352</v>
      </c>
      <c r="F167" s="1527">
        <f t="shared" ref="F167:P167" si="80">SUM(F164:F166)</f>
        <v>361</v>
      </c>
      <c r="G167" s="1527">
        <f t="shared" si="80"/>
        <v>331</v>
      </c>
      <c r="H167" s="1527">
        <f t="shared" si="80"/>
        <v>335</v>
      </c>
      <c r="I167" s="1527">
        <f t="shared" si="80"/>
        <v>305</v>
      </c>
      <c r="J167" s="1527">
        <f t="shared" si="80"/>
        <v>356</v>
      </c>
      <c r="K167" s="1527">
        <f t="shared" si="80"/>
        <v>382</v>
      </c>
      <c r="L167" s="1527">
        <f t="shared" si="80"/>
        <v>398</v>
      </c>
      <c r="M167" s="1527">
        <f t="shared" si="80"/>
        <v>361</v>
      </c>
      <c r="N167" s="1527">
        <f t="shared" si="80"/>
        <v>411</v>
      </c>
      <c r="O167" s="1527">
        <f t="shared" si="80"/>
        <v>496</v>
      </c>
      <c r="P167" s="1527">
        <f t="shared" si="80"/>
        <v>550</v>
      </c>
      <c r="Q167" s="1527">
        <f t="shared" ref="Q167:V167" si="81">SUM(Q164:Q166)</f>
        <v>628</v>
      </c>
      <c r="R167" s="1527">
        <f t="shared" si="81"/>
        <v>627</v>
      </c>
      <c r="S167" s="1527">
        <f t="shared" si="81"/>
        <v>637</v>
      </c>
      <c r="T167" s="1527">
        <f t="shared" si="81"/>
        <v>625</v>
      </c>
      <c r="U167" s="1527">
        <f t="shared" si="81"/>
        <v>596</v>
      </c>
      <c r="V167" s="1527">
        <f t="shared" si="81"/>
        <v>578</v>
      </c>
      <c r="W167" s="1527">
        <f t="shared" ref="W167" si="82">SUM(W164:W166)</f>
        <v>543</v>
      </c>
    </row>
    <row r="168" spans="3:23" x14ac:dyDescent="0.25">
      <c r="C168" s="1521" t="s">
        <v>308</v>
      </c>
      <c r="D168" s="1524">
        <f>+D9</f>
        <v>44</v>
      </c>
      <c r="E168" s="1524">
        <f t="shared" ref="E168:R168" si="83">+E9</f>
        <v>64</v>
      </c>
      <c r="F168" s="1524">
        <f t="shared" si="83"/>
        <v>67</v>
      </c>
      <c r="G168" s="1524">
        <f t="shared" si="83"/>
        <v>62</v>
      </c>
      <c r="H168" s="1524">
        <f t="shared" si="83"/>
        <v>70</v>
      </c>
      <c r="I168" s="1524">
        <f t="shared" si="83"/>
        <v>59</v>
      </c>
      <c r="J168" s="1524">
        <f t="shared" si="83"/>
        <v>48</v>
      </c>
      <c r="K168" s="1524">
        <f t="shared" si="83"/>
        <v>41</v>
      </c>
      <c r="L168" s="1524">
        <f t="shared" si="83"/>
        <v>52</v>
      </c>
      <c r="M168" s="1524">
        <f t="shared" si="83"/>
        <v>47</v>
      </c>
      <c r="N168" s="1524">
        <f t="shared" si="83"/>
        <v>47</v>
      </c>
      <c r="O168" s="1524">
        <f t="shared" si="83"/>
        <v>46</v>
      </c>
      <c r="P168" s="1524">
        <f t="shared" si="83"/>
        <v>49</v>
      </c>
      <c r="Q168" s="1524">
        <f t="shared" si="83"/>
        <v>49</v>
      </c>
      <c r="R168" s="1524">
        <f t="shared" si="83"/>
        <v>40</v>
      </c>
      <c r="S168" s="1524">
        <f>+S9</f>
        <v>35</v>
      </c>
      <c r="T168" s="1524">
        <f>+T9</f>
        <v>46</v>
      </c>
      <c r="U168" s="1524">
        <f>+U9</f>
        <v>43</v>
      </c>
      <c r="V168" s="1524">
        <f>+V9</f>
        <v>39</v>
      </c>
      <c r="W168" s="1524">
        <f>+W9</f>
        <v>58</v>
      </c>
    </row>
    <row r="169" spans="3:23" x14ac:dyDescent="0.25">
      <c r="C169" s="1523" t="s">
        <v>310</v>
      </c>
      <c r="D169" s="1524">
        <f>D10*2</f>
        <v>114</v>
      </c>
      <c r="E169" s="1524">
        <f t="shared" ref="E169:R169" si="84">E10*2</f>
        <v>138</v>
      </c>
      <c r="F169" s="1524">
        <f t="shared" si="84"/>
        <v>132</v>
      </c>
      <c r="G169" s="1524">
        <f t="shared" si="84"/>
        <v>124</v>
      </c>
      <c r="H169" s="1524">
        <f t="shared" si="84"/>
        <v>194</v>
      </c>
      <c r="I169" s="1524">
        <f t="shared" si="84"/>
        <v>166</v>
      </c>
      <c r="J169" s="1524">
        <f t="shared" si="84"/>
        <v>250</v>
      </c>
      <c r="K169" s="1524">
        <f t="shared" si="84"/>
        <v>164</v>
      </c>
      <c r="L169" s="1524">
        <f t="shared" si="84"/>
        <v>232</v>
      </c>
      <c r="M169" s="1524">
        <f t="shared" si="84"/>
        <v>190</v>
      </c>
      <c r="N169" s="1524">
        <f t="shared" si="84"/>
        <v>276</v>
      </c>
      <c r="O169" s="1524">
        <f t="shared" si="84"/>
        <v>294</v>
      </c>
      <c r="P169" s="1524">
        <f t="shared" si="84"/>
        <v>286</v>
      </c>
      <c r="Q169" s="1524">
        <f t="shared" si="84"/>
        <v>242</v>
      </c>
      <c r="R169" s="1524">
        <f t="shared" si="84"/>
        <v>392</v>
      </c>
      <c r="S169" s="1524">
        <f>S10*2</f>
        <v>344</v>
      </c>
      <c r="T169" s="1524">
        <f>T10*2</f>
        <v>456</v>
      </c>
      <c r="U169" s="1524">
        <f>U10*2</f>
        <v>330</v>
      </c>
      <c r="V169" s="1524">
        <f>V10*2</f>
        <v>338</v>
      </c>
      <c r="W169" s="1524">
        <f>W10*2</f>
        <v>298</v>
      </c>
    </row>
    <row r="170" spans="3:23" x14ac:dyDescent="0.25">
      <c r="C170" s="1525" t="s">
        <v>317</v>
      </c>
      <c r="D170" s="1524">
        <f>D11*3</f>
        <v>21</v>
      </c>
      <c r="E170" s="1524">
        <f t="shared" ref="E170:R170" si="85">E11*3</f>
        <v>27</v>
      </c>
      <c r="F170" s="1524">
        <f t="shared" si="85"/>
        <v>51</v>
      </c>
      <c r="G170" s="1524">
        <f t="shared" si="85"/>
        <v>51</v>
      </c>
      <c r="H170" s="1524">
        <f t="shared" si="85"/>
        <v>183</v>
      </c>
      <c r="I170" s="1524">
        <f t="shared" si="85"/>
        <v>120</v>
      </c>
      <c r="J170" s="1524">
        <f t="shared" si="85"/>
        <v>117</v>
      </c>
      <c r="K170" s="1524">
        <f t="shared" si="85"/>
        <v>162</v>
      </c>
      <c r="L170" s="1524">
        <f t="shared" si="85"/>
        <v>135</v>
      </c>
      <c r="M170" s="1524">
        <f t="shared" si="85"/>
        <v>138</v>
      </c>
      <c r="N170" s="1524">
        <f t="shared" si="85"/>
        <v>162</v>
      </c>
      <c r="O170" s="1524">
        <f t="shared" si="85"/>
        <v>153</v>
      </c>
      <c r="P170" s="1524">
        <f t="shared" si="85"/>
        <v>150</v>
      </c>
      <c r="Q170" s="1524">
        <f t="shared" si="85"/>
        <v>201</v>
      </c>
      <c r="R170" s="1524">
        <f t="shared" si="85"/>
        <v>201</v>
      </c>
      <c r="S170" s="1524">
        <f>S11*3</f>
        <v>264</v>
      </c>
      <c r="T170" s="1524">
        <f>T11*3</f>
        <v>282</v>
      </c>
      <c r="U170" s="1524">
        <f>U11*3</f>
        <v>312</v>
      </c>
      <c r="V170" s="1524">
        <f>V11*3</f>
        <v>339</v>
      </c>
      <c r="W170" s="1524">
        <f>W11*3</f>
        <v>288</v>
      </c>
    </row>
    <row r="171" spans="3:23" x14ac:dyDescent="0.25">
      <c r="C171" s="1526" t="s">
        <v>471</v>
      </c>
      <c r="D171" s="1527">
        <f>SUM(D168:D170)</f>
        <v>179</v>
      </c>
      <c r="E171" s="1527">
        <f>SUM(E168:E170)</f>
        <v>229</v>
      </c>
      <c r="F171" s="1527">
        <f t="shared" ref="F171:P171" si="86">SUM(F168:F170)</f>
        <v>250</v>
      </c>
      <c r="G171" s="1527">
        <f t="shared" si="86"/>
        <v>237</v>
      </c>
      <c r="H171" s="1527">
        <f t="shared" si="86"/>
        <v>447</v>
      </c>
      <c r="I171" s="1527">
        <f t="shared" si="86"/>
        <v>345</v>
      </c>
      <c r="J171" s="1527">
        <f t="shared" si="86"/>
        <v>415</v>
      </c>
      <c r="K171" s="1527">
        <f t="shared" si="86"/>
        <v>367</v>
      </c>
      <c r="L171" s="1527">
        <f t="shared" si="86"/>
        <v>419</v>
      </c>
      <c r="M171" s="1527">
        <f t="shared" si="86"/>
        <v>375</v>
      </c>
      <c r="N171" s="1527">
        <f t="shared" si="86"/>
        <v>485</v>
      </c>
      <c r="O171" s="1527">
        <f t="shared" si="86"/>
        <v>493</v>
      </c>
      <c r="P171" s="1527">
        <f t="shared" si="86"/>
        <v>485</v>
      </c>
      <c r="Q171" s="1527">
        <f t="shared" ref="Q171:V171" si="87">SUM(Q168:Q170)</f>
        <v>492</v>
      </c>
      <c r="R171" s="1527">
        <f t="shared" si="87"/>
        <v>633</v>
      </c>
      <c r="S171" s="1527">
        <f t="shared" si="87"/>
        <v>643</v>
      </c>
      <c r="T171" s="1527">
        <f t="shared" si="87"/>
        <v>784</v>
      </c>
      <c r="U171" s="1527">
        <f t="shared" si="87"/>
        <v>685</v>
      </c>
      <c r="V171" s="1527">
        <f t="shared" si="87"/>
        <v>716</v>
      </c>
      <c r="W171" s="1527">
        <f t="shared" ref="W171" si="88">SUM(W168:W170)</f>
        <v>644</v>
      </c>
    </row>
    <row r="172" spans="3:23" x14ac:dyDescent="0.25">
      <c r="C172" s="1521" t="s">
        <v>308</v>
      </c>
      <c r="D172" s="1524">
        <f>+D13</f>
        <v>43</v>
      </c>
      <c r="E172" s="1524">
        <f>+E13</f>
        <v>37</v>
      </c>
      <c r="F172" s="1524">
        <f t="shared" ref="F172:T172" si="89">+F13</f>
        <v>29</v>
      </c>
      <c r="G172" s="1524">
        <f t="shared" si="89"/>
        <v>34</v>
      </c>
      <c r="H172" s="1524">
        <f t="shared" si="89"/>
        <v>61</v>
      </c>
      <c r="I172" s="1524">
        <f t="shared" si="89"/>
        <v>64</v>
      </c>
      <c r="J172" s="1524">
        <f t="shared" si="89"/>
        <v>103</v>
      </c>
      <c r="K172" s="1524">
        <f t="shared" si="89"/>
        <v>102</v>
      </c>
      <c r="L172" s="1524">
        <f t="shared" si="89"/>
        <v>20</v>
      </c>
      <c r="M172" s="1524">
        <f t="shared" si="89"/>
        <v>95</v>
      </c>
      <c r="N172" s="1524">
        <f t="shared" si="89"/>
        <v>23</v>
      </c>
      <c r="O172" s="1524">
        <f t="shared" si="89"/>
        <v>70</v>
      </c>
      <c r="P172" s="1524">
        <f t="shared" si="89"/>
        <v>24</v>
      </c>
      <c r="Q172" s="1524">
        <f t="shared" si="89"/>
        <v>9</v>
      </c>
      <c r="R172" s="1524">
        <f t="shared" si="89"/>
        <v>14</v>
      </c>
      <c r="S172" s="1524">
        <f t="shared" si="89"/>
        <v>25</v>
      </c>
      <c r="T172" s="1524">
        <f t="shared" si="89"/>
        <v>14</v>
      </c>
      <c r="U172" s="1524">
        <f>+U13</f>
        <v>13</v>
      </c>
      <c r="V172" s="1524">
        <f>+V13</f>
        <v>15</v>
      </c>
      <c r="W172" s="1524">
        <f>+W13</f>
        <v>32</v>
      </c>
    </row>
    <row r="173" spans="3:23" x14ac:dyDescent="0.25">
      <c r="C173" s="1523" t="s">
        <v>310</v>
      </c>
      <c r="D173" s="1524">
        <f>D14*2</f>
        <v>90</v>
      </c>
      <c r="E173" s="1524">
        <f>E14*2</f>
        <v>74</v>
      </c>
      <c r="F173" s="1524">
        <f t="shared" ref="F173:T173" si="90">F14*2</f>
        <v>96</v>
      </c>
      <c r="G173" s="1524">
        <f t="shared" si="90"/>
        <v>110</v>
      </c>
      <c r="H173" s="1524">
        <f t="shared" si="90"/>
        <v>102</v>
      </c>
      <c r="I173" s="1524">
        <f t="shared" si="90"/>
        <v>110</v>
      </c>
      <c r="J173" s="1524">
        <f t="shared" si="90"/>
        <v>94</v>
      </c>
      <c r="K173" s="1524">
        <f t="shared" si="90"/>
        <v>174</v>
      </c>
      <c r="L173" s="1524">
        <f t="shared" si="90"/>
        <v>216</v>
      </c>
      <c r="M173" s="1524">
        <f t="shared" si="90"/>
        <v>158</v>
      </c>
      <c r="N173" s="1524">
        <f t="shared" si="90"/>
        <v>204</v>
      </c>
      <c r="O173" s="1524">
        <f t="shared" si="90"/>
        <v>148</v>
      </c>
      <c r="P173" s="1524">
        <f t="shared" si="90"/>
        <v>234</v>
      </c>
      <c r="Q173" s="1524">
        <f t="shared" si="90"/>
        <v>244</v>
      </c>
      <c r="R173" s="1524">
        <f t="shared" si="90"/>
        <v>246</v>
      </c>
      <c r="S173" s="1524">
        <f t="shared" si="90"/>
        <v>194</v>
      </c>
      <c r="T173" s="1524">
        <f t="shared" si="90"/>
        <v>160</v>
      </c>
      <c r="U173" s="1524">
        <f>U14*2</f>
        <v>180</v>
      </c>
      <c r="V173" s="1524">
        <f>V14*2</f>
        <v>206</v>
      </c>
      <c r="W173" s="1524">
        <f>W14*2</f>
        <v>244</v>
      </c>
    </row>
    <row r="174" spans="3:23" x14ac:dyDescent="0.25">
      <c r="C174" s="1525" t="s">
        <v>317</v>
      </c>
      <c r="D174" s="1524">
        <f>D15*3</f>
        <v>54</v>
      </c>
      <c r="E174" s="1524">
        <f>E15*3</f>
        <v>15</v>
      </c>
      <c r="F174" s="1524">
        <f t="shared" ref="F174:T174" si="91">F15*3</f>
        <v>24</v>
      </c>
      <c r="G174" s="1524">
        <f t="shared" si="91"/>
        <v>39</v>
      </c>
      <c r="H174" s="1524">
        <f t="shared" si="91"/>
        <v>60</v>
      </c>
      <c r="I174" s="1524">
        <f t="shared" si="91"/>
        <v>93</v>
      </c>
      <c r="J174" s="1524">
        <f t="shared" si="91"/>
        <v>102</v>
      </c>
      <c r="K174" s="1524">
        <f t="shared" si="91"/>
        <v>186</v>
      </c>
      <c r="L174" s="1524">
        <f t="shared" si="91"/>
        <v>168</v>
      </c>
      <c r="M174" s="1524">
        <f t="shared" si="91"/>
        <v>189</v>
      </c>
      <c r="N174" s="1524">
        <f t="shared" si="91"/>
        <v>165</v>
      </c>
      <c r="O174" s="1524">
        <f t="shared" si="91"/>
        <v>240</v>
      </c>
      <c r="P174" s="1524">
        <f t="shared" si="91"/>
        <v>213</v>
      </c>
      <c r="Q174" s="1524">
        <f t="shared" si="91"/>
        <v>213</v>
      </c>
      <c r="R174" s="1524">
        <f t="shared" si="91"/>
        <v>270</v>
      </c>
      <c r="S174" s="1524">
        <f t="shared" si="91"/>
        <v>186</v>
      </c>
      <c r="T174" s="1524">
        <f t="shared" si="91"/>
        <v>198</v>
      </c>
      <c r="U174" s="1524">
        <f>U15*3</f>
        <v>219</v>
      </c>
      <c r="V174" s="1524">
        <f>V15*3</f>
        <v>222</v>
      </c>
      <c r="W174" s="1524">
        <f>W15*3</f>
        <v>246</v>
      </c>
    </row>
    <row r="175" spans="3:23" x14ac:dyDescent="0.25">
      <c r="C175" s="1526" t="s">
        <v>472</v>
      </c>
      <c r="D175" s="1527">
        <f>SUM(D172:D174)</f>
        <v>187</v>
      </c>
      <c r="E175" s="1527">
        <f>SUM(E172:E174)</f>
        <v>126</v>
      </c>
      <c r="F175" s="1527">
        <f t="shared" ref="F175:P175" si="92">SUM(F172:F174)</f>
        <v>149</v>
      </c>
      <c r="G175" s="1527">
        <f t="shared" si="92"/>
        <v>183</v>
      </c>
      <c r="H175" s="1527">
        <f t="shared" si="92"/>
        <v>223</v>
      </c>
      <c r="I175" s="1527">
        <f t="shared" si="92"/>
        <v>267</v>
      </c>
      <c r="J175" s="1527">
        <f t="shared" si="92"/>
        <v>299</v>
      </c>
      <c r="K175" s="1527">
        <f t="shared" si="92"/>
        <v>462</v>
      </c>
      <c r="L175" s="1527">
        <f t="shared" si="92"/>
        <v>404</v>
      </c>
      <c r="M175" s="1527">
        <f t="shared" si="92"/>
        <v>442</v>
      </c>
      <c r="N175" s="1527">
        <f t="shared" si="92"/>
        <v>392</v>
      </c>
      <c r="O175" s="1527">
        <f t="shared" si="92"/>
        <v>458</v>
      </c>
      <c r="P175" s="1527">
        <f t="shared" si="92"/>
        <v>471</v>
      </c>
      <c r="Q175" s="1527">
        <f t="shared" ref="Q175:V175" si="93">SUM(Q172:Q174)</f>
        <v>466</v>
      </c>
      <c r="R175" s="1527">
        <f t="shared" si="93"/>
        <v>530</v>
      </c>
      <c r="S175" s="1527">
        <f t="shared" si="93"/>
        <v>405</v>
      </c>
      <c r="T175" s="1527">
        <f t="shared" si="93"/>
        <v>372</v>
      </c>
      <c r="U175" s="1527">
        <f t="shared" si="93"/>
        <v>412</v>
      </c>
      <c r="V175" s="1527">
        <f t="shared" si="93"/>
        <v>443</v>
      </c>
      <c r="W175" s="1527">
        <f t="shared" ref="W175" si="94">SUM(W172:W174)</f>
        <v>522</v>
      </c>
    </row>
    <row r="176" spans="3:23" ht="15" customHeight="1" x14ac:dyDescent="0.25">
      <c r="C176" s="1521" t="s">
        <v>308</v>
      </c>
      <c r="D176" s="1524">
        <f>SUM(D164,D168,D172)</f>
        <v>87</v>
      </c>
      <c r="E176" s="1524">
        <f>SUM(E164,E168,E172)</f>
        <v>101</v>
      </c>
      <c r="F176" s="1524">
        <f t="shared" ref="F176:U178" si="95">SUM(F164,F168,F172)</f>
        <v>96</v>
      </c>
      <c r="G176" s="1524">
        <f t="shared" si="95"/>
        <v>96</v>
      </c>
      <c r="H176" s="1524">
        <f t="shared" si="95"/>
        <v>131</v>
      </c>
      <c r="I176" s="1524">
        <f t="shared" si="95"/>
        <v>123</v>
      </c>
      <c r="J176" s="1524">
        <f t="shared" si="95"/>
        <v>151</v>
      </c>
      <c r="K176" s="1524">
        <f t="shared" si="95"/>
        <v>143</v>
      </c>
      <c r="L176" s="1524">
        <f t="shared" si="95"/>
        <v>72</v>
      </c>
      <c r="M176" s="1524">
        <f t="shared" si="95"/>
        <v>142</v>
      </c>
      <c r="N176" s="1524">
        <f t="shared" si="95"/>
        <v>70</v>
      </c>
      <c r="O176" s="1524">
        <f t="shared" si="95"/>
        <v>116</v>
      </c>
      <c r="P176" s="1524">
        <f t="shared" si="95"/>
        <v>73</v>
      </c>
      <c r="Q176" s="1524">
        <f t="shared" si="95"/>
        <v>58</v>
      </c>
      <c r="R176" s="1524">
        <f t="shared" si="95"/>
        <v>54</v>
      </c>
      <c r="S176" s="1524">
        <f t="shared" si="95"/>
        <v>60</v>
      </c>
      <c r="T176" s="1524">
        <f t="shared" si="95"/>
        <v>60</v>
      </c>
      <c r="U176" s="1524">
        <f t="shared" si="95"/>
        <v>56</v>
      </c>
      <c r="V176" s="1524">
        <f t="shared" ref="V176:W176" si="96">SUM(V164,V168,V172)</f>
        <v>54</v>
      </c>
      <c r="W176" s="1524">
        <f t="shared" si="96"/>
        <v>90</v>
      </c>
    </row>
    <row r="177" spans="3:23" x14ac:dyDescent="0.25">
      <c r="C177" s="1523" t="s">
        <v>310</v>
      </c>
      <c r="D177" s="1524">
        <f>SUM(D165,D169,D173)</f>
        <v>462</v>
      </c>
      <c r="E177" s="1524">
        <f t="shared" ref="E177:P178" si="97">SUM(E165,E169,E173)</f>
        <v>468</v>
      </c>
      <c r="F177" s="1524">
        <f t="shared" si="97"/>
        <v>484</v>
      </c>
      <c r="G177" s="1524">
        <f t="shared" si="97"/>
        <v>484</v>
      </c>
      <c r="H177" s="1524">
        <f t="shared" si="97"/>
        <v>526</v>
      </c>
      <c r="I177" s="1524">
        <f t="shared" si="97"/>
        <v>446</v>
      </c>
      <c r="J177" s="1524">
        <f t="shared" si="97"/>
        <v>574</v>
      </c>
      <c r="K177" s="1524">
        <f t="shared" si="97"/>
        <v>600</v>
      </c>
      <c r="L177" s="1524">
        <f t="shared" si="97"/>
        <v>720</v>
      </c>
      <c r="M177" s="1524">
        <f t="shared" si="97"/>
        <v>610</v>
      </c>
      <c r="N177" s="1524">
        <f t="shared" si="97"/>
        <v>786</v>
      </c>
      <c r="O177" s="1524">
        <f t="shared" si="97"/>
        <v>830</v>
      </c>
      <c r="P177" s="1524">
        <f t="shared" si="97"/>
        <v>938</v>
      </c>
      <c r="Q177" s="1524">
        <f t="shared" si="95"/>
        <v>958</v>
      </c>
      <c r="R177" s="1524">
        <f t="shared" si="95"/>
        <v>1100</v>
      </c>
      <c r="S177" s="1524">
        <f t="shared" si="95"/>
        <v>998</v>
      </c>
      <c r="T177" s="1524">
        <f t="shared" si="95"/>
        <v>1046</v>
      </c>
      <c r="U177" s="1524">
        <f t="shared" si="95"/>
        <v>914</v>
      </c>
      <c r="V177" s="1524">
        <f t="shared" ref="V177:W177" si="98">SUM(V165,V169,V173)</f>
        <v>930</v>
      </c>
      <c r="W177" s="1524">
        <f t="shared" si="98"/>
        <v>902</v>
      </c>
    </row>
    <row r="178" spans="3:23" x14ac:dyDescent="0.25">
      <c r="C178" s="1525" t="s">
        <v>317</v>
      </c>
      <c r="D178" s="1524">
        <f>SUM(D166,D170,D174)</f>
        <v>168</v>
      </c>
      <c r="E178" s="1524">
        <f t="shared" si="97"/>
        <v>138</v>
      </c>
      <c r="F178" s="1524">
        <f t="shared" si="97"/>
        <v>180</v>
      </c>
      <c r="G178" s="1524">
        <f t="shared" si="97"/>
        <v>171</v>
      </c>
      <c r="H178" s="1524">
        <f t="shared" si="97"/>
        <v>348</v>
      </c>
      <c r="I178" s="1524">
        <f t="shared" si="97"/>
        <v>348</v>
      </c>
      <c r="J178" s="1524">
        <f t="shared" si="97"/>
        <v>345</v>
      </c>
      <c r="K178" s="1524">
        <f t="shared" si="97"/>
        <v>468</v>
      </c>
      <c r="L178" s="1524">
        <f t="shared" si="97"/>
        <v>429</v>
      </c>
      <c r="M178" s="1524">
        <f t="shared" si="97"/>
        <v>426</v>
      </c>
      <c r="N178" s="1524">
        <f t="shared" si="97"/>
        <v>432</v>
      </c>
      <c r="O178" s="1524">
        <f t="shared" si="97"/>
        <v>501</v>
      </c>
      <c r="P178" s="1524">
        <f t="shared" si="97"/>
        <v>495</v>
      </c>
      <c r="Q178" s="1524">
        <f t="shared" si="95"/>
        <v>570</v>
      </c>
      <c r="R178" s="1524">
        <f t="shared" si="95"/>
        <v>636</v>
      </c>
      <c r="S178" s="1524">
        <f t="shared" si="95"/>
        <v>627</v>
      </c>
      <c r="T178" s="1524">
        <f t="shared" si="95"/>
        <v>675</v>
      </c>
      <c r="U178" s="1524">
        <f t="shared" si="95"/>
        <v>723</v>
      </c>
      <c r="V178" s="1524">
        <f t="shared" ref="V178:W178" si="99">SUM(V166,V170,V174)</f>
        <v>753</v>
      </c>
      <c r="W178" s="1524">
        <f t="shared" si="99"/>
        <v>717</v>
      </c>
    </row>
    <row r="179" spans="3:23" x14ac:dyDescent="0.25">
      <c r="C179" s="1528" t="s">
        <v>138</v>
      </c>
      <c r="D179" s="1529">
        <f>SUM(D176:D178)</f>
        <v>717</v>
      </c>
      <c r="E179" s="1529">
        <f>SUM(E176:E178)</f>
        <v>707</v>
      </c>
      <c r="F179" s="1529">
        <f t="shared" ref="F179:P179" si="100">SUM(F176:F178)</f>
        <v>760</v>
      </c>
      <c r="G179" s="1529">
        <f t="shared" si="100"/>
        <v>751</v>
      </c>
      <c r="H179" s="1529">
        <f t="shared" si="100"/>
        <v>1005</v>
      </c>
      <c r="I179" s="1529">
        <f t="shared" si="100"/>
        <v>917</v>
      </c>
      <c r="J179" s="1529">
        <f t="shared" si="100"/>
        <v>1070</v>
      </c>
      <c r="K179" s="1529">
        <f t="shared" si="100"/>
        <v>1211</v>
      </c>
      <c r="L179" s="1529">
        <f t="shared" si="100"/>
        <v>1221</v>
      </c>
      <c r="M179" s="1529">
        <f t="shared" si="100"/>
        <v>1178</v>
      </c>
      <c r="N179" s="1529">
        <f t="shared" si="100"/>
        <v>1288</v>
      </c>
      <c r="O179" s="1529">
        <f t="shared" si="100"/>
        <v>1447</v>
      </c>
      <c r="P179" s="1529">
        <f t="shared" si="100"/>
        <v>1506</v>
      </c>
      <c r="Q179" s="1529">
        <f t="shared" ref="Q179:V179" si="101">SUM(Q176:Q178)</f>
        <v>1586</v>
      </c>
      <c r="R179" s="1529">
        <f t="shared" si="101"/>
        <v>1790</v>
      </c>
      <c r="S179" s="1529">
        <f t="shared" si="101"/>
        <v>1685</v>
      </c>
      <c r="T179" s="1529">
        <f t="shared" si="101"/>
        <v>1781</v>
      </c>
      <c r="U179" s="1529">
        <f t="shared" si="101"/>
        <v>1693</v>
      </c>
      <c r="V179" s="1529">
        <f t="shared" si="101"/>
        <v>1737</v>
      </c>
      <c r="W179" s="1529">
        <f t="shared" ref="W179" si="102">SUM(W176:W178)</f>
        <v>1709</v>
      </c>
    </row>
    <row r="180" spans="3:23" x14ac:dyDescent="0.25">
      <c r="C180" s="1520"/>
      <c r="D180" s="1520"/>
      <c r="E180" s="1520"/>
      <c r="F180" s="1520"/>
      <c r="G180" s="1520"/>
      <c r="H180" s="1520"/>
      <c r="I180" s="1520"/>
      <c r="J180" s="1520"/>
      <c r="K180" s="1520"/>
      <c r="L180" s="1520"/>
      <c r="M180" s="1520"/>
      <c r="N180" s="1520"/>
      <c r="O180" s="1520"/>
      <c r="P180" s="1520"/>
      <c r="Q180" s="1520"/>
      <c r="R180" s="1520"/>
      <c r="S180" s="1520"/>
      <c r="T180" s="1520"/>
      <c r="U180" s="1520"/>
      <c r="V180" s="1520"/>
      <c r="W180" s="1520"/>
    </row>
    <row r="181" spans="3:23" x14ac:dyDescent="0.25">
      <c r="C181" s="1521" t="s">
        <v>308</v>
      </c>
      <c r="D181" s="1522">
        <f>+D22</f>
        <v>0</v>
      </c>
      <c r="E181" s="1522">
        <f t="shared" ref="E181:R181" si="103">+E22</f>
        <v>0</v>
      </c>
      <c r="F181" s="1522">
        <f t="shared" si="103"/>
        <v>0</v>
      </c>
      <c r="G181" s="1522">
        <f t="shared" si="103"/>
        <v>0</v>
      </c>
      <c r="H181" s="1522">
        <f t="shared" si="103"/>
        <v>0</v>
      </c>
      <c r="I181" s="1522">
        <f t="shared" si="103"/>
        <v>0</v>
      </c>
      <c r="J181" s="1522">
        <f t="shared" si="103"/>
        <v>0</v>
      </c>
      <c r="K181" s="1522">
        <f t="shared" si="103"/>
        <v>0</v>
      </c>
      <c r="L181" s="1522">
        <f t="shared" si="103"/>
        <v>0</v>
      </c>
      <c r="M181" s="1522">
        <f t="shared" si="103"/>
        <v>0</v>
      </c>
      <c r="N181" s="1522">
        <f t="shared" si="103"/>
        <v>0</v>
      </c>
      <c r="O181" s="1522">
        <f t="shared" si="103"/>
        <v>0</v>
      </c>
      <c r="P181" s="1522">
        <f t="shared" si="103"/>
        <v>0</v>
      </c>
      <c r="Q181" s="1522">
        <f t="shared" si="103"/>
        <v>2</v>
      </c>
      <c r="R181" s="1522">
        <f t="shared" si="103"/>
        <v>4</v>
      </c>
      <c r="S181" s="1522">
        <f>+S22</f>
        <v>5</v>
      </c>
      <c r="T181" s="1522">
        <f>+T22</f>
        <v>3</v>
      </c>
      <c r="U181" s="1522">
        <f>+U22</f>
        <v>4</v>
      </c>
      <c r="V181" s="1522">
        <f>+V22</f>
        <v>6</v>
      </c>
      <c r="W181" s="1522">
        <f>+W22</f>
        <v>8</v>
      </c>
    </row>
    <row r="182" spans="3:23" x14ac:dyDescent="0.25">
      <c r="C182" s="1523" t="s">
        <v>310</v>
      </c>
      <c r="D182" s="1524">
        <f>D23*2</f>
        <v>166</v>
      </c>
      <c r="E182" s="1524">
        <f t="shared" ref="E182:R182" si="104">E23*2</f>
        <v>198</v>
      </c>
      <c r="F182" s="1524">
        <f t="shared" si="104"/>
        <v>306</v>
      </c>
      <c r="G182" s="1524">
        <f t="shared" si="104"/>
        <v>358</v>
      </c>
      <c r="H182" s="1524">
        <f t="shared" si="104"/>
        <v>394</v>
      </c>
      <c r="I182" s="1524">
        <f t="shared" si="104"/>
        <v>438</v>
      </c>
      <c r="J182" s="1524">
        <f t="shared" si="104"/>
        <v>488</v>
      </c>
      <c r="K182" s="1524">
        <f t="shared" si="104"/>
        <v>440</v>
      </c>
      <c r="L182" s="1524">
        <f t="shared" si="104"/>
        <v>502</v>
      </c>
      <c r="M182" s="1524">
        <f t="shared" si="104"/>
        <v>690</v>
      </c>
      <c r="N182" s="1524">
        <f t="shared" si="104"/>
        <v>546</v>
      </c>
      <c r="O182" s="1524">
        <f t="shared" si="104"/>
        <v>540</v>
      </c>
      <c r="P182" s="1524">
        <f t="shared" si="104"/>
        <v>560</v>
      </c>
      <c r="Q182" s="1524">
        <f t="shared" si="104"/>
        <v>648</v>
      </c>
      <c r="R182" s="1524">
        <f t="shared" si="104"/>
        <v>648</v>
      </c>
      <c r="S182" s="1524">
        <f>S23*2</f>
        <v>608</v>
      </c>
      <c r="T182" s="1524">
        <f>T23*2</f>
        <v>652</v>
      </c>
      <c r="U182" s="1524">
        <f>U23*2</f>
        <v>584</v>
      </c>
      <c r="V182" s="1524">
        <f>V23*2</f>
        <v>586</v>
      </c>
      <c r="W182" s="1524">
        <f>W23*2</f>
        <v>694</v>
      </c>
    </row>
    <row r="183" spans="3:23" x14ac:dyDescent="0.25">
      <c r="C183" s="1525" t="s">
        <v>317</v>
      </c>
      <c r="D183" s="1524">
        <f>D24*3</f>
        <v>780</v>
      </c>
      <c r="E183" s="1524">
        <f t="shared" ref="E183:R183" si="105">E24*3</f>
        <v>750</v>
      </c>
      <c r="F183" s="1524">
        <f t="shared" si="105"/>
        <v>744</v>
      </c>
      <c r="G183" s="1524">
        <f t="shared" si="105"/>
        <v>723</v>
      </c>
      <c r="H183" s="1524">
        <f t="shared" si="105"/>
        <v>705</v>
      </c>
      <c r="I183" s="1524">
        <f t="shared" si="105"/>
        <v>621</v>
      </c>
      <c r="J183" s="1524">
        <f t="shared" si="105"/>
        <v>591</v>
      </c>
      <c r="K183" s="1524">
        <f t="shared" si="105"/>
        <v>702</v>
      </c>
      <c r="L183" s="1524">
        <f t="shared" si="105"/>
        <v>738</v>
      </c>
      <c r="M183" s="1524">
        <f t="shared" si="105"/>
        <v>525</v>
      </c>
      <c r="N183" s="1524">
        <f t="shared" si="105"/>
        <v>849</v>
      </c>
      <c r="O183" s="1524">
        <f t="shared" si="105"/>
        <v>888</v>
      </c>
      <c r="P183" s="1524">
        <f t="shared" si="105"/>
        <v>864</v>
      </c>
      <c r="Q183" s="1524">
        <f t="shared" si="105"/>
        <v>807</v>
      </c>
      <c r="R183" s="1524">
        <f t="shared" si="105"/>
        <v>741</v>
      </c>
      <c r="S183" s="1524">
        <f>S24*3</f>
        <v>777</v>
      </c>
      <c r="T183" s="1524">
        <f>T24*3</f>
        <v>753</v>
      </c>
      <c r="U183" s="1524">
        <f>U24*3</f>
        <v>699</v>
      </c>
      <c r="V183" s="1524">
        <f>V24*3</f>
        <v>663</v>
      </c>
      <c r="W183" s="1524">
        <f>W24*3</f>
        <v>705</v>
      </c>
    </row>
    <row r="184" spans="3:23" x14ac:dyDescent="0.25">
      <c r="C184" s="1526" t="s">
        <v>470</v>
      </c>
      <c r="D184" s="1527">
        <f>SUM(D181:D183)</f>
        <v>946</v>
      </c>
      <c r="E184" s="1527">
        <f t="shared" ref="E184:U184" si="106">SUM(E181:E183)</f>
        <v>948</v>
      </c>
      <c r="F184" s="1527">
        <f t="shared" si="106"/>
        <v>1050</v>
      </c>
      <c r="G184" s="1527">
        <f t="shared" si="106"/>
        <v>1081</v>
      </c>
      <c r="H184" s="1527">
        <f t="shared" si="106"/>
        <v>1099</v>
      </c>
      <c r="I184" s="1527">
        <f t="shared" si="106"/>
        <v>1059</v>
      </c>
      <c r="J184" s="1527">
        <f t="shared" si="106"/>
        <v>1079</v>
      </c>
      <c r="K184" s="1527">
        <f t="shared" si="106"/>
        <v>1142</v>
      </c>
      <c r="L184" s="1527">
        <f t="shared" si="106"/>
        <v>1240</v>
      </c>
      <c r="M184" s="1527">
        <f t="shared" si="106"/>
        <v>1215</v>
      </c>
      <c r="N184" s="1527">
        <f t="shared" si="106"/>
        <v>1395</v>
      </c>
      <c r="O184" s="1527">
        <f t="shared" si="106"/>
        <v>1428</v>
      </c>
      <c r="P184" s="1527">
        <f t="shared" si="106"/>
        <v>1424</v>
      </c>
      <c r="Q184" s="1527">
        <f t="shared" si="106"/>
        <v>1457</v>
      </c>
      <c r="R184" s="1527">
        <f t="shared" si="106"/>
        <v>1393</v>
      </c>
      <c r="S184" s="1527">
        <f t="shared" si="106"/>
        <v>1390</v>
      </c>
      <c r="T184" s="1527">
        <f t="shared" si="106"/>
        <v>1408</v>
      </c>
      <c r="U184" s="1527">
        <f t="shared" si="106"/>
        <v>1287</v>
      </c>
      <c r="V184" s="1527">
        <f t="shared" ref="V184:W184" si="107">SUM(V181:V183)</f>
        <v>1255</v>
      </c>
      <c r="W184" s="1527">
        <f t="shared" si="107"/>
        <v>1407</v>
      </c>
    </row>
    <row r="185" spans="3:23" x14ac:dyDescent="0.25">
      <c r="C185" s="1521" t="s">
        <v>308</v>
      </c>
      <c r="D185" s="1524">
        <f>+D26</f>
        <v>47</v>
      </c>
      <c r="E185" s="1524">
        <f t="shared" ref="E185:R185" si="108">+E26</f>
        <v>114</v>
      </c>
      <c r="F185" s="1524">
        <f t="shared" si="108"/>
        <v>74</v>
      </c>
      <c r="G185" s="1524">
        <f t="shared" si="108"/>
        <v>86</v>
      </c>
      <c r="H185" s="1524">
        <f t="shared" si="108"/>
        <v>109</v>
      </c>
      <c r="I185" s="1524">
        <f t="shared" si="108"/>
        <v>101</v>
      </c>
      <c r="J185" s="1524">
        <f t="shared" si="108"/>
        <v>118</v>
      </c>
      <c r="K185" s="1524">
        <f t="shared" si="108"/>
        <v>169</v>
      </c>
      <c r="L185" s="1524">
        <f t="shared" si="108"/>
        <v>153</v>
      </c>
      <c r="M185" s="1524">
        <f t="shared" si="108"/>
        <v>83</v>
      </c>
      <c r="N185" s="1524">
        <f t="shared" si="108"/>
        <v>36</v>
      </c>
      <c r="O185" s="1524">
        <f t="shared" si="108"/>
        <v>44</v>
      </c>
      <c r="P185" s="1524">
        <f t="shared" si="108"/>
        <v>59</v>
      </c>
      <c r="Q185" s="1524">
        <f t="shared" si="108"/>
        <v>34</v>
      </c>
      <c r="R185" s="1524">
        <f t="shared" si="108"/>
        <v>61</v>
      </c>
      <c r="S185" s="1524">
        <f>+S26</f>
        <v>110</v>
      </c>
      <c r="T185" s="1524">
        <f>+T26</f>
        <v>64</v>
      </c>
      <c r="U185" s="1524">
        <f>+U26</f>
        <v>83</v>
      </c>
      <c r="V185" s="1524">
        <f>+V26</f>
        <v>56</v>
      </c>
      <c r="W185" s="1524">
        <f>+W26</f>
        <v>54</v>
      </c>
    </row>
    <row r="186" spans="3:23" x14ac:dyDescent="0.25">
      <c r="C186" s="1523" t="s">
        <v>310</v>
      </c>
      <c r="D186" s="1524">
        <f>D27*2</f>
        <v>274</v>
      </c>
      <c r="E186" s="1524">
        <f t="shared" ref="E186:R186" si="109">E27*2</f>
        <v>250</v>
      </c>
      <c r="F186" s="1524">
        <f t="shared" si="109"/>
        <v>324</v>
      </c>
      <c r="G186" s="1524">
        <f t="shared" si="109"/>
        <v>312</v>
      </c>
      <c r="H186" s="1524">
        <f t="shared" si="109"/>
        <v>378</v>
      </c>
      <c r="I186" s="1524">
        <f t="shared" si="109"/>
        <v>602</v>
      </c>
      <c r="J186" s="1524">
        <f t="shared" si="109"/>
        <v>566</v>
      </c>
      <c r="K186" s="1524">
        <f t="shared" si="109"/>
        <v>644</v>
      </c>
      <c r="L186" s="1524">
        <f t="shared" si="109"/>
        <v>548</v>
      </c>
      <c r="M186" s="1524">
        <f t="shared" si="109"/>
        <v>538</v>
      </c>
      <c r="N186" s="1524">
        <f t="shared" si="109"/>
        <v>416</v>
      </c>
      <c r="O186" s="1524">
        <f t="shared" si="109"/>
        <v>476</v>
      </c>
      <c r="P186" s="1524">
        <f t="shared" si="109"/>
        <v>382</v>
      </c>
      <c r="Q186" s="1524">
        <f t="shared" si="109"/>
        <v>428</v>
      </c>
      <c r="R186" s="1524">
        <f t="shared" si="109"/>
        <v>378</v>
      </c>
      <c r="S186" s="1524">
        <f>S27*2</f>
        <v>340</v>
      </c>
      <c r="T186" s="1524">
        <f>T27*2</f>
        <v>384</v>
      </c>
      <c r="U186" s="1524">
        <f>U27*2</f>
        <v>302</v>
      </c>
      <c r="V186" s="1524">
        <f>V27*2</f>
        <v>348</v>
      </c>
      <c r="W186" s="1524">
        <f>W27*2</f>
        <v>502</v>
      </c>
    </row>
    <row r="187" spans="3:23" x14ac:dyDescent="0.25">
      <c r="C187" s="1525" t="s">
        <v>317</v>
      </c>
      <c r="D187" s="1524">
        <f>D28*3</f>
        <v>786</v>
      </c>
      <c r="E187" s="1524">
        <f t="shared" ref="E187:R187" si="110">E28*3</f>
        <v>837</v>
      </c>
      <c r="F187" s="1524">
        <f t="shared" si="110"/>
        <v>744</v>
      </c>
      <c r="G187" s="1524">
        <f t="shared" si="110"/>
        <v>672</v>
      </c>
      <c r="H187" s="1524">
        <f t="shared" si="110"/>
        <v>636</v>
      </c>
      <c r="I187" s="1524">
        <f t="shared" si="110"/>
        <v>741</v>
      </c>
      <c r="J187" s="1524">
        <f t="shared" si="110"/>
        <v>852</v>
      </c>
      <c r="K187" s="1524">
        <f t="shared" si="110"/>
        <v>1125</v>
      </c>
      <c r="L187" s="1524">
        <f t="shared" si="110"/>
        <v>1194</v>
      </c>
      <c r="M187" s="1524">
        <f t="shared" si="110"/>
        <v>1251</v>
      </c>
      <c r="N187" s="1524">
        <f t="shared" si="110"/>
        <v>1215</v>
      </c>
      <c r="O187" s="1524">
        <f t="shared" si="110"/>
        <v>1296</v>
      </c>
      <c r="P187" s="1524">
        <f t="shared" si="110"/>
        <v>1170</v>
      </c>
      <c r="Q187" s="1524">
        <f t="shared" si="110"/>
        <v>1278</v>
      </c>
      <c r="R187" s="1524">
        <f t="shared" si="110"/>
        <v>1083</v>
      </c>
      <c r="S187" s="1524">
        <f>S28*3</f>
        <v>1029</v>
      </c>
      <c r="T187" s="1524">
        <f>T28*3</f>
        <v>1071</v>
      </c>
      <c r="U187" s="1524">
        <f>U28*3</f>
        <v>1068</v>
      </c>
      <c r="V187" s="1524">
        <f>V28*3</f>
        <v>1029</v>
      </c>
      <c r="W187" s="1524">
        <f>W28*3</f>
        <v>1278</v>
      </c>
    </row>
    <row r="188" spans="3:23" x14ac:dyDescent="0.25">
      <c r="C188" s="1526" t="s">
        <v>471</v>
      </c>
      <c r="D188" s="1527">
        <f>SUM(D185:D187)</f>
        <v>1107</v>
      </c>
      <c r="E188" s="1527">
        <f t="shared" ref="E188:U188" si="111">SUM(E185:E187)</f>
        <v>1201</v>
      </c>
      <c r="F188" s="1527">
        <f t="shared" si="111"/>
        <v>1142</v>
      </c>
      <c r="G188" s="1527">
        <f t="shared" si="111"/>
        <v>1070</v>
      </c>
      <c r="H188" s="1527">
        <f t="shared" si="111"/>
        <v>1123</v>
      </c>
      <c r="I188" s="1527">
        <f t="shared" si="111"/>
        <v>1444</v>
      </c>
      <c r="J188" s="1527">
        <f t="shared" si="111"/>
        <v>1536</v>
      </c>
      <c r="K188" s="1527">
        <f t="shared" si="111"/>
        <v>1938</v>
      </c>
      <c r="L188" s="1527">
        <f t="shared" si="111"/>
        <v>1895</v>
      </c>
      <c r="M188" s="1527">
        <f t="shared" si="111"/>
        <v>1872</v>
      </c>
      <c r="N188" s="1527">
        <f t="shared" si="111"/>
        <v>1667</v>
      </c>
      <c r="O188" s="1527">
        <f t="shared" si="111"/>
        <v>1816</v>
      </c>
      <c r="P188" s="1527">
        <f t="shared" si="111"/>
        <v>1611</v>
      </c>
      <c r="Q188" s="1527">
        <f t="shared" si="111"/>
        <v>1740</v>
      </c>
      <c r="R188" s="1527">
        <f t="shared" si="111"/>
        <v>1522</v>
      </c>
      <c r="S188" s="1527">
        <f t="shared" si="111"/>
        <v>1479</v>
      </c>
      <c r="T188" s="1527">
        <f t="shared" si="111"/>
        <v>1519</v>
      </c>
      <c r="U188" s="1527">
        <f t="shared" si="111"/>
        <v>1453</v>
      </c>
      <c r="V188" s="1527">
        <f t="shared" ref="V188:W188" si="112">SUM(V185:V187)</f>
        <v>1433</v>
      </c>
      <c r="W188" s="1527">
        <f t="shared" si="112"/>
        <v>1834</v>
      </c>
    </row>
    <row r="189" spans="3:23" x14ac:dyDescent="0.25">
      <c r="C189" s="1521" t="s">
        <v>308</v>
      </c>
      <c r="D189" s="1524">
        <f>+D30</f>
        <v>53</v>
      </c>
      <c r="E189" s="1524">
        <f t="shared" ref="E189:R189" si="113">+E30</f>
        <v>50</v>
      </c>
      <c r="F189" s="1524">
        <f t="shared" si="113"/>
        <v>51</v>
      </c>
      <c r="G189" s="1524">
        <f t="shared" si="113"/>
        <v>54</v>
      </c>
      <c r="H189" s="1524">
        <f t="shared" si="113"/>
        <v>67</v>
      </c>
      <c r="I189" s="1524">
        <f t="shared" si="113"/>
        <v>61</v>
      </c>
      <c r="J189" s="1524">
        <f t="shared" si="113"/>
        <v>63</v>
      </c>
      <c r="K189" s="1524">
        <f t="shared" si="113"/>
        <v>63</v>
      </c>
      <c r="L189" s="1524">
        <f t="shared" si="113"/>
        <v>66</v>
      </c>
      <c r="M189" s="1524">
        <f t="shared" si="113"/>
        <v>65</v>
      </c>
      <c r="N189" s="1524">
        <f t="shared" si="113"/>
        <v>63</v>
      </c>
      <c r="O189" s="1524">
        <f t="shared" si="113"/>
        <v>55</v>
      </c>
      <c r="P189" s="1524">
        <f t="shared" si="113"/>
        <v>51</v>
      </c>
      <c r="Q189" s="1524">
        <f t="shared" si="113"/>
        <v>43</v>
      </c>
      <c r="R189" s="1524">
        <f t="shared" si="113"/>
        <v>37</v>
      </c>
      <c r="S189" s="1524">
        <f>+S30</f>
        <v>30</v>
      </c>
      <c r="T189" s="1524">
        <f>+T30</f>
        <v>24</v>
      </c>
      <c r="U189" s="1524">
        <f>+U30</f>
        <v>21</v>
      </c>
      <c r="V189" s="1524">
        <f>+V30</f>
        <v>17</v>
      </c>
      <c r="W189" s="1524">
        <f>+W30</f>
        <v>12</v>
      </c>
    </row>
    <row r="190" spans="3:23" x14ac:dyDescent="0.25">
      <c r="C190" s="1523" t="s">
        <v>310</v>
      </c>
      <c r="D190" s="1524">
        <f>D31*2</f>
        <v>266</v>
      </c>
      <c r="E190" s="1524">
        <f t="shared" ref="E190:R190" si="114">E31*2</f>
        <v>236</v>
      </c>
      <c r="F190" s="1524">
        <f t="shared" si="114"/>
        <v>204</v>
      </c>
      <c r="G190" s="1524">
        <f t="shared" si="114"/>
        <v>206</v>
      </c>
      <c r="H190" s="1524">
        <f t="shared" si="114"/>
        <v>274</v>
      </c>
      <c r="I190" s="1524">
        <f t="shared" si="114"/>
        <v>316</v>
      </c>
      <c r="J190" s="1524">
        <f t="shared" si="114"/>
        <v>390</v>
      </c>
      <c r="K190" s="1524">
        <f t="shared" si="114"/>
        <v>362</v>
      </c>
      <c r="L190" s="1524">
        <f t="shared" si="114"/>
        <v>396</v>
      </c>
      <c r="M190" s="1524">
        <f t="shared" si="114"/>
        <v>418</v>
      </c>
      <c r="N190" s="1524">
        <f t="shared" si="114"/>
        <v>466</v>
      </c>
      <c r="O190" s="1524">
        <f t="shared" si="114"/>
        <v>498</v>
      </c>
      <c r="P190" s="1524">
        <f t="shared" si="114"/>
        <v>482</v>
      </c>
      <c r="Q190" s="1524">
        <f t="shared" si="114"/>
        <v>450</v>
      </c>
      <c r="R190" s="1524">
        <f t="shared" si="114"/>
        <v>388</v>
      </c>
      <c r="S190" s="1524">
        <f>S31*2</f>
        <v>386</v>
      </c>
      <c r="T190" s="1524">
        <f>T31*2</f>
        <v>342</v>
      </c>
      <c r="U190" s="1524">
        <f>U31*2</f>
        <v>316</v>
      </c>
      <c r="V190" s="1524">
        <f>V31*2</f>
        <v>254</v>
      </c>
      <c r="W190" s="1524">
        <f>W31*2</f>
        <v>310</v>
      </c>
    </row>
    <row r="191" spans="3:23" x14ac:dyDescent="0.25">
      <c r="C191" s="1525" t="s">
        <v>317</v>
      </c>
      <c r="D191" s="1524">
        <f>D32*3</f>
        <v>501</v>
      </c>
      <c r="E191" s="1524">
        <f t="shared" ref="E191:R191" si="115">E32*3</f>
        <v>522</v>
      </c>
      <c r="F191" s="1524">
        <f t="shared" si="115"/>
        <v>525</v>
      </c>
      <c r="G191" s="1524">
        <f t="shared" si="115"/>
        <v>501</v>
      </c>
      <c r="H191" s="1524">
        <f t="shared" si="115"/>
        <v>504</v>
      </c>
      <c r="I191" s="1524">
        <f t="shared" si="115"/>
        <v>495</v>
      </c>
      <c r="J191" s="1524">
        <f t="shared" si="115"/>
        <v>537</v>
      </c>
      <c r="K191" s="1524">
        <f t="shared" si="115"/>
        <v>651</v>
      </c>
      <c r="L191" s="1524">
        <f t="shared" si="115"/>
        <v>705</v>
      </c>
      <c r="M191" s="1524">
        <f t="shared" si="115"/>
        <v>789</v>
      </c>
      <c r="N191" s="1524">
        <f t="shared" si="115"/>
        <v>816</v>
      </c>
      <c r="O191" s="1524">
        <f t="shared" si="115"/>
        <v>873</v>
      </c>
      <c r="P191" s="1524">
        <f t="shared" si="115"/>
        <v>906</v>
      </c>
      <c r="Q191" s="1524">
        <f t="shared" si="115"/>
        <v>888</v>
      </c>
      <c r="R191" s="1524">
        <f t="shared" si="115"/>
        <v>900</v>
      </c>
      <c r="S191" s="1524">
        <f>S32*3</f>
        <v>888</v>
      </c>
      <c r="T191" s="1524">
        <f>T32*3</f>
        <v>915</v>
      </c>
      <c r="U191" s="1524">
        <f>U32*3</f>
        <v>828</v>
      </c>
      <c r="V191" s="1524">
        <f>V32*3</f>
        <v>714</v>
      </c>
      <c r="W191" s="1524">
        <f>W32*3</f>
        <v>708</v>
      </c>
    </row>
    <row r="192" spans="3:23" x14ac:dyDescent="0.25">
      <c r="C192" s="1526" t="s">
        <v>473</v>
      </c>
      <c r="D192" s="1527">
        <f>SUM(D189:D191)</f>
        <v>820</v>
      </c>
      <c r="E192" s="1527">
        <f t="shared" ref="E192:U192" si="116">SUM(E189:E191)</f>
        <v>808</v>
      </c>
      <c r="F192" s="1527">
        <f t="shared" si="116"/>
        <v>780</v>
      </c>
      <c r="G192" s="1527">
        <f t="shared" si="116"/>
        <v>761</v>
      </c>
      <c r="H192" s="1527">
        <f t="shared" si="116"/>
        <v>845</v>
      </c>
      <c r="I192" s="1527">
        <f t="shared" si="116"/>
        <v>872</v>
      </c>
      <c r="J192" s="1527">
        <f t="shared" si="116"/>
        <v>990</v>
      </c>
      <c r="K192" s="1527">
        <f t="shared" si="116"/>
        <v>1076</v>
      </c>
      <c r="L192" s="1527">
        <f t="shared" si="116"/>
        <v>1167</v>
      </c>
      <c r="M192" s="1527">
        <f t="shared" si="116"/>
        <v>1272</v>
      </c>
      <c r="N192" s="1527">
        <f t="shared" si="116"/>
        <v>1345</v>
      </c>
      <c r="O192" s="1527">
        <f t="shared" si="116"/>
        <v>1426</v>
      </c>
      <c r="P192" s="1527">
        <f t="shared" si="116"/>
        <v>1439</v>
      </c>
      <c r="Q192" s="1527">
        <f t="shared" si="116"/>
        <v>1381</v>
      </c>
      <c r="R192" s="1527">
        <f t="shared" si="116"/>
        <v>1325</v>
      </c>
      <c r="S192" s="1527">
        <f t="shared" si="116"/>
        <v>1304</v>
      </c>
      <c r="T192" s="1527">
        <f t="shared" si="116"/>
        <v>1281</v>
      </c>
      <c r="U192" s="1527">
        <f t="shared" si="116"/>
        <v>1165</v>
      </c>
      <c r="V192" s="1527">
        <f t="shared" ref="V192:W192" si="117">SUM(V189:V191)</f>
        <v>985</v>
      </c>
      <c r="W192" s="1527">
        <f t="shared" si="117"/>
        <v>1030</v>
      </c>
    </row>
    <row r="193" spans="3:23" ht="15" customHeight="1" x14ac:dyDescent="0.25">
      <c r="C193" s="1521" t="s">
        <v>308</v>
      </c>
      <c r="D193" s="1524">
        <f>SUM(D181,D185,D189)</f>
        <v>100</v>
      </c>
      <c r="E193" s="1524">
        <f t="shared" ref="E193:U195" si="118">SUM(E181,E185,E189)</f>
        <v>164</v>
      </c>
      <c r="F193" s="1524">
        <f t="shared" si="118"/>
        <v>125</v>
      </c>
      <c r="G193" s="1524">
        <f t="shared" si="118"/>
        <v>140</v>
      </c>
      <c r="H193" s="1524">
        <f t="shared" si="118"/>
        <v>176</v>
      </c>
      <c r="I193" s="1524">
        <f t="shared" si="118"/>
        <v>162</v>
      </c>
      <c r="J193" s="1524">
        <f t="shared" si="118"/>
        <v>181</v>
      </c>
      <c r="K193" s="1524">
        <f t="shared" si="118"/>
        <v>232</v>
      </c>
      <c r="L193" s="1524">
        <f t="shared" si="118"/>
        <v>219</v>
      </c>
      <c r="M193" s="1524">
        <f t="shared" si="118"/>
        <v>148</v>
      </c>
      <c r="N193" s="1524">
        <f t="shared" si="118"/>
        <v>99</v>
      </c>
      <c r="O193" s="1524">
        <f t="shared" si="118"/>
        <v>99</v>
      </c>
      <c r="P193" s="1524">
        <f t="shared" si="118"/>
        <v>110</v>
      </c>
      <c r="Q193" s="1524">
        <f t="shared" si="118"/>
        <v>79</v>
      </c>
      <c r="R193" s="1524">
        <f t="shared" si="118"/>
        <v>102</v>
      </c>
      <c r="S193" s="1524">
        <f t="shared" si="118"/>
        <v>145</v>
      </c>
      <c r="T193" s="1524">
        <f t="shared" si="118"/>
        <v>91</v>
      </c>
      <c r="U193" s="1524">
        <f t="shared" si="118"/>
        <v>108</v>
      </c>
      <c r="V193" s="1524">
        <f t="shared" ref="V193:W193" si="119">SUM(V181,V185,V189)</f>
        <v>79</v>
      </c>
      <c r="W193" s="1524">
        <f t="shared" si="119"/>
        <v>74</v>
      </c>
    </row>
    <row r="194" spans="3:23" x14ac:dyDescent="0.25">
      <c r="C194" s="1523" t="s">
        <v>310</v>
      </c>
      <c r="D194" s="1524">
        <f>SUM(D182,D186,D190)</f>
        <v>706</v>
      </c>
      <c r="E194" s="1524">
        <f t="shared" si="118"/>
        <v>684</v>
      </c>
      <c r="F194" s="1524">
        <f t="shared" si="118"/>
        <v>834</v>
      </c>
      <c r="G194" s="1524">
        <f t="shared" si="118"/>
        <v>876</v>
      </c>
      <c r="H194" s="1524">
        <f t="shared" si="118"/>
        <v>1046</v>
      </c>
      <c r="I194" s="1524">
        <f t="shared" si="118"/>
        <v>1356</v>
      </c>
      <c r="J194" s="1524">
        <f t="shared" si="118"/>
        <v>1444</v>
      </c>
      <c r="K194" s="1524">
        <f t="shared" si="118"/>
        <v>1446</v>
      </c>
      <c r="L194" s="1524">
        <f t="shared" si="118"/>
        <v>1446</v>
      </c>
      <c r="M194" s="1524">
        <f t="shared" si="118"/>
        <v>1646</v>
      </c>
      <c r="N194" s="1524">
        <f t="shared" si="118"/>
        <v>1428</v>
      </c>
      <c r="O194" s="1524">
        <f t="shared" si="118"/>
        <v>1514</v>
      </c>
      <c r="P194" s="1524">
        <f t="shared" si="118"/>
        <v>1424</v>
      </c>
      <c r="Q194" s="1524">
        <f t="shared" si="118"/>
        <v>1526</v>
      </c>
      <c r="R194" s="1524">
        <f t="shared" si="118"/>
        <v>1414</v>
      </c>
      <c r="S194" s="1524">
        <f t="shared" si="118"/>
        <v>1334</v>
      </c>
      <c r="T194" s="1524">
        <f t="shared" si="118"/>
        <v>1378</v>
      </c>
      <c r="U194" s="1524">
        <f t="shared" si="118"/>
        <v>1202</v>
      </c>
      <c r="V194" s="1524">
        <f t="shared" ref="V194:W194" si="120">SUM(V182,V186,V190)</f>
        <v>1188</v>
      </c>
      <c r="W194" s="1524">
        <f t="shared" si="120"/>
        <v>1506</v>
      </c>
    </row>
    <row r="195" spans="3:23" x14ac:dyDescent="0.25">
      <c r="C195" s="1525" t="s">
        <v>317</v>
      </c>
      <c r="D195" s="1524">
        <f>SUM(D183,D187,D191)</f>
        <v>2067</v>
      </c>
      <c r="E195" s="1524">
        <f t="shared" si="118"/>
        <v>2109</v>
      </c>
      <c r="F195" s="1524">
        <f t="shared" si="118"/>
        <v>2013</v>
      </c>
      <c r="G195" s="1524">
        <f t="shared" si="118"/>
        <v>1896</v>
      </c>
      <c r="H195" s="1524">
        <f t="shared" si="118"/>
        <v>1845</v>
      </c>
      <c r="I195" s="1524">
        <f t="shared" si="118"/>
        <v>1857</v>
      </c>
      <c r="J195" s="1524">
        <f t="shared" si="118"/>
        <v>1980</v>
      </c>
      <c r="K195" s="1524">
        <f t="shared" si="118"/>
        <v>2478</v>
      </c>
      <c r="L195" s="1524">
        <f t="shared" si="118"/>
        <v>2637</v>
      </c>
      <c r="M195" s="1524">
        <f t="shared" si="118"/>
        <v>2565</v>
      </c>
      <c r="N195" s="1524">
        <f t="shared" si="118"/>
        <v>2880</v>
      </c>
      <c r="O195" s="1524">
        <f t="shared" si="118"/>
        <v>3057</v>
      </c>
      <c r="P195" s="1524">
        <f t="shared" si="118"/>
        <v>2940</v>
      </c>
      <c r="Q195" s="1524">
        <f t="shared" si="118"/>
        <v>2973</v>
      </c>
      <c r="R195" s="1524">
        <f t="shared" si="118"/>
        <v>2724</v>
      </c>
      <c r="S195" s="1524">
        <f t="shared" si="118"/>
        <v>2694</v>
      </c>
      <c r="T195" s="1524">
        <f t="shared" si="118"/>
        <v>2739</v>
      </c>
      <c r="U195" s="1524">
        <f t="shared" si="118"/>
        <v>2595</v>
      </c>
      <c r="V195" s="1524">
        <f t="shared" ref="V195:W195" si="121">SUM(V183,V187,V191)</f>
        <v>2406</v>
      </c>
      <c r="W195" s="1524">
        <f t="shared" si="121"/>
        <v>2691</v>
      </c>
    </row>
    <row r="196" spans="3:23" x14ac:dyDescent="0.25">
      <c r="C196" s="1530" t="s">
        <v>135</v>
      </c>
      <c r="D196" s="1531">
        <f>SUM(D193:D195)</f>
        <v>2873</v>
      </c>
      <c r="E196" s="1531">
        <f t="shared" ref="E196:U196" si="122">SUM(E193:E195)</f>
        <v>2957</v>
      </c>
      <c r="F196" s="1531">
        <f t="shared" si="122"/>
        <v>2972</v>
      </c>
      <c r="G196" s="1531">
        <f t="shared" si="122"/>
        <v>2912</v>
      </c>
      <c r="H196" s="1531">
        <f t="shared" si="122"/>
        <v>3067</v>
      </c>
      <c r="I196" s="1531">
        <f t="shared" si="122"/>
        <v>3375</v>
      </c>
      <c r="J196" s="1531">
        <f t="shared" si="122"/>
        <v>3605</v>
      </c>
      <c r="K196" s="1531">
        <f t="shared" si="122"/>
        <v>4156</v>
      </c>
      <c r="L196" s="1531">
        <f t="shared" si="122"/>
        <v>4302</v>
      </c>
      <c r="M196" s="1531">
        <f t="shared" si="122"/>
        <v>4359</v>
      </c>
      <c r="N196" s="1531">
        <f t="shared" si="122"/>
        <v>4407</v>
      </c>
      <c r="O196" s="1531">
        <f t="shared" si="122"/>
        <v>4670</v>
      </c>
      <c r="P196" s="1531">
        <f t="shared" si="122"/>
        <v>4474</v>
      </c>
      <c r="Q196" s="1531">
        <f t="shared" si="122"/>
        <v>4578</v>
      </c>
      <c r="R196" s="1531">
        <f t="shared" si="122"/>
        <v>4240</v>
      </c>
      <c r="S196" s="1531">
        <f t="shared" si="122"/>
        <v>4173</v>
      </c>
      <c r="T196" s="1531">
        <f t="shared" si="122"/>
        <v>4208</v>
      </c>
      <c r="U196" s="1531">
        <f t="shared" si="122"/>
        <v>3905</v>
      </c>
      <c r="V196" s="1531">
        <f t="shared" ref="V196:W196" si="123">SUM(V193:V195)</f>
        <v>3673</v>
      </c>
      <c r="W196" s="1531">
        <f t="shared" si="123"/>
        <v>4271</v>
      </c>
    </row>
    <row r="197" spans="3:23" x14ac:dyDescent="0.25">
      <c r="C197" s="1520"/>
      <c r="D197" s="1520"/>
      <c r="E197" s="1520"/>
      <c r="F197" s="1520"/>
      <c r="G197" s="1520"/>
      <c r="H197" s="1520"/>
      <c r="I197" s="1520"/>
      <c r="J197" s="1520"/>
      <c r="K197" s="1520"/>
      <c r="L197" s="1520"/>
      <c r="M197" s="1520"/>
      <c r="N197" s="1520"/>
      <c r="O197" s="1520"/>
      <c r="P197" s="1520"/>
      <c r="Q197" s="1520"/>
      <c r="R197" s="1520"/>
      <c r="S197" s="1520"/>
      <c r="T197" s="1520"/>
      <c r="U197" s="1520"/>
      <c r="V197" s="1520"/>
      <c r="W197" s="1520"/>
    </row>
    <row r="198" spans="3:23" x14ac:dyDescent="0.25">
      <c r="C198" s="1521" t="s">
        <v>308</v>
      </c>
      <c r="D198" s="1522">
        <f>+D39</f>
        <v>24</v>
      </c>
      <c r="E198" s="1522">
        <f t="shared" ref="E198:R198" si="124">+E39</f>
        <v>6</v>
      </c>
      <c r="F198" s="1522">
        <f t="shared" si="124"/>
        <v>4</v>
      </c>
      <c r="G198" s="1522">
        <f t="shared" si="124"/>
        <v>5</v>
      </c>
      <c r="H198" s="1522">
        <f t="shared" si="124"/>
        <v>21</v>
      </c>
      <c r="I198" s="1522">
        <f t="shared" si="124"/>
        <v>25</v>
      </c>
      <c r="J198" s="1522">
        <f t="shared" si="124"/>
        <v>22</v>
      </c>
      <c r="K198" s="1522">
        <f t="shared" si="124"/>
        <v>19</v>
      </c>
      <c r="L198" s="1522">
        <f t="shared" si="124"/>
        <v>36</v>
      </c>
      <c r="M198" s="1522">
        <f t="shared" si="124"/>
        <v>39</v>
      </c>
      <c r="N198" s="1522">
        <f t="shared" si="124"/>
        <v>34</v>
      </c>
      <c r="O198" s="1522">
        <f t="shared" si="124"/>
        <v>2</v>
      </c>
      <c r="P198" s="1522">
        <f t="shared" si="124"/>
        <v>0</v>
      </c>
      <c r="Q198" s="1522">
        <f t="shared" si="124"/>
        <v>0</v>
      </c>
      <c r="R198" s="1522">
        <f t="shared" si="124"/>
        <v>30</v>
      </c>
      <c r="S198" s="1522">
        <f>+S39</f>
        <v>4</v>
      </c>
      <c r="T198" s="1522">
        <f>+T39</f>
        <v>4</v>
      </c>
      <c r="U198" s="1522">
        <f>+U39</f>
        <v>0</v>
      </c>
      <c r="V198" s="1522">
        <f>+V39</f>
        <v>7</v>
      </c>
      <c r="W198" s="1522">
        <f>+W39</f>
        <v>21</v>
      </c>
    </row>
    <row r="199" spans="3:23" x14ac:dyDescent="0.25">
      <c r="C199" s="1523" t="s">
        <v>310</v>
      </c>
      <c r="D199" s="1524">
        <f>D40*2</f>
        <v>376</v>
      </c>
      <c r="E199" s="1524">
        <f t="shared" ref="E199:R199" si="125">E40*2</f>
        <v>550</v>
      </c>
      <c r="F199" s="1524">
        <f t="shared" si="125"/>
        <v>384</v>
      </c>
      <c r="G199" s="1524">
        <f t="shared" si="125"/>
        <v>534</v>
      </c>
      <c r="H199" s="1524">
        <f t="shared" si="125"/>
        <v>400</v>
      </c>
      <c r="I199" s="1524">
        <f t="shared" si="125"/>
        <v>542</v>
      </c>
      <c r="J199" s="1524">
        <f t="shared" si="125"/>
        <v>488</v>
      </c>
      <c r="K199" s="1524">
        <f t="shared" si="125"/>
        <v>594</v>
      </c>
      <c r="L199" s="1524">
        <f t="shared" si="125"/>
        <v>364</v>
      </c>
      <c r="M199" s="1524">
        <f t="shared" si="125"/>
        <v>570</v>
      </c>
      <c r="N199" s="1524">
        <f t="shared" si="125"/>
        <v>426</v>
      </c>
      <c r="O199" s="1524">
        <f t="shared" si="125"/>
        <v>608</v>
      </c>
      <c r="P199" s="1524">
        <f t="shared" si="125"/>
        <v>444</v>
      </c>
      <c r="Q199" s="1524">
        <f t="shared" si="125"/>
        <v>628</v>
      </c>
      <c r="R199" s="1524">
        <f t="shared" si="125"/>
        <v>414</v>
      </c>
      <c r="S199" s="1524">
        <f>S40*2</f>
        <v>676</v>
      </c>
      <c r="T199" s="1524">
        <f>T40*2</f>
        <v>470</v>
      </c>
      <c r="U199" s="1524">
        <f>U40*2</f>
        <v>620</v>
      </c>
      <c r="V199" s="1524">
        <f>V40*2</f>
        <v>420</v>
      </c>
      <c r="W199" s="1524">
        <f>W40*2</f>
        <v>586</v>
      </c>
    </row>
    <row r="200" spans="3:23" x14ac:dyDescent="0.25">
      <c r="C200" s="1525" t="s">
        <v>317</v>
      </c>
      <c r="D200" s="1524">
        <f>D41*3</f>
        <v>426</v>
      </c>
      <c r="E200" s="1524">
        <f t="shared" ref="E200:R200" si="126">E41*3</f>
        <v>300</v>
      </c>
      <c r="F200" s="1524">
        <f t="shared" si="126"/>
        <v>408</v>
      </c>
      <c r="G200" s="1524">
        <f t="shared" si="126"/>
        <v>354</v>
      </c>
      <c r="H200" s="1524">
        <f t="shared" si="126"/>
        <v>561</v>
      </c>
      <c r="I200" s="1524">
        <f t="shared" si="126"/>
        <v>468</v>
      </c>
      <c r="J200" s="1524">
        <f t="shared" si="126"/>
        <v>606</v>
      </c>
      <c r="K200" s="1524">
        <f t="shared" si="126"/>
        <v>513</v>
      </c>
      <c r="L200" s="1524">
        <f t="shared" si="126"/>
        <v>633</v>
      </c>
      <c r="M200" s="1524">
        <f t="shared" si="126"/>
        <v>429</v>
      </c>
      <c r="N200" s="1524">
        <f t="shared" si="126"/>
        <v>534</v>
      </c>
      <c r="O200" s="1524">
        <f t="shared" si="126"/>
        <v>444</v>
      </c>
      <c r="P200" s="1524">
        <f t="shared" si="126"/>
        <v>549</v>
      </c>
      <c r="Q200" s="1524">
        <f t="shared" si="126"/>
        <v>462</v>
      </c>
      <c r="R200" s="1524">
        <f t="shared" si="126"/>
        <v>651</v>
      </c>
      <c r="S200" s="1524">
        <f>S41*3</f>
        <v>744</v>
      </c>
      <c r="T200" s="1524">
        <f>T41*3</f>
        <v>864</v>
      </c>
      <c r="U200" s="1524">
        <f>U41*3</f>
        <v>771</v>
      </c>
      <c r="V200" s="1524">
        <f>V41*3</f>
        <v>951</v>
      </c>
      <c r="W200" s="1524">
        <f>W41*3</f>
        <v>696</v>
      </c>
    </row>
    <row r="201" spans="3:23" x14ac:dyDescent="0.25">
      <c r="C201" s="1526" t="s">
        <v>471</v>
      </c>
      <c r="D201" s="1527">
        <f>SUM(D198:D200)</f>
        <v>826</v>
      </c>
      <c r="E201" s="1527">
        <f t="shared" ref="E201:U201" si="127">SUM(E198:E200)</f>
        <v>856</v>
      </c>
      <c r="F201" s="1527">
        <f t="shared" si="127"/>
        <v>796</v>
      </c>
      <c r="G201" s="1527">
        <f t="shared" si="127"/>
        <v>893</v>
      </c>
      <c r="H201" s="1527">
        <f t="shared" si="127"/>
        <v>982</v>
      </c>
      <c r="I201" s="1527">
        <f t="shared" si="127"/>
        <v>1035</v>
      </c>
      <c r="J201" s="1527">
        <f t="shared" si="127"/>
        <v>1116</v>
      </c>
      <c r="K201" s="1527">
        <f t="shared" si="127"/>
        <v>1126</v>
      </c>
      <c r="L201" s="1527">
        <f t="shared" si="127"/>
        <v>1033</v>
      </c>
      <c r="M201" s="1527">
        <f t="shared" si="127"/>
        <v>1038</v>
      </c>
      <c r="N201" s="1527">
        <f t="shared" si="127"/>
        <v>994</v>
      </c>
      <c r="O201" s="1527">
        <f t="shared" si="127"/>
        <v>1054</v>
      </c>
      <c r="P201" s="1527">
        <f t="shared" si="127"/>
        <v>993</v>
      </c>
      <c r="Q201" s="1527">
        <f t="shared" si="127"/>
        <v>1090</v>
      </c>
      <c r="R201" s="1527">
        <f t="shared" si="127"/>
        <v>1095</v>
      </c>
      <c r="S201" s="1527">
        <f t="shared" si="127"/>
        <v>1424</v>
      </c>
      <c r="T201" s="1527">
        <f t="shared" si="127"/>
        <v>1338</v>
      </c>
      <c r="U201" s="1527">
        <f t="shared" si="127"/>
        <v>1391</v>
      </c>
      <c r="V201" s="1527">
        <f t="shared" ref="V201:W201" si="128">SUM(V198:V200)</f>
        <v>1378</v>
      </c>
      <c r="W201" s="1527">
        <f t="shared" si="128"/>
        <v>1303</v>
      </c>
    </row>
    <row r="202" spans="3:23" x14ac:dyDescent="0.25">
      <c r="C202" s="1521" t="s">
        <v>308</v>
      </c>
      <c r="D202" s="1524">
        <f>+D43</f>
        <v>12</v>
      </c>
      <c r="E202" s="1524">
        <f t="shared" ref="E202:R202" si="129">+E43</f>
        <v>11</v>
      </c>
      <c r="F202" s="1524">
        <f t="shared" si="129"/>
        <v>0</v>
      </c>
      <c r="G202" s="1524">
        <f t="shared" si="129"/>
        <v>13</v>
      </c>
      <c r="H202" s="1524">
        <f t="shared" si="129"/>
        <v>8</v>
      </c>
      <c r="I202" s="1524">
        <f t="shared" si="129"/>
        <v>12</v>
      </c>
      <c r="J202" s="1524">
        <f t="shared" si="129"/>
        <v>11</v>
      </c>
      <c r="K202" s="1524">
        <f t="shared" si="129"/>
        <v>0</v>
      </c>
      <c r="L202" s="1524">
        <f t="shared" si="129"/>
        <v>36</v>
      </c>
      <c r="M202" s="1524">
        <f t="shared" si="129"/>
        <v>17</v>
      </c>
      <c r="N202" s="1524">
        <f t="shared" si="129"/>
        <v>13</v>
      </c>
      <c r="O202" s="1524">
        <f t="shared" si="129"/>
        <v>0</v>
      </c>
      <c r="P202" s="1524">
        <f t="shared" si="129"/>
        <v>0</v>
      </c>
      <c r="Q202" s="1524">
        <f t="shared" si="129"/>
        <v>0</v>
      </c>
      <c r="R202" s="1524">
        <f t="shared" si="129"/>
        <v>0</v>
      </c>
      <c r="S202" s="1524">
        <f>+S43</f>
        <v>0</v>
      </c>
      <c r="T202" s="1524">
        <f>+T43</f>
        <v>0</v>
      </c>
      <c r="U202" s="1524">
        <f>+U43</f>
        <v>0</v>
      </c>
      <c r="V202" s="1524">
        <f>+V43</f>
        <v>0</v>
      </c>
      <c r="W202" s="1524">
        <f>+W43</f>
        <v>0</v>
      </c>
    </row>
    <row r="203" spans="3:23" x14ac:dyDescent="0.25">
      <c r="C203" s="1523" t="s">
        <v>310</v>
      </c>
      <c r="D203" s="1524">
        <f>D44*2</f>
        <v>288</v>
      </c>
      <c r="E203" s="1524">
        <f t="shared" ref="E203:R203" si="130">E44*2</f>
        <v>188</v>
      </c>
      <c r="F203" s="1524">
        <f t="shared" si="130"/>
        <v>308</v>
      </c>
      <c r="G203" s="1524">
        <f t="shared" si="130"/>
        <v>310</v>
      </c>
      <c r="H203" s="1524">
        <f t="shared" si="130"/>
        <v>360</v>
      </c>
      <c r="I203" s="1524">
        <f t="shared" si="130"/>
        <v>340</v>
      </c>
      <c r="J203" s="1524">
        <f t="shared" si="130"/>
        <v>390</v>
      </c>
      <c r="K203" s="1524">
        <f t="shared" si="130"/>
        <v>400</v>
      </c>
      <c r="L203" s="1524">
        <f t="shared" si="130"/>
        <v>386</v>
      </c>
      <c r="M203" s="1524">
        <f t="shared" si="130"/>
        <v>386</v>
      </c>
      <c r="N203" s="1524">
        <f t="shared" si="130"/>
        <v>484</v>
      </c>
      <c r="O203" s="1524">
        <f t="shared" si="130"/>
        <v>424</v>
      </c>
      <c r="P203" s="1524">
        <f t="shared" si="130"/>
        <v>516</v>
      </c>
      <c r="Q203" s="1524">
        <f t="shared" si="130"/>
        <v>510</v>
      </c>
      <c r="R203" s="1524">
        <f t="shared" si="130"/>
        <v>518</v>
      </c>
      <c r="S203" s="1524">
        <f>S44*2</f>
        <v>506</v>
      </c>
      <c r="T203" s="1524">
        <f>T44*2</f>
        <v>538</v>
      </c>
      <c r="U203" s="1524">
        <f>U44*2</f>
        <v>506</v>
      </c>
      <c r="V203" s="1524">
        <f>V44*2</f>
        <v>526</v>
      </c>
      <c r="W203" s="1524">
        <f>W44*2</f>
        <v>448</v>
      </c>
    </row>
    <row r="204" spans="3:23" x14ac:dyDescent="0.25">
      <c r="C204" s="1525" t="s">
        <v>317</v>
      </c>
      <c r="D204" s="1524">
        <f>D45*3</f>
        <v>231</v>
      </c>
      <c r="E204" s="1524">
        <f t="shared" ref="E204:R204" si="131">E45*3</f>
        <v>195</v>
      </c>
      <c r="F204" s="1524">
        <f t="shared" si="131"/>
        <v>216</v>
      </c>
      <c r="G204" s="1524">
        <f t="shared" si="131"/>
        <v>243</v>
      </c>
      <c r="H204" s="1524">
        <f t="shared" si="131"/>
        <v>294</v>
      </c>
      <c r="I204" s="1524">
        <f t="shared" si="131"/>
        <v>267</v>
      </c>
      <c r="J204" s="1524">
        <f t="shared" si="131"/>
        <v>312</v>
      </c>
      <c r="K204" s="1524">
        <f t="shared" si="131"/>
        <v>330</v>
      </c>
      <c r="L204" s="1524">
        <f t="shared" si="131"/>
        <v>312</v>
      </c>
      <c r="M204" s="1524">
        <f t="shared" si="131"/>
        <v>342</v>
      </c>
      <c r="N204" s="1524">
        <f t="shared" si="131"/>
        <v>354</v>
      </c>
      <c r="O204" s="1524">
        <f t="shared" si="131"/>
        <v>381</v>
      </c>
      <c r="P204" s="1524">
        <f t="shared" si="131"/>
        <v>384</v>
      </c>
      <c r="Q204" s="1524">
        <f t="shared" si="131"/>
        <v>432</v>
      </c>
      <c r="R204" s="1524">
        <f t="shared" si="131"/>
        <v>441</v>
      </c>
      <c r="S204" s="1524">
        <f>S45*3</f>
        <v>450</v>
      </c>
      <c r="T204" s="1524">
        <f>T45*3</f>
        <v>453</v>
      </c>
      <c r="U204" s="1524">
        <f>U45*3</f>
        <v>441</v>
      </c>
      <c r="V204" s="1524">
        <f>V45*3</f>
        <v>402</v>
      </c>
      <c r="W204" s="1524">
        <f>W45*3</f>
        <v>393</v>
      </c>
    </row>
    <row r="205" spans="3:23" x14ac:dyDescent="0.25">
      <c r="C205" s="1526" t="s">
        <v>473</v>
      </c>
      <c r="D205" s="1527">
        <f>SUM(D202:D204)</f>
        <v>531</v>
      </c>
      <c r="E205" s="1527">
        <f t="shared" ref="E205:U205" si="132">SUM(E202:E204)</f>
        <v>394</v>
      </c>
      <c r="F205" s="1527">
        <f t="shared" si="132"/>
        <v>524</v>
      </c>
      <c r="G205" s="1527">
        <f t="shared" si="132"/>
        <v>566</v>
      </c>
      <c r="H205" s="1527">
        <f t="shared" si="132"/>
        <v>662</v>
      </c>
      <c r="I205" s="1527">
        <f t="shared" si="132"/>
        <v>619</v>
      </c>
      <c r="J205" s="1527">
        <f t="shared" si="132"/>
        <v>713</v>
      </c>
      <c r="K205" s="1527">
        <f t="shared" si="132"/>
        <v>730</v>
      </c>
      <c r="L205" s="1527">
        <f t="shared" si="132"/>
        <v>734</v>
      </c>
      <c r="M205" s="1527">
        <f t="shared" si="132"/>
        <v>745</v>
      </c>
      <c r="N205" s="1527">
        <f t="shared" si="132"/>
        <v>851</v>
      </c>
      <c r="O205" s="1527">
        <f t="shared" si="132"/>
        <v>805</v>
      </c>
      <c r="P205" s="1527">
        <f t="shared" si="132"/>
        <v>900</v>
      </c>
      <c r="Q205" s="1527">
        <f t="shared" si="132"/>
        <v>942</v>
      </c>
      <c r="R205" s="1527">
        <f t="shared" si="132"/>
        <v>959</v>
      </c>
      <c r="S205" s="1527">
        <f t="shared" si="132"/>
        <v>956</v>
      </c>
      <c r="T205" s="1527">
        <f t="shared" si="132"/>
        <v>991</v>
      </c>
      <c r="U205" s="1527">
        <f t="shared" si="132"/>
        <v>947</v>
      </c>
      <c r="V205" s="1527">
        <f t="shared" ref="V205:W205" si="133">SUM(V202:V204)</f>
        <v>928</v>
      </c>
      <c r="W205" s="1527">
        <f t="shared" si="133"/>
        <v>841</v>
      </c>
    </row>
    <row r="206" spans="3:23" x14ac:dyDescent="0.25">
      <c r="C206" s="1521" t="s">
        <v>308</v>
      </c>
      <c r="D206" s="1524">
        <f>+D47</f>
        <v>0</v>
      </c>
      <c r="E206" s="1524">
        <f t="shared" ref="E206:R206" si="134">+E47</f>
        <v>0</v>
      </c>
      <c r="F206" s="1524">
        <f t="shared" si="134"/>
        <v>0</v>
      </c>
      <c r="G206" s="1524">
        <f t="shared" si="134"/>
        <v>0</v>
      </c>
      <c r="H206" s="1524">
        <f t="shared" si="134"/>
        <v>0</v>
      </c>
      <c r="I206" s="1524">
        <f t="shared" si="134"/>
        <v>0</v>
      </c>
      <c r="J206" s="1524">
        <f t="shared" si="134"/>
        <v>0</v>
      </c>
      <c r="K206" s="1524">
        <f t="shared" si="134"/>
        <v>0</v>
      </c>
      <c r="L206" s="1524">
        <f t="shared" si="134"/>
        <v>0</v>
      </c>
      <c r="M206" s="1524">
        <f t="shared" si="134"/>
        <v>0</v>
      </c>
      <c r="N206" s="1524">
        <f t="shared" si="134"/>
        <v>0</v>
      </c>
      <c r="O206" s="1524">
        <f t="shared" si="134"/>
        <v>0</v>
      </c>
      <c r="P206" s="1524">
        <f t="shared" si="134"/>
        <v>0</v>
      </c>
      <c r="Q206" s="1524">
        <f t="shared" si="134"/>
        <v>0</v>
      </c>
      <c r="R206" s="1524">
        <f t="shared" si="134"/>
        <v>0</v>
      </c>
      <c r="S206" s="1524">
        <f>+S47</f>
        <v>0</v>
      </c>
      <c r="T206" s="1524">
        <f>+T47</f>
        <v>0</v>
      </c>
      <c r="U206" s="1524">
        <f>+U47</f>
        <v>0</v>
      </c>
      <c r="V206" s="1524">
        <f>+V47</f>
        <v>0</v>
      </c>
      <c r="W206" s="1524">
        <f>+W47</f>
        <v>0</v>
      </c>
    </row>
    <row r="207" spans="3:23" x14ac:dyDescent="0.25">
      <c r="C207" s="1523" t="s">
        <v>310</v>
      </c>
      <c r="D207" s="1524">
        <f>D48*2</f>
        <v>80</v>
      </c>
      <c r="E207" s="1524">
        <f t="shared" ref="E207:R207" si="135">E48*2</f>
        <v>134</v>
      </c>
      <c r="F207" s="1524">
        <f t="shared" si="135"/>
        <v>136</v>
      </c>
      <c r="G207" s="1524">
        <f t="shared" si="135"/>
        <v>140</v>
      </c>
      <c r="H207" s="1524">
        <f t="shared" si="135"/>
        <v>132</v>
      </c>
      <c r="I207" s="1524">
        <f t="shared" si="135"/>
        <v>124</v>
      </c>
      <c r="J207" s="1524">
        <f t="shared" si="135"/>
        <v>226</v>
      </c>
      <c r="K207" s="1524">
        <f t="shared" si="135"/>
        <v>220</v>
      </c>
      <c r="L207" s="1524">
        <f t="shared" si="135"/>
        <v>294</v>
      </c>
      <c r="M207" s="1524">
        <f t="shared" si="135"/>
        <v>200</v>
      </c>
      <c r="N207" s="1524">
        <f t="shared" si="135"/>
        <v>290</v>
      </c>
      <c r="O207" s="1524">
        <f t="shared" si="135"/>
        <v>228</v>
      </c>
      <c r="P207" s="1524">
        <f t="shared" si="135"/>
        <v>318</v>
      </c>
      <c r="Q207" s="1524">
        <f t="shared" si="135"/>
        <v>242</v>
      </c>
      <c r="R207" s="1524">
        <f t="shared" si="135"/>
        <v>312</v>
      </c>
      <c r="S207" s="1524">
        <f>S48*2</f>
        <v>222</v>
      </c>
      <c r="T207" s="1524">
        <f>T48*2</f>
        <v>270</v>
      </c>
      <c r="U207" s="1524">
        <f>U48*2</f>
        <v>210</v>
      </c>
      <c r="V207" s="1524">
        <f>V48*2</f>
        <v>276</v>
      </c>
      <c r="W207" s="1524">
        <f>W48*2</f>
        <v>214</v>
      </c>
    </row>
    <row r="208" spans="3:23" x14ac:dyDescent="0.25">
      <c r="C208" s="1525" t="s">
        <v>317</v>
      </c>
      <c r="D208" s="1524">
        <f>D49*3</f>
        <v>33</v>
      </c>
      <c r="E208" s="1524">
        <f t="shared" ref="E208:R208" si="136">E49*3</f>
        <v>72</v>
      </c>
      <c r="F208" s="1524">
        <f t="shared" si="136"/>
        <v>57</v>
      </c>
      <c r="G208" s="1524">
        <f t="shared" si="136"/>
        <v>90</v>
      </c>
      <c r="H208" s="1524">
        <f t="shared" si="136"/>
        <v>99</v>
      </c>
      <c r="I208" s="1524">
        <f t="shared" si="136"/>
        <v>114</v>
      </c>
      <c r="J208" s="1524">
        <f t="shared" si="136"/>
        <v>126</v>
      </c>
      <c r="K208" s="1524">
        <f t="shared" si="136"/>
        <v>117</v>
      </c>
      <c r="L208" s="1524">
        <f t="shared" si="136"/>
        <v>129</v>
      </c>
      <c r="M208" s="1524">
        <f t="shared" si="136"/>
        <v>135</v>
      </c>
      <c r="N208" s="1524">
        <f t="shared" si="136"/>
        <v>141</v>
      </c>
      <c r="O208" s="1524">
        <f t="shared" si="136"/>
        <v>147</v>
      </c>
      <c r="P208" s="1524">
        <f t="shared" si="136"/>
        <v>120</v>
      </c>
      <c r="Q208" s="1524">
        <f t="shared" si="136"/>
        <v>123</v>
      </c>
      <c r="R208" s="1524">
        <f t="shared" si="136"/>
        <v>111</v>
      </c>
      <c r="S208" s="1524">
        <f>S49*3</f>
        <v>123</v>
      </c>
      <c r="T208" s="1524">
        <f>T49*3</f>
        <v>102</v>
      </c>
      <c r="U208" s="1524">
        <f>U49*3</f>
        <v>120</v>
      </c>
      <c r="V208" s="1524">
        <f>V49*3</f>
        <v>123</v>
      </c>
      <c r="W208" s="1524">
        <f>W49*3</f>
        <v>129</v>
      </c>
    </row>
    <row r="209" spans="3:23" x14ac:dyDescent="0.25">
      <c r="C209" s="1526" t="s">
        <v>472</v>
      </c>
      <c r="D209" s="1527">
        <f>SUM(D206:D208)</f>
        <v>113</v>
      </c>
      <c r="E209" s="1527">
        <f t="shared" ref="E209:U209" si="137">SUM(E206:E208)</f>
        <v>206</v>
      </c>
      <c r="F209" s="1527">
        <f t="shared" si="137"/>
        <v>193</v>
      </c>
      <c r="G209" s="1527">
        <f t="shared" si="137"/>
        <v>230</v>
      </c>
      <c r="H209" s="1527">
        <f t="shared" si="137"/>
        <v>231</v>
      </c>
      <c r="I209" s="1527">
        <f t="shared" si="137"/>
        <v>238</v>
      </c>
      <c r="J209" s="1527">
        <f t="shared" si="137"/>
        <v>352</v>
      </c>
      <c r="K209" s="1527">
        <f t="shared" si="137"/>
        <v>337</v>
      </c>
      <c r="L209" s="1527">
        <f t="shared" si="137"/>
        <v>423</v>
      </c>
      <c r="M209" s="1527">
        <f t="shared" si="137"/>
        <v>335</v>
      </c>
      <c r="N209" s="1527">
        <f t="shared" si="137"/>
        <v>431</v>
      </c>
      <c r="O209" s="1527">
        <f t="shared" si="137"/>
        <v>375</v>
      </c>
      <c r="P209" s="1527">
        <f t="shared" si="137"/>
        <v>438</v>
      </c>
      <c r="Q209" s="1527">
        <f t="shared" si="137"/>
        <v>365</v>
      </c>
      <c r="R209" s="1527">
        <f t="shared" si="137"/>
        <v>423</v>
      </c>
      <c r="S209" s="1527">
        <f t="shared" si="137"/>
        <v>345</v>
      </c>
      <c r="T209" s="1527">
        <f t="shared" si="137"/>
        <v>372</v>
      </c>
      <c r="U209" s="1527">
        <f t="shared" si="137"/>
        <v>330</v>
      </c>
      <c r="V209" s="1527">
        <f t="shared" ref="V209:W209" si="138">SUM(V206:V208)</f>
        <v>399</v>
      </c>
      <c r="W209" s="1527">
        <f t="shared" si="138"/>
        <v>343</v>
      </c>
    </row>
    <row r="210" spans="3:23" ht="15" customHeight="1" x14ac:dyDescent="0.25">
      <c r="C210" s="1521" t="s">
        <v>308</v>
      </c>
      <c r="D210" s="1524">
        <f>SUM(D198,D202,D206)</f>
        <v>36</v>
      </c>
      <c r="E210" s="1524">
        <f t="shared" ref="E210:U212" si="139">SUM(E198,E202,E206)</f>
        <v>17</v>
      </c>
      <c r="F210" s="1524">
        <f t="shared" si="139"/>
        <v>4</v>
      </c>
      <c r="G210" s="1524">
        <f t="shared" si="139"/>
        <v>18</v>
      </c>
      <c r="H210" s="1524">
        <f t="shared" si="139"/>
        <v>29</v>
      </c>
      <c r="I210" s="1524">
        <f t="shared" si="139"/>
        <v>37</v>
      </c>
      <c r="J210" s="1524">
        <f t="shared" si="139"/>
        <v>33</v>
      </c>
      <c r="K210" s="1524">
        <f t="shared" si="139"/>
        <v>19</v>
      </c>
      <c r="L210" s="1524">
        <f t="shared" si="139"/>
        <v>72</v>
      </c>
      <c r="M210" s="1524">
        <f t="shared" si="139"/>
        <v>56</v>
      </c>
      <c r="N210" s="1524">
        <f t="shared" si="139"/>
        <v>47</v>
      </c>
      <c r="O210" s="1524">
        <f t="shared" si="139"/>
        <v>2</v>
      </c>
      <c r="P210" s="1524">
        <f t="shared" si="139"/>
        <v>0</v>
      </c>
      <c r="Q210" s="1524">
        <f t="shared" si="139"/>
        <v>0</v>
      </c>
      <c r="R210" s="1524">
        <f t="shared" si="139"/>
        <v>30</v>
      </c>
      <c r="S210" s="1524">
        <f t="shared" si="139"/>
        <v>4</v>
      </c>
      <c r="T210" s="1524">
        <f t="shared" si="139"/>
        <v>4</v>
      </c>
      <c r="U210" s="1524">
        <f t="shared" si="139"/>
        <v>0</v>
      </c>
      <c r="V210" s="1524">
        <f t="shared" ref="V210:W210" si="140">SUM(V198,V202,V206)</f>
        <v>7</v>
      </c>
      <c r="W210" s="1524">
        <f t="shared" si="140"/>
        <v>21</v>
      </c>
    </row>
    <row r="211" spans="3:23" x14ac:dyDescent="0.25">
      <c r="C211" s="1523" t="s">
        <v>310</v>
      </c>
      <c r="D211" s="1524">
        <f>SUM(D199,D203,D207)</f>
        <v>744</v>
      </c>
      <c r="E211" s="1524">
        <f t="shared" si="139"/>
        <v>872</v>
      </c>
      <c r="F211" s="1524">
        <f t="shared" si="139"/>
        <v>828</v>
      </c>
      <c r="G211" s="1524">
        <f t="shared" si="139"/>
        <v>984</v>
      </c>
      <c r="H211" s="1524">
        <f t="shared" si="139"/>
        <v>892</v>
      </c>
      <c r="I211" s="1524">
        <f t="shared" si="139"/>
        <v>1006</v>
      </c>
      <c r="J211" s="1524">
        <f t="shared" si="139"/>
        <v>1104</v>
      </c>
      <c r="K211" s="1524">
        <f t="shared" si="139"/>
        <v>1214</v>
      </c>
      <c r="L211" s="1524">
        <f t="shared" si="139"/>
        <v>1044</v>
      </c>
      <c r="M211" s="1524">
        <f t="shared" si="139"/>
        <v>1156</v>
      </c>
      <c r="N211" s="1524">
        <f t="shared" si="139"/>
        <v>1200</v>
      </c>
      <c r="O211" s="1524">
        <f t="shared" si="139"/>
        <v>1260</v>
      </c>
      <c r="P211" s="1524">
        <f t="shared" si="139"/>
        <v>1278</v>
      </c>
      <c r="Q211" s="1524">
        <f t="shared" si="139"/>
        <v>1380</v>
      </c>
      <c r="R211" s="1524">
        <f t="shared" si="139"/>
        <v>1244</v>
      </c>
      <c r="S211" s="1524">
        <f t="shared" si="139"/>
        <v>1404</v>
      </c>
      <c r="T211" s="1524">
        <f t="shared" si="139"/>
        <v>1278</v>
      </c>
      <c r="U211" s="1524">
        <f t="shared" si="139"/>
        <v>1336</v>
      </c>
      <c r="V211" s="1524">
        <f t="shared" ref="V211:W211" si="141">SUM(V199,V203,V207)</f>
        <v>1222</v>
      </c>
      <c r="W211" s="1524">
        <f t="shared" si="141"/>
        <v>1248</v>
      </c>
    </row>
    <row r="212" spans="3:23" x14ac:dyDescent="0.25">
      <c r="C212" s="1525" t="s">
        <v>317</v>
      </c>
      <c r="D212" s="1524">
        <f>SUM(D200,D204,D208)</f>
        <v>690</v>
      </c>
      <c r="E212" s="1524">
        <f t="shared" si="139"/>
        <v>567</v>
      </c>
      <c r="F212" s="1524">
        <f t="shared" si="139"/>
        <v>681</v>
      </c>
      <c r="G212" s="1524">
        <f t="shared" si="139"/>
        <v>687</v>
      </c>
      <c r="H212" s="1524">
        <f t="shared" si="139"/>
        <v>954</v>
      </c>
      <c r="I212" s="1524">
        <f t="shared" si="139"/>
        <v>849</v>
      </c>
      <c r="J212" s="1524">
        <f t="shared" si="139"/>
        <v>1044</v>
      </c>
      <c r="K212" s="1524">
        <f t="shared" si="139"/>
        <v>960</v>
      </c>
      <c r="L212" s="1524">
        <f t="shared" si="139"/>
        <v>1074</v>
      </c>
      <c r="M212" s="1524">
        <f t="shared" si="139"/>
        <v>906</v>
      </c>
      <c r="N212" s="1524">
        <f t="shared" si="139"/>
        <v>1029</v>
      </c>
      <c r="O212" s="1524">
        <f t="shared" si="139"/>
        <v>972</v>
      </c>
      <c r="P212" s="1524">
        <f t="shared" si="139"/>
        <v>1053</v>
      </c>
      <c r="Q212" s="1524">
        <f t="shared" si="139"/>
        <v>1017</v>
      </c>
      <c r="R212" s="1524">
        <f t="shared" si="139"/>
        <v>1203</v>
      </c>
      <c r="S212" s="1524">
        <f t="shared" si="139"/>
        <v>1317</v>
      </c>
      <c r="T212" s="1524">
        <f t="shared" si="139"/>
        <v>1419</v>
      </c>
      <c r="U212" s="1524">
        <f t="shared" si="139"/>
        <v>1332</v>
      </c>
      <c r="V212" s="1524">
        <f t="shared" ref="V212:W212" si="142">SUM(V200,V204,V208)</f>
        <v>1476</v>
      </c>
      <c r="W212" s="1524">
        <f t="shared" si="142"/>
        <v>1218</v>
      </c>
    </row>
    <row r="213" spans="3:23" x14ac:dyDescent="0.25">
      <c r="C213" s="1532" t="s">
        <v>137</v>
      </c>
      <c r="D213" s="1533">
        <f>SUM(D210:D212)</f>
        <v>1470</v>
      </c>
      <c r="E213" s="1533">
        <f t="shared" ref="E213:U213" si="143">SUM(E210:E212)</f>
        <v>1456</v>
      </c>
      <c r="F213" s="1533">
        <f t="shared" si="143"/>
        <v>1513</v>
      </c>
      <c r="G213" s="1533">
        <f t="shared" si="143"/>
        <v>1689</v>
      </c>
      <c r="H213" s="1533">
        <f t="shared" si="143"/>
        <v>1875</v>
      </c>
      <c r="I213" s="1533">
        <f t="shared" si="143"/>
        <v>1892</v>
      </c>
      <c r="J213" s="1533">
        <f t="shared" si="143"/>
        <v>2181</v>
      </c>
      <c r="K213" s="1533">
        <f t="shared" si="143"/>
        <v>2193</v>
      </c>
      <c r="L213" s="1533">
        <f t="shared" si="143"/>
        <v>2190</v>
      </c>
      <c r="M213" s="1533">
        <f t="shared" si="143"/>
        <v>2118</v>
      </c>
      <c r="N213" s="1533">
        <f t="shared" si="143"/>
        <v>2276</v>
      </c>
      <c r="O213" s="1533">
        <f t="shared" si="143"/>
        <v>2234</v>
      </c>
      <c r="P213" s="1533">
        <f t="shared" si="143"/>
        <v>2331</v>
      </c>
      <c r="Q213" s="1533">
        <f t="shared" si="143"/>
        <v>2397</v>
      </c>
      <c r="R213" s="1533">
        <f t="shared" si="143"/>
        <v>2477</v>
      </c>
      <c r="S213" s="1533">
        <f t="shared" si="143"/>
        <v>2725</v>
      </c>
      <c r="T213" s="1533">
        <f t="shared" si="143"/>
        <v>2701</v>
      </c>
      <c r="U213" s="1533">
        <f t="shared" si="143"/>
        <v>2668</v>
      </c>
      <c r="V213" s="1533">
        <f t="shared" ref="V213:W213" si="144">SUM(V210:V212)</f>
        <v>2705</v>
      </c>
      <c r="W213" s="1533">
        <f t="shared" si="144"/>
        <v>2487</v>
      </c>
    </row>
    <row r="214" spans="3:23" x14ac:dyDescent="0.25">
      <c r="C214" s="1520"/>
      <c r="D214" s="1520"/>
      <c r="E214" s="1520"/>
      <c r="F214" s="1520"/>
      <c r="G214" s="1520"/>
      <c r="H214" s="1520"/>
      <c r="I214" s="1520"/>
      <c r="J214" s="1520"/>
      <c r="K214" s="1520"/>
      <c r="L214" s="1520"/>
      <c r="M214" s="1520"/>
      <c r="N214" s="1520"/>
      <c r="O214" s="1520"/>
      <c r="P214" s="1520"/>
      <c r="Q214" s="1520"/>
      <c r="R214" s="1520"/>
      <c r="S214" s="1520"/>
      <c r="T214" s="1520"/>
      <c r="U214" s="1520"/>
      <c r="V214" s="1520"/>
      <c r="W214" s="1520"/>
    </row>
    <row r="215" spans="3:23" x14ac:dyDescent="0.25">
      <c r="C215" s="1521" t="s">
        <v>308</v>
      </c>
      <c r="D215" s="1522"/>
      <c r="E215" s="1522"/>
      <c r="F215" s="1522"/>
      <c r="G215" s="1522"/>
      <c r="H215" s="1522"/>
      <c r="I215" s="1522"/>
      <c r="J215" s="1522"/>
      <c r="K215" s="1522"/>
      <c r="L215" s="1522">
        <f t="shared" ref="L215:R215" si="145">+L56</f>
        <v>0</v>
      </c>
      <c r="M215" s="1522">
        <f t="shared" si="145"/>
        <v>0</v>
      </c>
      <c r="N215" s="1522">
        <f t="shared" si="145"/>
        <v>0</v>
      </c>
      <c r="O215" s="1522">
        <f t="shared" si="145"/>
        <v>0</v>
      </c>
      <c r="P215" s="1522">
        <f t="shared" si="145"/>
        <v>0</v>
      </c>
      <c r="Q215" s="1522">
        <f t="shared" si="145"/>
        <v>0</v>
      </c>
      <c r="R215" s="1522">
        <f t="shared" si="145"/>
        <v>0</v>
      </c>
      <c r="S215" s="1522">
        <f>+S56</f>
        <v>0</v>
      </c>
      <c r="T215" s="1522">
        <f>+T56</f>
        <v>0</v>
      </c>
      <c r="U215" s="1522">
        <f>+U56</f>
        <v>0</v>
      </c>
      <c r="V215" s="1522">
        <f>+V56</f>
        <v>0</v>
      </c>
      <c r="W215" s="1522">
        <f>+W56</f>
        <v>0</v>
      </c>
    </row>
    <row r="216" spans="3:23" x14ac:dyDescent="0.25">
      <c r="C216" s="1523" t="s">
        <v>310</v>
      </c>
      <c r="D216" s="1524"/>
      <c r="E216" s="1524"/>
      <c r="F216" s="1524"/>
      <c r="G216" s="1524"/>
      <c r="H216" s="1524"/>
      <c r="I216" s="1524"/>
      <c r="J216" s="1524"/>
      <c r="K216" s="1524"/>
      <c r="L216" s="1524">
        <f t="shared" ref="L216:R216" si="146">L57*2</f>
        <v>40</v>
      </c>
      <c r="M216" s="1524">
        <f t="shared" si="146"/>
        <v>64</v>
      </c>
      <c r="N216" s="1524">
        <f t="shared" si="146"/>
        <v>76</v>
      </c>
      <c r="O216" s="1524">
        <f t="shared" si="146"/>
        <v>72</v>
      </c>
      <c r="P216" s="1524">
        <f t="shared" si="146"/>
        <v>72</v>
      </c>
      <c r="Q216" s="1524">
        <f t="shared" si="146"/>
        <v>86</v>
      </c>
      <c r="R216" s="1524">
        <f t="shared" si="146"/>
        <v>86</v>
      </c>
      <c r="S216" s="1524">
        <f>S57*2</f>
        <v>68</v>
      </c>
      <c r="T216" s="1524">
        <f>T57*2</f>
        <v>80</v>
      </c>
      <c r="U216" s="1524">
        <f>U57*2</f>
        <v>58</v>
      </c>
      <c r="V216" s="1524">
        <f>V57*2</f>
        <v>86</v>
      </c>
      <c r="W216" s="1524">
        <f>W57*2</f>
        <v>110</v>
      </c>
    </row>
    <row r="217" spans="3:23" x14ac:dyDescent="0.25">
      <c r="C217" s="1525" t="s">
        <v>317</v>
      </c>
      <c r="D217" s="1524"/>
      <c r="E217" s="1524"/>
      <c r="F217" s="1524"/>
      <c r="G217" s="1524"/>
      <c r="H217" s="1524"/>
      <c r="I217" s="1524"/>
      <c r="J217" s="1524"/>
      <c r="K217" s="1524"/>
      <c r="L217" s="1524">
        <f t="shared" ref="L217:R217" si="147">L58*3</f>
        <v>36</v>
      </c>
      <c r="M217" s="1524">
        <f t="shared" si="147"/>
        <v>66</v>
      </c>
      <c r="N217" s="1524">
        <f t="shared" si="147"/>
        <v>108</v>
      </c>
      <c r="O217" s="1524">
        <f t="shared" si="147"/>
        <v>126</v>
      </c>
      <c r="P217" s="1524">
        <f t="shared" si="147"/>
        <v>168</v>
      </c>
      <c r="Q217" s="1524">
        <f t="shared" si="147"/>
        <v>189</v>
      </c>
      <c r="R217" s="1524">
        <f t="shared" si="147"/>
        <v>177</v>
      </c>
      <c r="S217" s="1524">
        <f>S58*3</f>
        <v>174</v>
      </c>
      <c r="T217" s="1524">
        <f>T58*3</f>
        <v>207</v>
      </c>
      <c r="U217" s="1524">
        <f>U58*3</f>
        <v>189</v>
      </c>
      <c r="V217" s="1524">
        <f>V58*3</f>
        <v>243</v>
      </c>
      <c r="W217" s="1524">
        <f>W58*3</f>
        <v>252</v>
      </c>
    </row>
    <row r="218" spans="3:23" x14ac:dyDescent="0.25">
      <c r="C218" s="1526" t="s">
        <v>471</v>
      </c>
      <c r="D218" s="1527"/>
      <c r="E218" s="1527"/>
      <c r="F218" s="1527"/>
      <c r="G218" s="1527"/>
      <c r="H218" s="1527"/>
      <c r="I218" s="1527"/>
      <c r="J218" s="1527"/>
      <c r="K218" s="1527"/>
      <c r="L218" s="1527">
        <f t="shared" ref="L218:R218" si="148">SUM(L215:L217)</f>
        <v>76</v>
      </c>
      <c r="M218" s="1527">
        <f t="shared" si="148"/>
        <v>130</v>
      </c>
      <c r="N218" s="1527">
        <f t="shared" si="148"/>
        <v>184</v>
      </c>
      <c r="O218" s="1527">
        <f t="shared" si="148"/>
        <v>198</v>
      </c>
      <c r="P218" s="1527">
        <f t="shared" si="148"/>
        <v>240</v>
      </c>
      <c r="Q218" s="1527">
        <f t="shared" si="148"/>
        <v>275</v>
      </c>
      <c r="R218" s="1527">
        <f t="shared" si="148"/>
        <v>263</v>
      </c>
      <c r="S218" s="1527">
        <f>SUM(S215:S217)</f>
        <v>242</v>
      </c>
      <c r="T218" s="1527">
        <f>SUM(T215:T217)</f>
        <v>287</v>
      </c>
      <c r="U218" s="1527">
        <f>SUM(U215:U217)</f>
        <v>247</v>
      </c>
      <c r="V218" s="1527">
        <f>SUM(V215:V217)</f>
        <v>329</v>
      </c>
      <c r="W218" s="1527">
        <f>SUM(W215:W217)</f>
        <v>362</v>
      </c>
    </row>
    <row r="219" spans="3:23" x14ac:dyDescent="0.25">
      <c r="C219" s="1521" t="s">
        <v>308</v>
      </c>
      <c r="D219" s="1524"/>
      <c r="E219" s="1524"/>
      <c r="F219" s="1524"/>
      <c r="G219" s="1524"/>
      <c r="H219" s="1524"/>
      <c r="I219" s="1524"/>
      <c r="J219" s="1524"/>
      <c r="K219" s="1524"/>
      <c r="L219" s="1524"/>
      <c r="M219" s="1524"/>
      <c r="N219" s="1524"/>
      <c r="O219" s="1524"/>
      <c r="P219" s="1524"/>
      <c r="Q219" s="1524"/>
      <c r="R219" s="1524"/>
      <c r="S219" s="1524"/>
      <c r="T219" s="1524"/>
      <c r="U219" s="1524"/>
      <c r="V219" s="1524"/>
      <c r="W219" s="1524"/>
    </row>
    <row r="220" spans="3:23" x14ac:dyDescent="0.25">
      <c r="C220" s="1523" t="s">
        <v>310</v>
      </c>
      <c r="D220" s="1524"/>
      <c r="E220" s="1524"/>
      <c r="F220" s="1524"/>
      <c r="G220" s="1524"/>
      <c r="H220" s="1524"/>
      <c r="I220" s="1524"/>
      <c r="J220" s="1524"/>
      <c r="K220" s="1524"/>
      <c r="L220" s="1524"/>
      <c r="M220" s="1524">
        <f t="shared" ref="M220:R220" si="149">M61*2</f>
        <v>24</v>
      </c>
      <c r="N220" s="1524">
        <f t="shared" si="149"/>
        <v>48</v>
      </c>
      <c r="O220" s="1524">
        <f t="shared" si="149"/>
        <v>84</v>
      </c>
      <c r="P220" s="1524">
        <f t="shared" si="149"/>
        <v>100</v>
      </c>
      <c r="Q220" s="1524">
        <f t="shared" si="149"/>
        <v>122</v>
      </c>
      <c r="R220" s="1524">
        <f t="shared" si="149"/>
        <v>124</v>
      </c>
      <c r="S220" s="1524">
        <f>S61*2</f>
        <v>132</v>
      </c>
      <c r="T220" s="1524">
        <f>T61*2</f>
        <v>170</v>
      </c>
      <c r="U220" s="1524">
        <f>U61*2</f>
        <v>134</v>
      </c>
      <c r="V220" s="1524">
        <f>V61*2</f>
        <v>122</v>
      </c>
      <c r="W220" s="1524">
        <f>W61*2</f>
        <v>140</v>
      </c>
    </row>
    <row r="221" spans="3:23" x14ac:dyDescent="0.25">
      <c r="C221" s="1525" t="s">
        <v>317</v>
      </c>
      <c r="D221" s="1524"/>
      <c r="E221" s="1524"/>
      <c r="F221" s="1524"/>
      <c r="G221" s="1524"/>
      <c r="H221" s="1524"/>
      <c r="I221" s="1524"/>
      <c r="J221" s="1524"/>
      <c r="K221" s="1524"/>
      <c r="L221" s="1524"/>
      <c r="M221" s="1524"/>
      <c r="N221" s="1524"/>
      <c r="O221" s="1524"/>
      <c r="P221" s="1524"/>
      <c r="Q221" s="1524"/>
      <c r="R221" s="1524"/>
      <c r="S221" s="1524"/>
      <c r="T221" s="1524"/>
      <c r="U221" s="1524"/>
      <c r="V221" s="1524"/>
      <c r="W221" s="1524"/>
    </row>
    <row r="222" spans="3:23" x14ac:dyDescent="0.25">
      <c r="C222" s="1526" t="s">
        <v>474</v>
      </c>
      <c r="D222" s="1527"/>
      <c r="E222" s="1527"/>
      <c r="F222" s="1527"/>
      <c r="G222" s="1527"/>
      <c r="H222" s="1527"/>
      <c r="I222" s="1527"/>
      <c r="J222" s="1527"/>
      <c r="K222" s="1527"/>
      <c r="L222" s="1527"/>
      <c r="M222" s="1527">
        <f t="shared" ref="M222:R222" si="150">SUM(M219:M221)</f>
        <v>24</v>
      </c>
      <c r="N222" s="1527">
        <f t="shared" si="150"/>
        <v>48</v>
      </c>
      <c r="O222" s="1527">
        <f t="shared" si="150"/>
        <v>84</v>
      </c>
      <c r="P222" s="1527">
        <f t="shared" si="150"/>
        <v>100</v>
      </c>
      <c r="Q222" s="1527">
        <f t="shared" si="150"/>
        <v>122</v>
      </c>
      <c r="R222" s="1527">
        <f t="shared" si="150"/>
        <v>124</v>
      </c>
      <c r="S222" s="1527">
        <f>SUM(S219:S221)</f>
        <v>132</v>
      </c>
      <c r="T222" s="1527">
        <f>SUM(T219:T221)</f>
        <v>170</v>
      </c>
      <c r="U222" s="1527">
        <f>SUM(U219:U221)</f>
        <v>134</v>
      </c>
      <c r="V222" s="1527">
        <f>SUM(V219:V221)</f>
        <v>122</v>
      </c>
      <c r="W222" s="1527">
        <f>SUM(W219:W221)</f>
        <v>140</v>
      </c>
    </row>
    <row r="223" spans="3:23" x14ac:dyDescent="0.25">
      <c r="C223" s="1521" t="s">
        <v>308</v>
      </c>
      <c r="D223" s="1524"/>
      <c r="E223" s="1524"/>
      <c r="F223" s="1524"/>
      <c r="G223" s="1524"/>
      <c r="H223" s="1524"/>
      <c r="I223" s="1524"/>
      <c r="J223" s="1524"/>
      <c r="K223" s="1524"/>
      <c r="L223" s="1524">
        <f t="shared" ref="L223:S223" si="151">+L64</f>
        <v>0</v>
      </c>
      <c r="M223" s="1524">
        <f t="shared" si="151"/>
        <v>3</v>
      </c>
      <c r="N223" s="1524">
        <f t="shared" si="151"/>
        <v>5</v>
      </c>
      <c r="O223" s="1524">
        <f t="shared" si="151"/>
        <v>4</v>
      </c>
      <c r="P223" s="1524">
        <f t="shared" si="151"/>
        <v>7</v>
      </c>
      <c r="Q223" s="1524">
        <f t="shared" si="151"/>
        <v>8</v>
      </c>
      <c r="R223" s="1524">
        <f t="shared" si="151"/>
        <v>6</v>
      </c>
      <c r="S223" s="1524">
        <f t="shared" si="151"/>
        <v>3</v>
      </c>
      <c r="T223" s="1524">
        <f>+T64</f>
        <v>0</v>
      </c>
      <c r="U223" s="1524">
        <f>+U64</f>
        <v>3</v>
      </c>
      <c r="V223" s="1524">
        <f>+V64</f>
        <v>2</v>
      </c>
      <c r="W223" s="1524">
        <f>+W64</f>
        <v>1</v>
      </c>
    </row>
    <row r="224" spans="3:23" x14ac:dyDescent="0.25">
      <c r="C224" s="1523" t="s">
        <v>310</v>
      </c>
      <c r="D224" s="1524"/>
      <c r="E224" s="1524"/>
      <c r="F224" s="1524"/>
      <c r="G224" s="1524"/>
      <c r="H224" s="1524"/>
      <c r="I224" s="1524"/>
      <c r="J224" s="1524"/>
      <c r="K224" s="1524"/>
      <c r="L224" s="1524">
        <f t="shared" ref="L224:S224" si="152">L65*2</f>
        <v>0</v>
      </c>
      <c r="M224" s="1524">
        <f t="shared" si="152"/>
        <v>18</v>
      </c>
      <c r="N224" s="1524">
        <f t="shared" si="152"/>
        <v>44</v>
      </c>
      <c r="O224" s="1524">
        <f t="shared" si="152"/>
        <v>68</v>
      </c>
      <c r="P224" s="1524">
        <f t="shared" si="152"/>
        <v>74</v>
      </c>
      <c r="Q224" s="1524">
        <f t="shared" si="152"/>
        <v>84</v>
      </c>
      <c r="R224" s="1524">
        <f t="shared" si="152"/>
        <v>84</v>
      </c>
      <c r="S224" s="1524">
        <f t="shared" si="152"/>
        <v>74</v>
      </c>
      <c r="T224" s="1524">
        <f>T65*2</f>
        <v>78</v>
      </c>
      <c r="U224" s="1524">
        <f>U65*2</f>
        <v>46</v>
      </c>
      <c r="V224" s="1524">
        <f>V65*2</f>
        <v>48</v>
      </c>
      <c r="W224" s="1524">
        <f>W65*2</f>
        <v>60</v>
      </c>
    </row>
    <row r="225" spans="3:23" x14ac:dyDescent="0.25">
      <c r="C225" s="1525" t="s">
        <v>317</v>
      </c>
      <c r="D225" s="1524"/>
      <c r="E225" s="1524"/>
      <c r="F225" s="1524"/>
      <c r="G225" s="1524"/>
      <c r="H225" s="1524"/>
      <c r="I225" s="1524"/>
      <c r="J225" s="1524"/>
      <c r="K225" s="1524"/>
      <c r="L225" s="1524">
        <f t="shared" ref="L225:S225" si="153">L66*3</f>
        <v>0</v>
      </c>
      <c r="M225" s="1524">
        <f t="shared" si="153"/>
        <v>21</v>
      </c>
      <c r="N225" s="1524">
        <f t="shared" si="153"/>
        <v>39</v>
      </c>
      <c r="O225" s="1524">
        <f t="shared" si="153"/>
        <v>63</v>
      </c>
      <c r="P225" s="1524">
        <f t="shared" si="153"/>
        <v>99</v>
      </c>
      <c r="Q225" s="1524">
        <f t="shared" si="153"/>
        <v>108</v>
      </c>
      <c r="R225" s="1524">
        <f t="shared" si="153"/>
        <v>120</v>
      </c>
      <c r="S225" s="1524">
        <f t="shared" si="153"/>
        <v>138</v>
      </c>
      <c r="T225" s="1524">
        <f>T66*3</f>
        <v>123</v>
      </c>
      <c r="U225" s="1524">
        <f>U66*3</f>
        <v>117</v>
      </c>
      <c r="V225" s="1524">
        <f>V66*3</f>
        <v>84</v>
      </c>
      <c r="W225" s="1524">
        <f>W66*3</f>
        <v>114</v>
      </c>
    </row>
    <row r="226" spans="3:23" x14ac:dyDescent="0.25">
      <c r="C226" s="1526" t="s">
        <v>475</v>
      </c>
      <c r="D226" s="1527"/>
      <c r="E226" s="1527"/>
      <c r="F226" s="1527"/>
      <c r="G226" s="1527"/>
      <c r="H226" s="1527"/>
      <c r="I226" s="1527"/>
      <c r="J226" s="1527"/>
      <c r="K226" s="1527"/>
      <c r="L226" s="1527">
        <f t="shared" ref="L226:R226" si="154">SUM(L223:L225)</f>
        <v>0</v>
      </c>
      <c r="M226" s="1527">
        <f t="shared" si="154"/>
        <v>42</v>
      </c>
      <c r="N226" s="1527">
        <f t="shared" si="154"/>
        <v>88</v>
      </c>
      <c r="O226" s="1527">
        <f t="shared" si="154"/>
        <v>135</v>
      </c>
      <c r="P226" s="1527">
        <f t="shared" si="154"/>
        <v>180</v>
      </c>
      <c r="Q226" s="1527">
        <f t="shared" si="154"/>
        <v>200</v>
      </c>
      <c r="R226" s="1527">
        <f t="shared" si="154"/>
        <v>210</v>
      </c>
      <c r="S226" s="1527">
        <f>SUM(S223:S225)</f>
        <v>215</v>
      </c>
      <c r="T226" s="1527">
        <f>SUM(T223:T225)</f>
        <v>201</v>
      </c>
      <c r="U226" s="1527">
        <f>SUM(U223:U225)</f>
        <v>166</v>
      </c>
      <c r="V226" s="1527">
        <f>SUM(V223:V225)</f>
        <v>134</v>
      </c>
      <c r="W226" s="1527">
        <f>SUM(W223:W225)</f>
        <v>175</v>
      </c>
    </row>
    <row r="227" spans="3:23" ht="15" customHeight="1" x14ac:dyDescent="0.25">
      <c r="C227" s="1521" t="s">
        <v>308</v>
      </c>
      <c r="D227" s="1524"/>
      <c r="E227" s="1524"/>
      <c r="F227" s="1524"/>
      <c r="G227" s="1524"/>
      <c r="H227" s="1524"/>
      <c r="I227" s="1524"/>
      <c r="J227" s="1524"/>
      <c r="K227" s="1524"/>
      <c r="L227" s="1524">
        <f t="shared" ref="L227:U229" si="155">SUM(L215,L219,L223)</f>
        <v>0</v>
      </c>
      <c r="M227" s="1524">
        <f t="shared" si="155"/>
        <v>3</v>
      </c>
      <c r="N227" s="1524">
        <f t="shared" si="155"/>
        <v>5</v>
      </c>
      <c r="O227" s="1524">
        <f t="shared" si="155"/>
        <v>4</v>
      </c>
      <c r="P227" s="1524">
        <f t="shared" si="155"/>
        <v>7</v>
      </c>
      <c r="Q227" s="1524">
        <f t="shared" si="155"/>
        <v>8</v>
      </c>
      <c r="R227" s="1524">
        <f t="shared" si="155"/>
        <v>6</v>
      </c>
      <c r="S227" s="1524">
        <f t="shared" si="155"/>
        <v>3</v>
      </c>
      <c r="T227" s="1524">
        <f t="shared" si="155"/>
        <v>0</v>
      </c>
      <c r="U227" s="1524">
        <f t="shared" si="155"/>
        <v>3</v>
      </c>
      <c r="V227" s="1524">
        <f t="shared" ref="V227:W227" si="156">SUM(V215,V219,V223)</f>
        <v>2</v>
      </c>
      <c r="W227" s="1524">
        <f t="shared" si="156"/>
        <v>1</v>
      </c>
    </row>
    <row r="228" spans="3:23" x14ac:dyDescent="0.25">
      <c r="C228" s="1523" t="s">
        <v>310</v>
      </c>
      <c r="D228" s="1524"/>
      <c r="E228" s="1524"/>
      <c r="F228" s="1524"/>
      <c r="G228" s="1524"/>
      <c r="H228" s="1524"/>
      <c r="I228" s="1524"/>
      <c r="J228" s="1524"/>
      <c r="K228" s="1524"/>
      <c r="L228" s="1524">
        <f t="shared" si="155"/>
        <v>40</v>
      </c>
      <c r="M228" s="1524">
        <f t="shared" si="155"/>
        <v>106</v>
      </c>
      <c r="N228" s="1524">
        <f t="shared" si="155"/>
        <v>168</v>
      </c>
      <c r="O228" s="1524">
        <f t="shared" si="155"/>
        <v>224</v>
      </c>
      <c r="P228" s="1524">
        <f t="shared" si="155"/>
        <v>246</v>
      </c>
      <c r="Q228" s="1524">
        <f t="shared" si="155"/>
        <v>292</v>
      </c>
      <c r="R228" s="1524">
        <f t="shared" si="155"/>
        <v>294</v>
      </c>
      <c r="S228" s="1524">
        <f t="shared" si="155"/>
        <v>274</v>
      </c>
      <c r="T228" s="1524">
        <f t="shared" si="155"/>
        <v>328</v>
      </c>
      <c r="U228" s="1524">
        <f t="shared" si="155"/>
        <v>238</v>
      </c>
      <c r="V228" s="1524">
        <f t="shared" ref="V228:W228" si="157">SUM(V216,V220,V224)</f>
        <v>256</v>
      </c>
      <c r="W228" s="1524">
        <f t="shared" si="157"/>
        <v>310</v>
      </c>
    </row>
    <row r="229" spans="3:23" x14ac:dyDescent="0.25">
      <c r="C229" s="1525" t="s">
        <v>317</v>
      </c>
      <c r="D229" s="1524"/>
      <c r="E229" s="1524"/>
      <c r="F229" s="1524"/>
      <c r="G229" s="1524"/>
      <c r="H229" s="1524"/>
      <c r="I229" s="1524"/>
      <c r="J229" s="1524"/>
      <c r="K229" s="1524"/>
      <c r="L229" s="1524">
        <f t="shared" si="155"/>
        <v>36</v>
      </c>
      <c r="M229" s="1524">
        <f t="shared" si="155"/>
        <v>87</v>
      </c>
      <c r="N229" s="1524">
        <f t="shared" si="155"/>
        <v>147</v>
      </c>
      <c r="O229" s="1524">
        <f t="shared" si="155"/>
        <v>189</v>
      </c>
      <c r="P229" s="1524">
        <f t="shared" si="155"/>
        <v>267</v>
      </c>
      <c r="Q229" s="1524">
        <f t="shared" si="155"/>
        <v>297</v>
      </c>
      <c r="R229" s="1524">
        <f t="shared" si="155"/>
        <v>297</v>
      </c>
      <c r="S229" s="1524">
        <f t="shared" si="155"/>
        <v>312</v>
      </c>
      <c r="T229" s="1524">
        <f t="shared" si="155"/>
        <v>330</v>
      </c>
      <c r="U229" s="1524">
        <f t="shared" si="155"/>
        <v>306</v>
      </c>
      <c r="V229" s="1524">
        <f t="shared" ref="V229:W229" si="158">SUM(V217,V221,V225)</f>
        <v>327</v>
      </c>
      <c r="W229" s="1524">
        <f t="shared" si="158"/>
        <v>366</v>
      </c>
    </row>
    <row r="230" spans="3:23" x14ac:dyDescent="0.25">
      <c r="C230" s="1534" t="s">
        <v>134</v>
      </c>
      <c r="D230" s="1535"/>
      <c r="E230" s="1535"/>
      <c r="F230" s="1535"/>
      <c r="G230" s="1535"/>
      <c r="H230" s="1535"/>
      <c r="I230" s="1535"/>
      <c r="J230" s="1535"/>
      <c r="K230" s="1535"/>
      <c r="L230" s="1535">
        <f t="shared" ref="L230:R230" si="159">SUM(L227:L229)</f>
        <v>76</v>
      </c>
      <c r="M230" s="1535">
        <f t="shared" si="159"/>
        <v>196</v>
      </c>
      <c r="N230" s="1535">
        <f t="shared" si="159"/>
        <v>320</v>
      </c>
      <c r="O230" s="1535">
        <f t="shared" si="159"/>
        <v>417</v>
      </c>
      <c r="P230" s="1535">
        <f t="shared" si="159"/>
        <v>520</v>
      </c>
      <c r="Q230" s="1535">
        <f t="shared" si="159"/>
        <v>597</v>
      </c>
      <c r="R230" s="1535">
        <f t="shared" si="159"/>
        <v>597</v>
      </c>
      <c r="S230" s="1535">
        <f>SUM(S227:S229)</f>
        <v>589</v>
      </c>
      <c r="T230" s="1535">
        <f>SUM(T227:T229)</f>
        <v>658</v>
      </c>
      <c r="U230" s="1535">
        <f>SUM(U227:U229)</f>
        <v>547</v>
      </c>
      <c r="V230" s="1535">
        <f>SUM(V227:V229)</f>
        <v>585</v>
      </c>
      <c r="W230" s="1535">
        <f>SUM(W227:W229)</f>
        <v>677</v>
      </c>
    </row>
    <row r="231" spans="3:23" x14ac:dyDescent="0.25">
      <c r="C231" s="1520"/>
      <c r="D231" s="1520"/>
      <c r="E231" s="1520"/>
      <c r="F231" s="1520"/>
      <c r="G231" s="1520"/>
      <c r="H231" s="1520"/>
      <c r="I231" s="1520"/>
      <c r="J231" s="1520"/>
      <c r="K231" s="1520"/>
      <c r="L231" s="1520"/>
      <c r="M231" s="1520"/>
      <c r="N231" s="1520"/>
      <c r="O231" s="1520"/>
      <c r="P231" s="1520"/>
      <c r="Q231" s="1520"/>
      <c r="R231" s="1520"/>
      <c r="S231" s="1520"/>
      <c r="T231" s="1520"/>
      <c r="U231" s="1520"/>
      <c r="V231" s="1520"/>
      <c r="W231" s="1520"/>
    </row>
    <row r="232" spans="3:23" x14ac:dyDescent="0.25">
      <c r="C232" s="1521" t="s">
        <v>308</v>
      </c>
      <c r="D232" s="1522"/>
      <c r="E232" s="1522"/>
      <c r="F232" s="1522"/>
      <c r="G232" s="1522"/>
      <c r="H232" s="1522"/>
      <c r="I232" s="1522"/>
      <c r="J232" s="1522"/>
      <c r="K232" s="1522"/>
      <c r="L232" s="1522"/>
      <c r="M232" s="1522"/>
      <c r="N232" s="1522"/>
      <c r="O232" s="1522"/>
      <c r="P232" s="1522"/>
      <c r="Q232" s="1522"/>
      <c r="R232" s="1522"/>
      <c r="S232" s="1522">
        <f>+S73</f>
        <v>0</v>
      </c>
      <c r="T232" s="1522">
        <f>+T73</f>
        <v>0</v>
      </c>
      <c r="U232" s="1522">
        <f>+U73</f>
        <v>0</v>
      </c>
      <c r="V232" s="1522">
        <f>+V73</f>
        <v>0</v>
      </c>
      <c r="W232" s="1522">
        <f>+W73</f>
        <v>0</v>
      </c>
    </row>
    <row r="233" spans="3:23" x14ac:dyDescent="0.25">
      <c r="C233" s="1523" t="s">
        <v>310</v>
      </c>
      <c r="D233" s="1524"/>
      <c r="E233" s="1524"/>
      <c r="F233" s="1524"/>
      <c r="G233" s="1524"/>
      <c r="H233" s="1524"/>
      <c r="I233" s="1524"/>
      <c r="J233" s="1524"/>
      <c r="K233" s="1524"/>
      <c r="L233" s="1524"/>
      <c r="M233" s="1524"/>
      <c r="N233" s="1524"/>
      <c r="O233" s="1524"/>
      <c r="P233" s="1524"/>
      <c r="Q233" s="1524"/>
      <c r="R233" s="1524"/>
      <c r="S233" s="1524">
        <f>S74*2</f>
        <v>0</v>
      </c>
      <c r="T233" s="1524">
        <f>T74*2</f>
        <v>0</v>
      </c>
      <c r="U233" s="1524">
        <f>U74*2</f>
        <v>0</v>
      </c>
      <c r="V233" s="1524">
        <f>V74*2</f>
        <v>0</v>
      </c>
      <c r="W233" s="1524">
        <f>W74*2</f>
        <v>0</v>
      </c>
    </row>
    <row r="234" spans="3:23" x14ac:dyDescent="0.25">
      <c r="C234" s="1525" t="s">
        <v>317</v>
      </c>
      <c r="D234" s="1524"/>
      <c r="E234" s="1524"/>
      <c r="F234" s="1524"/>
      <c r="G234" s="1524"/>
      <c r="H234" s="1524"/>
      <c r="I234" s="1524"/>
      <c r="J234" s="1524"/>
      <c r="K234" s="1524"/>
      <c r="L234" s="1524"/>
      <c r="M234" s="1524"/>
      <c r="N234" s="1524"/>
      <c r="O234" s="1524"/>
      <c r="P234" s="1524"/>
      <c r="Q234" s="1524"/>
      <c r="R234" s="1524"/>
      <c r="S234" s="1524">
        <f>S75*3</f>
        <v>3</v>
      </c>
      <c r="T234" s="1524">
        <f>T75*3</f>
        <v>9</v>
      </c>
      <c r="U234" s="1524">
        <f>U75*3</f>
        <v>21</v>
      </c>
      <c r="V234" s="1524">
        <f>V75*3</f>
        <v>27</v>
      </c>
      <c r="W234" s="1524">
        <f>W75*3</f>
        <v>39</v>
      </c>
    </row>
    <row r="235" spans="3:23" x14ac:dyDescent="0.25">
      <c r="C235" s="1536" t="s">
        <v>476</v>
      </c>
      <c r="D235" s="1527"/>
      <c r="E235" s="1527"/>
      <c r="F235" s="1527"/>
      <c r="G235" s="1527"/>
      <c r="H235" s="1527"/>
      <c r="I235" s="1527"/>
      <c r="J235" s="1527"/>
      <c r="K235" s="1527"/>
      <c r="L235" s="1527"/>
      <c r="M235" s="1527"/>
      <c r="N235" s="1527"/>
      <c r="O235" s="1527"/>
      <c r="P235" s="1527"/>
      <c r="Q235" s="1527"/>
      <c r="R235" s="1527"/>
      <c r="S235" s="1527">
        <f>SUM(S232:S234)</f>
        <v>3</v>
      </c>
      <c r="T235" s="1527">
        <f>SUM(T232:T234)</f>
        <v>9</v>
      </c>
      <c r="U235" s="1527">
        <f>SUM(U232:U234)</f>
        <v>21</v>
      </c>
      <c r="V235" s="1527">
        <f>SUM(V232:V234)</f>
        <v>27</v>
      </c>
      <c r="W235" s="1527">
        <f>SUM(W232:W234)</f>
        <v>39</v>
      </c>
    </row>
    <row r="236" spans="3:23" x14ac:dyDescent="0.25">
      <c r="C236" s="1520"/>
      <c r="D236" s="1520"/>
      <c r="E236" s="1520"/>
      <c r="F236" s="1520"/>
      <c r="G236" s="1520"/>
      <c r="H236" s="1520"/>
      <c r="I236" s="1520"/>
      <c r="J236" s="1520"/>
      <c r="K236" s="1520"/>
      <c r="L236" s="1520"/>
      <c r="M236" s="1520"/>
      <c r="N236" s="1520"/>
      <c r="O236" s="1520"/>
      <c r="P236" s="1520"/>
      <c r="Q236" s="1520"/>
      <c r="R236" s="1520"/>
      <c r="S236" s="1520"/>
      <c r="T236" s="1520"/>
      <c r="U236" s="1520"/>
      <c r="V236" s="1520"/>
      <c r="W236" s="1520"/>
    </row>
    <row r="237" spans="3:23" x14ac:dyDescent="0.25">
      <c r="C237" s="1521" t="s">
        <v>308</v>
      </c>
      <c r="D237" s="1522">
        <f>SUM(D176,D193,D210,D227)</f>
        <v>223</v>
      </c>
      <c r="E237" s="1522">
        <f t="shared" ref="E237:U239" si="160">SUM(E176,E193,E210,E227)</f>
        <v>282</v>
      </c>
      <c r="F237" s="1522">
        <f t="shared" si="160"/>
        <v>225</v>
      </c>
      <c r="G237" s="1522">
        <f t="shared" si="160"/>
        <v>254</v>
      </c>
      <c r="H237" s="1522">
        <f t="shared" si="160"/>
        <v>336</v>
      </c>
      <c r="I237" s="1522">
        <f t="shared" si="160"/>
        <v>322</v>
      </c>
      <c r="J237" s="1522">
        <f t="shared" si="160"/>
        <v>365</v>
      </c>
      <c r="K237" s="1522">
        <f t="shared" si="160"/>
        <v>394</v>
      </c>
      <c r="L237" s="1522">
        <f t="shared" si="160"/>
        <v>363</v>
      </c>
      <c r="M237" s="1522">
        <f t="shared" si="160"/>
        <v>349</v>
      </c>
      <c r="N237" s="1522">
        <f t="shared" si="160"/>
        <v>221</v>
      </c>
      <c r="O237" s="1522">
        <f t="shared" si="160"/>
        <v>221</v>
      </c>
      <c r="P237" s="1522">
        <f t="shared" si="160"/>
        <v>190</v>
      </c>
      <c r="Q237" s="1522">
        <f t="shared" si="160"/>
        <v>145</v>
      </c>
      <c r="R237" s="1522">
        <f t="shared" si="160"/>
        <v>192</v>
      </c>
      <c r="S237" s="1522">
        <f t="shared" si="160"/>
        <v>212</v>
      </c>
      <c r="T237" s="1522">
        <f t="shared" si="160"/>
        <v>155</v>
      </c>
      <c r="U237" s="1522">
        <f t="shared" si="160"/>
        <v>167</v>
      </c>
      <c r="V237" s="1522">
        <f t="shared" ref="V237:W237" si="161">SUM(V176,V193,V210,V227)</f>
        <v>142</v>
      </c>
      <c r="W237" s="1522">
        <f t="shared" si="161"/>
        <v>186</v>
      </c>
    </row>
    <row r="238" spans="3:23" x14ac:dyDescent="0.25">
      <c r="C238" s="1523" t="s">
        <v>310</v>
      </c>
      <c r="D238" s="1524">
        <f t="shared" ref="D238:O239" si="162">SUM(D177,D194,D211,D228)</f>
        <v>1912</v>
      </c>
      <c r="E238" s="1524">
        <f t="shared" si="162"/>
        <v>2024</v>
      </c>
      <c r="F238" s="1524">
        <f t="shared" si="162"/>
        <v>2146</v>
      </c>
      <c r="G238" s="1524">
        <f t="shared" si="162"/>
        <v>2344</v>
      </c>
      <c r="H238" s="1524">
        <f t="shared" si="162"/>
        <v>2464</v>
      </c>
      <c r="I238" s="1524">
        <f t="shared" si="162"/>
        <v>2808</v>
      </c>
      <c r="J238" s="1524">
        <f t="shared" si="162"/>
        <v>3122</v>
      </c>
      <c r="K238" s="1524">
        <f t="shared" si="162"/>
        <v>3260</v>
      </c>
      <c r="L238" s="1524">
        <f t="shared" si="162"/>
        <v>3250</v>
      </c>
      <c r="M238" s="1524">
        <f t="shared" si="162"/>
        <v>3518</v>
      </c>
      <c r="N238" s="1524">
        <f t="shared" si="162"/>
        <v>3582</v>
      </c>
      <c r="O238" s="1524">
        <f t="shared" si="162"/>
        <v>3828</v>
      </c>
      <c r="P238" s="1524">
        <f t="shared" si="160"/>
        <v>3886</v>
      </c>
      <c r="Q238" s="1524">
        <f t="shared" si="160"/>
        <v>4156</v>
      </c>
      <c r="R238" s="1524">
        <f t="shared" si="160"/>
        <v>4052</v>
      </c>
      <c r="S238" s="1524">
        <f t="shared" si="160"/>
        <v>4010</v>
      </c>
      <c r="T238" s="1524">
        <f t="shared" si="160"/>
        <v>4030</v>
      </c>
      <c r="U238" s="1524">
        <f t="shared" si="160"/>
        <v>3690</v>
      </c>
      <c r="V238" s="1524">
        <f t="shared" ref="V238:W238" si="163">SUM(V177,V194,V211,V228)</f>
        <v>3596</v>
      </c>
      <c r="W238" s="1524">
        <f t="shared" si="163"/>
        <v>3966</v>
      </c>
    </row>
    <row r="239" spans="3:23" x14ac:dyDescent="0.25">
      <c r="C239" s="1525" t="s">
        <v>317</v>
      </c>
      <c r="D239" s="1537">
        <f>SUM(D178,D195,D212,D229)</f>
        <v>2925</v>
      </c>
      <c r="E239" s="1537">
        <f t="shared" si="162"/>
        <v>2814</v>
      </c>
      <c r="F239" s="1537">
        <f t="shared" si="162"/>
        <v>2874</v>
      </c>
      <c r="G239" s="1537">
        <f t="shared" si="162"/>
        <v>2754</v>
      </c>
      <c r="H239" s="1537">
        <f t="shared" si="162"/>
        <v>3147</v>
      </c>
      <c r="I239" s="1537">
        <f t="shared" si="162"/>
        <v>3054</v>
      </c>
      <c r="J239" s="1537">
        <f t="shared" si="162"/>
        <v>3369</v>
      </c>
      <c r="K239" s="1537">
        <f t="shared" si="162"/>
        <v>3906</v>
      </c>
      <c r="L239" s="1537">
        <f t="shared" si="162"/>
        <v>4176</v>
      </c>
      <c r="M239" s="1537">
        <f t="shared" si="162"/>
        <v>3984</v>
      </c>
      <c r="N239" s="1537">
        <f t="shared" si="162"/>
        <v>4488</v>
      </c>
      <c r="O239" s="1537">
        <f t="shared" si="162"/>
        <v>4719</v>
      </c>
      <c r="P239" s="1537">
        <f t="shared" si="160"/>
        <v>4755</v>
      </c>
      <c r="Q239" s="1537">
        <f t="shared" si="160"/>
        <v>4857</v>
      </c>
      <c r="R239" s="1537">
        <f t="shared" si="160"/>
        <v>4860</v>
      </c>
      <c r="S239" s="1537">
        <f>SUM(S178,S195,S212,S229,S234)</f>
        <v>4953</v>
      </c>
      <c r="T239" s="1537">
        <f>SUM(T178,T195,T212,T229,T234)</f>
        <v>5172</v>
      </c>
      <c r="U239" s="1537">
        <f>SUM(U178,U195,U212,U229,U234)</f>
        <v>4977</v>
      </c>
      <c r="V239" s="1537">
        <f>SUM(V178,V195,V212,V229,V234)</f>
        <v>4989</v>
      </c>
      <c r="W239" s="1537">
        <f>SUM(W178,W195,W212,W229,W234)</f>
        <v>5031</v>
      </c>
    </row>
    <row r="240" spans="3:23" x14ac:dyDescent="0.25">
      <c r="C240" s="1538" t="s">
        <v>279</v>
      </c>
      <c r="D240" s="1539">
        <f>SUM(D237:D239)</f>
        <v>5060</v>
      </c>
      <c r="E240" s="1539">
        <f t="shared" ref="E240:U240" si="164">SUM(E237:E239)</f>
        <v>5120</v>
      </c>
      <c r="F240" s="1539">
        <f t="shared" si="164"/>
        <v>5245</v>
      </c>
      <c r="G240" s="1539">
        <f t="shared" si="164"/>
        <v>5352</v>
      </c>
      <c r="H240" s="1539">
        <f t="shared" si="164"/>
        <v>5947</v>
      </c>
      <c r="I240" s="1539">
        <f t="shared" si="164"/>
        <v>6184</v>
      </c>
      <c r="J240" s="1539">
        <f t="shared" si="164"/>
        <v>6856</v>
      </c>
      <c r="K240" s="1539">
        <f t="shared" si="164"/>
        <v>7560</v>
      </c>
      <c r="L240" s="1539">
        <f t="shared" si="164"/>
        <v>7789</v>
      </c>
      <c r="M240" s="1539">
        <f t="shared" si="164"/>
        <v>7851</v>
      </c>
      <c r="N240" s="1539">
        <f t="shared" si="164"/>
        <v>8291</v>
      </c>
      <c r="O240" s="1539">
        <f t="shared" si="164"/>
        <v>8768</v>
      </c>
      <c r="P240" s="1539">
        <f t="shared" si="164"/>
        <v>8831</v>
      </c>
      <c r="Q240" s="1539">
        <f t="shared" si="164"/>
        <v>9158</v>
      </c>
      <c r="R240" s="1539">
        <f t="shared" si="164"/>
        <v>9104</v>
      </c>
      <c r="S240" s="1539">
        <f t="shared" si="164"/>
        <v>9175</v>
      </c>
      <c r="T240" s="1539">
        <f t="shared" si="164"/>
        <v>9357</v>
      </c>
      <c r="U240" s="1539">
        <f t="shared" si="164"/>
        <v>8834</v>
      </c>
      <c r="V240" s="1539">
        <f t="shared" ref="V240:W240" si="165">SUM(V237:V239)</f>
        <v>8727</v>
      </c>
      <c r="W240" s="1539">
        <f t="shared" si="165"/>
        <v>9183</v>
      </c>
    </row>
    <row r="241" spans="3:23" x14ac:dyDescent="0.25">
      <c r="C241" s="1520"/>
      <c r="D241" s="1520"/>
      <c r="E241" s="1520"/>
      <c r="F241" s="1520"/>
      <c r="G241" s="1520"/>
      <c r="H241" s="1520"/>
      <c r="I241" s="1520"/>
      <c r="J241" s="1520"/>
      <c r="K241" s="1520"/>
      <c r="L241" s="1520"/>
      <c r="M241" s="1520"/>
      <c r="N241" s="1520"/>
      <c r="O241" s="1520"/>
      <c r="P241" s="1520"/>
      <c r="Q241" s="1520"/>
      <c r="R241" s="1520"/>
      <c r="S241" s="1520"/>
      <c r="T241" s="1520"/>
      <c r="U241" s="1520"/>
      <c r="V241" s="1520"/>
      <c r="W241" s="1520"/>
    </row>
    <row r="242" spans="3:23" ht="15" customHeight="1" x14ac:dyDescent="0.25">
      <c r="C242" s="1521" t="s">
        <v>59</v>
      </c>
      <c r="D242" s="1540">
        <f>SUM(D167,D184)</f>
        <v>1297</v>
      </c>
      <c r="E242" s="1540">
        <f t="shared" ref="E242:U242" si="166">SUM(E167,E184)</f>
        <v>1300</v>
      </c>
      <c r="F242" s="1540">
        <f t="shared" si="166"/>
        <v>1411</v>
      </c>
      <c r="G242" s="1540">
        <f t="shared" si="166"/>
        <v>1412</v>
      </c>
      <c r="H242" s="1540">
        <f t="shared" si="166"/>
        <v>1434</v>
      </c>
      <c r="I242" s="1540">
        <f t="shared" si="166"/>
        <v>1364</v>
      </c>
      <c r="J242" s="1540">
        <f t="shared" si="166"/>
        <v>1435</v>
      </c>
      <c r="K242" s="1540">
        <f t="shared" si="166"/>
        <v>1524</v>
      </c>
      <c r="L242" s="1540">
        <f t="shared" si="166"/>
        <v>1638</v>
      </c>
      <c r="M242" s="1540">
        <f t="shared" si="166"/>
        <v>1576</v>
      </c>
      <c r="N242" s="1540">
        <f t="shared" si="166"/>
        <v>1806</v>
      </c>
      <c r="O242" s="1540">
        <f t="shared" si="166"/>
        <v>1924</v>
      </c>
      <c r="P242" s="1540">
        <f t="shared" si="166"/>
        <v>1974</v>
      </c>
      <c r="Q242" s="1540">
        <f t="shared" si="166"/>
        <v>2085</v>
      </c>
      <c r="R242" s="1540">
        <f t="shared" si="166"/>
        <v>2020</v>
      </c>
      <c r="S242" s="1540">
        <f t="shared" si="166"/>
        <v>2027</v>
      </c>
      <c r="T242" s="1540">
        <f t="shared" si="166"/>
        <v>2033</v>
      </c>
      <c r="U242" s="1540">
        <f t="shared" si="166"/>
        <v>1883</v>
      </c>
      <c r="V242" s="1540">
        <f t="shared" ref="V242:W242" si="167">SUM(V167,V184)</f>
        <v>1833</v>
      </c>
      <c r="W242" s="1540">
        <f t="shared" si="167"/>
        <v>1950</v>
      </c>
    </row>
    <row r="243" spans="3:23" x14ac:dyDescent="0.25">
      <c r="C243" s="1523" t="s">
        <v>64</v>
      </c>
      <c r="D243" s="1541">
        <f>SUM(D171,D188,D201,D218)</f>
        <v>2112</v>
      </c>
      <c r="E243" s="1541">
        <f t="shared" ref="E243:U243" si="168">SUM(E171,E188,E201,E218)</f>
        <v>2286</v>
      </c>
      <c r="F243" s="1541">
        <f t="shared" si="168"/>
        <v>2188</v>
      </c>
      <c r="G243" s="1541">
        <f t="shared" si="168"/>
        <v>2200</v>
      </c>
      <c r="H243" s="1541">
        <f t="shared" si="168"/>
        <v>2552</v>
      </c>
      <c r="I243" s="1541">
        <f t="shared" si="168"/>
        <v>2824</v>
      </c>
      <c r="J243" s="1541">
        <f t="shared" si="168"/>
        <v>3067</v>
      </c>
      <c r="K243" s="1541">
        <f t="shared" si="168"/>
        <v>3431</v>
      </c>
      <c r="L243" s="1541">
        <f t="shared" si="168"/>
        <v>3423</v>
      </c>
      <c r="M243" s="1541">
        <f t="shared" si="168"/>
        <v>3415</v>
      </c>
      <c r="N243" s="1541">
        <f t="shared" si="168"/>
        <v>3330</v>
      </c>
      <c r="O243" s="1541">
        <f t="shared" si="168"/>
        <v>3561</v>
      </c>
      <c r="P243" s="1541">
        <f t="shared" si="168"/>
        <v>3329</v>
      </c>
      <c r="Q243" s="1541">
        <f t="shared" si="168"/>
        <v>3597</v>
      </c>
      <c r="R243" s="1541">
        <f t="shared" si="168"/>
        <v>3513</v>
      </c>
      <c r="S243" s="1541">
        <f t="shared" si="168"/>
        <v>3788</v>
      </c>
      <c r="T243" s="1541">
        <f t="shared" si="168"/>
        <v>3928</v>
      </c>
      <c r="U243" s="1541">
        <f t="shared" si="168"/>
        <v>3776</v>
      </c>
      <c r="V243" s="1541">
        <f t="shared" ref="V243:W243" si="169">SUM(V171,V188,V201,V218)</f>
        <v>3856</v>
      </c>
      <c r="W243" s="1541">
        <f t="shared" si="169"/>
        <v>4143</v>
      </c>
    </row>
    <row r="244" spans="3:23" x14ac:dyDescent="0.25">
      <c r="C244" s="1523" t="s">
        <v>92</v>
      </c>
      <c r="D244" s="1541">
        <f>SUM(D192,D205)</f>
        <v>1351</v>
      </c>
      <c r="E244" s="1541">
        <f t="shared" ref="E244:O244" si="170">SUM(E192,E205)</f>
        <v>1202</v>
      </c>
      <c r="F244" s="1541">
        <f t="shared" si="170"/>
        <v>1304</v>
      </c>
      <c r="G244" s="1541">
        <f t="shared" si="170"/>
        <v>1327</v>
      </c>
      <c r="H244" s="1541">
        <f t="shared" si="170"/>
        <v>1507</v>
      </c>
      <c r="I244" s="1541">
        <f t="shared" si="170"/>
        <v>1491</v>
      </c>
      <c r="J244" s="1541">
        <f t="shared" si="170"/>
        <v>1703</v>
      </c>
      <c r="K244" s="1541">
        <f t="shared" si="170"/>
        <v>1806</v>
      </c>
      <c r="L244" s="1541">
        <f t="shared" si="170"/>
        <v>1901</v>
      </c>
      <c r="M244" s="1541">
        <f t="shared" si="170"/>
        <v>2017</v>
      </c>
      <c r="N244" s="1541">
        <f t="shared" si="170"/>
        <v>2196</v>
      </c>
      <c r="O244" s="1541">
        <f t="shared" si="170"/>
        <v>2231</v>
      </c>
      <c r="P244" s="1541">
        <f>SUM(P192,P205)</f>
        <v>2339</v>
      </c>
      <c r="Q244" s="1541">
        <f>SUM(Q192,Q205)</f>
        <v>2323</v>
      </c>
      <c r="R244" s="1541">
        <f>SUM(R192,R205)</f>
        <v>2284</v>
      </c>
      <c r="S244" s="1541">
        <f>SUM(S192,S205,S235)</f>
        <v>2263</v>
      </c>
      <c r="T244" s="1541">
        <f>SUM(T192,T205,T235)</f>
        <v>2281</v>
      </c>
      <c r="U244" s="1541">
        <f>SUM(U192,U205,U235)</f>
        <v>2133</v>
      </c>
      <c r="V244" s="1541">
        <f>SUM(V192,V205,V235)</f>
        <v>1940</v>
      </c>
      <c r="W244" s="1541">
        <f>SUM(W192,W205,W235)</f>
        <v>1910</v>
      </c>
    </row>
    <row r="245" spans="3:23" x14ac:dyDescent="0.25">
      <c r="C245" s="1523" t="s">
        <v>68</v>
      </c>
      <c r="D245" s="1541">
        <f t="shared" ref="D245:U245" si="171">SUM(D175,D209)</f>
        <v>300</v>
      </c>
      <c r="E245" s="1541">
        <f t="shared" si="171"/>
        <v>332</v>
      </c>
      <c r="F245" s="1541">
        <f t="shared" si="171"/>
        <v>342</v>
      </c>
      <c r="G245" s="1541">
        <f t="shared" si="171"/>
        <v>413</v>
      </c>
      <c r="H245" s="1541">
        <f t="shared" si="171"/>
        <v>454</v>
      </c>
      <c r="I245" s="1541">
        <f t="shared" si="171"/>
        <v>505</v>
      </c>
      <c r="J245" s="1541">
        <f t="shared" si="171"/>
        <v>651</v>
      </c>
      <c r="K245" s="1541">
        <f t="shared" si="171"/>
        <v>799</v>
      </c>
      <c r="L245" s="1541">
        <f t="shared" si="171"/>
        <v>827</v>
      </c>
      <c r="M245" s="1541">
        <f t="shared" si="171"/>
        <v>777</v>
      </c>
      <c r="N245" s="1541">
        <f t="shared" si="171"/>
        <v>823</v>
      </c>
      <c r="O245" s="1541">
        <f t="shared" si="171"/>
        <v>833</v>
      </c>
      <c r="P245" s="1541">
        <f t="shared" si="171"/>
        <v>909</v>
      </c>
      <c r="Q245" s="1541">
        <f t="shared" si="171"/>
        <v>831</v>
      </c>
      <c r="R245" s="1541">
        <f t="shared" si="171"/>
        <v>953</v>
      </c>
      <c r="S245" s="1541">
        <f t="shared" si="171"/>
        <v>750</v>
      </c>
      <c r="T245" s="1541">
        <f t="shared" si="171"/>
        <v>744</v>
      </c>
      <c r="U245" s="1541">
        <f t="shared" si="171"/>
        <v>742</v>
      </c>
      <c r="V245" s="1541">
        <f t="shared" ref="V245:W245" si="172">SUM(V175,V209)</f>
        <v>842</v>
      </c>
      <c r="W245" s="1541">
        <f t="shared" si="172"/>
        <v>865</v>
      </c>
    </row>
    <row r="246" spans="3:23" x14ac:dyDescent="0.25">
      <c r="C246" s="1523" t="s">
        <v>111</v>
      </c>
      <c r="D246" s="1541"/>
      <c r="E246" s="1541"/>
      <c r="F246" s="1541"/>
      <c r="G246" s="1541"/>
      <c r="H246" s="1541"/>
      <c r="I246" s="1541"/>
      <c r="J246" s="1541"/>
      <c r="K246" s="1541"/>
      <c r="L246" s="1541"/>
      <c r="M246" s="1541">
        <f t="shared" ref="M246:R246" si="173">SUM(M222)</f>
        <v>24</v>
      </c>
      <c r="N246" s="1541">
        <f t="shared" si="173"/>
        <v>48</v>
      </c>
      <c r="O246" s="1541">
        <f t="shared" si="173"/>
        <v>84</v>
      </c>
      <c r="P246" s="1541">
        <f t="shared" si="173"/>
        <v>100</v>
      </c>
      <c r="Q246" s="1541">
        <f t="shared" si="173"/>
        <v>122</v>
      </c>
      <c r="R246" s="1541">
        <f t="shared" si="173"/>
        <v>124</v>
      </c>
      <c r="S246" s="1541">
        <f>SUM(S222)</f>
        <v>132</v>
      </c>
      <c r="T246" s="1541">
        <f>SUM(T222)</f>
        <v>170</v>
      </c>
      <c r="U246" s="1541">
        <f>SUM(U222)</f>
        <v>134</v>
      </c>
      <c r="V246" s="1541">
        <f>SUM(V222)</f>
        <v>122</v>
      </c>
      <c r="W246" s="1541">
        <f>SUM(W222)</f>
        <v>140</v>
      </c>
    </row>
    <row r="247" spans="3:23" x14ac:dyDescent="0.25">
      <c r="C247" s="1542" t="s">
        <v>115</v>
      </c>
      <c r="D247" s="1543"/>
      <c r="E247" s="1543"/>
      <c r="F247" s="1543"/>
      <c r="G247" s="1543"/>
      <c r="H247" s="1543"/>
      <c r="I247" s="1543"/>
      <c r="J247" s="1543"/>
      <c r="K247" s="1543"/>
      <c r="L247" s="1543"/>
      <c r="M247" s="1543">
        <f t="shared" ref="M247:R247" si="174">SUM(M226)</f>
        <v>42</v>
      </c>
      <c r="N247" s="1543">
        <f t="shared" si="174"/>
        <v>88</v>
      </c>
      <c r="O247" s="1543">
        <f t="shared" si="174"/>
        <v>135</v>
      </c>
      <c r="P247" s="1543">
        <f t="shared" si="174"/>
        <v>180</v>
      </c>
      <c r="Q247" s="1543">
        <f t="shared" si="174"/>
        <v>200</v>
      </c>
      <c r="R247" s="1543">
        <f t="shared" si="174"/>
        <v>210</v>
      </c>
      <c r="S247" s="1543">
        <f>SUM(S226)</f>
        <v>215</v>
      </c>
      <c r="T247" s="1543">
        <f>SUM(T226)</f>
        <v>201</v>
      </c>
      <c r="U247" s="1543">
        <f>SUM(U226)</f>
        <v>166</v>
      </c>
      <c r="V247" s="1543">
        <f>SUM(V226)</f>
        <v>134</v>
      </c>
      <c r="W247" s="1543">
        <f>SUM(W226)</f>
        <v>175</v>
      </c>
    </row>
    <row r="248" spans="3:23" x14ac:dyDescent="0.25">
      <c r="C248" s="1538" t="s">
        <v>7</v>
      </c>
      <c r="D248" s="1539">
        <f>SUM(D242:D247)</f>
        <v>5060</v>
      </c>
      <c r="E248" s="1539">
        <f t="shared" ref="E248:U248" si="175">SUM(E242:E247)</f>
        <v>5120</v>
      </c>
      <c r="F248" s="1539">
        <f t="shared" si="175"/>
        <v>5245</v>
      </c>
      <c r="G248" s="1539">
        <f t="shared" si="175"/>
        <v>5352</v>
      </c>
      <c r="H248" s="1539">
        <f t="shared" si="175"/>
        <v>5947</v>
      </c>
      <c r="I248" s="1539">
        <f t="shared" si="175"/>
        <v>6184</v>
      </c>
      <c r="J248" s="1539">
        <f t="shared" si="175"/>
        <v>6856</v>
      </c>
      <c r="K248" s="1539">
        <f t="shared" si="175"/>
        <v>7560</v>
      </c>
      <c r="L248" s="1539">
        <f t="shared" si="175"/>
        <v>7789</v>
      </c>
      <c r="M248" s="1539">
        <f t="shared" si="175"/>
        <v>7851</v>
      </c>
      <c r="N248" s="1539">
        <f t="shared" si="175"/>
        <v>8291</v>
      </c>
      <c r="O248" s="1539">
        <f t="shared" si="175"/>
        <v>8768</v>
      </c>
      <c r="P248" s="1539">
        <f t="shared" si="175"/>
        <v>8831</v>
      </c>
      <c r="Q248" s="1539">
        <f t="shared" si="175"/>
        <v>9158</v>
      </c>
      <c r="R248" s="1539">
        <f t="shared" si="175"/>
        <v>9104</v>
      </c>
      <c r="S248" s="1539">
        <f t="shared" si="175"/>
        <v>9175</v>
      </c>
      <c r="T248" s="1539">
        <f t="shared" si="175"/>
        <v>9357</v>
      </c>
      <c r="U248" s="1539">
        <f t="shared" si="175"/>
        <v>8834</v>
      </c>
      <c r="V248" s="1539">
        <f t="shared" ref="V248:W248" si="176">SUM(V242:V247)</f>
        <v>8727</v>
      </c>
      <c r="W248" s="1539">
        <f t="shared" si="176"/>
        <v>9183</v>
      </c>
    </row>
    <row r="269" ht="15" customHeight="1" x14ac:dyDescent="0.25"/>
    <row r="286" ht="15" customHeight="1" x14ac:dyDescent="0.25"/>
    <row r="303" ht="15" customHeight="1" x14ac:dyDescent="0.25"/>
    <row r="320" ht="15" customHeight="1" x14ac:dyDescent="0.25"/>
    <row r="330" ht="15" customHeight="1" x14ac:dyDescent="0.25"/>
  </sheetData>
  <printOptions horizontalCentered="1" verticalCentered="1"/>
  <pageMargins left="0.39370078740157483" right="0.39370078740157483" top="0.27559055118110237" bottom="0.31496062992125984" header="0" footer="0.31496062992125984"/>
  <pageSetup scale="50" firstPageNumber="68" orientation="portrait" useFirstPageNumber="1" r:id="rId1"/>
  <headerFooter scaleWithDoc="0" alignWithMargins="0">
    <oddHeader>&amp;R&amp;P</oddHeader>
    <oddFooter>&amp;R&amp;P</oddFooter>
  </headerFooter>
  <rowBreaks count="2" manualBreakCount="2">
    <brk id="90" min="13" max="22" man="1"/>
    <brk id="153" max="19" man="1"/>
  </rowBreaks>
  <ignoredErrors>
    <ignoredError sqref="O39:V50 O6:V19 D5:V5 D20:V32 D6:N19 W6:W89" formulaRange="1"/>
  </ignoredError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7A519"/>
  </sheetPr>
  <dimension ref="A1:XEM246"/>
  <sheetViews>
    <sheetView showGridLines="0" zoomScale="120" zoomScaleNormal="120" zoomScaleSheetLayoutView="100" workbookViewId="0">
      <pane xSplit="3" ySplit="4" topLeftCell="CN137" activePane="bottomRight" state="frozen"/>
      <selection activeCell="Q31" sqref="Q31"/>
      <selection pane="topRight" activeCell="Q31" sqref="Q31"/>
      <selection pane="bottomLeft" activeCell="Q31" sqref="Q31"/>
      <selection pane="bottomRight"/>
    </sheetView>
  </sheetViews>
  <sheetFormatPr baseColWidth="10" defaultColWidth="11.44140625" defaultRowHeight="13.2" x14ac:dyDescent="0.25"/>
  <cols>
    <col min="1" max="1" width="2.88671875" style="746" customWidth="1"/>
    <col min="2" max="2" width="15.88671875" style="1659" customWidth="1"/>
    <col min="3" max="3" width="65.5546875" style="746" bestFit="1" customWidth="1"/>
    <col min="4" max="6" width="8.88671875" style="746" customWidth="1"/>
    <col min="7" max="7" width="8.88671875" style="749" customWidth="1"/>
    <col min="8" max="10" width="8.88671875" style="746" customWidth="1"/>
    <col min="11" max="11" width="8.88671875" style="749" customWidth="1"/>
    <col min="12" max="14" width="8.88671875" style="746" customWidth="1"/>
    <col min="15" max="15" width="8.88671875" style="749" customWidth="1"/>
    <col min="16" max="18" width="8.88671875" style="746" customWidth="1"/>
    <col min="19" max="19" width="8.88671875" style="749" customWidth="1"/>
    <col min="20" max="22" width="8.88671875" style="746" customWidth="1"/>
    <col min="23" max="23" width="8.88671875" style="749" customWidth="1"/>
    <col min="24" max="26" width="8.88671875" style="746" customWidth="1"/>
    <col min="27" max="27" width="8.88671875" style="749" customWidth="1"/>
    <col min="28" max="30" width="8.88671875" style="746" customWidth="1"/>
    <col min="31" max="31" width="8.88671875" style="749" customWidth="1"/>
    <col min="32" max="34" width="8.88671875" style="746" customWidth="1"/>
    <col min="35" max="35" width="8.88671875" style="749" customWidth="1"/>
    <col min="36" max="38" width="8.88671875" style="746" customWidth="1"/>
    <col min="39" max="39" width="8.88671875" style="749" customWidth="1"/>
    <col min="40" max="42" width="8.88671875" style="746" customWidth="1"/>
    <col min="43" max="43" width="8.88671875" style="749" customWidth="1"/>
    <col min="44" max="87" width="8.88671875" style="746" customWidth="1"/>
    <col min="88" max="91" width="8.5546875" style="746" customWidth="1"/>
    <col min="92" max="99" width="7.6640625" style="746" customWidth="1"/>
    <col min="100" max="103" width="7.88671875" style="746" customWidth="1"/>
    <col min="104" max="104" width="4.33203125" style="746" customWidth="1"/>
    <col min="105" max="105" width="4.109375" style="746" customWidth="1"/>
    <col min="106" max="106" width="39.33203125" style="746" customWidth="1"/>
    <col min="107" max="107" width="7.6640625" style="746" customWidth="1"/>
    <col min="108" max="110" width="4" style="746" customWidth="1"/>
    <col min="111" max="111" width="7.6640625" style="746" customWidth="1"/>
    <col min="112" max="112" width="4.33203125" style="746" customWidth="1"/>
    <col min="113" max="113" width="4.109375" style="746" customWidth="1"/>
    <col min="114" max="114" width="36.44140625" style="746" customWidth="1"/>
    <col min="115" max="115" width="5.44140625" style="746" customWidth="1"/>
    <col min="116" max="118" width="4" style="746" customWidth="1"/>
    <col min="119" max="126" width="7.6640625" style="746" customWidth="1"/>
    <col min="127" max="255" width="11.44140625" style="746"/>
    <col min="256" max="256" width="15.5546875" style="746" bestFit="1" customWidth="1"/>
    <col min="257" max="257" width="11.88671875" style="746" customWidth="1"/>
    <col min="258" max="258" width="54.88671875" style="746" customWidth="1"/>
    <col min="259" max="259" width="7.44140625" style="746" customWidth="1"/>
    <col min="260" max="261" width="6.109375" style="746" customWidth="1"/>
    <col min="262" max="262" width="7.44140625" style="746" customWidth="1"/>
    <col min="263" max="263" width="5.88671875" style="746" customWidth="1"/>
    <col min="264" max="265" width="6.109375" style="746" customWidth="1"/>
    <col min="266" max="266" width="7.88671875" style="746" customWidth="1"/>
    <col min="267" max="267" width="5.88671875" style="746" customWidth="1"/>
    <col min="268" max="269" width="6.109375" style="746" customWidth="1"/>
    <col min="270" max="270" width="7.88671875" style="746" customWidth="1"/>
    <col min="271" max="271" width="5.109375" style="746" customWidth="1"/>
    <col min="272" max="273" width="6.109375" style="746" customWidth="1"/>
    <col min="274" max="274" width="7.88671875" style="746" customWidth="1"/>
    <col min="275" max="275" width="5.88671875" style="746" customWidth="1"/>
    <col min="276" max="277" width="6.109375" style="746" customWidth="1"/>
    <col min="278" max="278" width="7.88671875" style="746" customWidth="1"/>
    <col min="279" max="279" width="5.88671875" style="746" customWidth="1"/>
    <col min="280" max="281" width="6.44140625" style="746" customWidth="1"/>
    <col min="282" max="282" width="7.88671875" style="746" customWidth="1"/>
    <col min="283" max="285" width="5.88671875" style="746" customWidth="1"/>
    <col min="286" max="286" width="7.88671875" style="746" customWidth="1"/>
    <col min="287" max="294" width="6.88671875" style="746" customWidth="1"/>
    <col min="295" max="511" width="11.44140625" style="746"/>
    <col min="512" max="512" width="15.5546875" style="746" bestFit="1" customWidth="1"/>
    <col min="513" max="513" width="11.88671875" style="746" customWidth="1"/>
    <col min="514" max="514" width="54.88671875" style="746" customWidth="1"/>
    <col min="515" max="515" width="7.44140625" style="746" customWidth="1"/>
    <col min="516" max="517" width="6.109375" style="746" customWidth="1"/>
    <col min="518" max="518" width="7.44140625" style="746" customWidth="1"/>
    <col min="519" max="519" width="5.88671875" style="746" customWidth="1"/>
    <col min="520" max="521" width="6.109375" style="746" customWidth="1"/>
    <col min="522" max="522" width="7.88671875" style="746" customWidth="1"/>
    <col min="523" max="523" width="5.88671875" style="746" customWidth="1"/>
    <col min="524" max="525" width="6.109375" style="746" customWidth="1"/>
    <col min="526" max="526" width="7.88671875" style="746" customWidth="1"/>
    <col min="527" max="527" width="5.109375" style="746" customWidth="1"/>
    <col min="528" max="529" width="6.109375" style="746" customWidth="1"/>
    <col min="530" max="530" width="7.88671875" style="746" customWidth="1"/>
    <col min="531" max="531" width="5.88671875" style="746" customWidth="1"/>
    <col min="532" max="533" width="6.109375" style="746" customWidth="1"/>
    <col min="534" max="534" width="7.88671875" style="746" customWidth="1"/>
    <col min="535" max="535" width="5.88671875" style="746" customWidth="1"/>
    <col min="536" max="537" width="6.44140625" style="746" customWidth="1"/>
    <col min="538" max="538" width="7.88671875" style="746" customWidth="1"/>
    <col min="539" max="541" width="5.88671875" style="746" customWidth="1"/>
    <col min="542" max="542" width="7.88671875" style="746" customWidth="1"/>
    <col min="543" max="550" width="6.88671875" style="746" customWidth="1"/>
    <col min="551" max="767" width="11.44140625" style="746"/>
    <col min="768" max="768" width="15.5546875" style="746" bestFit="1" customWidth="1"/>
    <col min="769" max="769" width="11.88671875" style="746" customWidth="1"/>
    <col min="770" max="770" width="54.88671875" style="746" customWidth="1"/>
    <col min="771" max="771" width="7.44140625" style="746" customWidth="1"/>
    <col min="772" max="773" width="6.109375" style="746" customWidth="1"/>
    <col min="774" max="774" width="7.44140625" style="746" customWidth="1"/>
    <col min="775" max="775" width="5.88671875" style="746" customWidth="1"/>
    <col min="776" max="777" width="6.109375" style="746" customWidth="1"/>
    <col min="778" max="778" width="7.88671875" style="746" customWidth="1"/>
    <col min="779" max="779" width="5.88671875" style="746" customWidth="1"/>
    <col min="780" max="781" width="6.109375" style="746" customWidth="1"/>
    <col min="782" max="782" width="7.88671875" style="746" customWidth="1"/>
    <col min="783" max="783" width="5.109375" style="746" customWidth="1"/>
    <col min="784" max="785" width="6.109375" style="746" customWidth="1"/>
    <col min="786" max="786" width="7.88671875" style="746" customWidth="1"/>
    <col min="787" max="787" width="5.88671875" style="746" customWidth="1"/>
    <col min="788" max="789" width="6.109375" style="746" customWidth="1"/>
    <col min="790" max="790" width="7.88671875" style="746" customWidth="1"/>
    <col min="791" max="791" width="5.88671875" style="746" customWidth="1"/>
    <col min="792" max="793" width="6.44140625" style="746" customWidth="1"/>
    <col min="794" max="794" width="7.88671875" style="746" customWidth="1"/>
    <col min="795" max="797" width="5.88671875" style="746" customWidth="1"/>
    <col min="798" max="798" width="7.88671875" style="746" customWidth="1"/>
    <col min="799" max="806" width="6.88671875" style="746" customWidth="1"/>
    <col min="807" max="1023" width="11.44140625" style="746"/>
    <col min="1024" max="1024" width="15.5546875" style="746" bestFit="1" customWidth="1"/>
    <col min="1025" max="1025" width="11.88671875" style="746" customWidth="1"/>
    <col min="1026" max="1026" width="54.88671875" style="746" customWidth="1"/>
    <col min="1027" max="1027" width="7.44140625" style="746" customWidth="1"/>
    <col min="1028" max="1029" width="6.109375" style="746" customWidth="1"/>
    <col min="1030" max="1030" width="7.44140625" style="746" customWidth="1"/>
    <col min="1031" max="1031" width="5.88671875" style="746" customWidth="1"/>
    <col min="1032" max="1033" width="6.109375" style="746" customWidth="1"/>
    <col min="1034" max="1034" width="7.88671875" style="746" customWidth="1"/>
    <col min="1035" max="1035" width="5.88671875" style="746" customWidth="1"/>
    <col min="1036" max="1037" width="6.109375" style="746" customWidth="1"/>
    <col min="1038" max="1038" width="7.88671875" style="746" customWidth="1"/>
    <col min="1039" max="1039" width="5.109375" style="746" customWidth="1"/>
    <col min="1040" max="1041" width="6.109375" style="746" customWidth="1"/>
    <col min="1042" max="1042" width="7.88671875" style="746" customWidth="1"/>
    <col min="1043" max="1043" width="5.88671875" style="746" customWidth="1"/>
    <col min="1044" max="1045" width="6.109375" style="746" customWidth="1"/>
    <col min="1046" max="1046" width="7.88671875" style="746" customWidth="1"/>
    <col min="1047" max="1047" width="5.88671875" style="746" customWidth="1"/>
    <col min="1048" max="1049" width="6.44140625" style="746" customWidth="1"/>
    <col min="1050" max="1050" width="7.88671875" style="746" customWidth="1"/>
    <col min="1051" max="1053" width="5.88671875" style="746" customWidth="1"/>
    <col min="1054" max="1054" width="7.88671875" style="746" customWidth="1"/>
    <col min="1055" max="1062" width="6.88671875" style="746" customWidth="1"/>
    <col min="1063" max="1279" width="11.44140625" style="746"/>
    <col min="1280" max="1280" width="15.5546875" style="746" bestFit="1" customWidth="1"/>
    <col min="1281" max="1281" width="11.88671875" style="746" customWidth="1"/>
    <col min="1282" max="1282" width="54.88671875" style="746" customWidth="1"/>
    <col min="1283" max="1283" width="7.44140625" style="746" customWidth="1"/>
    <col min="1284" max="1285" width="6.109375" style="746" customWidth="1"/>
    <col min="1286" max="1286" width="7.44140625" style="746" customWidth="1"/>
    <col min="1287" max="1287" width="5.88671875" style="746" customWidth="1"/>
    <col min="1288" max="1289" width="6.109375" style="746" customWidth="1"/>
    <col min="1290" max="1290" width="7.88671875" style="746" customWidth="1"/>
    <col min="1291" max="1291" width="5.88671875" style="746" customWidth="1"/>
    <col min="1292" max="1293" width="6.109375" style="746" customWidth="1"/>
    <col min="1294" max="1294" width="7.88671875" style="746" customWidth="1"/>
    <col min="1295" max="1295" width="5.109375" style="746" customWidth="1"/>
    <col min="1296" max="1297" width="6.109375" style="746" customWidth="1"/>
    <col min="1298" max="1298" width="7.88671875" style="746" customWidth="1"/>
    <col min="1299" max="1299" width="5.88671875" style="746" customWidth="1"/>
    <col min="1300" max="1301" width="6.109375" style="746" customWidth="1"/>
    <col min="1302" max="1302" width="7.88671875" style="746" customWidth="1"/>
    <col min="1303" max="1303" width="5.88671875" style="746" customWidth="1"/>
    <col min="1304" max="1305" width="6.44140625" style="746" customWidth="1"/>
    <col min="1306" max="1306" width="7.88671875" style="746" customWidth="1"/>
    <col min="1307" max="1309" width="5.88671875" style="746" customWidth="1"/>
    <col min="1310" max="1310" width="7.88671875" style="746" customWidth="1"/>
    <col min="1311" max="1318" width="6.88671875" style="746" customWidth="1"/>
    <col min="1319" max="1535" width="11.44140625" style="746"/>
    <col min="1536" max="1536" width="15.5546875" style="746" bestFit="1" customWidth="1"/>
    <col min="1537" max="1537" width="11.88671875" style="746" customWidth="1"/>
    <col min="1538" max="1538" width="54.88671875" style="746" customWidth="1"/>
    <col min="1539" max="1539" width="7.44140625" style="746" customWidth="1"/>
    <col min="1540" max="1541" width="6.109375" style="746" customWidth="1"/>
    <col min="1542" max="1542" width="7.44140625" style="746" customWidth="1"/>
    <col min="1543" max="1543" width="5.88671875" style="746" customWidth="1"/>
    <col min="1544" max="1545" width="6.109375" style="746" customWidth="1"/>
    <col min="1546" max="1546" width="7.88671875" style="746" customWidth="1"/>
    <col min="1547" max="1547" width="5.88671875" style="746" customWidth="1"/>
    <col min="1548" max="1549" width="6.109375" style="746" customWidth="1"/>
    <col min="1550" max="1550" width="7.88671875" style="746" customWidth="1"/>
    <col min="1551" max="1551" width="5.109375" style="746" customWidth="1"/>
    <col min="1552" max="1553" width="6.109375" style="746" customWidth="1"/>
    <col min="1554" max="1554" width="7.88671875" style="746" customWidth="1"/>
    <col min="1555" max="1555" width="5.88671875" style="746" customWidth="1"/>
    <col min="1556" max="1557" width="6.109375" style="746" customWidth="1"/>
    <col min="1558" max="1558" width="7.88671875" style="746" customWidth="1"/>
    <col min="1559" max="1559" width="5.88671875" style="746" customWidth="1"/>
    <col min="1560" max="1561" width="6.44140625" style="746" customWidth="1"/>
    <col min="1562" max="1562" width="7.88671875" style="746" customWidth="1"/>
    <col min="1563" max="1565" width="5.88671875" style="746" customWidth="1"/>
    <col min="1566" max="1566" width="7.88671875" style="746" customWidth="1"/>
    <col min="1567" max="1574" width="6.88671875" style="746" customWidth="1"/>
    <col min="1575" max="1791" width="11.44140625" style="746"/>
    <col min="1792" max="1792" width="15.5546875" style="746" bestFit="1" customWidth="1"/>
    <col min="1793" max="1793" width="11.88671875" style="746" customWidth="1"/>
    <col min="1794" max="1794" width="54.88671875" style="746" customWidth="1"/>
    <col min="1795" max="1795" width="7.44140625" style="746" customWidth="1"/>
    <col min="1796" max="1797" width="6.109375" style="746" customWidth="1"/>
    <col min="1798" max="1798" width="7.44140625" style="746" customWidth="1"/>
    <col min="1799" max="1799" width="5.88671875" style="746" customWidth="1"/>
    <col min="1800" max="1801" width="6.109375" style="746" customWidth="1"/>
    <col min="1802" max="1802" width="7.88671875" style="746" customWidth="1"/>
    <col min="1803" max="1803" width="5.88671875" style="746" customWidth="1"/>
    <col min="1804" max="1805" width="6.109375" style="746" customWidth="1"/>
    <col min="1806" max="1806" width="7.88671875" style="746" customWidth="1"/>
    <col min="1807" max="1807" width="5.109375" style="746" customWidth="1"/>
    <col min="1808" max="1809" width="6.109375" style="746" customWidth="1"/>
    <col min="1810" max="1810" width="7.88671875" style="746" customWidth="1"/>
    <col min="1811" max="1811" width="5.88671875" style="746" customWidth="1"/>
    <col min="1812" max="1813" width="6.109375" style="746" customWidth="1"/>
    <col min="1814" max="1814" width="7.88671875" style="746" customWidth="1"/>
    <col min="1815" max="1815" width="5.88671875" style="746" customWidth="1"/>
    <col min="1816" max="1817" width="6.44140625" style="746" customWidth="1"/>
    <col min="1818" max="1818" width="7.88671875" style="746" customWidth="1"/>
    <col min="1819" max="1821" width="5.88671875" style="746" customWidth="1"/>
    <col min="1822" max="1822" width="7.88671875" style="746" customWidth="1"/>
    <col min="1823" max="1830" width="6.88671875" style="746" customWidth="1"/>
    <col min="1831" max="2047" width="11.44140625" style="746"/>
    <col min="2048" max="2048" width="15.5546875" style="746" bestFit="1" customWidth="1"/>
    <col min="2049" max="2049" width="11.88671875" style="746" customWidth="1"/>
    <col min="2050" max="2050" width="54.88671875" style="746" customWidth="1"/>
    <col min="2051" max="2051" width="7.44140625" style="746" customWidth="1"/>
    <col min="2052" max="2053" width="6.109375" style="746" customWidth="1"/>
    <col min="2054" max="2054" width="7.44140625" style="746" customWidth="1"/>
    <col min="2055" max="2055" width="5.88671875" style="746" customWidth="1"/>
    <col min="2056" max="2057" width="6.109375" style="746" customWidth="1"/>
    <col min="2058" max="2058" width="7.88671875" style="746" customWidth="1"/>
    <col min="2059" max="2059" width="5.88671875" style="746" customWidth="1"/>
    <col min="2060" max="2061" width="6.109375" style="746" customWidth="1"/>
    <col min="2062" max="2062" width="7.88671875" style="746" customWidth="1"/>
    <col min="2063" max="2063" width="5.109375" style="746" customWidth="1"/>
    <col min="2064" max="2065" width="6.109375" style="746" customWidth="1"/>
    <col min="2066" max="2066" width="7.88671875" style="746" customWidth="1"/>
    <col min="2067" max="2067" width="5.88671875" style="746" customWidth="1"/>
    <col min="2068" max="2069" width="6.109375" style="746" customWidth="1"/>
    <col min="2070" max="2070" width="7.88671875" style="746" customWidth="1"/>
    <col min="2071" max="2071" width="5.88671875" style="746" customWidth="1"/>
    <col min="2072" max="2073" width="6.44140625" style="746" customWidth="1"/>
    <col min="2074" max="2074" width="7.88671875" style="746" customWidth="1"/>
    <col min="2075" max="2077" width="5.88671875" style="746" customWidth="1"/>
    <col min="2078" max="2078" width="7.88671875" style="746" customWidth="1"/>
    <col min="2079" max="2086" width="6.88671875" style="746" customWidth="1"/>
    <col min="2087" max="2303" width="11.44140625" style="746"/>
    <col min="2304" max="2304" width="15.5546875" style="746" bestFit="1" customWidth="1"/>
    <col min="2305" max="2305" width="11.88671875" style="746" customWidth="1"/>
    <col min="2306" max="2306" width="54.88671875" style="746" customWidth="1"/>
    <col min="2307" max="2307" width="7.44140625" style="746" customWidth="1"/>
    <col min="2308" max="2309" width="6.109375" style="746" customWidth="1"/>
    <col min="2310" max="2310" width="7.44140625" style="746" customWidth="1"/>
    <col min="2311" max="2311" width="5.88671875" style="746" customWidth="1"/>
    <col min="2312" max="2313" width="6.109375" style="746" customWidth="1"/>
    <col min="2314" max="2314" width="7.88671875" style="746" customWidth="1"/>
    <col min="2315" max="2315" width="5.88671875" style="746" customWidth="1"/>
    <col min="2316" max="2317" width="6.109375" style="746" customWidth="1"/>
    <col min="2318" max="2318" width="7.88671875" style="746" customWidth="1"/>
    <col min="2319" max="2319" width="5.109375" style="746" customWidth="1"/>
    <col min="2320" max="2321" width="6.109375" style="746" customWidth="1"/>
    <col min="2322" max="2322" width="7.88671875" style="746" customWidth="1"/>
    <col min="2323" max="2323" width="5.88671875" style="746" customWidth="1"/>
    <col min="2324" max="2325" width="6.109375" style="746" customWidth="1"/>
    <col min="2326" max="2326" width="7.88671875" style="746" customWidth="1"/>
    <col min="2327" max="2327" width="5.88671875" style="746" customWidth="1"/>
    <col min="2328" max="2329" width="6.44140625" style="746" customWidth="1"/>
    <col min="2330" max="2330" width="7.88671875" style="746" customWidth="1"/>
    <col min="2331" max="2333" width="5.88671875" style="746" customWidth="1"/>
    <col min="2334" max="2334" width="7.88671875" style="746" customWidth="1"/>
    <col min="2335" max="2342" width="6.88671875" style="746" customWidth="1"/>
    <col min="2343" max="2559" width="11.44140625" style="746"/>
    <col min="2560" max="2560" width="15.5546875" style="746" bestFit="1" customWidth="1"/>
    <col min="2561" max="2561" width="11.88671875" style="746" customWidth="1"/>
    <col min="2562" max="2562" width="54.88671875" style="746" customWidth="1"/>
    <col min="2563" max="2563" width="7.44140625" style="746" customWidth="1"/>
    <col min="2564" max="2565" width="6.109375" style="746" customWidth="1"/>
    <col min="2566" max="2566" width="7.44140625" style="746" customWidth="1"/>
    <col min="2567" max="2567" width="5.88671875" style="746" customWidth="1"/>
    <col min="2568" max="2569" width="6.109375" style="746" customWidth="1"/>
    <col min="2570" max="2570" width="7.88671875" style="746" customWidth="1"/>
    <col min="2571" max="2571" width="5.88671875" style="746" customWidth="1"/>
    <col min="2572" max="2573" width="6.109375" style="746" customWidth="1"/>
    <col min="2574" max="2574" width="7.88671875" style="746" customWidth="1"/>
    <col min="2575" max="2575" width="5.109375" style="746" customWidth="1"/>
    <col min="2576" max="2577" width="6.109375" style="746" customWidth="1"/>
    <col min="2578" max="2578" width="7.88671875" style="746" customWidth="1"/>
    <col min="2579" max="2579" width="5.88671875" style="746" customWidth="1"/>
    <col min="2580" max="2581" width="6.109375" style="746" customWidth="1"/>
    <col min="2582" max="2582" width="7.88671875" style="746" customWidth="1"/>
    <col min="2583" max="2583" width="5.88671875" style="746" customWidth="1"/>
    <col min="2584" max="2585" width="6.44140625" style="746" customWidth="1"/>
    <col min="2586" max="2586" width="7.88671875" style="746" customWidth="1"/>
    <col min="2587" max="2589" width="5.88671875" style="746" customWidth="1"/>
    <col min="2590" max="2590" width="7.88671875" style="746" customWidth="1"/>
    <col min="2591" max="2598" width="6.88671875" style="746" customWidth="1"/>
    <col min="2599" max="2815" width="11.44140625" style="746"/>
    <col min="2816" max="2816" width="15.5546875" style="746" bestFit="1" customWidth="1"/>
    <col min="2817" max="2817" width="11.88671875" style="746" customWidth="1"/>
    <col min="2818" max="2818" width="54.88671875" style="746" customWidth="1"/>
    <col min="2819" max="2819" width="7.44140625" style="746" customWidth="1"/>
    <col min="2820" max="2821" width="6.109375" style="746" customWidth="1"/>
    <col min="2822" max="2822" width="7.44140625" style="746" customWidth="1"/>
    <col min="2823" max="2823" width="5.88671875" style="746" customWidth="1"/>
    <col min="2824" max="2825" width="6.109375" style="746" customWidth="1"/>
    <col min="2826" max="2826" width="7.88671875" style="746" customWidth="1"/>
    <col min="2827" max="2827" width="5.88671875" style="746" customWidth="1"/>
    <col min="2828" max="2829" width="6.109375" style="746" customWidth="1"/>
    <col min="2830" max="2830" width="7.88671875" style="746" customWidth="1"/>
    <col min="2831" max="2831" width="5.109375" style="746" customWidth="1"/>
    <col min="2832" max="2833" width="6.109375" style="746" customWidth="1"/>
    <col min="2834" max="2834" width="7.88671875" style="746" customWidth="1"/>
    <col min="2835" max="2835" width="5.88671875" style="746" customWidth="1"/>
    <col min="2836" max="2837" width="6.109375" style="746" customWidth="1"/>
    <col min="2838" max="2838" width="7.88671875" style="746" customWidth="1"/>
    <col min="2839" max="2839" width="5.88671875" style="746" customWidth="1"/>
    <col min="2840" max="2841" width="6.44140625" style="746" customWidth="1"/>
    <col min="2842" max="2842" width="7.88671875" style="746" customWidth="1"/>
    <col min="2843" max="2845" width="5.88671875" style="746" customWidth="1"/>
    <col min="2846" max="2846" width="7.88671875" style="746" customWidth="1"/>
    <col min="2847" max="2854" width="6.88671875" style="746" customWidth="1"/>
    <col min="2855" max="3071" width="11.44140625" style="746"/>
    <col min="3072" max="3072" width="15.5546875" style="746" bestFit="1" customWidth="1"/>
    <col min="3073" max="3073" width="11.88671875" style="746" customWidth="1"/>
    <col min="3074" max="3074" width="54.88671875" style="746" customWidth="1"/>
    <col min="3075" max="3075" width="7.44140625" style="746" customWidth="1"/>
    <col min="3076" max="3077" width="6.109375" style="746" customWidth="1"/>
    <col min="3078" max="3078" width="7.44140625" style="746" customWidth="1"/>
    <col min="3079" max="3079" width="5.88671875" style="746" customWidth="1"/>
    <col min="3080" max="3081" width="6.109375" style="746" customWidth="1"/>
    <col min="3082" max="3082" width="7.88671875" style="746" customWidth="1"/>
    <col min="3083" max="3083" width="5.88671875" style="746" customWidth="1"/>
    <col min="3084" max="3085" width="6.109375" style="746" customWidth="1"/>
    <col min="3086" max="3086" width="7.88671875" style="746" customWidth="1"/>
    <col min="3087" max="3087" width="5.109375" style="746" customWidth="1"/>
    <col min="3088" max="3089" width="6.109375" style="746" customWidth="1"/>
    <col min="3090" max="3090" width="7.88671875" style="746" customWidth="1"/>
    <col min="3091" max="3091" width="5.88671875" style="746" customWidth="1"/>
    <col min="3092" max="3093" width="6.109375" style="746" customWidth="1"/>
    <col min="3094" max="3094" width="7.88671875" style="746" customWidth="1"/>
    <col min="3095" max="3095" width="5.88671875" style="746" customWidth="1"/>
    <col min="3096" max="3097" width="6.44140625" style="746" customWidth="1"/>
    <col min="3098" max="3098" width="7.88671875" style="746" customWidth="1"/>
    <col min="3099" max="3101" width="5.88671875" style="746" customWidth="1"/>
    <col min="3102" max="3102" width="7.88671875" style="746" customWidth="1"/>
    <col min="3103" max="3110" width="6.88671875" style="746" customWidth="1"/>
    <col min="3111" max="3327" width="11.44140625" style="746"/>
    <col min="3328" max="3328" width="15.5546875" style="746" bestFit="1" customWidth="1"/>
    <col min="3329" max="3329" width="11.88671875" style="746" customWidth="1"/>
    <col min="3330" max="3330" width="54.88671875" style="746" customWidth="1"/>
    <col min="3331" max="3331" width="7.44140625" style="746" customWidth="1"/>
    <col min="3332" max="3333" width="6.109375" style="746" customWidth="1"/>
    <col min="3334" max="3334" width="7.44140625" style="746" customWidth="1"/>
    <col min="3335" max="3335" width="5.88671875" style="746" customWidth="1"/>
    <col min="3336" max="3337" width="6.109375" style="746" customWidth="1"/>
    <col min="3338" max="3338" width="7.88671875" style="746" customWidth="1"/>
    <col min="3339" max="3339" width="5.88671875" style="746" customWidth="1"/>
    <col min="3340" max="3341" width="6.109375" style="746" customWidth="1"/>
    <col min="3342" max="3342" width="7.88671875" style="746" customWidth="1"/>
    <col min="3343" max="3343" width="5.109375" style="746" customWidth="1"/>
    <col min="3344" max="3345" width="6.109375" style="746" customWidth="1"/>
    <col min="3346" max="3346" width="7.88671875" style="746" customWidth="1"/>
    <col min="3347" max="3347" width="5.88671875" style="746" customWidth="1"/>
    <col min="3348" max="3349" width="6.109375" style="746" customWidth="1"/>
    <col min="3350" max="3350" width="7.88671875" style="746" customWidth="1"/>
    <col min="3351" max="3351" width="5.88671875" style="746" customWidth="1"/>
    <col min="3352" max="3353" width="6.44140625" style="746" customWidth="1"/>
    <col min="3354" max="3354" width="7.88671875" style="746" customWidth="1"/>
    <col min="3355" max="3357" width="5.88671875" style="746" customWidth="1"/>
    <col min="3358" max="3358" width="7.88671875" style="746" customWidth="1"/>
    <col min="3359" max="3366" width="6.88671875" style="746" customWidth="1"/>
    <col min="3367" max="3583" width="11.44140625" style="746"/>
    <col min="3584" max="3584" width="15.5546875" style="746" bestFit="1" customWidth="1"/>
    <col min="3585" max="3585" width="11.88671875" style="746" customWidth="1"/>
    <col min="3586" max="3586" width="54.88671875" style="746" customWidth="1"/>
    <col min="3587" max="3587" width="7.44140625" style="746" customWidth="1"/>
    <col min="3588" max="3589" width="6.109375" style="746" customWidth="1"/>
    <col min="3590" max="3590" width="7.44140625" style="746" customWidth="1"/>
    <col min="3591" max="3591" width="5.88671875" style="746" customWidth="1"/>
    <col min="3592" max="3593" width="6.109375" style="746" customWidth="1"/>
    <col min="3594" max="3594" width="7.88671875" style="746" customWidth="1"/>
    <col min="3595" max="3595" width="5.88671875" style="746" customWidth="1"/>
    <col min="3596" max="3597" width="6.109375" style="746" customWidth="1"/>
    <col min="3598" max="3598" width="7.88671875" style="746" customWidth="1"/>
    <col min="3599" max="3599" width="5.109375" style="746" customWidth="1"/>
    <col min="3600" max="3601" width="6.109375" style="746" customWidth="1"/>
    <col min="3602" max="3602" width="7.88671875" style="746" customWidth="1"/>
    <col min="3603" max="3603" width="5.88671875" style="746" customWidth="1"/>
    <col min="3604" max="3605" width="6.109375" style="746" customWidth="1"/>
    <col min="3606" max="3606" width="7.88671875" style="746" customWidth="1"/>
    <col min="3607" max="3607" width="5.88671875" style="746" customWidth="1"/>
    <col min="3608" max="3609" width="6.44140625" style="746" customWidth="1"/>
    <col min="3610" max="3610" width="7.88671875" style="746" customWidth="1"/>
    <col min="3611" max="3613" width="5.88671875" style="746" customWidth="1"/>
    <col min="3614" max="3614" width="7.88671875" style="746" customWidth="1"/>
    <col min="3615" max="3622" width="6.88671875" style="746" customWidth="1"/>
    <col min="3623" max="3839" width="11.44140625" style="746"/>
    <col min="3840" max="3840" width="15.5546875" style="746" bestFit="1" customWidth="1"/>
    <col min="3841" max="3841" width="11.88671875" style="746" customWidth="1"/>
    <col min="3842" max="3842" width="54.88671875" style="746" customWidth="1"/>
    <col min="3843" max="3843" width="7.44140625" style="746" customWidth="1"/>
    <col min="3844" max="3845" width="6.109375" style="746" customWidth="1"/>
    <col min="3846" max="3846" width="7.44140625" style="746" customWidth="1"/>
    <col min="3847" max="3847" width="5.88671875" style="746" customWidth="1"/>
    <col min="3848" max="3849" width="6.109375" style="746" customWidth="1"/>
    <col min="3850" max="3850" width="7.88671875" style="746" customWidth="1"/>
    <col min="3851" max="3851" width="5.88671875" style="746" customWidth="1"/>
    <col min="3852" max="3853" width="6.109375" style="746" customWidth="1"/>
    <col min="3854" max="3854" width="7.88671875" style="746" customWidth="1"/>
    <col min="3855" max="3855" width="5.109375" style="746" customWidth="1"/>
    <col min="3856" max="3857" width="6.109375" style="746" customWidth="1"/>
    <col min="3858" max="3858" width="7.88671875" style="746" customWidth="1"/>
    <col min="3859" max="3859" width="5.88671875" style="746" customWidth="1"/>
    <col min="3860" max="3861" width="6.109375" style="746" customWidth="1"/>
    <col min="3862" max="3862" width="7.88671875" style="746" customWidth="1"/>
    <col min="3863" max="3863" width="5.88671875" style="746" customWidth="1"/>
    <col min="3864" max="3865" width="6.44140625" style="746" customWidth="1"/>
    <col min="3866" max="3866" width="7.88671875" style="746" customWidth="1"/>
    <col min="3867" max="3869" width="5.88671875" style="746" customWidth="1"/>
    <col min="3870" max="3870" width="7.88671875" style="746" customWidth="1"/>
    <col min="3871" max="3878" width="6.88671875" style="746" customWidth="1"/>
    <col min="3879" max="4095" width="11.44140625" style="746"/>
    <col min="4096" max="4096" width="15.5546875" style="746" bestFit="1" customWidth="1"/>
    <col min="4097" max="4097" width="11.88671875" style="746" customWidth="1"/>
    <col min="4098" max="4098" width="54.88671875" style="746" customWidth="1"/>
    <col min="4099" max="4099" width="7.44140625" style="746" customWidth="1"/>
    <col min="4100" max="4101" width="6.109375" style="746" customWidth="1"/>
    <col min="4102" max="4102" width="7.44140625" style="746" customWidth="1"/>
    <col min="4103" max="4103" width="5.88671875" style="746" customWidth="1"/>
    <col min="4104" max="4105" width="6.109375" style="746" customWidth="1"/>
    <col min="4106" max="4106" width="7.88671875" style="746" customWidth="1"/>
    <col min="4107" max="4107" width="5.88671875" style="746" customWidth="1"/>
    <col min="4108" max="4109" width="6.109375" style="746" customWidth="1"/>
    <col min="4110" max="4110" width="7.88671875" style="746" customWidth="1"/>
    <col min="4111" max="4111" width="5.109375" style="746" customWidth="1"/>
    <col min="4112" max="4113" width="6.109375" style="746" customWidth="1"/>
    <col min="4114" max="4114" width="7.88671875" style="746" customWidth="1"/>
    <col min="4115" max="4115" width="5.88671875" style="746" customWidth="1"/>
    <col min="4116" max="4117" width="6.109375" style="746" customWidth="1"/>
    <col min="4118" max="4118" width="7.88671875" style="746" customWidth="1"/>
    <col min="4119" max="4119" width="5.88671875" style="746" customWidth="1"/>
    <col min="4120" max="4121" width="6.44140625" style="746" customWidth="1"/>
    <col min="4122" max="4122" width="7.88671875" style="746" customWidth="1"/>
    <col min="4123" max="4125" width="5.88671875" style="746" customWidth="1"/>
    <col min="4126" max="4126" width="7.88671875" style="746" customWidth="1"/>
    <col min="4127" max="4134" width="6.88671875" style="746" customWidth="1"/>
    <col min="4135" max="4351" width="11.44140625" style="746"/>
    <col min="4352" max="4352" width="15.5546875" style="746" bestFit="1" customWidth="1"/>
    <col min="4353" max="4353" width="11.88671875" style="746" customWidth="1"/>
    <col min="4354" max="4354" width="54.88671875" style="746" customWidth="1"/>
    <col min="4355" max="4355" width="7.44140625" style="746" customWidth="1"/>
    <col min="4356" max="4357" width="6.109375" style="746" customWidth="1"/>
    <col min="4358" max="4358" width="7.44140625" style="746" customWidth="1"/>
    <col min="4359" max="4359" width="5.88671875" style="746" customWidth="1"/>
    <col min="4360" max="4361" width="6.109375" style="746" customWidth="1"/>
    <col min="4362" max="4362" width="7.88671875" style="746" customWidth="1"/>
    <col min="4363" max="4363" width="5.88671875" style="746" customWidth="1"/>
    <col min="4364" max="4365" width="6.109375" style="746" customWidth="1"/>
    <col min="4366" max="4366" width="7.88671875" style="746" customWidth="1"/>
    <col min="4367" max="4367" width="5.109375" style="746" customWidth="1"/>
    <col min="4368" max="4369" width="6.109375" style="746" customWidth="1"/>
    <col min="4370" max="4370" width="7.88671875" style="746" customWidth="1"/>
    <col min="4371" max="4371" width="5.88671875" style="746" customWidth="1"/>
    <col min="4372" max="4373" width="6.109375" style="746" customWidth="1"/>
    <col min="4374" max="4374" width="7.88671875" style="746" customWidth="1"/>
    <col min="4375" max="4375" width="5.88671875" style="746" customWidth="1"/>
    <col min="4376" max="4377" width="6.44140625" style="746" customWidth="1"/>
    <col min="4378" max="4378" width="7.88671875" style="746" customWidth="1"/>
    <col min="4379" max="4381" width="5.88671875" style="746" customWidth="1"/>
    <col min="4382" max="4382" width="7.88671875" style="746" customWidth="1"/>
    <col min="4383" max="4390" width="6.88671875" style="746" customWidth="1"/>
    <col min="4391" max="4607" width="11.44140625" style="746"/>
    <col min="4608" max="4608" width="15.5546875" style="746" bestFit="1" customWidth="1"/>
    <col min="4609" max="4609" width="11.88671875" style="746" customWidth="1"/>
    <col min="4610" max="4610" width="54.88671875" style="746" customWidth="1"/>
    <col min="4611" max="4611" width="7.44140625" style="746" customWidth="1"/>
    <col min="4612" max="4613" width="6.109375" style="746" customWidth="1"/>
    <col min="4614" max="4614" width="7.44140625" style="746" customWidth="1"/>
    <col min="4615" max="4615" width="5.88671875" style="746" customWidth="1"/>
    <col min="4616" max="4617" width="6.109375" style="746" customWidth="1"/>
    <col min="4618" max="4618" width="7.88671875" style="746" customWidth="1"/>
    <col min="4619" max="4619" width="5.88671875" style="746" customWidth="1"/>
    <col min="4620" max="4621" width="6.109375" style="746" customWidth="1"/>
    <col min="4622" max="4622" width="7.88671875" style="746" customWidth="1"/>
    <col min="4623" max="4623" width="5.109375" style="746" customWidth="1"/>
    <col min="4624" max="4625" width="6.109375" style="746" customWidth="1"/>
    <col min="4626" max="4626" width="7.88671875" style="746" customWidth="1"/>
    <col min="4627" max="4627" width="5.88671875" style="746" customWidth="1"/>
    <col min="4628" max="4629" width="6.109375" style="746" customWidth="1"/>
    <col min="4630" max="4630" width="7.88671875" style="746" customWidth="1"/>
    <col min="4631" max="4631" width="5.88671875" style="746" customWidth="1"/>
    <col min="4632" max="4633" width="6.44140625" style="746" customWidth="1"/>
    <col min="4634" max="4634" width="7.88671875" style="746" customWidth="1"/>
    <col min="4635" max="4637" width="5.88671875" style="746" customWidth="1"/>
    <col min="4638" max="4638" width="7.88671875" style="746" customWidth="1"/>
    <col min="4639" max="4646" width="6.88671875" style="746" customWidth="1"/>
    <col min="4647" max="4863" width="11.44140625" style="746"/>
    <col min="4864" max="4864" width="15.5546875" style="746" bestFit="1" customWidth="1"/>
    <col min="4865" max="4865" width="11.88671875" style="746" customWidth="1"/>
    <col min="4866" max="4866" width="54.88671875" style="746" customWidth="1"/>
    <col min="4867" max="4867" width="7.44140625" style="746" customWidth="1"/>
    <col min="4868" max="4869" width="6.109375" style="746" customWidth="1"/>
    <col min="4870" max="4870" width="7.44140625" style="746" customWidth="1"/>
    <col min="4871" max="4871" width="5.88671875" style="746" customWidth="1"/>
    <col min="4872" max="4873" width="6.109375" style="746" customWidth="1"/>
    <col min="4874" max="4874" width="7.88671875" style="746" customWidth="1"/>
    <col min="4875" max="4875" width="5.88671875" style="746" customWidth="1"/>
    <col min="4876" max="4877" width="6.109375" style="746" customWidth="1"/>
    <col min="4878" max="4878" width="7.88671875" style="746" customWidth="1"/>
    <col min="4879" max="4879" width="5.109375" style="746" customWidth="1"/>
    <col min="4880" max="4881" width="6.109375" style="746" customWidth="1"/>
    <col min="4882" max="4882" width="7.88671875" style="746" customWidth="1"/>
    <col min="4883" max="4883" width="5.88671875" style="746" customWidth="1"/>
    <col min="4884" max="4885" width="6.109375" style="746" customWidth="1"/>
    <col min="4886" max="4886" width="7.88671875" style="746" customWidth="1"/>
    <col min="4887" max="4887" width="5.88671875" style="746" customWidth="1"/>
    <col min="4888" max="4889" width="6.44140625" style="746" customWidth="1"/>
    <col min="4890" max="4890" width="7.88671875" style="746" customWidth="1"/>
    <col min="4891" max="4893" width="5.88671875" style="746" customWidth="1"/>
    <col min="4894" max="4894" width="7.88671875" style="746" customWidth="1"/>
    <col min="4895" max="4902" width="6.88671875" style="746" customWidth="1"/>
    <col min="4903" max="5119" width="11.44140625" style="746"/>
    <col min="5120" max="5120" width="15.5546875" style="746" bestFit="1" customWidth="1"/>
    <col min="5121" max="5121" width="11.88671875" style="746" customWidth="1"/>
    <col min="5122" max="5122" width="54.88671875" style="746" customWidth="1"/>
    <col min="5123" max="5123" width="7.44140625" style="746" customWidth="1"/>
    <col min="5124" max="5125" width="6.109375" style="746" customWidth="1"/>
    <col min="5126" max="5126" width="7.44140625" style="746" customWidth="1"/>
    <col min="5127" max="5127" width="5.88671875" style="746" customWidth="1"/>
    <col min="5128" max="5129" width="6.109375" style="746" customWidth="1"/>
    <col min="5130" max="5130" width="7.88671875" style="746" customWidth="1"/>
    <col min="5131" max="5131" width="5.88671875" style="746" customWidth="1"/>
    <col min="5132" max="5133" width="6.109375" style="746" customWidth="1"/>
    <col min="5134" max="5134" width="7.88671875" style="746" customWidth="1"/>
    <col min="5135" max="5135" width="5.109375" style="746" customWidth="1"/>
    <col min="5136" max="5137" width="6.109375" style="746" customWidth="1"/>
    <col min="5138" max="5138" width="7.88671875" style="746" customWidth="1"/>
    <col min="5139" max="5139" width="5.88671875" style="746" customWidth="1"/>
    <col min="5140" max="5141" width="6.109375" style="746" customWidth="1"/>
    <col min="5142" max="5142" width="7.88671875" style="746" customWidth="1"/>
    <col min="5143" max="5143" width="5.88671875" style="746" customWidth="1"/>
    <col min="5144" max="5145" width="6.44140625" style="746" customWidth="1"/>
    <col min="5146" max="5146" width="7.88671875" style="746" customWidth="1"/>
    <col min="5147" max="5149" width="5.88671875" style="746" customWidth="1"/>
    <col min="5150" max="5150" width="7.88671875" style="746" customWidth="1"/>
    <col min="5151" max="5158" width="6.88671875" style="746" customWidth="1"/>
    <col min="5159" max="5375" width="11.44140625" style="746"/>
    <col min="5376" max="5376" width="15.5546875" style="746" bestFit="1" customWidth="1"/>
    <col min="5377" max="5377" width="11.88671875" style="746" customWidth="1"/>
    <col min="5378" max="5378" width="54.88671875" style="746" customWidth="1"/>
    <col min="5379" max="5379" width="7.44140625" style="746" customWidth="1"/>
    <col min="5380" max="5381" width="6.109375" style="746" customWidth="1"/>
    <col min="5382" max="5382" width="7.44140625" style="746" customWidth="1"/>
    <col min="5383" max="5383" width="5.88671875" style="746" customWidth="1"/>
    <col min="5384" max="5385" width="6.109375" style="746" customWidth="1"/>
    <col min="5386" max="5386" width="7.88671875" style="746" customWidth="1"/>
    <col min="5387" max="5387" width="5.88671875" style="746" customWidth="1"/>
    <col min="5388" max="5389" width="6.109375" style="746" customWidth="1"/>
    <col min="5390" max="5390" width="7.88671875" style="746" customWidth="1"/>
    <col min="5391" max="5391" width="5.109375" style="746" customWidth="1"/>
    <col min="5392" max="5393" width="6.109375" style="746" customWidth="1"/>
    <col min="5394" max="5394" width="7.88671875" style="746" customWidth="1"/>
    <col min="5395" max="5395" width="5.88671875" style="746" customWidth="1"/>
    <col min="5396" max="5397" width="6.109375" style="746" customWidth="1"/>
    <col min="5398" max="5398" width="7.88671875" style="746" customWidth="1"/>
    <col min="5399" max="5399" width="5.88671875" style="746" customWidth="1"/>
    <col min="5400" max="5401" width="6.44140625" style="746" customWidth="1"/>
    <col min="5402" max="5402" width="7.88671875" style="746" customWidth="1"/>
    <col min="5403" max="5405" width="5.88671875" style="746" customWidth="1"/>
    <col min="5406" max="5406" width="7.88671875" style="746" customWidth="1"/>
    <col min="5407" max="5414" width="6.88671875" style="746" customWidth="1"/>
    <col min="5415" max="5631" width="11.44140625" style="746"/>
    <col min="5632" max="5632" width="15.5546875" style="746" bestFit="1" customWidth="1"/>
    <col min="5633" max="5633" width="11.88671875" style="746" customWidth="1"/>
    <col min="5634" max="5634" width="54.88671875" style="746" customWidth="1"/>
    <col min="5635" max="5635" width="7.44140625" style="746" customWidth="1"/>
    <col min="5636" max="5637" width="6.109375" style="746" customWidth="1"/>
    <col min="5638" max="5638" width="7.44140625" style="746" customWidth="1"/>
    <col min="5639" max="5639" width="5.88671875" style="746" customWidth="1"/>
    <col min="5640" max="5641" width="6.109375" style="746" customWidth="1"/>
    <col min="5642" max="5642" width="7.88671875" style="746" customWidth="1"/>
    <col min="5643" max="5643" width="5.88671875" style="746" customWidth="1"/>
    <col min="5644" max="5645" width="6.109375" style="746" customWidth="1"/>
    <col min="5646" max="5646" width="7.88671875" style="746" customWidth="1"/>
    <col min="5647" max="5647" width="5.109375" style="746" customWidth="1"/>
    <col min="5648" max="5649" width="6.109375" style="746" customWidth="1"/>
    <col min="5650" max="5650" width="7.88671875" style="746" customWidth="1"/>
    <col min="5651" max="5651" width="5.88671875" style="746" customWidth="1"/>
    <col min="5652" max="5653" width="6.109375" style="746" customWidth="1"/>
    <col min="5654" max="5654" width="7.88671875" style="746" customWidth="1"/>
    <col min="5655" max="5655" width="5.88671875" style="746" customWidth="1"/>
    <col min="5656" max="5657" width="6.44140625" style="746" customWidth="1"/>
    <col min="5658" max="5658" width="7.88671875" style="746" customWidth="1"/>
    <col min="5659" max="5661" width="5.88671875" style="746" customWidth="1"/>
    <col min="5662" max="5662" width="7.88671875" style="746" customWidth="1"/>
    <col min="5663" max="5670" width="6.88671875" style="746" customWidth="1"/>
    <col min="5671" max="5887" width="11.44140625" style="746"/>
    <col min="5888" max="5888" width="15.5546875" style="746" bestFit="1" customWidth="1"/>
    <col min="5889" max="5889" width="11.88671875" style="746" customWidth="1"/>
    <col min="5890" max="5890" width="54.88671875" style="746" customWidth="1"/>
    <col min="5891" max="5891" width="7.44140625" style="746" customWidth="1"/>
    <col min="5892" max="5893" width="6.109375" style="746" customWidth="1"/>
    <col min="5894" max="5894" width="7.44140625" style="746" customWidth="1"/>
    <col min="5895" max="5895" width="5.88671875" style="746" customWidth="1"/>
    <col min="5896" max="5897" width="6.109375" style="746" customWidth="1"/>
    <col min="5898" max="5898" width="7.88671875" style="746" customWidth="1"/>
    <col min="5899" max="5899" width="5.88671875" style="746" customWidth="1"/>
    <col min="5900" max="5901" width="6.109375" style="746" customWidth="1"/>
    <col min="5902" max="5902" width="7.88671875" style="746" customWidth="1"/>
    <col min="5903" max="5903" width="5.109375" style="746" customWidth="1"/>
    <col min="5904" max="5905" width="6.109375" style="746" customWidth="1"/>
    <col min="5906" max="5906" width="7.88671875" style="746" customWidth="1"/>
    <col min="5907" max="5907" width="5.88671875" style="746" customWidth="1"/>
    <col min="5908" max="5909" width="6.109375" style="746" customWidth="1"/>
    <col min="5910" max="5910" width="7.88671875" style="746" customWidth="1"/>
    <col min="5911" max="5911" width="5.88671875" style="746" customWidth="1"/>
    <col min="5912" max="5913" width="6.44140625" style="746" customWidth="1"/>
    <col min="5914" max="5914" width="7.88671875" style="746" customWidth="1"/>
    <col min="5915" max="5917" width="5.88671875" style="746" customWidth="1"/>
    <col min="5918" max="5918" width="7.88671875" style="746" customWidth="1"/>
    <col min="5919" max="5926" width="6.88671875" style="746" customWidth="1"/>
    <col min="5927" max="6143" width="11.44140625" style="746"/>
    <col min="6144" max="6144" width="15.5546875" style="746" bestFit="1" customWidth="1"/>
    <col min="6145" max="6145" width="11.88671875" style="746" customWidth="1"/>
    <col min="6146" max="6146" width="54.88671875" style="746" customWidth="1"/>
    <col min="6147" max="6147" width="7.44140625" style="746" customWidth="1"/>
    <col min="6148" max="6149" width="6.109375" style="746" customWidth="1"/>
    <col min="6150" max="6150" width="7.44140625" style="746" customWidth="1"/>
    <col min="6151" max="6151" width="5.88671875" style="746" customWidth="1"/>
    <col min="6152" max="6153" width="6.109375" style="746" customWidth="1"/>
    <col min="6154" max="6154" width="7.88671875" style="746" customWidth="1"/>
    <col min="6155" max="6155" width="5.88671875" style="746" customWidth="1"/>
    <col min="6156" max="6157" width="6.109375" style="746" customWidth="1"/>
    <col min="6158" max="6158" width="7.88671875" style="746" customWidth="1"/>
    <col min="6159" max="6159" width="5.109375" style="746" customWidth="1"/>
    <col min="6160" max="6161" width="6.109375" style="746" customWidth="1"/>
    <col min="6162" max="6162" width="7.88671875" style="746" customWidth="1"/>
    <col min="6163" max="6163" width="5.88671875" style="746" customWidth="1"/>
    <col min="6164" max="6165" width="6.109375" style="746" customWidth="1"/>
    <col min="6166" max="6166" width="7.88671875" style="746" customWidth="1"/>
    <col min="6167" max="6167" width="5.88671875" style="746" customWidth="1"/>
    <col min="6168" max="6169" width="6.44140625" style="746" customWidth="1"/>
    <col min="6170" max="6170" width="7.88671875" style="746" customWidth="1"/>
    <col min="6171" max="6173" width="5.88671875" style="746" customWidth="1"/>
    <col min="6174" max="6174" width="7.88671875" style="746" customWidth="1"/>
    <col min="6175" max="6182" width="6.88671875" style="746" customWidth="1"/>
    <col min="6183" max="6399" width="11.44140625" style="746"/>
    <col min="6400" max="6400" width="15.5546875" style="746" bestFit="1" customWidth="1"/>
    <col min="6401" max="6401" width="11.88671875" style="746" customWidth="1"/>
    <col min="6402" max="6402" width="54.88671875" style="746" customWidth="1"/>
    <col min="6403" max="6403" width="7.44140625" style="746" customWidth="1"/>
    <col min="6404" max="6405" width="6.109375" style="746" customWidth="1"/>
    <col min="6406" max="6406" width="7.44140625" style="746" customWidth="1"/>
    <col min="6407" max="6407" width="5.88671875" style="746" customWidth="1"/>
    <col min="6408" max="6409" width="6.109375" style="746" customWidth="1"/>
    <col min="6410" max="6410" width="7.88671875" style="746" customWidth="1"/>
    <col min="6411" max="6411" width="5.88671875" style="746" customWidth="1"/>
    <col min="6412" max="6413" width="6.109375" style="746" customWidth="1"/>
    <col min="6414" max="6414" width="7.88671875" style="746" customWidth="1"/>
    <col min="6415" max="6415" width="5.109375" style="746" customWidth="1"/>
    <col min="6416" max="6417" width="6.109375" style="746" customWidth="1"/>
    <col min="6418" max="6418" width="7.88671875" style="746" customWidth="1"/>
    <col min="6419" max="6419" width="5.88671875" style="746" customWidth="1"/>
    <col min="6420" max="6421" width="6.109375" style="746" customWidth="1"/>
    <col min="6422" max="6422" width="7.88671875" style="746" customWidth="1"/>
    <col min="6423" max="6423" width="5.88671875" style="746" customWidth="1"/>
    <col min="6424" max="6425" width="6.44140625" style="746" customWidth="1"/>
    <col min="6426" max="6426" width="7.88671875" style="746" customWidth="1"/>
    <col min="6427" max="6429" width="5.88671875" style="746" customWidth="1"/>
    <col min="6430" max="6430" width="7.88671875" style="746" customWidth="1"/>
    <col min="6431" max="6438" width="6.88671875" style="746" customWidth="1"/>
    <col min="6439" max="6655" width="11.44140625" style="746"/>
    <col min="6656" max="6656" width="15.5546875" style="746" bestFit="1" customWidth="1"/>
    <col min="6657" max="6657" width="11.88671875" style="746" customWidth="1"/>
    <col min="6658" max="6658" width="54.88671875" style="746" customWidth="1"/>
    <col min="6659" max="6659" width="7.44140625" style="746" customWidth="1"/>
    <col min="6660" max="6661" width="6.109375" style="746" customWidth="1"/>
    <col min="6662" max="6662" width="7.44140625" style="746" customWidth="1"/>
    <col min="6663" max="6663" width="5.88671875" style="746" customWidth="1"/>
    <col min="6664" max="6665" width="6.109375" style="746" customWidth="1"/>
    <col min="6666" max="6666" width="7.88671875" style="746" customWidth="1"/>
    <col min="6667" max="6667" width="5.88671875" style="746" customWidth="1"/>
    <col min="6668" max="6669" width="6.109375" style="746" customWidth="1"/>
    <col min="6670" max="6670" width="7.88671875" style="746" customWidth="1"/>
    <col min="6671" max="6671" width="5.109375" style="746" customWidth="1"/>
    <col min="6672" max="6673" width="6.109375" style="746" customWidth="1"/>
    <col min="6674" max="6674" width="7.88671875" style="746" customWidth="1"/>
    <col min="6675" max="6675" width="5.88671875" style="746" customWidth="1"/>
    <col min="6676" max="6677" width="6.109375" style="746" customWidth="1"/>
    <col min="6678" max="6678" width="7.88671875" style="746" customWidth="1"/>
    <col min="6679" max="6679" width="5.88671875" style="746" customWidth="1"/>
    <col min="6680" max="6681" width="6.44140625" style="746" customWidth="1"/>
    <col min="6682" max="6682" width="7.88671875" style="746" customWidth="1"/>
    <col min="6683" max="6685" width="5.88671875" style="746" customWidth="1"/>
    <col min="6686" max="6686" width="7.88671875" style="746" customWidth="1"/>
    <col min="6687" max="6694" width="6.88671875" style="746" customWidth="1"/>
    <col min="6695" max="6911" width="11.44140625" style="746"/>
    <col min="6912" max="6912" width="15.5546875" style="746" bestFit="1" customWidth="1"/>
    <col min="6913" max="6913" width="11.88671875" style="746" customWidth="1"/>
    <col min="6914" max="6914" width="54.88671875" style="746" customWidth="1"/>
    <col min="6915" max="6915" width="7.44140625" style="746" customWidth="1"/>
    <col min="6916" max="6917" width="6.109375" style="746" customWidth="1"/>
    <col min="6918" max="6918" width="7.44140625" style="746" customWidth="1"/>
    <col min="6919" max="6919" width="5.88671875" style="746" customWidth="1"/>
    <col min="6920" max="6921" width="6.109375" style="746" customWidth="1"/>
    <col min="6922" max="6922" width="7.88671875" style="746" customWidth="1"/>
    <col min="6923" max="6923" width="5.88671875" style="746" customWidth="1"/>
    <col min="6924" max="6925" width="6.109375" style="746" customWidth="1"/>
    <col min="6926" max="6926" width="7.88671875" style="746" customWidth="1"/>
    <col min="6927" max="6927" width="5.109375" style="746" customWidth="1"/>
    <col min="6928" max="6929" width="6.109375" style="746" customWidth="1"/>
    <col min="6930" max="6930" width="7.88671875" style="746" customWidth="1"/>
    <col min="6931" max="6931" width="5.88671875" style="746" customWidth="1"/>
    <col min="6932" max="6933" width="6.109375" style="746" customWidth="1"/>
    <col min="6934" max="6934" width="7.88671875" style="746" customWidth="1"/>
    <col min="6935" max="6935" width="5.88671875" style="746" customWidth="1"/>
    <col min="6936" max="6937" width="6.44140625" style="746" customWidth="1"/>
    <col min="6938" max="6938" width="7.88671875" style="746" customWidth="1"/>
    <col min="6939" max="6941" width="5.88671875" style="746" customWidth="1"/>
    <col min="6942" max="6942" width="7.88671875" style="746" customWidth="1"/>
    <col min="6943" max="6950" width="6.88671875" style="746" customWidth="1"/>
    <col min="6951" max="7167" width="11.44140625" style="746"/>
    <col min="7168" max="7168" width="15.5546875" style="746" bestFit="1" customWidth="1"/>
    <col min="7169" max="7169" width="11.88671875" style="746" customWidth="1"/>
    <col min="7170" max="7170" width="54.88671875" style="746" customWidth="1"/>
    <col min="7171" max="7171" width="7.44140625" style="746" customWidth="1"/>
    <col min="7172" max="7173" width="6.109375" style="746" customWidth="1"/>
    <col min="7174" max="7174" width="7.44140625" style="746" customWidth="1"/>
    <col min="7175" max="7175" width="5.88671875" style="746" customWidth="1"/>
    <col min="7176" max="7177" width="6.109375" style="746" customWidth="1"/>
    <col min="7178" max="7178" width="7.88671875" style="746" customWidth="1"/>
    <col min="7179" max="7179" width="5.88671875" style="746" customWidth="1"/>
    <col min="7180" max="7181" width="6.109375" style="746" customWidth="1"/>
    <col min="7182" max="7182" width="7.88671875" style="746" customWidth="1"/>
    <col min="7183" max="7183" width="5.109375" style="746" customWidth="1"/>
    <col min="7184" max="7185" width="6.109375" style="746" customWidth="1"/>
    <col min="7186" max="7186" width="7.88671875" style="746" customWidth="1"/>
    <col min="7187" max="7187" width="5.88671875" style="746" customWidth="1"/>
    <col min="7188" max="7189" width="6.109375" style="746" customWidth="1"/>
    <col min="7190" max="7190" width="7.88671875" style="746" customWidth="1"/>
    <col min="7191" max="7191" width="5.88671875" style="746" customWidth="1"/>
    <col min="7192" max="7193" width="6.44140625" style="746" customWidth="1"/>
    <col min="7194" max="7194" width="7.88671875" style="746" customWidth="1"/>
    <col min="7195" max="7197" width="5.88671875" style="746" customWidth="1"/>
    <col min="7198" max="7198" width="7.88671875" style="746" customWidth="1"/>
    <col min="7199" max="7206" width="6.88671875" style="746" customWidth="1"/>
    <col min="7207" max="7423" width="11.44140625" style="746"/>
    <col min="7424" max="7424" width="15.5546875" style="746" bestFit="1" customWidth="1"/>
    <col min="7425" max="7425" width="11.88671875" style="746" customWidth="1"/>
    <col min="7426" max="7426" width="54.88671875" style="746" customWidth="1"/>
    <col min="7427" max="7427" width="7.44140625" style="746" customWidth="1"/>
    <col min="7428" max="7429" width="6.109375" style="746" customWidth="1"/>
    <col min="7430" max="7430" width="7.44140625" style="746" customWidth="1"/>
    <col min="7431" max="7431" width="5.88671875" style="746" customWidth="1"/>
    <col min="7432" max="7433" width="6.109375" style="746" customWidth="1"/>
    <col min="7434" max="7434" width="7.88671875" style="746" customWidth="1"/>
    <col min="7435" max="7435" width="5.88671875" style="746" customWidth="1"/>
    <col min="7436" max="7437" width="6.109375" style="746" customWidth="1"/>
    <col min="7438" max="7438" width="7.88671875" style="746" customWidth="1"/>
    <col min="7439" max="7439" width="5.109375" style="746" customWidth="1"/>
    <col min="7440" max="7441" width="6.109375" style="746" customWidth="1"/>
    <col min="7442" max="7442" width="7.88671875" style="746" customWidth="1"/>
    <col min="7443" max="7443" width="5.88671875" style="746" customWidth="1"/>
    <col min="7444" max="7445" width="6.109375" style="746" customWidth="1"/>
    <col min="7446" max="7446" width="7.88671875" style="746" customWidth="1"/>
    <col min="7447" max="7447" width="5.88671875" style="746" customWidth="1"/>
    <col min="7448" max="7449" width="6.44140625" style="746" customWidth="1"/>
    <col min="7450" max="7450" width="7.88671875" style="746" customWidth="1"/>
    <col min="7451" max="7453" width="5.88671875" style="746" customWidth="1"/>
    <col min="7454" max="7454" width="7.88671875" style="746" customWidth="1"/>
    <col min="7455" max="7462" width="6.88671875" style="746" customWidth="1"/>
    <col min="7463" max="7679" width="11.44140625" style="746"/>
    <col min="7680" max="7680" width="15.5546875" style="746" bestFit="1" customWidth="1"/>
    <col min="7681" max="7681" width="11.88671875" style="746" customWidth="1"/>
    <col min="7682" max="7682" width="54.88671875" style="746" customWidth="1"/>
    <col min="7683" max="7683" width="7.44140625" style="746" customWidth="1"/>
    <col min="7684" max="7685" width="6.109375" style="746" customWidth="1"/>
    <col min="7686" max="7686" width="7.44140625" style="746" customWidth="1"/>
    <col min="7687" max="7687" width="5.88671875" style="746" customWidth="1"/>
    <col min="7688" max="7689" width="6.109375" style="746" customWidth="1"/>
    <col min="7690" max="7690" width="7.88671875" style="746" customWidth="1"/>
    <col min="7691" max="7691" width="5.88671875" style="746" customWidth="1"/>
    <col min="7692" max="7693" width="6.109375" style="746" customWidth="1"/>
    <col min="7694" max="7694" width="7.88671875" style="746" customWidth="1"/>
    <col min="7695" max="7695" width="5.109375" style="746" customWidth="1"/>
    <col min="7696" max="7697" width="6.109375" style="746" customWidth="1"/>
    <col min="7698" max="7698" width="7.88671875" style="746" customWidth="1"/>
    <col min="7699" max="7699" width="5.88671875" style="746" customWidth="1"/>
    <col min="7700" max="7701" width="6.109375" style="746" customWidth="1"/>
    <col min="7702" max="7702" width="7.88671875" style="746" customWidth="1"/>
    <col min="7703" max="7703" width="5.88671875" style="746" customWidth="1"/>
    <col min="7704" max="7705" width="6.44140625" style="746" customWidth="1"/>
    <col min="7706" max="7706" width="7.88671875" style="746" customWidth="1"/>
    <col min="7707" max="7709" width="5.88671875" style="746" customWidth="1"/>
    <col min="7710" max="7710" width="7.88671875" style="746" customWidth="1"/>
    <col min="7711" max="7718" width="6.88671875" style="746" customWidth="1"/>
    <col min="7719" max="7935" width="11.44140625" style="746"/>
    <col min="7936" max="7936" width="15.5546875" style="746" bestFit="1" customWidth="1"/>
    <col min="7937" max="7937" width="11.88671875" style="746" customWidth="1"/>
    <col min="7938" max="7938" width="54.88671875" style="746" customWidth="1"/>
    <col min="7939" max="7939" width="7.44140625" style="746" customWidth="1"/>
    <col min="7940" max="7941" width="6.109375" style="746" customWidth="1"/>
    <col min="7942" max="7942" width="7.44140625" style="746" customWidth="1"/>
    <col min="7943" max="7943" width="5.88671875" style="746" customWidth="1"/>
    <col min="7944" max="7945" width="6.109375" style="746" customWidth="1"/>
    <col min="7946" max="7946" width="7.88671875" style="746" customWidth="1"/>
    <col min="7947" max="7947" width="5.88671875" style="746" customWidth="1"/>
    <col min="7948" max="7949" width="6.109375" style="746" customWidth="1"/>
    <col min="7950" max="7950" width="7.88671875" style="746" customWidth="1"/>
    <col min="7951" max="7951" width="5.109375" style="746" customWidth="1"/>
    <col min="7952" max="7953" width="6.109375" style="746" customWidth="1"/>
    <col min="7954" max="7954" width="7.88671875" style="746" customWidth="1"/>
    <col min="7955" max="7955" width="5.88671875" style="746" customWidth="1"/>
    <col min="7956" max="7957" width="6.109375" style="746" customWidth="1"/>
    <col min="7958" max="7958" width="7.88671875" style="746" customWidth="1"/>
    <col min="7959" max="7959" width="5.88671875" style="746" customWidth="1"/>
    <col min="7960" max="7961" width="6.44140625" style="746" customWidth="1"/>
    <col min="7962" max="7962" width="7.88671875" style="746" customWidth="1"/>
    <col min="7963" max="7965" width="5.88671875" style="746" customWidth="1"/>
    <col min="7966" max="7966" width="7.88671875" style="746" customWidth="1"/>
    <col min="7967" max="7974" width="6.88671875" style="746" customWidth="1"/>
    <col min="7975" max="8191" width="11.44140625" style="746"/>
    <col min="8192" max="8192" width="15.5546875" style="746" bestFit="1" customWidth="1"/>
    <col min="8193" max="8193" width="11.88671875" style="746" customWidth="1"/>
    <col min="8194" max="8194" width="54.88671875" style="746" customWidth="1"/>
    <col min="8195" max="8195" width="7.44140625" style="746" customWidth="1"/>
    <col min="8196" max="8197" width="6.109375" style="746" customWidth="1"/>
    <col min="8198" max="8198" width="7.44140625" style="746" customWidth="1"/>
    <col min="8199" max="8199" width="5.88671875" style="746" customWidth="1"/>
    <col min="8200" max="8201" width="6.109375" style="746" customWidth="1"/>
    <col min="8202" max="8202" width="7.88671875" style="746" customWidth="1"/>
    <col min="8203" max="8203" width="5.88671875" style="746" customWidth="1"/>
    <col min="8204" max="8205" width="6.109375" style="746" customWidth="1"/>
    <col min="8206" max="8206" width="7.88671875" style="746" customWidth="1"/>
    <col min="8207" max="8207" width="5.109375" style="746" customWidth="1"/>
    <col min="8208" max="8209" width="6.109375" style="746" customWidth="1"/>
    <col min="8210" max="8210" width="7.88671875" style="746" customWidth="1"/>
    <col min="8211" max="8211" width="5.88671875" style="746" customWidth="1"/>
    <col min="8212" max="8213" width="6.109375" style="746" customWidth="1"/>
    <col min="8214" max="8214" width="7.88671875" style="746" customWidth="1"/>
    <col min="8215" max="8215" width="5.88671875" style="746" customWidth="1"/>
    <col min="8216" max="8217" width="6.44140625" style="746" customWidth="1"/>
    <col min="8218" max="8218" width="7.88671875" style="746" customWidth="1"/>
    <col min="8219" max="8221" width="5.88671875" style="746" customWidth="1"/>
    <col min="8222" max="8222" width="7.88671875" style="746" customWidth="1"/>
    <col min="8223" max="8230" width="6.88671875" style="746" customWidth="1"/>
    <col min="8231" max="8447" width="11.44140625" style="746"/>
    <col min="8448" max="8448" width="15.5546875" style="746" bestFit="1" customWidth="1"/>
    <col min="8449" max="8449" width="11.88671875" style="746" customWidth="1"/>
    <col min="8450" max="8450" width="54.88671875" style="746" customWidth="1"/>
    <col min="8451" max="8451" width="7.44140625" style="746" customWidth="1"/>
    <col min="8452" max="8453" width="6.109375" style="746" customWidth="1"/>
    <col min="8454" max="8454" width="7.44140625" style="746" customWidth="1"/>
    <col min="8455" max="8455" width="5.88671875" style="746" customWidth="1"/>
    <col min="8456" max="8457" width="6.109375" style="746" customWidth="1"/>
    <col min="8458" max="8458" width="7.88671875" style="746" customWidth="1"/>
    <col min="8459" max="8459" width="5.88671875" style="746" customWidth="1"/>
    <col min="8460" max="8461" width="6.109375" style="746" customWidth="1"/>
    <col min="8462" max="8462" width="7.88671875" style="746" customWidth="1"/>
    <col min="8463" max="8463" width="5.109375" style="746" customWidth="1"/>
    <col min="8464" max="8465" width="6.109375" style="746" customWidth="1"/>
    <col min="8466" max="8466" width="7.88671875" style="746" customWidth="1"/>
    <col min="8467" max="8467" width="5.88671875" style="746" customWidth="1"/>
    <col min="8468" max="8469" width="6.109375" style="746" customWidth="1"/>
    <col min="8470" max="8470" width="7.88671875" style="746" customWidth="1"/>
    <col min="8471" max="8471" width="5.88671875" style="746" customWidth="1"/>
    <col min="8472" max="8473" width="6.44140625" style="746" customWidth="1"/>
    <col min="8474" max="8474" width="7.88671875" style="746" customWidth="1"/>
    <col min="8475" max="8477" width="5.88671875" style="746" customWidth="1"/>
    <col min="8478" max="8478" width="7.88671875" style="746" customWidth="1"/>
    <col min="8479" max="8486" width="6.88671875" style="746" customWidth="1"/>
    <col min="8487" max="8703" width="11.44140625" style="746"/>
    <col min="8704" max="8704" width="15.5546875" style="746" bestFit="1" customWidth="1"/>
    <col min="8705" max="8705" width="11.88671875" style="746" customWidth="1"/>
    <col min="8706" max="8706" width="54.88671875" style="746" customWidth="1"/>
    <col min="8707" max="8707" width="7.44140625" style="746" customWidth="1"/>
    <col min="8708" max="8709" width="6.109375" style="746" customWidth="1"/>
    <col min="8710" max="8710" width="7.44140625" style="746" customWidth="1"/>
    <col min="8711" max="8711" width="5.88671875" style="746" customWidth="1"/>
    <col min="8712" max="8713" width="6.109375" style="746" customWidth="1"/>
    <col min="8714" max="8714" width="7.88671875" style="746" customWidth="1"/>
    <col min="8715" max="8715" width="5.88671875" style="746" customWidth="1"/>
    <col min="8716" max="8717" width="6.109375" style="746" customWidth="1"/>
    <col min="8718" max="8718" width="7.88671875" style="746" customWidth="1"/>
    <col min="8719" max="8719" width="5.109375" style="746" customWidth="1"/>
    <col min="8720" max="8721" width="6.109375" style="746" customWidth="1"/>
    <col min="8722" max="8722" width="7.88671875" style="746" customWidth="1"/>
    <col min="8723" max="8723" width="5.88671875" style="746" customWidth="1"/>
    <col min="8724" max="8725" width="6.109375" style="746" customWidth="1"/>
    <col min="8726" max="8726" width="7.88671875" style="746" customWidth="1"/>
    <col min="8727" max="8727" width="5.88671875" style="746" customWidth="1"/>
    <col min="8728" max="8729" width="6.44140625" style="746" customWidth="1"/>
    <col min="8730" max="8730" width="7.88671875" style="746" customWidth="1"/>
    <col min="8731" max="8733" width="5.88671875" style="746" customWidth="1"/>
    <col min="8734" max="8734" width="7.88671875" style="746" customWidth="1"/>
    <col min="8735" max="8742" width="6.88671875" style="746" customWidth="1"/>
    <col min="8743" max="8959" width="11.44140625" style="746"/>
    <col min="8960" max="8960" width="15.5546875" style="746" bestFit="1" customWidth="1"/>
    <col min="8961" max="8961" width="11.88671875" style="746" customWidth="1"/>
    <col min="8962" max="8962" width="54.88671875" style="746" customWidth="1"/>
    <col min="8963" max="8963" width="7.44140625" style="746" customWidth="1"/>
    <col min="8964" max="8965" width="6.109375" style="746" customWidth="1"/>
    <col min="8966" max="8966" width="7.44140625" style="746" customWidth="1"/>
    <col min="8967" max="8967" width="5.88671875" style="746" customWidth="1"/>
    <col min="8968" max="8969" width="6.109375" style="746" customWidth="1"/>
    <col min="8970" max="8970" width="7.88671875" style="746" customWidth="1"/>
    <col min="8971" max="8971" width="5.88671875" style="746" customWidth="1"/>
    <col min="8972" max="8973" width="6.109375" style="746" customWidth="1"/>
    <col min="8974" max="8974" width="7.88671875" style="746" customWidth="1"/>
    <col min="8975" max="8975" width="5.109375" style="746" customWidth="1"/>
    <col min="8976" max="8977" width="6.109375" style="746" customWidth="1"/>
    <col min="8978" max="8978" width="7.88671875" style="746" customWidth="1"/>
    <col min="8979" max="8979" width="5.88671875" style="746" customWidth="1"/>
    <col min="8980" max="8981" width="6.109375" style="746" customWidth="1"/>
    <col min="8982" max="8982" width="7.88671875" style="746" customWidth="1"/>
    <col min="8983" max="8983" width="5.88671875" style="746" customWidth="1"/>
    <col min="8984" max="8985" width="6.44140625" style="746" customWidth="1"/>
    <col min="8986" max="8986" width="7.88671875" style="746" customWidth="1"/>
    <col min="8987" max="8989" width="5.88671875" style="746" customWidth="1"/>
    <col min="8990" max="8990" width="7.88671875" style="746" customWidth="1"/>
    <col min="8991" max="8998" width="6.88671875" style="746" customWidth="1"/>
    <col min="8999" max="9215" width="11.44140625" style="746"/>
    <col min="9216" max="9216" width="15.5546875" style="746" bestFit="1" customWidth="1"/>
    <col min="9217" max="9217" width="11.88671875" style="746" customWidth="1"/>
    <col min="9218" max="9218" width="54.88671875" style="746" customWidth="1"/>
    <col min="9219" max="9219" width="7.44140625" style="746" customWidth="1"/>
    <col min="9220" max="9221" width="6.109375" style="746" customWidth="1"/>
    <col min="9222" max="9222" width="7.44140625" style="746" customWidth="1"/>
    <col min="9223" max="9223" width="5.88671875" style="746" customWidth="1"/>
    <col min="9224" max="9225" width="6.109375" style="746" customWidth="1"/>
    <col min="9226" max="9226" width="7.88671875" style="746" customWidth="1"/>
    <col min="9227" max="9227" width="5.88671875" style="746" customWidth="1"/>
    <col min="9228" max="9229" width="6.109375" style="746" customWidth="1"/>
    <col min="9230" max="9230" width="7.88671875" style="746" customWidth="1"/>
    <col min="9231" max="9231" width="5.109375" style="746" customWidth="1"/>
    <col min="9232" max="9233" width="6.109375" style="746" customWidth="1"/>
    <col min="9234" max="9234" width="7.88671875" style="746" customWidth="1"/>
    <col min="9235" max="9235" width="5.88671875" style="746" customWidth="1"/>
    <col min="9236" max="9237" width="6.109375" style="746" customWidth="1"/>
    <col min="9238" max="9238" width="7.88671875" style="746" customWidth="1"/>
    <col min="9239" max="9239" width="5.88671875" style="746" customWidth="1"/>
    <col min="9240" max="9241" width="6.44140625" style="746" customWidth="1"/>
    <col min="9242" max="9242" width="7.88671875" style="746" customWidth="1"/>
    <col min="9243" max="9245" width="5.88671875" style="746" customWidth="1"/>
    <col min="9246" max="9246" width="7.88671875" style="746" customWidth="1"/>
    <col min="9247" max="9254" width="6.88671875" style="746" customWidth="1"/>
    <col min="9255" max="9471" width="11.44140625" style="746"/>
    <col min="9472" max="9472" width="15.5546875" style="746" bestFit="1" customWidth="1"/>
    <col min="9473" max="9473" width="11.88671875" style="746" customWidth="1"/>
    <col min="9474" max="9474" width="54.88671875" style="746" customWidth="1"/>
    <col min="9475" max="9475" width="7.44140625" style="746" customWidth="1"/>
    <col min="9476" max="9477" width="6.109375" style="746" customWidth="1"/>
    <col min="9478" max="9478" width="7.44140625" style="746" customWidth="1"/>
    <col min="9479" max="9479" width="5.88671875" style="746" customWidth="1"/>
    <col min="9480" max="9481" width="6.109375" style="746" customWidth="1"/>
    <col min="9482" max="9482" width="7.88671875" style="746" customWidth="1"/>
    <col min="9483" max="9483" width="5.88671875" style="746" customWidth="1"/>
    <col min="9484" max="9485" width="6.109375" style="746" customWidth="1"/>
    <col min="9486" max="9486" width="7.88671875" style="746" customWidth="1"/>
    <col min="9487" max="9487" width="5.109375" style="746" customWidth="1"/>
    <col min="9488" max="9489" width="6.109375" style="746" customWidth="1"/>
    <col min="9490" max="9490" width="7.88671875" style="746" customWidth="1"/>
    <col min="9491" max="9491" width="5.88671875" style="746" customWidth="1"/>
    <col min="9492" max="9493" width="6.109375" style="746" customWidth="1"/>
    <col min="9494" max="9494" width="7.88671875" style="746" customWidth="1"/>
    <col min="9495" max="9495" width="5.88671875" style="746" customWidth="1"/>
    <col min="9496" max="9497" width="6.44140625" style="746" customWidth="1"/>
    <col min="9498" max="9498" width="7.88671875" style="746" customWidth="1"/>
    <col min="9499" max="9501" width="5.88671875" style="746" customWidth="1"/>
    <col min="9502" max="9502" width="7.88671875" style="746" customWidth="1"/>
    <col min="9503" max="9510" width="6.88671875" style="746" customWidth="1"/>
    <col min="9511" max="9727" width="11.44140625" style="746"/>
    <col min="9728" max="9728" width="15.5546875" style="746" bestFit="1" customWidth="1"/>
    <col min="9729" max="9729" width="11.88671875" style="746" customWidth="1"/>
    <col min="9730" max="9730" width="54.88671875" style="746" customWidth="1"/>
    <col min="9731" max="9731" width="7.44140625" style="746" customWidth="1"/>
    <col min="9732" max="9733" width="6.109375" style="746" customWidth="1"/>
    <col min="9734" max="9734" width="7.44140625" style="746" customWidth="1"/>
    <col min="9735" max="9735" width="5.88671875" style="746" customWidth="1"/>
    <col min="9736" max="9737" width="6.109375" style="746" customWidth="1"/>
    <col min="9738" max="9738" width="7.88671875" style="746" customWidth="1"/>
    <col min="9739" max="9739" width="5.88671875" style="746" customWidth="1"/>
    <col min="9740" max="9741" width="6.109375" style="746" customWidth="1"/>
    <col min="9742" max="9742" width="7.88671875" style="746" customWidth="1"/>
    <col min="9743" max="9743" width="5.109375" style="746" customWidth="1"/>
    <col min="9744" max="9745" width="6.109375" style="746" customWidth="1"/>
    <col min="9746" max="9746" width="7.88671875" style="746" customWidth="1"/>
    <col min="9747" max="9747" width="5.88671875" style="746" customWidth="1"/>
    <col min="9748" max="9749" width="6.109375" style="746" customWidth="1"/>
    <col min="9750" max="9750" width="7.88671875" style="746" customWidth="1"/>
    <col min="9751" max="9751" width="5.88671875" style="746" customWidth="1"/>
    <col min="9752" max="9753" width="6.44140625" style="746" customWidth="1"/>
    <col min="9754" max="9754" width="7.88671875" style="746" customWidth="1"/>
    <col min="9755" max="9757" width="5.88671875" style="746" customWidth="1"/>
    <col min="9758" max="9758" width="7.88671875" style="746" customWidth="1"/>
    <col min="9759" max="9766" width="6.88671875" style="746" customWidth="1"/>
    <col min="9767" max="9983" width="11.44140625" style="746"/>
    <col min="9984" max="9984" width="15.5546875" style="746" bestFit="1" customWidth="1"/>
    <col min="9985" max="9985" width="11.88671875" style="746" customWidth="1"/>
    <col min="9986" max="9986" width="54.88671875" style="746" customWidth="1"/>
    <col min="9987" max="9987" width="7.44140625" style="746" customWidth="1"/>
    <col min="9988" max="9989" width="6.109375" style="746" customWidth="1"/>
    <col min="9990" max="9990" width="7.44140625" style="746" customWidth="1"/>
    <col min="9991" max="9991" width="5.88671875" style="746" customWidth="1"/>
    <col min="9992" max="9993" width="6.109375" style="746" customWidth="1"/>
    <col min="9994" max="9994" width="7.88671875" style="746" customWidth="1"/>
    <col min="9995" max="9995" width="5.88671875" style="746" customWidth="1"/>
    <col min="9996" max="9997" width="6.109375" style="746" customWidth="1"/>
    <col min="9998" max="9998" width="7.88671875" style="746" customWidth="1"/>
    <col min="9999" max="9999" width="5.109375" style="746" customWidth="1"/>
    <col min="10000" max="10001" width="6.109375" style="746" customWidth="1"/>
    <col min="10002" max="10002" width="7.88671875" style="746" customWidth="1"/>
    <col min="10003" max="10003" width="5.88671875" style="746" customWidth="1"/>
    <col min="10004" max="10005" width="6.109375" style="746" customWidth="1"/>
    <col min="10006" max="10006" width="7.88671875" style="746" customWidth="1"/>
    <col min="10007" max="10007" width="5.88671875" style="746" customWidth="1"/>
    <col min="10008" max="10009" width="6.44140625" style="746" customWidth="1"/>
    <col min="10010" max="10010" width="7.88671875" style="746" customWidth="1"/>
    <col min="10011" max="10013" width="5.88671875" style="746" customWidth="1"/>
    <col min="10014" max="10014" width="7.88671875" style="746" customWidth="1"/>
    <col min="10015" max="10022" width="6.88671875" style="746" customWidth="1"/>
    <col min="10023" max="10239" width="11.44140625" style="746"/>
    <col min="10240" max="10240" width="15.5546875" style="746" bestFit="1" customWidth="1"/>
    <col min="10241" max="10241" width="11.88671875" style="746" customWidth="1"/>
    <col min="10242" max="10242" width="54.88671875" style="746" customWidth="1"/>
    <col min="10243" max="10243" width="7.44140625" style="746" customWidth="1"/>
    <col min="10244" max="10245" width="6.109375" style="746" customWidth="1"/>
    <col min="10246" max="10246" width="7.44140625" style="746" customWidth="1"/>
    <col min="10247" max="10247" width="5.88671875" style="746" customWidth="1"/>
    <col min="10248" max="10249" width="6.109375" style="746" customWidth="1"/>
    <col min="10250" max="10250" width="7.88671875" style="746" customWidth="1"/>
    <col min="10251" max="10251" width="5.88671875" style="746" customWidth="1"/>
    <col min="10252" max="10253" width="6.109375" style="746" customWidth="1"/>
    <col min="10254" max="10254" width="7.88671875" style="746" customWidth="1"/>
    <col min="10255" max="10255" width="5.109375" style="746" customWidth="1"/>
    <col min="10256" max="10257" width="6.109375" style="746" customWidth="1"/>
    <col min="10258" max="10258" width="7.88671875" style="746" customWidth="1"/>
    <col min="10259" max="10259" width="5.88671875" style="746" customWidth="1"/>
    <col min="10260" max="10261" width="6.109375" style="746" customWidth="1"/>
    <col min="10262" max="10262" width="7.88671875" style="746" customWidth="1"/>
    <col min="10263" max="10263" width="5.88671875" style="746" customWidth="1"/>
    <col min="10264" max="10265" width="6.44140625" style="746" customWidth="1"/>
    <col min="10266" max="10266" width="7.88671875" style="746" customWidth="1"/>
    <col min="10267" max="10269" width="5.88671875" style="746" customWidth="1"/>
    <col min="10270" max="10270" width="7.88671875" style="746" customWidth="1"/>
    <col min="10271" max="10278" width="6.88671875" style="746" customWidth="1"/>
    <col min="10279" max="10495" width="11.44140625" style="746"/>
    <col min="10496" max="10496" width="15.5546875" style="746" bestFit="1" customWidth="1"/>
    <col min="10497" max="10497" width="11.88671875" style="746" customWidth="1"/>
    <col min="10498" max="10498" width="54.88671875" style="746" customWidth="1"/>
    <col min="10499" max="10499" width="7.44140625" style="746" customWidth="1"/>
    <col min="10500" max="10501" width="6.109375" style="746" customWidth="1"/>
    <col min="10502" max="10502" width="7.44140625" style="746" customWidth="1"/>
    <col min="10503" max="10503" width="5.88671875" style="746" customWidth="1"/>
    <col min="10504" max="10505" width="6.109375" style="746" customWidth="1"/>
    <col min="10506" max="10506" width="7.88671875" style="746" customWidth="1"/>
    <col min="10507" max="10507" width="5.88671875" style="746" customWidth="1"/>
    <col min="10508" max="10509" width="6.109375" style="746" customWidth="1"/>
    <col min="10510" max="10510" width="7.88671875" style="746" customWidth="1"/>
    <col min="10511" max="10511" width="5.109375" style="746" customWidth="1"/>
    <col min="10512" max="10513" width="6.109375" style="746" customWidth="1"/>
    <col min="10514" max="10514" width="7.88671875" style="746" customWidth="1"/>
    <col min="10515" max="10515" width="5.88671875" style="746" customWidth="1"/>
    <col min="10516" max="10517" width="6.109375" style="746" customWidth="1"/>
    <col min="10518" max="10518" width="7.88671875" style="746" customWidth="1"/>
    <col min="10519" max="10519" width="5.88671875" style="746" customWidth="1"/>
    <col min="10520" max="10521" width="6.44140625" style="746" customWidth="1"/>
    <col min="10522" max="10522" width="7.88671875" style="746" customWidth="1"/>
    <col min="10523" max="10525" width="5.88671875" style="746" customWidth="1"/>
    <col min="10526" max="10526" width="7.88671875" style="746" customWidth="1"/>
    <col min="10527" max="10534" width="6.88671875" style="746" customWidth="1"/>
    <col min="10535" max="10751" width="11.44140625" style="746"/>
    <col min="10752" max="10752" width="15.5546875" style="746" bestFit="1" customWidth="1"/>
    <col min="10753" max="10753" width="11.88671875" style="746" customWidth="1"/>
    <col min="10754" max="10754" width="54.88671875" style="746" customWidth="1"/>
    <col min="10755" max="10755" width="7.44140625" style="746" customWidth="1"/>
    <col min="10756" max="10757" width="6.109375" style="746" customWidth="1"/>
    <col min="10758" max="10758" width="7.44140625" style="746" customWidth="1"/>
    <col min="10759" max="10759" width="5.88671875" style="746" customWidth="1"/>
    <col min="10760" max="10761" width="6.109375" style="746" customWidth="1"/>
    <col min="10762" max="10762" width="7.88671875" style="746" customWidth="1"/>
    <col min="10763" max="10763" width="5.88671875" style="746" customWidth="1"/>
    <col min="10764" max="10765" width="6.109375" style="746" customWidth="1"/>
    <col min="10766" max="10766" width="7.88671875" style="746" customWidth="1"/>
    <col min="10767" max="10767" width="5.109375" style="746" customWidth="1"/>
    <col min="10768" max="10769" width="6.109375" style="746" customWidth="1"/>
    <col min="10770" max="10770" width="7.88671875" style="746" customWidth="1"/>
    <col min="10771" max="10771" width="5.88671875" style="746" customWidth="1"/>
    <col min="10772" max="10773" width="6.109375" style="746" customWidth="1"/>
    <col min="10774" max="10774" width="7.88671875" style="746" customWidth="1"/>
    <col min="10775" max="10775" width="5.88671875" style="746" customWidth="1"/>
    <col min="10776" max="10777" width="6.44140625" style="746" customWidth="1"/>
    <col min="10778" max="10778" width="7.88671875" style="746" customWidth="1"/>
    <col min="10779" max="10781" width="5.88671875" style="746" customWidth="1"/>
    <col min="10782" max="10782" width="7.88671875" style="746" customWidth="1"/>
    <col min="10783" max="10790" width="6.88671875" style="746" customWidth="1"/>
    <col min="10791" max="11007" width="11.44140625" style="746"/>
    <col min="11008" max="11008" width="15.5546875" style="746" bestFit="1" customWidth="1"/>
    <col min="11009" max="11009" width="11.88671875" style="746" customWidth="1"/>
    <col min="11010" max="11010" width="54.88671875" style="746" customWidth="1"/>
    <col min="11011" max="11011" width="7.44140625" style="746" customWidth="1"/>
    <col min="11012" max="11013" width="6.109375" style="746" customWidth="1"/>
    <col min="11014" max="11014" width="7.44140625" style="746" customWidth="1"/>
    <col min="11015" max="11015" width="5.88671875" style="746" customWidth="1"/>
    <col min="11016" max="11017" width="6.109375" style="746" customWidth="1"/>
    <col min="11018" max="11018" width="7.88671875" style="746" customWidth="1"/>
    <col min="11019" max="11019" width="5.88671875" style="746" customWidth="1"/>
    <col min="11020" max="11021" width="6.109375" style="746" customWidth="1"/>
    <col min="11022" max="11022" width="7.88671875" style="746" customWidth="1"/>
    <col min="11023" max="11023" width="5.109375" style="746" customWidth="1"/>
    <col min="11024" max="11025" width="6.109375" style="746" customWidth="1"/>
    <col min="11026" max="11026" width="7.88671875" style="746" customWidth="1"/>
    <col min="11027" max="11027" width="5.88671875" style="746" customWidth="1"/>
    <col min="11028" max="11029" width="6.109375" style="746" customWidth="1"/>
    <col min="11030" max="11030" width="7.88671875" style="746" customWidth="1"/>
    <col min="11031" max="11031" width="5.88671875" style="746" customWidth="1"/>
    <col min="11032" max="11033" width="6.44140625" style="746" customWidth="1"/>
    <col min="11034" max="11034" width="7.88671875" style="746" customWidth="1"/>
    <col min="11035" max="11037" width="5.88671875" style="746" customWidth="1"/>
    <col min="11038" max="11038" width="7.88671875" style="746" customWidth="1"/>
    <col min="11039" max="11046" width="6.88671875" style="746" customWidth="1"/>
    <col min="11047" max="11263" width="11.44140625" style="746"/>
    <col min="11264" max="11264" width="15.5546875" style="746" bestFit="1" customWidth="1"/>
    <col min="11265" max="11265" width="11.88671875" style="746" customWidth="1"/>
    <col min="11266" max="11266" width="54.88671875" style="746" customWidth="1"/>
    <col min="11267" max="11267" width="7.44140625" style="746" customWidth="1"/>
    <col min="11268" max="11269" width="6.109375" style="746" customWidth="1"/>
    <col min="11270" max="11270" width="7.44140625" style="746" customWidth="1"/>
    <col min="11271" max="11271" width="5.88671875" style="746" customWidth="1"/>
    <col min="11272" max="11273" width="6.109375" style="746" customWidth="1"/>
    <col min="11274" max="11274" width="7.88671875" style="746" customWidth="1"/>
    <col min="11275" max="11275" width="5.88671875" style="746" customWidth="1"/>
    <col min="11276" max="11277" width="6.109375" style="746" customWidth="1"/>
    <col min="11278" max="11278" width="7.88671875" style="746" customWidth="1"/>
    <col min="11279" max="11279" width="5.109375" style="746" customWidth="1"/>
    <col min="11280" max="11281" width="6.109375" style="746" customWidth="1"/>
    <col min="11282" max="11282" width="7.88671875" style="746" customWidth="1"/>
    <col min="11283" max="11283" width="5.88671875" style="746" customWidth="1"/>
    <col min="11284" max="11285" width="6.109375" style="746" customWidth="1"/>
    <col min="11286" max="11286" width="7.88671875" style="746" customWidth="1"/>
    <col min="11287" max="11287" width="5.88671875" style="746" customWidth="1"/>
    <col min="11288" max="11289" width="6.44140625" style="746" customWidth="1"/>
    <col min="11290" max="11290" width="7.88671875" style="746" customWidth="1"/>
    <col min="11291" max="11293" width="5.88671875" style="746" customWidth="1"/>
    <col min="11294" max="11294" width="7.88671875" style="746" customWidth="1"/>
    <col min="11295" max="11302" width="6.88671875" style="746" customWidth="1"/>
    <col min="11303" max="11519" width="11.44140625" style="746"/>
    <col min="11520" max="11520" width="15.5546875" style="746" bestFit="1" customWidth="1"/>
    <col min="11521" max="11521" width="11.88671875" style="746" customWidth="1"/>
    <col min="11522" max="11522" width="54.88671875" style="746" customWidth="1"/>
    <col min="11523" max="11523" width="7.44140625" style="746" customWidth="1"/>
    <col min="11524" max="11525" width="6.109375" style="746" customWidth="1"/>
    <col min="11526" max="11526" width="7.44140625" style="746" customWidth="1"/>
    <col min="11527" max="11527" width="5.88671875" style="746" customWidth="1"/>
    <col min="11528" max="11529" width="6.109375" style="746" customWidth="1"/>
    <col min="11530" max="11530" width="7.88671875" style="746" customWidth="1"/>
    <col min="11531" max="11531" width="5.88671875" style="746" customWidth="1"/>
    <col min="11532" max="11533" width="6.109375" style="746" customWidth="1"/>
    <col min="11534" max="11534" width="7.88671875" style="746" customWidth="1"/>
    <col min="11535" max="11535" width="5.109375" style="746" customWidth="1"/>
    <col min="11536" max="11537" width="6.109375" style="746" customWidth="1"/>
    <col min="11538" max="11538" width="7.88671875" style="746" customWidth="1"/>
    <col min="11539" max="11539" width="5.88671875" style="746" customWidth="1"/>
    <col min="11540" max="11541" width="6.109375" style="746" customWidth="1"/>
    <col min="11542" max="11542" width="7.88671875" style="746" customWidth="1"/>
    <col min="11543" max="11543" width="5.88671875" style="746" customWidth="1"/>
    <col min="11544" max="11545" width="6.44140625" style="746" customWidth="1"/>
    <col min="11546" max="11546" width="7.88671875" style="746" customWidth="1"/>
    <col min="11547" max="11549" width="5.88671875" style="746" customWidth="1"/>
    <col min="11550" max="11550" width="7.88671875" style="746" customWidth="1"/>
    <col min="11551" max="11558" width="6.88671875" style="746" customWidth="1"/>
    <col min="11559" max="11775" width="11.44140625" style="746"/>
    <col min="11776" max="11776" width="15.5546875" style="746" bestFit="1" customWidth="1"/>
    <col min="11777" max="11777" width="11.88671875" style="746" customWidth="1"/>
    <col min="11778" max="11778" width="54.88671875" style="746" customWidth="1"/>
    <col min="11779" max="11779" width="7.44140625" style="746" customWidth="1"/>
    <col min="11780" max="11781" width="6.109375" style="746" customWidth="1"/>
    <col min="11782" max="11782" width="7.44140625" style="746" customWidth="1"/>
    <col min="11783" max="11783" width="5.88671875" style="746" customWidth="1"/>
    <col min="11784" max="11785" width="6.109375" style="746" customWidth="1"/>
    <col min="11786" max="11786" width="7.88671875" style="746" customWidth="1"/>
    <col min="11787" max="11787" width="5.88671875" style="746" customWidth="1"/>
    <col min="11788" max="11789" width="6.109375" style="746" customWidth="1"/>
    <col min="11790" max="11790" width="7.88671875" style="746" customWidth="1"/>
    <col min="11791" max="11791" width="5.109375" style="746" customWidth="1"/>
    <col min="11792" max="11793" width="6.109375" style="746" customWidth="1"/>
    <col min="11794" max="11794" width="7.88671875" style="746" customWidth="1"/>
    <col min="11795" max="11795" width="5.88671875" style="746" customWidth="1"/>
    <col min="11796" max="11797" width="6.109375" style="746" customWidth="1"/>
    <col min="11798" max="11798" width="7.88671875" style="746" customWidth="1"/>
    <col min="11799" max="11799" width="5.88671875" style="746" customWidth="1"/>
    <col min="11800" max="11801" width="6.44140625" style="746" customWidth="1"/>
    <col min="11802" max="11802" width="7.88671875" style="746" customWidth="1"/>
    <col min="11803" max="11805" width="5.88671875" style="746" customWidth="1"/>
    <col min="11806" max="11806" width="7.88671875" style="746" customWidth="1"/>
    <col min="11807" max="11814" width="6.88671875" style="746" customWidth="1"/>
    <col min="11815" max="12031" width="11.44140625" style="746"/>
    <col min="12032" max="12032" width="15.5546875" style="746" bestFit="1" customWidth="1"/>
    <col min="12033" max="12033" width="11.88671875" style="746" customWidth="1"/>
    <col min="12034" max="12034" width="54.88671875" style="746" customWidth="1"/>
    <col min="12035" max="12035" width="7.44140625" style="746" customWidth="1"/>
    <col min="12036" max="12037" width="6.109375" style="746" customWidth="1"/>
    <col min="12038" max="12038" width="7.44140625" style="746" customWidth="1"/>
    <col min="12039" max="12039" width="5.88671875" style="746" customWidth="1"/>
    <col min="12040" max="12041" width="6.109375" style="746" customWidth="1"/>
    <col min="12042" max="12042" width="7.88671875" style="746" customWidth="1"/>
    <col min="12043" max="12043" width="5.88671875" style="746" customWidth="1"/>
    <col min="12044" max="12045" width="6.109375" style="746" customWidth="1"/>
    <col min="12046" max="12046" width="7.88671875" style="746" customWidth="1"/>
    <col min="12047" max="12047" width="5.109375" style="746" customWidth="1"/>
    <col min="12048" max="12049" width="6.109375" style="746" customWidth="1"/>
    <col min="12050" max="12050" width="7.88671875" style="746" customWidth="1"/>
    <col min="12051" max="12051" width="5.88671875" style="746" customWidth="1"/>
    <col min="12052" max="12053" width="6.109375" style="746" customWidth="1"/>
    <col min="12054" max="12054" width="7.88671875" style="746" customWidth="1"/>
    <col min="12055" max="12055" width="5.88671875" style="746" customWidth="1"/>
    <col min="12056" max="12057" width="6.44140625" style="746" customWidth="1"/>
    <col min="12058" max="12058" width="7.88671875" style="746" customWidth="1"/>
    <col min="12059" max="12061" width="5.88671875" style="746" customWidth="1"/>
    <col min="12062" max="12062" width="7.88671875" style="746" customWidth="1"/>
    <col min="12063" max="12070" width="6.88671875" style="746" customWidth="1"/>
    <col min="12071" max="12287" width="11.44140625" style="746"/>
    <col min="12288" max="12288" width="15.5546875" style="746" bestFit="1" customWidth="1"/>
    <col min="12289" max="12289" width="11.88671875" style="746" customWidth="1"/>
    <col min="12290" max="12290" width="54.88671875" style="746" customWidth="1"/>
    <col min="12291" max="12291" width="7.44140625" style="746" customWidth="1"/>
    <col min="12292" max="12293" width="6.109375" style="746" customWidth="1"/>
    <col min="12294" max="12294" width="7.44140625" style="746" customWidth="1"/>
    <col min="12295" max="12295" width="5.88671875" style="746" customWidth="1"/>
    <col min="12296" max="12297" width="6.109375" style="746" customWidth="1"/>
    <col min="12298" max="12298" width="7.88671875" style="746" customWidth="1"/>
    <col min="12299" max="12299" width="5.88671875" style="746" customWidth="1"/>
    <col min="12300" max="12301" width="6.109375" style="746" customWidth="1"/>
    <col min="12302" max="12302" width="7.88671875" style="746" customWidth="1"/>
    <col min="12303" max="12303" width="5.109375" style="746" customWidth="1"/>
    <col min="12304" max="12305" width="6.109375" style="746" customWidth="1"/>
    <col min="12306" max="12306" width="7.88671875" style="746" customWidth="1"/>
    <col min="12307" max="12307" width="5.88671875" style="746" customWidth="1"/>
    <col min="12308" max="12309" width="6.109375" style="746" customWidth="1"/>
    <col min="12310" max="12310" width="7.88671875" style="746" customWidth="1"/>
    <col min="12311" max="12311" width="5.88671875" style="746" customWidth="1"/>
    <col min="12312" max="12313" width="6.44140625" style="746" customWidth="1"/>
    <col min="12314" max="12314" width="7.88671875" style="746" customWidth="1"/>
    <col min="12315" max="12317" width="5.88671875" style="746" customWidth="1"/>
    <col min="12318" max="12318" width="7.88671875" style="746" customWidth="1"/>
    <col min="12319" max="12326" width="6.88671875" style="746" customWidth="1"/>
    <col min="12327" max="12543" width="11.44140625" style="746"/>
    <col min="12544" max="12544" width="15.5546875" style="746" bestFit="1" customWidth="1"/>
    <col min="12545" max="12545" width="11.88671875" style="746" customWidth="1"/>
    <col min="12546" max="12546" width="54.88671875" style="746" customWidth="1"/>
    <col min="12547" max="12547" width="7.44140625" style="746" customWidth="1"/>
    <col min="12548" max="12549" width="6.109375" style="746" customWidth="1"/>
    <col min="12550" max="12550" width="7.44140625" style="746" customWidth="1"/>
    <col min="12551" max="12551" width="5.88671875" style="746" customWidth="1"/>
    <col min="12552" max="12553" width="6.109375" style="746" customWidth="1"/>
    <col min="12554" max="12554" width="7.88671875" style="746" customWidth="1"/>
    <col min="12555" max="12555" width="5.88671875" style="746" customWidth="1"/>
    <col min="12556" max="12557" width="6.109375" style="746" customWidth="1"/>
    <col min="12558" max="12558" width="7.88671875" style="746" customWidth="1"/>
    <col min="12559" max="12559" width="5.109375" style="746" customWidth="1"/>
    <col min="12560" max="12561" width="6.109375" style="746" customWidth="1"/>
    <col min="12562" max="12562" width="7.88671875" style="746" customWidth="1"/>
    <col min="12563" max="12563" width="5.88671875" style="746" customWidth="1"/>
    <col min="12564" max="12565" width="6.109375" style="746" customWidth="1"/>
    <col min="12566" max="12566" width="7.88671875" style="746" customWidth="1"/>
    <col min="12567" max="12567" width="5.88671875" style="746" customWidth="1"/>
    <col min="12568" max="12569" width="6.44140625" style="746" customWidth="1"/>
    <col min="12570" max="12570" width="7.88671875" style="746" customWidth="1"/>
    <col min="12571" max="12573" width="5.88671875" style="746" customWidth="1"/>
    <col min="12574" max="12574" width="7.88671875" style="746" customWidth="1"/>
    <col min="12575" max="12582" width="6.88671875" style="746" customWidth="1"/>
    <col min="12583" max="12799" width="11.44140625" style="746"/>
    <col min="12800" max="12800" width="15.5546875" style="746" bestFit="1" customWidth="1"/>
    <col min="12801" max="12801" width="11.88671875" style="746" customWidth="1"/>
    <col min="12802" max="12802" width="54.88671875" style="746" customWidth="1"/>
    <col min="12803" max="12803" width="7.44140625" style="746" customWidth="1"/>
    <col min="12804" max="12805" width="6.109375" style="746" customWidth="1"/>
    <col min="12806" max="12806" width="7.44140625" style="746" customWidth="1"/>
    <col min="12807" max="12807" width="5.88671875" style="746" customWidth="1"/>
    <col min="12808" max="12809" width="6.109375" style="746" customWidth="1"/>
    <col min="12810" max="12810" width="7.88671875" style="746" customWidth="1"/>
    <col min="12811" max="12811" width="5.88671875" style="746" customWidth="1"/>
    <col min="12812" max="12813" width="6.109375" style="746" customWidth="1"/>
    <col min="12814" max="12814" width="7.88671875" style="746" customWidth="1"/>
    <col min="12815" max="12815" width="5.109375" style="746" customWidth="1"/>
    <col min="12816" max="12817" width="6.109375" style="746" customWidth="1"/>
    <col min="12818" max="12818" width="7.88671875" style="746" customWidth="1"/>
    <col min="12819" max="12819" width="5.88671875" style="746" customWidth="1"/>
    <col min="12820" max="12821" width="6.109375" style="746" customWidth="1"/>
    <col min="12822" max="12822" width="7.88671875" style="746" customWidth="1"/>
    <col min="12823" max="12823" width="5.88671875" style="746" customWidth="1"/>
    <col min="12824" max="12825" width="6.44140625" style="746" customWidth="1"/>
    <col min="12826" max="12826" width="7.88671875" style="746" customWidth="1"/>
    <col min="12827" max="12829" width="5.88671875" style="746" customWidth="1"/>
    <col min="12830" max="12830" width="7.88671875" style="746" customWidth="1"/>
    <col min="12831" max="12838" width="6.88671875" style="746" customWidth="1"/>
    <col min="12839" max="13055" width="11.44140625" style="746"/>
    <col min="13056" max="13056" width="15.5546875" style="746" bestFit="1" customWidth="1"/>
    <col min="13057" max="13057" width="11.88671875" style="746" customWidth="1"/>
    <col min="13058" max="13058" width="54.88671875" style="746" customWidth="1"/>
    <col min="13059" max="13059" width="7.44140625" style="746" customWidth="1"/>
    <col min="13060" max="13061" width="6.109375" style="746" customWidth="1"/>
    <col min="13062" max="13062" width="7.44140625" style="746" customWidth="1"/>
    <col min="13063" max="13063" width="5.88671875" style="746" customWidth="1"/>
    <col min="13064" max="13065" width="6.109375" style="746" customWidth="1"/>
    <col min="13066" max="13066" width="7.88671875" style="746" customWidth="1"/>
    <col min="13067" max="13067" width="5.88671875" style="746" customWidth="1"/>
    <col min="13068" max="13069" width="6.109375" style="746" customWidth="1"/>
    <col min="13070" max="13070" width="7.88671875" style="746" customWidth="1"/>
    <col min="13071" max="13071" width="5.109375" style="746" customWidth="1"/>
    <col min="13072" max="13073" width="6.109375" style="746" customWidth="1"/>
    <col min="13074" max="13074" width="7.88671875" style="746" customWidth="1"/>
    <col min="13075" max="13075" width="5.88671875" style="746" customWidth="1"/>
    <col min="13076" max="13077" width="6.109375" style="746" customWidth="1"/>
    <col min="13078" max="13078" width="7.88671875" style="746" customWidth="1"/>
    <col min="13079" max="13079" width="5.88671875" style="746" customWidth="1"/>
    <col min="13080" max="13081" width="6.44140625" style="746" customWidth="1"/>
    <col min="13082" max="13082" width="7.88671875" style="746" customWidth="1"/>
    <col min="13083" max="13085" width="5.88671875" style="746" customWidth="1"/>
    <col min="13086" max="13086" width="7.88671875" style="746" customWidth="1"/>
    <col min="13087" max="13094" width="6.88671875" style="746" customWidth="1"/>
    <col min="13095" max="13311" width="11.44140625" style="746"/>
    <col min="13312" max="13312" width="15.5546875" style="746" bestFit="1" customWidth="1"/>
    <col min="13313" max="13313" width="11.88671875" style="746" customWidth="1"/>
    <col min="13314" max="13314" width="54.88671875" style="746" customWidth="1"/>
    <col min="13315" max="13315" width="7.44140625" style="746" customWidth="1"/>
    <col min="13316" max="13317" width="6.109375" style="746" customWidth="1"/>
    <col min="13318" max="13318" width="7.44140625" style="746" customWidth="1"/>
    <col min="13319" max="13319" width="5.88671875" style="746" customWidth="1"/>
    <col min="13320" max="13321" width="6.109375" style="746" customWidth="1"/>
    <col min="13322" max="13322" width="7.88671875" style="746" customWidth="1"/>
    <col min="13323" max="13323" width="5.88671875" style="746" customWidth="1"/>
    <col min="13324" max="13325" width="6.109375" style="746" customWidth="1"/>
    <col min="13326" max="13326" width="7.88671875" style="746" customWidth="1"/>
    <col min="13327" max="13327" width="5.109375" style="746" customWidth="1"/>
    <col min="13328" max="13329" width="6.109375" style="746" customWidth="1"/>
    <col min="13330" max="13330" width="7.88671875" style="746" customWidth="1"/>
    <col min="13331" max="13331" width="5.88671875" style="746" customWidth="1"/>
    <col min="13332" max="13333" width="6.109375" style="746" customWidth="1"/>
    <col min="13334" max="13334" width="7.88671875" style="746" customWidth="1"/>
    <col min="13335" max="13335" width="5.88671875" style="746" customWidth="1"/>
    <col min="13336" max="13337" width="6.44140625" style="746" customWidth="1"/>
    <col min="13338" max="13338" width="7.88671875" style="746" customWidth="1"/>
    <col min="13339" max="13341" width="5.88671875" style="746" customWidth="1"/>
    <col min="13342" max="13342" width="7.88671875" style="746" customWidth="1"/>
    <col min="13343" max="13350" width="6.88671875" style="746" customWidth="1"/>
    <col min="13351" max="13567" width="11.44140625" style="746"/>
    <col min="13568" max="13568" width="15.5546875" style="746" bestFit="1" customWidth="1"/>
    <col min="13569" max="13569" width="11.88671875" style="746" customWidth="1"/>
    <col min="13570" max="13570" width="54.88671875" style="746" customWidth="1"/>
    <col min="13571" max="13571" width="7.44140625" style="746" customWidth="1"/>
    <col min="13572" max="13573" width="6.109375" style="746" customWidth="1"/>
    <col min="13574" max="13574" width="7.44140625" style="746" customWidth="1"/>
    <col min="13575" max="13575" width="5.88671875" style="746" customWidth="1"/>
    <col min="13576" max="13577" width="6.109375" style="746" customWidth="1"/>
    <col min="13578" max="13578" width="7.88671875" style="746" customWidth="1"/>
    <col min="13579" max="13579" width="5.88671875" style="746" customWidth="1"/>
    <col min="13580" max="13581" width="6.109375" style="746" customWidth="1"/>
    <col min="13582" max="13582" width="7.88671875" style="746" customWidth="1"/>
    <col min="13583" max="13583" width="5.109375" style="746" customWidth="1"/>
    <col min="13584" max="13585" width="6.109375" style="746" customWidth="1"/>
    <col min="13586" max="13586" width="7.88671875" style="746" customWidth="1"/>
    <col min="13587" max="13587" width="5.88671875" style="746" customWidth="1"/>
    <col min="13588" max="13589" width="6.109375" style="746" customWidth="1"/>
    <col min="13590" max="13590" width="7.88671875" style="746" customWidth="1"/>
    <col min="13591" max="13591" width="5.88671875" style="746" customWidth="1"/>
    <col min="13592" max="13593" width="6.44140625" style="746" customWidth="1"/>
    <col min="13594" max="13594" width="7.88671875" style="746" customWidth="1"/>
    <col min="13595" max="13597" width="5.88671875" style="746" customWidth="1"/>
    <col min="13598" max="13598" width="7.88671875" style="746" customWidth="1"/>
    <col min="13599" max="13606" width="6.88671875" style="746" customWidth="1"/>
    <col min="13607" max="13823" width="11.44140625" style="746"/>
    <col min="13824" max="13824" width="15.5546875" style="746" bestFit="1" customWidth="1"/>
    <col min="13825" max="13825" width="11.88671875" style="746" customWidth="1"/>
    <col min="13826" max="13826" width="54.88671875" style="746" customWidth="1"/>
    <col min="13827" max="13827" width="7.44140625" style="746" customWidth="1"/>
    <col min="13828" max="13829" width="6.109375" style="746" customWidth="1"/>
    <col min="13830" max="13830" width="7.44140625" style="746" customWidth="1"/>
    <col min="13831" max="13831" width="5.88671875" style="746" customWidth="1"/>
    <col min="13832" max="13833" width="6.109375" style="746" customWidth="1"/>
    <col min="13834" max="13834" width="7.88671875" style="746" customWidth="1"/>
    <col min="13835" max="13835" width="5.88671875" style="746" customWidth="1"/>
    <col min="13836" max="13837" width="6.109375" style="746" customWidth="1"/>
    <col min="13838" max="13838" width="7.88671875" style="746" customWidth="1"/>
    <col min="13839" max="13839" width="5.109375" style="746" customWidth="1"/>
    <col min="13840" max="13841" width="6.109375" style="746" customWidth="1"/>
    <col min="13842" max="13842" width="7.88671875" style="746" customWidth="1"/>
    <col min="13843" max="13843" width="5.88671875" style="746" customWidth="1"/>
    <col min="13844" max="13845" width="6.109375" style="746" customWidth="1"/>
    <col min="13846" max="13846" width="7.88671875" style="746" customWidth="1"/>
    <col min="13847" max="13847" width="5.88671875" style="746" customWidth="1"/>
    <col min="13848" max="13849" width="6.44140625" style="746" customWidth="1"/>
    <col min="13850" max="13850" width="7.88671875" style="746" customWidth="1"/>
    <col min="13851" max="13853" width="5.88671875" style="746" customWidth="1"/>
    <col min="13854" max="13854" width="7.88671875" style="746" customWidth="1"/>
    <col min="13855" max="13862" width="6.88671875" style="746" customWidth="1"/>
    <col min="13863" max="14079" width="11.44140625" style="746"/>
    <col min="14080" max="14080" width="15.5546875" style="746" bestFit="1" customWidth="1"/>
    <col min="14081" max="14081" width="11.88671875" style="746" customWidth="1"/>
    <col min="14082" max="14082" width="54.88671875" style="746" customWidth="1"/>
    <col min="14083" max="14083" width="7.44140625" style="746" customWidth="1"/>
    <col min="14084" max="14085" width="6.109375" style="746" customWidth="1"/>
    <col min="14086" max="14086" width="7.44140625" style="746" customWidth="1"/>
    <col min="14087" max="14087" width="5.88671875" style="746" customWidth="1"/>
    <col min="14088" max="14089" width="6.109375" style="746" customWidth="1"/>
    <col min="14090" max="14090" width="7.88671875" style="746" customWidth="1"/>
    <col min="14091" max="14091" width="5.88671875" style="746" customWidth="1"/>
    <col min="14092" max="14093" width="6.109375" style="746" customWidth="1"/>
    <col min="14094" max="14094" width="7.88671875" style="746" customWidth="1"/>
    <col min="14095" max="14095" width="5.109375" style="746" customWidth="1"/>
    <col min="14096" max="14097" width="6.109375" style="746" customWidth="1"/>
    <col min="14098" max="14098" width="7.88671875" style="746" customWidth="1"/>
    <col min="14099" max="14099" width="5.88671875" style="746" customWidth="1"/>
    <col min="14100" max="14101" width="6.109375" style="746" customWidth="1"/>
    <col min="14102" max="14102" width="7.88671875" style="746" customWidth="1"/>
    <col min="14103" max="14103" width="5.88671875" style="746" customWidth="1"/>
    <col min="14104" max="14105" width="6.44140625" style="746" customWidth="1"/>
    <col min="14106" max="14106" width="7.88671875" style="746" customWidth="1"/>
    <col min="14107" max="14109" width="5.88671875" style="746" customWidth="1"/>
    <col min="14110" max="14110" width="7.88671875" style="746" customWidth="1"/>
    <col min="14111" max="14118" width="6.88671875" style="746" customWidth="1"/>
    <col min="14119" max="14335" width="11.44140625" style="746"/>
    <col min="14336" max="14336" width="15.5546875" style="746" bestFit="1" customWidth="1"/>
    <col min="14337" max="14337" width="11.88671875" style="746" customWidth="1"/>
    <col min="14338" max="14338" width="54.88671875" style="746" customWidth="1"/>
    <col min="14339" max="14339" width="7.44140625" style="746" customWidth="1"/>
    <col min="14340" max="14341" width="6.109375" style="746" customWidth="1"/>
    <col min="14342" max="14342" width="7.44140625" style="746" customWidth="1"/>
    <col min="14343" max="14343" width="5.88671875" style="746" customWidth="1"/>
    <col min="14344" max="14345" width="6.109375" style="746" customWidth="1"/>
    <col min="14346" max="14346" width="7.88671875" style="746" customWidth="1"/>
    <col min="14347" max="14347" width="5.88671875" style="746" customWidth="1"/>
    <col min="14348" max="14349" width="6.109375" style="746" customWidth="1"/>
    <col min="14350" max="14350" width="7.88671875" style="746" customWidth="1"/>
    <col min="14351" max="14351" width="5.109375" style="746" customWidth="1"/>
    <col min="14352" max="14353" width="6.109375" style="746" customWidth="1"/>
    <col min="14354" max="14354" width="7.88671875" style="746" customWidth="1"/>
    <col min="14355" max="14355" width="5.88671875" style="746" customWidth="1"/>
    <col min="14356" max="14357" width="6.109375" style="746" customWidth="1"/>
    <col min="14358" max="14358" width="7.88671875" style="746" customWidth="1"/>
    <col min="14359" max="14359" width="5.88671875" style="746" customWidth="1"/>
    <col min="14360" max="14361" width="6.44140625" style="746" customWidth="1"/>
    <col min="14362" max="14362" width="7.88671875" style="746" customWidth="1"/>
    <col min="14363" max="14365" width="5.88671875" style="746" customWidth="1"/>
    <col min="14366" max="14366" width="7.88671875" style="746" customWidth="1"/>
    <col min="14367" max="14374" width="6.88671875" style="746" customWidth="1"/>
    <col min="14375" max="14591" width="11.44140625" style="746"/>
    <col min="14592" max="14592" width="15.5546875" style="746" bestFit="1" customWidth="1"/>
    <col min="14593" max="14593" width="11.88671875" style="746" customWidth="1"/>
    <col min="14594" max="14594" width="54.88671875" style="746" customWidth="1"/>
    <col min="14595" max="14595" width="7.44140625" style="746" customWidth="1"/>
    <col min="14596" max="14597" width="6.109375" style="746" customWidth="1"/>
    <col min="14598" max="14598" width="7.44140625" style="746" customWidth="1"/>
    <col min="14599" max="14599" width="5.88671875" style="746" customWidth="1"/>
    <col min="14600" max="14601" width="6.109375" style="746" customWidth="1"/>
    <col min="14602" max="14602" width="7.88671875" style="746" customWidth="1"/>
    <col min="14603" max="14603" width="5.88671875" style="746" customWidth="1"/>
    <col min="14604" max="14605" width="6.109375" style="746" customWidth="1"/>
    <col min="14606" max="14606" width="7.88671875" style="746" customWidth="1"/>
    <col min="14607" max="14607" width="5.109375" style="746" customWidth="1"/>
    <col min="14608" max="14609" width="6.109375" style="746" customWidth="1"/>
    <col min="14610" max="14610" width="7.88671875" style="746" customWidth="1"/>
    <col min="14611" max="14611" width="5.88671875" style="746" customWidth="1"/>
    <col min="14612" max="14613" width="6.109375" style="746" customWidth="1"/>
    <col min="14614" max="14614" width="7.88671875" style="746" customWidth="1"/>
    <col min="14615" max="14615" width="5.88671875" style="746" customWidth="1"/>
    <col min="14616" max="14617" width="6.44140625" style="746" customWidth="1"/>
    <col min="14618" max="14618" width="7.88671875" style="746" customWidth="1"/>
    <col min="14619" max="14621" width="5.88671875" style="746" customWidth="1"/>
    <col min="14622" max="14622" width="7.88671875" style="746" customWidth="1"/>
    <col min="14623" max="14630" width="6.88671875" style="746" customWidth="1"/>
    <col min="14631" max="14847" width="11.44140625" style="746"/>
    <col min="14848" max="14848" width="15.5546875" style="746" bestFit="1" customWidth="1"/>
    <col min="14849" max="14849" width="11.88671875" style="746" customWidth="1"/>
    <col min="14850" max="14850" width="54.88671875" style="746" customWidth="1"/>
    <col min="14851" max="14851" width="7.44140625" style="746" customWidth="1"/>
    <col min="14852" max="14853" width="6.109375" style="746" customWidth="1"/>
    <col min="14854" max="14854" width="7.44140625" style="746" customWidth="1"/>
    <col min="14855" max="14855" width="5.88671875" style="746" customWidth="1"/>
    <col min="14856" max="14857" width="6.109375" style="746" customWidth="1"/>
    <col min="14858" max="14858" width="7.88671875" style="746" customWidth="1"/>
    <col min="14859" max="14859" width="5.88671875" style="746" customWidth="1"/>
    <col min="14860" max="14861" width="6.109375" style="746" customWidth="1"/>
    <col min="14862" max="14862" width="7.88671875" style="746" customWidth="1"/>
    <col min="14863" max="14863" width="5.109375" style="746" customWidth="1"/>
    <col min="14864" max="14865" width="6.109375" style="746" customWidth="1"/>
    <col min="14866" max="14866" width="7.88671875" style="746" customWidth="1"/>
    <col min="14867" max="14867" width="5.88671875" style="746" customWidth="1"/>
    <col min="14868" max="14869" width="6.109375" style="746" customWidth="1"/>
    <col min="14870" max="14870" width="7.88671875" style="746" customWidth="1"/>
    <col min="14871" max="14871" width="5.88671875" style="746" customWidth="1"/>
    <col min="14872" max="14873" width="6.44140625" style="746" customWidth="1"/>
    <col min="14874" max="14874" width="7.88671875" style="746" customWidth="1"/>
    <col min="14875" max="14877" width="5.88671875" style="746" customWidth="1"/>
    <col min="14878" max="14878" width="7.88671875" style="746" customWidth="1"/>
    <col min="14879" max="14886" width="6.88671875" style="746" customWidth="1"/>
    <col min="14887" max="15103" width="11.44140625" style="746"/>
    <col min="15104" max="15104" width="15.5546875" style="746" bestFit="1" customWidth="1"/>
    <col min="15105" max="15105" width="11.88671875" style="746" customWidth="1"/>
    <col min="15106" max="15106" width="54.88671875" style="746" customWidth="1"/>
    <col min="15107" max="15107" width="7.44140625" style="746" customWidth="1"/>
    <col min="15108" max="15109" width="6.109375" style="746" customWidth="1"/>
    <col min="15110" max="15110" width="7.44140625" style="746" customWidth="1"/>
    <col min="15111" max="15111" width="5.88671875" style="746" customWidth="1"/>
    <col min="15112" max="15113" width="6.109375" style="746" customWidth="1"/>
    <col min="15114" max="15114" width="7.88671875" style="746" customWidth="1"/>
    <col min="15115" max="15115" width="5.88671875" style="746" customWidth="1"/>
    <col min="15116" max="15117" width="6.109375" style="746" customWidth="1"/>
    <col min="15118" max="15118" width="7.88671875" style="746" customWidth="1"/>
    <col min="15119" max="15119" width="5.109375" style="746" customWidth="1"/>
    <col min="15120" max="15121" width="6.109375" style="746" customWidth="1"/>
    <col min="15122" max="15122" width="7.88671875" style="746" customWidth="1"/>
    <col min="15123" max="15123" width="5.88671875" style="746" customWidth="1"/>
    <col min="15124" max="15125" width="6.109375" style="746" customWidth="1"/>
    <col min="15126" max="15126" width="7.88671875" style="746" customWidth="1"/>
    <col min="15127" max="15127" width="5.88671875" style="746" customWidth="1"/>
    <col min="15128" max="15129" width="6.44140625" style="746" customWidth="1"/>
    <col min="15130" max="15130" width="7.88671875" style="746" customWidth="1"/>
    <col min="15131" max="15133" width="5.88671875" style="746" customWidth="1"/>
    <col min="15134" max="15134" width="7.88671875" style="746" customWidth="1"/>
    <col min="15135" max="15142" width="6.88671875" style="746" customWidth="1"/>
    <col min="15143" max="15359" width="11.44140625" style="746"/>
    <col min="15360" max="15360" width="15.5546875" style="746" bestFit="1" customWidth="1"/>
    <col min="15361" max="15361" width="11.88671875" style="746" customWidth="1"/>
    <col min="15362" max="15362" width="54.88671875" style="746" customWidth="1"/>
    <col min="15363" max="15363" width="7.44140625" style="746" customWidth="1"/>
    <col min="15364" max="15365" width="6.109375" style="746" customWidth="1"/>
    <col min="15366" max="15366" width="7.44140625" style="746" customWidth="1"/>
    <col min="15367" max="15367" width="5.88671875" style="746" customWidth="1"/>
    <col min="15368" max="15369" width="6.109375" style="746" customWidth="1"/>
    <col min="15370" max="15370" width="7.88671875" style="746" customWidth="1"/>
    <col min="15371" max="15371" width="5.88671875" style="746" customWidth="1"/>
    <col min="15372" max="15373" width="6.109375" style="746" customWidth="1"/>
    <col min="15374" max="15374" width="7.88671875" style="746" customWidth="1"/>
    <col min="15375" max="15375" width="5.109375" style="746" customWidth="1"/>
    <col min="15376" max="15377" width="6.109375" style="746" customWidth="1"/>
    <col min="15378" max="15378" width="7.88671875" style="746" customWidth="1"/>
    <col min="15379" max="15379" width="5.88671875" style="746" customWidth="1"/>
    <col min="15380" max="15381" width="6.109375" style="746" customWidth="1"/>
    <col min="15382" max="15382" width="7.88671875" style="746" customWidth="1"/>
    <col min="15383" max="15383" width="5.88671875" style="746" customWidth="1"/>
    <col min="15384" max="15385" width="6.44140625" style="746" customWidth="1"/>
    <col min="15386" max="15386" width="7.88671875" style="746" customWidth="1"/>
    <col min="15387" max="15389" width="5.88671875" style="746" customWidth="1"/>
    <col min="15390" max="15390" width="7.88671875" style="746" customWidth="1"/>
    <col min="15391" max="15398" width="6.88671875" style="746" customWidth="1"/>
    <col min="15399" max="15615" width="11.44140625" style="746"/>
    <col min="15616" max="15616" width="15.5546875" style="746" bestFit="1" customWidth="1"/>
    <col min="15617" max="15617" width="11.88671875" style="746" customWidth="1"/>
    <col min="15618" max="15618" width="54.88671875" style="746" customWidth="1"/>
    <col min="15619" max="15619" width="7.44140625" style="746" customWidth="1"/>
    <col min="15620" max="15621" width="6.109375" style="746" customWidth="1"/>
    <col min="15622" max="15622" width="7.44140625" style="746" customWidth="1"/>
    <col min="15623" max="15623" width="5.88671875" style="746" customWidth="1"/>
    <col min="15624" max="15625" width="6.109375" style="746" customWidth="1"/>
    <col min="15626" max="15626" width="7.88671875" style="746" customWidth="1"/>
    <col min="15627" max="15627" width="5.88671875" style="746" customWidth="1"/>
    <col min="15628" max="15629" width="6.109375" style="746" customWidth="1"/>
    <col min="15630" max="15630" width="7.88671875" style="746" customWidth="1"/>
    <col min="15631" max="15631" width="5.109375" style="746" customWidth="1"/>
    <col min="15632" max="15633" width="6.109375" style="746" customWidth="1"/>
    <col min="15634" max="15634" width="7.88671875" style="746" customWidth="1"/>
    <col min="15635" max="15635" width="5.88671875" style="746" customWidth="1"/>
    <col min="15636" max="15637" width="6.109375" style="746" customWidth="1"/>
    <col min="15638" max="15638" width="7.88671875" style="746" customWidth="1"/>
    <col min="15639" max="15639" width="5.88671875" style="746" customWidth="1"/>
    <col min="15640" max="15641" width="6.44140625" style="746" customWidth="1"/>
    <col min="15642" max="15642" width="7.88671875" style="746" customWidth="1"/>
    <col min="15643" max="15645" width="5.88671875" style="746" customWidth="1"/>
    <col min="15646" max="15646" width="7.88671875" style="746" customWidth="1"/>
    <col min="15647" max="15654" width="6.88671875" style="746" customWidth="1"/>
    <col min="15655" max="15871" width="11.44140625" style="746"/>
    <col min="15872" max="15872" width="15.5546875" style="746" bestFit="1" customWidth="1"/>
    <col min="15873" max="15873" width="11.88671875" style="746" customWidth="1"/>
    <col min="15874" max="15874" width="54.88671875" style="746" customWidth="1"/>
    <col min="15875" max="15875" width="7.44140625" style="746" customWidth="1"/>
    <col min="15876" max="15877" width="6.109375" style="746" customWidth="1"/>
    <col min="15878" max="15878" width="7.44140625" style="746" customWidth="1"/>
    <col min="15879" max="15879" width="5.88671875" style="746" customWidth="1"/>
    <col min="15880" max="15881" width="6.109375" style="746" customWidth="1"/>
    <col min="15882" max="15882" width="7.88671875" style="746" customWidth="1"/>
    <col min="15883" max="15883" width="5.88671875" style="746" customWidth="1"/>
    <col min="15884" max="15885" width="6.109375" style="746" customWidth="1"/>
    <col min="15886" max="15886" width="7.88671875" style="746" customWidth="1"/>
    <col min="15887" max="15887" width="5.109375" style="746" customWidth="1"/>
    <col min="15888" max="15889" width="6.109375" style="746" customWidth="1"/>
    <col min="15890" max="15890" width="7.88671875" style="746" customWidth="1"/>
    <col min="15891" max="15891" width="5.88671875" style="746" customWidth="1"/>
    <col min="15892" max="15893" width="6.109375" style="746" customWidth="1"/>
    <col min="15894" max="15894" width="7.88671875" style="746" customWidth="1"/>
    <col min="15895" max="15895" width="5.88671875" style="746" customWidth="1"/>
    <col min="15896" max="15897" width="6.44140625" style="746" customWidth="1"/>
    <col min="15898" max="15898" width="7.88671875" style="746" customWidth="1"/>
    <col min="15899" max="15901" width="5.88671875" style="746" customWidth="1"/>
    <col min="15902" max="15902" width="7.88671875" style="746" customWidth="1"/>
    <col min="15903" max="15910" width="6.88671875" style="746" customWidth="1"/>
    <col min="15911" max="16127" width="11.44140625" style="746"/>
    <col min="16128" max="16128" width="15.5546875" style="746" bestFit="1" customWidth="1"/>
    <col min="16129" max="16129" width="11.88671875" style="746" customWidth="1"/>
    <col min="16130" max="16130" width="54.88671875" style="746" customWidth="1"/>
    <col min="16131" max="16131" width="7.44140625" style="746" customWidth="1"/>
    <col min="16132" max="16133" width="6.109375" style="746" customWidth="1"/>
    <col min="16134" max="16134" width="7.44140625" style="746" customWidth="1"/>
    <col min="16135" max="16135" width="5.88671875" style="746" customWidth="1"/>
    <col min="16136" max="16137" width="6.109375" style="746" customWidth="1"/>
    <col min="16138" max="16138" width="7.88671875" style="746" customWidth="1"/>
    <col min="16139" max="16139" width="5.88671875" style="746" customWidth="1"/>
    <col min="16140" max="16141" width="6.109375" style="746" customWidth="1"/>
    <col min="16142" max="16142" width="7.88671875" style="746" customWidth="1"/>
    <col min="16143" max="16143" width="5.109375" style="746" customWidth="1"/>
    <col min="16144" max="16145" width="6.109375" style="746" customWidth="1"/>
    <col min="16146" max="16146" width="7.88671875" style="746" customWidth="1"/>
    <col min="16147" max="16147" width="5.88671875" style="746" customWidth="1"/>
    <col min="16148" max="16149" width="6.109375" style="746" customWidth="1"/>
    <col min="16150" max="16150" width="7.88671875" style="746" customWidth="1"/>
    <col min="16151" max="16151" width="5.88671875" style="746" customWidth="1"/>
    <col min="16152" max="16153" width="6.44140625" style="746" customWidth="1"/>
    <col min="16154" max="16154" width="7.88671875" style="746" customWidth="1"/>
    <col min="16155" max="16157" width="5.88671875" style="746" customWidth="1"/>
    <col min="16158" max="16158" width="7.88671875" style="746" customWidth="1"/>
    <col min="16159" max="16166" width="6.88671875" style="746" customWidth="1"/>
    <col min="16167" max="16384" width="11.44140625" style="746"/>
  </cols>
  <sheetData>
    <row r="1" spans="2:99" ht="15.6" x14ac:dyDescent="0.25">
      <c r="B1" s="745" t="s">
        <v>477</v>
      </c>
      <c r="C1" s="642"/>
      <c r="D1" s="749"/>
      <c r="E1" s="749"/>
      <c r="F1" s="749"/>
      <c r="H1" s="749"/>
      <c r="I1" s="749"/>
      <c r="J1" s="749"/>
      <c r="L1" s="749"/>
      <c r="M1" s="749"/>
      <c r="N1" s="749"/>
      <c r="P1" s="749"/>
      <c r="Q1" s="749"/>
      <c r="R1" s="749"/>
      <c r="T1" s="642"/>
      <c r="U1" s="642"/>
      <c r="V1" s="642"/>
      <c r="W1" s="642"/>
      <c r="X1" s="642"/>
      <c r="Y1" s="642"/>
      <c r="Z1" s="642"/>
      <c r="AA1" s="642"/>
      <c r="AB1" s="642"/>
      <c r="AC1" s="642"/>
      <c r="AD1" s="642"/>
      <c r="AE1" s="642"/>
      <c r="AF1" s="642"/>
      <c r="AG1" s="642"/>
      <c r="AH1" s="642"/>
      <c r="AI1" s="642"/>
      <c r="AJ1" s="642"/>
      <c r="AK1" s="642"/>
      <c r="AL1" s="642"/>
      <c r="AM1" s="642"/>
      <c r="AN1" s="642"/>
      <c r="AO1" s="642"/>
      <c r="AP1" s="642"/>
      <c r="AQ1" s="642"/>
    </row>
    <row r="2" spans="2:99" ht="26.25" customHeight="1" x14ac:dyDescent="0.25">
      <c r="B2" s="5862" t="s">
        <v>478</v>
      </c>
      <c r="C2" s="5862"/>
      <c r="D2" s="749"/>
      <c r="E2" s="749"/>
      <c r="F2" s="749"/>
      <c r="H2" s="749"/>
      <c r="I2" s="749"/>
      <c r="J2" s="749"/>
      <c r="L2" s="749"/>
      <c r="M2" s="749"/>
      <c r="N2" s="749"/>
      <c r="P2" s="749"/>
      <c r="Q2" s="749"/>
      <c r="R2" s="749"/>
      <c r="T2" s="642"/>
      <c r="U2" s="642"/>
      <c r="V2" s="642"/>
      <c r="W2" s="642"/>
      <c r="X2" s="642"/>
      <c r="Y2" s="642"/>
      <c r="Z2" s="642"/>
      <c r="AA2" s="642"/>
      <c r="AB2" s="642"/>
      <c r="AC2" s="642"/>
      <c r="AD2" s="642"/>
      <c r="AE2" s="642"/>
      <c r="AF2" s="642"/>
      <c r="AG2" s="642"/>
      <c r="AH2" s="642"/>
      <c r="AI2" s="642"/>
      <c r="AJ2" s="642"/>
      <c r="AK2" s="642"/>
      <c r="AL2" s="642"/>
      <c r="AM2" s="642"/>
      <c r="AN2" s="642"/>
      <c r="AO2" s="642"/>
      <c r="AP2" s="642"/>
      <c r="AQ2" s="642"/>
    </row>
    <row r="3" spans="2:99" ht="12.75" customHeight="1" x14ac:dyDescent="0.25">
      <c r="B3" s="5863" t="s">
        <v>432</v>
      </c>
      <c r="C3" s="5742" t="s">
        <v>433</v>
      </c>
      <c r="D3" s="5739">
        <v>1999</v>
      </c>
      <c r="E3" s="5740"/>
      <c r="F3" s="5740"/>
      <c r="G3" s="5741"/>
      <c r="H3" s="5739">
        <v>2000</v>
      </c>
      <c r="I3" s="5740"/>
      <c r="J3" s="5740"/>
      <c r="K3" s="5741"/>
      <c r="L3" s="5739">
        <v>2001</v>
      </c>
      <c r="M3" s="5740"/>
      <c r="N3" s="5740"/>
      <c r="O3" s="5741"/>
      <c r="P3" s="5739">
        <v>2002</v>
      </c>
      <c r="Q3" s="5740"/>
      <c r="R3" s="5740"/>
      <c r="S3" s="5741"/>
      <c r="T3" s="5739">
        <v>2003</v>
      </c>
      <c r="U3" s="5740"/>
      <c r="V3" s="5740"/>
      <c r="W3" s="5741"/>
      <c r="X3" s="5739">
        <v>2004</v>
      </c>
      <c r="Y3" s="5740"/>
      <c r="Z3" s="5740"/>
      <c r="AA3" s="5741"/>
      <c r="AB3" s="5739">
        <v>2005</v>
      </c>
      <c r="AC3" s="5740"/>
      <c r="AD3" s="5740"/>
      <c r="AE3" s="5741"/>
      <c r="AF3" s="5739">
        <v>2006</v>
      </c>
      <c r="AG3" s="5740"/>
      <c r="AH3" s="5740"/>
      <c r="AI3" s="5741"/>
      <c r="AJ3" s="5739">
        <v>2007</v>
      </c>
      <c r="AK3" s="5740"/>
      <c r="AL3" s="5740"/>
      <c r="AM3" s="5741"/>
      <c r="AN3" s="5739">
        <v>2008</v>
      </c>
      <c r="AO3" s="5740"/>
      <c r="AP3" s="5740"/>
      <c r="AQ3" s="5741"/>
      <c r="AR3" s="5739">
        <v>2009</v>
      </c>
      <c r="AS3" s="5740"/>
      <c r="AT3" s="5740"/>
      <c r="AU3" s="5741"/>
      <c r="AV3" s="5739">
        <v>2010</v>
      </c>
      <c r="AW3" s="5740"/>
      <c r="AX3" s="5740"/>
      <c r="AY3" s="5741"/>
      <c r="AZ3" s="5739">
        <v>2011</v>
      </c>
      <c r="BA3" s="5740"/>
      <c r="BB3" s="5740"/>
      <c r="BC3" s="5741"/>
      <c r="BD3" s="5739">
        <v>2012</v>
      </c>
      <c r="BE3" s="5740"/>
      <c r="BF3" s="5740"/>
      <c r="BG3" s="5741"/>
      <c r="BH3" s="5739">
        <v>2013</v>
      </c>
      <c r="BI3" s="5740"/>
      <c r="BJ3" s="5740"/>
      <c r="BK3" s="5741"/>
      <c r="BL3" s="5739">
        <v>2014</v>
      </c>
      <c r="BM3" s="5740"/>
      <c r="BN3" s="5740"/>
      <c r="BO3" s="5741"/>
      <c r="BP3" s="5739">
        <v>2015</v>
      </c>
      <c r="BQ3" s="5740"/>
      <c r="BR3" s="5740"/>
      <c r="BS3" s="5741"/>
      <c r="BT3" s="5739">
        <v>2016</v>
      </c>
      <c r="BU3" s="5740"/>
      <c r="BV3" s="5740"/>
      <c r="BW3" s="5741"/>
      <c r="BX3" s="5739">
        <v>2017</v>
      </c>
      <c r="BY3" s="5740"/>
      <c r="BZ3" s="5740"/>
      <c r="CA3" s="5741"/>
      <c r="CB3" s="5739">
        <v>2018</v>
      </c>
      <c r="CC3" s="5740"/>
      <c r="CD3" s="5740"/>
      <c r="CE3" s="5741"/>
      <c r="CF3" s="5739">
        <v>2019</v>
      </c>
      <c r="CG3" s="5740"/>
      <c r="CH3" s="5740"/>
      <c r="CI3" s="5741"/>
      <c r="CJ3" s="5739">
        <v>2020</v>
      </c>
      <c r="CK3" s="5740"/>
      <c r="CL3" s="5740"/>
      <c r="CM3" s="5741"/>
      <c r="CN3" s="5739">
        <v>2021</v>
      </c>
      <c r="CO3" s="5740"/>
      <c r="CP3" s="5740"/>
      <c r="CQ3" s="5741"/>
      <c r="CR3" s="5739">
        <v>2022</v>
      </c>
      <c r="CS3" s="5740"/>
      <c r="CT3" s="5740"/>
      <c r="CU3" s="5741"/>
    </row>
    <row r="4" spans="2:99" ht="15" customHeight="1" x14ac:dyDescent="0.25">
      <c r="B4" s="5864"/>
      <c r="C4" s="5742"/>
      <c r="D4" s="136" t="s">
        <v>155</v>
      </c>
      <c r="E4" s="411" t="s">
        <v>46</v>
      </c>
      <c r="F4" s="412" t="s">
        <v>47</v>
      </c>
      <c r="G4" s="1255" t="s">
        <v>48</v>
      </c>
      <c r="H4" s="136" t="s">
        <v>155</v>
      </c>
      <c r="I4" s="411" t="s">
        <v>46</v>
      </c>
      <c r="J4" s="412" t="s">
        <v>47</v>
      </c>
      <c r="K4" s="1255" t="s">
        <v>48</v>
      </c>
      <c r="L4" s="136" t="s">
        <v>155</v>
      </c>
      <c r="M4" s="411" t="s">
        <v>46</v>
      </c>
      <c r="N4" s="412" t="s">
        <v>47</v>
      </c>
      <c r="O4" s="1255" t="s">
        <v>48</v>
      </c>
      <c r="P4" s="136" t="s">
        <v>155</v>
      </c>
      <c r="Q4" s="411" t="s">
        <v>46</v>
      </c>
      <c r="R4" s="412" t="s">
        <v>47</v>
      </c>
      <c r="S4" s="1255" t="s">
        <v>48</v>
      </c>
      <c r="T4" s="136" t="s">
        <v>155</v>
      </c>
      <c r="U4" s="411" t="s">
        <v>46</v>
      </c>
      <c r="V4" s="412" t="s">
        <v>47</v>
      </c>
      <c r="W4" s="1255" t="s">
        <v>48</v>
      </c>
      <c r="X4" s="136" t="s">
        <v>155</v>
      </c>
      <c r="Y4" s="411" t="s">
        <v>46</v>
      </c>
      <c r="Z4" s="412" t="s">
        <v>47</v>
      </c>
      <c r="AA4" s="1255" t="s">
        <v>48</v>
      </c>
      <c r="AB4" s="136" t="s">
        <v>155</v>
      </c>
      <c r="AC4" s="411" t="s">
        <v>46</v>
      </c>
      <c r="AD4" s="412" t="s">
        <v>47</v>
      </c>
      <c r="AE4" s="1255" t="s">
        <v>48</v>
      </c>
      <c r="AF4" s="136" t="s">
        <v>155</v>
      </c>
      <c r="AG4" s="411" t="s">
        <v>46</v>
      </c>
      <c r="AH4" s="412" t="s">
        <v>47</v>
      </c>
      <c r="AI4" s="1255" t="s">
        <v>48</v>
      </c>
      <c r="AJ4" s="136" t="s">
        <v>155</v>
      </c>
      <c r="AK4" s="411" t="s">
        <v>46</v>
      </c>
      <c r="AL4" s="412" t="s">
        <v>47</v>
      </c>
      <c r="AM4" s="1255" t="s">
        <v>48</v>
      </c>
      <c r="AN4" s="136" t="s">
        <v>155</v>
      </c>
      <c r="AO4" s="411" t="s">
        <v>46</v>
      </c>
      <c r="AP4" s="412" t="s">
        <v>47</v>
      </c>
      <c r="AQ4" s="1255" t="s">
        <v>48</v>
      </c>
      <c r="AR4" s="136" t="s">
        <v>155</v>
      </c>
      <c r="AS4" s="411" t="s">
        <v>46</v>
      </c>
      <c r="AT4" s="412" t="s">
        <v>47</v>
      </c>
      <c r="AU4" s="1255" t="s">
        <v>48</v>
      </c>
      <c r="AV4" s="136" t="s">
        <v>155</v>
      </c>
      <c r="AW4" s="411" t="s">
        <v>46</v>
      </c>
      <c r="AX4" s="412" t="s">
        <v>47</v>
      </c>
      <c r="AY4" s="1255" t="s">
        <v>48</v>
      </c>
      <c r="AZ4" s="136" t="s">
        <v>155</v>
      </c>
      <c r="BA4" s="411" t="s">
        <v>46</v>
      </c>
      <c r="BB4" s="412" t="s">
        <v>47</v>
      </c>
      <c r="BC4" s="1255" t="s">
        <v>48</v>
      </c>
      <c r="BD4" s="136" t="s">
        <v>155</v>
      </c>
      <c r="BE4" s="411" t="s">
        <v>46</v>
      </c>
      <c r="BF4" s="412" t="s">
        <v>47</v>
      </c>
      <c r="BG4" s="1255" t="s">
        <v>48</v>
      </c>
      <c r="BH4" s="136" t="s">
        <v>155</v>
      </c>
      <c r="BI4" s="411" t="s">
        <v>46</v>
      </c>
      <c r="BJ4" s="412" t="s">
        <v>47</v>
      </c>
      <c r="BK4" s="1255" t="s">
        <v>48</v>
      </c>
      <c r="BL4" s="136" t="s">
        <v>155</v>
      </c>
      <c r="BM4" s="411" t="s">
        <v>46</v>
      </c>
      <c r="BN4" s="412" t="s">
        <v>47</v>
      </c>
      <c r="BO4" s="1255" t="s">
        <v>48</v>
      </c>
      <c r="BP4" s="136" t="s">
        <v>155</v>
      </c>
      <c r="BQ4" s="411" t="s">
        <v>46</v>
      </c>
      <c r="BR4" s="412" t="s">
        <v>47</v>
      </c>
      <c r="BS4" s="1255" t="s">
        <v>48</v>
      </c>
      <c r="BT4" s="136" t="s">
        <v>155</v>
      </c>
      <c r="BU4" s="411" t="s">
        <v>46</v>
      </c>
      <c r="BV4" s="412" t="s">
        <v>47</v>
      </c>
      <c r="BW4" s="1255" t="s">
        <v>48</v>
      </c>
      <c r="BX4" s="136" t="s">
        <v>155</v>
      </c>
      <c r="BY4" s="411" t="s">
        <v>46</v>
      </c>
      <c r="BZ4" s="412" t="s">
        <v>47</v>
      </c>
      <c r="CA4" s="1255" t="s">
        <v>48</v>
      </c>
      <c r="CB4" s="136" t="s">
        <v>155</v>
      </c>
      <c r="CC4" s="411" t="s">
        <v>46</v>
      </c>
      <c r="CD4" s="412" t="s">
        <v>47</v>
      </c>
      <c r="CE4" s="1255" t="s">
        <v>48</v>
      </c>
      <c r="CF4" s="136" t="s">
        <v>155</v>
      </c>
      <c r="CG4" s="411" t="s">
        <v>46</v>
      </c>
      <c r="CH4" s="412" t="s">
        <v>47</v>
      </c>
      <c r="CI4" s="1255" t="s">
        <v>48</v>
      </c>
      <c r="CJ4" s="136" t="s">
        <v>155</v>
      </c>
      <c r="CK4" s="411" t="s">
        <v>46</v>
      </c>
      <c r="CL4" s="412" t="s">
        <v>47</v>
      </c>
      <c r="CM4" s="1255" t="s">
        <v>48</v>
      </c>
      <c r="CN4" s="4375" t="s">
        <v>155</v>
      </c>
      <c r="CO4" s="411" t="s">
        <v>46</v>
      </c>
      <c r="CP4" s="4376" t="s">
        <v>47</v>
      </c>
      <c r="CQ4" s="1255" t="s">
        <v>48</v>
      </c>
      <c r="CR4" s="4996" t="s">
        <v>155</v>
      </c>
      <c r="CS4" s="411" t="s">
        <v>46</v>
      </c>
      <c r="CT4" s="4997" t="s">
        <v>47</v>
      </c>
      <c r="CU4" s="1255" t="s">
        <v>48</v>
      </c>
    </row>
    <row r="5" spans="2:99" ht="15" customHeight="1" x14ac:dyDescent="0.25">
      <c r="B5" s="1544" t="s">
        <v>308</v>
      </c>
      <c r="C5" s="1545" t="s">
        <v>479</v>
      </c>
      <c r="D5" s="1546"/>
      <c r="E5" s="1547"/>
      <c r="F5" s="1548"/>
      <c r="G5" s="1549"/>
      <c r="H5" s="1546"/>
      <c r="I5" s="1547"/>
      <c r="J5" s="1548"/>
      <c r="K5" s="1549"/>
      <c r="L5" s="1546"/>
      <c r="M5" s="1547"/>
      <c r="N5" s="1548"/>
      <c r="O5" s="1549"/>
      <c r="P5" s="1550">
        <v>1</v>
      </c>
      <c r="Q5" s="1547"/>
      <c r="R5" s="1548"/>
      <c r="S5" s="1549">
        <f>SUM(P5:R5)</f>
        <v>1</v>
      </c>
      <c r="T5" s="1546"/>
      <c r="U5" s="1547">
        <v>2</v>
      </c>
      <c r="V5" s="1548"/>
      <c r="W5" s="1549">
        <f>SUM(T5:V5)</f>
        <v>2</v>
      </c>
      <c r="X5" s="1546"/>
      <c r="Y5" s="1548"/>
      <c r="Z5" s="1548"/>
      <c r="AA5" s="1548"/>
      <c r="AB5" s="1546"/>
      <c r="AC5" s="1548"/>
      <c r="AD5" s="1548"/>
      <c r="AE5" s="1551"/>
      <c r="AF5" s="1548"/>
      <c r="AG5" s="1548"/>
      <c r="AH5" s="1548"/>
      <c r="AI5" s="1551"/>
      <c r="AJ5" s="1548"/>
      <c r="AK5" s="1548"/>
      <c r="AL5" s="1548"/>
      <c r="AM5" s="1551"/>
      <c r="AN5" s="1548"/>
      <c r="AO5" s="1548"/>
      <c r="AP5" s="1548"/>
      <c r="AQ5" s="1551"/>
      <c r="AR5" s="1548"/>
      <c r="AS5" s="1548"/>
      <c r="AT5" s="1548"/>
      <c r="AU5" s="1551"/>
      <c r="AV5" s="1548"/>
      <c r="AW5" s="1548"/>
      <c r="AX5" s="1548"/>
      <c r="AY5" s="1552">
        <f>SUM(AV5:AX5)</f>
        <v>0</v>
      </c>
      <c r="AZ5" s="1548"/>
      <c r="BA5" s="1548"/>
      <c r="BB5" s="1548"/>
      <c r="BC5" s="1552">
        <f>SUM(AZ5:BB5)</f>
        <v>0</v>
      </c>
      <c r="BD5" s="1546"/>
      <c r="BE5" s="1548"/>
      <c r="BF5" s="1548"/>
      <c r="BG5" s="1551"/>
      <c r="BH5" s="1546"/>
      <c r="BI5" s="1548"/>
      <c r="BJ5" s="1548"/>
      <c r="BK5" s="1551"/>
      <c r="BL5" s="1546"/>
      <c r="BM5" s="1548"/>
      <c r="BN5" s="1548"/>
      <c r="BO5" s="1553"/>
      <c r="BP5" s="1546"/>
      <c r="BQ5" s="1548"/>
      <c r="BR5" s="1548"/>
      <c r="BS5" s="1553"/>
      <c r="BT5" s="1546"/>
      <c r="BU5" s="1548"/>
      <c r="BV5" s="1548"/>
      <c r="BW5" s="1553"/>
      <c r="BX5" s="1550"/>
      <c r="BY5" s="1547"/>
      <c r="BZ5" s="1548"/>
      <c r="CA5" s="1553">
        <f t="shared" ref="CA5:CA17" si="0">SUM(BX5:BZ5)</f>
        <v>0</v>
      </c>
      <c r="CB5" s="1550"/>
      <c r="CC5" s="1548"/>
      <c r="CD5" s="1547"/>
      <c r="CE5" s="1553">
        <f>SUM(CB5:CD5)</f>
        <v>0</v>
      </c>
      <c r="CF5" s="1550"/>
      <c r="CG5" s="1548"/>
      <c r="CH5" s="1547"/>
      <c r="CI5" s="1553">
        <f>SUM(CF5:CH5)</f>
        <v>0</v>
      </c>
      <c r="CJ5" s="1550"/>
      <c r="CK5" s="1548"/>
      <c r="CL5" s="1547"/>
      <c r="CM5" s="1553">
        <f>SUM(CJ5:CL5)</f>
        <v>0</v>
      </c>
      <c r="CN5" s="1550"/>
      <c r="CO5" s="1548"/>
      <c r="CP5" s="1547"/>
      <c r="CQ5" s="1553">
        <f>SUM(CN5:CP5)</f>
        <v>0</v>
      </c>
      <c r="CR5" s="1550"/>
      <c r="CS5" s="1548"/>
      <c r="CT5" s="1547"/>
      <c r="CU5" s="1553">
        <f>SUM(CR5:CT5)</f>
        <v>0</v>
      </c>
    </row>
    <row r="6" spans="2:99" ht="14.4" x14ac:dyDescent="0.25">
      <c r="B6" s="5868" t="s">
        <v>310</v>
      </c>
      <c r="C6" s="1554" t="s">
        <v>480</v>
      </c>
      <c r="D6" s="1555"/>
      <c r="E6" s="1556"/>
      <c r="F6" s="1556"/>
      <c r="G6" s="1557"/>
      <c r="H6" s="1555"/>
      <c r="I6" s="1556"/>
      <c r="J6" s="1556"/>
      <c r="K6" s="1557"/>
      <c r="L6" s="1555">
        <v>1</v>
      </c>
      <c r="M6" s="1556">
        <v>3</v>
      </c>
      <c r="N6" s="1556">
        <v>5</v>
      </c>
      <c r="O6" s="1557">
        <f>SUM(L6:N6)</f>
        <v>9</v>
      </c>
      <c r="P6" s="1555"/>
      <c r="Q6" s="1556">
        <v>1</v>
      </c>
      <c r="R6" s="1556">
        <v>4</v>
      </c>
      <c r="S6" s="1557">
        <f>SUM(Q6:R6)</f>
        <v>5</v>
      </c>
      <c r="T6" s="1555">
        <v>3</v>
      </c>
      <c r="U6" s="1556">
        <v>7</v>
      </c>
      <c r="V6" s="1556">
        <v>5</v>
      </c>
      <c r="W6" s="1557">
        <f>SUM(T6:V6)</f>
        <v>15</v>
      </c>
      <c r="X6" s="1555">
        <v>5</v>
      </c>
      <c r="Y6" s="1556">
        <v>4</v>
      </c>
      <c r="Z6" s="1556">
        <v>7</v>
      </c>
      <c r="AA6" s="1557">
        <f>SUM(X6:Z6)</f>
        <v>16</v>
      </c>
      <c r="AB6" s="1555">
        <v>5</v>
      </c>
      <c r="AC6" s="1556">
        <v>4</v>
      </c>
      <c r="AD6" s="1556">
        <v>6</v>
      </c>
      <c r="AE6" s="1558">
        <f>SUM(AB6:AD6)</f>
        <v>15</v>
      </c>
      <c r="AF6" s="1556">
        <v>4</v>
      </c>
      <c r="AG6" s="1556">
        <v>7</v>
      </c>
      <c r="AH6" s="1556">
        <v>4</v>
      </c>
      <c r="AI6" s="1558">
        <f>SUM(AF6:AH6)</f>
        <v>15</v>
      </c>
      <c r="AJ6" s="1556">
        <v>12</v>
      </c>
      <c r="AK6" s="1556">
        <v>7</v>
      </c>
      <c r="AL6" s="1556">
        <v>9</v>
      </c>
      <c r="AM6" s="1558">
        <f>SUM(AJ6:AL6)</f>
        <v>28</v>
      </c>
      <c r="AN6" s="1556">
        <v>7</v>
      </c>
      <c r="AO6" s="1556">
        <v>10</v>
      </c>
      <c r="AP6" s="1556">
        <v>9</v>
      </c>
      <c r="AQ6" s="1558">
        <f>SUM(AN6:AP6)</f>
        <v>26</v>
      </c>
      <c r="AR6" s="1556">
        <v>1</v>
      </c>
      <c r="AS6" s="1556">
        <v>7</v>
      </c>
      <c r="AT6" s="1556">
        <v>1</v>
      </c>
      <c r="AU6" s="1558">
        <f>SUM(AR6:AT6)</f>
        <v>9</v>
      </c>
      <c r="AV6" s="1556"/>
      <c r="AW6" s="1556">
        <v>4</v>
      </c>
      <c r="AX6" s="1556">
        <v>6</v>
      </c>
      <c r="AY6" s="1558">
        <f>SUM(AV6:AX6)</f>
        <v>10</v>
      </c>
      <c r="AZ6" s="1556">
        <v>8</v>
      </c>
      <c r="BA6" s="1556">
        <v>6</v>
      </c>
      <c r="BB6" s="1556">
        <v>4</v>
      </c>
      <c r="BC6" s="1558">
        <f>SUM(AZ6:BB6)</f>
        <v>18</v>
      </c>
      <c r="BD6" s="1555">
        <v>11</v>
      </c>
      <c r="BE6" s="1556">
        <v>8</v>
      </c>
      <c r="BF6" s="1556">
        <v>7</v>
      </c>
      <c r="BG6" s="1558">
        <f>SUM(BD6:BF6)</f>
        <v>26</v>
      </c>
      <c r="BH6" s="1555">
        <v>6</v>
      </c>
      <c r="BI6" s="1556">
        <v>3</v>
      </c>
      <c r="BJ6" s="1556">
        <v>5</v>
      </c>
      <c r="BK6" s="1558">
        <f>SUM(BH6:BJ6)</f>
        <v>14</v>
      </c>
      <c r="BL6" s="1555">
        <v>8</v>
      </c>
      <c r="BM6" s="1556">
        <v>7</v>
      </c>
      <c r="BN6" s="1556">
        <v>2</v>
      </c>
      <c r="BO6" s="1558">
        <f t="shared" ref="BO6:BO14" si="1">SUM(BL6:BN6)</f>
        <v>17</v>
      </c>
      <c r="BP6" s="1555">
        <v>10</v>
      </c>
      <c r="BQ6" s="1556">
        <v>7</v>
      </c>
      <c r="BR6" s="1556"/>
      <c r="BS6" s="1558">
        <f t="shared" ref="BS6:BS14" si="2">SUM(BP6:BR6)</f>
        <v>17</v>
      </c>
      <c r="BT6" s="1555">
        <v>13</v>
      </c>
      <c r="BU6" s="1556">
        <v>14</v>
      </c>
      <c r="BV6" s="1556">
        <v>4</v>
      </c>
      <c r="BW6" s="1558">
        <f t="shared" ref="BW6:BW14" si="3">SUM(BT6:BV6)</f>
        <v>31</v>
      </c>
      <c r="BX6" s="1555">
        <v>13</v>
      </c>
      <c r="BY6" s="1556">
        <v>3</v>
      </c>
      <c r="BZ6" s="1556"/>
      <c r="CA6" s="1558">
        <f t="shared" si="0"/>
        <v>16</v>
      </c>
      <c r="CB6" s="1555"/>
      <c r="CC6" s="1556"/>
      <c r="CD6" s="1556"/>
      <c r="CE6" s="1558">
        <f t="shared" ref="CE6:CE74" si="4">SUM(CB6:CD6)</f>
        <v>0</v>
      </c>
      <c r="CF6" s="1555"/>
      <c r="CG6" s="1556"/>
      <c r="CH6" s="1556"/>
      <c r="CI6" s="1558">
        <f t="shared" ref="CI6:CI74" si="5">SUM(CF6:CH6)</f>
        <v>0</v>
      </c>
      <c r="CJ6" s="1555"/>
      <c r="CK6" s="1556"/>
      <c r="CL6" s="1556"/>
      <c r="CM6" s="1558">
        <f t="shared" ref="CM6:CM70" si="6">SUM(CJ6:CL6)</f>
        <v>0</v>
      </c>
      <c r="CN6" s="1555"/>
      <c r="CO6" s="1556"/>
      <c r="CP6" s="1556"/>
      <c r="CQ6" s="1558">
        <f t="shared" ref="CQ6:CQ70" si="7">SUM(CN6:CP6)</f>
        <v>0</v>
      </c>
      <c r="CR6" s="1555"/>
      <c r="CS6" s="1556"/>
      <c r="CT6" s="1556"/>
      <c r="CU6" s="1558">
        <f t="shared" ref="CU6:CU70" si="8">SUM(CR6:CT6)</f>
        <v>0</v>
      </c>
    </row>
    <row r="7" spans="2:99" ht="14.4" x14ac:dyDescent="0.25">
      <c r="B7" s="5869"/>
      <c r="C7" s="1554" t="s">
        <v>437</v>
      </c>
      <c r="D7" s="1555"/>
      <c r="E7" s="1556"/>
      <c r="F7" s="1556"/>
      <c r="G7" s="1557"/>
      <c r="H7" s="1555"/>
      <c r="I7" s="1556"/>
      <c r="J7" s="1556"/>
      <c r="K7" s="1557"/>
      <c r="L7" s="1555"/>
      <c r="M7" s="1556"/>
      <c r="N7" s="1556"/>
      <c r="O7" s="1557"/>
      <c r="P7" s="1555"/>
      <c r="Q7" s="1556"/>
      <c r="R7" s="1556"/>
      <c r="S7" s="1557"/>
      <c r="T7" s="1555"/>
      <c r="U7" s="1556"/>
      <c r="V7" s="1556"/>
      <c r="W7" s="1557"/>
      <c r="X7" s="1555"/>
      <c r="Y7" s="1556"/>
      <c r="Z7" s="1556"/>
      <c r="AA7" s="1557"/>
      <c r="AB7" s="1555"/>
      <c r="AC7" s="1556"/>
      <c r="AD7" s="1556"/>
      <c r="AE7" s="1558"/>
      <c r="AF7" s="1556"/>
      <c r="AG7" s="1556"/>
      <c r="AH7" s="1556"/>
      <c r="AI7" s="1558"/>
      <c r="AJ7" s="1556"/>
      <c r="AK7" s="1556"/>
      <c r="AL7" s="1556"/>
      <c r="AM7" s="1558"/>
      <c r="AN7" s="1556"/>
      <c r="AO7" s="1556"/>
      <c r="AP7" s="1556"/>
      <c r="AQ7" s="1558"/>
      <c r="AR7" s="1556"/>
      <c r="AS7" s="1556"/>
      <c r="AT7" s="1556"/>
      <c r="AU7" s="1558"/>
      <c r="AV7" s="1556"/>
      <c r="AW7" s="1556"/>
      <c r="AX7" s="1556"/>
      <c r="AY7" s="1558"/>
      <c r="AZ7" s="1556"/>
      <c r="BA7" s="1556"/>
      <c r="BB7" s="1556"/>
      <c r="BC7" s="1558"/>
      <c r="BD7" s="1555"/>
      <c r="BE7" s="1556"/>
      <c r="BF7" s="1556"/>
      <c r="BG7" s="1558"/>
      <c r="BH7" s="1555"/>
      <c r="BI7" s="1556"/>
      <c r="BJ7" s="1556"/>
      <c r="BK7" s="1558"/>
      <c r="BL7" s="1555"/>
      <c r="BM7" s="1556"/>
      <c r="BN7" s="1556"/>
      <c r="BO7" s="1558"/>
      <c r="BP7" s="1555"/>
      <c r="BQ7" s="1556"/>
      <c r="BR7" s="1556"/>
      <c r="BS7" s="1558"/>
      <c r="BT7" s="1555"/>
      <c r="BU7" s="1556"/>
      <c r="BV7" s="1556"/>
      <c r="BW7" s="1558"/>
      <c r="BX7" s="1555"/>
      <c r="BY7" s="1556"/>
      <c r="BZ7" s="1556"/>
      <c r="CA7" s="1558"/>
      <c r="CB7" s="1555"/>
      <c r="CC7" s="1556"/>
      <c r="CD7" s="1556"/>
      <c r="CE7" s="1558"/>
      <c r="CF7" s="1555"/>
      <c r="CG7" s="1556"/>
      <c r="CH7" s="1556"/>
      <c r="CI7" s="1558"/>
      <c r="CJ7" s="1555"/>
      <c r="CK7" s="1556">
        <v>1</v>
      </c>
      <c r="CL7" s="1556">
        <v>4</v>
      </c>
      <c r="CM7" s="1558">
        <f t="shared" si="6"/>
        <v>5</v>
      </c>
      <c r="CN7" s="1555"/>
      <c r="CO7" s="1556">
        <v>2</v>
      </c>
      <c r="CP7" s="1556">
        <v>2</v>
      </c>
      <c r="CQ7" s="1558">
        <f t="shared" si="7"/>
        <v>4</v>
      </c>
      <c r="CR7" s="1555"/>
      <c r="CS7" s="1556">
        <v>1</v>
      </c>
      <c r="CT7" s="1556"/>
      <c r="CU7" s="1558">
        <f t="shared" si="8"/>
        <v>1</v>
      </c>
    </row>
    <row r="8" spans="2:99" ht="14.4" x14ac:dyDescent="0.25">
      <c r="B8" s="5869"/>
      <c r="C8" s="1559" t="s">
        <v>312</v>
      </c>
      <c r="D8" s="1555"/>
      <c r="E8" s="1556"/>
      <c r="F8" s="1556"/>
      <c r="G8" s="1557"/>
      <c r="H8" s="1555"/>
      <c r="I8" s="1556"/>
      <c r="J8" s="1556"/>
      <c r="K8" s="1557"/>
      <c r="L8" s="1555"/>
      <c r="M8" s="1556"/>
      <c r="N8" s="1556"/>
      <c r="O8" s="1557"/>
      <c r="P8" s="1555"/>
      <c r="Q8" s="1556"/>
      <c r="R8" s="1556"/>
      <c r="S8" s="1557"/>
      <c r="T8" s="1555"/>
      <c r="U8" s="1556"/>
      <c r="V8" s="1556"/>
      <c r="W8" s="1557"/>
      <c r="X8" s="1555"/>
      <c r="Y8" s="1556">
        <v>1</v>
      </c>
      <c r="Z8" s="1556"/>
      <c r="AA8" s="1557">
        <f>SUM(X8:Z8)</f>
        <v>1</v>
      </c>
      <c r="AB8" s="1555"/>
      <c r="AC8" s="1556">
        <v>4</v>
      </c>
      <c r="AD8" s="1556">
        <v>1</v>
      </c>
      <c r="AE8" s="1558">
        <f>SUM(AB8:AD8)</f>
        <v>5</v>
      </c>
      <c r="AF8" s="1556">
        <v>2</v>
      </c>
      <c r="AG8" s="1556">
        <v>2</v>
      </c>
      <c r="AH8" s="1556"/>
      <c r="AI8" s="1558">
        <f>SUM(AF8:AH8)</f>
        <v>4</v>
      </c>
      <c r="AJ8" s="1556">
        <v>1</v>
      </c>
      <c r="AK8" s="1556"/>
      <c r="AL8" s="1556"/>
      <c r="AM8" s="1558">
        <f>SUM(AJ8:AL8)</f>
        <v>1</v>
      </c>
      <c r="AN8" s="1556">
        <v>2</v>
      </c>
      <c r="AO8" s="1556">
        <v>1</v>
      </c>
      <c r="AP8" s="1556">
        <v>2</v>
      </c>
      <c r="AQ8" s="1558">
        <f>SUM(AN8:AP8)</f>
        <v>5</v>
      </c>
      <c r="AR8" s="1556"/>
      <c r="AS8" s="1556">
        <v>3</v>
      </c>
      <c r="AT8" s="1556">
        <v>1</v>
      </c>
      <c r="AU8" s="1558">
        <f>SUM(AR8:AT8)</f>
        <v>4</v>
      </c>
      <c r="AV8" s="1556">
        <v>5</v>
      </c>
      <c r="AW8" s="1556">
        <v>3</v>
      </c>
      <c r="AX8" s="1556"/>
      <c r="AY8" s="1558">
        <f>SUM(AV8:AX8)</f>
        <v>8</v>
      </c>
      <c r="AZ8" s="1556">
        <v>3</v>
      </c>
      <c r="BA8" s="1556">
        <v>3</v>
      </c>
      <c r="BB8" s="1556">
        <v>3</v>
      </c>
      <c r="BC8" s="1558">
        <f>SUM(AZ8:BB8)</f>
        <v>9</v>
      </c>
      <c r="BD8" s="1555">
        <v>4</v>
      </c>
      <c r="BE8" s="1556">
        <v>3</v>
      </c>
      <c r="BF8" s="1556">
        <v>5</v>
      </c>
      <c r="BG8" s="1558">
        <f>SUM(BD8:BF8)</f>
        <v>12</v>
      </c>
      <c r="BH8" s="1555">
        <v>1</v>
      </c>
      <c r="BI8" s="1556">
        <v>5</v>
      </c>
      <c r="BJ8" s="1556">
        <v>2</v>
      </c>
      <c r="BK8" s="1558">
        <f>SUM(BH8:BJ8)</f>
        <v>8</v>
      </c>
      <c r="BL8" s="1555">
        <v>1</v>
      </c>
      <c r="BM8" s="1556">
        <v>3</v>
      </c>
      <c r="BN8" s="1556">
        <v>8</v>
      </c>
      <c r="BO8" s="1558">
        <f t="shared" si="1"/>
        <v>12</v>
      </c>
      <c r="BP8" s="1555">
        <v>1</v>
      </c>
      <c r="BQ8" s="1556">
        <v>1</v>
      </c>
      <c r="BR8" s="1556">
        <v>7</v>
      </c>
      <c r="BS8" s="1558">
        <f t="shared" si="2"/>
        <v>9</v>
      </c>
      <c r="BT8" s="1555">
        <v>2</v>
      </c>
      <c r="BU8" s="1556">
        <v>1</v>
      </c>
      <c r="BV8" s="1556">
        <v>5</v>
      </c>
      <c r="BW8" s="1558">
        <f t="shared" si="3"/>
        <v>8</v>
      </c>
      <c r="BX8" s="1555">
        <v>3</v>
      </c>
      <c r="BY8" s="1556">
        <v>9</v>
      </c>
      <c r="BZ8" s="1556">
        <v>4</v>
      </c>
      <c r="CA8" s="1558">
        <f t="shared" si="0"/>
        <v>16</v>
      </c>
      <c r="CB8" s="1555">
        <v>5</v>
      </c>
      <c r="CC8" s="1556">
        <v>1</v>
      </c>
      <c r="CD8" s="1556">
        <v>2</v>
      </c>
      <c r="CE8" s="1558">
        <f t="shared" si="4"/>
        <v>8</v>
      </c>
      <c r="CF8" s="1555">
        <v>7</v>
      </c>
      <c r="CG8" s="1556">
        <v>1</v>
      </c>
      <c r="CH8" s="1556">
        <v>5</v>
      </c>
      <c r="CI8" s="1558">
        <f t="shared" si="5"/>
        <v>13</v>
      </c>
      <c r="CJ8" s="1555">
        <v>12</v>
      </c>
      <c r="CK8" s="1556"/>
      <c r="CL8" s="1556">
        <v>2</v>
      </c>
      <c r="CM8" s="1558">
        <f t="shared" si="6"/>
        <v>14</v>
      </c>
      <c r="CN8" s="1555">
        <v>6</v>
      </c>
      <c r="CO8" s="1556">
        <v>1</v>
      </c>
      <c r="CP8" s="1556">
        <v>1</v>
      </c>
      <c r="CQ8" s="1558">
        <f t="shared" si="7"/>
        <v>8</v>
      </c>
      <c r="CR8" s="1555"/>
      <c r="CS8" s="1556">
        <v>4</v>
      </c>
      <c r="CT8" s="1556">
        <v>3</v>
      </c>
      <c r="CU8" s="1558">
        <f t="shared" si="8"/>
        <v>7</v>
      </c>
    </row>
    <row r="9" spans="2:99" ht="14.4" x14ac:dyDescent="0.25">
      <c r="B9" s="5869"/>
      <c r="C9" s="1560" t="s">
        <v>1393</v>
      </c>
      <c r="D9" s="1561"/>
      <c r="E9" s="1562"/>
      <c r="F9" s="1562"/>
      <c r="G9" s="1563"/>
      <c r="H9" s="1561"/>
      <c r="I9" s="1562"/>
      <c r="J9" s="1562"/>
      <c r="K9" s="1563"/>
      <c r="L9" s="1561"/>
      <c r="M9" s="1562"/>
      <c r="N9" s="1562"/>
      <c r="O9" s="1563"/>
      <c r="P9" s="1561"/>
      <c r="Q9" s="1562"/>
      <c r="R9" s="1562"/>
      <c r="S9" s="1563"/>
      <c r="T9" s="1561"/>
      <c r="U9" s="1562"/>
      <c r="V9" s="1562"/>
      <c r="W9" s="1563"/>
      <c r="X9" s="1561"/>
      <c r="Y9" s="1562"/>
      <c r="Z9" s="1562"/>
      <c r="AA9" s="1563"/>
      <c r="AB9" s="1561"/>
      <c r="AC9" s="1562"/>
      <c r="AD9" s="1562"/>
      <c r="AE9" s="1564"/>
      <c r="AF9" s="1562"/>
      <c r="AG9" s="1562"/>
      <c r="AH9" s="1562"/>
      <c r="AI9" s="1564"/>
      <c r="AJ9" s="1562"/>
      <c r="AK9" s="1562"/>
      <c r="AL9" s="1562"/>
      <c r="AM9" s="1564"/>
      <c r="AN9" s="1562"/>
      <c r="AO9" s="1562"/>
      <c r="AP9" s="1562"/>
      <c r="AQ9" s="1564"/>
      <c r="AR9" s="1562"/>
      <c r="AS9" s="1562"/>
      <c r="AT9" s="1562"/>
      <c r="AU9" s="1564"/>
      <c r="AV9" s="1562"/>
      <c r="AW9" s="1562"/>
      <c r="AX9" s="1562"/>
      <c r="AY9" s="1564"/>
      <c r="AZ9" s="1562"/>
      <c r="BA9" s="1562"/>
      <c r="BB9" s="1562"/>
      <c r="BC9" s="1564"/>
      <c r="BD9" s="1562"/>
      <c r="BE9" s="1562"/>
      <c r="BF9" s="1562"/>
      <c r="BG9" s="1564"/>
      <c r="BH9" s="1562"/>
      <c r="BI9" s="1562"/>
      <c r="BJ9" s="1562"/>
      <c r="BK9" s="1564"/>
      <c r="BL9" s="1562"/>
      <c r="BM9" s="1562"/>
      <c r="BN9" s="1562"/>
      <c r="BO9" s="1564"/>
      <c r="BP9" s="1562"/>
      <c r="BQ9" s="1562"/>
      <c r="BR9" s="1562"/>
      <c r="BS9" s="1564"/>
      <c r="BT9" s="1562"/>
      <c r="BU9" s="1562"/>
      <c r="BV9" s="1562"/>
      <c r="BW9" s="1564"/>
      <c r="BX9" s="1562">
        <v>2</v>
      </c>
      <c r="BY9" s="1562">
        <v>5</v>
      </c>
      <c r="BZ9" s="1562">
        <v>8</v>
      </c>
      <c r="CA9" s="1558">
        <f t="shared" si="0"/>
        <v>15</v>
      </c>
      <c r="CB9" s="1562">
        <v>11</v>
      </c>
      <c r="CC9" s="1562">
        <v>11</v>
      </c>
      <c r="CD9" s="1562">
        <v>11</v>
      </c>
      <c r="CE9" s="1558">
        <f t="shared" si="4"/>
        <v>33</v>
      </c>
      <c r="CF9" s="1562">
        <v>6</v>
      </c>
      <c r="CG9" s="1562">
        <v>1</v>
      </c>
      <c r="CH9" s="1562">
        <v>8</v>
      </c>
      <c r="CI9" s="1558">
        <f t="shared" si="5"/>
        <v>15</v>
      </c>
      <c r="CJ9" s="1562">
        <v>6</v>
      </c>
      <c r="CK9" s="1562">
        <v>2</v>
      </c>
      <c r="CL9" s="1562">
        <v>4</v>
      </c>
      <c r="CM9" s="1558">
        <f t="shared" si="6"/>
        <v>12</v>
      </c>
      <c r="CN9" s="1562">
        <v>6</v>
      </c>
      <c r="CO9" s="1562">
        <v>5</v>
      </c>
      <c r="CP9" s="1562">
        <v>6</v>
      </c>
      <c r="CQ9" s="1558">
        <f t="shared" si="7"/>
        <v>17</v>
      </c>
      <c r="CR9" s="1562">
        <v>6</v>
      </c>
      <c r="CS9" s="1562">
        <v>7</v>
      </c>
      <c r="CT9" s="1562">
        <v>5</v>
      </c>
      <c r="CU9" s="1558">
        <f t="shared" si="8"/>
        <v>18</v>
      </c>
    </row>
    <row r="10" spans="2:99" ht="14.4" x14ac:dyDescent="0.25">
      <c r="B10" s="5869"/>
      <c r="C10" s="1565" t="s">
        <v>313</v>
      </c>
      <c r="D10" s="1561"/>
      <c r="E10" s="1562">
        <v>2</v>
      </c>
      <c r="F10" s="1562">
        <v>1</v>
      </c>
      <c r="G10" s="1563">
        <f>SUM(E10:F10)</f>
        <v>3</v>
      </c>
      <c r="H10" s="1561">
        <v>1</v>
      </c>
      <c r="I10" s="1562"/>
      <c r="J10" s="1562">
        <v>1</v>
      </c>
      <c r="K10" s="1563">
        <f>SUM(H10:J10)</f>
        <v>2</v>
      </c>
      <c r="L10" s="1561">
        <v>1</v>
      </c>
      <c r="M10" s="1562">
        <v>1</v>
      </c>
      <c r="N10" s="1562">
        <v>2</v>
      </c>
      <c r="O10" s="1563">
        <f>SUM(L10:N10)</f>
        <v>4</v>
      </c>
      <c r="P10" s="1561"/>
      <c r="Q10" s="1562">
        <v>5</v>
      </c>
      <c r="R10" s="1562">
        <v>3</v>
      </c>
      <c r="S10" s="1563">
        <f>SUM(Q10:R10)</f>
        <v>8</v>
      </c>
      <c r="T10" s="1561">
        <v>1</v>
      </c>
      <c r="U10" s="1562">
        <v>4</v>
      </c>
      <c r="V10" s="1562">
        <v>1</v>
      </c>
      <c r="W10" s="1563">
        <f>SUM(T10:V10)</f>
        <v>6</v>
      </c>
      <c r="X10" s="1561">
        <v>1</v>
      </c>
      <c r="Y10" s="1562">
        <v>1</v>
      </c>
      <c r="Z10" s="1562">
        <v>1</v>
      </c>
      <c r="AA10" s="1563">
        <f>SUM(X10:Z10)</f>
        <v>3</v>
      </c>
      <c r="AB10" s="1561"/>
      <c r="AC10" s="1562">
        <v>6</v>
      </c>
      <c r="AD10" s="1562"/>
      <c r="AE10" s="1564">
        <f>SUM(AB10:AD10)</f>
        <v>6</v>
      </c>
      <c r="AF10" s="1562">
        <v>1</v>
      </c>
      <c r="AG10" s="1562">
        <v>1</v>
      </c>
      <c r="AH10" s="1562">
        <v>2</v>
      </c>
      <c r="AI10" s="1564">
        <f>SUM(AF10:AH10)</f>
        <v>4</v>
      </c>
      <c r="AJ10" s="1562"/>
      <c r="AK10" s="1562">
        <v>2</v>
      </c>
      <c r="AL10" s="1562">
        <v>3</v>
      </c>
      <c r="AM10" s="1564">
        <f>SUM(AJ10:AL10)</f>
        <v>5</v>
      </c>
      <c r="AN10" s="1562">
        <v>1</v>
      </c>
      <c r="AO10" s="1562"/>
      <c r="AP10" s="1562">
        <v>1</v>
      </c>
      <c r="AQ10" s="1564">
        <f>SUM(AN10:AP10)</f>
        <v>2</v>
      </c>
      <c r="AR10" s="1562"/>
      <c r="AS10" s="1562">
        <v>2</v>
      </c>
      <c r="AT10" s="1562"/>
      <c r="AU10" s="1564">
        <f>SUM(AR10:AT10)</f>
        <v>2</v>
      </c>
      <c r="AV10" s="1562"/>
      <c r="AW10" s="1562"/>
      <c r="AX10" s="1562">
        <v>1</v>
      </c>
      <c r="AY10" s="1564">
        <f>SUM(AV10:AX10)</f>
        <v>1</v>
      </c>
      <c r="AZ10" s="1562">
        <v>1</v>
      </c>
      <c r="BA10" s="1562">
        <v>3</v>
      </c>
      <c r="BB10" s="1562"/>
      <c r="BC10" s="1564">
        <f>SUM(AZ10:BB10)</f>
        <v>4</v>
      </c>
      <c r="BD10" s="1562"/>
      <c r="BE10" s="1562">
        <v>1</v>
      </c>
      <c r="BF10" s="1562"/>
      <c r="BG10" s="1564">
        <f>SUM(BD10:BF10)</f>
        <v>1</v>
      </c>
      <c r="BH10" s="1562"/>
      <c r="BI10" s="1562"/>
      <c r="BJ10" s="1562">
        <v>1</v>
      </c>
      <c r="BK10" s="1564">
        <f>SUM(BH10:BJ10)</f>
        <v>1</v>
      </c>
      <c r="BL10" s="1562">
        <v>1</v>
      </c>
      <c r="BM10" s="1562">
        <v>2</v>
      </c>
      <c r="BN10" s="1562"/>
      <c r="BO10" s="1564">
        <f t="shared" si="1"/>
        <v>3</v>
      </c>
      <c r="BP10" s="1562"/>
      <c r="BQ10" s="1562"/>
      <c r="BR10" s="1562"/>
      <c r="BS10" s="1564">
        <f t="shared" si="2"/>
        <v>0</v>
      </c>
      <c r="BT10" s="1562"/>
      <c r="BU10" s="1562"/>
      <c r="BV10" s="1562"/>
      <c r="BW10" s="1564">
        <f t="shared" si="3"/>
        <v>0</v>
      </c>
      <c r="BX10" s="1562">
        <v>2</v>
      </c>
      <c r="BY10" s="1562"/>
      <c r="BZ10" s="1562">
        <v>1</v>
      </c>
      <c r="CA10" s="1558">
        <f t="shared" si="0"/>
        <v>3</v>
      </c>
      <c r="CB10" s="1562"/>
      <c r="CC10" s="1562"/>
      <c r="CD10" s="1562">
        <v>1</v>
      </c>
      <c r="CE10" s="1558">
        <f t="shared" si="4"/>
        <v>1</v>
      </c>
      <c r="CF10" s="1562">
        <v>2</v>
      </c>
      <c r="CG10" s="1562">
        <v>1</v>
      </c>
      <c r="CH10" s="1562"/>
      <c r="CI10" s="1558">
        <f t="shared" si="5"/>
        <v>3</v>
      </c>
      <c r="CJ10" s="1562">
        <v>3</v>
      </c>
      <c r="CK10" s="1562"/>
      <c r="CL10" s="1562"/>
      <c r="CM10" s="1558">
        <f t="shared" si="6"/>
        <v>3</v>
      </c>
      <c r="CN10" s="1562"/>
      <c r="CO10" s="1562">
        <v>2</v>
      </c>
      <c r="CP10" s="1562">
        <v>1</v>
      </c>
      <c r="CQ10" s="1558">
        <f t="shared" si="7"/>
        <v>3</v>
      </c>
      <c r="CR10" s="1562"/>
      <c r="CS10" s="1562">
        <v>3</v>
      </c>
      <c r="CT10" s="1562">
        <v>2</v>
      </c>
      <c r="CU10" s="1558">
        <f t="shared" si="8"/>
        <v>5</v>
      </c>
    </row>
    <row r="11" spans="2:99" ht="14.4" x14ac:dyDescent="0.25">
      <c r="B11" s="5869"/>
      <c r="C11" s="1565" t="s">
        <v>435</v>
      </c>
      <c r="D11" s="1561"/>
      <c r="E11" s="1562"/>
      <c r="F11" s="1562"/>
      <c r="G11" s="1563"/>
      <c r="H11" s="1561"/>
      <c r="I11" s="1562"/>
      <c r="J11" s="1562"/>
      <c r="K11" s="1563"/>
      <c r="L11" s="1561"/>
      <c r="M11" s="1562"/>
      <c r="N11" s="1562"/>
      <c r="O11" s="1563"/>
      <c r="P11" s="1561"/>
      <c r="Q11" s="1562"/>
      <c r="R11" s="1562"/>
      <c r="S11" s="1563"/>
      <c r="T11" s="1561"/>
      <c r="U11" s="1562"/>
      <c r="V11" s="1562"/>
      <c r="W11" s="1563"/>
      <c r="X11" s="1561"/>
      <c r="Y11" s="1562"/>
      <c r="Z11" s="1562"/>
      <c r="AA11" s="1563"/>
      <c r="AB11" s="1561"/>
      <c r="AC11" s="1562"/>
      <c r="AD11" s="1562"/>
      <c r="AE11" s="1564"/>
      <c r="AF11" s="1562"/>
      <c r="AG11" s="1562"/>
      <c r="AH11" s="1562"/>
      <c r="AI11" s="1564"/>
      <c r="AJ11" s="1562"/>
      <c r="AK11" s="1562"/>
      <c r="AL11" s="1562"/>
      <c r="AM11" s="1564"/>
      <c r="AN11" s="1562"/>
      <c r="AO11" s="1562"/>
      <c r="AP11" s="1562"/>
      <c r="AQ11" s="1564"/>
      <c r="AR11" s="1562"/>
      <c r="AS11" s="1562"/>
      <c r="AT11" s="1562"/>
      <c r="AU11" s="1564"/>
      <c r="AV11" s="1562"/>
      <c r="AW11" s="1562"/>
      <c r="AX11" s="1562"/>
      <c r="AY11" s="1564"/>
      <c r="AZ11" s="1562"/>
      <c r="BA11" s="1562"/>
      <c r="BB11" s="1562"/>
      <c r="BC11" s="1564"/>
      <c r="BD11" s="1562"/>
      <c r="BE11" s="1562"/>
      <c r="BF11" s="1562"/>
      <c r="BG11" s="1564"/>
      <c r="BH11" s="1562"/>
      <c r="BI11" s="1562"/>
      <c r="BJ11" s="1562"/>
      <c r="BK11" s="1564"/>
      <c r="BL11" s="1562"/>
      <c r="BM11" s="1562">
        <v>1</v>
      </c>
      <c r="BN11" s="1562">
        <v>4</v>
      </c>
      <c r="BO11" s="1564">
        <f t="shared" si="1"/>
        <v>5</v>
      </c>
      <c r="BP11" s="1562">
        <v>2</v>
      </c>
      <c r="BQ11" s="1562">
        <v>2</v>
      </c>
      <c r="BR11" s="1562">
        <v>1</v>
      </c>
      <c r="BS11" s="1564">
        <f t="shared" si="2"/>
        <v>5</v>
      </c>
      <c r="BT11" s="1562">
        <v>2</v>
      </c>
      <c r="BU11" s="1562">
        <v>4</v>
      </c>
      <c r="BV11" s="1562">
        <v>3</v>
      </c>
      <c r="BW11" s="1564">
        <f t="shared" si="3"/>
        <v>9</v>
      </c>
      <c r="BX11" s="1562">
        <v>4</v>
      </c>
      <c r="BY11" s="1562">
        <v>5</v>
      </c>
      <c r="BZ11" s="1562">
        <v>3</v>
      </c>
      <c r="CA11" s="1558">
        <f t="shared" si="0"/>
        <v>12</v>
      </c>
      <c r="CB11" s="1562">
        <v>4</v>
      </c>
      <c r="CC11" s="1562">
        <v>1</v>
      </c>
      <c r="CD11" s="1562">
        <v>3</v>
      </c>
      <c r="CE11" s="1558">
        <f t="shared" si="4"/>
        <v>8</v>
      </c>
      <c r="CF11" s="1562">
        <v>8</v>
      </c>
      <c r="CG11" s="1562"/>
      <c r="CH11" s="1562">
        <v>1</v>
      </c>
      <c r="CI11" s="1558">
        <v>1</v>
      </c>
      <c r="CJ11" s="1562">
        <v>1</v>
      </c>
      <c r="CK11" s="1562"/>
      <c r="CL11" s="1562">
        <v>1</v>
      </c>
      <c r="CM11" s="1558">
        <f t="shared" si="6"/>
        <v>2</v>
      </c>
      <c r="CN11" s="1562">
        <v>4</v>
      </c>
      <c r="CO11" s="1562">
        <v>3</v>
      </c>
      <c r="CP11" s="1562">
        <v>2</v>
      </c>
      <c r="CQ11" s="1558">
        <f t="shared" si="7"/>
        <v>9</v>
      </c>
      <c r="CR11" s="1562">
        <v>1</v>
      </c>
      <c r="CS11" s="1562">
        <v>2</v>
      </c>
      <c r="CT11" s="1562"/>
      <c r="CU11" s="1558">
        <f t="shared" si="8"/>
        <v>3</v>
      </c>
    </row>
    <row r="12" spans="2:99" ht="14.4" x14ac:dyDescent="0.25">
      <c r="B12" s="5870"/>
      <c r="C12" s="1565" t="s">
        <v>436</v>
      </c>
      <c r="D12" s="1561"/>
      <c r="E12" s="1562"/>
      <c r="F12" s="1562"/>
      <c r="G12" s="1563"/>
      <c r="H12" s="1561"/>
      <c r="I12" s="1562"/>
      <c r="J12" s="1562"/>
      <c r="K12" s="1563"/>
      <c r="L12" s="1561"/>
      <c r="M12" s="1562"/>
      <c r="N12" s="1562"/>
      <c r="O12" s="1563"/>
      <c r="P12" s="1561"/>
      <c r="Q12" s="1562"/>
      <c r="R12" s="1562"/>
      <c r="S12" s="1563"/>
      <c r="T12" s="1561"/>
      <c r="U12" s="1562"/>
      <c r="V12" s="1562"/>
      <c r="W12" s="1563"/>
      <c r="X12" s="1561"/>
      <c r="Y12" s="1562"/>
      <c r="Z12" s="1562"/>
      <c r="AA12" s="1563"/>
      <c r="AB12" s="1561"/>
      <c r="AC12" s="1562"/>
      <c r="AD12" s="1562"/>
      <c r="AE12" s="1564"/>
      <c r="AF12" s="1562"/>
      <c r="AG12" s="1562"/>
      <c r="AH12" s="1562"/>
      <c r="AI12" s="1564"/>
      <c r="AJ12" s="1562"/>
      <c r="AK12" s="1562"/>
      <c r="AL12" s="1562"/>
      <c r="AM12" s="1564"/>
      <c r="AN12" s="1562"/>
      <c r="AO12" s="1562"/>
      <c r="AP12" s="1562"/>
      <c r="AQ12" s="1564"/>
      <c r="AR12" s="1562"/>
      <c r="AS12" s="1562"/>
      <c r="AT12" s="1562"/>
      <c r="AU12" s="1564"/>
      <c r="AV12" s="1562"/>
      <c r="AW12" s="1562"/>
      <c r="AX12" s="1562"/>
      <c r="AY12" s="1564"/>
      <c r="AZ12" s="1562"/>
      <c r="BA12" s="1562"/>
      <c r="BB12" s="1562"/>
      <c r="BC12" s="1564"/>
      <c r="BD12" s="1562"/>
      <c r="BE12" s="1562"/>
      <c r="BF12" s="1562"/>
      <c r="BG12" s="1564"/>
      <c r="BH12" s="1562"/>
      <c r="BI12" s="1562"/>
      <c r="BJ12" s="1562"/>
      <c r="BK12" s="1564"/>
      <c r="BL12" s="1562"/>
      <c r="BM12" s="1562">
        <v>1</v>
      </c>
      <c r="BN12" s="1562"/>
      <c r="BO12" s="1564">
        <f t="shared" si="1"/>
        <v>1</v>
      </c>
      <c r="BP12" s="1562">
        <v>2</v>
      </c>
      <c r="BQ12" s="1562">
        <v>1</v>
      </c>
      <c r="BR12" s="1562"/>
      <c r="BS12" s="1564">
        <f t="shared" si="2"/>
        <v>3</v>
      </c>
      <c r="BT12" s="1562">
        <v>3</v>
      </c>
      <c r="BU12" s="1562"/>
      <c r="BV12" s="1562"/>
      <c r="BW12" s="1564">
        <f t="shared" si="3"/>
        <v>3</v>
      </c>
      <c r="BX12" s="1562"/>
      <c r="BY12" s="1562">
        <v>3</v>
      </c>
      <c r="BZ12" s="1562"/>
      <c r="CA12" s="1558">
        <f t="shared" si="0"/>
        <v>3</v>
      </c>
      <c r="CB12" s="1562">
        <v>3</v>
      </c>
      <c r="CC12" s="1562"/>
      <c r="CD12" s="1562">
        <v>3</v>
      </c>
      <c r="CE12" s="1558">
        <f t="shared" si="4"/>
        <v>6</v>
      </c>
      <c r="CF12" s="1562"/>
      <c r="CG12" s="1562"/>
      <c r="CH12" s="1562"/>
      <c r="CI12" s="1558">
        <f t="shared" si="5"/>
        <v>0</v>
      </c>
      <c r="CJ12" s="1562">
        <v>1</v>
      </c>
      <c r="CK12" s="1562">
        <v>1</v>
      </c>
      <c r="CL12" s="1562">
        <v>2</v>
      </c>
      <c r="CM12" s="1558">
        <f t="shared" si="6"/>
        <v>4</v>
      </c>
      <c r="CN12" s="1562"/>
      <c r="CO12" s="1562">
        <v>1</v>
      </c>
      <c r="CP12" s="1562"/>
      <c r="CQ12" s="1558">
        <f t="shared" si="7"/>
        <v>1</v>
      </c>
      <c r="CR12" s="1562">
        <v>3</v>
      </c>
      <c r="CS12" s="1562">
        <v>1</v>
      </c>
      <c r="CT12" s="1562"/>
      <c r="CU12" s="1558">
        <f t="shared" si="8"/>
        <v>4</v>
      </c>
    </row>
    <row r="13" spans="2:99" ht="12.75" customHeight="1" x14ac:dyDescent="0.25">
      <c r="B13" s="5865" t="s">
        <v>317</v>
      </c>
      <c r="C13" s="1566" t="s">
        <v>482</v>
      </c>
      <c r="D13" s="1567"/>
      <c r="E13" s="1568"/>
      <c r="F13" s="1568"/>
      <c r="G13" s="1569"/>
      <c r="H13" s="1567"/>
      <c r="I13" s="1568"/>
      <c r="J13" s="1568"/>
      <c r="K13" s="1569"/>
      <c r="L13" s="1567"/>
      <c r="M13" s="1568"/>
      <c r="N13" s="1568"/>
      <c r="O13" s="1569"/>
      <c r="P13" s="1567"/>
      <c r="Q13" s="1568"/>
      <c r="R13" s="1568">
        <v>1</v>
      </c>
      <c r="S13" s="1569">
        <f>SUM(Q13:R13)</f>
        <v>1</v>
      </c>
      <c r="T13" s="1567">
        <v>1</v>
      </c>
      <c r="U13" s="1568">
        <v>1</v>
      </c>
      <c r="V13" s="1568"/>
      <c r="W13" s="1569">
        <f>SUM(T13:V13)</f>
        <v>2</v>
      </c>
      <c r="X13" s="1567">
        <v>1</v>
      </c>
      <c r="Y13" s="1568">
        <v>1</v>
      </c>
      <c r="Z13" s="1568">
        <v>2</v>
      </c>
      <c r="AA13" s="1569">
        <f>SUM(X13:Z13)</f>
        <v>4</v>
      </c>
      <c r="AB13" s="1567">
        <v>1</v>
      </c>
      <c r="AC13" s="1568">
        <v>5</v>
      </c>
      <c r="AD13" s="1568">
        <v>3</v>
      </c>
      <c r="AE13" s="1553">
        <f>SUM(AB13:AD13)</f>
        <v>9</v>
      </c>
      <c r="AF13" s="1568">
        <v>1</v>
      </c>
      <c r="AG13" s="1568">
        <v>2</v>
      </c>
      <c r="AH13" s="1568">
        <v>4</v>
      </c>
      <c r="AI13" s="1553">
        <f>SUM(AF13:AH13)</f>
        <v>7</v>
      </c>
      <c r="AJ13" s="1568"/>
      <c r="AK13" s="1568">
        <v>1</v>
      </c>
      <c r="AL13" s="1568">
        <v>1</v>
      </c>
      <c r="AM13" s="1553">
        <f>SUM(AJ13:AL13)</f>
        <v>2</v>
      </c>
      <c r="AN13" s="1568">
        <v>2</v>
      </c>
      <c r="AO13" s="1568">
        <v>1</v>
      </c>
      <c r="AP13" s="1568"/>
      <c r="AQ13" s="1553">
        <f>SUM(AN13:AP13)</f>
        <v>3</v>
      </c>
      <c r="AR13" s="1568"/>
      <c r="AS13" s="1568">
        <v>2</v>
      </c>
      <c r="AT13" s="1568">
        <v>1</v>
      </c>
      <c r="AU13" s="1553">
        <f>SUM(AR13:AT13)</f>
        <v>3</v>
      </c>
      <c r="AV13" s="1568">
        <v>1</v>
      </c>
      <c r="AW13" s="1568">
        <v>2</v>
      </c>
      <c r="AX13" s="1568">
        <v>1</v>
      </c>
      <c r="AY13" s="1553">
        <f>SUM(AV13:AX13)</f>
        <v>4</v>
      </c>
      <c r="AZ13" s="1568">
        <v>3</v>
      </c>
      <c r="BA13" s="1568">
        <v>5</v>
      </c>
      <c r="BB13" s="1568">
        <v>2</v>
      </c>
      <c r="BC13" s="1553">
        <f>SUM(AZ13:BB13)</f>
        <v>10</v>
      </c>
      <c r="BD13" s="1567"/>
      <c r="BE13" s="1568">
        <v>1</v>
      </c>
      <c r="BF13" s="1568">
        <v>4</v>
      </c>
      <c r="BG13" s="1553">
        <f>SUM(BD13:BF13)</f>
        <v>5</v>
      </c>
      <c r="BH13" s="1567">
        <v>2</v>
      </c>
      <c r="BI13" s="1568">
        <v>4</v>
      </c>
      <c r="BJ13" s="1568">
        <v>5</v>
      </c>
      <c r="BK13" s="1553">
        <f>SUM(BH13:BJ13)</f>
        <v>11</v>
      </c>
      <c r="BL13" s="1567">
        <v>1</v>
      </c>
      <c r="BM13" s="1568">
        <v>1</v>
      </c>
      <c r="BN13" s="1568">
        <v>3</v>
      </c>
      <c r="BO13" s="1553">
        <f t="shared" si="1"/>
        <v>5</v>
      </c>
      <c r="BP13" s="1567">
        <v>1</v>
      </c>
      <c r="BQ13" s="1568">
        <v>2</v>
      </c>
      <c r="BR13" s="1568"/>
      <c r="BS13" s="1553">
        <f t="shared" si="2"/>
        <v>3</v>
      </c>
      <c r="BT13" s="1567">
        <v>1</v>
      </c>
      <c r="BU13" s="1568">
        <v>4</v>
      </c>
      <c r="BV13" s="1568">
        <v>2</v>
      </c>
      <c r="BW13" s="1553">
        <f t="shared" si="3"/>
        <v>7</v>
      </c>
      <c r="BX13" s="1567">
        <v>1</v>
      </c>
      <c r="BY13" s="1568"/>
      <c r="BZ13" s="1568"/>
      <c r="CA13" s="1553">
        <f t="shared" si="0"/>
        <v>1</v>
      </c>
      <c r="CB13" s="1567"/>
      <c r="CC13" s="1568"/>
      <c r="CD13" s="1568"/>
      <c r="CE13" s="1553">
        <f t="shared" si="4"/>
        <v>0</v>
      </c>
      <c r="CF13" s="1567">
        <v>2</v>
      </c>
      <c r="CG13" s="1568">
        <v>1</v>
      </c>
      <c r="CH13" s="1568"/>
      <c r="CI13" s="1553">
        <f t="shared" si="5"/>
        <v>3</v>
      </c>
      <c r="CJ13" s="1567"/>
      <c r="CK13" s="1568"/>
      <c r="CL13" s="1568"/>
      <c r="CM13" s="1570">
        <f t="shared" si="6"/>
        <v>0</v>
      </c>
      <c r="CN13" s="1567"/>
      <c r="CO13" s="1568"/>
      <c r="CP13" s="1568"/>
      <c r="CQ13" s="1570">
        <f t="shared" si="7"/>
        <v>0</v>
      </c>
      <c r="CR13" s="1567">
        <v>4</v>
      </c>
      <c r="CS13" s="1568">
        <v>3</v>
      </c>
      <c r="CT13" s="1568"/>
      <c r="CU13" s="1570">
        <f t="shared" si="8"/>
        <v>7</v>
      </c>
    </row>
    <row r="14" spans="2:99" ht="14.25" customHeight="1" x14ac:dyDescent="0.25">
      <c r="B14" s="5866"/>
      <c r="C14" s="1571" t="s">
        <v>319</v>
      </c>
      <c r="D14" s="1567"/>
      <c r="E14" s="1568"/>
      <c r="F14" s="1568"/>
      <c r="G14" s="1569"/>
      <c r="H14" s="1567"/>
      <c r="I14" s="1568"/>
      <c r="J14" s="1568"/>
      <c r="K14" s="1569"/>
      <c r="L14" s="1567"/>
      <c r="M14" s="1568"/>
      <c r="N14" s="1568"/>
      <c r="O14" s="1569"/>
      <c r="P14" s="1567"/>
      <c r="Q14" s="1568"/>
      <c r="R14" s="1568"/>
      <c r="S14" s="1569"/>
      <c r="T14" s="1567"/>
      <c r="U14" s="1568"/>
      <c r="V14" s="1568"/>
      <c r="W14" s="1569"/>
      <c r="X14" s="1567"/>
      <c r="Y14" s="1568"/>
      <c r="Z14" s="1568"/>
      <c r="AA14" s="1569"/>
      <c r="AB14" s="1567"/>
      <c r="AC14" s="1568"/>
      <c r="AD14" s="1568"/>
      <c r="AE14" s="1553"/>
      <c r="AF14" s="1568"/>
      <c r="AG14" s="1568"/>
      <c r="AH14" s="1568"/>
      <c r="AI14" s="1553"/>
      <c r="AJ14" s="1568"/>
      <c r="AK14" s="1568"/>
      <c r="AL14" s="1568"/>
      <c r="AM14" s="1553"/>
      <c r="AN14" s="1568"/>
      <c r="AO14" s="1568"/>
      <c r="AP14" s="1568"/>
      <c r="AQ14" s="1553">
        <f>SUM(AN14:AP14)</f>
        <v>0</v>
      </c>
      <c r="AR14" s="1568"/>
      <c r="AS14" s="1568"/>
      <c r="AT14" s="1568"/>
      <c r="AU14" s="1553">
        <f>SUM(AR14:AT14)</f>
        <v>0</v>
      </c>
      <c r="AV14" s="1568"/>
      <c r="AW14" s="1568">
        <v>1</v>
      </c>
      <c r="AX14" s="1568">
        <v>1</v>
      </c>
      <c r="AY14" s="1553">
        <f>SUM(AV14:AX14)</f>
        <v>2</v>
      </c>
      <c r="AZ14" s="1568"/>
      <c r="BA14" s="1568">
        <v>1</v>
      </c>
      <c r="BB14" s="1568"/>
      <c r="BC14" s="1553">
        <f>SUM(AZ14:BB14)</f>
        <v>1</v>
      </c>
      <c r="BD14" s="1567"/>
      <c r="BE14" s="1568"/>
      <c r="BF14" s="1568">
        <v>1</v>
      </c>
      <c r="BG14" s="1553">
        <f>SUM(BD14:BF14)</f>
        <v>1</v>
      </c>
      <c r="BH14" s="1567"/>
      <c r="BI14" s="1568">
        <v>1</v>
      </c>
      <c r="BJ14" s="1568">
        <v>1</v>
      </c>
      <c r="BK14" s="1553">
        <f>SUM(BH14:BJ14)</f>
        <v>2</v>
      </c>
      <c r="BL14" s="1567"/>
      <c r="BM14" s="1568"/>
      <c r="BN14" s="1568"/>
      <c r="BO14" s="1553">
        <f t="shared" si="1"/>
        <v>0</v>
      </c>
      <c r="BP14" s="1567">
        <v>0</v>
      </c>
      <c r="BQ14" s="1568">
        <v>1</v>
      </c>
      <c r="BR14" s="1568"/>
      <c r="BS14" s="1553">
        <f t="shared" si="2"/>
        <v>1</v>
      </c>
      <c r="BT14" s="1567"/>
      <c r="BU14" s="1568"/>
      <c r="BV14" s="1568"/>
      <c r="BW14" s="1553">
        <f t="shared" si="3"/>
        <v>0</v>
      </c>
      <c r="BX14" s="1567"/>
      <c r="BY14" s="1568">
        <v>1</v>
      </c>
      <c r="BZ14" s="1568"/>
      <c r="CA14" s="1553">
        <f t="shared" si="0"/>
        <v>1</v>
      </c>
      <c r="CB14" s="1567"/>
      <c r="CC14" s="1568"/>
      <c r="CD14" s="1568"/>
      <c r="CE14" s="1553">
        <f t="shared" si="4"/>
        <v>0</v>
      </c>
      <c r="CF14" s="1567"/>
      <c r="CG14" s="1568">
        <v>1</v>
      </c>
      <c r="CH14" s="1568">
        <v>1</v>
      </c>
      <c r="CI14" s="1553">
        <f t="shared" si="5"/>
        <v>2</v>
      </c>
      <c r="CJ14" s="1567">
        <v>1</v>
      </c>
      <c r="CK14" s="1568"/>
      <c r="CL14" s="1568"/>
      <c r="CM14" s="1570">
        <f t="shared" si="6"/>
        <v>1</v>
      </c>
      <c r="CN14" s="1567">
        <v>1</v>
      </c>
      <c r="CO14" s="1568">
        <v>1</v>
      </c>
      <c r="CP14" s="1568">
        <v>1</v>
      </c>
      <c r="CQ14" s="1570">
        <f t="shared" si="7"/>
        <v>3</v>
      </c>
      <c r="CR14" s="1567"/>
      <c r="CS14" s="1568">
        <v>1</v>
      </c>
      <c r="CT14" s="1568"/>
      <c r="CU14" s="1570">
        <f t="shared" si="8"/>
        <v>1</v>
      </c>
    </row>
    <row r="15" spans="2:99" ht="14.25" customHeight="1" x14ac:dyDescent="0.25">
      <c r="B15" s="5866"/>
      <c r="C15" s="1572" t="s">
        <v>435</v>
      </c>
      <c r="D15" s="1573"/>
      <c r="E15" s="1574"/>
      <c r="F15" s="1574"/>
      <c r="G15" s="1575"/>
      <c r="H15" s="1573"/>
      <c r="I15" s="1574"/>
      <c r="J15" s="1574"/>
      <c r="K15" s="1575"/>
      <c r="L15" s="1573"/>
      <c r="M15" s="1574"/>
      <c r="N15" s="1574"/>
      <c r="O15" s="1575"/>
      <c r="P15" s="1573"/>
      <c r="Q15" s="1574"/>
      <c r="R15" s="1574"/>
      <c r="S15" s="1575"/>
      <c r="T15" s="1573"/>
      <c r="U15" s="1574"/>
      <c r="V15" s="1574"/>
      <c r="W15" s="1575"/>
      <c r="X15" s="1573"/>
      <c r="Y15" s="1574"/>
      <c r="Z15" s="1574"/>
      <c r="AA15" s="1575"/>
      <c r="AB15" s="1573"/>
      <c r="AC15" s="1574"/>
      <c r="AD15" s="1574"/>
      <c r="AE15" s="1576"/>
      <c r="AF15" s="1574"/>
      <c r="AG15" s="1574"/>
      <c r="AH15" s="1574"/>
      <c r="AI15" s="1576"/>
      <c r="AJ15" s="1574"/>
      <c r="AK15" s="1574"/>
      <c r="AL15" s="1574"/>
      <c r="AM15" s="1576"/>
      <c r="AN15" s="1574"/>
      <c r="AO15" s="1574"/>
      <c r="AP15" s="1574"/>
      <c r="AQ15" s="1576"/>
      <c r="AR15" s="1574"/>
      <c r="AS15" s="1574"/>
      <c r="AT15" s="1574"/>
      <c r="AU15" s="1576"/>
      <c r="AV15" s="1574"/>
      <c r="AW15" s="1574"/>
      <c r="AX15" s="1574"/>
      <c r="AY15" s="1576"/>
      <c r="AZ15" s="1574"/>
      <c r="BA15" s="1574"/>
      <c r="BB15" s="1574"/>
      <c r="BC15" s="1576"/>
      <c r="BD15" s="1574"/>
      <c r="BE15" s="1574"/>
      <c r="BF15" s="1574"/>
      <c r="BG15" s="1576"/>
      <c r="BH15" s="1574"/>
      <c r="BI15" s="1574"/>
      <c r="BJ15" s="1574"/>
      <c r="BK15" s="1576"/>
      <c r="BL15" s="1574"/>
      <c r="BM15" s="1574"/>
      <c r="BN15" s="1574"/>
      <c r="BO15" s="1576"/>
      <c r="BP15" s="1574"/>
      <c r="BQ15" s="1574"/>
      <c r="BR15" s="1574"/>
      <c r="BS15" s="1576"/>
      <c r="BT15" s="1574"/>
      <c r="BU15" s="1574"/>
      <c r="BV15" s="1574"/>
      <c r="BW15" s="1576"/>
      <c r="BX15" s="1574"/>
      <c r="BY15" s="1574">
        <v>1</v>
      </c>
      <c r="BZ15" s="1574"/>
      <c r="CA15" s="1553">
        <f t="shared" si="0"/>
        <v>1</v>
      </c>
      <c r="CB15" s="1574">
        <v>1</v>
      </c>
      <c r="CC15" s="1574"/>
      <c r="CD15" s="1574"/>
      <c r="CE15" s="1553">
        <f t="shared" si="4"/>
        <v>1</v>
      </c>
      <c r="CF15" s="1574">
        <v>1</v>
      </c>
      <c r="CG15" s="1574"/>
      <c r="CH15" s="1574"/>
      <c r="CI15" s="1553">
        <f t="shared" si="5"/>
        <v>1</v>
      </c>
      <c r="CJ15" s="1574">
        <v>1</v>
      </c>
      <c r="CK15" s="1574"/>
      <c r="CL15" s="1574">
        <v>1</v>
      </c>
      <c r="CM15" s="1553">
        <f t="shared" si="6"/>
        <v>2</v>
      </c>
      <c r="CN15" s="1574"/>
      <c r="CO15" s="1574"/>
      <c r="CP15" s="1574">
        <v>1</v>
      </c>
      <c r="CQ15" s="1553">
        <f t="shared" si="7"/>
        <v>1</v>
      </c>
      <c r="CR15" s="1574">
        <v>3</v>
      </c>
      <c r="CS15" s="1574">
        <v>1</v>
      </c>
      <c r="CT15" s="1574"/>
      <c r="CU15" s="1553">
        <f t="shared" si="8"/>
        <v>4</v>
      </c>
    </row>
    <row r="16" spans="2:99" ht="14.25" customHeight="1" x14ac:dyDescent="0.25">
      <c r="B16" s="5866"/>
      <c r="C16" s="1572" t="s">
        <v>436</v>
      </c>
      <c r="D16" s="1573"/>
      <c r="E16" s="1574"/>
      <c r="F16" s="1574"/>
      <c r="G16" s="1575"/>
      <c r="H16" s="1573"/>
      <c r="I16" s="1574"/>
      <c r="J16" s="1574"/>
      <c r="K16" s="1575"/>
      <c r="L16" s="1573"/>
      <c r="M16" s="1574"/>
      <c r="N16" s="1574"/>
      <c r="O16" s="1575"/>
      <c r="P16" s="1573"/>
      <c r="Q16" s="1574"/>
      <c r="R16" s="1574"/>
      <c r="S16" s="1575"/>
      <c r="T16" s="1573"/>
      <c r="U16" s="1574"/>
      <c r="V16" s="1574"/>
      <c r="W16" s="1575"/>
      <c r="X16" s="1573"/>
      <c r="Y16" s="1574"/>
      <c r="Z16" s="1574"/>
      <c r="AA16" s="1575"/>
      <c r="AB16" s="1573"/>
      <c r="AC16" s="1574"/>
      <c r="AD16" s="1574"/>
      <c r="AE16" s="1576"/>
      <c r="AF16" s="1574"/>
      <c r="AG16" s="1574"/>
      <c r="AH16" s="1574"/>
      <c r="AI16" s="1576"/>
      <c r="AJ16" s="1574"/>
      <c r="AK16" s="1574"/>
      <c r="AL16" s="1574"/>
      <c r="AM16" s="1576"/>
      <c r="AN16" s="1574"/>
      <c r="AO16" s="1574"/>
      <c r="AP16" s="1574"/>
      <c r="AQ16" s="1576"/>
      <c r="AR16" s="1574"/>
      <c r="AS16" s="1574"/>
      <c r="AT16" s="1574"/>
      <c r="AU16" s="1576"/>
      <c r="AV16" s="1574"/>
      <c r="AW16" s="1574"/>
      <c r="AX16" s="1574"/>
      <c r="AY16" s="1576"/>
      <c r="AZ16" s="1574"/>
      <c r="BA16" s="1574"/>
      <c r="BB16" s="1574"/>
      <c r="BC16" s="1576"/>
      <c r="BD16" s="1574"/>
      <c r="BE16" s="1574"/>
      <c r="BF16" s="1574"/>
      <c r="BG16" s="1576"/>
      <c r="BH16" s="1574"/>
      <c r="BI16" s="1574"/>
      <c r="BJ16" s="1574"/>
      <c r="BK16" s="1576"/>
      <c r="BL16" s="1574"/>
      <c r="BM16" s="1574"/>
      <c r="BN16" s="1574"/>
      <c r="BO16" s="1576"/>
      <c r="BP16" s="1574"/>
      <c r="BQ16" s="1574"/>
      <c r="BR16" s="1574"/>
      <c r="BS16" s="1576"/>
      <c r="BT16" s="1574"/>
      <c r="BU16" s="1574"/>
      <c r="BV16" s="1574"/>
      <c r="BW16" s="1576"/>
      <c r="BX16" s="1574">
        <v>1</v>
      </c>
      <c r="BY16" s="1574"/>
      <c r="BZ16" s="1574">
        <v>1</v>
      </c>
      <c r="CA16" s="1553">
        <f t="shared" si="0"/>
        <v>2</v>
      </c>
      <c r="CB16" s="1574"/>
      <c r="CC16" s="1574">
        <v>1</v>
      </c>
      <c r="CD16" s="1574"/>
      <c r="CE16" s="1553">
        <f t="shared" si="4"/>
        <v>1</v>
      </c>
      <c r="CF16" s="1574"/>
      <c r="CG16" s="1574"/>
      <c r="CH16" s="1574"/>
      <c r="CI16" s="1553">
        <f t="shared" si="5"/>
        <v>0</v>
      </c>
      <c r="CJ16" s="1574"/>
      <c r="CK16" s="1574"/>
      <c r="CL16" s="1574"/>
      <c r="CM16" s="1553">
        <f t="shared" si="6"/>
        <v>0</v>
      </c>
      <c r="CN16" s="1574"/>
      <c r="CO16" s="1574"/>
      <c r="CP16" s="1574"/>
      <c r="CQ16" s="1553">
        <f t="shared" si="7"/>
        <v>0</v>
      </c>
      <c r="CR16" s="1574"/>
      <c r="CS16" s="1574"/>
      <c r="CT16" s="1574"/>
      <c r="CU16" s="1553">
        <f t="shared" si="8"/>
        <v>0</v>
      </c>
    </row>
    <row r="17" spans="2:99" ht="14.25" customHeight="1" x14ac:dyDescent="0.25">
      <c r="B17" s="5867"/>
      <c r="C17" s="1572" t="s">
        <v>1394</v>
      </c>
      <c r="D17" s="1573"/>
      <c r="E17" s="1574"/>
      <c r="F17" s="1574"/>
      <c r="G17" s="1575"/>
      <c r="H17" s="1573"/>
      <c r="I17" s="1574"/>
      <c r="J17" s="1574"/>
      <c r="K17" s="1575"/>
      <c r="L17" s="1573"/>
      <c r="M17" s="1574"/>
      <c r="N17" s="1574"/>
      <c r="O17" s="1575"/>
      <c r="P17" s="1573"/>
      <c r="Q17" s="1574"/>
      <c r="R17" s="1574"/>
      <c r="S17" s="1575"/>
      <c r="T17" s="1573"/>
      <c r="U17" s="1574"/>
      <c r="V17" s="1574"/>
      <c r="W17" s="1575"/>
      <c r="X17" s="1573"/>
      <c r="Y17" s="1574"/>
      <c r="Z17" s="1574"/>
      <c r="AA17" s="1575"/>
      <c r="AB17" s="1573"/>
      <c r="AC17" s="1574"/>
      <c r="AD17" s="1574"/>
      <c r="AE17" s="1576"/>
      <c r="AF17" s="1574"/>
      <c r="AG17" s="1574"/>
      <c r="AH17" s="1574"/>
      <c r="AI17" s="1576"/>
      <c r="AJ17" s="1574"/>
      <c r="AK17" s="1574"/>
      <c r="AL17" s="1574"/>
      <c r="AM17" s="1576"/>
      <c r="AN17" s="1574"/>
      <c r="AO17" s="1574"/>
      <c r="AP17" s="1574"/>
      <c r="AQ17" s="1576"/>
      <c r="AR17" s="1574"/>
      <c r="AS17" s="1574"/>
      <c r="AT17" s="1574"/>
      <c r="AU17" s="1576"/>
      <c r="AV17" s="1574"/>
      <c r="AW17" s="1574"/>
      <c r="AX17" s="1574"/>
      <c r="AY17" s="1576"/>
      <c r="AZ17" s="1574"/>
      <c r="BA17" s="1574"/>
      <c r="BB17" s="1574"/>
      <c r="BC17" s="1576"/>
      <c r="BD17" s="1574"/>
      <c r="BE17" s="1574"/>
      <c r="BF17" s="1574"/>
      <c r="BG17" s="1576"/>
      <c r="BH17" s="1574"/>
      <c r="BI17" s="1574"/>
      <c r="BJ17" s="1574"/>
      <c r="BK17" s="1576"/>
      <c r="BL17" s="1574"/>
      <c r="BM17" s="1574"/>
      <c r="BN17" s="1574"/>
      <c r="BO17" s="1576"/>
      <c r="BP17" s="1574"/>
      <c r="BQ17" s="1574"/>
      <c r="BR17" s="1574"/>
      <c r="BS17" s="1576"/>
      <c r="BT17" s="1574"/>
      <c r="BU17" s="1574"/>
      <c r="BV17" s="1574"/>
      <c r="BW17" s="1576"/>
      <c r="BX17" s="1574"/>
      <c r="BY17" s="1574"/>
      <c r="BZ17" s="1574">
        <v>5</v>
      </c>
      <c r="CA17" s="1553">
        <f t="shared" si="0"/>
        <v>5</v>
      </c>
      <c r="CB17" s="1574">
        <v>2</v>
      </c>
      <c r="CC17" s="1574"/>
      <c r="CD17" s="1574"/>
      <c r="CE17" s="1553">
        <f t="shared" si="4"/>
        <v>2</v>
      </c>
      <c r="CF17" s="1574"/>
      <c r="CG17" s="1574"/>
      <c r="CH17" s="1574">
        <v>1</v>
      </c>
      <c r="CI17" s="1553">
        <f t="shared" si="5"/>
        <v>1</v>
      </c>
      <c r="CJ17" s="1574"/>
      <c r="CK17" s="1574"/>
      <c r="CL17" s="1574">
        <v>1</v>
      </c>
      <c r="CM17" s="1553">
        <f t="shared" si="6"/>
        <v>1</v>
      </c>
      <c r="CN17" s="1574">
        <v>1</v>
      </c>
      <c r="CO17" s="1574">
        <v>1</v>
      </c>
      <c r="CP17" s="1574"/>
      <c r="CQ17" s="1553">
        <f t="shared" si="7"/>
        <v>2</v>
      </c>
      <c r="CR17" s="1574"/>
      <c r="CS17" s="1574"/>
      <c r="CT17" s="1574">
        <v>2</v>
      </c>
      <c r="CU17" s="1553">
        <f t="shared" si="8"/>
        <v>2</v>
      </c>
    </row>
    <row r="18" spans="2:99" ht="14.25" customHeight="1" x14ac:dyDescent="0.25">
      <c r="B18" s="1577"/>
      <c r="C18" s="1578" t="s">
        <v>59</v>
      </c>
      <c r="D18" s="1579">
        <f t="shared" ref="D18:BO18" si="9">SUM(D5:D14)</f>
        <v>0</v>
      </c>
      <c r="E18" s="1580">
        <f t="shared" si="9"/>
        <v>2</v>
      </c>
      <c r="F18" s="1580">
        <f t="shared" si="9"/>
        <v>1</v>
      </c>
      <c r="G18" s="1580">
        <f t="shared" si="9"/>
        <v>3</v>
      </c>
      <c r="H18" s="1579">
        <f t="shared" si="9"/>
        <v>1</v>
      </c>
      <c r="I18" s="1580">
        <f t="shared" si="9"/>
        <v>0</v>
      </c>
      <c r="J18" s="1580">
        <f t="shared" si="9"/>
        <v>1</v>
      </c>
      <c r="K18" s="1580">
        <f t="shared" si="9"/>
        <v>2</v>
      </c>
      <c r="L18" s="1579">
        <f t="shared" si="9"/>
        <v>2</v>
      </c>
      <c r="M18" s="1580">
        <f t="shared" si="9"/>
        <v>4</v>
      </c>
      <c r="N18" s="1580">
        <f t="shared" si="9"/>
        <v>7</v>
      </c>
      <c r="O18" s="1580">
        <f t="shared" si="9"/>
        <v>13</v>
      </c>
      <c r="P18" s="1579">
        <f t="shared" si="9"/>
        <v>1</v>
      </c>
      <c r="Q18" s="1580">
        <f t="shared" si="9"/>
        <v>6</v>
      </c>
      <c r="R18" s="1580">
        <f t="shared" si="9"/>
        <v>8</v>
      </c>
      <c r="S18" s="1580">
        <f t="shared" si="9"/>
        <v>15</v>
      </c>
      <c r="T18" s="1579">
        <f t="shared" si="9"/>
        <v>5</v>
      </c>
      <c r="U18" s="1580">
        <f t="shared" si="9"/>
        <v>14</v>
      </c>
      <c r="V18" s="1580">
        <f t="shared" si="9"/>
        <v>6</v>
      </c>
      <c r="W18" s="1580">
        <f t="shared" si="9"/>
        <v>25</v>
      </c>
      <c r="X18" s="1579">
        <f t="shared" si="9"/>
        <v>7</v>
      </c>
      <c r="Y18" s="1580">
        <f t="shared" si="9"/>
        <v>7</v>
      </c>
      <c r="Z18" s="1580">
        <f t="shared" si="9"/>
        <v>10</v>
      </c>
      <c r="AA18" s="1580">
        <f t="shared" si="9"/>
        <v>24</v>
      </c>
      <c r="AB18" s="1579">
        <f t="shared" si="9"/>
        <v>6</v>
      </c>
      <c r="AC18" s="1580">
        <f t="shared" si="9"/>
        <v>19</v>
      </c>
      <c r="AD18" s="1580">
        <f t="shared" si="9"/>
        <v>10</v>
      </c>
      <c r="AE18" s="1581">
        <f t="shared" si="9"/>
        <v>35</v>
      </c>
      <c r="AF18" s="1580">
        <f t="shared" si="9"/>
        <v>8</v>
      </c>
      <c r="AG18" s="1580">
        <f t="shared" si="9"/>
        <v>12</v>
      </c>
      <c r="AH18" s="1580">
        <f t="shared" si="9"/>
        <v>10</v>
      </c>
      <c r="AI18" s="1581">
        <f t="shared" si="9"/>
        <v>30</v>
      </c>
      <c r="AJ18" s="1580">
        <f t="shared" si="9"/>
        <v>13</v>
      </c>
      <c r="AK18" s="1580">
        <f t="shared" si="9"/>
        <v>10</v>
      </c>
      <c r="AL18" s="1580">
        <f t="shared" si="9"/>
        <v>13</v>
      </c>
      <c r="AM18" s="1581">
        <f t="shared" si="9"/>
        <v>36</v>
      </c>
      <c r="AN18" s="1580">
        <f t="shared" si="9"/>
        <v>12</v>
      </c>
      <c r="AO18" s="1580">
        <f t="shared" si="9"/>
        <v>12</v>
      </c>
      <c r="AP18" s="1580">
        <f t="shared" si="9"/>
        <v>12</v>
      </c>
      <c r="AQ18" s="1581">
        <f t="shared" si="9"/>
        <v>36</v>
      </c>
      <c r="AR18" s="1580">
        <f t="shared" si="9"/>
        <v>1</v>
      </c>
      <c r="AS18" s="1580">
        <f t="shared" si="9"/>
        <v>14</v>
      </c>
      <c r="AT18" s="1580">
        <f t="shared" si="9"/>
        <v>3</v>
      </c>
      <c r="AU18" s="1581">
        <f t="shared" si="9"/>
        <v>18</v>
      </c>
      <c r="AV18" s="1580">
        <f t="shared" si="9"/>
        <v>6</v>
      </c>
      <c r="AW18" s="1580">
        <f t="shared" si="9"/>
        <v>10</v>
      </c>
      <c r="AX18" s="1580">
        <f t="shared" si="9"/>
        <v>9</v>
      </c>
      <c r="AY18" s="1581">
        <f t="shared" si="9"/>
        <v>25</v>
      </c>
      <c r="AZ18" s="1580">
        <f t="shared" si="9"/>
        <v>15</v>
      </c>
      <c r="BA18" s="1580">
        <f t="shared" si="9"/>
        <v>18</v>
      </c>
      <c r="BB18" s="1580">
        <f t="shared" si="9"/>
        <v>9</v>
      </c>
      <c r="BC18" s="1581">
        <f t="shared" si="9"/>
        <v>42</v>
      </c>
      <c r="BD18" s="1580">
        <f t="shared" si="9"/>
        <v>15</v>
      </c>
      <c r="BE18" s="1580">
        <f t="shared" si="9"/>
        <v>13</v>
      </c>
      <c r="BF18" s="1580">
        <f t="shared" si="9"/>
        <v>17</v>
      </c>
      <c r="BG18" s="1581">
        <f t="shared" si="9"/>
        <v>45</v>
      </c>
      <c r="BH18" s="1580">
        <f t="shared" si="9"/>
        <v>9</v>
      </c>
      <c r="BI18" s="1580">
        <f t="shared" si="9"/>
        <v>13</v>
      </c>
      <c r="BJ18" s="1580">
        <f t="shared" si="9"/>
        <v>14</v>
      </c>
      <c r="BK18" s="1581">
        <f t="shared" si="9"/>
        <v>36</v>
      </c>
      <c r="BL18" s="1580">
        <f t="shared" si="9"/>
        <v>11</v>
      </c>
      <c r="BM18" s="1580">
        <f t="shared" si="9"/>
        <v>15</v>
      </c>
      <c r="BN18" s="1580">
        <f t="shared" si="9"/>
        <v>17</v>
      </c>
      <c r="BO18" s="1581">
        <f t="shared" si="9"/>
        <v>43</v>
      </c>
      <c r="BP18" s="1580">
        <f t="shared" ref="BP18:BW18" si="10">SUM(BP5:BP14)</f>
        <v>16</v>
      </c>
      <c r="BQ18" s="1580">
        <f t="shared" si="10"/>
        <v>14</v>
      </c>
      <c r="BR18" s="1580">
        <f t="shared" si="10"/>
        <v>8</v>
      </c>
      <c r="BS18" s="1581">
        <f t="shared" si="10"/>
        <v>38</v>
      </c>
      <c r="BT18" s="1580">
        <f t="shared" si="10"/>
        <v>21</v>
      </c>
      <c r="BU18" s="1580">
        <f t="shared" si="10"/>
        <v>23</v>
      </c>
      <c r="BV18" s="1580">
        <f t="shared" si="10"/>
        <v>14</v>
      </c>
      <c r="BW18" s="1581">
        <f t="shared" si="10"/>
        <v>58</v>
      </c>
      <c r="BX18" s="1580">
        <f t="shared" ref="BX18:CD18" si="11">SUM(BX5:BX17)</f>
        <v>26</v>
      </c>
      <c r="BY18" s="1580">
        <f t="shared" si="11"/>
        <v>27</v>
      </c>
      <c r="BZ18" s="1580">
        <f t="shared" si="11"/>
        <v>22</v>
      </c>
      <c r="CA18" s="1581">
        <f t="shared" si="11"/>
        <v>75</v>
      </c>
      <c r="CB18" s="1580">
        <f t="shared" si="11"/>
        <v>26</v>
      </c>
      <c r="CC18" s="1580">
        <f t="shared" si="11"/>
        <v>14</v>
      </c>
      <c r="CD18" s="1580">
        <f t="shared" si="11"/>
        <v>20</v>
      </c>
      <c r="CE18" s="1581">
        <f t="shared" si="4"/>
        <v>60</v>
      </c>
      <c r="CF18" s="1580">
        <f>SUM(CF5:CF17)</f>
        <v>26</v>
      </c>
      <c r="CG18" s="1580">
        <f>SUM(CG5:CG17)</f>
        <v>5</v>
      </c>
      <c r="CH18" s="1580">
        <f>SUM(CH5:CH17)</f>
        <v>16</v>
      </c>
      <c r="CI18" s="1581">
        <f t="shared" si="5"/>
        <v>47</v>
      </c>
      <c r="CJ18" s="1580">
        <f>SUM(CJ5:CJ17)</f>
        <v>25</v>
      </c>
      <c r="CK18" s="1580">
        <f>SUM(CK5:CK17)</f>
        <v>4</v>
      </c>
      <c r="CL18" s="1580">
        <f>SUM(CL5:CL17)</f>
        <v>15</v>
      </c>
      <c r="CM18" s="1582">
        <f t="shared" si="6"/>
        <v>44</v>
      </c>
      <c r="CN18" s="1580">
        <f>SUM(CN5:CN17)</f>
        <v>18</v>
      </c>
      <c r="CO18" s="1580">
        <f>SUM(CO5:CO17)</f>
        <v>16</v>
      </c>
      <c r="CP18" s="1580">
        <f>SUM(CP5:CP17)</f>
        <v>14</v>
      </c>
      <c r="CQ18" s="1582">
        <f t="shared" si="7"/>
        <v>48</v>
      </c>
      <c r="CR18" s="1580">
        <f>SUM(CR5:CR17)</f>
        <v>17</v>
      </c>
      <c r="CS18" s="1580">
        <f>SUM(CS5:CS17)</f>
        <v>23</v>
      </c>
      <c r="CT18" s="1580">
        <f>SUM(CT5:CT17)</f>
        <v>12</v>
      </c>
      <c r="CU18" s="1582">
        <f t="shared" si="8"/>
        <v>52</v>
      </c>
    </row>
    <row r="19" spans="2:99" ht="15" customHeight="1" x14ac:dyDescent="0.25">
      <c r="B19" s="5865" t="s">
        <v>308</v>
      </c>
      <c r="C19" s="1583" t="s">
        <v>322</v>
      </c>
      <c r="D19" s="1584"/>
      <c r="E19" s="1585"/>
      <c r="F19" s="1585">
        <v>2</v>
      </c>
      <c r="G19" s="1549">
        <f>SUM(D19:F19)</f>
        <v>2</v>
      </c>
      <c r="H19" s="1584"/>
      <c r="I19" s="1585">
        <v>1</v>
      </c>
      <c r="J19" s="1585">
        <v>3</v>
      </c>
      <c r="K19" s="1549">
        <f>SUM(H19:J19)</f>
        <v>4</v>
      </c>
      <c r="L19" s="1584"/>
      <c r="M19" s="1585">
        <v>8</v>
      </c>
      <c r="N19" s="1585">
        <v>1</v>
      </c>
      <c r="O19" s="1549">
        <f>SUM(L19:N19)</f>
        <v>9</v>
      </c>
      <c r="P19" s="1584">
        <v>1</v>
      </c>
      <c r="Q19" s="1585">
        <v>54</v>
      </c>
      <c r="R19" s="1585">
        <v>10</v>
      </c>
      <c r="S19" s="1549">
        <f>SUM(P19:R19)</f>
        <v>65</v>
      </c>
      <c r="T19" s="1584"/>
      <c r="U19" s="1585">
        <v>8</v>
      </c>
      <c r="V19" s="1585"/>
      <c r="W19" s="1549">
        <f>SUM(T19:V19)</f>
        <v>8</v>
      </c>
      <c r="X19" s="1584"/>
      <c r="Y19" s="1585">
        <v>8</v>
      </c>
      <c r="Z19" s="1585">
        <v>5</v>
      </c>
      <c r="AA19" s="1549">
        <f>SUM(X19:Z19)</f>
        <v>13</v>
      </c>
      <c r="AB19" s="1584">
        <v>6</v>
      </c>
      <c r="AC19" s="1585">
        <v>14</v>
      </c>
      <c r="AD19" s="1585"/>
      <c r="AE19" s="1552">
        <f>SUM(AB19:AD19)</f>
        <v>20</v>
      </c>
      <c r="AF19" s="1585"/>
      <c r="AG19" s="1585">
        <v>16</v>
      </c>
      <c r="AH19" s="1585">
        <v>2</v>
      </c>
      <c r="AI19" s="1552">
        <f>SUM(AF19:AH19)</f>
        <v>18</v>
      </c>
      <c r="AJ19" s="1585">
        <v>1</v>
      </c>
      <c r="AK19" s="1585">
        <v>3</v>
      </c>
      <c r="AL19" s="1585">
        <v>9</v>
      </c>
      <c r="AM19" s="1552">
        <f>SUM(AJ19:AL19)</f>
        <v>13</v>
      </c>
      <c r="AN19" s="1585"/>
      <c r="AO19" s="1585">
        <v>5</v>
      </c>
      <c r="AP19" s="1585"/>
      <c r="AQ19" s="1552">
        <f>SUM(AN19:AP19)</f>
        <v>5</v>
      </c>
      <c r="AR19" s="1585">
        <v>1</v>
      </c>
      <c r="AS19" s="1585">
        <v>8</v>
      </c>
      <c r="AT19" s="1585"/>
      <c r="AU19" s="1552">
        <f>SUM(AR19:AT19)</f>
        <v>9</v>
      </c>
      <c r="AV19" s="1585"/>
      <c r="AW19" s="1585">
        <v>7</v>
      </c>
      <c r="AX19" s="1585"/>
      <c r="AY19" s="1552">
        <f t="shared" ref="AY19:AY29" si="12">SUM(AV19:AX19)</f>
        <v>7</v>
      </c>
      <c r="AZ19" s="1585">
        <v>1</v>
      </c>
      <c r="BA19" s="1585">
        <v>10</v>
      </c>
      <c r="BB19" s="1585">
        <v>1</v>
      </c>
      <c r="BC19" s="1552">
        <f t="shared" ref="BC19:BC29" si="13">SUM(AZ19:BB19)</f>
        <v>12</v>
      </c>
      <c r="BD19" s="1584"/>
      <c r="BE19" s="1585">
        <v>15</v>
      </c>
      <c r="BF19" s="1585"/>
      <c r="BG19" s="1552">
        <f>SUM(BD19:BF19)</f>
        <v>15</v>
      </c>
      <c r="BH19" s="1584"/>
      <c r="BI19" s="1585">
        <v>9</v>
      </c>
      <c r="BJ19" s="1585">
        <v>2</v>
      </c>
      <c r="BK19" s="1552">
        <f>SUM(BH19:BJ19)</f>
        <v>11</v>
      </c>
      <c r="BL19" s="1584"/>
      <c r="BM19" s="1585">
        <v>16</v>
      </c>
      <c r="BN19" s="1585">
        <v>1</v>
      </c>
      <c r="BO19" s="1553">
        <f>SUM(BL19:BN19)</f>
        <v>17</v>
      </c>
      <c r="BP19" s="1584">
        <v>1</v>
      </c>
      <c r="BQ19" s="1585">
        <v>11</v>
      </c>
      <c r="BR19" s="1585">
        <v>3</v>
      </c>
      <c r="BS19" s="1553">
        <f>SUM(BP19:BR19)</f>
        <v>15</v>
      </c>
      <c r="BT19" s="1584"/>
      <c r="BU19" s="1585">
        <v>16</v>
      </c>
      <c r="BV19" s="1585">
        <v>4</v>
      </c>
      <c r="BW19" s="1553">
        <f>SUM(BT19:BV19)</f>
        <v>20</v>
      </c>
      <c r="BX19" s="1584"/>
      <c r="BY19" s="1585">
        <v>20</v>
      </c>
      <c r="BZ19" s="1585"/>
      <c r="CA19" s="1553">
        <f>SUM(BX19:BZ19)</f>
        <v>20</v>
      </c>
      <c r="CB19" s="1584"/>
      <c r="CC19" s="1585">
        <v>19</v>
      </c>
      <c r="CD19" s="1585"/>
      <c r="CE19" s="1553">
        <f t="shared" si="4"/>
        <v>19</v>
      </c>
      <c r="CF19" s="1584"/>
      <c r="CG19" s="1585"/>
      <c r="CH19" s="1585">
        <v>13</v>
      </c>
      <c r="CI19" s="1553">
        <f t="shared" si="5"/>
        <v>13</v>
      </c>
      <c r="CJ19" s="1584"/>
      <c r="CK19" s="1585"/>
      <c r="CL19" s="1585">
        <v>14</v>
      </c>
      <c r="CM19" s="1553">
        <f t="shared" si="6"/>
        <v>14</v>
      </c>
      <c r="CN19" s="1584"/>
      <c r="CO19" s="1585">
        <v>6</v>
      </c>
      <c r="CP19" s="1585">
        <v>1</v>
      </c>
      <c r="CQ19" s="1553">
        <f t="shared" si="7"/>
        <v>7</v>
      </c>
      <c r="CR19" s="1584"/>
      <c r="CS19" s="1585">
        <v>9</v>
      </c>
      <c r="CT19" s="1585"/>
      <c r="CU19" s="1553">
        <f t="shared" si="8"/>
        <v>9</v>
      </c>
    </row>
    <row r="20" spans="2:99" ht="15" customHeight="1" x14ac:dyDescent="0.25">
      <c r="B20" s="5866"/>
      <c r="C20" s="1586" t="s">
        <v>323</v>
      </c>
      <c r="D20" s="1587"/>
      <c r="E20" s="1588"/>
      <c r="F20" s="1588"/>
      <c r="G20" s="1589"/>
      <c r="H20" s="1587"/>
      <c r="I20" s="1588"/>
      <c r="J20" s="1588"/>
      <c r="K20" s="1589"/>
      <c r="L20" s="1587"/>
      <c r="M20" s="1588"/>
      <c r="N20" s="1588"/>
      <c r="O20" s="1589"/>
      <c r="P20" s="1587"/>
      <c r="Q20" s="1588"/>
      <c r="R20" s="1588"/>
      <c r="S20" s="1589"/>
      <c r="T20" s="1587"/>
      <c r="U20" s="1588"/>
      <c r="V20" s="1588"/>
      <c r="W20" s="1589"/>
      <c r="X20" s="1587"/>
      <c r="Y20" s="1588"/>
      <c r="Z20" s="1588"/>
      <c r="AA20" s="1589"/>
      <c r="AB20" s="1587"/>
      <c r="AC20" s="1588"/>
      <c r="AD20" s="1588"/>
      <c r="AE20" s="1590"/>
      <c r="AF20" s="1588"/>
      <c r="AG20" s="1588"/>
      <c r="AH20" s="1588"/>
      <c r="AI20" s="1590"/>
      <c r="AJ20" s="1588"/>
      <c r="AK20" s="1588"/>
      <c r="AL20" s="1588"/>
      <c r="AM20" s="1590"/>
      <c r="AN20" s="1588"/>
      <c r="AO20" s="1588"/>
      <c r="AP20" s="1588"/>
      <c r="AQ20" s="1590"/>
      <c r="AR20" s="1588"/>
      <c r="AS20" s="1588"/>
      <c r="AT20" s="1588"/>
      <c r="AU20" s="1590"/>
      <c r="AV20" s="1588"/>
      <c r="AW20" s="1588"/>
      <c r="AX20" s="1588"/>
      <c r="AY20" s="1590"/>
      <c r="AZ20" s="1588"/>
      <c r="BA20" s="1588"/>
      <c r="BB20" s="1588"/>
      <c r="BC20" s="1590"/>
      <c r="BD20" s="1587"/>
      <c r="BE20" s="1588"/>
      <c r="BF20" s="1588"/>
      <c r="BG20" s="1590"/>
      <c r="BH20" s="1587"/>
      <c r="BI20" s="1588"/>
      <c r="BJ20" s="1588"/>
      <c r="BK20" s="1590"/>
      <c r="BL20" s="1587"/>
      <c r="BM20" s="1588"/>
      <c r="BN20" s="1588"/>
      <c r="BO20" s="1553"/>
      <c r="BP20" s="1587"/>
      <c r="BQ20" s="1588"/>
      <c r="BR20" s="1588"/>
      <c r="BS20" s="1553"/>
      <c r="BT20" s="1587"/>
      <c r="BU20" s="1588"/>
      <c r="BV20" s="1588"/>
      <c r="BW20" s="1553"/>
      <c r="BX20" s="1587"/>
      <c r="BY20" s="1588"/>
      <c r="BZ20" s="1588"/>
      <c r="CA20" s="1553"/>
      <c r="CB20" s="1587"/>
      <c r="CC20" s="1588"/>
      <c r="CD20" s="1588"/>
      <c r="CE20" s="1553"/>
      <c r="CF20" s="1587"/>
      <c r="CG20" s="1588"/>
      <c r="CH20" s="1588"/>
      <c r="CI20" s="1553"/>
      <c r="CJ20" s="1587"/>
      <c r="CK20" s="1588">
        <v>2</v>
      </c>
      <c r="CL20" s="1588">
        <v>4</v>
      </c>
      <c r="CM20" s="1553">
        <f t="shared" si="6"/>
        <v>6</v>
      </c>
      <c r="CN20" s="1587"/>
      <c r="CO20" s="1588"/>
      <c r="CP20" s="1588"/>
      <c r="CQ20" s="1553">
        <f t="shared" si="7"/>
        <v>0</v>
      </c>
      <c r="CR20" s="1587"/>
      <c r="CS20" s="1588">
        <v>2</v>
      </c>
      <c r="CT20" s="1588"/>
      <c r="CU20" s="1553">
        <f t="shared" si="8"/>
        <v>2</v>
      </c>
    </row>
    <row r="21" spans="2:99" ht="15" customHeight="1" x14ac:dyDescent="0.25">
      <c r="B21" s="5866"/>
      <c r="C21" s="1591" t="s">
        <v>324</v>
      </c>
      <c r="D21" s="1567"/>
      <c r="E21" s="1568"/>
      <c r="F21" s="1568"/>
      <c r="G21" s="1569"/>
      <c r="H21" s="1567"/>
      <c r="I21" s="1568"/>
      <c r="J21" s="1568"/>
      <c r="K21" s="1569"/>
      <c r="L21" s="1567"/>
      <c r="M21" s="1568"/>
      <c r="N21" s="1568"/>
      <c r="O21" s="1569"/>
      <c r="P21" s="1567"/>
      <c r="Q21" s="1568"/>
      <c r="R21" s="1568"/>
      <c r="S21" s="1569"/>
      <c r="T21" s="1567"/>
      <c r="U21" s="1568"/>
      <c r="V21" s="1568"/>
      <c r="W21" s="1569"/>
      <c r="X21" s="1567"/>
      <c r="Y21" s="1568"/>
      <c r="Z21" s="1568"/>
      <c r="AA21" s="1569"/>
      <c r="AB21" s="1567"/>
      <c r="AC21" s="1568">
        <v>8</v>
      </c>
      <c r="AD21" s="1568"/>
      <c r="AE21" s="1553">
        <f>SUM(AB21:AD21)</f>
        <v>8</v>
      </c>
      <c r="AF21" s="1568"/>
      <c r="AG21" s="1568">
        <v>5</v>
      </c>
      <c r="AH21" s="1568"/>
      <c r="AI21" s="1553">
        <f>SUM(AF21:AH21)</f>
        <v>5</v>
      </c>
      <c r="AJ21" s="1568"/>
      <c r="AK21" s="1568">
        <v>14</v>
      </c>
      <c r="AL21" s="1568"/>
      <c r="AM21" s="1553">
        <f>SUM(AJ21:AL21)</f>
        <v>14</v>
      </c>
      <c r="AN21" s="1568"/>
      <c r="AO21" s="1568"/>
      <c r="AP21" s="1568"/>
      <c r="AQ21" s="1553">
        <f>SUM(AN21:AP21)</f>
        <v>0</v>
      </c>
      <c r="AR21" s="1568"/>
      <c r="AS21" s="1568">
        <v>1</v>
      </c>
      <c r="AT21" s="1568"/>
      <c r="AU21" s="1553">
        <f>SUM(AR21:AT21)</f>
        <v>1</v>
      </c>
      <c r="AV21" s="1568"/>
      <c r="AW21" s="1568"/>
      <c r="AX21" s="1568"/>
      <c r="AY21" s="1553">
        <f t="shared" si="12"/>
        <v>0</v>
      </c>
      <c r="AZ21" s="1568"/>
      <c r="BA21" s="1568">
        <v>7</v>
      </c>
      <c r="BB21" s="1568"/>
      <c r="BC21" s="1553">
        <f t="shared" si="13"/>
        <v>7</v>
      </c>
      <c r="BD21" s="1567"/>
      <c r="BE21" s="1568">
        <v>9</v>
      </c>
      <c r="BF21" s="1568"/>
      <c r="BG21" s="1553">
        <f>SUM(BD21:BF21)</f>
        <v>9</v>
      </c>
      <c r="BH21" s="1567"/>
      <c r="BI21" s="1568"/>
      <c r="BJ21" s="1568"/>
      <c r="BK21" s="1553"/>
      <c r="BL21" s="1567"/>
      <c r="BM21" s="1568"/>
      <c r="BN21" s="1568">
        <v>5</v>
      </c>
      <c r="BO21" s="1553">
        <f>SUM(BL21:BN21)</f>
        <v>5</v>
      </c>
      <c r="BP21" s="1567"/>
      <c r="BQ21" s="1568"/>
      <c r="BR21" s="1568"/>
      <c r="BS21" s="1553">
        <f>SUM(BP21:BR21)</f>
        <v>0</v>
      </c>
      <c r="BT21" s="1567"/>
      <c r="BU21" s="1568">
        <v>5</v>
      </c>
      <c r="BV21" s="1568"/>
      <c r="BW21" s="1553">
        <f>SUM(BT21:BV21)</f>
        <v>5</v>
      </c>
      <c r="BX21" s="1567"/>
      <c r="BY21" s="1568"/>
      <c r="BZ21" s="1568"/>
      <c r="CA21" s="1553">
        <f>SUM(BX21:BZ21)</f>
        <v>0</v>
      </c>
      <c r="CB21" s="1567"/>
      <c r="CC21" s="1568"/>
      <c r="CD21" s="1568"/>
      <c r="CE21" s="1553">
        <f t="shared" si="4"/>
        <v>0</v>
      </c>
      <c r="CF21" s="1567"/>
      <c r="CG21" s="1568"/>
      <c r="CH21" s="1568"/>
      <c r="CI21" s="1553">
        <f t="shared" si="5"/>
        <v>0</v>
      </c>
      <c r="CJ21" s="1567"/>
      <c r="CK21" s="1568">
        <v>6</v>
      </c>
      <c r="CL21" s="1568"/>
      <c r="CM21" s="1553">
        <f t="shared" si="6"/>
        <v>6</v>
      </c>
      <c r="CN21" s="1567"/>
      <c r="CO21" s="1568"/>
      <c r="CP21" s="1568"/>
      <c r="CQ21" s="1553">
        <f t="shared" si="7"/>
        <v>0</v>
      </c>
      <c r="CR21" s="1567"/>
      <c r="CS21" s="1568"/>
      <c r="CT21" s="1568"/>
      <c r="CU21" s="1553">
        <f t="shared" si="8"/>
        <v>0</v>
      </c>
    </row>
    <row r="22" spans="2:99" ht="15" customHeight="1" x14ac:dyDescent="0.25">
      <c r="B22" s="5867"/>
      <c r="C22" s="1591" t="s">
        <v>326</v>
      </c>
      <c r="D22" s="1567"/>
      <c r="E22" s="1568"/>
      <c r="F22" s="1568"/>
      <c r="G22" s="1569"/>
      <c r="H22" s="1567"/>
      <c r="I22" s="1568"/>
      <c r="J22" s="1568"/>
      <c r="K22" s="1569"/>
      <c r="L22" s="1567"/>
      <c r="M22" s="1568"/>
      <c r="N22" s="1568"/>
      <c r="O22" s="1569"/>
      <c r="P22" s="1567"/>
      <c r="Q22" s="1568"/>
      <c r="R22" s="1568"/>
      <c r="S22" s="1569"/>
      <c r="T22" s="1567"/>
      <c r="U22" s="1568"/>
      <c r="V22" s="1568"/>
      <c r="W22" s="1569"/>
      <c r="X22" s="1567"/>
      <c r="Y22" s="1568"/>
      <c r="Z22" s="1568"/>
      <c r="AA22" s="1569"/>
      <c r="AB22" s="1567"/>
      <c r="AC22" s="1568"/>
      <c r="AD22" s="1568"/>
      <c r="AE22" s="1553"/>
      <c r="AF22" s="1568"/>
      <c r="AG22" s="1568"/>
      <c r="AH22" s="1568"/>
      <c r="AI22" s="1553"/>
      <c r="AJ22" s="1568"/>
      <c r="AK22" s="1568"/>
      <c r="AL22" s="1568"/>
      <c r="AM22" s="1553"/>
      <c r="AN22" s="1568"/>
      <c r="AO22" s="1568"/>
      <c r="AP22" s="1568"/>
      <c r="AQ22" s="1553"/>
      <c r="AR22" s="1568"/>
      <c r="AS22" s="1568"/>
      <c r="AT22" s="1568">
        <v>1</v>
      </c>
      <c r="AU22" s="1553">
        <f>SUM(AR22:AT22)</f>
        <v>1</v>
      </c>
      <c r="AV22" s="1568"/>
      <c r="AW22" s="1568"/>
      <c r="AX22" s="1568"/>
      <c r="AY22" s="1553">
        <f t="shared" si="12"/>
        <v>0</v>
      </c>
      <c r="AZ22" s="1568"/>
      <c r="BA22" s="1568"/>
      <c r="BB22" s="1568"/>
      <c r="BC22" s="1553">
        <f t="shared" si="13"/>
        <v>0</v>
      </c>
      <c r="BD22" s="1567"/>
      <c r="BE22" s="1568"/>
      <c r="BF22" s="1568"/>
      <c r="BG22" s="1553">
        <f>SUM(BD22:BF22)</f>
        <v>0</v>
      </c>
      <c r="BH22" s="1567"/>
      <c r="BI22" s="1568"/>
      <c r="BJ22" s="1568"/>
      <c r="BK22" s="1553"/>
      <c r="BL22" s="1567"/>
      <c r="BM22" s="1568"/>
      <c r="BN22" s="1568"/>
      <c r="BO22" s="1553">
        <f>SUM(BL22:BN22)</f>
        <v>0</v>
      </c>
      <c r="BP22" s="1567"/>
      <c r="BQ22" s="1568"/>
      <c r="BR22" s="1568"/>
      <c r="BS22" s="1553">
        <f>SUM(BP22:BR22)</f>
        <v>0</v>
      </c>
      <c r="BT22" s="1567"/>
      <c r="BU22" s="1568"/>
      <c r="BV22" s="1568"/>
      <c r="BW22" s="1553">
        <f>SUM(BT22:BV22)</f>
        <v>0</v>
      </c>
      <c r="BX22" s="1567"/>
      <c r="BY22" s="1568"/>
      <c r="BZ22" s="1568"/>
      <c r="CA22" s="1553">
        <f>SUM(BX22:BZ22)</f>
        <v>0</v>
      </c>
      <c r="CB22" s="1567"/>
      <c r="CC22" s="1568"/>
      <c r="CD22" s="1568"/>
      <c r="CE22" s="1553">
        <f t="shared" si="4"/>
        <v>0</v>
      </c>
      <c r="CF22" s="1567"/>
      <c r="CG22" s="1568"/>
      <c r="CH22" s="1568"/>
      <c r="CI22" s="1553">
        <f t="shared" si="5"/>
        <v>0</v>
      </c>
      <c r="CJ22" s="1567"/>
      <c r="CK22" s="1568"/>
      <c r="CL22" s="1568"/>
      <c r="CM22" s="1553">
        <f t="shared" si="6"/>
        <v>0</v>
      </c>
      <c r="CN22" s="1567"/>
      <c r="CO22" s="1568"/>
      <c r="CP22" s="1568"/>
      <c r="CQ22" s="1553">
        <f t="shared" si="7"/>
        <v>0</v>
      </c>
      <c r="CR22" s="1567"/>
      <c r="CS22" s="1568"/>
      <c r="CT22" s="1568"/>
      <c r="CU22" s="1553">
        <f t="shared" si="8"/>
        <v>0</v>
      </c>
    </row>
    <row r="23" spans="2:99" ht="15" customHeight="1" x14ac:dyDescent="0.25">
      <c r="B23" s="5868" t="s">
        <v>310</v>
      </c>
      <c r="C23" s="1592" t="s">
        <v>333</v>
      </c>
      <c r="D23" s="1555"/>
      <c r="E23" s="1556"/>
      <c r="F23" s="1556"/>
      <c r="G23" s="1557"/>
      <c r="H23" s="1555"/>
      <c r="I23" s="1556"/>
      <c r="J23" s="1556"/>
      <c r="K23" s="1557"/>
      <c r="L23" s="1555"/>
      <c r="M23" s="1556"/>
      <c r="N23" s="1556"/>
      <c r="O23" s="1557"/>
      <c r="P23" s="1555"/>
      <c r="Q23" s="1556"/>
      <c r="R23" s="1556"/>
      <c r="S23" s="1557"/>
      <c r="T23" s="1555"/>
      <c r="U23" s="1556"/>
      <c r="V23" s="1556"/>
      <c r="W23" s="1557"/>
      <c r="X23" s="1555"/>
      <c r="Y23" s="1556"/>
      <c r="Z23" s="1556"/>
      <c r="AA23" s="1557"/>
      <c r="AB23" s="1555"/>
      <c r="AC23" s="1556"/>
      <c r="AD23" s="1556"/>
      <c r="AE23" s="1558"/>
      <c r="AF23" s="1556"/>
      <c r="AG23" s="1556"/>
      <c r="AH23" s="1556"/>
      <c r="AI23" s="1558"/>
      <c r="AJ23" s="1556"/>
      <c r="AK23" s="1556"/>
      <c r="AL23" s="1556"/>
      <c r="AM23" s="1558"/>
      <c r="AN23" s="1556"/>
      <c r="AO23" s="1556"/>
      <c r="AP23" s="1556"/>
      <c r="AQ23" s="1558"/>
      <c r="AR23" s="1556"/>
      <c r="AS23" s="1556"/>
      <c r="AT23" s="1556"/>
      <c r="AU23" s="1558"/>
      <c r="AV23" s="1556"/>
      <c r="AW23" s="1556"/>
      <c r="AX23" s="1556"/>
      <c r="AY23" s="1558"/>
      <c r="AZ23" s="1556"/>
      <c r="BA23" s="1556"/>
      <c r="BB23" s="1556"/>
      <c r="BC23" s="1558"/>
      <c r="BD23" s="1555"/>
      <c r="BE23" s="1556"/>
      <c r="BF23" s="1556"/>
      <c r="BG23" s="1558"/>
      <c r="BH23" s="1555"/>
      <c r="BI23" s="1556"/>
      <c r="BJ23" s="1556"/>
      <c r="BK23" s="1558"/>
      <c r="BL23" s="1555"/>
      <c r="BM23" s="1556"/>
      <c r="BN23" s="1556"/>
      <c r="BO23" s="1558"/>
      <c r="BP23" s="1555"/>
      <c r="BQ23" s="1556"/>
      <c r="BR23" s="1556"/>
      <c r="BS23" s="1558"/>
      <c r="BT23" s="1555"/>
      <c r="BU23" s="1556"/>
      <c r="BV23" s="1556"/>
      <c r="BW23" s="1558"/>
      <c r="BX23" s="1555"/>
      <c r="BY23" s="1556"/>
      <c r="BZ23" s="1556"/>
      <c r="CA23" s="1558"/>
      <c r="CB23" s="1555"/>
      <c r="CC23" s="1556"/>
      <c r="CD23" s="1556"/>
      <c r="CE23" s="1558"/>
      <c r="CF23" s="1555"/>
      <c r="CG23" s="1556"/>
      <c r="CH23" s="1556"/>
      <c r="CI23" s="1558"/>
      <c r="CJ23" s="1555">
        <v>1</v>
      </c>
      <c r="CK23" s="1556"/>
      <c r="CL23" s="1556">
        <v>1</v>
      </c>
      <c r="CM23" s="1558">
        <f t="shared" si="6"/>
        <v>2</v>
      </c>
      <c r="CN23" s="1555"/>
      <c r="CO23" s="1556">
        <v>1</v>
      </c>
      <c r="CP23" s="1556">
        <v>2</v>
      </c>
      <c r="CQ23" s="1558">
        <f t="shared" si="7"/>
        <v>3</v>
      </c>
      <c r="CR23" s="1555">
        <v>5</v>
      </c>
      <c r="CS23" s="1556">
        <v>3</v>
      </c>
      <c r="CT23" s="1556"/>
      <c r="CU23" s="1558">
        <f t="shared" si="8"/>
        <v>8</v>
      </c>
    </row>
    <row r="24" spans="2:99" ht="15" customHeight="1" x14ac:dyDescent="0.25">
      <c r="B24" s="5869"/>
      <c r="C24" s="1592" t="s">
        <v>326</v>
      </c>
      <c r="D24" s="1555"/>
      <c r="E24" s="1556"/>
      <c r="F24" s="1556"/>
      <c r="G24" s="1557"/>
      <c r="H24" s="1555"/>
      <c r="I24" s="1556"/>
      <c r="J24" s="1556"/>
      <c r="K24" s="1557"/>
      <c r="L24" s="1555"/>
      <c r="M24" s="1556"/>
      <c r="N24" s="1556"/>
      <c r="O24" s="1557"/>
      <c r="P24" s="1555"/>
      <c r="Q24" s="1556"/>
      <c r="R24" s="1556"/>
      <c r="S24" s="1557"/>
      <c r="T24" s="1555"/>
      <c r="U24" s="1556"/>
      <c r="V24" s="1556"/>
      <c r="W24" s="1557"/>
      <c r="X24" s="1555"/>
      <c r="Y24" s="1556"/>
      <c r="Z24" s="1556"/>
      <c r="AA24" s="1557"/>
      <c r="AB24" s="1555"/>
      <c r="AC24" s="1556"/>
      <c r="AD24" s="1556"/>
      <c r="AE24" s="1558"/>
      <c r="AF24" s="1556"/>
      <c r="AG24" s="1556"/>
      <c r="AH24" s="1556"/>
      <c r="AI24" s="1558"/>
      <c r="AJ24" s="1556"/>
      <c r="AK24" s="1556"/>
      <c r="AL24" s="1556"/>
      <c r="AM24" s="1558"/>
      <c r="AN24" s="1556"/>
      <c r="AO24" s="1556"/>
      <c r="AP24" s="1556"/>
      <c r="AQ24" s="1558"/>
      <c r="AR24" s="1556"/>
      <c r="AS24" s="1556"/>
      <c r="AT24" s="1556"/>
      <c r="AU24" s="1558"/>
      <c r="AV24" s="1556"/>
      <c r="AW24" s="1556">
        <v>1</v>
      </c>
      <c r="AX24" s="1556">
        <v>2</v>
      </c>
      <c r="AY24" s="1558">
        <f t="shared" si="12"/>
        <v>3</v>
      </c>
      <c r="AZ24" s="1556">
        <v>1</v>
      </c>
      <c r="BA24" s="1556">
        <v>1</v>
      </c>
      <c r="BB24" s="1556">
        <v>2</v>
      </c>
      <c r="BC24" s="1558">
        <f t="shared" si="13"/>
        <v>4</v>
      </c>
      <c r="BD24" s="1555">
        <v>3</v>
      </c>
      <c r="BE24" s="1556"/>
      <c r="BF24" s="1556"/>
      <c r="BG24" s="1558">
        <f t="shared" ref="BG24:BG29" si="14">SUM(BD24:BF24)</f>
        <v>3</v>
      </c>
      <c r="BH24" s="1555">
        <v>1</v>
      </c>
      <c r="BI24" s="1556"/>
      <c r="BJ24" s="1556"/>
      <c r="BK24" s="1558">
        <f>SUM(BH24:BJ24)</f>
        <v>1</v>
      </c>
      <c r="BL24" s="1555">
        <v>1</v>
      </c>
      <c r="BM24" s="1556">
        <v>1</v>
      </c>
      <c r="BN24" s="1556">
        <v>1</v>
      </c>
      <c r="BO24" s="1558">
        <f t="shared" ref="BO24:BO34" si="15">SUM(BL24:BN24)</f>
        <v>3</v>
      </c>
      <c r="BP24" s="1555"/>
      <c r="BQ24" s="1556">
        <v>1</v>
      </c>
      <c r="BR24" s="1556"/>
      <c r="BS24" s="1558">
        <f t="shared" ref="BS24:BS34" si="16">SUM(BP24:BR24)</f>
        <v>1</v>
      </c>
      <c r="BT24" s="1555">
        <v>5</v>
      </c>
      <c r="BU24" s="1556"/>
      <c r="BV24" s="1556"/>
      <c r="BW24" s="1558">
        <f t="shared" ref="BW24:BW34" si="17">SUM(BT24:BV24)</f>
        <v>5</v>
      </c>
      <c r="BX24" s="1555"/>
      <c r="BY24" s="1556">
        <v>5</v>
      </c>
      <c r="BZ24" s="1556"/>
      <c r="CA24" s="1558">
        <f t="shared" ref="CA24:CA34" si="18">SUM(BX24:BZ24)</f>
        <v>5</v>
      </c>
      <c r="CB24" s="1555">
        <v>1</v>
      </c>
      <c r="CC24" s="1556"/>
      <c r="CD24" s="1556">
        <v>2</v>
      </c>
      <c r="CE24" s="1558">
        <f t="shared" si="4"/>
        <v>3</v>
      </c>
      <c r="CF24" s="1555"/>
      <c r="CG24" s="1556">
        <v>1</v>
      </c>
      <c r="CH24" s="1556"/>
      <c r="CI24" s="1558">
        <f t="shared" si="5"/>
        <v>1</v>
      </c>
      <c r="CJ24" s="1555">
        <v>1</v>
      </c>
      <c r="CK24" s="1556"/>
      <c r="CL24" s="1556"/>
      <c r="CM24" s="1558">
        <f t="shared" si="6"/>
        <v>1</v>
      </c>
      <c r="CN24" s="1555"/>
      <c r="CO24" s="1556"/>
      <c r="CP24" s="1556">
        <v>4</v>
      </c>
      <c r="CQ24" s="1558">
        <f t="shared" si="7"/>
        <v>4</v>
      </c>
      <c r="CR24" s="1555"/>
      <c r="CS24" s="1556"/>
      <c r="CT24" s="1556"/>
      <c r="CU24" s="1558">
        <f t="shared" si="8"/>
        <v>0</v>
      </c>
    </row>
    <row r="25" spans="2:99" ht="15" customHeight="1" x14ac:dyDescent="0.25">
      <c r="B25" s="5869"/>
      <c r="C25" s="1592" t="s">
        <v>327</v>
      </c>
      <c r="D25" s="1555"/>
      <c r="E25" s="1556"/>
      <c r="F25" s="1556"/>
      <c r="G25" s="1557"/>
      <c r="H25" s="1555"/>
      <c r="I25" s="1556"/>
      <c r="J25" s="1556">
        <v>1</v>
      </c>
      <c r="K25" s="1557">
        <f>SUM(J25)</f>
        <v>1</v>
      </c>
      <c r="L25" s="1555">
        <v>1</v>
      </c>
      <c r="M25" s="1556">
        <v>1</v>
      </c>
      <c r="N25" s="1556">
        <v>4</v>
      </c>
      <c r="O25" s="1557">
        <f>SUM(L25:N25)</f>
        <v>6</v>
      </c>
      <c r="P25" s="1555">
        <v>1</v>
      </c>
      <c r="Q25" s="1556">
        <v>2</v>
      </c>
      <c r="R25" s="1556">
        <v>2</v>
      </c>
      <c r="S25" s="1557">
        <f>SUM(P25:R25)</f>
        <v>5</v>
      </c>
      <c r="T25" s="1555">
        <v>3</v>
      </c>
      <c r="U25" s="1556">
        <v>2</v>
      </c>
      <c r="V25" s="1556"/>
      <c r="W25" s="1557">
        <f>SUM(T25:V25)</f>
        <v>5</v>
      </c>
      <c r="X25" s="1555"/>
      <c r="Y25" s="1556">
        <v>1</v>
      </c>
      <c r="Z25" s="1556">
        <v>1</v>
      </c>
      <c r="AA25" s="1557">
        <f>SUM(X25:Z25)</f>
        <v>2</v>
      </c>
      <c r="AB25" s="1555">
        <v>2</v>
      </c>
      <c r="AC25" s="1556"/>
      <c r="AD25" s="1556"/>
      <c r="AE25" s="1558">
        <f>SUM(AB25:AD25)</f>
        <v>2</v>
      </c>
      <c r="AF25" s="1556">
        <v>1</v>
      </c>
      <c r="AG25" s="1556">
        <v>1</v>
      </c>
      <c r="AH25" s="1556">
        <v>4</v>
      </c>
      <c r="AI25" s="1558">
        <f>SUM(AF25:AH25)</f>
        <v>6</v>
      </c>
      <c r="AJ25" s="1556">
        <v>6</v>
      </c>
      <c r="AK25" s="1556"/>
      <c r="AL25" s="1556"/>
      <c r="AM25" s="1558">
        <f>SUM(AJ25:AL25)</f>
        <v>6</v>
      </c>
      <c r="AN25" s="1556"/>
      <c r="AO25" s="1556">
        <v>7</v>
      </c>
      <c r="AP25" s="1556"/>
      <c r="AQ25" s="1558">
        <f>SUM(AN25:AP25)</f>
        <v>7</v>
      </c>
      <c r="AR25" s="1556">
        <v>2</v>
      </c>
      <c r="AS25" s="1556"/>
      <c r="AT25" s="1556"/>
      <c r="AU25" s="1558">
        <f>SUM(AR25:AT25)</f>
        <v>2</v>
      </c>
      <c r="AV25" s="1556"/>
      <c r="AW25" s="1556">
        <v>2</v>
      </c>
      <c r="AX25" s="1556"/>
      <c r="AY25" s="1558">
        <f t="shared" si="12"/>
        <v>2</v>
      </c>
      <c r="AZ25" s="1556">
        <v>1</v>
      </c>
      <c r="BA25" s="1556">
        <v>2</v>
      </c>
      <c r="BB25" s="1556"/>
      <c r="BC25" s="1558">
        <f t="shared" si="13"/>
        <v>3</v>
      </c>
      <c r="BD25" s="1555"/>
      <c r="BE25" s="1556"/>
      <c r="BF25" s="1556">
        <v>1</v>
      </c>
      <c r="BG25" s="1558">
        <f t="shared" si="14"/>
        <v>1</v>
      </c>
      <c r="BH25" s="1555"/>
      <c r="BI25" s="1556"/>
      <c r="BJ25" s="1556"/>
      <c r="BK25" s="1558"/>
      <c r="BL25" s="1555"/>
      <c r="BM25" s="1556"/>
      <c r="BN25" s="1556"/>
      <c r="BO25" s="1558">
        <f t="shared" si="15"/>
        <v>0</v>
      </c>
      <c r="BP25" s="1555"/>
      <c r="BQ25" s="1556"/>
      <c r="BR25" s="1556"/>
      <c r="BS25" s="1558">
        <f t="shared" si="16"/>
        <v>0</v>
      </c>
      <c r="BT25" s="1555"/>
      <c r="BU25" s="1556"/>
      <c r="BV25" s="1556"/>
      <c r="BW25" s="1558">
        <f t="shared" si="17"/>
        <v>0</v>
      </c>
      <c r="BX25" s="1555"/>
      <c r="BY25" s="1556"/>
      <c r="BZ25" s="1556"/>
      <c r="CA25" s="1558">
        <f t="shared" si="18"/>
        <v>0</v>
      </c>
      <c r="CB25" s="1555"/>
      <c r="CC25" s="1556"/>
      <c r="CD25" s="1556"/>
      <c r="CE25" s="1558">
        <f t="shared" si="4"/>
        <v>0</v>
      </c>
      <c r="CF25" s="1555"/>
      <c r="CG25" s="1556"/>
      <c r="CH25" s="1556"/>
      <c r="CI25" s="1558">
        <f t="shared" si="5"/>
        <v>0</v>
      </c>
      <c r="CJ25" s="1555"/>
      <c r="CK25" s="1556"/>
      <c r="CL25" s="1556"/>
      <c r="CM25" s="1558">
        <f t="shared" si="6"/>
        <v>0</v>
      </c>
      <c r="CN25" s="1555"/>
      <c r="CO25" s="1556"/>
      <c r="CP25" s="1556"/>
      <c r="CQ25" s="1558">
        <f t="shared" si="7"/>
        <v>0</v>
      </c>
      <c r="CR25" s="1555"/>
      <c r="CS25" s="1556"/>
      <c r="CT25" s="1556"/>
      <c r="CU25" s="1558">
        <f t="shared" si="8"/>
        <v>0</v>
      </c>
    </row>
    <row r="26" spans="2:99" ht="15" customHeight="1" x14ac:dyDescent="0.25">
      <c r="B26" s="5869"/>
      <c r="C26" s="1593" t="s">
        <v>328</v>
      </c>
      <c r="D26" s="1555"/>
      <c r="E26" s="1556"/>
      <c r="F26" s="1556"/>
      <c r="G26" s="1557"/>
      <c r="H26" s="1555"/>
      <c r="I26" s="1556"/>
      <c r="J26" s="1556"/>
      <c r="K26" s="1557"/>
      <c r="L26" s="1555"/>
      <c r="M26" s="1556"/>
      <c r="N26" s="1556"/>
      <c r="O26" s="1557"/>
      <c r="P26" s="1555"/>
      <c r="Q26" s="1556"/>
      <c r="R26" s="1556"/>
      <c r="S26" s="1557"/>
      <c r="T26" s="1555"/>
      <c r="U26" s="1556"/>
      <c r="V26" s="1556"/>
      <c r="W26" s="1557"/>
      <c r="X26" s="1555"/>
      <c r="Y26" s="1556"/>
      <c r="Z26" s="1556"/>
      <c r="AA26" s="1557"/>
      <c r="AB26" s="1555"/>
      <c r="AC26" s="1556"/>
      <c r="AD26" s="1556"/>
      <c r="AE26" s="1558"/>
      <c r="AF26" s="1556"/>
      <c r="AG26" s="1556"/>
      <c r="AH26" s="1556">
        <v>5</v>
      </c>
      <c r="AI26" s="1558">
        <f>SUM(AF26:AH26)</f>
        <v>5</v>
      </c>
      <c r="AJ26" s="1556">
        <v>1</v>
      </c>
      <c r="AK26" s="1556"/>
      <c r="AL26" s="1556"/>
      <c r="AM26" s="1558">
        <f>SUM(AJ26:AL26)</f>
        <v>1</v>
      </c>
      <c r="AN26" s="1556"/>
      <c r="AO26" s="1556"/>
      <c r="AP26" s="1556">
        <v>1</v>
      </c>
      <c r="AQ26" s="1558">
        <f>SUM(AN26:AP26)</f>
        <v>1</v>
      </c>
      <c r="AR26" s="1556"/>
      <c r="AS26" s="1556"/>
      <c r="AT26" s="1556"/>
      <c r="AU26" s="1558">
        <f>SUM(AR26:AT26)</f>
        <v>0</v>
      </c>
      <c r="AV26" s="1556"/>
      <c r="AW26" s="1556"/>
      <c r="AX26" s="1556"/>
      <c r="AY26" s="1558">
        <f t="shared" si="12"/>
        <v>0</v>
      </c>
      <c r="AZ26" s="1556"/>
      <c r="BA26" s="1556"/>
      <c r="BB26" s="1556"/>
      <c r="BC26" s="1558">
        <f t="shared" si="13"/>
        <v>0</v>
      </c>
      <c r="BD26" s="1555"/>
      <c r="BE26" s="1556"/>
      <c r="BF26" s="1556"/>
      <c r="BG26" s="1558">
        <f t="shared" si="14"/>
        <v>0</v>
      </c>
      <c r="BH26" s="1555"/>
      <c r="BI26" s="1556"/>
      <c r="BJ26" s="1556"/>
      <c r="BK26" s="1558"/>
      <c r="BL26" s="1555">
        <v>3</v>
      </c>
      <c r="BM26" s="1556"/>
      <c r="BN26" s="1556"/>
      <c r="BO26" s="1558">
        <f t="shared" si="15"/>
        <v>3</v>
      </c>
      <c r="BP26" s="1555"/>
      <c r="BQ26" s="1556"/>
      <c r="BR26" s="1556"/>
      <c r="BS26" s="1558">
        <f t="shared" si="16"/>
        <v>0</v>
      </c>
      <c r="BT26" s="1555"/>
      <c r="BU26" s="1556"/>
      <c r="BV26" s="1556"/>
      <c r="BW26" s="1558">
        <f t="shared" si="17"/>
        <v>0</v>
      </c>
      <c r="BX26" s="1555"/>
      <c r="BY26" s="1556"/>
      <c r="BZ26" s="1556"/>
      <c r="CA26" s="1558">
        <f t="shared" si="18"/>
        <v>0</v>
      </c>
      <c r="CB26" s="1555"/>
      <c r="CC26" s="1556"/>
      <c r="CD26" s="1556"/>
      <c r="CE26" s="1558">
        <f t="shared" si="4"/>
        <v>0</v>
      </c>
      <c r="CF26" s="1555"/>
      <c r="CG26" s="1556"/>
      <c r="CH26" s="1556"/>
      <c r="CI26" s="1558">
        <f t="shared" si="5"/>
        <v>0</v>
      </c>
      <c r="CJ26" s="1555"/>
      <c r="CK26" s="1556"/>
      <c r="CL26" s="1556"/>
      <c r="CM26" s="1558">
        <f t="shared" si="6"/>
        <v>0</v>
      </c>
      <c r="CN26" s="1555"/>
      <c r="CO26" s="1556"/>
      <c r="CP26" s="1556"/>
      <c r="CQ26" s="1558">
        <f t="shared" si="7"/>
        <v>0</v>
      </c>
      <c r="CR26" s="1555">
        <v>1</v>
      </c>
      <c r="CS26" s="1556"/>
      <c r="CT26" s="1556"/>
      <c r="CU26" s="1558">
        <f t="shared" si="8"/>
        <v>1</v>
      </c>
    </row>
    <row r="27" spans="2:99" ht="15" customHeight="1" x14ac:dyDescent="0.25">
      <c r="B27" s="5869"/>
      <c r="C27" s="1592" t="s">
        <v>329</v>
      </c>
      <c r="D27" s="1555"/>
      <c r="E27" s="1556"/>
      <c r="F27" s="1556"/>
      <c r="G27" s="1557"/>
      <c r="H27" s="1555"/>
      <c r="I27" s="1556"/>
      <c r="J27" s="1556"/>
      <c r="K27" s="1557"/>
      <c r="L27" s="1555"/>
      <c r="M27" s="1556"/>
      <c r="N27" s="1556"/>
      <c r="O27" s="1557"/>
      <c r="P27" s="1555"/>
      <c r="Q27" s="1556"/>
      <c r="R27" s="1556"/>
      <c r="S27" s="1557"/>
      <c r="T27" s="1555"/>
      <c r="U27" s="1556"/>
      <c r="V27" s="1556"/>
      <c r="W27" s="1557"/>
      <c r="X27" s="1555"/>
      <c r="Y27" s="1556"/>
      <c r="Z27" s="1556"/>
      <c r="AA27" s="1557"/>
      <c r="AB27" s="1555"/>
      <c r="AC27" s="1556"/>
      <c r="AD27" s="1556"/>
      <c r="AE27" s="1558"/>
      <c r="AF27" s="1556"/>
      <c r="AG27" s="1556"/>
      <c r="AH27" s="1556"/>
      <c r="AI27" s="1558"/>
      <c r="AJ27" s="1556"/>
      <c r="AK27" s="1556"/>
      <c r="AL27" s="1556"/>
      <c r="AM27" s="1558"/>
      <c r="AN27" s="1556">
        <v>1</v>
      </c>
      <c r="AO27" s="1556">
        <v>3</v>
      </c>
      <c r="AP27" s="1556">
        <v>2</v>
      </c>
      <c r="AQ27" s="1558">
        <f>SUM(AN27:AP27)</f>
        <v>6</v>
      </c>
      <c r="AR27" s="1556">
        <v>1</v>
      </c>
      <c r="AS27" s="1556">
        <v>3</v>
      </c>
      <c r="AT27" s="1556">
        <v>3</v>
      </c>
      <c r="AU27" s="1558">
        <f>SUM(AR27:AT27)</f>
        <v>7</v>
      </c>
      <c r="AV27" s="1556">
        <v>5</v>
      </c>
      <c r="AW27" s="1556">
        <v>5</v>
      </c>
      <c r="AX27" s="1556">
        <v>2</v>
      </c>
      <c r="AY27" s="1558">
        <f t="shared" si="12"/>
        <v>12</v>
      </c>
      <c r="AZ27" s="1556">
        <v>2</v>
      </c>
      <c r="BA27" s="1556"/>
      <c r="BB27" s="1556">
        <v>4</v>
      </c>
      <c r="BC27" s="1558">
        <f t="shared" si="13"/>
        <v>6</v>
      </c>
      <c r="BD27" s="1555">
        <v>7</v>
      </c>
      <c r="BE27" s="1556">
        <v>2</v>
      </c>
      <c r="BF27" s="1556">
        <v>1</v>
      </c>
      <c r="BG27" s="1558">
        <f t="shared" si="14"/>
        <v>10</v>
      </c>
      <c r="BH27" s="1555"/>
      <c r="BI27" s="1556"/>
      <c r="BJ27" s="1556"/>
      <c r="BK27" s="1558"/>
      <c r="BL27" s="1555"/>
      <c r="BM27" s="1556">
        <v>5</v>
      </c>
      <c r="BN27" s="1556">
        <v>2</v>
      </c>
      <c r="BO27" s="1558">
        <f t="shared" si="15"/>
        <v>7</v>
      </c>
      <c r="BP27" s="1555">
        <v>1</v>
      </c>
      <c r="BQ27" s="1556"/>
      <c r="BR27" s="1556">
        <v>2</v>
      </c>
      <c r="BS27" s="1558">
        <f t="shared" si="16"/>
        <v>3</v>
      </c>
      <c r="BT27" s="1555">
        <v>9</v>
      </c>
      <c r="BU27" s="1556">
        <v>5</v>
      </c>
      <c r="BV27" s="1556">
        <v>1</v>
      </c>
      <c r="BW27" s="1558">
        <f t="shared" si="17"/>
        <v>15</v>
      </c>
      <c r="BX27" s="1555"/>
      <c r="BY27" s="1556">
        <v>1</v>
      </c>
      <c r="BZ27" s="1556">
        <v>1</v>
      </c>
      <c r="CA27" s="1558">
        <f t="shared" si="18"/>
        <v>2</v>
      </c>
      <c r="CB27" s="1555">
        <v>4</v>
      </c>
      <c r="CC27" s="1556">
        <v>3</v>
      </c>
      <c r="CD27" s="1556">
        <v>2</v>
      </c>
      <c r="CE27" s="1558">
        <f t="shared" si="4"/>
        <v>9</v>
      </c>
      <c r="CF27" s="1555">
        <v>1</v>
      </c>
      <c r="CG27" s="1556"/>
      <c r="CH27" s="1556">
        <v>3</v>
      </c>
      <c r="CI27" s="1558">
        <f t="shared" si="5"/>
        <v>4</v>
      </c>
      <c r="CJ27" s="1555">
        <v>5</v>
      </c>
      <c r="CK27" s="1556"/>
      <c r="CL27" s="1556">
        <v>6</v>
      </c>
      <c r="CM27" s="1558">
        <f t="shared" si="6"/>
        <v>11</v>
      </c>
      <c r="CN27" s="1555"/>
      <c r="CO27" s="1556"/>
      <c r="CP27" s="1556">
        <v>1</v>
      </c>
      <c r="CQ27" s="1558">
        <f t="shared" si="7"/>
        <v>1</v>
      </c>
      <c r="CR27" s="1555">
        <v>2</v>
      </c>
      <c r="CS27" s="1556">
        <v>1</v>
      </c>
      <c r="CT27" s="1556">
        <v>1</v>
      </c>
      <c r="CU27" s="1558">
        <f t="shared" si="8"/>
        <v>4</v>
      </c>
    </row>
    <row r="28" spans="2:99" ht="15" customHeight="1" x14ac:dyDescent="0.25">
      <c r="B28" s="5869"/>
      <c r="C28" s="1592" t="s">
        <v>330</v>
      </c>
      <c r="D28" s="1555"/>
      <c r="E28" s="1556">
        <v>5</v>
      </c>
      <c r="F28" s="1556">
        <v>1</v>
      </c>
      <c r="G28" s="1557">
        <f>SUM(E28:F28)</f>
        <v>6</v>
      </c>
      <c r="H28" s="1555"/>
      <c r="I28" s="1556"/>
      <c r="J28" s="1556">
        <v>3</v>
      </c>
      <c r="K28" s="1557">
        <f>SUM(J28)</f>
        <v>3</v>
      </c>
      <c r="L28" s="1555"/>
      <c r="M28" s="1556">
        <v>2</v>
      </c>
      <c r="N28" s="1556">
        <v>1</v>
      </c>
      <c r="O28" s="1557">
        <f>SUM(L28:N28)</f>
        <v>3</v>
      </c>
      <c r="P28" s="1555">
        <v>1</v>
      </c>
      <c r="Q28" s="1556">
        <v>34</v>
      </c>
      <c r="R28" s="1556"/>
      <c r="S28" s="1557">
        <f>SUM(P28:R28)</f>
        <v>35</v>
      </c>
      <c r="T28" s="1555">
        <v>7</v>
      </c>
      <c r="U28" s="1556">
        <v>1</v>
      </c>
      <c r="V28" s="1556">
        <v>1</v>
      </c>
      <c r="W28" s="1557">
        <f>SUM(T28:V28)</f>
        <v>9</v>
      </c>
      <c r="X28" s="1555">
        <v>5</v>
      </c>
      <c r="Y28" s="1556">
        <v>1</v>
      </c>
      <c r="Z28" s="1556"/>
      <c r="AA28" s="1557">
        <f>SUM(X28:Z28)</f>
        <v>6</v>
      </c>
      <c r="AB28" s="1555">
        <v>2</v>
      </c>
      <c r="AC28" s="1556">
        <v>1</v>
      </c>
      <c r="AD28" s="1556">
        <v>1</v>
      </c>
      <c r="AE28" s="1558">
        <f>SUM(AB28:AD28)</f>
        <v>4</v>
      </c>
      <c r="AF28" s="1556">
        <v>2</v>
      </c>
      <c r="AG28" s="1556">
        <v>1</v>
      </c>
      <c r="AH28" s="1556">
        <v>2</v>
      </c>
      <c r="AI28" s="1558">
        <f>SUM(AF28:AH28)</f>
        <v>5</v>
      </c>
      <c r="AJ28" s="1556">
        <v>1</v>
      </c>
      <c r="AK28" s="1556">
        <v>4</v>
      </c>
      <c r="AL28" s="1556"/>
      <c r="AM28" s="1558">
        <f>SUM(AJ28:AL28)</f>
        <v>5</v>
      </c>
      <c r="AN28" s="1556"/>
      <c r="AO28" s="1556">
        <v>1</v>
      </c>
      <c r="AP28" s="1556"/>
      <c r="AQ28" s="1558">
        <f>SUM(AN28:AP28)</f>
        <v>1</v>
      </c>
      <c r="AR28" s="1556">
        <v>3</v>
      </c>
      <c r="AS28" s="1556">
        <v>6</v>
      </c>
      <c r="AT28" s="1556"/>
      <c r="AU28" s="1558">
        <f>SUM(AR28:AT28)</f>
        <v>9</v>
      </c>
      <c r="AV28" s="1556">
        <v>1</v>
      </c>
      <c r="AW28" s="1556">
        <v>4</v>
      </c>
      <c r="AX28" s="1556"/>
      <c r="AY28" s="1558">
        <f t="shared" si="12"/>
        <v>5</v>
      </c>
      <c r="AZ28" s="1556"/>
      <c r="BA28" s="1556">
        <v>3</v>
      </c>
      <c r="BB28" s="1556"/>
      <c r="BC28" s="1558">
        <f t="shared" si="13"/>
        <v>3</v>
      </c>
      <c r="BD28" s="1555"/>
      <c r="BE28" s="1556">
        <v>1</v>
      </c>
      <c r="BF28" s="1556">
        <v>1</v>
      </c>
      <c r="BG28" s="1558">
        <f t="shared" si="14"/>
        <v>2</v>
      </c>
      <c r="BH28" s="1555">
        <v>1</v>
      </c>
      <c r="BI28" s="1556">
        <v>3</v>
      </c>
      <c r="BJ28" s="1556"/>
      <c r="BK28" s="1558">
        <f>SUM(BH28:BJ28)</f>
        <v>4</v>
      </c>
      <c r="BL28" s="1555">
        <v>1</v>
      </c>
      <c r="BM28" s="1556">
        <v>1</v>
      </c>
      <c r="BN28" s="1556"/>
      <c r="BO28" s="1558">
        <f t="shared" si="15"/>
        <v>2</v>
      </c>
      <c r="BP28" s="1555">
        <v>6</v>
      </c>
      <c r="BQ28" s="1556">
        <v>3</v>
      </c>
      <c r="BR28" s="1556">
        <v>1</v>
      </c>
      <c r="BS28" s="1558">
        <f t="shared" si="16"/>
        <v>10</v>
      </c>
      <c r="BT28" s="1555">
        <v>7</v>
      </c>
      <c r="BU28" s="1556">
        <v>1</v>
      </c>
      <c r="BV28" s="1556">
        <v>1</v>
      </c>
      <c r="BW28" s="1558">
        <f t="shared" si="17"/>
        <v>9</v>
      </c>
      <c r="BX28" s="1555">
        <v>4</v>
      </c>
      <c r="BY28" s="1556">
        <v>3</v>
      </c>
      <c r="BZ28" s="1556">
        <v>1</v>
      </c>
      <c r="CA28" s="1558">
        <f t="shared" si="18"/>
        <v>8</v>
      </c>
      <c r="CB28" s="1555"/>
      <c r="CC28" s="1556">
        <v>1</v>
      </c>
      <c r="CD28" s="1556">
        <v>5</v>
      </c>
      <c r="CE28" s="1558">
        <f t="shared" si="4"/>
        <v>6</v>
      </c>
      <c r="CF28" s="1555">
        <v>2</v>
      </c>
      <c r="CG28" s="1556"/>
      <c r="CH28" s="1556">
        <v>4</v>
      </c>
      <c r="CI28" s="1558">
        <f t="shared" si="5"/>
        <v>6</v>
      </c>
      <c r="CJ28" s="1555">
        <v>2</v>
      </c>
      <c r="CK28" s="1556">
        <v>1</v>
      </c>
      <c r="CL28" s="1556">
        <v>1</v>
      </c>
      <c r="CM28" s="1558">
        <f t="shared" si="6"/>
        <v>4</v>
      </c>
      <c r="CN28" s="1555">
        <v>2</v>
      </c>
      <c r="CO28" s="1556">
        <v>1</v>
      </c>
      <c r="CP28" s="1556">
        <v>1</v>
      </c>
      <c r="CQ28" s="1558">
        <f t="shared" si="7"/>
        <v>4</v>
      </c>
      <c r="CR28" s="1555">
        <v>6</v>
      </c>
      <c r="CS28" s="1556">
        <v>2</v>
      </c>
      <c r="CT28" s="1556"/>
      <c r="CU28" s="1558">
        <f t="shared" si="8"/>
        <v>8</v>
      </c>
    </row>
    <row r="29" spans="2:99" ht="15" customHeight="1" x14ac:dyDescent="0.25">
      <c r="B29" s="5869"/>
      <c r="C29" s="1565" t="s">
        <v>332</v>
      </c>
      <c r="D29" s="1561"/>
      <c r="E29" s="1562"/>
      <c r="F29" s="1562">
        <v>1</v>
      </c>
      <c r="G29" s="1563">
        <f>SUM(E29:F29)</f>
        <v>1</v>
      </c>
      <c r="H29" s="1561"/>
      <c r="I29" s="1562"/>
      <c r="J29" s="1562"/>
      <c r="K29" s="1563"/>
      <c r="L29" s="1561"/>
      <c r="M29" s="1562">
        <v>1</v>
      </c>
      <c r="N29" s="1562"/>
      <c r="O29" s="1563">
        <f>SUM(L29:N29)</f>
        <v>1</v>
      </c>
      <c r="P29" s="1561"/>
      <c r="Q29" s="1562">
        <v>33</v>
      </c>
      <c r="R29" s="1562">
        <v>1</v>
      </c>
      <c r="S29" s="1563">
        <f>SUM(P29:R29)</f>
        <v>34</v>
      </c>
      <c r="T29" s="1561">
        <v>5</v>
      </c>
      <c r="U29" s="1562">
        <v>2</v>
      </c>
      <c r="V29" s="1562">
        <v>5</v>
      </c>
      <c r="W29" s="1563">
        <f>SUM(T29:V29)</f>
        <v>12</v>
      </c>
      <c r="X29" s="1561">
        <v>5</v>
      </c>
      <c r="Y29" s="1562">
        <v>3</v>
      </c>
      <c r="Z29" s="1562"/>
      <c r="AA29" s="1563">
        <f>SUM(X29:Z29)</f>
        <v>8</v>
      </c>
      <c r="AB29" s="1561">
        <v>2</v>
      </c>
      <c r="AC29" s="1562">
        <v>1</v>
      </c>
      <c r="AD29" s="1562"/>
      <c r="AE29" s="1564">
        <f>SUM(AB29:AD29)</f>
        <v>3</v>
      </c>
      <c r="AF29" s="1562">
        <v>3</v>
      </c>
      <c r="AG29" s="1562">
        <v>2</v>
      </c>
      <c r="AH29" s="1562">
        <v>2</v>
      </c>
      <c r="AI29" s="1564">
        <f>SUM(AF29:AH29)</f>
        <v>7</v>
      </c>
      <c r="AJ29" s="1562"/>
      <c r="AK29" s="1562"/>
      <c r="AL29" s="1562"/>
      <c r="AM29" s="1564"/>
      <c r="AN29" s="1562">
        <v>2</v>
      </c>
      <c r="AO29" s="1562"/>
      <c r="AP29" s="1562"/>
      <c r="AQ29" s="1564">
        <f>SUM(AN29:AP29)</f>
        <v>2</v>
      </c>
      <c r="AR29" s="1562"/>
      <c r="AS29" s="1562"/>
      <c r="AT29" s="1562"/>
      <c r="AU29" s="1564">
        <f>SUM(AR29:AT29)</f>
        <v>0</v>
      </c>
      <c r="AV29" s="1562"/>
      <c r="AW29" s="1562"/>
      <c r="AX29" s="1562"/>
      <c r="AY29" s="1564">
        <f t="shared" si="12"/>
        <v>0</v>
      </c>
      <c r="AZ29" s="1562"/>
      <c r="BA29" s="1562">
        <v>10</v>
      </c>
      <c r="BB29" s="1562"/>
      <c r="BC29" s="1564">
        <f t="shared" si="13"/>
        <v>10</v>
      </c>
      <c r="BD29" s="1562"/>
      <c r="BE29" s="1562"/>
      <c r="BF29" s="1562"/>
      <c r="BG29" s="1564">
        <f t="shared" si="14"/>
        <v>0</v>
      </c>
      <c r="BH29" s="1562"/>
      <c r="BI29" s="1562"/>
      <c r="BJ29" s="1562">
        <v>15</v>
      </c>
      <c r="BK29" s="1564">
        <f>SUM(BH29:BJ29)</f>
        <v>15</v>
      </c>
      <c r="BL29" s="1562">
        <v>4</v>
      </c>
      <c r="BM29" s="1562">
        <v>1</v>
      </c>
      <c r="BN29" s="1562"/>
      <c r="BO29" s="1558">
        <f t="shared" si="15"/>
        <v>5</v>
      </c>
      <c r="BP29" s="1562"/>
      <c r="BQ29" s="1562">
        <v>2</v>
      </c>
      <c r="BR29" s="1562">
        <v>4</v>
      </c>
      <c r="BS29" s="1558">
        <f t="shared" si="16"/>
        <v>6</v>
      </c>
      <c r="BT29" s="1562">
        <v>3</v>
      </c>
      <c r="BU29" s="1562"/>
      <c r="BV29" s="1562">
        <v>1</v>
      </c>
      <c r="BW29" s="1558">
        <f t="shared" si="17"/>
        <v>4</v>
      </c>
      <c r="BX29" s="1562">
        <v>1</v>
      </c>
      <c r="BY29" s="1562"/>
      <c r="BZ29" s="1562">
        <v>1</v>
      </c>
      <c r="CA29" s="1558">
        <f t="shared" si="18"/>
        <v>2</v>
      </c>
      <c r="CB29" s="1562">
        <v>7</v>
      </c>
      <c r="CC29" s="1562"/>
      <c r="CD29" s="1562"/>
      <c r="CE29" s="1558">
        <f t="shared" si="4"/>
        <v>7</v>
      </c>
      <c r="CF29" s="1562">
        <v>1</v>
      </c>
      <c r="CG29" s="1562"/>
      <c r="CH29" s="1562"/>
      <c r="CI29" s="1558">
        <f t="shared" si="5"/>
        <v>1</v>
      </c>
      <c r="CJ29" s="1562">
        <v>3</v>
      </c>
      <c r="CK29" s="1562"/>
      <c r="CL29" s="1562">
        <v>2</v>
      </c>
      <c r="CM29" s="1558">
        <f t="shared" si="6"/>
        <v>5</v>
      </c>
      <c r="CN29" s="1562"/>
      <c r="CO29" s="1562"/>
      <c r="CP29" s="1562">
        <v>4</v>
      </c>
      <c r="CQ29" s="1558">
        <f t="shared" si="7"/>
        <v>4</v>
      </c>
      <c r="CR29" s="1562">
        <v>2</v>
      </c>
      <c r="CS29" s="1562">
        <v>1</v>
      </c>
      <c r="CT29" s="1562"/>
      <c r="CU29" s="1558">
        <f t="shared" si="8"/>
        <v>3</v>
      </c>
    </row>
    <row r="30" spans="2:99" ht="15" customHeight="1" x14ac:dyDescent="0.25">
      <c r="B30" s="5869"/>
      <c r="C30" s="1565" t="s">
        <v>331</v>
      </c>
      <c r="D30" s="1561"/>
      <c r="E30" s="1562"/>
      <c r="F30" s="1562"/>
      <c r="G30" s="1563"/>
      <c r="H30" s="1561"/>
      <c r="I30" s="1562"/>
      <c r="J30" s="1562"/>
      <c r="K30" s="1563"/>
      <c r="L30" s="1561"/>
      <c r="M30" s="1562"/>
      <c r="N30" s="1562"/>
      <c r="O30" s="1563"/>
      <c r="P30" s="1561"/>
      <c r="Q30" s="1562"/>
      <c r="R30" s="1562"/>
      <c r="S30" s="1563"/>
      <c r="T30" s="1561"/>
      <c r="U30" s="1562"/>
      <c r="V30" s="1562"/>
      <c r="W30" s="1563"/>
      <c r="X30" s="1561"/>
      <c r="Y30" s="1562"/>
      <c r="Z30" s="1562"/>
      <c r="AA30" s="1563"/>
      <c r="AB30" s="1561"/>
      <c r="AC30" s="1562"/>
      <c r="AD30" s="1562"/>
      <c r="AE30" s="1564"/>
      <c r="AF30" s="1562"/>
      <c r="AG30" s="1562"/>
      <c r="AH30" s="1562"/>
      <c r="AI30" s="1564"/>
      <c r="AJ30" s="1562"/>
      <c r="AK30" s="1562"/>
      <c r="AL30" s="1562"/>
      <c r="AM30" s="1564"/>
      <c r="AN30" s="1562"/>
      <c r="AO30" s="1562"/>
      <c r="AP30" s="1562"/>
      <c r="AQ30" s="1564"/>
      <c r="AR30" s="1562"/>
      <c r="AS30" s="1562"/>
      <c r="AT30" s="1562"/>
      <c r="AU30" s="1564"/>
      <c r="AV30" s="1562"/>
      <c r="AW30" s="1562"/>
      <c r="AX30" s="1562"/>
      <c r="AY30" s="1564"/>
      <c r="AZ30" s="1562"/>
      <c r="BA30" s="1562"/>
      <c r="BB30" s="1562"/>
      <c r="BC30" s="1564"/>
      <c r="BD30" s="1562"/>
      <c r="BE30" s="1562"/>
      <c r="BF30" s="1562"/>
      <c r="BG30" s="1564"/>
      <c r="BH30" s="1562"/>
      <c r="BI30" s="1562"/>
      <c r="BJ30" s="1562"/>
      <c r="BK30" s="1564"/>
      <c r="BL30" s="1562"/>
      <c r="BM30" s="1562"/>
      <c r="BN30" s="1562">
        <v>5</v>
      </c>
      <c r="BO30" s="1558">
        <f t="shared" si="15"/>
        <v>5</v>
      </c>
      <c r="BP30" s="1562">
        <v>1</v>
      </c>
      <c r="BQ30" s="1562">
        <v>1</v>
      </c>
      <c r="BR30" s="1562"/>
      <c r="BS30" s="1558">
        <f t="shared" si="16"/>
        <v>2</v>
      </c>
      <c r="BT30" s="1562">
        <v>1</v>
      </c>
      <c r="BU30" s="1562">
        <v>1</v>
      </c>
      <c r="BV30" s="1562">
        <v>9</v>
      </c>
      <c r="BW30" s="1558">
        <f t="shared" si="17"/>
        <v>11</v>
      </c>
      <c r="BX30" s="1562">
        <v>3</v>
      </c>
      <c r="BY30" s="1562"/>
      <c r="BZ30" s="1562"/>
      <c r="CA30" s="1558">
        <f t="shared" si="18"/>
        <v>3</v>
      </c>
      <c r="CB30" s="1562"/>
      <c r="CC30" s="1562">
        <v>2</v>
      </c>
      <c r="CD30" s="1562">
        <v>4</v>
      </c>
      <c r="CE30" s="1558">
        <f t="shared" si="4"/>
        <v>6</v>
      </c>
      <c r="CF30" s="1562">
        <v>5</v>
      </c>
      <c r="CG30" s="1562">
        <v>2</v>
      </c>
      <c r="CH30" s="1562"/>
      <c r="CI30" s="1558">
        <f t="shared" si="5"/>
        <v>7</v>
      </c>
      <c r="CJ30" s="1562">
        <v>1</v>
      </c>
      <c r="CK30" s="1562"/>
      <c r="CL30" s="1562">
        <v>5</v>
      </c>
      <c r="CM30" s="1558">
        <f t="shared" si="6"/>
        <v>6</v>
      </c>
      <c r="CN30" s="1562">
        <v>6</v>
      </c>
      <c r="CO30" s="1562">
        <v>2</v>
      </c>
      <c r="CP30" s="1562">
        <v>2</v>
      </c>
      <c r="CQ30" s="1558">
        <f t="shared" si="7"/>
        <v>10</v>
      </c>
      <c r="CR30" s="1562">
        <v>1</v>
      </c>
      <c r="CS30" s="1562">
        <v>2</v>
      </c>
      <c r="CT30" s="1562">
        <v>1</v>
      </c>
      <c r="CU30" s="1558">
        <f t="shared" si="8"/>
        <v>4</v>
      </c>
    </row>
    <row r="31" spans="2:99" ht="15" customHeight="1" x14ac:dyDescent="0.25">
      <c r="B31" s="5870"/>
      <c r="C31" s="1565" t="s">
        <v>483</v>
      </c>
      <c r="D31" s="1561"/>
      <c r="E31" s="1562"/>
      <c r="F31" s="1562"/>
      <c r="G31" s="1563"/>
      <c r="H31" s="1561"/>
      <c r="I31" s="1562"/>
      <c r="J31" s="1562"/>
      <c r="K31" s="1563"/>
      <c r="L31" s="1561"/>
      <c r="M31" s="1562"/>
      <c r="N31" s="1562"/>
      <c r="O31" s="1563"/>
      <c r="P31" s="1561"/>
      <c r="Q31" s="1562"/>
      <c r="R31" s="1562"/>
      <c r="S31" s="1563"/>
      <c r="T31" s="1561"/>
      <c r="U31" s="1562"/>
      <c r="V31" s="1562"/>
      <c r="W31" s="1563"/>
      <c r="X31" s="1561"/>
      <c r="Y31" s="1562"/>
      <c r="Z31" s="1562"/>
      <c r="AA31" s="1563"/>
      <c r="AB31" s="1561"/>
      <c r="AC31" s="1562"/>
      <c r="AD31" s="1562"/>
      <c r="AE31" s="1564"/>
      <c r="AF31" s="1562"/>
      <c r="AG31" s="1562"/>
      <c r="AH31" s="1562"/>
      <c r="AI31" s="1564"/>
      <c r="AJ31" s="1562"/>
      <c r="AK31" s="1562"/>
      <c r="AL31" s="1562"/>
      <c r="AM31" s="1564"/>
      <c r="AN31" s="1562"/>
      <c r="AO31" s="1562"/>
      <c r="AP31" s="1562"/>
      <c r="AQ31" s="1564"/>
      <c r="AR31" s="1562"/>
      <c r="AS31" s="1562"/>
      <c r="AT31" s="1562"/>
      <c r="AU31" s="1564"/>
      <c r="AV31" s="1562"/>
      <c r="AW31" s="1562"/>
      <c r="AX31" s="1562"/>
      <c r="AY31" s="1564"/>
      <c r="AZ31" s="1562"/>
      <c r="BA31" s="1562"/>
      <c r="BB31" s="1562"/>
      <c r="BC31" s="1564"/>
      <c r="BD31" s="1562"/>
      <c r="BE31" s="1562"/>
      <c r="BF31" s="1562"/>
      <c r="BG31" s="1564"/>
      <c r="BH31" s="1562"/>
      <c r="BI31" s="1562"/>
      <c r="BJ31" s="1562"/>
      <c r="BK31" s="1564"/>
      <c r="BL31" s="1562"/>
      <c r="BM31" s="1562"/>
      <c r="BN31" s="1562"/>
      <c r="BO31" s="1558"/>
      <c r="BP31" s="1562"/>
      <c r="BQ31" s="1562"/>
      <c r="BR31" s="1562"/>
      <c r="BS31" s="1558"/>
      <c r="BT31" s="1562"/>
      <c r="BU31" s="1562"/>
      <c r="BV31" s="1562"/>
      <c r="BW31" s="1558"/>
      <c r="BX31" s="1562"/>
      <c r="BY31" s="1562"/>
      <c r="BZ31" s="1562"/>
      <c r="CA31" s="1558"/>
      <c r="CB31" s="1562"/>
      <c r="CC31" s="1562"/>
      <c r="CD31" s="1562">
        <v>2</v>
      </c>
      <c r="CE31" s="1558">
        <f t="shared" si="4"/>
        <v>2</v>
      </c>
      <c r="CF31" s="1562">
        <v>2</v>
      </c>
      <c r="CG31" s="1562">
        <v>1</v>
      </c>
      <c r="CH31" s="1562"/>
      <c r="CI31" s="1558">
        <f t="shared" si="5"/>
        <v>3</v>
      </c>
      <c r="CJ31" s="1562"/>
      <c r="CK31" s="1562"/>
      <c r="CL31" s="1562">
        <v>3</v>
      </c>
      <c r="CM31" s="1558">
        <f t="shared" si="6"/>
        <v>3</v>
      </c>
      <c r="CN31" s="1562"/>
      <c r="CO31" s="1562"/>
      <c r="CP31" s="1562">
        <v>2</v>
      </c>
      <c r="CQ31" s="1558">
        <f t="shared" si="7"/>
        <v>2</v>
      </c>
      <c r="CR31" s="1562"/>
      <c r="CS31" s="1562"/>
      <c r="CT31" s="1562"/>
      <c r="CU31" s="1558">
        <f t="shared" si="8"/>
        <v>0</v>
      </c>
    </row>
    <row r="32" spans="2:99" ht="15" customHeight="1" x14ac:dyDescent="0.25">
      <c r="B32" s="5865" t="s">
        <v>317</v>
      </c>
      <c r="C32" s="1591" t="s">
        <v>326</v>
      </c>
      <c r="D32" s="1567"/>
      <c r="E32" s="1568"/>
      <c r="F32" s="1568"/>
      <c r="G32" s="1569"/>
      <c r="H32" s="1567"/>
      <c r="I32" s="1568"/>
      <c r="J32" s="1568"/>
      <c r="K32" s="1569"/>
      <c r="L32" s="1567"/>
      <c r="M32" s="1568"/>
      <c r="N32" s="1568"/>
      <c r="O32" s="1569"/>
      <c r="P32" s="1567"/>
      <c r="Q32" s="1568"/>
      <c r="R32" s="1568"/>
      <c r="S32" s="1569"/>
      <c r="T32" s="1567"/>
      <c r="U32" s="1568"/>
      <c r="V32" s="1568"/>
      <c r="W32" s="1569"/>
      <c r="X32" s="1567"/>
      <c r="Y32" s="1568"/>
      <c r="Z32" s="1568"/>
      <c r="AA32" s="1569"/>
      <c r="AB32" s="1567"/>
      <c r="AC32" s="1568"/>
      <c r="AD32" s="1568"/>
      <c r="AE32" s="1553"/>
      <c r="AF32" s="1568"/>
      <c r="AG32" s="1568"/>
      <c r="AH32" s="1568"/>
      <c r="AI32" s="1553"/>
      <c r="AJ32" s="1568"/>
      <c r="AK32" s="1568"/>
      <c r="AL32" s="1568"/>
      <c r="AM32" s="1553"/>
      <c r="AN32" s="1568"/>
      <c r="AO32" s="1568"/>
      <c r="AP32" s="1568"/>
      <c r="AQ32" s="1553"/>
      <c r="AR32" s="1568"/>
      <c r="AS32" s="1568"/>
      <c r="AT32" s="1568"/>
      <c r="AU32" s="1553"/>
      <c r="AV32" s="1568"/>
      <c r="AW32" s="1568"/>
      <c r="AX32" s="1568"/>
      <c r="AY32" s="1553">
        <f>SUM(AV32:AX32)</f>
        <v>0</v>
      </c>
      <c r="AZ32" s="1568"/>
      <c r="BA32" s="1568">
        <v>4</v>
      </c>
      <c r="BB32" s="1568">
        <v>1</v>
      </c>
      <c r="BC32" s="1553">
        <f>SUM(AZ32:BB32)</f>
        <v>5</v>
      </c>
      <c r="BD32" s="1567">
        <v>2</v>
      </c>
      <c r="BE32" s="1568"/>
      <c r="BF32" s="1568"/>
      <c r="BG32" s="1553">
        <f>SUM(BD32:BF32)</f>
        <v>2</v>
      </c>
      <c r="BH32" s="1567"/>
      <c r="BI32" s="1568"/>
      <c r="BJ32" s="1568"/>
      <c r="BK32" s="1553"/>
      <c r="BL32" s="1567">
        <v>3</v>
      </c>
      <c r="BM32" s="1568"/>
      <c r="BN32" s="1568">
        <v>2</v>
      </c>
      <c r="BO32" s="1553">
        <f t="shared" si="15"/>
        <v>5</v>
      </c>
      <c r="BP32" s="1567"/>
      <c r="BQ32" s="1568">
        <v>1</v>
      </c>
      <c r="BR32" s="1568">
        <v>3</v>
      </c>
      <c r="BS32" s="1553">
        <f t="shared" si="16"/>
        <v>4</v>
      </c>
      <c r="BT32" s="1567">
        <v>5</v>
      </c>
      <c r="BU32" s="1568"/>
      <c r="BV32" s="1568"/>
      <c r="BW32" s="1553">
        <f t="shared" si="17"/>
        <v>5</v>
      </c>
      <c r="BX32" s="1567"/>
      <c r="BY32" s="1568">
        <v>1</v>
      </c>
      <c r="BZ32" s="1568">
        <v>1</v>
      </c>
      <c r="CA32" s="1553">
        <f t="shared" si="18"/>
        <v>2</v>
      </c>
      <c r="CB32" s="1567">
        <v>3</v>
      </c>
      <c r="CC32" s="1568"/>
      <c r="CD32" s="1568"/>
      <c r="CE32" s="1553">
        <f t="shared" si="4"/>
        <v>3</v>
      </c>
      <c r="CF32" s="1567"/>
      <c r="CG32" s="1568">
        <v>2</v>
      </c>
      <c r="CH32" s="1568"/>
      <c r="CI32" s="1553">
        <f t="shared" si="5"/>
        <v>2</v>
      </c>
      <c r="CJ32" s="1567"/>
      <c r="CK32" s="1568"/>
      <c r="CL32" s="1568">
        <v>2</v>
      </c>
      <c r="CM32" s="1553">
        <f t="shared" si="6"/>
        <v>2</v>
      </c>
      <c r="CN32" s="1567"/>
      <c r="CO32" s="1568"/>
      <c r="CP32" s="1568"/>
      <c r="CQ32" s="1553">
        <f t="shared" si="7"/>
        <v>0</v>
      </c>
      <c r="CR32" s="1567">
        <v>4</v>
      </c>
      <c r="CS32" s="1568"/>
      <c r="CT32" s="1568"/>
      <c r="CU32" s="1553">
        <f t="shared" si="8"/>
        <v>4</v>
      </c>
    </row>
    <row r="33" spans="2:99" ht="15" customHeight="1" x14ac:dyDescent="0.25">
      <c r="B33" s="5866"/>
      <c r="C33" s="1594" t="s">
        <v>335</v>
      </c>
      <c r="D33" s="1567"/>
      <c r="E33" s="1568"/>
      <c r="F33" s="1568"/>
      <c r="G33" s="1569"/>
      <c r="H33" s="1567"/>
      <c r="I33" s="1568"/>
      <c r="J33" s="1568"/>
      <c r="K33" s="1569"/>
      <c r="L33" s="1567"/>
      <c r="M33" s="1568"/>
      <c r="N33" s="1568"/>
      <c r="O33" s="1569"/>
      <c r="P33" s="1567"/>
      <c r="Q33" s="1568"/>
      <c r="R33" s="1568"/>
      <c r="S33" s="1569"/>
      <c r="T33" s="1567"/>
      <c r="U33" s="1568"/>
      <c r="V33" s="1568"/>
      <c r="W33" s="1569"/>
      <c r="X33" s="1567"/>
      <c r="Y33" s="1568"/>
      <c r="Z33" s="1568"/>
      <c r="AA33" s="1569"/>
      <c r="AB33" s="1567"/>
      <c r="AC33" s="1568"/>
      <c r="AD33" s="1568"/>
      <c r="AE33" s="1553"/>
      <c r="AF33" s="1568">
        <v>1</v>
      </c>
      <c r="AG33" s="1568"/>
      <c r="AH33" s="1568"/>
      <c r="AI33" s="1553">
        <f>SUM(AF33:AH33)</f>
        <v>1</v>
      </c>
      <c r="AJ33" s="1568"/>
      <c r="AK33" s="1568"/>
      <c r="AL33" s="1568"/>
      <c r="AM33" s="1553"/>
      <c r="AN33" s="1568"/>
      <c r="AO33" s="1568"/>
      <c r="AP33" s="1568"/>
      <c r="AQ33" s="1553">
        <f>SUM(AN33:AP33)</f>
        <v>0</v>
      </c>
      <c r="AR33" s="1568"/>
      <c r="AS33" s="1568"/>
      <c r="AT33" s="1568"/>
      <c r="AU33" s="1553">
        <f>SUM(AR33:AT33)</f>
        <v>0</v>
      </c>
      <c r="AV33" s="1568"/>
      <c r="AW33" s="1568">
        <v>1</v>
      </c>
      <c r="AX33" s="1568"/>
      <c r="AY33" s="1553">
        <f>SUM(AV33:AX33)</f>
        <v>1</v>
      </c>
      <c r="AZ33" s="1568"/>
      <c r="BA33" s="1568"/>
      <c r="BB33" s="1568"/>
      <c r="BC33" s="1553">
        <f>SUM(AZ33:BB33)</f>
        <v>0</v>
      </c>
      <c r="BD33" s="1567"/>
      <c r="BE33" s="1568"/>
      <c r="BF33" s="1568"/>
      <c r="BG33" s="1553">
        <f>SUM(BD33:BF33)</f>
        <v>0</v>
      </c>
      <c r="BH33" s="1567"/>
      <c r="BI33" s="1568"/>
      <c r="BJ33" s="1568"/>
      <c r="BK33" s="1553"/>
      <c r="BL33" s="1567"/>
      <c r="BM33" s="1568"/>
      <c r="BN33" s="1568"/>
      <c r="BO33" s="1553">
        <f t="shared" si="15"/>
        <v>0</v>
      </c>
      <c r="BP33" s="1567"/>
      <c r="BQ33" s="1568"/>
      <c r="BR33" s="1568">
        <v>1</v>
      </c>
      <c r="BS33" s="1553">
        <f t="shared" si="16"/>
        <v>1</v>
      </c>
      <c r="BT33" s="1567"/>
      <c r="BU33" s="1568"/>
      <c r="BV33" s="1568"/>
      <c r="BW33" s="1553">
        <f t="shared" si="17"/>
        <v>0</v>
      </c>
      <c r="BX33" s="1567">
        <v>1</v>
      </c>
      <c r="BY33" s="1568"/>
      <c r="BZ33" s="1568"/>
      <c r="CA33" s="1553">
        <f t="shared" si="18"/>
        <v>1</v>
      </c>
      <c r="CB33" s="1567"/>
      <c r="CC33" s="1568"/>
      <c r="CD33" s="1568"/>
      <c r="CE33" s="1553">
        <f t="shared" si="4"/>
        <v>0</v>
      </c>
      <c r="CF33" s="1567"/>
      <c r="CG33" s="1568"/>
      <c r="CH33" s="1568"/>
      <c r="CI33" s="1553">
        <f t="shared" si="5"/>
        <v>0</v>
      </c>
      <c r="CJ33" s="1567"/>
      <c r="CK33" s="1568"/>
      <c r="CL33" s="1568">
        <v>1</v>
      </c>
      <c r="CM33" s="1553">
        <f t="shared" si="6"/>
        <v>1</v>
      </c>
      <c r="CN33" s="1567"/>
      <c r="CO33" s="1568"/>
      <c r="CP33" s="1568"/>
      <c r="CQ33" s="1553">
        <f t="shared" si="7"/>
        <v>0</v>
      </c>
      <c r="CR33" s="1567"/>
      <c r="CS33" s="1568"/>
      <c r="CT33" s="1568"/>
      <c r="CU33" s="1553">
        <f t="shared" si="8"/>
        <v>0</v>
      </c>
    </row>
    <row r="34" spans="2:99" ht="15" customHeight="1" x14ac:dyDescent="0.25">
      <c r="B34" s="5867"/>
      <c r="C34" s="1591" t="s">
        <v>336</v>
      </c>
      <c r="D34" s="1567"/>
      <c r="E34" s="1568"/>
      <c r="F34" s="1568"/>
      <c r="G34" s="1569"/>
      <c r="H34" s="1567"/>
      <c r="I34" s="1568"/>
      <c r="J34" s="1568"/>
      <c r="K34" s="1569"/>
      <c r="L34" s="1567"/>
      <c r="M34" s="1568"/>
      <c r="N34" s="1568"/>
      <c r="O34" s="1569"/>
      <c r="P34" s="1567"/>
      <c r="Q34" s="1568"/>
      <c r="R34" s="1568"/>
      <c r="S34" s="1569"/>
      <c r="T34" s="1567"/>
      <c r="U34" s="1568"/>
      <c r="V34" s="1568"/>
      <c r="W34" s="1569"/>
      <c r="X34" s="1567"/>
      <c r="Y34" s="1568"/>
      <c r="Z34" s="1568"/>
      <c r="AA34" s="1569"/>
      <c r="AB34" s="1567"/>
      <c r="AC34" s="1568"/>
      <c r="AD34" s="1568"/>
      <c r="AE34" s="1553"/>
      <c r="AF34" s="1568"/>
      <c r="AG34" s="1568"/>
      <c r="AH34" s="1568"/>
      <c r="AI34" s="1553"/>
      <c r="AJ34" s="1568"/>
      <c r="AK34" s="1568"/>
      <c r="AL34" s="1568"/>
      <c r="AM34" s="1553"/>
      <c r="AN34" s="1568"/>
      <c r="AO34" s="1568"/>
      <c r="AP34" s="1568"/>
      <c r="AQ34" s="1553">
        <f>SUM(AN34:AP34)</f>
        <v>0</v>
      </c>
      <c r="AR34" s="1568"/>
      <c r="AS34" s="1568"/>
      <c r="AT34" s="1568">
        <v>2</v>
      </c>
      <c r="AU34" s="1553">
        <f>SUM(AR34:AT34)</f>
        <v>2</v>
      </c>
      <c r="AV34" s="1568"/>
      <c r="AW34" s="1568"/>
      <c r="AX34" s="1568">
        <v>2</v>
      </c>
      <c r="AY34" s="1553">
        <f>SUM(AV34:AX34)</f>
        <v>2</v>
      </c>
      <c r="AZ34" s="1568">
        <v>1</v>
      </c>
      <c r="BA34" s="1568"/>
      <c r="BB34" s="1568"/>
      <c r="BC34" s="1553">
        <f>SUM(AZ34:BB34)</f>
        <v>1</v>
      </c>
      <c r="BD34" s="1567">
        <v>2</v>
      </c>
      <c r="BE34" s="1568">
        <v>2</v>
      </c>
      <c r="BF34" s="1568"/>
      <c r="BG34" s="1553">
        <f>SUM(BD34:BF34)</f>
        <v>4</v>
      </c>
      <c r="BH34" s="1567">
        <v>1</v>
      </c>
      <c r="BI34" s="1568">
        <v>2</v>
      </c>
      <c r="BJ34" s="1568">
        <v>5</v>
      </c>
      <c r="BK34" s="1553">
        <f>SUM(BH34:BJ34)</f>
        <v>8</v>
      </c>
      <c r="BL34" s="1567">
        <v>4</v>
      </c>
      <c r="BM34" s="1568">
        <v>2</v>
      </c>
      <c r="BN34" s="1568">
        <v>1</v>
      </c>
      <c r="BO34" s="1553">
        <f t="shared" si="15"/>
        <v>7</v>
      </c>
      <c r="BP34" s="1567">
        <v>2</v>
      </c>
      <c r="BQ34" s="1568"/>
      <c r="BR34" s="1568"/>
      <c r="BS34" s="1553">
        <f t="shared" si="16"/>
        <v>2</v>
      </c>
      <c r="BT34" s="1567">
        <v>3</v>
      </c>
      <c r="BU34" s="1568">
        <v>1</v>
      </c>
      <c r="BV34" s="1568">
        <v>2</v>
      </c>
      <c r="BW34" s="1553">
        <f t="shared" si="17"/>
        <v>6</v>
      </c>
      <c r="BX34" s="1567"/>
      <c r="BY34" s="1568"/>
      <c r="BZ34" s="1568">
        <v>1</v>
      </c>
      <c r="CA34" s="1553">
        <f t="shared" si="18"/>
        <v>1</v>
      </c>
      <c r="CB34" s="1567"/>
      <c r="CC34" s="1568">
        <v>2</v>
      </c>
      <c r="CD34" s="1568">
        <v>1</v>
      </c>
      <c r="CE34" s="1553">
        <f t="shared" si="4"/>
        <v>3</v>
      </c>
      <c r="CF34" s="1567">
        <v>2</v>
      </c>
      <c r="CG34" s="1568">
        <v>1</v>
      </c>
      <c r="CH34" s="1568">
        <v>2</v>
      </c>
      <c r="CI34" s="1553">
        <f t="shared" si="5"/>
        <v>5</v>
      </c>
      <c r="CJ34" s="1567"/>
      <c r="CK34" s="1568"/>
      <c r="CL34" s="1568">
        <v>1</v>
      </c>
      <c r="CM34" s="1553">
        <f t="shared" si="6"/>
        <v>1</v>
      </c>
      <c r="CN34" s="1567">
        <v>2</v>
      </c>
      <c r="CO34" s="1568">
        <v>1</v>
      </c>
      <c r="CP34" s="1568">
        <v>4</v>
      </c>
      <c r="CQ34" s="1553">
        <f t="shared" si="7"/>
        <v>7</v>
      </c>
      <c r="CR34" s="1567"/>
      <c r="CS34" s="1568">
        <v>1</v>
      </c>
      <c r="CT34" s="1568">
        <v>2</v>
      </c>
      <c r="CU34" s="1553">
        <f t="shared" si="8"/>
        <v>3</v>
      </c>
    </row>
    <row r="35" spans="2:99" ht="15" customHeight="1" x14ac:dyDescent="0.25">
      <c r="B35" s="1577"/>
      <c r="C35" s="1578" t="s">
        <v>64</v>
      </c>
      <c r="D35" s="1579"/>
      <c r="E35" s="1580">
        <f t="shared" ref="E35:BP35" si="19">SUM(E19:E34)</f>
        <v>5</v>
      </c>
      <c r="F35" s="1580">
        <f t="shared" si="19"/>
        <v>4</v>
      </c>
      <c r="G35" s="1580">
        <f t="shared" si="19"/>
        <v>9</v>
      </c>
      <c r="H35" s="1579">
        <f t="shared" si="19"/>
        <v>0</v>
      </c>
      <c r="I35" s="1580">
        <f t="shared" si="19"/>
        <v>1</v>
      </c>
      <c r="J35" s="1580">
        <f t="shared" si="19"/>
        <v>7</v>
      </c>
      <c r="K35" s="1580">
        <f t="shared" si="19"/>
        <v>8</v>
      </c>
      <c r="L35" s="1579">
        <f t="shared" si="19"/>
        <v>1</v>
      </c>
      <c r="M35" s="1580">
        <f t="shared" si="19"/>
        <v>12</v>
      </c>
      <c r="N35" s="1580">
        <f t="shared" si="19"/>
        <v>6</v>
      </c>
      <c r="O35" s="1580">
        <f t="shared" si="19"/>
        <v>19</v>
      </c>
      <c r="P35" s="1579">
        <f t="shared" si="19"/>
        <v>3</v>
      </c>
      <c r="Q35" s="1580">
        <f t="shared" si="19"/>
        <v>123</v>
      </c>
      <c r="R35" s="1580">
        <f t="shared" si="19"/>
        <v>13</v>
      </c>
      <c r="S35" s="1580">
        <f t="shared" si="19"/>
        <v>139</v>
      </c>
      <c r="T35" s="1579">
        <f t="shared" si="19"/>
        <v>15</v>
      </c>
      <c r="U35" s="1580">
        <f t="shared" si="19"/>
        <v>13</v>
      </c>
      <c r="V35" s="1580">
        <f t="shared" si="19"/>
        <v>6</v>
      </c>
      <c r="W35" s="1580">
        <f t="shared" si="19"/>
        <v>34</v>
      </c>
      <c r="X35" s="1579">
        <f t="shared" si="19"/>
        <v>10</v>
      </c>
      <c r="Y35" s="1580">
        <f t="shared" si="19"/>
        <v>13</v>
      </c>
      <c r="Z35" s="1580">
        <f t="shared" si="19"/>
        <v>6</v>
      </c>
      <c r="AA35" s="1580">
        <f t="shared" si="19"/>
        <v>29</v>
      </c>
      <c r="AB35" s="1579">
        <f t="shared" si="19"/>
        <v>12</v>
      </c>
      <c r="AC35" s="1580">
        <f t="shared" si="19"/>
        <v>24</v>
      </c>
      <c r="AD35" s="1580">
        <f t="shared" si="19"/>
        <v>1</v>
      </c>
      <c r="AE35" s="1581">
        <f t="shared" si="19"/>
        <v>37</v>
      </c>
      <c r="AF35" s="1580">
        <f t="shared" si="19"/>
        <v>7</v>
      </c>
      <c r="AG35" s="1580">
        <f t="shared" si="19"/>
        <v>25</v>
      </c>
      <c r="AH35" s="1580">
        <f t="shared" si="19"/>
        <v>15</v>
      </c>
      <c r="AI35" s="1581">
        <f t="shared" si="19"/>
        <v>47</v>
      </c>
      <c r="AJ35" s="1580">
        <f t="shared" si="19"/>
        <v>9</v>
      </c>
      <c r="AK35" s="1580">
        <f t="shared" si="19"/>
        <v>21</v>
      </c>
      <c r="AL35" s="1580">
        <f t="shared" si="19"/>
        <v>9</v>
      </c>
      <c r="AM35" s="1581">
        <f t="shared" si="19"/>
        <v>39</v>
      </c>
      <c r="AN35" s="1580">
        <f t="shared" si="19"/>
        <v>3</v>
      </c>
      <c r="AO35" s="1580">
        <f t="shared" si="19"/>
        <v>16</v>
      </c>
      <c r="AP35" s="1580">
        <f t="shared" si="19"/>
        <v>3</v>
      </c>
      <c r="AQ35" s="1581">
        <f t="shared" si="19"/>
        <v>22</v>
      </c>
      <c r="AR35" s="1580">
        <f t="shared" si="19"/>
        <v>7</v>
      </c>
      <c r="AS35" s="1580">
        <f t="shared" si="19"/>
        <v>18</v>
      </c>
      <c r="AT35" s="1580">
        <f t="shared" si="19"/>
        <v>6</v>
      </c>
      <c r="AU35" s="1581">
        <f t="shared" si="19"/>
        <v>31</v>
      </c>
      <c r="AV35" s="1580">
        <f t="shared" si="19"/>
        <v>6</v>
      </c>
      <c r="AW35" s="1580">
        <f t="shared" si="19"/>
        <v>20</v>
      </c>
      <c r="AX35" s="1580">
        <f t="shared" si="19"/>
        <v>6</v>
      </c>
      <c r="AY35" s="1581">
        <f t="shared" si="19"/>
        <v>32</v>
      </c>
      <c r="AZ35" s="1580">
        <f t="shared" si="19"/>
        <v>6</v>
      </c>
      <c r="BA35" s="1580">
        <f t="shared" si="19"/>
        <v>37</v>
      </c>
      <c r="BB35" s="1580">
        <f t="shared" si="19"/>
        <v>8</v>
      </c>
      <c r="BC35" s="1581">
        <f t="shared" si="19"/>
        <v>51</v>
      </c>
      <c r="BD35" s="1580">
        <f t="shared" si="19"/>
        <v>14</v>
      </c>
      <c r="BE35" s="1580">
        <f t="shared" si="19"/>
        <v>29</v>
      </c>
      <c r="BF35" s="1580">
        <f t="shared" si="19"/>
        <v>3</v>
      </c>
      <c r="BG35" s="1581">
        <f t="shared" si="19"/>
        <v>46</v>
      </c>
      <c r="BH35" s="1580">
        <f t="shared" si="19"/>
        <v>3</v>
      </c>
      <c r="BI35" s="1580">
        <f t="shared" si="19"/>
        <v>14</v>
      </c>
      <c r="BJ35" s="1580">
        <f t="shared" si="19"/>
        <v>22</v>
      </c>
      <c r="BK35" s="1581">
        <f t="shared" si="19"/>
        <v>39</v>
      </c>
      <c r="BL35" s="1580">
        <f t="shared" si="19"/>
        <v>16</v>
      </c>
      <c r="BM35" s="1580">
        <f t="shared" si="19"/>
        <v>26</v>
      </c>
      <c r="BN35" s="1580">
        <f t="shared" si="19"/>
        <v>17</v>
      </c>
      <c r="BO35" s="1581">
        <f t="shared" si="19"/>
        <v>59</v>
      </c>
      <c r="BP35" s="1580">
        <f t="shared" si="19"/>
        <v>11</v>
      </c>
      <c r="BQ35" s="1580">
        <f t="shared" ref="BQ35:CD35" si="20">SUM(BQ19:BQ34)</f>
        <v>19</v>
      </c>
      <c r="BR35" s="1580">
        <f t="shared" si="20"/>
        <v>14</v>
      </c>
      <c r="BS35" s="1581">
        <f t="shared" si="20"/>
        <v>44</v>
      </c>
      <c r="BT35" s="1580">
        <f t="shared" si="20"/>
        <v>33</v>
      </c>
      <c r="BU35" s="1580">
        <f t="shared" si="20"/>
        <v>29</v>
      </c>
      <c r="BV35" s="1580">
        <f t="shared" si="20"/>
        <v>18</v>
      </c>
      <c r="BW35" s="1581">
        <f t="shared" si="20"/>
        <v>80</v>
      </c>
      <c r="BX35" s="1580">
        <f t="shared" si="20"/>
        <v>9</v>
      </c>
      <c r="BY35" s="1580">
        <f t="shared" si="20"/>
        <v>30</v>
      </c>
      <c r="BZ35" s="1580">
        <f t="shared" si="20"/>
        <v>5</v>
      </c>
      <c r="CA35" s="1581">
        <f t="shared" si="20"/>
        <v>44</v>
      </c>
      <c r="CB35" s="1580">
        <f t="shared" si="20"/>
        <v>15</v>
      </c>
      <c r="CC35" s="1580">
        <f t="shared" si="20"/>
        <v>27</v>
      </c>
      <c r="CD35" s="1580">
        <f t="shared" si="20"/>
        <v>16</v>
      </c>
      <c r="CE35" s="1581">
        <f t="shared" si="4"/>
        <v>58</v>
      </c>
      <c r="CF35" s="1580">
        <f>SUM(CF19:CF34)</f>
        <v>13</v>
      </c>
      <c r="CG35" s="1580">
        <f>SUM(CG19:CG34)</f>
        <v>7</v>
      </c>
      <c r="CH35" s="1580">
        <f>SUM(CH19:CH34)</f>
        <v>22</v>
      </c>
      <c r="CI35" s="1581">
        <f t="shared" si="5"/>
        <v>42</v>
      </c>
      <c r="CJ35" s="1580">
        <f>SUM(CJ19:CJ34)</f>
        <v>13</v>
      </c>
      <c r="CK35" s="1580">
        <f>SUM(CK19:CK34)</f>
        <v>9</v>
      </c>
      <c r="CL35" s="1580">
        <f>SUM(CL19:CL34)</f>
        <v>40</v>
      </c>
      <c r="CM35" s="1582">
        <f t="shared" si="6"/>
        <v>62</v>
      </c>
      <c r="CN35" s="1580">
        <f>SUM(CN19:CN34)</f>
        <v>10</v>
      </c>
      <c r="CO35" s="1580">
        <f>SUM(CO19:CO34)</f>
        <v>11</v>
      </c>
      <c r="CP35" s="1580">
        <f>SUM(CP19:CP34)</f>
        <v>21</v>
      </c>
      <c r="CQ35" s="1582">
        <f t="shared" si="7"/>
        <v>42</v>
      </c>
      <c r="CR35" s="1580">
        <f>SUM(CR19:CR34)</f>
        <v>21</v>
      </c>
      <c r="CS35" s="1580">
        <f>SUM(CS19:CS34)</f>
        <v>21</v>
      </c>
      <c r="CT35" s="1580">
        <f>SUM(CT19:CT34)</f>
        <v>4</v>
      </c>
      <c r="CU35" s="1582">
        <f t="shared" si="8"/>
        <v>46</v>
      </c>
    </row>
    <row r="36" spans="2:99" ht="14.25" customHeight="1" x14ac:dyDescent="0.25">
      <c r="B36" s="5865" t="s">
        <v>308</v>
      </c>
      <c r="C36" s="1586" t="s">
        <v>337</v>
      </c>
      <c r="D36" s="1587"/>
      <c r="E36" s="1588"/>
      <c r="F36" s="1588">
        <v>17</v>
      </c>
      <c r="G36" s="1589">
        <f>SUM(F36)</f>
        <v>17</v>
      </c>
      <c r="H36" s="1587"/>
      <c r="I36" s="1588">
        <v>3</v>
      </c>
      <c r="J36" s="1588">
        <v>6</v>
      </c>
      <c r="K36" s="1589">
        <f>SUM(I36:J36)</f>
        <v>9</v>
      </c>
      <c r="L36" s="1587">
        <v>1</v>
      </c>
      <c r="M36" s="1588">
        <v>7</v>
      </c>
      <c r="N36" s="1588">
        <v>2</v>
      </c>
      <c r="O36" s="1589">
        <f>SUM(L36:N36)</f>
        <v>10</v>
      </c>
      <c r="P36" s="1587">
        <v>3</v>
      </c>
      <c r="Q36" s="1588">
        <v>65</v>
      </c>
      <c r="R36" s="1588">
        <v>26</v>
      </c>
      <c r="S36" s="1589">
        <f>SUM(P36:R36)</f>
        <v>94</v>
      </c>
      <c r="T36" s="1587"/>
      <c r="U36" s="1588">
        <v>1</v>
      </c>
      <c r="V36" s="1588">
        <v>2</v>
      </c>
      <c r="W36" s="1589">
        <f>SUM(T36:V36)</f>
        <v>3</v>
      </c>
      <c r="X36" s="1587">
        <v>2</v>
      </c>
      <c r="Y36" s="1588">
        <v>15</v>
      </c>
      <c r="Z36" s="1588">
        <v>7</v>
      </c>
      <c r="AA36" s="1589">
        <f>SUM(X36:Z36)</f>
        <v>24</v>
      </c>
      <c r="AB36" s="1587">
        <v>1</v>
      </c>
      <c r="AC36" s="1588">
        <v>4</v>
      </c>
      <c r="AD36" s="1588">
        <v>9</v>
      </c>
      <c r="AE36" s="1590">
        <f>SUM(AB36:AD36)</f>
        <v>14</v>
      </c>
      <c r="AF36" s="1588"/>
      <c r="AG36" s="1588">
        <v>13</v>
      </c>
      <c r="AH36" s="1588">
        <v>4</v>
      </c>
      <c r="AI36" s="1590">
        <f>SUM(AF36:AH36)</f>
        <v>17</v>
      </c>
      <c r="AJ36" s="1588"/>
      <c r="AK36" s="1588">
        <v>16</v>
      </c>
      <c r="AL36" s="1588">
        <v>1</v>
      </c>
      <c r="AM36" s="1590">
        <f>SUM(AJ36:AL36)</f>
        <v>17</v>
      </c>
      <c r="AN36" s="1588">
        <v>1</v>
      </c>
      <c r="AO36" s="1588">
        <v>2</v>
      </c>
      <c r="AP36" s="1588">
        <v>11</v>
      </c>
      <c r="AQ36" s="1590">
        <f>SUM(AN36:AP36)</f>
        <v>14</v>
      </c>
      <c r="AR36" s="1588">
        <v>10</v>
      </c>
      <c r="AS36" s="1588">
        <v>4</v>
      </c>
      <c r="AT36" s="1588">
        <v>47</v>
      </c>
      <c r="AU36" s="1590">
        <f>SUM(AR36:AT36)</f>
        <v>61</v>
      </c>
      <c r="AV36" s="1588">
        <v>1</v>
      </c>
      <c r="AW36" s="1588">
        <v>1</v>
      </c>
      <c r="AX36" s="1588">
        <v>24</v>
      </c>
      <c r="AY36" s="1590">
        <f>SUM(AV36:AX36)</f>
        <v>26</v>
      </c>
      <c r="AZ36" s="1588"/>
      <c r="BA36" s="1588">
        <v>2</v>
      </c>
      <c r="BB36" s="1588">
        <v>31</v>
      </c>
      <c r="BC36" s="1590">
        <f>SUM(AZ36:BB36)</f>
        <v>33</v>
      </c>
      <c r="BD36" s="1587">
        <v>1</v>
      </c>
      <c r="BE36" s="1588">
        <v>4</v>
      </c>
      <c r="BF36" s="1588">
        <v>1</v>
      </c>
      <c r="BG36" s="1590">
        <f>SUM(BD36:BF36)</f>
        <v>6</v>
      </c>
      <c r="BH36" s="1587"/>
      <c r="BI36" s="1588">
        <v>5</v>
      </c>
      <c r="BJ36" s="1588">
        <v>28</v>
      </c>
      <c r="BK36" s="1590">
        <f>SUM(BH36:BJ36)</f>
        <v>33</v>
      </c>
      <c r="BL36" s="1587"/>
      <c r="BM36" s="1588">
        <v>1</v>
      </c>
      <c r="BN36" s="1588"/>
      <c r="BO36" s="1590">
        <f>SUM(BL36:BN36)</f>
        <v>1</v>
      </c>
      <c r="BP36" s="1587"/>
      <c r="BQ36" s="1588"/>
      <c r="BR36" s="1588"/>
      <c r="BS36" s="1590">
        <f>SUM(BP36:BR36)</f>
        <v>0</v>
      </c>
      <c r="BT36" s="1584"/>
      <c r="BU36" s="1585"/>
      <c r="BV36" s="1585"/>
      <c r="BW36" s="1552">
        <f>SUM(BT36:BV36)</f>
        <v>0</v>
      </c>
      <c r="BX36" s="1584"/>
      <c r="BY36" s="1585"/>
      <c r="BZ36" s="1585">
        <v>1</v>
      </c>
      <c r="CA36" s="1552">
        <f>SUM(BX36:BZ36)</f>
        <v>1</v>
      </c>
      <c r="CB36" s="1584"/>
      <c r="CC36" s="1585"/>
      <c r="CD36" s="1585"/>
      <c r="CE36" s="1552">
        <f t="shared" si="4"/>
        <v>0</v>
      </c>
      <c r="CF36" s="1584"/>
      <c r="CG36" s="1585"/>
      <c r="CH36" s="1585"/>
      <c r="CI36" s="1552">
        <f t="shared" si="5"/>
        <v>0</v>
      </c>
      <c r="CJ36" s="1584"/>
      <c r="CK36" s="1585"/>
      <c r="CL36" s="1585"/>
      <c r="CM36" s="1552">
        <f t="shared" si="6"/>
        <v>0</v>
      </c>
      <c r="CN36" s="1584"/>
      <c r="CO36" s="1585"/>
      <c r="CP36" s="1585"/>
      <c r="CQ36" s="1552">
        <f t="shared" si="7"/>
        <v>0</v>
      </c>
      <c r="CR36" s="1584"/>
      <c r="CS36" s="1585"/>
      <c r="CT36" s="1585"/>
      <c r="CU36" s="1552">
        <f t="shared" si="8"/>
        <v>0</v>
      </c>
    </row>
    <row r="37" spans="2:99" ht="14.25" customHeight="1" x14ac:dyDescent="0.25">
      <c r="B37" s="5866"/>
      <c r="C37" s="1591" t="s">
        <v>338</v>
      </c>
      <c r="D37" s="1567"/>
      <c r="E37" s="1568"/>
      <c r="F37" s="1568"/>
      <c r="G37" s="1569"/>
      <c r="H37" s="1567"/>
      <c r="I37" s="1568"/>
      <c r="J37" s="1568"/>
      <c r="K37" s="1569"/>
      <c r="L37" s="1567"/>
      <c r="M37" s="1568"/>
      <c r="N37" s="1568"/>
      <c r="O37" s="1569"/>
      <c r="P37" s="1567"/>
      <c r="Q37" s="1568">
        <v>4</v>
      </c>
      <c r="R37" s="1568"/>
      <c r="S37" s="1569">
        <f>SUM(P37:R37)</f>
        <v>4</v>
      </c>
      <c r="T37" s="1567">
        <v>1</v>
      </c>
      <c r="U37" s="1568">
        <v>2</v>
      </c>
      <c r="V37" s="1568">
        <v>4</v>
      </c>
      <c r="W37" s="1569">
        <f>SUM(T37:V37)</f>
        <v>7</v>
      </c>
      <c r="X37" s="1567">
        <v>2</v>
      </c>
      <c r="Y37" s="1568">
        <v>1</v>
      </c>
      <c r="Z37" s="1568">
        <v>2</v>
      </c>
      <c r="AA37" s="1569">
        <f>SUM(X37:Z37)</f>
        <v>5</v>
      </c>
      <c r="AB37" s="1567">
        <v>4</v>
      </c>
      <c r="AC37" s="1568">
        <v>1</v>
      </c>
      <c r="AD37" s="1568">
        <v>5</v>
      </c>
      <c r="AE37" s="1553">
        <f>SUM(AB37:AD37)</f>
        <v>10</v>
      </c>
      <c r="AF37" s="1568">
        <v>2</v>
      </c>
      <c r="AG37" s="1568">
        <v>2</v>
      </c>
      <c r="AH37" s="1568">
        <v>5</v>
      </c>
      <c r="AI37" s="1553">
        <f>SUM(AF37:AH37)</f>
        <v>9</v>
      </c>
      <c r="AJ37" s="1568">
        <v>4</v>
      </c>
      <c r="AK37" s="1568"/>
      <c r="AL37" s="1568"/>
      <c r="AM37" s="1553">
        <f>SUM(AJ37:AL37)</f>
        <v>4</v>
      </c>
      <c r="AN37" s="1568">
        <v>3</v>
      </c>
      <c r="AO37" s="1568">
        <v>6</v>
      </c>
      <c r="AP37" s="1568">
        <v>2</v>
      </c>
      <c r="AQ37" s="1553">
        <f>SUM(AN37:AP37)</f>
        <v>11</v>
      </c>
      <c r="AR37" s="1568">
        <v>2</v>
      </c>
      <c r="AS37" s="1568">
        <v>5</v>
      </c>
      <c r="AT37" s="1568">
        <v>1</v>
      </c>
      <c r="AU37" s="1553">
        <f>SUM(AR37:AT37)</f>
        <v>8</v>
      </c>
      <c r="AV37" s="1568">
        <v>2</v>
      </c>
      <c r="AW37" s="1568">
        <v>11</v>
      </c>
      <c r="AX37" s="1568">
        <v>3</v>
      </c>
      <c r="AY37" s="1553">
        <f>SUM(AV37:AX37)</f>
        <v>16</v>
      </c>
      <c r="AZ37" s="1568"/>
      <c r="BA37" s="1568"/>
      <c r="BB37" s="1568">
        <v>1</v>
      </c>
      <c r="BC37" s="1553">
        <f>SUM(AZ37:BB37)</f>
        <v>1</v>
      </c>
      <c r="BD37" s="1567"/>
      <c r="BE37" s="1568"/>
      <c r="BF37" s="1568"/>
      <c r="BG37" s="1553"/>
      <c r="BH37" s="1567"/>
      <c r="BI37" s="1568"/>
      <c r="BJ37" s="1568"/>
      <c r="BK37" s="1553"/>
      <c r="BL37" s="1567"/>
      <c r="BM37" s="1568"/>
      <c r="BN37" s="1568"/>
      <c r="BO37" s="1553">
        <f>SUM(BL37:BN37)</f>
        <v>0</v>
      </c>
      <c r="BP37" s="1567"/>
      <c r="BQ37" s="1568"/>
      <c r="BR37" s="1568"/>
      <c r="BS37" s="1553">
        <f>SUM(BP37:BR37)</f>
        <v>0</v>
      </c>
      <c r="BT37" s="1567"/>
      <c r="BU37" s="1568"/>
      <c r="BV37" s="1568"/>
      <c r="BW37" s="1553">
        <f>SUM(BT37:BV37)</f>
        <v>0</v>
      </c>
      <c r="BX37" s="1567"/>
      <c r="BY37" s="1568"/>
      <c r="BZ37" s="1568"/>
      <c r="CA37" s="1553">
        <f>SUM(BX37:BZ37)</f>
        <v>0</v>
      </c>
      <c r="CB37" s="1567"/>
      <c r="CC37" s="1568">
        <v>2</v>
      </c>
      <c r="CD37" s="1568"/>
      <c r="CE37" s="1553">
        <f t="shared" si="4"/>
        <v>2</v>
      </c>
      <c r="CF37" s="1567"/>
      <c r="CG37" s="1568"/>
      <c r="CH37" s="1568">
        <v>4</v>
      </c>
      <c r="CI37" s="1553">
        <f t="shared" si="5"/>
        <v>4</v>
      </c>
      <c r="CJ37" s="1567"/>
      <c r="CK37" s="1568"/>
      <c r="CL37" s="1568"/>
      <c r="CM37" s="1553">
        <f t="shared" si="6"/>
        <v>0</v>
      </c>
      <c r="CN37" s="1567">
        <v>6</v>
      </c>
      <c r="CO37" s="1568"/>
      <c r="CP37" s="1568"/>
      <c r="CQ37" s="1553">
        <f t="shared" si="7"/>
        <v>6</v>
      </c>
      <c r="CR37" s="1567">
        <v>4</v>
      </c>
      <c r="CS37" s="1568">
        <v>1</v>
      </c>
      <c r="CT37" s="1568"/>
      <c r="CU37" s="1553">
        <f t="shared" si="8"/>
        <v>5</v>
      </c>
    </row>
    <row r="38" spans="2:99" ht="14.25" customHeight="1" x14ac:dyDescent="0.25">
      <c r="B38" s="5867"/>
      <c r="C38" s="1595" t="s">
        <v>339</v>
      </c>
      <c r="D38" s="1567"/>
      <c r="E38" s="1568"/>
      <c r="F38" s="1568"/>
      <c r="G38" s="1569"/>
      <c r="H38" s="1567"/>
      <c r="I38" s="1568"/>
      <c r="J38" s="1568"/>
      <c r="K38" s="1569"/>
      <c r="L38" s="1567"/>
      <c r="M38" s="1568"/>
      <c r="N38" s="1568"/>
      <c r="O38" s="1569"/>
      <c r="P38" s="1567"/>
      <c r="Q38" s="1568"/>
      <c r="R38" s="1568"/>
      <c r="S38" s="1569"/>
      <c r="T38" s="1567"/>
      <c r="U38" s="1568"/>
      <c r="V38" s="1568"/>
      <c r="W38" s="1569"/>
      <c r="X38" s="1567"/>
      <c r="Y38" s="1568"/>
      <c r="Z38" s="1568"/>
      <c r="AA38" s="1569"/>
      <c r="AB38" s="1567"/>
      <c r="AC38" s="1568"/>
      <c r="AD38" s="1568"/>
      <c r="AE38" s="1553"/>
      <c r="AF38" s="1568"/>
      <c r="AG38" s="1568"/>
      <c r="AH38" s="1568"/>
      <c r="AI38" s="1553"/>
      <c r="AJ38" s="1568"/>
      <c r="AK38" s="1568"/>
      <c r="AL38" s="1568"/>
      <c r="AM38" s="1553"/>
      <c r="AN38" s="1568"/>
      <c r="AO38" s="1568"/>
      <c r="AP38" s="1568"/>
      <c r="AQ38" s="1553"/>
      <c r="AR38" s="1568"/>
      <c r="AS38" s="1568"/>
      <c r="AT38" s="1568"/>
      <c r="AU38" s="1553"/>
      <c r="AV38" s="1568"/>
      <c r="AW38" s="1568"/>
      <c r="AX38" s="1568"/>
      <c r="AY38" s="1553"/>
      <c r="AZ38" s="1568"/>
      <c r="BA38" s="1568"/>
      <c r="BB38" s="1568"/>
      <c r="BC38" s="1553"/>
      <c r="BD38" s="1567"/>
      <c r="BE38" s="1568"/>
      <c r="BF38" s="1568"/>
      <c r="BG38" s="1553"/>
      <c r="BH38" s="1567"/>
      <c r="BI38" s="1568"/>
      <c r="BJ38" s="1568"/>
      <c r="BK38" s="1553"/>
      <c r="BL38" s="1567"/>
      <c r="BM38" s="1568"/>
      <c r="BN38" s="1568"/>
      <c r="BO38" s="1553"/>
      <c r="BP38" s="1567"/>
      <c r="BQ38" s="1568"/>
      <c r="BR38" s="1568"/>
      <c r="BS38" s="1553"/>
      <c r="BT38" s="1567"/>
      <c r="BU38" s="1568"/>
      <c r="BV38" s="1568"/>
      <c r="BW38" s="1553"/>
      <c r="BX38" s="1567"/>
      <c r="BY38" s="1568"/>
      <c r="BZ38" s="1568">
        <v>8</v>
      </c>
      <c r="CA38" s="1553">
        <f>SUM(BX38:BZ38)</f>
        <v>8</v>
      </c>
      <c r="CB38" s="1567"/>
      <c r="CC38" s="1568"/>
      <c r="CD38" s="1568"/>
      <c r="CE38" s="1553">
        <f t="shared" si="4"/>
        <v>0</v>
      </c>
      <c r="CF38" s="1567"/>
      <c r="CG38" s="1568"/>
      <c r="CH38" s="1568">
        <v>7</v>
      </c>
      <c r="CI38" s="1553">
        <f t="shared" si="5"/>
        <v>7</v>
      </c>
      <c r="CJ38" s="1567"/>
      <c r="CK38" s="1568"/>
      <c r="CL38" s="1568"/>
      <c r="CM38" s="1553">
        <f t="shared" si="6"/>
        <v>0</v>
      </c>
      <c r="CN38" s="1567"/>
      <c r="CO38" s="1568"/>
      <c r="CP38" s="1568">
        <v>7</v>
      </c>
      <c r="CQ38" s="1553">
        <f t="shared" si="7"/>
        <v>7</v>
      </c>
      <c r="CR38" s="1567"/>
      <c r="CS38" s="1568"/>
      <c r="CT38" s="1568">
        <v>6</v>
      </c>
      <c r="CU38" s="1553">
        <f t="shared" si="8"/>
        <v>6</v>
      </c>
    </row>
    <row r="39" spans="2:99" ht="14.25" customHeight="1" x14ac:dyDescent="0.25">
      <c r="B39" s="5868" t="s">
        <v>310</v>
      </c>
      <c r="C39" s="1592" t="s">
        <v>340</v>
      </c>
      <c r="D39" s="1555">
        <v>1</v>
      </c>
      <c r="E39" s="1556"/>
      <c r="F39" s="1556"/>
      <c r="G39" s="1557">
        <f>SUM(D39:F39)</f>
        <v>1</v>
      </c>
      <c r="H39" s="1555"/>
      <c r="I39" s="1556"/>
      <c r="J39" s="1556"/>
      <c r="K39" s="1557"/>
      <c r="L39" s="1555">
        <v>2</v>
      </c>
      <c r="M39" s="1556"/>
      <c r="N39" s="1556">
        <v>1</v>
      </c>
      <c r="O39" s="1557">
        <f>SUM(L39:N39)</f>
        <v>3</v>
      </c>
      <c r="P39" s="1555">
        <v>7</v>
      </c>
      <c r="Q39" s="1556">
        <v>6</v>
      </c>
      <c r="R39" s="1556">
        <v>5</v>
      </c>
      <c r="S39" s="1557">
        <f>SUM(P39:R39)</f>
        <v>18</v>
      </c>
      <c r="T39" s="1555"/>
      <c r="U39" s="1556"/>
      <c r="V39" s="1556"/>
      <c r="W39" s="1557"/>
      <c r="X39" s="1555"/>
      <c r="Y39" s="1556"/>
      <c r="Z39" s="1556"/>
      <c r="AA39" s="1557"/>
      <c r="AB39" s="1555"/>
      <c r="AC39" s="1556"/>
      <c r="AD39" s="1556"/>
      <c r="AE39" s="1558"/>
      <c r="AF39" s="1556"/>
      <c r="AG39" s="1556"/>
      <c r="AH39" s="1556"/>
      <c r="AI39" s="1558"/>
      <c r="AJ39" s="1556"/>
      <c r="AK39" s="1556"/>
      <c r="AL39" s="1556"/>
      <c r="AM39" s="1558"/>
      <c r="AN39" s="1556"/>
      <c r="AO39" s="1556"/>
      <c r="AP39" s="1556"/>
      <c r="AQ39" s="1558"/>
      <c r="AR39" s="1556"/>
      <c r="AS39" s="1556"/>
      <c r="AT39" s="1556"/>
      <c r="AU39" s="1558"/>
      <c r="AV39" s="1556"/>
      <c r="AW39" s="1556"/>
      <c r="AX39" s="1556"/>
      <c r="AY39" s="1558"/>
      <c r="AZ39" s="1556">
        <v>1</v>
      </c>
      <c r="BA39" s="1556">
        <v>12</v>
      </c>
      <c r="BB39" s="1556">
        <v>11</v>
      </c>
      <c r="BC39" s="1558">
        <f>SUM(AZ39:BB39)</f>
        <v>24</v>
      </c>
      <c r="BD39" s="1555">
        <v>4</v>
      </c>
      <c r="BE39" s="1556">
        <v>5</v>
      </c>
      <c r="BF39" s="1556">
        <v>13</v>
      </c>
      <c r="BG39" s="1558">
        <f>SUM(BD39:BF39)</f>
        <v>22</v>
      </c>
      <c r="BH39" s="1555">
        <v>6</v>
      </c>
      <c r="BI39" s="1556">
        <v>25</v>
      </c>
      <c r="BJ39" s="1556">
        <v>6</v>
      </c>
      <c r="BK39" s="1558">
        <f>SUM(BH39:BJ39)</f>
        <v>37</v>
      </c>
      <c r="BL39" s="1555">
        <v>4</v>
      </c>
      <c r="BM39" s="1556">
        <v>11</v>
      </c>
      <c r="BN39" s="1556">
        <v>11</v>
      </c>
      <c r="BO39" s="1558">
        <f>SUM(BL39:BN39)</f>
        <v>26</v>
      </c>
      <c r="BP39" s="1555">
        <v>8</v>
      </c>
      <c r="BQ39" s="1556">
        <v>7</v>
      </c>
      <c r="BR39" s="1556"/>
      <c r="BS39" s="1558">
        <f>SUM(BP39:BR39)</f>
        <v>15</v>
      </c>
      <c r="BT39" s="1555"/>
      <c r="BU39" s="1556"/>
      <c r="BV39" s="1556"/>
      <c r="BW39" s="1558">
        <f>SUM(BT39:BV39)</f>
        <v>0</v>
      </c>
      <c r="BX39" s="1555"/>
      <c r="BY39" s="1556">
        <v>1</v>
      </c>
      <c r="BZ39" s="1556"/>
      <c r="CA39" s="1558">
        <f>SUM(BX39:BZ39)</f>
        <v>1</v>
      </c>
      <c r="CB39" s="1555"/>
      <c r="CC39" s="1556"/>
      <c r="CD39" s="1556"/>
      <c r="CE39" s="1558">
        <f t="shared" si="4"/>
        <v>0</v>
      </c>
      <c r="CF39" s="1555"/>
      <c r="CG39" s="1556"/>
      <c r="CH39" s="1556"/>
      <c r="CI39" s="1558">
        <f t="shared" si="5"/>
        <v>0</v>
      </c>
      <c r="CJ39" s="1555"/>
      <c r="CK39" s="1556"/>
      <c r="CL39" s="1556"/>
      <c r="CM39" s="1558">
        <f t="shared" si="6"/>
        <v>0</v>
      </c>
      <c r="CN39" s="1555"/>
      <c r="CO39" s="1556"/>
      <c r="CP39" s="1556"/>
      <c r="CQ39" s="1558">
        <f t="shared" si="7"/>
        <v>0</v>
      </c>
      <c r="CR39" s="1555"/>
      <c r="CS39" s="1556"/>
      <c r="CT39" s="1556"/>
      <c r="CU39" s="1558">
        <f t="shared" si="8"/>
        <v>0</v>
      </c>
    </row>
    <row r="40" spans="2:99" ht="14.25" customHeight="1" x14ac:dyDescent="0.25">
      <c r="B40" s="5869"/>
      <c r="C40" s="1596" t="s">
        <v>341</v>
      </c>
      <c r="D40" s="1561"/>
      <c r="E40" s="1562"/>
      <c r="F40" s="1562"/>
      <c r="G40" s="1563"/>
      <c r="H40" s="1561"/>
      <c r="I40" s="1562"/>
      <c r="J40" s="1562"/>
      <c r="K40" s="1563"/>
      <c r="L40" s="1561"/>
      <c r="M40" s="1562"/>
      <c r="N40" s="1562"/>
      <c r="O40" s="1563"/>
      <c r="P40" s="1561"/>
      <c r="Q40" s="1562"/>
      <c r="R40" s="1562"/>
      <c r="S40" s="1563"/>
      <c r="T40" s="1561"/>
      <c r="U40" s="1562"/>
      <c r="V40" s="1562"/>
      <c r="W40" s="1563"/>
      <c r="X40" s="1561"/>
      <c r="Y40" s="1562"/>
      <c r="Z40" s="1562"/>
      <c r="AA40" s="1563"/>
      <c r="AB40" s="1561"/>
      <c r="AC40" s="1562"/>
      <c r="AD40" s="1562"/>
      <c r="AE40" s="1564"/>
      <c r="AF40" s="1562"/>
      <c r="AG40" s="1562"/>
      <c r="AH40" s="1562"/>
      <c r="AI40" s="1564"/>
      <c r="AJ40" s="1562"/>
      <c r="AK40" s="1562"/>
      <c r="AL40" s="1562"/>
      <c r="AM40" s="1564"/>
      <c r="AN40" s="1562"/>
      <c r="AO40" s="1562"/>
      <c r="AP40" s="1562"/>
      <c r="AQ40" s="1564"/>
      <c r="AR40" s="1562"/>
      <c r="AS40" s="1562"/>
      <c r="AT40" s="1562"/>
      <c r="AU40" s="1564"/>
      <c r="AV40" s="1562"/>
      <c r="AW40" s="1562"/>
      <c r="AX40" s="1562"/>
      <c r="AY40" s="1564"/>
      <c r="AZ40" s="1562"/>
      <c r="BA40" s="1562"/>
      <c r="BB40" s="1562"/>
      <c r="BC40" s="1564"/>
      <c r="BD40" s="1562"/>
      <c r="BE40" s="1562"/>
      <c r="BF40" s="1562"/>
      <c r="BG40" s="1558"/>
      <c r="BH40" s="1562"/>
      <c r="BI40" s="1562"/>
      <c r="BJ40" s="1562"/>
      <c r="BK40" s="1558"/>
      <c r="BL40" s="1562"/>
      <c r="BM40" s="1562"/>
      <c r="BN40" s="1562"/>
      <c r="BO40" s="1558"/>
      <c r="BP40" s="1562"/>
      <c r="BQ40" s="1562">
        <v>1</v>
      </c>
      <c r="BR40" s="1562"/>
      <c r="BS40" s="1558">
        <f t="shared" ref="BS40:BS49" si="21">SUM(BP40:BR40)</f>
        <v>1</v>
      </c>
      <c r="BT40" s="1561"/>
      <c r="BU40" s="1562">
        <v>6</v>
      </c>
      <c r="BV40" s="1562"/>
      <c r="BW40" s="1558">
        <f t="shared" ref="BW40:BW51" si="22">SUM(BT40:BV40)</f>
        <v>6</v>
      </c>
      <c r="BX40" s="1561">
        <v>3</v>
      </c>
      <c r="BY40" s="1562">
        <v>4</v>
      </c>
      <c r="BZ40" s="1562">
        <v>1</v>
      </c>
      <c r="CA40" s="1558">
        <f t="shared" ref="CA40:CA51" si="23">SUM(BX40:BZ40)</f>
        <v>8</v>
      </c>
      <c r="CB40" s="1561">
        <v>1</v>
      </c>
      <c r="CC40" s="1562">
        <v>1</v>
      </c>
      <c r="CD40" s="1562">
        <v>1</v>
      </c>
      <c r="CE40" s="1558">
        <f t="shared" si="4"/>
        <v>3</v>
      </c>
      <c r="CF40" s="1561"/>
      <c r="CG40" s="1562"/>
      <c r="CH40" s="1562">
        <v>1</v>
      </c>
      <c r="CI40" s="1558">
        <f t="shared" si="5"/>
        <v>1</v>
      </c>
      <c r="CJ40" s="1561"/>
      <c r="CK40" s="1562"/>
      <c r="CL40" s="1562">
        <v>1</v>
      </c>
      <c r="CM40" s="1558">
        <f t="shared" si="6"/>
        <v>1</v>
      </c>
      <c r="CN40" s="1561"/>
      <c r="CO40" s="1562"/>
      <c r="CP40" s="1562"/>
      <c r="CQ40" s="1558">
        <f t="shared" si="7"/>
        <v>0</v>
      </c>
      <c r="CR40" s="1561"/>
      <c r="CS40" s="1562">
        <v>1</v>
      </c>
      <c r="CT40" s="1562">
        <v>1</v>
      </c>
      <c r="CU40" s="1558">
        <f t="shared" si="8"/>
        <v>2</v>
      </c>
    </row>
    <row r="41" spans="2:99" ht="14.25" customHeight="1" x14ac:dyDescent="0.25">
      <c r="B41" s="5869"/>
      <c r="C41" s="1596" t="s">
        <v>342</v>
      </c>
      <c r="D41" s="1561"/>
      <c r="E41" s="1562"/>
      <c r="F41" s="1562"/>
      <c r="G41" s="1563"/>
      <c r="H41" s="1561"/>
      <c r="I41" s="1562"/>
      <c r="J41" s="1562"/>
      <c r="K41" s="1563"/>
      <c r="L41" s="1561"/>
      <c r="M41" s="1562"/>
      <c r="N41" s="1562"/>
      <c r="O41" s="1563"/>
      <c r="P41" s="1561"/>
      <c r="Q41" s="1562"/>
      <c r="R41" s="1562"/>
      <c r="S41" s="1563"/>
      <c r="T41" s="1561"/>
      <c r="U41" s="1562"/>
      <c r="V41" s="1562"/>
      <c r="W41" s="1563"/>
      <c r="X41" s="1561"/>
      <c r="Y41" s="1562"/>
      <c r="Z41" s="1562"/>
      <c r="AA41" s="1563"/>
      <c r="AB41" s="1561"/>
      <c r="AC41" s="1562"/>
      <c r="AD41" s="1562"/>
      <c r="AE41" s="1564"/>
      <c r="AF41" s="1562"/>
      <c r="AG41" s="1562"/>
      <c r="AH41" s="1562"/>
      <c r="AI41" s="1564"/>
      <c r="AJ41" s="1562"/>
      <c r="AK41" s="1562"/>
      <c r="AL41" s="1562"/>
      <c r="AM41" s="1564"/>
      <c r="AN41" s="1562"/>
      <c r="AO41" s="1562"/>
      <c r="AP41" s="1562"/>
      <c r="AQ41" s="1564"/>
      <c r="AR41" s="1562"/>
      <c r="AS41" s="1562"/>
      <c r="AT41" s="1562"/>
      <c r="AU41" s="1564"/>
      <c r="AV41" s="1562"/>
      <c r="AW41" s="1562"/>
      <c r="AX41" s="1562"/>
      <c r="AY41" s="1564"/>
      <c r="AZ41" s="1562"/>
      <c r="BA41" s="1562"/>
      <c r="BB41" s="1562"/>
      <c r="BC41" s="1564"/>
      <c r="BD41" s="1562"/>
      <c r="BE41" s="1562"/>
      <c r="BF41" s="1562"/>
      <c r="BG41" s="1558"/>
      <c r="BH41" s="1562"/>
      <c r="BI41" s="1562"/>
      <c r="BJ41" s="1562"/>
      <c r="BK41" s="1558"/>
      <c r="BL41" s="1562"/>
      <c r="BM41" s="1562"/>
      <c r="BN41" s="1562"/>
      <c r="BO41" s="1558"/>
      <c r="BP41" s="1562"/>
      <c r="BQ41" s="1562"/>
      <c r="BR41" s="1562"/>
      <c r="BS41" s="1558"/>
      <c r="BT41" s="1561"/>
      <c r="BU41" s="1562">
        <v>1</v>
      </c>
      <c r="BV41" s="1562"/>
      <c r="BW41" s="1558">
        <f t="shared" si="22"/>
        <v>1</v>
      </c>
      <c r="BX41" s="1561">
        <v>1</v>
      </c>
      <c r="BY41" s="1562"/>
      <c r="BZ41" s="1562">
        <v>1</v>
      </c>
      <c r="CA41" s="1558">
        <f t="shared" si="23"/>
        <v>2</v>
      </c>
      <c r="CB41" s="1561">
        <v>2</v>
      </c>
      <c r="CC41" s="1562"/>
      <c r="CD41" s="1562">
        <v>1</v>
      </c>
      <c r="CE41" s="1558">
        <f t="shared" si="4"/>
        <v>3</v>
      </c>
      <c r="CF41" s="1561"/>
      <c r="CG41" s="1562"/>
      <c r="CH41" s="1562">
        <v>1</v>
      </c>
      <c r="CI41" s="1558">
        <f t="shared" si="5"/>
        <v>1</v>
      </c>
      <c r="CJ41" s="1561"/>
      <c r="CK41" s="1562"/>
      <c r="CL41" s="1562">
        <v>1</v>
      </c>
      <c r="CM41" s="1558">
        <f t="shared" si="6"/>
        <v>1</v>
      </c>
      <c r="CN41" s="1561"/>
      <c r="CO41" s="1562">
        <v>1</v>
      </c>
      <c r="CP41" s="1562">
        <v>1</v>
      </c>
      <c r="CQ41" s="1558">
        <f t="shared" si="7"/>
        <v>2</v>
      </c>
      <c r="CR41" s="1561"/>
      <c r="CS41" s="1562"/>
      <c r="CT41" s="1562"/>
      <c r="CU41" s="1558">
        <f t="shared" si="8"/>
        <v>0</v>
      </c>
    </row>
    <row r="42" spans="2:99" ht="14.25" customHeight="1" x14ac:dyDescent="0.25">
      <c r="B42" s="5869"/>
      <c r="C42" s="1596" t="s">
        <v>343</v>
      </c>
      <c r="D42" s="1561"/>
      <c r="E42" s="1562"/>
      <c r="F42" s="1562"/>
      <c r="G42" s="1563"/>
      <c r="H42" s="1561"/>
      <c r="I42" s="1562"/>
      <c r="J42" s="1562"/>
      <c r="K42" s="1563"/>
      <c r="L42" s="1561"/>
      <c r="M42" s="1562"/>
      <c r="N42" s="1562"/>
      <c r="O42" s="1563"/>
      <c r="P42" s="1561"/>
      <c r="Q42" s="1562"/>
      <c r="R42" s="1562"/>
      <c r="S42" s="1563"/>
      <c r="T42" s="1561"/>
      <c r="U42" s="1562"/>
      <c r="V42" s="1562"/>
      <c r="W42" s="1563"/>
      <c r="X42" s="1561"/>
      <c r="Y42" s="1562"/>
      <c r="Z42" s="1562"/>
      <c r="AA42" s="1563"/>
      <c r="AB42" s="1561"/>
      <c r="AC42" s="1562"/>
      <c r="AD42" s="1562"/>
      <c r="AE42" s="1564"/>
      <c r="AF42" s="1562"/>
      <c r="AG42" s="1562"/>
      <c r="AH42" s="1562"/>
      <c r="AI42" s="1564"/>
      <c r="AJ42" s="1562"/>
      <c r="AK42" s="1562"/>
      <c r="AL42" s="1562"/>
      <c r="AM42" s="1564"/>
      <c r="AN42" s="1562"/>
      <c r="AO42" s="1562"/>
      <c r="AP42" s="1562"/>
      <c r="AQ42" s="1564"/>
      <c r="AR42" s="1562"/>
      <c r="AS42" s="1562"/>
      <c r="AT42" s="1562"/>
      <c r="AU42" s="1564"/>
      <c r="AV42" s="1562"/>
      <c r="AW42" s="1562"/>
      <c r="AX42" s="1562"/>
      <c r="AY42" s="1564"/>
      <c r="AZ42" s="1562"/>
      <c r="BA42" s="1562"/>
      <c r="BB42" s="1562"/>
      <c r="BC42" s="1564"/>
      <c r="BD42" s="1562"/>
      <c r="BE42" s="1562"/>
      <c r="BF42" s="1562"/>
      <c r="BG42" s="1558"/>
      <c r="BH42" s="1562"/>
      <c r="BI42" s="1562"/>
      <c r="BJ42" s="1562"/>
      <c r="BK42" s="1558"/>
      <c r="BL42" s="1562"/>
      <c r="BM42" s="1562"/>
      <c r="BN42" s="1562"/>
      <c r="BO42" s="1558"/>
      <c r="BP42" s="1562"/>
      <c r="BQ42" s="1562"/>
      <c r="BR42" s="1562"/>
      <c r="BS42" s="1558"/>
      <c r="BT42" s="1561"/>
      <c r="BU42" s="1562">
        <v>1</v>
      </c>
      <c r="BV42" s="1562">
        <v>1</v>
      </c>
      <c r="BW42" s="1558">
        <f t="shared" si="22"/>
        <v>2</v>
      </c>
      <c r="BX42" s="1561">
        <v>1</v>
      </c>
      <c r="BY42" s="1562">
        <v>5</v>
      </c>
      <c r="BZ42" s="1562"/>
      <c r="CA42" s="1558">
        <f t="shared" si="23"/>
        <v>6</v>
      </c>
      <c r="CB42" s="1561">
        <v>1</v>
      </c>
      <c r="CC42" s="1562">
        <v>2</v>
      </c>
      <c r="CD42" s="1562">
        <v>1</v>
      </c>
      <c r="CE42" s="1558">
        <f t="shared" si="4"/>
        <v>4</v>
      </c>
      <c r="CF42" s="1561"/>
      <c r="CG42" s="1562">
        <v>1</v>
      </c>
      <c r="CH42" s="1562"/>
      <c r="CI42" s="1558">
        <f t="shared" si="5"/>
        <v>1</v>
      </c>
      <c r="CJ42" s="1561">
        <v>1</v>
      </c>
      <c r="CK42" s="1562"/>
      <c r="CL42" s="1562"/>
      <c r="CM42" s="1558">
        <f t="shared" si="6"/>
        <v>1</v>
      </c>
      <c r="CN42" s="1561">
        <v>2</v>
      </c>
      <c r="CO42" s="1562"/>
      <c r="CP42" s="1562"/>
      <c r="CQ42" s="1558">
        <f t="shared" si="7"/>
        <v>2</v>
      </c>
      <c r="CR42" s="1561">
        <v>1</v>
      </c>
      <c r="CS42" s="1562">
        <v>2</v>
      </c>
      <c r="CT42" s="1562"/>
      <c r="CU42" s="1558">
        <f t="shared" si="8"/>
        <v>3</v>
      </c>
    </row>
    <row r="43" spans="2:99" ht="14.25" customHeight="1" x14ac:dyDescent="0.25">
      <c r="B43" s="5869"/>
      <c r="C43" s="1596" t="s">
        <v>339</v>
      </c>
      <c r="D43" s="1561"/>
      <c r="E43" s="1562"/>
      <c r="F43" s="1562"/>
      <c r="G43" s="1563"/>
      <c r="H43" s="1561"/>
      <c r="I43" s="1562"/>
      <c r="J43" s="1562"/>
      <c r="K43" s="1563"/>
      <c r="L43" s="1561"/>
      <c r="M43" s="1562"/>
      <c r="N43" s="1562"/>
      <c r="O43" s="1563"/>
      <c r="P43" s="1561"/>
      <c r="Q43" s="1562"/>
      <c r="R43" s="1562"/>
      <c r="S43" s="1563"/>
      <c r="T43" s="1561"/>
      <c r="U43" s="1562"/>
      <c r="V43" s="1562"/>
      <c r="W43" s="1563"/>
      <c r="X43" s="1561"/>
      <c r="Y43" s="1562"/>
      <c r="Z43" s="1562"/>
      <c r="AA43" s="1563"/>
      <c r="AB43" s="1561"/>
      <c r="AC43" s="1562"/>
      <c r="AD43" s="1562"/>
      <c r="AE43" s="1564"/>
      <c r="AF43" s="1562"/>
      <c r="AG43" s="1562"/>
      <c r="AH43" s="1562"/>
      <c r="AI43" s="1564"/>
      <c r="AJ43" s="1562"/>
      <c r="AK43" s="1562"/>
      <c r="AL43" s="1562"/>
      <c r="AM43" s="1564"/>
      <c r="AN43" s="1562"/>
      <c r="AO43" s="1562"/>
      <c r="AP43" s="1562"/>
      <c r="AQ43" s="1564"/>
      <c r="AR43" s="1562"/>
      <c r="AS43" s="1562"/>
      <c r="AT43" s="1562"/>
      <c r="AU43" s="1564"/>
      <c r="AV43" s="1562"/>
      <c r="AW43" s="1562"/>
      <c r="AX43" s="1562"/>
      <c r="AY43" s="1564"/>
      <c r="AZ43" s="1562"/>
      <c r="BA43" s="1562"/>
      <c r="BB43" s="1562"/>
      <c r="BC43" s="1564"/>
      <c r="BD43" s="1562"/>
      <c r="BE43" s="1562"/>
      <c r="BF43" s="1562"/>
      <c r="BG43" s="1558"/>
      <c r="BH43" s="1562"/>
      <c r="BI43" s="1562"/>
      <c r="BJ43" s="1562"/>
      <c r="BK43" s="1558"/>
      <c r="BL43" s="1562"/>
      <c r="BM43" s="1562"/>
      <c r="BN43" s="1562"/>
      <c r="BO43" s="1558"/>
      <c r="BP43" s="1562"/>
      <c r="BQ43" s="1562"/>
      <c r="BR43" s="1562">
        <v>2</v>
      </c>
      <c r="BS43" s="1558">
        <f t="shared" si="21"/>
        <v>2</v>
      </c>
      <c r="BT43" s="1561">
        <v>2</v>
      </c>
      <c r="BU43" s="1562"/>
      <c r="BV43" s="1562">
        <v>1</v>
      </c>
      <c r="BW43" s="1558">
        <f t="shared" si="22"/>
        <v>3</v>
      </c>
      <c r="BX43" s="1561"/>
      <c r="BY43" s="1562"/>
      <c r="BZ43" s="1562">
        <v>2</v>
      </c>
      <c r="CA43" s="1558">
        <f t="shared" si="23"/>
        <v>2</v>
      </c>
      <c r="CB43" s="1561"/>
      <c r="CC43" s="1562"/>
      <c r="CD43" s="1562"/>
      <c r="CE43" s="1558">
        <f t="shared" si="4"/>
        <v>0</v>
      </c>
      <c r="CF43" s="1561"/>
      <c r="CG43" s="1562"/>
      <c r="CH43" s="1562">
        <v>2</v>
      </c>
      <c r="CI43" s="1558">
        <f t="shared" si="5"/>
        <v>2</v>
      </c>
      <c r="CJ43" s="1561"/>
      <c r="CK43" s="1562"/>
      <c r="CL43" s="1562">
        <v>1</v>
      </c>
      <c r="CM43" s="1558">
        <f t="shared" si="6"/>
        <v>1</v>
      </c>
      <c r="CN43" s="1561"/>
      <c r="CO43" s="1562"/>
      <c r="CP43" s="1562">
        <v>2</v>
      </c>
      <c r="CQ43" s="1558">
        <f t="shared" si="7"/>
        <v>2</v>
      </c>
      <c r="CR43" s="1561"/>
      <c r="CS43" s="1562">
        <v>4</v>
      </c>
      <c r="CT43" s="1562"/>
      <c r="CU43" s="1558">
        <f t="shared" si="8"/>
        <v>4</v>
      </c>
    </row>
    <row r="44" spans="2:99" ht="14.25" customHeight="1" x14ac:dyDescent="0.25">
      <c r="B44" s="5869"/>
      <c r="C44" s="1596" t="s">
        <v>344</v>
      </c>
      <c r="D44" s="1562"/>
      <c r="E44" s="1562"/>
      <c r="F44" s="1562"/>
      <c r="G44" s="1563"/>
      <c r="H44" s="1555"/>
      <c r="I44" s="1562"/>
      <c r="J44" s="1562"/>
      <c r="K44" s="1563"/>
      <c r="L44" s="1555"/>
      <c r="M44" s="1562"/>
      <c r="N44" s="1562"/>
      <c r="O44" s="1563"/>
      <c r="P44" s="1555"/>
      <c r="Q44" s="1562"/>
      <c r="R44" s="1562"/>
      <c r="S44" s="1563"/>
      <c r="T44" s="1555"/>
      <c r="U44" s="1562"/>
      <c r="V44" s="1562"/>
      <c r="W44" s="1563"/>
      <c r="X44" s="1555"/>
      <c r="Y44" s="1562"/>
      <c r="Z44" s="1562"/>
      <c r="AA44" s="1563"/>
      <c r="AB44" s="1555"/>
      <c r="AC44" s="1562"/>
      <c r="AD44" s="1562"/>
      <c r="AE44" s="1564"/>
      <c r="AF44" s="1562"/>
      <c r="AG44" s="1562"/>
      <c r="AH44" s="1562"/>
      <c r="AI44" s="1564"/>
      <c r="AJ44" s="1562"/>
      <c r="AK44" s="1562"/>
      <c r="AL44" s="1562"/>
      <c r="AM44" s="1564"/>
      <c r="AN44" s="1562"/>
      <c r="AO44" s="1562"/>
      <c r="AP44" s="1562"/>
      <c r="AQ44" s="1564"/>
      <c r="AR44" s="1562"/>
      <c r="AS44" s="1562"/>
      <c r="AT44" s="1562"/>
      <c r="AU44" s="1564"/>
      <c r="AV44" s="1562"/>
      <c r="AW44" s="1562"/>
      <c r="AX44" s="1562"/>
      <c r="AY44" s="1564"/>
      <c r="AZ44" s="1562"/>
      <c r="BA44" s="1562"/>
      <c r="BB44" s="1562"/>
      <c r="BC44" s="1564"/>
      <c r="BD44" s="1562"/>
      <c r="BE44" s="1562"/>
      <c r="BF44" s="1562"/>
      <c r="BG44" s="1558"/>
      <c r="BH44" s="1562"/>
      <c r="BI44" s="1562"/>
      <c r="BJ44" s="1562"/>
      <c r="BK44" s="1558"/>
      <c r="BL44" s="1562"/>
      <c r="BM44" s="1562"/>
      <c r="BN44" s="1562"/>
      <c r="BO44" s="1558"/>
      <c r="BP44" s="1562"/>
      <c r="BQ44" s="1562"/>
      <c r="BR44" s="1562"/>
      <c r="BS44" s="1558"/>
      <c r="BT44" s="1561"/>
      <c r="BU44" s="1562"/>
      <c r="BV44" s="1562">
        <v>1</v>
      </c>
      <c r="BW44" s="1558">
        <f t="shared" si="22"/>
        <v>1</v>
      </c>
      <c r="BX44" s="1561"/>
      <c r="BY44" s="1562">
        <v>2</v>
      </c>
      <c r="BZ44" s="1562">
        <v>2</v>
      </c>
      <c r="CA44" s="1558">
        <f t="shared" si="23"/>
        <v>4</v>
      </c>
      <c r="CB44" s="1561">
        <v>2</v>
      </c>
      <c r="CC44" s="1562">
        <v>2</v>
      </c>
      <c r="CD44" s="1562">
        <v>1</v>
      </c>
      <c r="CE44" s="1558">
        <f t="shared" si="4"/>
        <v>5</v>
      </c>
      <c r="CF44" s="1561"/>
      <c r="CG44" s="1562"/>
      <c r="CH44" s="1562"/>
      <c r="CI44" s="1558">
        <f t="shared" si="5"/>
        <v>0</v>
      </c>
      <c r="CJ44" s="1561"/>
      <c r="CK44" s="1562"/>
      <c r="CL44" s="1562"/>
      <c r="CM44" s="1558">
        <f t="shared" si="6"/>
        <v>0</v>
      </c>
      <c r="CN44" s="1561">
        <v>1</v>
      </c>
      <c r="CO44" s="1562">
        <v>1</v>
      </c>
      <c r="CP44" s="1562">
        <v>1</v>
      </c>
      <c r="CQ44" s="1558">
        <f t="shared" si="7"/>
        <v>3</v>
      </c>
      <c r="CR44" s="1561">
        <v>1</v>
      </c>
      <c r="CS44" s="1562">
        <v>1</v>
      </c>
      <c r="CT44" s="1562"/>
      <c r="CU44" s="1558">
        <f t="shared" si="8"/>
        <v>2</v>
      </c>
    </row>
    <row r="45" spans="2:99" ht="28.8" x14ac:dyDescent="0.25">
      <c r="B45" s="5870"/>
      <c r="C45" s="1596" t="s">
        <v>345</v>
      </c>
      <c r="D45" s="1562"/>
      <c r="E45" s="1562"/>
      <c r="F45" s="1562"/>
      <c r="G45" s="1563"/>
      <c r="H45" s="1562"/>
      <c r="I45" s="1562"/>
      <c r="J45" s="1562"/>
      <c r="K45" s="1563"/>
      <c r="L45" s="1562"/>
      <c r="M45" s="1562"/>
      <c r="N45" s="1562"/>
      <c r="O45" s="1563"/>
      <c r="P45" s="1562"/>
      <c r="Q45" s="1562"/>
      <c r="R45" s="1562"/>
      <c r="S45" s="1563"/>
      <c r="T45" s="1562"/>
      <c r="U45" s="1562"/>
      <c r="V45" s="1562"/>
      <c r="W45" s="1563"/>
      <c r="X45" s="1562"/>
      <c r="Y45" s="1562"/>
      <c r="Z45" s="1562"/>
      <c r="AA45" s="1563"/>
      <c r="AB45" s="1562"/>
      <c r="AC45" s="1562"/>
      <c r="AD45" s="1562"/>
      <c r="AE45" s="1564"/>
      <c r="AF45" s="1562"/>
      <c r="AG45" s="1562"/>
      <c r="AH45" s="1562"/>
      <c r="AI45" s="1564"/>
      <c r="AJ45" s="1562"/>
      <c r="AK45" s="1562"/>
      <c r="AL45" s="1562"/>
      <c r="AM45" s="1564"/>
      <c r="AN45" s="1562"/>
      <c r="AO45" s="1562"/>
      <c r="AP45" s="1562"/>
      <c r="AQ45" s="1564"/>
      <c r="AR45" s="1562"/>
      <c r="AS45" s="1562"/>
      <c r="AT45" s="1562"/>
      <c r="AU45" s="1564"/>
      <c r="AV45" s="1562"/>
      <c r="AW45" s="1562"/>
      <c r="AX45" s="1562"/>
      <c r="AY45" s="1564"/>
      <c r="AZ45" s="1562"/>
      <c r="BA45" s="1562"/>
      <c r="BB45" s="1562"/>
      <c r="BC45" s="1564"/>
      <c r="BD45" s="1562"/>
      <c r="BE45" s="1562"/>
      <c r="BF45" s="1562"/>
      <c r="BG45" s="1558"/>
      <c r="BH45" s="1562"/>
      <c r="BI45" s="1562"/>
      <c r="BJ45" s="1562"/>
      <c r="BK45" s="1558"/>
      <c r="BL45" s="1562"/>
      <c r="BM45" s="1562"/>
      <c r="BN45" s="1562"/>
      <c r="BO45" s="1558"/>
      <c r="BP45" s="1562"/>
      <c r="BQ45" s="1562"/>
      <c r="BR45" s="1562"/>
      <c r="BS45" s="1558"/>
      <c r="BT45" s="1561"/>
      <c r="BU45" s="1562"/>
      <c r="BV45" s="1562"/>
      <c r="BW45" s="1558"/>
      <c r="BX45" s="1561"/>
      <c r="BY45" s="1562"/>
      <c r="BZ45" s="1562"/>
      <c r="CA45" s="1558"/>
      <c r="CB45" s="1561">
        <v>1</v>
      </c>
      <c r="CC45" s="1562">
        <v>5</v>
      </c>
      <c r="CD45" s="1562"/>
      <c r="CE45" s="1558">
        <f t="shared" si="4"/>
        <v>6</v>
      </c>
      <c r="CF45" s="1561">
        <v>1</v>
      </c>
      <c r="CG45" s="1562"/>
      <c r="CH45" s="1562"/>
      <c r="CI45" s="1558">
        <f t="shared" si="5"/>
        <v>1</v>
      </c>
      <c r="CJ45" s="1561"/>
      <c r="CK45" s="1562"/>
      <c r="CL45" s="1562"/>
      <c r="CM45" s="1558">
        <f t="shared" si="6"/>
        <v>0</v>
      </c>
      <c r="CN45" s="1561"/>
      <c r="CO45" s="1562">
        <v>2</v>
      </c>
      <c r="CP45" s="1562"/>
      <c r="CQ45" s="1558">
        <f t="shared" si="7"/>
        <v>2</v>
      </c>
      <c r="CR45" s="1561"/>
      <c r="CS45" s="1562">
        <v>1</v>
      </c>
      <c r="CT45" s="1562"/>
      <c r="CU45" s="1558">
        <f t="shared" si="8"/>
        <v>1</v>
      </c>
    </row>
    <row r="46" spans="2:99" ht="14.25" customHeight="1" x14ac:dyDescent="0.25">
      <c r="B46" s="5865" t="s">
        <v>317</v>
      </c>
      <c r="C46" s="1572" t="s">
        <v>346</v>
      </c>
      <c r="D46" s="1574"/>
      <c r="E46" s="1574"/>
      <c r="F46" s="1574"/>
      <c r="G46" s="1553"/>
      <c r="H46" s="1574"/>
      <c r="I46" s="1574"/>
      <c r="J46" s="1574"/>
      <c r="K46" s="1553"/>
      <c r="L46" s="1574">
        <v>1</v>
      </c>
      <c r="M46" s="1574">
        <v>6</v>
      </c>
      <c r="N46" s="1574">
        <v>4</v>
      </c>
      <c r="O46" s="1553">
        <f>SUM(L46:N46)</f>
        <v>11</v>
      </c>
      <c r="P46" s="1574"/>
      <c r="Q46" s="1574"/>
      <c r="R46" s="1574"/>
      <c r="S46" s="1553"/>
      <c r="T46" s="1574"/>
      <c r="U46" s="1574"/>
      <c r="V46" s="1574"/>
      <c r="W46" s="1553"/>
      <c r="X46" s="1574"/>
      <c r="Y46" s="1574">
        <v>1</v>
      </c>
      <c r="Z46" s="1574">
        <v>1</v>
      </c>
      <c r="AA46" s="1553">
        <f>SUM(X46:Z46)</f>
        <v>2</v>
      </c>
      <c r="AB46" s="1574"/>
      <c r="AC46" s="1574">
        <v>6</v>
      </c>
      <c r="AD46" s="1574">
        <v>1</v>
      </c>
      <c r="AE46" s="1553">
        <f>SUM(AB46:AD46)</f>
        <v>7</v>
      </c>
      <c r="AF46" s="1574">
        <v>1</v>
      </c>
      <c r="AG46" s="1574">
        <v>1</v>
      </c>
      <c r="AH46" s="1574">
        <v>2</v>
      </c>
      <c r="AI46" s="1553">
        <f>SUM(AF46:AH46)</f>
        <v>4</v>
      </c>
      <c r="AJ46" s="1574"/>
      <c r="AK46" s="1574"/>
      <c r="AL46" s="1574">
        <v>1</v>
      </c>
      <c r="AM46" s="1553">
        <f>SUM(AJ46:AL46)</f>
        <v>1</v>
      </c>
      <c r="AN46" s="1574">
        <v>1</v>
      </c>
      <c r="AO46" s="1574"/>
      <c r="AP46" s="1574"/>
      <c r="AQ46" s="1553">
        <f>SUM(AN46:AP46)</f>
        <v>1</v>
      </c>
      <c r="AR46" s="1574">
        <v>1</v>
      </c>
      <c r="AS46" s="1574">
        <v>1</v>
      </c>
      <c r="AT46" s="1574">
        <v>1</v>
      </c>
      <c r="AU46" s="1553">
        <f>SUM(AR46:AT46)</f>
        <v>3</v>
      </c>
      <c r="AV46" s="1574">
        <v>1</v>
      </c>
      <c r="AW46" s="1574">
        <v>1</v>
      </c>
      <c r="AX46" s="1574">
        <v>3</v>
      </c>
      <c r="AY46" s="1553">
        <f>SUM(AV46:AX46)</f>
        <v>5</v>
      </c>
      <c r="AZ46" s="1574">
        <v>1</v>
      </c>
      <c r="BA46" s="1574">
        <v>4</v>
      </c>
      <c r="BB46" s="1574">
        <v>2</v>
      </c>
      <c r="BC46" s="1553">
        <f>SUM(AZ46:BB46)</f>
        <v>7</v>
      </c>
      <c r="BD46" s="1574"/>
      <c r="BE46" s="1574">
        <v>1</v>
      </c>
      <c r="BF46" s="1574">
        <v>1</v>
      </c>
      <c r="BG46" s="1553">
        <f>SUM(BD46:BF46)</f>
        <v>2</v>
      </c>
      <c r="BH46" s="1574">
        <v>3</v>
      </c>
      <c r="BI46" s="1574">
        <v>5</v>
      </c>
      <c r="BJ46" s="1574">
        <v>1</v>
      </c>
      <c r="BK46" s="1553">
        <f>SUM(BH46:BJ46)</f>
        <v>9</v>
      </c>
      <c r="BL46" s="1574">
        <v>3</v>
      </c>
      <c r="BM46" s="1574">
        <v>5</v>
      </c>
      <c r="BN46" s="1574">
        <v>1</v>
      </c>
      <c r="BO46" s="1553">
        <f>SUM(BL46:BN46)</f>
        <v>9</v>
      </c>
      <c r="BP46" s="1574"/>
      <c r="BQ46" s="1574">
        <v>2</v>
      </c>
      <c r="BR46" s="1574"/>
      <c r="BS46" s="1553">
        <f t="shared" si="21"/>
        <v>2</v>
      </c>
      <c r="BT46" s="1573"/>
      <c r="BU46" s="1574"/>
      <c r="BV46" s="1574"/>
      <c r="BW46" s="1553">
        <f t="shared" si="22"/>
        <v>0</v>
      </c>
      <c r="BX46" s="1573"/>
      <c r="BY46" s="1574"/>
      <c r="BZ46" s="1574"/>
      <c r="CA46" s="1553">
        <f t="shared" si="23"/>
        <v>0</v>
      </c>
      <c r="CB46" s="1573"/>
      <c r="CC46" s="1574"/>
      <c r="CD46" s="1574"/>
      <c r="CE46" s="1553">
        <f t="shared" si="4"/>
        <v>0</v>
      </c>
      <c r="CF46" s="1573"/>
      <c r="CG46" s="1574"/>
      <c r="CH46" s="1574"/>
      <c r="CI46" s="1553">
        <f t="shared" si="5"/>
        <v>0</v>
      </c>
      <c r="CJ46" s="1573"/>
      <c r="CK46" s="1574"/>
      <c r="CL46" s="1574"/>
      <c r="CM46" s="1553">
        <f t="shared" si="6"/>
        <v>0</v>
      </c>
      <c r="CN46" s="1573"/>
      <c r="CO46" s="1574"/>
      <c r="CP46" s="1574"/>
      <c r="CQ46" s="1553">
        <f t="shared" si="7"/>
        <v>0</v>
      </c>
      <c r="CR46" s="1573"/>
      <c r="CS46" s="1574"/>
      <c r="CT46" s="1574"/>
      <c r="CU46" s="1553">
        <f t="shared" si="8"/>
        <v>0</v>
      </c>
    </row>
    <row r="47" spans="2:99" ht="14.25" customHeight="1" x14ac:dyDescent="0.25">
      <c r="B47" s="5866"/>
      <c r="C47" s="1591" t="s">
        <v>341</v>
      </c>
      <c r="D47" s="1574"/>
      <c r="E47" s="1574"/>
      <c r="F47" s="1574"/>
      <c r="G47" s="1553"/>
      <c r="H47" s="1574"/>
      <c r="I47" s="1574"/>
      <c r="J47" s="1574"/>
      <c r="K47" s="1553"/>
      <c r="L47" s="1574"/>
      <c r="M47" s="1574"/>
      <c r="N47" s="1574"/>
      <c r="O47" s="1553"/>
      <c r="P47" s="1574"/>
      <c r="Q47" s="1574"/>
      <c r="R47" s="1574"/>
      <c r="S47" s="1553"/>
      <c r="T47" s="1574"/>
      <c r="U47" s="1574"/>
      <c r="V47" s="1574"/>
      <c r="W47" s="1553"/>
      <c r="X47" s="1574"/>
      <c r="Y47" s="1574"/>
      <c r="Z47" s="1574"/>
      <c r="AA47" s="1553"/>
      <c r="AB47" s="1574"/>
      <c r="AC47" s="1574"/>
      <c r="AD47" s="1574"/>
      <c r="AE47" s="1553"/>
      <c r="AF47" s="1574"/>
      <c r="AG47" s="1574"/>
      <c r="AH47" s="1574"/>
      <c r="AI47" s="1553"/>
      <c r="AJ47" s="1574"/>
      <c r="AK47" s="1574"/>
      <c r="AL47" s="1574"/>
      <c r="AM47" s="1553"/>
      <c r="AN47" s="1574"/>
      <c r="AO47" s="1574"/>
      <c r="AP47" s="1574"/>
      <c r="AQ47" s="1553"/>
      <c r="AR47" s="1574"/>
      <c r="AS47" s="1574"/>
      <c r="AT47" s="1574"/>
      <c r="AU47" s="1553"/>
      <c r="AV47" s="1574"/>
      <c r="AW47" s="1574"/>
      <c r="AX47" s="1574"/>
      <c r="AY47" s="1553"/>
      <c r="AZ47" s="1574"/>
      <c r="BA47" s="1574"/>
      <c r="BB47" s="1574"/>
      <c r="BC47" s="1553"/>
      <c r="BD47" s="1574"/>
      <c r="BE47" s="1574"/>
      <c r="BF47" s="1574"/>
      <c r="BG47" s="1553"/>
      <c r="BH47" s="1574"/>
      <c r="BI47" s="1574"/>
      <c r="BJ47" s="1574"/>
      <c r="BK47" s="1553"/>
      <c r="BL47" s="1574"/>
      <c r="BM47" s="1574"/>
      <c r="BN47" s="1574"/>
      <c r="BO47" s="1553"/>
      <c r="BP47" s="1567"/>
      <c r="BQ47" s="1568">
        <v>1</v>
      </c>
      <c r="BR47" s="1568"/>
      <c r="BS47" s="1553">
        <f t="shared" si="21"/>
        <v>1</v>
      </c>
      <c r="BT47" s="1567"/>
      <c r="BU47" s="1568"/>
      <c r="BV47" s="1568"/>
      <c r="BW47" s="1553">
        <f t="shared" si="22"/>
        <v>0</v>
      </c>
      <c r="BX47" s="1567"/>
      <c r="BY47" s="1568"/>
      <c r="BZ47" s="1568"/>
      <c r="CA47" s="1553">
        <f t="shared" si="23"/>
        <v>0</v>
      </c>
      <c r="CB47" s="1567">
        <v>1</v>
      </c>
      <c r="CC47" s="1568"/>
      <c r="CD47" s="1568"/>
      <c r="CE47" s="1553">
        <f t="shared" si="4"/>
        <v>1</v>
      </c>
      <c r="CF47" s="1567">
        <v>2</v>
      </c>
      <c r="CG47" s="1568"/>
      <c r="CH47" s="1568"/>
      <c r="CI47" s="1553">
        <f t="shared" si="5"/>
        <v>2</v>
      </c>
      <c r="CJ47" s="1567"/>
      <c r="CK47" s="1568"/>
      <c r="CL47" s="1568">
        <v>1</v>
      </c>
      <c r="CM47" s="1553">
        <f t="shared" si="6"/>
        <v>1</v>
      </c>
      <c r="CN47" s="1567"/>
      <c r="CO47" s="1568"/>
      <c r="CP47" s="1568"/>
      <c r="CQ47" s="1553">
        <f t="shared" si="7"/>
        <v>0</v>
      </c>
      <c r="CR47" s="1567">
        <v>1</v>
      </c>
      <c r="CS47" s="1568"/>
      <c r="CT47" s="1568"/>
      <c r="CU47" s="1553">
        <f t="shared" si="8"/>
        <v>1</v>
      </c>
    </row>
    <row r="48" spans="2:99" ht="14.25" customHeight="1" x14ac:dyDescent="0.25">
      <c r="B48" s="5866"/>
      <c r="C48" s="1594" t="s">
        <v>342</v>
      </c>
      <c r="D48" s="1567"/>
      <c r="E48" s="1568"/>
      <c r="F48" s="1568"/>
      <c r="G48" s="1553"/>
      <c r="H48" s="1567"/>
      <c r="I48" s="1568"/>
      <c r="J48" s="1568"/>
      <c r="K48" s="1553"/>
      <c r="L48" s="1567"/>
      <c r="M48" s="1568"/>
      <c r="N48" s="1568"/>
      <c r="O48" s="1553"/>
      <c r="P48" s="1567"/>
      <c r="Q48" s="1568"/>
      <c r="R48" s="1568"/>
      <c r="S48" s="1553"/>
      <c r="T48" s="1567"/>
      <c r="U48" s="1568"/>
      <c r="V48" s="1568"/>
      <c r="W48" s="1553"/>
      <c r="X48" s="1567"/>
      <c r="Y48" s="1568"/>
      <c r="Z48" s="1568"/>
      <c r="AA48" s="1553"/>
      <c r="AB48" s="1567"/>
      <c r="AC48" s="1568"/>
      <c r="AD48" s="1568"/>
      <c r="AE48" s="1553"/>
      <c r="AF48" s="1567"/>
      <c r="AG48" s="1568"/>
      <c r="AH48" s="1568"/>
      <c r="AI48" s="1553"/>
      <c r="AJ48" s="1567"/>
      <c r="AK48" s="1568"/>
      <c r="AL48" s="1568"/>
      <c r="AM48" s="1553"/>
      <c r="AN48" s="1567"/>
      <c r="AO48" s="1568"/>
      <c r="AP48" s="1568"/>
      <c r="AQ48" s="1553"/>
      <c r="AR48" s="1567"/>
      <c r="AS48" s="1568"/>
      <c r="AT48" s="1568"/>
      <c r="AU48" s="1553"/>
      <c r="AV48" s="1567"/>
      <c r="AW48" s="1568"/>
      <c r="AX48" s="1568"/>
      <c r="AY48" s="1553"/>
      <c r="AZ48" s="1567"/>
      <c r="BA48" s="1568"/>
      <c r="BB48" s="1568"/>
      <c r="BC48" s="1553"/>
      <c r="BD48" s="1567"/>
      <c r="BE48" s="1568"/>
      <c r="BF48" s="1568"/>
      <c r="BG48" s="1553"/>
      <c r="BH48" s="1567"/>
      <c r="BI48" s="1568"/>
      <c r="BJ48" s="1568"/>
      <c r="BK48" s="1553"/>
      <c r="BL48" s="1567"/>
      <c r="BM48" s="1568"/>
      <c r="BN48" s="1568"/>
      <c r="BO48" s="1553"/>
      <c r="BP48" s="1567"/>
      <c r="BQ48" s="1568"/>
      <c r="BR48" s="1568">
        <v>1</v>
      </c>
      <c r="BS48" s="1553">
        <f t="shared" si="21"/>
        <v>1</v>
      </c>
      <c r="BT48" s="1567"/>
      <c r="BU48" s="1568"/>
      <c r="BV48" s="1568"/>
      <c r="BW48" s="1553">
        <f t="shared" si="22"/>
        <v>0</v>
      </c>
      <c r="BX48" s="1567"/>
      <c r="BY48" s="1568"/>
      <c r="BZ48" s="1568">
        <v>1</v>
      </c>
      <c r="CA48" s="1553">
        <f t="shared" si="23"/>
        <v>1</v>
      </c>
      <c r="CB48" s="1567"/>
      <c r="CC48" s="1568"/>
      <c r="CD48" s="1568"/>
      <c r="CE48" s="1553">
        <f t="shared" si="4"/>
        <v>0</v>
      </c>
      <c r="CF48" s="1567">
        <v>1</v>
      </c>
      <c r="CG48" s="1568"/>
      <c r="CH48" s="1568">
        <v>1</v>
      </c>
      <c r="CI48" s="1553">
        <f t="shared" si="5"/>
        <v>2</v>
      </c>
      <c r="CJ48" s="1567">
        <v>1</v>
      </c>
      <c r="CK48" s="1568"/>
      <c r="CL48" s="1568"/>
      <c r="CM48" s="1553">
        <f t="shared" si="6"/>
        <v>1</v>
      </c>
      <c r="CN48" s="1567"/>
      <c r="CO48" s="1568">
        <v>1</v>
      </c>
      <c r="CP48" s="1568"/>
      <c r="CQ48" s="1553">
        <f t="shared" si="7"/>
        <v>1</v>
      </c>
      <c r="CR48" s="1567">
        <v>1</v>
      </c>
      <c r="CS48" s="1568"/>
      <c r="CT48" s="1568"/>
      <c r="CU48" s="1553">
        <f t="shared" si="8"/>
        <v>1</v>
      </c>
    </row>
    <row r="49" spans="2:99" ht="14.25" customHeight="1" x14ac:dyDescent="0.25">
      <c r="B49" s="5866"/>
      <c r="C49" s="1591" t="s">
        <v>343</v>
      </c>
      <c r="D49" s="1574"/>
      <c r="E49" s="1574"/>
      <c r="F49" s="1574"/>
      <c r="G49" s="1553"/>
      <c r="H49" s="1574"/>
      <c r="I49" s="1574"/>
      <c r="J49" s="1574"/>
      <c r="K49" s="1553"/>
      <c r="L49" s="1574"/>
      <c r="M49" s="1574"/>
      <c r="N49" s="1574"/>
      <c r="O49" s="1553"/>
      <c r="P49" s="1574"/>
      <c r="Q49" s="1574"/>
      <c r="R49" s="1574"/>
      <c r="S49" s="1553"/>
      <c r="T49" s="1574"/>
      <c r="U49" s="1574"/>
      <c r="V49" s="1574"/>
      <c r="W49" s="1553"/>
      <c r="X49" s="1574"/>
      <c r="Y49" s="1574"/>
      <c r="Z49" s="1574"/>
      <c r="AA49" s="1553"/>
      <c r="AB49" s="1574"/>
      <c r="AC49" s="1574"/>
      <c r="AD49" s="1574"/>
      <c r="AE49" s="1553"/>
      <c r="AF49" s="1574"/>
      <c r="AG49" s="1574"/>
      <c r="AH49" s="1574"/>
      <c r="AI49" s="1553"/>
      <c r="AJ49" s="1574"/>
      <c r="AK49" s="1574"/>
      <c r="AL49" s="1574"/>
      <c r="AM49" s="1553"/>
      <c r="AN49" s="1574"/>
      <c r="AO49" s="1574"/>
      <c r="AP49" s="1574"/>
      <c r="AQ49" s="1553"/>
      <c r="AR49" s="1574"/>
      <c r="AS49" s="1574"/>
      <c r="AT49" s="1574"/>
      <c r="AU49" s="1553"/>
      <c r="AV49" s="1574"/>
      <c r="AW49" s="1574"/>
      <c r="AX49" s="1574"/>
      <c r="AY49" s="1553"/>
      <c r="AZ49" s="1574"/>
      <c r="BA49" s="1574"/>
      <c r="BB49" s="1574"/>
      <c r="BC49" s="1553"/>
      <c r="BD49" s="1574"/>
      <c r="BE49" s="1574"/>
      <c r="BF49" s="1574"/>
      <c r="BG49" s="1553"/>
      <c r="BH49" s="1574"/>
      <c r="BI49" s="1574"/>
      <c r="BJ49" s="1574"/>
      <c r="BK49" s="1553"/>
      <c r="BL49" s="1574"/>
      <c r="BM49" s="1574"/>
      <c r="BN49" s="1574"/>
      <c r="BO49" s="1553"/>
      <c r="BP49" s="1567"/>
      <c r="BQ49" s="1568"/>
      <c r="BR49" s="1568">
        <v>1</v>
      </c>
      <c r="BS49" s="1553">
        <f t="shared" si="21"/>
        <v>1</v>
      </c>
      <c r="BT49" s="1567"/>
      <c r="BU49" s="1568">
        <v>4</v>
      </c>
      <c r="BV49" s="1568">
        <v>1</v>
      </c>
      <c r="BW49" s="1553">
        <f t="shared" si="22"/>
        <v>5</v>
      </c>
      <c r="BX49" s="1567"/>
      <c r="BY49" s="1568">
        <v>1</v>
      </c>
      <c r="BZ49" s="1568"/>
      <c r="CA49" s="1553">
        <f t="shared" si="23"/>
        <v>1</v>
      </c>
      <c r="CB49" s="1567">
        <v>2</v>
      </c>
      <c r="CC49" s="1568">
        <v>3</v>
      </c>
      <c r="CD49" s="1568"/>
      <c r="CE49" s="1553">
        <f t="shared" si="4"/>
        <v>5</v>
      </c>
      <c r="CF49" s="1567">
        <v>1</v>
      </c>
      <c r="CG49" s="1568">
        <v>3</v>
      </c>
      <c r="CH49" s="1568"/>
      <c r="CI49" s="1553">
        <f t="shared" si="5"/>
        <v>4</v>
      </c>
      <c r="CJ49" s="1567">
        <v>1</v>
      </c>
      <c r="CK49" s="1568">
        <v>1</v>
      </c>
      <c r="CL49" s="1568">
        <v>1</v>
      </c>
      <c r="CM49" s="1553">
        <f t="shared" si="6"/>
        <v>3</v>
      </c>
      <c r="CN49" s="1567"/>
      <c r="CO49" s="1568">
        <v>1</v>
      </c>
      <c r="CP49" s="1568">
        <v>1</v>
      </c>
      <c r="CQ49" s="1553">
        <f t="shared" si="7"/>
        <v>2</v>
      </c>
      <c r="CR49" s="1567"/>
      <c r="CS49" s="1568">
        <v>2</v>
      </c>
      <c r="CT49" s="1568"/>
      <c r="CU49" s="1553">
        <f t="shared" si="8"/>
        <v>2</v>
      </c>
    </row>
    <row r="50" spans="2:99" ht="14.25" customHeight="1" x14ac:dyDescent="0.25">
      <c r="B50" s="5866"/>
      <c r="C50" s="1594" t="s">
        <v>339</v>
      </c>
      <c r="D50" s="1567"/>
      <c r="E50" s="1568"/>
      <c r="F50" s="1568"/>
      <c r="G50" s="1553"/>
      <c r="H50" s="1567"/>
      <c r="I50" s="1568"/>
      <c r="J50" s="1568"/>
      <c r="K50" s="1553"/>
      <c r="L50" s="1567"/>
      <c r="M50" s="1568"/>
      <c r="N50" s="1568"/>
      <c r="O50" s="1553"/>
      <c r="P50" s="1567"/>
      <c r="Q50" s="1568"/>
      <c r="R50" s="1568"/>
      <c r="S50" s="1553"/>
      <c r="T50" s="1567"/>
      <c r="U50" s="1568"/>
      <c r="V50" s="1568"/>
      <c r="W50" s="1553"/>
      <c r="X50" s="1567"/>
      <c r="Y50" s="1568"/>
      <c r="Z50" s="1568"/>
      <c r="AA50" s="1553"/>
      <c r="AB50" s="1567"/>
      <c r="AC50" s="1568"/>
      <c r="AD50" s="1568"/>
      <c r="AE50" s="1553"/>
      <c r="AF50" s="1567"/>
      <c r="AG50" s="1568"/>
      <c r="AH50" s="1568"/>
      <c r="AI50" s="1553"/>
      <c r="AJ50" s="1567"/>
      <c r="AK50" s="1568"/>
      <c r="AL50" s="1568"/>
      <c r="AM50" s="1553"/>
      <c r="AN50" s="1567"/>
      <c r="AO50" s="1568"/>
      <c r="AP50" s="1568"/>
      <c r="AQ50" s="1553"/>
      <c r="AR50" s="1567"/>
      <c r="AS50" s="1568"/>
      <c r="AT50" s="1568"/>
      <c r="AU50" s="1553"/>
      <c r="AV50" s="1567"/>
      <c r="AW50" s="1568"/>
      <c r="AX50" s="1568"/>
      <c r="AY50" s="1553"/>
      <c r="AZ50" s="1567"/>
      <c r="BA50" s="1568"/>
      <c r="BB50" s="1568"/>
      <c r="BC50" s="1553"/>
      <c r="BD50" s="1567"/>
      <c r="BE50" s="1568"/>
      <c r="BF50" s="1568"/>
      <c r="BG50" s="1553"/>
      <c r="BH50" s="1567"/>
      <c r="BI50" s="1568"/>
      <c r="BJ50" s="1568"/>
      <c r="BK50" s="1553"/>
      <c r="BL50" s="1567"/>
      <c r="BM50" s="1568"/>
      <c r="BN50" s="1568"/>
      <c r="BO50" s="1553"/>
      <c r="BP50" s="1567"/>
      <c r="BQ50" s="1568"/>
      <c r="BR50" s="1568"/>
      <c r="BS50" s="1553"/>
      <c r="BT50" s="1567"/>
      <c r="BU50" s="1568"/>
      <c r="BV50" s="1568"/>
      <c r="BW50" s="1553"/>
      <c r="BX50" s="1567"/>
      <c r="BY50" s="1568"/>
      <c r="BZ50" s="1568"/>
      <c r="CA50" s="1553"/>
      <c r="CB50" s="1567"/>
      <c r="CC50" s="1568"/>
      <c r="CD50" s="1568"/>
      <c r="CE50" s="1553"/>
      <c r="CF50" s="1567"/>
      <c r="CG50" s="1568"/>
      <c r="CH50" s="1568"/>
      <c r="CI50" s="1553"/>
      <c r="CJ50" s="1567"/>
      <c r="CK50" s="1568"/>
      <c r="CL50" s="1568"/>
      <c r="CM50" s="1553"/>
      <c r="CN50" s="1567"/>
      <c r="CO50" s="1568"/>
      <c r="CP50" s="1568"/>
      <c r="CQ50" s="1553"/>
      <c r="CR50" s="1567">
        <v>1</v>
      </c>
      <c r="CS50" s="1568"/>
      <c r="CT50" s="1568"/>
      <c r="CU50" s="1553">
        <f t="shared" si="8"/>
        <v>1</v>
      </c>
    </row>
    <row r="51" spans="2:99" ht="14.25" customHeight="1" x14ac:dyDescent="0.25">
      <c r="B51" s="5867"/>
      <c r="C51" s="1597" t="s">
        <v>344</v>
      </c>
      <c r="D51" s="1598"/>
      <c r="E51" s="10"/>
      <c r="F51" s="10"/>
      <c r="G51" s="1599"/>
      <c r="H51" s="1598"/>
      <c r="I51" s="10"/>
      <c r="J51" s="10"/>
      <c r="K51" s="1599"/>
      <c r="L51" s="1598"/>
      <c r="M51" s="10"/>
      <c r="N51" s="10"/>
      <c r="O51" s="1599"/>
      <c r="P51" s="1598"/>
      <c r="Q51" s="10"/>
      <c r="R51" s="10"/>
      <c r="S51" s="1599"/>
      <c r="T51" s="1598"/>
      <c r="U51" s="10"/>
      <c r="V51" s="10"/>
      <c r="W51" s="1599"/>
      <c r="X51" s="1598"/>
      <c r="Y51" s="10"/>
      <c r="Z51" s="10"/>
      <c r="AA51" s="1599"/>
      <c r="AB51" s="1598"/>
      <c r="AC51" s="10"/>
      <c r="AD51" s="10"/>
      <c r="AE51" s="1600"/>
      <c r="AF51" s="10"/>
      <c r="AG51" s="10"/>
      <c r="AH51" s="10"/>
      <c r="AI51" s="1600"/>
      <c r="AJ51" s="10"/>
      <c r="AK51" s="10"/>
      <c r="AL51" s="10"/>
      <c r="AM51" s="1600"/>
      <c r="AN51" s="10"/>
      <c r="AO51" s="10"/>
      <c r="AP51" s="10"/>
      <c r="AQ51" s="1600"/>
      <c r="AR51" s="10"/>
      <c r="AS51" s="10"/>
      <c r="AT51" s="10"/>
      <c r="AU51" s="1600"/>
      <c r="AV51" s="10"/>
      <c r="AW51" s="10"/>
      <c r="AX51" s="10"/>
      <c r="AY51" s="1600"/>
      <c r="AZ51" s="10"/>
      <c r="BA51" s="10"/>
      <c r="BB51" s="10"/>
      <c r="BC51" s="1600"/>
      <c r="BD51" s="10"/>
      <c r="BE51" s="10"/>
      <c r="BF51" s="10"/>
      <c r="BG51" s="1600"/>
      <c r="BH51" s="10"/>
      <c r="BI51" s="10"/>
      <c r="BJ51" s="10"/>
      <c r="BK51" s="1600"/>
      <c r="BL51" s="10"/>
      <c r="BM51" s="10"/>
      <c r="BN51" s="10"/>
      <c r="BO51" s="1600"/>
      <c r="BP51" s="10"/>
      <c r="BQ51" s="10"/>
      <c r="BR51" s="10"/>
      <c r="BS51" s="1600"/>
      <c r="BT51" s="1598"/>
      <c r="BU51" s="10">
        <v>2</v>
      </c>
      <c r="BV51" s="10"/>
      <c r="BW51" s="1553">
        <f t="shared" si="22"/>
        <v>2</v>
      </c>
      <c r="BX51" s="1598"/>
      <c r="BY51" s="10">
        <v>1</v>
      </c>
      <c r="BZ51" s="10">
        <v>2</v>
      </c>
      <c r="CA51" s="1553">
        <f t="shared" si="23"/>
        <v>3</v>
      </c>
      <c r="CB51" s="1598">
        <v>1</v>
      </c>
      <c r="CC51" s="10"/>
      <c r="CD51" s="10">
        <v>2</v>
      </c>
      <c r="CE51" s="1553">
        <f t="shared" si="4"/>
        <v>3</v>
      </c>
      <c r="CF51" s="1598">
        <v>2</v>
      </c>
      <c r="CG51" s="10">
        <v>1</v>
      </c>
      <c r="CH51" s="10"/>
      <c r="CI51" s="1553">
        <f t="shared" si="5"/>
        <v>3</v>
      </c>
      <c r="CJ51" s="1598"/>
      <c r="CK51" s="10"/>
      <c r="CL51" s="10">
        <v>3</v>
      </c>
      <c r="CM51" s="1553">
        <f t="shared" si="6"/>
        <v>3</v>
      </c>
      <c r="CN51" s="1598">
        <v>1</v>
      </c>
      <c r="CO51" s="10">
        <v>1</v>
      </c>
      <c r="CP51" s="10">
        <v>1</v>
      </c>
      <c r="CQ51" s="1553">
        <f t="shared" si="7"/>
        <v>3</v>
      </c>
      <c r="CR51" s="1598">
        <v>2</v>
      </c>
      <c r="CS51" s="10"/>
      <c r="CT51" s="10">
        <v>3</v>
      </c>
      <c r="CU51" s="1553">
        <f t="shared" si="8"/>
        <v>5</v>
      </c>
    </row>
    <row r="52" spans="2:99" ht="14.25" customHeight="1" x14ac:dyDescent="0.25">
      <c r="B52" s="1577"/>
      <c r="C52" s="1578" t="s">
        <v>68</v>
      </c>
      <c r="D52" s="1579">
        <f t="shared" ref="D52:BO52" si="24">SUM(D36:D46)</f>
        <v>1</v>
      </c>
      <c r="E52" s="1580">
        <f t="shared" si="24"/>
        <v>0</v>
      </c>
      <c r="F52" s="1580">
        <f t="shared" si="24"/>
        <v>17</v>
      </c>
      <c r="G52" s="1580">
        <f t="shared" si="24"/>
        <v>18</v>
      </c>
      <c r="H52" s="1579">
        <f t="shared" si="24"/>
        <v>0</v>
      </c>
      <c r="I52" s="1580">
        <f t="shared" si="24"/>
        <v>3</v>
      </c>
      <c r="J52" s="1580">
        <f t="shared" si="24"/>
        <v>6</v>
      </c>
      <c r="K52" s="1580">
        <f t="shared" si="24"/>
        <v>9</v>
      </c>
      <c r="L52" s="1579">
        <f t="shared" si="24"/>
        <v>4</v>
      </c>
      <c r="M52" s="1580">
        <f t="shared" si="24"/>
        <v>13</v>
      </c>
      <c r="N52" s="1580">
        <f t="shared" si="24"/>
        <v>7</v>
      </c>
      <c r="O52" s="1580">
        <f t="shared" si="24"/>
        <v>24</v>
      </c>
      <c r="P52" s="1579">
        <f t="shared" si="24"/>
        <v>10</v>
      </c>
      <c r="Q52" s="1580">
        <f t="shared" si="24"/>
        <v>75</v>
      </c>
      <c r="R52" s="1580">
        <f t="shared" si="24"/>
        <v>31</v>
      </c>
      <c r="S52" s="1580">
        <f t="shared" si="24"/>
        <v>116</v>
      </c>
      <c r="T52" s="1579">
        <f t="shared" si="24"/>
        <v>1</v>
      </c>
      <c r="U52" s="1580">
        <f t="shared" si="24"/>
        <v>3</v>
      </c>
      <c r="V52" s="1580">
        <f t="shared" si="24"/>
        <v>6</v>
      </c>
      <c r="W52" s="1580">
        <f t="shared" si="24"/>
        <v>10</v>
      </c>
      <c r="X52" s="1579">
        <f t="shared" si="24"/>
        <v>4</v>
      </c>
      <c r="Y52" s="1580">
        <f t="shared" si="24"/>
        <v>17</v>
      </c>
      <c r="Z52" s="1580">
        <f t="shared" si="24"/>
        <v>10</v>
      </c>
      <c r="AA52" s="1580">
        <f t="shared" si="24"/>
        <v>31</v>
      </c>
      <c r="AB52" s="1579">
        <f t="shared" si="24"/>
        <v>5</v>
      </c>
      <c r="AC52" s="1580">
        <f t="shared" si="24"/>
        <v>11</v>
      </c>
      <c r="AD52" s="1580">
        <f t="shared" si="24"/>
        <v>15</v>
      </c>
      <c r="AE52" s="1581">
        <f t="shared" si="24"/>
        <v>31</v>
      </c>
      <c r="AF52" s="1580">
        <f t="shared" si="24"/>
        <v>3</v>
      </c>
      <c r="AG52" s="1580">
        <f t="shared" si="24"/>
        <v>16</v>
      </c>
      <c r="AH52" s="1580">
        <f t="shared" si="24"/>
        <v>11</v>
      </c>
      <c r="AI52" s="1581">
        <f t="shared" si="24"/>
        <v>30</v>
      </c>
      <c r="AJ52" s="1580">
        <f t="shared" si="24"/>
        <v>4</v>
      </c>
      <c r="AK52" s="1580">
        <f t="shared" si="24"/>
        <v>16</v>
      </c>
      <c r="AL52" s="1580">
        <f t="shared" si="24"/>
        <v>2</v>
      </c>
      <c r="AM52" s="1581">
        <f t="shared" si="24"/>
        <v>22</v>
      </c>
      <c r="AN52" s="1580">
        <f t="shared" si="24"/>
        <v>5</v>
      </c>
      <c r="AO52" s="1580">
        <f t="shared" si="24"/>
        <v>8</v>
      </c>
      <c r="AP52" s="1580">
        <f t="shared" si="24"/>
        <v>13</v>
      </c>
      <c r="AQ52" s="1581">
        <f t="shared" si="24"/>
        <v>26</v>
      </c>
      <c r="AR52" s="1580">
        <f t="shared" si="24"/>
        <v>13</v>
      </c>
      <c r="AS52" s="1580">
        <f t="shared" si="24"/>
        <v>10</v>
      </c>
      <c r="AT52" s="1580">
        <f t="shared" si="24"/>
        <v>49</v>
      </c>
      <c r="AU52" s="1581">
        <f t="shared" si="24"/>
        <v>72</v>
      </c>
      <c r="AV52" s="1580">
        <f t="shared" si="24"/>
        <v>4</v>
      </c>
      <c r="AW52" s="1580">
        <f t="shared" si="24"/>
        <v>13</v>
      </c>
      <c r="AX52" s="1580">
        <f t="shared" si="24"/>
        <v>30</v>
      </c>
      <c r="AY52" s="1581">
        <f t="shared" si="24"/>
        <v>47</v>
      </c>
      <c r="AZ52" s="1580">
        <f t="shared" si="24"/>
        <v>2</v>
      </c>
      <c r="BA52" s="1580">
        <f t="shared" si="24"/>
        <v>18</v>
      </c>
      <c r="BB52" s="1580">
        <f t="shared" si="24"/>
        <v>45</v>
      </c>
      <c r="BC52" s="1581">
        <f t="shared" si="24"/>
        <v>65</v>
      </c>
      <c r="BD52" s="1580">
        <f t="shared" si="24"/>
        <v>5</v>
      </c>
      <c r="BE52" s="1580">
        <f t="shared" si="24"/>
        <v>10</v>
      </c>
      <c r="BF52" s="1580">
        <f t="shared" si="24"/>
        <v>15</v>
      </c>
      <c r="BG52" s="1581">
        <f t="shared" si="24"/>
        <v>30</v>
      </c>
      <c r="BH52" s="1580">
        <f t="shared" si="24"/>
        <v>9</v>
      </c>
      <c r="BI52" s="1580">
        <f t="shared" si="24"/>
        <v>35</v>
      </c>
      <c r="BJ52" s="1580">
        <f t="shared" si="24"/>
        <v>35</v>
      </c>
      <c r="BK52" s="1581">
        <f t="shared" si="24"/>
        <v>79</v>
      </c>
      <c r="BL52" s="1580">
        <f t="shared" si="24"/>
        <v>7</v>
      </c>
      <c r="BM52" s="1580">
        <f t="shared" si="24"/>
        <v>17</v>
      </c>
      <c r="BN52" s="1580">
        <f t="shared" si="24"/>
        <v>12</v>
      </c>
      <c r="BO52" s="1581">
        <f t="shared" si="24"/>
        <v>36</v>
      </c>
      <c r="BP52" s="1580">
        <f t="shared" ref="BP52" si="25">SUM(BP36:BP46)</f>
        <v>8</v>
      </c>
      <c r="BQ52" s="1580">
        <f>SUM(BQ36:BQ49)</f>
        <v>11</v>
      </c>
      <c r="BR52" s="1580">
        <f>SUM(BR36:BR49)</f>
        <v>4</v>
      </c>
      <c r="BS52" s="1581">
        <f>SUM(BS36:BS49)</f>
        <v>23</v>
      </c>
      <c r="BT52" s="1579">
        <f t="shared" ref="BT52:CA52" si="26">SUM(BT36:BT51)</f>
        <v>2</v>
      </c>
      <c r="BU52" s="1580">
        <f t="shared" si="26"/>
        <v>14</v>
      </c>
      <c r="BV52" s="1580">
        <f t="shared" si="26"/>
        <v>4</v>
      </c>
      <c r="BW52" s="1581">
        <f t="shared" si="26"/>
        <v>20</v>
      </c>
      <c r="BX52" s="1579">
        <f t="shared" si="26"/>
        <v>5</v>
      </c>
      <c r="BY52" s="1580">
        <f t="shared" si="26"/>
        <v>14</v>
      </c>
      <c r="BZ52" s="1580">
        <f t="shared" si="26"/>
        <v>18</v>
      </c>
      <c r="CA52" s="1581">
        <f t="shared" si="26"/>
        <v>37</v>
      </c>
      <c r="CB52" s="1579">
        <f>SUM(CB36:CB51)</f>
        <v>11</v>
      </c>
      <c r="CC52" s="1580">
        <f>SUM(CC36:CC51)</f>
        <v>15</v>
      </c>
      <c r="CD52" s="1580">
        <f>SUM(CD36:CD51)</f>
        <v>6</v>
      </c>
      <c r="CE52" s="1581">
        <f t="shared" si="4"/>
        <v>32</v>
      </c>
      <c r="CF52" s="1579">
        <f>SUM(CF36:CF51)</f>
        <v>7</v>
      </c>
      <c r="CG52" s="1580">
        <f>SUM(CG36:CG51)</f>
        <v>5</v>
      </c>
      <c r="CH52" s="1580">
        <f>SUM(CH36:CH51)</f>
        <v>16</v>
      </c>
      <c r="CI52" s="1581">
        <f t="shared" si="5"/>
        <v>28</v>
      </c>
      <c r="CJ52" s="1579">
        <f>SUM(CJ36:CJ51)</f>
        <v>3</v>
      </c>
      <c r="CK52" s="1580">
        <f>SUM(CK36:CK51)</f>
        <v>1</v>
      </c>
      <c r="CL52" s="1580">
        <f>SUM(CL36:CL51)</f>
        <v>8</v>
      </c>
      <c r="CM52" s="1582">
        <f t="shared" si="6"/>
        <v>12</v>
      </c>
      <c r="CN52" s="1579">
        <f>SUM(CN36:CN51)</f>
        <v>10</v>
      </c>
      <c r="CO52" s="1580">
        <f>SUM(CO36:CO51)</f>
        <v>7</v>
      </c>
      <c r="CP52" s="1580">
        <f>SUM(CP36:CP51)</f>
        <v>13</v>
      </c>
      <c r="CQ52" s="1582">
        <f t="shared" si="7"/>
        <v>30</v>
      </c>
      <c r="CR52" s="1579">
        <f>SUM(CR36:CR51)</f>
        <v>11</v>
      </c>
      <c r="CS52" s="1580">
        <f>SUM(CS36:CS51)</f>
        <v>12</v>
      </c>
      <c r="CT52" s="1580">
        <f>SUM(CT36:CT51)</f>
        <v>10</v>
      </c>
      <c r="CU52" s="1582">
        <f t="shared" si="8"/>
        <v>33</v>
      </c>
    </row>
    <row r="53" spans="2:99" ht="14.25" customHeight="1" x14ac:dyDescent="0.25">
      <c r="B53" s="1601"/>
      <c r="C53" s="1602" t="s">
        <v>347</v>
      </c>
      <c r="D53" s="1603">
        <f t="shared" ref="D53:BO53" si="27">SUM(D18,D35,D52)</f>
        <v>1</v>
      </c>
      <c r="E53" s="1604">
        <f t="shared" si="27"/>
        <v>7</v>
      </c>
      <c r="F53" s="1604">
        <f t="shared" si="27"/>
        <v>22</v>
      </c>
      <c r="G53" s="1604">
        <f t="shared" si="27"/>
        <v>30</v>
      </c>
      <c r="H53" s="1603">
        <f t="shared" si="27"/>
        <v>1</v>
      </c>
      <c r="I53" s="1604">
        <f t="shared" si="27"/>
        <v>4</v>
      </c>
      <c r="J53" s="1604">
        <f t="shared" si="27"/>
        <v>14</v>
      </c>
      <c r="K53" s="1604">
        <f t="shared" si="27"/>
        <v>19</v>
      </c>
      <c r="L53" s="1603">
        <f t="shared" si="27"/>
        <v>7</v>
      </c>
      <c r="M53" s="1604">
        <f t="shared" si="27"/>
        <v>29</v>
      </c>
      <c r="N53" s="1604">
        <f t="shared" si="27"/>
        <v>20</v>
      </c>
      <c r="O53" s="1604">
        <f t="shared" si="27"/>
        <v>56</v>
      </c>
      <c r="P53" s="1603">
        <f t="shared" si="27"/>
        <v>14</v>
      </c>
      <c r="Q53" s="1604">
        <f t="shared" si="27"/>
        <v>204</v>
      </c>
      <c r="R53" s="1604">
        <f t="shared" si="27"/>
        <v>52</v>
      </c>
      <c r="S53" s="1604">
        <f t="shared" si="27"/>
        <v>270</v>
      </c>
      <c r="T53" s="1603">
        <f t="shared" si="27"/>
        <v>21</v>
      </c>
      <c r="U53" s="1604">
        <f t="shared" si="27"/>
        <v>30</v>
      </c>
      <c r="V53" s="1604">
        <f t="shared" si="27"/>
        <v>18</v>
      </c>
      <c r="W53" s="1604">
        <f t="shared" si="27"/>
        <v>69</v>
      </c>
      <c r="X53" s="1603">
        <f t="shared" si="27"/>
        <v>21</v>
      </c>
      <c r="Y53" s="1604">
        <f t="shared" si="27"/>
        <v>37</v>
      </c>
      <c r="Z53" s="1604">
        <f t="shared" si="27"/>
        <v>26</v>
      </c>
      <c r="AA53" s="1604">
        <f t="shared" si="27"/>
        <v>84</v>
      </c>
      <c r="AB53" s="1603">
        <f t="shared" si="27"/>
        <v>23</v>
      </c>
      <c r="AC53" s="1604">
        <f t="shared" si="27"/>
        <v>54</v>
      </c>
      <c r="AD53" s="1604">
        <f t="shared" si="27"/>
        <v>26</v>
      </c>
      <c r="AE53" s="1605">
        <f t="shared" si="27"/>
        <v>103</v>
      </c>
      <c r="AF53" s="1604">
        <f t="shared" si="27"/>
        <v>18</v>
      </c>
      <c r="AG53" s="1604">
        <f t="shared" si="27"/>
        <v>53</v>
      </c>
      <c r="AH53" s="1604">
        <f t="shared" si="27"/>
        <v>36</v>
      </c>
      <c r="AI53" s="1605">
        <f t="shared" si="27"/>
        <v>107</v>
      </c>
      <c r="AJ53" s="1604">
        <f t="shared" si="27"/>
        <v>26</v>
      </c>
      <c r="AK53" s="1604">
        <f t="shared" si="27"/>
        <v>47</v>
      </c>
      <c r="AL53" s="1604">
        <f t="shared" si="27"/>
        <v>24</v>
      </c>
      <c r="AM53" s="1605">
        <f t="shared" si="27"/>
        <v>97</v>
      </c>
      <c r="AN53" s="1604">
        <f t="shared" si="27"/>
        <v>20</v>
      </c>
      <c r="AO53" s="1604">
        <f t="shared" si="27"/>
        <v>36</v>
      </c>
      <c r="AP53" s="1604">
        <f t="shared" si="27"/>
        <v>28</v>
      </c>
      <c r="AQ53" s="1605">
        <f t="shared" si="27"/>
        <v>84</v>
      </c>
      <c r="AR53" s="1604">
        <f t="shared" si="27"/>
        <v>21</v>
      </c>
      <c r="AS53" s="1604">
        <f t="shared" si="27"/>
        <v>42</v>
      </c>
      <c r="AT53" s="1604">
        <f t="shared" si="27"/>
        <v>58</v>
      </c>
      <c r="AU53" s="1605">
        <f t="shared" si="27"/>
        <v>121</v>
      </c>
      <c r="AV53" s="1604">
        <f t="shared" si="27"/>
        <v>16</v>
      </c>
      <c r="AW53" s="1604">
        <f t="shared" si="27"/>
        <v>43</v>
      </c>
      <c r="AX53" s="1604">
        <f t="shared" si="27"/>
        <v>45</v>
      </c>
      <c r="AY53" s="1605">
        <f t="shared" si="27"/>
        <v>104</v>
      </c>
      <c r="AZ53" s="1604">
        <f t="shared" si="27"/>
        <v>23</v>
      </c>
      <c r="BA53" s="1604">
        <f t="shared" si="27"/>
        <v>73</v>
      </c>
      <c r="BB53" s="1604">
        <f t="shared" si="27"/>
        <v>62</v>
      </c>
      <c r="BC53" s="1605">
        <f t="shared" si="27"/>
        <v>158</v>
      </c>
      <c r="BD53" s="1604">
        <f t="shared" si="27"/>
        <v>34</v>
      </c>
      <c r="BE53" s="1604">
        <f t="shared" si="27"/>
        <v>52</v>
      </c>
      <c r="BF53" s="1604">
        <f t="shared" si="27"/>
        <v>35</v>
      </c>
      <c r="BG53" s="1605">
        <f t="shared" si="27"/>
        <v>121</v>
      </c>
      <c r="BH53" s="1604">
        <f t="shared" si="27"/>
        <v>21</v>
      </c>
      <c r="BI53" s="1604">
        <f t="shared" si="27"/>
        <v>62</v>
      </c>
      <c r="BJ53" s="1604">
        <f t="shared" si="27"/>
        <v>71</v>
      </c>
      <c r="BK53" s="1605">
        <f t="shared" si="27"/>
        <v>154</v>
      </c>
      <c r="BL53" s="1604">
        <f t="shared" si="27"/>
        <v>34</v>
      </c>
      <c r="BM53" s="1604">
        <f t="shared" si="27"/>
        <v>58</v>
      </c>
      <c r="BN53" s="1604">
        <f t="shared" si="27"/>
        <v>46</v>
      </c>
      <c r="BO53" s="1605">
        <f t="shared" si="27"/>
        <v>138</v>
      </c>
      <c r="BP53" s="1604">
        <f t="shared" ref="BP53:CA53" si="28">SUM(BP18,BP35,BP52)</f>
        <v>35</v>
      </c>
      <c r="BQ53" s="1604">
        <f t="shared" si="28"/>
        <v>44</v>
      </c>
      <c r="BR53" s="1604">
        <f t="shared" si="28"/>
        <v>26</v>
      </c>
      <c r="BS53" s="1605">
        <f t="shared" si="28"/>
        <v>105</v>
      </c>
      <c r="BT53" s="1604">
        <f t="shared" si="28"/>
        <v>56</v>
      </c>
      <c r="BU53" s="1604">
        <f t="shared" si="28"/>
        <v>66</v>
      </c>
      <c r="BV53" s="1604">
        <f t="shared" si="28"/>
        <v>36</v>
      </c>
      <c r="BW53" s="1605">
        <f t="shared" si="28"/>
        <v>158</v>
      </c>
      <c r="BX53" s="1604">
        <f t="shared" si="28"/>
        <v>40</v>
      </c>
      <c r="BY53" s="1604">
        <f t="shared" si="28"/>
        <v>71</v>
      </c>
      <c r="BZ53" s="1604">
        <f t="shared" si="28"/>
        <v>45</v>
      </c>
      <c r="CA53" s="1605">
        <f t="shared" si="28"/>
        <v>156</v>
      </c>
      <c r="CB53" s="1604">
        <f>SUM(CB18,CB35,CB52)</f>
        <v>52</v>
      </c>
      <c r="CC53" s="1604">
        <f>SUM(CC18,CC35,CC52)</f>
        <v>56</v>
      </c>
      <c r="CD53" s="1604">
        <f>SUM(CD18,CD35,CD52)</f>
        <v>42</v>
      </c>
      <c r="CE53" s="1605">
        <f t="shared" si="4"/>
        <v>150</v>
      </c>
      <c r="CF53" s="1604">
        <f>SUM(CF18,CF35,CF52)</f>
        <v>46</v>
      </c>
      <c r="CG53" s="1604">
        <f>SUM(CG18,CG35,CG52)</f>
        <v>17</v>
      </c>
      <c r="CH53" s="1604">
        <f>SUM(CH18,CH35,CH52)</f>
        <v>54</v>
      </c>
      <c r="CI53" s="1605">
        <f t="shared" si="5"/>
        <v>117</v>
      </c>
      <c r="CJ53" s="1604">
        <f>SUM(CJ18,CJ35,CJ52)</f>
        <v>41</v>
      </c>
      <c r="CK53" s="1604">
        <f>SUM(CK18,CK35,CK52)</f>
        <v>14</v>
      </c>
      <c r="CL53" s="1604">
        <f>SUM(CL18,CL35,CL52)</f>
        <v>63</v>
      </c>
      <c r="CM53" s="1605">
        <f t="shared" si="6"/>
        <v>118</v>
      </c>
      <c r="CN53" s="1604">
        <f>SUM(CN18,CN35,CN52)</f>
        <v>38</v>
      </c>
      <c r="CO53" s="1604">
        <f>SUM(CO18,CO35,CO52)</f>
        <v>34</v>
      </c>
      <c r="CP53" s="1604">
        <f>SUM(CP18,CP35,CP52)</f>
        <v>48</v>
      </c>
      <c r="CQ53" s="1605">
        <f t="shared" si="7"/>
        <v>120</v>
      </c>
      <c r="CR53" s="1604">
        <f>SUM(CR18,CR35,CR52)</f>
        <v>49</v>
      </c>
      <c r="CS53" s="1604">
        <f>SUM(CS18,CS35,CS52)</f>
        <v>56</v>
      </c>
      <c r="CT53" s="1604">
        <f>SUM(CT18,CT35,CT52)</f>
        <v>26</v>
      </c>
      <c r="CU53" s="1605">
        <f t="shared" si="8"/>
        <v>131</v>
      </c>
    </row>
    <row r="54" spans="2:99" ht="14.25" customHeight="1" x14ac:dyDescent="0.25">
      <c r="B54" s="1606" t="s">
        <v>308</v>
      </c>
      <c r="C54" s="1594" t="s">
        <v>356</v>
      </c>
      <c r="D54" s="1567"/>
      <c r="E54" s="1568"/>
      <c r="F54" s="1568"/>
      <c r="G54" s="1589"/>
      <c r="H54" s="1587"/>
      <c r="I54" s="1588"/>
      <c r="J54" s="1588"/>
      <c r="K54" s="1589"/>
      <c r="L54" s="1587"/>
      <c r="M54" s="1588"/>
      <c r="N54" s="1588"/>
      <c r="O54" s="1589"/>
      <c r="P54" s="1567"/>
      <c r="Q54" s="1568"/>
      <c r="R54" s="1568"/>
      <c r="S54" s="1569"/>
      <c r="T54" s="1567"/>
      <c r="U54" s="1568"/>
      <c r="V54" s="1568"/>
      <c r="W54" s="1569"/>
      <c r="X54" s="1567"/>
      <c r="Y54" s="1568"/>
      <c r="Z54" s="1568"/>
      <c r="AA54" s="1569"/>
      <c r="AB54" s="1567"/>
      <c r="AC54" s="1568"/>
      <c r="AD54" s="1568"/>
      <c r="AE54" s="1553"/>
      <c r="AF54" s="1568"/>
      <c r="AG54" s="1568"/>
      <c r="AH54" s="1568"/>
      <c r="AI54" s="1553"/>
      <c r="AJ54" s="1568"/>
      <c r="AK54" s="1568"/>
      <c r="AL54" s="1568"/>
      <c r="AM54" s="1553"/>
      <c r="AN54" s="1568"/>
      <c r="AO54" s="1568"/>
      <c r="AP54" s="1568"/>
      <c r="AQ54" s="1553"/>
      <c r="AR54" s="1568"/>
      <c r="AS54" s="1568"/>
      <c r="AT54" s="1568"/>
      <c r="AU54" s="1553"/>
      <c r="AV54" s="1568"/>
      <c r="AW54" s="1568"/>
      <c r="AX54" s="1568"/>
      <c r="AY54" s="1553"/>
      <c r="AZ54" s="1568"/>
      <c r="BA54" s="1568"/>
      <c r="BB54" s="1568"/>
      <c r="BC54" s="1553"/>
      <c r="BD54" s="1568"/>
      <c r="BE54" s="1568"/>
      <c r="BF54" s="1568"/>
      <c r="BG54" s="1553"/>
      <c r="BH54" s="1568"/>
      <c r="BI54" s="1568"/>
      <c r="BJ54" s="1568"/>
      <c r="BK54" s="1553"/>
      <c r="BL54" s="1568"/>
      <c r="BM54" s="1568"/>
      <c r="BN54" s="1568"/>
      <c r="BO54" s="1553"/>
      <c r="BP54" s="1568"/>
      <c r="BQ54" s="1568"/>
      <c r="BR54" s="1568"/>
      <c r="BS54" s="1553"/>
      <c r="BT54" s="1568"/>
      <c r="BU54" s="1568"/>
      <c r="BV54" s="1568"/>
      <c r="BW54" s="1553"/>
      <c r="BX54" s="1568"/>
      <c r="BY54" s="1568"/>
      <c r="BZ54" s="1568"/>
      <c r="CA54" s="1553"/>
      <c r="CB54" s="1568"/>
      <c r="CC54" s="1568"/>
      <c r="CD54" s="1568"/>
      <c r="CE54" s="1553"/>
      <c r="CF54" s="1568">
        <v>2</v>
      </c>
      <c r="CG54" s="1568"/>
      <c r="CH54" s="1568">
        <v>1</v>
      </c>
      <c r="CI54" s="1553">
        <f t="shared" si="5"/>
        <v>3</v>
      </c>
      <c r="CJ54" s="1568"/>
      <c r="CK54" s="1568"/>
      <c r="CL54" s="1568">
        <v>1</v>
      </c>
      <c r="CM54" s="1553">
        <f t="shared" si="6"/>
        <v>1</v>
      </c>
      <c r="CN54" s="1568"/>
      <c r="CO54" s="1568"/>
      <c r="CP54" s="1568"/>
      <c r="CQ54" s="1553">
        <f t="shared" si="7"/>
        <v>0</v>
      </c>
      <c r="CR54" s="1568">
        <v>2</v>
      </c>
      <c r="CS54" s="1568"/>
      <c r="CT54" s="1568"/>
      <c r="CU54" s="1553">
        <f t="shared" si="8"/>
        <v>2</v>
      </c>
    </row>
    <row r="55" spans="2:99" ht="14.25" customHeight="1" x14ac:dyDescent="0.25">
      <c r="B55" s="5874" t="s">
        <v>310</v>
      </c>
      <c r="C55" s="1593" t="s">
        <v>364</v>
      </c>
      <c r="D55" s="1555"/>
      <c r="E55" s="1556"/>
      <c r="F55" s="1556">
        <v>1</v>
      </c>
      <c r="G55" s="1607">
        <f>SUM(D55:F55)</f>
        <v>1</v>
      </c>
      <c r="H55" s="1555">
        <v>1</v>
      </c>
      <c r="I55" s="1556">
        <v>2</v>
      </c>
      <c r="J55" s="1556"/>
      <c r="K55" s="1607">
        <f>SUM(H55:J55)</f>
        <v>3</v>
      </c>
      <c r="L55" s="1555">
        <v>1</v>
      </c>
      <c r="M55" s="1556"/>
      <c r="N55" s="1556">
        <v>1</v>
      </c>
      <c r="O55" s="1557">
        <f>SUM(L55:N55)</f>
        <v>2</v>
      </c>
      <c r="P55" s="1555"/>
      <c r="Q55" s="1556">
        <v>1</v>
      </c>
      <c r="R55" s="1556">
        <v>1</v>
      </c>
      <c r="S55" s="1557">
        <f>SUM(P55:R55)</f>
        <v>2</v>
      </c>
      <c r="T55" s="1555">
        <v>1</v>
      </c>
      <c r="U55" s="1556">
        <v>1</v>
      </c>
      <c r="V55" s="1556">
        <v>1</v>
      </c>
      <c r="W55" s="1557">
        <f>SUM(T55:V55)</f>
        <v>3</v>
      </c>
      <c r="X55" s="1555"/>
      <c r="Y55" s="1556">
        <v>1</v>
      </c>
      <c r="Z55" s="1556"/>
      <c r="AA55" s="1557">
        <f>SUM(X55:Z55)</f>
        <v>1</v>
      </c>
      <c r="AB55" s="1555">
        <v>1</v>
      </c>
      <c r="AC55" s="1556">
        <v>1</v>
      </c>
      <c r="AD55" s="1556"/>
      <c r="AE55" s="1558">
        <f>SUM(AB55:AD55)</f>
        <v>2</v>
      </c>
      <c r="AF55" s="1556"/>
      <c r="AG55" s="1556"/>
      <c r="AH55" s="1556"/>
      <c r="AI55" s="1558"/>
      <c r="AJ55" s="1556">
        <v>1</v>
      </c>
      <c r="AK55" s="1556">
        <v>1</v>
      </c>
      <c r="AL55" s="1556"/>
      <c r="AM55" s="1558">
        <f t="shared" ref="AM55:AM60" si="29">SUM(AJ55:AL55)</f>
        <v>2</v>
      </c>
      <c r="AN55" s="1556">
        <v>1</v>
      </c>
      <c r="AO55" s="1556"/>
      <c r="AP55" s="1556">
        <v>2</v>
      </c>
      <c r="AQ55" s="1558">
        <f t="shared" ref="AQ55:AQ60" si="30">SUM(AN55:AP55)</f>
        <v>3</v>
      </c>
      <c r="AR55" s="1556">
        <v>2</v>
      </c>
      <c r="AS55" s="1556">
        <v>3</v>
      </c>
      <c r="AT55" s="1556"/>
      <c r="AU55" s="1558">
        <f t="shared" ref="AU55:AU60" si="31">SUM(AR55:AT55)</f>
        <v>5</v>
      </c>
      <c r="AV55" s="1556">
        <v>2</v>
      </c>
      <c r="AW55" s="1556">
        <v>1</v>
      </c>
      <c r="AX55" s="1556">
        <v>1</v>
      </c>
      <c r="AY55" s="1558">
        <f t="shared" ref="AY55:AY60" si="32">SUM(AV55:AX55)</f>
        <v>4</v>
      </c>
      <c r="AZ55" s="1556">
        <v>3</v>
      </c>
      <c r="BA55" s="1556"/>
      <c r="BB55" s="1556"/>
      <c r="BC55" s="1558">
        <f t="shared" ref="BC55:BC60" si="33">SUM(AZ55:BB55)</f>
        <v>3</v>
      </c>
      <c r="BD55" s="1556"/>
      <c r="BE55" s="1556"/>
      <c r="BF55" s="1556"/>
      <c r="BG55" s="1558"/>
      <c r="BH55" s="1556">
        <v>1</v>
      </c>
      <c r="BI55" s="1556">
        <v>7</v>
      </c>
      <c r="BJ55" s="1556">
        <v>1</v>
      </c>
      <c r="BK55" s="1558">
        <f t="shared" ref="BK55:BK60" si="34">SUM(BH55:BJ55)</f>
        <v>9</v>
      </c>
      <c r="BL55" s="1556"/>
      <c r="BM55" s="1556">
        <v>5</v>
      </c>
      <c r="BN55" s="1556">
        <v>3</v>
      </c>
      <c r="BO55" s="1558">
        <f t="shared" ref="BO55:BO60" si="35">SUM(BL55:BN55)</f>
        <v>8</v>
      </c>
      <c r="BP55" s="1556">
        <v>2</v>
      </c>
      <c r="BQ55" s="1556">
        <v>2</v>
      </c>
      <c r="BR55" s="1556">
        <v>3</v>
      </c>
      <c r="BS55" s="1558">
        <f t="shared" ref="BS55:BS69" si="36">SUM(BP55:BR55)</f>
        <v>7</v>
      </c>
      <c r="BT55" s="1556"/>
      <c r="BU55" s="1556">
        <v>3</v>
      </c>
      <c r="BV55" s="1556"/>
      <c r="BW55" s="1558">
        <f t="shared" ref="BW55:BW69" si="37">SUM(BT55:BV55)</f>
        <v>3</v>
      </c>
      <c r="BX55" s="1556">
        <v>2</v>
      </c>
      <c r="BY55" s="1556">
        <v>7</v>
      </c>
      <c r="BZ55" s="1556">
        <v>3</v>
      </c>
      <c r="CA55" s="1558">
        <f t="shared" ref="CA55:CA69" si="38">SUM(BX55:BZ55)</f>
        <v>12</v>
      </c>
      <c r="CB55" s="1556">
        <v>3</v>
      </c>
      <c r="CC55" s="1556">
        <v>4</v>
      </c>
      <c r="CD55" s="1556">
        <v>7</v>
      </c>
      <c r="CE55" s="1558">
        <f t="shared" si="4"/>
        <v>14</v>
      </c>
      <c r="CF55" s="1556">
        <v>6</v>
      </c>
      <c r="CG55" s="1556">
        <v>1</v>
      </c>
      <c r="CH55" s="1556">
        <v>6</v>
      </c>
      <c r="CI55" s="1558">
        <f t="shared" si="5"/>
        <v>13</v>
      </c>
      <c r="CJ55" s="1556">
        <v>2</v>
      </c>
      <c r="CK55" s="1556">
        <v>2</v>
      </c>
      <c r="CL55" s="1556"/>
      <c r="CM55" s="1558">
        <f t="shared" si="6"/>
        <v>4</v>
      </c>
      <c r="CN55" s="1556">
        <v>5</v>
      </c>
      <c r="CO55" s="1556">
        <v>7</v>
      </c>
      <c r="CP55" s="1556">
        <v>5</v>
      </c>
      <c r="CQ55" s="1558">
        <f t="shared" si="7"/>
        <v>17</v>
      </c>
      <c r="CR55" s="1556">
        <v>3</v>
      </c>
      <c r="CS55" s="1556">
        <v>6</v>
      </c>
      <c r="CT55" s="1556">
        <v>4</v>
      </c>
      <c r="CU55" s="1558">
        <f t="shared" si="8"/>
        <v>13</v>
      </c>
    </row>
    <row r="56" spans="2:99" ht="14.25" customHeight="1" x14ac:dyDescent="0.25">
      <c r="B56" s="5875"/>
      <c r="C56" s="1593" t="s">
        <v>443</v>
      </c>
      <c r="D56" s="1555">
        <v>1</v>
      </c>
      <c r="E56" s="1556">
        <v>1</v>
      </c>
      <c r="F56" s="1556"/>
      <c r="G56" s="1557">
        <f>SUM(D56:F56)</f>
        <v>2</v>
      </c>
      <c r="H56" s="1555">
        <v>1</v>
      </c>
      <c r="I56" s="1556"/>
      <c r="J56" s="1556">
        <v>1</v>
      </c>
      <c r="K56" s="1557">
        <f>SUM(H56:J56)</f>
        <v>2</v>
      </c>
      <c r="L56" s="1555">
        <v>1</v>
      </c>
      <c r="M56" s="1556">
        <v>3</v>
      </c>
      <c r="N56" s="1556">
        <v>1</v>
      </c>
      <c r="O56" s="1557">
        <f>SUM(L56:N56)</f>
        <v>5</v>
      </c>
      <c r="P56" s="1555"/>
      <c r="Q56" s="1556">
        <v>1</v>
      </c>
      <c r="R56" s="1556"/>
      <c r="S56" s="1557">
        <f>SUM(P56:R56)</f>
        <v>1</v>
      </c>
      <c r="T56" s="1555"/>
      <c r="U56" s="1556">
        <v>1</v>
      </c>
      <c r="V56" s="1556">
        <v>1</v>
      </c>
      <c r="W56" s="1557">
        <f>SUM(T56:V56)</f>
        <v>2</v>
      </c>
      <c r="X56" s="1555">
        <v>1</v>
      </c>
      <c r="Y56" s="1556"/>
      <c r="Z56" s="1556">
        <v>1</v>
      </c>
      <c r="AA56" s="1557">
        <f>SUM(X56:Z56)</f>
        <v>2</v>
      </c>
      <c r="AB56" s="1555">
        <v>1</v>
      </c>
      <c r="AC56" s="1556">
        <v>1</v>
      </c>
      <c r="AD56" s="1556"/>
      <c r="AE56" s="1558">
        <f>SUM(AB56:AD56)</f>
        <v>2</v>
      </c>
      <c r="AF56" s="1556">
        <v>1</v>
      </c>
      <c r="AG56" s="1556">
        <v>2</v>
      </c>
      <c r="AH56" s="1556">
        <v>2</v>
      </c>
      <c r="AI56" s="1558">
        <f>SUM(AF56:AH56)</f>
        <v>5</v>
      </c>
      <c r="AJ56" s="1556">
        <v>1</v>
      </c>
      <c r="AK56" s="1556">
        <v>4</v>
      </c>
      <c r="AL56" s="1556">
        <v>4</v>
      </c>
      <c r="AM56" s="1558">
        <f t="shared" si="29"/>
        <v>9</v>
      </c>
      <c r="AN56" s="1556">
        <v>2</v>
      </c>
      <c r="AO56" s="1556">
        <v>4</v>
      </c>
      <c r="AP56" s="1556">
        <v>1</v>
      </c>
      <c r="AQ56" s="1558">
        <f t="shared" si="30"/>
        <v>7</v>
      </c>
      <c r="AR56" s="1556">
        <v>5</v>
      </c>
      <c r="AS56" s="1556">
        <v>5</v>
      </c>
      <c r="AT56" s="1556">
        <v>7</v>
      </c>
      <c r="AU56" s="1558">
        <f t="shared" si="31"/>
        <v>17</v>
      </c>
      <c r="AV56" s="1556">
        <v>5</v>
      </c>
      <c r="AW56" s="1556">
        <v>10</v>
      </c>
      <c r="AX56" s="1556">
        <v>3</v>
      </c>
      <c r="AY56" s="1558">
        <f t="shared" si="32"/>
        <v>18</v>
      </c>
      <c r="AZ56" s="1556">
        <v>2</v>
      </c>
      <c r="BA56" s="1556">
        <v>4</v>
      </c>
      <c r="BB56" s="1556">
        <v>8</v>
      </c>
      <c r="BC56" s="1558">
        <f t="shared" si="33"/>
        <v>14</v>
      </c>
      <c r="BD56" s="1556">
        <v>2</v>
      </c>
      <c r="BE56" s="1556">
        <v>7</v>
      </c>
      <c r="BF56" s="1556">
        <v>9</v>
      </c>
      <c r="BG56" s="1558">
        <f t="shared" ref="BG56:BG69" si="39">SUM(BD56:BF56)</f>
        <v>18</v>
      </c>
      <c r="BH56" s="1556">
        <v>3</v>
      </c>
      <c r="BI56" s="1556">
        <v>4</v>
      </c>
      <c r="BJ56" s="1556">
        <v>6</v>
      </c>
      <c r="BK56" s="1558">
        <f t="shared" si="34"/>
        <v>13</v>
      </c>
      <c r="BL56" s="1556">
        <v>9</v>
      </c>
      <c r="BM56" s="1556">
        <v>9</v>
      </c>
      <c r="BN56" s="1556">
        <v>4</v>
      </c>
      <c r="BO56" s="1558">
        <f t="shared" si="35"/>
        <v>22</v>
      </c>
      <c r="BP56" s="1556">
        <v>5</v>
      </c>
      <c r="BQ56" s="1556">
        <v>8</v>
      </c>
      <c r="BR56" s="1556">
        <v>1</v>
      </c>
      <c r="BS56" s="1558">
        <f t="shared" si="36"/>
        <v>14</v>
      </c>
      <c r="BT56" s="1556">
        <v>4</v>
      </c>
      <c r="BU56" s="1556">
        <v>11</v>
      </c>
      <c r="BV56" s="1556">
        <v>5</v>
      </c>
      <c r="BW56" s="1558">
        <f t="shared" si="37"/>
        <v>20</v>
      </c>
      <c r="BX56" s="1556">
        <v>8</v>
      </c>
      <c r="BY56" s="1556">
        <v>8</v>
      </c>
      <c r="BZ56" s="1556">
        <v>5</v>
      </c>
      <c r="CA56" s="1558">
        <f t="shared" si="38"/>
        <v>21</v>
      </c>
      <c r="CB56" s="1556">
        <v>3</v>
      </c>
      <c r="CC56" s="1556">
        <v>5</v>
      </c>
      <c r="CD56" s="1556">
        <v>2</v>
      </c>
      <c r="CE56" s="1558">
        <f t="shared" si="4"/>
        <v>10</v>
      </c>
      <c r="CF56" s="1556">
        <v>4</v>
      </c>
      <c r="CG56" s="1556">
        <v>5</v>
      </c>
      <c r="CH56" s="1556">
        <v>8</v>
      </c>
      <c r="CI56" s="1558">
        <f t="shared" si="5"/>
        <v>17</v>
      </c>
      <c r="CJ56" s="1556">
        <v>6</v>
      </c>
      <c r="CK56" s="1556">
        <v>1</v>
      </c>
      <c r="CL56" s="1556">
        <v>8</v>
      </c>
      <c r="CM56" s="1558">
        <f t="shared" si="6"/>
        <v>15</v>
      </c>
      <c r="CN56" s="1556">
        <v>6</v>
      </c>
      <c r="CO56" s="1556">
        <v>3</v>
      </c>
      <c r="CP56" s="1556">
        <v>3</v>
      </c>
      <c r="CQ56" s="1558">
        <f t="shared" si="7"/>
        <v>12</v>
      </c>
      <c r="CR56" s="1556">
        <v>1</v>
      </c>
      <c r="CS56" s="1556">
        <v>1</v>
      </c>
      <c r="CT56" s="1556">
        <v>7</v>
      </c>
      <c r="CU56" s="1558">
        <f t="shared" si="8"/>
        <v>9</v>
      </c>
    </row>
    <row r="57" spans="2:99" ht="14.25" customHeight="1" x14ac:dyDescent="0.25">
      <c r="B57" s="5875"/>
      <c r="C57" s="1593" t="s">
        <v>359</v>
      </c>
      <c r="D57" s="1555">
        <v>3</v>
      </c>
      <c r="E57" s="1556">
        <v>12</v>
      </c>
      <c r="F57" s="1556">
        <v>5</v>
      </c>
      <c r="G57" s="1557">
        <f>SUM(D57:F57)</f>
        <v>20</v>
      </c>
      <c r="H57" s="1555">
        <v>3</v>
      </c>
      <c r="I57" s="1556">
        <v>3</v>
      </c>
      <c r="J57" s="1556">
        <v>2</v>
      </c>
      <c r="K57" s="1557">
        <f>SUM(H57:J57)</f>
        <v>8</v>
      </c>
      <c r="L57" s="1555">
        <v>1</v>
      </c>
      <c r="M57" s="1556">
        <v>9</v>
      </c>
      <c r="N57" s="1556">
        <v>2</v>
      </c>
      <c r="O57" s="1557">
        <f>SUM(L57:N57)</f>
        <v>12</v>
      </c>
      <c r="P57" s="1555">
        <v>1</v>
      </c>
      <c r="Q57" s="1556">
        <v>2</v>
      </c>
      <c r="R57" s="1556">
        <v>1</v>
      </c>
      <c r="S57" s="1557">
        <f>SUM(P57:R57)</f>
        <v>4</v>
      </c>
      <c r="T57" s="1555">
        <v>1</v>
      </c>
      <c r="U57" s="1556">
        <v>1</v>
      </c>
      <c r="V57" s="1556">
        <v>1</v>
      </c>
      <c r="W57" s="1557">
        <f>SUM(T57:V57)</f>
        <v>3</v>
      </c>
      <c r="X57" s="1555"/>
      <c r="Y57" s="1556">
        <v>1</v>
      </c>
      <c r="Z57" s="1556"/>
      <c r="AA57" s="1557">
        <f>SUM(X57:Z57)</f>
        <v>1</v>
      </c>
      <c r="AB57" s="1555">
        <v>2</v>
      </c>
      <c r="AC57" s="1556">
        <v>3</v>
      </c>
      <c r="AD57" s="1556">
        <v>2</v>
      </c>
      <c r="AE57" s="1558">
        <f>SUM(AB57:AD57)</f>
        <v>7</v>
      </c>
      <c r="AF57" s="1556">
        <v>1</v>
      </c>
      <c r="AG57" s="1556">
        <v>1</v>
      </c>
      <c r="AH57" s="1556">
        <v>3</v>
      </c>
      <c r="AI57" s="1558">
        <f>SUM(AF57:AH57)</f>
        <v>5</v>
      </c>
      <c r="AJ57" s="1556">
        <v>2</v>
      </c>
      <c r="AK57" s="1556">
        <v>1</v>
      </c>
      <c r="AL57" s="1556">
        <v>2</v>
      </c>
      <c r="AM57" s="1558">
        <f t="shared" si="29"/>
        <v>5</v>
      </c>
      <c r="AN57" s="1556">
        <v>1</v>
      </c>
      <c r="AO57" s="1556">
        <v>3</v>
      </c>
      <c r="AP57" s="1556">
        <v>2</v>
      </c>
      <c r="AQ57" s="1558">
        <f t="shared" si="30"/>
        <v>6</v>
      </c>
      <c r="AR57" s="1556">
        <v>2</v>
      </c>
      <c r="AS57" s="1556">
        <v>3</v>
      </c>
      <c r="AT57" s="1556">
        <v>1</v>
      </c>
      <c r="AU57" s="1558">
        <f t="shared" si="31"/>
        <v>6</v>
      </c>
      <c r="AV57" s="1556">
        <v>3</v>
      </c>
      <c r="AW57" s="1556">
        <v>1</v>
      </c>
      <c r="AX57" s="1556">
        <v>1</v>
      </c>
      <c r="AY57" s="1558">
        <f t="shared" si="32"/>
        <v>5</v>
      </c>
      <c r="AZ57" s="1556">
        <v>1</v>
      </c>
      <c r="BA57" s="1556">
        <v>1</v>
      </c>
      <c r="BB57" s="1556">
        <v>1</v>
      </c>
      <c r="BC57" s="1558">
        <f t="shared" si="33"/>
        <v>3</v>
      </c>
      <c r="BD57" s="1556">
        <v>1</v>
      </c>
      <c r="BE57" s="1556"/>
      <c r="BF57" s="1556">
        <v>3</v>
      </c>
      <c r="BG57" s="1558">
        <f t="shared" si="39"/>
        <v>4</v>
      </c>
      <c r="BH57" s="1556">
        <v>2</v>
      </c>
      <c r="BI57" s="1556">
        <v>2</v>
      </c>
      <c r="BJ57" s="1556"/>
      <c r="BK57" s="1558">
        <f t="shared" si="34"/>
        <v>4</v>
      </c>
      <c r="BL57" s="1556">
        <v>3</v>
      </c>
      <c r="BM57" s="1556">
        <v>3</v>
      </c>
      <c r="BN57" s="1556">
        <v>4</v>
      </c>
      <c r="BO57" s="1558">
        <f t="shared" si="35"/>
        <v>10</v>
      </c>
      <c r="BP57" s="1556">
        <v>1</v>
      </c>
      <c r="BQ57" s="1556">
        <v>1</v>
      </c>
      <c r="BR57" s="1556">
        <v>2</v>
      </c>
      <c r="BS57" s="1558">
        <f t="shared" si="36"/>
        <v>4</v>
      </c>
      <c r="BT57" s="1556">
        <v>3</v>
      </c>
      <c r="BU57" s="1556">
        <v>2</v>
      </c>
      <c r="BV57" s="1556">
        <v>2</v>
      </c>
      <c r="BW57" s="1558">
        <f t="shared" si="37"/>
        <v>7</v>
      </c>
      <c r="BX57" s="1556">
        <v>3</v>
      </c>
      <c r="BY57" s="1556">
        <v>4</v>
      </c>
      <c r="BZ57" s="1556">
        <v>7</v>
      </c>
      <c r="CA57" s="1558">
        <f t="shared" si="38"/>
        <v>14</v>
      </c>
      <c r="CB57" s="1556">
        <v>1</v>
      </c>
      <c r="CC57" s="1556">
        <v>8</v>
      </c>
      <c r="CD57" s="1556">
        <v>7</v>
      </c>
      <c r="CE57" s="1558">
        <f t="shared" si="4"/>
        <v>16</v>
      </c>
      <c r="CF57" s="1556">
        <v>2</v>
      </c>
      <c r="CG57" s="1556">
        <v>1</v>
      </c>
      <c r="CH57" s="1556">
        <v>6</v>
      </c>
      <c r="CI57" s="1558">
        <f t="shared" si="5"/>
        <v>9</v>
      </c>
      <c r="CJ57" s="1556">
        <v>4</v>
      </c>
      <c r="CK57" s="1556"/>
      <c r="CL57" s="1556">
        <v>1</v>
      </c>
      <c r="CM57" s="1558">
        <f t="shared" si="6"/>
        <v>5</v>
      </c>
      <c r="CN57" s="1556"/>
      <c r="CO57" s="1556">
        <v>3</v>
      </c>
      <c r="CP57" s="1556">
        <v>4</v>
      </c>
      <c r="CQ57" s="1558">
        <f t="shared" si="7"/>
        <v>7</v>
      </c>
      <c r="CR57" s="1556"/>
      <c r="CS57" s="1556">
        <v>1</v>
      </c>
      <c r="CT57" s="1556">
        <v>2</v>
      </c>
      <c r="CU57" s="1558">
        <f t="shared" si="8"/>
        <v>3</v>
      </c>
    </row>
    <row r="58" spans="2:99" ht="14.25" customHeight="1" x14ac:dyDescent="0.25">
      <c r="B58" s="5875"/>
      <c r="C58" s="1593" t="s">
        <v>360</v>
      </c>
      <c r="D58" s="1555"/>
      <c r="E58" s="1556">
        <v>5</v>
      </c>
      <c r="F58" s="1556">
        <v>2</v>
      </c>
      <c r="G58" s="1557">
        <f>SUM(D58:F58)</f>
        <v>7</v>
      </c>
      <c r="H58" s="1555">
        <v>1</v>
      </c>
      <c r="I58" s="1556">
        <v>4</v>
      </c>
      <c r="J58" s="1556">
        <v>9</v>
      </c>
      <c r="K58" s="1557">
        <f>SUM(H58:J58)</f>
        <v>14</v>
      </c>
      <c r="L58" s="1555">
        <v>1</v>
      </c>
      <c r="M58" s="1556">
        <v>7</v>
      </c>
      <c r="N58" s="1556">
        <v>6</v>
      </c>
      <c r="O58" s="1557">
        <f>SUM(L58:N58)</f>
        <v>14</v>
      </c>
      <c r="P58" s="1555">
        <v>4</v>
      </c>
      <c r="Q58" s="1556">
        <v>4</v>
      </c>
      <c r="R58" s="1556">
        <v>2</v>
      </c>
      <c r="S58" s="1557">
        <f>SUM(P58:R58)</f>
        <v>10</v>
      </c>
      <c r="T58" s="1555">
        <v>4</v>
      </c>
      <c r="U58" s="1556">
        <v>6</v>
      </c>
      <c r="V58" s="1556">
        <v>2</v>
      </c>
      <c r="W58" s="1557">
        <f>SUM(T58:V58)</f>
        <v>12</v>
      </c>
      <c r="X58" s="1555">
        <v>4</v>
      </c>
      <c r="Y58" s="1556">
        <v>6</v>
      </c>
      <c r="Z58" s="1556">
        <v>3</v>
      </c>
      <c r="AA58" s="1557">
        <f>SUM(X58:Z58)</f>
        <v>13</v>
      </c>
      <c r="AB58" s="1555">
        <v>6</v>
      </c>
      <c r="AC58" s="1556">
        <v>1</v>
      </c>
      <c r="AD58" s="1556">
        <v>3</v>
      </c>
      <c r="AE58" s="1558">
        <f>SUM(AB58:AD58)</f>
        <v>10</v>
      </c>
      <c r="AF58" s="1556">
        <v>5</v>
      </c>
      <c r="AG58" s="1556">
        <v>2</v>
      </c>
      <c r="AH58" s="1556">
        <v>5</v>
      </c>
      <c r="AI58" s="1558">
        <f>SUM(AF58:AH58)</f>
        <v>12</v>
      </c>
      <c r="AJ58" s="1556">
        <v>1</v>
      </c>
      <c r="AK58" s="1556">
        <v>5</v>
      </c>
      <c r="AL58" s="1556"/>
      <c r="AM58" s="1558">
        <f t="shared" si="29"/>
        <v>6</v>
      </c>
      <c r="AN58" s="1556">
        <v>3</v>
      </c>
      <c r="AO58" s="1556"/>
      <c r="AP58" s="1556">
        <v>2</v>
      </c>
      <c r="AQ58" s="1558">
        <f t="shared" si="30"/>
        <v>5</v>
      </c>
      <c r="AR58" s="1556">
        <v>1</v>
      </c>
      <c r="AS58" s="1556">
        <v>3</v>
      </c>
      <c r="AT58" s="1556">
        <v>1</v>
      </c>
      <c r="AU58" s="1558">
        <f t="shared" si="31"/>
        <v>5</v>
      </c>
      <c r="AV58" s="1556">
        <v>2</v>
      </c>
      <c r="AW58" s="1556">
        <v>5</v>
      </c>
      <c r="AX58" s="1556">
        <v>2</v>
      </c>
      <c r="AY58" s="1558">
        <f t="shared" si="32"/>
        <v>9</v>
      </c>
      <c r="AZ58" s="1556">
        <v>3</v>
      </c>
      <c r="BA58" s="1556">
        <v>1</v>
      </c>
      <c r="BB58" s="1556">
        <v>3</v>
      </c>
      <c r="BC58" s="1558">
        <f t="shared" si="33"/>
        <v>7</v>
      </c>
      <c r="BD58" s="1556">
        <v>6</v>
      </c>
      <c r="BE58" s="1556">
        <v>5</v>
      </c>
      <c r="BF58" s="1556">
        <v>3</v>
      </c>
      <c r="BG58" s="1558">
        <f t="shared" si="39"/>
        <v>14</v>
      </c>
      <c r="BH58" s="1556">
        <v>6</v>
      </c>
      <c r="BI58" s="1556">
        <v>2</v>
      </c>
      <c r="BJ58" s="1556">
        <v>2</v>
      </c>
      <c r="BK58" s="1558">
        <f t="shared" si="34"/>
        <v>10</v>
      </c>
      <c r="BL58" s="1556">
        <v>4</v>
      </c>
      <c r="BM58" s="1556">
        <v>4</v>
      </c>
      <c r="BN58" s="1556">
        <v>4</v>
      </c>
      <c r="BO58" s="1558">
        <f t="shared" si="35"/>
        <v>12</v>
      </c>
      <c r="BP58" s="1556">
        <v>3</v>
      </c>
      <c r="BQ58" s="1556">
        <v>2</v>
      </c>
      <c r="BR58" s="1556">
        <v>8</v>
      </c>
      <c r="BS58" s="1558">
        <f t="shared" si="36"/>
        <v>13</v>
      </c>
      <c r="BT58" s="1556">
        <v>5</v>
      </c>
      <c r="BU58" s="1556">
        <v>4</v>
      </c>
      <c r="BV58" s="1556">
        <v>7</v>
      </c>
      <c r="BW58" s="1558">
        <f t="shared" si="37"/>
        <v>16</v>
      </c>
      <c r="BX58" s="1556">
        <v>4</v>
      </c>
      <c r="BY58" s="1556">
        <v>3</v>
      </c>
      <c r="BZ58" s="1556">
        <v>4</v>
      </c>
      <c r="CA58" s="1558">
        <f t="shared" si="38"/>
        <v>11</v>
      </c>
      <c r="CB58" s="1556">
        <v>5</v>
      </c>
      <c r="CC58" s="1556">
        <v>3</v>
      </c>
      <c r="CD58" s="1556">
        <v>3</v>
      </c>
      <c r="CE58" s="1558">
        <f t="shared" si="4"/>
        <v>11</v>
      </c>
      <c r="CF58" s="1556">
        <v>1</v>
      </c>
      <c r="CG58" s="1556"/>
      <c r="CH58" s="1556">
        <v>2</v>
      </c>
      <c r="CI58" s="1558">
        <f t="shared" si="5"/>
        <v>3</v>
      </c>
      <c r="CJ58" s="1556">
        <v>4</v>
      </c>
      <c r="CK58" s="1556"/>
      <c r="CL58" s="1556">
        <v>3</v>
      </c>
      <c r="CM58" s="1558">
        <f t="shared" si="6"/>
        <v>7</v>
      </c>
      <c r="CN58" s="1556">
        <v>2</v>
      </c>
      <c r="CO58" s="1556"/>
      <c r="CP58" s="1556">
        <v>4</v>
      </c>
      <c r="CQ58" s="1558">
        <f t="shared" si="7"/>
        <v>6</v>
      </c>
      <c r="CR58" s="1556">
        <v>2</v>
      </c>
      <c r="CS58" s="1556">
        <v>1</v>
      </c>
      <c r="CT58" s="1556"/>
      <c r="CU58" s="1558">
        <f t="shared" si="8"/>
        <v>3</v>
      </c>
    </row>
    <row r="59" spans="2:99" ht="14.25" customHeight="1" x14ac:dyDescent="0.25">
      <c r="B59" s="5875"/>
      <c r="C59" s="1593" t="s">
        <v>361</v>
      </c>
      <c r="D59" s="1555">
        <v>1</v>
      </c>
      <c r="E59" s="1556">
        <v>2</v>
      </c>
      <c r="F59" s="1556">
        <v>2</v>
      </c>
      <c r="G59" s="1557">
        <f>SUM(D59:F59)</f>
        <v>5</v>
      </c>
      <c r="H59" s="1555"/>
      <c r="I59" s="1556">
        <v>4</v>
      </c>
      <c r="J59" s="1556">
        <v>1</v>
      </c>
      <c r="K59" s="1557">
        <f>SUM(H59:J59)</f>
        <v>5</v>
      </c>
      <c r="L59" s="1555"/>
      <c r="M59" s="1556">
        <v>4</v>
      </c>
      <c r="N59" s="1556">
        <v>1</v>
      </c>
      <c r="O59" s="1557">
        <f>SUM(L59:N59)</f>
        <v>5</v>
      </c>
      <c r="P59" s="1555">
        <v>4</v>
      </c>
      <c r="Q59" s="1556">
        <v>4</v>
      </c>
      <c r="R59" s="1556">
        <v>1</v>
      </c>
      <c r="S59" s="1557">
        <f>SUM(P59:R59)</f>
        <v>9</v>
      </c>
      <c r="T59" s="1555">
        <v>1</v>
      </c>
      <c r="U59" s="1556">
        <v>1</v>
      </c>
      <c r="V59" s="1556">
        <v>3</v>
      </c>
      <c r="W59" s="1557">
        <f>SUM(T59:V59)</f>
        <v>5</v>
      </c>
      <c r="X59" s="1555">
        <v>1</v>
      </c>
      <c r="Y59" s="1556">
        <v>2</v>
      </c>
      <c r="Z59" s="1556">
        <v>3</v>
      </c>
      <c r="AA59" s="1557">
        <f>SUM(X59:Z59)</f>
        <v>6</v>
      </c>
      <c r="AB59" s="1555">
        <v>1</v>
      </c>
      <c r="AC59" s="1556">
        <v>1</v>
      </c>
      <c r="AD59" s="1556"/>
      <c r="AE59" s="1558">
        <f>SUM(AB59:AD59)</f>
        <v>2</v>
      </c>
      <c r="AF59" s="1556">
        <v>2</v>
      </c>
      <c r="AG59" s="1556"/>
      <c r="AH59" s="1556">
        <v>4</v>
      </c>
      <c r="AI59" s="1558">
        <f>SUM(AF59:AH59)</f>
        <v>6</v>
      </c>
      <c r="AJ59" s="1556"/>
      <c r="AK59" s="1556">
        <v>5</v>
      </c>
      <c r="AL59" s="1556">
        <v>1</v>
      </c>
      <c r="AM59" s="1558">
        <f t="shared" si="29"/>
        <v>6</v>
      </c>
      <c r="AN59" s="1556">
        <v>1</v>
      </c>
      <c r="AO59" s="1556">
        <v>4</v>
      </c>
      <c r="AP59" s="1556"/>
      <c r="AQ59" s="1558">
        <f t="shared" si="30"/>
        <v>5</v>
      </c>
      <c r="AR59" s="1556">
        <v>6</v>
      </c>
      <c r="AS59" s="1556">
        <v>5</v>
      </c>
      <c r="AT59" s="1556">
        <v>3</v>
      </c>
      <c r="AU59" s="1558">
        <f t="shared" si="31"/>
        <v>14</v>
      </c>
      <c r="AV59" s="1556">
        <v>4</v>
      </c>
      <c r="AW59" s="1556">
        <v>6</v>
      </c>
      <c r="AX59" s="1556">
        <v>7</v>
      </c>
      <c r="AY59" s="1558">
        <f t="shared" si="32"/>
        <v>17</v>
      </c>
      <c r="AZ59" s="1556">
        <v>4</v>
      </c>
      <c r="BA59" s="1556">
        <v>2</v>
      </c>
      <c r="BB59" s="1556">
        <v>2</v>
      </c>
      <c r="BC59" s="1558">
        <f t="shared" si="33"/>
        <v>8</v>
      </c>
      <c r="BD59" s="1556">
        <v>1</v>
      </c>
      <c r="BE59" s="1556">
        <v>1</v>
      </c>
      <c r="BF59" s="1556">
        <v>4</v>
      </c>
      <c r="BG59" s="1558">
        <f t="shared" si="39"/>
        <v>6</v>
      </c>
      <c r="BH59" s="1556">
        <v>5</v>
      </c>
      <c r="BI59" s="1556">
        <v>5</v>
      </c>
      <c r="BJ59" s="1556">
        <v>5</v>
      </c>
      <c r="BK59" s="1558">
        <f t="shared" si="34"/>
        <v>15</v>
      </c>
      <c r="BL59" s="1556">
        <v>5</v>
      </c>
      <c r="BM59" s="1556">
        <v>1</v>
      </c>
      <c r="BN59" s="1556">
        <v>4</v>
      </c>
      <c r="BO59" s="1558">
        <f t="shared" si="35"/>
        <v>10</v>
      </c>
      <c r="BP59" s="1556">
        <v>2</v>
      </c>
      <c r="BQ59" s="1556">
        <v>3</v>
      </c>
      <c r="BR59" s="1556">
        <v>3</v>
      </c>
      <c r="BS59" s="1558">
        <f t="shared" si="36"/>
        <v>8</v>
      </c>
      <c r="BT59" s="1556">
        <v>3</v>
      </c>
      <c r="BU59" s="1556">
        <v>1</v>
      </c>
      <c r="BV59" s="1556">
        <v>1</v>
      </c>
      <c r="BW59" s="1558">
        <f t="shared" si="37"/>
        <v>5</v>
      </c>
      <c r="BX59" s="1556">
        <v>3</v>
      </c>
      <c r="BY59" s="1556">
        <v>1</v>
      </c>
      <c r="BZ59" s="1556"/>
      <c r="CA59" s="1558">
        <f t="shared" si="38"/>
        <v>4</v>
      </c>
      <c r="CB59" s="1556">
        <v>4</v>
      </c>
      <c r="CC59" s="1556">
        <v>1</v>
      </c>
      <c r="CD59" s="1556">
        <v>1</v>
      </c>
      <c r="CE59" s="1558">
        <f t="shared" si="4"/>
        <v>6</v>
      </c>
      <c r="CF59" s="1556">
        <v>3</v>
      </c>
      <c r="CG59" s="1556"/>
      <c r="CH59" s="1556">
        <v>3</v>
      </c>
      <c r="CI59" s="1558">
        <f t="shared" si="5"/>
        <v>6</v>
      </c>
      <c r="CJ59" s="1556">
        <v>4</v>
      </c>
      <c r="CK59" s="1556"/>
      <c r="CL59" s="1556">
        <v>1</v>
      </c>
      <c r="CM59" s="1558">
        <f t="shared" si="6"/>
        <v>5</v>
      </c>
      <c r="CN59" s="1556"/>
      <c r="CO59" s="1556">
        <v>1</v>
      </c>
      <c r="CP59" s="1556">
        <v>2</v>
      </c>
      <c r="CQ59" s="1558">
        <f t="shared" si="7"/>
        <v>3</v>
      </c>
      <c r="CR59" s="1556">
        <v>3</v>
      </c>
      <c r="CS59" s="1556"/>
      <c r="CT59" s="1556">
        <v>5</v>
      </c>
      <c r="CU59" s="1558">
        <f t="shared" si="8"/>
        <v>8</v>
      </c>
    </row>
    <row r="60" spans="2:99" ht="14.25" customHeight="1" x14ac:dyDescent="0.25">
      <c r="B60" s="5875"/>
      <c r="C60" s="1593" t="s">
        <v>484</v>
      </c>
      <c r="D60" s="1555"/>
      <c r="E60" s="1556"/>
      <c r="F60" s="1556"/>
      <c r="G60" s="1557"/>
      <c r="H60" s="1555"/>
      <c r="I60" s="1556"/>
      <c r="J60" s="1556"/>
      <c r="K60" s="1557"/>
      <c r="L60" s="1555"/>
      <c r="M60" s="1556"/>
      <c r="N60" s="1556"/>
      <c r="O60" s="1557"/>
      <c r="P60" s="1555"/>
      <c r="Q60" s="1556"/>
      <c r="R60" s="1556"/>
      <c r="S60" s="1557"/>
      <c r="T60" s="1555"/>
      <c r="U60" s="1556"/>
      <c r="V60" s="1556"/>
      <c r="W60" s="1557"/>
      <c r="X60" s="1555"/>
      <c r="Y60" s="1556"/>
      <c r="Z60" s="1556"/>
      <c r="AA60" s="1557"/>
      <c r="AB60" s="1555"/>
      <c r="AC60" s="1556"/>
      <c r="AD60" s="1556"/>
      <c r="AE60" s="1558"/>
      <c r="AF60" s="1556"/>
      <c r="AG60" s="1556"/>
      <c r="AH60" s="1556"/>
      <c r="AI60" s="1558"/>
      <c r="AJ60" s="1556"/>
      <c r="AK60" s="1556">
        <v>1</v>
      </c>
      <c r="AL60" s="1556">
        <v>3</v>
      </c>
      <c r="AM60" s="1558">
        <f t="shared" si="29"/>
        <v>4</v>
      </c>
      <c r="AN60" s="1556">
        <v>1</v>
      </c>
      <c r="AO60" s="1556"/>
      <c r="AP60" s="1556">
        <v>2</v>
      </c>
      <c r="AQ60" s="1558">
        <f t="shared" si="30"/>
        <v>3</v>
      </c>
      <c r="AR60" s="1556">
        <v>1</v>
      </c>
      <c r="AS60" s="1556">
        <v>1</v>
      </c>
      <c r="AT60" s="1556">
        <v>4</v>
      </c>
      <c r="AU60" s="1558">
        <f t="shared" si="31"/>
        <v>6</v>
      </c>
      <c r="AV60" s="1556">
        <v>2</v>
      </c>
      <c r="AW60" s="1556">
        <v>2</v>
      </c>
      <c r="AX60" s="1556"/>
      <c r="AY60" s="1558">
        <f t="shared" si="32"/>
        <v>4</v>
      </c>
      <c r="AZ60" s="1556">
        <v>4</v>
      </c>
      <c r="BA60" s="1556">
        <v>4</v>
      </c>
      <c r="BB60" s="1556">
        <v>6</v>
      </c>
      <c r="BC60" s="1558">
        <f t="shared" si="33"/>
        <v>14</v>
      </c>
      <c r="BD60" s="1556">
        <v>3</v>
      </c>
      <c r="BE60" s="1556">
        <v>2</v>
      </c>
      <c r="BF60" s="1556">
        <v>2</v>
      </c>
      <c r="BG60" s="1558">
        <f t="shared" si="39"/>
        <v>7</v>
      </c>
      <c r="BH60" s="1556">
        <v>4</v>
      </c>
      <c r="BI60" s="1556">
        <v>6</v>
      </c>
      <c r="BJ60" s="1556">
        <v>3</v>
      </c>
      <c r="BK60" s="1558">
        <f t="shared" si="34"/>
        <v>13</v>
      </c>
      <c r="BL60" s="1556">
        <v>7</v>
      </c>
      <c r="BM60" s="1556">
        <v>2</v>
      </c>
      <c r="BN60" s="1556">
        <v>1</v>
      </c>
      <c r="BO60" s="1558">
        <f t="shared" si="35"/>
        <v>10</v>
      </c>
      <c r="BP60" s="1556">
        <v>3</v>
      </c>
      <c r="BQ60" s="1556">
        <v>1</v>
      </c>
      <c r="BR60" s="1556">
        <v>2</v>
      </c>
      <c r="BS60" s="1558">
        <f t="shared" si="36"/>
        <v>6</v>
      </c>
      <c r="BT60" s="1556">
        <v>2</v>
      </c>
      <c r="BU60" s="1556">
        <v>3</v>
      </c>
      <c r="BV60" s="1556">
        <v>1</v>
      </c>
      <c r="BW60" s="1558">
        <f t="shared" si="37"/>
        <v>6</v>
      </c>
      <c r="BX60" s="1556">
        <v>3</v>
      </c>
      <c r="BY60" s="1556">
        <v>3</v>
      </c>
      <c r="BZ60" s="1556">
        <v>4</v>
      </c>
      <c r="CA60" s="1558">
        <f t="shared" si="38"/>
        <v>10</v>
      </c>
      <c r="CB60" s="1556">
        <v>4</v>
      </c>
      <c r="CC60" s="1556">
        <v>1</v>
      </c>
      <c r="CD60" s="1556">
        <v>4</v>
      </c>
      <c r="CE60" s="1558">
        <f t="shared" si="4"/>
        <v>9</v>
      </c>
      <c r="CF60" s="1556"/>
      <c r="CG60" s="1556">
        <v>4</v>
      </c>
      <c r="CH60" s="1556">
        <v>4</v>
      </c>
      <c r="CI60" s="1558">
        <f t="shared" si="5"/>
        <v>8</v>
      </c>
      <c r="CJ60" s="1556">
        <v>2</v>
      </c>
      <c r="CK60" s="1556"/>
      <c r="CL60" s="1556">
        <v>4</v>
      </c>
      <c r="CM60" s="1558">
        <f t="shared" si="6"/>
        <v>6</v>
      </c>
      <c r="CN60" s="1556">
        <v>1</v>
      </c>
      <c r="CO60" s="1556">
        <v>2</v>
      </c>
      <c r="CP60" s="1556"/>
      <c r="CQ60" s="1558">
        <f t="shared" si="7"/>
        <v>3</v>
      </c>
      <c r="CR60" s="1556">
        <v>1</v>
      </c>
      <c r="CS60" s="1556">
        <v>4</v>
      </c>
      <c r="CT60" s="1556">
        <v>2</v>
      </c>
      <c r="CU60" s="1558">
        <f t="shared" si="8"/>
        <v>7</v>
      </c>
    </row>
    <row r="61" spans="2:99" ht="14.25" customHeight="1" x14ac:dyDescent="0.25">
      <c r="B61" s="5876"/>
      <c r="C61" s="1593" t="s">
        <v>363</v>
      </c>
      <c r="D61" s="1555"/>
      <c r="E61" s="1556"/>
      <c r="F61" s="1556"/>
      <c r="G61" s="1557"/>
      <c r="H61" s="1555"/>
      <c r="I61" s="1556"/>
      <c r="J61" s="1556"/>
      <c r="K61" s="1557"/>
      <c r="L61" s="1555"/>
      <c r="M61" s="1556"/>
      <c r="N61" s="1556"/>
      <c r="O61" s="1557"/>
      <c r="P61" s="1555"/>
      <c r="Q61" s="1556"/>
      <c r="R61" s="1556"/>
      <c r="S61" s="1557"/>
      <c r="T61" s="1555"/>
      <c r="U61" s="1556"/>
      <c r="V61" s="1556"/>
      <c r="W61" s="1557"/>
      <c r="X61" s="1555"/>
      <c r="Y61" s="1556"/>
      <c r="Z61" s="1556"/>
      <c r="AA61" s="1557"/>
      <c r="AB61" s="1555"/>
      <c r="AC61" s="1556"/>
      <c r="AD61" s="1556"/>
      <c r="AE61" s="1558"/>
      <c r="AF61" s="1556"/>
      <c r="AG61" s="1556"/>
      <c r="AH61" s="1556"/>
      <c r="AI61" s="1558"/>
      <c r="AJ61" s="1556"/>
      <c r="AK61" s="1556"/>
      <c r="AL61" s="1556"/>
      <c r="AM61" s="1558"/>
      <c r="AN61" s="1556"/>
      <c r="AO61" s="1556"/>
      <c r="AP61" s="1556"/>
      <c r="AQ61" s="1558"/>
      <c r="AR61" s="1556"/>
      <c r="AS61" s="1556"/>
      <c r="AT61" s="1556"/>
      <c r="AU61" s="1558"/>
      <c r="AV61" s="1556"/>
      <c r="AW61" s="1556"/>
      <c r="AX61" s="1556"/>
      <c r="AY61" s="1558"/>
      <c r="AZ61" s="1556"/>
      <c r="BA61" s="1556"/>
      <c r="BB61" s="1556"/>
      <c r="BC61" s="1558"/>
      <c r="BD61" s="1556"/>
      <c r="BE61" s="1556"/>
      <c r="BF61" s="1556"/>
      <c r="BG61" s="1558"/>
      <c r="BH61" s="1556"/>
      <c r="BI61" s="1556"/>
      <c r="BJ61" s="1556"/>
      <c r="BK61" s="1558"/>
      <c r="BL61" s="1556"/>
      <c r="BM61" s="1556"/>
      <c r="BN61" s="1556"/>
      <c r="BO61" s="1558"/>
      <c r="BP61" s="1556"/>
      <c r="BQ61" s="1556">
        <v>7</v>
      </c>
      <c r="BR61" s="1556"/>
      <c r="BS61" s="1558">
        <f t="shared" si="36"/>
        <v>7</v>
      </c>
      <c r="BT61" s="1556">
        <v>2</v>
      </c>
      <c r="BU61" s="1556">
        <v>1</v>
      </c>
      <c r="BV61" s="1556">
        <v>3</v>
      </c>
      <c r="BW61" s="1558">
        <f t="shared" si="37"/>
        <v>6</v>
      </c>
      <c r="BX61" s="1556">
        <v>2</v>
      </c>
      <c r="BY61" s="1556">
        <v>6</v>
      </c>
      <c r="BZ61" s="1556">
        <v>2</v>
      </c>
      <c r="CA61" s="1558">
        <f t="shared" si="38"/>
        <v>10</v>
      </c>
      <c r="CB61" s="1556">
        <v>9</v>
      </c>
      <c r="CC61" s="1556">
        <v>14</v>
      </c>
      <c r="CD61" s="1556">
        <v>4</v>
      </c>
      <c r="CE61" s="1558">
        <f t="shared" si="4"/>
        <v>27</v>
      </c>
      <c r="CF61" s="1556">
        <v>6</v>
      </c>
      <c r="CG61" s="1556">
        <v>3</v>
      </c>
      <c r="CH61" s="1556">
        <v>2</v>
      </c>
      <c r="CI61" s="1558">
        <f t="shared" si="5"/>
        <v>11</v>
      </c>
      <c r="CJ61" s="1556">
        <v>4</v>
      </c>
      <c r="CK61" s="1556">
        <v>1</v>
      </c>
      <c r="CL61" s="1556">
        <v>4</v>
      </c>
      <c r="CM61" s="1558">
        <f t="shared" si="6"/>
        <v>9</v>
      </c>
      <c r="CN61" s="1556">
        <v>3</v>
      </c>
      <c r="CO61" s="1556">
        <v>7</v>
      </c>
      <c r="CP61" s="1556">
        <v>5</v>
      </c>
      <c r="CQ61" s="1558">
        <f t="shared" si="7"/>
        <v>15</v>
      </c>
      <c r="CR61" s="1556">
        <v>4</v>
      </c>
      <c r="CS61" s="1556"/>
      <c r="CT61" s="1556">
        <v>5</v>
      </c>
      <c r="CU61" s="1558">
        <f t="shared" si="8"/>
        <v>9</v>
      </c>
    </row>
    <row r="62" spans="2:99" ht="14.25" customHeight="1" x14ac:dyDescent="0.25">
      <c r="B62" s="5877" t="s">
        <v>317</v>
      </c>
      <c r="C62" s="1594" t="s">
        <v>364</v>
      </c>
      <c r="D62" s="1567"/>
      <c r="E62" s="1568"/>
      <c r="F62" s="1568"/>
      <c r="G62" s="1569"/>
      <c r="H62" s="1567"/>
      <c r="I62" s="1568"/>
      <c r="J62" s="1568"/>
      <c r="K62" s="1569"/>
      <c r="L62" s="1567"/>
      <c r="M62" s="1568"/>
      <c r="N62" s="1568"/>
      <c r="O62" s="1569"/>
      <c r="P62" s="1567"/>
      <c r="Q62" s="1568"/>
      <c r="R62" s="1568"/>
      <c r="S62" s="1569"/>
      <c r="T62" s="1567">
        <v>1</v>
      </c>
      <c r="U62" s="1568"/>
      <c r="V62" s="1568"/>
      <c r="W62" s="1569">
        <f>SUM(T62:V62)</f>
        <v>1</v>
      </c>
      <c r="X62" s="1567"/>
      <c r="Y62" s="1568">
        <v>2</v>
      </c>
      <c r="Z62" s="1568">
        <v>2</v>
      </c>
      <c r="AA62" s="1569">
        <f>SUM(X62:Z62)</f>
        <v>4</v>
      </c>
      <c r="AB62" s="1567"/>
      <c r="AC62" s="1568"/>
      <c r="AD62" s="1568"/>
      <c r="AE62" s="1553"/>
      <c r="AF62" s="1568"/>
      <c r="AG62" s="1568"/>
      <c r="AH62" s="1568">
        <v>2</v>
      </c>
      <c r="AI62" s="1553">
        <f>SUM(AF62:AH62)</f>
        <v>2</v>
      </c>
      <c r="AJ62" s="1568"/>
      <c r="AK62" s="1568">
        <v>3</v>
      </c>
      <c r="AL62" s="1568">
        <v>1</v>
      </c>
      <c r="AM62" s="1553">
        <f t="shared" ref="AM62:AM69" si="40">SUM(AJ62:AL62)</f>
        <v>4</v>
      </c>
      <c r="AN62" s="1568">
        <v>2</v>
      </c>
      <c r="AO62" s="1568">
        <v>1</v>
      </c>
      <c r="AP62" s="1568">
        <v>1</v>
      </c>
      <c r="AQ62" s="1553">
        <f t="shared" ref="AQ62:AQ69" si="41">SUM(AN62:AP62)</f>
        <v>4</v>
      </c>
      <c r="AR62" s="1568">
        <v>1</v>
      </c>
      <c r="AS62" s="1568">
        <v>4</v>
      </c>
      <c r="AT62" s="1568">
        <v>1</v>
      </c>
      <c r="AU62" s="1553">
        <f t="shared" ref="AU62:AU69" si="42">SUM(AR62:AT62)</f>
        <v>6</v>
      </c>
      <c r="AV62" s="1568">
        <v>1</v>
      </c>
      <c r="AW62" s="1568"/>
      <c r="AX62" s="1568"/>
      <c r="AY62" s="1553">
        <f t="shared" ref="AY62:AY69" si="43">SUM(AV62:AX62)</f>
        <v>1</v>
      </c>
      <c r="AZ62" s="1568">
        <v>2</v>
      </c>
      <c r="BA62" s="1568">
        <v>1</v>
      </c>
      <c r="BB62" s="1568">
        <v>1</v>
      </c>
      <c r="BC62" s="1553">
        <f t="shared" ref="BC62:BC69" si="44">SUM(AZ62:BB62)</f>
        <v>4</v>
      </c>
      <c r="BD62" s="1568"/>
      <c r="BE62" s="1568">
        <v>1</v>
      </c>
      <c r="BF62" s="1568">
        <v>1</v>
      </c>
      <c r="BG62" s="1553">
        <f t="shared" si="39"/>
        <v>2</v>
      </c>
      <c r="BH62" s="1568"/>
      <c r="BI62" s="1568"/>
      <c r="BJ62" s="1568">
        <v>3</v>
      </c>
      <c r="BK62" s="1553">
        <f t="shared" ref="BK62:BK69" si="45">SUM(BH62:BJ62)</f>
        <v>3</v>
      </c>
      <c r="BL62" s="1568">
        <v>1</v>
      </c>
      <c r="BM62" s="1568">
        <v>4</v>
      </c>
      <c r="BN62" s="1568">
        <v>2</v>
      </c>
      <c r="BO62" s="1553">
        <f t="shared" ref="BO62:BO69" si="46">SUM(BL62:BN62)</f>
        <v>7</v>
      </c>
      <c r="BP62" s="1568"/>
      <c r="BQ62" s="1568"/>
      <c r="BR62" s="1568">
        <v>2</v>
      </c>
      <c r="BS62" s="1553">
        <f t="shared" si="36"/>
        <v>2</v>
      </c>
      <c r="BT62" s="1568"/>
      <c r="BU62" s="1568">
        <v>3</v>
      </c>
      <c r="BV62" s="1568"/>
      <c r="BW62" s="1553">
        <f t="shared" si="37"/>
        <v>3</v>
      </c>
      <c r="BX62" s="1568"/>
      <c r="BY62" s="1568"/>
      <c r="BZ62" s="1568"/>
      <c r="CA62" s="1553">
        <f t="shared" si="38"/>
        <v>0</v>
      </c>
      <c r="CB62" s="1568"/>
      <c r="CC62" s="1568">
        <v>2</v>
      </c>
      <c r="CD62" s="1568">
        <v>2</v>
      </c>
      <c r="CE62" s="1553">
        <f t="shared" si="4"/>
        <v>4</v>
      </c>
      <c r="CF62" s="1568">
        <v>2</v>
      </c>
      <c r="CG62" s="1568">
        <v>1</v>
      </c>
      <c r="CH62" s="1568">
        <v>2</v>
      </c>
      <c r="CI62" s="1553">
        <f t="shared" si="5"/>
        <v>5</v>
      </c>
      <c r="CJ62" s="1568"/>
      <c r="CK62" s="1568"/>
      <c r="CL62" s="1568">
        <v>1</v>
      </c>
      <c r="CM62" s="1553">
        <f t="shared" si="6"/>
        <v>1</v>
      </c>
      <c r="CN62" s="1568"/>
      <c r="CO62" s="1568"/>
      <c r="CP62" s="1568">
        <v>1</v>
      </c>
      <c r="CQ62" s="1553">
        <f t="shared" si="7"/>
        <v>1</v>
      </c>
      <c r="CR62" s="1568"/>
      <c r="CS62" s="1568"/>
      <c r="CT62" s="1568"/>
      <c r="CU62" s="1553">
        <f t="shared" si="8"/>
        <v>0</v>
      </c>
    </row>
    <row r="63" spans="2:99" ht="12.75" customHeight="1" x14ac:dyDescent="0.25">
      <c r="B63" s="5878"/>
      <c r="C63" s="1594" t="s">
        <v>443</v>
      </c>
      <c r="D63" s="1567"/>
      <c r="E63" s="1568"/>
      <c r="F63" s="1568"/>
      <c r="G63" s="1569"/>
      <c r="H63" s="1567"/>
      <c r="I63" s="1568"/>
      <c r="J63" s="1568"/>
      <c r="K63" s="1569"/>
      <c r="L63" s="1567"/>
      <c r="M63" s="1568"/>
      <c r="N63" s="1568"/>
      <c r="O63" s="1569"/>
      <c r="P63" s="1567"/>
      <c r="Q63" s="1568"/>
      <c r="R63" s="1568"/>
      <c r="S63" s="1569"/>
      <c r="T63" s="1567"/>
      <c r="U63" s="1568"/>
      <c r="V63" s="1568"/>
      <c r="W63" s="1569"/>
      <c r="X63" s="1567"/>
      <c r="Y63" s="1568"/>
      <c r="Z63" s="1568"/>
      <c r="AA63" s="1569"/>
      <c r="AB63" s="1567">
        <v>1</v>
      </c>
      <c r="AC63" s="1568">
        <v>1</v>
      </c>
      <c r="AD63" s="1568"/>
      <c r="AE63" s="1553">
        <f>SUM(AB63:AD63)</f>
        <v>2</v>
      </c>
      <c r="AF63" s="1568"/>
      <c r="AG63" s="1568"/>
      <c r="AH63" s="1568">
        <v>2</v>
      </c>
      <c r="AI63" s="1553">
        <f>SUM(AF63:AH63)</f>
        <v>2</v>
      </c>
      <c r="AJ63" s="1568"/>
      <c r="AK63" s="1568"/>
      <c r="AL63" s="1568">
        <v>1</v>
      </c>
      <c r="AM63" s="1553">
        <f t="shared" si="40"/>
        <v>1</v>
      </c>
      <c r="AN63" s="1568"/>
      <c r="AO63" s="1568">
        <v>2</v>
      </c>
      <c r="AP63" s="1568">
        <v>1</v>
      </c>
      <c r="AQ63" s="1553">
        <f t="shared" si="41"/>
        <v>3</v>
      </c>
      <c r="AR63" s="1568">
        <v>2</v>
      </c>
      <c r="AS63" s="1568"/>
      <c r="AT63" s="1568"/>
      <c r="AU63" s="1553">
        <f t="shared" si="42"/>
        <v>2</v>
      </c>
      <c r="AV63" s="1568">
        <v>1</v>
      </c>
      <c r="AW63" s="1568">
        <v>4</v>
      </c>
      <c r="AX63" s="1568"/>
      <c r="AY63" s="1553">
        <f t="shared" si="43"/>
        <v>5</v>
      </c>
      <c r="AZ63" s="1568"/>
      <c r="BA63" s="1568">
        <v>1</v>
      </c>
      <c r="BB63" s="1568">
        <v>1</v>
      </c>
      <c r="BC63" s="1553">
        <f t="shared" si="44"/>
        <v>2</v>
      </c>
      <c r="BD63" s="1568">
        <v>1</v>
      </c>
      <c r="BE63" s="1568">
        <v>4</v>
      </c>
      <c r="BF63" s="1568">
        <v>1</v>
      </c>
      <c r="BG63" s="1553">
        <f t="shared" si="39"/>
        <v>6</v>
      </c>
      <c r="BH63" s="1568">
        <v>3</v>
      </c>
      <c r="BI63" s="1568">
        <v>2</v>
      </c>
      <c r="BJ63" s="1568">
        <v>2</v>
      </c>
      <c r="BK63" s="1553">
        <f t="shared" si="45"/>
        <v>7</v>
      </c>
      <c r="BL63" s="1568">
        <v>1</v>
      </c>
      <c r="BM63" s="1568">
        <v>2</v>
      </c>
      <c r="BN63" s="1568">
        <v>2</v>
      </c>
      <c r="BO63" s="1553">
        <f t="shared" si="46"/>
        <v>5</v>
      </c>
      <c r="BP63" s="1568"/>
      <c r="BQ63" s="1568">
        <v>1</v>
      </c>
      <c r="BR63" s="1568">
        <v>2</v>
      </c>
      <c r="BS63" s="1553">
        <f t="shared" si="36"/>
        <v>3</v>
      </c>
      <c r="BT63" s="1568">
        <v>2</v>
      </c>
      <c r="BU63" s="1568">
        <v>3</v>
      </c>
      <c r="BV63" s="1568">
        <v>4</v>
      </c>
      <c r="BW63" s="1553">
        <f t="shared" si="37"/>
        <v>9</v>
      </c>
      <c r="BX63" s="1568">
        <v>3</v>
      </c>
      <c r="BY63" s="1568">
        <v>2</v>
      </c>
      <c r="BZ63" s="1568">
        <v>1</v>
      </c>
      <c r="CA63" s="1553">
        <f t="shared" si="38"/>
        <v>6</v>
      </c>
      <c r="CB63" s="1568">
        <v>4</v>
      </c>
      <c r="CC63" s="1568">
        <v>2</v>
      </c>
      <c r="CD63" s="1568">
        <v>3</v>
      </c>
      <c r="CE63" s="1553">
        <f t="shared" si="4"/>
        <v>9</v>
      </c>
      <c r="CF63" s="1568">
        <v>1</v>
      </c>
      <c r="CG63" s="1568">
        <v>3</v>
      </c>
      <c r="CH63" s="1568">
        <v>3</v>
      </c>
      <c r="CI63" s="1553">
        <f t="shared" si="5"/>
        <v>7</v>
      </c>
      <c r="CJ63" s="1568"/>
      <c r="CK63" s="1568"/>
      <c r="CL63" s="1568">
        <v>4</v>
      </c>
      <c r="CM63" s="1553">
        <f t="shared" si="6"/>
        <v>4</v>
      </c>
      <c r="CN63" s="1568"/>
      <c r="CO63" s="1568">
        <v>1</v>
      </c>
      <c r="CP63" s="1568">
        <v>1</v>
      </c>
      <c r="CQ63" s="1553">
        <f t="shared" si="7"/>
        <v>2</v>
      </c>
      <c r="CR63" s="1568"/>
      <c r="CS63" s="1568">
        <v>2</v>
      </c>
      <c r="CT63" s="1568">
        <v>1</v>
      </c>
      <c r="CU63" s="1553">
        <f t="shared" si="8"/>
        <v>3</v>
      </c>
    </row>
    <row r="64" spans="2:99" ht="12.75" customHeight="1" x14ac:dyDescent="0.25">
      <c r="B64" s="5878"/>
      <c r="C64" s="1594" t="s">
        <v>359</v>
      </c>
      <c r="D64" s="1567"/>
      <c r="E64" s="1568"/>
      <c r="F64" s="1568"/>
      <c r="G64" s="1569"/>
      <c r="H64" s="1567"/>
      <c r="I64" s="1568"/>
      <c r="J64" s="1568"/>
      <c r="K64" s="1569"/>
      <c r="L64" s="1567"/>
      <c r="M64" s="1568"/>
      <c r="N64" s="1568"/>
      <c r="O64" s="1569"/>
      <c r="P64" s="1567"/>
      <c r="Q64" s="1568"/>
      <c r="R64" s="1568"/>
      <c r="S64" s="1569"/>
      <c r="T64" s="1567"/>
      <c r="U64" s="1568">
        <v>4</v>
      </c>
      <c r="V64" s="1568">
        <v>1</v>
      </c>
      <c r="W64" s="1569">
        <f>SUM(T64:V64)</f>
        <v>5</v>
      </c>
      <c r="X64" s="1567">
        <v>1</v>
      </c>
      <c r="Y64" s="1568">
        <v>5</v>
      </c>
      <c r="Z64" s="1568">
        <v>3</v>
      </c>
      <c r="AA64" s="1569">
        <f>SUM(X64:Z64)</f>
        <v>9</v>
      </c>
      <c r="AB64" s="1567">
        <v>1</v>
      </c>
      <c r="AC64" s="1568">
        <v>4</v>
      </c>
      <c r="AD64" s="1568">
        <v>1</v>
      </c>
      <c r="AE64" s="1553">
        <f>SUM(AB64:AD64)</f>
        <v>6</v>
      </c>
      <c r="AF64" s="1568"/>
      <c r="AG64" s="1568"/>
      <c r="AH64" s="1568">
        <v>7</v>
      </c>
      <c r="AI64" s="1553">
        <f>SUM(AF64:AH64)</f>
        <v>7</v>
      </c>
      <c r="AJ64" s="1568">
        <v>1</v>
      </c>
      <c r="AK64" s="1568">
        <v>6</v>
      </c>
      <c r="AL64" s="1568">
        <v>5</v>
      </c>
      <c r="AM64" s="1553">
        <f t="shared" si="40"/>
        <v>12</v>
      </c>
      <c r="AN64" s="1568">
        <v>5</v>
      </c>
      <c r="AO64" s="1568">
        <v>1</v>
      </c>
      <c r="AP64" s="1568">
        <v>4</v>
      </c>
      <c r="AQ64" s="1553">
        <f t="shared" si="41"/>
        <v>10</v>
      </c>
      <c r="AR64" s="1568">
        <v>2</v>
      </c>
      <c r="AS64" s="1568">
        <v>2</v>
      </c>
      <c r="AT64" s="1568">
        <v>5</v>
      </c>
      <c r="AU64" s="1553">
        <f t="shared" si="42"/>
        <v>9</v>
      </c>
      <c r="AV64" s="1568">
        <v>3</v>
      </c>
      <c r="AW64" s="1568">
        <v>1</v>
      </c>
      <c r="AX64" s="1568">
        <v>4</v>
      </c>
      <c r="AY64" s="1553">
        <f t="shared" si="43"/>
        <v>8</v>
      </c>
      <c r="AZ64" s="1568">
        <v>2</v>
      </c>
      <c r="BA64" s="1568">
        <v>7</v>
      </c>
      <c r="BB64" s="1568">
        <v>5</v>
      </c>
      <c r="BC64" s="1553">
        <f t="shared" si="44"/>
        <v>14</v>
      </c>
      <c r="BD64" s="1568">
        <v>2</v>
      </c>
      <c r="BE64" s="1568">
        <v>2</v>
      </c>
      <c r="BF64" s="1568">
        <v>2</v>
      </c>
      <c r="BG64" s="1553">
        <f t="shared" si="39"/>
        <v>6</v>
      </c>
      <c r="BH64" s="1568">
        <v>3</v>
      </c>
      <c r="BI64" s="1568">
        <v>3</v>
      </c>
      <c r="BJ64" s="1568">
        <v>1</v>
      </c>
      <c r="BK64" s="1553">
        <f t="shared" si="45"/>
        <v>7</v>
      </c>
      <c r="BL64" s="1568">
        <v>4</v>
      </c>
      <c r="BM64" s="1568">
        <v>8</v>
      </c>
      <c r="BN64" s="1568">
        <v>4</v>
      </c>
      <c r="BO64" s="1553">
        <f t="shared" si="46"/>
        <v>16</v>
      </c>
      <c r="BP64" s="1568">
        <v>7</v>
      </c>
      <c r="BQ64" s="1568">
        <v>1</v>
      </c>
      <c r="BR64" s="1568">
        <v>4</v>
      </c>
      <c r="BS64" s="1553">
        <f t="shared" si="36"/>
        <v>12</v>
      </c>
      <c r="BT64" s="1568">
        <v>3</v>
      </c>
      <c r="BU64" s="1568">
        <v>2</v>
      </c>
      <c r="BV64" s="1568">
        <v>5</v>
      </c>
      <c r="BW64" s="1553">
        <f t="shared" si="37"/>
        <v>10</v>
      </c>
      <c r="BX64" s="1568">
        <v>7</v>
      </c>
      <c r="BY64" s="1568">
        <v>5</v>
      </c>
      <c r="BZ64" s="1568">
        <v>3</v>
      </c>
      <c r="CA64" s="1553">
        <f t="shared" si="38"/>
        <v>15</v>
      </c>
      <c r="CB64" s="1568">
        <v>2</v>
      </c>
      <c r="CC64" s="1568">
        <v>7</v>
      </c>
      <c r="CD64" s="1568">
        <v>7</v>
      </c>
      <c r="CE64" s="1553">
        <f t="shared" si="4"/>
        <v>16</v>
      </c>
      <c r="CF64" s="1568">
        <v>4</v>
      </c>
      <c r="CG64" s="1568">
        <v>2</v>
      </c>
      <c r="CH64" s="1568">
        <v>3</v>
      </c>
      <c r="CI64" s="1553">
        <f t="shared" si="5"/>
        <v>9</v>
      </c>
      <c r="CJ64" s="1568"/>
      <c r="CK64" s="1568"/>
      <c r="CL64" s="1568">
        <v>2</v>
      </c>
      <c r="CM64" s="1553">
        <f t="shared" si="6"/>
        <v>2</v>
      </c>
      <c r="CN64" s="1568"/>
      <c r="CO64" s="1568">
        <v>2</v>
      </c>
      <c r="CP64" s="1568">
        <v>2</v>
      </c>
      <c r="CQ64" s="1553">
        <f t="shared" si="7"/>
        <v>4</v>
      </c>
      <c r="CR64" s="1568"/>
      <c r="CS64" s="1568">
        <v>2</v>
      </c>
      <c r="CT64" s="1568">
        <v>3</v>
      </c>
      <c r="CU64" s="1553">
        <f t="shared" si="8"/>
        <v>5</v>
      </c>
    </row>
    <row r="65" spans="2:99 16367:16367" ht="12.75" customHeight="1" x14ac:dyDescent="0.25">
      <c r="B65" s="5878"/>
      <c r="C65" s="1594" t="s">
        <v>360</v>
      </c>
      <c r="D65" s="1567"/>
      <c r="E65" s="1568"/>
      <c r="F65" s="1568"/>
      <c r="G65" s="1569"/>
      <c r="H65" s="1567"/>
      <c r="I65" s="1568"/>
      <c r="J65" s="1568"/>
      <c r="K65" s="1569"/>
      <c r="L65" s="1567"/>
      <c r="M65" s="1568"/>
      <c r="N65" s="1568"/>
      <c r="O65" s="1569"/>
      <c r="P65" s="1567"/>
      <c r="Q65" s="1568"/>
      <c r="R65" s="1568"/>
      <c r="S65" s="1569"/>
      <c r="T65" s="1567">
        <v>1</v>
      </c>
      <c r="U65" s="1568"/>
      <c r="V65" s="1568">
        <v>1</v>
      </c>
      <c r="W65" s="1569">
        <f>SUM(T65:V65)</f>
        <v>2</v>
      </c>
      <c r="X65" s="1567">
        <v>1</v>
      </c>
      <c r="Y65" s="1568"/>
      <c r="Z65" s="1568">
        <v>2</v>
      </c>
      <c r="AA65" s="1569">
        <f>SUM(X65:Z65)</f>
        <v>3</v>
      </c>
      <c r="AB65" s="1567">
        <v>2</v>
      </c>
      <c r="AC65" s="1568">
        <v>2</v>
      </c>
      <c r="AD65" s="1568">
        <v>1</v>
      </c>
      <c r="AE65" s="1553">
        <f>SUM(AB65:AD65)</f>
        <v>5</v>
      </c>
      <c r="AF65" s="1568">
        <v>1</v>
      </c>
      <c r="AG65" s="1568"/>
      <c r="AH65" s="1568">
        <v>1</v>
      </c>
      <c r="AI65" s="1553">
        <f>SUM(AF65:AH65)</f>
        <v>2</v>
      </c>
      <c r="AJ65" s="1568"/>
      <c r="AK65" s="1568">
        <v>2</v>
      </c>
      <c r="AL65" s="1568">
        <v>4</v>
      </c>
      <c r="AM65" s="1553">
        <f t="shared" si="40"/>
        <v>6</v>
      </c>
      <c r="AN65" s="1568">
        <v>3</v>
      </c>
      <c r="AO65" s="1568">
        <v>1</v>
      </c>
      <c r="AP65" s="1568">
        <v>3</v>
      </c>
      <c r="AQ65" s="1553">
        <f t="shared" si="41"/>
        <v>7</v>
      </c>
      <c r="AR65" s="1568">
        <v>1</v>
      </c>
      <c r="AS65" s="1568"/>
      <c r="AT65" s="1568">
        <v>1</v>
      </c>
      <c r="AU65" s="1553">
        <f t="shared" si="42"/>
        <v>2</v>
      </c>
      <c r="AV65" s="1568">
        <v>2</v>
      </c>
      <c r="AW65" s="1568">
        <v>2</v>
      </c>
      <c r="AX65" s="1568">
        <v>4</v>
      </c>
      <c r="AY65" s="1553">
        <f t="shared" si="43"/>
        <v>8</v>
      </c>
      <c r="AZ65" s="1568">
        <v>1</v>
      </c>
      <c r="BA65" s="1568">
        <v>1</v>
      </c>
      <c r="BB65" s="1568">
        <v>1</v>
      </c>
      <c r="BC65" s="1553">
        <f t="shared" si="44"/>
        <v>3</v>
      </c>
      <c r="BD65" s="1568"/>
      <c r="BE65" s="1568">
        <v>1</v>
      </c>
      <c r="BF65" s="1568">
        <v>5</v>
      </c>
      <c r="BG65" s="1553">
        <f t="shared" si="39"/>
        <v>6</v>
      </c>
      <c r="BH65" s="1568">
        <v>2</v>
      </c>
      <c r="BI65" s="1568"/>
      <c r="BJ65" s="1568">
        <v>4</v>
      </c>
      <c r="BK65" s="1553">
        <f t="shared" si="45"/>
        <v>6</v>
      </c>
      <c r="BL65" s="1568">
        <v>1</v>
      </c>
      <c r="BM65" s="1568">
        <v>1</v>
      </c>
      <c r="BN65" s="1568">
        <v>3</v>
      </c>
      <c r="BO65" s="1553">
        <f t="shared" si="46"/>
        <v>5</v>
      </c>
      <c r="BP65" s="1568"/>
      <c r="BQ65" s="1568"/>
      <c r="BR65" s="1568">
        <v>3</v>
      </c>
      <c r="BS65" s="1553">
        <f t="shared" si="36"/>
        <v>3</v>
      </c>
      <c r="BT65" s="1568">
        <v>3</v>
      </c>
      <c r="BU65" s="1568">
        <v>3</v>
      </c>
      <c r="BV65" s="1568">
        <v>3</v>
      </c>
      <c r="BW65" s="1553">
        <f t="shared" si="37"/>
        <v>9</v>
      </c>
      <c r="BX65" s="1568">
        <v>4</v>
      </c>
      <c r="BY65" s="1568"/>
      <c r="BZ65" s="1568"/>
      <c r="CA65" s="1553">
        <f t="shared" si="38"/>
        <v>4</v>
      </c>
      <c r="CB65" s="1568">
        <v>1</v>
      </c>
      <c r="CC65" s="1568">
        <v>1</v>
      </c>
      <c r="CD65" s="1568">
        <v>3</v>
      </c>
      <c r="CE65" s="1553">
        <f t="shared" si="4"/>
        <v>5</v>
      </c>
      <c r="CF65" s="1568">
        <v>4</v>
      </c>
      <c r="CG65" s="1568"/>
      <c r="CH65" s="1568">
        <v>4</v>
      </c>
      <c r="CI65" s="1553">
        <f t="shared" si="5"/>
        <v>8</v>
      </c>
      <c r="CJ65" s="1568">
        <v>1</v>
      </c>
      <c r="CK65" s="1568"/>
      <c r="CL65" s="1568"/>
      <c r="CM65" s="1553">
        <f t="shared" si="6"/>
        <v>1</v>
      </c>
      <c r="CN65" s="1568">
        <v>1</v>
      </c>
      <c r="CO65" s="1568"/>
      <c r="CP65" s="1568">
        <v>2</v>
      </c>
      <c r="CQ65" s="1553">
        <f t="shared" si="7"/>
        <v>3</v>
      </c>
      <c r="CR65" s="1568">
        <v>4</v>
      </c>
      <c r="CS65" s="1568">
        <v>1</v>
      </c>
      <c r="CT65" s="1568">
        <v>1</v>
      </c>
      <c r="CU65" s="1553">
        <f t="shared" si="8"/>
        <v>6</v>
      </c>
    </row>
    <row r="66" spans="2:99 16367:16367" ht="12.75" customHeight="1" x14ac:dyDescent="0.25">
      <c r="B66" s="5878"/>
      <c r="C66" s="1594" t="s">
        <v>361</v>
      </c>
      <c r="D66" s="1567"/>
      <c r="E66" s="1568"/>
      <c r="F66" s="1568"/>
      <c r="G66" s="1569"/>
      <c r="H66" s="1567"/>
      <c r="I66" s="1568"/>
      <c r="J66" s="1568"/>
      <c r="K66" s="1569"/>
      <c r="L66" s="1567"/>
      <c r="M66" s="1568"/>
      <c r="N66" s="1568"/>
      <c r="O66" s="1569"/>
      <c r="P66" s="1567"/>
      <c r="Q66" s="1568"/>
      <c r="R66" s="1568"/>
      <c r="S66" s="1569"/>
      <c r="T66" s="1567"/>
      <c r="U66" s="1568">
        <v>2</v>
      </c>
      <c r="V66" s="1568">
        <v>1</v>
      </c>
      <c r="W66" s="1569">
        <f>SUM(T66:V66)</f>
        <v>3</v>
      </c>
      <c r="X66" s="1567"/>
      <c r="Y66" s="1568"/>
      <c r="Z66" s="1568"/>
      <c r="AA66" s="1569"/>
      <c r="AB66" s="1567"/>
      <c r="AC66" s="1568"/>
      <c r="AD66" s="1568"/>
      <c r="AE66" s="1553"/>
      <c r="AF66" s="1568"/>
      <c r="AG66" s="1568">
        <v>1</v>
      </c>
      <c r="AH66" s="1568">
        <v>1</v>
      </c>
      <c r="AI66" s="1553">
        <f>SUM(AF66:AH66)</f>
        <v>2</v>
      </c>
      <c r="AJ66" s="1568">
        <v>1</v>
      </c>
      <c r="AK66" s="1568"/>
      <c r="AL66" s="1568"/>
      <c r="AM66" s="1553">
        <f t="shared" si="40"/>
        <v>1</v>
      </c>
      <c r="AN66" s="1568"/>
      <c r="AO66" s="1568">
        <v>1</v>
      </c>
      <c r="AP66" s="1568"/>
      <c r="AQ66" s="1553">
        <f t="shared" si="41"/>
        <v>1</v>
      </c>
      <c r="AR66" s="1568"/>
      <c r="AS66" s="1568">
        <v>3</v>
      </c>
      <c r="AT66" s="1568"/>
      <c r="AU66" s="1553">
        <f t="shared" si="42"/>
        <v>3</v>
      </c>
      <c r="AV66" s="1568">
        <v>1</v>
      </c>
      <c r="AW66" s="1568"/>
      <c r="AX66" s="1568">
        <v>2</v>
      </c>
      <c r="AY66" s="1553">
        <f t="shared" si="43"/>
        <v>3</v>
      </c>
      <c r="AZ66" s="1568"/>
      <c r="BA66" s="1568"/>
      <c r="BB66" s="1568"/>
      <c r="BC66" s="1553">
        <f t="shared" si="44"/>
        <v>0</v>
      </c>
      <c r="BD66" s="1568"/>
      <c r="BE66" s="1568">
        <v>2</v>
      </c>
      <c r="BF66" s="1568"/>
      <c r="BG66" s="1553">
        <f t="shared" si="39"/>
        <v>2</v>
      </c>
      <c r="BH66" s="1568"/>
      <c r="BI66" s="1568">
        <v>1</v>
      </c>
      <c r="BJ66" s="1568"/>
      <c r="BK66" s="1553">
        <f t="shared" si="45"/>
        <v>1</v>
      </c>
      <c r="BL66" s="1568">
        <v>1</v>
      </c>
      <c r="BM66" s="1568">
        <v>2</v>
      </c>
      <c r="BN66" s="1568">
        <v>1</v>
      </c>
      <c r="BO66" s="1553">
        <f t="shared" si="46"/>
        <v>4</v>
      </c>
      <c r="BP66" s="1568">
        <v>1</v>
      </c>
      <c r="BQ66" s="1568">
        <v>1</v>
      </c>
      <c r="BR66" s="1568">
        <v>1</v>
      </c>
      <c r="BS66" s="1553">
        <f t="shared" si="36"/>
        <v>3</v>
      </c>
      <c r="BT66" s="1568">
        <v>2</v>
      </c>
      <c r="BU66" s="1568"/>
      <c r="BV66" s="1568">
        <v>1</v>
      </c>
      <c r="BW66" s="1553">
        <f t="shared" si="37"/>
        <v>3</v>
      </c>
      <c r="BX66" s="1568">
        <v>1</v>
      </c>
      <c r="BY66" s="1568">
        <v>1</v>
      </c>
      <c r="BZ66" s="1568">
        <v>4</v>
      </c>
      <c r="CA66" s="1553">
        <f t="shared" si="38"/>
        <v>6</v>
      </c>
      <c r="CB66" s="1568">
        <v>2</v>
      </c>
      <c r="CC66" s="1568">
        <v>1</v>
      </c>
      <c r="CD66" s="1568"/>
      <c r="CE66" s="1553">
        <f t="shared" si="4"/>
        <v>3</v>
      </c>
      <c r="CF66" s="1568"/>
      <c r="CG66" s="1568"/>
      <c r="CH66" s="1568">
        <v>2</v>
      </c>
      <c r="CI66" s="1553">
        <f t="shared" si="5"/>
        <v>2</v>
      </c>
      <c r="CJ66" s="1568"/>
      <c r="CK66" s="1568"/>
      <c r="CL66" s="1568">
        <v>1</v>
      </c>
      <c r="CM66" s="1553">
        <f t="shared" si="6"/>
        <v>1</v>
      </c>
      <c r="CN66" s="1568"/>
      <c r="CO66" s="1568"/>
      <c r="CP66" s="1568"/>
      <c r="CQ66" s="1553">
        <f t="shared" si="7"/>
        <v>0</v>
      </c>
      <c r="CR66" s="1568"/>
      <c r="CS66" s="1568">
        <v>1</v>
      </c>
      <c r="CT66" s="1568">
        <v>1</v>
      </c>
      <c r="CU66" s="1553">
        <f t="shared" si="8"/>
        <v>2</v>
      </c>
    </row>
    <row r="67" spans="2:99 16367:16367" ht="12.75" customHeight="1" x14ac:dyDescent="0.25">
      <c r="B67" s="5878"/>
      <c r="C67" s="1594" t="s">
        <v>484</v>
      </c>
      <c r="D67" s="1573"/>
      <c r="E67" s="1574"/>
      <c r="F67" s="1574"/>
      <c r="G67" s="1575"/>
      <c r="H67" s="1573"/>
      <c r="I67" s="1574"/>
      <c r="J67" s="1574"/>
      <c r="K67" s="1575"/>
      <c r="L67" s="1573"/>
      <c r="M67" s="1574"/>
      <c r="N67" s="1574"/>
      <c r="O67" s="1575"/>
      <c r="P67" s="1573"/>
      <c r="Q67" s="1574"/>
      <c r="R67" s="1574"/>
      <c r="S67" s="1575"/>
      <c r="T67" s="1573"/>
      <c r="U67" s="1574"/>
      <c r="V67" s="1574"/>
      <c r="W67" s="1575"/>
      <c r="X67" s="1573"/>
      <c r="Y67" s="1574"/>
      <c r="Z67" s="1574"/>
      <c r="AA67" s="1575"/>
      <c r="AB67" s="1573"/>
      <c r="AC67" s="1574"/>
      <c r="AD67" s="1574"/>
      <c r="AE67" s="1576"/>
      <c r="AF67" s="1574"/>
      <c r="AG67" s="1574"/>
      <c r="AH67" s="1574"/>
      <c r="AI67" s="1576"/>
      <c r="AJ67" s="1574"/>
      <c r="AK67" s="1574"/>
      <c r="AL67" s="1574"/>
      <c r="AM67" s="1576"/>
      <c r="AN67" s="1574"/>
      <c r="AO67" s="1574"/>
      <c r="AP67" s="1574"/>
      <c r="AQ67" s="1576"/>
      <c r="AR67" s="1574"/>
      <c r="AS67" s="1574"/>
      <c r="AT67" s="1574"/>
      <c r="AU67" s="1576"/>
      <c r="AV67" s="1574"/>
      <c r="AW67" s="1574"/>
      <c r="AX67" s="1574"/>
      <c r="AY67" s="1576"/>
      <c r="AZ67" s="1574"/>
      <c r="BA67" s="1574"/>
      <c r="BB67" s="1574"/>
      <c r="BC67" s="1576"/>
      <c r="BD67" s="1574"/>
      <c r="BE67" s="1574"/>
      <c r="BF67" s="1574"/>
      <c r="BG67" s="1553"/>
      <c r="BH67" s="1574"/>
      <c r="BI67" s="1574"/>
      <c r="BJ67" s="1574"/>
      <c r="BK67" s="1553"/>
      <c r="BL67" s="1574"/>
      <c r="BM67" s="1574"/>
      <c r="BN67" s="1574"/>
      <c r="BO67" s="1553"/>
      <c r="BP67" s="1574"/>
      <c r="BQ67" s="1574"/>
      <c r="BR67" s="1574"/>
      <c r="BS67" s="1553"/>
      <c r="BT67" s="1574"/>
      <c r="BU67" s="1574"/>
      <c r="BV67" s="1574"/>
      <c r="BW67" s="1553"/>
      <c r="BX67" s="1574"/>
      <c r="BY67" s="1574">
        <v>1</v>
      </c>
      <c r="BZ67" s="1574">
        <v>4</v>
      </c>
      <c r="CA67" s="1553">
        <f t="shared" si="38"/>
        <v>5</v>
      </c>
      <c r="CB67" s="1574"/>
      <c r="CC67" s="1574">
        <v>1</v>
      </c>
      <c r="CD67" s="1574">
        <v>1</v>
      </c>
      <c r="CE67" s="1553">
        <f t="shared" si="4"/>
        <v>2</v>
      </c>
      <c r="CF67" s="1574">
        <v>1</v>
      </c>
      <c r="CG67" s="1574"/>
      <c r="CH67" s="1574">
        <v>2</v>
      </c>
      <c r="CI67" s="1553">
        <f t="shared" si="5"/>
        <v>3</v>
      </c>
      <c r="CJ67" s="1574"/>
      <c r="CK67" s="1574"/>
      <c r="CL67" s="1574"/>
      <c r="CM67" s="1553">
        <f t="shared" si="6"/>
        <v>0</v>
      </c>
      <c r="CN67" s="1574">
        <v>1</v>
      </c>
      <c r="CO67" s="1574">
        <v>2</v>
      </c>
      <c r="CP67" s="1574">
        <v>1</v>
      </c>
      <c r="CQ67" s="1553">
        <f t="shared" si="7"/>
        <v>4</v>
      </c>
      <c r="CR67" s="1574">
        <v>1</v>
      </c>
      <c r="CS67" s="1574">
        <v>1</v>
      </c>
      <c r="CT67" s="1574"/>
      <c r="CU67" s="1553">
        <f t="shared" si="8"/>
        <v>2</v>
      </c>
    </row>
    <row r="68" spans="2:99 16367:16367" ht="12.75" customHeight="1" x14ac:dyDescent="0.25">
      <c r="B68" s="5878"/>
      <c r="C68" s="1608" t="s">
        <v>363</v>
      </c>
      <c r="D68" s="1573"/>
      <c r="E68" s="1574"/>
      <c r="F68" s="1574"/>
      <c r="G68" s="1575"/>
      <c r="H68" s="1573"/>
      <c r="I68" s="1574"/>
      <c r="J68" s="1574"/>
      <c r="K68" s="1575"/>
      <c r="L68" s="1573"/>
      <c r="M68" s="1574"/>
      <c r="N68" s="1574"/>
      <c r="O68" s="1575"/>
      <c r="P68" s="1573"/>
      <c r="Q68" s="1574"/>
      <c r="R68" s="1574"/>
      <c r="S68" s="1575"/>
      <c r="T68" s="1573"/>
      <c r="U68" s="1574"/>
      <c r="V68" s="1574"/>
      <c r="W68" s="1575"/>
      <c r="X68" s="1573"/>
      <c r="Y68" s="1574"/>
      <c r="Z68" s="1574"/>
      <c r="AA68" s="1575"/>
      <c r="AB68" s="1573"/>
      <c r="AC68" s="1574"/>
      <c r="AD68" s="1574"/>
      <c r="AE68" s="1576"/>
      <c r="AF68" s="1574"/>
      <c r="AG68" s="1574"/>
      <c r="AH68" s="1574"/>
      <c r="AI68" s="1576"/>
      <c r="AJ68" s="1574"/>
      <c r="AK68" s="1574"/>
      <c r="AL68" s="1574"/>
      <c r="AM68" s="1576"/>
      <c r="AN68" s="1574"/>
      <c r="AO68" s="1574"/>
      <c r="AP68" s="1574"/>
      <c r="AQ68" s="1576"/>
      <c r="AR68" s="1574"/>
      <c r="AS68" s="1574"/>
      <c r="AT68" s="1574"/>
      <c r="AU68" s="1576"/>
      <c r="AV68" s="1574"/>
      <c r="AW68" s="1574"/>
      <c r="AX68" s="1574"/>
      <c r="AY68" s="1576"/>
      <c r="AZ68" s="1574"/>
      <c r="BA68" s="1574"/>
      <c r="BB68" s="1574"/>
      <c r="BC68" s="1576"/>
      <c r="BD68" s="1574"/>
      <c r="BE68" s="1574"/>
      <c r="BF68" s="1574"/>
      <c r="BG68" s="1553"/>
      <c r="BH68" s="1574"/>
      <c r="BI68" s="1574"/>
      <c r="BJ68" s="1574"/>
      <c r="BK68" s="1553"/>
      <c r="BL68" s="1574"/>
      <c r="BM68" s="1574"/>
      <c r="BN68" s="1574"/>
      <c r="BO68" s="1553"/>
      <c r="BP68" s="1574"/>
      <c r="BQ68" s="1574"/>
      <c r="BR68" s="1574"/>
      <c r="BS68" s="1553"/>
      <c r="BT68" s="1574"/>
      <c r="BU68" s="1574"/>
      <c r="BV68" s="1574"/>
      <c r="BW68" s="1553"/>
      <c r="BX68" s="1574"/>
      <c r="BY68" s="1574"/>
      <c r="BZ68" s="1574"/>
      <c r="CA68" s="1553"/>
      <c r="CB68" s="1574">
        <v>1</v>
      </c>
      <c r="CC68" s="1574"/>
      <c r="CD68" s="1574">
        <v>1</v>
      </c>
      <c r="CE68" s="1553">
        <f t="shared" si="4"/>
        <v>2</v>
      </c>
      <c r="CF68" s="1574"/>
      <c r="CG68" s="1574">
        <v>1</v>
      </c>
      <c r="CH68" s="1574">
        <v>1</v>
      </c>
      <c r="CI68" s="1553">
        <f t="shared" si="5"/>
        <v>2</v>
      </c>
      <c r="CJ68" s="1574"/>
      <c r="CK68" s="1574">
        <v>1</v>
      </c>
      <c r="CL68" s="1574">
        <v>4</v>
      </c>
      <c r="CM68" s="1553">
        <f t="shared" si="6"/>
        <v>5</v>
      </c>
      <c r="CN68" s="1574"/>
      <c r="CO68" s="1574">
        <v>1</v>
      </c>
      <c r="CP68" s="1574"/>
      <c r="CQ68" s="1553">
        <f t="shared" si="7"/>
        <v>1</v>
      </c>
      <c r="CR68" s="1574"/>
      <c r="CS68" s="1574"/>
      <c r="CT68" s="1574">
        <v>1</v>
      </c>
      <c r="CU68" s="1553">
        <f t="shared" si="8"/>
        <v>1</v>
      </c>
    </row>
    <row r="69" spans="2:99 16367:16367" ht="12.75" customHeight="1" x14ac:dyDescent="0.25">
      <c r="B69" s="5879"/>
      <c r="C69" s="1572" t="s">
        <v>369</v>
      </c>
      <c r="D69" s="1573">
        <v>4</v>
      </c>
      <c r="E69" s="1574">
        <v>7</v>
      </c>
      <c r="F69" s="1574">
        <v>13</v>
      </c>
      <c r="G69" s="1575">
        <f>SUM(D69:F69)</f>
        <v>24</v>
      </c>
      <c r="H69" s="1573">
        <v>4</v>
      </c>
      <c r="I69" s="1574">
        <v>7</v>
      </c>
      <c r="J69" s="1574">
        <v>8</v>
      </c>
      <c r="K69" s="1575">
        <f>SUM(H69:J69)</f>
        <v>19</v>
      </c>
      <c r="L69" s="1573">
        <v>10</v>
      </c>
      <c r="M69" s="1574">
        <v>15</v>
      </c>
      <c r="N69" s="1574">
        <v>1</v>
      </c>
      <c r="O69" s="1575">
        <f>SUM(L69:N69)</f>
        <v>26</v>
      </c>
      <c r="P69" s="1573">
        <v>6</v>
      </c>
      <c r="Q69" s="1574">
        <v>10</v>
      </c>
      <c r="R69" s="1574">
        <v>10</v>
      </c>
      <c r="S69" s="1575">
        <f>SUM(P69:R69)</f>
        <v>26</v>
      </c>
      <c r="T69" s="1573">
        <v>5</v>
      </c>
      <c r="U69" s="1574">
        <v>6</v>
      </c>
      <c r="V69" s="1574">
        <v>5</v>
      </c>
      <c r="W69" s="1575">
        <f>SUM(T69:V69)</f>
        <v>16</v>
      </c>
      <c r="X69" s="1573">
        <v>7</v>
      </c>
      <c r="Y69" s="1574">
        <v>2</v>
      </c>
      <c r="Z69" s="1574">
        <v>8</v>
      </c>
      <c r="AA69" s="1575">
        <f>SUM(X69:Z69)</f>
        <v>17</v>
      </c>
      <c r="AB69" s="1573">
        <v>2</v>
      </c>
      <c r="AC69" s="1574">
        <v>2</v>
      </c>
      <c r="AD69" s="1574"/>
      <c r="AE69" s="1576">
        <f>SUM(AB69:AD69)</f>
        <v>4</v>
      </c>
      <c r="AF69" s="1574">
        <v>2</v>
      </c>
      <c r="AG69" s="1574">
        <v>1</v>
      </c>
      <c r="AH69" s="1574">
        <v>4</v>
      </c>
      <c r="AI69" s="1576">
        <f>SUM(AF69:AH69)</f>
        <v>7</v>
      </c>
      <c r="AJ69" s="1574">
        <v>2</v>
      </c>
      <c r="AK69" s="1574"/>
      <c r="AL69" s="1574"/>
      <c r="AM69" s="1576">
        <f t="shared" si="40"/>
        <v>2</v>
      </c>
      <c r="AN69" s="1574">
        <v>1</v>
      </c>
      <c r="AO69" s="1574"/>
      <c r="AP69" s="1574">
        <v>3</v>
      </c>
      <c r="AQ69" s="1576">
        <f t="shared" si="41"/>
        <v>4</v>
      </c>
      <c r="AR69" s="1574"/>
      <c r="AS69" s="1574">
        <v>2</v>
      </c>
      <c r="AT69" s="1574">
        <v>1</v>
      </c>
      <c r="AU69" s="1576">
        <f t="shared" si="42"/>
        <v>3</v>
      </c>
      <c r="AV69" s="1574">
        <v>4</v>
      </c>
      <c r="AW69" s="1574">
        <v>6</v>
      </c>
      <c r="AX69" s="1574">
        <v>1</v>
      </c>
      <c r="AY69" s="1576">
        <f t="shared" si="43"/>
        <v>11</v>
      </c>
      <c r="AZ69" s="1574"/>
      <c r="BA69" s="1574"/>
      <c r="BB69" s="1574"/>
      <c r="BC69" s="1576">
        <f t="shared" si="44"/>
        <v>0</v>
      </c>
      <c r="BD69" s="1574"/>
      <c r="BE69" s="1574"/>
      <c r="BF69" s="1574"/>
      <c r="BG69" s="1553">
        <f t="shared" si="39"/>
        <v>0</v>
      </c>
      <c r="BH69" s="1574"/>
      <c r="BI69" s="1574"/>
      <c r="BJ69" s="1574"/>
      <c r="BK69" s="1553">
        <f t="shared" si="45"/>
        <v>0</v>
      </c>
      <c r="BL69" s="1574"/>
      <c r="BM69" s="1574"/>
      <c r="BN69" s="1574"/>
      <c r="BO69" s="1553">
        <f t="shared" si="46"/>
        <v>0</v>
      </c>
      <c r="BP69" s="1574"/>
      <c r="BQ69" s="1574"/>
      <c r="BR69" s="1574"/>
      <c r="BS69" s="1553">
        <f t="shared" si="36"/>
        <v>0</v>
      </c>
      <c r="BT69" s="1574">
        <v>1</v>
      </c>
      <c r="BU69" s="1574">
        <v>1</v>
      </c>
      <c r="BV69" s="1574"/>
      <c r="BW69" s="1553">
        <f t="shared" si="37"/>
        <v>2</v>
      </c>
      <c r="BX69" s="1574"/>
      <c r="BY69" s="1574"/>
      <c r="BZ69" s="1574"/>
      <c r="CA69" s="1553">
        <f t="shared" si="38"/>
        <v>0</v>
      </c>
      <c r="CB69" s="1574"/>
      <c r="CC69" s="1574"/>
      <c r="CD69" s="1574"/>
      <c r="CE69" s="1553">
        <f t="shared" si="4"/>
        <v>0</v>
      </c>
      <c r="CF69" s="1574"/>
      <c r="CG69" s="1574"/>
      <c r="CH69" s="1574"/>
      <c r="CI69" s="1553">
        <f t="shared" si="5"/>
        <v>0</v>
      </c>
      <c r="CJ69" s="1574"/>
      <c r="CK69" s="1574"/>
      <c r="CL69" s="1574"/>
      <c r="CM69" s="1553">
        <f t="shared" si="6"/>
        <v>0</v>
      </c>
      <c r="CN69" s="1574"/>
      <c r="CO69" s="1574"/>
      <c r="CP69" s="1574"/>
      <c r="CQ69" s="1553">
        <f t="shared" si="7"/>
        <v>0</v>
      </c>
      <c r="CR69" s="1574"/>
      <c r="CS69" s="1574"/>
      <c r="CT69" s="1574"/>
      <c r="CU69" s="1553">
        <f t="shared" si="8"/>
        <v>0</v>
      </c>
      <c r="XEM69" s="746">
        <f>SUM(CE69,CA69,BW69,BS69,BO69,BK69,BG69,BC69,AY69,AU69,AQ69,AM69,AI69,AE69,AA69,W69,S69,O69,K69,G69)</f>
        <v>161</v>
      </c>
    </row>
    <row r="70" spans="2:99 16367:16367" ht="12.75" customHeight="1" x14ac:dyDescent="0.25">
      <c r="B70" s="1577"/>
      <c r="C70" s="1578" t="s">
        <v>59</v>
      </c>
      <c r="D70" s="1579">
        <f t="shared" ref="D70:BO70" si="47">SUM(D55:D69)</f>
        <v>9</v>
      </c>
      <c r="E70" s="1580">
        <f t="shared" si="47"/>
        <v>27</v>
      </c>
      <c r="F70" s="1580">
        <f t="shared" si="47"/>
        <v>23</v>
      </c>
      <c r="G70" s="1580">
        <f t="shared" si="47"/>
        <v>59</v>
      </c>
      <c r="H70" s="1579">
        <f t="shared" si="47"/>
        <v>10</v>
      </c>
      <c r="I70" s="1580">
        <f t="shared" si="47"/>
        <v>20</v>
      </c>
      <c r="J70" s="1580">
        <f t="shared" si="47"/>
        <v>21</v>
      </c>
      <c r="K70" s="1580">
        <f t="shared" si="47"/>
        <v>51</v>
      </c>
      <c r="L70" s="1579">
        <f t="shared" si="47"/>
        <v>14</v>
      </c>
      <c r="M70" s="1580">
        <f t="shared" si="47"/>
        <v>38</v>
      </c>
      <c r="N70" s="1580">
        <f t="shared" si="47"/>
        <v>12</v>
      </c>
      <c r="O70" s="1580">
        <f t="shared" si="47"/>
        <v>64</v>
      </c>
      <c r="P70" s="1579">
        <f t="shared" si="47"/>
        <v>15</v>
      </c>
      <c r="Q70" s="1580">
        <f t="shared" si="47"/>
        <v>22</v>
      </c>
      <c r="R70" s="1580">
        <f t="shared" si="47"/>
        <v>15</v>
      </c>
      <c r="S70" s="1580">
        <f t="shared" si="47"/>
        <v>52</v>
      </c>
      <c r="T70" s="1579">
        <f t="shared" si="47"/>
        <v>14</v>
      </c>
      <c r="U70" s="1580">
        <f t="shared" si="47"/>
        <v>22</v>
      </c>
      <c r="V70" s="1580">
        <f t="shared" si="47"/>
        <v>16</v>
      </c>
      <c r="W70" s="1580">
        <f t="shared" si="47"/>
        <v>52</v>
      </c>
      <c r="X70" s="1579">
        <f t="shared" si="47"/>
        <v>15</v>
      </c>
      <c r="Y70" s="1580">
        <f t="shared" si="47"/>
        <v>19</v>
      </c>
      <c r="Z70" s="1580">
        <f t="shared" si="47"/>
        <v>22</v>
      </c>
      <c r="AA70" s="1580">
        <f t="shared" si="47"/>
        <v>56</v>
      </c>
      <c r="AB70" s="1579">
        <f t="shared" si="47"/>
        <v>17</v>
      </c>
      <c r="AC70" s="1580">
        <f t="shared" si="47"/>
        <v>16</v>
      </c>
      <c r="AD70" s="1580">
        <f t="shared" si="47"/>
        <v>7</v>
      </c>
      <c r="AE70" s="1581">
        <f t="shared" si="47"/>
        <v>40</v>
      </c>
      <c r="AF70" s="1580">
        <f t="shared" si="47"/>
        <v>12</v>
      </c>
      <c r="AG70" s="1580">
        <f t="shared" si="47"/>
        <v>7</v>
      </c>
      <c r="AH70" s="1580">
        <f t="shared" si="47"/>
        <v>31</v>
      </c>
      <c r="AI70" s="1581">
        <f t="shared" si="47"/>
        <v>50</v>
      </c>
      <c r="AJ70" s="1580">
        <f t="shared" si="47"/>
        <v>9</v>
      </c>
      <c r="AK70" s="1580">
        <f t="shared" si="47"/>
        <v>28</v>
      </c>
      <c r="AL70" s="1580">
        <f t="shared" si="47"/>
        <v>21</v>
      </c>
      <c r="AM70" s="1581">
        <f t="shared" si="47"/>
        <v>58</v>
      </c>
      <c r="AN70" s="1580">
        <f t="shared" si="47"/>
        <v>20</v>
      </c>
      <c r="AO70" s="1580">
        <f t="shared" si="47"/>
        <v>17</v>
      </c>
      <c r="AP70" s="1580">
        <f t="shared" si="47"/>
        <v>21</v>
      </c>
      <c r="AQ70" s="1581">
        <f t="shared" si="47"/>
        <v>58</v>
      </c>
      <c r="AR70" s="1580">
        <f t="shared" si="47"/>
        <v>23</v>
      </c>
      <c r="AS70" s="1580">
        <f t="shared" si="47"/>
        <v>31</v>
      </c>
      <c r="AT70" s="1580">
        <f t="shared" si="47"/>
        <v>24</v>
      </c>
      <c r="AU70" s="1581">
        <f t="shared" si="47"/>
        <v>78</v>
      </c>
      <c r="AV70" s="1580">
        <f t="shared" si="47"/>
        <v>30</v>
      </c>
      <c r="AW70" s="1580">
        <f t="shared" si="47"/>
        <v>38</v>
      </c>
      <c r="AX70" s="1580">
        <f t="shared" si="47"/>
        <v>25</v>
      </c>
      <c r="AY70" s="1581">
        <f t="shared" si="47"/>
        <v>93</v>
      </c>
      <c r="AZ70" s="1580">
        <f t="shared" si="47"/>
        <v>22</v>
      </c>
      <c r="BA70" s="1580">
        <f t="shared" si="47"/>
        <v>22</v>
      </c>
      <c r="BB70" s="1580">
        <f t="shared" si="47"/>
        <v>28</v>
      </c>
      <c r="BC70" s="1581">
        <f t="shared" si="47"/>
        <v>72</v>
      </c>
      <c r="BD70" s="1580">
        <f t="shared" si="47"/>
        <v>16</v>
      </c>
      <c r="BE70" s="1580">
        <f t="shared" si="47"/>
        <v>25</v>
      </c>
      <c r="BF70" s="1580">
        <f t="shared" si="47"/>
        <v>30</v>
      </c>
      <c r="BG70" s="1581">
        <f t="shared" si="47"/>
        <v>71</v>
      </c>
      <c r="BH70" s="1580">
        <f t="shared" si="47"/>
        <v>29</v>
      </c>
      <c r="BI70" s="1580">
        <f t="shared" si="47"/>
        <v>32</v>
      </c>
      <c r="BJ70" s="1580">
        <f t="shared" si="47"/>
        <v>27</v>
      </c>
      <c r="BK70" s="1581">
        <f t="shared" si="47"/>
        <v>88</v>
      </c>
      <c r="BL70" s="1580">
        <f t="shared" si="47"/>
        <v>36</v>
      </c>
      <c r="BM70" s="1580">
        <f t="shared" si="47"/>
        <v>41</v>
      </c>
      <c r="BN70" s="1580">
        <f t="shared" si="47"/>
        <v>32</v>
      </c>
      <c r="BO70" s="1581">
        <f t="shared" si="47"/>
        <v>109</v>
      </c>
      <c r="BP70" s="1580">
        <f t="shared" ref="BP70:CD70" si="48">SUM(BP55:BP69)</f>
        <v>24</v>
      </c>
      <c r="BQ70" s="1580">
        <f t="shared" si="48"/>
        <v>27</v>
      </c>
      <c r="BR70" s="1580">
        <f t="shared" si="48"/>
        <v>31</v>
      </c>
      <c r="BS70" s="1581">
        <f t="shared" si="48"/>
        <v>82</v>
      </c>
      <c r="BT70" s="1580">
        <f t="shared" si="48"/>
        <v>30</v>
      </c>
      <c r="BU70" s="1580">
        <f t="shared" si="48"/>
        <v>37</v>
      </c>
      <c r="BV70" s="1580">
        <f t="shared" si="48"/>
        <v>32</v>
      </c>
      <c r="BW70" s="1581">
        <f t="shared" si="48"/>
        <v>99</v>
      </c>
      <c r="BX70" s="1580">
        <f t="shared" si="48"/>
        <v>40</v>
      </c>
      <c r="BY70" s="1580">
        <f t="shared" si="48"/>
        <v>41</v>
      </c>
      <c r="BZ70" s="1580">
        <f t="shared" si="48"/>
        <v>37</v>
      </c>
      <c r="CA70" s="1581">
        <f t="shared" si="48"/>
        <v>118</v>
      </c>
      <c r="CB70" s="1580">
        <f t="shared" si="48"/>
        <v>39</v>
      </c>
      <c r="CC70" s="1580">
        <f t="shared" si="48"/>
        <v>50</v>
      </c>
      <c r="CD70" s="1580">
        <f t="shared" si="48"/>
        <v>45</v>
      </c>
      <c r="CE70" s="1581">
        <f t="shared" si="4"/>
        <v>134</v>
      </c>
      <c r="CF70" s="1580">
        <f>SUM(CF54:CF69)</f>
        <v>36</v>
      </c>
      <c r="CG70" s="1580">
        <f>SUM(CG55:CG69)</f>
        <v>21</v>
      </c>
      <c r="CH70" s="1580">
        <f>SUM(CH54:CH69)</f>
        <v>49</v>
      </c>
      <c r="CI70" s="1581">
        <f t="shared" si="5"/>
        <v>106</v>
      </c>
      <c r="CJ70" s="1580">
        <f>SUM(CJ54:CJ69)</f>
        <v>27</v>
      </c>
      <c r="CK70" s="1580">
        <f>SUM(CK55:CK69)</f>
        <v>5</v>
      </c>
      <c r="CL70" s="1580">
        <f>SUM(CL54:CL69)</f>
        <v>34</v>
      </c>
      <c r="CM70" s="1582">
        <f t="shared" si="6"/>
        <v>66</v>
      </c>
      <c r="CN70" s="1580">
        <f>SUM(CN54:CN69)</f>
        <v>19</v>
      </c>
      <c r="CO70" s="1580">
        <f>SUM(CO55:CO69)</f>
        <v>29</v>
      </c>
      <c r="CP70" s="1580">
        <f>SUM(CP54:CP69)</f>
        <v>30</v>
      </c>
      <c r="CQ70" s="1582">
        <f t="shared" si="7"/>
        <v>78</v>
      </c>
      <c r="CR70" s="1580">
        <f>SUM(CR54:CR69)</f>
        <v>21</v>
      </c>
      <c r="CS70" s="1580">
        <f>SUM(CS55:CS69)</f>
        <v>20</v>
      </c>
      <c r="CT70" s="1580">
        <f>SUM(CT54:CT69)</f>
        <v>32</v>
      </c>
      <c r="CU70" s="1582">
        <f t="shared" si="8"/>
        <v>73</v>
      </c>
    </row>
    <row r="71" spans="2:99 16367:16367" ht="12.75" customHeight="1" x14ac:dyDescent="0.25">
      <c r="B71" s="1609" t="s">
        <v>308</v>
      </c>
      <c r="C71" s="1594" t="s">
        <v>370</v>
      </c>
      <c r="D71" s="1567"/>
      <c r="E71" s="1568"/>
      <c r="F71" s="1568">
        <v>25</v>
      </c>
      <c r="G71" s="1589">
        <f>SUM(D71:F71)</f>
        <v>25</v>
      </c>
      <c r="H71" s="1587"/>
      <c r="I71" s="1588">
        <v>3</v>
      </c>
      <c r="J71" s="1588"/>
      <c r="K71" s="1589">
        <f>SUM(H71:J71)</f>
        <v>3</v>
      </c>
      <c r="L71" s="1587"/>
      <c r="M71" s="1588">
        <v>1</v>
      </c>
      <c r="N71" s="1588"/>
      <c r="O71" s="1589">
        <f>SUM(M71:N71)</f>
        <v>1</v>
      </c>
      <c r="P71" s="1567"/>
      <c r="Q71" s="1568">
        <v>1</v>
      </c>
      <c r="R71" s="1568"/>
      <c r="S71" s="1569">
        <f t="shared" ref="S71:S76" si="49">SUM(P71:R71)</f>
        <v>1</v>
      </c>
      <c r="T71" s="1567">
        <v>2</v>
      </c>
      <c r="U71" s="1568">
        <v>3</v>
      </c>
      <c r="V71" s="1568">
        <v>6</v>
      </c>
      <c r="W71" s="1569">
        <f>SUM(T71:V71)</f>
        <v>11</v>
      </c>
      <c r="X71" s="1567">
        <v>2</v>
      </c>
      <c r="Y71" s="1568">
        <v>32</v>
      </c>
      <c r="Z71" s="1568">
        <v>2</v>
      </c>
      <c r="AA71" s="1569">
        <f>SUM(X71:Z71)</f>
        <v>36</v>
      </c>
      <c r="AB71" s="1567"/>
      <c r="AC71" s="1568">
        <v>65</v>
      </c>
      <c r="AD71" s="1568">
        <v>5</v>
      </c>
      <c r="AE71" s="1553">
        <f>SUM(AB71:AD71)</f>
        <v>70</v>
      </c>
      <c r="AF71" s="1568"/>
      <c r="AG71" s="1568">
        <v>12</v>
      </c>
      <c r="AH71" s="1568">
        <v>58</v>
      </c>
      <c r="AI71" s="1553">
        <f t="shared" ref="AI71:AI76" si="50">SUM(AF71:AH71)</f>
        <v>70</v>
      </c>
      <c r="AJ71" s="1568"/>
      <c r="AK71" s="1568"/>
      <c r="AL71" s="1568"/>
      <c r="AM71" s="1553"/>
      <c r="AN71" s="1568">
        <v>63</v>
      </c>
      <c r="AO71" s="1568">
        <v>16</v>
      </c>
      <c r="AP71" s="1568">
        <v>1</v>
      </c>
      <c r="AQ71" s="1553">
        <f t="shared" ref="AQ71:AQ76" si="51">SUM(AN71:AP71)</f>
        <v>80</v>
      </c>
      <c r="AR71" s="1568"/>
      <c r="AS71" s="1568"/>
      <c r="AT71" s="1568"/>
      <c r="AU71" s="1553">
        <f t="shared" ref="AU71:AU76" si="52">SUM(AR71:AT71)</f>
        <v>0</v>
      </c>
      <c r="AV71" s="1568"/>
      <c r="AW71" s="1568">
        <v>15</v>
      </c>
      <c r="AX71" s="1568"/>
      <c r="AY71" s="1553">
        <f t="shared" ref="AY71:AY90" si="53">SUM(AV71:AX71)</f>
        <v>15</v>
      </c>
      <c r="AZ71" s="1568">
        <v>61</v>
      </c>
      <c r="BA71" s="1568">
        <v>1</v>
      </c>
      <c r="BB71" s="1568">
        <v>46</v>
      </c>
      <c r="BC71" s="1553">
        <f t="shared" ref="BC71:BC90" si="54">SUM(AZ71:BB71)</f>
        <v>108</v>
      </c>
      <c r="BD71" s="1568">
        <v>4</v>
      </c>
      <c r="BE71" s="1568">
        <v>44</v>
      </c>
      <c r="BF71" s="1568">
        <v>52</v>
      </c>
      <c r="BG71" s="1553">
        <f t="shared" ref="BG71:BG76" si="55">SUM(BD71:BF71)</f>
        <v>100</v>
      </c>
      <c r="BH71" s="1568">
        <v>1</v>
      </c>
      <c r="BI71" s="1568">
        <v>13</v>
      </c>
      <c r="BJ71" s="1568">
        <v>2</v>
      </c>
      <c r="BK71" s="1553">
        <f t="shared" ref="BK71:BK76" si="56">SUM(BH71:BJ71)</f>
        <v>16</v>
      </c>
      <c r="BL71" s="1568"/>
      <c r="BM71" s="1568">
        <v>7</v>
      </c>
      <c r="BN71" s="1568">
        <v>17</v>
      </c>
      <c r="BO71" s="1553">
        <f t="shared" ref="BO71:BO81" si="57">SUM(BL71:BN71)</f>
        <v>24</v>
      </c>
      <c r="BP71" s="1568"/>
      <c r="BQ71" s="1568">
        <v>15</v>
      </c>
      <c r="BR71" s="1568"/>
      <c r="BS71" s="1553">
        <f t="shared" ref="BS71:BS81" si="58">SUM(BP71:BR71)</f>
        <v>15</v>
      </c>
      <c r="BT71" s="1568">
        <v>30</v>
      </c>
      <c r="BU71" s="1568"/>
      <c r="BV71" s="1568">
        <v>17</v>
      </c>
      <c r="BW71" s="1553">
        <f t="shared" ref="BW71:BW81" si="59">SUM(BT71:BV71)</f>
        <v>47</v>
      </c>
      <c r="BX71" s="1568">
        <v>2</v>
      </c>
      <c r="BY71" s="1568"/>
      <c r="BZ71" s="1568">
        <v>12</v>
      </c>
      <c r="CA71" s="1553">
        <f t="shared" ref="CA71:CA81" si="60">SUM(BX71:BZ71)</f>
        <v>14</v>
      </c>
      <c r="CB71" s="1568"/>
      <c r="CC71" s="1568">
        <v>52</v>
      </c>
      <c r="CD71" s="1568"/>
      <c r="CE71" s="1553">
        <f t="shared" si="4"/>
        <v>52</v>
      </c>
      <c r="CF71" s="1568"/>
      <c r="CG71" s="1568">
        <v>40</v>
      </c>
      <c r="CH71" s="1568"/>
      <c r="CI71" s="1553">
        <f t="shared" si="5"/>
        <v>40</v>
      </c>
      <c r="CJ71" s="1568"/>
      <c r="CK71" s="1568">
        <v>26</v>
      </c>
      <c r="CL71" s="1568">
        <v>2</v>
      </c>
      <c r="CM71" s="1553">
        <f t="shared" ref="CM71:CM138" si="61">SUM(CJ71:CL71)</f>
        <v>28</v>
      </c>
      <c r="CN71" s="1568"/>
      <c r="CO71" s="1568">
        <v>60</v>
      </c>
      <c r="CP71" s="1568"/>
      <c r="CQ71" s="1553">
        <f t="shared" ref="CQ71:CQ138" si="62">SUM(CN71:CP71)</f>
        <v>60</v>
      </c>
      <c r="CR71" s="1568"/>
      <c r="CS71" s="1568">
        <v>1</v>
      </c>
      <c r="CT71" s="1568">
        <v>36</v>
      </c>
      <c r="CU71" s="1553">
        <f t="shared" ref="CU71:CU88" si="63">SUM(CR71:CT71)</f>
        <v>37</v>
      </c>
    </row>
    <row r="72" spans="2:99 16367:16367" ht="14.25" customHeight="1" x14ac:dyDescent="0.25">
      <c r="B72" s="5874" t="s">
        <v>310</v>
      </c>
      <c r="C72" s="1593" t="s">
        <v>371</v>
      </c>
      <c r="D72" s="1555"/>
      <c r="E72" s="1556">
        <v>3</v>
      </c>
      <c r="F72" s="1556">
        <v>14</v>
      </c>
      <c r="G72" s="1607">
        <f>SUM(D72:F72)</f>
        <v>17</v>
      </c>
      <c r="H72" s="1555"/>
      <c r="I72" s="1556">
        <v>9</v>
      </c>
      <c r="J72" s="1556">
        <v>3</v>
      </c>
      <c r="K72" s="1607">
        <f>SUM(H72:J72)</f>
        <v>12</v>
      </c>
      <c r="L72" s="1555">
        <v>4</v>
      </c>
      <c r="M72" s="1556">
        <v>13</v>
      </c>
      <c r="N72" s="1556">
        <v>13</v>
      </c>
      <c r="O72" s="1557">
        <f t="shared" ref="O72:O81" si="64">SUM(L72:N72)</f>
        <v>30</v>
      </c>
      <c r="P72" s="1555">
        <v>2</v>
      </c>
      <c r="Q72" s="1556">
        <v>4</v>
      </c>
      <c r="R72" s="1556">
        <v>3</v>
      </c>
      <c r="S72" s="1557">
        <f t="shared" si="49"/>
        <v>9</v>
      </c>
      <c r="T72" s="1555"/>
      <c r="U72" s="1556">
        <v>4</v>
      </c>
      <c r="V72" s="1556">
        <v>3</v>
      </c>
      <c r="W72" s="1557">
        <f>SUM(T72:V72)</f>
        <v>7</v>
      </c>
      <c r="X72" s="1555">
        <v>1</v>
      </c>
      <c r="Y72" s="1556">
        <v>9</v>
      </c>
      <c r="Z72" s="1556">
        <v>3</v>
      </c>
      <c r="AA72" s="1557">
        <f>SUM(X72:Z72)</f>
        <v>13</v>
      </c>
      <c r="AB72" s="1555">
        <v>1</v>
      </c>
      <c r="AC72" s="1556">
        <v>8</v>
      </c>
      <c r="AD72" s="1556">
        <v>2</v>
      </c>
      <c r="AE72" s="1558">
        <f>SUM(AB72:AD72)</f>
        <v>11</v>
      </c>
      <c r="AF72" s="1556"/>
      <c r="AG72" s="1556">
        <v>10</v>
      </c>
      <c r="AH72" s="1556">
        <v>2</v>
      </c>
      <c r="AI72" s="1558">
        <f t="shared" si="50"/>
        <v>12</v>
      </c>
      <c r="AJ72" s="1556">
        <v>1</v>
      </c>
      <c r="AK72" s="1556">
        <v>8</v>
      </c>
      <c r="AL72" s="1556">
        <v>3</v>
      </c>
      <c r="AM72" s="1558">
        <f>SUM(AJ72:AL72)</f>
        <v>12</v>
      </c>
      <c r="AN72" s="1556">
        <v>2</v>
      </c>
      <c r="AO72" s="1556">
        <v>3</v>
      </c>
      <c r="AP72" s="1556">
        <v>1</v>
      </c>
      <c r="AQ72" s="1558">
        <f t="shared" si="51"/>
        <v>6</v>
      </c>
      <c r="AR72" s="1556">
        <v>1</v>
      </c>
      <c r="AS72" s="1556">
        <v>14</v>
      </c>
      <c r="AT72" s="1556">
        <v>1</v>
      </c>
      <c r="AU72" s="1558">
        <f t="shared" si="52"/>
        <v>16</v>
      </c>
      <c r="AV72" s="1556">
        <v>1</v>
      </c>
      <c r="AW72" s="1556">
        <v>1</v>
      </c>
      <c r="AX72" s="1556"/>
      <c r="AY72" s="1558">
        <f t="shared" si="53"/>
        <v>2</v>
      </c>
      <c r="AZ72" s="1556">
        <v>1</v>
      </c>
      <c r="BA72" s="1556">
        <v>11</v>
      </c>
      <c r="BB72" s="1556">
        <v>3</v>
      </c>
      <c r="BC72" s="1558">
        <f t="shared" si="54"/>
        <v>15</v>
      </c>
      <c r="BD72" s="1556">
        <v>1</v>
      </c>
      <c r="BE72" s="1556"/>
      <c r="BF72" s="1556"/>
      <c r="BG72" s="1558">
        <f t="shared" si="55"/>
        <v>1</v>
      </c>
      <c r="BH72" s="1556"/>
      <c r="BI72" s="1556"/>
      <c r="BJ72" s="1556"/>
      <c r="BK72" s="1558">
        <f t="shared" si="56"/>
        <v>0</v>
      </c>
      <c r="BL72" s="1556">
        <v>1</v>
      </c>
      <c r="BM72" s="1556">
        <v>13</v>
      </c>
      <c r="BN72" s="1556">
        <v>1</v>
      </c>
      <c r="BO72" s="1558">
        <f t="shared" si="57"/>
        <v>15</v>
      </c>
      <c r="BP72" s="1556"/>
      <c r="BQ72" s="1556"/>
      <c r="BR72" s="1556"/>
      <c r="BS72" s="1558">
        <f t="shared" si="58"/>
        <v>0</v>
      </c>
      <c r="BT72" s="1556"/>
      <c r="BU72" s="1556">
        <v>10</v>
      </c>
      <c r="BV72" s="1556"/>
      <c r="BW72" s="1558">
        <f t="shared" si="59"/>
        <v>10</v>
      </c>
      <c r="BX72" s="1556">
        <v>2</v>
      </c>
      <c r="BY72" s="1556">
        <v>2</v>
      </c>
      <c r="BZ72" s="1556"/>
      <c r="CA72" s="1558">
        <f t="shared" si="60"/>
        <v>4</v>
      </c>
      <c r="CB72" s="1556"/>
      <c r="CC72" s="1556">
        <v>10</v>
      </c>
      <c r="CD72" s="1556"/>
      <c r="CE72" s="1558">
        <f t="shared" si="4"/>
        <v>10</v>
      </c>
      <c r="CF72" s="1556"/>
      <c r="CG72" s="1556"/>
      <c r="CH72" s="1556"/>
      <c r="CI72" s="1558">
        <f t="shared" si="5"/>
        <v>0</v>
      </c>
      <c r="CJ72" s="1556"/>
      <c r="CK72" s="1556">
        <v>9</v>
      </c>
      <c r="CL72" s="1556">
        <v>2</v>
      </c>
      <c r="CM72" s="1558">
        <f t="shared" si="61"/>
        <v>11</v>
      </c>
      <c r="CN72" s="1556"/>
      <c r="CO72" s="1556"/>
      <c r="CP72" s="1556"/>
      <c r="CQ72" s="1558">
        <f t="shared" si="62"/>
        <v>0</v>
      </c>
      <c r="CR72" s="1556"/>
      <c r="CS72" s="1556">
        <v>10</v>
      </c>
      <c r="CT72" s="1556">
        <v>1</v>
      </c>
      <c r="CU72" s="1558">
        <f t="shared" si="63"/>
        <v>11</v>
      </c>
    </row>
    <row r="73" spans="2:99 16367:16367" ht="14.25" customHeight="1" x14ac:dyDescent="0.25">
      <c r="B73" s="5875"/>
      <c r="C73" s="1593" t="s">
        <v>372</v>
      </c>
      <c r="D73" s="1555">
        <v>5</v>
      </c>
      <c r="E73" s="1556"/>
      <c r="F73" s="1556">
        <v>1</v>
      </c>
      <c r="G73" s="1607">
        <f>SUM(D73:F73)</f>
        <v>6</v>
      </c>
      <c r="H73" s="1555"/>
      <c r="I73" s="1556"/>
      <c r="J73" s="1556">
        <v>2</v>
      </c>
      <c r="K73" s="1607">
        <f>SUM(H73:J73)</f>
        <v>2</v>
      </c>
      <c r="L73" s="1555"/>
      <c r="M73" s="1556">
        <v>25</v>
      </c>
      <c r="N73" s="1556">
        <v>1</v>
      </c>
      <c r="O73" s="1557">
        <f t="shared" si="64"/>
        <v>26</v>
      </c>
      <c r="P73" s="1555">
        <v>2</v>
      </c>
      <c r="Q73" s="1556"/>
      <c r="R73" s="1556"/>
      <c r="S73" s="1557">
        <f t="shared" si="49"/>
        <v>2</v>
      </c>
      <c r="T73" s="1555">
        <v>4</v>
      </c>
      <c r="U73" s="1556"/>
      <c r="V73" s="1556">
        <v>6</v>
      </c>
      <c r="W73" s="1557">
        <f>SUM(T73:V73)</f>
        <v>10</v>
      </c>
      <c r="X73" s="1555">
        <v>1</v>
      </c>
      <c r="Y73" s="1556">
        <v>5</v>
      </c>
      <c r="Z73" s="1556">
        <v>2</v>
      </c>
      <c r="AA73" s="1557">
        <f>SUM(X73:Z73)</f>
        <v>8</v>
      </c>
      <c r="AB73" s="1555"/>
      <c r="AC73" s="1556"/>
      <c r="AD73" s="1556"/>
      <c r="AE73" s="1558"/>
      <c r="AF73" s="1556">
        <v>2</v>
      </c>
      <c r="AG73" s="1556">
        <v>7</v>
      </c>
      <c r="AH73" s="1556">
        <v>2</v>
      </c>
      <c r="AI73" s="1558">
        <f t="shared" si="50"/>
        <v>11</v>
      </c>
      <c r="AJ73" s="1556"/>
      <c r="AK73" s="1556"/>
      <c r="AL73" s="1556"/>
      <c r="AM73" s="1558"/>
      <c r="AN73" s="1556">
        <v>2</v>
      </c>
      <c r="AO73" s="1556">
        <v>4</v>
      </c>
      <c r="AP73" s="1556"/>
      <c r="AQ73" s="1558">
        <f t="shared" si="51"/>
        <v>6</v>
      </c>
      <c r="AR73" s="1556">
        <v>1</v>
      </c>
      <c r="AS73" s="1556">
        <v>1</v>
      </c>
      <c r="AT73" s="1556">
        <v>4</v>
      </c>
      <c r="AU73" s="1558">
        <f t="shared" si="52"/>
        <v>6</v>
      </c>
      <c r="AV73" s="1556">
        <v>2</v>
      </c>
      <c r="AW73" s="1556">
        <v>14</v>
      </c>
      <c r="AX73" s="1556">
        <v>1</v>
      </c>
      <c r="AY73" s="1558">
        <f t="shared" si="53"/>
        <v>17</v>
      </c>
      <c r="AZ73" s="1556">
        <v>3</v>
      </c>
      <c r="BA73" s="1556">
        <v>2</v>
      </c>
      <c r="BB73" s="1556">
        <v>4</v>
      </c>
      <c r="BC73" s="1558">
        <f t="shared" si="54"/>
        <v>9</v>
      </c>
      <c r="BD73" s="1556">
        <v>1</v>
      </c>
      <c r="BE73" s="1556">
        <v>5</v>
      </c>
      <c r="BF73" s="1556">
        <v>2</v>
      </c>
      <c r="BG73" s="1558">
        <f t="shared" si="55"/>
        <v>8</v>
      </c>
      <c r="BH73" s="1556">
        <v>1</v>
      </c>
      <c r="BI73" s="1556">
        <v>1</v>
      </c>
      <c r="BJ73" s="1556">
        <v>1</v>
      </c>
      <c r="BK73" s="1558">
        <f t="shared" si="56"/>
        <v>3</v>
      </c>
      <c r="BL73" s="1556">
        <v>9</v>
      </c>
      <c r="BM73" s="1556">
        <v>4</v>
      </c>
      <c r="BN73" s="1556">
        <v>2</v>
      </c>
      <c r="BO73" s="1558">
        <f t="shared" si="57"/>
        <v>15</v>
      </c>
      <c r="BP73" s="1556">
        <v>1</v>
      </c>
      <c r="BQ73" s="1556"/>
      <c r="BR73" s="1556">
        <v>1</v>
      </c>
      <c r="BS73" s="1558">
        <f t="shared" si="58"/>
        <v>2</v>
      </c>
      <c r="BT73" s="1556"/>
      <c r="BU73" s="1556">
        <v>5</v>
      </c>
      <c r="BV73" s="1556">
        <v>3</v>
      </c>
      <c r="BW73" s="1558">
        <f t="shared" si="59"/>
        <v>8</v>
      </c>
      <c r="BX73" s="1556">
        <v>1</v>
      </c>
      <c r="BY73" s="1556">
        <v>4</v>
      </c>
      <c r="BZ73" s="1556">
        <v>21</v>
      </c>
      <c r="CA73" s="1558">
        <f t="shared" si="60"/>
        <v>26</v>
      </c>
      <c r="CB73" s="1556">
        <v>2</v>
      </c>
      <c r="CC73" s="1556">
        <v>1</v>
      </c>
      <c r="CD73" s="1556"/>
      <c r="CE73" s="1558">
        <f t="shared" si="4"/>
        <v>3</v>
      </c>
      <c r="CF73" s="1556"/>
      <c r="CG73" s="1556">
        <v>14</v>
      </c>
      <c r="CH73" s="1556">
        <v>7</v>
      </c>
      <c r="CI73" s="1558">
        <f t="shared" si="5"/>
        <v>21</v>
      </c>
      <c r="CJ73" s="1556"/>
      <c r="CK73" s="1556"/>
      <c r="CL73" s="1556"/>
      <c r="CM73" s="1558">
        <f t="shared" si="61"/>
        <v>0</v>
      </c>
      <c r="CN73" s="1556"/>
      <c r="CO73" s="1556"/>
      <c r="CP73" s="1556">
        <v>6</v>
      </c>
      <c r="CQ73" s="1558">
        <f t="shared" si="62"/>
        <v>6</v>
      </c>
      <c r="CR73" s="1556">
        <v>9</v>
      </c>
      <c r="CS73" s="1556"/>
      <c r="CT73" s="1556"/>
      <c r="CU73" s="1558">
        <f t="shared" si="63"/>
        <v>9</v>
      </c>
    </row>
    <row r="74" spans="2:99 16367:16367" ht="14.25" customHeight="1" x14ac:dyDescent="0.25">
      <c r="B74" s="5875"/>
      <c r="C74" s="1593" t="s">
        <v>373</v>
      </c>
      <c r="D74" s="1555">
        <v>1</v>
      </c>
      <c r="E74" s="1556">
        <v>1</v>
      </c>
      <c r="F74" s="1556">
        <v>3</v>
      </c>
      <c r="G74" s="1607">
        <f>SUM(D74:F74)</f>
        <v>5</v>
      </c>
      <c r="H74" s="1555">
        <v>2</v>
      </c>
      <c r="I74" s="1556">
        <v>7</v>
      </c>
      <c r="J74" s="1556">
        <v>6</v>
      </c>
      <c r="K74" s="1607">
        <f>SUM(H74:J74)</f>
        <v>15</v>
      </c>
      <c r="L74" s="1555">
        <v>2</v>
      </c>
      <c r="M74" s="1556">
        <v>3</v>
      </c>
      <c r="N74" s="1556">
        <v>2</v>
      </c>
      <c r="O74" s="1557">
        <f t="shared" si="64"/>
        <v>7</v>
      </c>
      <c r="P74" s="1555">
        <v>2</v>
      </c>
      <c r="Q74" s="1556"/>
      <c r="R74" s="1556">
        <v>2</v>
      </c>
      <c r="S74" s="1557">
        <f t="shared" si="49"/>
        <v>4</v>
      </c>
      <c r="T74" s="1555">
        <v>3</v>
      </c>
      <c r="U74" s="1556">
        <v>6</v>
      </c>
      <c r="V74" s="1556">
        <v>1</v>
      </c>
      <c r="W74" s="1557">
        <f>SUM(T74:V74)</f>
        <v>10</v>
      </c>
      <c r="X74" s="1555">
        <v>4</v>
      </c>
      <c r="Y74" s="1556">
        <v>1</v>
      </c>
      <c r="Z74" s="1556">
        <v>1</v>
      </c>
      <c r="AA74" s="1557">
        <f>SUM(X74:Z74)</f>
        <v>6</v>
      </c>
      <c r="AB74" s="1555">
        <v>1</v>
      </c>
      <c r="AC74" s="1556">
        <v>2</v>
      </c>
      <c r="AD74" s="1556">
        <v>1</v>
      </c>
      <c r="AE74" s="1558">
        <f>SUM(AB74:AD74)</f>
        <v>4</v>
      </c>
      <c r="AF74" s="1556">
        <v>1</v>
      </c>
      <c r="AG74" s="1556">
        <v>4</v>
      </c>
      <c r="AH74" s="1556">
        <v>4</v>
      </c>
      <c r="AI74" s="1558">
        <f t="shared" si="50"/>
        <v>9</v>
      </c>
      <c r="AJ74" s="1556">
        <v>9</v>
      </c>
      <c r="AK74" s="1556">
        <v>14</v>
      </c>
      <c r="AL74" s="1556">
        <v>6</v>
      </c>
      <c r="AM74" s="1558">
        <f>SUM(AJ74:AL74)</f>
        <v>29</v>
      </c>
      <c r="AN74" s="1556">
        <v>1</v>
      </c>
      <c r="AO74" s="1556">
        <v>2</v>
      </c>
      <c r="AP74" s="1556">
        <v>4</v>
      </c>
      <c r="AQ74" s="1558">
        <f t="shared" si="51"/>
        <v>7</v>
      </c>
      <c r="AR74" s="1556">
        <v>4</v>
      </c>
      <c r="AS74" s="1556">
        <v>20</v>
      </c>
      <c r="AT74" s="1556">
        <v>6</v>
      </c>
      <c r="AU74" s="1558">
        <f t="shared" si="52"/>
        <v>30</v>
      </c>
      <c r="AV74" s="1556">
        <v>8</v>
      </c>
      <c r="AW74" s="1556">
        <v>10</v>
      </c>
      <c r="AX74" s="1556">
        <v>7</v>
      </c>
      <c r="AY74" s="1558">
        <f t="shared" si="53"/>
        <v>25</v>
      </c>
      <c r="AZ74" s="1556">
        <v>35</v>
      </c>
      <c r="BA74" s="1556">
        <v>14</v>
      </c>
      <c r="BB74" s="1556">
        <v>3</v>
      </c>
      <c r="BC74" s="1558">
        <f t="shared" si="54"/>
        <v>52</v>
      </c>
      <c r="BD74" s="1556">
        <v>4</v>
      </c>
      <c r="BE74" s="1556">
        <v>9</v>
      </c>
      <c r="BF74" s="1556">
        <v>9</v>
      </c>
      <c r="BG74" s="1558">
        <f t="shared" si="55"/>
        <v>22</v>
      </c>
      <c r="BH74" s="1556">
        <v>38</v>
      </c>
      <c r="BI74" s="1556">
        <v>3</v>
      </c>
      <c r="BJ74" s="1556"/>
      <c r="BK74" s="1558">
        <f t="shared" si="56"/>
        <v>41</v>
      </c>
      <c r="BL74" s="1556"/>
      <c r="BM74" s="1556">
        <v>9</v>
      </c>
      <c r="BN74" s="1556">
        <v>35</v>
      </c>
      <c r="BO74" s="1558">
        <f t="shared" si="57"/>
        <v>44</v>
      </c>
      <c r="BP74" s="1556">
        <v>10</v>
      </c>
      <c r="BQ74" s="1556"/>
      <c r="BR74" s="1556">
        <v>2</v>
      </c>
      <c r="BS74" s="1558">
        <f t="shared" si="58"/>
        <v>12</v>
      </c>
      <c r="BT74" s="1556">
        <v>2</v>
      </c>
      <c r="BU74" s="1556">
        <v>9</v>
      </c>
      <c r="BV74" s="1556">
        <v>30</v>
      </c>
      <c r="BW74" s="1558">
        <f t="shared" si="59"/>
        <v>41</v>
      </c>
      <c r="BX74" s="1556">
        <v>9</v>
      </c>
      <c r="BY74" s="1556">
        <v>5</v>
      </c>
      <c r="BZ74" s="1556"/>
      <c r="CA74" s="1558">
        <f t="shared" si="60"/>
        <v>14</v>
      </c>
      <c r="CB74" s="1556">
        <v>1</v>
      </c>
      <c r="CC74" s="1556">
        <v>6</v>
      </c>
      <c r="CD74" s="1556">
        <v>7</v>
      </c>
      <c r="CE74" s="1558">
        <f t="shared" si="4"/>
        <v>14</v>
      </c>
      <c r="CF74" s="1556">
        <v>14</v>
      </c>
      <c r="CG74" s="1556">
        <v>5</v>
      </c>
      <c r="CH74" s="1556"/>
      <c r="CI74" s="1558">
        <f t="shared" si="5"/>
        <v>19</v>
      </c>
      <c r="CJ74" s="1556"/>
      <c r="CK74" s="1556">
        <v>1</v>
      </c>
      <c r="CL74" s="1556">
        <v>21</v>
      </c>
      <c r="CM74" s="1558">
        <f t="shared" si="61"/>
        <v>22</v>
      </c>
      <c r="CN74" s="1556">
        <v>12</v>
      </c>
      <c r="CO74" s="1556">
        <v>3</v>
      </c>
      <c r="CP74" s="1556">
        <v>2</v>
      </c>
      <c r="CQ74" s="1558">
        <f t="shared" si="62"/>
        <v>17</v>
      </c>
      <c r="CR74" s="1556">
        <v>1</v>
      </c>
      <c r="CS74" s="1556">
        <v>4</v>
      </c>
      <c r="CT74" s="1556">
        <v>12</v>
      </c>
      <c r="CU74" s="1558">
        <f t="shared" si="63"/>
        <v>17</v>
      </c>
    </row>
    <row r="75" spans="2:99 16367:16367" ht="14.25" customHeight="1" x14ac:dyDescent="0.25">
      <c r="B75" s="5875"/>
      <c r="C75" s="1593" t="s">
        <v>374</v>
      </c>
      <c r="D75" s="1555"/>
      <c r="E75" s="1556"/>
      <c r="F75" s="1556"/>
      <c r="G75" s="1607"/>
      <c r="H75" s="1555"/>
      <c r="I75" s="1556">
        <v>7</v>
      </c>
      <c r="J75" s="1556">
        <v>1</v>
      </c>
      <c r="K75" s="1607">
        <f>SUM(H75:J75)</f>
        <v>8</v>
      </c>
      <c r="L75" s="1555">
        <v>1</v>
      </c>
      <c r="M75" s="1556">
        <v>1</v>
      </c>
      <c r="N75" s="1556"/>
      <c r="O75" s="1557">
        <f t="shared" si="64"/>
        <v>2</v>
      </c>
      <c r="P75" s="1555"/>
      <c r="Q75" s="1556">
        <v>6</v>
      </c>
      <c r="R75" s="1556">
        <v>2</v>
      </c>
      <c r="S75" s="1557">
        <f t="shared" si="49"/>
        <v>8</v>
      </c>
      <c r="T75" s="1555">
        <v>4</v>
      </c>
      <c r="U75" s="1556">
        <v>4</v>
      </c>
      <c r="V75" s="1556">
        <v>3</v>
      </c>
      <c r="W75" s="1557">
        <f>SUM(T75:V75)</f>
        <v>11</v>
      </c>
      <c r="X75" s="1555">
        <v>2</v>
      </c>
      <c r="Y75" s="1556">
        <v>5</v>
      </c>
      <c r="Z75" s="1556">
        <v>2</v>
      </c>
      <c r="AA75" s="1557">
        <f>SUM(X75:Z75)</f>
        <v>9</v>
      </c>
      <c r="AB75" s="1555">
        <v>6</v>
      </c>
      <c r="AC75" s="1556">
        <v>4</v>
      </c>
      <c r="AD75" s="1556"/>
      <c r="AE75" s="1558">
        <f>SUM(AB75:AD75)</f>
        <v>10</v>
      </c>
      <c r="AF75" s="1556">
        <v>1</v>
      </c>
      <c r="AG75" s="1556">
        <v>7</v>
      </c>
      <c r="AH75" s="1556">
        <v>4</v>
      </c>
      <c r="AI75" s="1558">
        <f t="shared" si="50"/>
        <v>12</v>
      </c>
      <c r="AJ75" s="1556">
        <v>1</v>
      </c>
      <c r="AK75" s="1556">
        <v>11</v>
      </c>
      <c r="AL75" s="1556">
        <v>1</v>
      </c>
      <c r="AM75" s="1558">
        <f>SUM(AJ75:AL75)</f>
        <v>13</v>
      </c>
      <c r="AN75" s="1556"/>
      <c r="AO75" s="1556">
        <v>3</v>
      </c>
      <c r="AP75" s="1556">
        <v>9</v>
      </c>
      <c r="AQ75" s="1558">
        <f t="shared" si="51"/>
        <v>12</v>
      </c>
      <c r="AR75" s="1556">
        <v>5</v>
      </c>
      <c r="AS75" s="1556">
        <v>5</v>
      </c>
      <c r="AT75" s="1556">
        <v>6</v>
      </c>
      <c r="AU75" s="1558">
        <f t="shared" si="52"/>
        <v>16</v>
      </c>
      <c r="AV75" s="1556">
        <v>2</v>
      </c>
      <c r="AW75" s="1556">
        <v>19</v>
      </c>
      <c r="AX75" s="1556">
        <v>3</v>
      </c>
      <c r="AY75" s="1558">
        <f t="shared" si="53"/>
        <v>24</v>
      </c>
      <c r="AZ75" s="1556">
        <v>7</v>
      </c>
      <c r="BA75" s="1556">
        <v>3</v>
      </c>
      <c r="BB75" s="1556">
        <v>2</v>
      </c>
      <c r="BC75" s="1558">
        <f t="shared" si="54"/>
        <v>12</v>
      </c>
      <c r="BD75" s="1556"/>
      <c r="BE75" s="1556">
        <v>13</v>
      </c>
      <c r="BF75" s="1556">
        <v>13</v>
      </c>
      <c r="BG75" s="1558">
        <f t="shared" si="55"/>
        <v>26</v>
      </c>
      <c r="BH75" s="1556">
        <v>5</v>
      </c>
      <c r="BI75" s="1556"/>
      <c r="BJ75" s="1556"/>
      <c r="BK75" s="1558">
        <f t="shared" si="56"/>
        <v>5</v>
      </c>
      <c r="BL75" s="1556">
        <v>1</v>
      </c>
      <c r="BM75" s="1556">
        <v>17</v>
      </c>
      <c r="BN75" s="1556">
        <v>5</v>
      </c>
      <c r="BO75" s="1558">
        <f t="shared" si="57"/>
        <v>23</v>
      </c>
      <c r="BP75" s="1556">
        <v>1</v>
      </c>
      <c r="BQ75" s="1556">
        <v>2</v>
      </c>
      <c r="BR75" s="1556">
        <v>1</v>
      </c>
      <c r="BS75" s="1558">
        <f t="shared" si="58"/>
        <v>4</v>
      </c>
      <c r="BT75" s="1556"/>
      <c r="BU75" s="1556">
        <v>12</v>
      </c>
      <c r="BV75" s="1556">
        <v>4</v>
      </c>
      <c r="BW75" s="1558">
        <f t="shared" si="59"/>
        <v>16</v>
      </c>
      <c r="BX75" s="1556">
        <v>5</v>
      </c>
      <c r="BY75" s="1556"/>
      <c r="BZ75" s="1556"/>
      <c r="CA75" s="1558">
        <f t="shared" si="60"/>
        <v>5</v>
      </c>
      <c r="CB75" s="1556"/>
      <c r="CC75" s="1556">
        <v>12</v>
      </c>
      <c r="CD75" s="1556">
        <v>4</v>
      </c>
      <c r="CE75" s="1558">
        <f t="shared" ref="CE75:CE146" si="65">SUM(CB75:CD75)</f>
        <v>16</v>
      </c>
      <c r="CF75" s="1556">
        <v>2</v>
      </c>
      <c r="CG75" s="1556"/>
      <c r="CH75" s="1556"/>
      <c r="CI75" s="1558">
        <f t="shared" ref="CI75:CI146" si="66">SUM(CF75:CH75)</f>
        <v>2</v>
      </c>
      <c r="CJ75" s="1556"/>
      <c r="CK75" s="1556">
        <v>13</v>
      </c>
      <c r="CL75" s="1556">
        <v>4</v>
      </c>
      <c r="CM75" s="1558">
        <f t="shared" si="61"/>
        <v>17</v>
      </c>
      <c r="CN75" s="1556"/>
      <c r="CO75" s="1556"/>
      <c r="CP75" s="1556"/>
      <c r="CQ75" s="1558">
        <f t="shared" si="62"/>
        <v>0</v>
      </c>
      <c r="CR75" s="1556"/>
      <c r="CS75" s="1556">
        <v>3</v>
      </c>
      <c r="CT75" s="1556">
        <v>7</v>
      </c>
      <c r="CU75" s="1558">
        <f t="shared" si="63"/>
        <v>10</v>
      </c>
    </row>
    <row r="76" spans="2:99 16367:16367" ht="14.25" customHeight="1" x14ac:dyDescent="0.25">
      <c r="B76" s="5875"/>
      <c r="C76" s="1592" t="s">
        <v>328</v>
      </c>
      <c r="D76" s="1555"/>
      <c r="E76" s="1556"/>
      <c r="F76" s="1556"/>
      <c r="G76" s="1607"/>
      <c r="H76" s="1555"/>
      <c r="I76" s="1556"/>
      <c r="J76" s="1556"/>
      <c r="K76" s="1607"/>
      <c r="L76" s="1555"/>
      <c r="M76" s="1556"/>
      <c r="N76" s="1556">
        <v>1</v>
      </c>
      <c r="O76" s="1557">
        <f t="shared" si="64"/>
        <v>1</v>
      </c>
      <c r="P76" s="1555">
        <v>5</v>
      </c>
      <c r="Q76" s="1556"/>
      <c r="R76" s="1556">
        <v>1</v>
      </c>
      <c r="S76" s="1557">
        <f t="shared" si="49"/>
        <v>6</v>
      </c>
      <c r="T76" s="1555"/>
      <c r="U76" s="1556"/>
      <c r="V76" s="1556"/>
      <c r="W76" s="1557"/>
      <c r="X76" s="1555"/>
      <c r="Y76" s="1556"/>
      <c r="Z76" s="1556"/>
      <c r="AA76" s="1557"/>
      <c r="AB76" s="1555"/>
      <c r="AC76" s="1556"/>
      <c r="AD76" s="1556"/>
      <c r="AE76" s="1558"/>
      <c r="AF76" s="1556"/>
      <c r="AG76" s="1556"/>
      <c r="AH76" s="1556">
        <v>1</v>
      </c>
      <c r="AI76" s="1558">
        <f t="shared" si="50"/>
        <v>1</v>
      </c>
      <c r="AJ76" s="1556"/>
      <c r="AK76" s="1556">
        <v>1</v>
      </c>
      <c r="AL76" s="1556">
        <v>1</v>
      </c>
      <c r="AM76" s="1558">
        <f>SUM(AJ76:AL76)</f>
        <v>2</v>
      </c>
      <c r="AN76" s="1556"/>
      <c r="AO76" s="1556"/>
      <c r="AP76" s="1556"/>
      <c r="AQ76" s="1558">
        <f t="shared" si="51"/>
        <v>0</v>
      </c>
      <c r="AR76" s="1556">
        <v>5</v>
      </c>
      <c r="AS76" s="1556"/>
      <c r="AT76" s="1556"/>
      <c r="AU76" s="1558">
        <f t="shared" si="52"/>
        <v>5</v>
      </c>
      <c r="AV76" s="1556">
        <v>7</v>
      </c>
      <c r="AW76" s="1556"/>
      <c r="AX76" s="1556">
        <v>1</v>
      </c>
      <c r="AY76" s="1558">
        <f t="shared" si="53"/>
        <v>8</v>
      </c>
      <c r="AZ76" s="1556">
        <v>4</v>
      </c>
      <c r="BA76" s="1556"/>
      <c r="BB76" s="1556">
        <v>5</v>
      </c>
      <c r="BC76" s="1558">
        <f t="shared" si="54"/>
        <v>9</v>
      </c>
      <c r="BD76" s="1556">
        <v>6</v>
      </c>
      <c r="BE76" s="1556"/>
      <c r="BF76" s="1556"/>
      <c r="BG76" s="1558">
        <f t="shared" si="55"/>
        <v>6</v>
      </c>
      <c r="BH76" s="1556"/>
      <c r="BI76" s="1556">
        <v>5</v>
      </c>
      <c r="BJ76" s="1556">
        <v>11</v>
      </c>
      <c r="BK76" s="1558">
        <f t="shared" si="56"/>
        <v>16</v>
      </c>
      <c r="BL76" s="1556"/>
      <c r="BM76" s="1556">
        <v>1</v>
      </c>
      <c r="BN76" s="1556">
        <v>16</v>
      </c>
      <c r="BO76" s="1558">
        <f t="shared" si="57"/>
        <v>17</v>
      </c>
      <c r="BP76" s="1556"/>
      <c r="BQ76" s="1556"/>
      <c r="BR76" s="1556">
        <v>9</v>
      </c>
      <c r="BS76" s="1558">
        <f t="shared" si="58"/>
        <v>9</v>
      </c>
      <c r="BT76" s="1556"/>
      <c r="BU76" s="1556">
        <v>1</v>
      </c>
      <c r="BV76" s="1556">
        <v>8</v>
      </c>
      <c r="BW76" s="1558">
        <f t="shared" si="59"/>
        <v>9</v>
      </c>
      <c r="BX76" s="1556"/>
      <c r="BY76" s="1556"/>
      <c r="BZ76" s="1556">
        <v>7</v>
      </c>
      <c r="CA76" s="1558">
        <f t="shared" si="60"/>
        <v>7</v>
      </c>
      <c r="CB76" s="1556">
        <v>1</v>
      </c>
      <c r="CC76" s="1556">
        <v>1</v>
      </c>
      <c r="CD76" s="1556">
        <v>1</v>
      </c>
      <c r="CE76" s="1558">
        <f t="shared" si="65"/>
        <v>3</v>
      </c>
      <c r="CF76" s="1556">
        <v>1</v>
      </c>
      <c r="CG76" s="1556"/>
      <c r="CH76" s="1556">
        <v>1</v>
      </c>
      <c r="CI76" s="1558">
        <f t="shared" si="66"/>
        <v>2</v>
      </c>
      <c r="CJ76" s="1556"/>
      <c r="CK76" s="1556"/>
      <c r="CL76" s="1556">
        <v>2</v>
      </c>
      <c r="CM76" s="1558">
        <f t="shared" si="61"/>
        <v>2</v>
      </c>
      <c r="CN76" s="1556"/>
      <c r="CO76" s="1556"/>
      <c r="CP76" s="1556">
        <v>1</v>
      </c>
      <c r="CQ76" s="1558">
        <f t="shared" si="62"/>
        <v>1</v>
      </c>
      <c r="CR76" s="1556"/>
      <c r="CS76" s="1556"/>
      <c r="CT76" s="1556">
        <v>2</v>
      </c>
      <c r="CU76" s="1558">
        <f t="shared" si="63"/>
        <v>2</v>
      </c>
    </row>
    <row r="77" spans="2:99 16367:16367" ht="14.25" customHeight="1" x14ac:dyDescent="0.25">
      <c r="B77" s="5875"/>
      <c r="C77" s="1592" t="s">
        <v>447</v>
      </c>
      <c r="D77" s="1555"/>
      <c r="E77" s="1556"/>
      <c r="F77" s="1556">
        <v>1</v>
      </c>
      <c r="G77" s="1607">
        <f>SUM(D77:F77)</f>
        <v>1</v>
      </c>
      <c r="H77" s="1555">
        <v>1</v>
      </c>
      <c r="I77" s="1556"/>
      <c r="J77" s="1556"/>
      <c r="K77" s="1607">
        <f t="shared" ref="K77:K85" si="67">SUM(H77:J77)</f>
        <v>1</v>
      </c>
      <c r="L77" s="1555"/>
      <c r="M77" s="1556">
        <v>2</v>
      </c>
      <c r="N77" s="1556"/>
      <c r="O77" s="1557">
        <f t="shared" si="64"/>
        <v>2</v>
      </c>
      <c r="P77" s="1555"/>
      <c r="Q77" s="1556"/>
      <c r="R77" s="1556"/>
      <c r="S77" s="1557"/>
      <c r="T77" s="1555"/>
      <c r="U77" s="1556"/>
      <c r="V77" s="1556"/>
      <c r="W77" s="1557"/>
      <c r="X77" s="1555"/>
      <c r="Y77" s="1556"/>
      <c r="Z77" s="1556"/>
      <c r="AA77" s="1557"/>
      <c r="AB77" s="1555"/>
      <c r="AC77" s="1556"/>
      <c r="AD77" s="1556"/>
      <c r="AE77" s="1558"/>
      <c r="AF77" s="1556"/>
      <c r="AG77" s="1556"/>
      <c r="AH77" s="1556"/>
      <c r="AI77" s="1558"/>
      <c r="AJ77" s="1556"/>
      <c r="AK77" s="1556"/>
      <c r="AL77" s="1556"/>
      <c r="AM77" s="1558"/>
      <c r="AN77" s="1556"/>
      <c r="AO77" s="1556"/>
      <c r="AP77" s="1556"/>
      <c r="AQ77" s="1558"/>
      <c r="AR77" s="1556"/>
      <c r="AS77" s="1556"/>
      <c r="AT77" s="1556"/>
      <c r="AU77" s="1558"/>
      <c r="AV77" s="1556">
        <v>1</v>
      </c>
      <c r="AW77" s="1556"/>
      <c r="AX77" s="1556">
        <v>2</v>
      </c>
      <c r="AY77" s="1558">
        <f t="shared" si="53"/>
        <v>3</v>
      </c>
      <c r="AZ77" s="1556"/>
      <c r="BA77" s="1556"/>
      <c r="BB77" s="1556"/>
      <c r="BC77" s="1558">
        <f t="shared" si="54"/>
        <v>0</v>
      </c>
      <c r="BD77" s="1556"/>
      <c r="BE77" s="1556"/>
      <c r="BF77" s="1556"/>
      <c r="BG77" s="1558"/>
      <c r="BH77" s="1556"/>
      <c r="BI77" s="1556"/>
      <c r="BJ77" s="1556"/>
      <c r="BK77" s="1558"/>
      <c r="BL77" s="1556"/>
      <c r="BM77" s="1556"/>
      <c r="BN77" s="1556"/>
      <c r="BO77" s="1558">
        <f t="shared" si="57"/>
        <v>0</v>
      </c>
      <c r="BP77" s="1556"/>
      <c r="BQ77" s="1556"/>
      <c r="BR77" s="1556"/>
      <c r="BS77" s="1558">
        <f t="shared" si="58"/>
        <v>0</v>
      </c>
      <c r="BT77" s="1556"/>
      <c r="BU77" s="1556"/>
      <c r="BV77" s="1556"/>
      <c r="BW77" s="1558">
        <f t="shared" si="59"/>
        <v>0</v>
      </c>
      <c r="BX77" s="1556"/>
      <c r="BY77" s="1556"/>
      <c r="BZ77" s="1556"/>
      <c r="CA77" s="1558">
        <f t="shared" si="60"/>
        <v>0</v>
      </c>
      <c r="CB77" s="1556"/>
      <c r="CC77" s="1556"/>
      <c r="CD77" s="1556"/>
      <c r="CE77" s="1558">
        <f t="shared" si="65"/>
        <v>0</v>
      </c>
      <c r="CF77" s="1556"/>
      <c r="CG77" s="1556"/>
      <c r="CH77" s="1556"/>
      <c r="CI77" s="1558">
        <f t="shared" si="66"/>
        <v>0</v>
      </c>
      <c r="CJ77" s="1556"/>
      <c r="CK77" s="1556"/>
      <c r="CL77" s="1556"/>
      <c r="CM77" s="1558">
        <f t="shared" si="61"/>
        <v>0</v>
      </c>
      <c r="CN77" s="1556"/>
      <c r="CO77" s="1556"/>
      <c r="CP77" s="1556"/>
      <c r="CQ77" s="1558">
        <f t="shared" si="62"/>
        <v>0</v>
      </c>
      <c r="CR77" s="1556"/>
      <c r="CS77" s="1556"/>
      <c r="CT77" s="1556"/>
      <c r="CU77" s="1558">
        <f t="shared" si="63"/>
        <v>0</v>
      </c>
    </row>
    <row r="78" spans="2:99 16367:16367" ht="14.25" customHeight="1" x14ac:dyDescent="0.25">
      <c r="B78" s="5875"/>
      <c r="C78" s="1592" t="s">
        <v>485</v>
      </c>
      <c r="D78" s="1555"/>
      <c r="E78" s="1556">
        <v>2</v>
      </c>
      <c r="F78" s="1556"/>
      <c r="G78" s="1607">
        <f>SUM(D78:F78)</f>
        <v>2</v>
      </c>
      <c r="H78" s="1555">
        <v>1</v>
      </c>
      <c r="I78" s="1556"/>
      <c r="J78" s="1556"/>
      <c r="K78" s="1607">
        <f t="shared" si="67"/>
        <v>1</v>
      </c>
      <c r="L78" s="1555"/>
      <c r="M78" s="1556">
        <v>2</v>
      </c>
      <c r="N78" s="1556"/>
      <c r="O78" s="1557">
        <f t="shared" si="64"/>
        <v>2</v>
      </c>
      <c r="P78" s="1555"/>
      <c r="Q78" s="1556">
        <v>2</v>
      </c>
      <c r="R78" s="1556"/>
      <c r="S78" s="1557">
        <f>SUM(P78:R78)</f>
        <v>2</v>
      </c>
      <c r="T78" s="1555"/>
      <c r="U78" s="1556"/>
      <c r="V78" s="1556"/>
      <c r="W78" s="1557"/>
      <c r="X78" s="1555"/>
      <c r="Y78" s="1556"/>
      <c r="Z78" s="1556">
        <v>1</v>
      </c>
      <c r="AA78" s="1557">
        <f>SUM(X78:Z78)</f>
        <v>1</v>
      </c>
      <c r="AB78" s="1555"/>
      <c r="AC78" s="1556"/>
      <c r="AD78" s="1556"/>
      <c r="AE78" s="1558"/>
      <c r="AF78" s="1556"/>
      <c r="AG78" s="1556"/>
      <c r="AH78" s="1556"/>
      <c r="AI78" s="1558"/>
      <c r="AJ78" s="1556"/>
      <c r="AK78" s="1556"/>
      <c r="AL78" s="1556"/>
      <c r="AM78" s="1558"/>
      <c r="AN78" s="1556"/>
      <c r="AO78" s="1556"/>
      <c r="AP78" s="1556">
        <v>1</v>
      </c>
      <c r="AQ78" s="1558">
        <f>SUM(AN78:AP78)</f>
        <v>1</v>
      </c>
      <c r="AR78" s="1556"/>
      <c r="AS78" s="1556">
        <v>1</v>
      </c>
      <c r="AT78" s="1556"/>
      <c r="AU78" s="1558">
        <f>SUM(AR78:AT78)</f>
        <v>1</v>
      </c>
      <c r="AV78" s="1556"/>
      <c r="AW78" s="1556"/>
      <c r="AX78" s="1556"/>
      <c r="AY78" s="1558">
        <f t="shared" si="53"/>
        <v>0</v>
      </c>
      <c r="AZ78" s="1556"/>
      <c r="BA78" s="1556"/>
      <c r="BB78" s="1556"/>
      <c r="BC78" s="1558">
        <f t="shared" si="54"/>
        <v>0</v>
      </c>
      <c r="BD78" s="1556"/>
      <c r="BE78" s="1556"/>
      <c r="BF78" s="1556"/>
      <c r="BG78" s="1558"/>
      <c r="BH78" s="1556"/>
      <c r="BI78" s="1556"/>
      <c r="BJ78" s="1556"/>
      <c r="BK78" s="1558"/>
      <c r="BL78" s="1556"/>
      <c r="BM78" s="1556"/>
      <c r="BN78" s="1556"/>
      <c r="BO78" s="1558">
        <f t="shared" si="57"/>
        <v>0</v>
      </c>
      <c r="BP78" s="1556"/>
      <c r="BQ78" s="1556"/>
      <c r="BR78" s="1556"/>
      <c r="BS78" s="1558">
        <f t="shared" si="58"/>
        <v>0</v>
      </c>
      <c r="BT78" s="1556"/>
      <c r="BU78" s="1556"/>
      <c r="BV78" s="1556"/>
      <c r="BW78" s="1558">
        <f t="shared" si="59"/>
        <v>0</v>
      </c>
      <c r="BX78" s="1556"/>
      <c r="BY78" s="1556"/>
      <c r="BZ78" s="1556"/>
      <c r="CA78" s="1558">
        <f t="shared" si="60"/>
        <v>0</v>
      </c>
      <c r="CB78" s="1556"/>
      <c r="CC78" s="1556"/>
      <c r="CD78" s="1556"/>
      <c r="CE78" s="1558">
        <f t="shared" si="65"/>
        <v>0</v>
      </c>
      <c r="CF78" s="1556"/>
      <c r="CG78" s="1556"/>
      <c r="CH78" s="1556"/>
      <c r="CI78" s="1558">
        <f t="shared" si="66"/>
        <v>0</v>
      </c>
      <c r="CJ78" s="1556"/>
      <c r="CK78" s="1556"/>
      <c r="CL78" s="1556"/>
      <c r="CM78" s="1558">
        <f t="shared" si="61"/>
        <v>0</v>
      </c>
      <c r="CN78" s="1556"/>
      <c r="CO78" s="1556"/>
      <c r="CP78" s="1556"/>
      <c r="CQ78" s="1558">
        <f t="shared" si="62"/>
        <v>0</v>
      </c>
      <c r="CR78" s="1556"/>
      <c r="CS78" s="1556"/>
      <c r="CT78" s="1556"/>
      <c r="CU78" s="1558">
        <f t="shared" si="63"/>
        <v>0</v>
      </c>
    </row>
    <row r="79" spans="2:99 16367:16367" ht="14.25" customHeight="1" x14ac:dyDescent="0.25">
      <c r="B79" s="5875"/>
      <c r="C79" s="1596" t="s">
        <v>334</v>
      </c>
      <c r="D79" s="1561"/>
      <c r="E79" s="1562"/>
      <c r="F79" s="1562"/>
      <c r="G79" s="1610"/>
      <c r="H79" s="1561"/>
      <c r="I79" s="1562"/>
      <c r="J79" s="1562"/>
      <c r="K79" s="1610"/>
      <c r="L79" s="1561"/>
      <c r="M79" s="1562"/>
      <c r="N79" s="1562"/>
      <c r="O79" s="1563"/>
      <c r="P79" s="1561"/>
      <c r="Q79" s="1562"/>
      <c r="R79" s="1562"/>
      <c r="S79" s="1563"/>
      <c r="T79" s="1561"/>
      <c r="U79" s="1562"/>
      <c r="V79" s="1562"/>
      <c r="W79" s="1563"/>
      <c r="X79" s="1561"/>
      <c r="Y79" s="1562"/>
      <c r="Z79" s="1562"/>
      <c r="AA79" s="1563"/>
      <c r="AB79" s="1561"/>
      <c r="AC79" s="1562"/>
      <c r="AD79" s="1562"/>
      <c r="AE79" s="1564"/>
      <c r="AF79" s="1562"/>
      <c r="AG79" s="1562"/>
      <c r="AH79" s="1562"/>
      <c r="AI79" s="1564"/>
      <c r="AJ79" s="1562"/>
      <c r="AK79" s="1562"/>
      <c r="AL79" s="1562"/>
      <c r="AM79" s="1564"/>
      <c r="AN79" s="1562"/>
      <c r="AO79" s="1562"/>
      <c r="AP79" s="1562"/>
      <c r="AQ79" s="1564"/>
      <c r="AR79" s="1562"/>
      <c r="AS79" s="1562"/>
      <c r="AT79" s="1562"/>
      <c r="AU79" s="1564"/>
      <c r="AV79" s="1562"/>
      <c r="AW79" s="1562"/>
      <c r="AX79" s="1562"/>
      <c r="AY79" s="1564"/>
      <c r="AZ79" s="1562"/>
      <c r="BA79" s="1562"/>
      <c r="BB79" s="1562"/>
      <c r="BC79" s="1564"/>
      <c r="BD79" s="1562"/>
      <c r="BE79" s="1562"/>
      <c r="BF79" s="1562"/>
      <c r="BG79" s="1564"/>
      <c r="BH79" s="1562"/>
      <c r="BI79" s="1562"/>
      <c r="BJ79" s="1562"/>
      <c r="BK79" s="1564"/>
      <c r="BL79" s="1562"/>
      <c r="BM79" s="1562"/>
      <c r="BN79" s="1562"/>
      <c r="BO79" s="1558"/>
      <c r="BP79" s="1562"/>
      <c r="BQ79" s="1562"/>
      <c r="BR79" s="1562"/>
      <c r="BS79" s="1558"/>
      <c r="BT79" s="1562"/>
      <c r="BU79" s="1562"/>
      <c r="BV79" s="1562"/>
      <c r="BW79" s="1558"/>
      <c r="BX79" s="1562"/>
      <c r="BY79" s="1562"/>
      <c r="BZ79" s="1562"/>
      <c r="CA79" s="1558"/>
      <c r="CB79" s="1562"/>
      <c r="CC79" s="1562"/>
      <c r="CD79" s="1562"/>
      <c r="CE79" s="1558"/>
      <c r="CF79" s="1562">
        <v>2</v>
      </c>
      <c r="CG79" s="1562"/>
      <c r="CH79" s="1562">
        <v>1</v>
      </c>
      <c r="CI79" s="1558">
        <f t="shared" si="66"/>
        <v>3</v>
      </c>
      <c r="CJ79" s="1562"/>
      <c r="CK79" s="1562"/>
      <c r="CL79" s="1562">
        <v>1</v>
      </c>
      <c r="CM79" s="1558">
        <f t="shared" si="61"/>
        <v>1</v>
      </c>
      <c r="CN79" s="1562">
        <v>3</v>
      </c>
      <c r="CO79" s="1562"/>
      <c r="CP79" s="1562"/>
      <c r="CQ79" s="1558">
        <f t="shared" si="62"/>
        <v>3</v>
      </c>
      <c r="CR79" s="1562"/>
      <c r="CS79" s="1562"/>
      <c r="CT79" s="1562">
        <v>2</v>
      </c>
      <c r="CU79" s="1558">
        <f t="shared" si="63"/>
        <v>2</v>
      </c>
    </row>
    <row r="80" spans="2:99 16367:16367" ht="14.25" customHeight="1" x14ac:dyDescent="0.25">
      <c r="B80" s="5875"/>
      <c r="C80" s="1596" t="s">
        <v>448</v>
      </c>
      <c r="D80" s="1561"/>
      <c r="E80" s="1562"/>
      <c r="F80" s="1562"/>
      <c r="G80" s="1610"/>
      <c r="H80" s="1561"/>
      <c r="I80" s="1562"/>
      <c r="J80" s="1562"/>
      <c r="K80" s="1610"/>
      <c r="L80" s="1561"/>
      <c r="M80" s="1562"/>
      <c r="N80" s="1562"/>
      <c r="O80" s="1563"/>
      <c r="P80" s="1561"/>
      <c r="Q80" s="1562"/>
      <c r="R80" s="1562"/>
      <c r="S80" s="1563"/>
      <c r="T80" s="1561"/>
      <c r="U80" s="1562"/>
      <c r="V80" s="1562"/>
      <c r="W80" s="1563"/>
      <c r="X80" s="1561"/>
      <c r="Y80" s="1562"/>
      <c r="Z80" s="1562"/>
      <c r="AA80" s="1563"/>
      <c r="AB80" s="1561"/>
      <c r="AC80" s="1562"/>
      <c r="AD80" s="1562"/>
      <c r="AE80" s="1564"/>
      <c r="AF80" s="1562"/>
      <c r="AG80" s="1562"/>
      <c r="AH80" s="1562"/>
      <c r="AI80" s="1564"/>
      <c r="AJ80" s="1562"/>
      <c r="AK80" s="1562"/>
      <c r="AL80" s="1562"/>
      <c r="AM80" s="1564"/>
      <c r="AN80" s="1562"/>
      <c r="AO80" s="1562"/>
      <c r="AP80" s="1562"/>
      <c r="AQ80" s="1564"/>
      <c r="AR80" s="1562"/>
      <c r="AS80" s="1562"/>
      <c r="AT80" s="1562"/>
      <c r="AU80" s="1564"/>
      <c r="AV80" s="1562"/>
      <c r="AW80" s="1562"/>
      <c r="AX80" s="1562"/>
      <c r="AY80" s="1564"/>
      <c r="AZ80" s="1562"/>
      <c r="BA80" s="1562"/>
      <c r="BB80" s="1562"/>
      <c r="BC80" s="1564"/>
      <c r="BD80" s="1562"/>
      <c r="BE80" s="1562"/>
      <c r="BF80" s="1562"/>
      <c r="BG80" s="1564"/>
      <c r="BH80" s="1562"/>
      <c r="BI80" s="1562"/>
      <c r="BJ80" s="1562"/>
      <c r="BK80" s="1564"/>
      <c r="BL80" s="1562"/>
      <c r="BM80" s="1562"/>
      <c r="BN80" s="1562"/>
      <c r="BO80" s="1558"/>
      <c r="BP80" s="1562"/>
      <c r="BQ80" s="1562"/>
      <c r="BR80" s="1562"/>
      <c r="BS80" s="1558"/>
      <c r="BT80" s="1562"/>
      <c r="BU80" s="1562"/>
      <c r="BV80" s="1562"/>
      <c r="BW80" s="1558"/>
      <c r="BX80" s="1562"/>
      <c r="BY80" s="1562"/>
      <c r="BZ80" s="1562"/>
      <c r="CA80" s="1558"/>
      <c r="CB80" s="1562"/>
      <c r="CC80" s="1562"/>
      <c r="CD80" s="1562"/>
      <c r="CE80" s="1558"/>
      <c r="CF80" s="1562"/>
      <c r="CG80" s="1562">
        <v>4</v>
      </c>
      <c r="CH80" s="1562">
        <v>5</v>
      </c>
      <c r="CI80" s="1558">
        <f t="shared" si="66"/>
        <v>9</v>
      </c>
      <c r="CJ80" s="1562"/>
      <c r="CK80" s="1562"/>
      <c r="CL80" s="1562"/>
      <c r="CM80" s="1558">
        <f t="shared" si="61"/>
        <v>0</v>
      </c>
      <c r="CN80" s="1562"/>
      <c r="CO80" s="1562">
        <v>5</v>
      </c>
      <c r="CP80" s="1562">
        <v>4</v>
      </c>
      <c r="CQ80" s="1558">
        <f t="shared" si="62"/>
        <v>9</v>
      </c>
      <c r="CR80" s="1562">
        <v>1</v>
      </c>
      <c r="CS80" s="1562">
        <v>1</v>
      </c>
      <c r="CT80" s="1562">
        <v>1</v>
      </c>
      <c r="CU80" s="1558">
        <f t="shared" si="63"/>
        <v>3</v>
      </c>
    </row>
    <row r="81" spans="2:99" ht="14.25" customHeight="1" x14ac:dyDescent="0.25">
      <c r="B81" s="5876"/>
      <c r="C81" s="1565" t="s">
        <v>446</v>
      </c>
      <c r="D81" s="1561">
        <v>1</v>
      </c>
      <c r="E81" s="1562">
        <v>1</v>
      </c>
      <c r="F81" s="1562"/>
      <c r="G81" s="1563">
        <f>SUM(D81:F81)</f>
        <v>2</v>
      </c>
      <c r="H81" s="1561">
        <v>1</v>
      </c>
      <c r="I81" s="1562">
        <v>1</v>
      </c>
      <c r="J81" s="1562"/>
      <c r="K81" s="1563">
        <f t="shared" si="67"/>
        <v>2</v>
      </c>
      <c r="L81" s="1561">
        <v>1</v>
      </c>
      <c r="M81" s="1562"/>
      <c r="N81" s="1562"/>
      <c r="O81" s="1563">
        <f t="shared" si="64"/>
        <v>1</v>
      </c>
      <c r="P81" s="1561"/>
      <c r="Q81" s="1562"/>
      <c r="R81" s="1562"/>
      <c r="S81" s="1563"/>
      <c r="T81" s="1561"/>
      <c r="U81" s="1562"/>
      <c r="V81" s="1562"/>
      <c r="W81" s="1563"/>
      <c r="X81" s="1561"/>
      <c r="Y81" s="1562"/>
      <c r="Z81" s="1562"/>
      <c r="AA81" s="1563"/>
      <c r="AB81" s="1561"/>
      <c r="AC81" s="1562"/>
      <c r="AD81" s="1562"/>
      <c r="AE81" s="1564"/>
      <c r="AF81" s="1562"/>
      <c r="AG81" s="1562"/>
      <c r="AH81" s="1562"/>
      <c r="AI81" s="1564"/>
      <c r="AJ81" s="1562"/>
      <c r="AK81" s="1562"/>
      <c r="AL81" s="1562"/>
      <c r="AM81" s="1564"/>
      <c r="AN81" s="1562"/>
      <c r="AO81" s="1562"/>
      <c r="AP81" s="1562"/>
      <c r="AQ81" s="1564"/>
      <c r="AR81" s="1562"/>
      <c r="AS81" s="1562">
        <v>1</v>
      </c>
      <c r="AT81" s="1562"/>
      <c r="AU81" s="1564">
        <f>SUM(AR81:AT81)</f>
        <v>1</v>
      </c>
      <c r="AV81" s="1562"/>
      <c r="AW81" s="1562"/>
      <c r="AX81" s="1562"/>
      <c r="AY81" s="1564">
        <f t="shared" si="53"/>
        <v>0</v>
      </c>
      <c r="AZ81" s="1562"/>
      <c r="BA81" s="1562">
        <v>1</v>
      </c>
      <c r="BB81" s="1562"/>
      <c r="BC81" s="1564">
        <f t="shared" si="54"/>
        <v>1</v>
      </c>
      <c r="BD81" s="1562"/>
      <c r="BE81" s="1562"/>
      <c r="BF81" s="1562"/>
      <c r="BG81" s="1564"/>
      <c r="BH81" s="1562"/>
      <c r="BI81" s="1562"/>
      <c r="BJ81" s="1562"/>
      <c r="BK81" s="1564"/>
      <c r="BL81" s="1562"/>
      <c r="BM81" s="1562"/>
      <c r="BN81" s="1562"/>
      <c r="BO81" s="1558">
        <f t="shared" si="57"/>
        <v>0</v>
      </c>
      <c r="BP81" s="1562"/>
      <c r="BQ81" s="1562"/>
      <c r="BR81" s="1562"/>
      <c r="BS81" s="1558">
        <f t="shared" si="58"/>
        <v>0</v>
      </c>
      <c r="BT81" s="1562"/>
      <c r="BU81" s="1562"/>
      <c r="BV81" s="1562"/>
      <c r="BW81" s="1558">
        <f t="shared" si="59"/>
        <v>0</v>
      </c>
      <c r="BX81" s="1562"/>
      <c r="BY81" s="1562"/>
      <c r="BZ81" s="1562"/>
      <c r="CA81" s="1558">
        <f t="shared" si="60"/>
        <v>0</v>
      </c>
      <c r="CB81" s="1562"/>
      <c r="CC81" s="1562"/>
      <c r="CD81" s="1562"/>
      <c r="CE81" s="1558">
        <f t="shared" si="65"/>
        <v>0</v>
      </c>
      <c r="CF81" s="1562"/>
      <c r="CG81" s="1562"/>
      <c r="CH81" s="1562"/>
      <c r="CI81" s="1558">
        <f t="shared" si="66"/>
        <v>0</v>
      </c>
      <c r="CJ81" s="1562"/>
      <c r="CK81" s="1562"/>
      <c r="CL81" s="1562"/>
      <c r="CM81" s="1558">
        <f t="shared" si="61"/>
        <v>0</v>
      </c>
      <c r="CN81" s="1562"/>
      <c r="CO81" s="1562"/>
      <c r="CP81" s="1562"/>
      <c r="CQ81" s="1558">
        <f t="shared" si="62"/>
        <v>0</v>
      </c>
      <c r="CR81" s="1562"/>
      <c r="CS81" s="1562"/>
      <c r="CT81" s="1562"/>
      <c r="CU81" s="1558">
        <f t="shared" si="63"/>
        <v>0</v>
      </c>
    </row>
    <row r="82" spans="2:99" ht="14.25" customHeight="1" x14ac:dyDescent="0.25">
      <c r="B82" s="5882" t="s">
        <v>317</v>
      </c>
      <c r="C82" s="1616" t="s">
        <v>376</v>
      </c>
      <c r="D82" s="1567"/>
      <c r="E82" s="1568"/>
      <c r="F82" s="1568"/>
      <c r="G82" s="1589"/>
      <c r="H82" s="1567"/>
      <c r="I82" s="1568"/>
      <c r="J82" s="1568">
        <v>4</v>
      </c>
      <c r="K82" s="1589">
        <f t="shared" si="67"/>
        <v>4</v>
      </c>
      <c r="L82" s="1567">
        <v>1</v>
      </c>
      <c r="M82" s="1568">
        <v>1</v>
      </c>
      <c r="N82" s="1568">
        <v>3</v>
      </c>
      <c r="O82" s="1569">
        <f>SUM(L82:N82)</f>
        <v>5</v>
      </c>
      <c r="P82" s="1567">
        <v>4</v>
      </c>
      <c r="Q82" s="1568">
        <v>3</v>
      </c>
      <c r="R82" s="1568">
        <v>2</v>
      </c>
      <c r="S82" s="1569">
        <f>SUM(P82:R82)</f>
        <v>9</v>
      </c>
      <c r="T82" s="1567">
        <v>2</v>
      </c>
      <c r="U82" s="1568">
        <v>1</v>
      </c>
      <c r="V82" s="1568">
        <v>2</v>
      </c>
      <c r="W82" s="1569">
        <f>SUM(T82:V82)</f>
        <v>5</v>
      </c>
      <c r="X82" s="1567">
        <v>5</v>
      </c>
      <c r="Y82" s="1568">
        <v>1</v>
      </c>
      <c r="Z82" s="1568">
        <v>4</v>
      </c>
      <c r="AA82" s="1569">
        <f>SUM(X82:Z82)</f>
        <v>10</v>
      </c>
      <c r="AB82" s="1567">
        <v>1</v>
      </c>
      <c r="AC82" s="1568">
        <v>3</v>
      </c>
      <c r="AD82" s="1568">
        <v>4</v>
      </c>
      <c r="AE82" s="1553">
        <f>SUM(AB82:AD82)</f>
        <v>8</v>
      </c>
      <c r="AF82" s="1568">
        <v>3</v>
      </c>
      <c r="AG82" s="1568">
        <v>2</v>
      </c>
      <c r="AH82" s="1568">
        <v>8</v>
      </c>
      <c r="AI82" s="1553">
        <f>SUM(AF82:AH82)</f>
        <v>13</v>
      </c>
      <c r="AJ82" s="1568"/>
      <c r="AK82" s="1568">
        <v>8</v>
      </c>
      <c r="AL82" s="1568">
        <v>3</v>
      </c>
      <c r="AM82" s="1553">
        <f>SUM(AJ82:AL82)</f>
        <v>11</v>
      </c>
      <c r="AN82" s="1568">
        <v>1</v>
      </c>
      <c r="AO82" s="1568">
        <v>1</v>
      </c>
      <c r="AP82" s="1568">
        <v>4</v>
      </c>
      <c r="AQ82" s="1553">
        <f t="shared" ref="AQ82:AQ90" si="68">SUM(AN82:AP82)</f>
        <v>6</v>
      </c>
      <c r="AR82" s="1568">
        <v>6</v>
      </c>
      <c r="AS82" s="1568">
        <v>3</v>
      </c>
      <c r="AT82" s="1568">
        <v>8</v>
      </c>
      <c r="AU82" s="1553">
        <f t="shared" ref="AU82:AU90" si="69">SUM(AR82:AT82)</f>
        <v>17</v>
      </c>
      <c r="AV82" s="1568">
        <v>5</v>
      </c>
      <c r="AW82" s="1568">
        <v>6</v>
      </c>
      <c r="AX82" s="1568">
        <v>3</v>
      </c>
      <c r="AY82" s="1553">
        <f t="shared" si="53"/>
        <v>14</v>
      </c>
      <c r="AZ82" s="1568">
        <v>9</v>
      </c>
      <c r="BA82" s="1568">
        <v>3</v>
      </c>
      <c r="BB82" s="1568"/>
      <c r="BC82" s="1553">
        <f t="shared" si="54"/>
        <v>12</v>
      </c>
      <c r="BD82" s="1568">
        <v>7</v>
      </c>
      <c r="BE82" s="1568">
        <v>3</v>
      </c>
      <c r="BF82" s="1568">
        <v>3</v>
      </c>
      <c r="BG82" s="1553">
        <f>SUM(BD82:BF82)</f>
        <v>13</v>
      </c>
      <c r="BH82" s="1568">
        <v>4</v>
      </c>
      <c r="BI82" s="1568"/>
      <c r="BJ82" s="1568">
        <v>5</v>
      </c>
      <c r="BK82" s="1553">
        <f>SUM(BH82:BJ82)</f>
        <v>9</v>
      </c>
      <c r="BL82" s="1568">
        <v>9</v>
      </c>
      <c r="BM82" s="1568">
        <v>1</v>
      </c>
      <c r="BN82" s="1568">
        <v>2</v>
      </c>
      <c r="BO82" s="1553">
        <f>SUM(BL82:BN82)</f>
        <v>12</v>
      </c>
      <c r="BP82" s="1568">
        <v>6</v>
      </c>
      <c r="BQ82" s="1568">
        <v>1</v>
      </c>
      <c r="BR82" s="1568">
        <v>2</v>
      </c>
      <c r="BS82" s="1553">
        <f>SUM(BP82:BR82)</f>
        <v>9</v>
      </c>
      <c r="BT82" s="1568">
        <v>7</v>
      </c>
      <c r="BU82" s="1568">
        <v>1</v>
      </c>
      <c r="BV82" s="1568">
        <v>4</v>
      </c>
      <c r="BW82" s="1553">
        <f>SUM(BT82:BV82)</f>
        <v>12</v>
      </c>
      <c r="BX82" s="1568">
        <v>5</v>
      </c>
      <c r="BY82" s="1568">
        <v>1</v>
      </c>
      <c r="BZ82" s="1568"/>
      <c r="CA82" s="1553">
        <f>SUM(BX82:BZ82)</f>
        <v>6</v>
      </c>
      <c r="CB82" s="1568">
        <v>4</v>
      </c>
      <c r="CC82" s="1568">
        <v>1</v>
      </c>
      <c r="CD82" s="1568">
        <v>3</v>
      </c>
      <c r="CE82" s="1553">
        <f t="shared" si="65"/>
        <v>8</v>
      </c>
      <c r="CF82" s="1568">
        <v>9</v>
      </c>
      <c r="CG82" s="1568">
        <v>4</v>
      </c>
      <c r="CH82" s="1568"/>
      <c r="CI82" s="1553">
        <f t="shared" si="66"/>
        <v>13</v>
      </c>
      <c r="CJ82" s="1568"/>
      <c r="CK82" s="1568"/>
      <c r="CL82" s="1568">
        <v>3</v>
      </c>
      <c r="CM82" s="1553">
        <f t="shared" si="61"/>
        <v>3</v>
      </c>
      <c r="CN82" s="1568">
        <v>3</v>
      </c>
      <c r="CO82" s="1568">
        <v>2</v>
      </c>
      <c r="CP82" s="1568">
        <v>2</v>
      </c>
      <c r="CQ82" s="1553">
        <f t="shared" si="62"/>
        <v>7</v>
      </c>
      <c r="CR82" s="1568"/>
      <c r="CS82" s="1568"/>
      <c r="CT82" s="1568">
        <v>2</v>
      </c>
      <c r="CU82" s="1553">
        <f t="shared" si="63"/>
        <v>2</v>
      </c>
    </row>
    <row r="83" spans="2:99" ht="14.25" customHeight="1" x14ac:dyDescent="0.25">
      <c r="B83" s="5878"/>
      <c r="C83" s="1616" t="s">
        <v>377</v>
      </c>
      <c r="D83" s="1567"/>
      <c r="E83" s="1568"/>
      <c r="F83" s="1568"/>
      <c r="G83" s="1589"/>
      <c r="H83" s="1567"/>
      <c r="I83" s="1568"/>
      <c r="J83" s="1568">
        <v>1</v>
      </c>
      <c r="K83" s="1589">
        <f t="shared" si="67"/>
        <v>1</v>
      </c>
      <c r="L83" s="1567"/>
      <c r="M83" s="1568">
        <v>1</v>
      </c>
      <c r="N83" s="1568"/>
      <c r="O83" s="1569">
        <f>SUM(L83:N83)</f>
        <v>1</v>
      </c>
      <c r="P83" s="1567">
        <v>1</v>
      </c>
      <c r="Q83" s="1568">
        <v>3</v>
      </c>
      <c r="R83" s="1568">
        <v>2</v>
      </c>
      <c r="S83" s="1569">
        <f>SUM(P83:R83)</f>
        <v>6</v>
      </c>
      <c r="T83" s="1567">
        <v>1</v>
      </c>
      <c r="U83" s="1568">
        <v>2</v>
      </c>
      <c r="V83" s="1568">
        <v>12</v>
      </c>
      <c r="W83" s="1569">
        <f>SUM(T83:V83)</f>
        <v>15</v>
      </c>
      <c r="X83" s="1567">
        <v>2</v>
      </c>
      <c r="Y83" s="1568">
        <v>9</v>
      </c>
      <c r="Z83" s="1568">
        <v>4</v>
      </c>
      <c r="AA83" s="1569">
        <f>SUM(X83:Z83)</f>
        <v>15</v>
      </c>
      <c r="AB83" s="1567"/>
      <c r="AC83" s="1568">
        <v>5</v>
      </c>
      <c r="AD83" s="1568">
        <v>2</v>
      </c>
      <c r="AE83" s="1553">
        <f>SUM(AB83:AD83)</f>
        <v>7</v>
      </c>
      <c r="AF83" s="1568">
        <v>1</v>
      </c>
      <c r="AG83" s="1568">
        <v>6</v>
      </c>
      <c r="AH83" s="1568">
        <v>16</v>
      </c>
      <c r="AI83" s="1553">
        <f>SUM(AF83:AH83)</f>
        <v>23</v>
      </c>
      <c r="AJ83" s="1568">
        <v>7</v>
      </c>
      <c r="AK83" s="1568">
        <v>16</v>
      </c>
      <c r="AL83" s="1568">
        <v>8</v>
      </c>
      <c r="AM83" s="1553">
        <f>SUM(AJ83:AL83)</f>
        <v>31</v>
      </c>
      <c r="AN83" s="1568">
        <v>4</v>
      </c>
      <c r="AO83" s="1568">
        <v>4</v>
      </c>
      <c r="AP83" s="1568">
        <v>2</v>
      </c>
      <c r="AQ83" s="1553">
        <f t="shared" si="68"/>
        <v>10</v>
      </c>
      <c r="AR83" s="1568">
        <v>3</v>
      </c>
      <c r="AS83" s="1568">
        <v>5</v>
      </c>
      <c r="AT83" s="1568">
        <v>4</v>
      </c>
      <c r="AU83" s="1553">
        <f t="shared" si="69"/>
        <v>12</v>
      </c>
      <c r="AV83" s="1568"/>
      <c r="AW83" s="1568">
        <v>7</v>
      </c>
      <c r="AX83" s="1568">
        <v>1</v>
      </c>
      <c r="AY83" s="1553">
        <f t="shared" si="53"/>
        <v>8</v>
      </c>
      <c r="AZ83" s="1568">
        <v>11</v>
      </c>
      <c r="BA83" s="1568">
        <v>2</v>
      </c>
      <c r="BB83" s="1568">
        <v>2</v>
      </c>
      <c r="BC83" s="1553">
        <f t="shared" si="54"/>
        <v>15</v>
      </c>
      <c r="BD83" s="1568">
        <v>2</v>
      </c>
      <c r="BE83" s="1568">
        <v>1</v>
      </c>
      <c r="BF83" s="1568">
        <v>1</v>
      </c>
      <c r="BG83" s="1553">
        <f>SUM(BD83:BF83)</f>
        <v>4</v>
      </c>
      <c r="BH83" s="1568">
        <v>4</v>
      </c>
      <c r="BI83" s="1568">
        <v>5</v>
      </c>
      <c r="BJ83" s="1568">
        <v>2</v>
      </c>
      <c r="BK83" s="1553">
        <f>SUM(BH83:BJ83)</f>
        <v>11</v>
      </c>
      <c r="BL83" s="1568">
        <v>8</v>
      </c>
      <c r="BM83" s="1568">
        <v>10</v>
      </c>
      <c r="BN83" s="1568">
        <v>8</v>
      </c>
      <c r="BO83" s="1553">
        <f>SUM(BL83:BN83)</f>
        <v>26</v>
      </c>
      <c r="BP83" s="1568">
        <v>4</v>
      </c>
      <c r="BQ83" s="1568">
        <v>4</v>
      </c>
      <c r="BR83" s="1568">
        <v>1</v>
      </c>
      <c r="BS83" s="1553">
        <f>SUM(BP83:BR83)</f>
        <v>9</v>
      </c>
      <c r="BT83" s="1568">
        <v>1</v>
      </c>
      <c r="BU83" s="1568">
        <v>11</v>
      </c>
      <c r="BV83" s="1568">
        <v>1</v>
      </c>
      <c r="BW83" s="1553">
        <f>SUM(BT83:BV83)</f>
        <v>13</v>
      </c>
      <c r="BX83" s="1568">
        <v>2</v>
      </c>
      <c r="BY83" s="1568">
        <v>2</v>
      </c>
      <c r="BZ83" s="1568">
        <v>1</v>
      </c>
      <c r="CA83" s="1553">
        <f>SUM(BX83:BZ83)</f>
        <v>5</v>
      </c>
      <c r="CB83" s="1568">
        <v>2</v>
      </c>
      <c r="CC83" s="1568">
        <v>17</v>
      </c>
      <c r="CD83" s="1568">
        <v>6</v>
      </c>
      <c r="CE83" s="1553">
        <f t="shared" si="65"/>
        <v>25</v>
      </c>
      <c r="CF83" s="1568">
        <v>1</v>
      </c>
      <c r="CG83" s="1568"/>
      <c r="CH83" s="1568">
        <v>1</v>
      </c>
      <c r="CI83" s="1553">
        <f t="shared" si="66"/>
        <v>2</v>
      </c>
      <c r="CJ83" s="1568"/>
      <c r="CK83" s="1568">
        <v>1</v>
      </c>
      <c r="CL83" s="1568">
        <v>7</v>
      </c>
      <c r="CM83" s="1553">
        <f t="shared" si="61"/>
        <v>8</v>
      </c>
      <c r="CN83" s="1568">
        <v>1</v>
      </c>
      <c r="CO83" s="1568"/>
      <c r="CP83" s="1568">
        <v>1</v>
      </c>
      <c r="CQ83" s="1553">
        <f t="shared" si="62"/>
        <v>2</v>
      </c>
      <c r="CR83" s="1568"/>
      <c r="CS83" s="1568"/>
      <c r="CT83" s="1568">
        <v>4</v>
      </c>
      <c r="CU83" s="1553">
        <f t="shared" si="63"/>
        <v>4</v>
      </c>
    </row>
    <row r="84" spans="2:99" ht="14.25" customHeight="1" x14ac:dyDescent="0.25">
      <c r="B84" s="5878"/>
      <c r="C84" s="1616" t="s">
        <v>448</v>
      </c>
      <c r="D84" s="1567"/>
      <c r="E84" s="1568"/>
      <c r="F84" s="1568"/>
      <c r="G84" s="1589"/>
      <c r="H84" s="1567"/>
      <c r="I84" s="1568"/>
      <c r="J84" s="1568"/>
      <c r="K84" s="1589"/>
      <c r="L84" s="1567"/>
      <c r="M84" s="1568"/>
      <c r="N84" s="1568"/>
      <c r="O84" s="1569"/>
      <c r="P84" s="1567"/>
      <c r="Q84" s="1568"/>
      <c r="R84" s="1568"/>
      <c r="S84" s="1569"/>
      <c r="T84" s="1567"/>
      <c r="U84" s="1568"/>
      <c r="V84" s="1568"/>
      <c r="W84" s="1569"/>
      <c r="X84" s="1567"/>
      <c r="Y84" s="1568"/>
      <c r="Z84" s="1568"/>
      <c r="AA84" s="1569"/>
      <c r="AB84" s="1567"/>
      <c r="AC84" s="1568"/>
      <c r="AD84" s="1568"/>
      <c r="AE84" s="1553"/>
      <c r="AF84" s="1568"/>
      <c r="AG84" s="1568"/>
      <c r="AH84" s="1568"/>
      <c r="AI84" s="1553"/>
      <c r="AJ84" s="1568"/>
      <c r="AK84" s="1568"/>
      <c r="AL84" s="1568"/>
      <c r="AM84" s="1553"/>
      <c r="AN84" s="1568"/>
      <c r="AO84" s="1568"/>
      <c r="AP84" s="1568"/>
      <c r="AQ84" s="1553"/>
      <c r="AR84" s="1568"/>
      <c r="AS84" s="1568"/>
      <c r="AT84" s="1568"/>
      <c r="AU84" s="1553"/>
      <c r="AV84" s="1568"/>
      <c r="AW84" s="1568"/>
      <c r="AX84" s="1568"/>
      <c r="AY84" s="1553"/>
      <c r="AZ84" s="1568"/>
      <c r="BA84" s="1568"/>
      <c r="BB84" s="1568"/>
      <c r="BC84" s="1553"/>
      <c r="BD84" s="1568"/>
      <c r="BE84" s="1568"/>
      <c r="BF84" s="1568"/>
      <c r="BG84" s="1553"/>
      <c r="BH84" s="1568"/>
      <c r="BI84" s="1568"/>
      <c r="BJ84" s="1568"/>
      <c r="BK84" s="1553"/>
      <c r="BL84" s="1568"/>
      <c r="BM84" s="1568"/>
      <c r="BN84" s="1568"/>
      <c r="BO84" s="1553"/>
      <c r="BP84" s="1568"/>
      <c r="BQ84" s="1568"/>
      <c r="BR84" s="1568"/>
      <c r="BS84" s="1553"/>
      <c r="BT84" s="1568"/>
      <c r="BU84" s="1568"/>
      <c r="BV84" s="1568"/>
      <c r="BW84" s="1553"/>
      <c r="BX84" s="1568"/>
      <c r="BY84" s="1568"/>
      <c r="BZ84" s="1568"/>
      <c r="CA84" s="1553"/>
      <c r="CB84" s="1568"/>
      <c r="CC84" s="1568"/>
      <c r="CD84" s="1568"/>
      <c r="CE84" s="1553"/>
      <c r="CF84" s="1568"/>
      <c r="CG84" s="1568"/>
      <c r="CH84" s="1568"/>
      <c r="CI84" s="1553"/>
      <c r="CJ84" s="1568"/>
      <c r="CK84" s="1568"/>
      <c r="CL84" s="1568"/>
      <c r="CM84" s="1553"/>
      <c r="CN84" s="1568"/>
      <c r="CO84" s="1568"/>
      <c r="CP84" s="1568">
        <v>1</v>
      </c>
      <c r="CQ84" s="1553">
        <f t="shared" si="62"/>
        <v>1</v>
      </c>
      <c r="CR84" s="1568">
        <v>2</v>
      </c>
      <c r="CS84" s="1568"/>
      <c r="CT84" s="1568"/>
      <c r="CU84" s="1553">
        <f t="shared" si="63"/>
        <v>2</v>
      </c>
    </row>
    <row r="85" spans="2:99" ht="14.25" customHeight="1" x14ac:dyDescent="0.25">
      <c r="B85" s="5878"/>
      <c r="C85" s="1616" t="s">
        <v>378</v>
      </c>
      <c r="D85" s="1567"/>
      <c r="E85" s="1568"/>
      <c r="F85" s="1568"/>
      <c r="G85" s="1589"/>
      <c r="H85" s="1567"/>
      <c r="I85" s="1568"/>
      <c r="J85" s="1568">
        <v>1</v>
      </c>
      <c r="K85" s="1589">
        <f t="shared" si="67"/>
        <v>1</v>
      </c>
      <c r="L85" s="1567"/>
      <c r="M85" s="1568">
        <v>4</v>
      </c>
      <c r="N85" s="1568">
        <v>2</v>
      </c>
      <c r="O85" s="1569">
        <f>SUM(L85:N85)</f>
        <v>6</v>
      </c>
      <c r="P85" s="1567">
        <v>2</v>
      </c>
      <c r="Q85" s="1568">
        <v>2</v>
      </c>
      <c r="R85" s="1568">
        <v>1</v>
      </c>
      <c r="S85" s="1569">
        <f>SUM(P85:R85)</f>
        <v>5</v>
      </c>
      <c r="T85" s="1567"/>
      <c r="U85" s="1568">
        <v>2</v>
      </c>
      <c r="V85" s="1568">
        <v>2</v>
      </c>
      <c r="W85" s="1569">
        <f>SUM(T85:V85)</f>
        <v>4</v>
      </c>
      <c r="X85" s="1567">
        <v>3</v>
      </c>
      <c r="Y85" s="1568">
        <v>4</v>
      </c>
      <c r="Z85" s="1568">
        <v>4</v>
      </c>
      <c r="AA85" s="1569">
        <f>SUM(X85:Z85)</f>
        <v>11</v>
      </c>
      <c r="AB85" s="1567">
        <v>1</v>
      </c>
      <c r="AC85" s="1568"/>
      <c r="AD85" s="1568"/>
      <c r="AE85" s="1553">
        <f>SUM(AB85:AD85)</f>
        <v>1</v>
      </c>
      <c r="AF85" s="1568"/>
      <c r="AG85" s="1568">
        <v>1</v>
      </c>
      <c r="AH85" s="1568">
        <v>5</v>
      </c>
      <c r="AI85" s="1553">
        <f>SUM(AF85:AH85)</f>
        <v>6</v>
      </c>
      <c r="AJ85" s="1568">
        <v>3</v>
      </c>
      <c r="AK85" s="1568">
        <v>1</v>
      </c>
      <c r="AL85" s="1568">
        <v>1</v>
      </c>
      <c r="AM85" s="1553">
        <f>SUM(AJ85:AL85)</f>
        <v>5</v>
      </c>
      <c r="AN85" s="1568">
        <v>6</v>
      </c>
      <c r="AO85" s="1568">
        <v>5</v>
      </c>
      <c r="AP85" s="1568">
        <v>2</v>
      </c>
      <c r="AQ85" s="1553">
        <f t="shared" si="68"/>
        <v>13</v>
      </c>
      <c r="AR85" s="1568">
        <v>2</v>
      </c>
      <c r="AS85" s="1568">
        <v>4</v>
      </c>
      <c r="AT85" s="1568">
        <v>3</v>
      </c>
      <c r="AU85" s="1553">
        <f t="shared" si="69"/>
        <v>9</v>
      </c>
      <c r="AV85" s="1568">
        <v>6</v>
      </c>
      <c r="AW85" s="1568">
        <v>3</v>
      </c>
      <c r="AX85" s="1568">
        <v>3</v>
      </c>
      <c r="AY85" s="1553">
        <f t="shared" si="53"/>
        <v>12</v>
      </c>
      <c r="AZ85" s="1568">
        <v>3</v>
      </c>
      <c r="BA85" s="1568">
        <v>8</v>
      </c>
      <c r="BB85" s="1568">
        <v>6</v>
      </c>
      <c r="BC85" s="1553">
        <f t="shared" si="54"/>
        <v>17</v>
      </c>
      <c r="BD85" s="1568">
        <v>6</v>
      </c>
      <c r="BE85" s="1568">
        <v>6</v>
      </c>
      <c r="BF85" s="1568">
        <v>5</v>
      </c>
      <c r="BG85" s="1553">
        <f>SUM(BD85:BF85)</f>
        <v>17</v>
      </c>
      <c r="BH85" s="1568">
        <v>10</v>
      </c>
      <c r="BI85" s="1568">
        <v>9</v>
      </c>
      <c r="BJ85" s="1568">
        <v>9</v>
      </c>
      <c r="BK85" s="1553">
        <f>SUM(BH85:BJ85)</f>
        <v>28</v>
      </c>
      <c r="BL85" s="1568">
        <v>3</v>
      </c>
      <c r="BM85" s="1568">
        <v>8</v>
      </c>
      <c r="BN85" s="1568">
        <v>14</v>
      </c>
      <c r="BO85" s="1553">
        <f>SUM(BL85:BN85)</f>
        <v>25</v>
      </c>
      <c r="BP85" s="1568">
        <v>5</v>
      </c>
      <c r="BQ85" s="1568">
        <v>9</v>
      </c>
      <c r="BR85" s="1568">
        <v>3</v>
      </c>
      <c r="BS85" s="1553">
        <f>SUM(BP85:BR85)</f>
        <v>17</v>
      </c>
      <c r="BT85" s="1568">
        <v>4</v>
      </c>
      <c r="BU85" s="1568">
        <v>5</v>
      </c>
      <c r="BV85" s="1568">
        <v>14</v>
      </c>
      <c r="BW85" s="1553">
        <f>SUM(BT85:BV85)</f>
        <v>23</v>
      </c>
      <c r="BX85" s="1568">
        <v>6</v>
      </c>
      <c r="BY85" s="1568">
        <v>5</v>
      </c>
      <c r="BZ85" s="1568">
        <v>4</v>
      </c>
      <c r="CA85" s="1553">
        <f>SUM(BX85:BZ85)</f>
        <v>15</v>
      </c>
      <c r="CB85" s="1568">
        <v>6</v>
      </c>
      <c r="CC85" s="1568">
        <v>3</v>
      </c>
      <c r="CD85" s="1568">
        <v>5</v>
      </c>
      <c r="CE85" s="1553">
        <f t="shared" si="65"/>
        <v>14</v>
      </c>
      <c r="CF85" s="1568">
        <v>10</v>
      </c>
      <c r="CG85" s="1568">
        <v>2</v>
      </c>
      <c r="CH85" s="1568">
        <v>14</v>
      </c>
      <c r="CI85" s="1553">
        <f t="shared" si="66"/>
        <v>26</v>
      </c>
      <c r="CJ85" s="1568">
        <v>5</v>
      </c>
      <c r="CK85" s="1568"/>
      <c r="CL85" s="1568">
        <v>8</v>
      </c>
      <c r="CM85" s="1553">
        <f t="shared" si="61"/>
        <v>13</v>
      </c>
      <c r="CN85" s="1568">
        <v>8</v>
      </c>
      <c r="CO85" s="1568">
        <v>3</v>
      </c>
      <c r="CP85" s="1568">
        <v>2</v>
      </c>
      <c r="CQ85" s="1553">
        <f t="shared" si="62"/>
        <v>13</v>
      </c>
      <c r="CR85" s="1568">
        <v>6</v>
      </c>
      <c r="CS85" s="1568">
        <v>3</v>
      </c>
      <c r="CT85" s="1568">
        <v>5</v>
      </c>
      <c r="CU85" s="1553">
        <f t="shared" si="63"/>
        <v>14</v>
      </c>
    </row>
    <row r="86" spans="2:99" ht="14.25" customHeight="1" x14ac:dyDescent="0.25">
      <c r="B86" s="5878"/>
      <c r="C86" s="1616" t="s">
        <v>379</v>
      </c>
      <c r="D86" s="1567"/>
      <c r="E86" s="1568"/>
      <c r="F86" s="1568"/>
      <c r="G86" s="1589"/>
      <c r="H86" s="1567"/>
      <c r="I86" s="1568"/>
      <c r="J86" s="1568"/>
      <c r="K86" s="1589"/>
      <c r="L86" s="1567"/>
      <c r="M86" s="1568">
        <v>1</v>
      </c>
      <c r="N86" s="1568">
        <v>2</v>
      </c>
      <c r="O86" s="1569">
        <f>SUM(L86:N86)</f>
        <v>3</v>
      </c>
      <c r="P86" s="1567"/>
      <c r="Q86" s="1568">
        <v>1</v>
      </c>
      <c r="R86" s="1568">
        <v>4</v>
      </c>
      <c r="S86" s="1569">
        <f>SUM(P86:R86)</f>
        <v>5</v>
      </c>
      <c r="T86" s="1567"/>
      <c r="U86" s="1568">
        <v>2</v>
      </c>
      <c r="V86" s="1568">
        <v>5</v>
      </c>
      <c r="W86" s="1569">
        <f>SUM(T86:V86)</f>
        <v>7</v>
      </c>
      <c r="X86" s="1567">
        <v>2</v>
      </c>
      <c r="Y86" s="1568">
        <v>3</v>
      </c>
      <c r="Z86" s="1568">
        <v>2</v>
      </c>
      <c r="AA86" s="1569">
        <f>SUM(X86:Z86)</f>
        <v>7</v>
      </c>
      <c r="AB86" s="1567">
        <v>2</v>
      </c>
      <c r="AC86" s="1568">
        <v>2</v>
      </c>
      <c r="AD86" s="1568">
        <v>4</v>
      </c>
      <c r="AE86" s="1553">
        <f>SUM(AB86:AD86)</f>
        <v>8</v>
      </c>
      <c r="AF86" s="1568">
        <v>1</v>
      </c>
      <c r="AG86" s="1568">
        <v>3</v>
      </c>
      <c r="AH86" s="1568">
        <v>1</v>
      </c>
      <c r="AI86" s="1553">
        <f>SUM(AF86:AH86)</f>
        <v>5</v>
      </c>
      <c r="AJ86" s="1568">
        <v>2</v>
      </c>
      <c r="AK86" s="1568"/>
      <c r="AL86" s="1568">
        <v>3</v>
      </c>
      <c r="AM86" s="1553">
        <f>SUM(AJ86:AL86)</f>
        <v>5</v>
      </c>
      <c r="AN86" s="1568">
        <v>1</v>
      </c>
      <c r="AO86" s="1568">
        <v>6</v>
      </c>
      <c r="AP86" s="1568">
        <v>2</v>
      </c>
      <c r="AQ86" s="1553">
        <f t="shared" si="68"/>
        <v>9</v>
      </c>
      <c r="AR86" s="1568">
        <v>3</v>
      </c>
      <c r="AS86" s="1568">
        <v>2</v>
      </c>
      <c r="AT86" s="1568">
        <v>3</v>
      </c>
      <c r="AU86" s="1553">
        <f t="shared" si="69"/>
        <v>8</v>
      </c>
      <c r="AV86" s="1568">
        <v>1</v>
      </c>
      <c r="AW86" s="1568">
        <v>6</v>
      </c>
      <c r="AX86" s="1568">
        <v>4</v>
      </c>
      <c r="AY86" s="1553">
        <f t="shared" si="53"/>
        <v>11</v>
      </c>
      <c r="AZ86" s="1568">
        <v>4</v>
      </c>
      <c r="BA86" s="1568">
        <v>3</v>
      </c>
      <c r="BB86" s="1568">
        <v>5</v>
      </c>
      <c r="BC86" s="1553">
        <f t="shared" si="54"/>
        <v>12</v>
      </c>
      <c r="BD86" s="1568">
        <v>1</v>
      </c>
      <c r="BE86" s="1568">
        <v>3</v>
      </c>
      <c r="BF86" s="1568">
        <v>10</v>
      </c>
      <c r="BG86" s="1553">
        <f>SUM(BD86:BF86)</f>
        <v>14</v>
      </c>
      <c r="BH86" s="1568">
        <v>1</v>
      </c>
      <c r="BI86" s="1568">
        <v>1</v>
      </c>
      <c r="BJ86" s="1568">
        <v>5</v>
      </c>
      <c r="BK86" s="1553">
        <f>SUM(BH86:BJ86)</f>
        <v>7</v>
      </c>
      <c r="BL86" s="1568">
        <v>1</v>
      </c>
      <c r="BM86" s="1568">
        <v>2</v>
      </c>
      <c r="BN86" s="1568">
        <v>8</v>
      </c>
      <c r="BO86" s="1553">
        <f>SUM(BL86:BN86)</f>
        <v>11</v>
      </c>
      <c r="BP86" s="1568">
        <v>1</v>
      </c>
      <c r="BQ86" s="1568">
        <v>1</v>
      </c>
      <c r="BR86" s="1568"/>
      <c r="BS86" s="1553">
        <f>SUM(BP86:BR86)</f>
        <v>2</v>
      </c>
      <c r="BT86" s="1568"/>
      <c r="BU86" s="1568">
        <v>5</v>
      </c>
      <c r="BV86" s="1568">
        <v>10</v>
      </c>
      <c r="BW86" s="1553">
        <f>SUM(BT86:BV86)</f>
        <v>15</v>
      </c>
      <c r="BX86" s="1568">
        <v>6</v>
      </c>
      <c r="BY86" s="1568">
        <v>1</v>
      </c>
      <c r="BZ86" s="1568"/>
      <c r="CA86" s="1553">
        <f>SUM(BX86:BZ86)</f>
        <v>7</v>
      </c>
      <c r="CB86" s="1568">
        <v>2</v>
      </c>
      <c r="CC86" s="1568">
        <v>6</v>
      </c>
      <c r="CD86" s="1568">
        <v>10</v>
      </c>
      <c r="CE86" s="1553">
        <f t="shared" si="65"/>
        <v>18</v>
      </c>
      <c r="CF86" s="1568">
        <v>4</v>
      </c>
      <c r="CG86" s="1568">
        <v>2</v>
      </c>
      <c r="CH86" s="1568">
        <v>1</v>
      </c>
      <c r="CI86" s="1553">
        <f t="shared" si="66"/>
        <v>7</v>
      </c>
      <c r="CJ86" s="1568"/>
      <c r="CK86" s="1568">
        <v>1</v>
      </c>
      <c r="CL86" s="1568">
        <v>11</v>
      </c>
      <c r="CM86" s="1553">
        <f t="shared" si="61"/>
        <v>12</v>
      </c>
      <c r="CN86" s="1568"/>
      <c r="CO86" s="1568"/>
      <c r="CP86" s="1568"/>
      <c r="CQ86" s="1553">
        <f t="shared" si="62"/>
        <v>0</v>
      </c>
      <c r="CR86" s="1568"/>
      <c r="CS86" s="1568"/>
      <c r="CT86" s="1568">
        <v>16</v>
      </c>
      <c r="CU86" s="1553">
        <f t="shared" si="63"/>
        <v>16</v>
      </c>
    </row>
    <row r="87" spans="2:99" ht="14.25" customHeight="1" x14ac:dyDescent="0.25">
      <c r="B87" s="5878"/>
      <c r="C87" s="1612" t="s">
        <v>335</v>
      </c>
      <c r="D87" s="1567">
        <v>1</v>
      </c>
      <c r="E87" s="1568"/>
      <c r="F87" s="1568"/>
      <c r="G87" s="1589">
        <f>SUM(D87:F87)</f>
        <v>1</v>
      </c>
      <c r="H87" s="1567"/>
      <c r="I87" s="1568"/>
      <c r="J87" s="1568"/>
      <c r="K87" s="1589"/>
      <c r="L87" s="1567"/>
      <c r="M87" s="1568">
        <v>1</v>
      </c>
      <c r="N87" s="1568"/>
      <c r="O87" s="1569">
        <f>SUM(L87:N87)</f>
        <v>1</v>
      </c>
      <c r="P87" s="1567"/>
      <c r="Q87" s="1568"/>
      <c r="R87" s="1568"/>
      <c r="S87" s="1569"/>
      <c r="T87" s="1567"/>
      <c r="U87" s="1568">
        <v>2</v>
      </c>
      <c r="V87" s="1568"/>
      <c r="W87" s="1569">
        <f>SUM(T87:V87)</f>
        <v>2</v>
      </c>
      <c r="X87" s="1567"/>
      <c r="Y87" s="1568"/>
      <c r="Z87" s="1568">
        <v>1</v>
      </c>
      <c r="AA87" s="1569">
        <f t="shared" ref="AA87:AA105" si="70">SUM(X87:Z87)</f>
        <v>1</v>
      </c>
      <c r="AB87" s="1567">
        <v>1</v>
      </c>
      <c r="AC87" s="1568">
        <v>4</v>
      </c>
      <c r="AD87" s="1568"/>
      <c r="AE87" s="1553">
        <f>SUM(AB87:AD87)</f>
        <v>5</v>
      </c>
      <c r="AF87" s="1568">
        <v>1</v>
      </c>
      <c r="AG87" s="1568">
        <v>1</v>
      </c>
      <c r="AH87" s="1568"/>
      <c r="AI87" s="1553">
        <f>SUM(AF87:AH87)</f>
        <v>2</v>
      </c>
      <c r="AJ87" s="1568">
        <v>1</v>
      </c>
      <c r="AK87" s="1568"/>
      <c r="AL87" s="1568"/>
      <c r="AM87" s="1553">
        <f>SUM(AJ87:AL87)</f>
        <v>1</v>
      </c>
      <c r="AN87" s="1568"/>
      <c r="AO87" s="1568"/>
      <c r="AP87" s="1568"/>
      <c r="AQ87" s="1553">
        <f t="shared" si="68"/>
        <v>0</v>
      </c>
      <c r="AR87" s="1568"/>
      <c r="AS87" s="1568">
        <v>3</v>
      </c>
      <c r="AT87" s="1568">
        <v>1</v>
      </c>
      <c r="AU87" s="1553">
        <f t="shared" si="69"/>
        <v>4</v>
      </c>
      <c r="AV87" s="1568"/>
      <c r="AW87" s="1568"/>
      <c r="AX87" s="1568">
        <v>1</v>
      </c>
      <c r="AY87" s="1553">
        <f t="shared" si="53"/>
        <v>1</v>
      </c>
      <c r="AZ87" s="1568">
        <v>3</v>
      </c>
      <c r="BA87" s="1568"/>
      <c r="BB87" s="1568">
        <v>1</v>
      </c>
      <c r="BC87" s="1553">
        <f t="shared" si="54"/>
        <v>4</v>
      </c>
      <c r="BD87" s="1568">
        <v>1</v>
      </c>
      <c r="BE87" s="1568"/>
      <c r="BF87" s="1568"/>
      <c r="BG87" s="1553">
        <f>SUM(BD87:BF87)</f>
        <v>1</v>
      </c>
      <c r="BH87" s="1568"/>
      <c r="BI87" s="1568">
        <v>1</v>
      </c>
      <c r="BJ87" s="1568">
        <v>2</v>
      </c>
      <c r="BK87" s="1553">
        <f>SUM(BH87:BJ87)</f>
        <v>3</v>
      </c>
      <c r="BL87" s="1568">
        <v>1</v>
      </c>
      <c r="BM87" s="1568"/>
      <c r="BN87" s="1568">
        <v>2</v>
      </c>
      <c r="BO87" s="1553">
        <f>SUM(BL87:BN87)</f>
        <v>3</v>
      </c>
      <c r="BP87" s="1568"/>
      <c r="BQ87" s="1568">
        <v>2</v>
      </c>
      <c r="BR87" s="1568">
        <v>1</v>
      </c>
      <c r="BS87" s="1553">
        <f>SUM(BP87:BR87)</f>
        <v>3</v>
      </c>
      <c r="BT87" s="1568"/>
      <c r="BU87" s="1568">
        <v>2</v>
      </c>
      <c r="BV87" s="1568">
        <v>2</v>
      </c>
      <c r="BW87" s="1553">
        <f>SUM(BT87:BV87)</f>
        <v>4</v>
      </c>
      <c r="BX87" s="1568"/>
      <c r="BY87" s="1568">
        <v>8</v>
      </c>
      <c r="BZ87" s="1568">
        <v>4</v>
      </c>
      <c r="CA87" s="1553">
        <f>SUM(BX87:BZ87)</f>
        <v>12</v>
      </c>
      <c r="CB87" s="1568"/>
      <c r="CC87" s="1568">
        <v>3</v>
      </c>
      <c r="CD87" s="1568"/>
      <c r="CE87" s="1553">
        <f t="shared" si="65"/>
        <v>3</v>
      </c>
      <c r="CF87" s="1568">
        <v>2</v>
      </c>
      <c r="CG87" s="1568">
        <v>1</v>
      </c>
      <c r="CH87" s="1568">
        <v>5</v>
      </c>
      <c r="CI87" s="1553">
        <f t="shared" si="66"/>
        <v>8</v>
      </c>
      <c r="CJ87" s="1568">
        <v>1</v>
      </c>
      <c r="CK87" s="1568"/>
      <c r="CL87" s="1568">
        <v>1</v>
      </c>
      <c r="CM87" s="1553">
        <f t="shared" si="61"/>
        <v>2</v>
      </c>
      <c r="CN87" s="1568">
        <v>1</v>
      </c>
      <c r="CO87" s="1568">
        <v>2</v>
      </c>
      <c r="CP87" s="1568"/>
      <c r="CQ87" s="1553">
        <f t="shared" si="62"/>
        <v>3</v>
      </c>
      <c r="CR87" s="1568">
        <v>1</v>
      </c>
      <c r="CS87" s="1568">
        <v>2</v>
      </c>
      <c r="CT87" s="1568">
        <v>1</v>
      </c>
      <c r="CU87" s="1553">
        <f t="shared" si="63"/>
        <v>4</v>
      </c>
    </row>
    <row r="88" spans="2:99" ht="14.25" customHeight="1" x14ac:dyDescent="0.25">
      <c r="B88" s="5879"/>
      <c r="C88" s="4942" t="s">
        <v>334</v>
      </c>
      <c r="D88" s="1598"/>
      <c r="E88" s="23"/>
      <c r="F88" s="23"/>
      <c r="G88" s="4943"/>
      <c r="H88" s="1598"/>
      <c r="I88" s="23"/>
      <c r="J88" s="23"/>
      <c r="K88" s="4943"/>
      <c r="L88" s="1598"/>
      <c r="M88" s="23"/>
      <c r="N88" s="23"/>
      <c r="O88" s="4943"/>
      <c r="P88" s="1598"/>
      <c r="Q88" s="23"/>
      <c r="R88" s="23"/>
      <c r="S88" s="4943"/>
      <c r="T88" s="1598"/>
      <c r="U88" s="23"/>
      <c r="V88" s="23"/>
      <c r="W88" s="4943"/>
      <c r="X88" s="1598"/>
      <c r="Y88" s="23"/>
      <c r="Z88" s="23"/>
      <c r="AA88" s="4943"/>
      <c r="AB88" s="1598"/>
      <c r="AC88" s="23"/>
      <c r="AD88" s="23"/>
      <c r="AE88" s="1600"/>
      <c r="AF88" s="23"/>
      <c r="AG88" s="23"/>
      <c r="AH88" s="23"/>
      <c r="AI88" s="1600"/>
      <c r="AJ88" s="23"/>
      <c r="AK88" s="23"/>
      <c r="AL88" s="23"/>
      <c r="AM88" s="1600"/>
      <c r="AN88" s="23"/>
      <c r="AO88" s="23"/>
      <c r="AP88" s="23"/>
      <c r="AQ88" s="1600"/>
      <c r="AR88" s="23"/>
      <c r="AS88" s="23"/>
      <c r="AT88" s="23"/>
      <c r="AU88" s="1600"/>
      <c r="AV88" s="23"/>
      <c r="AW88" s="23"/>
      <c r="AX88" s="23"/>
      <c r="AY88" s="1600"/>
      <c r="AZ88" s="23"/>
      <c r="BA88" s="23"/>
      <c r="BB88" s="23"/>
      <c r="BC88" s="1600"/>
      <c r="BD88" s="23"/>
      <c r="BE88" s="23"/>
      <c r="BF88" s="23"/>
      <c r="BG88" s="1600"/>
      <c r="BH88" s="23"/>
      <c r="BI88" s="23"/>
      <c r="BJ88" s="23"/>
      <c r="BK88" s="1600"/>
      <c r="BL88" s="23"/>
      <c r="BM88" s="23"/>
      <c r="BN88" s="23"/>
      <c r="BO88" s="1600"/>
      <c r="BP88" s="23"/>
      <c r="BQ88" s="23"/>
      <c r="BR88" s="23"/>
      <c r="BS88" s="1600"/>
      <c r="BT88" s="23"/>
      <c r="BU88" s="23"/>
      <c r="BV88" s="23"/>
      <c r="BW88" s="1600"/>
      <c r="BX88" s="23"/>
      <c r="BY88" s="23"/>
      <c r="BZ88" s="23"/>
      <c r="CA88" s="1600"/>
      <c r="CB88" s="23"/>
      <c r="CC88" s="23"/>
      <c r="CD88" s="23"/>
      <c r="CE88" s="1600"/>
      <c r="CF88" s="23"/>
      <c r="CG88" s="23"/>
      <c r="CH88" s="23"/>
      <c r="CI88" s="1600"/>
      <c r="CJ88" s="23"/>
      <c r="CK88" s="23"/>
      <c r="CL88" s="23"/>
      <c r="CM88" s="1600"/>
      <c r="CN88" s="23"/>
      <c r="CO88" s="23"/>
      <c r="CP88" s="23">
        <v>1</v>
      </c>
      <c r="CQ88" s="1553">
        <f t="shared" si="62"/>
        <v>1</v>
      </c>
      <c r="CR88" s="23">
        <v>1</v>
      </c>
      <c r="CS88" s="23"/>
      <c r="CT88" s="23"/>
      <c r="CU88" s="1553">
        <f t="shared" si="63"/>
        <v>1</v>
      </c>
    </row>
    <row r="89" spans="2:99" ht="14.25" customHeight="1" x14ac:dyDescent="0.25">
      <c r="B89" s="1577"/>
      <c r="C89" s="1578" t="s">
        <v>64</v>
      </c>
      <c r="D89" s="1579">
        <f t="shared" ref="D89:BO89" si="71">SUM(D71:D87)</f>
        <v>8</v>
      </c>
      <c r="E89" s="1580">
        <f t="shared" si="71"/>
        <v>7</v>
      </c>
      <c r="F89" s="1580">
        <f t="shared" si="71"/>
        <v>44</v>
      </c>
      <c r="G89" s="1580">
        <f t="shared" si="71"/>
        <v>59</v>
      </c>
      <c r="H89" s="1579">
        <f t="shared" si="71"/>
        <v>5</v>
      </c>
      <c r="I89" s="1580">
        <f t="shared" si="71"/>
        <v>27</v>
      </c>
      <c r="J89" s="1580">
        <f t="shared" si="71"/>
        <v>18</v>
      </c>
      <c r="K89" s="1580">
        <f t="shared" si="71"/>
        <v>50</v>
      </c>
      <c r="L89" s="1579">
        <f t="shared" si="71"/>
        <v>9</v>
      </c>
      <c r="M89" s="1580">
        <f t="shared" si="71"/>
        <v>55</v>
      </c>
      <c r="N89" s="1580">
        <f t="shared" si="71"/>
        <v>24</v>
      </c>
      <c r="O89" s="1580">
        <f t="shared" si="71"/>
        <v>88</v>
      </c>
      <c r="P89" s="1579">
        <f t="shared" si="71"/>
        <v>18</v>
      </c>
      <c r="Q89" s="1580">
        <f t="shared" si="71"/>
        <v>22</v>
      </c>
      <c r="R89" s="1580">
        <f t="shared" si="71"/>
        <v>17</v>
      </c>
      <c r="S89" s="1580">
        <f t="shared" si="71"/>
        <v>57</v>
      </c>
      <c r="T89" s="1579">
        <f t="shared" si="71"/>
        <v>16</v>
      </c>
      <c r="U89" s="1580">
        <f t="shared" si="71"/>
        <v>26</v>
      </c>
      <c r="V89" s="1580">
        <f t="shared" si="71"/>
        <v>40</v>
      </c>
      <c r="W89" s="1580">
        <f t="shared" si="71"/>
        <v>82</v>
      </c>
      <c r="X89" s="1579">
        <f t="shared" si="71"/>
        <v>22</v>
      </c>
      <c r="Y89" s="1580">
        <f t="shared" si="71"/>
        <v>69</v>
      </c>
      <c r="Z89" s="1580">
        <f t="shared" si="71"/>
        <v>26</v>
      </c>
      <c r="AA89" s="1580">
        <f t="shared" si="71"/>
        <v>117</v>
      </c>
      <c r="AB89" s="1579">
        <f t="shared" si="71"/>
        <v>13</v>
      </c>
      <c r="AC89" s="1580">
        <f t="shared" si="71"/>
        <v>93</v>
      </c>
      <c r="AD89" s="1580">
        <f t="shared" si="71"/>
        <v>18</v>
      </c>
      <c r="AE89" s="1581">
        <f t="shared" si="71"/>
        <v>124</v>
      </c>
      <c r="AF89" s="1580">
        <f t="shared" si="71"/>
        <v>10</v>
      </c>
      <c r="AG89" s="1580">
        <f t="shared" si="71"/>
        <v>53</v>
      </c>
      <c r="AH89" s="1580">
        <f t="shared" si="71"/>
        <v>101</v>
      </c>
      <c r="AI89" s="1581">
        <f t="shared" si="71"/>
        <v>164</v>
      </c>
      <c r="AJ89" s="1580">
        <f t="shared" si="71"/>
        <v>24</v>
      </c>
      <c r="AK89" s="1580">
        <f t="shared" si="71"/>
        <v>59</v>
      </c>
      <c r="AL89" s="1580">
        <f t="shared" si="71"/>
        <v>26</v>
      </c>
      <c r="AM89" s="1581">
        <f t="shared" si="71"/>
        <v>109</v>
      </c>
      <c r="AN89" s="1580">
        <f t="shared" si="71"/>
        <v>80</v>
      </c>
      <c r="AO89" s="1580">
        <f t="shared" si="71"/>
        <v>44</v>
      </c>
      <c r="AP89" s="1580">
        <f t="shared" si="71"/>
        <v>26</v>
      </c>
      <c r="AQ89" s="1581">
        <f t="shared" si="71"/>
        <v>150</v>
      </c>
      <c r="AR89" s="1580">
        <f t="shared" si="71"/>
        <v>30</v>
      </c>
      <c r="AS89" s="1580">
        <f t="shared" si="71"/>
        <v>59</v>
      </c>
      <c r="AT89" s="1580">
        <f t="shared" si="71"/>
        <v>36</v>
      </c>
      <c r="AU89" s="1581">
        <f t="shared" si="71"/>
        <v>125</v>
      </c>
      <c r="AV89" s="1580">
        <f t="shared" si="71"/>
        <v>33</v>
      </c>
      <c r="AW89" s="1580">
        <f t="shared" si="71"/>
        <v>81</v>
      </c>
      <c r="AX89" s="1580">
        <f t="shared" si="71"/>
        <v>26</v>
      </c>
      <c r="AY89" s="1581">
        <f t="shared" si="71"/>
        <v>140</v>
      </c>
      <c r="AZ89" s="1580">
        <f t="shared" si="71"/>
        <v>141</v>
      </c>
      <c r="BA89" s="1580">
        <f t="shared" si="71"/>
        <v>48</v>
      </c>
      <c r="BB89" s="1580">
        <f t="shared" si="71"/>
        <v>77</v>
      </c>
      <c r="BC89" s="1581">
        <f t="shared" si="71"/>
        <v>266</v>
      </c>
      <c r="BD89" s="1580">
        <f t="shared" si="71"/>
        <v>33</v>
      </c>
      <c r="BE89" s="1580">
        <f t="shared" si="71"/>
        <v>84</v>
      </c>
      <c r="BF89" s="1580">
        <f t="shared" si="71"/>
        <v>95</v>
      </c>
      <c r="BG89" s="1581">
        <f t="shared" si="71"/>
        <v>212</v>
      </c>
      <c r="BH89" s="1580">
        <f t="shared" si="71"/>
        <v>64</v>
      </c>
      <c r="BI89" s="1580">
        <f t="shared" si="71"/>
        <v>38</v>
      </c>
      <c r="BJ89" s="1580">
        <f t="shared" si="71"/>
        <v>37</v>
      </c>
      <c r="BK89" s="1581">
        <f t="shared" si="71"/>
        <v>139</v>
      </c>
      <c r="BL89" s="1580">
        <f t="shared" si="71"/>
        <v>33</v>
      </c>
      <c r="BM89" s="1580">
        <f t="shared" si="71"/>
        <v>72</v>
      </c>
      <c r="BN89" s="1580">
        <f t="shared" si="71"/>
        <v>110</v>
      </c>
      <c r="BO89" s="1581">
        <f t="shared" si="71"/>
        <v>215</v>
      </c>
      <c r="BP89" s="1580">
        <f t="shared" ref="BP89:CD89" si="72">SUM(BP71:BP87)</f>
        <v>28</v>
      </c>
      <c r="BQ89" s="1580">
        <f t="shared" si="72"/>
        <v>34</v>
      </c>
      <c r="BR89" s="1580">
        <f t="shared" si="72"/>
        <v>20</v>
      </c>
      <c r="BS89" s="1581">
        <f t="shared" si="72"/>
        <v>82</v>
      </c>
      <c r="BT89" s="1580">
        <f t="shared" si="72"/>
        <v>44</v>
      </c>
      <c r="BU89" s="1580">
        <f t="shared" si="72"/>
        <v>61</v>
      </c>
      <c r="BV89" s="1580">
        <f t="shared" si="72"/>
        <v>93</v>
      </c>
      <c r="BW89" s="1581">
        <f t="shared" si="72"/>
        <v>198</v>
      </c>
      <c r="BX89" s="1580">
        <f t="shared" si="72"/>
        <v>38</v>
      </c>
      <c r="BY89" s="1580">
        <f t="shared" si="72"/>
        <v>28</v>
      </c>
      <c r="BZ89" s="1580">
        <f t="shared" si="72"/>
        <v>49</v>
      </c>
      <c r="CA89" s="1581">
        <f t="shared" si="72"/>
        <v>115</v>
      </c>
      <c r="CB89" s="1580">
        <f t="shared" si="72"/>
        <v>18</v>
      </c>
      <c r="CC89" s="1580">
        <f t="shared" si="72"/>
        <v>112</v>
      </c>
      <c r="CD89" s="1580">
        <f t="shared" si="72"/>
        <v>36</v>
      </c>
      <c r="CE89" s="1581">
        <f t="shared" si="65"/>
        <v>166</v>
      </c>
      <c r="CF89" s="1580">
        <f>SUM(CF71:CF87)</f>
        <v>45</v>
      </c>
      <c r="CG89" s="1580">
        <f>SUM(CG71:CG87)</f>
        <v>72</v>
      </c>
      <c r="CH89" s="1580">
        <f>SUM(CH71:CH87)</f>
        <v>35</v>
      </c>
      <c r="CI89" s="1581">
        <f t="shared" si="66"/>
        <v>152</v>
      </c>
      <c r="CJ89" s="1580">
        <f>SUM(CJ71:CJ87)</f>
        <v>6</v>
      </c>
      <c r="CK89" s="1580">
        <f>SUM(CK71:CK87)</f>
        <v>51</v>
      </c>
      <c r="CL89" s="1580">
        <f>SUM(CL71:CL87)</f>
        <v>62</v>
      </c>
      <c r="CM89" s="1582">
        <f t="shared" si="61"/>
        <v>119</v>
      </c>
      <c r="CN89" s="1580">
        <f>SUM(CN71:CN87)</f>
        <v>28</v>
      </c>
      <c r="CO89" s="1580">
        <f>SUM(CO71:CO87)</f>
        <v>75</v>
      </c>
      <c r="CP89" s="1580">
        <f>SUM(CP71:CP88)</f>
        <v>20</v>
      </c>
      <c r="CQ89" s="1582">
        <f>SUM(CQ71:CQ88)</f>
        <v>123</v>
      </c>
      <c r="CR89" s="1580">
        <f>SUM(CR71:CR88)</f>
        <v>21</v>
      </c>
      <c r="CS89" s="1580">
        <f>SUM(CS71:CS87)</f>
        <v>24</v>
      </c>
      <c r="CT89" s="1580">
        <f>SUM(CT71:CT88)</f>
        <v>89</v>
      </c>
      <c r="CU89" s="1582">
        <f>SUM(CU71:CU88)</f>
        <v>134</v>
      </c>
    </row>
    <row r="90" spans="2:99" ht="12.75" customHeight="1" x14ac:dyDescent="0.25">
      <c r="B90" s="5877" t="s">
        <v>308</v>
      </c>
      <c r="C90" s="1611" t="s">
        <v>381</v>
      </c>
      <c r="D90" s="1584"/>
      <c r="E90" s="1585"/>
      <c r="F90" s="1585">
        <v>1</v>
      </c>
      <c r="G90" s="1549">
        <f>SUM(F90)</f>
        <v>1</v>
      </c>
      <c r="H90" s="1584">
        <v>2</v>
      </c>
      <c r="I90" s="1585"/>
      <c r="J90" s="1585"/>
      <c r="K90" s="1549">
        <f>SUM(H90:J90)</f>
        <v>2</v>
      </c>
      <c r="L90" s="1584"/>
      <c r="M90" s="1585"/>
      <c r="N90" s="1585">
        <v>1</v>
      </c>
      <c r="O90" s="1549">
        <f>SUM(L90:N90)</f>
        <v>1</v>
      </c>
      <c r="P90" s="1584"/>
      <c r="Q90" s="1585">
        <v>1</v>
      </c>
      <c r="R90" s="1585"/>
      <c r="S90" s="1549">
        <f>SUM(Q90:R90)</f>
        <v>1</v>
      </c>
      <c r="T90" s="1584"/>
      <c r="U90" s="1585">
        <v>6</v>
      </c>
      <c r="V90" s="1585">
        <v>1</v>
      </c>
      <c r="W90" s="1549">
        <f t="shared" ref="W90:W95" si="73">SUM(T90:V90)</f>
        <v>7</v>
      </c>
      <c r="X90" s="1584">
        <v>1</v>
      </c>
      <c r="Y90" s="1585">
        <v>2</v>
      </c>
      <c r="Z90" s="1585">
        <v>3</v>
      </c>
      <c r="AA90" s="1549">
        <f t="shared" si="70"/>
        <v>6</v>
      </c>
      <c r="AB90" s="1584"/>
      <c r="AC90" s="1585"/>
      <c r="AD90" s="1585">
        <v>1</v>
      </c>
      <c r="AE90" s="1552">
        <f>SUM(AB90:AD90)</f>
        <v>1</v>
      </c>
      <c r="AF90" s="1585"/>
      <c r="AG90" s="1585">
        <v>3</v>
      </c>
      <c r="AH90" s="1585">
        <v>5</v>
      </c>
      <c r="AI90" s="1552">
        <f>SUM(AF90:AH90)</f>
        <v>8</v>
      </c>
      <c r="AJ90" s="1585">
        <v>4</v>
      </c>
      <c r="AK90" s="1585">
        <v>6</v>
      </c>
      <c r="AL90" s="1585">
        <v>4</v>
      </c>
      <c r="AM90" s="1552">
        <f>SUM(AJ90:AL90)</f>
        <v>14</v>
      </c>
      <c r="AN90" s="1585">
        <v>4</v>
      </c>
      <c r="AO90" s="1585">
        <v>2</v>
      </c>
      <c r="AP90" s="1585">
        <v>5</v>
      </c>
      <c r="AQ90" s="1552">
        <f t="shared" si="68"/>
        <v>11</v>
      </c>
      <c r="AR90" s="1585">
        <v>5</v>
      </c>
      <c r="AS90" s="1585">
        <v>11</v>
      </c>
      <c r="AT90" s="1585">
        <v>3</v>
      </c>
      <c r="AU90" s="1552">
        <f t="shared" si="69"/>
        <v>19</v>
      </c>
      <c r="AV90" s="1585">
        <v>1</v>
      </c>
      <c r="AW90" s="1585">
        <v>9</v>
      </c>
      <c r="AX90" s="1585">
        <v>8</v>
      </c>
      <c r="AY90" s="1552">
        <f t="shared" si="53"/>
        <v>18</v>
      </c>
      <c r="AZ90" s="1585">
        <v>6</v>
      </c>
      <c r="BA90" s="1585">
        <v>7</v>
      </c>
      <c r="BB90" s="1585">
        <v>7</v>
      </c>
      <c r="BC90" s="1552">
        <f t="shared" si="54"/>
        <v>20</v>
      </c>
      <c r="BD90" s="1585">
        <v>2</v>
      </c>
      <c r="BE90" s="1585">
        <v>7</v>
      </c>
      <c r="BF90" s="1585">
        <v>6</v>
      </c>
      <c r="BG90" s="1590">
        <f t="shared" ref="BG90:BG98" si="74">SUM(BD90:BF90)</f>
        <v>15</v>
      </c>
      <c r="BH90" s="1585">
        <v>6</v>
      </c>
      <c r="BI90" s="1585">
        <v>8</v>
      </c>
      <c r="BJ90" s="1585">
        <v>12</v>
      </c>
      <c r="BK90" s="1590">
        <f t="shared" ref="BK90:BK95" si="75">SUM(BH90:BJ90)</f>
        <v>26</v>
      </c>
      <c r="BL90" s="1585"/>
      <c r="BM90" s="1585">
        <v>4</v>
      </c>
      <c r="BN90" s="1585">
        <v>2</v>
      </c>
      <c r="BO90" s="1590">
        <f t="shared" ref="BO90:BO97" si="76">SUM(BL90:BN90)</f>
        <v>6</v>
      </c>
      <c r="BP90" s="1585">
        <v>3</v>
      </c>
      <c r="BQ90" s="1585">
        <v>4</v>
      </c>
      <c r="BR90" s="1585">
        <v>6</v>
      </c>
      <c r="BS90" s="1590">
        <f t="shared" ref="BS90:BS95" si="77">SUM(BP90:BR90)</f>
        <v>13</v>
      </c>
      <c r="BT90" s="1585">
        <v>2</v>
      </c>
      <c r="BU90" s="1585">
        <v>5</v>
      </c>
      <c r="BV90" s="1585">
        <v>7</v>
      </c>
      <c r="BW90" s="1590">
        <f t="shared" ref="BW90:BW96" si="78">SUM(BT90:BV90)</f>
        <v>14</v>
      </c>
      <c r="BX90" s="1585">
        <v>5</v>
      </c>
      <c r="BY90" s="1585">
        <v>8</v>
      </c>
      <c r="BZ90" s="1585">
        <v>1</v>
      </c>
      <c r="CA90" s="1590">
        <f t="shared" ref="CA90:CA96" si="79">SUM(BX90:BZ90)</f>
        <v>14</v>
      </c>
      <c r="CB90" s="1585">
        <v>1</v>
      </c>
      <c r="CC90" s="1585">
        <v>4</v>
      </c>
      <c r="CD90" s="1585">
        <v>4</v>
      </c>
      <c r="CE90" s="1590">
        <f t="shared" si="65"/>
        <v>9</v>
      </c>
      <c r="CF90" s="1585">
        <v>1</v>
      </c>
      <c r="CG90" s="1585">
        <v>2</v>
      </c>
      <c r="CH90" s="1585">
        <v>1</v>
      </c>
      <c r="CI90" s="1590">
        <f t="shared" si="66"/>
        <v>4</v>
      </c>
      <c r="CJ90" s="1585">
        <v>2</v>
      </c>
      <c r="CK90" s="1585">
        <v>1</v>
      </c>
      <c r="CL90" s="1585">
        <v>2</v>
      </c>
      <c r="CM90" s="1590">
        <f t="shared" si="61"/>
        <v>5</v>
      </c>
      <c r="CN90" s="1585">
        <v>1</v>
      </c>
      <c r="CO90" s="1585"/>
      <c r="CP90" s="1585">
        <v>2</v>
      </c>
      <c r="CQ90" s="1590">
        <f t="shared" si="62"/>
        <v>3</v>
      </c>
      <c r="CR90" s="1585">
        <v>1</v>
      </c>
      <c r="CS90" s="1585"/>
      <c r="CT90" s="1585"/>
      <c r="CU90" s="1590">
        <f t="shared" ref="CU90:CU157" si="80">SUM(CR90:CT90)</f>
        <v>1</v>
      </c>
    </row>
    <row r="91" spans="2:99" ht="12.75" customHeight="1" x14ac:dyDescent="0.25">
      <c r="B91" s="5878"/>
      <c r="C91" s="1612" t="s">
        <v>382</v>
      </c>
      <c r="D91" s="1567"/>
      <c r="E91" s="1568"/>
      <c r="F91" s="1568"/>
      <c r="G91" s="1569"/>
      <c r="H91" s="1567"/>
      <c r="I91" s="1568"/>
      <c r="J91" s="1568"/>
      <c r="K91" s="1569"/>
      <c r="L91" s="1567"/>
      <c r="M91" s="1568">
        <v>4</v>
      </c>
      <c r="N91" s="1568">
        <v>4</v>
      </c>
      <c r="O91" s="1569">
        <f>SUM(L91:N91)</f>
        <v>8</v>
      </c>
      <c r="P91" s="1567"/>
      <c r="Q91" s="1568"/>
      <c r="R91" s="1568"/>
      <c r="S91" s="1569"/>
      <c r="T91" s="1567">
        <v>14</v>
      </c>
      <c r="U91" s="1568"/>
      <c r="V91" s="1568"/>
      <c r="W91" s="1569">
        <f t="shared" si="73"/>
        <v>14</v>
      </c>
      <c r="X91" s="1567"/>
      <c r="Y91" s="1568">
        <v>5</v>
      </c>
      <c r="Z91" s="1568">
        <v>3</v>
      </c>
      <c r="AA91" s="1569">
        <f>SUM(X91:Z91)</f>
        <v>8</v>
      </c>
      <c r="AB91" s="1567">
        <v>3</v>
      </c>
      <c r="AC91" s="1568">
        <v>9</v>
      </c>
      <c r="AD91" s="1568">
        <v>3</v>
      </c>
      <c r="AE91" s="1553">
        <f>SUM(AB91:AD91)</f>
        <v>15</v>
      </c>
      <c r="AF91" s="1568"/>
      <c r="AG91" s="1568">
        <v>3</v>
      </c>
      <c r="AH91" s="1568"/>
      <c r="AI91" s="1553">
        <f>SUM(AF91:AH91)</f>
        <v>3</v>
      </c>
      <c r="AJ91" s="1568"/>
      <c r="AK91" s="1568">
        <v>2</v>
      </c>
      <c r="AL91" s="1568">
        <v>6</v>
      </c>
      <c r="AM91" s="1553">
        <f>SUM(AJ91:AL91)</f>
        <v>8</v>
      </c>
      <c r="AN91" s="1568">
        <v>1</v>
      </c>
      <c r="AO91" s="1568">
        <v>4</v>
      </c>
      <c r="AP91" s="1568"/>
      <c r="AQ91" s="1553">
        <f>SUM(AN91:AP91)</f>
        <v>5</v>
      </c>
      <c r="AR91" s="1568">
        <v>2</v>
      </c>
      <c r="AS91" s="1568">
        <v>4</v>
      </c>
      <c r="AT91" s="1568"/>
      <c r="AU91" s="1553">
        <f>SUM(AR91:AT91)</f>
        <v>6</v>
      </c>
      <c r="AV91" s="1568">
        <v>2</v>
      </c>
      <c r="AW91" s="1568">
        <v>2</v>
      </c>
      <c r="AX91" s="1568"/>
      <c r="AY91" s="1553">
        <f>SUM(AV91:AX91)</f>
        <v>4</v>
      </c>
      <c r="AZ91" s="1568">
        <v>1</v>
      </c>
      <c r="BA91" s="1568">
        <v>1</v>
      </c>
      <c r="BB91" s="1568"/>
      <c r="BC91" s="1553">
        <f>SUM(AZ91:BB91)</f>
        <v>2</v>
      </c>
      <c r="BD91" s="1568">
        <v>1</v>
      </c>
      <c r="BE91" s="1568">
        <v>1</v>
      </c>
      <c r="BF91" s="1568"/>
      <c r="BG91" s="1553">
        <f>SUM(BD91:BF91)</f>
        <v>2</v>
      </c>
      <c r="BH91" s="1568">
        <v>1</v>
      </c>
      <c r="BI91" s="1568">
        <v>1</v>
      </c>
      <c r="BJ91" s="1568">
        <v>1</v>
      </c>
      <c r="BK91" s="1553">
        <f t="shared" si="75"/>
        <v>3</v>
      </c>
      <c r="BL91" s="1568">
        <v>1</v>
      </c>
      <c r="BM91" s="1568">
        <v>2</v>
      </c>
      <c r="BN91" s="1568">
        <v>3</v>
      </c>
      <c r="BO91" s="1553">
        <f t="shared" si="76"/>
        <v>6</v>
      </c>
      <c r="BP91" s="1568">
        <v>2</v>
      </c>
      <c r="BQ91" s="1568">
        <v>1</v>
      </c>
      <c r="BR91" s="1568">
        <v>4</v>
      </c>
      <c r="BS91" s="1553">
        <f t="shared" si="77"/>
        <v>7</v>
      </c>
      <c r="BT91" s="1568">
        <v>2</v>
      </c>
      <c r="BU91" s="1568">
        <v>3</v>
      </c>
      <c r="BV91" s="1568">
        <v>2</v>
      </c>
      <c r="BW91" s="1553">
        <f t="shared" si="78"/>
        <v>7</v>
      </c>
      <c r="BX91" s="1568"/>
      <c r="BY91" s="1568">
        <v>1</v>
      </c>
      <c r="BZ91" s="1568">
        <v>1</v>
      </c>
      <c r="CA91" s="1553">
        <f t="shared" si="79"/>
        <v>2</v>
      </c>
      <c r="CB91" s="1568"/>
      <c r="CC91" s="1568">
        <v>1</v>
      </c>
      <c r="CD91" s="1568">
        <v>5</v>
      </c>
      <c r="CE91" s="1553">
        <f t="shared" si="65"/>
        <v>6</v>
      </c>
      <c r="CF91" s="1568"/>
      <c r="CG91" s="1568"/>
      <c r="CH91" s="1568"/>
      <c r="CI91" s="1553">
        <f t="shared" si="66"/>
        <v>0</v>
      </c>
      <c r="CJ91" s="1568"/>
      <c r="CK91" s="1568"/>
      <c r="CL91" s="1568"/>
      <c r="CM91" s="1553">
        <f t="shared" si="61"/>
        <v>0</v>
      </c>
      <c r="CN91" s="1568"/>
      <c r="CO91" s="1568"/>
      <c r="CP91" s="1568">
        <v>3</v>
      </c>
      <c r="CQ91" s="1553">
        <f t="shared" si="62"/>
        <v>3</v>
      </c>
      <c r="CR91" s="1568"/>
      <c r="CS91" s="1568"/>
      <c r="CT91" s="1568">
        <v>1</v>
      </c>
      <c r="CU91" s="1553">
        <f t="shared" si="80"/>
        <v>1</v>
      </c>
    </row>
    <row r="92" spans="2:99" ht="12.75" customHeight="1" x14ac:dyDescent="0.25">
      <c r="B92" s="5874" t="s">
        <v>310</v>
      </c>
      <c r="C92" s="1613" t="s">
        <v>387</v>
      </c>
      <c r="D92" s="1555">
        <v>1</v>
      </c>
      <c r="E92" s="1556">
        <v>6</v>
      </c>
      <c r="F92" s="1556">
        <v>4</v>
      </c>
      <c r="G92" s="1557">
        <f>SUM(D92:F92)</f>
        <v>11</v>
      </c>
      <c r="H92" s="1555">
        <v>2</v>
      </c>
      <c r="I92" s="1556">
        <v>7</v>
      </c>
      <c r="J92" s="1556">
        <v>2</v>
      </c>
      <c r="K92" s="1557">
        <f>SUM(H92:J92)</f>
        <v>11</v>
      </c>
      <c r="L92" s="1555"/>
      <c r="M92" s="1556">
        <v>3</v>
      </c>
      <c r="N92" s="1556">
        <v>10</v>
      </c>
      <c r="O92" s="1557">
        <f>SUM(L92:N92)</f>
        <v>13</v>
      </c>
      <c r="P92" s="1555">
        <v>1</v>
      </c>
      <c r="Q92" s="1556">
        <v>4</v>
      </c>
      <c r="R92" s="1556">
        <v>2</v>
      </c>
      <c r="S92" s="1557">
        <f>SUM(P92:R92)</f>
        <v>7</v>
      </c>
      <c r="T92" s="1555">
        <v>2</v>
      </c>
      <c r="U92" s="1556">
        <v>5</v>
      </c>
      <c r="V92" s="1556">
        <v>4</v>
      </c>
      <c r="W92" s="1557">
        <f t="shared" si="73"/>
        <v>11</v>
      </c>
      <c r="X92" s="1555"/>
      <c r="Y92" s="1556">
        <v>16</v>
      </c>
      <c r="Z92" s="1556">
        <v>5</v>
      </c>
      <c r="AA92" s="1557">
        <f t="shared" si="70"/>
        <v>21</v>
      </c>
      <c r="AB92" s="1555">
        <v>3</v>
      </c>
      <c r="AC92" s="1556">
        <v>2</v>
      </c>
      <c r="AD92" s="1556">
        <v>8</v>
      </c>
      <c r="AE92" s="1558">
        <f>SUM(AB92:AD92)</f>
        <v>13</v>
      </c>
      <c r="AF92" s="1556">
        <v>3</v>
      </c>
      <c r="AG92" s="1556">
        <v>10</v>
      </c>
      <c r="AH92" s="1556">
        <v>2</v>
      </c>
      <c r="AI92" s="1558">
        <f>SUM(AF92:AH92)</f>
        <v>15</v>
      </c>
      <c r="AJ92" s="1556">
        <v>8</v>
      </c>
      <c r="AK92" s="1556">
        <v>1</v>
      </c>
      <c r="AL92" s="1556">
        <v>2</v>
      </c>
      <c r="AM92" s="1558">
        <f>SUM(AJ92:AL92)</f>
        <v>11</v>
      </c>
      <c r="AN92" s="1556">
        <v>9</v>
      </c>
      <c r="AO92" s="1556">
        <v>2</v>
      </c>
      <c r="AP92" s="1556">
        <v>8</v>
      </c>
      <c r="AQ92" s="1558">
        <f>SUM(AN92:AP92)</f>
        <v>19</v>
      </c>
      <c r="AR92" s="1556">
        <v>5</v>
      </c>
      <c r="AS92" s="1556">
        <v>2</v>
      </c>
      <c r="AT92" s="1556">
        <v>9</v>
      </c>
      <c r="AU92" s="1558">
        <f>SUM(AR92:AT92)</f>
        <v>16</v>
      </c>
      <c r="AV92" s="1556">
        <v>15</v>
      </c>
      <c r="AW92" s="1556">
        <v>9</v>
      </c>
      <c r="AX92" s="1556">
        <v>3</v>
      </c>
      <c r="AY92" s="1558">
        <f>SUM(AV92:AX92)</f>
        <v>27</v>
      </c>
      <c r="AZ92" s="1556">
        <v>2</v>
      </c>
      <c r="BA92" s="1556">
        <v>10</v>
      </c>
      <c r="BB92" s="1556">
        <v>4</v>
      </c>
      <c r="BC92" s="1558">
        <f>SUM(AZ92:BB92)</f>
        <v>16</v>
      </c>
      <c r="BD92" s="1556">
        <v>5</v>
      </c>
      <c r="BE92" s="1556">
        <v>7</v>
      </c>
      <c r="BF92" s="1556">
        <v>3</v>
      </c>
      <c r="BG92" s="1558">
        <f t="shared" si="74"/>
        <v>15</v>
      </c>
      <c r="BH92" s="1556">
        <v>3</v>
      </c>
      <c r="BI92" s="1556">
        <v>9</v>
      </c>
      <c r="BJ92" s="1556">
        <v>10</v>
      </c>
      <c r="BK92" s="1558">
        <f t="shared" si="75"/>
        <v>22</v>
      </c>
      <c r="BL92" s="1556">
        <v>2</v>
      </c>
      <c r="BM92" s="1556">
        <v>5</v>
      </c>
      <c r="BN92" s="1556">
        <v>6</v>
      </c>
      <c r="BO92" s="1558">
        <f t="shared" si="76"/>
        <v>13</v>
      </c>
      <c r="BP92" s="1556">
        <v>1</v>
      </c>
      <c r="BQ92" s="1556">
        <v>15</v>
      </c>
      <c r="BR92" s="1556">
        <v>4</v>
      </c>
      <c r="BS92" s="1558">
        <f t="shared" si="77"/>
        <v>20</v>
      </c>
      <c r="BT92" s="1556">
        <v>6</v>
      </c>
      <c r="BU92" s="1556">
        <v>10</v>
      </c>
      <c r="BV92" s="1556">
        <v>4</v>
      </c>
      <c r="BW92" s="1558">
        <f t="shared" si="78"/>
        <v>20</v>
      </c>
      <c r="BX92" s="1556">
        <v>3</v>
      </c>
      <c r="BY92" s="1556">
        <v>10</v>
      </c>
      <c r="BZ92" s="1556">
        <v>1</v>
      </c>
      <c r="CA92" s="1558">
        <f t="shared" si="79"/>
        <v>14</v>
      </c>
      <c r="CB92" s="1556">
        <v>1</v>
      </c>
      <c r="CC92" s="1556">
        <v>12</v>
      </c>
      <c r="CD92" s="1556"/>
      <c r="CE92" s="1558">
        <f t="shared" si="65"/>
        <v>13</v>
      </c>
      <c r="CF92" s="1556">
        <v>4</v>
      </c>
      <c r="CG92" s="1556">
        <v>10</v>
      </c>
      <c r="CH92" s="1556">
        <v>1</v>
      </c>
      <c r="CI92" s="1558">
        <f t="shared" si="66"/>
        <v>15</v>
      </c>
      <c r="CJ92" s="1556">
        <v>1</v>
      </c>
      <c r="CK92" s="1556">
        <v>6</v>
      </c>
      <c r="CL92" s="1556">
        <v>5</v>
      </c>
      <c r="CM92" s="1558">
        <f t="shared" si="61"/>
        <v>12</v>
      </c>
      <c r="CN92" s="1556">
        <v>6</v>
      </c>
      <c r="CO92" s="1556">
        <v>3</v>
      </c>
      <c r="CP92" s="1556"/>
      <c r="CQ92" s="1558">
        <f t="shared" si="62"/>
        <v>9</v>
      </c>
      <c r="CR92" s="1556">
        <v>2</v>
      </c>
      <c r="CS92" s="1556">
        <v>4</v>
      </c>
      <c r="CT92" s="1556">
        <v>3</v>
      </c>
      <c r="CU92" s="1558">
        <f t="shared" si="80"/>
        <v>9</v>
      </c>
    </row>
    <row r="93" spans="2:99" ht="12.75" customHeight="1" x14ac:dyDescent="0.25">
      <c r="B93" s="5875"/>
      <c r="C93" s="1614" t="s">
        <v>385</v>
      </c>
      <c r="D93" s="1555"/>
      <c r="E93" s="1556">
        <v>1</v>
      </c>
      <c r="F93" s="1556"/>
      <c r="G93" s="1557">
        <f>SUM(D93:F93)</f>
        <v>1</v>
      </c>
      <c r="H93" s="1555">
        <v>1</v>
      </c>
      <c r="I93" s="1556">
        <v>2</v>
      </c>
      <c r="J93" s="1556">
        <v>1</v>
      </c>
      <c r="K93" s="1557">
        <f>SUM(H93:J93)</f>
        <v>4</v>
      </c>
      <c r="L93" s="1555"/>
      <c r="M93" s="1556"/>
      <c r="N93" s="1556">
        <v>4</v>
      </c>
      <c r="O93" s="1557">
        <f>SUM(L93:N93)</f>
        <v>4</v>
      </c>
      <c r="P93" s="1555">
        <v>1</v>
      </c>
      <c r="Q93" s="1556">
        <v>2</v>
      </c>
      <c r="R93" s="1556">
        <v>4</v>
      </c>
      <c r="S93" s="1557">
        <f>SUM(P93:R93)</f>
        <v>7</v>
      </c>
      <c r="T93" s="1555"/>
      <c r="U93" s="1556"/>
      <c r="V93" s="1556">
        <v>2</v>
      </c>
      <c r="W93" s="1557">
        <f t="shared" si="73"/>
        <v>2</v>
      </c>
      <c r="X93" s="1555"/>
      <c r="Y93" s="1556"/>
      <c r="Z93" s="1556">
        <v>1</v>
      </c>
      <c r="AA93" s="1557">
        <f>SUM(X93:Z93)</f>
        <v>1</v>
      </c>
      <c r="AB93" s="1555"/>
      <c r="AC93" s="1556"/>
      <c r="AD93" s="1556"/>
      <c r="AE93" s="1558"/>
      <c r="AF93" s="1556"/>
      <c r="AG93" s="1556"/>
      <c r="AH93" s="1556"/>
      <c r="AI93" s="1558"/>
      <c r="AJ93" s="1556"/>
      <c r="AK93" s="1556"/>
      <c r="AL93" s="1556"/>
      <c r="AM93" s="1558"/>
      <c r="AN93" s="1556"/>
      <c r="AO93" s="1556"/>
      <c r="AP93" s="1556"/>
      <c r="AQ93" s="1558"/>
      <c r="AR93" s="1556">
        <v>1</v>
      </c>
      <c r="AS93" s="1556"/>
      <c r="AT93" s="1556">
        <v>1</v>
      </c>
      <c r="AU93" s="1558">
        <f>SUM(AR93:AT93)</f>
        <v>2</v>
      </c>
      <c r="AV93" s="1556">
        <v>2</v>
      </c>
      <c r="AW93" s="1556"/>
      <c r="AX93" s="1556"/>
      <c r="AY93" s="1558">
        <f>SUM(AV93:AX93)</f>
        <v>2</v>
      </c>
      <c r="AZ93" s="1556"/>
      <c r="BA93" s="1556"/>
      <c r="BB93" s="1556"/>
      <c r="BC93" s="1558">
        <f>SUM(AZ93:BB93)</f>
        <v>0</v>
      </c>
      <c r="BD93" s="1556"/>
      <c r="BE93" s="1556"/>
      <c r="BF93" s="1556"/>
      <c r="BG93" s="1558">
        <f>SUM(BD93:BF93)</f>
        <v>0</v>
      </c>
      <c r="BH93" s="1556"/>
      <c r="BI93" s="1556"/>
      <c r="BJ93" s="1556"/>
      <c r="BK93" s="1558">
        <f t="shared" si="75"/>
        <v>0</v>
      </c>
      <c r="BL93" s="1556">
        <v>2</v>
      </c>
      <c r="BM93" s="1556">
        <v>4</v>
      </c>
      <c r="BN93" s="1556">
        <v>6</v>
      </c>
      <c r="BO93" s="1558">
        <f t="shared" si="76"/>
        <v>12</v>
      </c>
      <c r="BP93" s="1556">
        <v>1</v>
      </c>
      <c r="BQ93" s="1556">
        <v>2</v>
      </c>
      <c r="BR93" s="1556">
        <v>3</v>
      </c>
      <c r="BS93" s="1558">
        <f t="shared" si="77"/>
        <v>6</v>
      </c>
      <c r="BT93" s="1556">
        <v>3</v>
      </c>
      <c r="BU93" s="1556">
        <v>1</v>
      </c>
      <c r="BV93" s="1556">
        <v>9</v>
      </c>
      <c r="BW93" s="1558">
        <f t="shared" si="78"/>
        <v>13</v>
      </c>
      <c r="BX93" s="1556">
        <v>4</v>
      </c>
      <c r="BY93" s="1556">
        <v>1</v>
      </c>
      <c r="BZ93" s="1556">
        <v>5</v>
      </c>
      <c r="CA93" s="1558">
        <f t="shared" si="79"/>
        <v>10</v>
      </c>
      <c r="CB93" s="1556">
        <v>4</v>
      </c>
      <c r="CC93" s="1556">
        <v>3</v>
      </c>
      <c r="CD93" s="1556">
        <v>7</v>
      </c>
      <c r="CE93" s="1558">
        <f t="shared" si="65"/>
        <v>14</v>
      </c>
      <c r="CF93" s="1556">
        <v>4</v>
      </c>
      <c r="CG93" s="1556">
        <v>1</v>
      </c>
      <c r="CH93" s="1556">
        <v>11</v>
      </c>
      <c r="CI93" s="1558">
        <f t="shared" si="66"/>
        <v>16</v>
      </c>
      <c r="CJ93" s="1556"/>
      <c r="CK93" s="1556"/>
      <c r="CL93" s="1556">
        <v>15</v>
      </c>
      <c r="CM93" s="1558">
        <f t="shared" si="61"/>
        <v>15</v>
      </c>
      <c r="CN93" s="1556">
        <v>1</v>
      </c>
      <c r="CO93" s="1556">
        <v>1</v>
      </c>
      <c r="CP93" s="1556">
        <v>2</v>
      </c>
      <c r="CQ93" s="1558">
        <f t="shared" si="62"/>
        <v>4</v>
      </c>
      <c r="CR93" s="1556">
        <v>5</v>
      </c>
      <c r="CS93" s="1556"/>
      <c r="CT93" s="1556">
        <v>2</v>
      </c>
      <c r="CU93" s="1558">
        <f t="shared" si="80"/>
        <v>7</v>
      </c>
    </row>
    <row r="94" spans="2:99" ht="12.75" customHeight="1" x14ac:dyDescent="0.25">
      <c r="B94" s="5875"/>
      <c r="C94" s="1613" t="s">
        <v>384</v>
      </c>
      <c r="D94" s="1555"/>
      <c r="E94" s="1556">
        <v>3</v>
      </c>
      <c r="F94" s="1556">
        <v>6</v>
      </c>
      <c r="G94" s="1557">
        <f>SUM(D94:F94)</f>
        <v>9</v>
      </c>
      <c r="H94" s="1555">
        <v>2</v>
      </c>
      <c r="I94" s="1556">
        <v>1</v>
      </c>
      <c r="J94" s="1556"/>
      <c r="K94" s="1557">
        <f>SUM(H94:J94)</f>
        <v>3</v>
      </c>
      <c r="L94" s="1555">
        <v>3</v>
      </c>
      <c r="M94" s="1556">
        <v>6</v>
      </c>
      <c r="N94" s="1556">
        <v>4</v>
      </c>
      <c r="O94" s="1557">
        <f>SUM(L94:N94)</f>
        <v>13</v>
      </c>
      <c r="P94" s="1555">
        <v>3</v>
      </c>
      <c r="Q94" s="1556">
        <v>7</v>
      </c>
      <c r="R94" s="1556">
        <v>3</v>
      </c>
      <c r="S94" s="1557">
        <f>SUM(P94:R94)</f>
        <v>13</v>
      </c>
      <c r="T94" s="1555">
        <v>1</v>
      </c>
      <c r="U94" s="1556">
        <v>1</v>
      </c>
      <c r="V94" s="1556">
        <v>6</v>
      </c>
      <c r="W94" s="1557">
        <f t="shared" si="73"/>
        <v>8</v>
      </c>
      <c r="X94" s="1555"/>
      <c r="Y94" s="1556">
        <v>3</v>
      </c>
      <c r="Z94" s="1556">
        <v>3</v>
      </c>
      <c r="AA94" s="1557">
        <f>SUM(X94:Z94)</f>
        <v>6</v>
      </c>
      <c r="AB94" s="1555">
        <v>1</v>
      </c>
      <c r="AC94" s="1556">
        <v>3</v>
      </c>
      <c r="AD94" s="1556">
        <v>4</v>
      </c>
      <c r="AE94" s="1558">
        <f>SUM(AB94:AD94)</f>
        <v>8</v>
      </c>
      <c r="AF94" s="1556">
        <v>2</v>
      </c>
      <c r="AG94" s="1556">
        <v>3</v>
      </c>
      <c r="AH94" s="1556">
        <v>7</v>
      </c>
      <c r="AI94" s="1558">
        <f>SUM(AF94:AH94)</f>
        <v>12</v>
      </c>
      <c r="AJ94" s="1556">
        <v>1</v>
      </c>
      <c r="AK94" s="1556">
        <v>3</v>
      </c>
      <c r="AL94" s="1556">
        <v>4</v>
      </c>
      <c r="AM94" s="1558">
        <f>SUM(AJ94:AL94)</f>
        <v>8</v>
      </c>
      <c r="AN94" s="1556">
        <v>3</v>
      </c>
      <c r="AO94" s="1556">
        <v>2</v>
      </c>
      <c r="AP94" s="1556">
        <v>2</v>
      </c>
      <c r="AQ94" s="1558">
        <f>SUM(AN94:AP94)</f>
        <v>7</v>
      </c>
      <c r="AR94" s="1556">
        <v>2</v>
      </c>
      <c r="AS94" s="1556">
        <v>2</v>
      </c>
      <c r="AT94" s="1556">
        <v>5</v>
      </c>
      <c r="AU94" s="1558">
        <f>SUM(AR94:AT94)</f>
        <v>9</v>
      </c>
      <c r="AV94" s="1556">
        <v>6</v>
      </c>
      <c r="AW94" s="1556">
        <v>5</v>
      </c>
      <c r="AX94" s="1556">
        <v>2</v>
      </c>
      <c r="AY94" s="1558">
        <f>SUM(AV94:AX94)</f>
        <v>13</v>
      </c>
      <c r="AZ94" s="1556">
        <v>1</v>
      </c>
      <c r="BA94" s="1556">
        <v>6</v>
      </c>
      <c r="BB94" s="1556">
        <v>11</v>
      </c>
      <c r="BC94" s="1558">
        <f>SUM(AZ94:BB94)</f>
        <v>18</v>
      </c>
      <c r="BD94" s="1556">
        <v>7</v>
      </c>
      <c r="BE94" s="1556">
        <v>4</v>
      </c>
      <c r="BF94" s="1556">
        <v>12</v>
      </c>
      <c r="BG94" s="1558">
        <f>SUM(BD94:BF94)</f>
        <v>23</v>
      </c>
      <c r="BH94" s="1556">
        <v>3</v>
      </c>
      <c r="BI94" s="1556">
        <v>6</v>
      </c>
      <c r="BJ94" s="1556">
        <v>9</v>
      </c>
      <c r="BK94" s="1558">
        <f t="shared" si="75"/>
        <v>18</v>
      </c>
      <c r="BL94" s="1556">
        <v>7</v>
      </c>
      <c r="BM94" s="1556">
        <v>6</v>
      </c>
      <c r="BN94" s="1556">
        <v>6</v>
      </c>
      <c r="BO94" s="1558">
        <f t="shared" si="76"/>
        <v>19</v>
      </c>
      <c r="BP94" s="1556">
        <v>4</v>
      </c>
      <c r="BQ94" s="1556">
        <v>7</v>
      </c>
      <c r="BR94" s="1556">
        <v>3</v>
      </c>
      <c r="BS94" s="1558">
        <f t="shared" si="77"/>
        <v>14</v>
      </c>
      <c r="BT94" s="1556">
        <v>3</v>
      </c>
      <c r="BU94" s="1556">
        <v>4</v>
      </c>
      <c r="BV94" s="1556">
        <v>9</v>
      </c>
      <c r="BW94" s="1558">
        <f t="shared" si="78"/>
        <v>16</v>
      </c>
      <c r="BX94" s="1556">
        <v>2</v>
      </c>
      <c r="BY94" s="1556">
        <v>3</v>
      </c>
      <c r="BZ94" s="1556">
        <v>5</v>
      </c>
      <c r="CA94" s="1558">
        <f t="shared" si="79"/>
        <v>10</v>
      </c>
      <c r="CB94" s="1556">
        <v>6</v>
      </c>
      <c r="CC94" s="1556">
        <v>7</v>
      </c>
      <c r="CD94" s="1556">
        <v>5</v>
      </c>
      <c r="CE94" s="1558">
        <f t="shared" si="65"/>
        <v>18</v>
      </c>
      <c r="CF94" s="1556">
        <v>3</v>
      </c>
      <c r="CG94" s="1556">
        <v>6</v>
      </c>
      <c r="CH94" s="1556">
        <v>2</v>
      </c>
      <c r="CI94" s="1558">
        <f t="shared" si="66"/>
        <v>11</v>
      </c>
      <c r="CJ94" s="1556">
        <v>1</v>
      </c>
      <c r="CK94" s="1556">
        <v>3</v>
      </c>
      <c r="CL94" s="1556">
        <v>5</v>
      </c>
      <c r="CM94" s="1558">
        <f t="shared" si="61"/>
        <v>9</v>
      </c>
      <c r="CN94" s="1556">
        <v>7</v>
      </c>
      <c r="CO94" s="1556">
        <v>3</v>
      </c>
      <c r="CP94" s="1556">
        <v>7</v>
      </c>
      <c r="CQ94" s="1558">
        <f t="shared" si="62"/>
        <v>17</v>
      </c>
      <c r="CR94" s="1556">
        <v>2</v>
      </c>
      <c r="CS94" s="1556">
        <v>6</v>
      </c>
      <c r="CT94" s="1556">
        <v>2</v>
      </c>
      <c r="CU94" s="1558">
        <f t="shared" si="80"/>
        <v>10</v>
      </c>
    </row>
    <row r="95" spans="2:99" ht="12.75" customHeight="1" x14ac:dyDescent="0.25">
      <c r="B95" s="5875"/>
      <c r="C95" s="1614" t="s">
        <v>386</v>
      </c>
      <c r="D95" s="1555"/>
      <c r="E95" s="1556"/>
      <c r="F95" s="1556"/>
      <c r="G95" s="1557"/>
      <c r="H95" s="1555"/>
      <c r="I95" s="1556"/>
      <c r="J95" s="1556"/>
      <c r="K95" s="1557"/>
      <c r="L95" s="1555"/>
      <c r="M95" s="1556"/>
      <c r="N95" s="1556"/>
      <c r="O95" s="1557"/>
      <c r="P95" s="1555"/>
      <c r="Q95" s="1556"/>
      <c r="R95" s="1556"/>
      <c r="S95" s="1557"/>
      <c r="T95" s="1555"/>
      <c r="U95" s="1556"/>
      <c r="V95" s="1556">
        <v>2</v>
      </c>
      <c r="W95" s="1557">
        <f t="shared" si="73"/>
        <v>2</v>
      </c>
      <c r="X95" s="1555">
        <v>4</v>
      </c>
      <c r="Y95" s="1556">
        <v>6</v>
      </c>
      <c r="Z95" s="1556">
        <v>4</v>
      </c>
      <c r="AA95" s="1557">
        <f>SUM(X95:Z95)</f>
        <v>14</v>
      </c>
      <c r="AB95" s="1555">
        <v>4</v>
      </c>
      <c r="AC95" s="1556">
        <v>2</v>
      </c>
      <c r="AD95" s="1556">
        <v>3</v>
      </c>
      <c r="AE95" s="1558">
        <f>SUM(AB95:AD95)</f>
        <v>9</v>
      </c>
      <c r="AF95" s="1556">
        <v>3</v>
      </c>
      <c r="AG95" s="1556"/>
      <c r="AH95" s="1556">
        <v>5</v>
      </c>
      <c r="AI95" s="1558">
        <f>SUM(AF95:AH95)</f>
        <v>8</v>
      </c>
      <c r="AJ95" s="1556">
        <v>2</v>
      </c>
      <c r="AK95" s="1556">
        <v>2</v>
      </c>
      <c r="AL95" s="1556">
        <v>1</v>
      </c>
      <c r="AM95" s="1558">
        <f>SUM(AJ95:AL95)</f>
        <v>5</v>
      </c>
      <c r="AN95" s="1556">
        <v>2</v>
      </c>
      <c r="AO95" s="1556">
        <v>3</v>
      </c>
      <c r="AP95" s="1556">
        <v>3</v>
      </c>
      <c r="AQ95" s="1558">
        <f>SUM(AN95:AP95)</f>
        <v>8</v>
      </c>
      <c r="AR95" s="1556">
        <v>1</v>
      </c>
      <c r="AS95" s="1556">
        <v>2</v>
      </c>
      <c r="AT95" s="1556">
        <v>4</v>
      </c>
      <c r="AU95" s="1558">
        <f>SUM(AR95:AT95)</f>
        <v>7</v>
      </c>
      <c r="AV95" s="1556">
        <v>4</v>
      </c>
      <c r="AW95" s="1556">
        <v>2</v>
      </c>
      <c r="AX95" s="1556">
        <v>4</v>
      </c>
      <c r="AY95" s="1558">
        <f>SUM(AV95:AX95)</f>
        <v>10</v>
      </c>
      <c r="AZ95" s="1556">
        <v>5</v>
      </c>
      <c r="BA95" s="1556">
        <v>4</v>
      </c>
      <c r="BB95" s="1556">
        <v>4</v>
      </c>
      <c r="BC95" s="1558">
        <f>SUM(AZ95:BB95)</f>
        <v>13</v>
      </c>
      <c r="BD95" s="1556">
        <v>6</v>
      </c>
      <c r="BE95" s="1556">
        <v>1</v>
      </c>
      <c r="BF95" s="1556"/>
      <c r="BG95" s="1558">
        <f>SUM(BD95:BF95)</f>
        <v>7</v>
      </c>
      <c r="BH95" s="1556">
        <v>4</v>
      </c>
      <c r="BI95" s="1556">
        <v>1</v>
      </c>
      <c r="BJ95" s="1556">
        <v>7</v>
      </c>
      <c r="BK95" s="1558">
        <f t="shared" si="75"/>
        <v>12</v>
      </c>
      <c r="BL95" s="1556">
        <v>9</v>
      </c>
      <c r="BM95" s="1556">
        <v>7</v>
      </c>
      <c r="BN95" s="1556">
        <v>3</v>
      </c>
      <c r="BO95" s="1558">
        <f t="shared" si="76"/>
        <v>19</v>
      </c>
      <c r="BP95" s="1556">
        <v>2</v>
      </c>
      <c r="BQ95" s="1556">
        <v>8</v>
      </c>
      <c r="BR95" s="1556">
        <v>8</v>
      </c>
      <c r="BS95" s="1558">
        <f t="shared" si="77"/>
        <v>18</v>
      </c>
      <c r="BT95" s="1556">
        <v>10</v>
      </c>
      <c r="BU95" s="1556">
        <v>4</v>
      </c>
      <c r="BV95" s="1556">
        <v>10</v>
      </c>
      <c r="BW95" s="1558">
        <f t="shared" si="78"/>
        <v>24</v>
      </c>
      <c r="BX95" s="1556">
        <v>4</v>
      </c>
      <c r="BY95" s="1556">
        <v>2</v>
      </c>
      <c r="BZ95" s="1556">
        <v>8</v>
      </c>
      <c r="CA95" s="1558">
        <f t="shared" si="79"/>
        <v>14</v>
      </c>
      <c r="CB95" s="1556">
        <v>2</v>
      </c>
      <c r="CC95" s="1556">
        <v>6</v>
      </c>
      <c r="CD95" s="1556">
        <v>6</v>
      </c>
      <c r="CE95" s="1558">
        <f t="shared" si="65"/>
        <v>14</v>
      </c>
      <c r="CF95" s="1556">
        <v>3</v>
      </c>
      <c r="CG95" s="1556">
        <v>3</v>
      </c>
      <c r="CH95" s="1556">
        <v>3</v>
      </c>
      <c r="CI95" s="1558">
        <f t="shared" si="66"/>
        <v>9</v>
      </c>
      <c r="CJ95" s="1556"/>
      <c r="CK95" s="1556"/>
      <c r="CL95" s="1556">
        <v>10</v>
      </c>
      <c r="CM95" s="1558">
        <f t="shared" si="61"/>
        <v>10</v>
      </c>
      <c r="CN95" s="1556">
        <v>2</v>
      </c>
      <c r="CO95" s="1556">
        <v>2</v>
      </c>
      <c r="CP95" s="1556">
        <v>3</v>
      </c>
      <c r="CQ95" s="1558">
        <f t="shared" si="62"/>
        <v>7</v>
      </c>
      <c r="CR95" s="1556">
        <v>6</v>
      </c>
      <c r="CS95" s="1556"/>
      <c r="CT95" s="1556">
        <v>5</v>
      </c>
      <c r="CU95" s="1558">
        <f t="shared" si="80"/>
        <v>11</v>
      </c>
    </row>
    <row r="96" spans="2:99" ht="12.75" customHeight="1" x14ac:dyDescent="0.25">
      <c r="B96" s="5876"/>
      <c r="C96" s="1615" t="s">
        <v>486</v>
      </c>
      <c r="D96" s="1561"/>
      <c r="E96" s="1562"/>
      <c r="F96" s="1562">
        <v>1</v>
      </c>
      <c r="G96" s="1557">
        <f>SUM(D96:F96)</f>
        <v>1</v>
      </c>
      <c r="H96" s="1561"/>
      <c r="I96" s="1562"/>
      <c r="J96" s="1562"/>
      <c r="K96" s="1563"/>
      <c r="L96" s="1561"/>
      <c r="M96" s="1562"/>
      <c r="N96" s="1562"/>
      <c r="O96" s="1563"/>
      <c r="P96" s="1561"/>
      <c r="Q96" s="1562"/>
      <c r="R96" s="1562"/>
      <c r="S96" s="1563"/>
      <c r="T96" s="1561"/>
      <c r="U96" s="1562"/>
      <c r="V96" s="1562"/>
      <c r="W96" s="1563"/>
      <c r="X96" s="1561"/>
      <c r="Y96" s="1562"/>
      <c r="Z96" s="1562"/>
      <c r="AA96" s="1563"/>
      <c r="AB96" s="1561"/>
      <c r="AC96" s="1562"/>
      <c r="AD96" s="1562"/>
      <c r="AE96" s="1564"/>
      <c r="AF96" s="1562"/>
      <c r="AG96" s="1562"/>
      <c r="AH96" s="1562"/>
      <c r="AI96" s="1564"/>
      <c r="AJ96" s="1562"/>
      <c r="AK96" s="1562"/>
      <c r="AL96" s="1562"/>
      <c r="AM96" s="1564"/>
      <c r="AN96" s="1562"/>
      <c r="AO96" s="1562"/>
      <c r="AP96" s="1562"/>
      <c r="AQ96" s="1564"/>
      <c r="AR96" s="1562"/>
      <c r="AS96" s="1562"/>
      <c r="AT96" s="1562"/>
      <c r="AU96" s="1564"/>
      <c r="AV96" s="1562"/>
      <c r="AW96" s="1562"/>
      <c r="AX96" s="1562"/>
      <c r="AY96" s="1564"/>
      <c r="AZ96" s="1562"/>
      <c r="BA96" s="1562"/>
      <c r="BB96" s="1562"/>
      <c r="BC96" s="1564"/>
      <c r="BD96" s="1562"/>
      <c r="BE96" s="1562"/>
      <c r="BF96" s="1562"/>
      <c r="BG96" s="1564"/>
      <c r="BH96" s="1562"/>
      <c r="BI96" s="1562"/>
      <c r="BJ96" s="1562"/>
      <c r="BK96" s="1564"/>
      <c r="BL96" s="1562"/>
      <c r="BM96" s="1562"/>
      <c r="BN96" s="1562"/>
      <c r="BO96" s="1558"/>
      <c r="BP96" s="1562"/>
      <c r="BQ96" s="1562"/>
      <c r="BR96" s="1562"/>
      <c r="BS96" s="1558"/>
      <c r="BT96" s="1562"/>
      <c r="BU96" s="1562"/>
      <c r="BV96" s="1562"/>
      <c r="BW96" s="1558">
        <f t="shared" si="78"/>
        <v>0</v>
      </c>
      <c r="BX96" s="1562"/>
      <c r="BY96" s="1562"/>
      <c r="BZ96" s="1562"/>
      <c r="CA96" s="1558">
        <f t="shared" si="79"/>
        <v>0</v>
      </c>
      <c r="CB96" s="1562"/>
      <c r="CC96" s="1562"/>
      <c r="CD96" s="1562"/>
      <c r="CE96" s="1558">
        <f t="shared" si="65"/>
        <v>0</v>
      </c>
      <c r="CF96" s="1562"/>
      <c r="CG96" s="1562"/>
      <c r="CH96" s="1562"/>
      <c r="CI96" s="1558">
        <f t="shared" si="66"/>
        <v>0</v>
      </c>
      <c r="CJ96" s="1562"/>
      <c r="CK96" s="1562"/>
      <c r="CL96" s="1562"/>
      <c r="CM96" s="1558">
        <f t="shared" si="61"/>
        <v>0</v>
      </c>
      <c r="CN96" s="1562"/>
      <c r="CO96" s="1562"/>
      <c r="CP96" s="1562"/>
      <c r="CQ96" s="1558">
        <f t="shared" si="62"/>
        <v>0</v>
      </c>
      <c r="CR96" s="1562"/>
      <c r="CS96" s="1562"/>
      <c r="CT96" s="1562"/>
      <c r="CU96" s="1558">
        <f t="shared" si="80"/>
        <v>0</v>
      </c>
    </row>
    <row r="97" spans="2:99" ht="12.75" customHeight="1" x14ac:dyDescent="0.25">
      <c r="B97" s="5877" t="s">
        <v>317</v>
      </c>
      <c r="C97" s="1616" t="s">
        <v>387</v>
      </c>
      <c r="D97" s="1567"/>
      <c r="E97" s="1568"/>
      <c r="F97" s="1568"/>
      <c r="G97" s="1569"/>
      <c r="H97" s="1567"/>
      <c r="I97" s="1568"/>
      <c r="J97" s="1568">
        <v>1</v>
      </c>
      <c r="K97" s="1569">
        <f>SUM(H97:J97)</f>
        <v>1</v>
      </c>
      <c r="L97" s="1567"/>
      <c r="M97" s="1568"/>
      <c r="N97" s="1568">
        <v>1</v>
      </c>
      <c r="O97" s="1569">
        <f>SUM(L97:N97)</f>
        <v>1</v>
      </c>
      <c r="P97" s="1567"/>
      <c r="Q97" s="1568">
        <v>2</v>
      </c>
      <c r="R97" s="1568">
        <v>1</v>
      </c>
      <c r="S97" s="1569">
        <f>SUM(P97:R97)</f>
        <v>3</v>
      </c>
      <c r="T97" s="1567">
        <v>2</v>
      </c>
      <c r="U97" s="1568">
        <v>2</v>
      </c>
      <c r="V97" s="1568"/>
      <c r="W97" s="1569">
        <f>SUM(T97:V97)</f>
        <v>4</v>
      </c>
      <c r="X97" s="1567">
        <v>2</v>
      </c>
      <c r="Y97" s="1568">
        <v>3</v>
      </c>
      <c r="Z97" s="1568">
        <v>2</v>
      </c>
      <c r="AA97" s="1569">
        <f t="shared" si="70"/>
        <v>7</v>
      </c>
      <c r="AB97" s="1567">
        <v>2</v>
      </c>
      <c r="AC97" s="1568">
        <v>3</v>
      </c>
      <c r="AD97" s="1568">
        <v>3</v>
      </c>
      <c r="AE97" s="1553">
        <f>SUM(AB97:AD97)</f>
        <v>8</v>
      </c>
      <c r="AF97" s="1568">
        <v>2</v>
      </c>
      <c r="AG97" s="1568">
        <v>3</v>
      </c>
      <c r="AH97" s="1568">
        <v>3</v>
      </c>
      <c r="AI97" s="1553">
        <f>SUM(AF97:AH97)</f>
        <v>8</v>
      </c>
      <c r="AJ97" s="1568">
        <v>2</v>
      </c>
      <c r="AK97" s="1568">
        <v>2</v>
      </c>
      <c r="AL97" s="1568">
        <v>4</v>
      </c>
      <c r="AM97" s="1553">
        <f>SUM(AJ97:AL97)</f>
        <v>8</v>
      </c>
      <c r="AN97" s="1568">
        <v>4</v>
      </c>
      <c r="AO97" s="1568">
        <v>3</v>
      </c>
      <c r="AP97" s="1568">
        <v>2</v>
      </c>
      <c r="AQ97" s="1553">
        <f>SUM(AN97:AP97)</f>
        <v>9</v>
      </c>
      <c r="AR97" s="1568">
        <v>9</v>
      </c>
      <c r="AS97" s="1568">
        <v>8</v>
      </c>
      <c r="AT97" s="1568">
        <v>3</v>
      </c>
      <c r="AU97" s="1553">
        <f>SUM(AR97:AT97)</f>
        <v>20</v>
      </c>
      <c r="AV97" s="1568">
        <v>7</v>
      </c>
      <c r="AW97" s="1568">
        <v>6</v>
      </c>
      <c r="AX97" s="1568">
        <v>3</v>
      </c>
      <c r="AY97" s="1553">
        <f>SUM(AV97:AX97)</f>
        <v>16</v>
      </c>
      <c r="AZ97" s="1568">
        <v>10</v>
      </c>
      <c r="BA97" s="1568">
        <v>4</v>
      </c>
      <c r="BB97" s="1568">
        <v>3</v>
      </c>
      <c r="BC97" s="1553">
        <f>SUM(AZ97:BB97)</f>
        <v>17</v>
      </c>
      <c r="BD97" s="1568">
        <v>3</v>
      </c>
      <c r="BE97" s="1568">
        <v>4</v>
      </c>
      <c r="BF97" s="1568">
        <v>8</v>
      </c>
      <c r="BG97" s="1553">
        <f t="shared" si="74"/>
        <v>15</v>
      </c>
      <c r="BH97" s="1568">
        <v>6</v>
      </c>
      <c r="BI97" s="1568">
        <v>5</v>
      </c>
      <c r="BJ97" s="1568">
        <v>2</v>
      </c>
      <c r="BK97" s="1553">
        <f>SUM(BH97:BJ97)</f>
        <v>13</v>
      </c>
      <c r="BL97" s="1568">
        <v>3</v>
      </c>
      <c r="BM97" s="1568">
        <v>11</v>
      </c>
      <c r="BN97" s="1568">
        <v>8</v>
      </c>
      <c r="BO97" s="1553">
        <f t="shared" si="76"/>
        <v>22</v>
      </c>
      <c r="BP97" s="1568">
        <v>4</v>
      </c>
      <c r="BQ97" s="1568">
        <v>7</v>
      </c>
      <c r="BR97" s="1568">
        <v>3</v>
      </c>
      <c r="BS97" s="1553">
        <f>SUM(BP97:BR97)</f>
        <v>14</v>
      </c>
      <c r="BT97" s="1568">
        <v>7</v>
      </c>
      <c r="BU97" s="1568">
        <v>3</v>
      </c>
      <c r="BV97" s="1568">
        <v>4</v>
      </c>
      <c r="BW97" s="1553">
        <f>SUM(BT97:BV97)</f>
        <v>14</v>
      </c>
      <c r="BX97" s="1568">
        <v>6</v>
      </c>
      <c r="BY97" s="1568">
        <v>5</v>
      </c>
      <c r="BZ97" s="1568">
        <v>3</v>
      </c>
      <c r="CA97" s="1553">
        <f>SUM(BX97:BZ97)</f>
        <v>14</v>
      </c>
      <c r="CB97" s="1568">
        <v>8</v>
      </c>
      <c r="CC97" s="1568">
        <v>5</v>
      </c>
      <c r="CD97" s="1568">
        <v>7</v>
      </c>
      <c r="CE97" s="1553">
        <f t="shared" si="65"/>
        <v>20</v>
      </c>
      <c r="CF97" s="1568">
        <v>6</v>
      </c>
      <c r="CG97" s="1568">
        <v>2</v>
      </c>
      <c r="CH97" s="1568">
        <v>4</v>
      </c>
      <c r="CI97" s="1553">
        <f t="shared" si="66"/>
        <v>12</v>
      </c>
      <c r="CJ97" s="1568">
        <v>2</v>
      </c>
      <c r="CK97" s="1568"/>
      <c r="CL97" s="1568">
        <v>11</v>
      </c>
      <c r="CM97" s="1553">
        <f t="shared" si="61"/>
        <v>13</v>
      </c>
      <c r="CN97" s="1568">
        <v>6</v>
      </c>
      <c r="CO97" s="1568">
        <v>2</v>
      </c>
      <c r="CP97" s="1568">
        <v>9</v>
      </c>
      <c r="CQ97" s="1553">
        <f t="shared" si="62"/>
        <v>17</v>
      </c>
      <c r="CR97" s="1568">
        <v>9</v>
      </c>
      <c r="CS97" s="1568">
        <v>4</v>
      </c>
      <c r="CT97" s="1568">
        <v>4</v>
      </c>
      <c r="CU97" s="1553">
        <f t="shared" si="80"/>
        <v>17</v>
      </c>
    </row>
    <row r="98" spans="2:99" ht="12.75" customHeight="1" x14ac:dyDescent="0.25">
      <c r="B98" s="5878"/>
      <c r="C98" s="1616" t="s">
        <v>384</v>
      </c>
      <c r="D98" s="1567"/>
      <c r="E98" s="1568"/>
      <c r="F98" s="1568"/>
      <c r="G98" s="1569"/>
      <c r="H98" s="1567"/>
      <c r="I98" s="1568"/>
      <c r="J98" s="1568"/>
      <c r="K98" s="1569"/>
      <c r="L98" s="1567"/>
      <c r="M98" s="1568"/>
      <c r="N98" s="1568"/>
      <c r="O98" s="1569"/>
      <c r="P98" s="1567"/>
      <c r="Q98" s="1568"/>
      <c r="R98" s="1568"/>
      <c r="S98" s="1569"/>
      <c r="T98" s="1567"/>
      <c r="U98" s="1568"/>
      <c r="V98" s="1568"/>
      <c r="W98" s="1569"/>
      <c r="X98" s="1567"/>
      <c r="Y98" s="1568">
        <v>2</v>
      </c>
      <c r="Z98" s="1568">
        <v>1</v>
      </c>
      <c r="AA98" s="1569">
        <f t="shared" si="70"/>
        <v>3</v>
      </c>
      <c r="AB98" s="1567">
        <v>1</v>
      </c>
      <c r="AC98" s="1568">
        <v>1</v>
      </c>
      <c r="AD98" s="1568">
        <v>1</v>
      </c>
      <c r="AE98" s="1553">
        <f t="shared" ref="AE98:AE111" si="81">SUM(AB98:AD98)</f>
        <v>3</v>
      </c>
      <c r="AF98" s="1568"/>
      <c r="AG98" s="1568">
        <v>1</v>
      </c>
      <c r="AH98" s="1568"/>
      <c r="AI98" s="1553">
        <f t="shared" ref="AI98:AI110" si="82">SUM(AF98:AH98)</f>
        <v>1</v>
      </c>
      <c r="AJ98" s="1568">
        <v>1</v>
      </c>
      <c r="AK98" s="1568"/>
      <c r="AL98" s="1568">
        <v>1</v>
      </c>
      <c r="AM98" s="1553">
        <f t="shared" ref="AM98:AM123" si="83">SUM(AJ98:AL98)</f>
        <v>2</v>
      </c>
      <c r="AN98" s="1568">
        <v>1</v>
      </c>
      <c r="AO98" s="1568">
        <v>2</v>
      </c>
      <c r="AP98" s="1568">
        <v>2</v>
      </c>
      <c r="AQ98" s="1553">
        <f t="shared" ref="AQ98:AQ142" si="84">SUM(AN98:AP98)</f>
        <v>5</v>
      </c>
      <c r="AR98" s="1568">
        <v>4</v>
      </c>
      <c r="AS98" s="1568">
        <v>2</v>
      </c>
      <c r="AT98" s="1568">
        <v>1</v>
      </c>
      <c r="AU98" s="1553">
        <f t="shared" ref="AU98:AU142" si="85">SUM(AR98:AT98)</f>
        <v>7</v>
      </c>
      <c r="AV98" s="1568">
        <v>1</v>
      </c>
      <c r="AW98" s="1568">
        <v>2</v>
      </c>
      <c r="AX98" s="1568">
        <v>1</v>
      </c>
      <c r="AY98" s="1553">
        <f t="shared" ref="AY98:AY142" si="86">SUM(AV98:AX98)</f>
        <v>4</v>
      </c>
      <c r="AZ98" s="1568"/>
      <c r="BA98" s="1568"/>
      <c r="BB98" s="1568">
        <v>4</v>
      </c>
      <c r="BC98" s="1553">
        <f t="shared" ref="BC98:BC142" si="87">SUM(AZ98:BB98)</f>
        <v>4</v>
      </c>
      <c r="BD98" s="1568">
        <v>2</v>
      </c>
      <c r="BE98" s="1568">
        <v>2</v>
      </c>
      <c r="BF98" s="1568">
        <v>5</v>
      </c>
      <c r="BG98" s="1553">
        <f t="shared" si="74"/>
        <v>9</v>
      </c>
      <c r="BH98" s="1568">
        <v>2</v>
      </c>
      <c r="BI98" s="1568">
        <v>3</v>
      </c>
      <c r="BJ98" s="1568">
        <v>4</v>
      </c>
      <c r="BK98" s="1553">
        <f>SUM(BH98:BJ98)</f>
        <v>9</v>
      </c>
      <c r="BL98" s="1568">
        <v>1</v>
      </c>
      <c r="BM98" s="1568">
        <v>5</v>
      </c>
      <c r="BN98" s="1568">
        <v>2</v>
      </c>
      <c r="BO98" s="1553">
        <f>SUM(BL98:BN98)</f>
        <v>8</v>
      </c>
      <c r="BP98" s="1568">
        <v>4</v>
      </c>
      <c r="BQ98" s="1568">
        <v>4</v>
      </c>
      <c r="BR98" s="1568">
        <v>6</v>
      </c>
      <c r="BS98" s="1553">
        <f>SUM(BP98:BR98)</f>
        <v>14</v>
      </c>
      <c r="BT98" s="1568">
        <v>2</v>
      </c>
      <c r="BU98" s="1568">
        <v>5</v>
      </c>
      <c r="BV98" s="1568">
        <v>5</v>
      </c>
      <c r="BW98" s="1553">
        <f>SUM(BT98:BV98)</f>
        <v>12</v>
      </c>
      <c r="BX98" s="1568">
        <v>9</v>
      </c>
      <c r="BY98" s="1568">
        <v>3</v>
      </c>
      <c r="BZ98" s="1568">
        <v>3</v>
      </c>
      <c r="CA98" s="1553">
        <f>SUM(BX98:BZ98)</f>
        <v>15</v>
      </c>
      <c r="CB98" s="1568">
        <v>4</v>
      </c>
      <c r="CC98" s="1568">
        <v>3</v>
      </c>
      <c r="CD98" s="1568">
        <v>1</v>
      </c>
      <c r="CE98" s="1553">
        <f t="shared" si="65"/>
        <v>8</v>
      </c>
      <c r="CF98" s="1568">
        <v>5</v>
      </c>
      <c r="CG98" s="1568">
        <v>3</v>
      </c>
      <c r="CH98" s="1568">
        <v>2</v>
      </c>
      <c r="CI98" s="1553">
        <f t="shared" si="66"/>
        <v>10</v>
      </c>
      <c r="CJ98" s="1568">
        <v>1</v>
      </c>
      <c r="CK98" s="1568"/>
      <c r="CL98" s="1568">
        <v>7</v>
      </c>
      <c r="CM98" s="1553">
        <f t="shared" si="61"/>
        <v>8</v>
      </c>
      <c r="CN98" s="1568">
        <v>1</v>
      </c>
      <c r="CO98" s="1568">
        <v>5</v>
      </c>
      <c r="CP98" s="1568">
        <v>5</v>
      </c>
      <c r="CQ98" s="1553">
        <f t="shared" si="62"/>
        <v>11</v>
      </c>
      <c r="CR98" s="1568">
        <v>2</v>
      </c>
      <c r="CS98" s="1568">
        <v>2</v>
      </c>
      <c r="CT98" s="1568">
        <v>4</v>
      </c>
      <c r="CU98" s="1553">
        <f t="shared" si="80"/>
        <v>8</v>
      </c>
    </row>
    <row r="99" spans="2:99" ht="12.75" customHeight="1" x14ac:dyDescent="0.25">
      <c r="B99" s="5879"/>
      <c r="C99" s="1617" t="s">
        <v>354</v>
      </c>
      <c r="D99" s="1573">
        <v>2</v>
      </c>
      <c r="E99" s="1574">
        <v>2</v>
      </c>
      <c r="F99" s="1574">
        <v>1</v>
      </c>
      <c r="G99" s="1575">
        <f>SUM(D99:F99)</f>
        <v>5</v>
      </c>
      <c r="H99" s="1573">
        <v>4</v>
      </c>
      <c r="I99" s="1574">
        <v>3</v>
      </c>
      <c r="J99" s="1574">
        <v>2</v>
      </c>
      <c r="K99" s="1575">
        <f>SUM(H99:J99)</f>
        <v>9</v>
      </c>
      <c r="L99" s="1573">
        <v>4</v>
      </c>
      <c r="M99" s="1574">
        <v>3</v>
      </c>
      <c r="N99" s="1574">
        <v>2</v>
      </c>
      <c r="O99" s="1575">
        <f>SUM(L99:N99)</f>
        <v>9</v>
      </c>
      <c r="P99" s="1573">
        <v>6</v>
      </c>
      <c r="Q99" s="1574">
        <v>3</v>
      </c>
      <c r="R99" s="1574">
        <v>1</v>
      </c>
      <c r="S99" s="1575">
        <f>SUM(P99:R99)</f>
        <v>10</v>
      </c>
      <c r="T99" s="1573">
        <v>3</v>
      </c>
      <c r="U99" s="1574">
        <v>5</v>
      </c>
      <c r="V99" s="1574">
        <v>6</v>
      </c>
      <c r="W99" s="1575">
        <f>SUM(T99:V99)</f>
        <v>14</v>
      </c>
      <c r="X99" s="1573">
        <v>6</v>
      </c>
      <c r="Y99" s="1574">
        <v>7</v>
      </c>
      <c r="Z99" s="1574">
        <v>3</v>
      </c>
      <c r="AA99" s="1575">
        <f t="shared" si="70"/>
        <v>16</v>
      </c>
      <c r="AB99" s="1573">
        <v>10</v>
      </c>
      <c r="AC99" s="1574">
        <v>2</v>
      </c>
      <c r="AD99" s="1574">
        <v>1</v>
      </c>
      <c r="AE99" s="1576">
        <f t="shared" si="81"/>
        <v>13</v>
      </c>
      <c r="AF99" s="1574">
        <v>5</v>
      </c>
      <c r="AG99" s="1574">
        <v>3</v>
      </c>
      <c r="AH99" s="1574"/>
      <c r="AI99" s="1576">
        <f t="shared" si="82"/>
        <v>8</v>
      </c>
      <c r="AJ99" s="1574">
        <v>2</v>
      </c>
      <c r="AK99" s="1574">
        <v>6</v>
      </c>
      <c r="AL99" s="1574">
        <v>7</v>
      </c>
      <c r="AM99" s="1576">
        <f t="shared" si="83"/>
        <v>15</v>
      </c>
      <c r="AN99" s="1574">
        <v>4</v>
      </c>
      <c r="AO99" s="1574">
        <v>2</v>
      </c>
      <c r="AP99" s="1574">
        <v>5</v>
      </c>
      <c r="AQ99" s="1576">
        <f t="shared" si="84"/>
        <v>11</v>
      </c>
      <c r="AR99" s="1574">
        <v>1</v>
      </c>
      <c r="AS99" s="1574">
        <v>4</v>
      </c>
      <c r="AT99" s="1574">
        <v>10</v>
      </c>
      <c r="AU99" s="1576">
        <f t="shared" si="85"/>
        <v>15</v>
      </c>
      <c r="AV99" s="1574"/>
      <c r="AW99" s="1574">
        <v>3</v>
      </c>
      <c r="AX99" s="1574">
        <v>5</v>
      </c>
      <c r="AY99" s="1576">
        <f t="shared" si="86"/>
        <v>8</v>
      </c>
      <c r="AZ99" s="1574">
        <v>7</v>
      </c>
      <c r="BA99" s="1574">
        <v>2</v>
      </c>
      <c r="BB99" s="1574"/>
      <c r="BC99" s="1576">
        <f t="shared" si="87"/>
        <v>9</v>
      </c>
      <c r="BD99" s="1574">
        <v>3</v>
      </c>
      <c r="BE99" s="1574">
        <v>2</v>
      </c>
      <c r="BF99" s="1574">
        <v>3</v>
      </c>
      <c r="BG99" s="1576">
        <f>SUM(BD99:BF99)</f>
        <v>8</v>
      </c>
      <c r="BH99" s="1574">
        <v>2</v>
      </c>
      <c r="BI99" s="1574">
        <v>7</v>
      </c>
      <c r="BJ99" s="1574">
        <v>2</v>
      </c>
      <c r="BK99" s="1576">
        <f>SUM(BH99:BJ99)</f>
        <v>11</v>
      </c>
      <c r="BL99" s="1574">
        <v>1</v>
      </c>
      <c r="BM99" s="1574">
        <v>6</v>
      </c>
      <c r="BN99" s="1574">
        <v>1</v>
      </c>
      <c r="BO99" s="1576">
        <f>SUM(BL99:BN99)</f>
        <v>8</v>
      </c>
      <c r="BP99" s="1574">
        <v>8</v>
      </c>
      <c r="BQ99" s="1574">
        <v>1</v>
      </c>
      <c r="BR99" s="1574">
        <v>3</v>
      </c>
      <c r="BS99" s="1576">
        <f>SUM(BP99:BR99)</f>
        <v>12</v>
      </c>
      <c r="BT99" s="1574">
        <v>3</v>
      </c>
      <c r="BU99" s="1574">
        <v>1</v>
      </c>
      <c r="BV99" s="1574">
        <v>3</v>
      </c>
      <c r="BW99" s="1576">
        <f>SUM(BT99:BV99)</f>
        <v>7</v>
      </c>
      <c r="BX99" s="1574">
        <v>2</v>
      </c>
      <c r="BY99" s="1574">
        <v>1</v>
      </c>
      <c r="BZ99" s="1574">
        <v>1</v>
      </c>
      <c r="CA99" s="1576">
        <f>SUM(BX99:BZ99)</f>
        <v>4</v>
      </c>
      <c r="CB99" s="1574">
        <v>1</v>
      </c>
      <c r="CC99" s="1574">
        <v>4</v>
      </c>
      <c r="CD99" s="1574">
        <v>5</v>
      </c>
      <c r="CE99" s="1576">
        <f t="shared" si="65"/>
        <v>10</v>
      </c>
      <c r="CF99" s="1574">
        <v>8</v>
      </c>
      <c r="CG99" s="1574">
        <v>2</v>
      </c>
      <c r="CH99" s="1574">
        <v>5</v>
      </c>
      <c r="CI99" s="1576">
        <f t="shared" si="66"/>
        <v>15</v>
      </c>
      <c r="CJ99" s="1574">
        <v>1</v>
      </c>
      <c r="CK99" s="1574"/>
      <c r="CL99" s="1574">
        <v>14</v>
      </c>
      <c r="CM99" s="1576">
        <f t="shared" si="61"/>
        <v>15</v>
      </c>
      <c r="CN99" s="1574">
        <v>4</v>
      </c>
      <c r="CO99" s="1574">
        <v>8</v>
      </c>
      <c r="CP99" s="1574">
        <v>5</v>
      </c>
      <c r="CQ99" s="1576">
        <f t="shared" si="62"/>
        <v>17</v>
      </c>
      <c r="CR99" s="1574">
        <v>2</v>
      </c>
      <c r="CS99" s="1574">
        <v>6</v>
      </c>
      <c r="CT99" s="1574">
        <v>3</v>
      </c>
      <c r="CU99" s="1576">
        <f t="shared" si="80"/>
        <v>11</v>
      </c>
    </row>
    <row r="100" spans="2:99" ht="12.75" customHeight="1" x14ac:dyDescent="0.25">
      <c r="B100" s="1577"/>
      <c r="C100" s="1578" t="s">
        <v>92</v>
      </c>
      <c r="D100" s="1579">
        <f t="shared" ref="D100:BO100" si="88">SUM(D90:D99)</f>
        <v>3</v>
      </c>
      <c r="E100" s="1580">
        <f t="shared" si="88"/>
        <v>12</v>
      </c>
      <c r="F100" s="1580">
        <f t="shared" si="88"/>
        <v>13</v>
      </c>
      <c r="G100" s="1580">
        <f t="shared" si="88"/>
        <v>28</v>
      </c>
      <c r="H100" s="1579">
        <f t="shared" si="88"/>
        <v>11</v>
      </c>
      <c r="I100" s="1580">
        <f t="shared" si="88"/>
        <v>13</v>
      </c>
      <c r="J100" s="1580">
        <f t="shared" si="88"/>
        <v>6</v>
      </c>
      <c r="K100" s="1580">
        <f t="shared" si="88"/>
        <v>30</v>
      </c>
      <c r="L100" s="1579">
        <f t="shared" si="88"/>
        <v>7</v>
      </c>
      <c r="M100" s="1580">
        <f t="shared" si="88"/>
        <v>16</v>
      </c>
      <c r="N100" s="1580">
        <f t="shared" si="88"/>
        <v>26</v>
      </c>
      <c r="O100" s="1580">
        <f t="shared" si="88"/>
        <v>49</v>
      </c>
      <c r="P100" s="1579">
        <f t="shared" si="88"/>
        <v>11</v>
      </c>
      <c r="Q100" s="1580">
        <f t="shared" si="88"/>
        <v>19</v>
      </c>
      <c r="R100" s="1580">
        <f t="shared" si="88"/>
        <v>11</v>
      </c>
      <c r="S100" s="1580">
        <f t="shared" si="88"/>
        <v>41</v>
      </c>
      <c r="T100" s="1579">
        <f t="shared" si="88"/>
        <v>22</v>
      </c>
      <c r="U100" s="1580">
        <f t="shared" si="88"/>
        <v>19</v>
      </c>
      <c r="V100" s="1580">
        <f t="shared" si="88"/>
        <v>21</v>
      </c>
      <c r="W100" s="1580">
        <f t="shared" si="88"/>
        <v>62</v>
      </c>
      <c r="X100" s="1579">
        <f t="shared" si="88"/>
        <v>13</v>
      </c>
      <c r="Y100" s="1580">
        <f t="shared" si="88"/>
        <v>44</v>
      </c>
      <c r="Z100" s="1580">
        <f t="shared" si="88"/>
        <v>25</v>
      </c>
      <c r="AA100" s="1580">
        <f t="shared" si="88"/>
        <v>82</v>
      </c>
      <c r="AB100" s="1579">
        <f t="shared" si="88"/>
        <v>24</v>
      </c>
      <c r="AC100" s="1580">
        <f t="shared" si="88"/>
        <v>22</v>
      </c>
      <c r="AD100" s="1580">
        <f t="shared" si="88"/>
        <v>24</v>
      </c>
      <c r="AE100" s="1581">
        <f t="shared" si="88"/>
        <v>70</v>
      </c>
      <c r="AF100" s="1580">
        <f t="shared" si="88"/>
        <v>15</v>
      </c>
      <c r="AG100" s="1580">
        <f t="shared" si="88"/>
        <v>26</v>
      </c>
      <c r="AH100" s="1580">
        <f t="shared" si="88"/>
        <v>22</v>
      </c>
      <c r="AI100" s="1581">
        <f t="shared" si="88"/>
        <v>63</v>
      </c>
      <c r="AJ100" s="1580">
        <f t="shared" si="88"/>
        <v>20</v>
      </c>
      <c r="AK100" s="1580">
        <f t="shared" si="88"/>
        <v>22</v>
      </c>
      <c r="AL100" s="1580">
        <f t="shared" si="88"/>
        <v>29</v>
      </c>
      <c r="AM100" s="1581">
        <f t="shared" si="88"/>
        <v>71</v>
      </c>
      <c r="AN100" s="1580">
        <f t="shared" si="88"/>
        <v>28</v>
      </c>
      <c r="AO100" s="1580">
        <f t="shared" si="88"/>
        <v>20</v>
      </c>
      <c r="AP100" s="1580">
        <f t="shared" si="88"/>
        <v>27</v>
      </c>
      <c r="AQ100" s="1581">
        <f t="shared" si="88"/>
        <v>75</v>
      </c>
      <c r="AR100" s="1580">
        <f t="shared" si="88"/>
        <v>30</v>
      </c>
      <c r="AS100" s="1580">
        <f t="shared" si="88"/>
        <v>35</v>
      </c>
      <c r="AT100" s="1580">
        <f t="shared" si="88"/>
        <v>36</v>
      </c>
      <c r="AU100" s="1581">
        <f t="shared" si="88"/>
        <v>101</v>
      </c>
      <c r="AV100" s="1580">
        <f t="shared" si="88"/>
        <v>38</v>
      </c>
      <c r="AW100" s="1580">
        <f t="shared" si="88"/>
        <v>38</v>
      </c>
      <c r="AX100" s="1580">
        <f t="shared" si="88"/>
        <v>26</v>
      </c>
      <c r="AY100" s="1581">
        <f t="shared" si="88"/>
        <v>102</v>
      </c>
      <c r="AZ100" s="1580">
        <f t="shared" si="88"/>
        <v>32</v>
      </c>
      <c r="BA100" s="1580">
        <f t="shared" si="88"/>
        <v>34</v>
      </c>
      <c r="BB100" s="1580">
        <f t="shared" si="88"/>
        <v>33</v>
      </c>
      <c r="BC100" s="1581">
        <f t="shared" si="88"/>
        <v>99</v>
      </c>
      <c r="BD100" s="1580">
        <f t="shared" si="88"/>
        <v>29</v>
      </c>
      <c r="BE100" s="1580">
        <f t="shared" si="88"/>
        <v>28</v>
      </c>
      <c r="BF100" s="1580">
        <f t="shared" si="88"/>
        <v>37</v>
      </c>
      <c r="BG100" s="1581">
        <f t="shared" si="88"/>
        <v>94</v>
      </c>
      <c r="BH100" s="1580">
        <f t="shared" si="88"/>
        <v>27</v>
      </c>
      <c r="BI100" s="1580">
        <f t="shared" si="88"/>
        <v>40</v>
      </c>
      <c r="BJ100" s="1580">
        <f t="shared" si="88"/>
        <v>47</v>
      </c>
      <c r="BK100" s="1581">
        <f t="shared" si="88"/>
        <v>114</v>
      </c>
      <c r="BL100" s="1580">
        <f t="shared" si="88"/>
        <v>26</v>
      </c>
      <c r="BM100" s="1580">
        <f t="shared" si="88"/>
        <v>50</v>
      </c>
      <c r="BN100" s="1580">
        <f t="shared" si="88"/>
        <v>37</v>
      </c>
      <c r="BO100" s="1581">
        <f t="shared" si="88"/>
        <v>113</v>
      </c>
      <c r="BP100" s="1580">
        <f t="shared" ref="BP100:CD100" si="89">SUM(BP90:BP99)</f>
        <v>29</v>
      </c>
      <c r="BQ100" s="1580">
        <f t="shared" si="89"/>
        <v>49</v>
      </c>
      <c r="BR100" s="1580">
        <f t="shared" si="89"/>
        <v>40</v>
      </c>
      <c r="BS100" s="1581">
        <f t="shared" si="89"/>
        <v>118</v>
      </c>
      <c r="BT100" s="1580">
        <f t="shared" si="89"/>
        <v>38</v>
      </c>
      <c r="BU100" s="1580">
        <f t="shared" si="89"/>
        <v>36</v>
      </c>
      <c r="BV100" s="1580">
        <f t="shared" si="89"/>
        <v>53</v>
      </c>
      <c r="BW100" s="1581">
        <f t="shared" si="89"/>
        <v>127</v>
      </c>
      <c r="BX100" s="1580">
        <f t="shared" si="89"/>
        <v>35</v>
      </c>
      <c r="BY100" s="1580">
        <f t="shared" si="89"/>
        <v>34</v>
      </c>
      <c r="BZ100" s="1580">
        <f t="shared" si="89"/>
        <v>28</v>
      </c>
      <c r="CA100" s="1581">
        <f t="shared" si="89"/>
        <v>97</v>
      </c>
      <c r="CB100" s="1580">
        <f t="shared" si="89"/>
        <v>27</v>
      </c>
      <c r="CC100" s="1580">
        <f t="shared" si="89"/>
        <v>45</v>
      </c>
      <c r="CD100" s="1580">
        <f t="shared" si="89"/>
        <v>40</v>
      </c>
      <c r="CE100" s="1581">
        <f t="shared" si="65"/>
        <v>112</v>
      </c>
      <c r="CF100" s="1580">
        <f>SUM(CF90:CF99)</f>
        <v>34</v>
      </c>
      <c r="CG100" s="1580">
        <f>SUM(CG90:CG99)</f>
        <v>29</v>
      </c>
      <c r="CH100" s="1580">
        <f>SUM(CH90:CH99)</f>
        <v>29</v>
      </c>
      <c r="CI100" s="1581">
        <f t="shared" si="66"/>
        <v>92</v>
      </c>
      <c r="CJ100" s="1580">
        <f>SUM(CJ90:CJ99)</f>
        <v>8</v>
      </c>
      <c r="CK100" s="1580">
        <f>SUM(CK90:CK99)</f>
        <v>10</v>
      </c>
      <c r="CL100" s="1580">
        <f>SUM(CL90:CL99)</f>
        <v>69</v>
      </c>
      <c r="CM100" s="1582">
        <f t="shared" si="61"/>
        <v>87</v>
      </c>
      <c r="CN100" s="1580">
        <f>SUM(CN90:CN99)</f>
        <v>28</v>
      </c>
      <c r="CO100" s="1580">
        <f>SUM(CO90:CO99)</f>
        <v>24</v>
      </c>
      <c r="CP100" s="1580">
        <f>SUM(CP90:CP99)</f>
        <v>36</v>
      </c>
      <c r="CQ100" s="1582">
        <f t="shared" si="62"/>
        <v>88</v>
      </c>
      <c r="CR100" s="1580">
        <f>SUM(CR90:CR99)</f>
        <v>29</v>
      </c>
      <c r="CS100" s="1580">
        <f>SUM(CS90:CS99)</f>
        <v>22</v>
      </c>
      <c r="CT100" s="1580">
        <f>SUM(CT90:CT99)</f>
        <v>24</v>
      </c>
      <c r="CU100" s="1582">
        <f t="shared" si="80"/>
        <v>75</v>
      </c>
    </row>
    <row r="101" spans="2:99" ht="12.75" customHeight="1" x14ac:dyDescent="0.25">
      <c r="B101" s="1618"/>
      <c r="C101" s="1619" t="s">
        <v>388</v>
      </c>
      <c r="D101" s="1620">
        <f t="shared" ref="D101:BO101" si="90">SUM(D70,D89,D100)</f>
        <v>20</v>
      </c>
      <c r="E101" s="1621">
        <f t="shared" si="90"/>
        <v>46</v>
      </c>
      <c r="F101" s="1621">
        <f t="shared" si="90"/>
        <v>80</v>
      </c>
      <c r="G101" s="1621">
        <f t="shared" si="90"/>
        <v>146</v>
      </c>
      <c r="H101" s="1620">
        <f t="shared" si="90"/>
        <v>26</v>
      </c>
      <c r="I101" s="1621">
        <f t="shared" si="90"/>
        <v>60</v>
      </c>
      <c r="J101" s="1621">
        <f t="shared" si="90"/>
        <v>45</v>
      </c>
      <c r="K101" s="1621">
        <f t="shared" si="90"/>
        <v>131</v>
      </c>
      <c r="L101" s="1620">
        <f t="shared" si="90"/>
        <v>30</v>
      </c>
      <c r="M101" s="1621">
        <f t="shared" si="90"/>
        <v>109</v>
      </c>
      <c r="N101" s="1621">
        <f t="shared" si="90"/>
        <v>62</v>
      </c>
      <c r="O101" s="1621">
        <f t="shared" si="90"/>
        <v>201</v>
      </c>
      <c r="P101" s="1620">
        <f t="shared" si="90"/>
        <v>44</v>
      </c>
      <c r="Q101" s="1621">
        <f t="shared" si="90"/>
        <v>63</v>
      </c>
      <c r="R101" s="1621">
        <f t="shared" si="90"/>
        <v>43</v>
      </c>
      <c r="S101" s="1621">
        <f t="shared" si="90"/>
        <v>150</v>
      </c>
      <c r="T101" s="1620">
        <f t="shared" si="90"/>
        <v>52</v>
      </c>
      <c r="U101" s="1621">
        <f t="shared" si="90"/>
        <v>67</v>
      </c>
      <c r="V101" s="1621">
        <f t="shared" si="90"/>
        <v>77</v>
      </c>
      <c r="W101" s="1621">
        <f t="shared" si="90"/>
        <v>196</v>
      </c>
      <c r="X101" s="1620">
        <f t="shared" si="90"/>
        <v>50</v>
      </c>
      <c r="Y101" s="1621">
        <f t="shared" si="90"/>
        <v>132</v>
      </c>
      <c r="Z101" s="1621">
        <f t="shared" si="90"/>
        <v>73</v>
      </c>
      <c r="AA101" s="1621">
        <f t="shared" si="90"/>
        <v>255</v>
      </c>
      <c r="AB101" s="1620">
        <f t="shared" si="90"/>
        <v>54</v>
      </c>
      <c r="AC101" s="1621">
        <f t="shared" si="90"/>
        <v>131</v>
      </c>
      <c r="AD101" s="1621">
        <f t="shared" si="90"/>
        <v>49</v>
      </c>
      <c r="AE101" s="1622">
        <f t="shared" si="90"/>
        <v>234</v>
      </c>
      <c r="AF101" s="1621">
        <f t="shared" si="90"/>
        <v>37</v>
      </c>
      <c r="AG101" s="1621">
        <f t="shared" si="90"/>
        <v>86</v>
      </c>
      <c r="AH101" s="1621">
        <f t="shared" si="90"/>
        <v>154</v>
      </c>
      <c r="AI101" s="1622">
        <f t="shared" si="90"/>
        <v>277</v>
      </c>
      <c r="AJ101" s="1621">
        <f t="shared" si="90"/>
        <v>53</v>
      </c>
      <c r="AK101" s="1621">
        <f t="shared" si="90"/>
        <v>109</v>
      </c>
      <c r="AL101" s="1621">
        <f t="shared" si="90"/>
        <v>76</v>
      </c>
      <c r="AM101" s="1622">
        <f t="shared" si="90"/>
        <v>238</v>
      </c>
      <c r="AN101" s="1621">
        <f t="shared" si="90"/>
        <v>128</v>
      </c>
      <c r="AO101" s="1621">
        <f t="shared" si="90"/>
        <v>81</v>
      </c>
      <c r="AP101" s="1621">
        <f t="shared" si="90"/>
        <v>74</v>
      </c>
      <c r="AQ101" s="1622">
        <f t="shared" si="90"/>
        <v>283</v>
      </c>
      <c r="AR101" s="1621">
        <f t="shared" si="90"/>
        <v>83</v>
      </c>
      <c r="AS101" s="1621">
        <f t="shared" si="90"/>
        <v>125</v>
      </c>
      <c r="AT101" s="1621">
        <f t="shared" si="90"/>
        <v>96</v>
      </c>
      <c r="AU101" s="1622">
        <f t="shared" si="90"/>
        <v>304</v>
      </c>
      <c r="AV101" s="1621">
        <f t="shared" si="90"/>
        <v>101</v>
      </c>
      <c r="AW101" s="1621">
        <f t="shared" si="90"/>
        <v>157</v>
      </c>
      <c r="AX101" s="1621">
        <f t="shared" si="90"/>
        <v>77</v>
      </c>
      <c r="AY101" s="1622">
        <f t="shared" si="90"/>
        <v>335</v>
      </c>
      <c r="AZ101" s="1621">
        <f t="shared" si="90"/>
        <v>195</v>
      </c>
      <c r="BA101" s="1621">
        <f t="shared" si="90"/>
        <v>104</v>
      </c>
      <c r="BB101" s="1621">
        <f t="shared" si="90"/>
        <v>138</v>
      </c>
      <c r="BC101" s="1622">
        <f t="shared" si="90"/>
        <v>437</v>
      </c>
      <c r="BD101" s="1621">
        <f t="shared" si="90"/>
        <v>78</v>
      </c>
      <c r="BE101" s="1621">
        <f t="shared" si="90"/>
        <v>137</v>
      </c>
      <c r="BF101" s="1621">
        <f t="shared" si="90"/>
        <v>162</v>
      </c>
      <c r="BG101" s="1622">
        <f t="shared" si="90"/>
        <v>377</v>
      </c>
      <c r="BH101" s="1621">
        <f t="shared" si="90"/>
        <v>120</v>
      </c>
      <c r="BI101" s="1621">
        <f t="shared" si="90"/>
        <v>110</v>
      </c>
      <c r="BJ101" s="1621">
        <f t="shared" si="90"/>
        <v>111</v>
      </c>
      <c r="BK101" s="1622">
        <f t="shared" si="90"/>
        <v>341</v>
      </c>
      <c r="BL101" s="1621">
        <f t="shared" si="90"/>
        <v>95</v>
      </c>
      <c r="BM101" s="1621">
        <f t="shared" si="90"/>
        <v>163</v>
      </c>
      <c r="BN101" s="1621">
        <f t="shared" si="90"/>
        <v>179</v>
      </c>
      <c r="BO101" s="1622">
        <f t="shared" si="90"/>
        <v>437</v>
      </c>
      <c r="BP101" s="1621">
        <f t="shared" ref="BP101:CD101" si="91">SUM(BP70,BP89,BP100)</f>
        <v>81</v>
      </c>
      <c r="BQ101" s="1621">
        <f t="shared" si="91"/>
        <v>110</v>
      </c>
      <c r="BR101" s="1621">
        <f t="shared" si="91"/>
        <v>91</v>
      </c>
      <c r="BS101" s="1622">
        <f t="shared" si="91"/>
        <v>282</v>
      </c>
      <c r="BT101" s="1621">
        <f t="shared" si="91"/>
        <v>112</v>
      </c>
      <c r="BU101" s="1621">
        <f t="shared" si="91"/>
        <v>134</v>
      </c>
      <c r="BV101" s="1621">
        <f t="shared" si="91"/>
        <v>178</v>
      </c>
      <c r="BW101" s="1622">
        <f t="shared" si="91"/>
        <v>424</v>
      </c>
      <c r="BX101" s="1621">
        <f t="shared" si="91"/>
        <v>113</v>
      </c>
      <c r="BY101" s="1621">
        <f t="shared" si="91"/>
        <v>103</v>
      </c>
      <c r="BZ101" s="1621">
        <f t="shared" si="91"/>
        <v>114</v>
      </c>
      <c r="CA101" s="1622">
        <f t="shared" si="91"/>
        <v>330</v>
      </c>
      <c r="CB101" s="1621">
        <f t="shared" si="91"/>
        <v>84</v>
      </c>
      <c r="CC101" s="1621">
        <f t="shared" si="91"/>
        <v>207</v>
      </c>
      <c r="CD101" s="1621">
        <f t="shared" si="91"/>
        <v>121</v>
      </c>
      <c r="CE101" s="1622">
        <f t="shared" si="65"/>
        <v>412</v>
      </c>
      <c r="CF101" s="1621">
        <f>SUM(CF70,CF89,CF100)</f>
        <v>115</v>
      </c>
      <c r="CG101" s="1621">
        <f>SUM(CG70,CG89,CG100)</f>
        <v>122</v>
      </c>
      <c r="CH101" s="1621">
        <f>SUM(CH70,CH89,CH100)</f>
        <v>113</v>
      </c>
      <c r="CI101" s="1622">
        <f t="shared" si="66"/>
        <v>350</v>
      </c>
      <c r="CJ101" s="1621">
        <f>SUM(CJ70,CJ89,CJ100)</f>
        <v>41</v>
      </c>
      <c r="CK101" s="1621">
        <f>SUM(CK70,CK89,CK100)</f>
        <v>66</v>
      </c>
      <c r="CL101" s="1621">
        <f>SUM(CL70,CL89,CL100)</f>
        <v>165</v>
      </c>
      <c r="CM101" s="1622">
        <f t="shared" si="61"/>
        <v>272</v>
      </c>
      <c r="CN101" s="1621">
        <f>SUM(CN70,CN89,CN100)</f>
        <v>75</v>
      </c>
      <c r="CO101" s="1621">
        <f>SUM(CO70,CO89,CO100)</f>
        <v>128</v>
      </c>
      <c r="CP101" s="1621">
        <f>SUM(CP70,CP89,CP100)</f>
        <v>86</v>
      </c>
      <c r="CQ101" s="1622">
        <f t="shared" si="62"/>
        <v>289</v>
      </c>
      <c r="CR101" s="1621">
        <f>SUM(CR70,CR89,CR100)</f>
        <v>71</v>
      </c>
      <c r="CS101" s="1621">
        <f>SUM(CS70,CS89,CS100)</f>
        <v>66</v>
      </c>
      <c r="CT101" s="1621">
        <f>SUM(CT70,CT89,CT100)</f>
        <v>145</v>
      </c>
      <c r="CU101" s="1622">
        <f t="shared" si="80"/>
        <v>282</v>
      </c>
    </row>
    <row r="102" spans="2:99" ht="12.75" customHeight="1" x14ac:dyDescent="0.25">
      <c r="B102" s="5880" t="s">
        <v>308</v>
      </c>
      <c r="C102" s="1623" t="s">
        <v>390</v>
      </c>
      <c r="D102" s="1587"/>
      <c r="E102" s="1588"/>
      <c r="F102" s="1588"/>
      <c r="G102" s="1589"/>
      <c r="H102" s="1587">
        <v>1</v>
      </c>
      <c r="I102" s="1588"/>
      <c r="J102" s="1588">
        <v>4</v>
      </c>
      <c r="K102" s="1589">
        <f>SUM(H102:J102)</f>
        <v>5</v>
      </c>
      <c r="L102" s="1587">
        <v>9</v>
      </c>
      <c r="M102" s="1588"/>
      <c r="N102" s="1588">
        <v>27</v>
      </c>
      <c r="O102" s="1589">
        <f>SUM(L102:N102)</f>
        <v>36</v>
      </c>
      <c r="P102" s="1587">
        <v>3</v>
      </c>
      <c r="Q102" s="1588">
        <v>12</v>
      </c>
      <c r="R102" s="1588"/>
      <c r="S102" s="1589">
        <f>SUM(P102:R102)</f>
        <v>15</v>
      </c>
      <c r="T102" s="1587"/>
      <c r="U102" s="1588">
        <v>1</v>
      </c>
      <c r="V102" s="1588">
        <v>12</v>
      </c>
      <c r="W102" s="1589">
        <f>SUM(T102:V102)</f>
        <v>13</v>
      </c>
      <c r="X102" s="1587">
        <v>1</v>
      </c>
      <c r="Y102" s="1588"/>
      <c r="Z102" s="1588">
        <v>1</v>
      </c>
      <c r="AA102" s="1589">
        <f t="shared" si="70"/>
        <v>2</v>
      </c>
      <c r="AB102" s="1587"/>
      <c r="AC102" s="1588">
        <v>15</v>
      </c>
      <c r="AD102" s="1588">
        <v>3</v>
      </c>
      <c r="AE102" s="1590">
        <f t="shared" si="81"/>
        <v>18</v>
      </c>
      <c r="AF102" s="1588"/>
      <c r="AG102" s="1588">
        <v>1</v>
      </c>
      <c r="AH102" s="1588"/>
      <c r="AI102" s="1590">
        <f t="shared" si="82"/>
        <v>1</v>
      </c>
      <c r="AJ102" s="1588"/>
      <c r="AK102" s="1588"/>
      <c r="AL102" s="1588">
        <v>12</v>
      </c>
      <c r="AM102" s="1590">
        <f t="shared" si="83"/>
        <v>12</v>
      </c>
      <c r="AN102" s="1588"/>
      <c r="AO102" s="1588"/>
      <c r="AP102" s="1588">
        <v>9</v>
      </c>
      <c r="AQ102" s="1590">
        <f t="shared" si="84"/>
        <v>9</v>
      </c>
      <c r="AR102" s="1588"/>
      <c r="AS102" s="1588"/>
      <c r="AT102" s="1588">
        <v>17</v>
      </c>
      <c r="AU102" s="1590">
        <f t="shared" si="85"/>
        <v>17</v>
      </c>
      <c r="AV102" s="1588"/>
      <c r="AW102" s="1588"/>
      <c r="AX102" s="1588"/>
      <c r="AY102" s="1590">
        <f t="shared" si="86"/>
        <v>0</v>
      </c>
      <c r="AZ102" s="1588"/>
      <c r="BA102" s="1588"/>
      <c r="BB102" s="1588">
        <v>17</v>
      </c>
      <c r="BC102" s="1590">
        <f t="shared" si="87"/>
        <v>17</v>
      </c>
      <c r="BD102" s="1588"/>
      <c r="BE102" s="1588">
        <v>1</v>
      </c>
      <c r="BF102" s="1588"/>
      <c r="BG102" s="1553">
        <f>SUM(BD102:BF102)</f>
        <v>1</v>
      </c>
      <c r="BH102" s="1588"/>
      <c r="BI102" s="1588"/>
      <c r="BJ102" s="1588"/>
      <c r="BK102" s="1553">
        <f>SUM(BH102:BJ102)</f>
        <v>0</v>
      </c>
      <c r="BL102" s="1588"/>
      <c r="BM102" s="1588"/>
      <c r="BN102" s="1588"/>
      <c r="BO102" s="1553">
        <f>SUM(BL102:BN102)</f>
        <v>0</v>
      </c>
      <c r="BP102" s="1588"/>
      <c r="BQ102" s="1588"/>
      <c r="BR102" s="1588"/>
      <c r="BS102" s="1553">
        <f>SUM(BP102:BR102)</f>
        <v>0</v>
      </c>
      <c r="BT102" s="1588"/>
      <c r="BU102" s="1588"/>
      <c r="BV102" s="1588"/>
      <c r="BW102" s="1553">
        <f>SUM(BT102:BV102)</f>
        <v>0</v>
      </c>
      <c r="BX102" s="1588"/>
      <c r="BY102" s="1588"/>
      <c r="BZ102" s="1588"/>
      <c r="CA102" s="1553">
        <f>SUM(BX102:BZ102)</f>
        <v>0</v>
      </c>
      <c r="CB102" s="1588"/>
      <c r="CC102" s="1588"/>
      <c r="CD102" s="1588"/>
      <c r="CE102" s="1553">
        <f t="shared" si="65"/>
        <v>0</v>
      </c>
      <c r="CF102" s="1588"/>
      <c r="CG102" s="1588"/>
      <c r="CH102" s="1588"/>
      <c r="CI102" s="1553">
        <f t="shared" si="66"/>
        <v>0</v>
      </c>
      <c r="CJ102" s="1588"/>
      <c r="CK102" s="1588"/>
      <c r="CL102" s="1588"/>
      <c r="CM102" s="1553">
        <f t="shared" si="61"/>
        <v>0</v>
      </c>
      <c r="CN102" s="1588"/>
      <c r="CO102" s="1588"/>
      <c r="CP102" s="1588"/>
      <c r="CQ102" s="1553">
        <f t="shared" si="62"/>
        <v>0</v>
      </c>
      <c r="CR102" s="1588"/>
      <c r="CS102" s="1588"/>
      <c r="CT102" s="1588"/>
      <c r="CU102" s="1553">
        <f t="shared" si="80"/>
        <v>0</v>
      </c>
    </row>
    <row r="103" spans="2:99" ht="12.75" customHeight="1" x14ac:dyDescent="0.25">
      <c r="B103" s="5881"/>
      <c r="C103" s="1594" t="s">
        <v>1397</v>
      </c>
      <c r="D103" s="1567"/>
      <c r="E103" s="1568"/>
      <c r="F103" s="1568"/>
      <c r="G103" s="1569"/>
      <c r="H103" s="1567"/>
      <c r="I103" s="1568"/>
      <c r="J103" s="1568"/>
      <c r="K103" s="1589"/>
      <c r="L103" s="1567"/>
      <c r="M103" s="1568"/>
      <c r="N103" s="1568"/>
      <c r="O103" s="1589"/>
      <c r="P103" s="1567"/>
      <c r="Q103" s="1568"/>
      <c r="R103" s="1568"/>
      <c r="S103" s="1589"/>
      <c r="T103" s="1567"/>
      <c r="U103" s="1568"/>
      <c r="V103" s="1568"/>
      <c r="W103" s="1569"/>
      <c r="X103" s="1567"/>
      <c r="Y103" s="1568">
        <v>1</v>
      </c>
      <c r="Z103" s="1568">
        <v>26</v>
      </c>
      <c r="AA103" s="1569">
        <f>SUM(X103:Z103)</f>
        <v>27</v>
      </c>
      <c r="AB103" s="1567"/>
      <c r="AC103" s="1568">
        <v>1</v>
      </c>
      <c r="AD103" s="1568"/>
      <c r="AE103" s="1553">
        <f>SUM(AB103:AD103)</f>
        <v>1</v>
      </c>
      <c r="AF103" s="1568"/>
      <c r="AG103" s="1568">
        <v>1</v>
      </c>
      <c r="AH103" s="1568"/>
      <c r="AI103" s="1553">
        <f>SUM(AF103:AH103)</f>
        <v>1</v>
      </c>
      <c r="AJ103" s="1568">
        <v>31</v>
      </c>
      <c r="AK103" s="1568"/>
      <c r="AL103" s="1568">
        <v>3</v>
      </c>
      <c r="AM103" s="1553">
        <f>SUM(AJ103:AL103)</f>
        <v>34</v>
      </c>
      <c r="AN103" s="1568"/>
      <c r="AO103" s="1568"/>
      <c r="AP103" s="1568">
        <v>33</v>
      </c>
      <c r="AQ103" s="1553">
        <f>SUM(AN103:AP103)</f>
        <v>33</v>
      </c>
      <c r="AR103" s="1568">
        <v>1</v>
      </c>
      <c r="AS103" s="1568"/>
      <c r="AT103" s="1568">
        <v>1</v>
      </c>
      <c r="AU103" s="1553">
        <f>SUM(AR103:AT103)</f>
        <v>2</v>
      </c>
      <c r="AV103" s="1568"/>
      <c r="AW103" s="1568"/>
      <c r="AX103" s="1568">
        <v>40</v>
      </c>
      <c r="AY103" s="1553">
        <f>SUM(AV103:AX103)</f>
        <v>40</v>
      </c>
      <c r="AZ103" s="1568">
        <v>1</v>
      </c>
      <c r="BA103" s="1568">
        <v>1</v>
      </c>
      <c r="BB103" s="1568"/>
      <c r="BC103" s="1553">
        <f>SUM(AZ103:BB103)</f>
        <v>2</v>
      </c>
      <c r="BD103" s="1568"/>
      <c r="BE103" s="1568"/>
      <c r="BF103" s="1568"/>
      <c r="BG103" s="1553">
        <f>SUM(BD103:BF103)</f>
        <v>0</v>
      </c>
      <c r="BH103" s="1568"/>
      <c r="BI103" s="1568">
        <v>1</v>
      </c>
      <c r="BJ103" s="1568"/>
      <c r="BK103" s="1553">
        <f>SUM(BH103:BJ103)</f>
        <v>1</v>
      </c>
      <c r="BL103" s="1568"/>
      <c r="BM103" s="1568"/>
      <c r="BN103" s="1568">
        <v>28</v>
      </c>
      <c r="BO103" s="1553">
        <f>SUM(BL103:BN103)</f>
        <v>28</v>
      </c>
      <c r="BP103" s="1568"/>
      <c r="BQ103" s="1568">
        <v>1</v>
      </c>
      <c r="BR103" s="1568"/>
      <c r="BS103" s="1553">
        <f>SUM(BP103:BR103)</f>
        <v>1</v>
      </c>
      <c r="BT103" s="1568"/>
      <c r="BU103" s="1568"/>
      <c r="BV103" s="1568">
        <v>1</v>
      </c>
      <c r="BW103" s="1553">
        <f>SUM(BT103:BV103)</f>
        <v>1</v>
      </c>
      <c r="BX103" s="1568">
        <v>1</v>
      </c>
      <c r="BY103" s="1568"/>
      <c r="BZ103" s="1568"/>
      <c r="CA103" s="1553">
        <f>SUM(BX103:BZ103)</f>
        <v>1</v>
      </c>
      <c r="CB103" s="1568"/>
      <c r="CC103" s="1568"/>
      <c r="CD103" s="1568">
        <v>22</v>
      </c>
      <c r="CE103" s="1553">
        <f t="shared" si="65"/>
        <v>22</v>
      </c>
      <c r="CF103" s="1568">
        <v>2</v>
      </c>
      <c r="CG103" s="1568"/>
      <c r="CH103" s="1568">
        <v>2</v>
      </c>
      <c r="CI103" s="1553">
        <f t="shared" si="66"/>
        <v>4</v>
      </c>
      <c r="CJ103" s="1568"/>
      <c r="CK103" s="1568"/>
      <c r="CL103" s="1568"/>
      <c r="CM103" s="1553">
        <f t="shared" si="61"/>
        <v>0</v>
      </c>
      <c r="CN103" s="1568">
        <v>9</v>
      </c>
      <c r="CO103" s="1568"/>
      <c r="CP103" s="1568"/>
      <c r="CQ103" s="1553">
        <f t="shared" si="62"/>
        <v>9</v>
      </c>
      <c r="CR103" s="1568"/>
      <c r="CS103" s="1568">
        <v>14</v>
      </c>
      <c r="CT103" s="1568">
        <v>4</v>
      </c>
      <c r="CU103" s="1553">
        <f t="shared" si="80"/>
        <v>18</v>
      </c>
    </row>
    <row r="104" spans="2:99" ht="12.75" customHeight="1" x14ac:dyDescent="0.25">
      <c r="B104" s="5871" t="s">
        <v>310</v>
      </c>
      <c r="C104" s="1593" t="s">
        <v>392</v>
      </c>
      <c r="D104" s="1555"/>
      <c r="E104" s="1556"/>
      <c r="F104" s="1556"/>
      <c r="G104" s="1557"/>
      <c r="H104" s="1555"/>
      <c r="I104" s="1556"/>
      <c r="J104" s="1556"/>
      <c r="K104" s="1607"/>
      <c r="L104" s="1555">
        <v>1</v>
      </c>
      <c r="M104" s="1556">
        <v>1</v>
      </c>
      <c r="N104" s="1556">
        <v>2</v>
      </c>
      <c r="O104" s="1607">
        <f t="shared" ref="O104:O116" si="92">SUM(L104:N104)</f>
        <v>4</v>
      </c>
      <c r="P104" s="1555">
        <v>1</v>
      </c>
      <c r="Q104" s="1556">
        <v>1</v>
      </c>
      <c r="R104" s="1556">
        <v>2</v>
      </c>
      <c r="S104" s="1607">
        <f t="shared" ref="S104:S116" si="93">SUM(P104:R104)</f>
        <v>4</v>
      </c>
      <c r="T104" s="1555">
        <v>10</v>
      </c>
      <c r="U104" s="1556">
        <v>5</v>
      </c>
      <c r="V104" s="1556">
        <v>1</v>
      </c>
      <c r="W104" s="1557">
        <f>SUM(T104:V104)</f>
        <v>16</v>
      </c>
      <c r="X104" s="1555">
        <v>2</v>
      </c>
      <c r="Y104" s="1556">
        <v>2</v>
      </c>
      <c r="Z104" s="1556">
        <v>2</v>
      </c>
      <c r="AA104" s="1557">
        <f t="shared" si="70"/>
        <v>6</v>
      </c>
      <c r="AB104" s="1555">
        <v>3</v>
      </c>
      <c r="AC104" s="1556">
        <v>4</v>
      </c>
      <c r="AD104" s="1556">
        <v>2</v>
      </c>
      <c r="AE104" s="1558">
        <f t="shared" si="81"/>
        <v>9</v>
      </c>
      <c r="AF104" s="1556">
        <v>1</v>
      </c>
      <c r="AG104" s="1556">
        <v>2</v>
      </c>
      <c r="AH104" s="1556">
        <v>3</v>
      </c>
      <c r="AI104" s="1558">
        <f t="shared" si="82"/>
        <v>6</v>
      </c>
      <c r="AJ104" s="1556">
        <v>1</v>
      </c>
      <c r="AK104" s="1556">
        <v>3</v>
      </c>
      <c r="AL104" s="1556">
        <v>4</v>
      </c>
      <c r="AM104" s="1558">
        <f t="shared" si="83"/>
        <v>8</v>
      </c>
      <c r="AN104" s="1556">
        <v>2</v>
      </c>
      <c r="AO104" s="1556">
        <v>2</v>
      </c>
      <c r="AP104" s="1556"/>
      <c r="AQ104" s="1558">
        <f t="shared" si="84"/>
        <v>4</v>
      </c>
      <c r="AR104" s="1556">
        <v>2</v>
      </c>
      <c r="AS104" s="1556">
        <v>2</v>
      </c>
      <c r="AT104" s="1556">
        <v>6</v>
      </c>
      <c r="AU104" s="1558">
        <f t="shared" si="85"/>
        <v>10</v>
      </c>
      <c r="AV104" s="1556">
        <v>12</v>
      </c>
      <c r="AW104" s="1556">
        <v>2</v>
      </c>
      <c r="AX104" s="1556">
        <v>6</v>
      </c>
      <c r="AY104" s="1558">
        <f t="shared" si="86"/>
        <v>20</v>
      </c>
      <c r="AZ104" s="1556">
        <v>9</v>
      </c>
      <c r="BA104" s="1556">
        <v>3</v>
      </c>
      <c r="BB104" s="1556">
        <v>1</v>
      </c>
      <c r="BC104" s="1558">
        <f t="shared" si="87"/>
        <v>13</v>
      </c>
      <c r="BD104" s="1556">
        <v>1</v>
      </c>
      <c r="BE104" s="1556"/>
      <c r="BF104" s="1556">
        <v>4</v>
      </c>
      <c r="BG104" s="1558">
        <f>SUM(BD104:BF104)</f>
        <v>5</v>
      </c>
      <c r="BH104" s="1556">
        <v>9</v>
      </c>
      <c r="BI104" s="1556"/>
      <c r="BJ104" s="1556"/>
      <c r="BK104" s="1558">
        <f>SUM(BH104:BJ104)</f>
        <v>9</v>
      </c>
      <c r="BL104" s="1556">
        <v>1</v>
      </c>
      <c r="BM104" s="1556">
        <v>1</v>
      </c>
      <c r="BN104" s="1556">
        <v>9</v>
      </c>
      <c r="BO104" s="1558">
        <f>SUM(BL104:BN104)</f>
        <v>11</v>
      </c>
      <c r="BP104" s="1556">
        <v>6</v>
      </c>
      <c r="BQ104" s="1556"/>
      <c r="BR104" s="1556">
        <v>2</v>
      </c>
      <c r="BS104" s="1558">
        <f>SUM(BP104:BR104)</f>
        <v>8</v>
      </c>
      <c r="BT104" s="1556">
        <v>1</v>
      </c>
      <c r="BU104" s="1556">
        <v>4</v>
      </c>
      <c r="BV104" s="1556">
        <v>5</v>
      </c>
      <c r="BW104" s="1558">
        <f>SUM(BT104:BV104)</f>
        <v>10</v>
      </c>
      <c r="BX104" s="1556">
        <v>10</v>
      </c>
      <c r="BY104" s="1556">
        <v>1</v>
      </c>
      <c r="BZ104" s="1556"/>
      <c r="CA104" s="1558">
        <f>SUM(BX104:BZ104)</f>
        <v>11</v>
      </c>
      <c r="CB104" s="1556"/>
      <c r="CC104" s="1556">
        <v>1</v>
      </c>
      <c r="CD104" s="1556">
        <v>8</v>
      </c>
      <c r="CE104" s="1558">
        <f t="shared" si="65"/>
        <v>9</v>
      </c>
      <c r="CF104" s="1556">
        <v>3</v>
      </c>
      <c r="CG104" s="1556"/>
      <c r="CH104" s="1556">
        <v>2</v>
      </c>
      <c r="CI104" s="1558">
        <f t="shared" si="66"/>
        <v>5</v>
      </c>
      <c r="CJ104" s="1556">
        <v>2</v>
      </c>
      <c r="CK104" s="1556">
        <v>1</v>
      </c>
      <c r="CL104" s="1556">
        <v>6</v>
      </c>
      <c r="CM104" s="1558">
        <f t="shared" si="61"/>
        <v>9</v>
      </c>
      <c r="CN104" s="1556">
        <v>6</v>
      </c>
      <c r="CO104" s="1556">
        <v>2</v>
      </c>
      <c r="CP104" s="1556">
        <v>5</v>
      </c>
      <c r="CQ104" s="1558">
        <f t="shared" si="62"/>
        <v>13</v>
      </c>
      <c r="CR104" s="1556"/>
      <c r="CS104" s="1556">
        <v>4</v>
      </c>
      <c r="CT104" s="1556">
        <v>3</v>
      </c>
      <c r="CU104" s="1558">
        <f t="shared" si="80"/>
        <v>7</v>
      </c>
    </row>
    <row r="105" spans="2:99" ht="12.75" customHeight="1" x14ac:dyDescent="0.25">
      <c r="B105" s="5872"/>
      <c r="C105" s="1593" t="s">
        <v>1397</v>
      </c>
      <c r="D105" s="1555">
        <v>2</v>
      </c>
      <c r="E105" s="1556">
        <v>1</v>
      </c>
      <c r="F105" s="1556">
        <v>14</v>
      </c>
      <c r="G105" s="1557">
        <f>SUM(D105:F105)</f>
        <v>17</v>
      </c>
      <c r="H105" s="1555">
        <v>1</v>
      </c>
      <c r="I105" s="1556">
        <v>5</v>
      </c>
      <c r="J105" s="1556">
        <v>3</v>
      </c>
      <c r="K105" s="1607">
        <f t="shared" ref="K105:K110" si="94">SUM(H105:J105)</f>
        <v>9</v>
      </c>
      <c r="L105" s="1555">
        <v>1</v>
      </c>
      <c r="M105" s="1556">
        <v>3</v>
      </c>
      <c r="N105" s="1556">
        <v>4</v>
      </c>
      <c r="O105" s="1607">
        <f t="shared" si="92"/>
        <v>8</v>
      </c>
      <c r="P105" s="1555">
        <v>2</v>
      </c>
      <c r="Q105" s="1556">
        <v>10</v>
      </c>
      <c r="R105" s="1556">
        <v>11</v>
      </c>
      <c r="S105" s="1607">
        <f t="shared" si="93"/>
        <v>23</v>
      </c>
      <c r="T105" s="1555">
        <v>6</v>
      </c>
      <c r="U105" s="1556">
        <v>3</v>
      </c>
      <c r="V105" s="1556">
        <v>3</v>
      </c>
      <c r="W105" s="1557">
        <f>SUM(T105:V105)</f>
        <v>12</v>
      </c>
      <c r="X105" s="1555">
        <v>6</v>
      </c>
      <c r="Y105" s="1556">
        <v>4</v>
      </c>
      <c r="Z105" s="1556">
        <v>5</v>
      </c>
      <c r="AA105" s="1557">
        <f t="shared" si="70"/>
        <v>15</v>
      </c>
      <c r="AB105" s="1555">
        <v>2</v>
      </c>
      <c r="AC105" s="1556">
        <v>4</v>
      </c>
      <c r="AD105" s="1556">
        <v>8</v>
      </c>
      <c r="AE105" s="1558">
        <f t="shared" si="81"/>
        <v>14</v>
      </c>
      <c r="AF105" s="1556">
        <v>1</v>
      </c>
      <c r="AG105" s="1556"/>
      <c r="AH105" s="1556">
        <v>8</v>
      </c>
      <c r="AI105" s="1558">
        <f t="shared" si="82"/>
        <v>9</v>
      </c>
      <c r="AJ105" s="1556">
        <v>2</v>
      </c>
      <c r="AK105" s="1556">
        <v>2</v>
      </c>
      <c r="AL105" s="1556">
        <v>8</v>
      </c>
      <c r="AM105" s="1558">
        <f t="shared" si="83"/>
        <v>12</v>
      </c>
      <c r="AN105" s="1556">
        <v>8</v>
      </c>
      <c r="AO105" s="1556">
        <v>1</v>
      </c>
      <c r="AP105" s="1556">
        <v>8</v>
      </c>
      <c r="AQ105" s="1558">
        <f t="shared" si="84"/>
        <v>17</v>
      </c>
      <c r="AR105" s="1556">
        <v>2</v>
      </c>
      <c r="AS105" s="1556">
        <v>5</v>
      </c>
      <c r="AT105" s="1556">
        <v>11</v>
      </c>
      <c r="AU105" s="1558">
        <f t="shared" si="85"/>
        <v>18</v>
      </c>
      <c r="AV105" s="1556">
        <v>10</v>
      </c>
      <c r="AW105" s="1556">
        <v>9</v>
      </c>
      <c r="AX105" s="1556">
        <v>9</v>
      </c>
      <c r="AY105" s="1558">
        <f t="shared" si="86"/>
        <v>28</v>
      </c>
      <c r="AZ105" s="1556">
        <v>14</v>
      </c>
      <c r="BA105" s="1556">
        <v>13</v>
      </c>
      <c r="BB105" s="1556">
        <v>10</v>
      </c>
      <c r="BC105" s="1558">
        <f t="shared" si="87"/>
        <v>37</v>
      </c>
      <c r="BD105" s="1556">
        <v>7</v>
      </c>
      <c r="BE105" s="1556">
        <v>1</v>
      </c>
      <c r="BF105" s="1556">
        <v>2</v>
      </c>
      <c r="BG105" s="1558">
        <f t="shared" ref="BG105:BG123" si="95">SUM(BD105:BF105)</f>
        <v>10</v>
      </c>
      <c r="BH105" s="1556"/>
      <c r="BI105" s="1556">
        <v>2</v>
      </c>
      <c r="BJ105" s="1556">
        <v>9</v>
      </c>
      <c r="BK105" s="1558">
        <f t="shared" ref="BK105:BK112" si="96">SUM(BH105:BJ105)</f>
        <v>11</v>
      </c>
      <c r="BL105" s="1556">
        <v>6</v>
      </c>
      <c r="BM105" s="1556">
        <v>4</v>
      </c>
      <c r="BN105" s="1556">
        <v>5</v>
      </c>
      <c r="BO105" s="1558">
        <f t="shared" ref="BO105:BO116" si="97">SUM(BL105:BN105)</f>
        <v>15</v>
      </c>
      <c r="BP105" s="1556">
        <v>3</v>
      </c>
      <c r="BQ105" s="1556">
        <v>8</v>
      </c>
      <c r="BR105" s="1556">
        <v>13</v>
      </c>
      <c r="BS105" s="1558">
        <f t="shared" ref="BS105:BS116" si="98">SUM(BP105:BR105)</f>
        <v>24</v>
      </c>
      <c r="BT105" s="1556">
        <v>7</v>
      </c>
      <c r="BU105" s="1556">
        <v>6</v>
      </c>
      <c r="BV105" s="1556"/>
      <c r="BW105" s="1558">
        <f t="shared" ref="BW105:BW116" si="99">SUM(BT105:BV105)</f>
        <v>13</v>
      </c>
      <c r="BX105" s="1556"/>
      <c r="BY105" s="1556">
        <v>2</v>
      </c>
      <c r="BZ105" s="1556">
        <v>22</v>
      </c>
      <c r="CA105" s="1558">
        <f t="shared" ref="CA105:CA116" si="100">SUM(BX105:BZ105)</f>
        <v>24</v>
      </c>
      <c r="CB105" s="1556">
        <v>9</v>
      </c>
      <c r="CC105" s="1556">
        <v>2</v>
      </c>
      <c r="CD105" s="1556">
        <v>2</v>
      </c>
      <c r="CE105" s="1558">
        <f t="shared" si="65"/>
        <v>13</v>
      </c>
      <c r="CF105" s="1556"/>
      <c r="CG105" s="1556">
        <v>1</v>
      </c>
      <c r="CH105" s="1556">
        <v>13</v>
      </c>
      <c r="CI105" s="1558">
        <f t="shared" si="66"/>
        <v>14</v>
      </c>
      <c r="CJ105" s="1556">
        <v>4</v>
      </c>
      <c r="CK105" s="1556">
        <v>5</v>
      </c>
      <c r="CL105" s="1556">
        <v>3</v>
      </c>
      <c r="CM105" s="1558">
        <f t="shared" si="61"/>
        <v>12</v>
      </c>
      <c r="CN105" s="1556">
        <v>1</v>
      </c>
      <c r="CO105" s="1556">
        <v>2</v>
      </c>
      <c r="CP105" s="1556">
        <v>1</v>
      </c>
      <c r="CQ105" s="1558">
        <f t="shared" si="62"/>
        <v>4</v>
      </c>
      <c r="CR105" s="1556">
        <v>5</v>
      </c>
      <c r="CS105" s="1556">
        <v>2</v>
      </c>
      <c r="CT105" s="1556">
        <v>1</v>
      </c>
      <c r="CU105" s="1558">
        <f t="shared" si="80"/>
        <v>8</v>
      </c>
    </row>
    <row r="106" spans="2:99" ht="12.75" customHeight="1" x14ac:dyDescent="0.25">
      <c r="B106" s="5872"/>
      <c r="C106" s="1592" t="s">
        <v>394</v>
      </c>
      <c r="D106" s="1555"/>
      <c r="E106" s="1556"/>
      <c r="F106" s="1556"/>
      <c r="G106" s="1557"/>
      <c r="H106" s="1555">
        <v>2</v>
      </c>
      <c r="I106" s="1556"/>
      <c r="J106" s="1556"/>
      <c r="K106" s="1607">
        <f t="shared" si="94"/>
        <v>2</v>
      </c>
      <c r="L106" s="1555"/>
      <c r="M106" s="1556"/>
      <c r="N106" s="1556"/>
      <c r="O106" s="1607"/>
      <c r="P106" s="1555"/>
      <c r="Q106" s="1556">
        <v>3</v>
      </c>
      <c r="R106" s="1556"/>
      <c r="S106" s="1607">
        <f t="shared" si="93"/>
        <v>3</v>
      </c>
      <c r="T106" s="1555">
        <v>1</v>
      </c>
      <c r="U106" s="1556"/>
      <c r="V106" s="1556">
        <v>3</v>
      </c>
      <c r="W106" s="1557">
        <f t="shared" ref="W106:W111" si="101">SUM(T106:V106)</f>
        <v>4</v>
      </c>
      <c r="X106" s="1555">
        <v>1</v>
      </c>
      <c r="Y106" s="1556">
        <v>4</v>
      </c>
      <c r="Z106" s="1556"/>
      <c r="AA106" s="1557">
        <f>SUM(X106:Z106)</f>
        <v>5</v>
      </c>
      <c r="AB106" s="1555">
        <v>3</v>
      </c>
      <c r="AC106" s="1556">
        <v>1</v>
      </c>
      <c r="AD106" s="1556">
        <v>5</v>
      </c>
      <c r="AE106" s="1558">
        <f t="shared" si="81"/>
        <v>9</v>
      </c>
      <c r="AF106" s="1556">
        <v>1</v>
      </c>
      <c r="AG106" s="1556">
        <v>4</v>
      </c>
      <c r="AH106" s="1556">
        <v>3</v>
      </c>
      <c r="AI106" s="1558">
        <f t="shared" si="82"/>
        <v>8</v>
      </c>
      <c r="AJ106" s="1556"/>
      <c r="AK106" s="1556">
        <v>1</v>
      </c>
      <c r="AL106" s="1556"/>
      <c r="AM106" s="1558">
        <f t="shared" si="83"/>
        <v>1</v>
      </c>
      <c r="AN106" s="1556">
        <v>1</v>
      </c>
      <c r="AO106" s="1556"/>
      <c r="AP106" s="1556">
        <v>2</v>
      </c>
      <c r="AQ106" s="1558">
        <f t="shared" si="84"/>
        <v>3</v>
      </c>
      <c r="AR106" s="1556">
        <v>3</v>
      </c>
      <c r="AS106" s="1556">
        <v>1</v>
      </c>
      <c r="AT106" s="1556">
        <v>2</v>
      </c>
      <c r="AU106" s="1558">
        <f t="shared" si="85"/>
        <v>6</v>
      </c>
      <c r="AV106" s="1556">
        <v>3</v>
      </c>
      <c r="AW106" s="1556">
        <v>3</v>
      </c>
      <c r="AX106" s="1556">
        <v>6</v>
      </c>
      <c r="AY106" s="1558">
        <f t="shared" si="86"/>
        <v>12</v>
      </c>
      <c r="AZ106" s="1556">
        <v>2</v>
      </c>
      <c r="BA106" s="1556">
        <v>4</v>
      </c>
      <c r="BB106" s="1556">
        <v>3</v>
      </c>
      <c r="BC106" s="1558">
        <f t="shared" si="87"/>
        <v>9</v>
      </c>
      <c r="BD106" s="1556">
        <v>4</v>
      </c>
      <c r="BE106" s="1556">
        <v>5</v>
      </c>
      <c r="BF106" s="1556">
        <v>5</v>
      </c>
      <c r="BG106" s="1558">
        <f t="shared" si="95"/>
        <v>14</v>
      </c>
      <c r="BH106" s="1556">
        <v>11</v>
      </c>
      <c r="BI106" s="1556">
        <v>5</v>
      </c>
      <c r="BJ106" s="1556"/>
      <c r="BK106" s="1558">
        <f t="shared" si="96"/>
        <v>16</v>
      </c>
      <c r="BL106" s="1556">
        <v>1</v>
      </c>
      <c r="BM106" s="1556">
        <v>2</v>
      </c>
      <c r="BN106" s="1556">
        <v>2</v>
      </c>
      <c r="BO106" s="1558">
        <f t="shared" si="97"/>
        <v>5</v>
      </c>
      <c r="BP106" s="1556">
        <v>2</v>
      </c>
      <c r="BQ106" s="1556">
        <v>3</v>
      </c>
      <c r="BR106" s="1556">
        <v>3</v>
      </c>
      <c r="BS106" s="1558">
        <f t="shared" si="98"/>
        <v>8</v>
      </c>
      <c r="BT106" s="1556">
        <v>2</v>
      </c>
      <c r="BU106" s="1556">
        <v>8</v>
      </c>
      <c r="BV106" s="1556">
        <v>6</v>
      </c>
      <c r="BW106" s="1558">
        <f t="shared" si="99"/>
        <v>16</v>
      </c>
      <c r="BX106" s="1556">
        <v>3</v>
      </c>
      <c r="BY106" s="1556">
        <v>1</v>
      </c>
      <c r="BZ106" s="1556">
        <v>1</v>
      </c>
      <c r="CA106" s="1558">
        <f t="shared" si="100"/>
        <v>5</v>
      </c>
      <c r="CB106" s="1556">
        <v>2</v>
      </c>
      <c r="CC106" s="1556">
        <v>8</v>
      </c>
      <c r="CD106" s="1556">
        <v>5</v>
      </c>
      <c r="CE106" s="1558">
        <f t="shared" si="65"/>
        <v>15</v>
      </c>
      <c r="CF106" s="1556">
        <v>6</v>
      </c>
      <c r="CG106" s="1556">
        <v>1</v>
      </c>
      <c r="CH106" s="1556">
        <v>2</v>
      </c>
      <c r="CI106" s="1558">
        <f t="shared" si="66"/>
        <v>9</v>
      </c>
      <c r="CJ106" s="1556">
        <v>2</v>
      </c>
      <c r="CK106" s="1556"/>
      <c r="CL106" s="1556">
        <v>6</v>
      </c>
      <c r="CM106" s="1558">
        <f t="shared" si="61"/>
        <v>8</v>
      </c>
      <c r="CN106" s="1556">
        <v>8</v>
      </c>
      <c r="CO106" s="1556"/>
      <c r="CP106" s="1556">
        <v>1</v>
      </c>
      <c r="CQ106" s="1558">
        <f t="shared" si="62"/>
        <v>9</v>
      </c>
      <c r="CR106" s="1556"/>
      <c r="CS106" s="1556">
        <v>2</v>
      </c>
      <c r="CT106" s="1556">
        <v>3</v>
      </c>
      <c r="CU106" s="1558">
        <f t="shared" si="80"/>
        <v>5</v>
      </c>
    </row>
    <row r="107" spans="2:99" ht="12.75" customHeight="1" x14ac:dyDescent="0.25">
      <c r="B107" s="5872"/>
      <c r="C107" s="1592" t="s">
        <v>395</v>
      </c>
      <c r="D107" s="1555">
        <v>2</v>
      </c>
      <c r="E107" s="1556">
        <v>4</v>
      </c>
      <c r="F107" s="1556"/>
      <c r="G107" s="1557">
        <f>SUM(D107:F107)</f>
        <v>6</v>
      </c>
      <c r="H107" s="1555">
        <v>2</v>
      </c>
      <c r="I107" s="1556"/>
      <c r="J107" s="1556">
        <v>3</v>
      </c>
      <c r="K107" s="1607">
        <f t="shared" si="94"/>
        <v>5</v>
      </c>
      <c r="L107" s="1555"/>
      <c r="M107" s="1556">
        <v>3</v>
      </c>
      <c r="N107" s="1556">
        <v>1</v>
      </c>
      <c r="O107" s="1607">
        <f t="shared" si="92"/>
        <v>4</v>
      </c>
      <c r="P107" s="1555">
        <v>3</v>
      </c>
      <c r="Q107" s="1556">
        <v>2</v>
      </c>
      <c r="R107" s="1556">
        <v>3</v>
      </c>
      <c r="S107" s="1607">
        <f t="shared" si="93"/>
        <v>8</v>
      </c>
      <c r="T107" s="1555">
        <v>5</v>
      </c>
      <c r="U107" s="1556">
        <v>1</v>
      </c>
      <c r="V107" s="1556"/>
      <c r="W107" s="1557">
        <f t="shared" si="101"/>
        <v>6</v>
      </c>
      <c r="X107" s="1555">
        <v>1</v>
      </c>
      <c r="Y107" s="1556">
        <v>2</v>
      </c>
      <c r="Z107" s="1556">
        <v>3</v>
      </c>
      <c r="AA107" s="1557">
        <f>SUM(X107:Z107)</f>
        <v>6</v>
      </c>
      <c r="AB107" s="1555">
        <v>5</v>
      </c>
      <c r="AC107" s="1556">
        <v>3</v>
      </c>
      <c r="AD107" s="1556"/>
      <c r="AE107" s="1558">
        <f t="shared" si="81"/>
        <v>8</v>
      </c>
      <c r="AF107" s="1556"/>
      <c r="AG107" s="1556"/>
      <c r="AH107" s="1556">
        <v>4</v>
      </c>
      <c r="AI107" s="1558">
        <f t="shared" si="82"/>
        <v>4</v>
      </c>
      <c r="AJ107" s="1556">
        <v>3</v>
      </c>
      <c r="AK107" s="1556">
        <v>1</v>
      </c>
      <c r="AL107" s="1556">
        <v>1</v>
      </c>
      <c r="AM107" s="1558">
        <f t="shared" si="83"/>
        <v>5</v>
      </c>
      <c r="AN107" s="1556"/>
      <c r="AO107" s="1556"/>
      <c r="AP107" s="1556">
        <v>5</v>
      </c>
      <c r="AQ107" s="1558">
        <f t="shared" si="84"/>
        <v>5</v>
      </c>
      <c r="AR107" s="1556">
        <v>3</v>
      </c>
      <c r="AS107" s="1556">
        <v>2</v>
      </c>
      <c r="AT107" s="1556">
        <v>1</v>
      </c>
      <c r="AU107" s="1558">
        <f t="shared" si="85"/>
        <v>6</v>
      </c>
      <c r="AV107" s="1556"/>
      <c r="AW107" s="1556"/>
      <c r="AX107" s="1556">
        <v>12</v>
      </c>
      <c r="AY107" s="1558">
        <f t="shared" si="86"/>
        <v>12</v>
      </c>
      <c r="AZ107" s="1556">
        <v>1</v>
      </c>
      <c r="BA107" s="1556">
        <v>8</v>
      </c>
      <c r="BB107" s="1556">
        <v>1</v>
      </c>
      <c r="BC107" s="1558">
        <f t="shared" si="87"/>
        <v>10</v>
      </c>
      <c r="BD107" s="1556"/>
      <c r="BE107" s="1556">
        <v>1</v>
      </c>
      <c r="BF107" s="1556">
        <v>8</v>
      </c>
      <c r="BG107" s="1558">
        <f t="shared" si="95"/>
        <v>9</v>
      </c>
      <c r="BH107" s="1556">
        <v>5</v>
      </c>
      <c r="BI107" s="1556">
        <v>1</v>
      </c>
      <c r="BJ107" s="1556"/>
      <c r="BK107" s="1558">
        <f t="shared" si="96"/>
        <v>6</v>
      </c>
      <c r="BL107" s="1556">
        <v>2</v>
      </c>
      <c r="BM107" s="1556">
        <v>1</v>
      </c>
      <c r="BN107" s="1556">
        <v>5</v>
      </c>
      <c r="BO107" s="1558">
        <f t="shared" si="97"/>
        <v>8</v>
      </c>
      <c r="BP107" s="1556">
        <v>10</v>
      </c>
      <c r="BQ107" s="1556"/>
      <c r="BR107" s="1556"/>
      <c r="BS107" s="1558">
        <f t="shared" si="98"/>
        <v>10</v>
      </c>
      <c r="BT107" s="1556"/>
      <c r="BU107" s="1556">
        <v>4</v>
      </c>
      <c r="BV107" s="1556">
        <v>6</v>
      </c>
      <c r="BW107" s="1558">
        <f t="shared" si="99"/>
        <v>10</v>
      </c>
      <c r="BX107" s="1556">
        <v>4</v>
      </c>
      <c r="BY107" s="1556">
        <v>1</v>
      </c>
      <c r="BZ107" s="1556"/>
      <c r="CA107" s="1558">
        <f t="shared" si="100"/>
        <v>5</v>
      </c>
      <c r="CB107" s="1556"/>
      <c r="CC107" s="1556">
        <v>5</v>
      </c>
      <c r="CD107" s="1556">
        <v>12</v>
      </c>
      <c r="CE107" s="1558">
        <f t="shared" si="65"/>
        <v>17</v>
      </c>
      <c r="CF107" s="1556">
        <v>3</v>
      </c>
      <c r="CG107" s="1556"/>
      <c r="CH107" s="1556"/>
      <c r="CI107" s="1558">
        <f t="shared" si="66"/>
        <v>3</v>
      </c>
      <c r="CJ107" s="1556"/>
      <c r="CK107" s="1556"/>
      <c r="CL107" s="1556">
        <v>16</v>
      </c>
      <c r="CM107" s="1558">
        <f t="shared" si="61"/>
        <v>16</v>
      </c>
      <c r="CN107" s="1556">
        <v>2</v>
      </c>
      <c r="CO107" s="1556"/>
      <c r="CP107" s="1556"/>
      <c r="CQ107" s="1558">
        <f t="shared" si="62"/>
        <v>2</v>
      </c>
      <c r="CR107" s="1556"/>
      <c r="CS107" s="1556">
        <v>5</v>
      </c>
      <c r="CT107" s="1556">
        <v>8</v>
      </c>
      <c r="CU107" s="1558">
        <f t="shared" si="80"/>
        <v>13</v>
      </c>
    </row>
    <row r="108" spans="2:99" ht="12.75" customHeight="1" x14ac:dyDescent="0.25">
      <c r="B108" s="5872"/>
      <c r="C108" s="1592" t="s">
        <v>396</v>
      </c>
      <c r="D108" s="1555"/>
      <c r="E108" s="1556">
        <v>1</v>
      </c>
      <c r="F108" s="1556">
        <v>1</v>
      </c>
      <c r="G108" s="1557">
        <f>SUM(D108:F108)</f>
        <v>2</v>
      </c>
      <c r="H108" s="1555">
        <v>1</v>
      </c>
      <c r="I108" s="1556">
        <v>1</v>
      </c>
      <c r="J108" s="1556"/>
      <c r="K108" s="1607">
        <f t="shared" si="94"/>
        <v>2</v>
      </c>
      <c r="L108" s="1555"/>
      <c r="M108" s="1556">
        <v>1</v>
      </c>
      <c r="N108" s="1556"/>
      <c r="O108" s="1607">
        <f t="shared" si="92"/>
        <v>1</v>
      </c>
      <c r="P108" s="1555">
        <v>3</v>
      </c>
      <c r="Q108" s="1556"/>
      <c r="R108" s="1556">
        <v>1</v>
      </c>
      <c r="S108" s="1607">
        <f t="shared" si="93"/>
        <v>4</v>
      </c>
      <c r="T108" s="1555">
        <v>1</v>
      </c>
      <c r="U108" s="1556">
        <v>2</v>
      </c>
      <c r="V108" s="1556"/>
      <c r="W108" s="1557">
        <f t="shared" si="101"/>
        <v>3</v>
      </c>
      <c r="X108" s="1555"/>
      <c r="Y108" s="1556"/>
      <c r="Z108" s="1556"/>
      <c r="AA108" s="1557"/>
      <c r="AB108" s="1555">
        <v>5</v>
      </c>
      <c r="AC108" s="1556"/>
      <c r="AD108" s="1556">
        <v>3</v>
      </c>
      <c r="AE108" s="1558">
        <f t="shared" si="81"/>
        <v>8</v>
      </c>
      <c r="AF108" s="1556">
        <v>2</v>
      </c>
      <c r="AG108" s="1556">
        <v>2</v>
      </c>
      <c r="AH108" s="1556">
        <v>2</v>
      </c>
      <c r="AI108" s="1558">
        <f t="shared" si="82"/>
        <v>6</v>
      </c>
      <c r="AJ108" s="1556">
        <v>5</v>
      </c>
      <c r="AK108" s="1556">
        <v>2</v>
      </c>
      <c r="AL108" s="1556">
        <v>3</v>
      </c>
      <c r="AM108" s="1558">
        <f t="shared" si="83"/>
        <v>10</v>
      </c>
      <c r="AN108" s="1556">
        <v>2</v>
      </c>
      <c r="AO108" s="1556">
        <v>1</v>
      </c>
      <c r="AP108" s="1556">
        <v>2</v>
      </c>
      <c r="AQ108" s="1558">
        <f t="shared" si="84"/>
        <v>5</v>
      </c>
      <c r="AR108" s="1556">
        <v>3</v>
      </c>
      <c r="AS108" s="1556">
        <v>1</v>
      </c>
      <c r="AT108" s="1556">
        <v>4</v>
      </c>
      <c r="AU108" s="1558">
        <f t="shared" si="85"/>
        <v>8</v>
      </c>
      <c r="AV108" s="1556">
        <v>9</v>
      </c>
      <c r="AW108" s="1556">
        <v>4</v>
      </c>
      <c r="AX108" s="1556">
        <v>5</v>
      </c>
      <c r="AY108" s="1558">
        <f t="shared" si="86"/>
        <v>18</v>
      </c>
      <c r="AZ108" s="1556">
        <v>4</v>
      </c>
      <c r="BA108" s="1556">
        <v>4</v>
      </c>
      <c r="BB108" s="1556"/>
      <c r="BC108" s="1558">
        <f t="shared" si="87"/>
        <v>8</v>
      </c>
      <c r="BD108" s="1556">
        <v>3</v>
      </c>
      <c r="BE108" s="1556">
        <v>3</v>
      </c>
      <c r="BF108" s="1556">
        <v>4</v>
      </c>
      <c r="BG108" s="1558">
        <f t="shared" si="95"/>
        <v>10</v>
      </c>
      <c r="BH108" s="1556">
        <v>7</v>
      </c>
      <c r="BI108" s="1556">
        <v>2</v>
      </c>
      <c r="BJ108" s="1556">
        <v>2</v>
      </c>
      <c r="BK108" s="1558">
        <f t="shared" si="96"/>
        <v>11</v>
      </c>
      <c r="BL108" s="1556">
        <v>1</v>
      </c>
      <c r="BM108" s="1556">
        <v>6</v>
      </c>
      <c r="BN108" s="1556">
        <v>5</v>
      </c>
      <c r="BO108" s="1558">
        <f t="shared" si="97"/>
        <v>12</v>
      </c>
      <c r="BP108" s="1556">
        <v>3</v>
      </c>
      <c r="BQ108" s="1556">
        <v>4</v>
      </c>
      <c r="BR108" s="1556">
        <v>1</v>
      </c>
      <c r="BS108" s="1558">
        <f t="shared" si="98"/>
        <v>8</v>
      </c>
      <c r="BT108" s="1556">
        <v>2</v>
      </c>
      <c r="BU108" s="1556">
        <v>3</v>
      </c>
      <c r="BV108" s="1556">
        <v>2</v>
      </c>
      <c r="BW108" s="1558">
        <f t="shared" si="99"/>
        <v>7</v>
      </c>
      <c r="BX108" s="1556">
        <v>2</v>
      </c>
      <c r="BY108" s="1556">
        <v>3</v>
      </c>
      <c r="BZ108" s="1556">
        <v>3</v>
      </c>
      <c r="CA108" s="1558">
        <f t="shared" si="100"/>
        <v>8</v>
      </c>
      <c r="CB108" s="1556"/>
      <c r="CC108" s="1556">
        <v>3</v>
      </c>
      <c r="CD108" s="1556">
        <v>5</v>
      </c>
      <c r="CE108" s="1558">
        <f t="shared" si="65"/>
        <v>8</v>
      </c>
      <c r="CF108" s="1556">
        <v>9</v>
      </c>
      <c r="CG108" s="1556">
        <v>2</v>
      </c>
      <c r="CH108" s="1556">
        <v>1</v>
      </c>
      <c r="CI108" s="1558">
        <f t="shared" si="66"/>
        <v>12</v>
      </c>
      <c r="CJ108" s="1556"/>
      <c r="CK108" s="1556"/>
      <c r="CL108" s="1556">
        <v>2</v>
      </c>
      <c r="CM108" s="1558">
        <f t="shared" si="61"/>
        <v>2</v>
      </c>
      <c r="CN108" s="1556">
        <v>9</v>
      </c>
      <c r="CO108" s="1556">
        <v>1</v>
      </c>
      <c r="CP108" s="1556">
        <v>1</v>
      </c>
      <c r="CQ108" s="1558">
        <f t="shared" si="62"/>
        <v>11</v>
      </c>
      <c r="CR108" s="1556">
        <v>2</v>
      </c>
      <c r="CS108" s="1556">
        <v>4</v>
      </c>
      <c r="CT108" s="1556">
        <v>2</v>
      </c>
      <c r="CU108" s="1558">
        <f t="shared" si="80"/>
        <v>8</v>
      </c>
    </row>
    <row r="109" spans="2:99" ht="12.75" customHeight="1" x14ac:dyDescent="0.25">
      <c r="B109" s="5872"/>
      <c r="C109" s="1592" t="s">
        <v>397</v>
      </c>
      <c r="D109" s="1555"/>
      <c r="E109" s="1556">
        <v>6</v>
      </c>
      <c r="F109" s="1556">
        <v>2</v>
      </c>
      <c r="G109" s="1557">
        <f>SUM(D109:F109)</f>
        <v>8</v>
      </c>
      <c r="H109" s="1555"/>
      <c r="I109" s="1556">
        <v>1</v>
      </c>
      <c r="J109" s="1556">
        <v>1</v>
      </c>
      <c r="K109" s="1607">
        <f t="shared" si="94"/>
        <v>2</v>
      </c>
      <c r="L109" s="1555"/>
      <c r="M109" s="1556"/>
      <c r="N109" s="1556">
        <v>2</v>
      </c>
      <c r="O109" s="1607">
        <f t="shared" si="92"/>
        <v>2</v>
      </c>
      <c r="P109" s="1555">
        <v>1</v>
      </c>
      <c r="Q109" s="1556">
        <v>2</v>
      </c>
      <c r="R109" s="1556">
        <v>1</v>
      </c>
      <c r="S109" s="1607">
        <f t="shared" si="93"/>
        <v>4</v>
      </c>
      <c r="T109" s="1555"/>
      <c r="U109" s="1556">
        <v>1</v>
      </c>
      <c r="V109" s="1556">
        <v>1</v>
      </c>
      <c r="W109" s="1557">
        <f t="shared" si="101"/>
        <v>2</v>
      </c>
      <c r="X109" s="1555">
        <v>4</v>
      </c>
      <c r="Y109" s="1556">
        <v>1</v>
      </c>
      <c r="Z109" s="1556"/>
      <c r="AA109" s="1557">
        <f>SUM(X109:Z109)</f>
        <v>5</v>
      </c>
      <c r="AB109" s="1555">
        <v>1</v>
      </c>
      <c r="AC109" s="1556">
        <v>2</v>
      </c>
      <c r="AD109" s="1556">
        <v>1</v>
      </c>
      <c r="AE109" s="1558">
        <f t="shared" si="81"/>
        <v>4</v>
      </c>
      <c r="AF109" s="1556"/>
      <c r="AG109" s="1556">
        <v>2</v>
      </c>
      <c r="AH109" s="1556">
        <v>2</v>
      </c>
      <c r="AI109" s="1558">
        <f t="shared" si="82"/>
        <v>4</v>
      </c>
      <c r="AJ109" s="1556">
        <v>1</v>
      </c>
      <c r="AK109" s="1556">
        <v>5</v>
      </c>
      <c r="AL109" s="1556">
        <v>1</v>
      </c>
      <c r="AM109" s="1558">
        <f t="shared" si="83"/>
        <v>7</v>
      </c>
      <c r="AN109" s="1556"/>
      <c r="AO109" s="1556">
        <v>4</v>
      </c>
      <c r="AP109" s="1556">
        <v>8</v>
      </c>
      <c r="AQ109" s="1558">
        <f t="shared" si="84"/>
        <v>12</v>
      </c>
      <c r="AR109" s="1556">
        <v>2</v>
      </c>
      <c r="AS109" s="1556">
        <v>3</v>
      </c>
      <c r="AT109" s="1556">
        <v>1</v>
      </c>
      <c r="AU109" s="1558">
        <f t="shared" si="85"/>
        <v>6</v>
      </c>
      <c r="AV109" s="1556">
        <v>1</v>
      </c>
      <c r="AW109" s="1556">
        <v>5</v>
      </c>
      <c r="AX109" s="1556">
        <v>8</v>
      </c>
      <c r="AY109" s="1558">
        <f t="shared" si="86"/>
        <v>14</v>
      </c>
      <c r="AZ109" s="1556">
        <v>8</v>
      </c>
      <c r="BA109" s="1556">
        <v>2</v>
      </c>
      <c r="BB109" s="1556">
        <v>1</v>
      </c>
      <c r="BC109" s="1558">
        <f t="shared" si="87"/>
        <v>11</v>
      </c>
      <c r="BD109" s="1556">
        <v>1</v>
      </c>
      <c r="BE109" s="1556">
        <v>2</v>
      </c>
      <c r="BF109" s="1556">
        <v>5</v>
      </c>
      <c r="BG109" s="1558">
        <f t="shared" si="95"/>
        <v>8</v>
      </c>
      <c r="BH109" s="1556">
        <v>7</v>
      </c>
      <c r="BI109" s="1556"/>
      <c r="BJ109" s="1556">
        <v>1</v>
      </c>
      <c r="BK109" s="1558">
        <f t="shared" si="96"/>
        <v>8</v>
      </c>
      <c r="BL109" s="1556">
        <v>1</v>
      </c>
      <c r="BM109" s="1556"/>
      <c r="BN109" s="1556"/>
      <c r="BO109" s="1558">
        <f t="shared" si="97"/>
        <v>1</v>
      </c>
      <c r="BP109" s="1556">
        <v>2</v>
      </c>
      <c r="BQ109" s="1556">
        <v>3</v>
      </c>
      <c r="BR109" s="1556">
        <v>1</v>
      </c>
      <c r="BS109" s="1558">
        <f t="shared" si="98"/>
        <v>6</v>
      </c>
      <c r="BT109" s="1556"/>
      <c r="BU109" s="1556">
        <v>1</v>
      </c>
      <c r="BV109" s="1556">
        <v>2</v>
      </c>
      <c r="BW109" s="1558">
        <f t="shared" si="99"/>
        <v>3</v>
      </c>
      <c r="BX109" s="1556">
        <v>7</v>
      </c>
      <c r="BY109" s="1556">
        <v>2</v>
      </c>
      <c r="BZ109" s="1556">
        <v>1</v>
      </c>
      <c r="CA109" s="1558">
        <f t="shared" si="100"/>
        <v>10</v>
      </c>
      <c r="CB109" s="1556"/>
      <c r="CC109" s="1556">
        <v>2</v>
      </c>
      <c r="CD109" s="1556">
        <v>3</v>
      </c>
      <c r="CE109" s="1558">
        <f t="shared" si="65"/>
        <v>5</v>
      </c>
      <c r="CF109" s="1556">
        <v>12</v>
      </c>
      <c r="CG109" s="1556"/>
      <c r="CH109" s="1556"/>
      <c r="CI109" s="1558">
        <f t="shared" si="66"/>
        <v>12</v>
      </c>
      <c r="CJ109" s="1556"/>
      <c r="CK109" s="1556"/>
      <c r="CL109" s="1556">
        <v>4</v>
      </c>
      <c r="CM109" s="1558">
        <f t="shared" si="61"/>
        <v>4</v>
      </c>
      <c r="CN109" s="1556">
        <v>3</v>
      </c>
      <c r="CO109" s="1556">
        <v>1</v>
      </c>
      <c r="CP109" s="1556"/>
      <c r="CQ109" s="1558">
        <f t="shared" si="62"/>
        <v>4</v>
      </c>
      <c r="CR109" s="1556">
        <v>2</v>
      </c>
      <c r="CS109" s="1556">
        <v>1</v>
      </c>
      <c r="CT109" s="1556">
        <v>5</v>
      </c>
      <c r="CU109" s="1558">
        <f t="shared" si="80"/>
        <v>8</v>
      </c>
    </row>
    <row r="110" spans="2:99" ht="12.75" customHeight="1" x14ac:dyDescent="0.25">
      <c r="B110" s="5872"/>
      <c r="C110" s="1592" t="s">
        <v>398</v>
      </c>
      <c r="D110" s="1555"/>
      <c r="E110" s="1556"/>
      <c r="F110" s="1556"/>
      <c r="G110" s="1557"/>
      <c r="H110" s="1555">
        <v>1</v>
      </c>
      <c r="I110" s="1556"/>
      <c r="J110" s="1556"/>
      <c r="K110" s="1607">
        <f t="shared" si="94"/>
        <v>1</v>
      </c>
      <c r="L110" s="1555">
        <v>1</v>
      </c>
      <c r="M110" s="1556"/>
      <c r="N110" s="1556"/>
      <c r="O110" s="1607">
        <f t="shared" si="92"/>
        <v>1</v>
      </c>
      <c r="P110" s="1555"/>
      <c r="Q110" s="1556">
        <v>1</v>
      </c>
      <c r="R110" s="1556"/>
      <c r="S110" s="1607">
        <f t="shared" si="93"/>
        <v>1</v>
      </c>
      <c r="T110" s="1555">
        <v>1</v>
      </c>
      <c r="U110" s="1556">
        <v>2</v>
      </c>
      <c r="V110" s="1556"/>
      <c r="W110" s="1557">
        <f t="shared" si="101"/>
        <v>3</v>
      </c>
      <c r="X110" s="1555"/>
      <c r="Y110" s="1556"/>
      <c r="Z110" s="1556">
        <v>1</v>
      </c>
      <c r="AA110" s="1557">
        <f>SUM(X110:Z110)</f>
        <v>1</v>
      </c>
      <c r="AB110" s="1555">
        <v>1</v>
      </c>
      <c r="AC110" s="1556"/>
      <c r="AD110" s="1556">
        <v>2</v>
      </c>
      <c r="AE110" s="1558">
        <f t="shared" si="81"/>
        <v>3</v>
      </c>
      <c r="AF110" s="1556"/>
      <c r="AG110" s="1556">
        <v>1</v>
      </c>
      <c r="AH110" s="1556">
        <v>2</v>
      </c>
      <c r="AI110" s="1558">
        <f t="shared" si="82"/>
        <v>3</v>
      </c>
      <c r="AJ110" s="1556">
        <v>5</v>
      </c>
      <c r="AK110" s="1556">
        <v>4</v>
      </c>
      <c r="AL110" s="1556">
        <v>2</v>
      </c>
      <c r="AM110" s="1558">
        <f t="shared" si="83"/>
        <v>11</v>
      </c>
      <c r="AN110" s="1556">
        <v>5</v>
      </c>
      <c r="AO110" s="1556">
        <v>3</v>
      </c>
      <c r="AP110" s="1556">
        <v>3</v>
      </c>
      <c r="AQ110" s="1558">
        <f t="shared" si="84"/>
        <v>11</v>
      </c>
      <c r="AR110" s="1556">
        <v>2</v>
      </c>
      <c r="AS110" s="1556"/>
      <c r="AT110" s="1556"/>
      <c r="AU110" s="1558">
        <f t="shared" si="85"/>
        <v>2</v>
      </c>
      <c r="AV110" s="1556">
        <v>3</v>
      </c>
      <c r="AW110" s="1556">
        <v>1</v>
      </c>
      <c r="AX110" s="1556">
        <v>7</v>
      </c>
      <c r="AY110" s="1558">
        <f t="shared" si="86"/>
        <v>11</v>
      </c>
      <c r="AZ110" s="1556">
        <v>6</v>
      </c>
      <c r="BA110" s="1556">
        <v>3</v>
      </c>
      <c r="BB110" s="1556"/>
      <c r="BC110" s="1558">
        <f t="shared" si="87"/>
        <v>9</v>
      </c>
      <c r="BD110" s="1556"/>
      <c r="BE110" s="1556">
        <v>2</v>
      </c>
      <c r="BF110" s="1556">
        <v>5</v>
      </c>
      <c r="BG110" s="1558">
        <f t="shared" si="95"/>
        <v>7</v>
      </c>
      <c r="BH110" s="1556">
        <v>6</v>
      </c>
      <c r="BI110" s="1556">
        <v>1</v>
      </c>
      <c r="BJ110" s="1556"/>
      <c r="BK110" s="1558">
        <f t="shared" si="96"/>
        <v>7</v>
      </c>
      <c r="BL110" s="1556"/>
      <c r="BM110" s="1556">
        <v>1</v>
      </c>
      <c r="BN110" s="1556">
        <v>3</v>
      </c>
      <c r="BO110" s="1558">
        <f t="shared" si="97"/>
        <v>4</v>
      </c>
      <c r="BP110" s="1556">
        <v>6</v>
      </c>
      <c r="BQ110" s="1556"/>
      <c r="BR110" s="1556"/>
      <c r="BS110" s="1558">
        <f t="shared" si="98"/>
        <v>6</v>
      </c>
      <c r="BT110" s="1556">
        <v>1</v>
      </c>
      <c r="BU110" s="1556"/>
      <c r="BV110" s="1556">
        <v>5</v>
      </c>
      <c r="BW110" s="1558">
        <f t="shared" si="99"/>
        <v>6</v>
      </c>
      <c r="BX110" s="1556">
        <v>8</v>
      </c>
      <c r="BY110" s="1556"/>
      <c r="BZ110" s="1556"/>
      <c r="CA110" s="1558">
        <f t="shared" si="100"/>
        <v>8</v>
      </c>
      <c r="CB110" s="1556"/>
      <c r="CC110" s="1556">
        <v>1</v>
      </c>
      <c r="CD110" s="1556">
        <v>5</v>
      </c>
      <c r="CE110" s="1558">
        <f t="shared" si="65"/>
        <v>6</v>
      </c>
      <c r="CF110" s="1556">
        <v>9</v>
      </c>
      <c r="CG110" s="1556"/>
      <c r="CH110" s="1556"/>
      <c r="CI110" s="1558">
        <f t="shared" si="66"/>
        <v>9</v>
      </c>
      <c r="CJ110" s="1556"/>
      <c r="CK110" s="1556"/>
      <c r="CL110" s="1556">
        <v>3</v>
      </c>
      <c r="CM110" s="1558">
        <f t="shared" si="61"/>
        <v>3</v>
      </c>
      <c r="CN110" s="1556">
        <v>1</v>
      </c>
      <c r="CO110" s="1556">
        <v>2</v>
      </c>
      <c r="CP110" s="1556">
        <v>1</v>
      </c>
      <c r="CQ110" s="1558">
        <f t="shared" si="62"/>
        <v>4</v>
      </c>
      <c r="CR110" s="1556"/>
      <c r="CS110" s="1556"/>
      <c r="CT110" s="1556">
        <v>3</v>
      </c>
      <c r="CU110" s="1558">
        <f t="shared" si="80"/>
        <v>3</v>
      </c>
    </row>
    <row r="111" spans="2:99" ht="12.75" customHeight="1" x14ac:dyDescent="0.25">
      <c r="B111" s="5872"/>
      <c r="C111" s="1593" t="s">
        <v>328</v>
      </c>
      <c r="D111" s="1555"/>
      <c r="E111" s="1556"/>
      <c r="F111" s="1556"/>
      <c r="G111" s="1557"/>
      <c r="H111" s="1555"/>
      <c r="I111" s="1556"/>
      <c r="J111" s="1556"/>
      <c r="K111" s="1607"/>
      <c r="L111" s="1555"/>
      <c r="M111" s="1556"/>
      <c r="N111" s="1556"/>
      <c r="O111" s="1607"/>
      <c r="P111" s="1555"/>
      <c r="Q111" s="1556"/>
      <c r="R111" s="1556"/>
      <c r="S111" s="1607"/>
      <c r="T111" s="1555"/>
      <c r="U111" s="1556"/>
      <c r="V111" s="1556">
        <v>7</v>
      </c>
      <c r="W111" s="1557">
        <f t="shared" si="101"/>
        <v>7</v>
      </c>
      <c r="X111" s="1555"/>
      <c r="Y111" s="1556"/>
      <c r="Z111" s="1556"/>
      <c r="AA111" s="1557"/>
      <c r="AB111" s="1555"/>
      <c r="AC111" s="1556"/>
      <c r="AD111" s="1556">
        <v>2</v>
      </c>
      <c r="AE111" s="1558">
        <f t="shared" si="81"/>
        <v>2</v>
      </c>
      <c r="AF111" s="1556"/>
      <c r="AG111" s="1556"/>
      <c r="AH111" s="1556"/>
      <c r="AI111" s="1558"/>
      <c r="AJ111" s="1556"/>
      <c r="AK111" s="1556"/>
      <c r="AL111" s="1556">
        <v>1</v>
      </c>
      <c r="AM111" s="1558">
        <f t="shared" si="83"/>
        <v>1</v>
      </c>
      <c r="AN111" s="1556"/>
      <c r="AO111" s="1556"/>
      <c r="AP111" s="1556"/>
      <c r="AQ111" s="1558">
        <f t="shared" si="84"/>
        <v>0</v>
      </c>
      <c r="AR111" s="1556">
        <v>1</v>
      </c>
      <c r="AS111" s="1556"/>
      <c r="AT111" s="1556"/>
      <c r="AU111" s="1558">
        <f t="shared" si="85"/>
        <v>1</v>
      </c>
      <c r="AV111" s="1556"/>
      <c r="AW111" s="1556"/>
      <c r="AX111" s="1556"/>
      <c r="AY111" s="1558">
        <f t="shared" si="86"/>
        <v>0</v>
      </c>
      <c r="AZ111" s="1556"/>
      <c r="BA111" s="1556"/>
      <c r="BB111" s="1556"/>
      <c r="BC111" s="1558">
        <f t="shared" si="87"/>
        <v>0</v>
      </c>
      <c r="BD111" s="1556"/>
      <c r="BE111" s="1556"/>
      <c r="BF111" s="1556"/>
      <c r="BG111" s="1558">
        <f t="shared" si="95"/>
        <v>0</v>
      </c>
      <c r="BH111" s="1556"/>
      <c r="BI111" s="1556"/>
      <c r="BJ111" s="1556"/>
      <c r="BK111" s="1558">
        <f t="shared" si="96"/>
        <v>0</v>
      </c>
      <c r="BL111" s="1556"/>
      <c r="BM111" s="1556"/>
      <c r="BN111" s="1556"/>
      <c r="BO111" s="1558">
        <f t="shared" si="97"/>
        <v>0</v>
      </c>
      <c r="BP111" s="1556"/>
      <c r="BQ111" s="1556"/>
      <c r="BR111" s="1556"/>
      <c r="BS111" s="1558">
        <f t="shared" si="98"/>
        <v>0</v>
      </c>
      <c r="BT111" s="1556"/>
      <c r="BU111" s="1556"/>
      <c r="BV111" s="1556"/>
      <c r="BW111" s="1558">
        <f t="shared" si="99"/>
        <v>0</v>
      </c>
      <c r="BX111" s="1556"/>
      <c r="BY111" s="1556"/>
      <c r="BZ111" s="1556"/>
      <c r="CA111" s="1558">
        <f t="shared" si="100"/>
        <v>0</v>
      </c>
      <c r="CB111" s="1556"/>
      <c r="CC111" s="1556"/>
      <c r="CD111" s="1556">
        <v>10</v>
      </c>
      <c r="CE111" s="1558">
        <f t="shared" si="65"/>
        <v>10</v>
      </c>
      <c r="CF111" s="1556"/>
      <c r="CG111" s="1556"/>
      <c r="CH111" s="1556"/>
      <c r="CI111" s="1558">
        <f t="shared" si="66"/>
        <v>0</v>
      </c>
      <c r="CJ111" s="1556"/>
      <c r="CK111" s="1556"/>
      <c r="CL111" s="1556">
        <v>2</v>
      </c>
      <c r="CM111" s="1558">
        <f t="shared" si="61"/>
        <v>2</v>
      </c>
      <c r="CN111" s="1556"/>
      <c r="CO111" s="1556"/>
      <c r="CP111" s="1556"/>
      <c r="CQ111" s="1558">
        <f t="shared" si="62"/>
        <v>0</v>
      </c>
      <c r="CR111" s="1556"/>
      <c r="CS111" s="1556">
        <v>1</v>
      </c>
      <c r="CT111" s="1556">
        <v>3</v>
      </c>
      <c r="CU111" s="1558">
        <f t="shared" si="80"/>
        <v>4</v>
      </c>
    </row>
    <row r="112" spans="2:99" ht="14.25" customHeight="1" x14ac:dyDescent="0.25">
      <c r="B112" s="5872"/>
      <c r="C112" s="1593" t="s">
        <v>487</v>
      </c>
      <c r="D112" s="1555"/>
      <c r="E112" s="1556"/>
      <c r="F112" s="1556">
        <v>1</v>
      </c>
      <c r="G112" s="1557">
        <f>SUM(F112)</f>
        <v>1</v>
      </c>
      <c r="H112" s="1555"/>
      <c r="I112" s="1556"/>
      <c r="J112" s="1556"/>
      <c r="K112" s="1607"/>
      <c r="L112" s="1555"/>
      <c r="M112" s="1556"/>
      <c r="N112" s="1556"/>
      <c r="O112" s="1607"/>
      <c r="P112" s="1555"/>
      <c r="Q112" s="1556">
        <v>10</v>
      </c>
      <c r="R112" s="1556"/>
      <c r="S112" s="1607">
        <f t="shared" si="93"/>
        <v>10</v>
      </c>
      <c r="T112" s="1555"/>
      <c r="U112" s="1556"/>
      <c r="V112" s="1556"/>
      <c r="W112" s="1557"/>
      <c r="X112" s="1555"/>
      <c r="Y112" s="1556"/>
      <c r="Z112" s="1556"/>
      <c r="AA112" s="1557"/>
      <c r="AB112" s="1555"/>
      <c r="AC112" s="1556"/>
      <c r="AD112" s="1556"/>
      <c r="AE112" s="1558"/>
      <c r="AF112" s="1556"/>
      <c r="AG112" s="1556"/>
      <c r="AH112" s="1556"/>
      <c r="AI112" s="1558"/>
      <c r="AJ112" s="1556">
        <v>9</v>
      </c>
      <c r="AK112" s="1556"/>
      <c r="AL112" s="1556"/>
      <c r="AM112" s="1558">
        <f t="shared" si="83"/>
        <v>9</v>
      </c>
      <c r="AN112" s="1556"/>
      <c r="AO112" s="1556"/>
      <c r="AP112" s="1556">
        <v>1</v>
      </c>
      <c r="AQ112" s="1558">
        <f t="shared" si="84"/>
        <v>1</v>
      </c>
      <c r="AR112" s="1556"/>
      <c r="AS112" s="1556"/>
      <c r="AT112" s="1556"/>
      <c r="AU112" s="1558">
        <f t="shared" si="85"/>
        <v>0</v>
      </c>
      <c r="AV112" s="1556"/>
      <c r="AW112" s="1556"/>
      <c r="AX112" s="1556"/>
      <c r="AY112" s="1558">
        <f t="shared" si="86"/>
        <v>0</v>
      </c>
      <c r="AZ112" s="1556"/>
      <c r="BA112" s="1556"/>
      <c r="BB112" s="1556">
        <v>1</v>
      </c>
      <c r="BC112" s="1558">
        <f t="shared" si="87"/>
        <v>1</v>
      </c>
      <c r="BD112" s="1556">
        <v>1</v>
      </c>
      <c r="BE112" s="1556">
        <v>1</v>
      </c>
      <c r="BF112" s="1556"/>
      <c r="BG112" s="1558">
        <f t="shared" si="95"/>
        <v>2</v>
      </c>
      <c r="BH112" s="1556"/>
      <c r="BI112" s="1556"/>
      <c r="BJ112" s="1556"/>
      <c r="BK112" s="1558">
        <f t="shared" si="96"/>
        <v>0</v>
      </c>
      <c r="BL112" s="1556"/>
      <c r="BM112" s="1556"/>
      <c r="BN112" s="1556"/>
      <c r="BO112" s="1558">
        <f t="shared" si="97"/>
        <v>0</v>
      </c>
      <c r="BP112" s="1556"/>
      <c r="BQ112" s="1556"/>
      <c r="BR112" s="1556"/>
      <c r="BS112" s="1558">
        <f t="shared" si="98"/>
        <v>0</v>
      </c>
      <c r="BT112" s="1556"/>
      <c r="BU112" s="1556"/>
      <c r="BV112" s="1556"/>
      <c r="BW112" s="1558">
        <f t="shared" si="99"/>
        <v>0</v>
      </c>
      <c r="BX112" s="1556"/>
      <c r="BY112" s="1556"/>
      <c r="BZ112" s="1556"/>
      <c r="CA112" s="1558">
        <f t="shared" si="100"/>
        <v>0</v>
      </c>
      <c r="CB112" s="1556"/>
      <c r="CC112" s="1556"/>
      <c r="CD112" s="1556"/>
      <c r="CE112" s="1558">
        <f t="shared" si="65"/>
        <v>0</v>
      </c>
      <c r="CF112" s="1556"/>
      <c r="CG112" s="1556"/>
      <c r="CH112" s="1556"/>
      <c r="CI112" s="1558">
        <f t="shared" si="66"/>
        <v>0</v>
      </c>
      <c r="CJ112" s="1556"/>
      <c r="CK112" s="1556"/>
      <c r="CL112" s="1556"/>
      <c r="CM112" s="1558">
        <f t="shared" si="61"/>
        <v>0</v>
      </c>
      <c r="CN112" s="1556"/>
      <c r="CO112" s="1556"/>
      <c r="CP112" s="1556"/>
      <c r="CQ112" s="1558">
        <f t="shared" si="62"/>
        <v>0</v>
      </c>
      <c r="CR112" s="1556"/>
      <c r="CS112" s="1556"/>
      <c r="CT112" s="1556"/>
      <c r="CU112" s="1558">
        <f t="shared" si="80"/>
        <v>0</v>
      </c>
    </row>
    <row r="113" spans="2:99" ht="14.25" customHeight="1" x14ac:dyDescent="0.25">
      <c r="B113" s="5872"/>
      <c r="C113" s="1593" t="s">
        <v>399</v>
      </c>
      <c r="D113" s="1555"/>
      <c r="E113" s="1556"/>
      <c r="F113" s="1556"/>
      <c r="G113" s="1557"/>
      <c r="H113" s="1555"/>
      <c r="I113" s="1556"/>
      <c r="J113" s="1556"/>
      <c r="K113" s="1607"/>
      <c r="L113" s="1555"/>
      <c r="M113" s="1556"/>
      <c r="N113" s="1556"/>
      <c r="O113" s="1607"/>
      <c r="P113" s="1555"/>
      <c r="Q113" s="1556"/>
      <c r="R113" s="1556"/>
      <c r="S113" s="1607"/>
      <c r="T113" s="1555"/>
      <c r="U113" s="1556"/>
      <c r="V113" s="1556"/>
      <c r="W113" s="1557"/>
      <c r="X113" s="1555"/>
      <c r="Y113" s="1556"/>
      <c r="Z113" s="1556"/>
      <c r="AA113" s="1557"/>
      <c r="AB113" s="1555"/>
      <c r="AC113" s="1556"/>
      <c r="AD113" s="1556"/>
      <c r="AE113" s="1558"/>
      <c r="AF113" s="1556"/>
      <c r="AG113" s="1556"/>
      <c r="AH113" s="1556"/>
      <c r="AI113" s="1558"/>
      <c r="AJ113" s="1556"/>
      <c r="AK113" s="1556"/>
      <c r="AL113" s="1556"/>
      <c r="AM113" s="1558"/>
      <c r="AN113" s="1556"/>
      <c r="AO113" s="1556"/>
      <c r="AP113" s="1556"/>
      <c r="AQ113" s="1558"/>
      <c r="AR113" s="1556"/>
      <c r="AS113" s="1556"/>
      <c r="AT113" s="1556"/>
      <c r="AU113" s="1558"/>
      <c r="AV113" s="1556"/>
      <c r="AW113" s="1556"/>
      <c r="AX113" s="1556"/>
      <c r="AY113" s="1558"/>
      <c r="AZ113" s="1556"/>
      <c r="BA113" s="1556"/>
      <c r="BB113" s="1556"/>
      <c r="BC113" s="1558"/>
      <c r="BD113" s="1556"/>
      <c r="BE113" s="1556"/>
      <c r="BF113" s="1556"/>
      <c r="BG113" s="1558"/>
      <c r="BH113" s="1556"/>
      <c r="BI113" s="1556"/>
      <c r="BJ113" s="1556"/>
      <c r="BK113" s="1558"/>
      <c r="BL113" s="1556">
        <v>2</v>
      </c>
      <c r="BM113" s="1556">
        <v>4</v>
      </c>
      <c r="BN113" s="1556">
        <v>2</v>
      </c>
      <c r="BO113" s="1558">
        <f t="shared" si="97"/>
        <v>8</v>
      </c>
      <c r="BP113" s="1556"/>
      <c r="BQ113" s="1556"/>
      <c r="BR113" s="1556">
        <v>1</v>
      </c>
      <c r="BS113" s="1558">
        <f t="shared" si="98"/>
        <v>1</v>
      </c>
      <c r="BT113" s="1556">
        <v>7</v>
      </c>
      <c r="BU113" s="1556">
        <v>4</v>
      </c>
      <c r="BV113" s="1556">
        <v>1</v>
      </c>
      <c r="BW113" s="1558">
        <f t="shared" si="99"/>
        <v>12</v>
      </c>
      <c r="BX113" s="1556"/>
      <c r="BY113" s="1556"/>
      <c r="BZ113" s="1556"/>
      <c r="CA113" s="1558">
        <f t="shared" si="100"/>
        <v>0</v>
      </c>
      <c r="CB113" s="1556">
        <v>1</v>
      </c>
      <c r="CC113" s="1556">
        <v>9</v>
      </c>
      <c r="CD113" s="1556">
        <v>4</v>
      </c>
      <c r="CE113" s="1558">
        <f t="shared" si="65"/>
        <v>14</v>
      </c>
      <c r="CF113" s="1556"/>
      <c r="CG113" s="1556">
        <v>1</v>
      </c>
      <c r="CH113" s="1556">
        <v>1</v>
      </c>
      <c r="CI113" s="1558">
        <f t="shared" si="66"/>
        <v>2</v>
      </c>
      <c r="CJ113" s="1556">
        <v>3</v>
      </c>
      <c r="CK113" s="1556">
        <v>5</v>
      </c>
      <c r="CL113" s="1556">
        <v>2</v>
      </c>
      <c r="CM113" s="1558">
        <f t="shared" si="61"/>
        <v>10</v>
      </c>
      <c r="CN113" s="1556"/>
      <c r="CO113" s="1556"/>
      <c r="CP113" s="1556">
        <v>1</v>
      </c>
      <c r="CQ113" s="1558">
        <f t="shared" si="62"/>
        <v>1</v>
      </c>
      <c r="CR113" s="1556">
        <v>1</v>
      </c>
      <c r="CS113" s="1556">
        <v>1</v>
      </c>
      <c r="CT113" s="1556"/>
      <c r="CU113" s="1558">
        <f t="shared" si="80"/>
        <v>2</v>
      </c>
    </row>
    <row r="114" spans="2:99" ht="14.25" customHeight="1" x14ac:dyDescent="0.25">
      <c r="B114" s="5872"/>
      <c r="C114" s="1593" t="s">
        <v>334</v>
      </c>
      <c r="D114" s="1555"/>
      <c r="E114" s="1556"/>
      <c r="F114" s="1556"/>
      <c r="G114" s="1557"/>
      <c r="H114" s="1555"/>
      <c r="I114" s="1556"/>
      <c r="J114" s="1556"/>
      <c r="K114" s="1607"/>
      <c r="L114" s="1555"/>
      <c r="M114" s="1556"/>
      <c r="N114" s="1556"/>
      <c r="O114" s="1607"/>
      <c r="P114" s="1555"/>
      <c r="Q114" s="1556"/>
      <c r="R114" s="1556"/>
      <c r="S114" s="1607"/>
      <c r="T114" s="1555"/>
      <c r="U114" s="1556"/>
      <c r="V114" s="1556"/>
      <c r="W114" s="1557"/>
      <c r="X114" s="1555"/>
      <c r="Y114" s="1556"/>
      <c r="Z114" s="1556"/>
      <c r="AA114" s="1557"/>
      <c r="AB114" s="1555"/>
      <c r="AC114" s="1556"/>
      <c r="AD114" s="1556"/>
      <c r="AE114" s="1558"/>
      <c r="AF114" s="1556"/>
      <c r="AG114" s="1556"/>
      <c r="AH114" s="1556"/>
      <c r="AI114" s="1558"/>
      <c r="AJ114" s="1556"/>
      <c r="AK114" s="1556"/>
      <c r="AL114" s="1556"/>
      <c r="AM114" s="1558"/>
      <c r="AN114" s="1556"/>
      <c r="AO114" s="1556"/>
      <c r="AP114" s="1556"/>
      <c r="AQ114" s="1558"/>
      <c r="AR114" s="1556"/>
      <c r="AS114" s="1556"/>
      <c r="AT114" s="1556"/>
      <c r="AU114" s="1558"/>
      <c r="AV114" s="1556"/>
      <c r="AW114" s="1556"/>
      <c r="AX114" s="1556"/>
      <c r="AY114" s="1558"/>
      <c r="AZ114" s="1556"/>
      <c r="BA114" s="1556"/>
      <c r="BB114" s="1556"/>
      <c r="BC114" s="1558"/>
      <c r="BD114" s="1556"/>
      <c r="BE114" s="1556"/>
      <c r="BF114" s="1556"/>
      <c r="BG114" s="1558"/>
      <c r="BH114" s="1556"/>
      <c r="BI114" s="1556"/>
      <c r="BJ114" s="1556"/>
      <c r="BK114" s="1558"/>
      <c r="BL114" s="1556"/>
      <c r="BM114" s="1556"/>
      <c r="BN114" s="1556"/>
      <c r="BO114" s="1558"/>
      <c r="BP114" s="1556"/>
      <c r="BQ114" s="1556"/>
      <c r="BR114" s="1556"/>
      <c r="BS114" s="1558"/>
      <c r="BT114" s="1556"/>
      <c r="BU114" s="1556"/>
      <c r="BV114" s="1556"/>
      <c r="BW114" s="1558"/>
      <c r="BX114" s="1556"/>
      <c r="BY114" s="1556"/>
      <c r="BZ114" s="1556"/>
      <c r="CA114" s="1558"/>
      <c r="CB114" s="1556"/>
      <c r="CC114" s="1556"/>
      <c r="CD114" s="1556">
        <v>1</v>
      </c>
      <c r="CE114" s="1558">
        <f t="shared" si="65"/>
        <v>1</v>
      </c>
      <c r="CF114" s="1556">
        <v>2</v>
      </c>
      <c r="CG114" s="1556"/>
      <c r="CH114" s="1556"/>
      <c r="CI114" s="1558">
        <f t="shared" si="66"/>
        <v>2</v>
      </c>
      <c r="CJ114" s="1556"/>
      <c r="CK114" s="1556"/>
      <c r="CL114" s="1556"/>
      <c r="CM114" s="1558">
        <f t="shared" si="61"/>
        <v>0</v>
      </c>
      <c r="CN114" s="1556"/>
      <c r="CO114" s="1556"/>
      <c r="CP114" s="1556">
        <v>1</v>
      </c>
      <c r="CQ114" s="1558">
        <f t="shared" si="62"/>
        <v>1</v>
      </c>
      <c r="CR114" s="1556"/>
      <c r="CS114" s="1556">
        <v>1</v>
      </c>
      <c r="CT114" s="1556"/>
      <c r="CU114" s="1558">
        <f t="shared" si="80"/>
        <v>1</v>
      </c>
    </row>
    <row r="115" spans="2:99" ht="14.25" customHeight="1" x14ac:dyDescent="0.25">
      <c r="B115" s="5872"/>
      <c r="C115" s="1593" t="s">
        <v>400</v>
      </c>
      <c r="D115" s="1555"/>
      <c r="E115" s="1556"/>
      <c r="F115" s="1556"/>
      <c r="G115" s="1557"/>
      <c r="H115" s="1555"/>
      <c r="I115" s="1556"/>
      <c r="J115" s="1556"/>
      <c r="K115" s="1607"/>
      <c r="L115" s="1555"/>
      <c r="M115" s="1556"/>
      <c r="N115" s="1556"/>
      <c r="O115" s="1607"/>
      <c r="P115" s="1555"/>
      <c r="Q115" s="1556"/>
      <c r="R115" s="1556"/>
      <c r="S115" s="1607"/>
      <c r="T115" s="1555"/>
      <c r="U115" s="1556"/>
      <c r="V115" s="1556"/>
      <c r="W115" s="1557"/>
      <c r="X115" s="1555"/>
      <c r="Y115" s="1556"/>
      <c r="Z115" s="1556"/>
      <c r="AA115" s="1557"/>
      <c r="AB115" s="1555"/>
      <c r="AC115" s="1556"/>
      <c r="AD115" s="1556"/>
      <c r="AE115" s="1558"/>
      <c r="AF115" s="1556"/>
      <c r="AG115" s="1556"/>
      <c r="AH115" s="1556"/>
      <c r="AI115" s="1558"/>
      <c r="AJ115" s="1556"/>
      <c r="AK115" s="1556"/>
      <c r="AL115" s="1556"/>
      <c r="AM115" s="1558"/>
      <c r="AN115" s="1556"/>
      <c r="AO115" s="1556"/>
      <c r="AP115" s="1556"/>
      <c r="AQ115" s="1558"/>
      <c r="AR115" s="1556"/>
      <c r="AS115" s="1556"/>
      <c r="AT115" s="1556"/>
      <c r="AU115" s="1558"/>
      <c r="AV115" s="1556"/>
      <c r="AW115" s="1556"/>
      <c r="AX115" s="1556"/>
      <c r="AY115" s="1558"/>
      <c r="AZ115" s="1556"/>
      <c r="BA115" s="1556"/>
      <c r="BB115" s="1556"/>
      <c r="BC115" s="1558"/>
      <c r="BD115" s="1556"/>
      <c r="BE115" s="1556"/>
      <c r="BF115" s="1556"/>
      <c r="BG115" s="1558"/>
      <c r="BH115" s="1556"/>
      <c r="BI115" s="1556"/>
      <c r="BJ115" s="1556"/>
      <c r="BK115" s="1558"/>
      <c r="BL115" s="1556"/>
      <c r="BM115" s="1556"/>
      <c r="BN115" s="1556"/>
      <c r="BO115" s="1558"/>
      <c r="BP115" s="1556"/>
      <c r="BQ115" s="1556"/>
      <c r="BR115" s="1556"/>
      <c r="BS115" s="1558"/>
      <c r="BT115" s="1556"/>
      <c r="BU115" s="1556"/>
      <c r="BV115" s="1556"/>
      <c r="BW115" s="1558"/>
      <c r="BX115" s="1556"/>
      <c r="BY115" s="1556"/>
      <c r="BZ115" s="1556"/>
      <c r="CA115" s="1558"/>
      <c r="CB115" s="1556"/>
      <c r="CC115" s="1556"/>
      <c r="CD115" s="1556"/>
      <c r="CE115" s="1558"/>
      <c r="CF115" s="1556">
        <v>5</v>
      </c>
      <c r="CG115" s="1556">
        <v>2</v>
      </c>
      <c r="CH115" s="1556">
        <v>1</v>
      </c>
      <c r="CI115" s="1558">
        <f t="shared" si="66"/>
        <v>8</v>
      </c>
      <c r="CJ115" s="1556">
        <v>3</v>
      </c>
      <c r="CK115" s="1556"/>
      <c r="CL115" s="1556"/>
      <c r="CM115" s="1558">
        <f t="shared" si="61"/>
        <v>3</v>
      </c>
      <c r="CN115" s="1556">
        <v>2</v>
      </c>
      <c r="CO115" s="1556">
        <v>2</v>
      </c>
      <c r="CP115" s="1556">
        <v>3</v>
      </c>
      <c r="CQ115" s="1558">
        <f t="shared" si="62"/>
        <v>7</v>
      </c>
      <c r="CR115" s="1556">
        <v>2</v>
      </c>
      <c r="CS115" s="1556"/>
      <c r="CT115" s="1556">
        <v>1</v>
      </c>
      <c r="CU115" s="1558">
        <f t="shared" si="80"/>
        <v>3</v>
      </c>
    </row>
    <row r="116" spans="2:99" ht="14.25" customHeight="1" x14ac:dyDescent="0.25">
      <c r="B116" s="5873"/>
      <c r="C116" s="1593" t="s">
        <v>488</v>
      </c>
      <c r="D116" s="1555"/>
      <c r="E116" s="1556"/>
      <c r="F116" s="1556"/>
      <c r="G116" s="1557"/>
      <c r="H116" s="1555"/>
      <c r="I116" s="1556"/>
      <c r="J116" s="1556"/>
      <c r="K116" s="1607"/>
      <c r="L116" s="1555">
        <v>1</v>
      </c>
      <c r="M116" s="1556"/>
      <c r="N116" s="1556"/>
      <c r="O116" s="1607">
        <f t="shared" si="92"/>
        <v>1</v>
      </c>
      <c r="P116" s="1555"/>
      <c r="Q116" s="1556">
        <v>12</v>
      </c>
      <c r="R116" s="1556"/>
      <c r="S116" s="1607">
        <f t="shared" si="93"/>
        <v>12</v>
      </c>
      <c r="T116" s="1555"/>
      <c r="U116" s="1556"/>
      <c r="V116" s="1556"/>
      <c r="W116" s="1557"/>
      <c r="X116" s="1555"/>
      <c r="Y116" s="1556"/>
      <c r="Z116" s="1556"/>
      <c r="AA116" s="1557"/>
      <c r="AB116" s="1555"/>
      <c r="AC116" s="1556"/>
      <c r="AD116" s="1556"/>
      <c r="AE116" s="1558"/>
      <c r="AF116" s="1556"/>
      <c r="AG116" s="1556"/>
      <c r="AH116" s="1556"/>
      <c r="AI116" s="1558"/>
      <c r="AJ116" s="1556"/>
      <c r="AK116" s="1556"/>
      <c r="AL116" s="1556"/>
      <c r="AM116" s="1558"/>
      <c r="AN116" s="1556"/>
      <c r="AO116" s="1556"/>
      <c r="AP116" s="1556"/>
      <c r="AQ116" s="1558"/>
      <c r="AR116" s="1556"/>
      <c r="AS116" s="1556"/>
      <c r="AT116" s="1556"/>
      <c r="AU116" s="1558"/>
      <c r="AV116" s="1556"/>
      <c r="AW116" s="1556"/>
      <c r="AX116" s="1556"/>
      <c r="AY116" s="1558"/>
      <c r="AZ116" s="1556"/>
      <c r="BA116" s="1556"/>
      <c r="BB116" s="1556"/>
      <c r="BC116" s="1558"/>
      <c r="BD116" s="1556"/>
      <c r="BE116" s="1556"/>
      <c r="BF116" s="1556"/>
      <c r="BG116" s="1558"/>
      <c r="BH116" s="1556"/>
      <c r="BI116" s="1556"/>
      <c r="BJ116" s="1556"/>
      <c r="BK116" s="1558"/>
      <c r="BL116" s="1556"/>
      <c r="BM116" s="1556"/>
      <c r="BN116" s="1556"/>
      <c r="BO116" s="1558">
        <f t="shared" si="97"/>
        <v>0</v>
      </c>
      <c r="BP116" s="1556"/>
      <c r="BQ116" s="1556"/>
      <c r="BR116" s="1556"/>
      <c r="BS116" s="1558">
        <f t="shared" si="98"/>
        <v>0</v>
      </c>
      <c r="BT116" s="1556"/>
      <c r="BU116" s="1556"/>
      <c r="BV116" s="1556"/>
      <c r="BW116" s="1558">
        <f t="shared" si="99"/>
        <v>0</v>
      </c>
      <c r="BX116" s="1556"/>
      <c r="BY116" s="1556"/>
      <c r="BZ116" s="1556"/>
      <c r="CA116" s="1558">
        <f t="shared" si="100"/>
        <v>0</v>
      </c>
      <c r="CB116" s="1556"/>
      <c r="CC116" s="1556"/>
      <c r="CD116" s="1556"/>
      <c r="CE116" s="1558">
        <f t="shared" si="65"/>
        <v>0</v>
      </c>
      <c r="CF116" s="1556"/>
      <c r="CG116" s="1556"/>
      <c r="CH116" s="1556"/>
      <c r="CI116" s="1558">
        <f t="shared" si="66"/>
        <v>0</v>
      </c>
      <c r="CJ116" s="1556"/>
      <c r="CK116" s="1556"/>
      <c r="CL116" s="1556"/>
      <c r="CM116" s="1558">
        <f t="shared" si="61"/>
        <v>0</v>
      </c>
      <c r="CN116" s="1556"/>
      <c r="CO116" s="1556"/>
      <c r="CP116" s="1556"/>
      <c r="CQ116" s="1558">
        <f t="shared" si="62"/>
        <v>0</v>
      </c>
      <c r="CR116" s="1556"/>
      <c r="CS116" s="1556"/>
      <c r="CT116" s="1556"/>
      <c r="CU116" s="1558">
        <f t="shared" si="80"/>
        <v>0</v>
      </c>
    </row>
    <row r="117" spans="2:99" ht="14.25" customHeight="1" x14ac:dyDescent="0.25">
      <c r="B117" s="5880" t="s">
        <v>317</v>
      </c>
      <c r="C117" s="1594" t="s">
        <v>1397</v>
      </c>
      <c r="D117" s="1567"/>
      <c r="E117" s="1568"/>
      <c r="F117" s="1568"/>
      <c r="G117" s="1569"/>
      <c r="H117" s="1567"/>
      <c r="I117" s="1568"/>
      <c r="J117" s="1568"/>
      <c r="K117" s="1589"/>
      <c r="L117" s="1567"/>
      <c r="M117" s="1568"/>
      <c r="N117" s="1568"/>
      <c r="O117" s="1589"/>
      <c r="P117" s="1567"/>
      <c r="Q117" s="1568"/>
      <c r="R117" s="1568"/>
      <c r="S117" s="1589"/>
      <c r="T117" s="1567"/>
      <c r="U117" s="1568"/>
      <c r="V117" s="1568"/>
      <c r="W117" s="1569"/>
      <c r="X117" s="1567"/>
      <c r="Y117" s="1568"/>
      <c r="Z117" s="1568"/>
      <c r="AA117" s="1569"/>
      <c r="AB117" s="1567"/>
      <c r="AC117" s="1568">
        <v>1</v>
      </c>
      <c r="AD117" s="1568">
        <v>1</v>
      </c>
      <c r="AE117" s="1553">
        <f>SUM(AB117:AD117)</f>
        <v>2</v>
      </c>
      <c r="AF117" s="1568"/>
      <c r="AG117" s="1568"/>
      <c r="AH117" s="1568">
        <v>1</v>
      </c>
      <c r="AI117" s="1553">
        <f>SUM(AF117:AH117)</f>
        <v>1</v>
      </c>
      <c r="AJ117" s="1568"/>
      <c r="AK117" s="1568"/>
      <c r="AL117" s="1568">
        <v>1</v>
      </c>
      <c r="AM117" s="1553">
        <f>SUM(AJ117:AL117)</f>
        <v>1</v>
      </c>
      <c r="AN117" s="1568">
        <v>2</v>
      </c>
      <c r="AO117" s="1568"/>
      <c r="AP117" s="1568">
        <v>1</v>
      </c>
      <c r="AQ117" s="1553">
        <f>SUM(AN117:AP117)</f>
        <v>3</v>
      </c>
      <c r="AR117" s="1568"/>
      <c r="AS117" s="1568">
        <v>2</v>
      </c>
      <c r="AT117" s="1568">
        <v>2</v>
      </c>
      <c r="AU117" s="1553">
        <f>SUM(AR117:AT117)</f>
        <v>4</v>
      </c>
      <c r="AV117" s="1568">
        <v>1</v>
      </c>
      <c r="AW117" s="1568">
        <v>4</v>
      </c>
      <c r="AX117" s="1568">
        <v>3</v>
      </c>
      <c r="AY117" s="1553">
        <f>SUM(AV117:AX117)</f>
        <v>8</v>
      </c>
      <c r="AZ117" s="1568">
        <v>2</v>
      </c>
      <c r="BA117" s="1568">
        <v>3</v>
      </c>
      <c r="BB117" s="1568">
        <v>2</v>
      </c>
      <c r="BC117" s="1553">
        <f>SUM(AZ117:BB117)</f>
        <v>7</v>
      </c>
      <c r="BD117" s="1568">
        <v>5</v>
      </c>
      <c r="BE117" s="1568"/>
      <c r="BF117" s="1568">
        <v>1</v>
      </c>
      <c r="BG117" s="1553">
        <f>SUM(BD117:BF117)</f>
        <v>6</v>
      </c>
      <c r="BH117" s="1568"/>
      <c r="BI117" s="1568">
        <v>1</v>
      </c>
      <c r="BJ117" s="1568">
        <v>3</v>
      </c>
      <c r="BK117" s="1553">
        <f>SUM(BH117:BJ117)</f>
        <v>4</v>
      </c>
      <c r="BL117" s="1568">
        <v>2</v>
      </c>
      <c r="BM117" s="1568"/>
      <c r="BN117" s="1568">
        <v>4</v>
      </c>
      <c r="BO117" s="1553">
        <f>SUM(BL117:BN117)</f>
        <v>6</v>
      </c>
      <c r="BP117" s="1568">
        <v>3</v>
      </c>
      <c r="BQ117" s="1568">
        <v>3</v>
      </c>
      <c r="BR117" s="1568">
        <v>3</v>
      </c>
      <c r="BS117" s="1553">
        <f>SUM(BP117:BR117)</f>
        <v>9</v>
      </c>
      <c r="BT117" s="1568">
        <v>1</v>
      </c>
      <c r="BU117" s="1568">
        <v>2</v>
      </c>
      <c r="BV117" s="1568">
        <v>1</v>
      </c>
      <c r="BW117" s="1553">
        <f>SUM(BT117:BV117)</f>
        <v>4</v>
      </c>
      <c r="BX117" s="1568">
        <v>1</v>
      </c>
      <c r="BY117" s="1568">
        <v>2</v>
      </c>
      <c r="BZ117" s="1568">
        <v>5</v>
      </c>
      <c r="CA117" s="1553">
        <f>SUM(BX117:BZ117)</f>
        <v>8</v>
      </c>
      <c r="CB117" s="1568">
        <v>3</v>
      </c>
      <c r="CC117" s="1568">
        <v>1</v>
      </c>
      <c r="CD117" s="1568"/>
      <c r="CE117" s="1553">
        <f t="shared" si="65"/>
        <v>4</v>
      </c>
      <c r="CF117" s="1568">
        <v>2</v>
      </c>
      <c r="CG117" s="1568"/>
      <c r="CH117" s="1568">
        <v>12</v>
      </c>
      <c r="CI117" s="1553">
        <f t="shared" si="66"/>
        <v>14</v>
      </c>
      <c r="CJ117" s="1568">
        <v>1</v>
      </c>
      <c r="CK117" s="1568">
        <v>1</v>
      </c>
      <c r="CL117" s="1568">
        <v>2</v>
      </c>
      <c r="CM117" s="1553">
        <f t="shared" si="61"/>
        <v>4</v>
      </c>
      <c r="CN117" s="1568">
        <v>1</v>
      </c>
      <c r="CO117" s="1568">
        <v>1</v>
      </c>
      <c r="CP117" s="1568">
        <v>5</v>
      </c>
      <c r="CQ117" s="1553">
        <f t="shared" si="62"/>
        <v>7</v>
      </c>
      <c r="CR117" s="1568">
        <v>8</v>
      </c>
      <c r="CS117" s="1568"/>
      <c r="CT117" s="1568"/>
      <c r="CU117" s="1553">
        <f t="shared" si="80"/>
        <v>8</v>
      </c>
    </row>
    <row r="118" spans="2:99" ht="14.25" customHeight="1" x14ac:dyDescent="0.25">
      <c r="B118" s="5881"/>
      <c r="C118" s="1594" t="s">
        <v>403</v>
      </c>
      <c r="D118" s="1567"/>
      <c r="E118" s="1568"/>
      <c r="F118" s="1568"/>
      <c r="G118" s="1569"/>
      <c r="H118" s="1567"/>
      <c r="I118" s="1568"/>
      <c r="J118" s="1568"/>
      <c r="K118" s="1589"/>
      <c r="L118" s="1567"/>
      <c r="M118" s="1568"/>
      <c r="N118" s="1568"/>
      <c r="O118" s="1589"/>
      <c r="P118" s="1567"/>
      <c r="Q118" s="1568"/>
      <c r="R118" s="1568"/>
      <c r="S118" s="1589"/>
      <c r="T118" s="1567"/>
      <c r="U118" s="1568"/>
      <c r="V118" s="1568"/>
      <c r="W118" s="1569"/>
      <c r="X118" s="1567"/>
      <c r="Y118" s="1568"/>
      <c r="Z118" s="1568"/>
      <c r="AA118" s="1569"/>
      <c r="AB118" s="1567"/>
      <c r="AC118" s="1568"/>
      <c r="AD118" s="1568"/>
      <c r="AE118" s="1553"/>
      <c r="AF118" s="1568"/>
      <c r="AG118" s="1568"/>
      <c r="AH118" s="1568"/>
      <c r="AI118" s="1553"/>
      <c r="AJ118" s="1568"/>
      <c r="AK118" s="1568"/>
      <c r="AL118" s="1568"/>
      <c r="AM118" s="1553"/>
      <c r="AN118" s="1568"/>
      <c r="AO118" s="1568"/>
      <c r="AP118" s="1568"/>
      <c r="AQ118" s="1553"/>
      <c r="AR118" s="1568"/>
      <c r="AS118" s="1568"/>
      <c r="AT118" s="1568"/>
      <c r="AU118" s="1553"/>
      <c r="AV118" s="1568"/>
      <c r="AW118" s="1568"/>
      <c r="AX118" s="1568"/>
      <c r="AY118" s="1553"/>
      <c r="AZ118" s="1568"/>
      <c r="BA118" s="1568"/>
      <c r="BB118" s="1568"/>
      <c r="BC118" s="1553"/>
      <c r="BD118" s="1568"/>
      <c r="BE118" s="1568"/>
      <c r="BF118" s="1568"/>
      <c r="BG118" s="1553"/>
      <c r="BH118" s="1568"/>
      <c r="BI118" s="1568"/>
      <c r="BJ118" s="1568"/>
      <c r="BK118" s="1553"/>
      <c r="BL118" s="1568"/>
      <c r="BM118" s="1568"/>
      <c r="BN118" s="1568"/>
      <c r="BO118" s="1553"/>
      <c r="BP118" s="1568"/>
      <c r="BQ118" s="1568"/>
      <c r="BR118" s="1568"/>
      <c r="BS118" s="1553"/>
      <c r="BT118" s="1568"/>
      <c r="BU118" s="1568"/>
      <c r="BV118" s="1568"/>
      <c r="BW118" s="1553"/>
      <c r="BX118" s="1568"/>
      <c r="BY118" s="1568"/>
      <c r="BZ118" s="1568"/>
      <c r="CA118" s="1553"/>
      <c r="CB118" s="1568"/>
      <c r="CC118" s="1568"/>
      <c r="CD118" s="1568"/>
      <c r="CE118" s="1553"/>
      <c r="CF118" s="1568"/>
      <c r="CG118" s="1568"/>
      <c r="CH118" s="1568"/>
      <c r="CI118" s="1553"/>
      <c r="CJ118" s="1568"/>
      <c r="CK118" s="1568"/>
      <c r="CL118" s="1568"/>
      <c r="CM118" s="1553"/>
      <c r="CN118" s="1568"/>
      <c r="CO118" s="1568"/>
      <c r="CP118" s="1568"/>
      <c r="CQ118" s="1553"/>
      <c r="CR118" s="1568">
        <v>2</v>
      </c>
      <c r="CS118" s="1568">
        <v>1</v>
      </c>
      <c r="CT118" s="1568"/>
      <c r="CU118" s="1553">
        <f t="shared" si="80"/>
        <v>3</v>
      </c>
    </row>
    <row r="119" spans="2:99" ht="14.25" customHeight="1" x14ac:dyDescent="0.25">
      <c r="B119" s="5881"/>
      <c r="C119" s="1594" t="s">
        <v>378</v>
      </c>
      <c r="D119" s="1567"/>
      <c r="E119" s="1568"/>
      <c r="F119" s="1568"/>
      <c r="G119" s="1569"/>
      <c r="H119" s="1567"/>
      <c r="I119" s="1568"/>
      <c r="J119" s="1568"/>
      <c r="K119" s="1589"/>
      <c r="L119" s="1567"/>
      <c r="M119" s="1568"/>
      <c r="N119" s="1568"/>
      <c r="O119" s="1589"/>
      <c r="P119" s="1567"/>
      <c r="Q119" s="1568"/>
      <c r="R119" s="1568"/>
      <c r="S119" s="1589"/>
      <c r="T119" s="1567"/>
      <c r="U119" s="1568"/>
      <c r="V119" s="1568"/>
      <c r="W119" s="1569"/>
      <c r="X119" s="1567"/>
      <c r="Y119" s="1568"/>
      <c r="Z119" s="1568"/>
      <c r="AA119" s="1569"/>
      <c r="AB119" s="1567"/>
      <c r="AC119" s="1568"/>
      <c r="AD119" s="1568"/>
      <c r="AE119" s="1553"/>
      <c r="AF119" s="1568"/>
      <c r="AG119" s="1568"/>
      <c r="AH119" s="1568"/>
      <c r="AI119" s="1553"/>
      <c r="AJ119" s="1568"/>
      <c r="AK119" s="1568"/>
      <c r="AL119" s="1568"/>
      <c r="AM119" s="1553"/>
      <c r="AN119" s="1568"/>
      <c r="AO119" s="1568"/>
      <c r="AP119" s="1568"/>
      <c r="AQ119" s="1553"/>
      <c r="AR119" s="1568"/>
      <c r="AS119" s="1568"/>
      <c r="AT119" s="1568"/>
      <c r="AU119" s="1553"/>
      <c r="AV119" s="1568"/>
      <c r="AW119" s="1568"/>
      <c r="AX119" s="1568"/>
      <c r="AY119" s="1553"/>
      <c r="AZ119" s="1568"/>
      <c r="BA119" s="1568"/>
      <c r="BB119" s="1568"/>
      <c r="BC119" s="1553"/>
      <c r="BD119" s="1568"/>
      <c r="BE119" s="1568"/>
      <c r="BF119" s="1568"/>
      <c r="BG119" s="1553"/>
      <c r="BH119" s="1568"/>
      <c r="BI119" s="1568"/>
      <c r="BJ119" s="1568"/>
      <c r="BK119" s="1553"/>
      <c r="BL119" s="1568"/>
      <c r="BM119" s="1568"/>
      <c r="BN119" s="1568"/>
      <c r="BO119" s="1553"/>
      <c r="BP119" s="1568"/>
      <c r="BQ119" s="1568"/>
      <c r="BR119" s="1568"/>
      <c r="BS119" s="1553"/>
      <c r="BT119" s="1568"/>
      <c r="BU119" s="1568"/>
      <c r="BV119" s="1568"/>
      <c r="BW119" s="1553"/>
      <c r="BX119" s="1568"/>
      <c r="BY119" s="1568"/>
      <c r="BZ119" s="1568"/>
      <c r="CA119" s="1553"/>
      <c r="CB119" s="1568"/>
      <c r="CC119" s="1568"/>
      <c r="CD119" s="1568"/>
      <c r="CE119" s="1553"/>
      <c r="CF119" s="1568"/>
      <c r="CG119" s="1568"/>
      <c r="CH119" s="1568"/>
      <c r="CI119" s="1553"/>
      <c r="CJ119" s="1568"/>
      <c r="CK119" s="1568"/>
      <c r="CL119" s="1568"/>
      <c r="CM119" s="1553"/>
      <c r="CN119" s="1568"/>
      <c r="CO119" s="1568"/>
      <c r="CP119" s="1568">
        <v>3</v>
      </c>
      <c r="CQ119" s="1553">
        <f t="shared" si="62"/>
        <v>3</v>
      </c>
      <c r="CR119" s="1568">
        <v>1</v>
      </c>
      <c r="CS119" s="1568">
        <v>1</v>
      </c>
      <c r="CT119" s="1568"/>
      <c r="CU119" s="1553">
        <f t="shared" si="80"/>
        <v>2</v>
      </c>
    </row>
    <row r="120" spans="2:99" ht="14.25" customHeight="1" x14ac:dyDescent="0.25">
      <c r="B120" s="5881"/>
      <c r="C120" s="1594" t="s">
        <v>335</v>
      </c>
      <c r="D120" s="1567"/>
      <c r="E120" s="1568"/>
      <c r="F120" s="1568"/>
      <c r="G120" s="1569"/>
      <c r="H120" s="1567"/>
      <c r="I120" s="1568"/>
      <c r="J120" s="1568"/>
      <c r="K120" s="1589"/>
      <c r="L120" s="1567"/>
      <c r="M120" s="1568"/>
      <c r="N120" s="1568"/>
      <c r="O120" s="1589"/>
      <c r="P120" s="1567"/>
      <c r="Q120" s="1568"/>
      <c r="R120" s="1568"/>
      <c r="S120" s="1589"/>
      <c r="T120" s="1567"/>
      <c r="U120" s="1568"/>
      <c r="V120" s="1568"/>
      <c r="W120" s="1569"/>
      <c r="X120" s="1567"/>
      <c r="Y120" s="1568"/>
      <c r="Z120" s="1568"/>
      <c r="AA120" s="1569"/>
      <c r="AB120" s="1567">
        <v>1</v>
      </c>
      <c r="AC120" s="1568">
        <v>2</v>
      </c>
      <c r="AD120" s="1568"/>
      <c r="AE120" s="1553">
        <f>SUM(AB120:AD120)</f>
        <v>3</v>
      </c>
      <c r="AF120" s="1568"/>
      <c r="AG120" s="1568"/>
      <c r="AH120" s="1568"/>
      <c r="AI120" s="1553"/>
      <c r="AJ120" s="1568"/>
      <c r="AK120" s="1568">
        <v>1</v>
      </c>
      <c r="AL120" s="1568"/>
      <c r="AM120" s="1553">
        <f t="shared" si="83"/>
        <v>1</v>
      </c>
      <c r="AN120" s="1568"/>
      <c r="AO120" s="1568"/>
      <c r="AP120" s="1568"/>
      <c r="AQ120" s="1553">
        <f t="shared" si="84"/>
        <v>0</v>
      </c>
      <c r="AR120" s="1568">
        <v>1</v>
      </c>
      <c r="AS120" s="1568">
        <v>1</v>
      </c>
      <c r="AT120" s="1568">
        <v>1</v>
      </c>
      <c r="AU120" s="1553">
        <f t="shared" si="85"/>
        <v>3</v>
      </c>
      <c r="AV120" s="1568"/>
      <c r="AW120" s="1568"/>
      <c r="AX120" s="1568"/>
      <c r="AY120" s="1553">
        <f t="shared" si="86"/>
        <v>0</v>
      </c>
      <c r="AZ120" s="1568"/>
      <c r="BA120" s="1568">
        <v>1</v>
      </c>
      <c r="BB120" s="1568"/>
      <c r="BC120" s="1553">
        <f t="shared" si="87"/>
        <v>1</v>
      </c>
      <c r="BD120" s="1568"/>
      <c r="BE120" s="1568"/>
      <c r="BF120" s="1568"/>
      <c r="BG120" s="1553">
        <f t="shared" si="95"/>
        <v>0</v>
      </c>
      <c r="BH120" s="1568">
        <v>1</v>
      </c>
      <c r="BI120" s="1568"/>
      <c r="BJ120" s="1568">
        <v>3</v>
      </c>
      <c r="BK120" s="1553">
        <f>SUM(BH120:BJ120)</f>
        <v>4</v>
      </c>
      <c r="BL120" s="1568"/>
      <c r="BM120" s="1568"/>
      <c r="BN120" s="1568">
        <v>2</v>
      </c>
      <c r="BO120" s="1553">
        <f>SUM(BL120:BN120)</f>
        <v>2</v>
      </c>
      <c r="BP120" s="1568"/>
      <c r="BQ120" s="1568"/>
      <c r="BR120" s="1568"/>
      <c r="BS120" s="1553">
        <f>SUM(BP120:BR120)</f>
        <v>0</v>
      </c>
      <c r="BT120" s="1568"/>
      <c r="BU120" s="1568"/>
      <c r="BV120" s="1568"/>
      <c r="BW120" s="1553">
        <f>SUM(BT120:BV120)</f>
        <v>0</v>
      </c>
      <c r="BX120" s="1568"/>
      <c r="BY120" s="1568"/>
      <c r="BZ120" s="1568"/>
      <c r="CA120" s="1553">
        <f>SUM(BX120:BZ120)</f>
        <v>0</v>
      </c>
      <c r="CB120" s="1568"/>
      <c r="CC120" s="1568">
        <v>3</v>
      </c>
      <c r="CD120" s="1568">
        <v>1</v>
      </c>
      <c r="CE120" s="1553">
        <f t="shared" si="65"/>
        <v>4</v>
      </c>
      <c r="CF120" s="1568">
        <v>1</v>
      </c>
      <c r="CG120" s="1568"/>
      <c r="CH120" s="1568">
        <v>1</v>
      </c>
      <c r="CI120" s="1553">
        <f t="shared" si="66"/>
        <v>2</v>
      </c>
      <c r="CJ120" s="1568"/>
      <c r="CK120" s="1568"/>
      <c r="CL120" s="1568"/>
      <c r="CM120" s="1553">
        <f t="shared" si="61"/>
        <v>0</v>
      </c>
      <c r="CN120" s="1568">
        <v>1</v>
      </c>
      <c r="CO120" s="1568"/>
      <c r="CP120" s="1568">
        <v>2</v>
      </c>
      <c r="CQ120" s="1553">
        <f t="shared" si="62"/>
        <v>3</v>
      </c>
      <c r="CR120" s="1568"/>
      <c r="CS120" s="1568"/>
      <c r="CT120" s="1568"/>
      <c r="CU120" s="1553">
        <f t="shared" si="80"/>
        <v>0</v>
      </c>
    </row>
    <row r="121" spans="2:99" ht="14.25" customHeight="1" x14ac:dyDescent="0.25">
      <c r="B121" s="5885"/>
      <c r="C121" s="1572" t="s">
        <v>402</v>
      </c>
      <c r="D121" s="1573">
        <v>4</v>
      </c>
      <c r="E121" s="1574">
        <v>1</v>
      </c>
      <c r="F121" s="1574">
        <v>2</v>
      </c>
      <c r="G121" s="1575">
        <f>SUM(D121:F121)</f>
        <v>7</v>
      </c>
      <c r="H121" s="1573">
        <v>1</v>
      </c>
      <c r="I121" s="1574">
        <v>5</v>
      </c>
      <c r="J121" s="1574">
        <v>4</v>
      </c>
      <c r="K121" s="1575">
        <f>SUM(H121:J121)</f>
        <v>10</v>
      </c>
      <c r="L121" s="1573">
        <v>1</v>
      </c>
      <c r="M121" s="1574">
        <v>1</v>
      </c>
      <c r="N121" s="1574">
        <v>3</v>
      </c>
      <c r="O121" s="1575">
        <f>SUM(L121:N121)</f>
        <v>5</v>
      </c>
      <c r="P121" s="1573">
        <v>5</v>
      </c>
      <c r="Q121" s="1574">
        <v>5</v>
      </c>
      <c r="R121" s="1574">
        <v>7</v>
      </c>
      <c r="S121" s="1575">
        <f>SUM(P121:R121)</f>
        <v>17</v>
      </c>
      <c r="T121" s="1573">
        <v>3</v>
      </c>
      <c r="U121" s="1574">
        <v>4</v>
      </c>
      <c r="V121" s="1574">
        <v>5</v>
      </c>
      <c r="W121" s="1575">
        <f t="shared" ref="W121:W129" si="102">SUM(T121:V121)</f>
        <v>12</v>
      </c>
      <c r="X121" s="1573">
        <v>4</v>
      </c>
      <c r="Y121" s="1574">
        <v>4</v>
      </c>
      <c r="Z121" s="1574">
        <v>8</v>
      </c>
      <c r="AA121" s="1575">
        <f>SUM(X121:Z121)</f>
        <v>16</v>
      </c>
      <c r="AB121" s="1573">
        <v>5</v>
      </c>
      <c r="AC121" s="1574">
        <v>7</v>
      </c>
      <c r="AD121" s="1574">
        <v>2</v>
      </c>
      <c r="AE121" s="1576">
        <f>SUM(AB121:AD121)</f>
        <v>14</v>
      </c>
      <c r="AF121" s="1574">
        <v>1</v>
      </c>
      <c r="AG121" s="1574">
        <v>9</v>
      </c>
      <c r="AH121" s="1574">
        <v>8</v>
      </c>
      <c r="AI121" s="1576">
        <f>SUM(AF121:AH121)</f>
        <v>18</v>
      </c>
      <c r="AJ121" s="1574">
        <v>4</v>
      </c>
      <c r="AK121" s="1574">
        <v>7</v>
      </c>
      <c r="AL121" s="1574">
        <v>6</v>
      </c>
      <c r="AM121" s="1576">
        <f t="shared" si="83"/>
        <v>17</v>
      </c>
      <c r="AN121" s="1574">
        <v>1</v>
      </c>
      <c r="AO121" s="1574">
        <v>8</v>
      </c>
      <c r="AP121" s="1574">
        <v>5</v>
      </c>
      <c r="AQ121" s="1576">
        <f t="shared" si="84"/>
        <v>14</v>
      </c>
      <c r="AR121" s="1574">
        <v>2</v>
      </c>
      <c r="AS121" s="1574">
        <v>8</v>
      </c>
      <c r="AT121" s="1574">
        <v>9</v>
      </c>
      <c r="AU121" s="1576">
        <f t="shared" si="85"/>
        <v>19</v>
      </c>
      <c r="AV121" s="1574">
        <v>9</v>
      </c>
      <c r="AW121" s="1574">
        <v>10</v>
      </c>
      <c r="AX121" s="1574">
        <v>20</v>
      </c>
      <c r="AY121" s="1576">
        <f t="shared" si="86"/>
        <v>39</v>
      </c>
      <c r="AZ121" s="1574">
        <v>14</v>
      </c>
      <c r="BA121" s="1574">
        <v>8</v>
      </c>
      <c r="BB121" s="1574">
        <v>3</v>
      </c>
      <c r="BC121" s="1576">
        <f t="shared" si="87"/>
        <v>25</v>
      </c>
      <c r="BD121" s="1574"/>
      <c r="BE121" s="1574">
        <v>8</v>
      </c>
      <c r="BF121" s="1574">
        <v>8</v>
      </c>
      <c r="BG121" s="1576">
        <f t="shared" si="95"/>
        <v>16</v>
      </c>
      <c r="BH121" s="1574">
        <v>6</v>
      </c>
      <c r="BI121" s="1574">
        <v>9</v>
      </c>
      <c r="BJ121" s="1574">
        <v>7</v>
      </c>
      <c r="BK121" s="1576">
        <f>SUM(BH121:BJ121)</f>
        <v>22</v>
      </c>
      <c r="BL121" s="1574">
        <v>3</v>
      </c>
      <c r="BM121" s="1574">
        <v>4</v>
      </c>
      <c r="BN121" s="1574">
        <v>11</v>
      </c>
      <c r="BO121" s="1576">
        <f>SUM(BL121:BN121)</f>
        <v>18</v>
      </c>
      <c r="BP121" s="1574">
        <v>6</v>
      </c>
      <c r="BQ121" s="1574">
        <v>10</v>
      </c>
      <c r="BR121" s="1574">
        <v>6</v>
      </c>
      <c r="BS121" s="1576">
        <f>SUM(BP121:BR121)</f>
        <v>22</v>
      </c>
      <c r="BT121" s="1574">
        <v>3</v>
      </c>
      <c r="BU121" s="1574">
        <v>3</v>
      </c>
      <c r="BV121" s="1574">
        <v>8</v>
      </c>
      <c r="BW121" s="1576">
        <f>SUM(BT121:BV121)</f>
        <v>14</v>
      </c>
      <c r="BX121" s="1574">
        <v>8</v>
      </c>
      <c r="BY121" s="1574">
        <v>11</v>
      </c>
      <c r="BZ121" s="1574">
        <v>4</v>
      </c>
      <c r="CA121" s="1576">
        <f>SUM(BX121:BZ121)</f>
        <v>23</v>
      </c>
      <c r="CB121" s="1574">
        <v>2</v>
      </c>
      <c r="CC121" s="1574">
        <v>8</v>
      </c>
      <c r="CD121" s="1574">
        <v>8</v>
      </c>
      <c r="CE121" s="1576">
        <f t="shared" si="65"/>
        <v>18</v>
      </c>
      <c r="CF121" s="1574">
        <v>5</v>
      </c>
      <c r="CG121" s="1574">
        <v>5</v>
      </c>
      <c r="CH121" s="1574">
        <v>8</v>
      </c>
      <c r="CI121" s="1576">
        <f t="shared" si="66"/>
        <v>18</v>
      </c>
      <c r="CJ121" s="1574">
        <v>1</v>
      </c>
      <c r="CK121" s="1574">
        <v>1</v>
      </c>
      <c r="CL121" s="1574">
        <v>11</v>
      </c>
      <c r="CM121" s="1576">
        <f t="shared" si="61"/>
        <v>13</v>
      </c>
      <c r="CN121" s="1574">
        <v>6</v>
      </c>
      <c r="CO121" s="1574">
        <v>2</v>
      </c>
      <c r="CP121" s="1574">
        <v>10</v>
      </c>
      <c r="CQ121" s="1576">
        <f t="shared" si="62"/>
        <v>18</v>
      </c>
      <c r="CR121" s="1574">
        <v>7</v>
      </c>
      <c r="CS121" s="1574">
        <v>4</v>
      </c>
      <c r="CT121" s="1574">
        <v>7</v>
      </c>
      <c r="CU121" s="1576">
        <f t="shared" si="80"/>
        <v>18</v>
      </c>
    </row>
    <row r="122" spans="2:99" ht="14.25" customHeight="1" x14ac:dyDescent="0.25">
      <c r="B122" s="1577"/>
      <c r="C122" s="1578" t="s">
        <v>64</v>
      </c>
      <c r="D122" s="1579">
        <f t="shared" ref="D122:AI122" si="103">SUM(D102:D121)</f>
        <v>8</v>
      </c>
      <c r="E122" s="1580">
        <f t="shared" si="103"/>
        <v>13</v>
      </c>
      <c r="F122" s="1580">
        <f t="shared" si="103"/>
        <v>20</v>
      </c>
      <c r="G122" s="1580">
        <f t="shared" si="103"/>
        <v>41</v>
      </c>
      <c r="H122" s="1579">
        <f t="shared" si="103"/>
        <v>9</v>
      </c>
      <c r="I122" s="1580">
        <f t="shared" si="103"/>
        <v>12</v>
      </c>
      <c r="J122" s="1580">
        <f t="shared" si="103"/>
        <v>15</v>
      </c>
      <c r="K122" s="1580">
        <f t="shared" si="103"/>
        <v>36</v>
      </c>
      <c r="L122" s="1579">
        <f t="shared" si="103"/>
        <v>14</v>
      </c>
      <c r="M122" s="1580">
        <f t="shared" si="103"/>
        <v>9</v>
      </c>
      <c r="N122" s="1580">
        <f t="shared" si="103"/>
        <v>39</v>
      </c>
      <c r="O122" s="1580">
        <f t="shared" si="103"/>
        <v>62</v>
      </c>
      <c r="P122" s="1579">
        <f t="shared" si="103"/>
        <v>18</v>
      </c>
      <c r="Q122" s="1580">
        <f t="shared" si="103"/>
        <v>58</v>
      </c>
      <c r="R122" s="1580">
        <f t="shared" si="103"/>
        <v>25</v>
      </c>
      <c r="S122" s="1580">
        <f t="shared" si="103"/>
        <v>101</v>
      </c>
      <c r="T122" s="1579">
        <f t="shared" si="103"/>
        <v>27</v>
      </c>
      <c r="U122" s="1580">
        <f t="shared" si="103"/>
        <v>19</v>
      </c>
      <c r="V122" s="1580">
        <f t="shared" si="103"/>
        <v>32</v>
      </c>
      <c r="W122" s="1580">
        <f t="shared" si="103"/>
        <v>78</v>
      </c>
      <c r="X122" s="1579">
        <f t="shared" si="103"/>
        <v>19</v>
      </c>
      <c r="Y122" s="1580">
        <f t="shared" si="103"/>
        <v>18</v>
      </c>
      <c r="Z122" s="1580">
        <f t="shared" si="103"/>
        <v>46</v>
      </c>
      <c r="AA122" s="1580">
        <f t="shared" si="103"/>
        <v>83</v>
      </c>
      <c r="AB122" s="1579">
        <f t="shared" si="103"/>
        <v>26</v>
      </c>
      <c r="AC122" s="1580">
        <f t="shared" si="103"/>
        <v>40</v>
      </c>
      <c r="AD122" s="1580">
        <f t="shared" si="103"/>
        <v>29</v>
      </c>
      <c r="AE122" s="1581">
        <f t="shared" si="103"/>
        <v>95</v>
      </c>
      <c r="AF122" s="1580">
        <f t="shared" si="103"/>
        <v>6</v>
      </c>
      <c r="AG122" s="1580">
        <f t="shared" si="103"/>
        <v>22</v>
      </c>
      <c r="AH122" s="1580">
        <f t="shared" si="103"/>
        <v>33</v>
      </c>
      <c r="AI122" s="1581">
        <f t="shared" si="103"/>
        <v>61</v>
      </c>
      <c r="AJ122" s="1580">
        <f t="shared" ref="AJ122:BO122" si="104">SUM(AJ102:AJ121)</f>
        <v>61</v>
      </c>
      <c r="AK122" s="1580">
        <f t="shared" si="104"/>
        <v>26</v>
      </c>
      <c r="AL122" s="1580">
        <f t="shared" si="104"/>
        <v>42</v>
      </c>
      <c r="AM122" s="1581">
        <f t="shared" si="104"/>
        <v>129</v>
      </c>
      <c r="AN122" s="1580">
        <f t="shared" si="104"/>
        <v>21</v>
      </c>
      <c r="AO122" s="1580">
        <f t="shared" si="104"/>
        <v>19</v>
      </c>
      <c r="AP122" s="1580">
        <f t="shared" si="104"/>
        <v>77</v>
      </c>
      <c r="AQ122" s="1581">
        <f t="shared" si="104"/>
        <v>117</v>
      </c>
      <c r="AR122" s="1580">
        <f t="shared" si="104"/>
        <v>22</v>
      </c>
      <c r="AS122" s="1580">
        <f t="shared" si="104"/>
        <v>25</v>
      </c>
      <c r="AT122" s="1580">
        <f t="shared" si="104"/>
        <v>55</v>
      </c>
      <c r="AU122" s="1581">
        <f t="shared" si="104"/>
        <v>102</v>
      </c>
      <c r="AV122" s="1580">
        <f t="shared" si="104"/>
        <v>48</v>
      </c>
      <c r="AW122" s="1580">
        <f t="shared" si="104"/>
        <v>38</v>
      </c>
      <c r="AX122" s="1580">
        <f t="shared" si="104"/>
        <v>116</v>
      </c>
      <c r="AY122" s="1581">
        <f t="shared" si="104"/>
        <v>202</v>
      </c>
      <c r="AZ122" s="1580">
        <f t="shared" si="104"/>
        <v>61</v>
      </c>
      <c r="BA122" s="1580">
        <f t="shared" si="104"/>
        <v>50</v>
      </c>
      <c r="BB122" s="1580">
        <f t="shared" si="104"/>
        <v>39</v>
      </c>
      <c r="BC122" s="1581">
        <f t="shared" si="104"/>
        <v>150</v>
      </c>
      <c r="BD122" s="1580">
        <f t="shared" si="104"/>
        <v>22</v>
      </c>
      <c r="BE122" s="1580">
        <f t="shared" si="104"/>
        <v>24</v>
      </c>
      <c r="BF122" s="1580">
        <f t="shared" si="104"/>
        <v>42</v>
      </c>
      <c r="BG122" s="1581">
        <f t="shared" si="104"/>
        <v>88</v>
      </c>
      <c r="BH122" s="1580">
        <f t="shared" si="104"/>
        <v>52</v>
      </c>
      <c r="BI122" s="1580">
        <f t="shared" si="104"/>
        <v>22</v>
      </c>
      <c r="BJ122" s="1580">
        <f t="shared" si="104"/>
        <v>25</v>
      </c>
      <c r="BK122" s="1581">
        <f t="shared" si="104"/>
        <v>99</v>
      </c>
      <c r="BL122" s="1580">
        <f t="shared" si="104"/>
        <v>19</v>
      </c>
      <c r="BM122" s="1580">
        <f t="shared" si="104"/>
        <v>23</v>
      </c>
      <c r="BN122" s="1580">
        <f t="shared" si="104"/>
        <v>76</v>
      </c>
      <c r="BO122" s="1581">
        <f t="shared" si="104"/>
        <v>118</v>
      </c>
      <c r="BP122" s="1580">
        <f t="shared" ref="BP122:CD122" si="105">SUM(BP102:BP121)</f>
        <v>41</v>
      </c>
      <c r="BQ122" s="1580">
        <f t="shared" si="105"/>
        <v>32</v>
      </c>
      <c r="BR122" s="1580">
        <f t="shared" si="105"/>
        <v>30</v>
      </c>
      <c r="BS122" s="1581">
        <f t="shared" si="105"/>
        <v>103</v>
      </c>
      <c r="BT122" s="1580">
        <f t="shared" si="105"/>
        <v>24</v>
      </c>
      <c r="BU122" s="1580">
        <f t="shared" si="105"/>
        <v>35</v>
      </c>
      <c r="BV122" s="1580">
        <f t="shared" si="105"/>
        <v>37</v>
      </c>
      <c r="BW122" s="1581">
        <f t="shared" si="105"/>
        <v>96</v>
      </c>
      <c r="BX122" s="1580">
        <f t="shared" si="105"/>
        <v>44</v>
      </c>
      <c r="BY122" s="1580">
        <f t="shared" si="105"/>
        <v>23</v>
      </c>
      <c r="BZ122" s="1580">
        <f t="shared" si="105"/>
        <v>36</v>
      </c>
      <c r="CA122" s="1581">
        <f t="shared" si="105"/>
        <v>103</v>
      </c>
      <c r="CB122" s="1580">
        <f t="shared" si="105"/>
        <v>17</v>
      </c>
      <c r="CC122" s="1580">
        <f t="shared" si="105"/>
        <v>43</v>
      </c>
      <c r="CD122" s="1580">
        <f t="shared" si="105"/>
        <v>86</v>
      </c>
      <c r="CE122" s="1581">
        <f t="shared" si="65"/>
        <v>146</v>
      </c>
      <c r="CF122" s="1580">
        <f>SUM(CF102:CF121)</f>
        <v>59</v>
      </c>
      <c r="CG122" s="1580">
        <f>SUM(CG102:CG121)</f>
        <v>12</v>
      </c>
      <c r="CH122" s="1580">
        <f>SUM(CH102:CH121)</f>
        <v>43</v>
      </c>
      <c r="CI122" s="1581">
        <f t="shared" si="66"/>
        <v>114</v>
      </c>
      <c r="CJ122" s="1580">
        <f>SUM(CJ102:CJ121)</f>
        <v>16</v>
      </c>
      <c r="CK122" s="1580">
        <f>SUM(CK102:CK121)</f>
        <v>13</v>
      </c>
      <c r="CL122" s="1580">
        <f>SUM(CL102:CL121)</f>
        <v>57</v>
      </c>
      <c r="CM122" s="1582">
        <f t="shared" si="61"/>
        <v>86</v>
      </c>
      <c r="CN122" s="1580">
        <f>SUM(CN102:CN121)</f>
        <v>49</v>
      </c>
      <c r="CO122" s="1580">
        <f>SUM(CO102:CO121)</f>
        <v>13</v>
      </c>
      <c r="CP122" s="1580">
        <f>SUM(CP102:CP121)</f>
        <v>34</v>
      </c>
      <c r="CQ122" s="1582">
        <f t="shared" si="62"/>
        <v>96</v>
      </c>
      <c r="CR122" s="1580">
        <f>SUM(CR102:CR121)</f>
        <v>30</v>
      </c>
      <c r="CS122" s="1580">
        <f>SUM(CS102:CS121)</f>
        <v>41</v>
      </c>
      <c r="CT122" s="1580">
        <f>SUM(CT102:CT121)</f>
        <v>40</v>
      </c>
      <c r="CU122" s="1582">
        <f t="shared" si="80"/>
        <v>111</v>
      </c>
    </row>
    <row r="123" spans="2:99" ht="12.75" customHeight="1" x14ac:dyDescent="0.25">
      <c r="B123" s="5880" t="s">
        <v>308</v>
      </c>
      <c r="C123" s="1583" t="s">
        <v>404</v>
      </c>
      <c r="D123" s="1584"/>
      <c r="E123" s="1585"/>
      <c r="F123" s="1585"/>
      <c r="G123" s="1549"/>
      <c r="H123" s="1584"/>
      <c r="I123" s="1585"/>
      <c r="J123" s="1585"/>
      <c r="K123" s="1549"/>
      <c r="L123" s="1584"/>
      <c r="M123" s="1585"/>
      <c r="N123" s="1585"/>
      <c r="O123" s="1549"/>
      <c r="P123" s="1584"/>
      <c r="Q123" s="1585"/>
      <c r="R123" s="1585"/>
      <c r="S123" s="1549"/>
      <c r="T123" s="1584"/>
      <c r="U123" s="1585">
        <v>3</v>
      </c>
      <c r="V123" s="1585">
        <v>8</v>
      </c>
      <c r="W123" s="1549">
        <f t="shared" si="102"/>
        <v>11</v>
      </c>
      <c r="X123" s="1584">
        <v>6</v>
      </c>
      <c r="Y123" s="1585">
        <v>1</v>
      </c>
      <c r="Z123" s="1585">
        <v>1</v>
      </c>
      <c r="AA123" s="1549">
        <f>SUM(X123:Z123)</f>
        <v>8</v>
      </c>
      <c r="AB123" s="1584"/>
      <c r="AC123" s="1585">
        <v>8</v>
      </c>
      <c r="AD123" s="1585">
        <v>1</v>
      </c>
      <c r="AE123" s="1552">
        <f>SUM(AB123:AD123)</f>
        <v>9</v>
      </c>
      <c r="AF123" s="1585"/>
      <c r="AG123" s="1585"/>
      <c r="AH123" s="1585"/>
      <c r="AI123" s="1552"/>
      <c r="AJ123" s="1585">
        <v>3</v>
      </c>
      <c r="AK123" s="1585">
        <v>9</v>
      </c>
      <c r="AL123" s="1585"/>
      <c r="AM123" s="1552">
        <f t="shared" si="83"/>
        <v>12</v>
      </c>
      <c r="AN123" s="1585"/>
      <c r="AO123" s="1585">
        <v>3</v>
      </c>
      <c r="AP123" s="1585">
        <v>2</v>
      </c>
      <c r="AQ123" s="1552">
        <f t="shared" si="84"/>
        <v>5</v>
      </c>
      <c r="AR123" s="1585"/>
      <c r="AS123" s="1585">
        <v>6</v>
      </c>
      <c r="AT123" s="1585">
        <v>4</v>
      </c>
      <c r="AU123" s="1552">
        <f t="shared" si="85"/>
        <v>10</v>
      </c>
      <c r="AV123" s="1585"/>
      <c r="AW123" s="1585"/>
      <c r="AX123" s="1585"/>
      <c r="AY123" s="1552">
        <f t="shared" si="86"/>
        <v>0</v>
      </c>
      <c r="AZ123" s="1585"/>
      <c r="BA123" s="1585">
        <v>1</v>
      </c>
      <c r="BB123" s="1585"/>
      <c r="BC123" s="1552">
        <f t="shared" si="87"/>
        <v>1</v>
      </c>
      <c r="BD123" s="1585">
        <v>6</v>
      </c>
      <c r="BE123" s="1585">
        <v>1</v>
      </c>
      <c r="BF123" s="1585"/>
      <c r="BG123" s="1590">
        <f t="shared" si="95"/>
        <v>7</v>
      </c>
      <c r="BH123" s="1585"/>
      <c r="BI123" s="1585"/>
      <c r="BJ123" s="1585"/>
      <c r="BK123" s="1590"/>
      <c r="BL123" s="1585">
        <v>9</v>
      </c>
      <c r="BM123" s="1585"/>
      <c r="BN123" s="1585"/>
      <c r="BO123" s="1553">
        <f t="shared" ref="BO123:BO136" si="106">SUM(BL123:BN123)</f>
        <v>9</v>
      </c>
      <c r="BP123" s="1585"/>
      <c r="BQ123" s="1585"/>
      <c r="BR123" s="1585"/>
      <c r="BS123" s="1553">
        <f t="shared" ref="BS123:BS136" si="107">SUM(BP123:BR123)</f>
        <v>0</v>
      </c>
      <c r="BT123" s="1584"/>
      <c r="BU123" s="1585"/>
      <c r="BV123" s="1585"/>
      <c r="BW123" s="1552">
        <f t="shared" ref="BW123:BW137" si="108">SUM(BT123:BV123)</f>
        <v>0</v>
      </c>
      <c r="BX123" s="1584"/>
      <c r="BY123" s="1585"/>
      <c r="BZ123" s="1585"/>
      <c r="CA123" s="1552">
        <f t="shared" ref="CA123:CA137" si="109">SUM(BX123:BZ123)</f>
        <v>0</v>
      </c>
      <c r="CB123" s="1584"/>
      <c r="CC123" s="1585"/>
      <c r="CD123" s="1585"/>
      <c r="CE123" s="1552">
        <f t="shared" si="65"/>
        <v>0</v>
      </c>
      <c r="CF123" s="1584"/>
      <c r="CG123" s="1585"/>
      <c r="CH123" s="1585"/>
      <c r="CI123" s="1552">
        <f t="shared" si="66"/>
        <v>0</v>
      </c>
      <c r="CJ123" s="1584"/>
      <c r="CK123" s="1585"/>
      <c r="CL123" s="1585"/>
      <c r="CM123" s="1552">
        <f t="shared" si="61"/>
        <v>0</v>
      </c>
      <c r="CN123" s="1584"/>
      <c r="CO123" s="1585"/>
      <c r="CP123" s="1585"/>
      <c r="CQ123" s="1552">
        <f t="shared" si="62"/>
        <v>0</v>
      </c>
      <c r="CR123" s="1584"/>
      <c r="CS123" s="1585"/>
      <c r="CT123" s="1585"/>
      <c r="CU123" s="1552">
        <f t="shared" si="80"/>
        <v>0</v>
      </c>
    </row>
    <row r="124" spans="2:99" ht="12.75" customHeight="1" x14ac:dyDescent="0.25">
      <c r="B124" s="5881"/>
      <c r="C124" s="1591" t="s">
        <v>405</v>
      </c>
      <c r="D124" s="1567"/>
      <c r="E124" s="1568"/>
      <c r="F124" s="1568"/>
      <c r="G124" s="1569"/>
      <c r="H124" s="1567">
        <v>7</v>
      </c>
      <c r="I124" s="1568"/>
      <c r="J124" s="1568">
        <v>1</v>
      </c>
      <c r="K124" s="1569">
        <f>SUM(H124:J124)</f>
        <v>8</v>
      </c>
      <c r="L124" s="1567">
        <v>1</v>
      </c>
      <c r="M124" s="1568">
        <v>1</v>
      </c>
      <c r="N124" s="1568"/>
      <c r="O124" s="1569">
        <f>SUM(L124:N124)</f>
        <v>2</v>
      </c>
      <c r="P124" s="1567">
        <v>1</v>
      </c>
      <c r="Q124" s="1568">
        <v>36</v>
      </c>
      <c r="R124" s="1568">
        <v>1</v>
      </c>
      <c r="S124" s="1569">
        <f>SUM(P124:R124)</f>
        <v>38</v>
      </c>
      <c r="T124" s="1567">
        <v>1</v>
      </c>
      <c r="U124" s="1568"/>
      <c r="V124" s="1568"/>
      <c r="W124" s="1569">
        <f t="shared" si="102"/>
        <v>1</v>
      </c>
      <c r="X124" s="1567"/>
      <c r="Y124" s="1568"/>
      <c r="Z124" s="1568"/>
      <c r="AA124" s="1569"/>
      <c r="AB124" s="1567"/>
      <c r="AC124" s="1568"/>
      <c r="AD124" s="1568"/>
      <c r="AE124" s="1553"/>
      <c r="AF124" s="1568"/>
      <c r="AG124" s="1568"/>
      <c r="AH124" s="1568"/>
      <c r="AI124" s="1553"/>
      <c r="AJ124" s="1568"/>
      <c r="AK124" s="1568"/>
      <c r="AL124" s="1568"/>
      <c r="AM124" s="1553"/>
      <c r="AN124" s="1568"/>
      <c r="AO124" s="1568"/>
      <c r="AP124" s="1568">
        <v>4</v>
      </c>
      <c r="AQ124" s="1553">
        <f t="shared" si="84"/>
        <v>4</v>
      </c>
      <c r="AR124" s="1568"/>
      <c r="AS124" s="1568"/>
      <c r="AT124" s="1568"/>
      <c r="AU124" s="1553">
        <f t="shared" si="85"/>
        <v>0</v>
      </c>
      <c r="AV124" s="1568">
        <v>4</v>
      </c>
      <c r="AW124" s="1568">
        <v>2</v>
      </c>
      <c r="AX124" s="1568"/>
      <c r="AY124" s="1553">
        <f t="shared" si="86"/>
        <v>6</v>
      </c>
      <c r="AZ124" s="1568"/>
      <c r="BA124" s="1568"/>
      <c r="BB124" s="1568"/>
      <c r="BC124" s="1553">
        <f t="shared" si="87"/>
        <v>0</v>
      </c>
      <c r="BD124" s="1568"/>
      <c r="BE124" s="1568"/>
      <c r="BF124" s="1568"/>
      <c r="BG124" s="1553"/>
      <c r="BH124" s="1568"/>
      <c r="BI124" s="1568"/>
      <c r="BJ124" s="1568"/>
      <c r="BK124" s="1553"/>
      <c r="BL124" s="1568"/>
      <c r="BM124" s="1568"/>
      <c r="BN124" s="1568"/>
      <c r="BO124" s="1553">
        <f t="shared" si="106"/>
        <v>0</v>
      </c>
      <c r="BP124" s="1568"/>
      <c r="BQ124" s="1568"/>
      <c r="BR124" s="1568"/>
      <c r="BS124" s="1553">
        <f t="shared" si="107"/>
        <v>0</v>
      </c>
      <c r="BT124" s="1567"/>
      <c r="BU124" s="1568"/>
      <c r="BV124" s="1568"/>
      <c r="BW124" s="1553">
        <f t="shared" si="108"/>
        <v>0</v>
      </c>
      <c r="BX124" s="1567"/>
      <c r="BY124" s="1568"/>
      <c r="BZ124" s="1568"/>
      <c r="CA124" s="1553">
        <f t="shared" si="109"/>
        <v>0</v>
      </c>
      <c r="CB124" s="1567"/>
      <c r="CC124" s="1568"/>
      <c r="CD124" s="1568"/>
      <c r="CE124" s="1553">
        <f t="shared" si="65"/>
        <v>0</v>
      </c>
      <c r="CF124" s="1567"/>
      <c r="CG124" s="1568"/>
      <c r="CH124" s="1568"/>
      <c r="CI124" s="1553">
        <f t="shared" si="66"/>
        <v>0</v>
      </c>
      <c r="CJ124" s="1567"/>
      <c r="CK124" s="1568"/>
      <c r="CL124" s="1568"/>
      <c r="CM124" s="1553">
        <f t="shared" si="61"/>
        <v>0</v>
      </c>
      <c r="CN124" s="1567"/>
      <c r="CO124" s="1568"/>
      <c r="CP124" s="1568"/>
      <c r="CQ124" s="1553">
        <f t="shared" si="62"/>
        <v>0</v>
      </c>
      <c r="CR124" s="1567"/>
      <c r="CS124" s="1568"/>
      <c r="CT124" s="1568"/>
      <c r="CU124" s="1553">
        <f t="shared" si="80"/>
        <v>0</v>
      </c>
    </row>
    <row r="125" spans="2:99" ht="12.75" customHeight="1" x14ac:dyDescent="0.25">
      <c r="B125" s="5881"/>
      <c r="C125" s="1591" t="s">
        <v>406</v>
      </c>
      <c r="D125" s="1567">
        <v>1</v>
      </c>
      <c r="E125" s="1568"/>
      <c r="F125" s="1568"/>
      <c r="G125" s="1569">
        <f>SUM(D125:F125)</f>
        <v>1</v>
      </c>
      <c r="H125" s="1567"/>
      <c r="I125" s="1568"/>
      <c r="J125" s="1568">
        <v>1</v>
      </c>
      <c r="K125" s="1569">
        <f>SUM(H125:J125)</f>
        <v>1</v>
      </c>
      <c r="L125" s="1567"/>
      <c r="M125" s="1568">
        <v>1</v>
      </c>
      <c r="N125" s="1568">
        <v>1</v>
      </c>
      <c r="O125" s="1569">
        <f>SUM(L125:N125)</f>
        <v>2</v>
      </c>
      <c r="P125" s="1567"/>
      <c r="Q125" s="1568">
        <v>23</v>
      </c>
      <c r="R125" s="1568">
        <v>7</v>
      </c>
      <c r="S125" s="1569">
        <f>SUM(P125:R125)</f>
        <v>30</v>
      </c>
      <c r="T125" s="1567"/>
      <c r="U125" s="1568">
        <v>5</v>
      </c>
      <c r="V125" s="1568"/>
      <c r="W125" s="1569">
        <f t="shared" si="102"/>
        <v>5</v>
      </c>
      <c r="X125" s="1567"/>
      <c r="Y125" s="1568"/>
      <c r="Z125" s="1568">
        <v>1</v>
      </c>
      <c r="AA125" s="1569">
        <f>SUM(X125:Z125)</f>
        <v>1</v>
      </c>
      <c r="AB125" s="1567">
        <v>3</v>
      </c>
      <c r="AC125" s="1568"/>
      <c r="AD125" s="1568"/>
      <c r="AE125" s="1553">
        <f>SUM(AB125:AD125)</f>
        <v>3</v>
      </c>
      <c r="AF125" s="1568"/>
      <c r="AG125" s="1568"/>
      <c r="AH125" s="1568">
        <v>1</v>
      </c>
      <c r="AI125" s="1553">
        <f t="shared" ref="AI125:AI135" si="110">SUM(AF125:AH125)</f>
        <v>1</v>
      </c>
      <c r="AJ125" s="1568"/>
      <c r="AK125" s="1568"/>
      <c r="AL125" s="1568"/>
      <c r="AM125" s="1553"/>
      <c r="AN125" s="1568"/>
      <c r="AO125" s="1568"/>
      <c r="AP125" s="1568"/>
      <c r="AQ125" s="1553">
        <f t="shared" si="84"/>
        <v>0</v>
      </c>
      <c r="AR125" s="1568">
        <v>1</v>
      </c>
      <c r="AS125" s="1568">
        <v>4</v>
      </c>
      <c r="AT125" s="1568">
        <v>2</v>
      </c>
      <c r="AU125" s="1553">
        <f t="shared" si="85"/>
        <v>7</v>
      </c>
      <c r="AV125" s="1568"/>
      <c r="AW125" s="1568"/>
      <c r="AX125" s="1568"/>
      <c r="AY125" s="1553">
        <f t="shared" si="86"/>
        <v>0</v>
      </c>
      <c r="AZ125" s="1568"/>
      <c r="BA125" s="1568"/>
      <c r="BB125" s="1568">
        <v>2</v>
      </c>
      <c r="BC125" s="1553">
        <f t="shared" si="87"/>
        <v>2</v>
      </c>
      <c r="BD125" s="1568"/>
      <c r="BE125" s="1568"/>
      <c r="BF125" s="1568"/>
      <c r="BG125" s="1553"/>
      <c r="BH125" s="1568"/>
      <c r="BI125" s="1568"/>
      <c r="BJ125" s="1568"/>
      <c r="BK125" s="1553"/>
      <c r="BL125" s="1568"/>
      <c r="BM125" s="1568">
        <v>1</v>
      </c>
      <c r="BN125" s="1568"/>
      <c r="BO125" s="1553">
        <f t="shared" si="106"/>
        <v>1</v>
      </c>
      <c r="BP125" s="1568">
        <v>5</v>
      </c>
      <c r="BQ125" s="1568">
        <v>1</v>
      </c>
      <c r="BR125" s="1568"/>
      <c r="BS125" s="1553">
        <f t="shared" si="107"/>
        <v>6</v>
      </c>
      <c r="BT125" s="1567"/>
      <c r="BU125" s="1568"/>
      <c r="BV125" s="1568">
        <v>3</v>
      </c>
      <c r="BW125" s="1553">
        <f t="shared" si="108"/>
        <v>3</v>
      </c>
      <c r="BX125" s="1567">
        <v>2</v>
      </c>
      <c r="BY125" s="1568">
        <v>2</v>
      </c>
      <c r="BZ125" s="1568"/>
      <c r="CA125" s="1553">
        <f t="shared" si="109"/>
        <v>4</v>
      </c>
      <c r="CB125" s="1567">
        <v>1</v>
      </c>
      <c r="CC125" s="1568"/>
      <c r="CD125" s="1568"/>
      <c r="CE125" s="1553">
        <f t="shared" si="65"/>
        <v>1</v>
      </c>
      <c r="CF125" s="1567"/>
      <c r="CG125" s="1568"/>
      <c r="CH125" s="1568"/>
      <c r="CI125" s="1553">
        <f t="shared" si="66"/>
        <v>0</v>
      </c>
      <c r="CJ125" s="1567"/>
      <c r="CK125" s="1568"/>
      <c r="CL125" s="1568"/>
      <c r="CM125" s="1553">
        <f t="shared" si="61"/>
        <v>0</v>
      </c>
      <c r="CN125" s="1567"/>
      <c r="CO125" s="1568"/>
      <c r="CP125" s="1568"/>
      <c r="CQ125" s="1553">
        <f t="shared" si="62"/>
        <v>0</v>
      </c>
      <c r="CR125" s="1567"/>
      <c r="CS125" s="1568"/>
      <c r="CT125" s="1568"/>
      <c r="CU125" s="1553">
        <f t="shared" si="80"/>
        <v>0</v>
      </c>
    </row>
    <row r="126" spans="2:99" ht="12.75" customHeight="1" x14ac:dyDescent="0.25">
      <c r="B126" s="5871" t="s">
        <v>310</v>
      </c>
      <c r="C126" s="1592" t="s">
        <v>407</v>
      </c>
      <c r="D126" s="1555"/>
      <c r="E126" s="1556"/>
      <c r="F126" s="1556"/>
      <c r="G126" s="1557"/>
      <c r="H126" s="1555"/>
      <c r="I126" s="1556"/>
      <c r="J126" s="1556"/>
      <c r="K126" s="1557"/>
      <c r="L126" s="1555"/>
      <c r="M126" s="1556"/>
      <c r="N126" s="1556"/>
      <c r="O126" s="1557"/>
      <c r="P126" s="1555"/>
      <c r="Q126" s="1556"/>
      <c r="R126" s="1556"/>
      <c r="S126" s="1557"/>
      <c r="T126" s="1555"/>
      <c r="U126" s="1556"/>
      <c r="V126" s="1556"/>
      <c r="W126" s="1557"/>
      <c r="X126" s="1555"/>
      <c r="Y126" s="1556"/>
      <c r="Z126" s="1556"/>
      <c r="AA126" s="1557"/>
      <c r="AB126" s="1555"/>
      <c r="AC126" s="1556"/>
      <c r="AD126" s="1556"/>
      <c r="AE126" s="1558"/>
      <c r="AF126" s="1556"/>
      <c r="AG126" s="1556"/>
      <c r="AH126" s="1556"/>
      <c r="AI126" s="1558"/>
      <c r="AJ126" s="1556"/>
      <c r="AK126" s="1556"/>
      <c r="AL126" s="1556"/>
      <c r="AM126" s="1558"/>
      <c r="AN126" s="1556"/>
      <c r="AO126" s="1556"/>
      <c r="AP126" s="1556"/>
      <c r="AQ126" s="1558"/>
      <c r="AR126" s="1556"/>
      <c r="AS126" s="1556"/>
      <c r="AT126" s="1556"/>
      <c r="AU126" s="1558"/>
      <c r="AV126" s="1556"/>
      <c r="AW126" s="1556"/>
      <c r="AX126" s="1556"/>
      <c r="AY126" s="1558"/>
      <c r="AZ126" s="1556"/>
      <c r="BA126" s="1556"/>
      <c r="BB126" s="1556">
        <v>4</v>
      </c>
      <c r="BC126" s="1558">
        <f>SUM(AZ126:BB126)</f>
        <v>4</v>
      </c>
      <c r="BD126" s="1556"/>
      <c r="BE126" s="1556"/>
      <c r="BF126" s="1556"/>
      <c r="BG126" s="1558"/>
      <c r="BH126" s="1556">
        <v>1</v>
      </c>
      <c r="BI126" s="1556">
        <v>3</v>
      </c>
      <c r="BJ126" s="1556">
        <v>2</v>
      </c>
      <c r="BK126" s="1558">
        <f>SUM(BH126:BJ126)</f>
        <v>6</v>
      </c>
      <c r="BL126" s="1556"/>
      <c r="BM126" s="1556"/>
      <c r="BN126" s="1556"/>
      <c r="BO126" s="1558">
        <f t="shared" si="106"/>
        <v>0</v>
      </c>
      <c r="BP126" s="1556">
        <v>1</v>
      </c>
      <c r="BQ126" s="1556">
        <v>3</v>
      </c>
      <c r="BR126" s="1556">
        <v>1</v>
      </c>
      <c r="BS126" s="1558">
        <f t="shared" si="107"/>
        <v>5</v>
      </c>
      <c r="BT126" s="1555"/>
      <c r="BU126" s="1556">
        <v>1</v>
      </c>
      <c r="BV126" s="1556">
        <v>1</v>
      </c>
      <c r="BW126" s="1558">
        <f t="shared" si="108"/>
        <v>2</v>
      </c>
      <c r="BX126" s="1555">
        <v>1</v>
      </c>
      <c r="BY126" s="1556">
        <v>4</v>
      </c>
      <c r="BZ126" s="1556">
        <v>1</v>
      </c>
      <c r="CA126" s="1558">
        <f t="shared" si="109"/>
        <v>6</v>
      </c>
      <c r="CB126" s="1555">
        <v>1</v>
      </c>
      <c r="CC126" s="1556"/>
      <c r="CD126" s="1556"/>
      <c r="CE126" s="1558">
        <f t="shared" si="65"/>
        <v>1</v>
      </c>
      <c r="CF126" s="1555">
        <v>4</v>
      </c>
      <c r="CG126" s="1556">
        <v>1</v>
      </c>
      <c r="CH126" s="1556"/>
      <c r="CI126" s="1558">
        <f t="shared" si="66"/>
        <v>5</v>
      </c>
      <c r="CJ126" s="1555">
        <v>1</v>
      </c>
      <c r="CK126" s="1556">
        <v>2</v>
      </c>
      <c r="CL126" s="1556"/>
      <c r="CM126" s="1558">
        <f t="shared" si="61"/>
        <v>3</v>
      </c>
      <c r="CN126" s="1555">
        <v>1</v>
      </c>
      <c r="CO126" s="1556"/>
      <c r="CP126" s="1556"/>
      <c r="CQ126" s="1558">
        <f t="shared" si="62"/>
        <v>1</v>
      </c>
      <c r="CR126" s="1555"/>
      <c r="CS126" s="1556"/>
      <c r="CT126" s="1556">
        <v>1</v>
      </c>
      <c r="CU126" s="1558">
        <f t="shared" si="80"/>
        <v>1</v>
      </c>
    </row>
    <row r="127" spans="2:99" ht="12.75" customHeight="1" x14ac:dyDescent="0.25">
      <c r="B127" s="5872"/>
      <c r="C127" s="1592" t="s">
        <v>408</v>
      </c>
      <c r="D127" s="1555"/>
      <c r="E127" s="1556">
        <v>1</v>
      </c>
      <c r="F127" s="1556">
        <v>3</v>
      </c>
      <c r="G127" s="1557">
        <f>SUM(D127:F127)</f>
        <v>4</v>
      </c>
      <c r="H127" s="1555"/>
      <c r="I127" s="1556"/>
      <c r="J127" s="1556">
        <v>1</v>
      </c>
      <c r="K127" s="1557">
        <f t="shared" ref="K127:K136" si="111">SUM(H127:J127)</f>
        <v>1</v>
      </c>
      <c r="L127" s="1555">
        <v>1</v>
      </c>
      <c r="M127" s="1556"/>
      <c r="N127" s="1556"/>
      <c r="O127" s="1557">
        <f t="shared" ref="O127:O135" si="112">SUM(L127:N127)</f>
        <v>1</v>
      </c>
      <c r="P127" s="1555"/>
      <c r="Q127" s="1556">
        <v>1</v>
      </c>
      <c r="R127" s="1556"/>
      <c r="S127" s="1557">
        <f t="shared" ref="S127:S135" si="113">SUM(P127:R127)</f>
        <v>1</v>
      </c>
      <c r="T127" s="1555">
        <v>2</v>
      </c>
      <c r="U127" s="1556">
        <v>3</v>
      </c>
      <c r="V127" s="1556">
        <v>4</v>
      </c>
      <c r="W127" s="1557">
        <f t="shared" si="102"/>
        <v>9</v>
      </c>
      <c r="X127" s="1555">
        <v>1</v>
      </c>
      <c r="Y127" s="1556">
        <v>5</v>
      </c>
      <c r="Z127" s="1556"/>
      <c r="AA127" s="1557">
        <f>SUM(X127:Z127)</f>
        <v>6</v>
      </c>
      <c r="AB127" s="1555"/>
      <c r="AC127" s="1556"/>
      <c r="AD127" s="1556">
        <v>6</v>
      </c>
      <c r="AE127" s="1558">
        <f>SUM(AB127:AD127)</f>
        <v>6</v>
      </c>
      <c r="AF127" s="1556">
        <v>3</v>
      </c>
      <c r="AG127" s="1556">
        <v>1</v>
      </c>
      <c r="AH127" s="1556"/>
      <c r="AI127" s="1558">
        <f t="shared" si="110"/>
        <v>4</v>
      </c>
      <c r="AJ127" s="1556"/>
      <c r="AK127" s="1556"/>
      <c r="AL127" s="1556"/>
      <c r="AM127" s="1558"/>
      <c r="AN127" s="1556">
        <v>1</v>
      </c>
      <c r="AO127" s="1556">
        <v>2</v>
      </c>
      <c r="AP127" s="1556">
        <v>2</v>
      </c>
      <c r="AQ127" s="1558">
        <f t="shared" si="84"/>
        <v>5</v>
      </c>
      <c r="AR127" s="1556">
        <v>1</v>
      </c>
      <c r="AS127" s="1556">
        <v>4</v>
      </c>
      <c r="AT127" s="1556">
        <v>3</v>
      </c>
      <c r="AU127" s="1558">
        <f t="shared" si="85"/>
        <v>8</v>
      </c>
      <c r="AV127" s="1556">
        <v>1</v>
      </c>
      <c r="AW127" s="1556">
        <v>2</v>
      </c>
      <c r="AX127" s="1556">
        <v>7</v>
      </c>
      <c r="AY127" s="1558">
        <f t="shared" si="86"/>
        <v>10</v>
      </c>
      <c r="AZ127" s="1556"/>
      <c r="BA127" s="1556"/>
      <c r="BB127" s="1556"/>
      <c r="BC127" s="1558">
        <f t="shared" si="87"/>
        <v>0</v>
      </c>
      <c r="BD127" s="1556"/>
      <c r="BE127" s="1556"/>
      <c r="BF127" s="1556">
        <v>1</v>
      </c>
      <c r="BG127" s="1558">
        <f>SUM(BD127:BF127)</f>
        <v>1</v>
      </c>
      <c r="BH127" s="1556">
        <v>1</v>
      </c>
      <c r="BI127" s="1556">
        <v>1</v>
      </c>
      <c r="BJ127" s="1556">
        <v>1</v>
      </c>
      <c r="BK127" s="1558">
        <f>SUM(BH127:BJ127)</f>
        <v>3</v>
      </c>
      <c r="BL127" s="1556"/>
      <c r="BM127" s="1556">
        <v>1</v>
      </c>
      <c r="BN127" s="1556">
        <v>1</v>
      </c>
      <c r="BO127" s="1558">
        <f t="shared" si="106"/>
        <v>2</v>
      </c>
      <c r="BP127" s="1556">
        <v>2</v>
      </c>
      <c r="BQ127" s="1556">
        <v>3</v>
      </c>
      <c r="BR127" s="1556">
        <v>2</v>
      </c>
      <c r="BS127" s="1558">
        <f t="shared" si="107"/>
        <v>7</v>
      </c>
      <c r="BT127" s="1555">
        <v>2</v>
      </c>
      <c r="BU127" s="1556">
        <v>3</v>
      </c>
      <c r="BV127" s="1556">
        <v>4</v>
      </c>
      <c r="BW127" s="1558">
        <f t="shared" si="108"/>
        <v>9</v>
      </c>
      <c r="BX127" s="1555">
        <v>2</v>
      </c>
      <c r="BY127" s="1556">
        <v>4</v>
      </c>
      <c r="BZ127" s="1556">
        <v>4</v>
      </c>
      <c r="CA127" s="1558">
        <f t="shared" si="109"/>
        <v>10</v>
      </c>
      <c r="CB127" s="1555">
        <v>5</v>
      </c>
      <c r="CC127" s="1556"/>
      <c r="CD127" s="1556">
        <v>1</v>
      </c>
      <c r="CE127" s="1558">
        <f t="shared" si="65"/>
        <v>6</v>
      </c>
      <c r="CF127" s="1555">
        <v>1</v>
      </c>
      <c r="CG127" s="1556">
        <v>3</v>
      </c>
      <c r="CH127" s="1556">
        <v>3</v>
      </c>
      <c r="CI127" s="1558">
        <f t="shared" si="66"/>
        <v>7</v>
      </c>
      <c r="CJ127" s="1555"/>
      <c r="CK127" s="1556">
        <v>1</v>
      </c>
      <c r="CL127" s="1556"/>
      <c r="CM127" s="1558">
        <f t="shared" si="61"/>
        <v>1</v>
      </c>
      <c r="CN127" s="1555"/>
      <c r="CO127" s="1556">
        <v>1</v>
      </c>
      <c r="CP127" s="1556"/>
      <c r="CQ127" s="1558">
        <f t="shared" si="62"/>
        <v>1</v>
      </c>
      <c r="CR127" s="1555">
        <v>2</v>
      </c>
      <c r="CS127" s="1556"/>
      <c r="CT127" s="1556">
        <v>1</v>
      </c>
      <c r="CU127" s="1558">
        <f t="shared" si="80"/>
        <v>3</v>
      </c>
    </row>
    <row r="128" spans="2:99" ht="12.75" customHeight="1" x14ac:dyDescent="0.25">
      <c r="B128" s="5872"/>
      <c r="C128" s="1592" t="s">
        <v>409</v>
      </c>
      <c r="D128" s="1555">
        <v>1</v>
      </c>
      <c r="E128" s="1556"/>
      <c r="F128" s="1556">
        <v>1</v>
      </c>
      <c r="G128" s="1557">
        <f>SUM(D128:F128)</f>
        <v>2</v>
      </c>
      <c r="H128" s="1555"/>
      <c r="I128" s="1556">
        <v>1</v>
      </c>
      <c r="J128" s="1556">
        <v>1</v>
      </c>
      <c r="K128" s="1557">
        <f t="shared" si="111"/>
        <v>2</v>
      </c>
      <c r="L128" s="1555">
        <v>1</v>
      </c>
      <c r="M128" s="1556">
        <v>1</v>
      </c>
      <c r="N128" s="1556">
        <v>1</v>
      </c>
      <c r="O128" s="1557">
        <f t="shared" si="112"/>
        <v>3</v>
      </c>
      <c r="P128" s="1555"/>
      <c r="Q128" s="1556"/>
      <c r="R128" s="1556"/>
      <c r="S128" s="1557"/>
      <c r="T128" s="1555"/>
      <c r="U128" s="1556">
        <v>1</v>
      </c>
      <c r="V128" s="1556"/>
      <c r="W128" s="1557">
        <f t="shared" si="102"/>
        <v>1</v>
      </c>
      <c r="X128" s="1555"/>
      <c r="Y128" s="1556">
        <v>4</v>
      </c>
      <c r="Z128" s="1556">
        <v>2</v>
      </c>
      <c r="AA128" s="1557">
        <f>SUM(X128:Z128)</f>
        <v>6</v>
      </c>
      <c r="AB128" s="1555">
        <v>4</v>
      </c>
      <c r="AC128" s="1556"/>
      <c r="AD128" s="1556">
        <v>5</v>
      </c>
      <c r="AE128" s="1558">
        <f>SUM(AB128:AD128)</f>
        <v>9</v>
      </c>
      <c r="AF128" s="1556"/>
      <c r="AG128" s="1556">
        <v>1</v>
      </c>
      <c r="AH128" s="1556">
        <v>9</v>
      </c>
      <c r="AI128" s="1558">
        <f t="shared" si="110"/>
        <v>10</v>
      </c>
      <c r="AJ128" s="1556">
        <v>2</v>
      </c>
      <c r="AK128" s="1556">
        <v>2</v>
      </c>
      <c r="AL128" s="1556">
        <v>1</v>
      </c>
      <c r="AM128" s="1558">
        <f t="shared" ref="AM128:AM135" si="114">SUM(AJ128:AL128)</f>
        <v>5</v>
      </c>
      <c r="AN128" s="1556">
        <v>6</v>
      </c>
      <c r="AO128" s="1556">
        <v>2</v>
      </c>
      <c r="AP128" s="1556">
        <v>1</v>
      </c>
      <c r="AQ128" s="1558">
        <f t="shared" si="84"/>
        <v>9</v>
      </c>
      <c r="AR128" s="1556">
        <v>2</v>
      </c>
      <c r="AS128" s="1556">
        <v>8</v>
      </c>
      <c r="AT128" s="1556">
        <v>7</v>
      </c>
      <c r="AU128" s="1558">
        <f t="shared" si="85"/>
        <v>17</v>
      </c>
      <c r="AV128" s="1556">
        <v>4</v>
      </c>
      <c r="AW128" s="1556">
        <v>1</v>
      </c>
      <c r="AX128" s="1556">
        <v>7</v>
      </c>
      <c r="AY128" s="1558">
        <f t="shared" si="86"/>
        <v>12</v>
      </c>
      <c r="AZ128" s="1556">
        <v>13</v>
      </c>
      <c r="BA128" s="1556">
        <v>1</v>
      </c>
      <c r="BB128" s="1556">
        <v>7</v>
      </c>
      <c r="BC128" s="1558">
        <f t="shared" si="87"/>
        <v>21</v>
      </c>
      <c r="BD128" s="1556">
        <v>1</v>
      </c>
      <c r="BE128" s="1556">
        <v>4</v>
      </c>
      <c r="BF128" s="1556">
        <v>5</v>
      </c>
      <c r="BG128" s="1558">
        <f t="shared" ref="BG128:BG139" si="115">SUM(BD128:BF128)</f>
        <v>10</v>
      </c>
      <c r="BH128" s="1556">
        <v>3</v>
      </c>
      <c r="BI128" s="1556">
        <v>3</v>
      </c>
      <c r="BJ128" s="1556">
        <v>13</v>
      </c>
      <c r="BK128" s="1558">
        <f t="shared" ref="BK128:BK136" si="116">SUM(BH128:BJ128)</f>
        <v>19</v>
      </c>
      <c r="BL128" s="1556">
        <v>1</v>
      </c>
      <c r="BM128" s="1556"/>
      <c r="BN128" s="1556">
        <v>3</v>
      </c>
      <c r="BO128" s="1558">
        <f t="shared" si="106"/>
        <v>4</v>
      </c>
      <c r="BP128" s="1556">
        <v>7</v>
      </c>
      <c r="BQ128" s="1556"/>
      <c r="BR128" s="1556">
        <v>3</v>
      </c>
      <c r="BS128" s="1558">
        <f t="shared" si="107"/>
        <v>10</v>
      </c>
      <c r="BT128" s="1555">
        <v>4</v>
      </c>
      <c r="BU128" s="1556">
        <v>2</v>
      </c>
      <c r="BV128" s="1556">
        <v>4</v>
      </c>
      <c r="BW128" s="1558">
        <f t="shared" si="108"/>
        <v>10</v>
      </c>
      <c r="BX128" s="1555">
        <v>5</v>
      </c>
      <c r="BY128" s="1556">
        <v>4</v>
      </c>
      <c r="BZ128" s="1556">
        <v>3</v>
      </c>
      <c r="CA128" s="1558">
        <f t="shared" si="109"/>
        <v>12</v>
      </c>
      <c r="CB128" s="1555">
        <v>4</v>
      </c>
      <c r="CC128" s="1556">
        <v>2</v>
      </c>
      <c r="CD128" s="1556">
        <v>9</v>
      </c>
      <c r="CE128" s="1558">
        <f t="shared" si="65"/>
        <v>15</v>
      </c>
      <c r="CF128" s="1555">
        <v>6</v>
      </c>
      <c r="CG128" s="1556">
        <v>2</v>
      </c>
      <c r="CH128" s="1556">
        <v>3</v>
      </c>
      <c r="CI128" s="1558">
        <f t="shared" si="66"/>
        <v>11</v>
      </c>
      <c r="CJ128" s="1555">
        <v>4</v>
      </c>
      <c r="CK128" s="1556">
        <v>4</v>
      </c>
      <c r="CL128" s="1556">
        <v>7</v>
      </c>
      <c r="CM128" s="1558">
        <f t="shared" si="61"/>
        <v>15</v>
      </c>
      <c r="CN128" s="1555">
        <v>2</v>
      </c>
      <c r="CO128" s="1556">
        <v>1</v>
      </c>
      <c r="CP128" s="1556">
        <v>2</v>
      </c>
      <c r="CQ128" s="1558">
        <f t="shared" si="62"/>
        <v>5</v>
      </c>
      <c r="CR128" s="1555">
        <v>2</v>
      </c>
      <c r="CS128" s="1556">
        <v>9</v>
      </c>
      <c r="CT128" s="1556"/>
      <c r="CU128" s="1558">
        <f t="shared" si="80"/>
        <v>11</v>
      </c>
    </row>
    <row r="129" spans="2:103" ht="12.75" customHeight="1" x14ac:dyDescent="0.25">
      <c r="B129" s="5872"/>
      <c r="C129" s="1592" t="s">
        <v>410</v>
      </c>
      <c r="D129" s="1555">
        <v>1</v>
      </c>
      <c r="E129" s="1556"/>
      <c r="F129" s="1556">
        <v>2</v>
      </c>
      <c r="G129" s="1557">
        <f>SUM(D129:F129)</f>
        <v>3</v>
      </c>
      <c r="H129" s="1555"/>
      <c r="I129" s="1556">
        <v>3</v>
      </c>
      <c r="J129" s="1556">
        <v>5</v>
      </c>
      <c r="K129" s="1557">
        <f t="shared" si="111"/>
        <v>8</v>
      </c>
      <c r="L129" s="1555"/>
      <c r="M129" s="1556"/>
      <c r="N129" s="1556">
        <v>3</v>
      </c>
      <c r="O129" s="1557">
        <f t="shared" si="112"/>
        <v>3</v>
      </c>
      <c r="P129" s="1555">
        <v>1</v>
      </c>
      <c r="Q129" s="1556">
        <v>1</v>
      </c>
      <c r="R129" s="1556"/>
      <c r="S129" s="1557">
        <f t="shared" si="113"/>
        <v>2</v>
      </c>
      <c r="T129" s="1555">
        <v>1</v>
      </c>
      <c r="U129" s="1556">
        <v>3</v>
      </c>
      <c r="V129" s="1556"/>
      <c r="W129" s="1557">
        <f t="shared" si="102"/>
        <v>4</v>
      </c>
      <c r="X129" s="1555"/>
      <c r="Y129" s="1556">
        <v>4</v>
      </c>
      <c r="Z129" s="1556"/>
      <c r="AA129" s="1557">
        <f>SUM(X129:Z129)</f>
        <v>4</v>
      </c>
      <c r="AB129" s="1555">
        <v>1</v>
      </c>
      <c r="AC129" s="1556">
        <v>5</v>
      </c>
      <c r="AD129" s="1556">
        <v>1</v>
      </c>
      <c r="AE129" s="1558">
        <f>SUM(AB129:AD129)</f>
        <v>7</v>
      </c>
      <c r="AF129" s="1556"/>
      <c r="AG129" s="1556">
        <v>2</v>
      </c>
      <c r="AH129" s="1556"/>
      <c r="AI129" s="1558">
        <f t="shared" si="110"/>
        <v>2</v>
      </c>
      <c r="AJ129" s="1556"/>
      <c r="AK129" s="1556">
        <v>2</v>
      </c>
      <c r="AL129" s="1556">
        <v>1</v>
      </c>
      <c r="AM129" s="1558">
        <f t="shared" si="114"/>
        <v>3</v>
      </c>
      <c r="AN129" s="1556"/>
      <c r="AO129" s="1556">
        <v>1</v>
      </c>
      <c r="AP129" s="1556">
        <v>1</v>
      </c>
      <c r="AQ129" s="1558">
        <f t="shared" si="84"/>
        <v>2</v>
      </c>
      <c r="AR129" s="1556">
        <v>5</v>
      </c>
      <c r="AS129" s="1556">
        <v>1</v>
      </c>
      <c r="AT129" s="1556">
        <v>1</v>
      </c>
      <c r="AU129" s="1558">
        <f t="shared" si="85"/>
        <v>7</v>
      </c>
      <c r="AV129" s="1556"/>
      <c r="AW129" s="1556">
        <v>7</v>
      </c>
      <c r="AX129" s="1556">
        <v>4</v>
      </c>
      <c r="AY129" s="1558">
        <f t="shared" si="86"/>
        <v>11</v>
      </c>
      <c r="AZ129" s="1556">
        <v>1</v>
      </c>
      <c r="BA129" s="1556"/>
      <c r="BB129" s="1556">
        <v>3</v>
      </c>
      <c r="BC129" s="1558">
        <f t="shared" si="87"/>
        <v>4</v>
      </c>
      <c r="BD129" s="1556">
        <v>1</v>
      </c>
      <c r="BE129" s="1556">
        <v>4</v>
      </c>
      <c r="BF129" s="1556"/>
      <c r="BG129" s="1558">
        <f t="shared" si="115"/>
        <v>5</v>
      </c>
      <c r="BH129" s="1556">
        <v>1</v>
      </c>
      <c r="BI129" s="1556">
        <v>2</v>
      </c>
      <c r="BJ129" s="1556">
        <v>6</v>
      </c>
      <c r="BK129" s="1558">
        <f t="shared" si="116"/>
        <v>9</v>
      </c>
      <c r="BL129" s="1556">
        <v>2</v>
      </c>
      <c r="BM129" s="1556">
        <v>1</v>
      </c>
      <c r="BN129" s="1556"/>
      <c r="BO129" s="1558">
        <f t="shared" si="106"/>
        <v>3</v>
      </c>
      <c r="BP129" s="1556">
        <v>2</v>
      </c>
      <c r="BQ129" s="1556">
        <v>5</v>
      </c>
      <c r="BR129" s="1556">
        <v>1</v>
      </c>
      <c r="BS129" s="1558">
        <f t="shared" si="107"/>
        <v>8</v>
      </c>
      <c r="BT129" s="1555"/>
      <c r="BU129" s="1556"/>
      <c r="BV129" s="1556"/>
      <c r="BW129" s="1558">
        <f t="shared" si="108"/>
        <v>0</v>
      </c>
      <c r="BX129" s="1555">
        <v>3</v>
      </c>
      <c r="BY129" s="1556">
        <v>9</v>
      </c>
      <c r="BZ129" s="1556">
        <v>1</v>
      </c>
      <c r="CA129" s="1558">
        <f t="shared" si="109"/>
        <v>13</v>
      </c>
      <c r="CB129" s="1555"/>
      <c r="CC129" s="1556">
        <v>2</v>
      </c>
      <c r="CD129" s="1556">
        <v>3</v>
      </c>
      <c r="CE129" s="1558">
        <f t="shared" si="65"/>
        <v>5</v>
      </c>
      <c r="CF129" s="1555"/>
      <c r="CG129" s="1556">
        <v>3</v>
      </c>
      <c r="CH129" s="1556">
        <v>1</v>
      </c>
      <c r="CI129" s="1558">
        <f t="shared" si="66"/>
        <v>4</v>
      </c>
      <c r="CJ129" s="1555"/>
      <c r="CK129" s="1556">
        <v>2</v>
      </c>
      <c r="CL129" s="1556">
        <v>3</v>
      </c>
      <c r="CM129" s="1558">
        <f t="shared" si="61"/>
        <v>5</v>
      </c>
      <c r="CN129" s="1555">
        <v>2</v>
      </c>
      <c r="CO129" s="1556"/>
      <c r="CP129" s="1556">
        <v>2</v>
      </c>
      <c r="CQ129" s="1558">
        <f t="shared" si="62"/>
        <v>4</v>
      </c>
      <c r="CR129" s="1555">
        <v>6</v>
      </c>
      <c r="CS129" s="1556">
        <v>1</v>
      </c>
      <c r="CT129" s="1556"/>
      <c r="CU129" s="1558">
        <f t="shared" si="80"/>
        <v>7</v>
      </c>
    </row>
    <row r="130" spans="2:103" ht="12.75" customHeight="1" x14ac:dyDescent="0.25">
      <c r="B130" s="5872"/>
      <c r="C130" s="1592" t="s">
        <v>414</v>
      </c>
      <c r="D130" s="1555"/>
      <c r="E130" s="1556"/>
      <c r="F130" s="1556"/>
      <c r="G130" s="1557"/>
      <c r="H130" s="1555"/>
      <c r="I130" s="1556"/>
      <c r="J130" s="1556"/>
      <c r="K130" s="1557"/>
      <c r="L130" s="1555"/>
      <c r="M130" s="1556"/>
      <c r="N130" s="1556"/>
      <c r="O130" s="1557"/>
      <c r="P130" s="1555"/>
      <c r="Q130" s="1556"/>
      <c r="R130" s="1556"/>
      <c r="S130" s="1557"/>
      <c r="T130" s="1555"/>
      <c r="U130" s="1556"/>
      <c r="V130" s="1556"/>
      <c r="W130" s="1557"/>
      <c r="X130" s="1555"/>
      <c r="Y130" s="1556"/>
      <c r="Z130" s="1556"/>
      <c r="AA130" s="1557"/>
      <c r="AB130" s="1555"/>
      <c r="AC130" s="1556"/>
      <c r="AD130" s="1556"/>
      <c r="AE130" s="1558"/>
      <c r="AF130" s="1556"/>
      <c r="AG130" s="1556"/>
      <c r="AH130" s="1556"/>
      <c r="AI130" s="1558"/>
      <c r="AJ130" s="1556"/>
      <c r="AK130" s="1556"/>
      <c r="AL130" s="1556"/>
      <c r="AM130" s="1558"/>
      <c r="AN130" s="1556"/>
      <c r="AO130" s="1556"/>
      <c r="AP130" s="1556"/>
      <c r="AQ130" s="1558"/>
      <c r="AR130" s="1556"/>
      <c r="AS130" s="1556"/>
      <c r="AT130" s="1556"/>
      <c r="AU130" s="1558"/>
      <c r="AV130" s="1556"/>
      <c r="AW130" s="1556"/>
      <c r="AX130" s="1556"/>
      <c r="AY130" s="1558"/>
      <c r="AZ130" s="1556"/>
      <c r="BA130" s="1556"/>
      <c r="BB130" s="1556"/>
      <c r="BC130" s="1558"/>
      <c r="BD130" s="1556"/>
      <c r="BE130" s="1556"/>
      <c r="BF130" s="1556"/>
      <c r="BG130" s="1558"/>
      <c r="BH130" s="1556"/>
      <c r="BI130" s="1556"/>
      <c r="BJ130" s="1556"/>
      <c r="BK130" s="1558"/>
      <c r="BL130" s="1556"/>
      <c r="BM130" s="1556"/>
      <c r="BN130" s="1556"/>
      <c r="BO130" s="1558"/>
      <c r="BP130" s="1556"/>
      <c r="BQ130" s="1556"/>
      <c r="BR130" s="1556"/>
      <c r="BS130" s="1558"/>
      <c r="BT130" s="1555"/>
      <c r="BU130" s="1556"/>
      <c r="BV130" s="1556"/>
      <c r="BW130" s="1558"/>
      <c r="BX130" s="1555"/>
      <c r="BY130" s="1556"/>
      <c r="BZ130" s="1556"/>
      <c r="CA130" s="1558"/>
      <c r="CB130" s="1555"/>
      <c r="CC130" s="1556"/>
      <c r="CD130" s="1556"/>
      <c r="CE130" s="1558"/>
      <c r="CF130" s="1555"/>
      <c r="CG130" s="1556"/>
      <c r="CH130" s="1556"/>
      <c r="CI130" s="1558"/>
      <c r="CJ130" s="1555"/>
      <c r="CK130" s="1556">
        <v>1</v>
      </c>
      <c r="CL130" s="1556">
        <v>3</v>
      </c>
      <c r="CM130" s="1558">
        <f t="shared" si="61"/>
        <v>4</v>
      </c>
      <c r="CN130" s="1555">
        <v>2</v>
      </c>
      <c r="CO130" s="1556">
        <v>1</v>
      </c>
      <c r="CP130" s="1556">
        <v>1</v>
      </c>
      <c r="CQ130" s="1558">
        <f t="shared" si="62"/>
        <v>4</v>
      </c>
      <c r="CR130" s="1555">
        <v>4</v>
      </c>
      <c r="CS130" s="1556">
        <v>1</v>
      </c>
      <c r="CT130" s="1556">
        <v>1</v>
      </c>
      <c r="CU130" s="1558">
        <f t="shared" si="80"/>
        <v>6</v>
      </c>
    </row>
    <row r="131" spans="2:103" ht="12.75" customHeight="1" x14ac:dyDescent="0.25">
      <c r="B131" s="5872"/>
      <c r="C131" s="1592" t="s">
        <v>489</v>
      </c>
      <c r="D131" s="1555"/>
      <c r="E131" s="1556"/>
      <c r="F131" s="1556">
        <v>1</v>
      </c>
      <c r="G131" s="1557">
        <f>SUM(D131:F131)</f>
        <v>1</v>
      </c>
      <c r="H131" s="1555">
        <v>1</v>
      </c>
      <c r="I131" s="1556"/>
      <c r="J131" s="1556"/>
      <c r="K131" s="1557">
        <f t="shared" si="111"/>
        <v>1</v>
      </c>
      <c r="L131" s="1555"/>
      <c r="M131" s="1556"/>
      <c r="N131" s="1556">
        <v>1</v>
      </c>
      <c r="O131" s="1557">
        <f t="shared" si="112"/>
        <v>1</v>
      </c>
      <c r="P131" s="1555"/>
      <c r="Q131" s="1556"/>
      <c r="R131" s="1556"/>
      <c r="S131" s="1557"/>
      <c r="T131" s="1555"/>
      <c r="U131" s="1556"/>
      <c r="V131" s="1556"/>
      <c r="W131" s="1557"/>
      <c r="X131" s="1555"/>
      <c r="Y131" s="1556"/>
      <c r="Z131" s="1556"/>
      <c r="AA131" s="1557"/>
      <c r="AB131" s="1555"/>
      <c r="AC131" s="1556"/>
      <c r="AD131" s="1556"/>
      <c r="AE131" s="1558"/>
      <c r="AF131" s="1556">
        <v>1</v>
      </c>
      <c r="AG131" s="1556">
        <v>1</v>
      </c>
      <c r="AH131" s="1556"/>
      <c r="AI131" s="1558">
        <f t="shared" si="110"/>
        <v>2</v>
      </c>
      <c r="AJ131" s="1556">
        <v>1</v>
      </c>
      <c r="AK131" s="1556">
        <v>1</v>
      </c>
      <c r="AL131" s="1556"/>
      <c r="AM131" s="1558">
        <f t="shared" si="114"/>
        <v>2</v>
      </c>
      <c r="AN131" s="1556">
        <v>1</v>
      </c>
      <c r="AO131" s="1556">
        <v>1</v>
      </c>
      <c r="AP131" s="1556">
        <v>2</v>
      </c>
      <c r="AQ131" s="1558">
        <f t="shared" si="84"/>
        <v>4</v>
      </c>
      <c r="AR131" s="1556"/>
      <c r="AS131" s="1556"/>
      <c r="AT131" s="1556"/>
      <c r="AU131" s="1558">
        <f t="shared" si="85"/>
        <v>0</v>
      </c>
      <c r="AV131" s="1556"/>
      <c r="AW131" s="1556"/>
      <c r="AX131" s="1556">
        <v>2</v>
      </c>
      <c r="AY131" s="1558">
        <f t="shared" si="86"/>
        <v>2</v>
      </c>
      <c r="AZ131" s="1556"/>
      <c r="BA131" s="1556"/>
      <c r="BB131" s="1556"/>
      <c r="BC131" s="1558">
        <f t="shared" si="87"/>
        <v>0</v>
      </c>
      <c r="BD131" s="1556">
        <v>1</v>
      </c>
      <c r="BE131" s="1556"/>
      <c r="BF131" s="1556"/>
      <c r="BG131" s="1558">
        <f t="shared" si="115"/>
        <v>1</v>
      </c>
      <c r="BH131" s="1556"/>
      <c r="BI131" s="1556"/>
      <c r="BJ131" s="1556"/>
      <c r="BK131" s="1558"/>
      <c r="BL131" s="1556"/>
      <c r="BM131" s="1556">
        <v>5</v>
      </c>
      <c r="BN131" s="1556"/>
      <c r="BO131" s="1558">
        <f t="shared" si="106"/>
        <v>5</v>
      </c>
      <c r="BP131" s="1556"/>
      <c r="BQ131" s="1556"/>
      <c r="BR131" s="1556"/>
      <c r="BS131" s="1558">
        <f t="shared" si="107"/>
        <v>0</v>
      </c>
      <c r="BT131" s="1555"/>
      <c r="BU131" s="1556">
        <v>1</v>
      </c>
      <c r="BV131" s="1556"/>
      <c r="BW131" s="1558">
        <f t="shared" si="108"/>
        <v>1</v>
      </c>
      <c r="BX131" s="1555"/>
      <c r="BY131" s="1556"/>
      <c r="BZ131" s="1556"/>
      <c r="CA131" s="1558">
        <f t="shared" si="109"/>
        <v>0</v>
      </c>
      <c r="CB131" s="1555"/>
      <c r="CC131" s="1556"/>
      <c r="CD131" s="1556"/>
      <c r="CE131" s="1558">
        <f t="shared" si="65"/>
        <v>0</v>
      </c>
      <c r="CF131" s="1555"/>
      <c r="CG131" s="1556"/>
      <c r="CH131" s="1556"/>
      <c r="CI131" s="1558">
        <f t="shared" si="66"/>
        <v>0</v>
      </c>
      <c r="CJ131" s="1555"/>
      <c r="CK131" s="1556"/>
      <c r="CL131" s="1556"/>
      <c r="CM131" s="1558">
        <f t="shared" si="61"/>
        <v>0</v>
      </c>
      <c r="CN131" s="1555"/>
      <c r="CO131" s="1556"/>
      <c r="CP131" s="1556"/>
      <c r="CQ131" s="1558">
        <f t="shared" si="62"/>
        <v>0</v>
      </c>
      <c r="CR131" s="1555"/>
      <c r="CS131" s="1556">
        <v>8</v>
      </c>
      <c r="CT131" s="1556"/>
      <c r="CU131" s="1558">
        <f t="shared" si="80"/>
        <v>8</v>
      </c>
    </row>
    <row r="132" spans="2:103" ht="12.75" customHeight="1" x14ac:dyDescent="0.25">
      <c r="B132" s="5872"/>
      <c r="C132" s="1592" t="s">
        <v>451</v>
      </c>
      <c r="D132" s="1555"/>
      <c r="E132" s="1556"/>
      <c r="F132" s="1556"/>
      <c r="G132" s="1557"/>
      <c r="H132" s="1555"/>
      <c r="I132" s="1556"/>
      <c r="J132" s="1556">
        <v>2</v>
      </c>
      <c r="K132" s="1557">
        <f t="shared" si="111"/>
        <v>2</v>
      </c>
      <c r="L132" s="1555">
        <v>5</v>
      </c>
      <c r="M132" s="1556"/>
      <c r="N132" s="1556"/>
      <c r="O132" s="1557">
        <f t="shared" si="112"/>
        <v>5</v>
      </c>
      <c r="P132" s="1555">
        <v>1</v>
      </c>
      <c r="Q132" s="1556"/>
      <c r="R132" s="1556">
        <v>1</v>
      </c>
      <c r="S132" s="1557">
        <f t="shared" si="113"/>
        <v>2</v>
      </c>
      <c r="T132" s="1555">
        <v>1</v>
      </c>
      <c r="U132" s="1556">
        <v>2</v>
      </c>
      <c r="V132" s="1556">
        <v>3</v>
      </c>
      <c r="W132" s="1557">
        <f>SUM(T132:V132)</f>
        <v>6</v>
      </c>
      <c r="X132" s="1555">
        <v>3</v>
      </c>
      <c r="Y132" s="1556">
        <v>2</v>
      </c>
      <c r="Z132" s="1556">
        <v>4</v>
      </c>
      <c r="AA132" s="1557">
        <f>SUM(X132:Z132)</f>
        <v>9</v>
      </c>
      <c r="AB132" s="1555"/>
      <c r="AC132" s="1556">
        <v>1</v>
      </c>
      <c r="AD132" s="1556"/>
      <c r="AE132" s="1558">
        <f>SUM(AB132:AD132)</f>
        <v>1</v>
      </c>
      <c r="AF132" s="1556">
        <v>2</v>
      </c>
      <c r="AG132" s="1556">
        <v>2</v>
      </c>
      <c r="AH132" s="1556">
        <v>5</v>
      </c>
      <c r="AI132" s="1558">
        <f t="shared" si="110"/>
        <v>9</v>
      </c>
      <c r="AJ132" s="1556">
        <v>2</v>
      </c>
      <c r="AK132" s="1556">
        <v>1</v>
      </c>
      <c r="AL132" s="1556">
        <v>5</v>
      </c>
      <c r="AM132" s="1558">
        <f t="shared" si="114"/>
        <v>8</v>
      </c>
      <c r="AN132" s="1556">
        <v>1</v>
      </c>
      <c r="AO132" s="1556">
        <v>5</v>
      </c>
      <c r="AP132" s="1556">
        <v>3</v>
      </c>
      <c r="AQ132" s="1558">
        <f t="shared" si="84"/>
        <v>9</v>
      </c>
      <c r="AR132" s="1556">
        <v>3</v>
      </c>
      <c r="AS132" s="1556">
        <v>2</v>
      </c>
      <c r="AT132" s="1556">
        <v>3</v>
      </c>
      <c r="AU132" s="1558">
        <f t="shared" si="85"/>
        <v>8</v>
      </c>
      <c r="AV132" s="1556"/>
      <c r="AW132" s="1556">
        <v>7</v>
      </c>
      <c r="AX132" s="1556">
        <v>2</v>
      </c>
      <c r="AY132" s="1558">
        <f t="shared" si="86"/>
        <v>9</v>
      </c>
      <c r="AZ132" s="1556">
        <v>4</v>
      </c>
      <c r="BA132" s="1556">
        <v>12</v>
      </c>
      <c r="BB132" s="1556">
        <v>3</v>
      </c>
      <c r="BC132" s="1558">
        <f t="shared" si="87"/>
        <v>19</v>
      </c>
      <c r="BD132" s="1556">
        <v>4</v>
      </c>
      <c r="BE132" s="1556"/>
      <c r="BF132" s="1556">
        <v>6</v>
      </c>
      <c r="BG132" s="1558">
        <f t="shared" si="115"/>
        <v>10</v>
      </c>
      <c r="BH132" s="1556">
        <v>3</v>
      </c>
      <c r="BI132" s="1556">
        <v>6</v>
      </c>
      <c r="BJ132" s="1556">
        <v>1</v>
      </c>
      <c r="BK132" s="1558">
        <f t="shared" si="116"/>
        <v>10</v>
      </c>
      <c r="BL132" s="1556">
        <v>3</v>
      </c>
      <c r="BM132" s="1556">
        <v>5</v>
      </c>
      <c r="BN132" s="1556">
        <v>7</v>
      </c>
      <c r="BO132" s="1558">
        <f t="shared" si="106"/>
        <v>15</v>
      </c>
      <c r="BP132" s="1556">
        <v>4</v>
      </c>
      <c r="BQ132" s="1556">
        <v>4</v>
      </c>
      <c r="BR132" s="1556">
        <v>4</v>
      </c>
      <c r="BS132" s="1558">
        <f t="shared" si="107"/>
        <v>12</v>
      </c>
      <c r="BT132" s="1555">
        <v>6</v>
      </c>
      <c r="BU132" s="1556">
        <v>3</v>
      </c>
      <c r="BV132" s="1556">
        <v>3</v>
      </c>
      <c r="BW132" s="1558">
        <f t="shared" si="108"/>
        <v>12</v>
      </c>
      <c r="BX132" s="1555">
        <v>2</v>
      </c>
      <c r="BY132" s="1556">
        <v>6</v>
      </c>
      <c r="BZ132" s="1556">
        <v>1</v>
      </c>
      <c r="CA132" s="1558">
        <f t="shared" si="109"/>
        <v>9</v>
      </c>
      <c r="CB132" s="1555">
        <v>3</v>
      </c>
      <c r="CC132" s="1556">
        <v>8</v>
      </c>
      <c r="CD132" s="1556">
        <v>7</v>
      </c>
      <c r="CE132" s="1558">
        <f t="shared" si="65"/>
        <v>18</v>
      </c>
      <c r="CF132" s="1555">
        <v>3</v>
      </c>
      <c r="CG132" s="1556">
        <v>5</v>
      </c>
      <c r="CH132" s="1556">
        <v>4</v>
      </c>
      <c r="CI132" s="1558">
        <f t="shared" si="66"/>
        <v>12</v>
      </c>
      <c r="CJ132" s="1555"/>
      <c r="CK132" s="1556">
        <v>2</v>
      </c>
      <c r="CL132" s="1556">
        <v>3</v>
      </c>
      <c r="CM132" s="1558">
        <f t="shared" si="61"/>
        <v>5</v>
      </c>
      <c r="CN132" s="1555">
        <v>4</v>
      </c>
      <c r="CO132" s="1556">
        <v>4</v>
      </c>
      <c r="CP132" s="1556">
        <v>3</v>
      </c>
      <c r="CQ132" s="1558">
        <f t="shared" si="62"/>
        <v>11</v>
      </c>
      <c r="CR132" s="1555">
        <v>4</v>
      </c>
      <c r="CS132" s="1556">
        <v>3</v>
      </c>
      <c r="CT132" s="1556">
        <v>3</v>
      </c>
      <c r="CU132" s="1558">
        <f t="shared" si="80"/>
        <v>10</v>
      </c>
    </row>
    <row r="133" spans="2:103" ht="12.75" customHeight="1" x14ac:dyDescent="0.25">
      <c r="B133" s="5872"/>
      <c r="C133" s="1592" t="s">
        <v>413</v>
      </c>
      <c r="D133" s="1555"/>
      <c r="E133" s="1556"/>
      <c r="F133" s="1556"/>
      <c r="G133" s="1557"/>
      <c r="H133" s="1555"/>
      <c r="I133" s="1556"/>
      <c r="J133" s="1556"/>
      <c r="K133" s="1557"/>
      <c r="L133" s="1555"/>
      <c r="M133" s="1556"/>
      <c r="N133" s="1556"/>
      <c r="O133" s="1557"/>
      <c r="P133" s="1555"/>
      <c r="Q133" s="1556"/>
      <c r="R133" s="1556"/>
      <c r="S133" s="1557"/>
      <c r="T133" s="1555"/>
      <c r="U133" s="1556"/>
      <c r="V133" s="1556"/>
      <c r="W133" s="1557"/>
      <c r="X133" s="1555"/>
      <c r="Y133" s="1556">
        <v>1</v>
      </c>
      <c r="Z133" s="1556"/>
      <c r="AA133" s="1557">
        <f>SUM(X133:Z133)</f>
        <v>1</v>
      </c>
      <c r="AB133" s="1555">
        <v>2</v>
      </c>
      <c r="AC133" s="1556">
        <v>1</v>
      </c>
      <c r="AD133" s="1556">
        <v>2</v>
      </c>
      <c r="AE133" s="1558">
        <f>SUM(AB133:AD133)</f>
        <v>5</v>
      </c>
      <c r="AF133" s="1556">
        <v>3</v>
      </c>
      <c r="AG133" s="1556">
        <v>4</v>
      </c>
      <c r="AH133" s="1556">
        <v>3</v>
      </c>
      <c r="AI133" s="1558">
        <f t="shared" si="110"/>
        <v>10</v>
      </c>
      <c r="AJ133" s="1556">
        <v>1</v>
      </c>
      <c r="AK133" s="1556">
        <v>6</v>
      </c>
      <c r="AL133" s="1556">
        <v>8</v>
      </c>
      <c r="AM133" s="1558">
        <f t="shared" si="114"/>
        <v>15</v>
      </c>
      <c r="AN133" s="1556">
        <v>3</v>
      </c>
      <c r="AO133" s="1556">
        <v>3</v>
      </c>
      <c r="AP133" s="1556">
        <v>1</v>
      </c>
      <c r="AQ133" s="1558">
        <f t="shared" si="84"/>
        <v>7</v>
      </c>
      <c r="AR133" s="1556">
        <v>5</v>
      </c>
      <c r="AS133" s="1556">
        <v>8</v>
      </c>
      <c r="AT133" s="1556">
        <v>5</v>
      </c>
      <c r="AU133" s="1558">
        <f t="shared" si="85"/>
        <v>18</v>
      </c>
      <c r="AV133" s="1556">
        <v>6</v>
      </c>
      <c r="AW133" s="1556">
        <v>4</v>
      </c>
      <c r="AX133" s="1556">
        <v>3</v>
      </c>
      <c r="AY133" s="1558">
        <f t="shared" si="86"/>
        <v>13</v>
      </c>
      <c r="AZ133" s="1556">
        <v>4</v>
      </c>
      <c r="BA133" s="1556">
        <v>4</v>
      </c>
      <c r="BB133" s="1556">
        <v>6</v>
      </c>
      <c r="BC133" s="1558">
        <f t="shared" si="87"/>
        <v>14</v>
      </c>
      <c r="BD133" s="1556">
        <v>4</v>
      </c>
      <c r="BE133" s="1556">
        <v>1</v>
      </c>
      <c r="BF133" s="1556">
        <v>1</v>
      </c>
      <c r="BG133" s="1558">
        <f t="shared" si="115"/>
        <v>6</v>
      </c>
      <c r="BH133" s="1556">
        <v>6</v>
      </c>
      <c r="BI133" s="1556">
        <v>3</v>
      </c>
      <c r="BJ133" s="1556">
        <v>5</v>
      </c>
      <c r="BK133" s="1558">
        <f t="shared" si="116"/>
        <v>14</v>
      </c>
      <c r="BL133" s="1556">
        <v>1</v>
      </c>
      <c r="BM133" s="1556">
        <v>12</v>
      </c>
      <c r="BN133" s="1556">
        <v>9</v>
      </c>
      <c r="BO133" s="1558">
        <f t="shared" si="106"/>
        <v>22</v>
      </c>
      <c r="BP133" s="1556">
        <v>2</v>
      </c>
      <c r="BQ133" s="1556">
        <v>6</v>
      </c>
      <c r="BR133" s="1556">
        <v>12</v>
      </c>
      <c r="BS133" s="1558">
        <f t="shared" si="107"/>
        <v>20</v>
      </c>
      <c r="BT133" s="1555">
        <v>4</v>
      </c>
      <c r="BU133" s="1556">
        <v>7</v>
      </c>
      <c r="BV133" s="1556">
        <v>6</v>
      </c>
      <c r="BW133" s="1558">
        <f t="shared" si="108"/>
        <v>17</v>
      </c>
      <c r="BX133" s="1555">
        <v>6</v>
      </c>
      <c r="BY133" s="1556">
        <v>8</v>
      </c>
      <c r="BZ133" s="1556">
        <v>3</v>
      </c>
      <c r="CA133" s="1558">
        <f t="shared" si="109"/>
        <v>17</v>
      </c>
      <c r="CB133" s="1555">
        <v>2</v>
      </c>
      <c r="CC133" s="1556">
        <v>4</v>
      </c>
      <c r="CD133" s="1556">
        <v>7</v>
      </c>
      <c r="CE133" s="1558">
        <f t="shared" si="65"/>
        <v>13</v>
      </c>
      <c r="CF133" s="1555">
        <v>4</v>
      </c>
      <c r="CG133" s="1556">
        <v>5</v>
      </c>
      <c r="CH133" s="1556">
        <v>6</v>
      </c>
      <c r="CI133" s="1558">
        <f t="shared" si="66"/>
        <v>15</v>
      </c>
      <c r="CJ133" s="1555">
        <v>1</v>
      </c>
      <c r="CK133" s="1556">
        <v>1</v>
      </c>
      <c r="CL133" s="1556">
        <v>12</v>
      </c>
      <c r="CM133" s="1558">
        <f t="shared" si="61"/>
        <v>14</v>
      </c>
      <c r="CN133" s="1555"/>
      <c r="CO133" s="1556">
        <v>2</v>
      </c>
      <c r="CP133" s="1556">
        <v>2</v>
      </c>
      <c r="CQ133" s="1558">
        <f t="shared" si="62"/>
        <v>4</v>
      </c>
      <c r="CR133" s="1555">
        <v>8</v>
      </c>
      <c r="CS133" s="1556">
        <v>3</v>
      </c>
      <c r="CT133" s="1556">
        <v>1</v>
      </c>
      <c r="CU133" s="1558">
        <f t="shared" si="80"/>
        <v>12</v>
      </c>
    </row>
    <row r="134" spans="2:103" ht="12.75" customHeight="1" x14ac:dyDescent="0.25">
      <c r="B134" s="5873"/>
      <c r="C134" s="1592" t="s">
        <v>415</v>
      </c>
      <c r="D134" s="1555"/>
      <c r="E134" s="1556"/>
      <c r="F134" s="1556"/>
      <c r="G134" s="1557"/>
      <c r="H134" s="1555"/>
      <c r="I134" s="1556"/>
      <c r="J134" s="1556"/>
      <c r="K134" s="1557"/>
      <c r="L134" s="1555"/>
      <c r="M134" s="1556"/>
      <c r="N134" s="1556"/>
      <c r="O134" s="1557"/>
      <c r="P134" s="1555"/>
      <c r="Q134" s="1556"/>
      <c r="R134" s="1556"/>
      <c r="S134" s="1557"/>
      <c r="T134" s="1555"/>
      <c r="U134" s="1556"/>
      <c r="V134" s="1556"/>
      <c r="W134" s="1557"/>
      <c r="X134" s="1555"/>
      <c r="Y134" s="1556"/>
      <c r="Z134" s="1556"/>
      <c r="AA134" s="1557"/>
      <c r="AB134" s="1555"/>
      <c r="AC134" s="1556"/>
      <c r="AD134" s="1556"/>
      <c r="AE134" s="1558"/>
      <c r="AF134" s="1556"/>
      <c r="AG134" s="1556"/>
      <c r="AH134" s="1556"/>
      <c r="AI134" s="1558"/>
      <c r="AJ134" s="1556"/>
      <c r="AK134" s="1556"/>
      <c r="AL134" s="1556"/>
      <c r="AM134" s="1558"/>
      <c r="AN134" s="1556"/>
      <c r="AO134" s="1556"/>
      <c r="AP134" s="1556"/>
      <c r="AQ134" s="1558"/>
      <c r="AR134" s="1556"/>
      <c r="AS134" s="1556"/>
      <c r="AT134" s="1556"/>
      <c r="AU134" s="1558"/>
      <c r="AV134" s="1556"/>
      <c r="AW134" s="1556"/>
      <c r="AX134" s="1556"/>
      <c r="AY134" s="1558"/>
      <c r="AZ134" s="1556"/>
      <c r="BA134" s="1556"/>
      <c r="BB134" s="1556"/>
      <c r="BC134" s="1558"/>
      <c r="BD134" s="1556"/>
      <c r="BE134" s="1556"/>
      <c r="BF134" s="1556"/>
      <c r="BG134" s="1558"/>
      <c r="BH134" s="1556"/>
      <c r="BI134" s="1556"/>
      <c r="BJ134" s="1556"/>
      <c r="BK134" s="1558"/>
      <c r="BL134" s="1556"/>
      <c r="BM134" s="1556"/>
      <c r="BN134" s="1556"/>
      <c r="BO134" s="1558"/>
      <c r="BP134" s="1556"/>
      <c r="BQ134" s="1556"/>
      <c r="BR134" s="1556"/>
      <c r="BS134" s="1558"/>
      <c r="BT134" s="1555"/>
      <c r="BU134" s="1556"/>
      <c r="BV134" s="1556">
        <v>3</v>
      </c>
      <c r="BW134" s="1558">
        <f t="shared" si="108"/>
        <v>3</v>
      </c>
      <c r="BX134" s="1555">
        <v>2</v>
      </c>
      <c r="BY134" s="1556">
        <v>2</v>
      </c>
      <c r="BZ134" s="1556">
        <v>2</v>
      </c>
      <c r="CA134" s="1558">
        <f t="shared" si="109"/>
        <v>6</v>
      </c>
      <c r="CB134" s="1555">
        <v>1</v>
      </c>
      <c r="CC134" s="1556">
        <v>5</v>
      </c>
      <c r="CD134" s="1556">
        <v>1</v>
      </c>
      <c r="CE134" s="1558">
        <f t="shared" si="65"/>
        <v>7</v>
      </c>
      <c r="CF134" s="1555">
        <v>4</v>
      </c>
      <c r="CG134" s="1556">
        <v>1</v>
      </c>
      <c r="CH134" s="1556">
        <v>2</v>
      </c>
      <c r="CI134" s="1558">
        <f t="shared" si="66"/>
        <v>7</v>
      </c>
      <c r="CJ134" s="1555">
        <v>1</v>
      </c>
      <c r="CK134" s="1556">
        <v>1</v>
      </c>
      <c r="CL134" s="1556">
        <v>3</v>
      </c>
      <c r="CM134" s="1558">
        <f t="shared" si="61"/>
        <v>5</v>
      </c>
      <c r="CN134" s="1555"/>
      <c r="CO134" s="1556"/>
      <c r="CP134" s="1556">
        <v>1</v>
      </c>
      <c r="CQ134" s="1558">
        <f t="shared" si="62"/>
        <v>1</v>
      </c>
      <c r="CR134" s="1555">
        <v>2</v>
      </c>
      <c r="CS134" s="1556">
        <v>2</v>
      </c>
      <c r="CT134" s="1556"/>
      <c r="CU134" s="1558">
        <f t="shared" si="80"/>
        <v>4</v>
      </c>
      <c r="CV134" s="749"/>
      <c r="CW134" s="749"/>
      <c r="CX134" s="749"/>
      <c r="CY134" s="749"/>
    </row>
    <row r="135" spans="2:103" ht="12.75" customHeight="1" x14ac:dyDescent="0.25">
      <c r="B135" s="5880" t="s">
        <v>317</v>
      </c>
      <c r="C135" s="1594" t="s">
        <v>354</v>
      </c>
      <c r="D135" s="1567"/>
      <c r="E135" s="1568">
        <v>2</v>
      </c>
      <c r="F135" s="1568">
        <v>3</v>
      </c>
      <c r="G135" s="1569">
        <f>SUM(D135:F135)</f>
        <v>5</v>
      </c>
      <c r="H135" s="1567">
        <v>1</v>
      </c>
      <c r="I135" s="1568">
        <v>2</v>
      </c>
      <c r="J135" s="1568">
        <v>1</v>
      </c>
      <c r="K135" s="1569">
        <f>SUM(H135:J135)</f>
        <v>4</v>
      </c>
      <c r="L135" s="1567">
        <v>1</v>
      </c>
      <c r="M135" s="1568">
        <v>1</v>
      </c>
      <c r="N135" s="1568">
        <v>1</v>
      </c>
      <c r="O135" s="1569">
        <f t="shared" si="112"/>
        <v>3</v>
      </c>
      <c r="P135" s="1567">
        <v>1</v>
      </c>
      <c r="Q135" s="1568">
        <v>1</v>
      </c>
      <c r="R135" s="1568"/>
      <c r="S135" s="1569">
        <f t="shared" si="113"/>
        <v>2</v>
      </c>
      <c r="T135" s="1567">
        <v>3</v>
      </c>
      <c r="U135" s="1568">
        <v>1</v>
      </c>
      <c r="V135" s="1568">
        <v>5</v>
      </c>
      <c r="W135" s="1569">
        <f>SUM(T135:V135)</f>
        <v>9</v>
      </c>
      <c r="X135" s="1567">
        <v>2</v>
      </c>
      <c r="Y135" s="1568"/>
      <c r="Z135" s="1568">
        <v>1</v>
      </c>
      <c r="AA135" s="1569">
        <f>SUM(X135:Z135)</f>
        <v>3</v>
      </c>
      <c r="AB135" s="1567">
        <v>2</v>
      </c>
      <c r="AC135" s="1568">
        <v>6</v>
      </c>
      <c r="AD135" s="1568">
        <v>4</v>
      </c>
      <c r="AE135" s="1553">
        <f>SUM(AB135:AD135)</f>
        <v>12</v>
      </c>
      <c r="AF135" s="1568">
        <v>6</v>
      </c>
      <c r="AG135" s="1568">
        <v>4</v>
      </c>
      <c r="AH135" s="1568">
        <v>2</v>
      </c>
      <c r="AI135" s="1553">
        <f t="shared" si="110"/>
        <v>12</v>
      </c>
      <c r="AJ135" s="1568">
        <v>2</v>
      </c>
      <c r="AK135" s="1568">
        <v>4</v>
      </c>
      <c r="AL135" s="1568">
        <v>5</v>
      </c>
      <c r="AM135" s="1553">
        <f t="shared" si="114"/>
        <v>11</v>
      </c>
      <c r="AN135" s="1568">
        <v>2</v>
      </c>
      <c r="AO135" s="1568">
        <v>2</v>
      </c>
      <c r="AP135" s="1568">
        <v>2</v>
      </c>
      <c r="AQ135" s="1553">
        <f t="shared" si="84"/>
        <v>6</v>
      </c>
      <c r="AR135" s="1568">
        <v>1</v>
      </c>
      <c r="AS135" s="1568">
        <v>1</v>
      </c>
      <c r="AT135" s="1568">
        <v>2</v>
      </c>
      <c r="AU135" s="1553">
        <f t="shared" si="85"/>
        <v>4</v>
      </c>
      <c r="AV135" s="1568">
        <v>1</v>
      </c>
      <c r="AW135" s="1568">
        <v>5</v>
      </c>
      <c r="AX135" s="1568">
        <v>5</v>
      </c>
      <c r="AY135" s="1553">
        <f t="shared" si="86"/>
        <v>11</v>
      </c>
      <c r="AZ135" s="1568">
        <v>3</v>
      </c>
      <c r="BA135" s="1568">
        <v>4</v>
      </c>
      <c r="BB135" s="1568">
        <v>7</v>
      </c>
      <c r="BC135" s="1553">
        <f t="shared" si="87"/>
        <v>14</v>
      </c>
      <c r="BD135" s="1568">
        <v>7</v>
      </c>
      <c r="BE135" s="1568">
        <v>1</v>
      </c>
      <c r="BF135" s="1568">
        <v>7</v>
      </c>
      <c r="BG135" s="1553">
        <f t="shared" si="115"/>
        <v>15</v>
      </c>
      <c r="BH135" s="1568">
        <v>4</v>
      </c>
      <c r="BI135" s="1568"/>
      <c r="BJ135" s="1568">
        <v>3</v>
      </c>
      <c r="BK135" s="1553">
        <f t="shared" si="116"/>
        <v>7</v>
      </c>
      <c r="BL135" s="1568">
        <v>3</v>
      </c>
      <c r="BM135" s="1568">
        <v>3</v>
      </c>
      <c r="BN135" s="1568">
        <v>1</v>
      </c>
      <c r="BO135" s="1553">
        <f t="shared" si="106"/>
        <v>7</v>
      </c>
      <c r="BP135" s="1568">
        <v>6</v>
      </c>
      <c r="BQ135" s="1568">
        <v>2</v>
      </c>
      <c r="BR135" s="1568">
        <v>4</v>
      </c>
      <c r="BS135" s="1553">
        <f t="shared" si="107"/>
        <v>12</v>
      </c>
      <c r="BT135" s="1567">
        <v>4</v>
      </c>
      <c r="BU135" s="1568">
        <v>2</v>
      </c>
      <c r="BV135" s="1568">
        <v>5</v>
      </c>
      <c r="BW135" s="1553">
        <f t="shared" si="108"/>
        <v>11</v>
      </c>
      <c r="BX135" s="1567">
        <v>1</v>
      </c>
      <c r="BY135" s="1568">
        <v>6</v>
      </c>
      <c r="BZ135" s="1568">
        <v>2</v>
      </c>
      <c r="CA135" s="1553">
        <f t="shared" si="109"/>
        <v>9</v>
      </c>
      <c r="CB135" s="1567">
        <v>4</v>
      </c>
      <c r="CC135" s="1568">
        <v>2</v>
      </c>
      <c r="CD135" s="1568">
        <v>2</v>
      </c>
      <c r="CE135" s="1553">
        <f t="shared" si="65"/>
        <v>8</v>
      </c>
      <c r="CF135" s="1567">
        <v>1</v>
      </c>
      <c r="CG135" s="1568">
        <v>5</v>
      </c>
      <c r="CH135" s="1568">
        <v>2</v>
      </c>
      <c r="CI135" s="1553">
        <f t="shared" si="66"/>
        <v>8</v>
      </c>
      <c r="CJ135" s="1567">
        <v>8</v>
      </c>
      <c r="CK135" s="1568"/>
      <c r="CL135" s="1568">
        <v>2</v>
      </c>
      <c r="CM135" s="1553">
        <f t="shared" si="61"/>
        <v>10</v>
      </c>
      <c r="CN135" s="1567">
        <v>5</v>
      </c>
      <c r="CO135" s="1568">
        <v>9</v>
      </c>
      <c r="CP135" s="1568">
        <v>9</v>
      </c>
      <c r="CQ135" s="1553">
        <f t="shared" si="62"/>
        <v>23</v>
      </c>
      <c r="CR135" s="1567">
        <v>2</v>
      </c>
      <c r="CS135" s="1568">
        <v>2</v>
      </c>
      <c r="CT135" s="1568"/>
      <c r="CU135" s="1553">
        <f t="shared" si="80"/>
        <v>4</v>
      </c>
    </row>
    <row r="136" spans="2:103" ht="12.75" customHeight="1" x14ac:dyDescent="0.25">
      <c r="B136" s="5881"/>
      <c r="C136" s="1591" t="s">
        <v>416</v>
      </c>
      <c r="D136" s="1567"/>
      <c r="E136" s="1568"/>
      <c r="F136" s="1568"/>
      <c r="G136" s="1569"/>
      <c r="H136" s="1567"/>
      <c r="I136" s="1568"/>
      <c r="J136" s="1568"/>
      <c r="K136" s="1569">
        <f t="shared" si="111"/>
        <v>0</v>
      </c>
      <c r="L136" s="1567"/>
      <c r="M136" s="1568"/>
      <c r="N136" s="1568"/>
      <c r="O136" s="1569"/>
      <c r="P136" s="1567"/>
      <c r="Q136" s="1568"/>
      <c r="R136" s="1568"/>
      <c r="S136" s="1569"/>
      <c r="T136" s="1567"/>
      <c r="U136" s="1568"/>
      <c r="V136" s="1568"/>
      <c r="W136" s="1569"/>
      <c r="X136" s="1567"/>
      <c r="Y136" s="1568"/>
      <c r="Z136" s="1568"/>
      <c r="AA136" s="1569"/>
      <c r="AB136" s="1567"/>
      <c r="AC136" s="1568"/>
      <c r="AD136" s="1568"/>
      <c r="AE136" s="1553"/>
      <c r="AF136" s="1568"/>
      <c r="AG136" s="1568"/>
      <c r="AH136" s="1568"/>
      <c r="AI136" s="1553"/>
      <c r="AJ136" s="1568"/>
      <c r="AK136" s="1568"/>
      <c r="AL136" s="1568"/>
      <c r="AM136" s="1553"/>
      <c r="AN136" s="1568">
        <v>2</v>
      </c>
      <c r="AO136" s="1568">
        <v>5</v>
      </c>
      <c r="AP136" s="1568"/>
      <c r="AQ136" s="1553">
        <f t="shared" si="84"/>
        <v>7</v>
      </c>
      <c r="AR136" s="1568"/>
      <c r="AS136" s="1568">
        <v>2</v>
      </c>
      <c r="AT136" s="1568"/>
      <c r="AU136" s="1553">
        <f t="shared" si="85"/>
        <v>2</v>
      </c>
      <c r="AV136" s="1568"/>
      <c r="AW136" s="1568">
        <v>3</v>
      </c>
      <c r="AX136" s="1568">
        <v>1</v>
      </c>
      <c r="AY136" s="1553">
        <f t="shared" si="86"/>
        <v>4</v>
      </c>
      <c r="AZ136" s="1568">
        <v>2</v>
      </c>
      <c r="BA136" s="1568">
        <v>1</v>
      </c>
      <c r="BB136" s="1568">
        <v>1</v>
      </c>
      <c r="BC136" s="1553">
        <f t="shared" si="87"/>
        <v>4</v>
      </c>
      <c r="BD136" s="1568"/>
      <c r="BE136" s="1568">
        <v>1</v>
      </c>
      <c r="BF136" s="1568">
        <v>1</v>
      </c>
      <c r="BG136" s="1553">
        <f t="shared" si="115"/>
        <v>2</v>
      </c>
      <c r="BH136" s="1568"/>
      <c r="BI136" s="1568">
        <v>2</v>
      </c>
      <c r="BJ136" s="1568">
        <v>3</v>
      </c>
      <c r="BK136" s="1553">
        <f t="shared" si="116"/>
        <v>5</v>
      </c>
      <c r="BL136" s="1568">
        <v>3</v>
      </c>
      <c r="BM136" s="1568">
        <v>2</v>
      </c>
      <c r="BN136" s="1568">
        <v>1</v>
      </c>
      <c r="BO136" s="1553">
        <f t="shared" si="106"/>
        <v>6</v>
      </c>
      <c r="BP136" s="1568"/>
      <c r="BQ136" s="1568"/>
      <c r="BR136" s="1568">
        <v>1</v>
      </c>
      <c r="BS136" s="1553">
        <f t="shared" si="107"/>
        <v>1</v>
      </c>
      <c r="BT136" s="1567">
        <v>2</v>
      </c>
      <c r="BU136" s="1568">
        <v>1</v>
      </c>
      <c r="BV136" s="1568">
        <v>1</v>
      </c>
      <c r="BW136" s="1553">
        <f t="shared" si="108"/>
        <v>4</v>
      </c>
      <c r="BX136" s="1567"/>
      <c r="BY136" s="1568">
        <v>3</v>
      </c>
      <c r="BZ136" s="1568">
        <v>1</v>
      </c>
      <c r="CA136" s="1553">
        <f t="shared" si="109"/>
        <v>4</v>
      </c>
      <c r="CB136" s="1567">
        <v>4</v>
      </c>
      <c r="CC136" s="1568">
        <v>10</v>
      </c>
      <c r="CD136" s="1568">
        <v>1</v>
      </c>
      <c r="CE136" s="1553">
        <f t="shared" si="65"/>
        <v>15</v>
      </c>
      <c r="CF136" s="1567"/>
      <c r="CG136" s="1568"/>
      <c r="CH136" s="1568">
        <v>3</v>
      </c>
      <c r="CI136" s="1553">
        <f t="shared" si="66"/>
        <v>3</v>
      </c>
      <c r="CJ136" s="1567"/>
      <c r="CK136" s="1568">
        <v>1</v>
      </c>
      <c r="CL136" s="1568">
        <v>1</v>
      </c>
      <c r="CM136" s="1553">
        <f t="shared" si="61"/>
        <v>2</v>
      </c>
      <c r="CN136" s="1567"/>
      <c r="CO136" s="1568">
        <v>1</v>
      </c>
      <c r="CP136" s="1568">
        <v>1</v>
      </c>
      <c r="CQ136" s="1553">
        <f t="shared" si="62"/>
        <v>2</v>
      </c>
      <c r="CR136" s="1567">
        <v>2</v>
      </c>
      <c r="CS136" s="1568">
        <v>1</v>
      </c>
      <c r="CT136" s="1568">
        <v>2</v>
      </c>
      <c r="CU136" s="1553">
        <f t="shared" si="80"/>
        <v>5</v>
      </c>
    </row>
    <row r="137" spans="2:103" ht="12.75" customHeight="1" x14ac:dyDescent="0.25">
      <c r="B137" s="5885"/>
      <c r="C137" s="1594" t="s">
        <v>417</v>
      </c>
      <c r="D137" s="1567"/>
      <c r="E137" s="1568"/>
      <c r="F137" s="1568"/>
      <c r="G137" s="1569"/>
      <c r="H137" s="1567"/>
      <c r="I137" s="1568"/>
      <c r="J137" s="1568"/>
      <c r="K137" s="1569"/>
      <c r="L137" s="1567"/>
      <c r="M137" s="1568"/>
      <c r="N137" s="1568"/>
      <c r="O137" s="1569"/>
      <c r="P137" s="1567"/>
      <c r="Q137" s="1568"/>
      <c r="R137" s="1568"/>
      <c r="S137" s="1569"/>
      <c r="T137" s="1567"/>
      <c r="U137" s="1568"/>
      <c r="V137" s="1568"/>
      <c r="W137" s="1569"/>
      <c r="X137" s="1567"/>
      <c r="Y137" s="1568"/>
      <c r="Z137" s="1568"/>
      <c r="AA137" s="1569"/>
      <c r="AB137" s="1567"/>
      <c r="AC137" s="1568"/>
      <c r="AD137" s="1568"/>
      <c r="AE137" s="1553"/>
      <c r="AF137" s="1568"/>
      <c r="AG137" s="1568"/>
      <c r="AH137" s="1568"/>
      <c r="AI137" s="1553"/>
      <c r="AJ137" s="1568"/>
      <c r="AK137" s="1568"/>
      <c r="AL137" s="1568"/>
      <c r="AM137" s="1553"/>
      <c r="AN137" s="1568"/>
      <c r="AO137" s="1568"/>
      <c r="AP137" s="1568"/>
      <c r="AQ137" s="1553"/>
      <c r="AR137" s="1568"/>
      <c r="AS137" s="1568"/>
      <c r="AT137" s="1568"/>
      <c r="AU137" s="1553"/>
      <c r="AV137" s="1568"/>
      <c r="AW137" s="1568"/>
      <c r="AX137" s="1568"/>
      <c r="AY137" s="1553"/>
      <c r="AZ137" s="1568"/>
      <c r="BA137" s="1568"/>
      <c r="BB137" s="1568"/>
      <c r="BC137" s="1553"/>
      <c r="BD137" s="1568"/>
      <c r="BE137" s="1568"/>
      <c r="BF137" s="1568"/>
      <c r="BG137" s="1553"/>
      <c r="BH137" s="1568"/>
      <c r="BI137" s="1568"/>
      <c r="BJ137" s="1568"/>
      <c r="BK137" s="1553"/>
      <c r="BL137" s="1568"/>
      <c r="BM137" s="1568"/>
      <c r="BN137" s="1568"/>
      <c r="BO137" s="1553"/>
      <c r="BP137" s="1568"/>
      <c r="BQ137" s="1568"/>
      <c r="BR137" s="1568"/>
      <c r="BS137" s="1553"/>
      <c r="BT137" s="1567"/>
      <c r="BU137" s="1568"/>
      <c r="BV137" s="1568">
        <v>1</v>
      </c>
      <c r="BW137" s="1553">
        <f t="shared" si="108"/>
        <v>1</v>
      </c>
      <c r="BX137" s="1567">
        <v>1</v>
      </c>
      <c r="BY137" s="1568">
        <v>1</v>
      </c>
      <c r="BZ137" s="1568">
        <v>2</v>
      </c>
      <c r="CA137" s="1553">
        <f t="shared" si="109"/>
        <v>4</v>
      </c>
      <c r="CB137" s="1567"/>
      <c r="CC137" s="1568">
        <v>2</v>
      </c>
      <c r="CD137" s="1568">
        <v>2</v>
      </c>
      <c r="CE137" s="1553">
        <f t="shared" si="65"/>
        <v>4</v>
      </c>
      <c r="CF137" s="1567">
        <v>2</v>
      </c>
      <c r="CG137" s="1568">
        <v>1</v>
      </c>
      <c r="CH137" s="1568">
        <v>3</v>
      </c>
      <c r="CI137" s="1553">
        <f t="shared" si="66"/>
        <v>6</v>
      </c>
      <c r="CJ137" s="1567">
        <v>1</v>
      </c>
      <c r="CK137" s="1568"/>
      <c r="CL137" s="1568"/>
      <c r="CM137" s="1553">
        <f t="shared" si="61"/>
        <v>1</v>
      </c>
      <c r="CN137" s="1567">
        <v>2</v>
      </c>
      <c r="CO137" s="1568">
        <v>2</v>
      </c>
      <c r="CP137" s="1568">
        <v>1</v>
      </c>
      <c r="CQ137" s="1553">
        <f t="shared" si="62"/>
        <v>5</v>
      </c>
      <c r="CR137" s="1567">
        <v>2</v>
      </c>
      <c r="CS137" s="1568">
        <v>1</v>
      </c>
      <c r="CT137" s="1568"/>
      <c r="CU137" s="1553">
        <f t="shared" si="80"/>
        <v>3</v>
      </c>
    </row>
    <row r="138" spans="2:103" ht="12.75" customHeight="1" x14ac:dyDescent="0.25">
      <c r="B138" s="1577"/>
      <c r="C138" s="1578" t="s">
        <v>92</v>
      </c>
      <c r="D138" s="1579">
        <f t="shared" ref="D138:BO138" si="117">SUM(D123:D136)</f>
        <v>3</v>
      </c>
      <c r="E138" s="1580">
        <f t="shared" si="117"/>
        <v>3</v>
      </c>
      <c r="F138" s="1580">
        <f t="shared" si="117"/>
        <v>10</v>
      </c>
      <c r="G138" s="1580">
        <f t="shared" si="117"/>
        <v>16</v>
      </c>
      <c r="H138" s="1579">
        <f t="shared" si="117"/>
        <v>9</v>
      </c>
      <c r="I138" s="1580">
        <f t="shared" si="117"/>
        <v>6</v>
      </c>
      <c r="J138" s="1580">
        <f t="shared" si="117"/>
        <v>12</v>
      </c>
      <c r="K138" s="1580">
        <f t="shared" si="117"/>
        <v>27</v>
      </c>
      <c r="L138" s="1579">
        <f t="shared" si="117"/>
        <v>9</v>
      </c>
      <c r="M138" s="1580">
        <f t="shared" si="117"/>
        <v>4</v>
      </c>
      <c r="N138" s="1580">
        <f t="shared" si="117"/>
        <v>7</v>
      </c>
      <c r="O138" s="1580">
        <f t="shared" si="117"/>
        <v>20</v>
      </c>
      <c r="P138" s="1579">
        <f t="shared" si="117"/>
        <v>4</v>
      </c>
      <c r="Q138" s="1580">
        <f t="shared" si="117"/>
        <v>62</v>
      </c>
      <c r="R138" s="1580">
        <f t="shared" si="117"/>
        <v>9</v>
      </c>
      <c r="S138" s="1580">
        <f t="shared" si="117"/>
        <v>75</v>
      </c>
      <c r="T138" s="1579">
        <f t="shared" si="117"/>
        <v>8</v>
      </c>
      <c r="U138" s="1580">
        <f t="shared" si="117"/>
        <v>18</v>
      </c>
      <c r="V138" s="1580">
        <f t="shared" si="117"/>
        <v>20</v>
      </c>
      <c r="W138" s="1580">
        <f t="shared" si="117"/>
        <v>46</v>
      </c>
      <c r="X138" s="1579">
        <f t="shared" si="117"/>
        <v>12</v>
      </c>
      <c r="Y138" s="1580">
        <f t="shared" si="117"/>
        <v>17</v>
      </c>
      <c r="Z138" s="1580">
        <f t="shared" si="117"/>
        <v>9</v>
      </c>
      <c r="AA138" s="1580">
        <f t="shared" si="117"/>
        <v>38</v>
      </c>
      <c r="AB138" s="1579">
        <f t="shared" si="117"/>
        <v>12</v>
      </c>
      <c r="AC138" s="1580">
        <f t="shared" si="117"/>
        <v>21</v>
      </c>
      <c r="AD138" s="1580">
        <f t="shared" si="117"/>
        <v>19</v>
      </c>
      <c r="AE138" s="1581">
        <f t="shared" si="117"/>
        <v>52</v>
      </c>
      <c r="AF138" s="1580">
        <f t="shared" si="117"/>
        <v>15</v>
      </c>
      <c r="AG138" s="1580">
        <f t="shared" si="117"/>
        <v>15</v>
      </c>
      <c r="AH138" s="1580">
        <f t="shared" si="117"/>
        <v>20</v>
      </c>
      <c r="AI138" s="1581">
        <f t="shared" si="117"/>
        <v>50</v>
      </c>
      <c r="AJ138" s="1580">
        <f t="shared" si="117"/>
        <v>11</v>
      </c>
      <c r="AK138" s="1580">
        <f t="shared" si="117"/>
        <v>25</v>
      </c>
      <c r="AL138" s="1580">
        <f t="shared" si="117"/>
        <v>20</v>
      </c>
      <c r="AM138" s="1581">
        <f t="shared" si="117"/>
        <v>56</v>
      </c>
      <c r="AN138" s="1580">
        <f t="shared" si="117"/>
        <v>16</v>
      </c>
      <c r="AO138" s="1580">
        <f t="shared" si="117"/>
        <v>24</v>
      </c>
      <c r="AP138" s="1580">
        <f t="shared" si="117"/>
        <v>18</v>
      </c>
      <c r="AQ138" s="1581">
        <f t="shared" si="117"/>
        <v>58</v>
      </c>
      <c r="AR138" s="1580">
        <f t="shared" si="117"/>
        <v>18</v>
      </c>
      <c r="AS138" s="1580">
        <f t="shared" si="117"/>
        <v>36</v>
      </c>
      <c r="AT138" s="1580">
        <f t="shared" si="117"/>
        <v>27</v>
      </c>
      <c r="AU138" s="1581">
        <f t="shared" si="117"/>
        <v>81</v>
      </c>
      <c r="AV138" s="1580">
        <f t="shared" si="117"/>
        <v>16</v>
      </c>
      <c r="AW138" s="1580">
        <f t="shared" si="117"/>
        <v>31</v>
      </c>
      <c r="AX138" s="1580">
        <f t="shared" si="117"/>
        <v>31</v>
      </c>
      <c r="AY138" s="1581">
        <f t="shared" si="117"/>
        <v>78</v>
      </c>
      <c r="AZ138" s="1580">
        <f t="shared" si="117"/>
        <v>27</v>
      </c>
      <c r="BA138" s="1580">
        <f t="shared" si="117"/>
        <v>23</v>
      </c>
      <c r="BB138" s="1580">
        <f t="shared" si="117"/>
        <v>33</v>
      </c>
      <c r="BC138" s="1581">
        <f t="shared" si="117"/>
        <v>83</v>
      </c>
      <c r="BD138" s="1580">
        <f t="shared" si="117"/>
        <v>24</v>
      </c>
      <c r="BE138" s="1580">
        <f t="shared" si="117"/>
        <v>12</v>
      </c>
      <c r="BF138" s="1580">
        <f t="shared" si="117"/>
        <v>21</v>
      </c>
      <c r="BG138" s="1581">
        <f t="shared" si="117"/>
        <v>57</v>
      </c>
      <c r="BH138" s="1580">
        <f t="shared" si="117"/>
        <v>19</v>
      </c>
      <c r="BI138" s="1580">
        <f t="shared" si="117"/>
        <v>20</v>
      </c>
      <c r="BJ138" s="1580">
        <f t="shared" si="117"/>
        <v>34</v>
      </c>
      <c r="BK138" s="1581">
        <f t="shared" si="117"/>
        <v>73</v>
      </c>
      <c r="BL138" s="1580">
        <f t="shared" si="117"/>
        <v>22</v>
      </c>
      <c r="BM138" s="1580">
        <f t="shared" si="117"/>
        <v>30</v>
      </c>
      <c r="BN138" s="1580">
        <f t="shared" si="117"/>
        <v>22</v>
      </c>
      <c r="BO138" s="1581">
        <f t="shared" si="117"/>
        <v>74</v>
      </c>
      <c r="BP138" s="1580">
        <f>SUM(BP123:BP136)</f>
        <v>29</v>
      </c>
      <c r="BQ138" s="1580">
        <f>SUM(BQ123:BQ136)</f>
        <v>24</v>
      </c>
      <c r="BR138" s="1580">
        <f>SUM(BR123:BR136)</f>
        <v>28</v>
      </c>
      <c r="BS138" s="1581">
        <f>SUM(BS123:BS136)</f>
        <v>81</v>
      </c>
      <c r="BT138" s="1579">
        <f t="shared" ref="BT138:CA138" si="118">SUM(BT123:BT137)</f>
        <v>22</v>
      </c>
      <c r="BU138" s="1580">
        <f t="shared" si="118"/>
        <v>20</v>
      </c>
      <c r="BV138" s="1580">
        <f t="shared" si="118"/>
        <v>31</v>
      </c>
      <c r="BW138" s="1581">
        <f t="shared" si="118"/>
        <v>73</v>
      </c>
      <c r="BX138" s="1579">
        <f t="shared" si="118"/>
        <v>25</v>
      </c>
      <c r="BY138" s="1580">
        <f t="shared" si="118"/>
        <v>49</v>
      </c>
      <c r="BZ138" s="1580">
        <f t="shared" si="118"/>
        <v>20</v>
      </c>
      <c r="CA138" s="1581">
        <f t="shared" si="118"/>
        <v>94</v>
      </c>
      <c r="CB138" s="1579">
        <f>SUM(CB123:CB137)</f>
        <v>25</v>
      </c>
      <c r="CC138" s="1580">
        <f>SUM(CC123:CC137)</f>
        <v>35</v>
      </c>
      <c r="CD138" s="1580">
        <f>SUM(CD123:CD137)</f>
        <v>33</v>
      </c>
      <c r="CE138" s="1581">
        <f t="shared" si="65"/>
        <v>93</v>
      </c>
      <c r="CF138" s="1579">
        <f>SUM(CF123:CF137)</f>
        <v>25</v>
      </c>
      <c r="CG138" s="1580">
        <f>SUM(CG123:CG137)</f>
        <v>26</v>
      </c>
      <c r="CH138" s="1580">
        <f>SUM(CH123:CH137)</f>
        <v>27</v>
      </c>
      <c r="CI138" s="1581">
        <f t="shared" si="66"/>
        <v>78</v>
      </c>
      <c r="CJ138" s="1579">
        <f>SUM(CJ123:CJ137)</f>
        <v>16</v>
      </c>
      <c r="CK138" s="1580">
        <f>SUM(CK123:CK137)</f>
        <v>15</v>
      </c>
      <c r="CL138" s="1580">
        <f>SUM(CL123:CL137)</f>
        <v>34</v>
      </c>
      <c r="CM138" s="1582">
        <f t="shared" si="61"/>
        <v>65</v>
      </c>
      <c r="CN138" s="1579">
        <f>SUM(CN123:CN137)</f>
        <v>18</v>
      </c>
      <c r="CO138" s="1580">
        <f>SUM(CO123:CO137)</f>
        <v>21</v>
      </c>
      <c r="CP138" s="1580">
        <f>SUM(CP123:CP137)</f>
        <v>22</v>
      </c>
      <c r="CQ138" s="1582">
        <f t="shared" si="62"/>
        <v>61</v>
      </c>
      <c r="CR138" s="1579">
        <f>SUM(CR123:CR137)</f>
        <v>34</v>
      </c>
      <c r="CS138" s="1580">
        <f>SUM(CS123:CS137)</f>
        <v>31</v>
      </c>
      <c r="CT138" s="1580">
        <f>SUM(CT123:CT137)</f>
        <v>9</v>
      </c>
      <c r="CU138" s="1582">
        <f t="shared" si="80"/>
        <v>74</v>
      </c>
    </row>
    <row r="139" spans="2:103" ht="12.75" customHeight="1" x14ac:dyDescent="0.25">
      <c r="B139" s="5871" t="s">
        <v>310</v>
      </c>
      <c r="C139" s="1624" t="s">
        <v>418</v>
      </c>
      <c r="D139" s="1625"/>
      <c r="E139" s="1626"/>
      <c r="F139" s="1626"/>
      <c r="G139" s="1607"/>
      <c r="H139" s="1625"/>
      <c r="I139" s="1626"/>
      <c r="J139" s="1626"/>
      <c r="K139" s="1607"/>
      <c r="L139" s="1625"/>
      <c r="M139" s="1626"/>
      <c r="N139" s="1626"/>
      <c r="O139" s="1607"/>
      <c r="P139" s="1625"/>
      <c r="Q139" s="1626">
        <v>10</v>
      </c>
      <c r="R139" s="1626">
        <v>9</v>
      </c>
      <c r="S139" s="1607">
        <f>SUM(P139:R139)</f>
        <v>19</v>
      </c>
      <c r="T139" s="1625"/>
      <c r="U139" s="1626"/>
      <c r="V139" s="1626"/>
      <c r="W139" s="1607"/>
      <c r="X139" s="1625"/>
      <c r="Y139" s="1626">
        <v>15</v>
      </c>
      <c r="Z139" s="1626"/>
      <c r="AA139" s="1607">
        <f>SUM(X139:Z139)</f>
        <v>15</v>
      </c>
      <c r="AB139" s="1625">
        <v>1</v>
      </c>
      <c r="AC139" s="1626">
        <v>12</v>
      </c>
      <c r="AD139" s="1626">
        <v>4</v>
      </c>
      <c r="AE139" s="1627">
        <f>SUM(AB139:AD139)</f>
        <v>17</v>
      </c>
      <c r="AF139" s="1626">
        <v>1</v>
      </c>
      <c r="AG139" s="1626">
        <v>25</v>
      </c>
      <c r="AH139" s="1626"/>
      <c r="AI139" s="1627">
        <f>SUM(AF139:AH139)</f>
        <v>26</v>
      </c>
      <c r="AJ139" s="1626"/>
      <c r="AK139" s="1626">
        <v>20</v>
      </c>
      <c r="AL139" s="1626"/>
      <c r="AM139" s="1627">
        <f>SUM(AJ139:AL139)</f>
        <v>20</v>
      </c>
      <c r="AN139" s="1626"/>
      <c r="AO139" s="1626">
        <v>17</v>
      </c>
      <c r="AP139" s="1626">
        <v>1</v>
      </c>
      <c r="AQ139" s="1627">
        <f t="shared" si="84"/>
        <v>18</v>
      </c>
      <c r="AR139" s="1626">
        <v>1</v>
      </c>
      <c r="AS139" s="1626">
        <v>8</v>
      </c>
      <c r="AT139" s="1626">
        <v>8</v>
      </c>
      <c r="AU139" s="1627">
        <f t="shared" si="85"/>
        <v>17</v>
      </c>
      <c r="AV139" s="1626"/>
      <c r="AW139" s="1626">
        <v>2</v>
      </c>
      <c r="AX139" s="1626">
        <v>13</v>
      </c>
      <c r="AY139" s="1627">
        <f t="shared" si="86"/>
        <v>15</v>
      </c>
      <c r="AZ139" s="1626"/>
      <c r="BA139" s="1626"/>
      <c r="BB139" s="1626">
        <v>17</v>
      </c>
      <c r="BC139" s="1627">
        <f t="shared" si="87"/>
        <v>17</v>
      </c>
      <c r="BD139" s="1626"/>
      <c r="BE139" s="1626"/>
      <c r="BF139" s="1626">
        <v>12</v>
      </c>
      <c r="BG139" s="1564">
        <f t="shared" si="115"/>
        <v>12</v>
      </c>
      <c r="BH139" s="1626">
        <v>3</v>
      </c>
      <c r="BI139" s="1626"/>
      <c r="BJ139" s="1626">
        <v>15</v>
      </c>
      <c r="BK139" s="1564">
        <f>SUM(BH139:BJ139)</f>
        <v>18</v>
      </c>
      <c r="BL139" s="1626">
        <v>3</v>
      </c>
      <c r="BM139" s="1626">
        <v>11</v>
      </c>
      <c r="BN139" s="1626">
        <v>5</v>
      </c>
      <c r="BO139" s="1564">
        <f>SUM(BL139:BN139)</f>
        <v>19</v>
      </c>
      <c r="BP139" s="1626"/>
      <c r="BQ139" s="1626">
        <v>4</v>
      </c>
      <c r="BR139" s="1626">
        <v>15</v>
      </c>
      <c r="BS139" s="1564">
        <f>SUM(BP139:BR139)</f>
        <v>19</v>
      </c>
      <c r="BT139" s="1626">
        <v>1</v>
      </c>
      <c r="BU139" s="1626">
        <v>2</v>
      </c>
      <c r="BV139" s="1626">
        <v>21</v>
      </c>
      <c r="BW139" s="1564">
        <f>SUM(BT139:BV139)</f>
        <v>24</v>
      </c>
      <c r="BX139" s="1626">
        <v>2</v>
      </c>
      <c r="BY139" s="1626">
        <v>2</v>
      </c>
      <c r="BZ139" s="1626">
        <v>10</v>
      </c>
      <c r="CA139" s="1564">
        <f>SUM(BX139:BZ139)</f>
        <v>14</v>
      </c>
      <c r="CB139" s="1626">
        <v>3</v>
      </c>
      <c r="CC139" s="1626">
        <v>4</v>
      </c>
      <c r="CD139" s="1626">
        <v>20</v>
      </c>
      <c r="CE139" s="1564">
        <f t="shared" si="65"/>
        <v>27</v>
      </c>
      <c r="CF139" s="1626">
        <v>2</v>
      </c>
      <c r="CG139" s="1626">
        <v>1</v>
      </c>
      <c r="CH139" s="1626">
        <v>17</v>
      </c>
      <c r="CI139" s="1564">
        <f t="shared" si="66"/>
        <v>20</v>
      </c>
      <c r="CJ139" s="1626">
        <v>1</v>
      </c>
      <c r="CK139" s="1626">
        <v>1</v>
      </c>
      <c r="CL139" s="1626">
        <v>21</v>
      </c>
      <c r="CM139" s="1564">
        <f t="shared" ref="CM139:CM151" si="119">SUM(CJ139:CL139)</f>
        <v>23</v>
      </c>
      <c r="CN139" s="1626"/>
      <c r="CO139" s="1626"/>
      <c r="CP139" s="1626">
        <v>18</v>
      </c>
      <c r="CQ139" s="1564">
        <f t="shared" ref="CQ139:CQ151" si="120">SUM(CN139:CP139)</f>
        <v>18</v>
      </c>
      <c r="CR139" s="1626"/>
      <c r="CS139" s="1626"/>
      <c r="CT139" s="1626">
        <v>15</v>
      </c>
      <c r="CU139" s="1564">
        <f t="shared" si="80"/>
        <v>15</v>
      </c>
    </row>
    <row r="140" spans="2:103" ht="12.75" customHeight="1" x14ac:dyDescent="0.25">
      <c r="B140" s="5872"/>
      <c r="C140" s="1613" t="s">
        <v>419</v>
      </c>
      <c r="D140" s="1555"/>
      <c r="E140" s="1556"/>
      <c r="F140" s="1556"/>
      <c r="G140" s="1557"/>
      <c r="H140" s="1555"/>
      <c r="I140" s="1556"/>
      <c r="J140" s="1556"/>
      <c r="K140" s="1557"/>
      <c r="L140" s="1555"/>
      <c r="M140" s="1556"/>
      <c r="N140" s="1556"/>
      <c r="O140" s="1557"/>
      <c r="P140" s="1555"/>
      <c r="Q140" s="1556"/>
      <c r="R140" s="1556"/>
      <c r="S140" s="1557"/>
      <c r="T140" s="1555"/>
      <c r="U140" s="1556"/>
      <c r="V140" s="1556"/>
      <c r="W140" s="1557"/>
      <c r="X140" s="1555"/>
      <c r="Y140" s="1556"/>
      <c r="Z140" s="1556"/>
      <c r="AA140" s="1557"/>
      <c r="AB140" s="1555"/>
      <c r="AC140" s="1556"/>
      <c r="AD140" s="1556"/>
      <c r="AE140" s="1558"/>
      <c r="AF140" s="1556"/>
      <c r="AG140" s="1556"/>
      <c r="AH140" s="1556"/>
      <c r="AI140" s="1558"/>
      <c r="AJ140" s="1556"/>
      <c r="AK140" s="1556"/>
      <c r="AL140" s="1556"/>
      <c r="AM140" s="1558"/>
      <c r="AN140" s="1556"/>
      <c r="AO140" s="1556"/>
      <c r="AP140" s="1556"/>
      <c r="AQ140" s="1558"/>
      <c r="AR140" s="1556"/>
      <c r="AS140" s="1556"/>
      <c r="AT140" s="1556"/>
      <c r="AU140" s="1558"/>
      <c r="AV140" s="1556"/>
      <c r="AW140" s="1556"/>
      <c r="AX140" s="1556"/>
      <c r="AY140" s="1558"/>
      <c r="AZ140" s="1556">
        <v>4</v>
      </c>
      <c r="BA140" s="1556">
        <v>9</v>
      </c>
      <c r="BB140" s="1556"/>
      <c r="BC140" s="1558">
        <f t="shared" si="87"/>
        <v>13</v>
      </c>
      <c r="BD140" s="1556"/>
      <c r="BE140" s="1556"/>
      <c r="BF140" s="1556"/>
      <c r="BG140" s="1564"/>
      <c r="BH140" s="1556"/>
      <c r="BI140" s="1556">
        <v>4</v>
      </c>
      <c r="BJ140" s="1556">
        <v>5</v>
      </c>
      <c r="BK140" s="1564">
        <f>SUM(BH140:BJ140)</f>
        <v>9</v>
      </c>
      <c r="BL140" s="1556"/>
      <c r="BM140" s="1556">
        <v>1</v>
      </c>
      <c r="BN140" s="1556"/>
      <c r="BO140" s="1564">
        <f>SUM(BL140:BN140)</f>
        <v>1</v>
      </c>
      <c r="BP140" s="1556"/>
      <c r="BQ140" s="1556">
        <v>9</v>
      </c>
      <c r="BR140" s="1556">
        <v>6</v>
      </c>
      <c r="BS140" s="1564">
        <f>SUM(BP140:BR140)</f>
        <v>15</v>
      </c>
      <c r="BT140" s="1556"/>
      <c r="BU140" s="1556"/>
      <c r="BV140" s="1556"/>
      <c r="BW140" s="1564">
        <f>SUM(BT140:BV140)</f>
        <v>0</v>
      </c>
      <c r="BX140" s="1556"/>
      <c r="BY140" s="1556"/>
      <c r="BZ140" s="1556">
        <v>15</v>
      </c>
      <c r="CA140" s="1564">
        <f>SUM(BX140:BZ140)</f>
        <v>15</v>
      </c>
      <c r="CB140" s="1556">
        <v>2</v>
      </c>
      <c r="CC140" s="1556"/>
      <c r="CD140" s="1556"/>
      <c r="CE140" s="1564">
        <f t="shared" si="65"/>
        <v>2</v>
      </c>
      <c r="CF140" s="1556"/>
      <c r="CG140" s="1556">
        <v>3</v>
      </c>
      <c r="CH140" s="1556">
        <v>4</v>
      </c>
      <c r="CI140" s="1564">
        <f t="shared" si="66"/>
        <v>7</v>
      </c>
      <c r="CJ140" s="1556"/>
      <c r="CK140" s="1556">
        <v>1</v>
      </c>
      <c r="CL140" s="1556"/>
      <c r="CM140" s="1564">
        <f t="shared" si="119"/>
        <v>1</v>
      </c>
      <c r="CN140" s="1556"/>
      <c r="CO140" s="1556"/>
      <c r="CP140" s="1556">
        <v>7</v>
      </c>
      <c r="CQ140" s="1564">
        <f t="shared" si="120"/>
        <v>7</v>
      </c>
      <c r="CR140" s="1556"/>
      <c r="CS140" s="1556"/>
      <c r="CT140" s="1556"/>
      <c r="CU140" s="1564">
        <f t="shared" si="80"/>
        <v>0</v>
      </c>
    </row>
    <row r="141" spans="2:103" ht="12.75" customHeight="1" x14ac:dyDescent="0.25">
      <c r="B141" s="5873"/>
      <c r="C141" s="1628" t="s">
        <v>420</v>
      </c>
      <c r="D141" s="1561"/>
      <c r="E141" s="1562"/>
      <c r="F141" s="1562"/>
      <c r="G141" s="1563"/>
      <c r="H141" s="1561"/>
      <c r="I141" s="1562"/>
      <c r="J141" s="1562"/>
      <c r="K141" s="1563"/>
      <c r="L141" s="1561"/>
      <c r="M141" s="1562"/>
      <c r="N141" s="1562"/>
      <c r="O141" s="1563"/>
      <c r="P141" s="1561"/>
      <c r="Q141" s="1562"/>
      <c r="R141" s="1562"/>
      <c r="S141" s="1563"/>
      <c r="T141" s="1561"/>
      <c r="U141" s="1562"/>
      <c r="V141" s="1562"/>
      <c r="W141" s="1563"/>
      <c r="X141" s="1561"/>
      <c r="Y141" s="1562"/>
      <c r="Z141" s="1562"/>
      <c r="AA141" s="1563"/>
      <c r="AB141" s="1561"/>
      <c r="AC141" s="1562"/>
      <c r="AD141" s="1562"/>
      <c r="AE141" s="1564"/>
      <c r="AF141" s="1562"/>
      <c r="AG141" s="1562"/>
      <c r="AH141" s="1562"/>
      <c r="AI141" s="1564"/>
      <c r="AJ141" s="1562"/>
      <c r="AK141" s="1562"/>
      <c r="AL141" s="1562"/>
      <c r="AM141" s="1564"/>
      <c r="AN141" s="1562"/>
      <c r="AO141" s="1562"/>
      <c r="AP141" s="1562"/>
      <c r="AQ141" s="1564"/>
      <c r="AR141" s="1562"/>
      <c r="AS141" s="1562"/>
      <c r="AT141" s="1562"/>
      <c r="AU141" s="1564"/>
      <c r="AV141" s="1562"/>
      <c r="AW141" s="1562"/>
      <c r="AX141" s="1562"/>
      <c r="AY141" s="1564"/>
      <c r="AZ141" s="1562"/>
      <c r="BA141" s="1562"/>
      <c r="BB141" s="1562"/>
      <c r="BC141" s="1564"/>
      <c r="BD141" s="1562"/>
      <c r="BE141" s="1562">
        <v>1</v>
      </c>
      <c r="BF141" s="1562">
        <v>1</v>
      </c>
      <c r="BG141" s="1564">
        <f>SUM(BD141:BF141)</f>
        <v>2</v>
      </c>
      <c r="BH141" s="1562"/>
      <c r="BI141" s="1562">
        <v>24</v>
      </c>
      <c r="BJ141" s="1562"/>
      <c r="BK141" s="1564">
        <f>SUM(BH141:BJ141)</f>
        <v>24</v>
      </c>
      <c r="BL141" s="1562">
        <v>2</v>
      </c>
      <c r="BM141" s="1562"/>
      <c r="BN141" s="1562">
        <v>1</v>
      </c>
      <c r="BO141" s="1564">
        <f>SUM(BL141:BN141)</f>
        <v>3</v>
      </c>
      <c r="BP141" s="1562">
        <v>17</v>
      </c>
      <c r="BQ141" s="1562"/>
      <c r="BR141" s="1562"/>
      <c r="BS141" s="1564">
        <f>SUM(BP141:BR141)</f>
        <v>17</v>
      </c>
      <c r="BT141" s="1562">
        <v>1</v>
      </c>
      <c r="BU141" s="1562"/>
      <c r="BV141" s="1562">
        <v>2</v>
      </c>
      <c r="BW141" s="1564">
        <f>SUM(BT141:BV141)</f>
        <v>3</v>
      </c>
      <c r="BX141" s="1562">
        <v>7</v>
      </c>
      <c r="BY141" s="1562"/>
      <c r="BZ141" s="1562">
        <v>2</v>
      </c>
      <c r="CA141" s="1564">
        <f>SUM(BX141:BZ141)</f>
        <v>9</v>
      </c>
      <c r="CB141" s="1562"/>
      <c r="CC141" s="1562"/>
      <c r="CD141" s="1562"/>
      <c r="CE141" s="1564">
        <f t="shared" si="65"/>
        <v>0</v>
      </c>
      <c r="CF141" s="1562">
        <v>6</v>
      </c>
      <c r="CG141" s="1562"/>
      <c r="CH141" s="1562"/>
      <c r="CI141" s="1564">
        <f t="shared" si="66"/>
        <v>6</v>
      </c>
      <c r="CJ141" s="1562"/>
      <c r="CK141" s="1562"/>
      <c r="CL141" s="1562"/>
      <c r="CM141" s="1564">
        <f t="shared" si="119"/>
        <v>0</v>
      </c>
      <c r="CN141" s="1562">
        <v>8</v>
      </c>
      <c r="CO141" s="1562"/>
      <c r="CP141" s="1562"/>
      <c r="CQ141" s="1564">
        <f t="shared" si="120"/>
        <v>8</v>
      </c>
      <c r="CR141" s="1562"/>
      <c r="CS141" s="1562">
        <v>1</v>
      </c>
      <c r="CT141" s="1562"/>
      <c r="CU141" s="1564">
        <f t="shared" si="80"/>
        <v>1</v>
      </c>
    </row>
    <row r="142" spans="2:103" ht="12.75" customHeight="1" x14ac:dyDescent="0.25">
      <c r="B142" s="1629" t="s">
        <v>317</v>
      </c>
      <c r="C142" s="1617" t="s">
        <v>421</v>
      </c>
      <c r="D142" s="1573"/>
      <c r="E142" s="1574"/>
      <c r="F142" s="1574"/>
      <c r="G142" s="1575"/>
      <c r="H142" s="1573"/>
      <c r="I142" s="1574"/>
      <c r="J142" s="1574"/>
      <c r="K142" s="1575"/>
      <c r="L142" s="1573"/>
      <c r="M142" s="1574"/>
      <c r="N142" s="1574"/>
      <c r="O142" s="1575"/>
      <c r="P142" s="1573"/>
      <c r="Q142" s="1574"/>
      <c r="R142" s="1574"/>
      <c r="S142" s="1575"/>
      <c r="T142" s="1573"/>
      <c r="U142" s="1574"/>
      <c r="V142" s="1574"/>
      <c r="W142" s="1575"/>
      <c r="X142" s="1573"/>
      <c r="Y142" s="1574"/>
      <c r="Z142" s="1574"/>
      <c r="AA142" s="1575"/>
      <c r="AB142" s="1573"/>
      <c r="AC142" s="1574"/>
      <c r="AD142" s="1574"/>
      <c r="AE142" s="1576"/>
      <c r="AF142" s="1574"/>
      <c r="AG142" s="1574"/>
      <c r="AH142" s="1574"/>
      <c r="AI142" s="1576"/>
      <c r="AJ142" s="1574"/>
      <c r="AK142" s="1574"/>
      <c r="AL142" s="1574"/>
      <c r="AM142" s="1576"/>
      <c r="AN142" s="1574"/>
      <c r="AO142" s="1574">
        <v>1</v>
      </c>
      <c r="AP142" s="1574">
        <v>1</v>
      </c>
      <c r="AQ142" s="1576">
        <f t="shared" si="84"/>
        <v>2</v>
      </c>
      <c r="AR142" s="1574"/>
      <c r="AS142" s="1574"/>
      <c r="AT142" s="1574">
        <v>2</v>
      </c>
      <c r="AU142" s="1576">
        <f t="shared" si="85"/>
        <v>2</v>
      </c>
      <c r="AV142" s="1574"/>
      <c r="AW142" s="1574"/>
      <c r="AX142" s="1574">
        <v>3</v>
      </c>
      <c r="AY142" s="1576">
        <f t="shared" si="86"/>
        <v>3</v>
      </c>
      <c r="AZ142" s="1574"/>
      <c r="BA142" s="1574">
        <v>2</v>
      </c>
      <c r="BB142" s="1574">
        <v>1</v>
      </c>
      <c r="BC142" s="1576">
        <f t="shared" si="87"/>
        <v>3</v>
      </c>
      <c r="BD142" s="1574">
        <v>1</v>
      </c>
      <c r="BE142" s="1574">
        <v>1</v>
      </c>
      <c r="BF142" s="1574">
        <v>4</v>
      </c>
      <c r="BG142" s="1576">
        <f>SUM(BD142:BF142)</f>
        <v>6</v>
      </c>
      <c r="BH142" s="1574"/>
      <c r="BI142" s="1574"/>
      <c r="BJ142" s="1574">
        <v>2</v>
      </c>
      <c r="BK142" s="1576">
        <f>SUM(BH142:BJ142)</f>
        <v>2</v>
      </c>
      <c r="BL142" s="1574">
        <v>2</v>
      </c>
      <c r="BM142" s="1574">
        <v>2</v>
      </c>
      <c r="BN142" s="1574">
        <v>2</v>
      </c>
      <c r="BO142" s="1576">
        <f>SUM(BL142:BN142)</f>
        <v>6</v>
      </c>
      <c r="BP142" s="1574">
        <v>3</v>
      </c>
      <c r="BQ142" s="1574">
        <v>3</v>
      </c>
      <c r="BR142" s="1574"/>
      <c r="BS142" s="1576">
        <f>SUM(BP142:BR142)</f>
        <v>6</v>
      </c>
      <c r="BT142" s="1574"/>
      <c r="BU142" s="1574">
        <v>4</v>
      </c>
      <c r="BV142" s="1574">
        <v>1</v>
      </c>
      <c r="BW142" s="1576">
        <f>SUM(BT142:BV142)</f>
        <v>5</v>
      </c>
      <c r="BX142" s="1574">
        <v>5</v>
      </c>
      <c r="BY142" s="1574">
        <v>5</v>
      </c>
      <c r="BZ142" s="1574">
        <v>2</v>
      </c>
      <c r="CA142" s="1576">
        <f>SUM(BX142:BZ142)</f>
        <v>12</v>
      </c>
      <c r="CB142" s="1574">
        <v>2</v>
      </c>
      <c r="CC142" s="1574">
        <v>1</v>
      </c>
      <c r="CD142" s="1574">
        <v>1</v>
      </c>
      <c r="CE142" s="1576">
        <f t="shared" si="65"/>
        <v>4</v>
      </c>
      <c r="CF142" s="1574"/>
      <c r="CG142" s="1574">
        <v>1</v>
      </c>
      <c r="CH142" s="1574">
        <v>2</v>
      </c>
      <c r="CI142" s="1576">
        <f t="shared" si="66"/>
        <v>3</v>
      </c>
      <c r="CJ142" s="1574">
        <v>2</v>
      </c>
      <c r="CK142" s="1574"/>
      <c r="CL142" s="1574">
        <v>3</v>
      </c>
      <c r="CM142" s="1576">
        <f t="shared" si="119"/>
        <v>5</v>
      </c>
      <c r="CN142" s="1574"/>
      <c r="CO142" s="1574">
        <v>1</v>
      </c>
      <c r="CP142" s="1574">
        <v>1</v>
      </c>
      <c r="CQ142" s="1576">
        <f t="shared" si="120"/>
        <v>2</v>
      </c>
      <c r="CR142" s="1574"/>
      <c r="CS142" s="1574">
        <v>1</v>
      </c>
      <c r="CT142" s="1574">
        <v>1</v>
      </c>
      <c r="CU142" s="1576">
        <f t="shared" si="80"/>
        <v>2</v>
      </c>
    </row>
    <row r="143" spans="2:103" ht="12.75" customHeight="1" x14ac:dyDescent="0.25">
      <c r="B143" s="1577"/>
      <c r="C143" s="1578" t="s">
        <v>68</v>
      </c>
      <c r="D143" s="1579"/>
      <c r="E143" s="1580"/>
      <c r="F143" s="1580"/>
      <c r="G143" s="1580"/>
      <c r="H143" s="1579"/>
      <c r="I143" s="1580"/>
      <c r="J143" s="1580"/>
      <c r="K143" s="1580"/>
      <c r="L143" s="1579"/>
      <c r="M143" s="1580"/>
      <c r="N143" s="1580"/>
      <c r="O143" s="1580"/>
      <c r="P143" s="1579"/>
      <c r="Q143" s="1580">
        <f>SUM(Q139:Q142)</f>
        <v>10</v>
      </c>
      <c r="R143" s="1580">
        <f t="shared" ref="R143:CC143" si="121">SUM(R139:R142)</f>
        <v>9</v>
      </c>
      <c r="S143" s="1580">
        <f t="shared" si="121"/>
        <v>19</v>
      </c>
      <c r="T143" s="1579">
        <f t="shared" si="121"/>
        <v>0</v>
      </c>
      <c r="U143" s="1580">
        <f t="shared" si="121"/>
        <v>0</v>
      </c>
      <c r="V143" s="1580">
        <f t="shared" si="121"/>
        <v>0</v>
      </c>
      <c r="W143" s="1580">
        <f t="shared" si="121"/>
        <v>0</v>
      </c>
      <c r="X143" s="1579">
        <f t="shared" si="121"/>
        <v>0</v>
      </c>
      <c r="Y143" s="1580">
        <f t="shared" si="121"/>
        <v>15</v>
      </c>
      <c r="Z143" s="1580">
        <f t="shared" si="121"/>
        <v>0</v>
      </c>
      <c r="AA143" s="1580">
        <f t="shared" si="121"/>
        <v>15</v>
      </c>
      <c r="AB143" s="1579">
        <f t="shared" si="121"/>
        <v>1</v>
      </c>
      <c r="AC143" s="1580">
        <f t="shared" si="121"/>
        <v>12</v>
      </c>
      <c r="AD143" s="1580">
        <f t="shared" si="121"/>
        <v>4</v>
      </c>
      <c r="AE143" s="1581">
        <f t="shared" si="121"/>
        <v>17</v>
      </c>
      <c r="AF143" s="1580">
        <f t="shared" si="121"/>
        <v>1</v>
      </c>
      <c r="AG143" s="1580">
        <f t="shared" si="121"/>
        <v>25</v>
      </c>
      <c r="AH143" s="1580">
        <f t="shared" si="121"/>
        <v>0</v>
      </c>
      <c r="AI143" s="1581">
        <f t="shared" si="121"/>
        <v>26</v>
      </c>
      <c r="AJ143" s="1580">
        <f t="shared" si="121"/>
        <v>0</v>
      </c>
      <c r="AK143" s="1580">
        <f t="shared" si="121"/>
        <v>20</v>
      </c>
      <c r="AL143" s="1580">
        <f t="shared" si="121"/>
        <v>0</v>
      </c>
      <c r="AM143" s="1581">
        <f t="shared" si="121"/>
        <v>20</v>
      </c>
      <c r="AN143" s="1580">
        <f t="shared" si="121"/>
        <v>0</v>
      </c>
      <c r="AO143" s="1580">
        <f t="shared" si="121"/>
        <v>18</v>
      </c>
      <c r="AP143" s="1580">
        <f t="shared" si="121"/>
        <v>2</v>
      </c>
      <c r="AQ143" s="1581">
        <f t="shared" si="121"/>
        <v>20</v>
      </c>
      <c r="AR143" s="1580">
        <f t="shared" si="121"/>
        <v>1</v>
      </c>
      <c r="AS143" s="1580">
        <f t="shared" si="121"/>
        <v>8</v>
      </c>
      <c r="AT143" s="1580">
        <f t="shared" si="121"/>
        <v>10</v>
      </c>
      <c r="AU143" s="1581">
        <f t="shared" si="121"/>
        <v>19</v>
      </c>
      <c r="AV143" s="1580">
        <f t="shared" si="121"/>
        <v>0</v>
      </c>
      <c r="AW143" s="1580">
        <f t="shared" si="121"/>
        <v>2</v>
      </c>
      <c r="AX143" s="1580">
        <f t="shared" si="121"/>
        <v>16</v>
      </c>
      <c r="AY143" s="1581">
        <f t="shared" si="121"/>
        <v>18</v>
      </c>
      <c r="AZ143" s="1580">
        <f t="shared" si="121"/>
        <v>4</v>
      </c>
      <c r="BA143" s="1580">
        <f t="shared" si="121"/>
        <v>11</v>
      </c>
      <c r="BB143" s="1580">
        <f t="shared" si="121"/>
        <v>18</v>
      </c>
      <c r="BC143" s="1581">
        <f t="shared" si="121"/>
        <v>33</v>
      </c>
      <c r="BD143" s="1580">
        <f t="shared" si="121"/>
        <v>1</v>
      </c>
      <c r="BE143" s="1580">
        <f t="shared" si="121"/>
        <v>2</v>
      </c>
      <c r="BF143" s="1580">
        <f t="shared" si="121"/>
        <v>17</v>
      </c>
      <c r="BG143" s="1581">
        <f t="shared" si="121"/>
        <v>20</v>
      </c>
      <c r="BH143" s="1580">
        <f t="shared" si="121"/>
        <v>3</v>
      </c>
      <c r="BI143" s="1580">
        <f t="shared" si="121"/>
        <v>28</v>
      </c>
      <c r="BJ143" s="1580">
        <f t="shared" si="121"/>
        <v>22</v>
      </c>
      <c r="BK143" s="1581">
        <f t="shared" si="121"/>
        <v>53</v>
      </c>
      <c r="BL143" s="1580">
        <f t="shared" si="121"/>
        <v>7</v>
      </c>
      <c r="BM143" s="1580">
        <f t="shared" si="121"/>
        <v>14</v>
      </c>
      <c r="BN143" s="1580">
        <f t="shared" si="121"/>
        <v>8</v>
      </c>
      <c r="BO143" s="1581">
        <f t="shared" si="121"/>
        <v>29</v>
      </c>
      <c r="BP143" s="1580">
        <f t="shared" si="121"/>
        <v>20</v>
      </c>
      <c r="BQ143" s="1580">
        <f t="shared" si="121"/>
        <v>16</v>
      </c>
      <c r="BR143" s="1580">
        <f t="shared" si="121"/>
        <v>21</v>
      </c>
      <c r="BS143" s="1581">
        <f t="shared" si="121"/>
        <v>57</v>
      </c>
      <c r="BT143" s="1580">
        <f t="shared" si="121"/>
        <v>2</v>
      </c>
      <c r="BU143" s="1580">
        <f t="shared" si="121"/>
        <v>6</v>
      </c>
      <c r="BV143" s="1580">
        <f t="shared" si="121"/>
        <v>24</v>
      </c>
      <c r="BW143" s="1581">
        <f t="shared" si="121"/>
        <v>32</v>
      </c>
      <c r="BX143" s="1580">
        <f t="shared" si="121"/>
        <v>14</v>
      </c>
      <c r="BY143" s="1580">
        <f t="shared" si="121"/>
        <v>7</v>
      </c>
      <c r="BZ143" s="1580">
        <f t="shared" si="121"/>
        <v>29</v>
      </c>
      <c r="CA143" s="1581">
        <f t="shared" si="121"/>
        <v>50</v>
      </c>
      <c r="CB143" s="1580">
        <f t="shared" si="121"/>
        <v>7</v>
      </c>
      <c r="CC143" s="1580">
        <f t="shared" si="121"/>
        <v>5</v>
      </c>
      <c r="CD143" s="1580">
        <f t="shared" ref="CD143" si="122">SUM(CD139:CD142)</f>
        <v>21</v>
      </c>
      <c r="CE143" s="1581">
        <f t="shared" si="65"/>
        <v>33</v>
      </c>
      <c r="CF143" s="1580">
        <f>SUM(CF139:CF142)</f>
        <v>8</v>
      </c>
      <c r="CG143" s="1580">
        <f>SUM(CG139:CG142)</f>
        <v>5</v>
      </c>
      <c r="CH143" s="1580">
        <f>SUM(CH139:CH142)</f>
        <v>23</v>
      </c>
      <c r="CI143" s="1581">
        <f t="shared" si="66"/>
        <v>36</v>
      </c>
      <c r="CJ143" s="1580">
        <f>SUM(CJ139:CJ142)</f>
        <v>3</v>
      </c>
      <c r="CK143" s="1580">
        <f>SUM(CK139:CK142)</f>
        <v>2</v>
      </c>
      <c r="CL143" s="1580">
        <f>SUM(CL139:CL142)</f>
        <v>24</v>
      </c>
      <c r="CM143" s="1582">
        <f t="shared" si="119"/>
        <v>29</v>
      </c>
      <c r="CN143" s="1580">
        <f>SUM(CN139:CN142)</f>
        <v>8</v>
      </c>
      <c r="CO143" s="1580">
        <f>SUM(CO139:CO142)</f>
        <v>1</v>
      </c>
      <c r="CP143" s="1580">
        <f>SUM(CP139:CP142)</f>
        <v>26</v>
      </c>
      <c r="CQ143" s="1582">
        <f t="shared" si="120"/>
        <v>35</v>
      </c>
      <c r="CR143" s="1580">
        <f>SUM(CR139:CR142)</f>
        <v>0</v>
      </c>
      <c r="CS143" s="1580">
        <f>SUM(CS139:CS142)</f>
        <v>2</v>
      </c>
      <c r="CT143" s="1580">
        <f>SUM(CT139:CT142)</f>
        <v>16</v>
      </c>
      <c r="CU143" s="1582">
        <f t="shared" si="80"/>
        <v>18</v>
      </c>
    </row>
    <row r="144" spans="2:103" ht="12.75" customHeight="1" x14ac:dyDescent="0.25">
      <c r="B144" s="1630"/>
      <c r="C144" s="1631" t="s">
        <v>422</v>
      </c>
      <c r="D144" s="1632">
        <f t="shared" ref="D144:BO144" si="123">SUM(D138,D122,D143)</f>
        <v>11</v>
      </c>
      <c r="E144" s="1633">
        <f t="shared" si="123"/>
        <v>16</v>
      </c>
      <c r="F144" s="1633">
        <f t="shared" si="123"/>
        <v>30</v>
      </c>
      <c r="G144" s="1633">
        <f t="shared" si="123"/>
        <v>57</v>
      </c>
      <c r="H144" s="1632">
        <f t="shared" si="123"/>
        <v>18</v>
      </c>
      <c r="I144" s="1633">
        <f t="shared" si="123"/>
        <v>18</v>
      </c>
      <c r="J144" s="1633">
        <f t="shared" si="123"/>
        <v>27</v>
      </c>
      <c r="K144" s="1633">
        <f t="shared" si="123"/>
        <v>63</v>
      </c>
      <c r="L144" s="1632">
        <f t="shared" si="123"/>
        <v>23</v>
      </c>
      <c r="M144" s="1633">
        <f t="shared" si="123"/>
        <v>13</v>
      </c>
      <c r="N144" s="1633">
        <f t="shared" si="123"/>
        <v>46</v>
      </c>
      <c r="O144" s="1633">
        <f t="shared" si="123"/>
        <v>82</v>
      </c>
      <c r="P144" s="1632">
        <f t="shared" si="123"/>
        <v>22</v>
      </c>
      <c r="Q144" s="1633">
        <f t="shared" si="123"/>
        <v>130</v>
      </c>
      <c r="R144" s="1633">
        <f t="shared" si="123"/>
        <v>43</v>
      </c>
      <c r="S144" s="1633">
        <f t="shared" si="123"/>
        <v>195</v>
      </c>
      <c r="T144" s="1632">
        <f t="shared" si="123"/>
        <v>35</v>
      </c>
      <c r="U144" s="1633">
        <f t="shared" si="123"/>
        <v>37</v>
      </c>
      <c r="V144" s="1633">
        <f t="shared" si="123"/>
        <v>52</v>
      </c>
      <c r="W144" s="1633">
        <f t="shared" si="123"/>
        <v>124</v>
      </c>
      <c r="X144" s="1632">
        <f t="shared" si="123"/>
        <v>31</v>
      </c>
      <c r="Y144" s="1633">
        <f t="shared" si="123"/>
        <v>50</v>
      </c>
      <c r="Z144" s="1633">
        <f t="shared" si="123"/>
        <v>55</v>
      </c>
      <c r="AA144" s="1633">
        <f t="shared" si="123"/>
        <v>136</v>
      </c>
      <c r="AB144" s="1632">
        <f t="shared" si="123"/>
        <v>39</v>
      </c>
      <c r="AC144" s="1633">
        <f t="shared" si="123"/>
        <v>73</v>
      </c>
      <c r="AD144" s="1633">
        <f t="shared" si="123"/>
        <v>52</v>
      </c>
      <c r="AE144" s="1634">
        <f t="shared" si="123"/>
        <v>164</v>
      </c>
      <c r="AF144" s="1633">
        <f t="shared" si="123"/>
        <v>22</v>
      </c>
      <c r="AG144" s="1633">
        <f t="shared" si="123"/>
        <v>62</v>
      </c>
      <c r="AH144" s="1633">
        <f t="shared" si="123"/>
        <v>53</v>
      </c>
      <c r="AI144" s="1634">
        <f t="shared" si="123"/>
        <v>137</v>
      </c>
      <c r="AJ144" s="1633">
        <f t="shared" si="123"/>
        <v>72</v>
      </c>
      <c r="AK144" s="1633">
        <f t="shared" si="123"/>
        <v>71</v>
      </c>
      <c r="AL144" s="1633">
        <f t="shared" si="123"/>
        <v>62</v>
      </c>
      <c r="AM144" s="1634">
        <f t="shared" si="123"/>
        <v>205</v>
      </c>
      <c r="AN144" s="1633">
        <f t="shared" si="123"/>
        <v>37</v>
      </c>
      <c r="AO144" s="1633">
        <f t="shared" si="123"/>
        <v>61</v>
      </c>
      <c r="AP144" s="1633">
        <f t="shared" si="123"/>
        <v>97</v>
      </c>
      <c r="AQ144" s="1634">
        <f t="shared" si="123"/>
        <v>195</v>
      </c>
      <c r="AR144" s="1633">
        <f t="shared" si="123"/>
        <v>41</v>
      </c>
      <c r="AS144" s="1633">
        <f t="shared" si="123"/>
        <v>69</v>
      </c>
      <c r="AT144" s="1633">
        <f t="shared" si="123"/>
        <v>92</v>
      </c>
      <c r="AU144" s="1634">
        <f t="shared" si="123"/>
        <v>202</v>
      </c>
      <c r="AV144" s="1633">
        <f t="shared" si="123"/>
        <v>64</v>
      </c>
      <c r="AW144" s="1633">
        <f t="shared" si="123"/>
        <v>71</v>
      </c>
      <c r="AX144" s="1633">
        <f t="shared" si="123"/>
        <v>163</v>
      </c>
      <c r="AY144" s="1634">
        <f t="shared" si="123"/>
        <v>298</v>
      </c>
      <c r="AZ144" s="1633">
        <f t="shared" si="123"/>
        <v>92</v>
      </c>
      <c r="BA144" s="1633">
        <f t="shared" si="123"/>
        <v>84</v>
      </c>
      <c r="BB144" s="1633">
        <f t="shared" si="123"/>
        <v>90</v>
      </c>
      <c r="BC144" s="1634">
        <f t="shared" si="123"/>
        <v>266</v>
      </c>
      <c r="BD144" s="1633">
        <f t="shared" si="123"/>
        <v>47</v>
      </c>
      <c r="BE144" s="1633">
        <f t="shared" si="123"/>
        <v>38</v>
      </c>
      <c r="BF144" s="1633">
        <f t="shared" si="123"/>
        <v>80</v>
      </c>
      <c r="BG144" s="1634">
        <f t="shared" si="123"/>
        <v>165</v>
      </c>
      <c r="BH144" s="1633">
        <f t="shared" si="123"/>
        <v>74</v>
      </c>
      <c r="BI144" s="1633">
        <f t="shared" si="123"/>
        <v>70</v>
      </c>
      <c r="BJ144" s="1633">
        <f t="shared" si="123"/>
        <v>81</v>
      </c>
      <c r="BK144" s="1634">
        <f t="shared" si="123"/>
        <v>225</v>
      </c>
      <c r="BL144" s="1633">
        <f t="shared" si="123"/>
        <v>48</v>
      </c>
      <c r="BM144" s="1633">
        <f t="shared" si="123"/>
        <v>67</v>
      </c>
      <c r="BN144" s="1633">
        <f t="shared" si="123"/>
        <v>106</v>
      </c>
      <c r="BO144" s="1634">
        <f t="shared" si="123"/>
        <v>221</v>
      </c>
      <c r="BP144" s="1633">
        <f t="shared" ref="BP144:CD144" si="124">SUM(BP138,BP122,BP143)</f>
        <v>90</v>
      </c>
      <c r="BQ144" s="1633">
        <f t="shared" si="124"/>
        <v>72</v>
      </c>
      <c r="BR144" s="1633">
        <f t="shared" si="124"/>
        <v>79</v>
      </c>
      <c r="BS144" s="1634">
        <f t="shared" si="124"/>
        <v>241</v>
      </c>
      <c r="BT144" s="1633">
        <f t="shared" si="124"/>
        <v>48</v>
      </c>
      <c r="BU144" s="1633">
        <f t="shared" si="124"/>
        <v>61</v>
      </c>
      <c r="BV144" s="1633">
        <f t="shared" si="124"/>
        <v>92</v>
      </c>
      <c r="BW144" s="1634">
        <f t="shared" si="124"/>
        <v>201</v>
      </c>
      <c r="BX144" s="1633">
        <f t="shared" si="124"/>
        <v>83</v>
      </c>
      <c r="BY144" s="1633">
        <f t="shared" si="124"/>
        <v>79</v>
      </c>
      <c r="BZ144" s="1633">
        <f t="shared" si="124"/>
        <v>85</v>
      </c>
      <c r="CA144" s="1634">
        <f t="shared" si="124"/>
        <v>247</v>
      </c>
      <c r="CB144" s="1633">
        <f t="shared" si="124"/>
        <v>49</v>
      </c>
      <c r="CC144" s="1633">
        <f t="shared" si="124"/>
        <v>83</v>
      </c>
      <c r="CD144" s="1633">
        <f t="shared" si="124"/>
        <v>140</v>
      </c>
      <c r="CE144" s="1634">
        <f t="shared" si="65"/>
        <v>272</v>
      </c>
      <c r="CF144" s="1633">
        <f>SUM(CF138,CF122,CF143)</f>
        <v>92</v>
      </c>
      <c r="CG144" s="1633">
        <f>SUM(CG138,CG122,CG143)</f>
        <v>43</v>
      </c>
      <c r="CH144" s="1633">
        <f>SUM(CH138,CH122,CH143)</f>
        <v>93</v>
      </c>
      <c r="CI144" s="1634">
        <f t="shared" si="66"/>
        <v>228</v>
      </c>
      <c r="CJ144" s="1633">
        <f>SUM(CJ138,CJ122,CJ143)</f>
        <v>35</v>
      </c>
      <c r="CK144" s="1633">
        <f>SUM(CK138,CK122,CK143)</f>
        <v>30</v>
      </c>
      <c r="CL144" s="1633">
        <f>SUM(CL138,CL122,CL143)</f>
        <v>115</v>
      </c>
      <c r="CM144" s="1634">
        <f t="shared" si="119"/>
        <v>180</v>
      </c>
      <c r="CN144" s="1633">
        <f>SUM(CN138,CN122,CN143)</f>
        <v>75</v>
      </c>
      <c r="CO144" s="1633">
        <f>SUM(CO138,CO122,CO143)</f>
        <v>35</v>
      </c>
      <c r="CP144" s="1633">
        <f>SUM(CP138,CP122,CP143)</f>
        <v>82</v>
      </c>
      <c r="CQ144" s="1634">
        <f t="shared" si="120"/>
        <v>192</v>
      </c>
      <c r="CR144" s="1633">
        <f>SUM(CR138,CR122,CR143)</f>
        <v>64</v>
      </c>
      <c r="CS144" s="1633">
        <f>SUM(CS138,CS122,CS143)</f>
        <v>74</v>
      </c>
      <c r="CT144" s="1633">
        <f>SUM(CT138,CT122,CT143)</f>
        <v>65</v>
      </c>
      <c r="CU144" s="1634">
        <f t="shared" si="80"/>
        <v>203</v>
      </c>
    </row>
    <row r="145" spans="1:118" ht="12.75" customHeight="1" x14ac:dyDescent="0.25">
      <c r="B145" s="1635" t="s">
        <v>310</v>
      </c>
      <c r="C145" s="1636" t="s">
        <v>490</v>
      </c>
      <c r="D145" s="1584"/>
      <c r="E145" s="1585"/>
      <c r="F145" s="1585"/>
      <c r="G145" s="1552"/>
      <c r="H145" s="1588"/>
      <c r="I145" s="1588"/>
      <c r="J145" s="1588"/>
      <c r="K145" s="1589"/>
      <c r="L145" s="1584"/>
      <c r="M145" s="1585"/>
      <c r="N145" s="1585"/>
      <c r="O145" s="1552"/>
      <c r="P145" s="1588"/>
      <c r="Q145" s="1588"/>
      <c r="R145" s="1588"/>
      <c r="S145" s="1589"/>
      <c r="T145" s="1584"/>
      <c r="U145" s="1585"/>
      <c r="V145" s="1585"/>
      <c r="W145" s="1552"/>
      <c r="X145" s="1588"/>
      <c r="Y145" s="1588"/>
      <c r="Z145" s="1588"/>
      <c r="AA145" s="1589"/>
      <c r="AB145" s="1584"/>
      <c r="AC145" s="1585"/>
      <c r="AD145" s="1585"/>
      <c r="AE145" s="1552"/>
      <c r="AF145" s="1588"/>
      <c r="AG145" s="1588"/>
      <c r="AH145" s="1588"/>
      <c r="AI145" s="1589"/>
      <c r="AJ145" s="1584"/>
      <c r="AK145" s="1585"/>
      <c r="AL145" s="1585"/>
      <c r="AM145" s="1552"/>
      <c r="AN145" s="1588"/>
      <c r="AO145" s="1588"/>
      <c r="AP145" s="1588"/>
      <c r="AQ145" s="1589"/>
      <c r="AR145" s="1584"/>
      <c r="AS145" s="1585"/>
      <c r="AT145" s="1585"/>
      <c r="AU145" s="1552"/>
      <c r="AV145" s="1588"/>
      <c r="AW145" s="1588"/>
      <c r="AX145" s="1588"/>
      <c r="AY145" s="1589"/>
      <c r="AZ145" s="1584"/>
      <c r="BA145" s="1585"/>
      <c r="BB145" s="1585"/>
      <c r="BC145" s="1552"/>
      <c r="BD145" s="1588"/>
      <c r="BE145" s="1588"/>
      <c r="BF145" s="1588"/>
      <c r="BG145" s="1576"/>
      <c r="BH145" s="1588">
        <v>5</v>
      </c>
      <c r="BI145" s="1588">
        <v>3</v>
      </c>
      <c r="BJ145" s="1588">
        <v>2</v>
      </c>
      <c r="BK145" s="1576">
        <f>SUM(BH145:BJ145)</f>
        <v>10</v>
      </c>
      <c r="BL145" s="1588">
        <v>3</v>
      </c>
      <c r="BM145" s="1588">
        <v>1</v>
      </c>
      <c r="BN145" s="1588">
        <v>2</v>
      </c>
      <c r="BO145" s="1576">
        <f>SUM(BL145:BN145)</f>
        <v>6</v>
      </c>
      <c r="BP145" s="1588">
        <v>3</v>
      </c>
      <c r="BQ145" s="1588">
        <v>1</v>
      </c>
      <c r="BR145" s="1588">
        <v>5</v>
      </c>
      <c r="BS145" s="1576">
        <f>SUM(BP145:BR145)</f>
        <v>9</v>
      </c>
      <c r="BT145" s="1588">
        <v>1</v>
      </c>
      <c r="BU145" s="1588">
        <v>2</v>
      </c>
      <c r="BV145" s="1588">
        <v>4</v>
      </c>
      <c r="BW145" s="1576">
        <f>SUM(BT145:BV145)</f>
        <v>7</v>
      </c>
      <c r="BX145" s="1588">
        <v>8</v>
      </c>
      <c r="BY145" s="1588"/>
      <c r="BZ145" s="1588">
        <v>4</v>
      </c>
      <c r="CA145" s="1576">
        <f>SUM(BX145:BZ145)</f>
        <v>12</v>
      </c>
      <c r="CB145" s="1588">
        <v>4</v>
      </c>
      <c r="CC145" s="1588">
        <v>3</v>
      </c>
      <c r="CD145" s="1588">
        <v>2</v>
      </c>
      <c r="CE145" s="1576">
        <f t="shared" si="65"/>
        <v>9</v>
      </c>
      <c r="CF145" s="1588">
        <v>6</v>
      </c>
      <c r="CG145" s="1588">
        <v>5</v>
      </c>
      <c r="CH145" s="1588">
        <v>2</v>
      </c>
      <c r="CI145" s="1576">
        <f t="shared" si="66"/>
        <v>13</v>
      </c>
      <c r="CJ145" s="1588"/>
      <c r="CK145" s="1588">
        <v>5</v>
      </c>
      <c r="CL145" s="1588">
        <v>3</v>
      </c>
      <c r="CM145" s="1576">
        <f t="shared" si="119"/>
        <v>8</v>
      </c>
      <c r="CN145" s="1588">
        <v>1</v>
      </c>
      <c r="CO145" s="1588"/>
      <c r="CP145" s="1588">
        <v>2</v>
      </c>
      <c r="CQ145" s="1576">
        <f t="shared" si="120"/>
        <v>3</v>
      </c>
      <c r="CR145" s="1588">
        <v>1</v>
      </c>
      <c r="CS145" s="1588">
        <v>3</v>
      </c>
      <c r="CT145" s="1588">
        <v>1</v>
      </c>
      <c r="CU145" s="1576">
        <f t="shared" si="80"/>
        <v>5</v>
      </c>
    </row>
    <row r="146" spans="1:118" ht="12.75" customHeight="1" x14ac:dyDescent="0.25">
      <c r="B146" s="1635" t="s">
        <v>317</v>
      </c>
      <c r="C146" s="1616" t="s">
        <v>490</v>
      </c>
      <c r="D146" s="1567"/>
      <c r="E146" s="1568"/>
      <c r="F146" s="1568"/>
      <c r="G146" s="1553"/>
      <c r="H146" s="1568"/>
      <c r="I146" s="1568"/>
      <c r="J146" s="1568"/>
      <c r="K146" s="1569"/>
      <c r="L146" s="1567"/>
      <c r="M146" s="1568"/>
      <c r="N146" s="1568"/>
      <c r="O146" s="1553"/>
      <c r="P146" s="1568"/>
      <c r="Q146" s="1568"/>
      <c r="R146" s="1568"/>
      <c r="S146" s="1569"/>
      <c r="T146" s="1567"/>
      <c r="U146" s="1568"/>
      <c r="V146" s="1568"/>
      <c r="W146" s="1553"/>
      <c r="X146" s="1568"/>
      <c r="Y146" s="1568"/>
      <c r="Z146" s="1568"/>
      <c r="AA146" s="1569"/>
      <c r="AB146" s="1567"/>
      <c r="AC146" s="1568"/>
      <c r="AD146" s="1568"/>
      <c r="AE146" s="1553"/>
      <c r="AF146" s="1568"/>
      <c r="AG146" s="1568"/>
      <c r="AH146" s="1568"/>
      <c r="AI146" s="1569"/>
      <c r="AJ146" s="1567"/>
      <c r="AK146" s="1568"/>
      <c r="AL146" s="1568"/>
      <c r="AM146" s="1553"/>
      <c r="AN146" s="1568"/>
      <c r="AO146" s="1568"/>
      <c r="AP146" s="1568"/>
      <c r="AQ146" s="1569"/>
      <c r="AR146" s="1567"/>
      <c r="AS146" s="1568"/>
      <c r="AT146" s="1568"/>
      <c r="AU146" s="1553"/>
      <c r="AV146" s="1568"/>
      <c r="AW146" s="1568"/>
      <c r="AX146" s="1568"/>
      <c r="AY146" s="1569"/>
      <c r="AZ146" s="1567"/>
      <c r="BA146" s="1568"/>
      <c r="BB146" s="1568"/>
      <c r="BC146" s="1553"/>
      <c r="BD146" s="1568"/>
      <c r="BE146" s="1568"/>
      <c r="BF146" s="1568"/>
      <c r="BG146" s="1576"/>
      <c r="BH146" s="1568"/>
      <c r="BI146" s="1568"/>
      <c r="BJ146" s="1568"/>
      <c r="BK146" s="1576">
        <f>SUM(BH146:BJ146)</f>
        <v>0</v>
      </c>
      <c r="BL146" s="1568"/>
      <c r="BM146" s="1568">
        <v>1</v>
      </c>
      <c r="BN146" s="1568">
        <v>1</v>
      </c>
      <c r="BO146" s="1576">
        <f>SUM(BL146:BN146)</f>
        <v>2</v>
      </c>
      <c r="BP146" s="1568"/>
      <c r="BQ146" s="1568">
        <v>1</v>
      </c>
      <c r="BR146" s="1568"/>
      <c r="BS146" s="1576">
        <f>SUM(BP146:BR146)</f>
        <v>1</v>
      </c>
      <c r="BT146" s="1568">
        <v>2</v>
      </c>
      <c r="BU146" s="1568">
        <v>1</v>
      </c>
      <c r="BV146" s="1568">
        <v>2</v>
      </c>
      <c r="BW146" s="1576">
        <f>SUM(BT146:BV146)</f>
        <v>5</v>
      </c>
      <c r="BX146" s="1568">
        <v>5</v>
      </c>
      <c r="BY146" s="1568">
        <v>1</v>
      </c>
      <c r="BZ146" s="1568">
        <v>3</v>
      </c>
      <c r="CA146" s="1576">
        <f>SUM(BX146:BZ146)</f>
        <v>9</v>
      </c>
      <c r="CB146" s="1568">
        <v>3</v>
      </c>
      <c r="CC146" s="1568">
        <v>4</v>
      </c>
      <c r="CD146" s="1568"/>
      <c r="CE146" s="1576">
        <f t="shared" si="65"/>
        <v>7</v>
      </c>
      <c r="CF146" s="1568">
        <v>2</v>
      </c>
      <c r="CG146" s="1568">
        <v>1</v>
      </c>
      <c r="CH146" s="1568">
        <v>2</v>
      </c>
      <c r="CI146" s="1576">
        <f t="shared" si="66"/>
        <v>5</v>
      </c>
      <c r="CJ146" s="1568"/>
      <c r="CK146" s="1568"/>
      <c r="CL146" s="1568">
        <v>3</v>
      </c>
      <c r="CM146" s="1576">
        <f t="shared" si="119"/>
        <v>3</v>
      </c>
      <c r="CN146" s="1568">
        <v>2</v>
      </c>
      <c r="CO146" s="1568">
        <v>1</v>
      </c>
      <c r="CP146" s="1568">
        <v>1</v>
      </c>
      <c r="CQ146" s="1576">
        <f t="shared" si="120"/>
        <v>4</v>
      </c>
      <c r="CR146" s="1568">
        <v>4</v>
      </c>
      <c r="CS146" s="1568">
        <v>2</v>
      </c>
      <c r="CT146" s="1568">
        <v>1</v>
      </c>
      <c r="CU146" s="1576">
        <f t="shared" si="80"/>
        <v>7</v>
      </c>
    </row>
    <row r="147" spans="1:118" ht="12.75" customHeight="1" x14ac:dyDescent="0.25">
      <c r="B147" s="1577"/>
      <c r="C147" s="1578" t="s">
        <v>64</v>
      </c>
      <c r="D147" s="1579"/>
      <c r="E147" s="1580"/>
      <c r="F147" s="1580"/>
      <c r="G147" s="1581"/>
      <c r="H147" s="1580"/>
      <c r="I147" s="1580"/>
      <c r="J147" s="1580"/>
      <c r="K147" s="1580"/>
      <c r="L147" s="1579"/>
      <c r="M147" s="1580"/>
      <c r="N147" s="1580"/>
      <c r="O147" s="1581"/>
      <c r="P147" s="1580"/>
      <c r="Q147" s="1580"/>
      <c r="R147" s="1580"/>
      <c r="S147" s="1580"/>
      <c r="T147" s="1579"/>
      <c r="U147" s="1580"/>
      <c r="V147" s="1580"/>
      <c r="W147" s="1581"/>
      <c r="X147" s="1580"/>
      <c r="Y147" s="1580"/>
      <c r="Z147" s="1580"/>
      <c r="AA147" s="1580"/>
      <c r="AB147" s="1579"/>
      <c r="AC147" s="1580"/>
      <c r="AD147" s="1580"/>
      <c r="AE147" s="1581"/>
      <c r="AF147" s="1580"/>
      <c r="AG147" s="1580"/>
      <c r="AH147" s="1580"/>
      <c r="AI147" s="1580"/>
      <c r="AJ147" s="1579"/>
      <c r="AK147" s="1580"/>
      <c r="AL147" s="1580"/>
      <c r="AM147" s="1581"/>
      <c r="AN147" s="1580"/>
      <c r="AO147" s="1580"/>
      <c r="AP147" s="1580"/>
      <c r="AQ147" s="1580"/>
      <c r="AR147" s="1579"/>
      <c r="AS147" s="1580"/>
      <c r="AT147" s="1580"/>
      <c r="AU147" s="1581"/>
      <c r="AV147" s="1580"/>
      <c r="AW147" s="1580"/>
      <c r="AX147" s="1580"/>
      <c r="AY147" s="1580"/>
      <c r="AZ147" s="1579"/>
      <c r="BA147" s="1580"/>
      <c r="BB147" s="1580"/>
      <c r="BC147" s="1581"/>
      <c r="BD147" s="1580"/>
      <c r="BE147" s="1580"/>
      <c r="BF147" s="1580"/>
      <c r="BG147" s="1581"/>
      <c r="BH147" s="1579">
        <f t="shared" ref="BH147:CD147" si="125">SUM(BH145:BH146)</f>
        <v>5</v>
      </c>
      <c r="BI147" s="1580">
        <f t="shared" si="125"/>
        <v>3</v>
      </c>
      <c r="BJ147" s="1580">
        <f t="shared" si="125"/>
        <v>2</v>
      </c>
      <c r="BK147" s="1581">
        <f t="shared" si="125"/>
        <v>10</v>
      </c>
      <c r="BL147" s="1579">
        <f t="shared" si="125"/>
        <v>3</v>
      </c>
      <c r="BM147" s="1580">
        <f t="shared" si="125"/>
        <v>2</v>
      </c>
      <c r="BN147" s="1580">
        <f t="shared" si="125"/>
        <v>3</v>
      </c>
      <c r="BO147" s="1581">
        <f t="shared" si="125"/>
        <v>8</v>
      </c>
      <c r="BP147" s="1579">
        <f t="shared" si="125"/>
        <v>3</v>
      </c>
      <c r="BQ147" s="1580">
        <f t="shared" si="125"/>
        <v>2</v>
      </c>
      <c r="BR147" s="1580">
        <f t="shared" si="125"/>
        <v>5</v>
      </c>
      <c r="BS147" s="1581">
        <f t="shared" si="125"/>
        <v>10</v>
      </c>
      <c r="BT147" s="1579">
        <f t="shared" si="125"/>
        <v>3</v>
      </c>
      <c r="BU147" s="1580">
        <f t="shared" si="125"/>
        <v>3</v>
      </c>
      <c r="BV147" s="1580">
        <f t="shared" si="125"/>
        <v>6</v>
      </c>
      <c r="BW147" s="1581">
        <f t="shared" si="125"/>
        <v>12</v>
      </c>
      <c r="BX147" s="1579">
        <f t="shared" si="125"/>
        <v>13</v>
      </c>
      <c r="BY147" s="1580">
        <f t="shared" si="125"/>
        <v>1</v>
      </c>
      <c r="BZ147" s="1580">
        <f t="shared" si="125"/>
        <v>7</v>
      </c>
      <c r="CA147" s="1581">
        <f t="shared" si="125"/>
        <v>21</v>
      </c>
      <c r="CB147" s="1579">
        <f t="shared" si="125"/>
        <v>7</v>
      </c>
      <c r="CC147" s="1580">
        <f t="shared" si="125"/>
        <v>7</v>
      </c>
      <c r="CD147" s="1580">
        <f t="shared" si="125"/>
        <v>2</v>
      </c>
      <c r="CE147" s="1581">
        <f t="shared" ref="CE147:CE159" si="126">SUM(CB147:CD147)</f>
        <v>16</v>
      </c>
      <c r="CF147" s="1579">
        <f>SUM(CF145:CF146)</f>
        <v>8</v>
      </c>
      <c r="CG147" s="1580">
        <f>SUM(CG145:CG146)</f>
        <v>6</v>
      </c>
      <c r="CH147" s="1580">
        <f>SUM(CH145:CH146)</f>
        <v>4</v>
      </c>
      <c r="CI147" s="1581">
        <f t="shared" ref="CI147:CI159" si="127">SUM(CF147:CH147)</f>
        <v>18</v>
      </c>
      <c r="CJ147" s="1579">
        <f>SUM(CJ145:CJ146)</f>
        <v>0</v>
      </c>
      <c r="CK147" s="1580">
        <f>SUM(CK145:CK146)</f>
        <v>5</v>
      </c>
      <c r="CL147" s="1580">
        <f>SUM(CL145:CL146)</f>
        <v>6</v>
      </c>
      <c r="CM147" s="1582">
        <f t="shared" si="119"/>
        <v>11</v>
      </c>
      <c r="CN147" s="1579">
        <f>SUM(CN145:CN146)</f>
        <v>3</v>
      </c>
      <c r="CO147" s="1580">
        <f>SUM(CO145:CO146)</f>
        <v>1</v>
      </c>
      <c r="CP147" s="1580">
        <f>SUM(CP145:CP146)</f>
        <v>3</v>
      </c>
      <c r="CQ147" s="1582">
        <f t="shared" si="120"/>
        <v>7</v>
      </c>
      <c r="CR147" s="1579">
        <f>SUM(CR145:CR146)</f>
        <v>5</v>
      </c>
      <c r="CS147" s="1580">
        <f>SUM(CS145:CS146)</f>
        <v>5</v>
      </c>
      <c r="CT147" s="1580">
        <f>SUM(CT145:CT146)</f>
        <v>2</v>
      </c>
      <c r="CU147" s="1582">
        <f t="shared" si="80"/>
        <v>12</v>
      </c>
    </row>
    <row r="148" spans="1:118" ht="12.75" customHeight="1" x14ac:dyDescent="0.25">
      <c r="B148" s="1635" t="s">
        <v>310</v>
      </c>
      <c r="C148" s="1616" t="s">
        <v>350</v>
      </c>
      <c r="D148" s="1637"/>
      <c r="E148" s="1599"/>
      <c r="F148" s="1599"/>
      <c r="G148" s="1600"/>
      <c r="H148" s="1599"/>
      <c r="I148" s="1599"/>
      <c r="J148" s="1599"/>
      <c r="K148" s="1599"/>
      <c r="L148" s="1637"/>
      <c r="M148" s="1599"/>
      <c r="N148" s="1599"/>
      <c r="O148" s="1600"/>
      <c r="P148" s="1599"/>
      <c r="Q148" s="1599"/>
      <c r="R148" s="1599"/>
      <c r="S148" s="1599"/>
      <c r="T148" s="1637"/>
      <c r="U148" s="1599"/>
      <c r="V148" s="1599"/>
      <c r="W148" s="1600"/>
      <c r="X148" s="1599"/>
      <c r="Y148" s="1599"/>
      <c r="Z148" s="1599"/>
      <c r="AA148" s="1599"/>
      <c r="AB148" s="1637"/>
      <c r="AC148" s="1599"/>
      <c r="AD148" s="1599"/>
      <c r="AE148" s="1600"/>
      <c r="AF148" s="1599"/>
      <c r="AG148" s="1599"/>
      <c r="AH148" s="1599"/>
      <c r="AI148" s="1599"/>
      <c r="AJ148" s="1637"/>
      <c r="AK148" s="1599"/>
      <c r="AL148" s="1599"/>
      <c r="AM148" s="1600"/>
      <c r="AN148" s="1599"/>
      <c r="AO148" s="1599"/>
      <c r="AP148" s="1599"/>
      <c r="AQ148" s="1599"/>
      <c r="AR148" s="1637"/>
      <c r="AS148" s="1599"/>
      <c r="AT148" s="1599"/>
      <c r="AU148" s="1600"/>
      <c r="AV148" s="1599"/>
      <c r="AW148" s="1599"/>
      <c r="AX148" s="1599"/>
      <c r="AY148" s="1599"/>
      <c r="AZ148" s="1637"/>
      <c r="BA148" s="1599"/>
      <c r="BB148" s="1599"/>
      <c r="BC148" s="1600"/>
      <c r="BD148" s="1638"/>
      <c r="BE148" s="1638"/>
      <c r="BF148" s="1638"/>
      <c r="BG148" s="1638"/>
      <c r="BH148" s="1639"/>
      <c r="BI148" s="1638"/>
      <c r="BJ148" s="1638"/>
      <c r="BK148" s="1640">
        <f>SUM(BH148:BJ148)</f>
        <v>0</v>
      </c>
      <c r="BL148" s="1639"/>
      <c r="BM148" s="1638"/>
      <c r="BN148" s="1638">
        <v>8</v>
      </c>
      <c r="BO148" s="1640">
        <f>SUM(BL148:BN148)</f>
        <v>8</v>
      </c>
      <c r="BP148" s="1639"/>
      <c r="BQ148" s="1638"/>
      <c r="BR148" s="17">
        <v>11</v>
      </c>
      <c r="BS148" s="1640">
        <f>SUM(BP148:BR148)</f>
        <v>11</v>
      </c>
      <c r="BT148" s="1639"/>
      <c r="BU148" s="1638">
        <v>3</v>
      </c>
      <c r="BV148" s="17">
        <v>15</v>
      </c>
      <c r="BW148" s="1640">
        <f>SUM(BT148:BV148)</f>
        <v>18</v>
      </c>
      <c r="BX148" s="1639"/>
      <c r="BY148" s="1638"/>
      <c r="BZ148" s="17">
        <v>7</v>
      </c>
      <c r="CA148" s="1640">
        <f>SUM(BX148:BZ148)</f>
        <v>7</v>
      </c>
      <c r="CB148" s="1639"/>
      <c r="CC148" s="17"/>
      <c r="CD148" s="1638"/>
      <c r="CE148" s="1640">
        <f t="shared" si="126"/>
        <v>0</v>
      </c>
      <c r="CF148" s="1641">
        <v>8</v>
      </c>
      <c r="CG148" s="17">
        <v>7</v>
      </c>
      <c r="CH148" s="1638"/>
      <c r="CI148" s="1640">
        <f t="shared" si="127"/>
        <v>15</v>
      </c>
      <c r="CJ148" s="1641">
        <v>6</v>
      </c>
      <c r="CK148" s="17">
        <v>3</v>
      </c>
      <c r="CL148" s="17">
        <v>9</v>
      </c>
      <c r="CM148" s="1642">
        <f t="shared" si="119"/>
        <v>18</v>
      </c>
      <c r="CN148" s="1641">
        <v>12</v>
      </c>
      <c r="CO148" s="17"/>
      <c r="CP148" s="17"/>
      <c r="CQ148" s="1642">
        <f t="shared" si="120"/>
        <v>12</v>
      </c>
      <c r="CR148" s="1641">
        <v>3</v>
      </c>
      <c r="CS148" s="17">
        <v>6</v>
      </c>
      <c r="CT148" s="17">
        <v>7</v>
      </c>
      <c r="CU148" s="1642">
        <f t="shared" si="80"/>
        <v>16</v>
      </c>
    </row>
    <row r="149" spans="1:118" ht="12.75" customHeight="1" x14ac:dyDescent="0.25">
      <c r="B149" s="1577"/>
      <c r="C149" s="1578" t="s">
        <v>111</v>
      </c>
      <c r="D149" s="1579"/>
      <c r="E149" s="1580"/>
      <c r="F149" s="1580"/>
      <c r="G149" s="1581"/>
      <c r="H149" s="1580"/>
      <c r="I149" s="1580"/>
      <c r="J149" s="1580"/>
      <c r="K149" s="1580"/>
      <c r="L149" s="1579"/>
      <c r="M149" s="1580"/>
      <c r="N149" s="1580"/>
      <c r="O149" s="1581"/>
      <c r="P149" s="1580"/>
      <c r="Q149" s="1580"/>
      <c r="R149" s="1580"/>
      <c r="S149" s="1580"/>
      <c r="T149" s="1579"/>
      <c r="U149" s="1580"/>
      <c r="V149" s="1580"/>
      <c r="W149" s="1581"/>
      <c r="X149" s="1580"/>
      <c r="Y149" s="1580"/>
      <c r="Z149" s="1580"/>
      <c r="AA149" s="1580"/>
      <c r="AB149" s="1579"/>
      <c r="AC149" s="1580"/>
      <c r="AD149" s="1580"/>
      <c r="AE149" s="1581"/>
      <c r="AF149" s="1580"/>
      <c r="AG149" s="1580"/>
      <c r="AH149" s="1580"/>
      <c r="AI149" s="1580"/>
      <c r="AJ149" s="1579"/>
      <c r="AK149" s="1580"/>
      <c r="AL149" s="1580"/>
      <c r="AM149" s="1581"/>
      <c r="AN149" s="1580"/>
      <c r="AO149" s="1580"/>
      <c r="AP149" s="1580"/>
      <c r="AQ149" s="1580"/>
      <c r="AR149" s="1579"/>
      <c r="AS149" s="1580"/>
      <c r="AT149" s="1580"/>
      <c r="AU149" s="1581"/>
      <c r="AV149" s="1580"/>
      <c r="AW149" s="1580"/>
      <c r="AX149" s="1580"/>
      <c r="AY149" s="1580"/>
      <c r="AZ149" s="1579"/>
      <c r="BA149" s="1580"/>
      <c r="BB149" s="1580"/>
      <c r="BC149" s="1581"/>
      <c r="BD149" s="1580"/>
      <c r="BE149" s="1580"/>
      <c r="BF149" s="1580"/>
      <c r="BG149" s="1580"/>
      <c r="BH149" s="1579">
        <f t="shared" ref="BH149:BO149" si="128">SUM(BH148)</f>
        <v>0</v>
      </c>
      <c r="BI149" s="1580">
        <f t="shared" si="128"/>
        <v>0</v>
      </c>
      <c r="BJ149" s="1580">
        <f t="shared" si="128"/>
        <v>0</v>
      </c>
      <c r="BK149" s="1581">
        <f t="shared" si="128"/>
        <v>0</v>
      </c>
      <c r="BL149" s="1579">
        <f t="shared" si="128"/>
        <v>0</v>
      </c>
      <c r="BM149" s="1580">
        <f t="shared" si="128"/>
        <v>0</v>
      </c>
      <c r="BN149" s="1580">
        <f t="shared" si="128"/>
        <v>8</v>
      </c>
      <c r="BO149" s="1581">
        <f t="shared" si="128"/>
        <v>8</v>
      </c>
      <c r="BP149" s="1579">
        <f t="shared" ref="BP149:CD149" si="129">SUM(BP148)</f>
        <v>0</v>
      </c>
      <c r="BQ149" s="1580">
        <f t="shared" si="129"/>
        <v>0</v>
      </c>
      <c r="BR149" s="1580">
        <f t="shared" si="129"/>
        <v>11</v>
      </c>
      <c r="BS149" s="1581">
        <f t="shared" si="129"/>
        <v>11</v>
      </c>
      <c r="BT149" s="1579">
        <f t="shared" si="129"/>
        <v>0</v>
      </c>
      <c r="BU149" s="1580">
        <f t="shared" si="129"/>
        <v>3</v>
      </c>
      <c r="BV149" s="1580">
        <f t="shared" si="129"/>
        <v>15</v>
      </c>
      <c r="BW149" s="1581">
        <f t="shared" si="129"/>
        <v>18</v>
      </c>
      <c r="BX149" s="1579">
        <f t="shared" si="129"/>
        <v>0</v>
      </c>
      <c r="BY149" s="1580">
        <f t="shared" si="129"/>
        <v>0</v>
      </c>
      <c r="BZ149" s="1580">
        <f t="shared" si="129"/>
        <v>7</v>
      </c>
      <c r="CA149" s="1581">
        <f t="shared" si="129"/>
        <v>7</v>
      </c>
      <c r="CB149" s="1579">
        <f t="shared" si="129"/>
        <v>0</v>
      </c>
      <c r="CC149" s="1580">
        <f t="shared" si="129"/>
        <v>0</v>
      </c>
      <c r="CD149" s="1580">
        <f t="shared" si="129"/>
        <v>0</v>
      </c>
      <c r="CE149" s="1581">
        <f t="shared" si="126"/>
        <v>0</v>
      </c>
      <c r="CF149" s="1579">
        <f>SUM(CF148)</f>
        <v>8</v>
      </c>
      <c r="CG149" s="1580">
        <f>SUM(CG148)</f>
        <v>7</v>
      </c>
      <c r="CH149" s="1580">
        <f>SUM(CH148)</f>
        <v>0</v>
      </c>
      <c r="CI149" s="1581">
        <f t="shared" si="127"/>
        <v>15</v>
      </c>
      <c r="CJ149" s="1579">
        <f>SUM(CJ148)</f>
        <v>6</v>
      </c>
      <c r="CK149" s="1580">
        <f>SUM(CK148)</f>
        <v>3</v>
      </c>
      <c r="CL149" s="1580">
        <f>SUM(CL148)</f>
        <v>9</v>
      </c>
      <c r="CM149" s="1582">
        <f t="shared" si="119"/>
        <v>18</v>
      </c>
      <c r="CN149" s="1579">
        <f>SUM(CN148)</f>
        <v>12</v>
      </c>
      <c r="CO149" s="1580">
        <f>SUM(CO148)</f>
        <v>0</v>
      </c>
      <c r="CP149" s="1580">
        <f>SUM(CP148)</f>
        <v>0</v>
      </c>
      <c r="CQ149" s="1582">
        <f t="shared" si="120"/>
        <v>12</v>
      </c>
      <c r="CR149" s="1579">
        <f>SUM(CR148)</f>
        <v>3</v>
      </c>
      <c r="CS149" s="1580">
        <f>SUM(CS148)</f>
        <v>6</v>
      </c>
      <c r="CT149" s="1580">
        <f>SUM(CT148)</f>
        <v>7</v>
      </c>
      <c r="CU149" s="1582">
        <f t="shared" si="80"/>
        <v>16</v>
      </c>
    </row>
    <row r="150" spans="1:118" ht="12.75" customHeight="1" x14ac:dyDescent="0.25">
      <c r="B150" s="1635" t="s">
        <v>308</v>
      </c>
      <c r="C150" s="1616" t="s">
        <v>491</v>
      </c>
      <c r="D150" s="1643"/>
      <c r="E150" s="1644"/>
      <c r="F150" s="1644"/>
      <c r="G150" s="1645"/>
      <c r="H150" s="1644"/>
      <c r="I150" s="1644"/>
      <c r="J150" s="1644"/>
      <c r="K150" s="1644"/>
      <c r="L150" s="1643"/>
      <c r="M150" s="1644"/>
      <c r="N150" s="1644"/>
      <c r="O150" s="1645"/>
      <c r="P150" s="1644"/>
      <c r="Q150" s="1644"/>
      <c r="R150" s="1644"/>
      <c r="S150" s="1644"/>
      <c r="T150" s="1643"/>
      <c r="U150" s="1644"/>
      <c r="V150" s="1644"/>
      <c r="W150" s="1645"/>
      <c r="X150" s="1644"/>
      <c r="Y150" s="1644"/>
      <c r="Z150" s="1644"/>
      <c r="AA150" s="1644"/>
      <c r="AB150" s="1643"/>
      <c r="AC150" s="1644"/>
      <c r="AD150" s="1644"/>
      <c r="AE150" s="1645"/>
      <c r="AF150" s="1644"/>
      <c r="AG150" s="1644"/>
      <c r="AH150" s="1644"/>
      <c r="AI150" s="1644"/>
      <c r="AJ150" s="1643"/>
      <c r="AK150" s="1644"/>
      <c r="AL150" s="1644"/>
      <c r="AM150" s="1645"/>
      <c r="AN150" s="1644"/>
      <c r="AO150" s="1644"/>
      <c r="AP150" s="1644"/>
      <c r="AQ150" s="1644"/>
      <c r="AR150" s="1643"/>
      <c r="AS150" s="1644"/>
      <c r="AT150" s="1644"/>
      <c r="AU150" s="1645"/>
      <c r="AV150" s="1644"/>
      <c r="AW150" s="1644"/>
      <c r="AX150" s="1644"/>
      <c r="AY150" s="1644"/>
      <c r="AZ150" s="1643"/>
      <c r="BA150" s="1644"/>
      <c r="BB150" s="1644"/>
      <c r="BC150" s="1645"/>
      <c r="BD150" s="1550"/>
      <c r="BE150" s="1547"/>
      <c r="BF150" s="1547"/>
      <c r="BG150" s="1646"/>
      <c r="BH150" s="1588"/>
      <c r="BI150" s="1588">
        <v>2</v>
      </c>
      <c r="BJ150" s="1547"/>
      <c r="BK150" s="1576">
        <f>SUM(BH150:BJ150)</f>
        <v>2</v>
      </c>
      <c r="BL150" s="1588"/>
      <c r="BM150" s="1588">
        <v>2</v>
      </c>
      <c r="BN150" s="1547"/>
      <c r="BO150" s="1576">
        <f>SUM(BL150:BN150)</f>
        <v>2</v>
      </c>
      <c r="BP150" s="1588"/>
      <c r="BQ150" s="1588">
        <v>2</v>
      </c>
      <c r="BR150" s="1547"/>
      <c r="BS150" s="1576">
        <f>SUM(BP150:BR150)</f>
        <v>2</v>
      </c>
      <c r="BT150" s="1588">
        <v>1</v>
      </c>
      <c r="BU150" s="1588">
        <v>1</v>
      </c>
      <c r="BV150" s="1547"/>
      <c r="BW150" s="1576">
        <f>SUM(BT150:BV150)</f>
        <v>2</v>
      </c>
      <c r="BX150" s="1588"/>
      <c r="BY150" s="1588">
        <v>1</v>
      </c>
      <c r="BZ150" s="1547"/>
      <c r="CA150" s="1576">
        <f>SUM(BX150:BZ150)</f>
        <v>1</v>
      </c>
      <c r="CB150" s="1588"/>
      <c r="CC150" s="1547"/>
      <c r="CD150" s="1588">
        <v>2</v>
      </c>
      <c r="CE150" s="1576">
        <f t="shared" si="126"/>
        <v>2</v>
      </c>
      <c r="CF150" s="1588"/>
      <c r="CG150" s="1547"/>
      <c r="CH150" s="1588"/>
      <c r="CI150" s="1576">
        <f t="shared" si="127"/>
        <v>0</v>
      </c>
      <c r="CJ150" s="1588"/>
      <c r="CK150" s="1547"/>
      <c r="CL150" s="1588"/>
      <c r="CM150" s="1576">
        <f t="shared" si="119"/>
        <v>0</v>
      </c>
      <c r="CN150" s="1588"/>
      <c r="CO150" s="1547"/>
      <c r="CP150" s="1588"/>
      <c r="CQ150" s="1576">
        <f t="shared" si="120"/>
        <v>0</v>
      </c>
      <c r="CR150" s="1588"/>
      <c r="CS150" s="1547"/>
      <c r="CT150" s="1588"/>
      <c r="CU150" s="1576">
        <f t="shared" si="80"/>
        <v>0</v>
      </c>
    </row>
    <row r="151" spans="1:118" ht="12.75" customHeight="1" x14ac:dyDescent="0.25">
      <c r="B151" s="4464" t="s">
        <v>310</v>
      </c>
      <c r="C151" s="4465" t="s">
        <v>491</v>
      </c>
      <c r="D151" s="4466"/>
      <c r="E151" s="4467"/>
      <c r="F151" s="4467"/>
      <c r="G151" s="4468"/>
      <c r="H151" s="4467"/>
      <c r="I151" s="4467"/>
      <c r="J151" s="4467"/>
      <c r="K151" s="4467"/>
      <c r="L151" s="4466"/>
      <c r="M151" s="4467"/>
      <c r="N151" s="4467"/>
      <c r="O151" s="4468"/>
      <c r="P151" s="4467"/>
      <c r="Q151" s="4467"/>
      <c r="R151" s="4467"/>
      <c r="S151" s="4467"/>
      <c r="T151" s="4466"/>
      <c r="U151" s="4467"/>
      <c r="V151" s="4467"/>
      <c r="W151" s="4468"/>
      <c r="X151" s="4467"/>
      <c r="Y151" s="4467"/>
      <c r="Z151" s="4467"/>
      <c r="AA151" s="4467"/>
      <c r="AB151" s="4466"/>
      <c r="AC151" s="4467"/>
      <c r="AD151" s="4467"/>
      <c r="AE151" s="4468"/>
      <c r="AF151" s="4467"/>
      <c r="AG151" s="4467"/>
      <c r="AH151" s="4467"/>
      <c r="AI151" s="4467"/>
      <c r="AJ151" s="4466"/>
      <c r="AK151" s="4467"/>
      <c r="AL151" s="4467"/>
      <c r="AM151" s="4468"/>
      <c r="AN151" s="4467"/>
      <c r="AO151" s="4467"/>
      <c r="AP151" s="4467"/>
      <c r="AQ151" s="4467"/>
      <c r="AR151" s="4466"/>
      <c r="AS151" s="4467"/>
      <c r="AT151" s="4467"/>
      <c r="AU151" s="4468"/>
      <c r="AV151" s="4467"/>
      <c r="AW151" s="4467"/>
      <c r="AX151" s="4467"/>
      <c r="AY151" s="4467"/>
      <c r="AZ151" s="4466"/>
      <c r="BA151" s="4467"/>
      <c r="BB151" s="4467"/>
      <c r="BC151" s="4468"/>
      <c r="BD151" s="4466"/>
      <c r="BE151" s="4467"/>
      <c r="BF151" s="4467"/>
      <c r="BG151" s="4468"/>
      <c r="BH151" s="4467"/>
      <c r="BI151" s="4469"/>
      <c r="BJ151" s="4467"/>
      <c r="BK151" s="4470">
        <f>SUM(BH151:BJ151)</f>
        <v>0</v>
      </c>
      <c r="BL151" s="4467"/>
      <c r="BM151" s="4469"/>
      <c r="BN151" s="4471">
        <v>1</v>
      </c>
      <c r="BO151" s="4470">
        <f>SUM(BL151:BN151)</f>
        <v>1</v>
      </c>
      <c r="BP151" s="4467"/>
      <c r="BQ151" s="4469">
        <v>5</v>
      </c>
      <c r="BR151" s="4471">
        <v>1</v>
      </c>
      <c r="BS151" s="4470">
        <f>SUM(BP151:BR151)</f>
        <v>6</v>
      </c>
      <c r="BT151" s="4467">
        <v>4</v>
      </c>
      <c r="BU151" s="4469">
        <v>1</v>
      </c>
      <c r="BV151" s="4471">
        <v>4</v>
      </c>
      <c r="BW151" s="4470">
        <f>SUM(BT151:BV151)</f>
        <v>9</v>
      </c>
      <c r="BX151" s="4467">
        <v>1</v>
      </c>
      <c r="BY151" s="4469">
        <v>4</v>
      </c>
      <c r="BZ151" s="4471">
        <v>2</v>
      </c>
      <c r="CA151" s="4470">
        <f>SUM(BX151:BZ151)</f>
        <v>7</v>
      </c>
      <c r="CB151" s="4467">
        <v>2</v>
      </c>
      <c r="CC151" s="4471">
        <v>3</v>
      </c>
      <c r="CD151" s="4469">
        <v>1</v>
      </c>
      <c r="CE151" s="4470">
        <f t="shared" si="126"/>
        <v>6</v>
      </c>
      <c r="CF151" s="4467">
        <v>4</v>
      </c>
      <c r="CG151" s="4471">
        <v>4</v>
      </c>
      <c r="CH151" s="4469">
        <v>2</v>
      </c>
      <c r="CI151" s="4470">
        <f t="shared" si="127"/>
        <v>10</v>
      </c>
      <c r="CJ151" s="4467">
        <v>3</v>
      </c>
      <c r="CK151" s="4471"/>
      <c r="CL151" s="4469">
        <v>3</v>
      </c>
      <c r="CM151" s="4470">
        <f t="shared" si="119"/>
        <v>6</v>
      </c>
      <c r="CN151" s="4467"/>
      <c r="CO151" s="4471">
        <v>1</v>
      </c>
      <c r="CP151" s="4469">
        <v>3</v>
      </c>
      <c r="CQ151" s="4470">
        <f t="shared" si="120"/>
        <v>4</v>
      </c>
      <c r="CR151" s="4467">
        <v>2</v>
      </c>
      <c r="CS151" s="4471">
        <v>3</v>
      </c>
      <c r="CT151" s="4469">
        <v>2</v>
      </c>
      <c r="CU151" s="4470">
        <f t="shared" si="80"/>
        <v>7</v>
      </c>
    </row>
    <row r="152" spans="1:118" ht="12.75" customHeight="1" x14ac:dyDescent="0.25">
      <c r="B152" s="5886" t="s">
        <v>317</v>
      </c>
      <c r="C152" s="1616" t="s">
        <v>491</v>
      </c>
      <c r="D152" s="1643"/>
      <c r="E152" s="1644"/>
      <c r="F152" s="1644"/>
      <c r="G152" s="1645"/>
      <c r="H152" s="1644"/>
      <c r="I152" s="1644"/>
      <c r="J152" s="1644"/>
      <c r="K152" s="1644"/>
      <c r="L152" s="1643"/>
      <c r="M152" s="1644"/>
      <c r="N152" s="1644"/>
      <c r="O152" s="1645"/>
      <c r="P152" s="1644"/>
      <c r="Q152" s="1644"/>
      <c r="R152" s="1644"/>
      <c r="S152" s="1644"/>
      <c r="T152" s="1643"/>
      <c r="U152" s="1644"/>
      <c r="V152" s="1644"/>
      <c r="W152" s="1645"/>
      <c r="X152" s="1644"/>
      <c r="Y152" s="1644"/>
      <c r="Z152" s="1644"/>
      <c r="AA152" s="1644"/>
      <c r="AB152" s="1643"/>
      <c r="AC152" s="1644"/>
      <c r="AD152" s="1644"/>
      <c r="AE152" s="1645"/>
      <c r="AF152" s="1644"/>
      <c r="AG152" s="1644"/>
      <c r="AH152" s="1644"/>
      <c r="AI152" s="1644"/>
      <c r="AJ152" s="1643"/>
      <c r="AK152" s="1644"/>
      <c r="AL152" s="1644"/>
      <c r="AM152" s="1645"/>
      <c r="AN152" s="1644"/>
      <c r="AO152" s="1644"/>
      <c r="AP152" s="1644"/>
      <c r="AQ152" s="1644"/>
      <c r="AR152" s="1643"/>
      <c r="AS152" s="1644"/>
      <c r="AT152" s="1644"/>
      <c r="AU152" s="1645"/>
      <c r="AV152" s="1644"/>
      <c r="AW152" s="1644"/>
      <c r="AX152" s="1644"/>
      <c r="AY152" s="1644"/>
      <c r="AZ152" s="1643"/>
      <c r="BA152" s="1644"/>
      <c r="BB152" s="1644"/>
      <c r="BC152" s="1645"/>
      <c r="BD152" s="1643"/>
      <c r="BE152" s="1644"/>
      <c r="BF152" s="1644"/>
      <c r="BG152" s="1645"/>
      <c r="BH152" s="1644"/>
      <c r="BI152" s="1588"/>
      <c r="BJ152" s="1644"/>
      <c r="BK152" s="1576">
        <f>SUM(BH152:BJ152)</f>
        <v>0</v>
      </c>
      <c r="BL152" s="1644"/>
      <c r="BM152" s="1588"/>
      <c r="BN152" s="1644"/>
      <c r="BO152" s="1576">
        <f>SUM(BL152:BN152)</f>
        <v>0</v>
      </c>
      <c r="BP152" s="1644"/>
      <c r="BQ152" s="1588">
        <v>1</v>
      </c>
      <c r="BR152" s="1644"/>
      <c r="BS152" s="1576">
        <f>SUM(BP152:BR152)</f>
        <v>1</v>
      </c>
      <c r="BT152" s="1644"/>
      <c r="BU152" s="1588"/>
      <c r="BV152" s="1644"/>
      <c r="BW152" s="1576">
        <f>SUM(BT152:BV152)</f>
        <v>0</v>
      </c>
      <c r="BX152" s="1644"/>
      <c r="BY152" s="1588"/>
      <c r="BZ152" s="1644">
        <v>2</v>
      </c>
      <c r="CA152" s="1576">
        <f>SUM(BX152:BZ152)</f>
        <v>2</v>
      </c>
      <c r="CB152" s="1644">
        <v>4</v>
      </c>
      <c r="CC152" s="1644"/>
      <c r="CD152" s="1588"/>
      <c r="CE152" s="1576">
        <f t="shared" si="126"/>
        <v>4</v>
      </c>
      <c r="CF152" s="1644">
        <v>1</v>
      </c>
      <c r="CG152" s="1644"/>
      <c r="CH152" s="1588">
        <v>5</v>
      </c>
      <c r="CI152" s="1576">
        <f t="shared" si="127"/>
        <v>6</v>
      </c>
      <c r="CJ152" s="1644"/>
      <c r="CK152" s="1644"/>
      <c r="CL152" s="1588">
        <v>2</v>
      </c>
      <c r="CM152" s="1576">
        <f>SUM(CJ152:CL152)</f>
        <v>2</v>
      </c>
      <c r="CN152" s="1644"/>
      <c r="CO152" s="1644">
        <v>1</v>
      </c>
      <c r="CP152" s="1588"/>
      <c r="CQ152" s="1576">
        <f t="shared" ref="CQ152:CQ159" si="130">SUM(CN152:CP152)</f>
        <v>1</v>
      </c>
      <c r="CR152" s="1644">
        <v>1</v>
      </c>
      <c r="CS152" s="1644">
        <v>1</v>
      </c>
      <c r="CT152" s="1588"/>
      <c r="CU152" s="1576">
        <f t="shared" si="80"/>
        <v>2</v>
      </c>
    </row>
    <row r="153" spans="1:118" ht="12.75" customHeight="1" x14ac:dyDescent="0.25">
      <c r="B153" s="5887"/>
      <c r="C153" s="1647" t="s">
        <v>354</v>
      </c>
      <c r="D153" s="1648"/>
      <c r="E153" s="24"/>
      <c r="F153" s="24"/>
      <c r="G153" s="1649"/>
      <c r="H153" s="24"/>
      <c r="I153" s="24"/>
      <c r="J153" s="24"/>
      <c r="K153" s="24"/>
      <c r="L153" s="1648"/>
      <c r="M153" s="24"/>
      <c r="N153" s="24"/>
      <c r="O153" s="1649"/>
      <c r="P153" s="24"/>
      <c r="Q153" s="24"/>
      <c r="R153" s="24"/>
      <c r="S153" s="24"/>
      <c r="T153" s="1648"/>
      <c r="U153" s="24"/>
      <c r="V153" s="24"/>
      <c r="W153" s="1649"/>
      <c r="X153" s="24"/>
      <c r="Y153" s="24"/>
      <c r="Z153" s="24"/>
      <c r="AA153" s="24"/>
      <c r="AB153" s="1648"/>
      <c r="AC153" s="24"/>
      <c r="AD153" s="24"/>
      <c r="AE153" s="1649"/>
      <c r="AF153" s="24"/>
      <c r="AG153" s="24"/>
      <c r="AH153" s="24"/>
      <c r="AI153" s="24"/>
      <c r="AJ153" s="1648"/>
      <c r="AK153" s="24"/>
      <c r="AL153" s="24"/>
      <c r="AM153" s="1649"/>
      <c r="AN153" s="24"/>
      <c r="AO153" s="24"/>
      <c r="AP153" s="24"/>
      <c r="AQ153" s="24"/>
      <c r="AR153" s="1648"/>
      <c r="AS153" s="24"/>
      <c r="AT153" s="24"/>
      <c r="AU153" s="1649"/>
      <c r="AV153" s="24"/>
      <c r="AW153" s="24"/>
      <c r="AX153" s="24"/>
      <c r="AY153" s="24"/>
      <c r="AZ153" s="1648"/>
      <c r="BA153" s="24"/>
      <c r="BB153" s="24"/>
      <c r="BC153" s="1649"/>
      <c r="BD153" s="1648"/>
      <c r="BE153" s="24"/>
      <c r="BF153" s="24"/>
      <c r="BG153" s="1649"/>
      <c r="BH153" s="24"/>
      <c r="BI153" s="10"/>
      <c r="BJ153" s="24"/>
      <c r="BK153" s="1600"/>
      <c r="BL153" s="24"/>
      <c r="BM153" s="10"/>
      <c r="BN153" s="24"/>
      <c r="BO153" s="1600"/>
      <c r="BP153" s="24"/>
      <c r="BQ153" s="10"/>
      <c r="BR153" s="1568">
        <v>1</v>
      </c>
      <c r="BS153" s="1576">
        <f>SUM(BP153:BR153)</f>
        <v>1</v>
      </c>
      <c r="BT153" s="24"/>
      <c r="BU153" s="10"/>
      <c r="BV153" s="1568"/>
      <c r="BW153" s="1576">
        <f>SUM(BT153:BV153)</f>
        <v>0</v>
      </c>
      <c r="BX153" s="24"/>
      <c r="BY153" s="10"/>
      <c r="BZ153" s="1568"/>
      <c r="CA153" s="1576">
        <f>SUM(BX153:BZ153)</f>
        <v>0</v>
      </c>
      <c r="CB153" s="24"/>
      <c r="CC153" s="1568"/>
      <c r="CD153" s="10"/>
      <c r="CE153" s="1576">
        <f t="shared" si="126"/>
        <v>0</v>
      </c>
      <c r="CF153" s="24"/>
      <c r="CG153" s="1568"/>
      <c r="CH153" s="10"/>
      <c r="CI153" s="1576">
        <f t="shared" si="127"/>
        <v>0</v>
      </c>
      <c r="CJ153" s="24"/>
      <c r="CK153" s="1568"/>
      <c r="CL153" s="10">
        <v>2</v>
      </c>
      <c r="CM153" s="1576">
        <f>SUM(CJ153:CL153)</f>
        <v>2</v>
      </c>
      <c r="CN153" s="4374"/>
      <c r="CO153" s="1568"/>
      <c r="CP153" s="10"/>
      <c r="CQ153" s="1576">
        <f t="shared" si="130"/>
        <v>0</v>
      </c>
      <c r="CR153" s="4374">
        <v>1</v>
      </c>
      <c r="CS153" s="1568"/>
      <c r="CT153" s="10">
        <v>1</v>
      </c>
      <c r="CU153" s="1576">
        <f t="shared" si="80"/>
        <v>2</v>
      </c>
    </row>
    <row r="154" spans="1:118" ht="12.75" customHeight="1" x14ac:dyDescent="0.25">
      <c r="B154" s="1577"/>
      <c r="C154" s="1578" t="s">
        <v>115</v>
      </c>
      <c r="D154" s="1579"/>
      <c r="E154" s="1580"/>
      <c r="F154" s="1580"/>
      <c r="G154" s="1581"/>
      <c r="H154" s="1580"/>
      <c r="I154" s="1580"/>
      <c r="J154" s="1580"/>
      <c r="K154" s="1580"/>
      <c r="L154" s="1579"/>
      <c r="M154" s="1580"/>
      <c r="N154" s="1580"/>
      <c r="O154" s="1581"/>
      <c r="P154" s="1580"/>
      <c r="Q154" s="1580"/>
      <c r="R154" s="1580"/>
      <c r="S154" s="1580"/>
      <c r="T154" s="1579"/>
      <c r="U154" s="1580"/>
      <c r="V154" s="1580"/>
      <c r="W154" s="1581"/>
      <c r="X154" s="1580"/>
      <c r="Y154" s="1580"/>
      <c r="Z154" s="1580"/>
      <c r="AA154" s="1580"/>
      <c r="AB154" s="1579"/>
      <c r="AC154" s="1580"/>
      <c r="AD154" s="1580"/>
      <c r="AE154" s="1581"/>
      <c r="AF154" s="1580"/>
      <c r="AG154" s="1580"/>
      <c r="AH154" s="1580"/>
      <c r="AI154" s="1580"/>
      <c r="AJ154" s="1579"/>
      <c r="AK154" s="1580"/>
      <c r="AL154" s="1580"/>
      <c r="AM154" s="1581"/>
      <c r="AN154" s="1580"/>
      <c r="AO154" s="1580"/>
      <c r="AP154" s="1580"/>
      <c r="AQ154" s="1580"/>
      <c r="AR154" s="1579"/>
      <c r="AS154" s="1580"/>
      <c r="AT154" s="1580"/>
      <c r="AU154" s="1581"/>
      <c r="AV154" s="1580"/>
      <c r="AW154" s="1580"/>
      <c r="AX154" s="1580"/>
      <c r="AY154" s="1580"/>
      <c r="AZ154" s="1579"/>
      <c r="BA154" s="1580"/>
      <c r="BB154" s="1580"/>
      <c r="BC154" s="1581"/>
      <c r="BD154" s="1579"/>
      <c r="BE154" s="1580"/>
      <c r="BF154" s="1580"/>
      <c r="BG154" s="1581"/>
      <c r="BH154" s="1580">
        <f t="shared" ref="BH154:BO154" si="131">SUM(BH150:BH152)</f>
        <v>0</v>
      </c>
      <c r="BI154" s="1580">
        <f t="shared" si="131"/>
        <v>2</v>
      </c>
      <c r="BJ154" s="1580">
        <f t="shared" si="131"/>
        <v>0</v>
      </c>
      <c r="BK154" s="1581">
        <f t="shared" si="131"/>
        <v>2</v>
      </c>
      <c r="BL154" s="1580">
        <f t="shared" si="131"/>
        <v>0</v>
      </c>
      <c r="BM154" s="1580">
        <f t="shared" si="131"/>
        <v>2</v>
      </c>
      <c r="BN154" s="1580">
        <f t="shared" si="131"/>
        <v>1</v>
      </c>
      <c r="BO154" s="1581">
        <f t="shared" si="131"/>
        <v>3</v>
      </c>
      <c r="BP154" s="1579">
        <f>SUM(BP150:BP152)</f>
        <v>0</v>
      </c>
      <c r="BQ154" s="1580">
        <f>SUM(BQ150:BQ153)</f>
        <v>8</v>
      </c>
      <c r="BR154" s="1580">
        <f>SUM(BR150:BR153)</f>
        <v>2</v>
      </c>
      <c r="BS154" s="1581">
        <f>SUM(BS150:BS153)</f>
        <v>10</v>
      </c>
      <c r="BT154" s="1579">
        <f>SUM(BT150:BT152)</f>
        <v>5</v>
      </c>
      <c r="BU154" s="1580">
        <f>SUM(BU150:BU153)</f>
        <v>2</v>
      </c>
      <c r="BV154" s="1580">
        <f>SUM(BV150:BV153)</f>
        <v>4</v>
      </c>
      <c r="BW154" s="1581">
        <f>SUM(BW150:BW153)</f>
        <v>11</v>
      </c>
      <c r="BX154" s="1579">
        <f>SUM(BX150:BX152)</f>
        <v>1</v>
      </c>
      <c r="BY154" s="1580">
        <f>SUM(BY150:BY153)</f>
        <v>5</v>
      </c>
      <c r="BZ154" s="1580">
        <f>SUM(BZ150:BZ153)</f>
        <v>4</v>
      </c>
      <c r="CA154" s="1581">
        <f>SUM(CA150:CA153)</f>
        <v>10</v>
      </c>
      <c r="CB154" s="1579">
        <f>SUM(CB150:CB152)</f>
        <v>6</v>
      </c>
      <c r="CC154" s="1580">
        <f>SUM(CC150:CC153)</f>
        <v>3</v>
      </c>
      <c r="CD154" s="1580">
        <f>SUM(CD150:CD153)</f>
        <v>3</v>
      </c>
      <c r="CE154" s="1581">
        <f t="shared" si="126"/>
        <v>12</v>
      </c>
      <c r="CF154" s="1579">
        <f>SUM(CF150:CF152)</f>
        <v>5</v>
      </c>
      <c r="CG154" s="1580">
        <f>SUM(CG150:CG153)</f>
        <v>4</v>
      </c>
      <c r="CH154" s="1580">
        <f>SUM(CH150:CH153)</f>
        <v>7</v>
      </c>
      <c r="CI154" s="1581">
        <f t="shared" si="127"/>
        <v>16</v>
      </c>
      <c r="CJ154" s="1579">
        <f>SUM(CJ150:CJ152)</f>
        <v>3</v>
      </c>
      <c r="CK154" s="1580">
        <f>SUM(CK150:CK153)</f>
        <v>0</v>
      </c>
      <c r="CL154" s="1580">
        <f>SUM(CL150:CL153)</f>
        <v>7</v>
      </c>
      <c r="CM154" s="1581">
        <f>SUM(CJ154:CL154)</f>
        <v>10</v>
      </c>
      <c r="CN154" s="1579">
        <f>SUM(CN150:CN152)</f>
        <v>0</v>
      </c>
      <c r="CO154" s="1580">
        <f>SUM(CO150:CO153)</f>
        <v>2</v>
      </c>
      <c r="CP154" s="1580">
        <f>SUM(CP150:CP153)</f>
        <v>3</v>
      </c>
      <c r="CQ154" s="1581">
        <f t="shared" si="130"/>
        <v>5</v>
      </c>
      <c r="CR154" s="1579">
        <f>SUM(CR150:CR153)</f>
        <v>4</v>
      </c>
      <c r="CS154" s="1580">
        <f>SUM(CS150:CS153)</f>
        <v>4</v>
      </c>
      <c r="CT154" s="1580">
        <f>SUM(CT150:CT153)</f>
        <v>3</v>
      </c>
      <c r="CU154" s="1581">
        <f t="shared" si="80"/>
        <v>11</v>
      </c>
    </row>
    <row r="155" spans="1:118" ht="14.4" x14ac:dyDescent="0.25">
      <c r="B155" s="4960"/>
      <c r="C155" s="1650" t="s">
        <v>355</v>
      </c>
      <c r="D155" s="1651"/>
      <c r="E155" s="1651"/>
      <c r="F155" s="1651"/>
      <c r="G155" s="1651"/>
      <c r="H155" s="1651"/>
      <c r="I155" s="1651"/>
      <c r="J155" s="1651"/>
      <c r="K155" s="1651"/>
      <c r="L155" s="1651"/>
      <c r="M155" s="1651"/>
      <c r="N155" s="1651"/>
      <c r="O155" s="1651"/>
      <c r="P155" s="1651"/>
      <c r="Q155" s="1651"/>
      <c r="R155" s="1651"/>
      <c r="S155" s="1651"/>
      <c r="T155" s="1651"/>
      <c r="U155" s="1651"/>
      <c r="V155" s="1651"/>
      <c r="W155" s="1651"/>
      <c r="X155" s="1651"/>
      <c r="Y155" s="1651"/>
      <c r="Z155" s="1651"/>
      <c r="AA155" s="1651"/>
      <c r="AB155" s="1651"/>
      <c r="AC155" s="1651"/>
      <c r="AD155" s="1651"/>
      <c r="AE155" s="1651"/>
      <c r="AF155" s="1651"/>
      <c r="AG155" s="1651"/>
      <c r="AH155" s="1651"/>
      <c r="AI155" s="1651"/>
      <c r="AJ155" s="1651"/>
      <c r="AK155" s="1651"/>
      <c r="AL155" s="1651"/>
      <c r="AM155" s="1651"/>
      <c r="AN155" s="1651"/>
      <c r="AO155" s="1651"/>
      <c r="AP155" s="1651"/>
      <c r="AQ155" s="1651"/>
      <c r="AR155" s="1651"/>
      <c r="AS155" s="1651"/>
      <c r="AT155" s="1651"/>
      <c r="AU155" s="1651"/>
      <c r="AV155" s="1651"/>
      <c r="AW155" s="1651"/>
      <c r="AX155" s="1651"/>
      <c r="AY155" s="1651"/>
      <c r="AZ155" s="1651"/>
      <c r="BA155" s="1651"/>
      <c r="BB155" s="1651"/>
      <c r="BC155" s="1651"/>
      <c r="BD155" s="1651"/>
      <c r="BE155" s="1651"/>
      <c r="BF155" s="1651"/>
      <c r="BG155" s="1651"/>
      <c r="BH155" s="1652">
        <f t="shared" ref="BH155:CD155" si="132">SUM(BH147,BH149,BH154)</f>
        <v>5</v>
      </c>
      <c r="BI155" s="1652">
        <f t="shared" si="132"/>
        <v>5</v>
      </c>
      <c r="BJ155" s="1652">
        <f t="shared" si="132"/>
        <v>2</v>
      </c>
      <c r="BK155" s="1653">
        <f t="shared" si="132"/>
        <v>12</v>
      </c>
      <c r="BL155" s="1652">
        <f t="shared" si="132"/>
        <v>3</v>
      </c>
      <c r="BM155" s="1652">
        <f t="shared" si="132"/>
        <v>4</v>
      </c>
      <c r="BN155" s="1652">
        <f t="shared" si="132"/>
        <v>12</v>
      </c>
      <c r="BO155" s="1653">
        <f t="shared" si="132"/>
        <v>19</v>
      </c>
      <c r="BP155" s="1652">
        <f t="shared" si="132"/>
        <v>3</v>
      </c>
      <c r="BQ155" s="1652">
        <f t="shared" si="132"/>
        <v>10</v>
      </c>
      <c r="BR155" s="1652">
        <f t="shared" si="132"/>
        <v>18</v>
      </c>
      <c r="BS155" s="1653">
        <f t="shared" si="132"/>
        <v>31</v>
      </c>
      <c r="BT155" s="1652">
        <f t="shared" si="132"/>
        <v>8</v>
      </c>
      <c r="BU155" s="1652">
        <f t="shared" si="132"/>
        <v>8</v>
      </c>
      <c r="BV155" s="1652">
        <f t="shared" si="132"/>
        <v>25</v>
      </c>
      <c r="BW155" s="1653">
        <f t="shared" si="132"/>
        <v>41</v>
      </c>
      <c r="BX155" s="1652">
        <f t="shared" si="132"/>
        <v>14</v>
      </c>
      <c r="BY155" s="1652">
        <f t="shared" si="132"/>
        <v>6</v>
      </c>
      <c r="BZ155" s="1652">
        <f t="shared" si="132"/>
        <v>18</v>
      </c>
      <c r="CA155" s="1653">
        <f t="shared" si="132"/>
        <v>38</v>
      </c>
      <c r="CB155" s="1652">
        <f t="shared" si="132"/>
        <v>13</v>
      </c>
      <c r="CC155" s="1652">
        <f t="shared" si="132"/>
        <v>10</v>
      </c>
      <c r="CD155" s="1652">
        <f t="shared" si="132"/>
        <v>5</v>
      </c>
      <c r="CE155" s="1653">
        <f t="shared" si="126"/>
        <v>28</v>
      </c>
      <c r="CF155" s="1652">
        <f>SUM(CF147,CF149,CF154)</f>
        <v>21</v>
      </c>
      <c r="CG155" s="1652">
        <f>SUM(CG147,CG149,CG154)</f>
        <v>17</v>
      </c>
      <c r="CH155" s="1652">
        <f>SUM(CH147,CH149,CH154)</f>
        <v>11</v>
      </c>
      <c r="CI155" s="1653">
        <f t="shared" si="127"/>
        <v>49</v>
      </c>
      <c r="CJ155" s="1652">
        <f>SUM(CJ147,CJ149,CJ154)</f>
        <v>9</v>
      </c>
      <c r="CK155" s="1652">
        <f>SUM(CK147,CK149,CK154)</f>
        <v>8</v>
      </c>
      <c r="CL155" s="1652">
        <f>SUM(CL147,CL149,CL154)</f>
        <v>22</v>
      </c>
      <c r="CM155" s="1653">
        <f>SUM(CJ155:CL155)</f>
        <v>39</v>
      </c>
      <c r="CN155" s="1652">
        <f>SUM(CN147,CN149,CN154)</f>
        <v>15</v>
      </c>
      <c r="CO155" s="1652">
        <f>SUM(CO147,CO149,CO154)</f>
        <v>3</v>
      </c>
      <c r="CP155" s="1652">
        <f>SUM(CP147,CP149,CP154)</f>
        <v>6</v>
      </c>
      <c r="CQ155" s="1653">
        <f t="shared" si="130"/>
        <v>24</v>
      </c>
      <c r="CR155" s="1652">
        <f>SUM(CR147,CR149,CR154)</f>
        <v>12</v>
      </c>
      <c r="CS155" s="1652">
        <f>SUM(CS147,CS149,CS154)</f>
        <v>15</v>
      </c>
      <c r="CT155" s="1652">
        <f>SUM(CT147,CT149,CT154)</f>
        <v>12</v>
      </c>
      <c r="CU155" s="1653">
        <f t="shared" si="80"/>
        <v>39</v>
      </c>
    </row>
    <row r="156" spans="1:118" ht="14.4" x14ac:dyDescent="0.25">
      <c r="B156" s="4961" t="s">
        <v>317</v>
      </c>
      <c r="C156" s="1647" t="s">
        <v>354</v>
      </c>
      <c r="D156" s="1648"/>
      <c r="E156" s="4374"/>
      <c r="F156" s="4374"/>
      <c r="G156" s="1649"/>
      <c r="H156" s="4374"/>
      <c r="I156" s="4374"/>
      <c r="J156" s="4374"/>
      <c r="K156" s="4374"/>
      <c r="L156" s="1648"/>
      <c r="M156" s="4374"/>
      <c r="N156" s="4374"/>
      <c r="O156" s="1649"/>
      <c r="P156" s="4374"/>
      <c r="Q156" s="4374"/>
      <c r="R156" s="4374"/>
      <c r="S156" s="4374"/>
      <c r="T156" s="1648"/>
      <c r="U156" s="4374"/>
      <c r="V156" s="4374"/>
      <c r="W156" s="1649"/>
      <c r="X156" s="4374"/>
      <c r="Y156" s="4374"/>
      <c r="Z156" s="4374"/>
      <c r="AA156" s="4374"/>
      <c r="AB156" s="1648"/>
      <c r="AC156" s="4374"/>
      <c r="AD156" s="4374"/>
      <c r="AE156" s="1649"/>
      <c r="AF156" s="4374"/>
      <c r="AG156" s="4374"/>
      <c r="AH156" s="4374"/>
      <c r="AI156" s="4374"/>
      <c r="AJ156" s="1648"/>
      <c r="AK156" s="4374"/>
      <c r="AL156" s="4374"/>
      <c r="AM156" s="1649"/>
      <c r="AN156" s="4374"/>
      <c r="AO156" s="4374"/>
      <c r="AP156" s="4374"/>
      <c r="AQ156" s="4374"/>
      <c r="AR156" s="1648"/>
      <c r="AS156" s="4374"/>
      <c r="AT156" s="4374"/>
      <c r="AU156" s="1649"/>
      <c r="AV156" s="4374"/>
      <c r="AW156" s="4374"/>
      <c r="AX156" s="4374"/>
      <c r="AY156" s="4374"/>
      <c r="AZ156" s="1648"/>
      <c r="BA156" s="4374"/>
      <c r="BB156" s="4374"/>
      <c r="BC156" s="1649"/>
      <c r="BD156" s="1648"/>
      <c r="BE156" s="4374"/>
      <c r="BF156" s="4374"/>
      <c r="BG156" s="1649"/>
      <c r="BH156" s="4374"/>
      <c r="BI156" s="10"/>
      <c r="BJ156" s="4374"/>
      <c r="BK156" s="1600"/>
      <c r="BL156" s="4374"/>
      <c r="BM156" s="10"/>
      <c r="BN156" s="4374"/>
      <c r="BO156" s="1600"/>
      <c r="BP156" s="4374"/>
      <c r="BQ156" s="10"/>
      <c r="BR156" s="1568">
        <v>1</v>
      </c>
      <c r="BS156" s="1576">
        <f>SUM(BP156:BR156)</f>
        <v>1</v>
      </c>
      <c r="BT156" s="4374"/>
      <c r="BU156" s="10"/>
      <c r="BV156" s="1568"/>
      <c r="BW156" s="1576">
        <f>SUM(BT156:BV156)</f>
        <v>0</v>
      </c>
      <c r="BX156" s="4374"/>
      <c r="BY156" s="10"/>
      <c r="BZ156" s="1568"/>
      <c r="CA156" s="1576">
        <f>SUM(BX156:BZ156)</f>
        <v>0</v>
      </c>
      <c r="CB156" s="4374"/>
      <c r="CC156" s="1568"/>
      <c r="CD156" s="10"/>
      <c r="CE156" s="1576">
        <f t="shared" ref="CE156" si="133">SUM(CB156:CD156)</f>
        <v>0</v>
      </c>
      <c r="CF156" s="4374"/>
      <c r="CG156" s="1568"/>
      <c r="CH156" s="10"/>
      <c r="CI156" s="1576">
        <f t="shared" ref="CI156" si="134">SUM(CF156:CH156)</f>
        <v>0</v>
      </c>
      <c r="CJ156" s="4374"/>
      <c r="CK156" s="1568"/>
      <c r="CL156" s="10">
        <v>2</v>
      </c>
      <c r="CM156" s="1576">
        <f>SUM(CJ156:CL156)</f>
        <v>2</v>
      </c>
      <c r="CN156" s="4374"/>
      <c r="CO156" s="1568"/>
      <c r="CP156" s="10">
        <v>1</v>
      </c>
      <c r="CQ156" s="1576">
        <f t="shared" si="130"/>
        <v>1</v>
      </c>
      <c r="CR156" s="4374"/>
      <c r="CS156" s="1568"/>
      <c r="CT156" s="10"/>
      <c r="CU156" s="1576">
        <f t="shared" si="80"/>
        <v>0</v>
      </c>
    </row>
    <row r="157" spans="1:118" ht="14.4" x14ac:dyDescent="0.25">
      <c r="B157" s="1577"/>
      <c r="C157" s="1578" t="s">
        <v>115</v>
      </c>
      <c r="D157" s="1579"/>
      <c r="E157" s="1580"/>
      <c r="F157" s="1580"/>
      <c r="G157" s="1581"/>
      <c r="H157" s="1580"/>
      <c r="I157" s="1580"/>
      <c r="J157" s="1580"/>
      <c r="K157" s="1580"/>
      <c r="L157" s="1579"/>
      <c r="M157" s="1580"/>
      <c r="N157" s="1580"/>
      <c r="O157" s="1581"/>
      <c r="P157" s="1580"/>
      <c r="Q157" s="1580"/>
      <c r="R157" s="1580"/>
      <c r="S157" s="1580"/>
      <c r="T157" s="1579"/>
      <c r="U157" s="1580"/>
      <c r="V157" s="1580"/>
      <c r="W157" s="1581"/>
      <c r="X157" s="1580"/>
      <c r="Y157" s="1580"/>
      <c r="Z157" s="1580"/>
      <c r="AA157" s="1580"/>
      <c r="AB157" s="1579"/>
      <c r="AC157" s="1580"/>
      <c r="AD157" s="1580"/>
      <c r="AE157" s="1581"/>
      <c r="AF157" s="1580"/>
      <c r="AG157" s="1580"/>
      <c r="AH157" s="1580"/>
      <c r="AI157" s="1580"/>
      <c r="AJ157" s="1579"/>
      <c r="AK157" s="1580"/>
      <c r="AL157" s="1580"/>
      <c r="AM157" s="1581"/>
      <c r="AN157" s="1580"/>
      <c r="AO157" s="1580"/>
      <c r="AP157" s="1580"/>
      <c r="AQ157" s="1580"/>
      <c r="AR157" s="1579"/>
      <c r="AS157" s="1580"/>
      <c r="AT157" s="1580"/>
      <c r="AU157" s="1581"/>
      <c r="AV157" s="1580"/>
      <c r="AW157" s="1580"/>
      <c r="AX157" s="1580"/>
      <c r="AY157" s="1580"/>
      <c r="AZ157" s="1579"/>
      <c r="BA157" s="1580"/>
      <c r="BB157" s="1580"/>
      <c r="BC157" s="1581"/>
      <c r="BD157" s="1579"/>
      <c r="BE157" s="1580"/>
      <c r="BF157" s="1580"/>
      <c r="BG157" s="1581"/>
      <c r="BH157" s="1580"/>
      <c r="BI157" s="1580"/>
      <c r="BJ157" s="1580"/>
      <c r="BK157" s="1581"/>
      <c r="BL157" s="1580"/>
      <c r="BM157" s="1580"/>
      <c r="BN157" s="1580"/>
      <c r="BO157" s="1581"/>
      <c r="BP157" s="1579"/>
      <c r="BQ157" s="1580"/>
      <c r="BR157" s="1580"/>
      <c r="BS157" s="1581"/>
      <c r="BT157" s="1579"/>
      <c r="BU157" s="1580"/>
      <c r="BV157" s="1580"/>
      <c r="BW157" s="1581"/>
      <c r="BX157" s="1579"/>
      <c r="BY157" s="1580"/>
      <c r="BZ157" s="1580"/>
      <c r="CA157" s="1581"/>
      <c r="CB157" s="1579"/>
      <c r="CC157" s="1580"/>
      <c r="CD157" s="1580"/>
      <c r="CE157" s="1581"/>
      <c r="CF157" s="1579"/>
      <c r="CG157" s="1580"/>
      <c r="CH157" s="1580"/>
      <c r="CI157" s="1581"/>
      <c r="CJ157" s="1579"/>
      <c r="CK157" s="1580"/>
      <c r="CL157" s="1580"/>
      <c r="CM157" s="1581"/>
      <c r="CN157" s="1579"/>
      <c r="CO157" s="1580"/>
      <c r="CP157" s="1580">
        <f>SUM(CP156)</f>
        <v>1</v>
      </c>
      <c r="CQ157" s="1581">
        <f t="shared" si="130"/>
        <v>1</v>
      </c>
      <c r="CR157" s="1579"/>
      <c r="CS157" s="1580"/>
      <c r="CT157" s="1580">
        <f>SUM(CT156)</f>
        <v>0</v>
      </c>
      <c r="CU157" s="1581">
        <f t="shared" si="80"/>
        <v>0</v>
      </c>
    </row>
    <row r="158" spans="1:118" ht="14.4" x14ac:dyDescent="0.25">
      <c r="B158" s="4960"/>
      <c r="C158" s="4962" t="s">
        <v>389</v>
      </c>
      <c r="D158" s="4963"/>
      <c r="E158" s="4963"/>
      <c r="F158" s="4963"/>
      <c r="G158" s="4963"/>
      <c r="H158" s="4963"/>
      <c r="I158" s="4963"/>
      <c r="J158" s="4963"/>
      <c r="K158" s="4963"/>
      <c r="L158" s="4963"/>
      <c r="M158" s="4963"/>
      <c r="N158" s="4963"/>
      <c r="O158" s="4963"/>
      <c r="P158" s="4963"/>
      <c r="Q158" s="4963"/>
      <c r="R158" s="4963"/>
      <c r="S158" s="4963"/>
      <c r="T158" s="4963"/>
      <c r="U158" s="4963"/>
      <c r="V158" s="4963"/>
      <c r="W158" s="4963"/>
      <c r="X158" s="4963"/>
      <c r="Y158" s="4963"/>
      <c r="Z158" s="4963"/>
      <c r="AA158" s="4963"/>
      <c r="AB158" s="4963"/>
      <c r="AC158" s="4963"/>
      <c r="AD158" s="4963"/>
      <c r="AE158" s="4963"/>
      <c r="AF158" s="4963"/>
      <c r="AG158" s="4963"/>
      <c r="AH158" s="4963"/>
      <c r="AI158" s="4963"/>
      <c r="AJ158" s="4963"/>
      <c r="AK158" s="4963"/>
      <c r="AL158" s="4963"/>
      <c r="AM158" s="4963"/>
      <c r="AN158" s="4963"/>
      <c r="AO158" s="4963"/>
      <c r="AP158" s="4963"/>
      <c r="AQ158" s="4963"/>
      <c r="AR158" s="4963"/>
      <c r="AS158" s="4963"/>
      <c r="AT158" s="4963"/>
      <c r="AU158" s="4963"/>
      <c r="AV158" s="4963"/>
      <c r="AW158" s="4963"/>
      <c r="AX158" s="4963"/>
      <c r="AY158" s="4963"/>
      <c r="AZ158" s="4963"/>
      <c r="BA158" s="4963"/>
      <c r="BB158" s="4963"/>
      <c r="BC158" s="4963"/>
      <c r="BD158" s="4963"/>
      <c r="BE158" s="4963"/>
      <c r="BF158" s="4963"/>
      <c r="BG158" s="4963"/>
      <c r="BH158" s="4964"/>
      <c r="BI158" s="4964"/>
      <c r="BJ158" s="4964"/>
      <c r="BK158" s="4965"/>
      <c r="BL158" s="4964"/>
      <c r="BM158" s="4964"/>
      <c r="BN158" s="4964"/>
      <c r="BO158" s="4965"/>
      <c r="BP158" s="4964"/>
      <c r="BQ158" s="4964"/>
      <c r="BR158" s="4964"/>
      <c r="BS158" s="4965"/>
      <c r="BT158" s="4964"/>
      <c r="BU158" s="4964"/>
      <c r="BV158" s="4964"/>
      <c r="BW158" s="4965"/>
      <c r="BX158" s="4964"/>
      <c r="BY158" s="4964"/>
      <c r="BZ158" s="4964"/>
      <c r="CA158" s="4965"/>
      <c r="CB158" s="4964"/>
      <c r="CC158" s="4964"/>
      <c r="CD158" s="4964"/>
      <c r="CE158" s="4965"/>
      <c r="CF158" s="4964"/>
      <c r="CG158" s="4964"/>
      <c r="CH158" s="4964"/>
      <c r="CI158" s="4965"/>
      <c r="CJ158" s="4964"/>
      <c r="CK158" s="4964"/>
      <c r="CL158" s="4964"/>
      <c r="CM158" s="4965"/>
      <c r="CN158" s="4964"/>
      <c r="CO158" s="4964"/>
      <c r="CP158" s="4964">
        <f>SUM(CP150,CP152,CP157)</f>
        <v>1</v>
      </c>
      <c r="CQ158" s="4965">
        <f t="shared" si="130"/>
        <v>1</v>
      </c>
      <c r="CR158" s="4964"/>
      <c r="CS158" s="4964"/>
      <c r="CT158" s="4964">
        <f>SUM(CT150,CT152,CT157)</f>
        <v>0</v>
      </c>
      <c r="CU158" s="4965">
        <f t="shared" ref="CU158:CU159" si="135">SUM(CR158:CT158)</f>
        <v>0</v>
      </c>
    </row>
    <row r="159" spans="1:118" s="749" customFormat="1" ht="14.4" x14ac:dyDescent="0.25">
      <c r="A159" s="746"/>
      <c r="B159" s="5883" t="s">
        <v>128</v>
      </c>
      <c r="C159" s="5884"/>
      <c r="D159" s="1654">
        <f t="shared" ref="D159:AI159" si="136">SUM(D53,D101,D144)</f>
        <v>32</v>
      </c>
      <c r="E159" s="1655">
        <f t="shared" si="136"/>
        <v>69</v>
      </c>
      <c r="F159" s="1655">
        <f t="shared" si="136"/>
        <v>132</v>
      </c>
      <c r="G159" s="1655">
        <f t="shared" si="136"/>
        <v>233</v>
      </c>
      <c r="H159" s="1654">
        <f t="shared" si="136"/>
        <v>45</v>
      </c>
      <c r="I159" s="1655">
        <f t="shared" si="136"/>
        <v>82</v>
      </c>
      <c r="J159" s="1655">
        <f t="shared" si="136"/>
        <v>86</v>
      </c>
      <c r="K159" s="1655">
        <f t="shared" si="136"/>
        <v>213</v>
      </c>
      <c r="L159" s="1654">
        <f t="shared" si="136"/>
        <v>60</v>
      </c>
      <c r="M159" s="1655">
        <f t="shared" si="136"/>
        <v>151</v>
      </c>
      <c r="N159" s="1655">
        <f t="shared" si="136"/>
        <v>128</v>
      </c>
      <c r="O159" s="1655">
        <f t="shared" si="136"/>
        <v>339</v>
      </c>
      <c r="P159" s="1654">
        <f t="shared" si="136"/>
        <v>80</v>
      </c>
      <c r="Q159" s="1655">
        <f t="shared" si="136"/>
        <v>397</v>
      </c>
      <c r="R159" s="1655">
        <f t="shared" si="136"/>
        <v>138</v>
      </c>
      <c r="S159" s="1655">
        <f t="shared" si="136"/>
        <v>615</v>
      </c>
      <c r="T159" s="1654">
        <f t="shared" si="136"/>
        <v>108</v>
      </c>
      <c r="U159" s="1655">
        <f t="shared" si="136"/>
        <v>134</v>
      </c>
      <c r="V159" s="1655">
        <f t="shared" si="136"/>
        <v>147</v>
      </c>
      <c r="W159" s="1655">
        <f t="shared" si="136"/>
        <v>389</v>
      </c>
      <c r="X159" s="1654">
        <f t="shared" si="136"/>
        <v>102</v>
      </c>
      <c r="Y159" s="1655">
        <f t="shared" si="136"/>
        <v>219</v>
      </c>
      <c r="Z159" s="1655">
        <f t="shared" si="136"/>
        <v>154</v>
      </c>
      <c r="AA159" s="1655">
        <f t="shared" si="136"/>
        <v>475</v>
      </c>
      <c r="AB159" s="1654">
        <f t="shared" si="136"/>
        <v>116</v>
      </c>
      <c r="AC159" s="1655">
        <f t="shared" si="136"/>
        <v>258</v>
      </c>
      <c r="AD159" s="1655">
        <f t="shared" si="136"/>
        <v>127</v>
      </c>
      <c r="AE159" s="1656">
        <f t="shared" si="136"/>
        <v>501</v>
      </c>
      <c r="AF159" s="1655">
        <f t="shared" si="136"/>
        <v>77</v>
      </c>
      <c r="AG159" s="1655">
        <f t="shared" si="136"/>
        <v>201</v>
      </c>
      <c r="AH159" s="1655">
        <f t="shared" si="136"/>
        <v>243</v>
      </c>
      <c r="AI159" s="1656">
        <f t="shared" si="136"/>
        <v>521</v>
      </c>
      <c r="AJ159" s="1655">
        <f t="shared" ref="AJ159:BG159" si="137">SUM(AJ53,AJ101,AJ144)</f>
        <v>151</v>
      </c>
      <c r="AK159" s="1655">
        <f t="shared" si="137"/>
        <v>227</v>
      </c>
      <c r="AL159" s="1655">
        <f t="shared" si="137"/>
        <v>162</v>
      </c>
      <c r="AM159" s="1656">
        <f t="shared" si="137"/>
        <v>540</v>
      </c>
      <c r="AN159" s="1655">
        <f t="shared" si="137"/>
        <v>185</v>
      </c>
      <c r="AO159" s="1655">
        <f t="shared" si="137"/>
        <v>178</v>
      </c>
      <c r="AP159" s="1655">
        <f t="shared" si="137"/>
        <v>199</v>
      </c>
      <c r="AQ159" s="1656">
        <f t="shared" si="137"/>
        <v>562</v>
      </c>
      <c r="AR159" s="1655">
        <f t="shared" si="137"/>
        <v>145</v>
      </c>
      <c r="AS159" s="1655">
        <f t="shared" si="137"/>
        <v>236</v>
      </c>
      <c r="AT159" s="1655">
        <f t="shared" si="137"/>
        <v>246</v>
      </c>
      <c r="AU159" s="1656">
        <f t="shared" si="137"/>
        <v>627</v>
      </c>
      <c r="AV159" s="1655">
        <f t="shared" si="137"/>
        <v>181</v>
      </c>
      <c r="AW159" s="1655">
        <f t="shared" si="137"/>
        <v>271</v>
      </c>
      <c r="AX159" s="1655">
        <f t="shared" si="137"/>
        <v>285</v>
      </c>
      <c r="AY159" s="1656">
        <f t="shared" si="137"/>
        <v>737</v>
      </c>
      <c r="AZ159" s="1655">
        <f t="shared" si="137"/>
        <v>310</v>
      </c>
      <c r="BA159" s="1655">
        <f t="shared" si="137"/>
        <v>261</v>
      </c>
      <c r="BB159" s="1655">
        <f t="shared" si="137"/>
        <v>290</v>
      </c>
      <c r="BC159" s="1656">
        <f t="shared" si="137"/>
        <v>861</v>
      </c>
      <c r="BD159" s="1655">
        <f t="shared" si="137"/>
        <v>159</v>
      </c>
      <c r="BE159" s="1655">
        <f t="shared" si="137"/>
        <v>227</v>
      </c>
      <c r="BF159" s="1655">
        <f t="shared" si="137"/>
        <v>277</v>
      </c>
      <c r="BG159" s="1656">
        <f t="shared" si="137"/>
        <v>663</v>
      </c>
      <c r="BH159" s="1654">
        <f t="shared" ref="BH159:CD159" si="138">SUM(BH53,BH101,BH144,BH155)</f>
        <v>220</v>
      </c>
      <c r="BI159" s="1655">
        <f t="shared" si="138"/>
        <v>247</v>
      </c>
      <c r="BJ159" s="1655">
        <f t="shared" si="138"/>
        <v>265</v>
      </c>
      <c r="BK159" s="1656">
        <f t="shared" si="138"/>
        <v>732</v>
      </c>
      <c r="BL159" s="1654">
        <f t="shared" si="138"/>
        <v>180</v>
      </c>
      <c r="BM159" s="1655">
        <f t="shared" si="138"/>
        <v>292</v>
      </c>
      <c r="BN159" s="1655">
        <f t="shared" si="138"/>
        <v>343</v>
      </c>
      <c r="BO159" s="1656">
        <f t="shared" si="138"/>
        <v>815</v>
      </c>
      <c r="BP159" s="1654">
        <f t="shared" si="138"/>
        <v>209</v>
      </c>
      <c r="BQ159" s="1655">
        <f t="shared" si="138"/>
        <v>236</v>
      </c>
      <c r="BR159" s="1655">
        <f t="shared" si="138"/>
        <v>214</v>
      </c>
      <c r="BS159" s="1656">
        <f t="shared" si="138"/>
        <v>659</v>
      </c>
      <c r="BT159" s="1654">
        <f t="shared" si="138"/>
        <v>224</v>
      </c>
      <c r="BU159" s="1655">
        <f t="shared" si="138"/>
        <v>269</v>
      </c>
      <c r="BV159" s="1655">
        <f t="shared" si="138"/>
        <v>331</v>
      </c>
      <c r="BW159" s="1656">
        <f t="shared" si="138"/>
        <v>824</v>
      </c>
      <c r="BX159" s="1654">
        <f t="shared" si="138"/>
        <v>250</v>
      </c>
      <c r="BY159" s="1655">
        <f t="shared" si="138"/>
        <v>259</v>
      </c>
      <c r="BZ159" s="1655">
        <f t="shared" si="138"/>
        <v>262</v>
      </c>
      <c r="CA159" s="1656">
        <f t="shared" si="138"/>
        <v>771</v>
      </c>
      <c r="CB159" s="1654">
        <f t="shared" si="138"/>
        <v>198</v>
      </c>
      <c r="CC159" s="1655">
        <f t="shared" si="138"/>
        <v>356</v>
      </c>
      <c r="CD159" s="1655">
        <f t="shared" si="138"/>
        <v>308</v>
      </c>
      <c r="CE159" s="1656">
        <f t="shared" si="126"/>
        <v>862</v>
      </c>
      <c r="CF159" s="1654">
        <f>SUM(CF53,CF101,CF144,CF155)</f>
        <v>274</v>
      </c>
      <c r="CG159" s="1655">
        <f>SUM(CG53,CG101,CG144,CG155)</f>
        <v>199</v>
      </c>
      <c r="CH159" s="1655">
        <f>SUM(CH53,CH101,CH144,CH155)</f>
        <v>271</v>
      </c>
      <c r="CI159" s="1656">
        <f t="shared" si="127"/>
        <v>744</v>
      </c>
      <c r="CJ159" s="1654">
        <f>SUM(CJ53,CJ101,CJ144,CJ155)</f>
        <v>126</v>
      </c>
      <c r="CK159" s="1655">
        <f>SUM(CK53,CK101,CK144,CK155)</f>
        <v>118</v>
      </c>
      <c r="CL159" s="1655">
        <f>SUM(CL53,CL101,CL144,CL155)</f>
        <v>365</v>
      </c>
      <c r="CM159" s="1656">
        <f>SUM(CJ159:CL159)</f>
        <v>609</v>
      </c>
      <c r="CN159" s="1654">
        <f>SUM(CN53,CN101,CN144,CN155)</f>
        <v>203</v>
      </c>
      <c r="CO159" s="1655">
        <f>SUM(CO53,CO101,CO144,CO155)</f>
        <v>200</v>
      </c>
      <c r="CP159" s="1655">
        <f>SUM(CP53,CP101,CP144,CP155,CP158)</f>
        <v>223</v>
      </c>
      <c r="CQ159" s="1656">
        <f t="shared" si="130"/>
        <v>626</v>
      </c>
      <c r="CR159" s="1654">
        <f>SUM(CR53,CR101,CR144,CR155)</f>
        <v>196</v>
      </c>
      <c r="CS159" s="1655">
        <f>SUM(CS53,CS101,CS144,CS155)</f>
        <v>211</v>
      </c>
      <c r="CT159" s="1655">
        <f>SUM(CT53,CT101,CT144,CT155,CT158)</f>
        <v>248</v>
      </c>
      <c r="CU159" s="1656">
        <f t="shared" si="135"/>
        <v>655</v>
      </c>
      <c r="CV159" s="746"/>
      <c r="CW159" s="746"/>
      <c r="CX159" s="746"/>
      <c r="CY159" s="746"/>
      <c r="CZ159" s="746"/>
      <c r="DA159" s="746"/>
      <c r="DB159" s="746"/>
      <c r="DC159" s="746"/>
      <c r="DD159" s="746"/>
      <c r="DE159" s="746"/>
      <c r="DF159" s="746"/>
      <c r="DG159" s="746"/>
      <c r="DH159" s="746"/>
      <c r="DI159" s="746"/>
      <c r="DJ159" s="746"/>
      <c r="DK159" s="746"/>
      <c r="DL159" s="746"/>
      <c r="DM159" s="746"/>
      <c r="DN159" s="746"/>
    </row>
    <row r="160" spans="1:118" ht="13.8" x14ac:dyDescent="0.25">
      <c r="B160" s="1657" t="s">
        <v>492</v>
      </c>
      <c r="C160" s="1657"/>
      <c r="CM160" s="747"/>
      <c r="CQ160" s="4645"/>
      <c r="CU160" s="4645"/>
    </row>
    <row r="161" spans="2:3" x14ac:dyDescent="0.25">
      <c r="B161" s="393" t="s">
        <v>423</v>
      </c>
      <c r="C161" s="1658"/>
    </row>
    <row r="202" spans="93:99" x14ac:dyDescent="0.25">
      <c r="CO202" s="749"/>
      <c r="CP202" s="749"/>
      <c r="CQ202" s="749"/>
      <c r="CR202" s="749"/>
      <c r="CS202" s="749"/>
      <c r="CT202" s="749"/>
      <c r="CU202" s="749"/>
    </row>
    <row r="246" spans="114:118" x14ac:dyDescent="0.25">
      <c r="DJ246" s="749"/>
      <c r="DK246" s="749"/>
      <c r="DL246" s="749"/>
      <c r="DM246" s="749"/>
      <c r="DN246" s="749"/>
    </row>
  </sheetData>
  <mergeCells count="51">
    <mergeCell ref="B159:C159"/>
    <mergeCell ref="B117:B121"/>
    <mergeCell ref="B123:B125"/>
    <mergeCell ref="B126:B134"/>
    <mergeCell ref="B135:B137"/>
    <mergeCell ref="B139:B141"/>
    <mergeCell ref="B152:B153"/>
    <mergeCell ref="B104:B116"/>
    <mergeCell ref="B36:B38"/>
    <mergeCell ref="B39:B45"/>
    <mergeCell ref="B46:B51"/>
    <mergeCell ref="B55:B61"/>
    <mergeCell ref="B62:B69"/>
    <mergeCell ref="B72:B81"/>
    <mergeCell ref="B90:B91"/>
    <mergeCell ref="B92:B96"/>
    <mergeCell ref="B97:B99"/>
    <mergeCell ref="B102:B103"/>
    <mergeCell ref="B82:B88"/>
    <mergeCell ref="B6:B12"/>
    <mergeCell ref="B13:B17"/>
    <mergeCell ref="B19:B22"/>
    <mergeCell ref="B23:B31"/>
    <mergeCell ref="CB3:CE3"/>
    <mergeCell ref="AJ3:AM3"/>
    <mergeCell ref="L3:O3"/>
    <mergeCell ref="B32:B34"/>
    <mergeCell ref="BL3:BO3"/>
    <mergeCell ref="BP3:BS3"/>
    <mergeCell ref="BT3:BW3"/>
    <mergeCell ref="BX3:CA3"/>
    <mergeCell ref="AN3:AQ3"/>
    <mergeCell ref="AR3:AU3"/>
    <mergeCell ref="AV3:AY3"/>
    <mergeCell ref="AZ3:BC3"/>
    <mergeCell ref="BD3:BG3"/>
    <mergeCell ref="BH3:BK3"/>
    <mergeCell ref="P3:S3"/>
    <mergeCell ref="T3:W3"/>
    <mergeCell ref="X3:AA3"/>
    <mergeCell ref="AB3:AE3"/>
    <mergeCell ref="AF3:AI3"/>
    <mergeCell ref="CR3:CU3"/>
    <mergeCell ref="CN3:CQ3"/>
    <mergeCell ref="B2:C2"/>
    <mergeCell ref="B3:B4"/>
    <mergeCell ref="C3:C4"/>
    <mergeCell ref="D3:G3"/>
    <mergeCell ref="H3:K3"/>
    <mergeCell ref="CJ3:CM3"/>
    <mergeCell ref="CF3:CI3"/>
  </mergeCells>
  <hyperlinks>
    <hyperlink ref="B2" r:id="rId1" display="https://zacatlan.rec.uam.mx:8443/dti/ind/iiwbc000"/>
  </hyperlinks>
  <printOptions horizontalCentered="1" verticalCentered="1"/>
  <pageMargins left="0.39370078740157483" right="0.39370078740157483" top="0.27559055118110237" bottom="0.19685039370078741" header="0" footer="0.31496062992125984"/>
  <pageSetup scale="50" firstPageNumber="70" pageOrder="overThenDown" orientation="landscape" useFirstPageNumber="1" r:id="rId2"/>
  <headerFooter scaleWithDoc="0" alignWithMargins="0">
    <oddFooter>&amp;R&amp;P</oddFooter>
  </headerFooter>
  <rowBreaks count="2" manualBreakCount="2">
    <brk id="53" max="16383" man="1"/>
    <brk id="101" max="16383" man="1"/>
  </rowBreaks>
  <colBreaks count="3" manualBreakCount="3">
    <brk id="23" max="1048575" man="1"/>
    <brk id="43" max="1048575" man="1"/>
    <brk id="63" max="1048575" man="1"/>
  </colBreaks>
  <ignoredErrors>
    <ignoredError sqref="CQ89 CM159" formula="1"/>
  </ignoredErrors>
  <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7A519"/>
  </sheetPr>
  <dimension ref="A1:CT121"/>
  <sheetViews>
    <sheetView showGridLines="0" zoomScaleNormal="100" workbookViewId="0">
      <pane xSplit="2" ySplit="5" topLeftCell="BX60" activePane="bottomRight" state="frozen"/>
      <selection activeCell="Q31" sqref="Q31"/>
      <selection pane="topRight" activeCell="Q31" sqref="Q31"/>
      <selection pane="bottomLeft" activeCell="Q31" sqref="Q31"/>
      <selection pane="bottomRight" activeCell="CT49" sqref="CT49"/>
    </sheetView>
  </sheetViews>
  <sheetFormatPr baseColWidth="10" defaultColWidth="11.44140625" defaultRowHeight="13.2" x14ac:dyDescent="0.25"/>
  <cols>
    <col min="1" max="1" width="2.88671875" style="25" customWidth="1"/>
    <col min="2" max="2" width="21.88671875" style="25" customWidth="1"/>
    <col min="3" max="25" width="8.109375" style="25" customWidth="1"/>
    <col min="26" max="26" width="8.109375" style="1330" customWidth="1"/>
    <col min="27" max="29" width="8.109375" style="25" customWidth="1"/>
    <col min="30" max="30" width="8.109375" style="1330" customWidth="1"/>
    <col min="31" max="33" width="8.109375" style="25" customWidth="1"/>
    <col min="34" max="34" width="8.109375" style="1330" customWidth="1"/>
    <col min="35" max="37" width="8.109375" style="25" customWidth="1"/>
    <col min="38" max="38" width="8.109375" style="1330" customWidth="1"/>
    <col min="39" max="70" width="8.109375" style="25" customWidth="1"/>
    <col min="71" max="86" width="8.88671875" style="25" customWidth="1"/>
    <col min="87" max="94" width="7.5546875" style="25" customWidth="1"/>
    <col min="95" max="124" width="7.6640625" style="25" customWidth="1"/>
    <col min="125" max="271" width="11.44140625" style="25"/>
    <col min="272" max="272" width="1.109375" style="25" customWidth="1"/>
    <col min="273" max="273" width="17" style="25" customWidth="1"/>
    <col min="274" max="274" width="24.88671875" style="25" customWidth="1"/>
    <col min="275" max="290" width="0" style="25" hidden="1" customWidth="1"/>
    <col min="291" max="310" width="7.88671875" style="25" customWidth="1"/>
    <col min="311" max="527" width="11.44140625" style="25"/>
    <col min="528" max="528" width="1.109375" style="25" customWidth="1"/>
    <col min="529" max="529" width="17" style="25" customWidth="1"/>
    <col min="530" max="530" width="24.88671875" style="25" customWidth="1"/>
    <col min="531" max="546" width="0" style="25" hidden="1" customWidth="1"/>
    <col min="547" max="566" width="7.88671875" style="25" customWidth="1"/>
    <col min="567" max="783" width="11.44140625" style="25"/>
    <col min="784" max="784" width="1.109375" style="25" customWidth="1"/>
    <col min="785" max="785" width="17" style="25" customWidth="1"/>
    <col min="786" max="786" width="24.88671875" style="25" customWidth="1"/>
    <col min="787" max="802" width="0" style="25" hidden="1" customWidth="1"/>
    <col min="803" max="822" width="7.88671875" style="25" customWidth="1"/>
    <col min="823" max="1039" width="11.44140625" style="25"/>
    <col min="1040" max="1040" width="1.109375" style="25" customWidth="1"/>
    <col min="1041" max="1041" width="17" style="25" customWidth="1"/>
    <col min="1042" max="1042" width="24.88671875" style="25" customWidth="1"/>
    <col min="1043" max="1058" width="0" style="25" hidden="1" customWidth="1"/>
    <col min="1059" max="1078" width="7.88671875" style="25" customWidth="1"/>
    <col min="1079" max="1295" width="11.44140625" style="25"/>
    <col min="1296" max="1296" width="1.109375" style="25" customWidth="1"/>
    <col min="1297" max="1297" width="17" style="25" customWidth="1"/>
    <col min="1298" max="1298" width="24.88671875" style="25" customWidth="1"/>
    <col min="1299" max="1314" width="0" style="25" hidden="1" customWidth="1"/>
    <col min="1315" max="1334" width="7.88671875" style="25" customWidth="1"/>
    <col min="1335" max="1551" width="11.44140625" style="25"/>
    <col min="1552" max="1552" width="1.109375" style="25" customWidth="1"/>
    <col min="1553" max="1553" width="17" style="25" customWidth="1"/>
    <col min="1554" max="1554" width="24.88671875" style="25" customWidth="1"/>
    <col min="1555" max="1570" width="0" style="25" hidden="1" customWidth="1"/>
    <col min="1571" max="1590" width="7.88671875" style="25" customWidth="1"/>
    <col min="1591" max="1807" width="11.44140625" style="25"/>
    <col min="1808" max="1808" width="1.109375" style="25" customWidth="1"/>
    <col min="1809" max="1809" width="17" style="25" customWidth="1"/>
    <col min="1810" max="1810" width="24.88671875" style="25" customWidth="1"/>
    <col min="1811" max="1826" width="0" style="25" hidden="1" customWidth="1"/>
    <col min="1827" max="1846" width="7.88671875" style="25" customWidth="1"/>
    <col min="1847" max="2063" width="11.44140625" style="25"/>
    <col min="2064" max="2064" width="1.109375" style="25" customWidth="1"/>
    <col min="2065" max="2065" width="17" style="25" customWidth="1"/>
    <col min="2066" max="2066" width="24.88671875" style="25" customWidth="1"/>
    <col min="2067" max="2082" width="0" style="25" hidden="1" customWidth="1"/>
    <col min="2083" max="2102" width="7.88671875" style="25" customWidth="1"/>
    <col min="2103" max="2319" width="11.44140625" style="25"/>
    <col min="2320" max="2320" width="1.109375" style="25" customWidth="1"/>
    <col min="2321" max="2321" width="17" style="25" customWidth="1"/>
    <col min="2322" max="2322" width="24.88671875" style="25" customWidth="1"/>
    <col min="2323" max="2338" width="0" style="25" hidden="1" customWidth="1"/>
    <col min="2339" max="2358" width="7.88671875" style="25" customWidth="1"/>
    <col min="2359" max="2575" width="11.44140625" style="25"/>
    <col min="2576" max="2576" width="1.109375" style="25" customWidth="1"/>
    <col min="2577" max="2577" width="17" style="25" customWidth="1"/>
    <col min="2578" max="2578" width="24.88671875" style="25" customWidth="1"/>
    <col min="2579" max="2594" width="0" style="25" hidden="1" customWidth="1"/>
    <col min="2595" max="2614" width="7.88671875" style="25" customWidth="1"/>
    <col min="2615" max="2831" width="11.44140625" style="25"/>
    <col min="2832" max="2832" width="1.109375" style="25" customWidth="1"/>
    <col min="2833" max="2833" width="17" style="25" customWidth="1"/>
    <col min="2834" max="2834" width="24.88671875" style="25" customWidth="1"/>
    <col min="2835" max="2850" width="0" style="25" hidden="1" customWidth="1"/>
    <col min="2851" max="2870" width="7.88671875" style="25" customWidth="1"/>
    <col min="2871" max="3087" width="11.44140625" style="25"/>
    <col min="3088" max="3088" width="1.109375" style="25" customWidth="1"/>
    <col min="3089" max="3089" width="17" style="25" customWidth="1"/>
    <col min="3090" max="3090" width="24.88671875" style="25" customWidth="1"/>
    <col min="3091" max="3106" width="0" style="25" hidden="1" customWidth="1"/>
    <col min="3107" max="3126" width="7.88671875" style="25" customWidth="1"/>
    <col min="3127" max="3343" width="11.44140625" style="25"/>
    <col min="3344" max="3344" width="1.109375" style="25" customWidth="1"/>
    <col min="3345" max="3345" width="17" style="25" customWidth="1"/>
    <col min="3346" max="3346" width="24.88671875" style="25" customWidth="1"/>
    <col min="3347" max="3362" width="0" style="25" hidden="1" customWidth="1"/>
    <col min="3363" max="3382" width="7.88671875" style="25" customWidth="1"/>
    <col min="3383" max="3599" width="11.44140625" style="25"/>
    <col min="3600" max="3600" width="1.109375" style="25" customWidth="1"/>
    <col min="3601" max="3601" width="17" style="25" customWidth="1"/>
    <col min="3602" max="3602" width="24.88671875" style="25" customWidth="1"/>
    <col min="3603" max="3618" width="0" style="25" hidden="1" customWidth="1"/>
    <col min="3619" max="3638" width="7.88671875" style="25" customWidth="1"/>
    <col min="3639" max="3855" width="11.44140625" style="25"/>
    <col min="3856" max="3856" width="1.109375" style="25" customWidth="1"/>
    <col min="3857" max="3857" width="17" style="25" customWidth="1"/>
    <col min="3858" max="3858" width="24.88671875" style="25" customWidth="1"/>
    <col min="3859" max="3874" width="0" style="25" hidden="1" customWidth="1"/>
    <col min="3875" max="3894" width="7.88671875" style="25" customWidth="1"/>
    <col min="3895" max="4111" width="11.44140625" style="25"/>
    <col min="4112" max="4112" width="1.109375" style="25" customWidth="1"/>
    <col min="4113" max="4113" width="17" style="25" customWidth="1"/>
    <col min="4114" max="4114" width="24.88671875" style="25" customWidth="1"/>
    <col min="4115" max="4130" width="0" style="25" hidden="1" customWidth="1"/>
    <col min="4131" max="4150" width="7.88671875" style="25" customWidth="1"/>
    <col min="4151" max="4367" width="11.44140625" style="25"/>
    <col min="4368" max="4368" width="1.109375" style="25" customWidth="1"/>
    <col min="4369" max="4369" width="17" style="25" customWidth="1"/>
    <col min="4370" max="4370" width="24.88671875" style="25" customWidth="1"/>
    <col min="4371" max="4386" width="0" style="25" hidden="1" customWidth="1"/>
    <col min="4387" max="4406" width="7.88671875" style="25" customWidth="1"/>
    <col min="4407" max="4623" width="11.44140625" style="25"/>
    <col min="4624" max="4624" width="1.109375" style="25" customWidth="1"/>
    <col min="4625" max="4625" width="17" style="25" customWidth="1"/>
    <col min="4626" max="4626" width="24.88671875" style="25" customWidth="1"/>
    <col min="4627" max="4642" width="0" style="25" hidden="1" customWidth="1"/>
    <col min="4643" max="4662" width="7.88671875" style="25" customWidth="1"/>
    <col min="4663" max="4879" width="11.44140625" style="25"/>
    <col min="4880" max="4880" width="1.109375" style="25" customWidth="1"/>
    <col min="4881" max="4881" width="17" style="25" customWidth="1"/>
    <col min="4882" max="4882" width="24.88671875" style="25" customWidth="1"/>
    <col min="4883" max="4898" width="0" style="25" hidden="1" customWidth="1"/>
    <col min="4899" max="4918" width="7.88671875" style="25" customWidth="1"/>
    <col min="4919" max="5135" width="11.44140625" style="25"/>
    <col min="5136" max="5136" width="1.109375" style="25" customWidth="1"/>
    <col min="5137" max="5137" width="17" style="25" customWidth="1"/>
    <col min="5138" max="5138" width="24.88671875" style="25" customWidth="1"/>
    <col min="5139" max="5154" width="0" style="25" hidden="1" customWidth="1"/>
    <col min="5155" max="5174" width="7.88671875" style="25" customWidth="1"/>
    <col min="5175" max="5391" width="11.44140625" style="25"/>
    <col min="5392" max="5392" width="1.109375" style="25" customWidth="1"/>
    <col min="5393" max="5393" width="17" style="25" customWidth="1"/>
    <col min="5394" max="5394" width="24.88671875" style="25" customWidth="1"/>
    <col min="5395" max="5410" width="0" style="25" hidden="1" customWidth="1"/>
    <col min="5411" max="5430" width="7.88671875" style="25" customWidth="1"/>
    <col min="5431" max="5647" width="11.44140625" style="25"/>
    <col min="5648" max="5648" width="1.109375" style="25" customWidth="1"/>
    <col min="5649" max="5649" width="17" style="25" customWidth="1"/>
    <col min="5650" max="5650" width="24.88671875" style="25" customWidth="1"/>
    <col min="5651" max="5666" width="0" style="25" hidden="1" customWidth="1"/>
    <col min="5667" max="5686" width="7.88671875" style="25" customWidth="1"/>
    <col min="5687" max="5903" width="11.44140625" style="25"/>
    <col min="5904" max="5904" width="1.109375" style="25" customWidth="1"/>
    <col min="5905" max="5905" width="17" style="25" customWidth="1"/>
    <col min="5906" max="5906" width="24.88671875" style="25" customWidth="1"/>
    <col min="5907" max="5922" width="0" style="25" hidden="1" customWidth="1"/>
    <col min="5923" max="5942" width="7.88671875" style="25" customWidth="1"/>
    <col min="5943" max="6159" width="11.44140625" style="25"/>
    <col min="6160" max="6160" width="1.109375" style="25" customWidth="1"/>
    <col min="6161" max="6161" width="17" style="25" customWidth="1"/>
    <col min="6162" max="6162" width="24.88671875" style="25" customWidth="1"/>
    <col min="6163" max="6178" width="0" style="25" hidden="1" customWidth="1"/>
    <col min="6179" max="6198" width="7.88671875" style="25" customWidth="1"/>
    <col min="6199" max="6415" width="11.44140625" style="25"/>
    <col min="6416" max="6416" width="1.109375" style="25" customWidth="1"/>
    <col min="6417" max="6417" width="17" style="25" customWidth="1"/>
    <col min="6418" max="6418" width="24.88671875" style="25" customWidth="1"/>
    <col min="6419" max="6434" width="0" style="25" hidden="1" customWidth="1"/>
    <col min="6435" max="6454" width="7.88671875" style="25" customWidth="1"/>
    <col min="6455" max="6671" width="11.44140625" style="25"/>
    <col min="6672" max="6672" width="1.109375" style="25" customWidth="1"/>
    <col min="6673" max="6673" width="17" style="25" customWidth="1"/>
    <col min="6674" max="6674" width="24.88671875" style="25" customWidth="1"/>
    <col min="6675" max="6690" width="0" style="25" hidden="1" customWidth="1"/>
    <col min="6691" max="6710" width="7.88671875" style="25" customWidth="1"/>
    <col min="6711" max="6927" width="11.44140625" style="25"/>
    <col min="6928" max="6928" width="1.109375" style="25" customWidth="1"/>
    <col min="6929" max="6929" width="17" style="25" customWidth="1"/>
    <col min="6930" max="6930" width="24.88671875" style="25" customWidth="1"/>
    <col min="6931" max="6946" width="0" style="25" hidden="1" customWidth="1"/>
    <col min="6947" max="6966" width="7.88671875" style="25" customWidth="1"/>
    <col min="6967" max="7183" width="11.44140625" style="25"/>
    <col min="7184" max="7184" width="1.109375" style="25" customWidth="1"/>
    <col min="7185" max="7185" width="17" style="25" customWidth="1"/>
    <col min="7186" max="7186" width="24.88671875" style="25" customWidth="1"/>
    <col min="7187" max="7202" width="0" style="25" hidden="1" customWidth="1"/>
    <col min="7203" max="7222" width="7.88671875" style="25" customWidth="1"/>
    <col min="7223" max="7439" width="11.44140625" style="25"/>
    <col min="7440" max="7440" width="1.109375" style="25" customWidth="1"/>
    <col min="7441" max="7441" width="17" style="25" customWidth="1"/>
    <col min="7442" max="7442" width="24.88671875" style="25" customWidth="1"/>
    <col min="7443" max="7458" width="0" style="25" hidden="1" customWidth="1"/>
    <col min="7459" max="7478" width="7.88671875" style="25" customWidth="1"/>
    <col min="7479" max="7695" width="11.44140625" style="25"/>
    <col min="7696" max="7696" width="1.109375" style="25" customWidth="1"/>
    <col min="7697" max="7697" width="17" style="25" customWidth="1"/>
    <col min="7698" max="7698" width="24.88671875" style="25" customWidth="1"/>
    <col min="7699" max="7714" width="0" style="25" hidden="1" customWidth="1"/>
    <col min="7715" max="7734" width="7.88671875" style="25" customWidth="1"/>
    <col min="7735" max="7951" width="11.44140625" style="25"/>
    <col min="7952" max="7952" width="1.109375" style="25" customWidth="1"/>
    <col min="7953" max="7953" width="17" style="25" customWidth="1"/>
    <col min="7954" max="7954" width="24.88671875" style="25" customWidth="1"/>
    <col min="7955" max="7970" width="0" style="25" hidden="1" customWidth="1"/>
    <col min="7971" max="7990" width="7.88671875" style="25" customWidth="1"/>
    <col min="7991" max="8207" width="11.44140625" style="25"/>
    <col min="8208" max="8208" width="1.109375" style="25" customWidth="1"/>
    <col min="8209" max="8209" width="17" style="25" customWidth="1"/>
    <col min="8210" max="8210" width="24.88671875" style="25" customWidth="1"/>
    <col min="8211" max="8226" width="0" style="25" hidden="1" customWidth="1"/>
    <col min="8227" max="8246" width="7.88671875" style="25" customWidth="1"/>
    <col min="8247" max="8463" width="11.44140625" style="25"/>
    <col min="8464" max="8464" width="1.109375" style="25" customWidth="1"/>
    <col min="8465" max="8465" width="17" style="25" customWidth="1"/>
    <col min="8466" max="8466" width="24.88671875" style="25" customWidth="1"/>
    <col min="8467" max="8482" width="0" style="25" hidden="1" customWidth="1"/>
    <col min="8483" max="8502" width="7.88671875" style="25" customWidth="1"/>
    <col min="8503" max="8719" width="11.44140625" style="25"/>
    <col min="8720" max="8720" width="1.109375" style="25" customWidth="1"/>
    <col min="8721" max="8721" width="17" style="25" customWidth="1"/>
    <col min="8722" max="8722" width="24.88671875" style="25" customWidth="1"/>
    <col min="8723" max="8738" width="0" style="25" hidden="1" customWidth="1"/>
    <col min="8739" max="8758" width="7.88671875" style="25" customWidth="1"/>
    <col min="8759" max="8975" width="11.44140625" style="25"/>
    <col min="8976" max="8976" width="1.109375" style="25" customWidth="1"/>
    <col min="8977" max="8977" width="17" style="25" customWidth="1"/>
    <col min="8978" max="8978" width="24.88671875" style="25" customWidth="1"/>
    <col min="8979" max="8994" width="0" style="25" hidden="1" customWidth="1"/>
    <col min="8995" max="9014" width="7.88671875" style="25" customWidth="1"/>
    <col min="9015" max="9231" width="11.44140625" style="25"/>
    <col min="9232" max="9232" width="1.109375" style="25" customWidth="1"/>
    <col min="9233" max="9233" width="17" style="25" customWidth="1"/>
    <col min="9234" max="9234" width="24.88671875" style="25" customWidth="1"/>
    <col min="9235" max="9250" width="0" style="25" hidden="1" customWidth="1"/>
    <col min="9251" max="9270" width="7.88671875" style="25" customWidth="1"/>
    <col min="9271" max="9487" width="11.44140625" style="25"/>
    <col min="9488" max="9488" width="1.109375" style="25" customWidth="1"/>
    <col min="9489" max="9489" width="17" style="25" customWidth="1"/>
    <col min="9490" max="9490" width="24.88671875" style="25" customWidth="1"/>
    <col min="9491" max="9506" width="0" style="25" hidden="1" customWidth="1"/>
    <col min="9507" max="9526" width="7.88671875" style="25" customWidth="1"/>
    <col min="9527" max="9743" width="11.44140625" style="25"/>
    <col min="9744" max="9744" width="1.109375" style="25" customWidth="1"/>
    <col min="9745" max="9745" width="17" style="25" customWidth="1"/>
    <col min="9746" max="9746" width="24.88671875" style="25" customWidth="1"/>
    <col min="9747" max="9762" width="0" style="25" hidden="1" customWidth="1"/>
    <col min="9763" max="9782" width="7.88671875" style="25" customWidth="1"/>
    <col min="9783" max="9999" width="11.44140625" style="25"/>
    <col min="10000" max="10000" width="1.109375" style="25" customWidth="1"/>
    <col min="10001" max="10001" width="17" style="25" customWidth="1"/>
    <col min="10002" max="10002" width="24.88671875" style="25" customWidth="1"/>
    <col min="10003" max="10018" width="0" style="25" hidden="1" customWidth="1"/>
    <col min="10019" max="10038" width="7.88671875" style="25" customWidth="1"/>
    <col min="10039" max="10255" width="11.44140625" style="25"/>
    <col min="10256" max="10256" width="1.109375" style="25" customWidth="1"/>
    <col min="10257" max="10257" width="17" style="25" customWidth="1"/>
    <col min="10258" max="10258" width="24.88671875" style="25" customWidth="1"/>
    <col min="10259" max="10274" width="0" style="25" hidden="1" customWidth="1"/>
    <col min="10275" max="10294" width="7.88671875" style="25" customWidth="1"/>
    <col min="10295" max="10511" width="11.44140625" style="25"/>
    <col min="10512" max="10512" width="1.109375" style="25" customWidth="1"/>
    <col min="10513" max="10513" width="17" style="25" customWidth="1"/>
    <col min="10514" max="10514" width="24.88671875" style="25" customWidth="1"/>
    <col min="10515" max="10530" width="0" style="25" hidden="1" customWidth="1"/>
    <col min="10531" max="10550" width="7.88671875" style="25" customWidth="1"/>
    <col min="10551" max="10767" width="11.44140625" style="25"/>
    <col min="10768" max="10768" width="1.109375" style="25" customWidth="1"/>
    <col min="10769" max="10769" width="17" style="25" customWidth="1"/>
    <col min="10770" max="10770" width="24.88671875" style="25" customWidth="1"/>
    <col min="10771" max="10786" width="0" style="25" hidden="1" customWidth="1"/>
    <col min="10787" max="10806" width="7.88671875" style="25" customWidth="1"/>
    <col min="10807" max="11023" width="11.44140625" style="25"/>
    <col min="11024" max="11024" width="1.109375" style="25" customWidth="1"/>
    <col min="11025" max="11025" width="17" style="25" customWidth="1"/>
    <col min="11026" max="11026" width="24.88671875" style="25" customWidth="1"/>
    <col min="11027" max="11042" width="0" style="25" hidden="1" customWidth="1"/>
    <col min="11043" max="11062" width="7.88671875" style="25" customWidth="1"/>
    <col min="11063" max="11279" width="11.44140625" style="25"/>
    <col min="11280" max="11280" width="1.109375" style="25" customWidth="1"/>
    <col min="11281" max="11281" width="17" style="25" customWidth="1"/>
    <col min="11282" max="11282" width="24.88671875" style="25" customWidth="1"/>
    <col min="11283" max="11298" width="0" style="25" hidden="1" customWidth="1"/>
    <col min="11299" max="11318" width="7.88671875" style="25" customWidth="1"/>
    <col min="11319" max="11535" width="11.44140625" style="25"/>
    <col min="11536" max="11536" width="1.109375" style="25" customWidth="1"/>
    <col min="11537" max="11537" width="17" style="25" customWidth="1"/>
    <col min="11538" max="11538" width="24.88671875" style="25" customWidth="1"/>
    <col min="11539" max="11554" width="0" style="25" hidden="1" customWidth="1"/>
    <col min="11555" max="11574" width="7.88671875" style="25" customWidth="1"/>
    <col min="11575" max="11791" width="11.44140625" style="25"/>
    <col min="11792" max="11792" width="1.109375" style="25" customWidth="1"/>
    <col min="11793" max="11793" width="17" style="25" customWidth="1"/>
    <col min="11794" max="11794" width="24.88671875" style="25" customWidth="1"/>
    <col min="11795" max="11810" width="0" style="25" hidden="1" customWidth="1"/>
    <col min="11811" max="11830" width="7.88671875" style="25" customWidth="1"/>
    <col min="11831" max="12047" width="11.44140625" style="25"/>
    <col min="12048" max="12048" width="1.109375" style="25" customWidth="1"/>
    <col min="12049" max="12049" width="17" style="25" customWidth="1"/>
    <col min="12050" max="12050" width="24.88671875" style="25" customWidth="1"/>
    <col min="12051" max="12066" width="0" style="25" hidden="1" customWidth="1"/>
    <col min="12067" max="12086" width="7.88671875" style="25" customWidth="1"/>
    <col min="12087" max="12303" width="11.44140625" style="25"/>
    <col min="12304" max="12304" width="1.109375" style="25" customWidth="1"/>
    <col min="12305" max="12305" width="17" style="25" customWidth="1"/>
    <col min="12306" max="12306" width="24.88671875" style="25" customWidth="1"/>
    <col min="12307" max="12322" width="0" style="25" hidden="1" customWidth="1"/>
    <col min="12323" max="12342" width="7.88671875" style="25" customWidth="1"/>
    <col min="12343" max="12559" width="11.44140625" style="25"/>
    <col min="12560" max="12560" width="1.109375" style="25" customWidth="1"/>
    <col min="12561" max="12561" width="17" style="25" customWidth="1"/>
    <col min="12562" max="12562" width="24.88671875" style="25" customWidth="1"/>
    <col min="12563" max="12578" width="0" style="25" hidden="1" customWidth="1"/>
    <col min="12579" max="12598" width="7.88671875" style="25" customWidth="1"/>
    <col min="12599" max="12815" width="11.44140625" style="25"/>
    <col min="12816" max="12816" width="1.109375" style="25" customWidth="1"/>
    <col min="12817" max="12817" width="17" style="25" customWidth="1"/>
    <col min="12818" max="12818" width="24.88671875" style="25" customWidth="1"/>
    <col min="12819" max="12834" width="0" style="25" hidden="1" customWidth="1"/>
    <col min="12835" max="12854" width="7.88671875" style="25" customWidth="1"/>
    <col min="12855" max="13071" width="11.44140625" style="25"/>
    <col min="13072" max="13072" width="1.109375" style="25" customWidth="1"/>
    <col min="13073" max="13073" width="17" style="25" customWidth="1"/>
    <col min="13074" max="13074" width="24.88671875" style="25" customWidth="1"/>
    <col min="13075" max="13090" width="0" style="25" hidden="1" customWidth="1"/>
    <col min="13091" max="13110" width="7.88671875" style="25" customWidth="1"/>
    <col min="13111" max="13327" width="11.44140625" style="25"/>
    <col min="13328" max="13328" width="1.109375" style="25" customWidth="1"/>
    <col min="13329" max="13329" width="17" style="25" customWidth="1"/>
    <col min="13330" max="13330" width="24.88671875" style="25" customWidth="1"/>
    <col min="13331" max="13346" width="0" style="25" hidden="1" customWidth="1"/>
    <col min="13347" max="13366" width="7.88671875" style="25" customWidth="1"/>
    <col min="13367" max="13583" width="11.44140625" style="25"/>
    <col min="13584" max="13584" width="1.109375" style="25" customWidth="1"/>
    <col min="13585" max="13585" width="17" style="25" customWidth="1"/>
    <col min="13586" max="13586" width="24.88671875" style="25" customWidth="1"/>
    <col min="13587" max="13602" width="0" style="25" hidden="1" customWidth="1"/>
    <col min="13603" max="13622" width="7.88671875" style="25" customWidth="1"/>
    <col min="13623" max="13839" width="11.44140625" style="25"/>
    <col min="13840" max="13840" width="1.109375" style="25" customWidth="1"/>
    <col min="13841" max="13841" width="17" style="25" customWidth="1"/>
    <col min="13842" max="13842" width="24.88671875" style="25" customWidth="1"/>
    <col min="13843" max="13858" width="0" style="25" hidden="1" customWidth="1"/>
    <col min="13859" max="13878" width="7.88671875" style="25" customWidth="1"/>
    <col min="13879" max="14095" width="11.44140625" style="25"/>
    <col min="14096" max="14096" width="1.109375" style="25" customWidth="1"/>
    <col min="14097" max="14097" width="17" style="25" customWidth="1"/>
    <col min="14098" max="14098" width="24.88671875" style="25" customWidth="1"/>
    <col min="14099" max="14114" width="0" style="25" hidden="1" customWidth="1"/>
    <col min="14115" max="14134" width="7.88671875" style="25" customWidth="1"/>
    <col min="14135" max="14351" width="11.44140625" style="25"/>
    <col min="14352" max="14352" width="1.109375" style="25" customWidth="1"/>
    <col min="14353" max="14353" width="17" style="25" customWidth="1"/>
    <col min="14354" max="14354" width="24.88671875" style="25" customWidth="1"/>
    <col min="14355" max="14370" width="0" style="25" hidden="1" customWidth="1"/>
    <col min="14371" max="14390" width="7.88671875" style="25" customWidth="1"/>
    <col min="14391" max="14607" width="11.44140625" style="25"/>
    <col min="14608" max="14608" width="1.109375" style="25" customWidth="1"/>
    <col min="14609" max="14609" width="17" style="25" customWidth="1"/>
    <col min="14610" max="14610" width="24.88671875" style="25" customWidth="1"/>
    <col min="14611" max="14626" width="0" style="25" hidden="1" customWidth="1"/>
    <col min="14627" max="14646" width="7.88671875" style="25" customWidth="1"/>
    <col min="14647" max="14863" width="11.44140625" style="25"/>
    <col min="14864" max="14864" width="1.109375" style="25" customWidth="1"/>
    <col min="14865" max="14865" width="17" style="25" customWidth="1"/>
    <col min="14866" max="14866" width="24.88671875" style="25" customWidth="1"/>
    <col min="14867" max="14882" width="0" style="25" hidden="1" customWidth="1"/>
    <col min="14883" max="14902" width="7.88671875" style="25" customWidth="1"/>
    <col min="14903" max="15119" width="11.44140625" style="25"/>
    <col min="15120" max="15120" width="1.109375" style="25" customWidth="1"/>
    <col min="15121" max="15121" width="17" style="25" customWidth="1"/>
    <col min="15122" max="15122" width="24.88671875" style="25" customWidth="1"/>
    <col min="15123" max="15138" width="0" style="25" hidden="1" customWidth="1"/>
    <col min="15139" max="15158" width="7.88671875" style="25" customWidth="1"/>
    <col min="15159" max="15375" width="11.44140625" style="25"/>
    <col min="15376" max="15376" width="1.109375" style="25" customWidth="1"/>
    <col min="15377" max="15377" width="17" style="25" customWidth="1"/>
    <col min="15378" max="15378" width="24.88671875" style="25" customWidth="1"/>
    <col min="15379" max="15394" width="0" style="25" hidden="1" customWidth="1"/>
    <col min="15395" max="15414" width="7.88671875" style="25" customWidth="1"/>
    <col min="15415" max="15631" width="11.44140625" style="25"/>
    <col min="15632" max="15632" width="1.109375" style="25" customWidth="1"/>
    <col min="15633" max="15633" width="17" style="25" customWidth="1"/>
    <col min="15634" max="15634" width="24.88671875" style="25" customWidth="1"/>
    <col min="15635" max="15650" width="0" style="25" hidden="1" customWidth="1"/>
    <col min="15651" max="15670" width="7.88671875" style="25" customWidth="1"/>
    <col min="15671" max="15887" width="11.44140625" style="25"/>
    <col min="15888" max="15888" width="1.109375" style="25" customWidth="1"/>
    <col min="15889" max="15889" width="17" style="25" customWidth="1"/>
    <col min="15890" max="15890" width="24.88671875" style="25" customWidth="1"/>
    <col min="15891" max="15906" width="0" style="25" hidden="1" customWidth="1"/>
    <col min="15907" max="15926" width="7.88671875" style="25" customWidth="1"/>
    <col min="15927" max="16143" width="11.44140625" style="25"/>
    <col min="16144" max="16144" width="1.109375" style="25" customWidth="1"/>
    <col min="16145" max="16145" width="17" style="25" customWidth="1"/>
    <col min="16146" max="16146" width="24.88671875" style="25" customWidth="1"/>
    <col min="16147" max="16162" width="0" style="25" hidden="1" customWidth="1"/>
    <col min="16163" max="16182" width="7.88671875" style="25" customWidth="1"/>
    <col min="16183" max="16384" width="11.44140625" style="25"/>
  </cols>
  <sheetData>
    <row r="1" spans="1:98" ht="55.2" x14ac:dyDescent="0.25">
      <c r="B1" s="26" t="s">
        <v>493</v>
      </c>
      <c r="C1" s="161"/>
      <c r="D1" s="1660"/>
      <c r="E1" s="1660"/>
      <c r="F1" s="1660"/>
      <c r="G1" s="1660"/>
      <c r="H1" s="1660"/>
      <c r="I1" s="1660"/>
      <c r="J1" s="1660"/>
      <c r="K1" s="1660"/>
      <c r="L1" s="1660"/>
      <c r="M1" s="1660"/>
      <c r="N1" s="1660"/>
      <c r="O1" s="1660"/>
      <c r="P1" s="1660"/>
      <c r="Q1" s="1660"/>
      <c r="R1" s="1660"/>
      <c r="S1" s="1660"/>
      <c r="T1" s="1660"/>
      <c r="U1" s="1660"/>
      <c r="V1" s="1660"/>
      <c r="W1" s="1660"/>
      <c r="X1" s="1660"/>
      <c r="Y1" s="1660"/>
      <c r="Z1" s="1660"/>
      <c r="AA1" s="1660"/>
      <c r="AB1" s="1660"/>
      <c r="AC1" s="1660"/>
      <c r="AD1" s="1660"/>
      <c r="AE1" s="1660"/>
      <c r="AF1" s="1660"/>
      <c r="AG1" s="1660"/>
      <c r="AH1" s="1660"/>
      <c r="AI1" s="1660"/>
      <c r="AJ1" s="1660"/>
      <c r="AK1" s="1660"/>
      <c r="AL1" s="1660"/>
      <c r="AM1" s="1660"/>
      <c r="AN1" s="1660"/>
      <c r="AO1" s="1660"/>
      <c r="AP1" s="1660"/>
    </row>
    <row r="2" spans="1:98" ht="12" customHeight="1" x14ac:dyDescent="0.25">
      <c r="A2" s="1661"/>
      <c r="B2" s="1661"/>
      <c r="C2" s="1661"/>
      <c r="D2" s="1661"/>
      <c r="E2" s="1661"/>
      <c r="F2" s="1661"/>
      <c r="G2" s="1661"/>
      <c r="H2" s="1661"/>
      <c r="I2" s="1661"/>
      <c r="J2" s="1661"/>
      <c r="K2" s="1661"/>
      <c r="L2" s="1661"/>
      <c r="M2" s="1661"/>
      <c r="N2" s="1661"/>
      <c r="O2" s="1661"/>
      <c r="P2" s="1661"/>
      <c r="Q2" s="1661"/>
      <c r="R2" s="1661"/>
      <c r="S2" s="1661"/>
      <c r="T2" s="1661"/>
      <c r="U2" s="1661"/>
      <c r="V2" s="1661"/>
      <c r="W2" s="1661"/>
      <c r="X2" s="1661"/>
      <c r="Y2" s="1661"/>
      <c r="Z2" s="1661"/>
      <c r="AA2" s="1661"/>
      <c r="AB2" s="1661"/>
      <c r="AC2" s="1661"/>
      <c r="AD2" s="1661"/>
      <c r="AE2" s="1661"/>
      <c r="AF2" s="1661"/>
      <c r="AG2" s="1661"/>
      <c r="AH2" s="1661"/>
      <c r="AI2" s="1661"/>
      <c r="AJ2" s="1661"/>
      <c r="AK2" s="1661"/>
      <c r="AL2" s="1661"/>
    </row>
    <row r="3" spans="1:98" ht="12.75" customHeight="1" x14ac:dyDescent="0.25">
      <c r="A3" s="1661"/>
      <c r="B3" s="5727" t="s">
        <v>307</v>
      </c>
      <c r="C3" s="5739">
        <v>1999</v>
      </c>
      <c r="D3" s="5740"/>
      <c r="E3" s="5740"/>
      <c r="F3" s="5741"/>
      <c r="G3" s="5739">
        <v>2000</v>
      </c>
      <c r="H3" s="5740"/>
      <c r="I3" s="5740"/>
      <c r="J3" s="5741"/>
      <c r="K3" s="5739">
        <v>2001</v>
      </c>
      <c r="L3" s="5740"/>
      <c r="M3" s="5740"/>
      <c r="N3" s="5741"/>
      <c r="O3" s="5739">
        <v>2002</v>
      </c>
      <c r="P3" s="5740"/>
      <c r="Q3" s="5740"/>
      <c r="R3" s="5741"/>
      <c r="S3" s="5739">
        <v>2003</v>
      </c>
      <c r="T3" s="5740"/>
      <c r="U3" s="5740"/>
      <c r="V3" s="5741"/>
      <c r="W3" s="5739">
        <v>2004</v>
      </c>
      <c r="X3" s="5740"/>
      <c r="Y3" s="5740"/>
      <c r="Z3" s="5741"/>
      <c r="AA3" s="5739">
        <v>2005</v>
      </c>
      <c r="AB3" s="5740"/>
      <c r="AC3" s="5740"/>
      <c r="AD3" s="5741"/>
      <c r="AE3" s="5739">
        <v>2006</v>
      </c>
      <c r="AF3" s="5740"/>
      <c r="AG3" s="5740"/>
      <c r="AH3" s="5741"/>
      <c r="AI3" s="5739">
        <v>2007</v>
      </c>
      <c r="AJ3" s="5740"/>
      <c r="AK3" s="5740"/>
      <c r="AL3" s="5741"/>
      <c r="AM3" s="5739">
        <v>2008</v>
      </c>
      <c r="AN3" s="5740"/>
      <c r="AO3" s="5740"/>
      <c r="AP3" s="5741"/>
      <c r="AQ3" s="5739">
        <v>2009</v>
      </c>
      <c r="AR3" s="5740"/>
      <c r="AS3" s="5740"/>
      <c r="AT3" s="5741"/>
      <c r="AU3" s="5739">
        <v>2010</v>
      </c>
      <c r="AV3" s="5740"/>
      <c r="AW3" s="5740"/>
      <c r="AX3" s="5741"/>
      <c r="AY3" s="5739">
        <v>2011</v>
      </c>
      <c r="AZ3" s="5740"/>
      <c r="BA3" s="5740"/>
      <c r="BB3" s="5741"/>
      <c r="BC3" s="5739">
        <v>2012</v>
      </c>
      <c r="BD3" s="5740"/>
      <c r="BE3" s="5740"/>
      <c r="BF3" s="5741"/>
      <c r="BG3" s="5739">
        <v>2013</v>
      </c>
      <c r="BH3" s="5740"/>
      <c r="BI3" s="5740"/>
      <c r="BJ3" s="5741"/>
      <c r="BK3" s="5739">
        <v>2014</v>
      </c>
      <c r="BL3" s="5740"/>
      <c r="BM3" s="5740"/>
      <c r="BN3" s="5741"/>
      <c r="BO3" s="5739">
        <v>2015</v>
      </c>
      <c r="BP3" s="5740"/>
      <c r="BQ3" s="5740"/>
      <c r="BR3" s="5741"/>
      <c r="BS3" s="5739">
        <v>2016</v>
      </c>
      <c r="BT3" s="5740"/>
      <c r="BU3" s="5740"/>
      <c r="BV3" s="5741"/>
      <c r="BW3" s="5739">
        <v>2017</v>
      </c>
      <c r="BX3" s="5740"/>
      <c r="BY3" s="5740"/>
      <c r="BZ3" s="5741"/>
      <c r="CA3" s="5739">
        <v>2018</v>
      </c>
      <c r="CB3" s="5740"/>
      <c r="CC3" s="5740"/>
      <c r="CD3" s="5741"/>
      <c r="CE3" s="5739">
        <v>2019</v>
      </c>
      <c r="CF3" s="5740"/>
      <c r="CG3" s="5740"/>
      <c r="CH3" s="5741"/>
      <c r="CI3" s="5739">
        <v>2020</v>
      </c>
      <c r="CJ3" s="5740"/>
      <c r="CK3" s="5740"/>
      <c r="CL3" s="5741"/>
      <c r="CM3" s="5739">
        <v>2021</v>
      </c>
      <c r="CN3" s="5740"/>
      <c r="CO3" s="5740"/>
      <c r="CP3" s="5741"/>
      <c r="CQ3" s="5739">
        <v>2022</v>
      </c>
      <c r="CR3" s="5740"/>
      <c r="CS3" s="5740"/>
      <c r="CT3" s="5741"/>
    </row>
    <row r="4" spans="1:98" ht="17.399999999999999" x14ac:dyDescent="0.25">
      <c r="A4" s="1661"/>
      <c r="B4" s="5728"/>
      <c r="C4" s="136" t="s">
        <v>155</v>
      </c>
      <c r="D4" s="411" t="s">
        <v>46</v>
      </c>
      <c r="E4" s="412" t="s">
        <v>47</v>
      </c>
      <c r="F4" s="1255" t="s">
        <v>48</v>
      </c>
      <c r="G4" s="136" t="s">
        <v>155</v>
      </c>
      <c r="H4" s="411" t="s">
        <v>46</v>
      </c>
      <c r="I4" s="412" t="s">
        <v>47</v>
      </c>
      <c r="J4" s="1255" t="s">
        <v>48</v>
      </c>
      <c r="K4" s="136" t="s">
        <v>155</v>
      </c>
      <c r="L4" s="411" t="s">
        <v>46</v>
      </c>
      <c r="M4" s="412" t="s">
        <v>47</v>
      </c>
      <c r="N4" s="1255" t="s">
        <v>48</v>
      </c>
      <c r="O4" s="136" t="s">
        <v>155</v>
      </c>
      <c r="P4" s="411" t="s">
        <v>46</v>
      </c>
      <c r="Q4" s="412" t="s">
        <v>47</v>
      </c>
      <c r="R4" s="1255" t="s">
        <v>48</v>
      </c>
      <c r="S4" s="136" t="s">
        <v>155</v>
      </c>
      <c r="T4" s="411" t="s">
        <v>46</v>
      </c>
      <c r="U4" s="412" t="s">
        <v>47</v>
      </c>
      <c r="V4" s="1255" t="s">
        <v>48</v>
      </c>
      <c r="W4" s="136" t="s">
        <v>155</v>
      </c>
      <c r="X4" s="411" t="s">
        <v>46</v>
      </c>
      <c r="Y4" s="412" t="s">
        <v>47</v>
      </c>
      <c r="Z4" s="1255" t="s">
        <v>48</v>
      </c>
      <c r="AA4" s="136" t="s">
        <v>155</v>
      </c>
      <c r="AB4" s="411" t="s">
        <v>46</v>
      </c>
      <c r="AC4" s="412" t="s">
        <v>47</v>
      </c>
      <c r="AD4" s="1255" t="s">
        <v>48</v>
      </c>
      <c r="AE4" s="136" t="s">
        <v>155</v>
      </c>
      <c r="AF4" s="411" t="s">
        <v>46</v>
      </c>
      <c r="AG4" s="412" t="s">
        <v>47</v>
      </c>
      <c r="AH4" s="1255" t="s">
        <v>48</v>
      </c>
      <c r="AI4" s="136" t="s">
        <v>155</v>
      </c>
      <c r="AJ4" s="411" t="s">
        <v>46</v>
      </c>
      <c r="AK4" s="412" t="s">
        <v>47</v>
      </c>
      <c r="AL4" s="1255" t="s">
        <v>48</v>
      </c>
      <c r="AM4" s="136" t="s">
        <v>155</v>
      </c>
      <c r="AN4" s="411" t="s">
        <v>46</v>
      </c>
      <c r="AO4" s="412" t="s">
        <v>47</v>
      </c>
      <c r="AP4" s="1255" t="s">
        <v>48</v>
      </c>
      <c r="AQ4" s="136" t="s">
        <v>155</v>
      </c>
      <c r="AR4" s="411" t="s">
        <v>46</v>
      </c>
      <c r="AS4" s="412" t="s">
        <v>47</v>
      </c>
      <c r="AT4" s="1255" t="s">
        <v>48</v>
      </c>
      <c r="AU4" s="136" t="s">
        <v>155</v>
      </c>
      <c r="AV4" s="411" t="s">
        <v>46</v>
      </c>
      <c r="AW4" s="412" t="s">
        <v>47</v>
      </c>
      <c r="AX4" s="1255" t="s">
        <v>48</v>
      </c>
      <c r="AY4" s="136" t="s">
        <v>155</v>
      </c>
      <c r="AZ4" s="411" t="s">
        <v>46</v>
      </c>
      <c r="BA4" s="412" t="s">
        <v>47</v>
      </c>
      <c r="BB4" s="1255" t="s">
        <v>48</v>
      </c>
      <c r="BC4" s="136" t="s">
        <v>155</v>
      </c>
      <c r="BD4" s="411" t="s">
        <v>46</v>
      </c>
      <c r="BE4" s="412" t="s">
        <v>47</v>
      </c>
      <c r="BF4" s="1255" t="s">
        <v>48</v>
      </c>
      <c r="BG4" s="136" t="s">
        <v>155</v>
      </c>
      <c r="BH4" s="411" t="s">
        <v>46</v>
      </c>
      <c r="BI4" s="412" t="s">
        <v>47</v>
      </c>
      <c r="BJ4" s="1255" t="s">
        <v>48</v>
      </c>
      <c r="BK4" s="136" t="s">
        <v>155</v>
      </c>
      <c r="BL4" s="411" t="s">
        <v>46</v>
      </c>
      <c r="BM4" s="412" t="s">
        <v>47</v>
      </c>
      <c r="BN4" s="1255" t="s">
        <v>48</v>
      </c>
      <c r="BO4" s="136" t="s">
        <v>155</v>
      </c>
      <c r="BP4" s="411" t="s">
        <v>46</v>
      </c>
      <c r="BQ4" s="412" t="s">
        <v>47</v>
      </c>
      <c r="BR4" s="1255" t="s">
        <v>48</v>
      </c>
      <c r="BS4" s="136" t="s">
        <v>155</v>
      </c>
      <c r="BT4" s="411" t="s">
        <v>46</v>
      </c>
      <c r="BU4" s="412" t="s">
        <v>47</v>
      </c>
      <c r="BV4" s="1255" t="s">
        <v>48</v>
      </c>
      <c r="BW4" s="136" t="s">
        <v>155</v>
      </c>
      <c r="BX4" s="411" t="s">
        <v>46</v>
      </c>
      <c r="BY4" s="412" t="s">
        <v>47</v>
      </c>
      <c r="BZ4" s="1255" t="s">
        <v>48</v>
      </c>
      <c r="CA4" s="136" t="s">
        <v>155</v>
      </c>
      <c r="CB4" s="411" t="s">
        <v>46</v>
      </c>
      <c r="CC4" s="412" t="s">
        <v>47</v>
      </c>
      <c r="CD4" s="1255" t="s">
        <v>48</v>
      </c>
      <c r="CE4" s="136" t="s">
        <v>155</v>
      </c>
      <c r="CF4" s="411" t="s">
        <v>46</v>
      </c>
      <c r="CG4" s="412" t="s">
        <v>47</v>
      </c>
      <c r="CH4" s="1255" t="s">
        <v>48</v>
      </c>
      <c r="CI4" s="136" t="s">
        <v>155</v>
      </c>
      <c r="CJ4" s="411" t="s">
        <v>46</v>
      </c>
      <c r="CK4" s="412" t="s">
        <v>47</v>
      </c>
      <c r="CL4" s="1255" t="s">
        <v>48</v>
      </c>
      <c r="CM4" s="4375" t="s">
        <v>155</v>
      </c>
      <c r="CN4" s="411" t="s">
        <v>46</v>
      </c>
      <c r="CO4" s="4376" t="s">
        <v>47</v>
      </c>
      <c r="CP4" s="1255" t="s">
        <v>48</v>
      </c>
      <c r="CQ4" s="4996" t="s">
        <v>155</v>
      </c>
      <c r="CR4" s="411" t="s">
        <v>46</v>
      </c>
      <c r="CS4" s="4997" t="s">
        <v>47</v>
      </c>
      <c r="CT4" s="1255" t="s">
        <v>48</v>
      </c>
    </row>
    <row r="5" spans="1:98" ht="12.75" customHeight="1" x14ac:dyDescent="0.25">
      <c r="A5" s="1661"/>
      <c r="B5" s="328"/>
      <c r="C5" s="328"/>
      <c r="D5" s="328"/>
      <c r="E5" s="328"/>
      <c r="F5" s="328"/>
      <c r="G5" s="328"/>
      <c r="H5" s="328"/>
      <c r="I5" s="328"/>
      <c r="J5" s="328"/>
      <c r="K5" s="328"/>
      <c r="L5" s="328"/>
      <c r="M5" s="328"/>
      <c r="N5" s="328"/>
      <c r="O5" s="328"/>
      <c r="P5" s="328"/>
      <c r="Q5" s="328"/>
      <c r="R5" s="328"/>
      <c r="S5" s="328"/>
      <c r="T5" s="328"/>
      <c r="U5" s="328"/>
      <c r="V5" s="328"/>
      <c r="W5" s="328"/>
      <c r="X5" s="328"/>
      <c r="Y5" s="328"/>
      <c r="Z5" s="328"/>
      <c r="AA5" s="328"/>
      <c r="AB5" s="328"/>
      <c r="AC5" s="328"/>
      <c r="AD5" s="328"/>
      <c r="AE5" s="328"/>
      <c r="AF5" s="328"/>
      <c r="AG5" s="328"/>
      <c r="AH5" s="328"/>
      <c r="AI5" s="328"/>
      <c r="AJ5" s="328"/>
      <c r="AK5" s="328"/>
      <c r="AL5" s="328"/>
      <c r="AM5" s="328"/>
      <c r="AN5" s="328"/>
      <c r="AO5" s="328"/>
      <c r="AP5" s="328"/>
      <c r="AQ5" s="328"/>
      <c r="AR5" s="328"/>
      <c r="AS5" s="328"/>
      <c r="AT5" s="328"/>
      <c r="AU5" s="328"/>
      <c r="AV5" s="328"/>
      <c r="AW5" s="328"/>
      <c r="AX5" s="328"/>
      <c r="AY5" s="328"/>
      <c r="AZ5" s="328"/>
      <c r="BA5" s="328"/>
      <c r="BB5" s="328"/>
      <c r="BC5" s="328"/>
      <c r="BD5" s="328"/>
      <c r="BE5" s="328"/>
      <c r="BF5" s="328"/>
      <c r="BG5" s="328"/>
      <c r="BH5" s="328"/>
      <c r="BI5" s="328"/>
      <c r="BJ5" s="328"/>
      <c r="BK5" s="328"/>
      <c r="BL5" s="328"/>
      <c r="BM5" s="328"/>
      <c r="BN5" s="328"/>
      <c r="BO5" s="328"/>
      <c r="BP5" s="328"/>
      <c r="BQ5" s="328"/>
      <c r="BR5" s="328"/>
      <c r="BS5" s="328"/>
      <c r="BT5" s="328"/>
      <c r="BU5" s="328"/>
      <c r="BV5" s="328"/>
      <c r="BW5" s="328"/>
      <c r="BX5" s="328"/>
      <c r="BY5" s="328"/>
      <c r="BZ5" s="328"/>
      <c r="CA5" s="328"/>
      <c r="CB5" s="328"/>
      <c r="CC5" s="328"/>
      <c r="CD5" s="328"/>
      <c r="CE5" s="328"/>
      <c r="CF5" s="328"/>
      <c r="CG5" s="328"/>
      <c r="CH5" s="328"/>
      <c r="CI5" s="328"/>
      <c r="CJ5" s="328"/>
      <c r="CK5" s="328"/>
      <c r="CL5" s="328"/>
      <c r="CM5" s="328"/>
      <c r="CN5" s="328"/>
      <c r="CO5" s="328"/>
      <c r="CP5" s="328"/>
      <c r="CQ5" s="328"/>
      <c r="CR5" s="328"/>
      <c r="CS5" s="328"/>
      <c r="CT5" s="328"/>
    </row>
    <row r="6" spans="1:98" ht="15" customHeight="1" x14ac:dyDescent="0.25">
      <c r="A6" s="1661"/>
      <c r="B6" s="1334" t="s">
        <v>308</v>
      </c>
      <c r="C6" s="1258">
        <f>+'EGRESO-POS plan'!D5</f>
        <v>0</v>
      </c>
      <c r="D6" s="1259">
        <f>+'EGRESO-POS plan'!E5</f>
        <v>0</v>
      </c>
      <c r="E6" s="1259">
        <f>+'EGRESO-POS plan'!F5</f>
        <v>0</v>
      </c>
      <c r="F6" s="1260">
        <f>SUM(C6:E6)</f>
        <v>0</v>
      </c>
      <c r="G6" s="1258">
        <f>+'EGRESO-POS plan'!H5</f>
        <v>0</v>
      </c>
      <c r="H6" s="1259">
        <f>+'EGRESO-POS plan'!I5</f>
        <v>0</v>
      </c>
      <c r="I6" s="1259">
        <f>+'EGRESO-POS plan'!J5</f>
        <v>0</v>
      </c>
      <c r="J6" s="1260">
        <f>SUM(G6:I6)</f>
        <v>0</v>
      </c>
      <c r="K6" s="1258">
        <f>+'EGRESO-POS plan'!L5</f>
        <v>0</v>
      </c>
      <c r="L6" s="1259">
        <f>+'EGRESO-POS plan'!M5</f>
        <v>0</v>
      </c>
      <c r="M6" s="1259">
        <f>+'EGRESO-POS plan'!N5</f>
        <v>0</v>
      </c>
      <c r="N6" s="1260">
        <f>SUM(K6:M6)</f>
        <v>0</v>
      </c>
      <c r="O6" s="1258">
        <f>+'EGRESO-POS plan'!P5</f>
        <v>1</v>
      </c>
      <c r="P6" s="1259">
        <f>+'EGRESO-POS plan'!Q5</f>
        <v>0</v>
      </c>
      <c r="Q6" s="1259">
        <f>+'EGRESO-POS plan'!R5</f>
        <v>0</v>
      </c>
      <c r="R6" s="1260">
        <f>SUM(O6:Q6)</f>
        <v>1</v>
      </c>
      <c r="S6" s="1258"/>
      <c r="T6" s="1259">
        <v>2</v>
      </c>
      <c r="U6" s="1259"/>
      <c r="V6" s="1260">
        <v>2</v>
      </c>
      <c r="W6" s="1259"/>
      <c r="X6" s="1259"/>
      <c r="Y6" s="1259"/>
      <c r="Z6" s="1298"/>
      <c r="AA6" s="1258"/>
      <c r="AB6" s="1259"/>
      <c r="AC6" s="1259"/>
      <c r="AD6" s="1260"/>
      <c r="AE6" s="1259"/>
      <c r="AF6" s="1259"/>
      <c r="AG6" s="1259"/>
      <c r="AH6" s="1260"/>
      <c r="AI6" s="1259"/>
      <c r="AJ6" s="1259"/>
      <c r="AK6" s="1259"/>
      <c r="AL6" s="1298"/>
      <c r="AM6" s="151"/>
      <c r="AN6" s="152"/>
      <c r="AO6" s="152"/>
      <c r="AP6" s="152"/>
      <c r="AQ6" s="151"/>
      <c r="AR6" s="152"/>
      <c r="AS6" s="152"/>
      <c r="AT6" s="395"/>
      <c r="AU6" s="151"/>
      <c r="AV6" s="152"/>
      <c r="AW6" s="152"/>
      <c r="AX6" s="395">
        <f>AU6+AV6+AW6</f>
        <v>0</v>
      </c>
      <c r="AY6" s="151"/>
      <c r="AZ6" s="152"/>
      <c r="BA6" s="152"/>
      <c r="BB6" s="395"/>
      <c r="BC6" s="151"/>
      <c r="BD6" s="152"/>
      <c r="BE6" s="152"/>
      <c r="BF6" s="395"/>
      <c r="BG6" s="151"/>
      <c r="BH6" s="152"/>
      <c r="BI6" s="152"/>
      <c r="BJ6" s="395"/>
      <c r="BK6" s="151"/>
      <c r="BL6" s="152"/>
      <c r="BM6" s="152"/>
      <c r="BN6" s="395"/>
      <c r="BO6" s="151"/>
      <c r="BP6" s="152"/>
      <c r="BQ6" s="152"/>
      <c r="BR6" s="395"/>
      <c r="BS6" s="151"/>
      <c r="BT6" s="152"/>
      <c r="BU6" s="152"/>
      <c r="BV6" s="395">
        <f>SUM(AX6:BU6)</f>
        <v>0</v>
      </c>
      <c r="BW6" s="151">
        <f>SUM('EGRESO-POS plan'!BX5)</f>
        <v>0</v>
      </c>
      <c r="BX6" s="152">
        <f>SUM('EGRESO-POS plan'!BY5)</f>
        <v>0</v>
      </c>
      <c r="BY6" s="152">
        <f>SUM('EGRESO-POS plan'!BZ5)</f>
        <v>0</v>
      </c>
      <c r="BZ6" s="395">
        <f>SUM(BW6:BY6)</f>
        <v>0</v>
      </c>
      <c r="CA6" s="151">
        <f>SUM('EGRESO-POS plan'!CB5)</f>
        <v>0</v>
      </c>
      <c r="CB6" s="152">
        <f>SUM('EGRESO-POS plan'!CC5)</f>
        <v>0</v>
      </c>
      <c r="CC6" s="152">
        <f>SUM('EGRESO-POS plan'!CD5)</f>
        <v>0</v>
      </c>
      <c r="CD6" s="395">
        <f>SUM(CA6:CC6)</f>
        <v>0</v>
      </c>
      <c r="CE6" s="151">
        <f>SUM('EGRESO-POS plan'!CF5)</f>
        <v>0</v>
      </c>
      <c r="CF6" s="152">
        <f>SUM('EGRESO-POS plan'!CG5)</f>
        <v>0</v>
      </c>
      <c r="CG6" s="152">
        <f>SUM('EGRESO-POS plan'!CH5)</f>
        <v>0</v>
      </c>
      <c r="CH6" s="395">
        <f>SUM(CE6:CG6)</f>
        <v>0</v>
      </c>
      <c r="CI6" s="151">
        <f>SUM('EGRESO-POS plan'!CJ5)</f>
        <v>0</v>
      </c>
      <c r="CJ6" s="152">
        <f>SUM('EGRESO-POS plan'!CK5)</f>
        <v>0</v>
      </c>
      <c r="CK6" s="152">
        <f>SUM('EGRESO-POS plan'!CL5)</f>
        <v>0</v>
      </c>
      <c r="CL6" s="395">
        <f>SUM(CI6:CK6)</f>
        <v>0</v>
      </c>
      <c r="CM6" s="151">
        <f>SUM('EGRESO-POS plan'!CN5)</f>
        <v>0</v>
      </c>
      <c r="CN6" s="152">
        <f>SUM('EGRESO-POS plan'!CO5)</f>
        <v>0</v>
      </c>
      <c r="CO6" s="152">
        <f>SUM('EGRESO-POS plan'!CP5)</f>
        <v>0</v>
      </c>
      <c r="CP6" s="395">
        <f>SUM(CM6:CO6)</f>
        <v>0</v>
      </c>
      <c r="CQ6" s="151">
        <f>SUM('EGRESO-POS plan'!CR5)</f>
        <v>0</v>
      </c>
      <c r="CR6" s="152">
        <f>SUM('EGRESO-POS plan'!CS5)</f>
        <v>0</v>
      </c>
      <c r="CS6" s="152">
        <f>SUM('EGRESO-POS plan'!CT5)</f>
        <v>0</v>
      </c>
      <c r="CT6" s="395">
        <f>SUM(CQ6:CS6)</f>
        <v>0</v>
      </c>
    </row>
    <row r="7" spans="1:98" ht="15" customHeight="1" x14ac:dyDescent="0.25">
      <c r="A7" s="1661"/>
      <c r="B7" s="1336" t="s">
        <v>310</v>
      </c>
      <c r="C7" s="1262">
        <f>+'EGRESO-POS plan'!D6+'EGRESO-POS plan'!D8+'EGRESO-POS plan'!D10</f>
        <v>0</v>
      </c>
      <c r="D7" s="1263">
        <f>+'EGRESO-POS plan'!E6+'EGRESO-POS plan'!E8+'EGRESO-POS plan'!E10</f>
        <v>2</v>
      </c>
      <c r="E7" s="1263">
        <f>+'EGRESO-POS plan'!F6+'EGRESO-POS plan'!F8+'EGRESO-POS plan'!F10</f>
        <v>1</v>
      </c>
      <c r="F7" s="1264">
        <f t="shared" ref="F7:F21" si="0">SUM(C7:E7)</f>
        <v>3</v>
      </c>
      <c r="G7" s="1262">
        <f>+'EGRESO-POS plan'!H6+'EGRESO-POS plan'!H8+'EGRESO-POS plan'!H10</f>
        <v>1</v>
      </c>
      <c r="H7" s="1263">
        <f>+'EGRESO-POS plan'!I6+'EGRESO-POS plan'!I8+'EGRESO-POS plan'!I10</f>
        <v>0</v>
      </c>
      <c r="I7" s="1263">
        <f>+'EGRESO-POS plan'!J6+'EGRESO-POS plan'!J8+'EGRESO-POS plan'!J10</f>
        <v>1</v>
      </c>
      <c r="J7" s="1264">
        <f t="shared" ref="J7:J21" si="1">SUM(G7:I7)</f>
        <v>2</v>
      </c>
      <c r="K7" s="1262">
        <f>+'EGRESO-POS plan'!L6+'EGRESO-POS plan'!L8+'EGRESO-POS plan'!L10</f>
        <v>2</v>
      </c>
      <c r="L7" s="1263">
        <f>+'EGRESO-POS plan'!M6+'EGRESO-POS plan'!M8+'EGRESO-POS plan'!M10</f>
        <v>4</v>
      </c>
      <c r="M7" s="1263">
        <f>+'EGRESO-POS plan'!N6+'EGRESO-POS plan'!N8+'EGRESO-POS plan'!N10</f>
        <v>7</v>
      </c>
      <c r="N7" s="1264">
        <f t="shared" ref="N7:N21" si="2">SUM(K7:M7)</f>
        <v>13</v>
      </c>
      <c r="O7" s="1262">
        <f>+'EGRESO-POS plan'!P6+'EGRESO-POS plan'!P8+'EGRESO-POS plan'!P10</f>
        <v>0</v>
      </c>
      <c r="P7" s="1263">
        <f>+'EGRESO-POS plan'!Q6+'EGRESO-POS plan'!Q8+'EGRESO-POS plan'!Q10</f>
        <v>6</v>
      </c>
      <c r="Q7" s="1263">
        <f>+'EGRESO-POS plan'!R6+'EGRESO-POS plan'!R8+'EGRESO-POS plan'!R10</f>
        <v>7</v>
      </c>
      <c r="R7" s="1264">
        <f t="shared" ref="R7:R21" si="3">SUM(O7:Q7)</f>
        <v>13</v>
      </c>
      <c r="S7" s="1262">
        <v>4</v>
      </c>
      <c r="T7" s="1263">
        <v>11</v>
      </c>
      <c r="U7" s="1263">
        <v>6</v>
      </c>
      <c r="V7" s="1264">
        <v>21</v>
      </c>
      <c r="W7" s="1263">
        <v>6</v>
      </c>
      <c r="X7" s="1263">
        <v>6</v>
      </c>
      <c r="Y7" s="1263">
        <v>8</v>
      </c>
      <c r="Z7" s="1337">
        <v>20</v>
      </c>
      <c r="AA7" s="1262">
        <v>5</v>
      </c>
      <c r="AB7" s="1263">
        <v>14</v>
      </c>
      <c r="AC7" s="1263">
        <v>7</v>
      </c>
      <c r="AD7" s="1264">
        <v>26</v>
      </c>
      <c r="AE7" s="1263">
        <v>7</v>
      </c>
      <c r="AF7" s="1263">
        <v>10</v>
      </c>
      <c r="AG7" s="1263">
        <v>6</v>
      </c>
      <c r="AH7" s="1264">
        <v>23</v>
      </c>
      <c r="AI7" s="1263">
        <v>13</v>
      </c>
      <c r="AJ7" s="1263">
        <v>9</v>
      </c>
      <c r="AK7" s="1263">
        <v>12</v>
      </c>
      <c r="AL7" s="1337">
        <v>34</v>
      </c>
      <c r="AM7" s="129">
        <v>10</v>
      </c>
      <c r="AN7" s="130">
        <v>11</v>
      </c>
      <c r="AO7" s="130">
        <v>12</v>
      </c>
      <c r="AP7" s="130">
        <v>33</v>
      </c>
      <c r="AQ7" s="129">
        <v>1</v>
      </c>
      <c r="AR7" s="130">
        <v>12</v>
      </c>
      <c r="AS7" s="130">
        <v>2</v>
      </c>
      <c r="AT7" s="396">
        <v>15</v>
      </c>
      <c r="AU7" s="129">
        <v>5</v>
      </c>
      <c r="AV7" s="130">
        <v>7</v>
      </c>
      <c r="AW7" s="130">
        <v>7</v>
      </c>
      <c r="AX7" s="396">
        <f t="shared" ref="AX7:AX21" si="4">AU7+AV7+AW7</f>
        <v>19</v>
      </c>
      <c r="AY7" s="129">
        <v>12</v>
      </c>
      <c r="AZ7" s="130">
        <v>12</v>
      </c>
      <c r="BA7" s="130">
        <v>7</v>
      </c>
      <c r="BB7" s="396">
        <f t="shared" ref="BB7:BB21" si="5">AY7+AZ7+BA7</f>
        <v>31</v>
      </c>
      <c r="BC7" s="129">
        <f>SUM('EGRESO-POS plan'!BD6,'EGRESO-POS plan'!BD8,'EGRESO-POS plan'!BD10)</f>
        <v>15</v>
      </c>
      <c r="BD7" s="130">
        <f>SUM('EGRESO-POS plan'!BE6,'EGRESO-POS plan'!BE8,'EGRESO-POS plan'!BE10)</f>
        <v>12</v>
      </c>
      <c r="BE7" s="130">
        <f>SUM('EGRESO-POS plan'!BF6,'EGRESO-POS plan'!BF8,'EGRESO-POS plan'!BF10)</f>
        <v>12</v>
      </c>
      <c r="BF7" s="396">
        <f>SUM(BC7:BE7)</f>
        <v>39</v>
      </c>
      <c r="BG7" s="129">
        <f>SUM('EGRESO-POS plan'!BH6,'EGRESO-POS plan'!BH8,'EGRESO-POS plan'!BH10)</f>
        <v>7</v>
      </c>
      <c r="BH7" s="130">
        <f>SUM('EGRESO-POS plan'!BI6,'EGRESO-POS plan'!BI8,'EGRESO-POS plan'!BI10)</f>
        <v>8</v>
      </c>
      <c r="BI7" s="130">
        <f>SUM('EGRESO-POS plan'!BJ6,'EGRESO-POS plan'!BJ8,'EGRESO-POS plan'!BJ10)</f>
        <v>8</v>
      </c>
      <c r="BJ7" s="396">
        <f>SUM(BG7:BI7)</f>
        <v>23</v>
      </c>
      <c r="BK7" s="129">
        <f>SUM('EGRESO-POS plan'!BL6,'EGRESO-POS plan'!BL8,'EGRESO-POS plan'!BL10)</f>
        <v>10</v>
      </c>
      <c r="BL7" s="130">
        <f>SUM('EGRESO-POS plan'!BM6:BM12)</f>
        <v>14</v>
      </c>
      <c r="BM7" s="130">
        <f>SUM('EGRESO-POS plan'!BN6:BN12)</f>
        <v>14</v>
      </c>
      <c r="BN7" s="396">
        <f>SUM(BK7:BM7)</f>
        <v>38</v>
      </c>
      <c r="BO7" s="129">
        <f>SUM('EGRESO-POS plan'!BP6:BP12)</f>
        <v>15</v>
      </c>
      <c r="BP7" s="130">
        <f>SUM('EGRESO-POS plan'!BQ6:BQ12)</f>
        <v>11</v>
      </c>
      <c r="BQ7" s="130">
        <f>SUM('EGRESO-POS plan'!BR6:BR12)</f>
        <v>8</v>
      </c>
      <c r="BR7" s="396">
        <f>SUM(BO7:BQ7)</f>
        <v>34</v>
      </c>
      <c r="BS7" s="129">
        <f>SUM('EGRESO-POS plan'!BT6:BT12)</f>
        <v>20</v>
      </c>
      <c r="BT7" s="130">
        <f>SUM('EGRESO-POS plan'!BU6:BU12)</f>
        <v>19</v>
      </c>
      <c r="BU7" s="130">
        <f>SUM('EGRESO-POS plan'!BV6:BV12)</f>
        <v>12</v>
      </c>
      <c r="BV7" s="396">
        <f>SUM(BS7:BU7)</f>
        <v>51</v>
      </c>
      <c r="BW7" s="129">
        <f>SUM('EGRESO-POS plan'!BX6:BX12)</f>
        <v>24</v>
      </c>
      <c r="BX7" s="130">
        <f>SUM('EGRESO-POS plan'!BY6:BY12)</f>
        <v>25</v>
      </c>
      <c r="BY7" s="130">
        <f>SUM('EGRESO-POS plan'!BZ6:BZ12)</f>
        <v>16</v>
      </c>
      <c r="BZ7" s="396">
        <f>SUM(BW7:BY7)</f>
        <v>65</v>
      </c>
      <c r="CA7" s="129">
        <f>SUM('EGRESO-POS plan'!CB6:CB12)</f>
        <v>23</v>
      </c>
      <c r="CB7" s="130">
        <f>SUM('EGRESO-POS plan'!CC6:CC12)</f>
        <v>13</v>
      </c>
      <c r="CC7" s="130">
        <f>SUM('EGRESO-POS plan'!CD6:CD12)</f>
        <v>20</v>
      </c>
      <c r="CD7" s="396">
        <f>SUM(CA7:CC7)</f>
        <v>56</v>
      </c>
      <c r="CE7" s="129">
        <f>SUM('EGRESO-POS plan'!CF6:CF12)</f>
        <v>23</v>
      </c>
      <c r="CF7" s="130">
        <f>SUM('EGRESO-POS plan'!CG6:CG12)</f>
        <v>3</v>
      </c>
      <c r="CG7" s="130">
        <f>SUM('EGRESO-POS plan'!CH6:CH12)</f>
        <v>14</v>
      </c>
      <c r="CH7" s="396">
        <f>SUM(CE7:CG7)</f>
        <v>40</v>
      </c>
      <c r="CI7" s="129">
        <f>SUM('EGRESO-POS plan'!CJ6:CJ12)</f>
        <v>23</v>
      </c>
      <c r="CJ7" s="130">
        <f>SUM('EGRESO-POS plan'!CK6:CK12)</f>
        <v>4</v>
      </c>
      <c r="CK7" s="130">
        <f>SUM('EGRESO-POS plan'!CL6:CL12)</f>
        <v>13</v>
      </c>
      <c r="CL7" s="396">
        <f>SUM(CI7:CK7)</f>
        <v>40</v>
      </c>
      <c r="CM7" s="129">
        <f>SUM('EGRESO-POS plan'!CN6:CN12)</f>
        <v>16</v>
      </c>
      <c r="CN7" s="130">
        <f>SUM('EGRESO-POS plan'!CO6:CO12)</f>
        <v>14</v>
      </c>
      <c r="CO7" s="130">
        <f>SUM('EGRESO-POS plan'!CP6:CP12)</f>
        <v>12</v>
      </c>
      <c r="CP7" s="396">
        <f>SUM(CM7:CO7)</f>
        <v>42</v>
      </c>
      <c r="CQ7" s="129">
        <f>SUM('EGRESO-POS plan'!CR6:CR12)</f>
        <v>10</v>
      </c>
      <c r="CR7" s="130">
        <f>SUM('EGRESO-POS plan'!CS6:CS12)</f>
        <v>18</v>
      </c>
      <c r="CS7" s="130">
        <f>SUM('EGRESO-POS plan'!CT6:CT12)</f>
        <v>10</v>
      </c>
      <c r="CT7" s="396">
        <f>SUM(CQ7:CS7)</f>
        <v>38</v>
      </c>
    </row>
    <row r="8" spans="1:98" s="1330" customFormat="1" ht="15" customHeight="1" x14ac:dyDescent="0.25">
      <c r="A8" s="1661"/>
      <c r="B8" s="1339" t="s">
        <v>317</v>
      </c>
      <c r="C8" s="1262">
        <f>+'EGRESO-POS plan'!D13+'EGRESO-POS plan'!D14</f>
        <v>0</v>
      </c>
      <c r="D8" s="1263">
        <f>+'EGRESO-POS plan'!E13+'EGRESO-POS plan'!E14</f>
        <v>0</v>
      </c>
      <c r="E8" s="1263">
        <f>+'EGRESO-POS plan'!F13+'EGRESO-POS plan'!F14</f>
        <v>0</v>
      </c>
      <c r="F8" s="1264">
        <f t="shared" si="0"/>
        <v>0</v>
      </c>
      <c r="G8" s="1262">
        <f>+'EGRESO-POS plan'!H13+'EGRESO-POS plan'!H14</f>
        <v>0</v>
      </c>
      <c r="H8" s="1263">
        <f>+'EGRESO-POS plan'!I13+'EGRESO-POS plan'!I14</f>
        <v>0</v>
      </c>
      <c r="I8" s="1263">
        <f>+'EGRESO-POS plan'!J13+'EGRESO-POS plan'!J14</f>
        <v>0</v>
      </c>
      <c r="J8" s="1264">
        <f t="shared" si="1"/>
        <v>0</v>
      </c>
      <c r="K8" s="1262">
        <f>+'EGRESO-POS plan'!L13+'EGRESO-POS plan'!L14</f>
        <v>0</v>
      </c>
      <c r="L8" s="1263">
        <f>+'EGRESO-POS plan'!M13+'EGRESO-POS plan'!M14</f>
        <v>0</v>
      </c>
      <c r="M8" s="1263">
        <f>+'EGRESO-POS plan'!N13+'EGRESO-POS plan'!N14</f>
        <v>0</v>
      </c>
      <c r="N8" s="1264">
        <f t="shared" si="2"/>
        <v>0</v>
      </c>
      <c r="O8" s="1262">
        <f>+'EGRESO-POS plan'!P13+'EGRESO-POS plan'!P14</f>
        <v>0</v>
      </c>
      <c r="P8" s="1263">
        <f>+'EGRESO-POS plan'!Q13+'EGRESO-POS plan'!Q14</f>
        <v>0</v>
      </c>
      <c r="Q8" s="1263">
        <f>+'EGRESO-POS plan'!R13+'EGRESO-POS plan'!R14</f>
        <v>1</v>
      </c>
      <c r="R8" s="1264">
        <f t="shared" si="3"/>
        <v>1</v>
      </c>
      <c r="S8" s="1262">
        <v>1</v>
      </c>
      <c r="T8" s="1263">
        <v>1</v>
      </c>
      <c r="U8" s="1263">
        <v>0</v>
      </c>
      <c r="V8" s="1264">
        <v>2</v>
      </c>
      <c r="W8" s="1263">
        <v>1</v>
      </c>
      <c r="X8" s="1263">
        <v>1</v>
      </c>
      <c r="Y8" s="1263">
        <v>2</v>
      </c>
      <c r="Z8" s="1337">
        <v>4</v>
      </c>
      <c r="AA8" s="1262">
        <v>1</v>
      </c>
      <c r="AB8" s="1263">
        <v>5</v>
      </c>
      <c r="AC8" s="1263">
        <v>3</v>
      </c>
      <c r="AD8" s="1264">
        <v>9</v>
      </c>
      <c r="AE8" s="1263">
        <v>1</v>
      </c>
      <c r="AF8" s="1263">
        <v>2</v>
      </c>
      <c r="AG8" s="1263">
        <v>4</v>
      </c>
      <c r="AH8" s="1264">
        <v>7</v>
      </c>
      <c r="AI8" s="1263">
        <v>0</v>
      </c>
      <c r="AJ8" s="1263">
        <v>1</v>
      </c>
      <c r="AK8" s="1263">
        <v>1</v>
      </c>
      <c r="AL8" s="1337">
        <v>2</v>
      </c>
      <c r="AM8" s="129">
        <v>2</v>
      </c>
      <c r="AN8" s="130">
        <v>1</v>
      </c>
      <c r="AO8" s="130">
        <v>0</v>
      </c>
      <c r="AP8" s="130">
        <v>3</v>
      </c>
      <c r="AQ8" s="129">
        <v>0</v>
      </c>
      <c r="AR8" s="130">
        <v>2</v>
      </c>
      <c r="AS8" s="130">
        <v>1</v>
      </c>
      <c r="AT8" s="396">
        <v>3</v>
      </c>
      <c r="AU8" s="129">
        <v>1</v>
      </c>
      <c r="AV8" s="130">
        <v>3</v>
      </c>
      <c r="AW8" s="130">
        <v>2</v>
      </c>
      <c r="AX8" s="396">
        <f t="shared" si="4"/>
        <v>6</v>
      </c>
      <c r="AY8" s="129">
        <v>3</v>
      </c>
      <c r="AZ8" s="130">
        <v>6</v>
      </c>
      <c r="BA8" s="130">
        <v>2</v>
      </c>
      <c r="BB8" s="396">
        <f t="shared" si="5"/>
        <v>11</v>
      </c>
      <c r="BC8" s="129">
        <f>SUM('EGRESO-POS plan'!BD13,'EGRESO-POS plan'!BD14)</f>
        <v>0</v>
      </c>
      <c r="BD8" s="130">
        <f>SUM('EGRESO-POS plan'!BE13,'EGRESO-POS plan'!BE14)</f>
        <v>1</v>
      </c>
      <c r="BE8" s="130">
        <f>SUM('EGRESO-POS plan'!BF13,'EGRESO-POS plan'!BF14)</f>
        <v>5</v>
      </c>
      <c r="BF8" s="396">
        <f>SUM(BC8:BE8)</f>
        <v>6</v>
      </c>
      <c r="BG8" s="129">
        <f>SUM('EGRESO-POS plan'!BH13,'EGRESO-POS plan'!BH14)</f>
        <v>2</v>
      </c>
      <c r="BH8" s="130">
        <f>SUM('EGRESO-POS plan'!BI13,'EGRESO-POS plan'!BI14)</f>
        <v>5</v>
      </c>
      <c r="BI8" s="130">
        <f>SUM('EGRESO-POS plan'!BJ13,'EGRESO-POS plan'!BJ14)</f>
        <v>6</v>
      </c>
      <c r="BJ8" s="396">
        <f>SUM(BG8:BI8)</f>
        <v>13</v>
      </c>
      <c r="BK8" s="129">
        <f>SUM('EGRESO-POS plan'!BL13,'EGRESO-POS plan'!BL14)</f>
        <v>1</v>
      </c>
      <c r="BL8" s="130">
        <f>SUM('EGRESO-POS plan'!BM13,'EGRESO-POS plan'!BM14)</f>
        <v>1</v>
      </c>
      <c r="BM8" s="130">
        <f>SUM('EGRESO-POS plan'!BN13:BN14)</f>
        <v>3</v>
      </c>
      <c r="BN8" s="396">
        <f>SUM(BK8:BM8)</f>
        <v>5</v>
      </c>
      <c r="BO8" s="129">
        <f>SUM('EGRESO-POS plan'!BP13,'EGRESO-POS plan'!BP14)</f>
        <v>1</v>
      </c>
      <c r="BP8" s="130">
        <f>SUM('EGRESO-POS plan'!BQ13,'EGRESO-POS plan'!BQ14)</f>
        <v>3</v>
      </c>
      <c r="BQ8" s="130">
        <f>SUM('EGRESO-POS plan'!BR13:BR14)</f>
        <v>0</v>
      </c>
      <c r="BR8" s="396">
        <f>SUM(BO8:BQ8)</f>
        <v>4</v>
      </c>
      <c r="BS8" s="129">
        <f>SUM('EGRESO-POS plan'!BT13,'EGRESO-POS plan'!BT14)</f>
        <v>1</v>
      </c>
      <c r="BT8" s="130">
        <f>SUM('EGRESO-POS plan'!BU13,'EGRESO-POS plan'!BU14)</f>
        <v>4</v>
      </c>
      <c r="BU8" s="130">
        <f>SUM('EGRESO-POS plan'!BV13:BV14)</f>
        <v>2</v>
      </c>
      <c r="BV8" s="396">
        <f>SUM(BS8:BU8)</f>
        <v>7</v>
      </c>
      <c r="BW8" s="129">
        <f>SUM('EGRESO-POS plan'!BX13:BX17)</f>
        <v>2</v>
      </c>
      <c r="BX8" s="130">
        <f>SUM('EGRESO-POS plan'!BY13:BY17)</f>
        <v>2</v>
      </c>
      <c r="BY8" s="130">
        <f>SUM('EGRESO-POS plan'!BZ13:BZ17)</f>
        <v>6</v>
      </c>
      <c r="BZ8" s="396">
        <f>SUM(BW8:BY8)</f>
        <v>10</v>
      </c>
      <c r="CA8" s="129">
        <f>SUM('EGRESO-POS plan'!CB13:CB17)</f>
        <v>3</v>
      </c>
      <c r="CB8" s="130">
        <f>SUM('EGRESO-POS plan'!CC13:CC17)</f>
        <v>1</v>
      </c>
      <c r="CC8" s="130">
        <f>SUM('EGRESO-POS plan'!CD13:CD17)</f>
        <v>0</v>
      </c>
      <c r="CD8" s="396">
        <f>SUM(CA8:CC8)</f>
        <v>4</v>
      </c>
      <c r="CE8" s="129">
        <f>SUM('EGRESO-POS plan'!CF13:CF17)</f>
        <v>3</v>
      </c>
      <c r="CF8" s="130">
        <f>SUM('EGRESO-POS plan'!CG13:CG17)</f>
        <v>2</v>
      </c>
      <c r="CG8" s="130">
        <f>SUM('EGRESO-POS plan'!CH13:CH17)</f>
        <v>2</v>
      </c>
      <c r="CH8" s="396">
        <f>SUM(CE8:CG8)</f>
        <v>7</v>
      </c>
      <c r="CI8" s="129">
        <f>SUM('EGRESO-POS plan'!CJ13:CJ17)</f>
        <v>2</v>
      </c>
      <c r="CJ8" s="130">
        <f>SUM('EGRESO-POS plan'!CK13:CK17)</f>
        <v>0</v>
      </c>
      <c r="CK8" s="130">
        <f>SUM('EGRESO-POS plan'!CL13:CL17)</f>
        <v>2</v>
      </c>
      <c r="CL8" s="396">
        <f>SUM(CI8:CK8)</f>
        <v>4</v>
      </c>
      <c r="CM8" s="129">
        <f>SUM('EGRESO-POS plan'!CN13:CN17)</f>
        <v>2</v>
      </c>
      <c r="CN8" s="130">
        <f>SUM('EGRESO-POS plan'!CO13:CO17)</f>
        <v>2</v>
      </c>
      <c r="CO8" s="130">
        <f>SUM('EGRESO-POS plan'!CP13:CP17)</f>
        <v>2</v>
      </c>
      <c r="CP8" s="396">
        <f>SUM(CM8:CO8)</f>
        <v>6</v>
      </c>
      <c r="CQ8" s="129">
        <f>SUM('EGRESO-POS plan'!CR13:CR17)</f>
        <v>7</v>
      </c>
      <c r="CR8" s="130">
        <f>SUM('EGRESO-POS plan'!CS13:CS17)</f>
        <v>5</v>
      </c>
      <c r="CS8" s="130">
        <f>SUM('EGRESO-POS plan'!CT13:CT17)</f>
        <v>2</v>
      </c>
      <c r="CT8" s="396">
        <f>SUM(CQ8:CS8)</f>
        <v>14</v>
      </c>
    </row>
    <row r="9" spans="1:98" s="1330" customFormat="1" ht="15" customHeight="1" x14ac:dyDescent="0.25">
      <c r="A9" s="1661"/>
      <c r="B9" s="1342" t="s">
        <v>1379</v>
      </c>
      <c r="C9" s="1662">
        <f>SUM(C6:C8)</f>
        <v>0</v>
      </c>
      <c r="D9" s="1663">
        <f>SUM(D6:D8)</f>
        <v>2</v>
      </c>
      <c r="E9" s="1663">
        <f>SUM(E6:E8)</f>
        <v>1</v>
      </c>
      <c r="F9" s="1310">
        <f t="shared" si="0"/>
        <v>3</v>
      </c>
      <c r="G9" s="1662">
        <f>SUM(G6:G8)</f>
        <v>1</v>
      </c>
      <c r="H9" s="1663">
        <f>SUM(H6:H8)</f>
        <v>0</v>
      </c>
      <c r="I9" s="1663">
        <f>SUM(I6:I8)</f>
        <v>1</v>
      </c>
      <c r="J9" s="1310">
        <f t="shared" si="1"/>
        <v>2</v>
      </c>
      <c r="K9" s="1662">
        <f>SUM(K6:K8)</f>
        <v>2</v>
      </c>
      <c r="L9" s="1663">
        <f>SUM(L6:L8)</f>
        <v>4</v>
      </c>
      <c r="M9" s="1663">
        <f>SUM(M6:M8)</f>
        <v>7</v>
      </c>
      <c r="N9" s="1310">
        <f t="shared" si="2"/>
        <v>13</v>
      </c>
      <c r="O9" s="1662">
        <f>SUM(O6:O8)</f>
        <v>1</v>
      </c>
      <c r="P9" s="1663">
        <f>SUM(P6:P8)</f>
        <v>6</v>
      </c>
      <c r="Q9" s="1663">
        <f>SUM(Q6:Q8)</f>
        <v>8</v>
      </c>
      <c r="R9" s="1310">
        <f t="shared" si="3"/>
        <v>15</v>
      </c>
      <c r="S9" s="1662">
        <v>5</v>
      </c>
      <c r="T9" s="1663">
        <v>14</v>
      </c>
      <c r="U9" s="1663">
        <v>6</v>
      </c>
      <c r="V9" s="1310">
        <v>25</v>
      </c>
      <c r="W9" s="1663">
        <v>7</v>
      </c>
      <c r="X9" s="1663">
        <v>7</v>
      </c>
      <c r="Y9" s="1663">
        <v>10</v>
      </c>
      <c r="Z9" s="1663">
        <v>24</v>
      </c>
      <c r="AA9" s="1662">
        <v>6</v>
      </c>
      <c r="AB9" s="1663">
        <v>19</v>
      </c>
      <c r="AC9" s="1663">
        <v>10</v>
      </c>
      <c r="AD9" s="1310">
        <v>35</v>
      </c>
      <c r="AE9" s="1663">
        <v>8</v>
      </c>
      <c r="AF9" s="1663">
        <v>12</v>
      </c>
      <c r="AG9" s="1663">
        <v>10</v>
      </c>
      <c r="AH9" s="1310">
        <v>30</v>
      </c>
      <c r="AI9" s="1663">
        <v>13</v>
      </c>
      <c r="AJ9" s="1663">
        <v>10</v>
      </c>
      <c r="AK9" s="1663">
        <v>13</v>
      </c>
      <c r="AL9" s="1663">
        <v>36</v>
      </c>
      <c r="AM9" s="630">
        <v>12</v>
      </c>
      <c r="AN9" s="1664">
        <v>12</v>
      </c>
      <c r="AO9" s="1664">
        <v>12</v>
      </c>
      <c r="AP9" s="1664">
        <v>36</v>
      </c>
      <c r="AQ9" s="630">
        <f t="shared" ref="AQ9:AW9" si="6">SUM(AQ6:AQ8)</f>
        <v>1</v>
      </c>
      <c r="AR9" s="1664">
        <f t="shared" si="6"/>
        <v>14</v>
      </c>
      <c r="AS9" s="1664">
        <f t="shared" si="6"/>
        <v>3</v>
      </c>
      <c r="AT9" s="1665">
        <f t="shared" si="6"/>
        <v>18</v>
      </c>
      <c r="AU9" s="630">
        <f t="shared" si="6"/>
        <v>6</v>
      </c>
      <c r="AV9" s="1664">
        <f t="shared" si="6"/>
        <v>10</v>
      </c>
      <c r="AW9" s="1664">
        <f t="shared" si="6"/>
        <v>9</v>
      </c>
      <c r="AX9" s="1665">
        <f t="shared" si="4"/>
        <v>25</v>
      </c>
      <c r="AY9" s="630">
        <f>SUM(AY6:AY8)</f>
        <v>15</v>
      </c>
      <c r="AZ9" s="1664">
        <f>SUM(AZ6:AZ8)</f>
        <v>18</v>
      </c>
      <c r="BA9" s="1664">
        <f>SUM(BA6:BA8)</f>
        <v>9</v>
      </c>
      <c r="BB9" s="1665">
        <f t="shared" si="5"/>
        <v>42</v>
      </c>
      <c r="BC9" s="630">
        <f t="shared" ref="BC9:CL9" si="7">SUM(BC6:BC8)</f>
        <v>15</v>
      </c>
      <c r="BD9" s="1664">
        <f t="shared" si="7"/>
        <v>13</v>
      </c>
      <c r="BE9" s="1664">
        <f t="shared" si="7"/>
        <v>17</v>
      </c>
      <c r="BF9" s="1665">
        <f t="shared" si="7"/>
        <v>45</v>
      </c>
      <c r="BG9" s="630">
        <f t="shared" si="7"/>
        <v>9</v>
      </c>
      <c r="BH9" s="1664">
        <f t="shared" si="7"/>
        <v>13</v>
      </c>
      <c r="BI9" s="1664">
        <f t="shared" si="7"/>
        <v>14</v>
      </c>
      <c r="BJ9" s="1665">
        <f t="shared" si="7"/>
        <v>36</v>
      </c>
      <c r="BK9" s="630">
        <f t="shared" si="7"/>
        <v>11</v>
      </c>
      <c r="BL9" s="1664">
        <f t="shared" si="7"/>
        <v>15</v>
      </c>
      <c r="BM9" s="1664">
        <f t="shared" si="7"/>
        <v>17</v>
      </c>
      <c r="BN9" s="1665">
        <f t="shared" si="7"/>
        <v>43</v>
      </c>
      <c r="BO9" s="630">
        <f t="shared" si="7"/>
        <v>16</v>
      </c>
      <c r="BP9" s="1664">
        <f t="shared" si="7"/>
        <v>14</v>
      </c>
      <c r="BQ9" s="1664">
        <f t="shared" si="7"/>
        <v>8</v>
      </c>
      <c r="BR9" s="1665">
        <f t="shared" si="7"/>
        <v>38</v>
      </c>
      <c r="BS9" s="630">
        <f t="shared" si="7"/>
        <v>21</v>
      </c>
      <c r="BT9" s="1664">
        <f t="shared" si="7"/>
        <v>23</v>
      </c>
      <c r="BU9" s="1664">
        <f t="shared" si="7"/>
        <v>14</v>
      </c>
      <c r="BV9" s="1665">
        <f t="shared" si="7"/>
        <v>58</v>
      </c>
      <c r="BW9" s="630">
        <f t="shared" si="7"/>
        <v>26</v>
      </c>
      <c r="BX9" s="1664">
        <f t="shared" si="7"/>
        <v>27</v>
      </c>
      <c r="BY9" s="1664">
        <f t="shared" si="7"/>
        <v>22</v>
      </c>
      <c r="BZ9" s="1665">
        <f t="shared" si="7"/>
        <v>75</v>
      </c>
      <c r="CA9" s="630">
        <f t="shared" si="7"/>
        <v>26</v>
      </c>
      <c r="CB9" s="1664">
        <f t="shared" si="7"/>
        <v>14</v>
      </c>
      <c r="CC9" s="1664">
        <f t="shared" si="7"/>
        <v>20</v>
      </c>
      <c r="CD9" s="1665">
        <f t="shared" si="7"/>
        <v>60</v>
      </c>
      <c r="CE9" s="630">
        <f t="shared" si="7"/>
        <v>26</v>
      </c>
      <c r="CF9" s="1664">
        <f t="shared" si="7"/>
        <v>5</v>
      </c>
      <c r="CG9" s="1664">
        <f t="shared" si="7"/>
        <v>16</v>
      </c>
      <c r="CH9" s="1665">
        <f t="shared" si="7"/>
        <v>47</v>
      </c>
      <c r="CI9" s="630">
        <f t="shared" si="7"/>
        <v>25</v>
      </c>
      <c r="CJ9" s="1664">
        <f t="shared" si="7"/>
        <v>4</v>
      </c>
      <c r="CK9" s="1664">
        <f t="shared" si="7"/>
        <v>15</v>
      </c>
      <c r="CL9" s="1665">
        <f t="shared" si="7"/>
        <v>44</v>
      </c>
      <c r="CM9" s="630">
        <f t="shared" ref="CM9:CP9" si="8">SUM(CM6:CM8)</f>
        <v>18</v>
      </c>
      <c r="CN9" s="1664">
        <f t="shared" si="8"/>
        <v>16</v>
      </c>
      <c r="CO9" s="1664">
        <f t="shared" si="8"/>
        <v>14</v>
      </c>
      <c r="CP9" s="1665">
        <f t="shared" si="8"/>
        <v>48</v>
      </c>
      <c r="CQ9" s="630">
        <f t="shared" ref="CQ9:CT9" si="9">SUM(CQ6:CQ8)</f>
        <v>17</v>
      </c>
      <c r="CR9" s="1664">
        <f t="shared" si="9"/>
        <v>23</v>
      </c>
      <c r="CS9" s="1664">
        <f t="shared" si="9"/>
        <v>12</v>
      </c>
      <c r="CT9" s="1665">
        <f t="shared" si="9"/>
        <v>52</v>
      </c>
    </row>
    <row r="10" spans="1:98" ht="15" customHeight="1" x14ac:dyDescent="0.25">
      <c r="A10" s="1661"/>
      <c r="B10" s="1334" t="s">
        <v>308</v>
      </c>
      <c r="C10" s="1276">
        <f>+'EGRESO-POS plan'!D19+'EGRESO-POS plan'!D21</f>
        <v>0</v>
      </c>
      <c r="D10" s="1279">
        <f>+'EGRESO-POS plan'!E19+'EGRESO-POS plan'!E21</f>
        <v>0</v>
      </c>
      <c r="E10" s="1279">
        <f>+'EGRESO-POS plan'!F19+'EGRESO-POS plan'!F21</f>
        <v>2</v>
      </c>
      <c r="F10" s="1278">
        <f t="shared" si="0"/>
        <v>2</v>
      </c>
      <c r="G10" s="1276">
        <f>+'EGRESO-POS plan'!H19+'EGRESO-POS plan'!H21</f>
        <v>0</v>
      </c>
      <c r="H10" s="1279">
        <f>+'EGRESO-POS plan'!I19+'EGRESO-POS plan'!I21</f>
        <v>1</v>
      </c>
      <c r="I10" s="1279">
        <f>+'EGRESO-POS plan'!J19+'EGRESO-POS plan'!J21</f>
        <v>3</v>
      </c>
      <c r="J10" s="1278">
        <f t="shared" si="1"/>
        <v>4</v>
      </c>
      <c r="K10" s="1276">
        <f>+'EGRESO-POS plan'!L19+'EGRESO-POS plan'!L21</f>
        <v>0</v>
      </c>
      <c r="L10" s="1279">
        <f>+'EGRESO-POS plan'!M19+'EGRESO-POS plan'!M21</f>
        <v>8</v>
      </c>
      <c r="M10" s="1279">
        <f>+'EGRESO-POS plan'!N19+'EGRESO-POS plan'!N21</f>
        <v>1</v>
      </c>
      <c r="N10" s="1278">
        <f t="shared" si="2"/>
        <v>9</v>
      </c>
      <c r="O10" s="1276">
        <f>+'EGRESO-POS plan'!P19+'EGRESO-POS plan'!P21</f>
        <v>1</v>
      </c>
      <c r="P10" s="1279">
        <f>+'EGRESO-POS plan'!Q19+'EGRESO-POS plan'!Q21</f>
        <v>54</v>
      </c>
      <c r="Q10" s="1279">
        <f>+'EGRESO-POS plan'!R19+'EGRESO-POS plan'!R21</f>
        <v>10</v>
      </c>
      <c r="R10" s="1278">
        <f t="shared" si="3"/>
        <v>65</v>
      </c>
      <c r="S10" s="1276">
        <v>0</v>
      </c>
      <c r="T10" s="1279">
        <v>8</v>
      </c>
      <c r="U10" s="1279">
        <v>0</v>
      </c>
      <c r="V10" s="1278">
        <v>8</v>
      </c>
      <c r="W10" s="1279">
        <v>0</v>
      </c>
      <c r="X10" s="1279">
        <v>8</v>
      </c>
      <c r="Y10" s="1279">
        <v>5</v>
      </c>
      <c r="Z10" s="1666">
        <v>13</v>
      </c>
      <c r="AA10" s="1276">
        <v>6</v>
      </c>
      <c r="AB10" s="1279">
        <v>22</v>
      </c>
      <c r="AC10" s="1279">
        <v>0</v>
      </c>
      <c r="AD10" s="1278">
        <v>28</v>
      </c>
      <c r="AE10" s="1279">
        <v>0</v>
      </c>
      <c r="AF10" s="1279">
        <v>21</v>
      </c>
      <c r="AG10" s="1279">
        <v>2</v>
      </c>
      <c r="AH10" s="1278">
        <v>23</v>
      </c>
      <c r="AI10" s="1279">
        <v>1</v>
      </c>
      <c r="AJ10" s="1279">
        <v>17</v>
      </c>
      <c r="AK10" s="1279">
        <v>9</v>
      </c>
      <c r="AL10" s="1666">
        <v>27</v>
      </c>
      <c r="AM10" s="1398">
        <v>0</v>
      </c>
      <c r="AN10" s="1399">
        <v>5</v>
      </c>
      <c r="AO10" s="1399">
        <v>0</v>
      </c>
      <c r="AP10" s="1399">
        <v>5</v>
      </c>
      <c r="AQ10" s="1398">
        <v>1</v>
      </c>
      <c r="AR10" s="1399">
        <v>9</v>
      </c>
      <c r="AS10" s="1399">
        <v>1</v>
      </c>
      <c r="AT10" s="1400">
        <v>11</v>
      </c>
      <c r="AU10" s="1398"/>
      <c r="AV10" s="1399">
        <v>7</v>
      </c>
      <c r="AW10" s="1399"/>
      <c r="AX10" s="1400">
        <f t="shared" si="4"/>
        <v>7</v>
      </c>
      <c r="AY10" s="1398">
        <v>1</v>
      </c>
      <c r="AZ10" s="1399">
        <v>17</v>
      </c>
      <c r="BA10" s="1399">
        <v>1</v>
      </c>
      <c r="BB10" s="1400">
        <f t="shared" si="5"/>
        <v>19</v>
      </c>
      <c r="BC10" s="151">
        <f>SUM('EGRESO-POS plan'!BD19,'EGRESO-POS plan'!BD21,'EGRESO-POS plan'!BD22)</f>
        <v>0</v>
      </c>
      <c r="BD10" s="152">
        <f>SUM('EGRESO-POS plan'!BE19,'EGRESO-POS plan'!BE21,'EGRESO-POS plan'!BE22)</f>
        <v>24</v>
      </c>
      <c r="BE10" s="152">
        <f>SUM('EGRESO-POS plan'!BF19,'EGRESO-POS plan'!BF21,'EGRESO-POS plan'!BF22)</f>
        <v>0</v>
      </c>
      <c r="BF10" s="395">
        <f>SUM(BC10:BE10)</f>
        <v>24</v>
      </c>
      <c r="BG10" s="151">
        <f>SUM('EGRESO-POS plan'!BH19,'EGRESO-POS plan'!BH21,'EGRESO-POS plan'!BH22)</f>
        <v>0</v>
      </c>
      <c r="BH10" s="152">
        <f>SUM('EGRESO-POS plan'!BI19,'EGRESO-POS plan'!BI21,'EGRESO-POS plan'!BI22)</f>
        <v>9</v>
      </c>
      <c r="BI10" s="152">
        <f>SUM('EGRESO-POS plan'!BJ19,'EGRESO-POS plan'!BJ21,'EGRESO-POS plan'!BJ22)</f>
        <v>2</v>
      </c>
      <c r="BJ10" s="395">
        <f>SUM(BG10:BI10)</f>
        <v>11</v>
      </c>
      <c r="BK10" s="151">
        <f>SUM('EGRESO-POS plan'!BL19,'EGRESO-POS plan'!BL21,'EGRESO-POS plan'!BL22)</f>
        <v>0</v>
      </c>
      <c r="BL10" s="152">
        <f>SUM('EGRESO-POS plan'!BM19,'EGRESO-POS plan'!BM21,'EGRESO-POS plan'!BM22)</f>
        <v>16</v>
      </c>
      <c r="BM10" s="152">
        <f>SUM('EGRESO-POS plan'!BN19:BN22)</f>
        <v>6</v>
      </c>
      <c r="BN10" s="395">
        <f>SUM(BK10:BM10)</f>
        <v>22</v>
      </c>
      <c r="BO10" s="151">
        <f>SUM('EGRESO-POS plan'!BP19,'EGRESO-POS plan'!BP21,'EGRESO-POS plan'!BP22)</f>
        <v>1</v>
      </c>
      <c r="BP10" s="152">
        <f>SUM('EGRESO-POS plan'!BQ19,'EGRESO-POS plan'!BQ21,'EGRESO-POS plan'!BQ22)</f>
        <v>11</v>
      </c>
      <c r="BQ10" s="152">
        <f>SUM('EGRESO-POS plan'!BR19:BR22)</f>
        <v>3</v>
      </c>
      <c r="BR10" s="395">
        <f>SUM(BO10:BQ10)</f>
        <v>15</v>
      </c>
      <c r="BS10" s="151">
        <f>SUM('EGRESO-POS plan'!BT19,'EGRESO-POS plan'!BT21,'EGRESO-POS plan'!BT22)</f>
        <v>0</v>
      </c>
      <c r="BT10" s="152">
        <f>SUM('EGRESO-POS plan'!BU19,'EGRESO-POS plan'!BU21,'EGRESO-POS plan'!BU22)</f>
        <v>21</v>
      </c>
      <c r="BU10" s="152">
        <f>SUM('EGRESO-POS plan'!BV19:BV22)</f>
        <v>4</v>
      </c>
      <c r="BV10" s="395">
        <f>SUM(BS10:BU10)</f>
        <v>25</v>
      </c>
      <c r="BW10" s="151">
        <f>SUM('EGRESO-POS plan'!BX19:BX22)</f>
        <v>0</v>
      </c>
      <c r="BX10" s="152">
        <f>SUM('EGRESO-POS plan'!BY19:BY22)</f>
        <v>20</v>
      </c>
      <c r="BY10" s="152">
        <f>SUM('EGRESO-POS plan'!BZ19:BZ22)</f>
        <v>0</v>
      </c>
      <c r="BZ10" s="395">
        <f>SUM(BW10:BY10)</f>
        <v>20</v>
      </c>
      <c r="CA10" s="151">
        <f>SUM('EGRESO-POS plan'!CB19:CB22)</f>
        <v>0</v>
      </c>
      <c r="CB10" s="152">
        <f>SUM('EGRESO-POS plan'!CC19:CC22)</f>
        <v>19</v>
      </c>
      <c r="CC10" s="152">
        <f>SUM('EGRESO-POS plan'!CD19:CD22)</f>
        <v>0</v>
      </c>
      <c r="CD10" s="395">
        <f>SUM(CA10:CC10)</f>
        <v>19</v>
      </c>
      <c r="CE10" s="151">
        <f>SUM('EGRESO-POS plan'!CF19:CF22)</f>
        <v>0</v>
      </c>
      <c r="CF10" s="152">
        <f>SUM('EGRESO-POS plan'!CG19:CG22)</f>
        <v>0</v>
      </c>
      <c r="CG10" s="152">
        <f>SUM('EGRESO-POS plan'!CH19:CH22)</f>
        <v>13</v>
      </c>
      <c r="CH10" s="395">
        <f>SUM(CE10:CG10)</f>
        <v>13</v>
      </c>
      <c r="CI10" s="151">
        <f>SUM('EGRESO-POS plan'!CJ19:CJ22)</f>
        <v>0</v>
      </c>
      <c r="CJ10" s="152">
        <f>SUM('EGRESO-POS plan'!CK19:CK22)</f>
        <v>8</v>
      </c>
      <c r="CK10" s="152">
        <f>SUM('EGRESO-POS plan'!CL19:CL22)</f>
        <v>18</v>
      </c>
      <c r="CL10" s="395">
        <f>SUM(CI10:CK10)</f>
        <v>26</v>
      </c>
      <c r="CM10" s="151">
        <f>SUM('EGRESO-POS plan'!CN19:CN22)</f>
        <v>0</v>
      </c>
      <c r="CN10" s="152">
        <f>SUM('EGRESO-POS plan'!CO19:CO22)</f>
        <v>6</v>
      </c>
      <c r="CO10" s="152">
        <f>SUM('EGRESO-POS plan'!CP19:CP22)</f>
        <v>1</v>
      </c>
      <c r="CP10" s="395">
        <f>SUM(CM10:CO10)</f>
        <v>7</v>
      </c>
      <c r="CQ10" s="151">
        <f>SUM('EGRESO-POS plan'!CR19:CR22)</f>
        <v>0</v>
      </c>
      <c r="CR10" s="152">
        <f>SUM('EGRESO-POS plan'!CS19:CS22)</f>
        <v>11</v>
      </c>
      <c r="CS10" s="152">
        <f>SUM('EGRESO-POS plan'!CT19:CT22)</f>
        <v>0</v>
      </c>
      <c r="CT10" s="395">
        <f>SUM(CQ10:CS10)</f>
        <v>11</v>
      </c>
    </row>
    <row r="11" spans="1:98" ht="15" customHeight="1" x14ac:dyDescent="0.25">
      <c r="A11" s="1661"/>
      <c r="B11" s="1336" t="s">
        <v>310</v>
      </c>
      <c r="C11" s="1262">
        <f>+'EGRESO-POS plan'!D25+'EGRESO-POS plan'!D26+'EGRESO-POS plan'!D27+'EGRESO-POS plan'!D28+'EGRESO-POS plan'!D29</f>
        <v>0</v>
      </c>
      <c r="D11" s="1263">
        <f>+'EGRESO-POS plan'!E25+'EGRESO-POS plan'!E26+'EGRESO-POS plan'!E27+'EGRESO-POS plan'!E28+'EGRESO-POS plan'!E29</f>
        <v>5</v>
      </c>
      <c r="E11" s="1263">
        <f>+'EGRESO-POS plan'!F25+'EGRESO-POS plan'!F26+'EGRESO-POS plan'!F27+'EGRESO-POS plan'!F28+'EGRESO-POS plan'!F29</f>
        <v>2</v>
      </c>
      <c r="F11" s="1264">
        <f t="shared" si="0"/>
        <v>7</v>
      </c>
      <c r="G11" s="1262">
        <f>+'EGRESO-POS plan'!H25+'EGRESO-POS plan'!H26+'EGRESO-POS plan'!H27+'EGRESO-POS plan'!H28+'EGRESO-POS plan'!H29</f>
        <v>0</v>
      </c>
      <c r="H11" s="1263">
        <f>+'EGRESO-POS plan'!I25+'EGRESO-POS plan'!I26+'EGRESO-POS plan'!I27+'EGRESO-POS plan'!I28+'EGRESO-POS plan'!I29</f>
        <v>0</v>
      </c>
      <c r="I11" s="1263">
        <f>+'EGRESO-POS plan'!J25+'EGRESO-POS plan'!J26+'EGRESO-POS plan'!J27+'EGRESO-POS plan'!J28+'EGRESO-POS plan'!J29</f>
        <v>4</v>
      </c>
      <c r="J11" s="1264">
        <f t="shared" si="1"/>
        <v>4</v>
      </c>
      <c r="K11" s="1262">
        <f>+'EGRESO-POS plan'!L25+'EGRESO-POS plan'!L26+'EGRESO-POS plan'!L27+'EGRESO-POS plan'!L28+'EGRESO-POS plan'!L29</f>
        <v>1</v>
      </c>
      <c r="L11" s="1263">
        <f>+'EGRESO-POS plan'!M25+'EGRESO-POS plan'!M26+'EGRESO-POS plan'!M27+'EGRESO-POS plan'!M28+'EGRESO-POS plan'!M29</f>
        <v>4</v>
      </c>
      <c r="M11" s="1263">
        <f>+'EGRESO-POS plan'!N25+'EGRESO-POS plan'!N26+'EGRESO-POS plan'!N27+'EGRESO-POS plan'!N28+'EGRESO-POS plan'!N29</f>
        <v>5</v>
      </c>
      <c r="N11" s="1264">
        <f t="shared" si="2"/>
        <v>10</v>
      </c>
      <c r="O11" s="1262">
        <f>+'EGRESO-POS plan'!P25+'EGRESO-POS plan'!P26+'EGRESO-POS plan'!P27+'EGRESO-POS plan'!P28+'EGRESO-POS plan'!P29</f>
        <v>2</v>
      </c>
      <c r="P11" s="1263">
        <f>+'EGRESO-POS plan'!Q25+'EGRESO-POS plan'!Q26+'EGRESO-POS plan'!Q27+'EGRESO-POS plan'!Q28+'EGRESO-POS plan'!Q29</f>
        <v>69</v>
      </c>
      <c r="Q11" s="1263">
        <f>+'EGRESO-POS plan'!R25+'EGRESO-POS plan'!R26+'EGRESO-POS plan'!R27+'EGRESO-POS plan'!R28+'EGRESO-POS plan'!R29</f>
        <v>3</v>
      </c>
      <c r="R11" s="1264">
        <f t="shared" si="3"/>
        <v>74</v>
      </c>
      <c r="S11" s="1262">
        <v>15</v>
      </c>
      <c r="T11" s="1263">
        <v>5</v>
      </c>
      <c r="U11" s="1263">
        <v>6</v>
      </c>
      <c r="V11" s="1264">
        <v>26</v>
      </c>
      <c r="W11" s="1263">
        <v>10</v>
      </c>
      <c r="X11" s="1263">
        <v>5</v>
      </c>
      <c r="Y11" s="1263">
        <v>1</v>
      </c>
      <c r="Z11" s="1337">
        <v>16</v>
      </c>
      <c r="AA11" s="1262">
        <v>6</v>
      </c>
      <c r="AB11" s="1263">
        <v>2</v>
      </c>
      <c r="AC11" s="1263">
        <v>1</v>
      </c>
      <c r="AD11" s="1264">
        <v>9</v>
      </c>
      <c r="AE11" s="1263">
        <v>6</v>
      </c>
      <c r="AF11" s="1263">
        <v>4</v>
      </c>
      <c r="AG11" s="1263">
        <v>13</v>
      </c>
      <c r="AH11" s="1264">
        <v>23</v>
      </c>
      <c r="AI11" s="1263">
        <v>8</v>
      </c>
      <c r="AJ11" s="1263">
        <v>4</v>
      </c>
      <c r="AK11" s="1263">
        <v>0</v>
      </c>
      <c r="AL11" s="1337">
        <v>12</v>
      </c>
      <c r="AM11" s="129">
        <v>3</v>
      </c>
      <c r="AN11" s="130">
        <v>11</v>
      </c>
      <c r="AO11" s="130">
        <v>3</v>
      </c>
      <c r="AP11" s="130">
        <v>17</v>
      </c>
      <c r="AQ11" s="129">
        <v>6</v>
      </c>
      <c r="AR11" s="130">
        <v>9</v>
      </c>
      <c r="AS11" s="130">
        <v>3</v>
      </c>
      <c r="AT11" s="396">
        <v>18</v>
      </c>
      <c r="AU11" s="129">
        <v>6</v>
      </c>
      <c r="AV11" s="130">
        <v>12</v>
      </c>
      <c r="AW11" s="130">
        <v>4</v>
      </c>
      <c r="AX11" s="396">
        <f t="shared" si="4"/>
        <v>22</v>
      </c>
      <c r="AY11" s="129">
        <v>4</v>
      </c>
      <c r="AZ11" s="130">
        <v>16</v>
      </c>
      <c r="BA11" s="130">
        <v>6</v>
      </c>
      <c r="BB11" s="396">
        <f t="shared" si="5"/>
        <v>26</v>
      </c>
      <c r="BC11" s="129">
        <f>SUM('EGRESO-POS plan'!BD24,'EGRESO-POS plan'!BD25,'EGRESO-POS plan'!BD26,'EGRESO-POS plan'!BD27,'EGRESO-POS plan'!BD28,'EGRESO-POS plan'!BD29)</f>
        <v>10</v>
      </c>
      <c r="BD11" s="130">
        <f>SUM('EGRESO-POS plan'!BE24,'EGRESO-POS plan'!BE25,'EGRESO-POS plan'!BE26,'EGRESO-POS plan'!BE27,'EGRESO-POS plan'!BE28,'EGRESO-POS plan'!BE29)</f>
        <v>3</v>
      </c>
      <c r="BE11" s="130">
        <f>SUM('EGRESO-POS plan'!BF24,'EGRESO-POS plan'!BF25,'EGRESO-POS plan'!BF26,'EGRESO-POS plan'!BF27,'EGRESO-POS plan'!BF28,'EGRESO-POS plan'!BF29)</f>
        <v>3</v>
      </c>
      <c r="BF11" s="396">
        <f>SUM(BC11:BE11)</f>
        <v>16</v>
      </c>
      <c r="BG11" s="129">
        <f>SUM('EGRESO-POS plan'!BH24,'EGRESO-POS plan'!BH25,'EGRESO-POS plan'!BH26,'EGRESO-POS plan'!BH27,'EGRESO-POS plan'!BH28,'EGRESO-POS plan'!BH29)</f>
        <v>2</v>
      </c>
      <c r="BH11" s="130">
        <f>SUM('EGRESO-POS plan'!BI24,'EGRESO-POS plan'!BI25,'EGRESO-POS plan'!BI26,'EGRESO-POS plan'!BI27,'EGRESO-POS plan'!BI28,'EGRESO-POS plan'!BI29)</f>
        <v>3</v>
      </c>
      <c r="BI11" s="130">
        <f>SUM('EGRESO-POS plan'!BJ24,'EGRESO-POS plan'!BJ25,'EGRESO-POS plan'!BJ26,'EGRESO-POS plan'!BJ27,'EGRESO-POS plan'!BJ28,'EGRESO-POS plan'!BJ29)</f>
        <v>15</v>
      </c>
      <c r="BJ11" s="396">
        <f>SUM(BG11:BI11)</f>
        <v>20</v>
      </c>
      <c r="BK11" s="129">
        <f>SUM('EGRESO-POS plan'!BL24,'EGRESO-POS plan'!BL25,'EGRESO-POS plan'!BL26,'EGRESO-POS plan'!BL27,'EGRESO-POS plan'!BL28,'EGRESO-POS plan'!BL29)</f>
        <v>9</v>
      </c>
      <c r="BL11" s="130">
        <f>SUM('EGRESO-POS plan'!BM24,'EGRESO-POS plan'!BM25,'EGRESO-POS plan'!BM26,'EGRESO-POS plan'!BM27,'EGRESO-POS plan'!BM28,'EGRESO-POS plan'!BM29)</f>
        <v>8</v>
      </c>
      <c r="BM11" s="130">
        <f>SUM('EGRESO-POS plan'!BN24:BN30)</f>
        <v>8</v>
      </c>
      <c r="BN11" s="396">
        <f>SUM(BK11:BM11)</f>
        <v>25</v>
      </c>
      <c r="BO11" s="129">
        <f>SUM('EGRESO-POS plan'!BP24:BP30)</f>
        <v>8</v>
      </c>
      <c r="BP11" s="130">
        <f>SUM('EGRESO-POS plan'!BQ24:BQ30)</f>
        <v>7</v>
      </c>
      <c r="BQ11" s="130">
        <f>SUM('EGRESO-POS plan'!BR24:BR30)</f>
        <v>7</v>
      </c>
      <c r="BR11" s="396">
        <f>SUM(BO11:BQ11)</f>
        <v>22</v>
      </c>
      <c r="BS11" s="129">
        <f>SUM('EGRESO-POS plan'!BT24:BT30)</f>
        <v>25</v>
      </c>
      <c r="BT11" s="130">
        <f>SUM('EGRESO-POS plan'!BU24:BU30)</f>
        <v>7</v>
      </c>
      <c r="BU11" s="130">
        <f>SUM('EGRESO-POS plan'!BV24:BV30)</f>
        <v>12</v>
      </c>
      <c r="BV11" s="396">
        <f>SUM(BS11:BU11)</f>
        <v>44</v>
      </c>
      <c r="BW11" s="129">
        <f>SUM('EGRESO-POS plan'!BX24:BX30)</f>
        <v>8</v>
      </c>
      <c r="BX11" s="130">
        <f>SUM('EGRESO-POS plan'!BY24:BY30)</f>
        <v>9</v>
      </c>
      <c r="BY11" s="130">
        <f>SUM('EGRESO-POS plan'!BZ24:BZ30)</f>
        <v>3</v>
      </c>
      <c r="BZ11" s="396">
        <f>SUM(BW11:BY11)</f>
        <v>20</v>
      </c>
      <c r="CA11" s="129">
        <f>SUM('EGRESO-POS plan'!CB24:CB31)</f>
        <v>12</v>
      </c>
      <c r="CB11" s="130">
        <f>SUM('EGRESO-POS plan'!CC24:CC31)</f>
        <v>6</v>
      </c>
      <c r="CC11" s="130">
        <f>SUM('EGRESO-POS plan'!CD24:CD31)</f>
        <v>15</v>
      </c>
      <c r="CD11" s="396">
        <f>SUM(CA11:CC11)</f>
        <v>33</v>
      </c>
      <c r="CE11" s="129">
        <f>SUM('EGRESO-POS plan'!CF24:CF31)</f>
        <v>11</v>
      </c>
      <c r="CF11" s="130">
        <f>SUM('EGRESO-POS plan'!CG24:CG31)</f>
        <v>4</v>
      </c>
      <c r="CG11" s="130">
        <f>SUM('EGRESO-POS plan'!CH24:CH31)</f>
        <v>7</v>
      </c>
      <c r="CH11" s="396">
        <f>SUM(CE11:CG11)</f>
        <v>22</v>
      </c>
      <c r="CI11" s="129">
        <f>SUM('EGRESO-POS plan'!CJ23:CJ30)</f>
        <v>13</v>
      </c>
      <c r="CJ11" s="130">
        <f>SUM('EGRESO-POS plan'!CK24:CK31)</f>
        <v>1</v>
      </c>
      <c r="CK11" s="130">
        <f>SUM('EGRESO-POS plan'!CL23:CL31)</f>
        <v>18</v>
      </c>
      <c r="CL11" s="396">
        <f>SUM(CI11:CK11)</f>
        <v>32</v>
      </c>
      <c r="CM11" s="129">
        <f>SUM('EGRESO-POS plan'!CN23:CN30)</f>
        <v>8</v>
      </c>
      <c r="CN11" s="130">
        <f>SUM('EGRESO-POS plan'!CO23:CO30)</f>
        <v>4</v>
      </c>
      <c r="CO11" s="130">
        <f>SUM('EGRESO-POS plan'!CP23:CP31)</f>
        <v>16</v>
      </c>
      <c r="CP11" s="396">
        <f>SUM(CM11:CO11)</f>
        <v>28</v>
      </c>
      <c r="CQ11" s="129">
        <f>SUM('EGRESO-POS plan'!CR23:CR30)</f>
        <v>17</v>
      </c>
      <c r="CR11" s="130">
        <f>SUM('EGRESO-POS plan'!CS23:CS30)</f>
        <v>9</v>
      </c>
      <c r="CS11" s="130">
        <f>SUM('EGRESO-POS plan'!CT23:CT31)</f>
        <v>2</v>
      </c>
      <c r="CT11" s="396">
        <f>SUM(CQ11:CS11)</f>
        <v>28</v>
      </c>
    </row>
    <row r="12" spans="1:98" ht="15" customHeight="1" x14ac:dyDescent="0.25">
      <c r="A12" s="1661"/>
      <c r="B12" s="1339" t="s">
        <v>317</v>
      </c>
      <c r="C12" s="1262">
        <f>+'EGRESO-POS plan'!D33+'EGRESO-POS plan'!D34</f>
        <v>0</v>
      </c>
      <c r="D12" s="1263">
        <f>+'EGRESO-POS plan'!E33+'EGRESO-POS plan'!E34</f>
        <v>0</v>
      </c>
      <c r="E12" s="1263">
        <f>+'EGRESO-POS plan'!F33+'EGRESO-POS plan'!F34</f>
        <v>0</v>
      </c>
      <c r="F12" s="1264">
        <f t="shared" si="0"/>
        <v>0</v>
      </c>
      <c r="G12" s="1262">
        <f>+'EGRESO-POS plan'!H33+'EGRESO-POS plan'!H34</f>
        <v>0</v>
      </c>
      <c r="H12" s="1263">
        <f>+'EGRESO-POS plan'!I33+'EGRESO-POS plan'!I34</f>
        <v>0</v>
      </c>
      <c r="I12" s="1263">
        <f>+'EGRESO-POS plan'!J33+'EGRESO-POS plan'!J34</f>
        <v>0</v>
      </c>
      <c r="J12" s="1264">
        <f t="shared" si="1"/>
        <v>0</v>
      </c>
      <c r="K12" s="1262">
        <f>+'EGRESO-POS plan'!L33+'EGRESO-POS plan'!L34</f>
        <v>0</v>
      </c>
      <c r="L12" s="1263">
        <f>+'EGRESO-POS plan'!M33+'EGRESO-POS plan'!M34</f>
        <v>0</v>
      </c>
      <c r="M12" s="1263">
        <f>+'EGRESO-POS plan'!N33+'EGRESO-POS plan'!N34</f>
        <v>0</v>
      </c>
      <c r="N12" s="1264">
        <f t="shared" si="2"/>
        <v>0</v>
      </c>
      <c r="O12" s="1262">
        <f>+'EGRESO-POS plan'!P33+'EGRESO-POS plan'!P34</f>
        <v>0</v>
      </c>
      <c r="P12" s="1263">
        <f>+'EGRESO-POS plan'!Q33+'EGRESO-POS plan'!Q34</f>
        <v>0</v>
      </c>
      <c r="Q12" s="1263">
        <f>+'EGRESO-POS plan'!R33+'EGRESO-POS plan'!R34</f>
        <v>0</v>
      </c>
      <c r="R12" s="1264">
        <f t="shared" si="3"/>
        <v>0</v>
      </c>
      <c r="S12" s="1262">
        <v>0</v>
      </c>
      <c r="T12" s="1263">
        <v>0</v>
      </c>
      <c r="U12" s="1263">
        <v>0</v>
      </c>
      <c r="V12" s="1264">
        <v>0</v>
      </c>
      <c r="W12" s="1263">
        <v>0</v>
      </c>
      <c r="X12" s="1263">
        <v>0</v>
      </c>
      <c r="Y12" s="1263">
        <v>0</v>
      </c>
      <c r="Z12" s="1337">
        <v>0</v>
      </c>
      <c r="AA12" s="1262">
        <v>0</v>
      </c>
      <c r="AB12" s="1263">
        <v>0</v>
      </c>
      <c r="AC12" s="1263">
        <v>0</v>
      </c>
      <c r="AD12" s="1264">
        <v>0</v>
      </c>
      <c r="AE12" s="1263">
        <v>1</v>
      </c>
      <c r="AF12" s="1263">
        <v>0</v>
      </c>
      <c r="AG12" s="1263">
        <v>0</v>
      </c>
      <c r="AH12" s="1264">
        <v>1</v>
      </c>
      <c r="AI12" s="1263">
        <v>0</v>
      </c>
      <c r="AJ12" s="1263">
        <v>0</v>
      </c>
      <c r="AK12" s="1263">
        <v>0</v>
      </c>
      <c r="AL12" s="1337">
        <v>0</v>
      </c>
      <c r="AM12" s="129">
        <v>0</v>
      </c>
      <c r="AN12" s="130">
        <v>0</v>
      </c>
      <c r="AO12" s="130">
        <v>0</v>
      </c>
      <c r="AP12" s="130">
        <v>0</v>
      </c>
      <c r="AQ12" s="129">
        <v>0</v>
      </c>
      <c r="AR12" s="130">
        <v>0</v>
      </c>
      <c r="AS12" s="130">
        <v>2</v>
      </c>
      <c r="AT12" s="396">
        <v>2</v>
      </c>
      <c r="AU12" s="129"/>
      <c r="AV12" s="130">
        <v>1</v>
      </c>
      <c r="AW12" s="130">
        <v>2</v>
      </c>
      <c r="AX12" s="396">
        <f t="shared" si="4"/>
        <v>3</v>
      </c>
      <c r="AY12" s="129">
        <v>1</v>
      </c>
      <c r="AZ12" s="130">
        <v>4</v>
      </c>
      <c r="BA12" s="130">
        <v>1</v>
      </c>
      <c r="BB12" s="396">
        <f t="shared" si="5"/>
        <v>6</v>
      </c>
      <c r="BC12" s="129">
        <f>SUM('EGRESO-POS plan'!BD32,'EGRESO-POS plan'!BD33,'EGRESO-POS plan'!BD34)</f>
        <v>4</v>
      </c>
      <c r="BD12" s="130">
        <f>SUM('EGRESO-POS plan'!BE32,'EGRESO-POS plan'!BE33,'EGRESO-POS plan'!BE34)</f>
        <v>2</v>
      </c>
      <c r="BE12" s="130">
        <f>SUM('EGRESO-POS plan'!BF32,'EGRESO-POS plan'!BF33,'EGRESO-POS plan'!BF34)</f>
        <v>0</v>
      </c>
      <c r="BF12" s="396">
        <f>SUM(BC12:BE12)</f>
        <v>6</v>
      </c>
      <c r="BG12" s="129">
        <f>SUM('EGRESO-POS plan'!BH32,'EGRESO-POS plan'!BH33,'EGRESO-POS plan'!BH34)</f>
        <v>1</v>
      </c>
      <c r="BH12" s="130">
        <f>SUM('EGRESO-POS plan'!BI32,'EGRESO-POS plan'!BI33,'EGRESO-POS plan'!BI34)</f>
        <v>2</v>
      </c>
      <c r="BI12" s="130">
        <f>SUM('EGRESO-POS plan'!BJ32,'EGRESO-POS plan'!BJ33,'EGRESO-POS plan'!BJ34)</f>
        <v>5</v>
      </c>
      <c r="BJ12" s="396">
        <f>SUM(BG12:BI12)</f>
        <v>8</v>
      </c>
      <c r="BK12" s="129">
        <f>SUM('EGRESO-POS plan'!BL32,'EGRESO-POS plan'!BL33,'EGRESO-POS plan'!BL34)</f>
        <v>7</v>
      </c>
      <c r="BL12" s="130">
        <f>SUM('EGRESO-POS plan'!BM32,'EGRESO-POS plan'!BM33,'EGRESO-POS plan'!BM34)</f>
        <v>2</v>
      </c>
      <c r="BM12" s="130">
        <f>SUM('EGRESO-POS plan'!BN32:BN34)</f>
        <v>3</v>
      </c>
      <c r="BN12" s="396">
        <f>SUM(BK12:BM12)</f>
        <v>12</v>
      </c>
      <c r="BO12" s="129">
        <f>SUM('EGRESO-POS plan'!BP32,'EGRESO-POS plan'!BP33,'EGRESO-POS plan'!BP34)</f>
        <v>2</v>
      </c>
      <c r="BP12" s="130">
        <f>SUM('EGRESO-POS plan'!BQ32,'EGRESO-POS plan'!BQ33,'EGRESO-POS plan'!BQ34)</f>
        <v>1</v>
      </c>
      <c r="BQ12" s="130">
        <f>SUM('EGRESO-POS plan'!BR32:BR34)</f>
        <v>4</v>
      </c>
      <c r="BR12" s="396">
        <f>SUM(BO12:BQ12)</f>
        <v>7</v>
      </c>
      <c r="BS12" s="129">
        <f>SUM('EGRESO-POS plan'!BT32,'EGRESO-POS plan'!BT33,'EGRESO-POS plan'!BT34)</f>
        <v>8</v>
      </c>
      <c r="BT12" s="130">
        <f>SUM('EGRESO-POS plan'!BU32,'EGRESO-POS plan'!BU33,'EGRESO-POS plan'!BU34)</f>
        <v>1</v>
      </c>
      <c r="BU12" s="130">
        <f>SUM('EGRESO-POS plan'!BV32:BV34)</f>
        <v>2</v>
      </c>
      <c r="BV12" s="396">
        <f>SUM(BS12:BU12)</f>
        <v>11</v>
      </c>
      <c r="BW12" s="129">
        <f>SUM('EGRESO-POS plan'!BX32:BX34)</f>
        <v>1</v>
      </c>
      <c r="BX12" s="130">
        <f>SUM('EGRESO-POS plan'!BY32:BY34)</f>
        <v>1</v>
      </c>
      <c r="BY12" s="130">
        <f>SUM('EGRESO-POS plan'!BZ32:BZ34)</f>
        <v>2</v>
      </c>
      <c r="BZ12" s="396">
        <f>SUM(BW12:BY12)</f>
        <v>4</v>
      </c>
      <c r="CA12" s="129">
        <f>SUM('EGRESO-POS plan'!CB32:CB34)</f>
        <v>3</v>
      </c>
      <c r="CB12" s="130">
        <f>SUM('EGRESO-POS plan'!CC32:CC34)</f>
        <v>2</v>
      </c>
      <c r="CC12" s="130">
        <f>SUM('EGRESO-POS plan'!CD32:CD34)</f>
        <v>1</v>
      </c>
      <c r="CD12" s="396">
        <f>SUM(CA12:CC12)</f>
        <v>6</v>
      </c>
      <c r="CE12" s="129">
        <f>SUM('EGRESO-POS plan'!CF32:CF34)</f>
        <v>2</v>
      </c>
      <c r="CF12" s="130">
        <f>SUM('EGRESO-POS plan'!CG32:CG34)</f>
        <v>3</v>
      </c>
      <c r="CG12" s="130">
        <f>SUM('EGRESO-POS plan'!CH32:CH34)</f>
        <v>2</v>
      </c>
      <c r="CH12" s="396">
        <f>SUM(CE12:CG12)</f>
        <v>7</v>
      </c>
      <c r="CI12" s="129">
        <f>SUM('EGRESO-POS plan'!CJ32:CJ34)</f>
        <v>0</v>
      </c>
      <c r="CJ12" s="130">
        <f>SUM('EGRESO-POS plan'!CK32:CK34)</f>
        <v>0</v>
      </c>
      <c r="CK12" s="130">
        <f>SUM('EGRESO-POS plan'!CL32:CL34)</f>
        <v>4</v>
      </c>
      <c r="CL12" s="396">
        <f>SUM(CI12:CK12)</f>
        <v>4</v>
      </c>
      <c r="CM12" s="129">
        <f>SUM('EGRESO-POS plan'!CN32:CN34)</f>
        <v>2</v>
      </c>
      <c r="CN12" s="130">
        <f>SUM('EGRESO-POS plan'!CO32:CO34)</f>
        <v>1</v>
      </c>
      <c r="CO12" s="130">
        <f>SUM('EGRESO-POS plan'!CP32:CP34)</f>
        <v>4</v>
      </c>
      <c r="CP12" s="396">
        <f>SUM(CM12:CO12)</f>
        <v>7</v>
      </c>
      <c r="CQ12" s="129">
        <f>SUM('EGRESO-POS plan'!CR32:CR34)</f>
        <v>4</v>
      </c>
      <c r="CR12" s="130">
        <f>SUM('EGRESO-POS plan'!CS32:CS34)</f>
        <v>1</v>
      </c>
      <c r="CS12" s="130">
        <f>SUM('EGRESO-POS plan'!CT32:CT34)</f>
        <v>2</v>
      </c>
      <c r="CT12" s="396">
        <f>SUM(CQ12:CS12)</f>
        <v>7</v>
      </c>
    </row>
    <row r="13" spans="1:98" s="1330" customFormat="1" ht="15" customHeight="1" x14ac:dyDescent="0.25">
      <c r="A13" s="1661"/>
      <c r="B13" s="1342" t="s">
        <v>64</v>
      </c>
      <c r="C13" s="1662">
        <f>SUM(C10:C12)</f>
        <v>0</v>
      </c>
      <c r="D13" s="1663">
        <f>SUM(D10:D12)</f>
        <v>5</v>
      </c>
      <c r="E13" s="1663">
        <f>SUM(E10:E12)</f>
        <v>4</v>
      </c>
      <c r="F13" s="1310">
        <f t="shared" si="0"/>
        <v>9</v>
      </c>
      <c r="G13" s="1662">
        <f>SUM(G10:G12)</f>
        <v>0</v>
      </c>
      <c r="H13" s="1663">
        <f>SUM(H10:H12)</f>
        <v>1</v>
      </c>
      <c r="I13" s="1663">
        <f>SUM(I10:I12)</f>
        <v>7</v>
      </c>
      <c r="J13" s="1310">
        <f t="shared" si="1"/>
        <v>8</v>
      </c>
      <c r="K13" s="1662">
        <f>SUM(K10:K12)</f>
        <v>1</v>
      </c>
      <c r="L13" s="1663">
        <f>SUM(L10:L12)</f>
        <v>12</v>
      </c>
      <c r="M13" s="1663">
        <f>SUM(M10:M12)</f>
        <v>6</v>
      </c>
      <c r="N13" s="1310">
        <f t="shared" si="2"/>
        <v>19</v>
      </c>
      <c r="O13" s="1662">
        <f>SUM(O10:O12)</f>
        <v>3</v>
      </c>
      <c r="P13" s="1663">
        <f>SUM(P10:P12)</f>
        <v>123</v>
      </c>
      <c r="Q13" s="1663">
        <f>SUM(Q10:Q12)</f>
        <v>13</v>
      </c>
      <c r="R13" s="1310">
        <f t="shared" si="3"/>
        <v>139</v>
      </c>
      <c r="S13" s="1662">
        <v>15</v>
      </c>
      <c r="T13" s="1663">
        <v>13</v>
      </c>
      <c r="U13" s="1663">
        <v>6</v>
      </c>
      <c r="V13" s="1310">
        <v>34</v>
      </c>
      <c r="W13" s="1663">
        <v>10</v>
      </c>
      <c r="X13" s="1663">
        <v>13</v>
      </c>
      <c r="Y13" s="1663">
        <v>6</v>
      </c>
      <c r="Z13" s="1663">
        <v>29</v>
      </c>
      <c r="AA13" s="1662">
        <v>12</v>
      </c>
      <c r="AB13" s="1663">
        <v>24</v>
      </c>
      <c r="AC13" s="1663">
        <v>1</v>
      </c>
      <c r="AD13" s="1310">
        <v>37</v>
      </c>
      <c r="AE13" s="1663">
        <v>7</v>
      </c>
      <c r="AF13" s="1663">
        <v>25</v>
      </c>
      <c r="AG13" s="1663">
        <v>15</v>
      </c>
      <c r="AH13" s="1310">
        <v>47</v>
      </c>
      <c r="AI13" s="1663">
        <v>9</v>
      </c>
      <c r="AJ13" s="1663">
        <v>21</v>
      </c>
      <c r="AK13" s="1663">
        <v>9</v>
      </c>
      <c r="AL13" s="1663">
        <v>39</v>
      </c>
      <c r="AM13" s="630">
        <v>3</v>
      </c>
      <c r="AN13" s="1664">
        <v>16</v>
      </c>
      <c r="AO13" s="1664">
        <v>3</v>
      </c>
      <c r="AP13" s="1664">
        <v>22</v>
      </c>
      <c r="AQ13" s="630">
        <f t="shared" ref="AQ13:AW13" si="10">SUM(AQ10:AQ12)</f>
        <v>7</v>
      </c>
      <c r="AR13" s="1664">
        <f t="shared" si="10"/>
        <v>18</v>
      </c>
      <c r="AS13" s="1664">
        <f t="shared" si="10"/>
        <v>6</v>
      </c>
      <c r="AT13" s="1665">
        <f t="shared" si="10"/>
        <v>31</v>
      </c>
      <c r="AU13" s="630">
        <f t="shared" si="10"/>
        <v>6</v>
      </c>
      <c r="AV13" s="1664">
        <f t="shared" si="10"/>
        <v>20</v>
      </c>
      <c r="AW13" s="1664">
        <f t="shared" si="10"/>
        <v>6</v>
      </c>
      <c r="AX13" s="1665">
        <f t="shared" si="4"/>
        <v>32</v>
      </c>
      <c r="AY13" s="630">
        <f>SUM(AY10:AY12)</f>
        <v>6</v>
      </c>
      <c r="AZ13" s="1664">
        <f>SUM(AZ10:AZ12)</f>
        <v>37</v>
      </c>
      <c r="BA13" s="1664">
        <f>SUM(BA10:BA12)</f>
        <v>8</v>
      </c>
      <c r="BB13" s="1665">
        <f t="shared" si="5"/>
        <v>51</v>
      </c>
      <c r="BC13" s="630">
        <f t="shared" ref="BC13:CL13" si="11">SUM(BC10:BC12)</f>
        <v>14</v>
      </c>
      <c r="BD13" s="1664">
        <f t="shared" si="11"/>
        <v>29</v>
      </c>
      <c r="BE13" s="1664">
        <f t="shared" si="11"/>
        <v>3</v>
      </c>
      <c r="BF13" s="1665">
        <f t="shared" si="11"/>
        <v>46</v>
      </c>
      <c r="BG13" s="630">
        <f t="shared" si="11"/>
        <v>3</v>
      </c>
      <c r="BH13" s="1664">
        <f t="shared" si="11"/>
        <v>14</v>
      </c>
      <c r="BI13" s="1664">
        <f t="shared" si="11"/>
        <v>22</v>
      </c>
      <c r="BJ13" s="1665">
        <f t="shared" si="11"/>
        <v>39</v>
      </c>
      <c r="BK13" s="630">
        <f t="shared" si="11"/>
        <v>16</v>
      </c>
      <c r="BL13" s="1664">
        <f t="shared" si="11"/>
        <v>26</v>
      </c>
      <c r="BM13" s="1664">
        <f t="shared" si="11"/>
        <v>17</v>
      </c>
      <c r="BN13" s="1665">
        <f t="shared" si="11"/>
        <v>59</v>
      </c>
      <c r="BO13" s="630">
        <f t="shared" si="11"/>
        <v>11</v>
      </c>
      <c r="BP13" s="1664">
        <f t="shared" si="11"/>
        <v>19</v>
      </c>
      <c r="BQ13" s="1664">
        <f t="shared" si="11"/>
        <v>14</v>
      </c>
      <c r="BR13" s="1665">
        <f t="shared" si="11"/>
        <v>44</v>
      </c>
      <c r="BS13" s="630">
        <f t="shared" si="11"/>
        <v>33</v>
      </c>
      <c r="BT13" s="1664">
        <f t="shared" si="11"/>
        <v>29</v>
      </c>
      <c r="BU13" s="1664">
        <f t="shared" si="11"/>
        <v>18</v>
      </c>
      <c r="BV13" s="1665">
        <f t="shared" si="11"/>
        <v>80</v>
      </c>
      <c r="BW13" s="630">
        <f t="shared" si="11"/>
        <v>9</v>
      </c>
      <c r="BX13" s="1664">
        <f t="shared" si="11"/>
        <v>30</v>
      </c>
      <c r="BY13" s="1664">
        <f t="shared" si="11"/>
        <v>5</v>
      </c>
      <c r="BZ13" s="1665">
        <f t="shared" si="11"/>
        <v>44</v>
      </c>
      <c r="CA13" s="630">
        <f t="shared" si="11"/>
        <v>15</v>
      </c>
      <c r="CB13" s="1664">
        <f t="shared" si="11"/>
        <v>27</v>
      </c>
      <c r="CC13" s="1664">
        <f t="shared" si="11"/>
        <v>16</v>
      </c>
      <c r="CD13" s="1665">
        <f t="shared" si="11"/>
        <v>58</v>
      </c>
      <c r="CE13" s="630">
        <f t="shared" si="11"/>
        <v>13</v>
      </c>
      <c r="CF13" s="1664">
        <f t="shared" si="11"/>
        <v>7</v>
      </c>
      <c r="CG13" s="1664">
        <f t="shared" si="11"/>
        <v>22</v>
      </c>
      <c r="CH13" s="1665">
        <f t="shared" si="11"/>
        <v>42</v>
      </c>
      <c r="CI13" s="630">
        <f t="shared" si="11"/>
        <v>13</v>
      </c>
      <c r="CJ13" s="1664">
        <f t="shared" si="11"/>
        <v>9</v>
      </c>
      <c r="CK13" s="1664">
        <f t="shared" si="11"/>
        <v>40</v>
      </c>
      <c r="CL13" s="1665">
        <f t="shared" si="11"/>
        <v>62</v>
      </c>
      <c r="CM13" s="630">
        <f t="shared" ref="CM13:CP13" si="12">SUM(CM10:CM12)</f>
        <v>10</v>
      </c>
      <c r="CN13" s="1664">
        <f t="shared" si="12"/>
        <v>11</v>
      </c>
      <c r="CO13" s="1664">
        <f t="shared" si="12"/>
        <v>21</v>
      </c>
      <c r="CP13" s="1665">
        <f t="shared" si="12"/>
        <v>42</v>
      </c>
      <c r="CQ13" s="630">
        <f t="shared" ref="CQ13:CT13" si="13">SUM(CQ10:CQ12)</f>
        <v>21</v>
      </c>
      <c r="CR13" s="1664">
        <f t="shared" si="13"/>
        <v>21</v>
      </c>
      <c r="CS13" s="1664">
        <f t="shared" si="13"/>
        <v>4</v>
      </c>
      <c r="CT13" s="1665">
        <f t="shared" si="13"/>
        <v>46</v>
      </c>
    </row>
    <row r="14" spans="1:98" ht="15" customHeight="1" x14ac:dyDescent="0.25">
      <c r="A14" s="1661"/>
      <c r="B14" s="1334" t="s">
        <v>308</v>
      </c>
      <c r="C14" s="1258">
        <f>+'EGRESO-POS plan'!D36+'EGRESO-POS plan'!D37</f>
        <v>0</v>
      </c>
      <c r="D14" s="1259">
        <f>+'EGRESO-POS plan'!E36+'EGRESO-POS plan'!E37</f>
        <v>0</v>
      </c>
      <c r="E14" s="1259">
        <f>+'EGRESO-POS plan'!F36+'EGRESO-POS plan'!F37</f>
        <v>17</v>
      </c>
      <c r="F14" s="1260">
        <f t="shared" si="0"/>
        <v>17</v>
      </c>
      <c r="G14" s="1258">
        <f>+'EGRESO-POS plan'!H36+'EGRESO-POS plan'!H37</f>
        <v>0</v>
      </c>
      <c r="H14" s="1259">
        <f>+'EGRESO-POS plan'!I36+'EGRESO-POS plan'!I37</f>
        <v>3</v>
      </c>
      <c r="I14" s="1259">
        <f>+'EGRESO-POS plan'!J36+'EGRESO-POS plan'!J37</f>
        <v>6</v>
      </c>
      <c r="J14" s="1260">
        <f t="shared" si="1"/>
        <v>9</v>
      </c>
      <c r="K14" s="1258">
        <f>+'EGRESO-POS plan'!L36+'EGRESO-POS plan'!L37</f>
        <v>1</v>
      </c>
      <c r="L14" s="1259">
        <f>+'EGRESO-POS plan'!M36+'EGRESO-POS plan'!M37</f>
        <v>7</v>
      </c>
      <c r="M14" s="1259">
        <f>+'EGRESO-POS plan'!N36+'EGRESO-POS plan'!N37</f>
        <v>2</v>
      </c>
      <c r="N14" s="1260">
        <f t="shared" si="2"/>
        <v>10</v>
      </c>
      <c r="O14" s="1258">
        <f>+'EGRESO-POS plan'!P36+'EGRESO-POS plan'!P37</f>
        <v>3</v>
      </c>
      <c r="P14" s="1259">
        <f>+'EGRESO-POS plan'!Q36+'EGRESO-POS plan'!Q37</f>
        <v>69</v>
      </c>
      <c r="Q14" s="1259">
        <f>+'EGRESO-POS plan'!R36+'EGRESO-POS plan'!R37</f>
        <v>26</v>
      </c>
      <c r="R14" s="1260">
        <f t="shared" si="3"/>
        <v>98</v>
      </c>
      <c r="S14" s="1258">
        <v>0</v>
      </c>
      <c r="T14" s="1259">
        <v>1</v>
      </c>
      <c r="U14" s="1259">
        <v>2</v>
      </c>
      <c r="V14" s="1260">
        <v>3</v>
      </c>
      <c r="W14" s="1259">
        <v>2</v>
      </c>
      <c r="X14" s="1259">
        <v>15</v>
      </c>
      <c r="Y14" s="1259">
        <v>7</v>
      </c>
      <c r="Z14" s="1298">
        <v>24</v>
      </c>
      <c r="AA14" s="1258">
        <v>1</v>
      </c>
      <c r="AB14" s="1259">
        <v>4</v>
      </c>
      <c r="AC14" s="1259">
        <v>9</v>
      </c>
      <c r="AD14" s="1260">
        <v>14</v>
      </c>
      <c r="AE14" s="1259">
        <v>0</v>
      </c>
      <c r="AF14" s="1259">
        <v>13</v>
      </c>
      <c r="AG14" s="1259">
        <v>4</v>
      </c>
      <c r="AH14" s="1260">
        <v>17</v>
      </c>
      <c r="AI14" s="1259">
        <v>0</v>
      </c>
      <c r="AJ14" s="1259">
        <v>16</v>
      </c>
      <c r="AK14" s="1259">
        <v>1</v>
      </c>
      <c r="AL14" s="1298">
        <v>17</v>
      </c>
      <c r="AM14" s="151">
        <v>1</v>
      </c>
      <c r="AN14" s="152">
        <v>2</v>
      </c>
      <c r="AO14" s="152">
        <v>11</v>
      </c>
      <c r="AP14" s="152">
        <v>14</v>
      </c>
      <c r="AQ14" s="151">
        <v>10</v>
      </c>
      <c r="AR14" s="152">
        <v>4</v>
      </c>
      <c r="AS14" s="152">
        <v>47</v>
      </c>
      <c r="AT14" s="395">
        <v>61</v>
      </c>
      <c r="AU14" s="151">
        <v>1</v>
      </c>
      <c r="AV14" s="152">
        <v>1</v>
      </c>
      <c r="AW14" s="152">
        <v>24</v>
      </c>
      <c r="AX14" s="395">
        <f t="shared" si="4"/>
        <v>26</v>
      </c>
      <c r="AY14" s="151"/>
      <c r="AZ14" s="152">
        <v>2</v>
      </c>
      <c r="BA14" s="152">
        <v>32</v>
      </c>
      <c r="BB14" s="395">
        <f t="shared" si="5"/>
        <v>34</v>
      </c>
      <c r="BC14" s="151">
        <f>SUM('EGRESO-POS plan'!BD36)</f>
        <v>1</v>
      </c>
      <c r="BD14" s="152">
        <f>SUM('EGRESO-POS plan'!BE36)</f>
        <v>4</v>
      </c>
      <c r="BE14" s="152">
        <f>SUM('EGRESO-POS plan'!BF36)</f>
        <v>1</v>
      </c>
      <c r="BF14" s="395">
        <f>SUM(BC14:BE14)</f>
        <v>6</v>
      </c>
      <c r="BG14" s="151">
        <f>SUM('EGRESO-POS plan'!BH36)</f>
        <v>0</v>
      </c>
      <c r="BH14" s="152">
        <f>SUM('EGRESO-POS plan'!BI36)</f>
        <v>5</v>
      </c>
      <c r="BI14" s="152">
        <f>SUM('EGRESO-POS plan'!BJ36)</f>
        <v>28</v>
      </c>
      <c r="BJ14" s="395">
        <f>SUM(BG14:BI14)</f>
        <v>33</v>
      </c>
      <c r="BK14" s="151">
        <f>SUM('EGRESO-POS plan'!BL36)</f>
        <v>0</v>
      </c>
      <c r="BL14" s="152">
        <f>SUM('EGRESO-POS plan'!BM36)</f>
        <v>1</v>
      </c>
      <c r="BM14" s="152">
        <f>SUM('EGRESO-POS plan'!BN36)</f>
        <v>0</v>
      </c>
      <c r="BN14" s="395">
        <f>SUM(BK14:BM14)</f>
        <v>1</v>
      </c>
      <c r="BO14" s="151">
        <f>SUM('EGRESO-POS plan'!BP36)</f>
        <v>0</v>
      </c>
      <c r="BP14" s="152">
        <f>SUM('EGRESO-POS plan'!BQ36)</f>
        <v>0</v>
      </c>
      <c r="BQ14" s="152">
        <f>SUM('EGRESO-POS plan'!BR36)</f>
        <v>0</v>
      </c>
      <c r="BR14" s="395">
        <f>SUM(BO14:BQ14)</f>
        <v>0</v>
      </c>
      <c r="BS14" s="151">
        <f>SUM('EGRESO-POS plan'!BT36)</f>
        <v>0</v>
      </c>
      <c r="BT14" s="152">
        <f>SUM('EGRESO-POS plan'!BU36)</f>
        <v>0</v>
      </c>
      <c r="BU14" s="152">
        <f>SUM('EGRESO-POS plan'!BV36)</f>
        <v>0</v>
      </c>
      <c r="BV14" s="395">
        <f>SUM(BS14:BU14)</f>
        <v>0</v>
      </c>
      <c r="BW14" s="151">
        <f>SUM('EGRESO-POS plan'!BX36:BX38)</f>
        <v>0</v>
      </c>
      <c r="BX14" s="152">
        <f>SUM('EGRESO-POS plan'!BY36:BY38)</f>
        <v>0</v>
      </c>
      <c r="BY14" s="152">
        <f>SUM('EGRESO-POS plan'!BZ36:BZ38)</f>
        <v>9</v>
      </c>
      <c r="BZ14" s="395">
        <f>SUM(BW14:BY14)</f>
        <v>9</v>
      </c>
      <c r="CA14" s="151">
        <f>SUM('EGRESO-POS plan'!CB36:CB38)</f>
        <v>0</v>
      </c>
      <c r="CB14" s="152">
        <f>SUM('EGRESO-POS plan'!CC36:CC38)</f>
        <v>2</v>
      </c>
      <c r="CC14" s="152">
        <f>SUM('EGRESO-POS plan'!CD36:CD38)</f>
        <v>0</v>
      </c>
      <c r="CD14" s="395">
        <f>SUM(CA14:CC14)</f>
        <v>2</v>
      </c>
      <c r="CE14" s="151">
        <f>SUM('EGRESO-POS plan'!CF36:CF38)</f>
        <v>0</v>
      </c>
      <c r="CF14" s="152">
        <f>SUM('EGRESO-POS plan'!CG36:CG38)</f>
        <v>0</v>
      </c>
      <c r="CG14" s="152">
        <f>SUM('EGRESO-POS plan'!CH36:CH38)</f>
        <v>11</v>
      </c>
      <c r="CH14" s="395">
        <f>SUM(CE14:CG14)</f>
        <v>11</v>
      </c>
      <c r="CI14" s="151">
        <f>SUM('EGRESO-POS plan'!CJ36:CJ38)</f>
        <v>0</v>
      </c>
      <c r="CJ14" s="152">
        <f>SUM('EGRESO-POS plan'!CK36:CK38)</f>
        <v>0</v>
      </c>
      <c r="CK14" s="152">
        <f>SUM('EGRESO-POS plan'!CL36:CL38)</f>
        <v>0</v>
      </c>
      <c r="CL14" s="395">
        <f>SUM(CI14:CK14)</f>
        <v>0</v>
      </c>
      <c r="CM14" s="151">
        <f>SUM('EGRESO-POS plan'!CN36:CN38)</f>
        <v>6</v>
      </c>
      <c r="CN14" s="152">
        <f>SUM('EGRESO-POS plan'!CO36:CO38)</f>
        <v>0</v>
      </c>
      <c r="CO14" s="152">
        <f>SUM('EGRESO-POS plan'!CP36:CP38)</f>
        <v>7</v>
      </c>
      <c r="CP14" s="395">
        <f>SUM(CM14:CO14)</f>
        <v>13</v>
      </c>
      <c r="CQ14" s="151">
        <f>SUM('EGRESO-POS plan'!CR36:CR38)</f>
        <v>4</v>
      </c>
      <c r="CR14" s="152">
        <f>SUM('EGRESO-POS plan'!CS36:CS38)</f>
        <v>1</v>
      </c>
      <c r="CS14" s="152">
        <f>SUM('EGRESO-POS plan'!CT36:CT38)</f>
        <v>6</v>
      </c>
      <c r="CT14" s="395">
        <f>SUM(CQ14:CS14)</f>
        <v>11</v>
      </c>
    </row>
    <row r="15" spans="1:98" ht="15" customHeight="1" x14ac:dyDescent="0.25">
      <c r="A15" s="1661"/>
      <c r="B15" s="1336" t="s">
        <v>310</v>
      </c>
      <c r="C15" s="1262">
        <f>+'EGRESO-POS plan'!D39</f>
        <v>1</v>
      </c>
      <c r="D15" s="1263">
        <f>+'EGRESO-POS plan'!E39</f>
        <v>0</v>
      </c>
      <c r="E15" s="1263">
        <f>+'EGRESO-POS plan'!F39</f>
        <v>0</v>
      </c>
      <c r="F15" s="1264">
        <f t="shared" si="0"/>
        <v>1</v>
      </c>
      <c r="G15" s="1262">
        <f>+'EGRESO-POS plan'!H39</f>
        <v>0</v>
      </c>
      <c r="H15" s="1263">
        <f>+'EGRESO-POS plan'!I39</f>
        <v>0</v>
      </c>
      <c r="I15" s="1263">
        <f>+'EGRESO-POS plan'!J39</f>
        <v>0</v>
      </c>
      <c r="J15" s="1264">
        <f t="shared" si="1"/>
        <v>0</v>
      </c>
      <c r="K15" s="1262">
        <f>+'EGRESO-POS plan'!L39</f>
        <v>2</v>
      </c>
      <c r="L15" s="1263">
        <f>+'EGRESO-POS plan'!M39</f>
        <v>0</v>
      </c>
      <c r="M15" s="1263">
        <f>+'EGRESO-POS plan'!N39</f>
        <v>1</v>
      </c>
      <c r="N15" s="1264">
        <f t="shared" si="2"/>
        <v>3</v>
      </c>
      <c r="O15" s="1262">
        <f>+'EGRESO-POS plan'!P39</f>
        <v>7</v>
      </c>
      <c r="P15" s="1263">
        <f>+'EGRESO-POS plan'!Q39</f>
        <v>6</v>
      </c>
      <c r="Q15" s="1263">
        <f>+'EGRESO-POS plan'!R39</f>
        <v>5</v>
      </c>
      <c r="R15" s="1264">
        <f t="shared" si="3"/>
        <v>18</v>
      </c>
      <c r="S15" s="1262">
        <v>1</v>
      </c>
      <c r="T15" s="1263">
        <v>2</v>
      </c>
      <c r="U15" s="1263">
        <v>4</v>
      </c>
      <c r="V15" s="1264">
        <v>7</v>
      </c>
      <c r="W15" s="1263">
        <v>2</v>
      </c>
      <c r="X15" s="1263">
        <v>1</v>
      </c>
      <c r="Y15" s="1263">
        <v>2</v>
      </c>
      <c r="Z15" s="1337">
        <v>5</v>
      </c>
      <c r="AA15" s="1262">
        <v>4</v>
      </c>
      <c r="AB15" s="1263">
        <v>1</v>
      </c>
      <c r="AC15" s="1263">
        <v>5</v>
      </c>
      <c r="AD15" s="1264">
        <v>10</v>
      </c>
      <c r="AE15" s="1263">
        <v>2</v>
      </c>
      <c r="AF15" s="1263">
        <v>2</v>
      </c>
      <c r="AG15" s="1263">
        <v>5</v>
      </c>
      <c r="AH15" s="1264">
        <v>9</v>
      </c>
      <c r="AI15" s="1263">
        <v>4</v>
      </c>
      <c r="AJ15" s="1263">
        <v>0</v>
      </c>
      <c r="AK15" s="1263">
        <v>0</v>
      </c>
      <c r="AL15" s="1337">
        <v>4</v>
      </c>
      <c r="AM15" s="129">
        <v>3</v>
      </c>
      <c r="AN15" s="130">
        <v>6</v>
      </c>
      <c r="AO15" s="130">
        <v>2</v>
      </c>
      <c r="AP15" s="130">
        <v>11</v>
      </c>
      <c r="AQ15" s="129">
        <v>2</v>
      </c>
      <c r="AR15" s="130">
        <v>5</v>
      </c>
      <c r="AS15" s="130">
        <v>1</v>
      </c>
      <c r="AT15" s="396">
        <v>8</v>
      </c>
      <c r="AU15" s="129">
        <v>2</v>
      </c>
      <c r="AV15" s="130">
        <v>11</v>
      </c>
      <c r="AW15" s="130">
        <v>3</v>
      </c>
      <c r="AX15" s="396">
        <f t="shared" si="4"/>
        <v>16</v>
      </c>
      <c r="AY15" s="129">
        <v>1</v>
      </c>
      <c r="AZ15" s="130">
        <v>12</v>
      </c>
      <c r="BA15" s="130">
        <v>11</v>
      </c>
      <c r="BB15" s="396">
        <f t="shared" si="5"/>
        <v>24</v>
      </c>
      <c r="BC15" s="129">
        <f>SUM('EGRESO-POS plan'!BD39)</f>
        <v>4</v>
      </c>
      <c r="BD15" s="130">
        <f>SUM('EGRESO-POS plan'!BE39)</f>
        <v>5</v>
      </c>
      <c r="BE15" s="130">
        <f>SUM('EGRESO-POS plan'!BF39)</f>
        <v>13</v>
      </c>
      <c r="BF15" s="396">
        <f>SUM(BC15:BE15)</f>
        <v>22</v>
      </c>
      <c r="BG15" s="129">
        <f>SUM('EGRESO-POS plan'!BH39)</f>
        <v>6</v>
      </c>
      <c r="BH15" s="130">
        <f>SUM('EGRESO-POS plan'!BI39)</f>
        <v>25</v>
      </c>
      <c r="BI15" s="130">
        <f>SUM('EGRESO-POS plan'!BJ39)</f>
        <v>6</v>
      </c>
      <c r="BJ15" s="396">
        <f>SUM(BG15:BI15)</f>
        <v>37</v>
      </c>
      <c r="BK15" s="129">
        <f>SUM('EGRESO-POS plan'!BL39)</f>
        <v>4</v>
      </c>
      <c r="BL15" s="130">
        <f>SUM('EGRESO-POS plan'!BM39)</f>
        <v>11</v>
      </c>
      <c r="BM15" s="130">
        <f>SUM('EGRESO-POS plan'!BN39)</f>
        <v>11</v>
      </c>
      <c r="BN15" s="396">
        <f>SUM(BK15:BM15)</f>
        <v>26</v>
      </c>
      <c r="BO15" s="129">
        <f>SUM('EGRESO-POS plan'!BP39:BP43)</f>
        <v>8</v>
      </c>
      <c r="BP15" s="130">
        <f>SUM('EGRESO-POS plan'!BQ39:BQ43)</f>
        <v>8</v>
      </c>
      <c r="BQ15" s="130">
        <f>SUM('EGRESO-POS plan'!BR39:BR43)</f>
        <v>2</v>
      </c>
      <c r="BR15" s="396">
        <f>SUM(BO15:BQ15)</f>
        <v>18</v>
      </c>
      <c r="BS15" s="129">
        <f>SUM('EGRESO-POS plan'!BT39:BT43)</f>
        <v>2</v>
      </c>
      <c r="BT15" s="130">
        <f>SUM('EGRESO-POS plan'!BU39:BU43)</f>
        <v>8</v>
      </c>
      <c r="BU15" s="130">
        <f>SUM('EGRESO-POS plan'!BV39:BV44)</f>
        <v>3</v>
      </c>
      <c r="BV15" s="396">
        <f>SUM(BS15:BU15)</f>
        <v>13</v>
      </c>
      <c r="BW15" s="129">
        <f>SUM('EGRESO-POS plan'!BX39:BX44)</f>
        <v>5</v>
      </c>
      <c r="BX15" s="130">
        <f>SUM('EGRESO-POS plan'!BY39:BY44)</f>
        <v>12</v>
      </c>
      <c r="BY15" s="130">
        <f>SUM('EGRESO-POS plan'!BZ39:BZ44)</f>
        <v>6</v>
      </c>
      <c r="BZ15" s="396">
        <f>SUM(BW15:BY15)</f>
        <v>23</v>
      </c>
      <c r="CA15" s="129">
        <f>SUM('EGRESO-POS plan'!CB39:CB45)</f>
        <v>7</v>
      </c>
      <c r="CB15" s="130">
        <f>SUM('EGRESO-POS plan'!CC39:CC45)</f>
        <v>10</v>
      </c>
      <c r="CC15" s="130">
        <f>SUM('EGRESO-POS plan'!CD39:CD45)</f>
        <v>4</v>
      </c>
      <c r="CD15" s="396">
        <f>SUM(CA15:CC15)</f>
        <v>21</v>
      </c>
      <c r="CE15" s="129">
        <f>SUM('EGRESO-POS plan'!CF39:CF45)</f>
        <v>1</v>
      </c>
      <c r="CF15" s="130">
        <f>SUM('EGRESO-POS plan'!CG39:CG45)</f>
        <v>1</v>
      </c>
      <c r="CG15" s="130">
        <f>SUM('EGRESO-POS plan'!CH39:CH45)</f>
        <v>4</v>
      </c>
      <c r="CH15" s="396">
        <f>SUM(CE15:CG15)</f>
        <v>6</v>
      </c>
      <c r="CI15" s="129">
        <f>SUM('EGRESO-POS plan'!CJ39:CJ45)</f>
        <v>1</v>
      </c>
      <c r="CJ15" s="130">
        <f>SUM('EGRESO-POS plan'!CK39:CK45)</f>
        <v>0</v>
      </c>
      <c r="CK15" s="130">
        <f>SUM('EGRESO-POS plan'!CL39:CL45)</f>
        <v>3</v>
      </c>
      <c r="CL15" s="396">
        <f>SUM(CI15:CK15)</f>
        <v>4</v>
      </c>
      <c r="CM15" s="129">
        <f>SUM('EGRESO-POS plan'!CN39:CN45)</f>
        <v>3</v>
      </c>
      <c r="CN15" s="130">
        <f>SUM('EGRESO-POS plan'!CO39:CO45)</f>
        <v>4</v>
      </c>
      <c r="CO15" s="130">
        <f>SUM('EGRESO-POS plan'!CP39:CP45)</f>
        <v>4</v>
      </c>
      <c r="CP15" s="396">
        <f>SUM(CM15:CO15)</f>
        <v>11</v>
      </c>
      <c r="CQ15" s="129">
        <f>SUM('EGRESO-POS plan'!CR39:CR45)</f>
        <v>2</v>
      </c>
      <c r="CR15" s="130">
        <f>SUM('EGRESO-POS plan'!CS39:CS45)</f>
        <v>9</v>
      </c>
      <c r="CS15" s="130">
        <f>SUM('EGRESO-POS plan'!CT39:CT45)</f>
        <v>1</v>
      </c>
      <c r="CT15" s="396">
        <f>SUM(CQ15:CS15)</f>
        <v>12</v>
      </c>
    </row>
    <row r="16" spans="1:98" ht="15" customHeight="1" x14ac:dyDescent="0.25">
      <c r="A16" s="1661"/>
      <c r="B16" s="1339" t="s">
        <v>317</v>
      </c>
      <c r="C16" s="1262">
        <f>+'EGRESO-POS plan'!D46</f>
        <v>0</v>
      </c>
      <c r="D16" s="1263">
        <f>+'EGRESO-POS plan'!E46</f>
        <v>0</v>
      </c>
      <c r="E16" s="1263">
        <f>+'EGRESO-POS plan'!F46</f>
        <v>0</v>
      </c>
      <c r="F16" s="1264">
        <f t="shared" si="0"/>
        <v>0</v>
      </c>
      <c r="G16" s="1262">
        <f>+'EGRESO-POS plan'!H46</f>
        <v>0</v>
      </c>
      <c r="H16" s="1263">
        <f>+'EGRESO-POS plan'!I46</f>
        <v>0</v>
      </c>
      <c r="I16" s="1263">
        <f>+'EGRESO-POS plan'!J46</f>
        <v>0</v>
      </c>
      <c r="J16" s="1264">
        <f t="shared" si="1"/>
        <v>0</v>
      </c>
      <c r="K16" s="1262">
        <f>+'EGRESO-POS plan'!L46</f>
        <v>1</v>
      </c>
      <c r="L16" s="1263">
        <f>+'EGRESO-POS plan'!M46</f>
        <v>6</v>
      </c>
      <c r="M16" s="1263">
        <f>+'EGRESO-POS plan'!N46</f>
        <v>4</v>
      </c>
      <c r="N16" s="1264">
        <f t="shared" si="2"/>
        <v>11</v>
      </c>
      <c r="O16" s="1262">
        <f>+'EGRESO-POS plan'!P46</f>
        <v>0</v>
      </c>
      <c r="P16" s="1263">
        <f>+'EGRESO-POS plan'!Q46</f>
        <v>0</v>
      </c>
      <c r="Q16" s="1263">
        <f>+'EGRESO-POS plan'!R46</f>
        <v>0</v>
      </c>
      <c r="R16" s="1264">
        <f t="shared" si="3"/>
        <v>0</v>
      </c>
      <c r="S16" s="1262">
        <v>0</v>
      </c>
      <c r="T16" s="1263">
        <v>0</v>
      </c>
      <c r="U16" s="1263">
        <v>0</v>
      </c>
      <c r="V16" s="1264">
        <v>0</v>
      </c>
      <c r="W16" s="1263">
        <v>0</v>
      </c>
      <c r="X16" s="1263">
        <v>1</v>
      </c>
      <c r="Y16" s="1263">
        <v>1</v>
      </c>
      <c r="Z16" s="1337">
        <v>2</v>
      </c>
      <c r="AA16" s="1262">
        <v>0</v>
      </c>
      <c r="AB16" s="1263">
        <v>6</v>
      </c>
      <c r="AC16" s="1263">
        <v>1</v>
      </c>
      <c r="AD16" s="1264">
        <v>7</v>
      </c>
      <c r="AE16" s="1263">
        <v>1</v>
      </c>
      <c r="AF16" s="1263">
        <v>1</v>
      </c>
      <c r="AG16" s="1263">
        <v>2</v>
      </c>
      <c r="AH16" s="1264">
        <v>4</v>
      </c>
      <c r="AI16" s="1263">
        <v>0</v>
      </c>
      <c r="AJ16" s="1263">
        <v>0</v>
      </c>
      <c r="AK16" s="1263">
        <v>1</v>
      </c>
      <c r="AL16" s="1337">
        <v>1</v>
      </c>
      <c r="AM16" s="129">
        <v>1</v>
      </c>
      <c r="AN16" s="130">
        <v>0</v>
      </c>
      <c r="AO16" s="130">
        <v>0</v>
      </c>
      <c r="AP16" s="130">
        <v>1</v>
      </c>
      <c r="AQ16" s="129">
        <v>1</v>
      </c>
      <c r="AR16" s="130">
        <v>1</v>
      </c>
      <c r="AS16" s="130">
        <v>1</v>
      </c>
      <c r="AT16" s="396">
        <v>3</v>
      </c>
      <c r="AU16" s="129">
        <v>1</v>
      </c>
      <c r="AV16" s="130">
        <v>1</v>
      </c>
      <c r="AW16" s="130">
        <v>3</v>
      </c>
      <c r="AX16" s="396">
        <f t="shared" si="4"/>
        <v>5</v>
      </c>
      <c r="AY16" s="129">
        <v>1</v>
      </c>
      <c r="AZ16" s="130">
        <v>4</v>
      </c>
      <c r="BA16" s="130">
        <v>2</v>
      </c>
      <c r="BB16" s="396">
        <f t="shared" si="5"/>
        <v>7</v>
      </c>
      <c r="BC16" s="129">
        <f>SUM('EGRESO-POS plan'!BD46)</f>
        <v>0</v>
      </c>
      <c r="BD16" s="130">
        <f>SUM('EGRESO-POS plan'!BE46)</f>
        <v>1</v>
      </c>
      <c r="BE16" s="130">
        <f>SUM('EGRESO-POS plan'!BF46)</f>
        <v>1</v>
      </c>
      <c r="BF16" s="396">
        <f>SUM(BC16:BE16)</f>
        <v>2</v>
      </c>
      <c r="BG16" s="129">
        <f>SUM('EGRESO-POS plan'!BH46)</f>
        <v>3</v>
      </c>
      <c r="BH16" s="130">
        <f>SUM('EGRESO-POS plan'!BI46)</f>
        <v>5</v>
      </c>
      <c r="BI16" s="130">
        <f>SUM('EGRESO-POS plan'!BJ46)</f>
        <v>1</v>
      </c>
      <c r="BJ16" s="396">
        <f>SUM(BG16:BI16)</f>
        <v>9</v>
      </c>
      <c r="BK16" s="129">
        <f>SUM('EGRESO-POS plan'!BL46)</f>
        <v>3</v>
      </c>
      <c r="BL16" s="130">
        <f>SUM('EGRESO-POS plan'!BM46)</f>
        <v>5</v>
      </c>
      <c r="BM16" s="130">
        <f>SUM('EGRESO-POS plan'!BN46)</f>
        <v>1</v>
      </c>
      <c r="BN16" s="396">
        <f>SUM(BK16:BM16)</f>
        <v>9</v>
      </c>
      <c r="BO16" s="129">
        <f>SUM('EGRESO-POS plan'!BP46:BP49)</f>
        <v>0</v>
      </c>
      <c r="BP16" s="130">
        <f>SUM('EGRESO-POS plan'!BQ46:BQ49)</f>
        <v>3</v>
      </c>
      <c r="BQ16" s="130">
        <f>SUM('EGRESO-POS plan'!BR46:BR49)</f>
        <v>2</v>
      </c>
      <c r="BR16" s="396">
        <f>SUM(BO16:BQ16)</f>
        <v>5</v>
      </c>
      <c r="BS16" s="130">
        <f>SUM('EGRESO-POS plan'!BT46:BT51)</f>
        <v>0</v>
      </c>
      <c r="BT16" s="130">
        <f>SUM('EGRESO-POS plan'!BU46:BU51)</f>
        <v>6</v>
      </c>
      <c r="BU16" s="130">
        <f>SUM('EGRESO-POS plan'!BV46:BV51)</f>
        <v>1</v>
      </c>
      <c r="BV16" s="396">
        <f>SUM(BS16:BU16)</f>
        <v>7</v>
      </c>
      <c r="BW16" s="130">
        <f>SUM('EGRESO-POS plan'!BX46:BX51)</f>
        <v>0</v>
      </c>
      <c r="BX16" s="130">
        <f>SUM('EGRESO-POS plan'!BY46:BY51)</f>
        <v>2</v>
      </c>
      <c r="BY16" s="130">
        <f>SUM('EGRESO-POS plan'!BZ46:BZ51)</f>
        <v>3</v>
      </c>
      <c r="BZ16" s="396">
        <f>SUM(BW16:BY16)</f>
        <v>5</v>
      </c>
      <c r="CA16" s="130">
        <f>SUM('EGRESO-POS plan'!CB46:CB51)</f>
        <v>4</v>
      </c>
      <c r="CB16" s="130">
        <f>SUM('EGRESO-POS plan'!CC46:CC51)</f>
        <v>3</v>
      </c>
      <c r="CC16" s="130">
        <f>SUM('EGRESO-POS plan'!CD46:CD51)</f>
        <v>2</v>
      </c>
      <c r="CD16" s="396">
        <f>SUM(CA16:CC16)</f>
        <v>9</v>
      </c>
      <c r="CE16" s="130">
        <f>SUM('EGRESO-POS plan'!CF46:CF51)</f>
        <v>6</v>
      </c>
      <c r="CF16" s="130">
        <f>SUM('EGRESO-POS plan'!CG46:CG51)</f>
        <v>4</v>
      </c>
      <c r="CG16" s="130">
        <f>SUM('EGRESO-POS plan'!CH46:CH51)</f>
        <v>1</v>
      </c>
      <c r="CH16" s="396">
        <f>SUM(CE16:CG16)</f>
        <v>11</v>
      </c>
      <c r="CI16" s="130">
        <f>SUM('EGRESO-POS plan'!CJ46:CJ51)</f>
        <v>2</v>
      </c>
      <c r="CJ16" s="130">
        <f>SUM('EGRESO-POS plan'!CK46:CK51)</f>
        <v>1</v>
      </c>
      <c r="CK16" s="130">
        <f>SUM('EGRESO-POS plan'!CL46:CL51)</f>
        <v>5</v>
      </c>
      <c r="CL16" s="396">
        <f>SUM(CI16:CK16)</f>
        <v>8</v>
      </c>
      <c r="CM16" s="130">
        <f>SUM('EGRESO-POS plan'!CN46:CN51)</f>
        <v>1</v>
      </c>
      <c r="CN16" s="130">
        <f>SUM('EGRESO-POS plan'!CO46:CO51)</f>
        <v>3</v>
      </c>
      <c r="CO16" s="130">
        <f>SUM('EGRESO-POS plan'!CP46:CP51)</f>
        <v>2</v>
      </c>
      <c r="CP16" s="396">
        <f>SUM(CM16:CO16)</f>
        <v>6</v>
      </c>
      <c r="CQ16" s="130">
        <f>SUM('EGRESO-POS plan'!CR46:CR51)</f>
        <v>5</v>
      </c>
      <c r="CR16" s="130">
        <f>SUM('EGRESO-POS plan'!CS46:CS51)</f>
        <v>2</v>
      </c>
      <c r="CS16" s="130">
        <f>SUM('EGRESO-POS plan'!CT46:CT51)</f>
        <v>3</v>
      </c>
      <c r="CT16" s="396">
        <f>SUM(CQ16:CS16)</f>
        <v>10</v>
      </c>
    </row>
    <row r="17" spans="1:98" s="1330" customFormat="1" ht="15" customHeight="1" x14ac:dyDescent="0.25">
      <c r="A17" s="1661"/>
      <c r="B17" s="1342" t="s">
        <v>68</v>
      </c>
      <c r="C17" s="1662">
        <f>SUM(C14:C16)</f>
        <v>1</v>
      </c>
      <c r="D17" s="1663">
        <f>SUM(D14:D16)</f>
        <v>0</v>
      </c>
      <c r="E17" s="1663">
        <f>SUM(E14:E16)</f>
        <v>17</v>
      </c>
      <c r="F17" s="1310">
        <f t="shared" si="0"/>
        <v>18</v>
      </c>
      <c r="G17" s="1662">
        <f>SUM(G14:G16)</f>
        <v>0</v>
      </c>
      <c r="H17" s="1663">
        <f>SUM(H14:H16)</f>
        <v>3</v>
      </c>
      <c r="I17" s="1663">
        <f>SUM(I14:I16)</f>
        <v>6</v>
      </c>
      <c r="J17" s="1310">
        <f t="shared" si="1"/>
        <v>9</v>
      </c>
      <c r="K17" s="1662">
        <f>SUM(K14:K16)</f>
        <v>4</v>
      </c>
      <c r="L17" s="1663">
        <f>SUM(L14:L16)</f>
        <v>13</v>
      </c>
      <c r="M17" s="1663">
        <f>SUM(M14:M16)</f>
        <v>7</v>
      </c>
      <c r="N17" s="1310">
        <f t="shared" si="2"/>
        <v>24</v>
      </c>
      <c r="O17" s="1662">
        <f>SUM(O14:O16)</f>
        <v>10</v>
      </c>
      <c r="P17" s="1663">
        <f>SUM(P14:P16)</f>
        <v>75</v>
      </c>
      <c r="Q17" s="1663">
        <f>SUM(Q14:Q16)</f>
        <v>31</v>
      </c>
      <c r="R17" s="1310">
        <f t="shared" si="3"/>
        <v>116</v>
      </c>
      <c r="S17" s="1662">
        <v>1</v>
      </c>
      <c r="T17" s="1663">
        <v>3</v>
      </c>
      <c r="U17" s="1663">
        <v>6</v>
      </c>
      <c r="V17" s="1310">
        <v>10</v>
      </c>
      <c r="W17" s="1663">
        <v>4</v>
      </c>
      <c r="X17" s="1663">
        <v>17</v>
      </c>
      <c r="Y17" s="1663">
        <v>10</v>
      </c>
      <c r="Z17" s="1663">
        <v>31</v>
      </c>
      <c r="AA17" s="1662">
        <v>5</v>
      </c>
      <c r="AB17" s="1663">
        <v>11</v>
      </c>
      <c r="AC17" s="1663">
        <v>15</v>
      </c>
      <c r="AD17" s="1310">
        <v>31</v>
      </c>
      <c r="AE17" s="1663">
        <v>3</v>
      </c>
      <c r="AF17" s="1663">
        <v>16</v>
      </c>
      <c r="AG17" s="1663">
        <v>11</v>
      </c>
      <c r="AH17" s="1310">
        <v>30</v>
      </c>
      <c r="AI17" s="1663">
        <v>4</v>
      </c>
      <c r="AJ17" s="1663">
        <v>16</v>
      </c>
      <c r="AK17" s="1663">
        <v>2</v>
      </c>
      <c r="AL17" s="1663">
        <v>22</v>
      </c>
      <c r="AM17" s="630">
        <v>5</v>
      </c>
      <c r="AN17" s="1664">
        <v>8</v>
      </c>
      <c r="AO17" s="1664">
        <v>13</v>
      </c>
      <c r="AP17" s="1664">
        <v>26</v>
      </c>
      <c r="AQ17" s="630">
        <f t="shared" ref="AQ17:AW17" si="14">SUM(AQ14:AQ16)</f>
        <v>13</v>
      </c>
      <c r="AR17" s="1664">
        <f t="shared" si="14"/>
        <v>10</v>
      </c>
      <c r="AS17" s="1664">
        <f t="shared" si="14"/>
        <v>49</v>
      </c>
      <c r="AT17" s="1665">
        <f t="shared" si="14"/>
        <v>72</v>
      </c>
      <c r="AU17" s="630">
        <f t="shared" si="14"/>
        <v>4</v>
      </c>
      <c r="AV17" s="1664">
        <f t="shared" si="14"/>
        <v>13</v>
      </c>
      <c r="AW17" s="1664">
        <f t="shared" si="14"/>
        <v>30</v>
      </c>
      <c r="AX17" s="1665">
        <f t="shared" si="4"/>
        <v>47</v>
      </c>
      <c r="AY17" s="630">
        <f>SUM(AY14:AY16)</f>
        <v>2</v>
      </c>
      <c r="AZ17" s="1664">
        <f>SUM(AZ14:AZ16)</f>
        <v>18</v>
      </c>
      <c r="BA17" s="1664">
        <f>SUM(BA14:BA16)</f>
        <v>45</v>
      </c>
      <c r="BB17" s="1665">
        <f t="shared" si="5"/>
        <v>65</v>
      </c>
      <c r="BC17" s="630">
        <f t="shared" ref="BC17:CL17" si="15">SUM(BC14:BC16)</f>
        <v>5</v>
      </c>
      <c r="BD17" s="1664">
        <f t="shared" si="15"/>
        <v>10</v>
      </c>
      <c r="BE17" s="1664">
        <f t="shared" si="15"/>
        <v>15</v>
      </c>
      <c r="BF17" s="1665">
        <f t="shared" si="15"/>
        <v>30</v>
      </c>
      <c r="BG17" s="630">
        <f t="shared" si="15"/>
        <v>9</v>
      </c>
      <c r="BH17" s="1664">
        <f t="shared" si="15"/>
        <v>35</v>
      </c>
      <c r="BI17" s="1664">
        <f t="shared" si="15"/>
        <v>35</v>
      </c>
      <c r="BJ17" s="1665">
        <f t="shared" si="15"/>
        <v>79</v>
      </c>
      <c r="BK17" s="630">
        <f t="shared" si="15"/>
        <v>7</v>
      </c>
      <c r="BL17" s="1664">
        <f t="shared" si="15"/>
        <v>17</v>
      </c>
      <c r="BM17" s="1664">
        <f t="shared" si="15"/>
        <v>12</v>
      </c>
      <c r="BN17" s="1665">
        <f t="shared" si="15"/>
        <v>36</v>
      </c>
      <c r="BO17" s="630">
        <f t="shared" si="15"/>
        <v>8</v>
      </c>
      <c r="BP17" s="1664">
        <f t="shared" si="15"/>
        <v>11</v>
      </c>
      <c r="BQ17" s="1664">
        <f t="shared" si="15"/>
        <v>4</v>
      </c>
      <c r="BR17" s="1665">
        <f t="shared" si="15"/>
        <v>23</v>
      </c>
      <c r="BS17" s="630">
        <f t="shared" si="15"/>
        <v>2</v>
      </c>
      <c r="BT17" s="1664">
        <f t="shared" si="15"/>
        <v>14</v>
      </c>
      <c r="BU17" s="1664">
        <f t="shared" si="15"/>
        <v>4</v>
      </c>
      <c r="BV17" s="1665">
        <f t="shared" si="15"/>
        <v>20</v>
      </c>
      <c r="BW17" s="630">
        <f t="shared" si="15"/>
        <v>5</v>
      </c>
      <c r="BX17" s="1664">
        <f t="shared" si="15"/>
        <v>14</v>
      </c>
      <c r="BY17" s="1664">
        <f t="shared" si="15"/>
        <v>18</v>
      </c>
      <c r="BZ17" s="1665">
        <f t="shared" si="15"/>
        <v>37</v>
      </c>
      <c r="CA17" s="630">
        <f t="shared" si="15"/>
        <v>11</v>
      </c>
      <c r="CB17" s="1664">
        <f t="shared" si="15"/>
        <v>15</v>
      </c>
      <c r="CC17" s="1664">
        <f t="shared" si="15"/>
        <v>6</v>
      </c>
      <c r="CD17" s="1665">
        <f t="shared" si="15"/>
        <v>32</v>
      </c>
      <c r="CE17" s="630">
        <f t="shared" si="15"/>
        <v>7</v>
      </c>
      <c r="CF17" s="1664">
        <f t="shared" si="15"/>
        <v>5</v>
      </c>
      <c r="CG17" s="1664">
        <f t="shared" si="15"/>
        <v>16</v>
      </c>
      <c r="CH17" s="1665">
        <f t="shared" si="15"/>
        <v>28</v>
      </c>
      <c r="CI17" s="630">
        <f t="shared" si="15"/>
        <v>3</v>
      </c>
      <c r="CJ17" s="1664">
        <f t="shared" si="15"/>
        <v>1</v>
      </c>
      <c r="CK17" s="1664">
        <f t="shared" si="15"/>
        <v>8</v>
      </c>
      <c r="CL17" s="1665">
        <f t="shared" si="15"/>
        <v>12</v>
      </c>
      <c r="CM17" s="630">
        <f t="shared" ref="CM17:CP17" si="16">SUM(CM14:CM16)</f>
        <v>10</v>
      </c>
      <c r="CN17" s="1664">
        <f t="shared" si="16"/>
        <v>7</v>
      </c>
      <c r="CO17" s="1664">
        <f t="shared" si="16"/>
        <v>13</v>
      </c>
      <c r="CP17" s="1665">
        <f t="shared" si="16"/>
        <v>30</v>
      </c>
      <c r="CQ17" s="630">
        <f t="shared" ref="CQ17:CT17" si="17">SUM(CQ14:CQ16)</f>
        <v>11</v>
      </c>
      <c r="CR17" s="1664">
        <f t="shared" si="17"/>
        <v>12</v>
      </c>
      <c r="CS17" s="1664">
        <f t="shared" si="17"/>
        <v>10</v>
      </c>
      <c r="CT17" s="1665">
        <f t="shared" si="17"/>
        <v>33</v>
      </c>
    </row>
    <row r="18" spans="1:98" ht="15" customHeight="1" x14ac:dyDescent="0.25">
      <c r="A18" s="1661"/>
      <c r="B18" s="1334" t="s">
        <v>308</v>
      </c>
      <c r="C18" s="1258">
        <f>+C6+C10+C14</f>
        <v>0</v>
      </c>
      <c r="D18" s="1259">
        <f t="shared" ref="D18:E20" si="18">+D6+D10+D14</f>
        <v>0</v>
      </c>
      <c r="E18" s="1259">
        <f t="shared" si="18"/>
        <v>19</v>
      </c>
      <c r="F18" s="1260">
        <f t="shared" si="0"/>
        <v>19</v>
      </c>
      <c r="G18" s="1258">
        <f t="shared" ref="G18:I20" si="19">+G6+G10+G14</f>
        <v>0</v>
      </c>
      <c r="H18" s="1259">
        <f t="shared" si="19"/>
        <v>4</v>
      </c>
      <c r="I18" s="1259">
        <f t="shared" si="19"/>
        <v>9</v>
      </c>
      <c r="J18" s="1260">
        <f t="shared" si="1"/>
        <v>13</v>
      </c>
      <c r="K18" s="1258">
        <f t="shared" ref="K18:M20" si="20">+K6+K10+K14</f>
        <v>1</v>
      </c>
      <c r="L18" s="1259">
        <f t="shared" si="20"/>
        <v>15</v>
      </c>
      <c r="M18" s="1259">
        <f t="shared" si="20"/>
        <v>3</v>
      </c>
      <c r="N18" s="1260">
        <f t="shared" si="2"/>
        <v>19</v>
      </c>
      <c r="O18" s="1258">
        <f t="shared" ref="O18:Q20" si="21">+O6+O10+O14</f>
        <v>5</v>
      </c>
      <c r="P18" s="1259">
        <f t="shared" si="21"/>
        <v>123</v>
      </c>
      <c r="Q18" s="1259">
        <f t="shared" si="21"/>
        <v>36</v>
      </c>
      <c r="R18" s="1260">
        <f t="shared" si="3"/>
        <v>164</v>
      </c>
      <c r="S18" s="1258">
        <f t="shared" ref="S18:AL20" si="22">S6+S10+S14</f>
        <v>0</v>
      </c>
      <c r="T18" s="1259">
        <f t="shared" si="22"/>
        <v>11</v>
      </c>
      <c r="U18" s="1259">
        <f t="shared" si="22"/>
        <v>2</v>
      </c>
      <c r="V18" s="1260">
        <f t="shared" si="22"/>
        <v>13</v>
      </c>
      <c r="W18" s="1259">
        <f t="shared" si="22"/>
        <v>2</v>
      </c>
      <c r="X18" s="1259">
        <f t="shared" si="22"/>
        <v>23</v>
      </c>
      <c r="Y18" s="1259">
        <f t="shared" si="22"/>
        <v>12</v>
      </c>
      <c r="Z18" s="1298">
        <f t="shared" si="22"/>
        <v>37</v>
      </c>
      <c r="AA18" s="1258">
        <f t="shared" si="22"/>
        <v>7</v>
      </c>
      <c r="AB18" s="1259">
        <f t="shared" si="22"/>
        <v>26</v>
      </c>
      <c r="AC18" s="1259">
        <f t="shared" si="22"/>
        <v>9</v>
      </c>
      <c r="AD18" s="1260">
        <f t="shared" si="22"/>
        <v>42</v>
      </c>
      <c r="AE18" s="1259">
        <f t="shared" si="22"/>
        <v>0</v>
      </c>
      <c r="AF18" s="1259">
        <f t="shared" si="22"/>
        <v>34</v>
      </c>
      <c r="AG18" s="1259">
        <f t="shared" si="22"/>
        <v>6</v>
      </c>
      <c r="AH18" s="1260">
        <f t="shared" si="22"/>
        <v>40</v>
      </c>
      <c r="AI18" s="1259">
        <f t="shared" si="22"/>
        <v>1</v>
      </c>
      <c r="AJ18" s="1259">
        <f t="shared" si="22"/>
        <v>33</v>
      </c>
      <c r="AK18" s="1259">
        <f t="shared" si="22"/>
        <v>10</v>
      </c>
      <c r="AL18" s="1298">
        <f t="shared" si="22"/>
        <v>44</v>
      </c>
      <c r="AM18" s="151">
        <v>1</v>
      </c>
      <c r="AN18" s="152">
        <v>7</v>
      </c>
      <c r="AO18" s="152">
        <v>11</v>
      </c>
      <c r="AP18" s="152">
        <v>19</v>
      </c>
      <c r="AQ18" s="151">
        <f t="shared" ref="AQ18:AW20" si="23">SUM(AQ6,AQ10,AQ14)</f>
        <v>11</v>
      </c>
      <c r="AR18" s="152">
        <f t="shared" si="23"/>
        <v>13</v>
      </c>
      <c r="AS18" s="152">
        <f t="shared" si="23"/>
        <v>48</v>
      </c>
      <c r="AT18" s="395">
        <f t="shared" si="23"/>
        <v>72</v>
      </c>
      <c r="AU18" s="151">
        <f t="shared" si="23"/>
        <v>1</v>
      </c>
      <c r="AV18" s="152">
        <f t="shared" si="23"/>
        <v>8</v>
      </c>
      <c r="AW18" s="152">
        <f t="shared" si="23"/>
        <v>24</v>
      </c>
      <c r="AX18" s="395">
        <f t="shared" si="4"/>
        <v>33</v>
      </c>
      <c r="AY18" s="151">
        <f t="shared" ref="AY18:BA20" si="24">SUM(AY6,AY10,AY14)</f>
        <v>1</v>
      </c>
      <c r="AZ18" s="152">
        <f t="shared" si="24"/>
        <v>19</v>
      </c>
      <c r="BA18" s="152">
        <f t="shared" si="24"/>
        <v>33</v>
      </c>
      <c r="BB18" s="395">
        <f t="shared" si="5"/>
        <v>53</v>
      </c>
      <c r="BC18" s="151">
        <f>SUM(BC6,BC10,BC14)</f>
        <v>1</v>
      </c>
      <c r="BD18" s="152">
        <f>SUM(BD6,BD10,BD14)</f>
        <v>28</v>
      </c>
      <c r="BE18" s="152">
        <f>SUM(BE6,BE10,BE14)</f>
        <v>1</v>
      </c>
      <c r="BF18" s="395">
        <f>SUM(BC18:BE18)</f>
        <v>30</v>
      </c>
      <c r="BG18" s="151">
        <f t="shared" ref="BG18:BI20" si="25">SUM(BG6,BG10,BG14)</f>
        <v>0</v>
      </c>
      <c r="BH18" s="152">
        <f t="shared" si="25"/>
        <v>14</v>
      </c>
      <c r="BI18" s="152">
        <f t="shared" si="25"/>
        <v>30</v>
      </c>
      <c r="BJ18" s="395">
        <f>SUM(BG18:BI18)</f>
        <v>44</v>
      </c>
      <c r="BK18" s="151">
        <f t="shared" ref="BK18:BM20" si="26">SUM(BK6,BK10,BK14)</f>
        <v>0</v>
      </c>
      <c r="BL18" s="152">
        <f t="shared" si="26"/>
        <v>17</v>
      </c>
      <c r="BM18" s="152">
        <f t="shared" si="26"/>
        <v>6</v>
      </c>
      <c r="BN18" s="395">
        <f>SUM(BK18:BM18)</f>
        <v>23</v>
      </c>
      <c r="BO18" s="151">
        <f t="shared" ref="BO18:BQ20" si="27">SUM(BO6,BO10,BO14)</f>
        <v>1</v>
      </c>
      <c r="BP18" s="152">
        <f t="shared" si="27"/>
        <v>11</v>
      </c>
      <c r="BQ18" s="152">
        <f t="shared" si="27"/>
        <v>3</v>
      </c>
      <c r="BR18" s="395">
        <f>SUM(BO18:BQ18)</f>
        <v>15</v>
      </c>
      <c r="BS18" s="151">
        <f t="shared" ref="BS18:BU20" si="28">SUM(BS6,BS10,BS14)</f>
        <v>0</v>
      </c>
      <c r="BT18" s="152">
        <f t="shared" si="28"/>
        <v>21</v>
      </c>
      <c r="BU18" s="152">
        <f t="shared" si="28"/>
        <v>4</v>
      </c>
      <c r="BV18" s="395">
        <f>SUM(BS18:BU18)</f>
        <v>25</v>
      </c>
      <c r="BW18" s="151">
        <f t="shared" ref="BW18:BY20" si="29">SUM(BW6,BW10,BW14)</f>
        <v>0</v>
      </c>
      <c r="BX18" s="152">
        <f t="shared" si="29"/>
        <v>20</v>
      </c>
      <c r="BY18" s="152">
        <f t="shared" si="29"/>
        <v>9</v>
      </c>
      <c r="BZ18" s="395">
        <f>SUM(BW18:BY18)</f>
        <v>29</v>
      </c>
      <c r="CA18" s="151">
        <f>SUM(CA6,CA10,CA14)</f>
        <v>0</v>
      </c>
      <c r="CB18" s="152">
        <f t="shared" ref="CB18:CC20" si="30">SUM(CB6,CB10,CB14)</f>
        <v>21</v>
      </c>
      <c r="CC18" s="152">
        <f t="shared" si="30"/>
        <v>0</v>
      </c>
      <c r="CD18" s="395">
        <f>SUM(CA18:CC18)</f>
        <v>21</v>
      </c>
      <c r="CE18" s="151">
        <f t="shared" ref="CE18:CG20" si="31">SUM(CE6,CE10,CE14)</f>
        <v>0</v>
      </c>
      <c r="CF18" s="152">
        <f t="shared" si="31"/>
        <v>0</v>
      </c>
      <c r="CG18" s="152">
        <f t="shared" si="31"/>
        <v>24</v>
      </c>
      <c r="CH18" s="395">
        <f>SUM(CE18:CG18)</f>
        <v>24</v>
      </c>
      <c r="CI18" s="151">
        <f t="shared" ref="CI18:CK20" si="32">SUM(CI6,CI10,CI14)</f>
        <v>0</v>
      </c>
      <c r="CJ18" s="152">
        <f t="shared" si="32"/>
        <v>8</v>
      </c>
      <c r="CK18" s="152">
        <f t="shared" si="32"/>
        <v>18</v>
      </c>
      <c r="CL18" s="395">
        <f>SUM(CI18:CK18)</f>
        <v>26</v>
      </c>
      <c r="CM18" s="151">
        <f t="shared" ref="CM18:CO18" si="33">SUM(CM6,CM10,CM14)</f>
        <v>6</v>
      </c>
      <c r="CN18" s="152">
        <f t="shared" si="33"/>
        <v>6</v>
      </c>
      <c r="CO18" s="152">
        <f t="shared" si="33"/>
        <v>8</v>
      </c>
      <c r="CP18" s="395">
        <f>SUM(CM18:CO18)</f>
        <v>20</v>
      </c>
      <c r="CQ18" s="151">
        <f t="shared" ref="CQ18:CS18" si="34">SUM(CQ6,CQ10,CQ14)</f>
        <v>4</v>
      </c>
      <c r="CR18" s="152">
        <f t="shared" si="34"/>
        <v>12</v>
      </c>
      <c r="CS18" s="152">
        <f t="shared" si="34"/>
        <v>6</v>
      </c>
      <c r="CT18" s="395">
        <f>SUM(CQ18:CS18)</f>
        <v>22</v>
      </c>
    </row>
    <row r="19" spans="1:98" ht="15" customHeight="1" x14ac:dyDescent="0.25">
      <c r="A19" s="1661"/>
      <c r="B19" s="1336" t="s">
        <v>310</v>
      </c>
      <c r="C19" s="1262">
        <f>+C7+C11+C15</f>
        <v>1</v>
      </c>
      <c r="D19" s="1263">
        <f t="shared" si="18"/>
        <v>7</v>
      </c>
      <c r="E19" s="1263">
        <f t="shared" si="18"/>
        <v>3</v>
      </c>
      <c r="F19" s="1264">
        <f t="shared" si="0"/>
        <v>11</v>
      </c>
      <c r="G19" s="1262">
        <f t="shared" si="19"/>
        <v>1</v>
      </c>
      <c r="H19" s="1263">
        <f t="shared" si="19"/>
        <v>0</v>
      </c>
      <c r="I19" s="1263">
        <f t="shared" si="19"/>
        <v>5</v>
      </c>
      <c r="J19" s="1264">
        <f t="shared" si="1"/>
        <v>6</v>
      </c>
      <c r="K19" s="1262">
        <f t="shared" si="20"/>
        <v>5</v>
      </c>
      <c r="L19" s="1263">
        <f t="shared" si="20"/>
        <v>8</v>
      </c>
      <c r="M19" s="1263">
        <f t="shared" si="20"/>
        <v>13</v>
      </c>
      <c r="N19" s="1264">
        <f t="shared" si="2"/>
        <v>26</v>
      </c>
      <c r="O19" s="1262">
        <f t="shared" si="21"/>
        <v>9</v>
      </c>
      <c r="P19" s="1263">
        <f t="shared" si="21"/>
        <v>81</v>
      </c>
      <c r="Q19" s="1263">
        <f t="shared" si="21"/>
        <v>15</v>
      </c>
      <c r="R19" s="1264">
        <f t="shared" si="3"/>
        <v>105</v>
      </c>
      <c r="S19" s="1262">
        <f t="shared" si="22"/>
        <v>20</v>
      </c>
      <c r="T19" s="1263">
        <f t="shared" si="22"/>
        <v>18</v>
      </c>
      <c r="U19" s="1263">
        <f t="shared" si="22"/>
        <v>16</v>
      </c>
      <c r="V19" s="1264">
        <f t="shared" si="22"/>
        <v>54</v>
      </c>
      <c r="W19" s="1263">
        <f t="shared" si="22"/>
        <v>18</v>
      </c>
      <c r="X19" s="1263">
        <f t="shared" si="22"/>
        <v>12</v>
      </c>
      <c r="Y19" s="1263">
        <f t="shared" si="22"/>
        <v>11</v>
      </c>
      <c r="Z19" s="1337">
        <f t="shared" si="22"/>
        <v>41</v>
      </c>
      <c r="AA19" s="1262">
        <f t="shared" si="22"/>
        <v>15</v>
      </c>
      <c r="AB19" s="1263">
        <f t="shared" si="22"/>
        <v>17</v>
      </c>
      <c r="AC19" s="1263">
        <f t="shared" si="22"/>
        <v>13</v>
      </c>
      <c r="AD19" s="1264">
        <f t="shared" si="22"/>
        <v>45</v>
      </c>
      <c r="AE19" s="1263">
        <f t="shared" si="22"/>
        <v>15</v>
      </c>
      <c r="AF19" s="1263">
        <f t="shared" si="22"/>
        <v>16</v>
      </c>
      <c r="AG19" s="1263">
        <f t="shared" si="22"/>
        <v>24</v>
      </c>
      <c r="AH19" s="1264">
        <f t="shared" si="22"/>
        <v>55</v>
      </c>
      <c r="AI19" s="1263">
        <f t="shared" si="22"/>
        <v>25</v>
      </c>
      <c r="AJ19" s="1263">
        <f t="shared" si="22"/>
        <v>13</v>
      </c>
      <c r="AK19" s="1263">
        <f t="shared" si="22"/>
        <v>12</v>
      </c>
      <c r="AL19" s="1337">
        <f t="shared" si="22"/>
        <v>50</v>
      </c>
      <c r="AM19" s="129">
        <v>16</v>
      </c>
      <c r="AN19" s="130">
        <v>28</v>
      </c>
      <c r="AO19" s="130">
        <v>17</v>
      </c>
      <c r="AP19" s="130">
        <v>61</v>
      </c>
      <c r="AQ19" s="129">
        <f t="shared" si="23"/>
        <v>9</v>
      </c>
      <c r="AR19" s="130">
        <f t="shared" si="23"/>
        <v>26</v>
      </c>
      <c r="AS19" s="130">
        <f t="shared" si="23"/>
        <v>6</v>
      </c>
      <c r="AT19" s="396">
        <f t="shared" si="23"/>
        <v>41</v>
      </c>
      <c r="AU19" s="129">
        <f t="shared" si="23"/>
        <v>13</v>
      </c>
      <c r="AV19" s="130">
        <f t="shared" si="23"/>
        <v>30</v>
      </c>
      <c r="AW19" s="130">
        <f t="shared" si="23"/>
        <v>14</v>
      </c>
      <c r="AX19" s="396">
        <f t="shared" si="4"/>
        <v>57</v>
      </c>
      <c r="AY19" s="129">
        <f t="shared" si="24"/>
        <v>17</v>
      </c>
      <c r="AZ19" s="130">
        <f t="shared" si="24"/>
        <v>40</v>
      </c>
      <c r="BA19" s="130">
        <f t="shared" si="24"/>
        <v>24</v>
      </c>
      <c r="BB19" s="396">
        <f t="shared" si="5"/>
        <v>81</v>
      </c>
      <c r="BC19" s="129">
        <f t="shared" ref="BC19:BE20" si="35">SUM(BC7,BC11,BC15)</f>
        <v>29</v>
      </c>
      <c r="BD19" s="130">
        <f t="shared" si="35"/>
        <v>20</v>
      </c>
      <c r="BE19" s="130">
        <f t="shared" si="35"/>
        <v>28</v>
      </c>
      <c r="BF19" s="396">
        <f>SUM(BC19:BE19)</f>
        <v>77</v>
      </c>
      <c r="BG19" s="129">
        <f t="shared" si="25"/>
        <v>15</v>
      </c>
      <c r="BH19" s="130">
        <f t="shared" si="25"/>
        <v>36</v>
      </c>
      <c r="BI19" s="130">
        <f t="shared" si="25"/>
        <v>29</v>
      </c>
      <c r="BJ19" s="396">
        <f>SUM(BG19:BI19)</f>
        <v>80</v>
      </c>
      <c r="BK19" s="129">
        <f t="shared" si="26"/>
        <v>23</v>
      </c>
      <c r="BL19" s="130">
        <f t="shared" si="26"/>
        <v>33</v>
      </c>
      <c r="BM19" s="130">
        <f t="shared" si="26"/>
        <v>33</v>
      </c>
      <c r="BN19" s="396">
        <f>SUM(BK19:BM19)</f>
        <v>89</v>
      </c>
      <c r="BO19" s="129">
        <f t="shared" si="27"/>
        <v>31</v>
      </c>
      <c r="BP19" s="130">
        <f t="shared" si="27"/>
        <v>26</v>
      </c>
      <c r="BQ19" s="130">
        <f t="shared" si="27"/>
        <v>17</v>
      </c>
      <c r="BR19" s="396">
        <f>SUM(BO19:BQ19)</f>
        <v>74</v>
      </c>
      <c r="BS19" s="129">
        <f t="shared" si="28"/>
        <v>47</v>
      </c>
      <c r="BT19" s="130">
        <f t="shared" si="28"/>
        <v>34</v>
      </c>
      <c r="BU19" s="130">
        <f t="shared" si="28"/>
        <v>27</v>
      </c>
      <c r="BV19" s="396">
        <f>SUM(BS19:BU19)</f>
        <v>108</v>
      </c>
      <c r="BW19" s="129">
        <f t="shared" si="29"/>
        <v>37</v>
      </c>
      <c r="BX19" s="130">
        <f t="shared" si="29"/>
        <v>46</v>
      </c>
      <c r="BY19" s="130">
        <f t="shared" si="29"/>
        <v>25</v>
      </c>
      <c r="BZ19" s="396">
        <f>SUM(BW19:BY19)</f>
        <v>108</v>
      </c>
      <c r="CA19" s="129">
        <f>SUM(CA7,CA11,CA15)</f>
        <v>42</v>
      </c>
      <c r="CB19" s="130">
        <f t="shared" si="30"/>
        <v>29</v>
      </c>
      <c r="CC19" s="130">
        <f t="shared" si="30"/>
        <v>39</v>
      </c>
      <c r="CD19" s="396">
        <f>SUM(CA19:CC19)</f>
        <v>110</v>
      </c>
      <c r="CE19" s="129">
        <f t="shared" si="31"/>
        <v>35</v>
      </c>
      <c r="CF19" s="130">
        <f t="shared" si="31"/>
        <v>8</v>
      </c>
      <c r="CG19" s="130">
        <f t="shared" si="31"/>
        <v>25</v>
      </c>
      <c r="CH19" s="396">
        <f>SUM(CE19:CG19)</f>
        <v>68</v>
      </c>
      <c r="CI19" s="129">
        <f t="shared" si="32"/>
        <v>37</v>
      </c>
      <c r="CJ19" s="130">
        <f t="shared" si="32"/>
        <v>5</v>
      </c>
      <c r="CK19" s="130">
        <f t="shared" si="32"/>
        <v>34</v>
      </c>
      <c r="CL19" s="396">
        <f>SUM(CI19:CK19)</f>
        <v>76</v>
      </c>
      <c r="CM19" s="129">
        <f t="shared" ref="CM19:CO19" si="36">SUM(CM7,CM11,CM15)</f>
        <v>27</v>
      </c>
      <c r="CN19" s="130">
        <f t="shared" si="36"/>
        <v>22</v>
      </c>
      <c r="CO19" s="130">
        <f t="shared" si="36"/>
        <v>32</v>
      </c>
      <c r="CP19" s="396">
        <f>SUM(CM19:CO19)</f>
        <v>81</v>
      </c>
      <c r="CQ19" s="129">
        <f t="shared" ref="CQ19:CS19" si="37">SUM(CQ7,CQ11,CQ15)</f>
        <v>29</v>
      </c>
      <c r="CR19" s="130">
        <f t="shared" si="37"/>
        <v>36</v>
      </c>
      <c r="CS19" s="130">
        <f t="shared" si="37"/>
        <v>13</v>
      </c>
      <c r="CT19" s="396">
        <f>SUM(CQ19:CS19)</f>
        <v>78</v>
      </c>
    </row>
    <row r="20" spans="1:98" ht="15" customHeight="1" x14ac:dyDescent="0.25">
      <c r="A20" s="1661"/>
      <c r="B20" s="1339" t="s">
        <v>317</v>
      </c>
      <c r="C20" s="1267">
        <f>+C8+C12+C16</f>
        <v>0</v>
      </c>
      <c r="D20" s="1268">
        <f t="shared" si="18"/>
        <v>0</v>
      </c>
      <c r="E20" s="1268">
        <f t="shared" si="18"/>
        <v>0</v>
      </c>
      <c r="F20" s="1269">
        <f t="shared" si="0"/>
        <v>0</v>
      </c>
      <c r="G20" s="1267">
        <f t="shared" si="19"/>
        <v>0</v>
      </c>
      <c r="H20" s="1268">
        <f t="shared" si="19"/>
        <v>0</v>
      </c>
      <c r="I20" s="1268">
        <f t="shared" si="19"/>
        <v>0</v>
      </c>
      <c r="J20" s="1269">
        <f t="shared" si="1"/>
        <v>0</v>
      </c>
      <c r="K20" s="1267">
        <f t="shared" si="20"/>
        <v>1</v>
      </c>
      <c r="L20" s="1268">
        <f t="shared" si="20"/>
        <v>6</v>
      </c>
      <c r="M20" s="1268">
        <f t="shared" si="20"/>
        <v>4</v>
      </c>
      <c r="N20" s="1269">
        <f t="shared" si="2"/>
        <v>11</v>
      </c>
      <c r="O20" s="1267">
        <f t="shared" si="21"/>
        <v>0</v>
      </c>
      <c r="P20" s="1268">
        <f t="shared" si="21"/>
        <v>0</v>
      </c>
      <c r="Q20" s="1268">
        <f t="shared" si="21"/>
        <v>1</v>
      </c>
      <c r="R20" s="1269">
        <f t="shared" si="3"/>
        <v>1</v>
      </c>
      <c r="S20" s="1267">
        <f t="shared" si="22"/>
        <v>1</v>
      </c>
      <c r="T20" s="1268">
        <f t="shared" si="22"/>
        <v>1</v>
      </c>
      <c r="U20" s="1268">
        <f t="shared" si="22"/>
        <v>0</v>
      </c>
      <c r="V20" s="1269">
        <f t="shared" si="22"/>
        <v>2</v>
      </c>
      <c r="W20" s="1268">
        <f t="shared" si="22"/>
        <v>1</v>
      </c>
      <c r="X20" s="1268">
        <f t="shared" si="22"/>
        <v>2</v>
      </c>
      <c r="Y20" s="1268">
        <f t="shared" si="22"/>
        <v>3</v>
      </c>
      <c r="Z20" s="1340">
        <f t="shared" si="22"/>
        <v>6</v>
      </c>
      <c r="AA20" s="1267">
        <f t="shared" si="22"/>
        <v>1</v>
      </c>
      <c r="AB20" s="1268">
        <f t="shared" si="22"/>
        <v>11</v>
      </c>
      <c r="AC20" s="1268">
        <f t="shared" si="22"/>
        <v>4</v>
      </c>
      <c r="AD20" s="1269">
        <f t="shared" si="22"/>
        <v>16</v>
      </c>
      <c r="AE20" s="1268">
        <f t="shared" si="22"/>
        <v>3</v>
      </c>
      <c r="AF20" s="1268">
        <f t="shared" si="22"/>
        <v>3</v>
      </c>
      <c r="AG20" s="1268">
        <f t="shared" si="22"/>
        <v>6</v>
      </c>
      <c r="AH20" s="1269">
        <f t="shared" si="22"/>
        <v>12</v>
      </c>
      <c r="AI20" s="1268">
        <f t="shared" si="22"/>
        <v>0</v>
      </c>
      <c r="AJ20" s="1268">
        <f t="shared" si="22"/>
        <v>1</v>
      </c>
      <c r="AK20" s="1268">
        <f t="shared" si="22"/>
        <v>2</v>
      </c>
      <c r="AL20" s="1340">
        <f t="shared" si="22"/>
        <v>3</v>
      </c>
      <c r="AM20" s="196">
        <v>3</v>
      </c>
      <c r="AN20" s="197">
        <v>1</v>
      </c>
      <c r="AO20" s="197">
        <v>0</v>
      </c>
      <c r="AP20" s="197">
        <v>4</v>
      </c>
      <c r="AQ20" s="196">
        <f t="shared" si="23"/>
        <v>1</v>
      </c>
      <c r="AR20" s="197">
        <f t="shared" si="23"/>
        <v>3</v>
      </c>
      <c r="AS20" s="197">
        <f t="shared" si="23"/>
        <v>4</v>
      </c>
      <c r="AT20" s="397">
        <f t="shared" si="23"/>
        <v>8</v>
      </c>
      <c r="AU20" s="196">
        <f t="shared" si="23"/>
        <v>2</v>
      </c>
      <c r="AV20" s="197">
        <f t="shared" si="23"/>
        <v>5</v>
      </c>
      <c r="AW20" s="197">
        <f t="shared" si="23"/>
        <v>7</v>
      </c>
      <c r="AX20" s="397">
        <f t="shared" si="4"/>
        <v>14</v>
      </c>
      <c r="AY20" s="196">
        <f t="shared" si="24"/>
        <v>5</v>
      </c>
      <c r="AZ20" s="197">
        <f t="shared" si="24"/>
        <v>14</v>
      </c>
      <c r="BA20" s="197">
        <f t="shared" si="24"/>
        <v>5</v>
      </c>
      <c r="BB20" s="397">
        <f t="shared" si="5"/>
        <v>24</v>
      </c>
      <c r="BC20" s="196">
        <f t="shared" si="35"/>
        <v>4</v>
      </c>
      <c r="BD20" s="197">
        <f t="shared" si="35"/>
        <v>4</v>
      </c>
      <c r="BE20" s="197">
        <f t="shared" si="35"/>
        <v>6</v>
      </c>
      <c r="BF20" s="397">
        <f>SUM(BC20:BE20)</f>
        <v>14</v>
      </c>
      <c r="BG20" s="196">
        <f t="shared" si="25"/>
        <v>6</v>
      </c>
      <c r="BH20" s="197">
        <f t="shared" si="25"/>
        <v>12</v>
      </c>
      <c r="BI20" s="197">
        <f t="shared" si="25"/>
        <v>12</v>
      </c>
      <c r="BJ20" s="397">
        <f>SUM(BG20:BI20)</f>
        <v>30</v>
      </c>
      <c r="BK20" s="196">
        <f t="shared" si="26"/>
        <v>11</v>
      </c>
      <c r="BL20" s="197">
        <f t="shared" si="26"/>
        <v>8</v>
      </c>
      <c r="BM20" s="197">
        <f t="shared" si="26"/>
        <v>7</v>
      </c>
      <c r="BN20" s="397">
        <f>SUM(BK20:BM20)</f>
        <v>26</v>
      </c>
      <c r="BO20" s="196">
        <f t="shared" si="27"/>
        <v>3</v>
      </c>
      <c r="BP20" s="197">
        <f t="shared" si="27"/>
        <v>7</v>
      </c>
      <c r="BQ20" s="197">
        <f t="shared" si="27"/>
        <v>6</v>
      </c>
      <c r="BR20" s="397">
        <f>SUM(BO20:BQ20)</f>
        <v>16</v>
      </c>
      <c r="BS20" s="196">
        <f t="shared" si="28"/>
        <v>9</v>
      </c>
      <c r="BT20" s="197">
        <f t="shared" si="28"/>
        <v>11</v>
      </c>
      <c r="BU20" s="197">
        <f t="shared" si="28"/>
        <v>5</v>
      </c>
      <c r="BV20" s="397">
        <f>SUM(BS20:BU20)</f>
        <v>25</v>
      </c>
      <c r="BW20" s="196">
        <f t="shared" si="29"/>
        <v>3</v>
      </c>
      <c r="BX20" s="197">
        <f t="shared" si="29"/>
        <v>5</v>
      </c>
      <c r="BY20" s="197">
        <f t="shared" si="29"/>
        <v>11</v>
      </c>
      <c r="BZ20" s="397">
        <f>SUM(BW20:BY20)</f>
        <v>19</v>
      </c>
      <c r="CA20" s="196">
        <f>SUM(CA8,CA12,CA16)</f>
        <v>10</v>
      </c>
      <c r="CB20" s="197">
        <f t="shared" si="30"/>
        <v>6</v>
      </c>
      <c r="CC20" s="197">
        <f t="shared" si="30"/>
        <v>3</v>
      </c>
      <c r="CD20" s="397">
        <f>SUM(CA20:CC20)</f>
        <v>19</v>
      </c>
      <c r="CE20" s="196">
        <f t="shared" si="31"/>
        <v>11</v>
      </c>
      <c r="CF20" s="197">
        <f t="shared" si="31"/>
        <v>9</v>
      </c>
      <c r="CG20" s="197">
        <f t="shared" si="31"/>
        <v>5</v>
      </c>
      <c r="CH20" s="397">
        <f>SUM(CE20:CG20)</f>
        <v>25</v>
      </c>
      <c r="CI20" s="196">
        <f t="shared" si="32"/>
        <v>4</v>
      </c>
      <c r="CJ20" s="197">
        <f t="shared" si="32"/>
        <v>1</v>
      </c>
      <c r="CK20" s="197">
        <f t="shared" si="32"/>
        <v>11</v>
      </c>
      <c r="CL20" s="397">
        <f>SUM(CI20:CK20)</f>
        <v>16</v>
      </c>
      <c r="CM20" s="196">
        <f t="shared" ref="CM20:CO20" si="38">SUM(CM8,CM12,CM16)</f>
        <v>5</v>
      </c>
      <c r="CN20" s="197">
        <f t="shared" si="38"/>
        <v>6</v>
      </c>
      <c r="CO20" s="197">
        <f t="shared" si="38"/>
        <v>8</v>
      </c>
      <c r="CP20" s="397">
        <f>SUM(CM20:CO20)</f>
        <v>19</v>
      </c>
      <c r="CQ20" s="196">
        <f t="shared" ref="CQ20:CS20" si="39">SUM(CQ8,CQ12,CQ16)</f>
        <v>16</v>
      </c>
      <c r="CR20" s="197">
        <f t="shared" si="39"/>
        <v>8</v>
      </c>
      <c r="CS20" s="197">
        <f t="shared" si="39"/>
        <v>7</v>
      </c>
      <c r="CT20" s="397">
        <f>SUM(CQ20:CS20)</f>
        <v>31</v>
      </c>
    </row>
    <row r="21" spans="1:98" s="161" customFormat="1" ht="15" customHeight="1" x14ac:dyDescent="0.25">
      <c r="A21" s="1661"/>
      <c r="B21" s="1346" t="s">
        <v>138</v>
      </c>
      <c r="C21" s="1347">
        <f>SUM(C18:C20)</f>
        <v>1</v>
      </c>
      <c r="D21" s="1348">
        <f>SUM(D18:D20)</f>
        <v>7</v>
      </c>
      <c r="E21" s="1348">
        <f>SUM(E18:E20)</f>
        <v>22</v>
      </c>
      <c r="F21" s="1349">
        <f t="shared" si="0"/>
        <v>30</v>
      </c>
      <c r="G21" s="1347">
        <f>SUM(G18:G20)</f>
        <v>1</v>
      </c>
      <c r="H21" s="1348">
        <f>SUM(H18:H20)</f>
        <v>4</v>
      </c>
      <c r="I21" s="1348">
        <f>SUM(I18:I20)</f>
        <v>14</v>
      </c>
      <c r="J21" s="1349">
        <f t="shared" si="1"/>
        <v>19</v>
      </c>
      <c r="K21" s="1347">
        <f>SUM(K18:K20)</f>
        <v>7</v>
      </c>
      <c r="L21" s="1348">
        <f>SUM(L18:L20)</f>
        <v>29</v>
      </c>
      <c r="M21" s="1348">
        <f>SUM(M18:M20)</f>
        <v>20</v>
      </c>
      <c r="N21" s="1349">
        <f t="shared" si="2"/>
        <v>56</v>
      </c>
      <c r="O21" s="1347">
        <f>SUM(O18:O20)</f>
        <v>14</v>
      </c>
      <c r="P21" s="1348">
        <f>SUM(P18:P20)</f>
        <v>204</v>
      </c>
      <c r="Q21" s="1348">
        <f>SUM(Q18:Q20)</f>
        <v>52</v>
      </c>
      <c r="R21" s="1349">
        <f t="shared" si="3"/>
        <v>270</v>
      </c>
      <c r="S21" s="1347">
        <f>SUM(S18:S20)</f>
        <v>21</v>
      </c>
      <c r="T21" s="1348">
        <f>SUM(T18:T20)</f>
        <v>30</v>
      </c>
      <c r="U21" s="1348">
        <f>SUM(U18:U20)</f>
        <v>18</v>
      </c>
      <c r="V21" s="1349">
        <f>SUM(V18:V20)</f>
        <v>69</v>
      </c>
      <c r="W21" s="1348">
        <f t="shared" ref="W21:AL21" si="40">SUM(W18:W20)</f>
        <v>21</v>
      </c>
      <c r="X21" s="1348">
        <f t="shared" si="40"/>
        <v>37</v>
      </c>
      <c r="Y21" s="1348">
        <f t="shared" si="40"/>
        <v>26</v>
      </c>
      <c r="Z21" s="1348">
        <f t="shared" si="40"/>
        <v>84</v>
      </c>
      <c r="AA21" s="1347">
        <f t="shared" si="40"/>
        <v>23</v>
      </c>
      <c r="AB21" s="1348">
        <f t="shared" si="40"/>
        <v>54</v>
      </c>
      <c r="AC21" s="1348">
        <f t="shared" si="40"/>
        <v>26</v>
      </c>
      <c r="AD21" s="1349">
        <f t="shared" si="40"/>
        <v>103</v>
      </c>
      <c r="AE21" s="1348">
        <f t="shared" si="40"/>
        <v>18</v>
      </c>
      <c r="AF21" s="1348">
        <f t="shared" si="40"/>
        <v>53</v>
      </c>
      <c r="AG21" s="1348">
        <f t="shared" si="40"/>
        <v>36</v>
      </c>
      <c r="AH21" s="1349">
        <f t="shared" si="40"/>
        <v>107</v>
      </c>
      <c r="AI21" s="1348">
        <f t="shared" si="40"/>
        <v>26</v>
      </c>
      <c r="AJ21" s="1348">
        <f t="shared" si="40"/>
        <v>47</v>
      </c>
      <c r="AK21" s="1348">
        <f t="shared" si="40"/>
        <v>24</v>
      </c>
      <c r="AL21" s="1348">
        <f t="shared" si="40"/>
        <v>97</v>
      </c>
      <c r="AM21" s="1350">
        <v>20</v>
      </c>
      <c r="AN21" s="1351">
        <v>36</v>
      </c>
      <c r="AO21" s="1351">
        <v>28</v>
      </c>
      <c r="AP21" s="1351">
        <v>84</v>
      </c>
      <c r="AQ21" s="1350">
        <f t="shared" ref="AQ21:AW21" si="41">SUM(AQ18:AQ20)</f>
        <v>21</v>
      </c>
      <c r="AR21" s="1351">
        <f t="shared" si="41"/>
        <v>42</v>
      </c>
      <c r="AS21" s="1351">
        <f t="shared" si="41"/>
        <v>58</v>
      </c>
      <c r="AT21" s="1352">
        <f t="shared" si="41"/>
        <v>121</v>
      </c>
      <c r="AU21" s="1350">
        <f t="shared" si="41"/>
        <v>16</v>
      </c>
      <c r="AV21" s="1351">
        <f t="shared" si="41"/>
        <v>43</v>
      </c>
      <c r="AW21" s="1351">
        <f t="shared" si="41"/>
        <v>45</v>
      </c>
      <c r="AX21" s="1352">
        <f t="shared" si="4"/>
        <v>104</v>
      </c>
      <c r="AY21" s="1350">
        <f>SUM(AY18:AY20)</f>
        <v>23</v>
      </c>
      <c r="AZ21" s="1351">
        <f>SUM(AZ18:AZ20)</f>
        <v>73</v>
      </c>
      <c r="BA21" s="1351">
        <f>SUM(BA18:BA20)</f>
        <v>62</v>
      </c>
      <c r="BB21" s="1352">
        <f t="shared" si="5"/>
        <v>158</v>
      </c>
      <c r="BC21" s="1350">
        <f t="shared" ref="BC21:CL21" si="42">SUM(BC18:BC20)</f>
        <v>34</v>
      </c>
      <c r="BD21" s="1351">
        <f t="shared" si="42"/>
        <v>52</v>
      </c>
      <c r="BE21" s="1351">
        <f t="shared" si="42"/>
        <v>35</v>
      </c>
      <c r="BF21" s="1352">
        <f t="shared" si="42"/>
        <v>121</v>
      </c>
      <c r="BG21" s="1350">
        <f t="shared" si="42"/>
        <v>21</v>
      </c>
      <c r="BH21" s="1351">
        <f t="shared" si="42"/>
        <v>62</v>
      </c>
      <c r="BI21" s="1351">
        <f t="shared" si="42"/>
        <v>71</v>
      </c>
      <c r="BJ21" s="1352">
        <f t="shared" si="42"/>
        <v>154</v>
      </c>
      <c r="BK21" s="1350">
        <f t="shared" si="42"/>
        <v>34</v>
      </c>
      <c r="BL21" s="1351">
        <f t="shared" si="42"/>
        <v>58</v>
      </c>
      <c r="BM21" s="1351">
        <f t="shared" si="42"/>
        <v>46</v>
      </c>
      <c r="BN21" s="1352">
        <f t="shared" si="42"/>
        <v>138</v>
      </c>
      <c r="BO21" s="1350">
        <f t="shared" si="42"/>
        <v>35</v>
      </c>
      <c r="BP21" s="1351">
        <f t="shared" si="42"/>
        <v>44</v>
      </c>
      <c r="BQ21" s="1351">
        <f t="shared" si="42"/>
        <v>26</v>
      </c>
      <c r="BR21" s="1352">
        <f t="shared" si="42"/>
        <v>105</v>
      </c>
      <c r="BS21" s="1350">
        <f t="shared" si="42"/>
        <v>56</v>
      </c>
      <c r="BT21" s="1351">
        <f t="shared" si="42"/>
        <v>66</v>
      </c>
      <c r="BU21" s="1351">
        <f t="shared" si="42"/>
        <v>36</v>
      </c>
      <c r="BV21" s="1352">
        <f t="shared" si="42"/>
        <v>158</v>
      </c>
      <c r="BW21" s="1350">
        <f t="shared" si="42"/>
        <v>40</v>
      </c>
      <c r="BX21" s="1351">
        <f t="shared" si="42"/>
        <v>71</v>
      </c>
      <c r="BY21" s="1351">
        <f t="shared" si="42"/>
        <v>45</v>
      </c>
      <c r="BZ21" s="1352">
        <f t="shared" si="42"/>
        <v>156</v>
      </c>
      <c r="CA21" s="1350">
        <f t="shared" si="42"/>
        <v>52</v>
      </c>
      <c r="CB21" s="1351">
        <f t="shared" si="42"/>
        <v>56</v>
      </c>
      <c r="CC21" s="1351">
        <f t="shared" si="42"/>
        <v>42</v>
      </c>
      <c r="CD21" s="1352">
        <f t="shared" si="42"/>
        <v>150</v>
      </c>
      <c r="CE21" s="1350">
        <f t="shared" si="42"/>
        <v>46</v>
      </c>
      <c r="CF21" s="1351">
        <f t="shared" si="42"/>
        <v>17</v>
      </c>
      <c r="CG21" s="1351">
        <f t="shared" si="42"/>
        <v>54</v>
      </c>
      <c r="CH21" s="1352">
        <f t="shared" si="42"/>
        <v>117</v>
      </c>
      <c r="CI21" s="1350">
        <f t="shared" si="42"/>
        <v>41</v>
      </c>
      <c r="CJ21" s="1351">
        <f t="shared" si="42"/>
        <v>14</v>
      </c>
      <c r="CK21" s="1351">
        <f t="shared" si="42"/>
        <v>63</v>
      </c>
      <c r="CL21" s="1352">
        <f t="shared" si="42"/>
        <v>118</v>
      </c>
      <c r="CM21" s="1350">
        <f t="shared" ref="CM21:CP21" si="43">SUM(CM18:CM20)</f>
        <v>38</v>
      </c>
      <c r="CN21" s="1351">
        <f t="shared" si="43"/>
        <v>34</v>
      </c>
      <c r="CO21" s="1351">
        <f t="shared" si="43"/>
        <v>48</v>
      </c>
      <c r="CP21" s="1352">
        <f t="shared" si="43"/>
        <v>120</v>
      </c>
      <c r="CQ21" s="1350">
        <f t="shared" ref="CQ21:CT21" si="44">SUM(CQ18:CQ20)</f>
        <v>49</v>
      </c>
      <c r="CR21" s="1351">
        <f t="shared" si="44"/>
        <v>56</v>
      </c>
      <c r="CS21" s="1351">
        <f t="shared" si="44"/>
        <v>26</v>
      </c>
      <c r="CT21" s="1352">
        <f t="shared" si="44"/>
        <v>131</v>
      </c>
    </row>
    <row r="22" spans="1:98" ht="15" customHeight="1" x14ac:dyDescent="0.25">
      <c r="A22" s="1661"/>
      <c r="B22" s="1353"/>
      <c r="C22" s="342"/>
      <c r="D22" s="342"/>
      <c r="E22" s="342"/>
      <c r="F22" s="342"/>
      <c r="G22" s="342"/>
      <c r="H22" s="342"/>
      <c r="I22" s="342"/>
      <c r="J22" s="342"/>
      <c r="K22" s="342"/>
      <c r="L22" s="342"/>
      <c r="M22" s="342"/>
      <c r="N22" s="342"/>
      <c r="O22" s="342"/>
      <c r="P22" s="342"/>
      <c r="Q22" s="342"/>
      <c r="R22" s="342"/>
      <c r="S22" s="342"/>
      <c r="T22" s="342"/>
      <c r="U22" s="342"/>
      <c r="V22" s="342"/>
      <c r="W22" s="342"/>
      <c r="X22" s="342"/>
      <c r="Y22" s="342"/>
      <c r="Z22" s="342"/>
      <c r="AA22" s="342"/>
      <c r="AB22" s="342"/>
      <c r="AC22" s="342"/>
      <c r="AD22" s="342"/>
      <c r="AE22" s="342"/>
      <c r="AF22" s="342"/>
      <c r="AG22" s="342"/>
      <c r="AH22" s="342"/>
      <c r="AI22" s="342"/>
      <c r="AJ22" s="342"/>
      <c r="AK22" s="342"/>
      <c r="AL22" s="342"/>
      <c r="AM22" s="342"/>
      <c r="AN22" s="342"/>
      <c r="AO22" s="342"/>
      <c r="AP22" s="342"/>
      <c r="AQ22" s="342"/>
      <c r="AR22" s="342"/>
      <c r="AS22" s="342"/>
      <c r="AT22" s="342"/>
      <c r="AU22" s="342"/>
      <c r="AV22" s="342"/>
      <c r="AW22" s="342"/>
      <c r="AX22" s="342"/>
      <c r="AY22" s="342"/>
      <c r="AZ22" s="342"/>
      <c r="BA22" s="342"/>
      <c r="BB22" s="342"/>
      <c r="BC22" s="342"/>
      <c r="BD22" s="342"/>
      <c r="BE22" s="342"/>
      <c r="BF22" s="342"/>
      <c r="BG22" s="342"/>
      <c r="BH22" s="342"/>
      <c r="BI22" s="342"/>
      <c r="BJ22" s="342"/>
      <c r="BK22" s="342"/>
      <c r="BL22" s="342"/>
      <c r="BM22" s="342"/>
      <c r="BN22" s="342"/>
      <c r="BO22" s="342"/>
      <c r="BP22" s="342"/>
      <c r="BQ22" s="342"/>
      <c r="BR22" s="342"/>
      <c r="BS22" s="342"/>
      <c r="BT22" s="342"/>
      <c r="BU22" s="342"/>
      <c r="BV22" s="342"/>
      <c r="BW22" s="342"/>
      <c r="BX22" s="342"/>
      <c r="BY22" s="342"/>
      <c r="BZ22" s="342"/>
      <c r="CA22" s="342"/>
      <c r="CB22" s="342"/>
      <c r="CC22" s="342"/>
      <c r="CD22" s="342"/>
      <c r="CE22" s="342"/>
      <c r="CF22" s="342"/>
      <c r="CG22" s="342"/>
      <c r="CH22" s="342"/>
      <c r="CI22" s="342"/>
      <c r="CJ22" s="342"/>
      <c r="CK22" s="342"/>
      <c r="CL22" s="342"/>
      <c r="CM22" s="342"/>
      <c r="CN22" s="342"/>
      <c r="CO22" s="342"/>
      <c r="CP22" s="342"/>
      <c r="CQ22" s="342"/>
      <c r="CR22" s="342"/>
      <c r="CS22" s="342"/>
      <c r="CT22" s="342"/>
    </row>
    <row r="23" spans="1:98" ht="15" customHeight="1" x14ac:dyDescent="0.25">
      <c r="A23" s="1661"/>
      <c r="B23" s="1334" t="s">
        <v>308</v>
      </c>
      <c r="C23" s="1258"/>
      <c r="D23" s="1259"/>
      <c r="E23" s="1259"/>
      <c r="F23" s="1260"/>
      <c r="G23" s="1258"/>
      <c r="H23" s="1259"/>
      <c r="I23" s="1259"/>
      <c r="J23" s="1260"/>
      <c r="K23" s="1258"/>
      <c r="L23" s="1259"/>
      <c r="M23" s="1259"/>
      <c r="N23" s="1260"/>
      <c r="O23" s="1258"/>
      <c r="P23" s="1259"/>
      <c r="Q23" s="1259"/>
      <c r="R23" s="1260"/>
      <c r="S23" s="1258"/>
      <c r="T23" s="1259"/>
      <c r="U23" s="1259"/>
      <c r="V23" s="1260"/>
      <c r="W23" s="1258"/>
      <c r="X23" s="1259"/>
      <c r="Y23" s="1259"/>
      <c r="Z23" s="1298"/>
      <c r="AA23" s="1258"/>
      <c r="AB23" s="1259"/>
      <c r="AC23" s="1259"/>
      <c r="AD23" s="1260"/>
      <c r="AE23" s="1259"/>
      <c r="AF23" s="1259"/>
      <c r="AG23" s="1259"/>
      <c r="AH23" s="1260"/>
      <c r="AI23" s="1259"/>
      <c r="AJ23" s="1259"/>
      <c r="AK23" s="1259"/>
      <c r="AL23" s="1298"/>
      <c r="AM23" s="151"/>
      <c r="AN23" s="152"/>
      <c r="AO23" s="152"/>
      <c r="AP23" s="395"/>
      <c r="AQ23" s="151"/>
      <c r="AR23" s="152"/>
      <c r="AS23" s="152"/>
      <c r="AT23" s="395"/>
      <c r="AU23" s="151"/>
      <c r="AV23" s="152"/>
      <c r="AW23" s="152"/>
      <c r="AX23" s="395"/>
      <c r="AY23" s="151"/>
      <c r="AZ23" s="152"/>
      <c r="BA23" s="152"/>
      <c r="BB23" s="395"/>
      <c r="BC23" s="151"/>
      <c r="BD23" s="152"/>
      <c r="BE23" s="152"/>
      <c r="BF23" s="395"/>
      <c r="BG23" s="151"/>
      <c r="BH23" s="152"/>
      <c r="BI23" s="152"/>
      <c r="BJ23" s="395"/>
      <c r="BK23" s="151"/>
      <c r="BL23" s="152"/>
      <c r="BM23" s="152"/>
      <c r="BN23" s="395"/>
      <c r="BO23" s="151"/>
      <c r="BP23" s="152"/>
      <c r="BQ23" s="152"/>
      <c r="BR23" s="395"/>
      <c r="BS23" s="151"/>
      <c r="BT23" s="152"/>
      <c r="BU23" s="152"/>
      <c r="BV23" s="395"/>
      <c r="BW23" s="151"/>
      <c r="BX23" s="152"/>
      <c r="BY23" s="152"/>
      <c r="BZ23" s="395"/>
      <c r="CA23" s="151"/>
      <c r="CB23" s="152"/>
      <c r="CC23" s="152"/>
      <c r="CD23" s="395"/>
      <c r="CE23" s="151">
        <f>+'EGRESO-POS plan'!CF54</f>
        <v>2</v>
      </c>
      <c r="CF23" s="152"/>
      <c r="CG23" s="152">
        <f>SUM('EGRESO-POS plan'!CH54)</f>
        <v>1</v>
      </c>
      <c r="CH23" s="395">
        <f>SUM(CE23:CG23)</f>
        <v>3</v>
      </c>
      <c r="CI23" s="151">
        <f>+'EGRESO-POS plan'!CJ54</f>
        <v>0</v>
      </c>
      <c r="CJ23" s="152"/>
      <c r="CK23" s="152">
        <f>SUM('EGRESO-POS plan'!CL54)</f>
        <v>1</v>
      </c>
      <c r="CL23" s="395">
        <f>SUM(CI23:CK23)</f>
        <v>1</v>
      </c>
      <c r="CM23" s="151">
        <f>+'EGRESO-POS plan'!CN54</f>
        <v>0</v>
      </c>
      <c r="CN23" s="152"/>
      <c r="CO23" s="152">
        <f>SUM('EGRESO-POS plan'!CP54)</f>
        <v>0</v>
      </c>
      <c r="CP23" s="395">
        <f>SUM(CM23:CO23)</f>
        <v>0</v>
      </c>
      <c r="CQ23" s="151">
        <f>+'EGRESO-POS plan'!CR54</f>
        <v>2</v>
      </c>
      <c r="CR23" s="152"/>
      <c r="CS23" s="152">
        <f>SUM('EGRESO-POS plan'!CT54)</f>
        <v>0</v>
      </c>
      <c r="CT23" s="395">
        <f>SUM(CQ23:CS23)</f>
        <v>2</v>
      </c>
    </row>
    <row r="24" spans="1:98" ht="15" customHeight="1" x14ac:dyDescent="0.25">
      <c r="A24" s="1661"/>
      <c r="B24" s="1336" t="s">
        <v>310</v>
      </c>
      <c r="C24" s="1262">
        <f>+'EGRESO-POS plan'!D55+'EGRESO-POS plan'!D56+'EGRESO-POS plan'!D57+'EGRESO-POS plan'!D58+'EGRESO-POS plan'!D59+'EGRESO-POS plan'!D60</f>
        <v>5</v>
      </c>
      <c r="D24" s="1263">
        <f>+'EGRESO-POS plan'!E55+'EGRESO-POS plan'!E56+'EGRESO-POS plan'!E57+'EGRESO-POS plan'!E58+'EGRESO-POS plan'!E59+'EGRESO-POS plan'!E60</f>
        <v>20</v>
      </c>
      <c r="E24" s="1263">
        <f>+'EGRESO-POS plan'!F55+'EGRESO-POS plan'!F56+'EGRESO-POS plan'!F57+'EGRESO-POS plan'!F58+'EGRESO-POS plan'!F59+'EGRESO-POS plan'!F60</f>
        <v>10</v>
      </c>
      <c r="F24" s="1264">
        <f t="shared" ref="F24:F38" si="45">SUM(C24:E24)</f>
        <v>35</v>
      </c>
      <c r="G24" s="1262">
        <f>+'EGRESO-POS plan'!H55+'EGRESO-POS plan'!H56+'EGRESO-POS plan'!H57+'EGRESO-POS plan'!H58+'EGRESO-POS plan'!H59+'EGRESO-POS plan'!H60</f>
        <v>6</v>
      </c>
      <c r="H24" s="1263">
        <f>+'EGRESO-POS plan'!I55+'EGRESO-POS plan'!I56+'EGRESO-POS plan'!I57+'EGRESO-POS plan'!I58+'EGRESO-POS plan'!I59+'EGRESO-POS plan'!I60</f>
        <v>13</v>
      </c>
      <c r="I24" s="1263">
        <f>+'EGRESO-POS plan'!J55+'EGRESO-POS plan'!J56+'EGRESO-POS plan'!J57+'EGRESO-POS plan'!J58+'EGRESO-POS plan'!J59+'EGRESO-POS plan'!J60</f>
        <v>13</v>
      </c>
      <c r="J24" s="1264">
        <f t="shared" ref="J24:J38" si="46">SUM(G24:I24)</f>
        <v>32</v>
      </c>
      <c r="K24" s="1262">
        <f>+'EGRESO-POS plan'!L55+'EGRESO-POS plan'!L56+'EGRESO-POS plan'!L57+'EGRESO-POS plan'!L58+'EGRESO-POS plan'!L59+'EGRESO-POS plan'!L60</f>
        <v>4</v>
      </c>
      <c r="L24" s="1263">
        <f>+'EGRESO-POS plan'!M55+'EGRESO-POS plan'!M56+'EGRESO-POS plan'!M57+'EGRESO-POS plan'!M58+'EGRESO-POS plan'!M59+'EGRESO-POS plan'!M60</f>
        <v>23</v>
      </c>
      <c r="M24" s="1263">
        <f>+'EGRESO-POS plan'!N55+'EGRESO-POS plan'!N56+'EGRESO-POS plan'!N57+'EGRESO-POS plan'!N58+'EGRESO-POS plan'!N59+'EGRESO-POS plan'!N60</f>
        <v>11</v>
      </c>
      <c r="N24" s="1264">
        <f t="shared" ref="N24:N38" si="47">SUM(K24:M24)</f>
        <v>38</v>
      </c>
      <c r="O24" s="1262">
        <f>+'EGRESO-POS plan'!P55+'EGRESO-POS plan'!P56+'EGRESO-POS plan'!P57+'EGRESO-POS plan'!P58+'EGRESO-POS plan'!P59+'EGRESO-POS plan'!P60</f>
        <v>9</v>
      </c>
      <c r="P24" s="1263">
        <f>+'EGRESO-POS plan'!Q55+'EGRESO-POS plan'!Q56+'EGRESO-POS plan'!Q57+'EGRESO-POS plan'!Q58+'EGRESO-POS plan'!Q59+'EGRESO-POS plan'!Q60</f>
        <v>12</v>
      </c>
      <c r="Q24" s="1263">
        <f>+'EGRESO-POS plan'!R55+'EGRESO-POS plan'!R56+'EGRESO-POS plan'!R57+'EGRESO-POS plan'!R58+'EGRESO-POS plan'!R59+'EGRESO-POS plan'!R60</f>
        <v>5</v>
      </c>
      <c r="R24" s="1264">
        <f t="shared" ref="R24:R38" si="48">SUM(O24:Q24)</f>
        <v>26</v>
      </c>
      <c r="S24" s="1262">
        <v>7</v>
      </c>
      <c r="T24" s="1263">
        <v>10</v>
      </c>
      <c r="U24" s="1263">
        <v>8</v>
      </c>
      <c r="V24" s="1264">
        <v>25</v>
      </c>
      <c r="W24" s="1262">
        <v>6</v>
      </c>
      <c r="X24" s="1263">
        <v>10</v>
      </c>
      <c r="Y24" s="1263">
        <v>7</v>
      </c>
      <c r="Z24" s="1337">
        <v>23</v>
      </c>
      <c r="AA24" s="1262">
        <v>11</v>
      </c>
      <c r="AB24" s="1263">
        <v>7</v>
      </c>
      <c r="AC24" s="1263">
        <v>5</v>
      </c>
      <c r="AD24" s="1264">
        <v>23</v>
      </c>
      <c r="AE24" s="1263">
        <v>9</v>
      </c>
      <c r="AF24" s="1263">
        <v>5</v>
      </c>
      <c r="AG24" s="1263">
        <v>14</v>
      </c>
      <c r="AH24" s="1264">
        <v>28</v>
      </c>
      <c r="AI24" s="1263">
        <v>5</v>
      </c>
      <c r="AJ24" s="1263">
        <v>17</v>
      </c>
      <c r="AK24" s="1263">
        <v>10</v>
      </c>
      <c r="AL24" s="1337">
        <v>32</v>
      </c>
      <c r="AM24" s="129">
        <v>9</v>
      </c>
      <c r="AN24" s="130">
        <v>11</v>
      </c>
      <c r="AO24" s="130">
        <v>9</v>
      </c>
      <c r="AP24" s="396">
        <v>29</v>
      </c>
      <c r="AQ24" s="129">
        <v>17</v>
      </c>
      <c r="AR24" s="130">
        <v>20</v>
      </c>
      <c r="AS24" s="130">
        <v>16</v>
      </c>
      <c r="AT24" s="396">
        <v>53</v>
      </c>
      <c r="AU24" s="129">
        <v>18</v>
      </c>
      <c r="AV24" s="130">
        <v>25</v>
      </c>
      <c r="AW24" s="130">
        <v>14</v>
      </c>
      <c r="AX24" s="396">
        <f t="shared" ref="AX24:AX38" si="49">AU24+AV24+AW24</f>
        <v>57</v>
      </c>
      <c r="AY24" s="129">
        <v>17</v>
      </c>
      <c r="AZ24" s="130">
        <v>12</v>
      </c>
      <c r="BA24" s="130">
        <v>20</v>
      </c>
      <c r="BB24" s="396">
        <f t="shared" ref="BB24:BB38" si="50">AY24+AZ24+BA24</f>
        <v>49</v>
      </c>
      <c r="BC24" s="129">
        <f>SUM('EGRESO-POS plan'!BD55,'EGRESO-POS plan'!BD56,'EGRESO-POS plan'!BD57,'EGRESO-POS plan'!BD58,'EGRESO-POS plan'!BD59,'EGRESO-POS plan'!BD60)</f>
        <v>13</v>
      </c>
      <c r="BD24" s="130">
        <f>SUM('EGRESO-POS plan'!BE55,'EGRESO-POS plan'!BE56,'EGRESO-POS plan'!BE57,'EGRESO-POS plan'!BE58,'EGRESO-POS plan'!BE59,'EGRESO-POS plan'!BE60)</f>
        <v>15</v>
      </c>
      <c r="BE24" s="130">
        <f>SUM('EGRESO-POS plan'!BF55,'EGRESO-POS plan'!BF56,'EGRESO-POS plan'!BF57,'EGRESO-POS plan'!BF58,'EGRESO-POS plan'!BF59,'EGRESO-POS plan'!BF60)</f>
        <v>21</v>
      </c>
      <c r="BF24" s="396">
        <f>SUM(BC24:BE24)</f>
        <v>49</v>
      </c>
      <c r="BG24" s="129">
        <f>SUM('EGRESO-POS plan'!BH55,'EGRESO-POS plan'!BH56,'EGRESO-POS plan'!BH57,'EGRESO-POS plan'!BH58,'EGRESO-POS plan'!BH59,'EGRESO-POS plan'!BH60)</f>
        <v>21</v>
      </c>
      <c r="BH24" s="130">
        <f>SUM('EGRESO-POS plan'!BI55,'EGRESO-POS plan'!BI56,'EGRESO-POS plan'!BI57,'EGRESO-POS plan'!BI58,'EGRESO-POS plan'!BI59,'EGRESO-POS plan'!BI60)</f>
        <v>26</v>
      </c>
      <c r="BI24" s="130">
        <f>SUM('EGRESO-POS plan'!BJ55,'EGRESO-POS plan'!BJ56,'EGRESO-POS plan'!BJ57,'EGRESO-POS plan'!BJ58,'EGRESO-POS plan'!BJ59,'EGRESO-POS plan'!BJ60)</f>
        <v>17</v>
      </c>
      <c r="BJ24" s="396">
        <f>SUM(BG24:BI24)</f>
        <v>64</v>
      </c>
      <c r="BK24" s="129">
        <f>SUM('EGRESO-POS plan'!BL55,'EGRESO-POS plan'!BL56,'EGRESO-POS plan'!BL57,'EGRESO-POS plan'!BL58,'EGRESO-POS plan'!BL59,'EGRESO-POS plan'!BL60)</f>
        <v>28</v>
      </c>
      <c r="BL24" s="130">
        <f>SUM('EGRESO-POS plan'!BM55,'EGRESO-POS plan'!BM56,'EGRESO-POS plan'!BM57,'EGRESO-POS plan'!BM58,'EGRESO-POS plan'!BM59,'EGRESO-POS plan'!BM60)</f>
        <v>24</v>
      </c>
      <c r="BM24" s="130">
        <f>SUM('EGRESO-POS plan'!BN55,'EGRESO-POS plan'!BN56,'EGRESO-POS plan'!BN57,'EGRESO-POS plan'!BN58,'EGRESO-POS plan'!BN59,'EGRESO-POS plan'!BN60)</f>
        <v>20</v>
      </c>
      <c r="BN24" s="396">
        <f>SUM(BK24:BM24)</f>
        <v>72</v>
      </c>
      <c r="BO24" s="129">
        <f>SUM('EGRESO-POS plan'!BP55:BP61)</f>
        <v>16</v>
      </c>
      <c r="BP24" s="130">
        <f>SUM('EGRESO-POS plan'!BQ55:BQ61)</f>
        <v>24</v>
      </c>
      <c r="BQ24" s="130">
        <f>SUM('EGRESO-POS plan'!BR55:BR61)</f>
        <v>19</v>
      </c>
      <c r="BR24" s="396">
        <f>SUM(BO24:BQ24)</f>
        <v>59</v>
      </c>
      <c r="BS24" s="129">
        <f>SUM('EGRESO-POS plan'!BT55:BT61)</f>
        <v>19</v>
      </c>
      <c r="BT24" s="130">
        <f>SUM('EGRESO-POS plan'!BU55:BU61)</f>
        <v>25</v>
      </c>
      <c r="BU24" s="130">
        <f>SUM('EGRESO-POS plan'!BV55:BV61)</f>
        <v>19</v>
      </c>
      <c r="BV24" s="396">
        <f>SUM(BS24:BU24)</f>
        <v>63</v>
      </c>
      <c r="BW24" s="129">
        <f>SUM('EGRESO-POS plan'!BX55:BX61)</f>
        <v>25</v>
      </c>
      <c r="BX24" s="130">
        <f>SUM('EGRESO-POS plan'!BY55:BY61)</f>
        <v>32</v>
      </c>
      <c r="BY24" s="130">
        <f>SUM('EGRESO-POS plan'!BZ55:BZ61)</f>
        <v>25</v>
      </c>
      <c r="BZ24" s="396">
        <f>SUM(BW24:BY24)</f>
        <v>82</v>
      </c>
      <c r="CA24" s="129">
        <f>SUM('EGRESO-POS plan'!CB55:CB61)</f>
        <v>29</v>
      </c>
      <c r="CB24" s="130">
        <f>SUM('EGRESO-POS plan'!CC55:CC61)</f>
        <v>36</v>
      </c>
      <c r="CC24" s="130">
        <f>SUM('EGRESO-POS plan'!CD55:CD61)</f>
        <v>28</v>
      </c>
      <c r="CD24" s="396">
        <f>SUM(CA24:CC24)</f>
        <v>93</v>
      </c>
      <c r="CE24" s="129">
        <f>SUM('EGRESO-POS plan'!CF55:CF61)</f>
        <v>22</v>
      </c>
      <c r="CF24" s="130">
        <f>SUM('EGRESO-POS plan'!CG55:CG61)</f>
        <v>14</v>
      </c>
      <c r="CG24" s="130">
        <f>SUM('EGRESO-POS plan'!CH55:CH61)</f>
        <v>31</v>
      </c>
      <c r="CH24" s="396">
        <f>SUM(CE24:CG24)</f>
        <v>67</v>
      </c>
      <c r="CI24" s="129">
        <f>SUM('EGRESO-POS plan'!CJ55:CJ61)</f>
        <v>26</v>
      </c>
      <c r="CJ24" s="130">
        <f>SUM('EGRESO-POS plan'!CK55:CK61)</f>
        <v>4</v>
      </c>
      <c r="CK24" s="130">
        <f>SUM('EGRESO-POS plan'!CL55:CL61)</f>
        <v>21</v>
      </c>
      <c r="CL24" s="396">
        <f>SUM(CI24:CK24)</f>
        <v>51</v>
      </c>
      <c r="CM24" s="129">
        <f>SUM('EGRESO-POS plan'!CN55:CN61)</f>
        <v>17</v>
      </c>
      <c r="CN24" s="130">
        <f>SUM('EGRESO-POS plan'!CO55:CO61)</f>
        <v>23</v>
      </c>
      <c r="CO24" s="130">
        <f>SUM('EGRESO-POS plan'!CP55:CP61)</f>
        <v>23</v>
      </c>
      <c r="CP24" s="396">
        <f>SUM(CM24:CO24)</f>
        <v>63</v>
      </c>
      <c r="CQ24" s="129">
        <f>SUM('EGRESO-POS plan'!CR55:CR61)</f>
        <v>14</v>
      </c>
      <c r="CR24" s="130">
        <f>SUM('EGRESO-POS plan'!CS55:CS61)</f>
        <v>13</v>
      </c>
      <c r="CS24" s="130">
        <f>SUM('EGRESO-POS plan'!CT55:CT61)</f>
        <v>25</v>
      </c>
      <c r="CT24" s="396">
        <f>SUM(CQ24:CS24)</f>
        <v>52</v>
      </c>
    </row>
    <row r="25" spans="1:98" ht="15" customHeight="1" x14ac:dyDescent="0.25">
      <c r="A25" s="1661"/>
      <c r="B25" s="1339" t="s">
        <v>317</v>
      </c>
      <c r="C25" s="1262">
        <f>+'EGRESO-POS plan'!D62+'EGRESO-POS plan'!D63+'EGRESO-POS plan'!D64+'EGRESO-POS plan'!D65+'EGRESO-POS plan'!D66+'EGRESO-POS plan'!D69</f>
        <v>4</v>
      </c>
      <c r="D25" s="1263">
        <f>+'EGRESO-POS plan'!E62+'EGRESO-POS plan'!E63+'EGRESO-POS plan'!E64+'EGRESO-POS plan'!E65+'EGRESO-POS plan'!E66+'EGRESO-POS plan'!E69</f>
        <v>7</v>
      </c>
      <c r="E25" s="1263">
        <f>+'EGRESO-POS plan'!F62+'EGRESO-POS plan'!F63+'EGRESO-POS plan'!F64+'EGRESO-POS plan'!F65+'EGRESO-POS plan'!F66+'EGRESO-POS plan'!F69</f>
        <v>13</v>
      </c>
      <c r="F25" s="1264">
        <f t="shared" si="45"/>
        <v>24</v>
      </c>
      <c r="G25" s="1262">
        <f>+'EGRESO-POS plan'!H62+'EGRESO-POS plan'!H63+'EGRESO-POS plan'!H64+'EGRESO-POS plan'!H65+'EGRESO-POS plan'!H66+'EGRESO-POS plan'!H69</f>
        <v>4</v>
      </c>
      <c r="H25" s="1263">
        <f>+'EGRESO-POS plan'!I62+'EGRESO-POS plan'!I63+'EGRESO-POS plan'!I64+'EGRESO-POS plan'!I65+'EGRESO-POS plan'!I66+'EGRESO-POS plan'!I69</f>
        <v>7</v>
      </c>
      <c r="I25" s="1263">
        <f>+'EGRESO-POS plan'!J62+'EGRESO-POS plan'!J63+'EGRESO-POS plan'!J64+'EGRESO-POS plan'!J65+'EGRESO-POS plan'!J66+'EGRESO-POS plan'!J69</f>
        <v>8</v>
      </c>
      <c r="J25" s="1264">
        <f t="shared" si="46"/>
        <v>19</v>
      </c>
      <c r="K25" s="1262">
        <f>+'EGRESO-POS plan'!L62+'EGRESO-POS plan'!L63+'EGRESO-POS plan'!L64+'EGRESO-POS plan'!L65+'EGRESO-POS plan'!L66+'EGRESO-POS plan'!L69</f>
        <v>10</v>
      </c>
      <c r="L25" s="1263">
        <f>+'EGRESO-POS plan'!M62+'EGRESO-POS plan'!M63+'EGRESO-POS plan'!M64+'EGRESO-POS plan'!M65+'EGRESO-POS plan'!M66+'EGRESO-POS plan'!M69</f>
        <v>15</v>
      </c>
      <c r="M25" s="1263">
        <f>+'EGRESO-POS plan'!N62+'EGRESO-POS plan'!N63+'EGRESO-POS plan'!N64+'EGRESO-POS plan'!N65+'EGRESO-POS plan'!N66+'EGRESO-POS plan'!N69</f>
        <v>1</v>
      </c>
      <c r="N25" s="1264">
        <f t="shared" si="47"/>
        <v>26</v>
      </c>
      <c r="O25" s="1262">
        <f>+'EGRESO-POS plan'!P62+'EGRESO-POS plan'!P63+'EGRESO-POS plan'!P64+'EGRESO-POS plan'!P65+'EGRESO-POS plan'!P66+'EGRESO-POS plan'!P69</f>
        <v>6</v>
      </c>
      <c r="P25" s="1263">
        <f>+'EGRESO-POS plan'!Q62+'EGRESO-POS plan'!Q63+'EGRESO-POS plan'!Q64+'EGRESO-POS plan'!Q65+'EGRESO-POS plan'!Q66+'EGRESO-POS plan'!Q69</f>
        <v>10</v>
      </c>
      <c r="Q25" s="1263">
        <f>+'EGRESO-POS plan'!R62+'EGRESO-POS plan'!R63+'EGRESO-POS plan'!R64+'EGRESO-POS plan'!R65+'EGRESO-POS plan'!R66+'EGRESO-POS plan'!R69</f>
        <v>10</v>
      </c>
      <c r="R25" s="1264">
        <f t="shared" si="48"/>
        <v>26</v>
      </c>
      <c r="S25" s="1262">
        <v>7</v>
      </c>
      <c r="T25" s="1263">
        <v>12</v>
      </c>
      <c r="U25" s="1263">
        <v>8</v>
      </c>
      <c r="V25" s="1264">
        <v>27</v>
      </c>
      <c r="W25" s="1262">
        <v>9</v>
      </c>
      <c r="X25" s="1263">
        <v>9</v>
      </c>
      <c r="Y25" s="1263">
        <v>15</v>
      </c>
      <c r="Z25" s="1337">
        <v>33</v>
      </c>
      <c r="AA25" s="1262">
        <v>6</v>
      </c>
      <c r="AB25" s="1263">
        <v>9</v>
      </c>
      <c r="AC25" s="1263">
        <v>2</v>
      </c>
      <c r="AD25" s="1264">
        <v>17</v>
      </c>
      <c r="AE25" s="1263">
        <v>3</v>
      </c>
      <c r="AF25" s="1263">
        <v>2</v>
      </c>
      <c r="AG25" s="1263">
        <v>17</v>
      </c>
      <c r="AH25" s="1264">
        <v>22</v>
      </c>
      <c r="AI25" s="1263">
        <v>4</v>
      </c>
      <c r="AJ25" s="1263">
        <v>11</v>
      </c>
      <c r="AK25" s="1263">
        <v>11</v>
      </c>
      <c r="AL25" s="1337">
        <v>26</v>
      </c>
      <c r="AM25" s="129">
        <v>11</v>
      </c>
      <c r="AN25" s="130">
        <v>6</v>
      </c>
      <c r="AO25" s="130">
        <v>12</v>
      </c>
      <c r="AP25" s="396">
        <v>29</v>
      </c>
      <c r="AQ25" s="129">
        <v>6</v>
      </c>
      <c r="AR25" s="130">
        <v>11</v>
      </c>
      <c r="AS25" s="130">
        <v>8</v>
      </c>
      <c r="AT25" s="396">
        <v>25</v>
      </c>
      <c r="AU25" s="129">
        <v>12</v>
      </c>
      <c r="AV25" s="130">
        <v>13</v>
      </c>
      <c r="AW25" s="130">
        <v>11</v>
      </c>
      <c r="AX25" s="396">
        <f t="shared" si="49"/>
        <v>36</v>
      </c>
      <c r="AY25" s="129">
        <v>5</v>
      </c>
      <c r="AZ25" s="130">
        <v>10</v>
      </c>
      <c r="BA25" s="130">
        <v>8</v>
      </c>
      <c r="BB25" s="396">
        <f t="shared" si="50"/>
        <v>23</v>
      </c>
      <c r="BC25" s="129">
        <f>SUM('EGRESO-POS plan'!BD62,'EGRESO-POS plan'!BD63,'EGRESO-POS plan'!BD64,'EGRESO-POS plan'!BD65,'EGRESO-POS plan'!BD66,'EGRESO-POS plan'!BD69)</f>
        <v>3</v>
      </c>
      <c r="BD25" s="130">
        <f>SUM('EGRESO-POS plan'!BE62,'EGRESO-POS plan'!BE63,'EGRESO-POS plan'!BE64,'EGRESO-POS plan'!BE65,'EGRESO-POS plan'!BE66,'EGRESO-POS plan'!BE69)</f>
        <v>10</v>
      </c>
      <c r="BE25" s="130">
        <f>SUM('EGRESO-POS plan'!BF62,'EGRESO-POS plan'!BF63,'EGRESO-POS plan'!BF64,'EGRESO-POS plan'!BF65,'EGRESO-POS plan'!BF66,'EGRESO-POS plan'!BF69)</f>
        <v>9</v>
      </c>
      <c r="BF25" s="396">
        <f>SUM(BC25:BE25)</f>
        <v>22</v>
      </c>
      <c r="BG25" s="129">
        <f>SUM('EGRESO-POS plan'!BH62,'EGRESO-POS plan'!BH63,'EGRESO-POS plan'!BH64,'EGRESO-POS plan'!BH65,'EGRESO-POS plan'!BH66,'EGRESO-POS plan'!BH69)</f>
        <v>8</v>
      </c>
      <c r="BH25" s="130">
        <f>SUM('EGRESO-POS plan'!BI62,'EGRESO-POS plan'!BI63,'EGRESO-POS plan'!BI64,'EGRESO-POS plan'!BI65,'EGRESO-POS plan'!BI66,'EGRESO-POS plan'!BI69)</f>
        <v>6</v>
      </c>
      <c r="BI25" s="130">
        <f>SUM('EGRESO-POS plan'!BJ62,'EGRESO-POS plan'!BJ63,'EGRESO-POS plan'!BJ64,'EGRESO-POS plan'!BJ65,'EGRESO-POS plan'!BJ66,'EGRESO-POS plan'!BJ69)</f>
        <v>10</v>
      </c>
      <c r="BJ25" s="396">
        <f>SUM(BG25:BI25)</f>
        <v>24</v>
      </c>
      <c r="BK25" s="129">
        <f>SUM('EGRESO-POS plan'!BL62,'EGRESO-POS plan'!BL63,'EGRESO-POS plan'!BL64,'EGRESO-POS plan'!BL65,'EGRESO-POS plan'!BL66,'EGRESO-POS plan'!BL69)</f>
        <v>8</v>
      </c>
      <c r="BL25" s="130">
        <f>SUM('EGRESO-POS plan'!BM62,'EGRESO-POS plan'!BM63,'EGRESO-POS plan'!BM64,'EGRESO-POS plan'!BM65,'EGRESO-POS plan'!BM66,'EGRESO-POS plan'!BM69)</f>
        <v>17</v>
      </c>
      <c r="BM25" s="130">
        <f>SUM('EGRESO-POS plan'!BN62,'EGRESO-POS plan'!BN63,'EGRESO-POS plan'!BN64,'EGRESO-POS plan'!BN65,'EGRESO-POS plan'!BN66,'EGRESO-POS plan'!BN69)</f>
        <v>12</v>
      </c>
      <c r="BN25" s="396">
        <f>SUM(BK25:BM25)</f>
        <v>37</v>
      </c>
      <c r="BO25" s="129">
        <f>SUM('EGRESO-POS plan'!BP62,'EGRESO-POS plan'!BP63,'EGRESO-POS plan'!BP64,'EGRESO-POS plan'!BP65,'EGRESO-POS plan'!BP66,'EGRESO-POS plan'!BP69)</f>
        <v>8</v>
      </c>
      <c r="BP25" s="130">
        <f>SUM('EGRESO-POS plan'!BQ62,'EGRESO-POS plan'!BQ63,'EGRESO-POS plan'!BQ64,'EGRESO-POS plan'!BQ65,'EGRESO-POS plan'!BQ66,'EGRESO-POS plan'!BQ69)</f>
        <v>3</v>
      </c>
      <c r="BQ25" s="130">
        <f>SUM('EGRESO-POS plan'!BR62,'EGRESO-POS plan'!BR63,'EGRESO-POS plan'!BR64,'EGRESO-POS plan'!BR65,'EGRESO-POS plan'!BR66,'EGRESO-POS plan'!BR69)</f>
        <v>12</v>
      </c>
      <c r="BR25" s="396">
        <f>SUM(BO25:BQ25)</f>
        <v>23</v>
      </c>
      <c r="BS25" s="129">
        <f>SUM('EGRESO-POS plan'!BT62,'EGRESO-POS plan'!BT63,'EGRESO-POS plan'!BT64,'EGRESO-POS plan'!BT65,'EGRESO-POS plan'!BT66,'EGRESO-POS plan'!BT69)</f>
        <v>11</v>
      </c>
      <c r="BT25" s="130">
        <f>SUM('EGRESO-POS plan'!BU62,'EGRESO-POS plan'!BU63,'EGRESO-POS plan'!BU64,'EGRESO-POS plan'!BU65,'EGRESO-POS plan'!BU66,'EGRESO-POS plan'!BU69)</f>
        <v>12</v>
      </c>
      <c r="BU25" s="130">
        <f>SUM('EGRESO-POS plan'!BV62,'EGRESO-POS plan'!BV63,'EGRESO-POS plan'!BV64,'EGRESO-POS plan'!BV65,'EGRESO-POS plan'!BV66,'EGRESO-POS plan'!BV69)</f>
        <v>13</v>
      </c>
      <c r="BV25" s="396">
        <f>SUM(BS25:BU25)</f>
        <v>36</v>
      </c>
      <c r="BW25" s="129">
        <f>SUM('EGRESO-POS plan'!BX62:BX69)</f>
        <v>15</v>
      </c>
      <c r="BX25" s="130">
        <f>SUM('EGRESO-POS plan'!BY62:BY69)</f>
        <v>9</v>
      </c>
      <c r="BY25" s="130">
        <f>SUM('EGRESO-POS plan'!BZ62:BZ69)</f>
        <v>12</v>
      </c>
      <c r="BZ25" s="396">
        <f>SUM(BW25:BY25)</f>
        <v>36</v>
      </c>
      <c r="CA25" s="129">
        <f>SUM('EGRESO-POS plan'!CB62:CB69)</f>
        <v>10</v>
      </c>
      <c r="CB25" s="130">
        <f>SUM('EGRESO-POS plan'!CC62:CC69)</f>
        <v>14</v>
      </c>
      <c r="CC25" s="130">
        <f>SUM('EGRESO-POS plan'!CD62:CD69)</f>
        <v>17</v>
      </c>
      <c r="CD25" s="396">
        <f>SUM(CA25:CC25)</f>
        <v>41</v>
      </c>
      <c r="CE25" s="129">
        <f>SUM('EGRESO-POS plan'!CF62:CF69)</f>
        <v>12</v>
      </c>
      <c r="CF25" s="130">
        <f>SUM('EGRESO-POS plan'!CG62:CG69)</f>
        <v>7</v>
      </c>
      <c r="CG25" s="130">
        <f>SUM('EGRESO-POS plan'!CH62:CH69)</f>
        <v>17</v>
      </c>
      <c r="CH25" s="396">
        <f>SUM(CE25:CG25)</f>
        <v>36</v>
      </c>
      <c r="CI25" s="129">
        <f>SUM('EGRESO-POS plan'!CJ62:CJ69)</f>
        <v>1</v>
      </c>
      <c r="CJ25" s="130">
        <f>SUM('EGRESO-POS plan'!CK62:CK69)</f>
        <v>1</v>
      </c>
      <c r="CK25" s="130">
        <f>SUM('EGRESO-POS plan'!CL62:CL69)</f>
        <v>12</v>
      </c>
      <c r="CL25" s="396">
        <f>SUM(CI25:CK25)</f>
        <v>14</v>
      </c>
      <c r="CM25" s="129">
        <f>SUM('EGRESO-POS plan'!CN62:CN69)</f>
        <v>2</v>
      </c>
      <c r="CN25" s="130">
        <f>SUM('EGRESO-POS plan'!CO62:CO69)</f>
        <v>6</v>
      </c>
      <c r="CO25" s="130">
        <f>SUM('EGRESO-POS plan'!CP62:CP69)</f>
        <v>7</v>
      </c>
      <c r="CP25" s="396">
        <f>SUM(CM25:CO25)</f>
        <v>15</v>
      </c>
      <c r="CQ25" s="129">
        <f>SUM('EGRESO-POS plan'!CR62:CR69)</f>
        <v>5</v>
      </c>
      <c r="CR25" s="130">
        <f>SUM('EGRESO-POS plan'!CS62:CS69)</f>
        <v>7</v>
      </c>
      <c r="CS25" s="130">
        <f>SUM('EGRESO-POS plan'!CT62:CT69)</f>
        <v>7</v>
      </c>
      <c r="CT25" s="396">
        <f>SUM(CQ25:CS25)</f>
        <v>19</v>
      </c>
    </row>
    <row r="26" spans="1:98" s="1330" customFormat="1" ht="15" customHeight="1" x14ac:dyDescent="0.25">
      <c r="A26" s="1661"/>
      <c r="B26" s="1342" t="s">
        <v>59</v>
      </c>
      <c r="C26" s="1662">
        <f>SUM(C23:C25)</f>
        <v>9</v>
      </c>
      <c r="D26" s="1663">
        <f>SUM(D23:D25)</f>
        <v>27</v>
      </c>
      <c r="E26" s="1663">
        <f>SUM(E23:E25)</f>
        <v>23</v>
      </c>
      <c r="F26" s="1310">
        <f t="shared" si="45"/>
        <v>59</v>
      </c>
      <c r="G26" s="1662">
        <f>SUM(G23:G25)</f>
        <v>10</v>
      </c>
      <c r="H26" s="1663">
        <f>SUM(H23:H25)</f>
        <v>20</v>
      </c>
      <c r="I26" s="1663">
        <f>SUM(I23:I25)</f>
        <v>21</v>
      </c>
      <c r="J26" s="1310">
        <f t="shared" si="46"/>
        <v>51</v>
      </c>
      <c r="K26" s="1662">
        <f>SUM(K23:K25)</f>
        <v>14</v>
      </c>
      <c r="L26" s="1663">
        <f>SUM(L23:L25)</f>
        <v>38</v>
      </c>
      <c r="M26" s="1663">
        <f>SUM(M23:M25)</f>
        <v>12</v>
      </c>
      <c r="N26" s="1310">
        <f t="shared" si="47"/>
        <v>64</v>
      </c>
      <c r="O26" s="1662">
        <f>SUM(O23:O25)</f>
        <v>15</v>
      </c>
      <c r="P26" s="1663">
        <f>SUM(P23:P25)</f>
        <v>22</v>
      </c>
      <c r="Q26" s="1663">
        <f>SUM(Q23:Q25)</f>
        <v>15</v>
      </c>
      <c r="R26" s="1310">
        <f t="shared" si="48"/>
        <v>52</v>
      </c>
      <c r="S26" s="1662">
        <v>14</v>
      </c>
      <c r="T26" s="1663">
        <v>22</v>
      </c>
      <c r="U26" s="1663">
        <v>16</v>
      </c>
      <c r="V26" s="1310">
        <v>52</v>
      </c>
      <c r="W26" s="1662">
        <v>15</v>
      </c>
      <c r="X26" s="1663">
        <v>19</v>
      </c>
      <c r="Y26" s="1663">
        <v>22</v>
      </c>
      <c r="Z26" s="1663">
        <v>56</v>
      </c>
      <c r="AA26" s="1662">
        <v>17</v>
      </c>
      <c r="AB26" s="1663">
        <v>16</v>
      </c>
      <c r="AC26" s="1663">
        <v>7</v>
      </c>
      <c r="AD26" s="1310">
        <v>40</v>
      </c>
      <c r="AE26" s="1663">
        <v>12</v>
      </c>
      <c r="AF26" s="1663">
        <v>7</v>
      </c>
      <c r="AG26" s="1663">
        <v>31</v>
      </c>
      <c r="AH26" s="1310">
        <v>50</v>
      </c>
      <c r="AI26" s="1663">
        <v>9</v>
      </c>
      <c r="AJ26" s="1663">
        <v>28</v>
      </c>
      <c r="AK26" s="1663">
        <v>21</v>
      </c>
      <c r="AL26" s="1663">
        <v>58</v>
      </c>
      <c r="AM26" s="630">
        <v>20</v>
      </c>
      <c r="AN26" s="1664">
        <v>17</v>
      </c>
      <c r="AO26" s="1664">
        <v>21</v>
      </c>
      <c r="AP26" s="1664">
        <v>58</v>
      </c>
      <c r="AQ26" s="630">
        <v>23</v>
      </c>
      <c r="AR26" s="1664">
        <v>31</v>
      </c>
      <c r="AS26" s="1664">
        <v>24</v>
      </c>
      <c r="AT26" s="1665">
        <v>78</v>
      </c>
      <c r="AU26" s="630">
        <f>SUM(AU23:AU25)</f>
        <v>30</v>
      </c>
      <c r="AV26" s="1664">
        <f>SUM(AV23:AV25)</f>
        <v>38</v>
      </c>
      <c r="AW26" s="1664">
        <f>SUM(AW23:AW25)</f>
        <v>25</v>
      </c>
      <c r="AX26" s="1665">
        <f t="shared" si="49"/>
        <v>93</v>
      </c>
      <c r="AY26" s="630">
        <f>SUM(AY23:AY25)</f>
        <v>22</v>
      </c>
      <c r="AZ26" s="1664">
        <f>SUM(AZ23:AZ25)</f>
        <v>22</v>
      </c>
      <c r="BA26" s="1664">
        <f>SUM(BA23:BA25)</f>
        <v>28</v>
      </c>
      <c r="BB26" s="1665">
        <f t="shared" si="50"/>
        <v>72</v>
      </c>
      <c r="BC26" s="630">
        <f t="shared" ref="BC26:CL26" si="51">SUM(BC23:BC25)</f>
        <v>16</v>
      </c>
      <c r="BD26" s="1664">
        <f t="shared" si="51"/>
        <v>25</v>
      </c>
      <c r="BE26" s="1664">
        <f t="shared" si="51"/>
        <v>30</v>
      </c>
      <c r="BF26" s="1665">
        <f t="shared" si="51"/>
        <v>71</v>
      </c>
      <c r="BG26" s="630">
        <f t="shared" si="51"/>
        <v>29</v>
      </c>
      <c r="BH26" s="1664">
        <f t="shared" si="51"/>
        <v>32</v>
      </c>
      <c r="BI26" s="1664">
        <f t="shared" si="51"/>
        <v>27</v>
      </c>
      <c r="BJ26" s="1665">
        <f t="shared" si="51"/>
        <v>88</v>
      </c>
      <c r="BK26" s="630">
        <f t="shared" si="51"/>
        <v>36</v>
      </c>
      <c r="BL26" s="1664">
        <f t="shared" si="51"/>
        <v>41</v>
      </c>
      <c r="BM26" s="1664">
        <f t="shared" si="51"/>
        <v>32</v>
      </c>
      <c r="BN26" s="1665">
        <f t="shared" si="51"/>
        <v>109</v>
      </c>
      <c r="BO26" s="630">
        <f t="shared" si="51"/>
        <v>24</v>
      </c>
      <c r="BP26" s="1664">
        <f t="shared" si="51"/>
        <v>27</v>
      </c>
      <c r="BQ26" s="1664">
        <f t="shared" si="51"/>
        <v>31</v>
      </c>
      <c r="BR26" s="1665">
        <f t="shared" si="51"/>
        <v>82</v>
      </c>
      <c r="BS26" s="630">
        <f t="shared" si="51"/>
        <v>30</v>
      </c>
      <c r="BT26" s="1664">
        <f t="shared" si="51"/>
        <v>37</v>
      </c>
      <c r="BU26" s="1664">
        <f t="shared" si="51"/>
        <v>32</v>
      </c>
      <c r="BV26" s="1665">
        <f t="shared" si="51"/>
        <v>99</v>
      </c>
      <c r="BW26" s="630">
        <f t="shared" si="51"/>
        <v>40</v>
      </c>
      <c r="BX26" s="1664">
        <f t="shared" si="51"/>
        <v>41</v>
      </c>
      <c r="BY26" s="1664">
        <f t="shared" si="51"/>
        <v>37</v>
      </c>
      <c r="BZ26" s="1665">
        <f t="shared" si="51"/>
        <v>118</v>
      </c>
      <c r="CA26" s="630">
        <f t="shared" si="51"/>
        <v>39</v>
      </c>
      <c r="CB26" s="1664">
        <f t="shared" si="51"/>
        <v>50</v>
      </c>
      <c r="CC26" s="1664">
        <f t="shared" si="51"/>
        <v>45</v>
      </c>
      <c r="CD26" s="1665">
        <f t="shared" si="51"/>
        <v>134</v>
      </c>
      <c r="CE26" s="630">
        <f t="shared" si="51"/>
        <v>36</v>
      </c>
      <c r="CF26" s="1664">
        <f t="shared" si="51"/>
        <v>21</v>
      </c>
      <c r="CG26" s="1664">
        <f t="shared" si="51"/>
        <v>49</v>
      </c>
      <c r="CH26" s="1665">
        <f t="shared" si="51"/>
        <v>106</v>
      </c>
      <c r="CI26" s="630">
        <f t="shared" si="51"/>
        <v>27</v>
      </c>
      <c r="CJ26" s="1664">
        <f t="shared" si="51"/>
        <v>5</v>
      </c>
      <c r="CK26" s="1664">
        <f t="shared" si="51"/>
        <v>34</v>
      </c>
      <c r="CL26" s="1665">
        <f t="shared" si="51"/>
        <v>66</v>
      </c>
      <c r="CM26" s="630">
        <f t="shared" ref="CM26:CP26" si="52">SUM(CM23:CM25)</f>
        <v>19</v>
      </c>
      <c r="CN26" s="1664">
        <f t="shared" si="52"/>
        <v>29</v>
      </c>
      <c r="CO26" s="1664">
        <f t="shared" si="52"/>
        <v>30</v>
      </c>
      <c r="CP26" s="1665">
        <f t="shared" si="52"/>
        <v>78</v>
      </c>
      <c r="CQ26" s="630">
        <f t="shared" ref="CQ26:CT26" si="53">SUM(CQ23:CQ25)</f>
        <v>21</v>
      </c>
      <c r="CR26" s="1664">
        <f t="shared" si="53"/>
        <v>20</v>
      </c>
      <c r="CS26" s="1664">
        <f t="shared" si="53"/>
        <v>32</v>
      </c>
      <c r="CT26" s="1665">
        <f t="shared" si="53"/>
        <v>73</v>
      </c>
    </row>
    <row r="27" spans="1:98" ht="15" customHeight="1" x14ac:dyDescent="0.25">
      <c r="A27" s="1661"/>
      <c r="B27" s="1334" t="s">
        <v>308</v>
      </c>
      <c r="C27" s="1276">
        <f>+'EGRESO-POS plan'!D71</f>
        <v>0</v>
      </c>
      <c r="D27" s="1279">
        <f>+'EGRESO-POS plan'!E71</f>
        <v>0</v>
      </c>
      <c r="E27" s="1279">
        <f>+'EGRESO-POS plan'!F71</f>
        <v>25</v>
      </c>
      <c r="F27" s="1278">
        <f t="shared" si="45"/>
        <v>25</v>
      </c>
      <c r="G27" s="1276">
        <f>+'EGRESO-POS plan'!H71</f>
        <v>0</v>
      </c>
      <c r="H27" s="1279">
        <f>+'EGRESO-POS plan'!I71</f>
        <v>3</v>
      </c>
      <c r="I27" s="1279">
        <f>+'EGRESO-POS plan'!J71</f>
        <v>0</v>
      </c>
      <c r="J27" s="1278">
        <f t="shared" si="46"/>
        <v>3</v>
      </c>
      <c r="K27" s="1276">
        <f>+'EGRESO-POS plan'!L71</f>
        <v>0</v>
      </c>
      <c r="L27" s="1279">
        <f>+'EGRESO-POS plan'!M71</f>
        <v>1</v>
      </c>
      <c r="M27" s="1279">
        <f>+'EGRESO-POS plan'!N71</f>
        <v>0</v>
      </c>
      <c r="N27" s="1278">
        <f t="shared" si="47"/>
        <v>1</v>
      </c>
      <c r="O27" s="1276">
        <f>+'EGRESO-POS plan'!P71</f>
        <v>0</v>
      </c>
      <c r="P27" s="1279">
        <f>+'EGRESO-POS plan'!Q71</f>
        <v>1</v>
      </c>
      <c r="Q27" s="1279">
        <f>+'EGRESO-POS plan'!R71</f>
        <v>0</v>
      </c>
      <c r="R27" s="1278">
        <f t="shared" si="48"/>
        <v>1</v>
      </c>
      <c r="S27" s="1276">
        <v>2</v>
      </c>
      <c r="T27" s="1279">
        <v>3</v>
      </c>
      <c r="U27" s="1279">
        <v>6</v>
      </c>
      <c r="V27" s="1278">
        <v>11</v>
      </c>
      <c r="W27" s="1276">
        <v>2</v>
      </c>
      <c r="X27" s="1279">
        <v>32</v>
      </c>
      <c r="Y27" s="1279">
        <v>2</v>
      </c>
      <c r="Z27" s="1666">
        <v>36</v>
      </c>
      <c r="AA27" s="1276">
        <v>0</v>
      </c>
      <c r="AB27" s="1279">
        <v>65</v>
      </c>
      <c r="AC27" s="1279">
        <v>5</v>
      </c>
      <c r="AD27" s="1278">
        <v>70</v>
      </c>
      <c r="AE27" s="1279">
        <v>0</v>
      </c>
      <c r="AF27" s="1279">
        <v>12</v>
      </c>
      <c r="AG27" s="1279">
        <v>58</v>
      </c>
      <c r="AH27" s="1278">
        <v>70</v>
      </c>
      <c r="AI27" s="1279">
        <v>0</v>
      </c>
      <c r="AJ27" s="1279">
        <v>0</v>
      </c>
      <c r="AK27" s="1279">
        <v>0</v>
      </c>
      <c r="AL27" s="1666">
        <v>0</v>
      </c>
      <c r="AM27" s="1398">
        <v>63</v>
      </c>
      <c r="AN27" s="1399">
        <v>16</v>
      </c>
      <c r="AO27" s="1399">
        <v>1</v>
      </c>
      <c r="AP27" s="1400">
        <v>80</v>
      </c>
      <c r="AQ27" s="1667"/>
      <c r="AR27" s="1668"/>
      <c r="AS27" s="1668"/>
      <c r="AT27" s="1669"/>
      <c r="AU27" s="1667"/>
      <c r="AV27" s="130">
        <v>15</v>
      </c>
      <c r="AW27" s="1668"/>
      <c r="AX27" s="395">
        <f t="shared" si="49"/>
        <v>15</v>
      </c>
      <c r="AY27" s="129">
        <v>61</v>
      </c>
      <c r="AZ27" s="130">
        <v>1</v>
      </c>
      <c r="BA27" s="130">
        <v>46</v>
      </c>
      <c r="BB27" s="395">
        <f t="shared" si="50"/>
        <v>108</v>
      </c>
      <c r="BC27" s="151">
        <f>SUM('EGRESO-POS plan'!BD71)</f>
        <v>4</v>
      </c>
      <c r="BD27" s="152">
        <f>SUM('EGRESO-POS plan'!BE71)</f>
        <v>44</v>
      </c>
      <c r="BE27" s="152">
        <f>SUM('EGRESO-POS plan'!BF71)</f>
        <v>52</v>
      </c>
      <c r="BF27" s="395">
        <f>SUM(BC27:BE27)</f>
        <v>100</v>
      </c>
      <c r="BG27" s="151">
        <f>SUM('EGRESO-POS plan'!BH71)</f>
        <v>1</v>
      </c>
      <c r="BH27" s="152">
        <f>SUM('EGRESO-POS plan'!BI71)</f>
        <v>13</v>
      </c>
      <c r="BI27" s="152">
        <f>SUM('EGRESO-POS plan'!BJ71)</f>
        <v>2</v>
      </c>
      <c r="BJ27" s="395">
        <f>SUM(BG27:BI27)</f>
        <v>16</v>
      </c>
      <c r="BK27" s="151">
        <f>SUM('EGRESO-POS plan'!BL71)</f>
        <v>0</v>
      </c>
      <c r="BL27" s="152">
        <f>SUM('EGRESO-POS plan'!BM71)</f>
        <v>7</v>
      </c>
      <c r="BM27" s="152">
        <f>SUM('EGRESO-POS plan'!BN71)</f>
        <v>17</v>
      </c>
      <c r="BN27" s="395">
        <f>SUM(BK27:BM27)</f>
        <v>24</v>
      </c>
      <c r="BO27" s="151">
        <f>SUM('EGRESO-POS plan'!BP71)</f>
        <v>0</v>
      </c>
      <c r="BP27" s="152">
        <f>SUM('EGRESO-POS plan'!BQ71)</f>
        <v>15</v>
      </c>
      <c r="BQ27" s="152">
        <f>SUM('EGRESO-POS plan'!BR71)</f>
        <v>0</v>
      </c>
      <c r="BR27" s="395">
        <f>SUM(BO27:BQ27)</f>
        <v>15</v>
      </c>
      <c r="BS27" s="151">
        <f>SUM('EGRESO-POS plan'!BT71)</f>
        <v>30</v>
      </c>
      <c r="BT27" s="152">
        <f>SUM('EGRESO-POS plan'!BU71)</f>
        <v>0</v>
      </c>
      <c r="BU27" s="152">
        <f>SUM('EGRESO-POS plan'!BV71)</f>
        <v>17</v>
      </c>
      <c r="BV27" s="395">
        <f>SUM(BS27:BU27)</f>
        <v>47</v>
      </c>
      <c r="BW27" s="151">
        <f>SUM('EGRESO-POS plan'!BX71)</f>
        <v>2</v>
      </c>
      <c r="BX27" s="152">
        <f>SUM('EGRESO-POS plan'!BY71)</f>
        <v>0</v>
      </c>
      <c r="BY27" s="152">
        <f>SUM('EGRESO-POS plan'!BZ71)</f>
        <v>12</v>
      </c>
      <c r="BZ27" s="395">
        <f>SUM(BW27:BY27)</f>
        <v>14</v>
      </c>
      <c r="CA27" s="151">
        <f>SUM('EGRESO-POS plan'!CB71)</f>
        <v>0</v>
      </c>
      <c r="CB27" s="152">
        <f>SUM('EGRESO-POS plan'!CC71)</f>
        <v>52</v>
      </c>
      <c r="CC27" s="152">
        <f>SUM('EGRESO-POS plan'!CD71)</f>
        <v>0</v>
      </c>
      <c r="CD27" s="395">
        <f>SUM(CA27:CC27)</f>
        <v>52</v>
      </c>
      <c r="CE27" s="151">
        <f>SUM('EGRESO-POS plan'!CF71)</f>
        <v>0</v>
      </c>
      <c r="CF27" s="152">
        <f>SUM('EGRESO-POS plan'!CG71)</f>
        <v>40</v>
      </c>
      <c r="CG27" s="152">
        <f>SUM('EGRESO-POS plan'!CH71)</f>
        <v>0</v>
      </c>
      <c r="CH27" s="395">
        <f>SUM(CE27:CG27)</f>
        <v>40</v>
      </c>
      <c r="CI27" s="151">
        <f>SUM('EGRESO-POS plan'!CJ71)</f>
        <v>0</v>
      </c>
      <c r="CJ27" s="152">
        <f>SUM('EGRESO-POS plan'!CK71)</f>
        <v>26</v>
      </c>
      <c r="CK27" s="152">
        <f>SUM('EGRESO-POS plan'!CL71)</f>
        <v>2</v>
      </c>
      <c r="CL27" s="395">
        <f>SUM(CI27:CK27)</f>
        <v>28</v>
      </c>
      <c r="CM27" s="151">
        <f>SUM('EGRESO-POS plan'!CN71)</f>
        <v>0</v>
      </c>
      <c r="CN27" s="152">
        <f>SUM('EGRESO-POS plan'!CO71)</f>
        <v>60</v>
      </c>
      <c r="CO27" s="152">
        <f>SUM('EGRESO-POS plan'!CP71)</f>
        <v>0</v>
      </c>
      <c r="CP27" s="395">
        <f>SUM(CM27:CO27)</f>
        <v>60</v>
      </c>
      <c r="CQ27" s="151">
        <f>SUM('EGRESO-POS plan'!CR71)</f>
        <v>0</v>
      </c>
      <c r="CR27" s="152">
        <f>SUM('EGRESO-POS plan'!CS71)</f>
        <v>1</v>
      </c>
      <c r="CS27" s="152">
        <f>SUM('EGRESO-POS plan'!CT71)</f>
        <v>36</v>
      </c>
      <c r="CT27" s="395">
        <f>SUM(CQ27:CS27)</f>
        <v>37</v>
      </c>
    </row>
    <row r="28" spans="1:98" ht="15" customHeight="1" x14ac:dyDescent="0.25">
      <c r="A28" s="1661"/>
      <c r="B28" s="1336" t="s">
        <v>310</v>
      </c>
      <c r="C28" s="1262">
        <f>+'EGRESO-POS plan'!D72+'EGRESO-POS plan'!D73+'EGRESO-POS plan'!D74+'EGRESO-POS plan'!D75+'EGRESO-POS plan'!D76+'EGRESO-POS plan'!D77+'EGRESO-POS plan'!D78+'EGRESO-POS plan'!D81</f>
        <v>7</v>
      </c>
      <c r="D28" s="1263">
        <f>+'EGRESO-POS plan'!E72+'EGRESO-POS plan'!E73+'EGRESO-POS plan'!E74+'EGRESO-POS plan'!E75+'EGRESO-POS plan'!E76+'EGRESO-POS plan'!E77+'EGRESO-POS plan'!E78+'EGRESO-POS plan'!E81</f>
        <v>7</v>
      </c>
      <c r="E28" s="1263">
        <f>+'EGRESO-POS plan'!F72+'EGRESO-POS plan'!F73+'EGRESO-POS plan'!F74+'EGRESO-POS plan'!F75+'EGRESO-POS plan'!F76+'EGRESO-POS plan'!F77+'EGRESO-POS plan'!F78+'EGRESO-POS plan'!F81</f>
        <v>19</v>
      </c>
      <c r="F28" s="1264">
        <f t="shared" si="45"/>
        <v>33</v>
      </c>
      <c r="G28" s="1262">
        <f>+'EGRESO-POS plan'!H72+'EGRESO-POS plan'!H73+'EGRESO-POS plan'!H74+'EGRESO-POS plan'!H75+'EGRESO-POS plan'!H76+'EGRESO-POS plan'!H77+'EGRESO-POS plan'!H78+'EGRESO-POS plan'!H81</f>
        <v>5</v>
      </c>
      <c r="H28" s="1263">
        <f>+'EGRESO-POS plan'!I72+'EGRESO-POS plan'!I73+'EGRESO-POS plan'!I74+'EGRESO-POS plan'!I75+'EGRESO-POS plan'!I76+'EGRESO-POS plan'!I77+'EGRESO-POS plan'!I78+'EGRESO-POS plan'!I81</f>
        <v>24</v>
      </c>
      <c r="I28" s="1263">
        <f>+'EGRESO-POS plan'!J72+'EGRESO-POS plan'!J73+'EGRESO-POS plan'!J74+'EGRESO-POS plan'!J75+'EGRESO-POS plan'!J76+'EGRESO-POS plan'!J77+'EGRESO-POS plan'!J78+'EGRESO-POS plan'!J81</f>
        <v>12</v>
      </c>
      <c r="J28" s="1264">
        <f t="shared" si="46"/>
        <v>41</v>
      </c>
      <c r="K28" s="1262">
        <f>+'EGRESO-POS plan'!L72+'EGRESO-POS plan'!L73+'EGRESO-POS plan'!L74+'EGRESO-POS plan'!L75+'EGRESO-POS plan'!L76+'EGRESO-POS plan'!L77+'EGRESO-POS plan'!L78+'EGRESO-POS plan'!L81</f>
        <v>8</v>
      </c>
      <c r="L28" s="1263">
        <f>+'EGRESO-POS plan'!M72+'EGRESO-POS plan'!M73+'EGRESO-POS plan'!M74+'EGRESO-POS plan'!M75+'EGRESO-POS plan'!M76+'EGRESO-POS plan'!M77+'EGRESO-POS plan'!M78+'EGRESO-POS plan'!M81</f>
        <v>46</v>
      </c>
      <c r="M28" s="1263">
        <f>+'EGRESO-POS plan'!N72+'EGRESO-POS plan'!N73+'EGRESO-POS plan'!N74+'EGRESO-POS plan'!N75+'EGRESO-POS plan'!N76+'EGRESO-POS plan'!N77+'EGRESO-POS plan'!N78+'EGRESO-POS plan'!N81</f>
        <v>17</v>
      </c>
      <c r="N28" s="1264">
        <f t="shared" si="47"/>
        <v>71</v>
      </c>
      <c r="O28" s="1262">
        <f>+'EGRESO-POS plan'!P72+'EGRESO-POS plan'!P73+'EGRESO-POS plan'!P74+'EGRESO-POS plan'!P75+'EGRESO-POS plan'!P76+'EGRESO-POS plan'!P77+'EGRESO-POS plan'!P78+'EGRESO-POS plan'!P81</f>
        <v>11</v>
      </c>
      <c r="P28" s="1263">
        <f>+'EGRESO-POS plan'!Q72+'EGRESO-POS plan'!Q73+'EGRESO-POS plan'!Q74+'EGRESO-POS plan'!Q75+'EGRESO-POS plan'!Q76+'EGRESO-POS plan'!Q77+'EGRESO-POS plan'!Q78+'EGRESO-POS plan'!Q81</f>
        <v>12</v>
      </c>
      <c r="Q28" s="1263">
        <f>+'EGRESO-POS plan'!R72+'EGRESO-POS plan'!R73+'EGRESO-POS plan'!R74+'EGRESO-POS plan'!R75+'EGRESO-POS plan'!R76+'EGRESO-POS plan'!R77+'EGRESO-POS plan'!R78+'EGRESO-POS plan'!R81</f>
        <v>8</v>
      </c>
      <c r="R28" s="1264">
        <f t="shared" si="48"/>
        <v>31</v>
      </c>
      <c r="S28" s="1262">
        <v>11</v>
      </c>
      <c r="T28" s="1263">
        <v>14</v>
      </c>
      <c r="U28" s="1263">
        <v>13</v>
      </c>
      <c r="V28" s="1264">
        <v>38</v>
      </c>
      <c r="W28" s="1262">
        <v>8</v>
      </c>
      <c r="X28" s="1263">
        <v>20</v>
      </c>
      <c r="Y28" s="1263">
        <v>9</v>
      </c>
      <c r="Z28" s="1337">
        <v>37</v>
      </c>
      <c r="AA28" s="1262">
        <v>8</v>
      </c>
      <c r="AB28" s="1263">
        <v>14</v>
      </c>
      <c r="AC28" s="1263">
        <v>3</v>
      </c>
      <c r="AD28" s="1264">
        <v>25</v>
      </c>
      <c r="AE28" s="1263">
        <v>4</v>
      </c>
      <c r="AF28" s="1263">
        <v>28</v>
      </c>
      <c r="AG28" s="1263">
        <v>13</v>
      </c>
      <c r="AH28" s="1264">
        <v>45</v>
      </c>
      <c r="AI28" s="1263">
        <v>11</v>
      </c>
      <c r="AJ28" s="1263">
        <v>34</v>
      </c>
      <c r="AK28" s="1263">
        <v>11</v>
      </c>
      <c r="AL28" s="1337">
        <v>56</v>
      </c>
      <c r="AM28" s="129">
        <v>5</v>
      </c>
      <c r="AN28" s="130">
        <v>12</v>
      </c>
      <c r="AO28" s="130">
        <v>15</v>
      </c>
      <c r="AP28" s="396">
        <v>32</v>
      </c>
      <c r="AQ28" s="129">
        <v>16</v>
      </c>
      <c r="AR28" s="130">
        <v>42</v>
      </c>
      <c r="AS28" s="130">
        <v>17</v>
      </c>
      <c r="AT28" s="396">
        <v>75</v>
      </c>
      <c r="AU28" s="129">
        <v>21</v>
      </c>
      <c r="AV28" s="130">
        <v>44</v>
      </c>
      <c r="AW28" s="130">
        <v>14</v>
      </c>
      <c r="AX28" s="396">
        <f t="shared" si="49"/>
        <v>79</v>
      </c>
      <c r="AY28" s="129">
        <v>50</v>
      </c>
      <c r="AZ28" s="130">
        <v>31</v>
      </c>
      <c r="BA28" s="130">
        <v>17</v>
      </c>
      <c r="BB28" s="396">
        <f t="shared" si="50"/>
        <v>98</v>
      </c>
      <c r="BC28" s="129">
        <f>SUM('EGRESO-POS plan'!BD72,'EGRESO-POS plan'!BD73,'EGRESO-POS plan'!BD74,'EGRESO-POS plan'!BD75,'EGRESO-POS plan'!BD76,'EGRESO-POS plan'!BD77,'EGRESO-POS plan'!BD78,'EGRESO-POS plan'!BD81)</f>
        <v>12</v>
      </c>
      <c r="BD28" s="130">
        <f>SUM('EGRESO-POS plan'!BE72,'EGRESO-POS plan'!BE73,'EGRESO-POS plan'!BE74,'EGRESO-POS plan'!BE75,'EGRESO-POS plan'!BE76,'EGRESO-POS plan'!BE77,'EGRESO-POS plan'!BE78,'EGRESO-POS plan'!BE81)</f>
        <v>27</v>
      </c>
      <c r="BE28" s="130">
        <f>SUM('EGRESO-POS plan'!BF72,'EGRESO-POS plan'!BF73,'EGRESO-POS plan'!BF74,'EGRESO-POS plan'!BF75,'EGRESO-POS plan'!BF76,'EGRESO-POS plan'!BF77,'EGRESO-POS plan'!BF78,'EGRESO-POS plan'!BF81)</f>
        <v>24</v>
      </c>
      <c r="BF28" s="396">
        <f>SUM(BC28:BE28)</f>
        <v>63</v>
      </c>
      <c r="BG28" s="129">
        <f>SUM('EGRESO-POS plan'!BH72,'EGRESO-POS plan'!BH73,'EGRESO-POS plan'!BH74,'EGRESO-POS plan'!BH75,'EGRESO-POS plan'!BH76,'EGRESO-POS plan'!BH77,'EGRESO-POS plan'!BH78,'EGRESO-POS plan'!BH81)</f>
        <v>44</v>
      </c>
      <c r="BH28" s="130">
        <f>SUM('EGRESO-POS plan'!BI72,'EGRESO-POS plan'!BI73,'EGRESO-POS plan'!BI74,'EGRESO-POS plan'!BI75,'EGRESO-POS plan'!BI76,'EGRESO-POS plan'!BI77,'EGRESO-POS plan'!BI78,'EGRESO-POS plan'!BI81)</f>
        <v>9</v>
      </c>
      <c r="BI28" s="130">
        <f>SUM('EGRESO-POS plan'!BJ72,'EGRESO-POS plan'!BJ73,'EGRESO-POS plan'!BJ74,'EGRESO-POS plan'!BJ75,'EGRESO-POS plan'!BJ76,'EGRESO-POS plan'!BJ77,'EGRESO-POS plan'!BJ78,'EGRESO-POS plan'!BJ81)</f>
        <v>12</v>
      </c>
      <c r="BJ28" s="396">
        <f>SUM(BG28:BI28)</f>
        <v>65</v>
      </c>
      <c r="BK28" s="129">
        <f>SUM('EGRESO-POS plan'!BL72,'EGRESO-POS plan'!BL73,'EGRESO-POS plan'!BL74,'EGRESO-POS plan'!BL75,'EGRESO-POS plan'!BL76,'EGRESO-POS plan'!BL77,'EGRESO-POS plan'!BL78,'EGRESO-POS plan'!BL81)</f>
        <v>11</v>
      </c>
      <c r="BL28" s="130">
        <f>SUM('EGRESO-POS plan'!BM72,'EGRESO-POS plan'!BM73,'EGRESO-POS plan'!BM74,'EGRESO-POS plan'!BM75,'EGRESO-POS plan'!BM76,'EGRESO-POS plan'!BM77,'EGRESO-POS plan'!BM78,'EGRESO-POS plan'!BM81)</f>
        <v>44</v>
      </c>
      <c r="BM28" s="130">
        <f>SUM('EGRESO-POS plan'!BN72,'EGRESO-POS plan'!BN73,'EGRESO-POS plan'!BN74,'EGRESO-POS plan'!BN75,'EGRESO-POS plan'!BN76,'EGRESO-POS plan'!BN77,'EGRESO-POS plan'!BN78,'EGRESO-POS plan'!BN81)</f>
        <v>59</v>
      </c>
      <c r="BN28" s="396">
        <f>SUM(BK28:BM28)</f>
        <v>114</v>
      </c>
      <c r="BO28" s="129">
        <f>SUM('EGRESO-POS plan'!BP72,'EGRESO-POS plan'!BP73,'EGRESO-POS plan'!BP74,'EGRESO-POS plan'!BP75,'EGRESO-POS plan'!BP76,'EGRESO-POS plan'!BP77,'EGRESO-POS plan'!BP78,'EGRESO-POS plan'!BP81)</f>
        <v>12</v>
      </c>
      <c r="BP28" s="130">
        <f>SUM('EGRESO-POS plan'!BQ72,'EGRESO-POS plan'!BQ73,'EGRESO-POS plan'!BQ74,'EGRESO-POS plan'!BQ75,'EGRESO-POS plan'!BQ76,'EGRESO-POS plan'!BQ77,'EGRESO-POS plan'!BQ78,'EGRESO-POS plan'!BQ81)</f>
        <v>2</v>
      </c>
      <c r="BQ28" s="130">
        <f>SUM('EGRESO-POS plan'!BR72,'EGRESO-POS plan'!BR73,'EGRESO-POS plan'!BR74,'EGRESO-POS plan'!BR75,'EGRESO-POS plan'!BR76,'EGRESO-POS plan'!BR77,'EGRESO-POS plan'!BR78,'EGRESO-POS plan'!BR81)</f>
        <v>13</v>
      </c>
      <c r="BR28" s="396">
        <f>SUM(BO28:BQ28)</f>
        <v>27</v>
      </c>
      <c r="BS28" s="129">
        <f>SUM('EGRESO-POS plan'!BT72,'EGRESO-POS plan'!BT73,'EGRESO-POS plan'!BT74,'EGRESO-POS plan'!BT75,'EGRESO-POS plan'!BT76,'EGRESO-POS plan'!BT77,'EGRESO-POS plan'!BT78,'EGRESO-POS plan'!BT81)</f>
        <v>2</v>
      </c>
      <c r="BT28" s="130">
        <f>SUM('EGRESO-POS plan'!BU72,'EGRESO-POS plan'!BU73,'EGRESO-POS plan'!BU74,'EGRESO-POS plan'!BU75,'EGRESO-POS plan'!BU76,'EGRESO-POS plan'!BU77,'EGRESO-POS plan'!BU78,'EGRESO-POS plan'!BU81)</f>
        <v>37</v>
      </c>
      <c r="BU28" s="130">
        <f>SUM('EGRESO-POS plan'!BV72,'EGRESO-POS plan'!BV73,'EGRESO-POS plan'!BV74,'EGRESO-POS plan'!BV75,'EGRESO-POS plan'!BV76,'EGRESO-POS plan'!BV77,'EGRESO-POS plan'!BV78,'EGRESO-POS plan'!BV81)</f>
        <v>45</v>
      </c>
      <c r="BV28" s="396">
        <f>SUM(BS28:BU28)</f>
        <v>84</v>
      </c>
      <c r="BW28" s="129">
        <f>SUM('EGRESO-POS plan'!BX72,'EGRESO-POS plan'!BX73,'EGRESO-POS plan'!BX74,'EGRESO-POS plan'!BX75,'EGRESO-POS plan'!BX76,'EGRESO-POS plan'!BX77,'EGRESO-POS plan'!BX78,'EGRESO-POS plan'!BX81)</f>
        <v>17</v>
      </c>
      <c r="BX28" s="130">
        <f>SUM('EGRESO-POS plan'!BY72,'EGRESO-POS plan'!BY73,'EGRESO-POS plan'!BY74,'EGRESO-POS plan'!BY75,'EGRESO-POS plan'!BY76,'EGRESO-POS plan'!BY77,'EGRESO-POS plan'!BY78,'EGRESO-POS plan'!BY81)</f>
        <v>11</v>
      </c>
      <c r="BY28" s="130">
        <f>SUM('EGRESO-POS plan'!BZ72,'EGRESO-POS plan'!BZ73,'EGRESO-POS plan'!BZ74,'EGRESO-POS plan'!BZ75,'EGRESO-POS plan'!BZ76,'EGRESO-POS plan'!BZ77,'EGRESO-POS plan'!BZ78,'EGRESO-POS plan'!BZ81)</f>
        <v>28</v>
      </c>
      <c r="BZ28" s="396">
        <f>SUM(BW28:BY28)</f>
        <v>56</v>
      </c>
      <c r="CA28" s="129">
        <f>SUM('EGRESO-POS plan'!CB72,'EGRESO-POS plan'!CB73,'EGRESO-POS plan'!CB74,'EGRESO-POS plan'!CB75,'EGRESO-POS plan'!CB76,'EGRESO-POS plan'!CB77,'EGRESO-POS plan'!CB78,'EGRESO-POS plan'!CB81)</f>
        <v>4</v>
      </c>
      <c r="CB28" s="130">
        <f>SUM('EGRESO-POS plan'!CC72,'EGRESO-POS plan'!CC73,'EGRESO-POS plan'!CC74,'EGRESO-POS plan'!CC75,'EGRESO-POS plan'!CC76,'EGRESO-POS plan'!CC77,'EGRESO-POS plan'!CC78,'EGRESO-POS plan'!CC81)</f>
        <v>30</v>
      </c>
      <c r="CC28" s="130">
        <f>SUM('EGRESO-POS plan'!CD72,'EGRESO-POS plan'!CD73,'EGRESO-POS plan'!CD74,'EGRESO-POS plan'!CD75,'EGRESO-POS plan'!CD76,'EGRESO-POS plan'!CD77,'EGRESO-POS plan'!CD78,'EGRESO-POS plan'!CD81)</f>
        <v>12</v>
      </c>
      <c r="CD28" s="396">
        <f>SUM(CA28:CC28)</f>
        <v>46</v>
      </c>
      <c r="CE28" s="129">
        <f>SUM('EGRESO-POS plan'!CF72:CF81)</f>
        <v>19</v>
      </c>
      <c r="CF28" s="130">
        <f>SUM('EGRESO-POS plan'!CG72:CG81)</f>
        <v>23</v>
      </c>
      <c r="CG28" s="130">
        <f>SUM('EGRESO-POS plan'!CH72:CH81)</f>
        <v>14</v>
      </c>
      <c r="CH28" s="396">
        <f>SUM(CE28:CG28)</f>
        <v>56</v>
      </c>
      <c r="CI28" s="129">
        <f>SUM('EGRESO-POS plan'!CJ72:CJ81)</f>
        <v>0</v>
      </c>
      <c r="CJ28" s="130">
        <f>SUM('EGRESO-POS plan'!CK72:CK81)</f>
        <v>23</v>
      </c>
      <c r="CK28" s="130">
        <f>SUM('EGRESO-POS plan'!CL72:CL81)</f>
        <v>30</v>
      </c>
      <c r="CL28" s="396">
        <f>SUM(CI28:CK28)</f>
        <v>53</v>
      </c>
      <c r="CM28" s="129">
        <f>SUM('EGRESO-POS plan'!CN72:CN81)</f>
        <v>15</v>
      </c>
      <c r="CN28" s="130">
        <f>SUM('EGRESO-POS plan'!CO72:CO81)</f>
        <v>8</v>
      </c>
      <c r="CO28" s="130">
        <f>SUM('EGRESO-POS plan'!CP72:CP81)</f>
        <v>13</v>
      </c>
      <c r="CP28" s="396">
        <f>SUM(CM28:CO28)</f>
        <v>36</v>
      </c>
      <c r="CQ28" s="129">
        <f>SUM('EGRESO-POS plan'!CR72:CR81)</f>
        <v>11</v>
      </c>
      <c r="CR28" s="130">
        <f>SUM('EGRESO-POS plan'!CS72:CS81)</f>
        <v>18</v>
      </c>
      <c r="CS28" s="130">
        <f>SUM('EGRESO-POS plan'!CT72:CT81)</f>
        <v>25</v>
      </c>
      <c r="CT28" s="396">
        <f>SUM(CQ28:CS28)</f>
        <v>54</v>
      </c>
    </row>
    <row r="29" spans="1:98" ht="15" customHeight="1" x14ac:dyDescent="0.25">
      <c r="A29" s="1661"/>
      <c r="B29" s="1339" t="s">
        <v>317</v>
      </c>
      <c r="C29" s="1262">
        <f>+'EGRESO-POS plan'!D82+'EGRESO-POS plan'!D83+'EGRESO-POS plan'!D85+'EGRESO-POS plan'!D86+'EGRESO-POS plan'!D87</f>
        <v>1</v>
      </c>
      <c r="D29" s="1263">
        <f>+'EGRESO-POS plan'!E82+'EGRESO-POS plan'!E83+'EGRESO-POS plan'!E85+'EGRESO-POS plan'!E86+'EGRESO-POS plan'!E87</f>
        <v>0</v>
      </c>
      <c r="E29" s="1263">
        <f>+'EGRESO-POS plan'!F82+'EGRESO-POS plan'!F83+'EGRESO-POS plan'!F85+'EGRESO-POS plan'!F86+'EGRESO-POS plan'!F87</f>
        <v>0</v>
      </c>
      <c r="F29" s="1264">
        <f t="shared" si="45"/>
        <v>1</v>
      </c>
      <c r="G29" s="1262">
        <f>+'EGRESO-POS plan'!H82+'EGRESO-POS plan'!H83+'EGRESO-POS plan'!H85+'EGRESO-POS plan'!H86+'EGRESO-POS plan'!H87</f>
        <v>0</v>
      </c>
      <c r="H29" s="1263">
        <f>+'EGRESO-POS plan'!I82+'EGRESO-POS plan'!I83+'EGRESO-POS plan'!I85+'EGRESO-POS plan'!I86+'EGRESO-POS plan'!I87</f>
        <v>0</v>
      </c>
      <c r="I29" s="1263">
        <f>+'EGRESO-POS plan'!J82+'EGRESO-POS plan'!J83+'EGRESO-POS plan'!J85+'EGRESO-POS plan'!J86+'EGRESO-POS plan'!J87</f>
        <v>6</v>
      </c>
      <c r="J29" s="1264">
        <f t="shared" si="46"/>
        <v>6</v>
      </c>
      <c r="K29" s="1262">
        <f>+'EGRESO-POS plan'!L82+'EGRESO-POS plan'!L83+'EGRESO-POS plan'!L85+'EGRESO-POS plan'!L86+'EGRESO-POS plan'!L87</f>
        <v>1</v>
      </c>
      <c r="L29" s="1263">
        <f>+'EGRESO-POS plan'!M82+'EGRESO-POS plan'!M83+'EGRESO-POS plan'!M85+'EGRESO-POS plan'!M86+'EGRESO-POS plan'!M87</f>
        <v>8</v>
      </c>
      <c r="M29" s="1263">
        <f>+'EGRESO-POS plan'!N82+'EGRESO-POS plan'!N83+'EGRESO-POS plan'!N85+'EGRESO-POS plan'!N86+'EGRESO-POS plan'!N87</f>
        <v>7</v>
      </c>
      <c r="N29" s="1264">
        <f t="shared" si="47"/>
        <v>16</v>
      </c>
      <c r="O29" s="1262">
        <f>+'EGRESO-POS plan'!P82+'EGRESO-POS plan'!P83+'EGRESO-POS plan'!P85+'EGRESO-POS plan'!P86+'EGRESO-POS plan'!P87</f>
        <v>7</v>
      </c>
      <c r="P29" s="1263">
        <f>+'EGRESO-POS plan'!Q82+'EGRESO-POS plan'!Q83+'EGRESO-POS plan'!Q85+'EGRESO-POS plan'!Q86+'EGRESO-POS plan'!Q87</f>
        <v>9</v>
      </c>
      <c r="Q29" s="1263">
        <f>+'EGRESO-POS plan'!R82+'EGRESO-POS plan'!R83+'EGRESO-POS plan'!R85+'EGRESO-POS plan'!R86+'EGRESO-POS plan'!R87</f>
        <v>9</v>
      </c>
      <c r="R29" s="1264">
        <f t="shared" si="48"/>
        <v>25</v>
      </c>
      <c r="S29" s="1262">
        <v>3</v>
      </c>
      <c r="T29" s="1263">
        <v>9</v>
      </c>
      <c r="U29" s="1263">
        <v>21</v>
      </c>
      <c r="V29" s="1264">
        <v>33</v>
      </c>
      <c r="W29" s="1262">
        <v>12</v>
      </c>
      <c r="X29" s="1263">
        <v>17</v>
      </c>
      <c r="Y29" s="1263">
        <v>15</v>
      </c>
      <c r="Z29" s="1337">
        <v>44</v>
      </c>
      <c r="AA29" s="1262">
        <v>5</v>
      </c>
      <c r="AB29" s="1263">
        <v>14</v>
      </c>
      <c r="AC29" s="1263">
        <v>10</v>
      </c>
      <c r="AD29" s="1264">
        <v>29</v>
      </c>
      <c r="AE29" s="1263">
        <v>6</v>
      </c>
      <c r="AF29" s="1263">
        <v>13</v>
      </c>
      <c r="AG29" s="1263">
        <v>30</v>
      </c>
      <c r="AH29" s="1264">
        <v>49</v>
      </c>
      <c r="AI29" s="1263">
        <v>13</v>
      </c>
      <c r="AJ29" s="1263">
        <v>25</v>
      </c>
      <c r="AK29" s="1263">
        <v>15</v>
      </c>
      <c r="AL29" s="1337">
        <v>53</v>
      </c>
      <c r="AM29" s="129">
        <v>12</v>
      </c>
      <c r="AN29" s="130">
        <v>16</v>
      </c>
      <c r="AO29" s="130">
        <v>10</v>
      </c>
      <c r="AP29" s="396">
        <v>38</v>
      </c>
      <c r="AQ29" s="129">
        <v>14</v>
      </c>
      <c r="AR29" s="130">
        <v>17</v>
      </c>
      <c r="AS29" s="130">
        <v>19</v>
      </c>
      <c r="AT29" s="396">
        <v>50</v>
      </c>
      <c r="AU29" s="129">
        <v>12</v>
      </c>
      <c r="AV29" s="130">
        <v>22</v>
      </c>
      <c r="AW29" s="130">
        <v>12</v>
      </c>
      <c r="AX29" s="396">
        <f t="shared" si="49"/>
        <v>46</v>
      </c>
      <c r="AY29" s="129">
        <v>30</v>
      </c>
      <c r="AZ29" s="130">
        <v>16</v>
      </c>
      <c r="BA29" s="130">
        <v>14</v>
      </c>
      <c r="BB29" s="396">
        <f t="shared" si="50"/>
        <v>60</v>
      </c>
      <c r="BC29" s="129">
        <f>SUM('EGRESO-POS plan'!BD82,'EGRESO-POS plan'!BD83,'EGRESO-POS plan'!BD85,'EGRESO-POS plan'!BD86,'EGRESO-POS plan'!BD87)</f>
        <v>17</v>
      </c>
      <c r="BD29" s="130">
        <f>SUM('EGRESO-POS plan'!BE82,'EGRESO-POS plan'!BE83,'EGRESO-POS plan'!BE85,'EGRESO-POS plan'!BE86,'EGRESO-POS plan'!BE87)</f>
        <v>13</v>
      </c>
      <c r="BE29" s="130">
        <f>SUM('EGRESO-POS plan'!BF82,'EGRESO-POS plan'!BF83,'EGRESO-POS plan'!BF85,'EGRESO-POS plan'!BF86,'EGRESO-POS plan'!BF87)</f>
        <v>19</v>
      </c>
      <c r="BF29" s="396">
        <f>SUM(BC29:BE29)</f>
        <v>49</v>
      </c>
      <c r="BG29" s="129">
        <f>SUM('EGRESO-POS plan'!BH82,'EGRESO-POS plan'!BH83,'EGRESO-POS plan'!BH85,'EGRESO-POS plan'!BH86,'EGRESO-POS plan'!BH87)</f>
        <v>19</v>
      </c>
      <c r="BH29" s="130">
        <f>SUM('EGRESO-POS plan'!BI82,'EGRESO-POS plan'!BI83,'EGRESO-POS plan'!BI85,'EGRESO-POS plan'!BI86,'EGRESO-POS plan'!BI87)</f>
        <v>16</v>
      </c>
      <c r="BI29" s="130">
        <f>SUM('EGRESO-POS plan'!BJ82,'EGRESO-POS plan'!BJ83,'EGRESO-POS plan'!BJ85,'EGRESO-POS plan'!BJ86,'EGRESO-POS plan'!BJ87)</f>
        <v>23</v>
      </c>
      <c r="BJ29" s="396">
        <f>SUM(BG29:BI29)</f>
        <v>58</v>
      </c>
      <c r="BK29" s="129">
        <f>SUM('EGRESO-POS plan'!BL82,'EGRESO-POS plan'!BL83,'EGRESO-POS plan'!BL85,'EGRESO-POS plan'!BL86,'EGRESO-POS plan'!BL87)</f>
        <v>22</v>
      </c>
      <c r="BL29" s="130">
        <f>SUM('EGRESO-POS plan'!BM82,'EGRESO-POS plan'!BM83,'EGRESO-POS plan'!BM85,'EGRESO-POS plan'!BM86,'EGRESO-POS plan'!BM87)</f>
        <v>21</v>
      </c>
      <c r="BM29" s="130">
        <f>SUM('EGRESO-POS plan'!BN82,'EGRESO-POS plan'!BN83,'EGRESO-POS plan'!BN85,'EGRESO-POS plan'!BN86,'EGRESO-POS plan'!BN87)</f>
        <v>34</v>
      </c>
      <c r="BN29" s="396">
        <f>SUM(BK29:BM29)</f>
        <v>77</v>
      </c>
      <c r="BO29" s="129">
        <f>SUM('EGRESO-POS plan'!BP82,'EGRESO-POS plan'!BP83,'EGRESO-POS plan'!BP85,'EGRESO-POS plan'!BP86,'EGRESO-POS plan'!BP87)</f>
        <v>16</v>
      </c>
      <c r="BP29" s="130">
        <f>SUM('EGRESO-POS plan'!BQ82,'EGRESO-POS plan'!BQ83,'EGRESO-POS plan'!BQ85,'EGRESO-POS plan'!BQ86,'EGRESO-POS plan'!BQ87)</f>
        <v>17</v>
      </c>
      <c r="BQ29" s="130">
        <f>SUM('EGRESO-POS plan'!BR82,'EGRESO-POS plan'!BR83,'EGRESO-POS plan'!BR85,'EGRESO-POS plan'!BR86,'EGRESO-POS plan'!BR87)</f>
        <v>7</v>
      </c>
      <c r="BR29" s="396">
        <f>SUM(BO29:BQ29)</f>
        <v>40</v>
      </c>
      <c r="BS29" s="129">
        <f>SUM('EGRESO-POS plan'!BT82,'EGRESO-POS plan'!BT83,'EGRESO-POS plan'!BT85,'EGRESO-POS plan'!BT86,'EGRESO-POS plan'!BT87)</f>
        <v>12</v>
      </c>
      <c r="BT29" s="130">
        <f>SUM('EGRESO-POS plan'!BU82,'EGRESO-POS plan'!BU83,'EGRESO-POS plan'!BU85,'EGRESO-POS plan'!BU86,'EGRESO-POS plan'!BU87)</f>
        <v>24</v>
      </c>
      <c r="BU29" s="130">
        <f>SUM('EGRESO-POS plan'!BV82,'EGRESO-POS plan'!BV83,'EGRESO-POS plan'!BV85,'EGRESO-POS plan'!BV86,'EGRESO-POS plan'!BV87)</f>
        <v>31</v>
      </c>
      <c r="BV29" s="396">
        <f>SUM(BS29:BU29)</f>
        <v>67</v>
      </c>
      <c r="BW29" s="129">
        <f>SUM('EGRESO-POS plan'!BX82,'EGRESO-POS plan'!BX83,'EGRESO-POS plan'!BX85,'EGRESO-POS plan'!BX86,'EGRESO-POS plan'!BX87)</f>
        <v>19</v>
      </c>
      <c r="BX29" s="130">
        <f>SUM('EGRESO-POS plan'!BY82,'EGRESO-POS plan'!BY83,'EGRESO-POS plan'!BY85,'EGRESO-POS plan'!BY86,'EGRESO-POS plan'!BY87)</f>
        <v>17</v>
      </c>
      <c r="BY29" s="130">
        <f>SUM('EGRESO-POS plan'!BZ82,'EGRESO-POS plan'!BZ83,'EGRESO-POS plan'!BZ85,'EGRESO-POS plan'!BZ86,'EGRESO-POS plan'!BZ87)</f>
        <v>9</v>
      </c>
      <c r="BZ29" s="396">
        <f>SUM(BW29:BY29)</f>
        <v>45</v>
      </c>
      <c r="CA29" s="129">
        <f>SUM('EGRESO-POS plan'!CB82,'EGRESO-POS plan'!CB83,'EGRESO-POS plan'!CB85,'EGRESO-POS plan'!CB86,'EGRESO-POS plan'!CB87)</f>
        <v>14</v>
      </c>
      <c r="CB29" s="130">
        <f>SUM('EGRESO-POS plan'!CC82,'EGRESO-POS plan'!CC83,'EGRESO-POS plan'!CC85,'EGRESO-POS plan'!CC86,'EGRESO-POS plan'!CC87)</f>
        <v>30</v>
      </c>
      <c r="CC29" s="130">
        <f>SUM('EGRESO-POS plan'!CD82,'EGRESO-POS plan'!CD83,'EGRESO-POS plan'!CD85,'EGRESO-POS plan'!CD86,'EGRESO-POS plan'!CD87)</f>
        <v>24</v>
      </c>
      <c r="CD29" s="396">
        <f>SUM(CA29:CC29)</f>
        <v>68</v>
      </c>
      <c r="CE29" s="129">
        <f>SUM('EGRESO-POS plan'!CF82,'EGRESO-POS plan'!CF83,'EGRESO-POS plan'!CF85,'EGRESO-POS plan'!CF86,'EGRESO-POS plan'!CF87)</f>
        <v>26</v>
      </c>
      <c r="CF29" s="130">
        <f>SUM('EGRESO-POS plan'!CG82,'EGRESO-POS plan'!CG83,'EGRESO-POS plan'!CG85,'EGRESO-POS plan'!CG86,'EGRESO-POS plan'!CG87)</f>
        <v>9</v>
      </c>
      <c r="CG29" s="130">
        <f>SUM('EGRESO-POS plan'!CH82,'EGRESO-POS plan'!CH83,'EGRESO-POS plan'!CH85,'EGRESO-POS plan'!CH86,'EGRESO-POS plan'!CH87)</f>
        <v>21</v>
      </c>
      <c r="CH29" s="396">
        <f>SUM(CE29:CG29)</f>
        <v>56</v>
      </c>
      <c r="CI29" s="129">
        <f>SUM('EGRESO-POS plan'!CJ82,'EGRESO-POS plan'!CJ83,'EGRESO-POS plan'!CJ85,'EGRESO-POS plan'!CJ86,'EGRESO-POS plan'!CJ87)</f>
        <v>6</v>
      </c>
      <c r="CJ29" s="130">
        <f>SUM('EGRESO-POS plan'!CK82,'EGRESO-POS plan'!CK83,'EGRESO-POS plan'!CK85,'EGRESO-POS plan'!CK86,'EGRESO-POS plan'!CK87)</f>
        <v>2</v>
      </c>
      <c r="CK29" s="130">
        <f>SUM('EGRESO-POS plan'!CL82,'EGRESO-POS plan'!CL83,'EGRESO-POS plan'!CL85,'EGRESO-POS plan'!CL86,'EGRESO-POS plan'!CL87)</f>
        <v>30</v>
      </c>
      <c r="CL29" s="396">
        <f>SUM(CI29:CK29)</f>
        <v>38</v>
      </c>
      <c r="CM29" s="129">
        <f>SUM('EGRESO-POS plan'!CN82,'EGRESO-POS plan'!CN83,'EGRESO-POS plan'!CN85,'EGRESO-POS plan'!CN86,'EGRESO-POS plan'!CN87)</f>
        <v>13</v>
      </c>
      <c r="CN29" s="130">
        <f>SUM('EGRESO-POS plan'!CO82,'EGRESO-POS plan'!CO83,'EGRESO-POS plan'!CO85,'EGRESO-POS plan'!CO86,'EGRESO-POS plan'!CO87)</f>
        <v>7</v>
      </c>
      <c r="CO29" s="130">
        <f>SUM('EGRESO-POS plan'!CP82:CP88)</f>
        <v>7</v>
      </c>
      <c r="CP29" s="396">
        <f>SUM(CM29:CO29)</f>
        <v>27</v>
      </c>
      <c r="CQ29" s="129">
        <f>SUM('EGRESO-POS plan'!CR82:CR88)</f>
        <v>10</v>
      </c>
      <c r="CR29" s="130">
        <f>SUM('EGRESO-POS plan'!CS82,'EGRESO-POS plan'!CS83,'EGRESO-POS plan'!CS85,'EGRESO-POS plan'!CS86,'EGRESO-POS plan'!CS87)</f>
        <v>5</v>
      </c>
      <c r="CS29" s="130">
        <f>SUM('EGRESO-POS plan'!CT82:CT88)</f>
        <v>28</v>
      </c>
      <c r="CT29" s="396">
        <f>SUM(CQ29:CS29)</f>
        <v>43</v>
      </c>
    </row>
    <row r="30" spans="1:98" s="1330" customFormat="1" ht="15" customHeight="1" x14ac:dyDescent="0.25">
      <c r="A30" s="1661"/>
      <c r="B30" s="1342" t="s">
        <v>64</v>
      </c>
      <c r="C30" s="1662">
        <f>SUM(C27:C29)</f>
        <v>8</v>
      </c>
      <c r="D30" s="1663">
        <f>SUM(D27:D29)</f>
        <v>7</v>
      </c>
      <c r="E30" s="1663">
        <f>SUM(E27:E29)</f>
        <v>44</v>
      </c>
      <c r="F30" s="1310">
        <f t="shared" si="45"/>
        <v>59</v>
      </c>
      <c r="G30" s="1662">
        <f>SUM(G27:G29)</f>
        <v>5</v>
      </c>
      <c r="H30" s="1663">
        <f>SUM(H27:H29)</f>
        <v>27</v>
      </c>
      <c r="I30" s="1663">
        <f>SUM(I27:I29)</f>
        <v>18</v>
      </c>
      <c r="J30" s="1310">
        <f t="shared" si="46"/>
        <v>50</v>
      </c>
      <c r="K30" s="1662">
        <f>SUM(K27:K29)</f>
        <v>9</v>
      </c>
      <c r="L30" s="1663">
        <f>SUM(L27:L29)</f>
        <v>55</v>
      </c>
      <c r="M30" s="1663">
        <f>SUM(M27:M29)</f>
        <v>24</v>
      </c>
      <c r="N30" s="1310">
        <f t="shared" si="47"/>
        <v>88</v>
      </c>
      <c r="O30" s="1662">
        <f>SUM(O27:O29)</f>
        <v>18</v>
      </c>
      <c r="P30" s="1663">
        <f>SUM(P27:P29)</f>
        <v>22</v>
      </c>
      <c r="Q30" s="1663">
        <f>SUM(Q27:Q29)</f>
        <v>17</v>
      </c>
      <c r="R30" s="1310">
        <f t="shared" si="48"/>
        <v>57</v>
      </c>
      <c r="S30" s="1662">
        <v>16</v>
      </c>
      <c r="T30" s="1663">
        <v>26</v>
      </c>
      <c r="U30" s="1663">
        <v>40</v>
      </c>
      <c r="V30" s="1310">
        <v>82</v>
      </c>
      <c r="W30" s="1662">
        <v>22</v>
      </c>
      <c r="X30" s="1663">
        <v>69</v>
      </c>
      <c r="Y30" s="1663">
        <v>26</v>
      </c>
      <c r="Z30" s="1663">
        <v>117</v>
      </c>
      <c r="AA30" s="1662">
        <v>13</v>
      </c>
      <c r="AB30" s="1663">
        <v>93</v>
      </c>
      <c r="AC30" s="1663">
        <v>18</v>
      </c>
      <c r="AD30" s="1310">
        <v>124</v>
      </c>
      <c r="AE30" s="1663">
        <v>10</v>
      </c>
      <c r="AF30" s="1663">
        <v>53</v>
      </c>
      <c r="AG30" s="1663">
        <v>101</v>
      </c>
      <c r="AH30" s="1310">
        <v>164</v>
      </c>
      <c r="AI30" s="1663">
        <v>24</v>
      </c>
      <c r="AJ30" s="1663">
        <v>59</v>
      </c>
      <c r="AK30" s="1663">
        <v>26</v>
      </c>
      <c r="AL30" s="1663">
        <v>109</v>
      </c>
      <c r="AM30" s="630">
        <v>80</v>
      </c>
      <c r="AN30" s="1664">
        <v>44</v>
      </c>
      <c r="AO30" s="1664">
        <v>26</v>
      </c>
      <c r="AP30" s="1664">
        <v>150</v>
      </c>
      <c r="AQ30" s="630">
        <v>30</v>
      </c>
      <c r="AR30" s="1664">
        <v>59</v>
      </c>
      <c r="AS30" s="1664">
        <v>36</v>
      </c>
      <c r="AT30" s="1665">
        <v>125</v>
      </c>
      <c r="AU30" s="630">
        <f>SUM(AU27:AU29)</f>
        <v>33</v>
      </c>
      <c r="AV30" s="1664">
        <f>SUM(AV27:AV29)</f>
        <v>81</v>
      </c>
      <c r="AW30" s="1664">
        <f>SUM(AW27:AW29)</f>
        <v>26</v>
      </c>
      <c r="AX30" s="1665">
        <f t="shared" si="49"/>
        <v>140</v>
      </c>
      <c r="AY30" s="630">
        <f>SUM(AY27:AY29)</f>
        <v>141</v>
      </c>
      <c r="AZ30" s="1664">
        <f>SUM(AZ27:AZ29)</f>
        <v>48</v>
      </c>
      <c r="BA30" s="1664">
        <f>SUM(BA27:BA29)</f>
        <v>77</v>
      </c>
      <c r="BB30" s="1665">
        <f t="shared" si="50"/>
        <v>266</v>
      </c>
      <c r="BC30" s="630">
        <f t="shared" ref="BC30:CL30" si="54">SUM(BC27:BC29)</f>
        <v>33</v>
      </c>
      <c r="BD30" s="1664">
        <f t="shared" si="54"/>
        <v>84</v>
      </c>
      <c r="BE30" s="1664">
        <f t="shared" si="54"/>
        <v>95</v>
      </c>
      <c r="BF30" s="1665">
        <f t="shared" si="54"/>
        <v>212</v>
      </c>
      <c r="BG30" s="630">
        <f t="shared" si="54"/>
        <v>64</v>
      </c>
      <c r="BH30" s="1664">
        <f t="shared" si="54"/>
        <v>38</v>
      </c>
      <c r="BI30" s="1664">
        <f t="shared" si="54"/>
        <v>37</v>
      </c>
      <c r="BJ30" s="1665">
        <f t="shared" si="54"/>
        <v>139</v>
      </c>
      <c r="BK30" s="630">
        <f t="shared" si="54"/>
        <v>33</v>
      </c>
      <c r="BL30" s="1664">
        <f t="shared" si="54"/>
        <v>72</v>
      </c>
      <c r="BM30" s="1664">
        <f t="shared" si="54"/>
        <v>110</v>
      </c>
      <c r="BN30" s="1665">
        <f t="shared" si="54"/>
        <v>215</v>
      </c>
      <c r="BO30" s="630">
        <f t="shared" si="54"/>
        <v>28</v>
      </c>
      <c r="BP30" s="1664">
        <f t="shared" si="54"/>
        <v>34</v>
      </c>
      <c r="BQ30" s="1664">
        <f t="shared" si="54"/>
        <v>20</v>
      </c>
      <c r="BR30" s="1665">
        <f t="shared" si="54"/>
        <v>82</v>
      </c>
      <c r="BS30" s="630">
        <f t="shared" si="54"/>
        <v>44</v>
      </c>
      <c r="BT30" s="1664">
        <f t="shared" si="54"/>
        <v>61</v>
      </c>
      <c r="BU30" s="1664">
        <f t="shared" si="54"/>
        <v>93</v>
      </c>
      <c r="BV30" s="1665">
        <f t="shared" si="54"/>
        <v>198</v>
      </c>
      <c r="BW30" s="630">
        <f t="shared" si="54"/>
        <v>38</v>
      </c>
      <c r="BX30" s="1664">
        <f t="shared" si="54"/>
        <v>28</v>
      </c>
      <c r="BY30" s="1664">
        <f t="shared" si="54"/>
        <v>49</v>
      </c>
      <c r="BZ30" s="1665">
        <f t="shared" si="54"/>
        <v>115</v>
      </c>
      <c r="CA30" s="630">
        <f t="shared" si="54"/>
        <v>18</v>
      </c>
      <c r="CB30" s="1664">
        <f t="shared" si="54"/>
        <v>112</v>
      </c>
      <c r="CC30" s="1664">
        <f t="shared" si="54"/>
        <v>36</v>
      </c>
      <c r="CD30" s="1665">
        <f t="shared" si="54"/>
        <v>166</v>
      </c>
      <c r="CE30" s="630">
        <f t="shared" si="54"/>
        <v>45</v>
      </c>
      <c r="CF30" s="1664">
        <f t="shared" si="54"/>
        <v>72</v>
      </c>
      <c r="CG30" s="1664">
        <f t="shared" si="54"/>
        <v>35</v>
      </c>
      <c r="CH30" s="1665">
        <f t="shared" si="54"/>
        <v>152</v>
      </c>
      <c r="CI30" s="630">
        <f t="shared" si="54"/>
        <v>6</v>
      </c>
      <c r="CJ30" s="1664">
        <f t="shared" si="54"/>
        <v>51</v>
      </c>
      <c r="CK30" s="1664">
        <f t="shared" si="54"/>
        <v>62</v>
      </c>
      <c r="CL30" s="1665">
        <f t="shared" si="54"/>
        <v>119</v>
      </c>
      <c r="CM30" s="630">
        <f t="shared" ref="CM30:CP30" si="55">SUM(CM27:CM29)</f>
        <v>28</v>
      </c>
      <c r="CN30" s="1664">
        <f t="shared" si="55"/>
        <v>75</v>
      </c>
      <c r="CO30" s="1664">
        <f t="shared" si="55"/>
        <v>20</v>
      </c>
      <c r="CP30" s="1665">
        <f t="shared" si="55"/>
        <v>123</v>
      </c>
      <c r="CQ30" s="630">
        <f t="shared" ref="CQ30:CT30" si="56">SUM(CQ27:CQ29)</f>
        <v>21</v>
      </c>
      <c r="CR30" s="1664">
        <f t="shared" si="56"/>
        <v>24</v>
      </c>
      <c r="CS30" s="1664">
        <f t="shared" si="56"/>
        <v>89</v>
      </c>
      <c r="CT30" s="1665">
        <f t="shared" si="56"/>
        <v>134</v>
      </c>
    </row>
    <row r="31" spans="1:98" ht="15" customHeight="1" x14ac:dyDescent="0.25">
      <c r="A31" s="1661"/>
      <c r="B31" s="1334" t="s">
        <v>308</v>
      </c>
      <c r="C31" s="1258">
        <f>+'EGRESO-POS plan'!D90+'EGRESO-POS plan'!D91</f>
        <v>0</v>
      </c>
      <c r="D31" s="1259">
        <f>+'EGRESO-POS plan'!E90+'EGRESO-POS plan'!E91</f>
        <v>0</v>
      </c>
      <c r="E31" s="1259">
        <f>+'EGRESO-POS plan'!F90+'EGRESO-POS plan'!F91</f>
        <v>1</v>
      </c>
      <c r="F31" s="1260">
        <f t="shared" si="45"/>
        <v>1</v>
      </c>
      <c r="G31" s="1258">
        <f>+'EGRESO-POS plan'!H90+'EGRESO-POS plan'!H91</f>
        <v>2</v>
      </c>
      <c r="H31" s="1259">
        <f>+'EGRESO-POS plan'!I90+'EGRESO-POS plan'!I91</f>
        <v>0</v>
      </c>
      <c r="I31" s="1259">
        <f>+'EGRESO-POS plan'!J90+'EGRESO-POS plan'!J91</f>
        <v>0</v>
      </c>
      <c r="J31" s="1260">
        <f t="shared" si="46"/>
        <v>2</v>
      </c>
      <c r="K31" s="1258">
        <f>+'EGRESO-POS plan'!L90+'EGRESO-POS plan'!L91</f>
        <v>0</v>
      </c>
      <c r="L31" s="1259">
        <f>+'EGRESO-POS plan'!M90+'EGRESO-POS plan'!M91</f>
        <v>4</v>
      </c>
      <c r="M31" s="1259">
        <f>+'EGRESO-POS plan'!N90+'EGRESO-POS plan'!N91</f>
        <v>5</v>
      </c>
      <c r="N31" s="1260">
        <f t="shared" si="47"/>
        <v>9</v>
      </c>
      <c r="O31" s="1258">
        <f>+'EGRESO-POS plan'!P90+'EGRESO-POS plan'!P91</f>
        <v>0</v>
      </c>
      <c r="P31" s="1259">
        <f>+'EGRESO-POS plan'!Q90+'EGRESO-POS plan'!Q91</f>
        <v>1</v>
      </c>
      <c r="Q31" s="1259">
        <f>+'EGRESO-POS plan'!R90+'EGRESO-POS plan'!R91</f>
        <v>0</v>
      </c>
      <c r="R31" s="1260">
        <f t="shared" si="48"/>
        <v>1</v>
      </c>
      <c r="S31" s="1258">
        <v>14</v>
      </c>
      <c r="T31" s="1259">
        <v>6</v>
      </c>
      <c r="U31" s="1259">
        <v>1</v>
      </c>
      <c r="V31" s="1260">
        <v>21</v>
      </c>
      <c r="W31" s="1258">
        <v>1</v>
      </c>
      <c r="X31" s="1259">
        <v>7</v>
      </c>
      <c r="Y31" s="1259">
        <v>6</v>
      </c>
      <c r="Z31" s="1298">
        <v>14</v>
      </c>
      <c r="AA31" s="1258">
        <v>3</v>
      </c>
      <c r="AB31" s="1259">
        <v>9</v>
      </c>
      <c r="AC31" s="1259">
        <v>4</v>
      </c>
      <c r="AD31" s="1260">
        <v>16</v>
      </c>
      <c r="AE31" s="1259">
        <v>0</v>
      </c>
      <c r="AF31" s="1259">
        <v>6</v>
      </c>
      <c r="AG31" s="1259">
        <v>5</v>
      </c>
      <c r="AH31" s="1260">
        <v>11</v>
      </c>
      <c r="AI31" s="1259">
        <v>4</v>
      </c>
      <c r="AJ31" s="1259">
        <v>8</v>
      </c>
      <c r="AK31" s="1259">
        <v>10</v>
      </c>
      <c r="AL31" s="1298">
        <v>22</v>
      </c>
      <c r="AM31" s="151">
        <v>5</v>
      </c>
      <c r="AN31" s="152">
        <v>6</v>
      </c>
      <c r="AO31" s="152">
        <v>5</v>
      </c>
      <c r="AP31" s="395">
        <v>16</v>
      </c>
      <c r="AQ31" s="151">
        <v>7</v>
      </c>
      <c r="AR31" s="152">
        <v>15</v>
      </c>
      <c r="AS31" s="152">
        <v>3</v>
      </c>
      <c r="AT31" s="395">
        <v>25</v>
      </c>
      <c r="AU31" s="151">
        <v>3</v>
      </c>
      <c r="AV31" s="152">
        <v>11</v>
      </c>
      <c r="AW31" s="152">
        <v>8</v>
      </c>
      <c r="AX31" s="395">
        <f t="shared" si="49"/>
        <v>22</v>
      </c>
      <c r="AY31" s="151">
        <v>7</v>
      </c>
      <c r="AZ31" s="152">
        <v>8</v>
      </c>
      <c r="BA31" s="152">
        <v>7</v>
      </c>
      <c r="BB31" s="395">
        <f t="shared" si="50"/>
        <v>22</v>
      </c>
      <c r="BC31" s="151">
        <f>SUM('EGRESO-POS plan'!BD90,'EGRESO-POS plan'!BD91)</f>
        <v>3</v>
      </c>
      <c r="BD31" s="152">
        <f>SUM('EGRESO-POS plan'!BE90,'EGRESO-POS plan'!BE91)</f>
        <v>8</v>
      </c>
      <c r="BE31" s="152">
        <f>SUM('EGRESO-POS plan'!BF90,'EGRESO-POS plan'!BF91)</f>
        <v>6</v>
      </c>
      <c r="BF31" s="395">
        <f>SUM(BC31:BE31)</f>
        <v>17</v>
      </c>
      <c r="BG31" s="151">
        <f>SUM('EGRESO-POS plan'!BH90,'EGRESO-POS plan'!BH91)</f>
        <v>7</v>
      </c>
      <c r="BH31" s="152">
        <f>SUM('EGRESO-POS plan'!BI90,'EGRESO-POS plan'!BI91)</f>
        <v>9</v>
      </c>
      <c r="BI31" s="152">
        <f>SUM('EGRESO-POS plan'!BJ90,'EGRESO-POS plan'!BJ91)</f>
        <v>13</v>
      </c>
      <c r="BJ31" s="395">
        <f>SUM(BG31:BI31)</f>
        <v>29</v>
      </c>
      <c r="BK31" s="151">
        <f>SUM('EGRESO-POS plan'!BL90,'EGRESO-POS plan'!BL91)</f>
        <v>1</v>
      </c>
      <c r="BL31" s="152">
        <f>SUM('EGRESO-POS plan'!BM90,'EGRESO-POS plan'!BM91)</f>
        <v>6</v>
      </c>
      <c r="BM31" s="152">
        <f>SUM('EGRESO-POS plan'!BN90,'EGRESO-POS plan'!BN91)</f>
        <v>5</v>
      </c>
      <c r="BN31" s="395">
        <f>SUM(BK31:BM31)</f>
        <v>12</v>
      </c>
      <c r="BO31" s="151">
        <f>SUM('EGRESO-POS plan'!BP90,'EGRESO-POS plan'!BP91)</f>
        <v>5</v>
      </c>
      <c r="BP31" s="152">
        <f>SUM('EGRESO-POS plan'!BQ90,'EGRESO-POS plan'!BQ91)</f>
        <v>5</v>
      </c>
      <c r="BQ31" s="152">
        <f>SUM('EGRESO-POS plan'!BR90,'EGRESO-POS plan'!BR91)</f>
        <v>10</v>
      </c>
      <c r="BR31" s="395">
        <f>SUM(BO31:BQ31)</f>
        <v>20</v>
      </c>
      <c r="BS31" s="151">
        <f>SUM('EGRESO-POS plan'!BT90,'EGRESO-POS plan'!BT91)</f>
        <v>4</v>
      </c>
      <c r="BT31" s="152">
        <f>SUM('EGRESO-POS plan'!BU90,'EGRESO-POS plan'!BU91)</f>
        <v>8</v>
      </c>
      <c r="BU31" s="152">
        <f>SUM('EGRESO-POS plan'!BV90,'EGRESO-POS plan'!BV91)</f>
        <v>9</v>
      </c>
      <c r="BV31" s="395">
        <f>SUM(BS31:BU31)</f>
        <v>21</v>
      </c>
      <c r="BW31" s="151">
        <f>SUM('EGRESO-POS plan'!BX90,'EGRESO-POS plan'!BX91)</f>
        <v>5</v>
      </c>
      <c r="BX31" s="152">
        <f>SUM('EGRESO-POS plan'!BY90,'EGRESO-POS plan'!BY91)</f>
        <v>9</v>
      </c>
      <c r="BY31" s="152">
        <f>SUM('EGRESO-POS plan'!BZ90,'EGRESO-POS plan'!BZ91)</f>
        <v>2</v>
      </c>
      <c r="BZ31" s="395">
        <f>SUM(BW31:BY31)</f>
        <v>16</v>
      </c>
      <c r="CA31" s="151">
        <f>SUM('EGRESO-POS plan'!CB90,'EGRESO-POS plan'!CB91)</f>
        <v>1</v>
      </c>
      <c r="CB31" s="152">
        <f>SUM('EGRESO-POS plan'!CC90,'EGRESO-POS plan'!CC91)</f>
        <v>5</v>
      </c>
      <c r="CC31" s="152">
        <f>SUM('EGRESO-POS plan'!CD90,'EGRESO-POS plan'!CD91)</f>
        <v>9</v>
      </c>
      <c r="CD31" s="395">
        <f>SUM(CA31:CC31)</f>
        <v>15</v>
      </c>
      <c r="CE31" s="151">
        <f>SUM('EGRESO-POS plan'!CF90,'EGRESO-POS plan'!CF91)</f>
        <v>1</v>
      </c>
      <c r="CF31" s="152">
        <f>SUM('EGRESO-POS plan'!CG90,'EGRESO-POS plan'!CG91)</f>
        <v>2</v>
      </c>
      <c r="CG31" s="152">
        <f>SUM('EGRESO-POS plan'!CH90,'EGRESO-POS plan'!CH91)</f>
        <v>1</v>
      </c>
      <c r="CH31" s="395">
        <f>SUM(CE31:CG31)</f>
        <v>4</v>
      </c>
      <c r="CI31" s="151">
        <f>SUM('EGRESO-POS plan'!CJ90,'EGRESO-POS plan'!CJ91)</f>
        <v>2</v>
      </c>
      <c r="CJ31" s="152">
        <f>SUM('EGRESO-POS plan'!CK90,'EGRESO-POS plan'!CK91)</f>
        <v>1</v>
      </c>
      <c r="CK31" s="152">
        <f>SUM('EGRESO-POS plan'!CL90,'EGRESO-POS plan'!CL91)</f>
        <v>2</v>
      </c>
      <c r="CL31" s="395">
        <f>SUM(CI31:CK31)</f>
        <v>5</v>
      </c>
      <c r="CM31" s="151">
        <f>SUM('EGRESO-POS plan'!CN90,'EGRESO-POS plan'!CN91)</f>
        <v>1</v>
      </c>
      <c r="CN31" s="152">
        <f>SUM('EGRESO-POS plan'!CO90,'EGRESO-POS plan'!CO91)</f>
        <v>0</v>
      </c>
      <c r="CO31" s="152">
        <f>SUM('EGRESO-POS plan'!CP90,'EGRESO-POS plan'!CP91)</f>
        <v>5</v>
      </c>
      <c r="CP31" s="395">
        <f>SUM(CM31:CO31)</f>
        <v>6</v>
      </c>
      <c r="CQ31" s="151">
        <f>SUM('EGRESO-POS plan'!CR90,'EGRESO-POS plan'!CR91)</f>
        <v>1</v>
      </c>
      <c r="CR31" s="152">
        <f>SUM('EGRESO-POS plan'!CS90,'EGRESO-POS plan'!CS91)</f>
        <v>0</v>
      </c>
      <c r="CS31" s="152">
        <f>SUM('EGRESO-POS plan'!CT90,'EGRESO-POS plan'!CT91)</f>
        <v>1</v>
      </c>
      <c r="CT31" s="395">
        <f>SUM(CQ31:CS31)</f>
        <v>2</v>
      </c>
    </row>
    <row r="32" spans="1:98" ht="15" customHeight="1" x14ac:dyDescent="0.25">
      <c r="A32" s="1661"/>
      <c r="B32" s="1336" t="s">
        <v>310</v>
      </c>
      <c r="C32" s="1262">
        <f>+'EGRESO-POS plan'!D92+'EGRESO-POS plan'!D93+'EGRESO-POS plan'!D94+'EGRESO-POS plan'!D95+'EGRESO-POS plan'!D96</f>
        <v>1</v>
      </c>
      <c r="D32" s="1263">
        <f>+'EGRESO-POS plan'!E92+'EGRESO-POS plan'!E93+'EGRESO-POS plan'!E94+'EGRESO-POS plan'!E95+'EGRESO-POS plan'!E96</f>
        <v>10</v>
      </c>
      <c r="E32" s="1263">
        <f>+'EGRESO-POS plan'!F92+'EGRESO-POS plan'!F93+'EGRESO-POS plan'!F94+'EGRESO-POS plan'!F95+'EGRESO-POS plan'!F96</f>
        <v>11</v>
      </c>
      <c r="F32" s="1264">
        <f t="shared" si="45"/>
        <v>22</v>
      </c>
      <c r="G32" s="1262">
        <f>+'EGRESO-POS plan'!H92+'EGRESO-POS plan'!H93+'EGRESO-POS plan'!H94+'EGRESO-POS plan'!H95+'EGRESO-POS plan'!H96</f>
        <v>5</v>
      </c>
      <c r="H32" s="1263">
        <f>+'EGRESO-POS plan'!I92+'EGRESO-POS plan'!I93+'EGRESO-POS plan'!I94+'EGRESO-POS plan'!I95+'EGRESO-POS plan'!I96</f>
        <v>10</v>
      </c>
      <c r="I32" s="1263">
        <f>+'EGRESO-POS plan'!J92+'EGRESO-POS plan'!J93+'EGRESO-POS plan'!J94+'EGRESO-POS plan'!J95+'EGRESO-POS plan'!J96</f>
        <v>3</v>
      </c>
      <c r="J32" s="1264">
        <f t="shared" si="46"/>
        <v>18</v>
      </c>
      <c r="K32" s="1262">
        <f>+'EGRESO-POS plan'!L92+'EGRESO-POS plan'!L93+'EGRESO-POS plan'!L94+'EGRESO-POS plan'!L95+'EGRESO-POS plan'!L96</f>
        <v>3</v>
      </c>
      <c r="L32" s="1263">
        <f>+'EGRESO-POS plan'!M92+'EGRESO-POS plan'!M93+'EGRESO-POS plan'!M94+'EGRESO-POS plan'!M95+'EGRESO-POS plan'!M96</f>
        <v>9</v>
      </c>
      <c r="M32" s="1263">
        <f>+'EGRESO-POS plan'!N92+'EGRESO-POS plan'!N93+'EGRESO-POS plan'!N94+'EGRESO-POS plan'!N95+'EGRESO-POS plan'!N96</f>
        <v>18</v>
      </c>
      <c r="N32" s="1264">
        <f t="shared" si="47"/>
        <v>30</v>
      </c>
      <c r="O32" s="1262">
        <f>+'EGRESO-POS plan'!P92+'EGRESO-POS plan'!P93+'EGRESO-POS plan'!P94+'EGRESO-POS plan'!P95+'EGRESO-POS plan'!P96</f>
        <v>5</v>
      </c>
      <c r="P32" s="1263">
        <f>+'EGRESO-POS plan'!Q92+'EGRESO-POS plan'!Q93+'EGRESO-POS plan'!Q94+'EGRESO-POS plan'!Q95+'EGRESO-POS plan'!Q96</f>
        <v>13</v>
      </c>
      <c r="Q32" s="1263">
        <f>+'EGRESO-POS plan'!R92+'EGRESO-POS plan'!R93+'EGRESO-POS plan'!R94+'EGRESO-POS plan'!R95+'EGRESO-POS plan'!R96</f>
        <v>9</v>
      </c>
      <c r="R32" s="1264">
        <f t="shared" si="48"/>
        <v>27</v>
      </c>
      <c r="S32" s="1262">
        <v>3</v>
      </c>
      <c r="T32" s="1263">
        <v>6</v>
      </c>
      <c r="U32" s="1263">
        <v>14</v>
      </c>
      <c r="V32" s="1264">
        <v>23</v>
      </c>
      <c r="W32" s="1262">
        <v>4</v>
      </c>
      <c r="X32" s="1263">
        <v>25</v>
      </c>
      <c r="Y32" s="1263">
        <v>13</v>
      </c>
      <c r="Z32" s="1337">
        <v>42</v>
      </c>
      <c r="AA32" s="1262">
        <v>8</v>
      </c>
      <c r="AB32" s="1263">
        <v>7</v>
      </c>
      <c r="AC32" s="1263">
        <v>15</v>
      </c>
      <c r="AD32" s="1264">
        <v>30</v>
      </c>
      <c r="AE32" s="1263">
        <v>8</v>
      </c>
      <c r="AF32" s="1263">
        <v>13</v>
      </c>
      <c r="AG32" s="1263">
        <v>14</v>
      </c>
      <c r="AH32" s="1264">
        <v>35</v>
      </c>
      <c r="AI32" s="1263">
        <v>11</v>
      </c>
      <c r="AJ32" s="1263">
        <v>6</v>
      </c>
      <c r="AK32" s="1263">
        <v>7</v>
      </c>
      <c r="AL32" s="1337">
        <v>24</v>
      </c>
      <c r="AM32" s="129">
        <v>14</v>
      </c>
      <c r="AN32" s="130">
        <v>7</v>
      </c>
      <c r="AO32" s="130">
        <v>13</v>
      </c>
      <c r="AP32" s="396">
        <v>34</v>
      </c>
      <c r="AQ32" s="129">
        <v>9</v>
      </c>
      <c r="AR32" s="130">
        <v>6</v>
      </c>
      <c r="AS32" s="130">
        <v>19</v>
      </c>
      <c r="AT32" s="396">
        <v>34</v>
      </c>
      <c r="AU32" s="129">
        <v>27</v>
      </c>
      <c r="AV32" s="130">
        <v>16</v>
      </c>
      <c r="AW32" s="130">
        <v>9</v>
      </c>
      <c r="AX32" s="396">
        <f t="shared" si="49"/>
        <v>52</v>
      </c>
      <c r="AY32" s="129">
        <v>8</v>
      </c>
      <c r="AZ32" s="130">
        <v>20</v>
      </c>
      <c r="BA32" s="130">
        <v>19</v>
      </c>
      <c r="BB32" s="396">
        <f t="shared" si="50"/>
        <v>47</v>
      </c>
      <c r="BC32" s="129">
        <f>SUM('EGRESO-POS plan'!BD92,'EGRESO-POS plan'!BD93,'EGRESO-POS plan'!BD94,'EGRESO-POS plan'!BD95)</f>
        <v>18</v>
      </c>
      <c r="BD32" s="130">
        <f>SUM('EGRESO-POS plan'!BE92,'EGRESO-POS plan'!BE93,'EGRESO-POS plan'!BE94,'EGRESO-POS plan'!BE95)</f>
        <v>12</v>
      </c>
      <c r="BE32" s="130">
        <f>SUM('EGRESO-POS plan'!BF92,'EGRESO-POS plan'!BF93,'EGRESO-POS plan'!BF94,'EGRESO-POS plan'!BF95)</f>
        <v>15</v>
      </c>
      <c r="BF32" s="396">
        <f>SUM(BC32:BE32)</f>
        <v>45</v>
      </c>
      <c r="BG32" s="129">
        <f>SUM('EGRESO-POS plan'!BH92,'EGRESO-POS plan'!BH93,'EGRESO-POS plan'!BH94,'EGRESO-POS plan'!BH95)</f>
        <v>10</v>
      </c>
      <c r="BH32" s="130">
        <f>SUM('EGRESO-POS plan'!BI92,'EGRESO-POS plan'!BI93,'EGRESO-POS plan'!BI94,'EGRESO-POS plan'!BI95)</f>
        <v>16</v>
      </c>
      <c r="BI32" s="130">
        <f>SUM('EGRESO-POS plan'!BJ92,'EGRESO-POS plan'!BJ93,'EGRESO-POS plan'!BJ94,'EGRESO-POS plan'!BJ95)</f>
        <v>26</v>
      </c>
      <c r="BJ32" s="396">
        <f>SUM(BG32:BI32)</f>
        <v>52</v>
      </c>
      <c r="BK32" s="129">
        <f>SUM('EGRESO-POS plan'!BL92,'EGRESO-POS plan'!BL93,'EGRESO-POS plan'!BL94,'EGRESO-POS plan'!BL95)</f>
        <v>20</v>
      </c>
      <c r="BL32" s="130">
        <f>SUM('EGRESO-POS plan'!BM92,'EGRESO-POS plan'!BM93,'EGRESO-POS plan'!BM94,'EGRESO-POS plan'!BM95)</f>
        <v>22</v>
      </c>
      <c r="BM32" s="130">
        <f>SUM('EGRESO-POS plan'!BN92,'EGRESO-POS plan'!BN93,'EGRESO-POS plan'!BN94,'EGRESO-POS plan'!BN95)</f>
        <v>21</v>
      </c>
      <c r="BN32" s="396">
        <f>SUM(BK32:BM32)</f>
        <v>63</v>
      </c>
      <c r="BO32" s="129">
        <f>SUM('EGRESO-POS plan'!BP92,'EGRESO-POS plan'!BP93,'EGRESO-POS plan'!BP94,'EGRESO-POS plan'!BP95)</f>
        <v>8</v>
      </c>
      <c r="BP32" s="130">
        <f>SUM('EGRESO-POS plan'!BQ92,'EGRESO-POS plan'!BQ93,'EGRESO-POS plan'!BQ94,'EGRESO-POS plan'!BQ95)</f>
        <v>32</v>
      </c>
      <c r="BQ32" s="130">
        <f>SUM('EGRESO-POS plan'!BR92,'EGRESO-POS plan'!BR93,'EGRESO-POS plan'!BR94,'EGRESO-POS plan'!BR95)</f>
        <v>18</v>
      </c>
      <c r="BR32" s="396">
        <f>SUM(BO32:BQ32)</f>
        <v>58</v>
      </c>
      <c r="BS32" s="129">
        <f>SUM('EGRESO-POS plan'!BT92,'EGRESO-POS plan'!BT93,'EGRESO-POS plan'!BT94,'EGRESO-POS plan'!BT95)</f>
        <v>22</v>
      </c>
      <c r="BT32" s="130">
        <f>SUM('EGRESO-POS plan'!BU92,'EGRESO-POS plan'!BU93,'EGRESO-POS plan'!BU94,'EGRESO-POS plan'!BU95)</f>
        <v>19</v>
      </c>
      <c r="BU32" s="130">
        <f>SUM('EGRESO-POS plan'!BV92,'EGRESO-POS plan'!BV93,'EGRESO-POS plan'!BV94,'EGRESO-POS plan'!BV95)</f>
        <v>32</v>
      </c>
      <c r="BV32" s="396">
        <f>SUM(BS32:BU32)</f>
        <v>73</v>
      </c>
      <c r="BW32" s="129">
        <f>SUM('EGRESO-POS plan'!BX92,'EGRESO-POS plan'!BX93,'EGRESO-POS plan'!BX94,'EGRESO-POS plan'!BX95)</f>
        <v>13</v>
      </c>
      <c r="BX32" s="130">
        <f>SUM('EGRESO-POS plan'!BY92,'EGRESO-POS plan'!BY93,'EGRESO-POS plan'!BY94,'EGRESO-POS plan'!BY95)</f>
        <v>16</v>
      </c>
      <c r="BY32" s="130">
        <f>SUM('EGRESO-POS plan'!BZ92,'EGRESO-POS plan'!BZ93,'EGRESO-POS plan'!BZ94,'EGRESO-POS plan'!BZ95)</f>
        <v>19</v>
      </c>
      <c r="BZ32" s="396">
        <f>SUM(BW32:BY32)</f>
        <v>48</v>
      </c>
      <c r="CA32" s="129">
        <f>SUM('EGRESO-POS plan'!CB92,'EGRESO-POS plan'!CB93,'EGRESO-POS plan'!CB94,'EGRESO-POS plan'!CB95)</f>
        <v>13</v>
      </c>
      <c r="CB32" s="130">
        <f>SUM('EGRESO-POS plan'!CC92,'EGRESO-POS plan'!CC93,'EGRESO-POS plan'!CC94,'EGRESO-POS plan'!CC95)</f>
        <v>28</v>
      </c>
      <c r="CC32" s="130">
        <f>SUM('EGRESO-POS plan'!CD92,'EGRESO-POS plan'!CD93,'EGRESO-POS plan'!CD94,'EGRESO-POS plan'!CD95)</f>
        <v>18</v>
      </c>
      <c r="CD32" s="396">
        <f>SUM(CA32:CC32)</f>
        <v>59</v>
      </c>
      <c r="CE32" s="129">
        <f>SUM('EGRESO-POS plan'!CF92,'EGRESO-POS plan'!CF93,'EGRESO-POS plan'!CF94,'EGRESO-POS plan'!CF95)</f>
        <v>14</v>
      </c>
      <c r="CF32" s="130">
        <f>SUM('EGRESO-POS plan'!CG92,'EGRESO-POS plan'!CG93,'EGRESO-POS plan'!CG94,'EGRESO-POS plan'!CG95)</f>
        <v>20</v>
      </c>
      <c r="CG32" s="130">
        <f>SUM('EGRESO-POS plan'!CH92,'EGRESO-POS plan'!CH93,'EGRESO-POS plan'!CH94,'EGRESO-POS plan'!CH95)</f>
        <v>17</v>
      </c>
      <c r="CH32" s="396">
        <f>SUM(CE32:CG32)</f>
        <v>51</v>
      </c>
      <c r="CI32" s="129">
        <f>SUM('EGRESO-POS plan'!CJ92,'EGRESO-POS plan'!CJ93,'EGRESO-POS plan'!CJ94,'EGRESO-POS plan'!CJ95)</f>
        <v>2</v>
      </c>
      <c r="CJ32" s="130">
        <f>SUM('EGRESO-POS plan'!CK92,'EGRESO-POS plan'!CK93,'EGRESO-POS plan'!CK94,'EGRESO-POS plan'!CK95)</f>
        <v>9</v>
      </c>
      <c r="CK32" s="130">
        <f>SUM('EGRESO-POS plan'!CL92,'EGRESO-POS plan'!CL93,'EGRESO-POS plan'!CL94,'EGRESO-POS plan'!CL95)</f>
        <v>35</v>
      </c>
      <c r="CL32" s="396">
        <f>SUM(CI32:CK32)</f>
        <v>46</v>
      </c>
      <c r="CM32" s="129">
        <f>SUM('EGRESO-POS plan'!CN92,'EGRESO-POS plan'!CN93,'EGRESO-POS plan'!CN94,'EGRESO-POS plan'!CN95)</f>
        <v>16</v>
      </c>
      <c r="CN32" s="130">
        <f>SUM('EGRESO-POS plan'!CO92,'EGRESO-POS plan'!CO93,'EGRESO-POS plan'!CO94,'EGRESO-POS plan'!CO95)</f>
        <v>9</v>
      </c>
      <c r="CO32" s="130">
        <f>SUM('EGRESO-POS plan'!CP92,'EGRESO-POS plan'!CP93,'EGRESO-POS plan'!CP94,'EGRESO-POS plan'!CP95)</f>
        <v>12</v>
      </c>
      <c r="CP32" s="396">
        <f>SUM(CM32:CO32)</f>
        <v>37</v>
      </c>
      <c r="CQ32" s="129">
        <f>SUM('EGRESO-POS plan'!CR92,'EGRESO-POS plan'!CR93,'EGRESO-POS plan'!CR94,'EGRESO-POS plan'!CR95)</f>
        <v>15</v>
      </c>
      <c r="CR32" s="130">
        <f>SUM('EGRESO-POS plan'!CS92,'EGRESO-POS plan'!CS93,'EGRESO-POS plan'!CS94,'EGRESO-POS plan'!CS95)</f>
        <v>10</v>
      </c>
      <c r="CS32" s="130">
        <f>SUM('EGRESO-POS plan'!CT92,'EGRESO-POS plan'!CT93,'EGRESO-POS plan'!CT94,'EGRESO-POS plan'!CT95)</f>
        <v>12</v>
      </c>
      <c r="CT32" s="396">
        <f>SUM(CQ32:CS32)</f>
        <v>37</v>
      </c>
    </row>
    <row r="33" spans="1:98" ht="15" customHeight="1" x14ac:dyDescent="0.25">
      <c r="A33" s="1661"/>
      <c r="B33" s="1339" t="s">
        <v>317</v>
      </c>
      <c r="C33" s="1262">
        <f>+'EGRESO-POS plan'!D99</f>
        <v>2</v>
      </c>
      <c r="D33" s="1263">
        <f>+'EGRESO-POS plan'!E99</f>
        <v>2</v>
      </c>
      <c r="E33" s="1263">
        <f>+'EGRESO-POS plan'!F99</f>
        <v>1</v>
      </c>
      <c r="F33" s="1264">
        <f t="shared" si="45"/>
        <v>5</v>
      </c>
      <c r="G33" s="1262">
        <f>+'EGRESO-POS plan'!H97+'EGRESO-POS plan'!H98+'EGRESO-POS plan'!H99</f>
        <v>4</v>
      </c>
      <c r="H33" s="1263">
        <f>+'EGRESO-POS plan'!I97+'EGRESO-POS plan'!I98+'EGRESO-POS plan'!I99</f>
        <v>3</v>
      </c>
      <c r="I33" s="1263">
        <f>+'EGRESO-POS plan'!J97+'EGRESO-POS plan'!J98+'EGRESO-POS plan'!J99</f>
        <v>3</v>
      </c>
      <c r="J33" s="1264">
        <f t="shared" si="46"/>
        <v>10</v>
      </c>
      <c r="K33" s="1262">
        <f>+'EGRESO-POS plan'!L97+'EGRESO-POS plan'!L98+'EGRESO-POS plan'!L99</f>
        <v>4</v>
      </c>
      <c r="L33" s="1263">
        <f>+'EGRESO-POS plan'!M97+'EGRESO-POS plan'!M98+'EGRESO-POS plan'!M99</f>
        <v>3</v>
      </c>
      <c r="M33" s="1263">
        <f>+'EGRESO-POS plan'!N97+'EGRESO-POS plan'!N98+'EGRESO-POS plan'!N99</f>
        <v>3</v>
      </c>
      <c r="N33" s="1264">
        <f t="shared" si="47"/>
        <v>10</v>
      </c>
      <c r="O33" s="1262">
        <f>+'EGRESO-POS plan'!P97+'EGRESO-POS plan'!P98+'EGRESO-POS plan'!P99</f>
        <v>6</v>
      </c>
      <c r="P33" s="1263">
        <f>+'EGRESO-POS plan'!Q97+'EGRESO-POS plan'!Q98+'EGRESO-POS plan'!Q99</f>
        <v>5</v>
      </c>
      <c r="Q33" s="1263">
        <f>+'EGRESO-POS plan'!R97+'EGRESO-POS plan'!R98+'EGRESO-POS plan'!R99</f>
        <v>2</v>
      </c>
      <c r="R33" s="1264">
        <f t="shared" si="48"/>
        <v>13</v>
      </c>
      <c r="S33" s="1262">
        <v>5</v>
      </c>
      <c r="T33" s="1263">
        <v>7</v>
      </c>
      <c r="U33" s="1263">
        <v>6</v>
      </c>
      <c r="V33" s="1264">
        <v>18</v>
      </c>
      <c r="W33" s="1262">
        <v>8</v>
      </c>
      <c r="X33" s="1263">
        <v>12</v>
      </c>
      <c r="Y33" s="1263">
        <v>6</v>
      </c>
      <c r="Z33" s="1337">
        <v>26</v>
      </c>
      <c r="AA33" s="1262">
        <v>13</v>
      </c>
      <c r="AB33" s="1263">
        <v>6</v>
      </c>
      <c r="AC33" s="1263">
        <v>5</v>
      </c>
      <c r="AD33" s="1264">
        <v>24</v>
      </c>
      <c r="AE33" s="1263">
        <v>7</v>
      </c>
      <c r="AF33" s="1263">
        <v>7</v>
      </c>
      <c r="AG33" s="1263">
        <v>3</v>
      </c>
      <c r="AH33" s="1264">
        <v>17</v>
      </c>
      <c r="AI33" s="1263">
        <v>5</v>
      </c>
      <c r="AJ33" s="1263">
        <v>8</v>
      </c>
      <c r="AK33" s="1263">
        <v>12</v>
      </c>
      <c r="AL33" s="1337">
        <v>25</v>
      </c>
      <c r="AM33" s="129">
        <v>9</v>
      </c>
      <c r="AN33" s="130">
        <v>7</v>
      </c>
      <c r="AO33" s="130">
        <v>9</v>
      </c>
      <c r="AP33" s="396">
        <v>25</v>
      </c>
      <c r="AQ33" s="129">
        <v>14</v>
      </c>
      <c r="AR33" s="130">
        <v>14</v>
      </c>
      <c r="AS33" s="130">
        <v>14</v>
      </c>
      <c r="AT33" s="396">
        <v>42</v>
      </c>
      <c r="AU33" s="129">
        <v>8</v>
      </c>
      <c r="AV33" s="130">
        <v>11</v>
      </c>
      <c r="AW33" s="130">
        <v>9</v>
      </c>
      <c r="AX33" s="396">
        <f t="shared" si="49"/>
        <v>28</v>
      </c>
      <c r="AY33" s="129">
        <v>17</v>
      </c>
      <c r="AZ33" s="130">
        <v>6</v>
      </c>
      <c r="BA33" s="130">
        <v>7</v>
      </c>
      <c r="BB33" s="396">
        <f t="shared" si="50"/>
        <v>30</v>
      </c>
      <c r="BC33" s="129">
        <f>SUM('EGRESO-POS plan'!BD97,'EGRESO-POS plan'!BD98,'EGRESO-POS plan'!BD99)</f>
        <v>8</v>
      </c>
      <c r="BD33" s="130">
        <f>SUM('EGRESO-POS plan'!BE97,'EGRESO-POS plan'!BE98,'EGRESO-POS plan'!BE99)</f>
        <v>8</v>
      </c>
      <c r="BE33" s="130">
        <f>SUM('EGRESO-POS plan'!BF97,'EGRESO-POS plan'!BF98,'EGRESO-POS plan'!BF99)</f>
        <v>16</v>
      </c>
      <c r="BF33" s="396">
        <f>SUM(BC33:BE33)</f>
        <v>32</v>
      </c>
      <c r="BG33" s="129">
        <f>SUM('EGRESO-POS plan'!BH97,'EGRESO-POS plan'!BH98,'EGRESO-POS plan'!BH99)</f>
        <v>10</v>
      </c>
      <c r="BH33" s="130">
        <f>SUM('EGRESO-POS plan'!BI97,'EGRESO-POS plan'!BI98,'EGRESO-POS plan'!BI99)</f>
        <v>15</v>
      </c>
      <c r="BI33" s="130">
        <f>SUM('EGRESO-POS plan'!BJ97,'EGRESO-POS plan'!BJ98,'EGRESO-POS plan'!BJ99)</f>
        <v>8</v>
      </c>
      <c r="BJ33" s="396">
        <f>SUM(BG33:BI33)</f>
        <v>33</v>
      </c>
      <c r="BK33" s="129">
        <f>SUM('EGRESO-POS plan'!BL97,'EGRESO-POS plan'!BL98,'EGRESO-POS plan'!BL99)</f>
        <v>5</v>
      </c>
      <c r="BL33" s="130">
        <f>SUM('EGRESO-POS plan'!BM97,'EGRESO-POS plan'!BM98,'EGRESO-POS plan'!BM99)</f>
        <v>22</v>
      </c>
      <c r="BM33" s="130">
        <f>SUM('EGRESO-POS plan'!BN97,'EGRESO-POS plan'!BN98,'EGRESO-POS plan'!BN99)</f>
        <v>11</v>
      </c>
      <c r="BN33" s="396">
        <f>SUM(BK33:BM33)</f>
        <v>38</v>
      </c>
      <c r="BO33" s="129">
        <f>SUM('EGRESO-POS plan'!BP97,'EGRESO-POS plan'!BP98,'EGRESO-POS plan'!BP99)</f>
        <v>16</v>
      </c>
      <c r="BP33" s="130">
        <f>SUM('EGRESO-POS plan'!BQ97,'EGRESO-POS plan'!BQ98,'EGRESO-POS plan'!BQ99)</f>
        <v>12</v>
      </c>
      <c r="BQ33" s="130">
        <f>SUM('EGRESO-POS plan'!BR97,'EGRESO-POS plan'!BR98,'EGRESO-POS plan'!BR99)</f>
        <v>12</v>
      </c>
      <c r="BR33" s="396">
        <f>SUM(BO33:BQ33)</f>
        <v>40</v>
      </c>
      <c r="BS33" s="129">
        <f>SUM('EGRESO-POS plan'!BT97,'EGRESO-POS plan'!BT98,'EGRESO-POS plan'!BT99)</f>
        <v>12</v>
      </c>
      <c r="BT33" s="130">
        <f>SUM('EGRESO-POS plan'!BU97,'EGRESO-POS plan'!BU98,'EGRESO-POS plan'!BU99)</f>
        <v>9</v>
      </c>
      <c r="BU33" s="130">
        <f>SUM('EGRESO-POS plan'!BV97,'EGRESO-POS plan'!BV98,'EGRESO-POS plan'!BV99)</f>
        <v>12</v>
      </c>
      <c r="BV33" s="396">
        <f>SUM(BS33:BU33)</f>
        <v>33</v>
      </c>
      <c r="BW33" s="129">
        <f>SUM('EGRESO-POS plan'!BX97,'EGRESO-POS plan'!BX98,'EGRESO-POS plan'!BX99)</f>
        <v>17</v>
      </c>
      <c r="BX33" s="130">
        <f>SUM('EGRESO-POS plan'!BY97,'EGRESO-POS plan'!BY98,'EGRESO-POS plan'!BY99)</f>
        <v>9</v>
      </c>
      <c r="BY33" s="130">
        <f>SUM('EGRESO-POS plan'!BZ97,'EGRESO-POS plan'!BZ98,'EGRESO-POS plan'!BZ99)</f>
        <v>7</v>
      </c>
      <c r="BZ33" s="396">
        <f>SUM(BW33:BY33)</f>
        <v>33</v>
      </c>
      <c r="CA33" s="129">
        <f>SUM('EGRESO-POS plan'!CB97,'EGRESO-POS plan'!CB98,'EGRESO-POS plan'!CB99)</f>
        <v>13</v>
      </c>
      <c r="CB33" s="130">
        <f>SUM('EGRESO-POS plan'!CC97,'EGRESO-POS plan'!CC98,'EGRESO-POS plan'!CC99)</f>
        <v>12</v>
      </c>
      <c r="CC33" s="130">
        <f>SUM('EGRESO-POS plan'!CD97,'EGRESO-POS plan'!CD98,'EGRESO-POS plan'!CD99)</f>
        <v>13</v>
      </c>
      <c r="CD33" s="396">
        <f>SUM(CA33:CC33)</f>
        <v>38</v>
      </c>
      <c r="CE33" s="129">
        <f>SUM('EGRESO-POS plan'!CF97,'EGRESO-POS plan'!CF98,'EGRESO-POS plan'!CF99)</f>
        <v>19</v>
      </c>
      <c r="CF33" s="130">
        <f>SUM('EGRESO-POS plan'!CG97,'EGRESO-POS plan'!CG98,'EGRESO-POS plan'!CG99)</f>
        <v>7</v>
      </c>
      <c r="CG33" s="130">
        <f>SUM('EGRESO-POS plan'!CH97,'EGRESO-POS plan'!CH98,'EGRESO-POS plan'!CH99)</f>
        <v>11</v>
      </c>
      <c r="CH33" s="396">
        <f>SUM(CE33:CG33)</f>
        <v>37</v>
      </c>
      <c r="CI33" s="129">
        <f>SUM('EGRESO-POS plan'!CJ97,'EGRESO-POS plan'!CJ98,'EGRESO-POS plan'!CJ99)</f>
        <v>4</v>
      </c>
      <c r="CJ33" s="130">
        <f>SUM('EGRESO-POS plan'!CK97,'EGRESO-POS plan'!CK98,'EGRESO-POS plan'!CK99)</f>
        <v>0</v>
      </c>
      <c r="CK33" s="130">
        <f>SUM('EGRESO-POS plan'!CL97,'EGRESO-POS plan'!CL98,'EGRESO-POS plan'!CL99)</f>
        <v>32</v>
      </c>
      <c r="CL33" s="396">
        <f>SUM(CI33:CK33)</f>
        <v>36</v>
      </c>
      <c r="CM33" s="129">
        <f>SUM('EGRESO-POS plan'!CN97,'EGRESO-POS plan'!CN98,'EGRESO-POS plan'!CN99)</f>
        <v>11</v>
      </c>
      <c r="CN33" s="130">
        <f>SUM('EGRESO-POS plan'!CO97,'EGRESO-POS plan'!CO98,'EGRESO-POS plan'!CO99)</f>
        <v>15</v>
      </c>
      <c r="CO33" s="130">
        <f>SUM('EGRESO-POS plan'!CP97,'EGRESO-POS plan'!CP98,'EGRESO-POS plan'!CP99)</f>
        <v>19</v>
      </c>
      <c r="CP33" s="396">
        <f>SUM(CM33:CO33)</f>
        <v>45</v>
      </c>
      <c r="CQ33" s="129">
        <f>SUM('EGRESO-POS plan'!CR97,'EGRESO-POS plan'!CR98,'EGRESO-POS plan'!CR99)</f>
        <v>13</v>
      </c>
      <c r="CR33" s="130">
        <f>SUM('EGRESO-POS plan'!CS97,'EGRESO-POS plan'!CS98,'EGRESO-POS plan'!CS99)</f>
        <v>12</v>
      </c>
      <c r="CS33" s="130">
        <f>SUM('EGRESO-POS plan'!CT97,'EGRESO-POS plan'!CT98,'EGRESO-POS plan'!CT99)</f>
        <v>11</v>
      </c>
      <c r="CT33" s="396">
        <f>SUM(CQ33:CS33)</f>
        <v>36</v>
      </c>
    </row>
    <row r="34" spans="1:98" s="1330" customFormat="1" ht="15" customHeight="1" x14ac:dyDescent="0.25">
      <c r="A34" s="1661"/>
      <c r="B34" s="1342" t="s">
        <v>92</v>
      </c>
      <c r="C34" s="1662">
        <f>SUM(C31:C33)</f>
        <v>3</v>
      </c>
      <c r="D34" s="1663">
        <f>SUM(D31:D33)</f>
        <v>12</v>
      </c>
      <c r="E34" s="1663">
        <f>SUM(E31:E33)</f>
        <v>13</v>
      </c>
      <c r="F34" s="1310">
        <f>SUM(C34:E34)</f>
        <v>28</v>
      </c>
      <c r="G34" s="1662">
        <f>SUM(G31:G33)</f>
        <v>11</v>
      </c>
      <c r="H34" s="1663">
        <f>SUM(H31:H33)</f>
        <v>13</v>
      </c>
      <c r="I34" s="1663">
        <f>SUM(I31:I33)</f>
        <v>6</v>
      </c>
      <c r="J34" s="1310">
        <f t="shared" si="46"/>
        <v>30</v>
      </c>
      <c r="K34" s="1662">
        <f>SUM(K31:K33)</f>
        <v>7</v>
      </c>
      <c r="L34" s="1663">
        <f>SUM(L31:L33)</f>
        <v>16</v>
      </c>
      <c r="M34" s="1663">
        <f>SUM(M31:M33)</f>
        <v>26</v>
      </c>
      <c r="N34" s="1310">
        <f t="shared" si="47"/>
        <v>49</v>
      </c>
      <c r="O34" s="1662">
        <f>SUM(O31:O33)</f>
        <v>11</v>
      </c>
      <c r="P34" s="1663">
        <f>SUM(P31:P33)</f>
        <v>19</v>
      </c>
      <c r="Q34" s="1663">
        <f>SUM(Q31:Q33)</f>
        <v>11</v>
      </c>
      <c r="R34" s="1310">
        <f t="shared" si="48"/>
        <v>41</v>
      </c>
      <c r="S34" s="1662">
        <v>22</v>
      </c>
      <c r="T34" s="1663">
        <v>19</v>
      </c>
      <c r="U34" s="1663">
        <v>21</v>
      </c>
      <c r="V34" s="1310">
        <v>62</v>
      </c>
      <c r="W34" s="1662">
        <v>13</v>
      </c>
      <c r="X34" s="1663">
        <v>44</v>
      </c>
      <c r="Y34" s="1663">
        <v>25</v>
      </c>
      <c r="Z34" s="1663">
        <v>82</v>
      </c>
      <c r="AA34" s="1662">
        <v>24</v>
      </c>
      <c r="AB34" s="1663">
        <v>22</v>
      </c>
      <c r="AC34" s="1663">
        <v>24</v>
      </c>
      <c r="AD34" s="1310">
        <v>70</v>
      </c>
      <c r="AE34" s="1663">
        <v>15</v>
      </c>
      <c r="AF34" s="1663">
        <v>26</v>
      </c>
      <c r="AG34" s="1663">
        <v>22</v>
      </c>
      <c r="AH34" s="1310">
        <v>63</v>
      </c>
      <c r="AI34" s="1663">
        <v>20</v>
      </c>
      <c r="AJ34" s="1663">
        <v>22</v>
      </c>
      <c r="AK34" s="1663">
        <v>29</v>
      </c>
      <c r="AL34" s="1663">
        <v>71</v>
      </c>
      <c r="AM34" s="630">
        <v>28</v>
      </c>
      <c r="AN34" s="1664">
        <v>20</v>
      </c>
      <c r="AO34" s="1664">
        <v>27</v>
      </c>
      <c r="AP34" s="1664">
        <v>75</v>
      </c>
      <c r="AQ34" s="630">
        <v>30</v>
      </c>
      <c r="AR34" s="1664">
        <v>35</v>
      </c>
      <c r="AS34" s="1664">
        <v>36</v>
      </c>
      <c r="AT34" s="1665">
        <v>101</v>
      </c>
      <c r="AU34" s="630">
        <f>SUM(AU31:AU33)</f>
        <v>38</v>
      </c>
      <c r="AV34" s="1664">
        <f>SUM(AV31:AV33)</f>
        <v>38</v>
      </c>
      <c r="AW34" s="1664">
        <f>SUM(AW31:AW33)</f>
        <v>26</v>
      </c>
      <c r="AX34" s="1665">
        <f t="shared" si="49"/>
        <v>102</v>
      </c>
      <c r="AY34" s="630">
        <f>SUM(AY31:AY33)</f>
        <v>32</v>
      </c>
      <c r="AZ34" s="1664">
        <f>SUM(AZ31:AZ33)</f>
        <v>34</v>
      </c>
      <c r="BA34" s="1664">
        <f>SUM(BA31:BA33)</f>
        <v>33</v>
      </c>
      <c r="BB34" s="1665">
        <f t="shared" si="50"/>
        <v>99</v>
      </c>
      <c r="BC34" s="630">
        <f t="shared" ref="BC34:CL34" si="57">SUM(BC31:BC33)</f>
        <v>29</v>
      </c>
      <c r="BD34" s="1664">
        <f t="shared" si="57"/>
        <v>28</v>
      </c>
      <c r="BE34" s="1664">
        <f t="shared" si="57"/>
        <v>37</v>
      </c>
      <c r="BF34" s="1665">
        <f t="shared" si="57"/>
        <v>94</v>
      </c>
      <c r="BG34" s="630">
        <f t="shared" si="57"/>
        <v>27</v>
      </c>
      <c r="BH34" s="1664">
        <f t="shared" si="57"/>
        <v>40</v>
      </c>
      <c r="BI34" s="1664">
        <f t="shared" si="57"/>
        <v>47</v>
      </c>
      <c r="BJ34" s="1665">
        <f t="shared" si="57"/>
        <v>114</v>
      </c>
      <c r="BK34" s="630">
        <f t="shared" si="57"/>
        <v>26</v>
      </c>
      <c r="BL34" s="1664">
        <f t="shared" si="57"/>
        <v>50</v>
      </c>
      <c r="BM34" s="1664">
        <f t="shared" si="57"/>
        <v>37</v>
      </c>
      <c r="BN34" s="1665">
        <f t="shared" si="57"/>
        <v>113</v>
      </c>
      <c r="BO34" s="630">
        <f t="shared" si="57"/>
        <v>29</v>
      </c>
      <c r="BP34" s="1664">
        <f t="shared" si="57"/>
        <v>49</v>
      </c>
      <c r="BQ34" s="1664">
        <f t="shared" si="57"/>
        <v>40</v>
      </c>
      <c r="BR34" s="1665">
        <f t="shared" si="57"/>
        <v>118</v>
      </c>
      <c r="BS34" s="630">
        <f t="shared" si="57"/>
        <v>38</v>
      </c>
      <c r="BT34" s="1664">
        <f t="shared" si="57"/>
        <v>36</v>
      </c>
      <c r="BU34" s="1664">
        <f t="shared" si="57"/>
        <v>53</v>
      </c>
      <c r="BV34" s="1665">
        <f t="shared" si="57"/>
        <v>127</v>
      </c>
      <c r="BW34" s="630">
        <f t="shared" si="57"/>
        <v>35</v>
      </c>
      <c r="BX34" s="1664">
        <f t="shared" si="57"/>
        <v>34</v>
      </c>
      <c r="BY34" s="1664">
        <f t="shared" si="57"/>
        <v>28</v>
      </c>
      <c r="BZ34" s="1665">
        <f t="shared" si="57"/>
        <v>97</v>
      </c>
      <c r="CA34" s="630">
        <f t="shared" si="57"/>
        <v>27</v>
      </c>
      <c r="CB34" s="1664">
        <f t="shared" si="57"/>
        <v>45</v>
      </c>
      <c r="CC34" s="1664">
        <f t="shared" si="57"/>
        <v>40</v>
      </c>
      <c r="CD34" s="1665">
        <f t="shared" si="57"/>
        <v>112</v>
      </c>
      <c r="CE34" s="630">
        <f t="shared" si="57"/>
        <v>34</v>
      </c>
      <c r="CF34" s="1664">
        <f t="shared" si="57"/>
        <v>29</v>
      </c>
      <c r="CG34" s="1664">
        <f t="shared" si="57"/>
        <v>29</v>
      </c>
      <c r="CH34" s="1665">
        <f t="shared" si="57"/>
        <v>92</v>
      </c>
      <c r="CI34" s="630">
        <f t="shared" si="57"/>
        <v>8</v>
      </c>
      <c r="CJ34" s="1664">
        <f t="shared" si="57"/>
        <v>10</v>
      </c>
      <c r="CK34" s="1664">
        <f t="shared" si="57"/>
        <v>69</v>
      </c>
      <c r="CL34" s="1665">
        <f t="shared" si="57"/>
        <v>87</v>
      </c>
      <c r="CM34" s="630">
        <f t="shared" ref="CM34:CP34" si="58">SUM(CM31:CM33)</f>
        <v>28</v>
      </c>
      <c r="CN34" s="1664">
        <f t="shared" si="58"/>
        <v>24</v>
      </c>
      <c r="CO34" s="1664">
        <f t="shared" si="58"/>
        <v>36</v>
      </c>
      <c r="CP34" s="1665">
        <f t="shared" si="58"/>
        <v>88</v>
      </c>
      <c r="CQ34" s="630">
        <f t="shared" ref="CQ34:CT34" si="59">SUM(CQ31:CQ33)</f>
        <v>29</v>
      </c>
      <c r="CR34" s="1664">
        <f t="shared" si="59"/>
        <v>22</v>
      </c>
      <c r="CS34" s="1664">
        <f t="shared" si="59"/>
        <v>24</v>
      </c>
      <c r="CT34" s="1665">
        <f t="shared" si="59"/>
        <v>75</v>
      </c>
    </row>
    <row r="35" spans="1:98" ht="15" customHeight="1" x14ac:dyDescent="0.25">
      <c r="A35" s="1661"/>
      <c r="B35" s="1334" t="s">
        <v>308</v>
      </c>
      <c r="C35" s="1258">
        <f>+C23+C27+C31</f>
        <v>0</v>
      </c>
      <c r="D35" s="1259">
        <f t="shared" ref="D35:E37" si="60">+D23+D27+D31</f>
        <v>0</v>
      </c>
      <c r="E35" s="1259">
        <f t="shared" si="60"/>
        <v>26</v>
      </c>
      <c r="F35" s="1260">
        <f t="shared" si="45"/>
        <v>26</v>
      </c>
      <c r="G35" s="1258">
        <f t="shared" ref="G35:I37" si="61">+G23+G27+G31</f>
        <v>2</v>
      </c>
      <c r="H35" s="1259">
        <f t="shared" si="61"/>
        <v>3</v>
      </c>
      <c r="I35" s="1259">
        <f t="shared" si="61"/>
        <v>0</v>
      </c>
      <c r="J35" s="1260">
        <f t="shared" si="46"/>
        <v>5</v>
      </c>
      <c r="K35" s="1258">
        <f t="shared" ref="K35:M37" si="62">+K23+K27+K31</f>
        <v>0</v>
      </c>
      <c r="L35" s="1259">
        <f t="shared" si="62"/>
        <v>5</v>
      </c>
      <c r="M35" s="1259">
        <f t="shared" si="62"/>
        <v>5</v>
      </c>
      <c r="N35" s="1260">
        <f t="shared" si="47"/>
        <v>10</v>
      </c>
      <c r="O35" s="1258">
        <f t="shared" ref="O35:Q37" si="63">+O23+O27+O31</f>
        <v>0</v>
      </c>
      <c r="P35" s="1259">
        <f t="shared" si="63"/>
        <v>2</v>
      </c>
      <c r="Q35" s="1259">
        <f t="shared" si="63"/>
        <v>0</v>
      </c>
      <c r="R35" s="1260">
        <f t="shared" si="48"/>
        <v>2</v>
      </c>
      <c r="S35" s="1258">
        <f t="shared" ref="S35:AL37" si="64">S23+S27+S31</f>
        <v>16</v>
      </c>
      <c r="T35" s="1259">
        <f t="shared" si="64"/>
        <v>9</v>
      </c>
      <c r="U35" s="1259">
        <f t="shared" si="64"/>
        <v>7</v>
      </c>
      <c r="V35" s="1260">
        <f t="shared" si="64"/>
        <v>32</v>
      </c>
      <c r="W35" s="1258">
        <f t="shared" si="64"/>
        <v>3</v>
      </c>
      <c r="X35" s="1259">
        <f t="shared" si="64"/>
        <v>39</v>
      </c>
      <c r="Y35" s="1259">
        <f t="shared" si="64"/>
        <v>8</v>
      </c>
      <c r="Z35" s="1298">
        <f t="shared" si="64"/>
        <v>50</v>
      </c>
      <c r="AA35" s="1258">
        <f t="shared" si="64"/>
        <v>3</v>
      </c>
      <c r="AB35" s="1259">
        <f t="shared" si="64"/>
        <v>74</v>
      </c>
      <c r="AC35" s="1259">
        <f t="shared" si="64"/>
        <v>9</v>
      </c>
      <c r="AD35" s="1260">
        <f t="shared" si="64"/>
        <v>86</v>
      </c>
      <c r="AE35" s="1259">
        <f t="shared" si="64"/>
        <v>0</v>
      </c>
      <c r="AF35" s="1259">
        <f t="shared" si="64"/>
        <v>18</v>
      </c>
      <c r="AG35" s="1259">
        <f t="shared" si="64"/>
        <v>63</v>
      </c>
      <c r="AH35" s="1260">
        <f t="shared" si="64"/>
        <v>81</v>
      </c>
      <c r="AI35" s="1259">
        <f t="shared" si="64"/>
        <v>4</v>
      </c>
      <c r="AJ35" s="1259">
        <f t="shared" si="64"/>
        <v>8</v>
      </c>
      <c r="AK35" s="1259">
        <f t="shared" si="64"/>
        <v>10</v>
      </c>
      <c r="AL35" s="1298">
        <f t="shared" si="64"/>
        <v>22</v>
      </c>
      <c r="AM35" s="151">
        <v>68</v>
      </c>
      <c r="AN35" s="152">
        <v>22</v>
      </c>
      <c r="AO35" s="152">
        <v>6</v>
      </c>
      <c r="AP35" s="395">
        <v>96</v>
      </c>
      <c r="AQ35" s="151">
        <f t="shared" ref="AQ35:AW37" si="65">SUM(AQ23,AQ27,AQ31)</f>
        <v>7</v>
      </c>
      <c r="AR35" s="152">
        <f t="shared" si="65"/>
        <v>15</v>
      </c>
      <c r="AS35" s="152">
        <f t="shared" si="65"/>
        <v>3</v>
      </c>
      <c r="AT35" s="395">
        <f t="shared" si="65"/>
        <v>25</v>
      </c>
      <c r="AU35" s="151">
        <f t="shared" si="65"/>
        <v>3</v>
      </c>
      <c r="AV35" s="152">
        <f t="shared" si="65"/>
        <v>26</v>
      </c>
      <c r="AW35" s="152">
        <f t="shared" si="65"/>
        <v>8</v>
      </c>
      <c r="AX35" s="395">
        <f t="shared" si="49"/>
        <v>37</v>
      </c>
      <c r="AY35" s="151">
        <f t="shared" ref="AY35:BA37" si="66">SUM(AY23,AY27,AY31)</f>
        <v>68</v>
      </c>
      <c r="AZ35" s="152">
        <f t="shared" si="66"/>
        <v>9</v>
      </c>
      <c r="BA35" s="152">
        <f t="shared" si="66"/>
        <v>53</v>
      </c>
      <c r="BB35" s="395">
        <f t="shared" si="50"/>
        <v>130</v>
      </c>
      <c r="BC35" s="151">
        <f t="shared" ref="BC35:CL37" si="67">SUM(BC23,BC27,BC31)</f>
        <v>7</v>
      </c>
      <c r="BD35" s="152">
        <f t="shared" si="67"/>
        <v>52</v>
      </c>
      <c r="BE35" s="152">
        <f t="shared" si="67"/>
        <v>58</v>
      </c>
      <c r="BF35" s="395">
        <f t="shared" si="67"/>
        <v>117</v>
      </c>
      <c r="BG35" s="151">
        <f t="shared" si="67"/>
        <v>8</v>
      </c>
      <c r="BH35" s="152">
        <f t="shared" si="67"/>
        <v>22</v>
      </c>
      <c r="BI35" s="152">
        <f t="shared" si="67"/>
        <v>15</v>
      </c>
      <c r="BJ35" s="395">
        <f t="shared" si="67"/>
        <v>45</v>
      </c>
      <c r="BK35" s="151">
        <f t="shared" si="67"/>
        <v>1</v>
      </c>
      <c r="BL35" s="152">
        <f t="shared" si="67"/>
        <v>13</v>
      </c>
      <c r="BM35" s="152">
        <f t="shared" si="67"/>
        <v>22</v>
      </c>
      <c r="BN35" s="395">
        <f t="shared" si="67"/>
        <v>36</v>
      </c>
      <c r="BO35" s="151">
        <f t="shared" si="67"/>
        <v>5</v>
      </c>
      <c r="BP35" s="152">
        <f t="shared" si="67"/>
        <v>20</v>
      </c>
      <c r="BQ35" s="152">
        <f t="shared" si="67"/>
        <v>10</v>
      </c>
      <c r="BR35" s="395">
        <f t="shared" si="67"/>
        <v>35</v>
      </c>
      <c r="BS35" s="151">
        <f t="shared" si="67"/>
        <v>34</v>
      </c>
      <c r="BT35" s="152">
        <f t="shared" si="67"/>
        <v>8</v>
      </c>
      <c r="BU35" s="152">
        <f t="shared" si="67"/>
        <v>26</v>
      </c>
      <c r="BV35" s="395">
        <f t="shared" si="67"/>
        <v>68</v>
      </c>
      <c r="BW35" s="151">
        <f t="shared" si="67"/>
        <v>7</v>
      </c>
      <c r="BX35" s="152">
        <f t="shared" si="67"/>
        <v>9</v>
      </c>
      <c r="BY35" s="152">
        <f t="shared" si="67"/>
        <v>14</v>
      </c>
      <c r="BZ35" s="395">
        <f t="shared" si="67"/>
        <v>30</v>
      </c>
      <c r="CA35" s="151">
        <f t="shared" si="67"/>
        <v>1</v>
      </c>
      <c r="CB35" s="152">
        <f t="shared" si="67"/>
        <v>57</v>
      </c>
      <c r="CC35" s="152">
        <f t="shared" si="67"/>
        <v>9</v>
      </c>
      <c r="CD35" s="395">
        <f t="shared" si="67"/>
        <v>67</v>
      </c>
      <c r="CE35" s="151">
        <f t="shared" si="67"/>
        <v>3</v>
      </c>
      <c r="CF35" s="152">
        <f t="shared" si="67"/>
        <v>42</v>
      </c>
      <c r="CG35" s="152">
        <f t="shared" si="67"/>
        <v>2</v>
      </c>
      <c r="CH35" s="395">
        <f t="shared" si="67"/>
        <v>47</v>
      </c>
      <c r="CI35" s="151">
        <f t="shared" si="67"/>
        <v>2</v>
      </c>
      <c r="CJ35" s="152">
        <f t="shared" si="67"/>
        <v>27</v>
      </c>
      <c r="CK35" s="152">
        <f t="shared" si="67"/>
        <v>5</v>
      </c>
      <c r="CL35" s="395">
        <f t="shared" si="67"/>
        <v>34</v>
      </c>
      <c r="CM35" s="151">
        <f t="shared" ref="CM35:CP35" si="68">SUM(CM23,CM27,CM31)</f>
        <v>1</v>
      </c>
      <c r="CN35" s="152">
        <f t="shared" si="68"/>
        <v>60</v>
      </c>
      <c r="CO35" s="152">
        <f t="shared" si="68"/>
        <v>5</v>
      </c>
      <c r="CP35" s="395">
        <f t="shared" si="68"/>
        <v>66</v>
      </c>
      <c r="CQ35" s="151">
        <f t="shared" ref="CQ35:CT35" si="69">SUM(CQ23,CQ27,CQ31)</f>
        <v>3</v>
      </c>
      <c r="CR35" s="152">
        <f t="shared" si="69"/>
        <v>1</v>
      </c>
      <c r="CS35" s="152">
        <f t="shared" si="69"/>
        <v>37</v>
      </c>
      <c r="CT35" s="395">
        <f t="shared" si="69"/>
        <v>41</v>
      </c>
    </row>
    <row r="36" spans="1:98" ht="15" customHeight="1" x14ac:dyDescent="0.25">
      <c r="A36" s="1661"/>
      <c r="B36" s="1336" t="s">
        <v>310</v>
      </c>
      <c r="C36" s="1262">
        <f>+C24+C28+C32</f>
        <v>13</v>
      </c>
      <c r="D36" s="1263">
        <f t="shared" si="60"/>
        <v>37</v>
      </c>
      <c r="E36" s="1263">
        <f t="shared" si="60"/>
        <v>40</v>
      </c>
      <c r="F36" s="1264">
        <f t="shared" si="45"/>
        <v>90</v>
      </c>
      <c r="G36" s="1262">
        <f t="shared" si="61"/>
        <v>16</v>
      </c>
      <c r="H36" s="1263">
        <f t="shared" si="61"/>
        <v>47</v>
      </c>
      <c r="I36" s="1263">
        <f t="shared" si="61"/>
        <v>28</v>
      </c>
      <c r="J36" s="1264">
        <f t="shared" si="46"/>
        <v>91</v>
      </c>
      <c r="K36" s="1262">
        <f t="shared" si="62"/>
        <v>15</v>
      </c>
      <c r="L36" s="1263">
        <f t="shared" si="62"/>
        <v>78</v>
      </c>
      <c r="M36" s="1263">
        <f t="shared" si="62"/>
        <v>46</v>
      </c>
      <c r="N36" s="1264">
        <f t="shared" si="47"/>
        <v>139</v>
      </c>
      <c r="O36" s="1262">
        <f t="shared" si="63"/>
        <v>25</v>
      </c>
      <c r="P36" s="1263">
        <f t="shared" si="63"/>
        <v>37</v>
      </c>
      <c r="Q36" s="1263">
        <f t="shared" si="63"/>
        <v>22</v>
      </c>
      <c r="R36" s="1264">
        <f t="shared" si="48"/>
        <v>84</v>
      </c>
      <c r="S36" s="1262">
        <f t="shared" si="64"/>
        <v>21</v>
      </c>
      <c r="T36" s="1263">
        <f t="shared" si="64"/>
        <v>30</v>
      </c>
      <c r="U36" s="1263">
        <f t="shared" si="64"/>
        <v>35</v>
      </c>
      <c r="V36" s="1264">
        <f t="shared" si="64"/>
        <v>86</v>
      </c>
      <c r="W36" s="1262">
        <f t="shared" si="64"/>
        <v>18</v>
      </c>
      <c r="X36" s="1263">
        <f t="shared" si="64"/>
        <v>55</v>
      </c>
      <c r="Y36" s="1263">
        <f t="shared" si="64"/>
        <v>29</v>
      </c>
      <c r="Z36" s="1337">
        <f t="shared" si="64"/>
        <v>102</v>
      </c>
      <c r="AA36" s="1262">
        <f t="shared" si="64"/>
        <v>27</v>
      </c>
      <c r="AB36" s="1263">
        <f t="shared" si="64"/>
        <v>28</v>
      </c>
      <c r="AC36" s="1263">
        <f t="shared" si="64"/>
        <v>23</v>
      </c>
      <c r="AD36" s="1264">
        <f t="shared" si="64"/>
        <v>78</v>
      </c>
      <c r="AE36" s="1263">
        <f t="shared" si="64"/>
        <v>21</v>
      </c>
      <c r="AF36" s="1263">
        <f t="shared" si="64"/>
        <v>46</v>
      </c>
      <c r="AG36" s="1263">
        <f t="shared" si="64"/>
        <v>41</v>
      </c>
      <c r="AH36" s="1264">
        <f t="shared" si="64"/>
        <v>108</v>
      </c>
      <c r="AI36" s="1263">
        <f t="shared" si="64"/>
        <v>27</v>
      </c>
      <c r="AJ36" s="1263">
        <f t="shared" si="64"/>
        <v>57</v>
      </c>
      <c r="AK36" s="1263">
        <f t="shared" si="64"/>
        <v>28</v>
      </c>
      <c r="AL36" s="1337">
        <f t="shared" si="64"/>
        <v>112</v>
      </c>
      <c r="AM36" s="129">
        <v>28</v>
      </c>
      <c r="AN36" s="130">
        <v>30</v>
      </c>
      <c r="AO36" s="130">
        <v>37</v>
      </c>
      <c r="AP36" s="396">
        <v>95</v>
      </c>
      <c r="AQ36" s="129">
        <f t="shared" si="65"/>
        <v>42</v>
      </c>
      <c r="AR36" s="130">
        <f t="shared" si="65"/>
        <v>68</v>
      </c>
      <c r="AS36" s="130">
        <f t="shared" si="65"/>
        <v>52</v>
      </c>
      <c r="AT36" s="396">
        <f t="shared" si="65"/>
        <v>162</v>
      </c>
      <c r="AU36" s="129">
        <f t="shared" si="65"/>
        <v>66</v>
      </c>
      <c r="AV36" s="130">
        <f t="shared" si="65"/>
        <v>85</v>
      </c>
      <c r="AW36" s="130">
        <f t="shared" si="65"/>
        <v>37</v>
      </c>
      <c r="AX36" s="396">
        <f t="shared" si="49"/>
        <v>188</v>
      </c>
      <c r="AY36" s="129">
        <f t="shared" si="66"/>
        <v>75</v>
      </c>
      <c r="AZ36" s="130">
        <f t="shared" si="66"/>
        <v>63</v>
      </c>
      <c r="BA36" s="130">
        <f t="shared" si="66"/>
        <v>56</v>
      </c>
      <c r="BB36" s="396">
        <f t="shared" si="50"/>
        <v>194</v>
      </c>
      <c r="BC36" s="129">
        <f t="shared" si="67"/>
        <v>43</v>
      </c>
      <c r="BD36" s="130">
        <f t="shared" si="67"/>
        <v>54</v>
      </c>
      <c r="BE36" s="130">
        <f t="shared" si="67"/>
        <v>60</v>
      </c>
      <c r="BF36" s="396">
        <f t="shared" si="67"/>
        <v>157</v>
      </c>
      <c r="BG36" s="129">
        <f t="shared" si="67"/>
        <v>75</v>
      </c>
      <c r="BH36" s="130">
        <f t="shared" si="67"/>
        <v>51</v>
      </c>
      <c r="BI36" s="130">
        <f t="shared" si="67"/>
        <v>55</v>
      </c>
      <c r="BJ36" s="396">
        <f t="shared" si="67"/>
        <v>181</v>
      </c>
      <c r="BK36" s="129">
        <f t="shared" si="67"/>
        <v>59</v>
      </c>
      <c r="BL36" s="130">
        <f t="shared" si="67"/>
        <v>90</v>
      </c>
      <c r="BM36" s="130">
        <f t="shared" si="67"/>
        <v>100</v>
      </c>
      <c r="BN36" s="396">
        <f t="shared" si="67"/>
        <v>249</v>
      </c>
      <c r="BO36" s="129">
        <f t="shared" si="67"/>
        <v>36</v>
      </c>
      <c r="BP36" s="130">
        <f t="shared" si="67"/>
        <v>58</v>
      </c>
      <c r="BQ36" s="130">
        <f t="shared" si="67"/>
        <v>50</v>
      </c>
      <c r="BR36" s="396">
        <f t="shared" si="67"/>
        <v>144</v>
      </c>
      <c r="BS36" s="129">
        <f t="shared" si="67"/>
        <v>43</v>
      </c>
      <c r="BT36" s="130">
        <f t="shared" si="67"/>
        <v>81</v>
      </c>
      <c r="BU36" s="130">
        <f t="shared" si="67"/>
        <v>96</v>
      </c>
      <c r="BV36" s="396">
        <f t="shared" si="67"/>
        <v>220</v>
      </c>
      <c r="BW36" s="129">
        <f t="shared" si="67"/>
        <v>55</v>
      </c>
      <c r="BX36" s="130">
        <f t="shared" si="67"/>
        <v>59</v>
      </c>
      <c r="BY36" s="130">
        <f t="shared" si="67"/>
        <v>72</v>
      </c>
      <c r="BZ36" s="396">
        <f t="shared" si="67"/>
        <v>186</v>
      </c>
      <c r="CA36" s="129">
        <f t="shared" si="67"/>
        <v>46</v>
      </c>
      <c r="CB36" s="130">
        <f t="shared" si="67"/>
        <v>94</v>
      </c>
      <c r="CC36" s="130">
        <f t="shared" si="67"/>
        <v>58</v>
      </c>
      <c r="CD36" s="396">
        <f t="shared" si="67"/>
        <v>198</v>
      </c>
      <c r="CE36" s="129">
        <f t="shared" si="67"/>
        <v>55</v>
      </c>
      <c r="CF36" s="130">
        <f t="shared" si="67"/>
        <v>57</v>
      </c>
      <c r="CG36" s="130">
        <f t="shared" si="67"/>
        <v>62</v>
      </c>
      <c r="CH36" s="396">
        <f t="shared" si="67"/>
        <v>174</v>
      </c>
      <c r="CI36" s="129">
        <f t="shared" si="67"/>
        <v>28</v>
      </c>
      <c r="CJ36" s="130">
        <f t="shared" si="67"/>
        <v>36</v>
      </c>
      <c r="CK36" s="130">
        <f t="shared" si="67"/>
        <v>86</v>
      </c>
      <c r="CL36" s="396">
        <f t="shared" si="67"/>
        <v>150</v>
      </c>
      <c r="CM36" s="129">
        <f t="shared" ref="CM36:CP36" si="70">SUM(CM24,CM28,CM32)</f>
        <v>48</v>
      </c>
      <c r="CN36" s="130">
        <f t="shared" si="70"/>
        <v>40</v>
      </c>
      <c r="CO36" s="130">
        <f t="shared" si="70"/>
        <v>48</v>
      </c>
      <c r="CP36" s="396">
        <f t="shared" si="70"/>
        <v>136</v>
      </c>
      <c r="CQ36" s="129">
        <f t="shared" ref="CQ36:CT36" si="71">SUM(CQ24,CQ28,CQ32)</f>
        <v>40</v>
      </c>
      <c r="CR36" s="130">
        <f t="shared" si="71"/>
        <v>41</v>
      </c>
      <c r="CS36" s="130">
        <f t="shared" si="71"/>
        <v>62</v>
      </c>
      <c r="CT36" s="396">
        <f t="shared" si="71"/>
        <v>143</v>
      </c>
    </row>
    <row r="37" spans="1:98" ht="15" customHeight="1" x14ac:dyDescent="0.25">
      <c r="A37" s="1661"/>
      <c r="B37" s="1339" t="s">
        <v>317</v>
      </c>
      <c r="C37" s="1262">
        <f>+C25+C29+C33</f>
        <v>7</v>
      </c>
      <c r="D37" s="1263">
        <f t="shared" si="60"/>
        <v>9</v>
      </c>
      <c r="E37" s="1263">
        <f t="shared" si="60"/>
        <v>14</v>
      </c>
      <c r="F37" s="1264">
        <f t="shared" si="45"/>
        <v>30</v>
      </c>
      <c r="G37" s="1262">
        <f t="shared" si="61"/>
        <v>8</v>
      </c>
      <c r="H37" s="1263">
        <f t="shared" si="61"/>
        <v>10</v>
      </c>
      <c r="I37" s="1263">
        <f t="shared" si="61"/>
        <v>17</v>
      </c>
      <c r="J37" s="1264">
        <f t="shared" si="46"/>
        <v>35</v>
      </c>
      <c r="K37" s="1262">
        <f t="shared" si="62"/>
        <v>15</v>
      </c>
      <c r="L37" s="1263">
        <f t="shared" si="62"/>
        <v>26</v>
      </c>
      <c r="M37" s="1263">
        <f t="shared" si="62"/>
        <v>11</v>
      </c>
      <c r="N37" s="1264">
        <f t="shared" si="47"/>
        <v>52</v>
      </c>
      <c r="O37" s="1262">
        <f t="shared" si="63"/>
        <v>19</v>
      </c>
      <c r="P37" s="1263">
        <f t="shared" si="63"/>
        <v>24</v>
      </c>
      <c r="Q37" s="1263">
        <f t="shared" si="63"/>
        <v>21</v>
      </c>
      <c r="R37" s="1264">
        <f t="shared" si="48"/>
        <v>64</v>
      </c>
      <c r="S37" s="1262">
        <f t="shared" si="64"/>
        <v>15</v>
      </c>
      <c r="T37" s="1263">
        <f t="shared" si="64"/>
        <v>28</v>
      </c>
      <c r="U37" s="1263">
        <f t="shared" si="64"/>
        <v>35</v>
      </c>
      <c r="V37" s="1264">
        <f t="shared" si="64"/>
        <v>78</v>
      </c>
      <c r="W37" s="1262">
        <f t="shared" si="64"/>
        <v>29</v>
      </c>
      <c r="X37" s="1263">
        <f t="shared" si="64"/>
        <v>38</v>
      </c>
      <c r="Y37" s="1263">
        <f t="shared" si="64"/>
        <v>36</v>
      </c>
      <c r="Z37" s="1337">
        <f t="shared" si="64"/>
        <v>103</v>
      </c>
      <c r="AA37" s="1262">
        <f t="shared" si="64"/>
        <v>24</v>
      </c>
      <c r="AB37" s="1263">
        <f t="shared" si="64"/>
        <v>29</v>
      </c>
      <c r="AC37" s="1263">
        <f t="shared" si="64"/>
        <v>17</v>
      </c>
      <c r="AD37" s="1264">
        <f t="shared" si="64"/>
        <v>70</v>
      </c>
      <c r="AE37" s="1263">
        <f t="shared" si="64"/>
        <v>16</v>
      </c>
      <c r="AF37" s="1263">
        <f t="shared" si="64"/>
        <v>22</v>
      </c>
      <c r="AG37" s="1263">
        <f t="shared" si="64"/>
        <v>50</v>
      </c>
      <c r="AH37" s="1264">
        <f t="shared" si="64"/>
        <v>88</v>
      </c>
      <c r="AI37" s="1263">
        <f t="shared" si="64"/>
        <v>22</v>
      </c>
      <c r="AJ37" s="1263">
        <f t="shared" si="64"/>
        <v>44</v>
      </c>
      <c r="AK37" s="1263">
        <f t="shared" si="64"/>
        <v>38</v>
      </c>
      <c r="AL37" s="1337">
        <f t="shared" si="64"/>
        <v>104</v>
      </c>
      <c r="AM37" s="129">
        <v>32</v>
      </c>
      <c r="AN37" s="130">
        <v>29</v>
      </c>
      <c r="AO37" s="130">
        <v>31</v>
      </c>
      <c r="AP37" s="396">
        <v>92</v>
      </c>
      <c r="AQ37" s="129">
        <f t="shared" si="65"/>
        <v>34</v>
      </c>
      <c r="AR37" s="130">
        <f t="shared" si="65"/>
        <v>42</v>
      </c>
      <c r="AS37" s="130">
        <f t="shared" si="65"/>
        <v>41</v>
      </c>
      <c r="AT37" s="396">
        <f t="shared" si="65"/>
        <v>117</v>
      </c>
      <c r="AU37" s="129">
        <f t="shared" si="65"/>
        <v>32</v>
      </c>
      <c r="AV37" s="130">
        <f t="shared" si="65"/>
        <v>46</v>
      </c>
      <c r="AW37" s="130">
        <f t="shared" si="65"/>
        <v>32</v>
      </c>
      <c r="AX37" s="396">
        <f t="shared" si="49"/>
        <v>110</v>
      </c>
      <c r="AY37" s="129">
        <f t="shared" si="66"/>
        <v>52</v>
      </c>
      <c r="AZ37" s="130">
        <f t="shared" si="66"/>
        <v>32</v>
      </c>
      <c r="BA37" s="130">
        <f t="shared" si="66"/>
        <v>29</v>
      </c>
      <c r="BB37" s="396">
        <f t="shared" si="50"/>
        <v>113</v>
      </c>
      <c r="BC37" s="129">
        <f t="shared" si="67"/>
        <v>28</v>
      </c>
      <c r="BD37" s="130">
        <f t="shared" si="67"/>
        <v>31</v>
      </c>
      <c r="BE37" s="130">
        <f t="shared" si="67"/>
        <v>44</v>
      </c>
      <c r="BF37" s="396">
        <f t="shared" si="67"/>
        <v>103</v>
      </c>
      <c r="BG37" s="129">
        <f t="shared" si="67"/>
        <v>37</v>
      </c>
      <c r="BH37" s="130">
        <f t="shared" si="67"/>
        <v>37</v>
      </c>
      <c r="BI37" s="130">
        <f t="shared" si="67"/>
        <v>41</v>
      </c>
      <c r="BJ37" s="396">
        <f t="shared" si="67"/>
        <v>115</v>
      </c>
      <c r="BK37" s="129">
        <f t="shared" si="67"/>
        <v>35</v>
      </c>
      <c r="BL37" s="130">
        <f t="shared" si="67"/>
        <v>60</v>
      </c>
      <c r="BM37" s="130">
        <f t="shared" si="67"/>
        <v>57</v>
      </c>
      <c r="BN37" s="396">
        <f t="shared" si="67"/>
        <v>152</v>
      </c>
      <c r="BO37" s="129">
        <f t="shared" si="67"/>
        <v>40</v>
      </c>
      <c r="BP37" s="130">
        <f t="shared" si="67"/>
        <v>32</v>
      </c>
      <c r="BQ37" s="130">
        <f t="shared" si="67"/>
        <v>31</v>
      </c>
      <c r="BR37" s="396">
        <f t="shared" si="67"/>
        <v>103</v>
      </c>
      <c r="BS37" s="129">
        <f t="shared" si="67"/>
        <v>35</v>
      </c>
      <c r="BT37" s="130">
        <f t="shared" si="67"/>
        <v>45</v>
      </c>
      <c r="BU37" s="130">
        <f t="shared" si="67"/>
        <v>56</v>
      </c>
      <c r="BV37" s="396">
        <f t="shared" si="67"/>
        <v>136</v>
      </c>
      <c r="BW37" s="129">
        <f t="shared" si="67"/>
        <v>51</v>
      </c>
      <c r="BX37" s="130">
        <f t="shared" si="67"/>
        <v>35</v>
      </c>
      <c r="BY37" s="130">
        <f t="shared" si="67"/>
        <v>28</v>
      </c>
      <c r="BZ37" s="396">
        <f t="shared" si="67"/>
        <v>114</v>
      </c>
      <c r="CA37" s="129">
        <f t="shared" si="67"/>
        <v>37</v>
      </c>
      <c r="CB37" s="130">
        <f t="shared" si="67"/>
        <v>56</v>
      </c>
      <c r="CC37" s="130">
        <f t="shared" si="67"/>
        <v>54</v>
      </c>
      <c r="CD37" s="396">
        <f t="shared" si="67"/>
        <v>147</v>
      </c>
      <c r="CE37" s="129">
        <f t="shared" si="67"/>
        <v>57</v>
      </c>
      <c r="CF37" s="130">
        <f t="shared" si="67"/>
        <v>23</v>
      </c>
      <c r="CG37" s="130">
        <f t="shared" si="67"/>
        <v>49</v>
      </c>
      <c r="CH37" s="396">
        <f t="shared" si="67"/>
        <v>129</v>
      </c>
      <c r="CI37" s="129">
        <f t="shared" si="67"/>
        <v>11</v>
      </c>
      <c r="CJ37" s="130">
        <f t="shared" si="67"/>
        <v>3</v>
      </c>
      <c r="CK37" s="130">
        <f t="shared" si="67"/>
        <v>74</v>
      </c>
      <c r="CL37" s="396">
        <f t="shared" si="67"/>
        <v>88</v>
      </c>
      <c r="CM37" s="129">
        <f t="shared" ref="CM37:CP37" si="72">SUM(CM25,CM29,CM33)</f>
        <v>26</v>
      </c>
      <c r="CN37" s="130">
        <f t="shared" si="72"/>
        <v>28</v>
      </c>
      <c r="CO37" s="130">
        <f t="shared" si="72"/>
        <v>33</v>
      </c>
      <c r="CP37" s="396">
        <f t="shared" si="72"/>
        <v>87</v>
      </c>
      <c r="CQ37" s="129">
        <f t="shared" ref="CQ37:CT37" si="73">SUM(CQ25,CQ29,CQ33)</f>
        <v>28</v>
      </c>
      <c r="CR37" s="130">
        <f t="shared" si="73"/>
        <v>24</v>
      </c>
      <c r="CS37" s="130">
        <f t="shared" si="73"/>
        <v>46</v>
      </c>
      <c r="CT37" s="396">
        <f t="shared" si="73"/>
        <v>98</v>
      </c>
    </row>
    <row r="38" spans="1:98" s="1330" customFormat="1" ht="15" customHeight="1" x14ac:dyDescent="0.25">
      <c r="A38" s="1661"/>
      <c r="B38" s="1359" t="s">
        <v>135</v>
      </c>
      <c r="C38" s="1360">
        <f>SUM(C35:C37)</f>
        <v>20</v>
      </c>
      <c r="D38" s="1361">
        <f>SUM(D35:D37)</f>
        <v>46</v>
      </c>
      <c r="E38" s="1361">
        <f>SUM(E35:E37)</f>
        <v>80</v>
      </c>
      <c r="F38" s="1362">
        <f t="shared" si="45"/>
        <v>146</v>
      </c>
      <c r="G38" s="1360">
        <f>SUM(G35:G37)</f>
        <v>26</v>
      </c>
      <c r="H38" s="1361">
        <f>SUM(H35:H37)</f>
        <v>60</v>
      </c>
      <c r="I38" s="1361">
        <f>SUM(I35:I37)</f>
        <v>45</v>
      </c>
      <c r="J38" s="1362">
        <f t="shared" si="46"/>
        <v>131</v>
      </c>
      <c r="K38" s="1360">
        <f>SUM(K35:K37)</f>
        <v>30</v>
      </c>
      <c r="L38" s="1361">
        <f>SUM(L35:L37)</f>
        <v>109</v>
      </c>
      <c r="M38" s="1361">
        <f>SUM(M35:M37)</f>
        <v>62</v>
      </c>
      <c r="N38" s="1362">
        <f t="shared" si="47"/>
        <v>201</v>
      </c>
      <c r="O38" s="1360">
        <f>SUM(O35:O37)</f>
        <v>44</v>
      </c>
      <c r="P38" s="1361">
        <f>SUM(P35:P37)</f>
        <v>63</v>
      </c>
      <c r="Q38" s="1361">
        <f>SUM(Q35:Q37)</f>
        <v>43</v>
      </c>
      <c r="R38" s="1362">
        <f t="shared" si="48"/>
        <v>150</v>
      </c>
      <c r="S38" s="1360">
        <f>SUM(S35:S37)</f>
        <v>52</v>
      </c>
      <c r="T38" s="1361">
        <f>SUM(T35:T37)</f>
        <v>67</v>
      </c>
      <c r="U38" s="1361">
        <f>SUM(U35:U37)</f>
        <v>77</v>
      </c>
      <c r="V38" s="1362">
        <f>SUM(V35:V37)</f>
        <v>196</v>
      </c>
      <c r="W38" s="1360">
        <f t="shared" ref="W38:AL38" si="74">SUM(W35:W37)</f>
        <v>50</v>
      </c>
      <c r="X38" s="1361">
        <f t="shared" si="74"/>
        <v>132</v>
      </c>
      <c r="Y38" s="1361">
        <f t="shared" si="74"/>
        <v>73</v>
      </c>
      <c r="Z38" s="1361">
        <f t="shared" si="74"/>
        <v>255</v>
      </c>
      <c r="AA38" s="1360">
        <f t="shared" si="74"/>
        <v>54</v>
      </c>
      <c r="AB38" s="1361">
        <f t="shared" si="74"/>
        <v>131</v>
      </c>
      <c r="AC38" s="1361">
        <f t="shared" si="74"/>
        <v>49</v>
      </c>
      <c r="AD38" s="1362">
        <f t="shared" si="74"/>
        <v>234</v>
      </c>
      <c r="AE38" s="1361">
        <f t="shared" si="74"/>
        <v>37</v>
      </c>
      <c r="AF38" s="1361">
        <f t="shared" si="74"/>
        <v>86</v>
      </c>
      <c r="AG38" s="1361">
        <f t="shared" si="74"/>
        <v>154</v>
      </c>
      <c r="AH38" s="1362">
        <f t="shared" si="74"/>
        <v>277</v>
      </c>
      <c r="AI38" s="1361">
        <f t="shared" si="74"/>
        <v>53</v>
      </c>
      <c r="AJ38" s="1361">
        <f t="shared" si="74"/>
        <v>109</v>
      </c>
      <c r="AK38" s="1361">
        <f t="shared" si="74"/>
        <v>76</v>
      </c>
      <c r="AL38" s="1361">
        <f t="shared" si="74"/>
        <v>238</v>
      </c>
      <c r="AM38" s="1363">
        <v>128</v>
      </c>
      <c r="AN38" s="1364">
        <v>81</v>
      </c>
      <c r="AO38" s="1364">
        <v>74</v>
      </c>
      <c r="AP38" s="1364">
        <v>283</v>
      </c>
      <c r="AQ38" s="1363">
        <f t="shared" ref="AQ38:AW38" si="75">SUM(AQ35:AQ37)</f>
        <v>83</v>
      </c>
      <c r="AR38" s="1364">
        <f t="shared" si="75"/>
        <v>125</v>
      </c>
      <c r="AS38" s="1364">
        <f t="shared" si="75"/>
        <v>96</v>
      </c>
      <c r="AT38" s="1365">
        <f t="shared" si="75"/>
        <v>304</v>
      </c>
      <c r="AU38" s="1363">
        <f t="shared" si="75"/>
        <v>101</v>
      </c>
      <c r="AV38" s="1364">
        <f t="shared" si="75"/>
        <v>157</v>
      </c>
      <c r="AW38" s="1364">
        <f t="shared" si="75"/>
        <v>77</v>
      </c>
      <c r="AX38" s="1365">
        <f t="shared" si="49"/>
        <v>335</v>
      </c>
      <c r="AY38" s="1363">
        <f>SUM(AY35:AY37)</f>
        <v>195</v>
      </c>
      <c r="AZ38" s="1364">
        <f>SUM(AZ35:AZ37)</f>
        <v>104</v>
      </c>
      <c r="BA38" s="1364">
        <f>SUM(BA35:BA37)</f>
        <v>138</v>
      </c>
      <c r="BB38" s="1365">
        <f t="shared" si="50"/>
        <v>437</v>
      </c>
      <c r="BC38" s="1363">
        <f t="shared" ref="BC38:CL38" si="76">SUM(BC35:BC37)</f>
        <v>78</v>
      </c>
      <c r="BD38" s="1364">
        <f t="shared" si="76"/>
        <v>137</v>
      </c>
      <c r="BE38" s="1364">
        <f t="shared" si="76"/>
        <v>162</v>
      </c>
      <c r="BF38" s="1365">
        <f t="shared" si="76"/>
        <v>377</v>
      </c>
      <c r="BG38" s="1363">
        <f t="shared" si="76"/>
        <v>120</v>
      </c>
      <c r="BH38" s="1364">
        <f t="shared" si="76"/>
        <v>110</v>
      </c>
      <c r="BI38" s="1364">
        <f t="shared" si="76"/>
        <v>111</v>
      </c>
      <c r="BJ38" s="1365">
        <f t="shared" si="76"/>
        <v>341</v>
      </c>
      <c r="BK38" s="1363">
        <f t="shared" si="76"/>
        <v>95</v>
      </c>
      <c r="BL38" s="1364">
        <f t="shared" si="76"/>
        <v>163</v>
      </c>
      <c r="BM38" s="1364">
        <f t="shared" si="76"/>
        <v>179</v>
      </c>
      <c r="BN38" s="1365">
        <f t="shared" si="76"/>
        <v>437</v>
      </c>
      <c r="BO38" s="1363">
        <f t="shared" si="76"/>
        <v>81</v>
      </c>
      <c r="BP38" s="1364">
        <f t="shared" si="76"/>
        <v>110</v>
      </c>
      <c r="BQ38" s="1364">
        <f t="shared" si="76"/>
        <v>91</v>
      </c>
      <c r="BR38" s="1365">
        <f t="shared" si="76"/>
        <v>282</v>
      </c>
      <c r="BS38" s="1363">
        <f t="shared" si="76"/>
        <v>112</v>
      </c>
      <c r="BT38" s="1364">
        <f t="shared" si="76"/>
        <v>134</v>
      </c>
      <c r="BU38" s="1364">
        <f t="shared" si="76"/>
        <v>178</v>
      </c>
      <c r="BV38" s="1365">
        <f t="shared" si="76"/>
        <v>424</v>
      </c>
      <c r="BW38" s="1363">
        <f t="shared" si="76"/>
        <v>113</v>
      </c>
      <c r="BX38" s="1364">
        <f t="shared" si="76"/>
        <v>103</v>
      </c>
      <c r="BY38" s="1364">
        <f t="shared" si="76"/>
        <v>114</v>
      </c>
      <c r="BZ38" s="1365">
        <f t="shared" si="76"/>
        <v>330</v>
      </c>
      <c r="CA38" s="1363">
        <f t="shared" si="76"/>
        <v>84</v>
      </c>
      <c r="CB38" s="1364">
        <f t="shared" si="76"/>
        <v>207</v>
      </c>
      <c r="CC38" s="1364">
        <f t="shared" si="76"/>
        <v>121</v>
      </c>
      <c r="CD38" s="1365">
        <f t="shared" si="76"/>
        <v>412</v>
      </c>
      <c r="CE38" s="1363">
        <f t="shared" si="76"/>
        <v>115</v>
      </c>
      <c r="CF38" s="1364">
        <f t="shared" si="76"/>
        <v>122</v>
      </c>
      <c r="CG38" s="1364">
        <f t="shared" si="76"/>
        <v>113</v>
      </c>
      <c r="CH38" s="1365">
        <f t="shared" si="76"/>
        <v>350</v>
      </c>
      <c r="CI38" s="1363">
        <f t="shared" si="76"/>
        <v>41</v>
      </c>
      <c r="CJ38" s="1364">
        <f t="shared" si="76"/>
        <v>66</v>
      </c>
      <c r="CK38" s="1364">
        <f t="shared" si="76"/>
        <v>165</v>
      </c>
      <c r="CL38" s="1365">
        <f t="shared" si="76"/>
        <v>272</v>
      </c>
      <c r="CM38" s="1363">
        <f t="shared" ref="CM38:CP38" si="77">SUM(CM35:CM37)</f>
        <v>75</v>
      </c>
      <c r="CN38" s="1364">
        <f t="shared" si="77"/>
        <v>128</v>
      </c>
      <c r="CO38" s="1364">
        <f t="shared" si="77"/>
        <v>86</v>
      </c>
      <c r="CP38" s="1365">
        <f t="shared" si="77"/>
        <v>289</v>
      </c>
      <c r="CQ38" s="1363">
        <f t="shared" ref="CQ38:CT38" si="78">SUM(CQ35:CQ37)</f>
        <v>71</v>
      </c>
      <c r="CR38" s="1364">
        <f t="shared" si="78"/>
        <v>66</v>
      </c>
      <c r="CS38" s="1364">
        <f t="shared" si="78"/>
        <v>145</v>
      </c>
      <c r="CT38" s="1365">
        <f t="shared" si="78"/>
        <v>282</v>
      </c>
    </row>
    <row r="39" spans="1:98" ht="15" customHeight="1" x14ac:dyDescent="0.25">
      <c r="A39" s="1661"/>
      <c r="B39" s="1353"/>
      <c r="C39" s="342"/>
      <c r="D39" s="342"/>
      <c r="E39" s="342"/>
      <c r="F39" s="342"/>
      <c r="G39" s="342"/>
      <c r="H39" s="342"/>
      <c r="I39" s="342"/>
      <c r="J39" s="342"/>
      <c r="K39" s="342"/>
      <c r="L39" s="342"/>
      <c r="M39" s="342"/>
      <c r="N39" s="342"/>
      <c r="O39" s="342"/>
      <c r="P39" s="342"/>
      <c r="Q39" s="342"/>
      <c r="R39" s="342"/>
      <c r="S39" s="342"/>
      <c r="T39" s="342"/>
      <c r="U39" s="342"/>
      <c r="V39" s="342"/>
      <c r="W39" s="342"/>
      <c r="X39" s="342"/>
      <c r="Y39" s="342"/>
      <c r="Z39" s="342"/>
      <c r="AA39" s="342"/>
      <c r="AB39" s="342"/>
      <c r="AC39" s="342"/>
      <c r="AD39" s="342"/>
      <c r="AE39" s="342"/>
      <c r="AF39" s="342"/>
      <c r="AG39" s="342"/>
      <c r="AH39" s="342"/>
      <c r="AI39" s="342"/>
      <c r="AJ39" s="342"/>
      <c r="AK39" s="342"/>
      <c r="AL39" s="342"/>
      <c r="AM39" s="342"/>
      <c r="AN39" s="342"/>
      <c r="AO39" s="342"/>
      <c r="AP39" s="342"/>
      <c r="AQ39" s="342"/>
      <c r="AR39" s="342"/>
      <c r="AS39" s="342"/>
      <c r="AT39" s="342"/>
      <c r="AU39" s="342"/>
      <c r="AV39" s="342"/>
      <c r="AW39" s="342"/>
      <c r="AX39" s="342"/>
      <c r="AY39" s="342"/>
      <c r="AZ39" s="342"/>
      <c r="BA39" s="342"/>
      <c r="BB39" s="342"/>
      <c r="BC39" s="342"/>
      <c r="BD39" s="342"/>
      <c r="BE39" s="342"/>
      <c r="BF39" s="342"/>
      <c r="BG39" s="342"/>
      <c r="BH39" s="342"/>
      <c r="BI39" s="342"/>
      <c r="BJ39" s="342"/>
      <c r="BK39" s="342"/>
      <c r="BL39" s="342"/>
      <c r="BM39" s="342"/>
      <c r="BN39" s="342"/>
      <c r="BO39" s="342"/>
      <c r="BP39" s="342"/>
      <c r="BQ39" s="342"/>
      <c r="BR39" s="342"/>
      <c r="BS39" s="342"/>
      <c r="BT39" s="342"/>
      <c r="BU39" s="342"/>
      <c r="BV39" s="342"/>
      <c r="BW39" s="342"/>
      <c r="BX39" s="342"/>
      <c r="BY39" s="342"/>
      <c r="BZ39" s="342"/>
      <c r="CA39" s="342"/>
      <c r="CB39" s="342"/>
      <c r="CC39" s="342"/>
      <c r="CD39" s="342"/>
      <c r="CE39" s="342"/>
      <c r="CF39" s="342"/>
      <c r="CG39" s="342"/>
      <c r="CH39" s="342"/>
      <c r="CI39" s="342"/>
      <c r="CJ39" s="342"/>
      <c r="CK39" s="342"/>
      <c r="CL39" s="342"/>
      <c r="CM39" s="342"/>
      <c r="CN39" s="342"/>
      <c r="CO39" s="342"/>
      <c r="CP39" s="342"/>
      <c r="CQ39" s="342"/>
      <c r="CR39" s="342"/>
      <c r="CS39" s="342"/>
      <c r="CT39" s="342"/>
    </row>
    <row r="40" spans="1:98" ht="15" customHeight="1" x14ac:dyDescent="0.25">
      <c r="A40" s="1661"/>
      <c r="B40" s="1334" t="s">
        <v>308</v>
      </c>
      <c r="C40" s="1258">
        <f>+'EGRESO-POS plan'!D102+'EGRESO-POS plan'!D103</f>
        <v>0</v>
      </c>
      <c r="D40" s="1259">
        <f>+'EGRESO-POS plan'!E102+'EGRESO-POS plan'!E103</f>
        <v>0</v>
      </c>
      <c r="E40" s="1259">
        <f>+'EGRESO-POS plan'!F102+'EGRESO-POS plan'!F103</f>
        <v>0</v>
      </c>
      <c r="F40" s="1260">
        <f t="shared" ref="F40:F83" si="79">SUM(C40:E40)</f>
        <v>0</v>
      </c>
      <c r="G40" s="1258">
        <f>+'EGRESO-POS plan'!H102+'EGRESO-POS plan'!H103</f>
        <v>1</v>
      </c>
      <c r="H40" s="1259">
        <f>+'EGRESO-POS plan'!I102+'EGRESO-POS plan'!I103</f>
        <v>0</v>
      </c>
      <c r="I40" s="1259">
        <f>+'EGRESO-POS plan'!J102+'EGRESO-POS plan'!J103</f>
        <v>4</v>
      </c>
      <c r="J40" s="1260">
        <f t="shared" ref="J40:J55" si="80">SUM(G40:I40)</f>
        <v>5</v>
      </c>
      <c r="K40" s="1258">
        <f>+'EGRESO-POS plan'!L102+'EGRESO-POS plan'!L103</f>
        <v>9</v>
      </c>
      <c r="L40" s="1259">
        <f>+'EGRESO-POS plan'!M102+'EGRESO-POS plan'!M103</f>
        <v>0</v>
      </c>
      <c r="M40" s="1259">
        <f>+'EGRESO-POS plan'!N102+'EGRESO-POS plan'!N103</f>
        <v>27</v>
      </c>
      <c r="N40" s="1260">
        <f t="shared" ref="N40:N84" si="81">SUM(K40:M40)</f>
        <v>36</v>
      </c>
      <c r="O40" s="1258">
        <f>+'EGRESO-POS plan'!P102+'EGRESO-POS plan'!P103</f>
        <v>3</v>
      </c>
      <c r="P40" s="1259">
        <f>+'EGRESO-POS plan'!Q102+'EGRESO-POS plan'!Q103</f>
        <v>12</v>
      </c>
      <c r="Q40" s="1259">
        <f>+'EGRESO-POS plan'!R102+'EGRESO-POS plan'!R103</f>
        <v>0</v>
      </c>
      <c r="R40" s="1260">
        <f t="shared" ref="R40:R84" si="82">SUM(O40:Q40)</f>
        <v>15</v>
      </c>
      <c r="S40" s="1258">
        <v>0</v>
      </c>
      <c r="T40" s="1259">
        <v>1</v>
      </c>
      <c r="U40" s="1259">
        <v>12</v>
      </c>
      <c r="V40" s="1260">
        <v>13</v>
      </c>
      <c r="W40" s="1258">
        <v>1</v>
      </c>
      <c r="X40" s="1259">
        <v>1</v>
      </c>
      <c r="Y40" s="1259">
        <v>27</v>
      </c>
      <c r="Z40" s="1298">
        <v>29</v>
      </c>
      <c r="AA40" s="1258">
        <v>0</v>
      </c>
      <c r="AB40" s="1259">
        <v>16</v>
      </c>
      <c r="AC40" s="1259">
        <v>3</v>
      </c>
      <c r="AD40" s="1260">
        <v>19</v>
      </c>
      <c r="AE40" s="1259">
        <v>0</v>
      </c>
      <c r="AF40" s="1259">
        <v>2</v>
      </c>
      <c r="AG40" s="1259">
        <v>0</v>
      </c>
      <c r="AH40" s="1260">
        <v>2</v>
      </c>
      <c r="AI40" s="1259">
        <v>31</v>
      </c>
      <c r="AJ40" s="1259">
        <v>0</v>
      </c>
      <c r="AK40" s="1259">
        <v>15</v>
      </c>
      <c r="AL40" s="1298">
        <v>46</v>
      </c>
      <c r="AM40" s="151">
        <v>0</v>
      </c>
      <c r="AN40" s="152">
        <v>0</v>
      </c>
      <c r="AO40" s="152">
        <v>42</v>
      </c>
      <c r="AP40" s="395">
        <v>42</v>
      </c>
      <c r="AQ40" s="151">
        <v>1</v>
      </c>
      <c r="AR40" s="152">
        <v>0</v>
      </c>
      <c r="AS40" s="152">
        <v>18</v>
      </c>
      <c r="AT40" s="395">
        <v>19</v>
      </c>
      <c r="AU40" s="151"/>
      <c r="AV40" s="152"/>
      <c r="AW40" s="152">
        <v>40</v>
      </c>
      <c r="AX40" s="395">
        <f t="shared" ref="AX40:AX55" si="83">AU40+AV40+AW40</f>
        <v>40</v>
      </c>
      <c r="AY40" s="151">
        <v>1</v>
      </c>
      <c r="AZ40" s="152">
        <v>1</v>
      </c>
      <c r="BA40" s="152">
        <v>17</v>
      </c>
      <c r="BB40" s="395">
        <f t="shared" ref="BB40:BB55" si="84">AY40+AZ40+BA40</f>
        <v>19</v>
      </c>
      <c r="BC40" s="151">
        <f>SUM('EGRESO-POS plan'!BD102,'EGRESO-POS plan'!BD103)</f>
        <v>0</v>
      </c>
      <c r="BD40" s="152">
        <f>SUM('EGRESO-POS plan'!BE102,'EGRESO-POS plan'!BE103)</f>
        <v>1</v>
      </c>
      <c r="BE40" s="152">
        <f>SUM('EGRESO-POS plan'!BF102,'EGRESO-POS plan'!BF103)</f>
        <v>0</v>
      </c>
      <c r="BF40" s="395">
        <f>SUM(BC40:BE40)</f>
        <v>1</v>
      </c>
      <c r="BG40" s="151">
        <f>SUM('EGRESO-POS plan'!BH102,'EGRESO-POS plan'!BH103)</f>
        <v>0</v>
      </c>
      <c r="BH40" s="152">
        <f>SUM('EGRESO-POS plan'!BI102,'EGRESO-POS plan'!BI103)</f>
        <v>1</v>
      </c>
      <c r="BI40" s="152">
        <f>SUM('EGRESO-POS plan'!BJ102,'EGRESO-POS plan'!BJ103)</f>
        <v>0</v>
      </c>
      <c r="BJ40" s="395">
        <f>SUM(BG40:BI40)</f>
        <v>1</v>
      </c>
      <c r="BK40" s="151">
        <f>SUM('EGRESO-POS plan'!BL102:BL103)</f>
        <v>0</v>
      </c>
      <c r="BL40" s="152">
        <f>SUM('EGRESO-POS plan'!BM102,'EGRESO-POS plan'!BM103)</f>
        <v>0</v>
      </c>
      <c r="BM40" s="152">
        <f>SUM('EGRESO-POS plan'!BN102:BN103)</f>
        <v>28</v>
      </c>
      <c r="BN40" s="395">
        <f>SUM(BK40:BM40)</f>
        <v>28</v>
      </c>
      <c r="BO40" s="151">
        <f>SUM('EGRESO-POS plan'!BP102:BP103)</f>
        <v>0</v>
      </c>
      <c r="BP40" s="152">
        <f>SUM('EGRESO-POS plan'!BQ102,'EGRESO-POS plan'!BQ103)</f>
        <v>1</v>
      </c>
      <c r="BQ40" s="152">
        <f>SUM('EGRESO-POS plan'!BR102:BR103)</f>
        <v>0</v>
      </c>
      <c r="BR40" s="395">
        <f>SUM(BO40:BQ40)</f>
        <v>1</v>
      </c>
      <c r="BS40" s="151">
        <f>SUM('EGRESO-POS plan'!BT102:BT103)</f>
        <v>0</v>
      </c>
      <c r="BT40" s="152">
        <f>SUM('EGRESO-POS plan'!BU102,'EGRESO-POS plan'!BU103)</f>
        <v>0</v>
      </c>
      <c r="BU40" s="152">
        <f>SUM('EGRESO-POS plan'!BV102:BV103)</f>
        <v>1</v>
      </c>
      <c r="BV40" s="395">
        <f>SUM(BS40:BU40)</f>
        <v>1</v>
      </c>
      <c r="BW40" s="151">
        <f>SUM('EGRESO-POS plan'!BX102:BX103)</f>
        <v>1</v>
      </c>
      <c r="BX40" s="152">
        <f>SUM('EGRESO-POS plan'!BY102,'EGRESO-POS plan'!BY103)</f>
        <v>0</v>
      </c>
      <c r="BY40" s="152">
        <f>SUM('EGRESO-POS plan'!BZ102:BZ103)</f>
        <v>0</v>
      </c>
      <c r="BZ40" s="395">
        <f>SUM(BW40:BY40)</f>
        <v>1</v>
      </c>
      <c r="CA40" s="151">
        <f>SUM('EGRESO-POS plan'!CB102:CB103)</f>
        <v>0</v>
      </c>
      <c r="CB40" s="152">
        <f>SUM('EGRESO-POS plan'!CC102:CC103)</f>
        <v>0</v>
      </c>
      <c r="CC40" s="152">
        <f>SUM('EGRESO-POS plan'!CD102,'EGRESO-POS plan'!CD103)</f>
        <v>22</v>
      </c>
      <c r="CD40" s="395">
        <f>SUM(CA40:CC40)</f>
        <v>22</v>
      </c>
      <c r="CE40" s="151">
        <f>SUM('EGRESO-POS plan'!CF102:CF103)</f>
        <v>2</v>
      </c>
      <c r="CF40" s="152">
        <f>SUM('EGRESO-POS plan'!CG102:CG103)</f>
        <v>0</v>
      </c>
      <c r="CG40" s="152">
        <f>SUM('EGRESO-POS plan'!CH102,'EGRESO-POS plan'!CH103)</f>
        <v>2</v>
      </c>
      <c r="CH40" s="395">
        <f>SUM(CE40:CG40)</f>
        <v>4</v>
      </c>
      <c r="CI40" s="151">
        <f>SUM('EGRESO-POS plan'!CJ102:CJ103)</f>
        <v>0</v>
      </c>
      <c r="CJ40" s="152">
        <f>SUM('EGRESO-POS plan'!CK102:CK103)</f>
        <v>0</v>
      </c>
      <c r="CK40" s="152">
        <f>SUM('EGRESO-POS plan'!CL102,'EGRESO-POS plan'!CL103)</f>
        <v>0</v>
      </c>
      <c r="CL40" s="395">
        <f>SUM(CI40:CK40)</f>
        <v>0</v>
      </c>
      <c r="CM40" s="151">
        <f>SUM('EGRESO-POS plan'!CN102:CN103)</f>
        <v>9</v>
      </c>
      <c r="CN40" s="152">
        <f>SUM('EGRESO-POS plan'!CO102:CO103)</f>
        <v>0</v>
      </c>
      <c r="CO40" s="152">
        <f>SUM('EGRESO-POS plan'!CP102,'EGRESO-POS plan'!CP103)</f>
        <v>0</v>
      </c>
      <c r="CP40" s="395">
        <f>SUM(CM40:CO40)</f>
        <v>9</v>
      </c>
      <c r="CQ40" s="151">
        <f>SUM('EGRESO-POS plan'!CR102:CR103)</f>
        <v>0</v>
      </c>
      <c r="CR40" s="152">
        <f>SUM('EGRESO-POS plan'!CS102:CS103)</f>
        <v>14</v>
      </c>
      <c r="CS40" s="152">
        <f>SUM('EGRESO-POS plan'!CT102,'EGRESO-POS plan'!CT103)</f>
        <v>4</v>
      </c>
      <c r="CT40" s="395">
        <f>SUM(CQ40:CS40)</f>
        <v>18</v>
      </c>
    </row>
    <row r="41" spans="1:98" ht="15" customHeight="1" x14ac:dyDescent="0.25">
      <c r="A41" s="1661"/>
      <c r="B41" s="1336" t="s">
        <v>310</v>
      </c>
      <c r="C41" s="1262">
        <f>+'EGRESO-POS plan'!D104+'EGRESO-POS plan'!D105+'EGRESO-POS plan'!D106+'EGRESO-POS plan'!D107+'EGRESO-POS plan'!D108+'EGRESO-POS plan'!D109+'EGRESO-POS plan'!D110+'EGRESO-POS plan'!D111+'EGRESO-POS plan'!D112+'EGRESO-POS plan'!D116</f>
        <v>4</v>
      </c>
      <c r="D41" s="1263">
        <f>+'EGRESO-POS plan'!E104+'EGRESO-POS plan'!E105+'EGRESO-POS plan'!E106+'EGRESO-POS plan'!E107+'EGRESO-POS plan'!E108+'EGRESO-POS plan'!E109+'EGRESO-POS plan'!E110+'EGRESO-POS plan'!E111+'EGRESO-POS plan'!E112+'EGRESO-POS plan'!E116</f>
        <v>12</v>
      </c>
      <c r="E41" s="1263">
        <f>+'EGRESO-POS plan'!F104+'EGRESO-POS plan'!F105+'EGRESO-POS plan'!F106+'EGRESO-POS plan'!F107+'EGRESO-POS plan'!F108+'EGRESO-POS plan'!F109+'EGRESO-POS plan'!F110+'EGRESO-POS plan'!F111+'EGRESO-POS plan'!F112+'EGRESO-POS plan'!F116</f>
        <v>18</v>
      </c>
      <c r="F41" s="1264">
        <f t="shared" si="79"/>
        <v>34</v>
      </c>
      <c r="G41" s="1262">
        <f>+'EGRESO-POS plan'!H104+'EGRESO-POS plan'!H105+'EGRESO-POS plan'!H106+'EGRESO-POS plan'!H107+'EGRESO-POS plan'!H108+'EGRESO-POS plan'!H109+'EGRESO-POS plan'!H110+'EGRESO-POS plan'!H111+'EGRESO-POS plan'!H112+'EGRESO-POS plan'!H116</f>
        <v>7</v>
      </c>
      <c r="H41" s="1263">
        <f>+'EGRESO-POS plan'!I104+'EGRESO-POS plan'!I105+'EGRESO-POS plan'!I106+'EGRESO-POS plan'!I107+'EGRESO-POS plan'!I108+'EGRESO-POS plan'!I109+'EGRESO-POS plan'!I110+'EGRESO-POS plan'!I111+'EGRESO-POS plan'!I112+'EGRESO-POS plan'!I116</f>
        <v>7</v>
      </c>
      <c r="I41" s="1263">
        <f>+'EGRESO-POS plan'!J104+'EGRESO-POS plan'!J105+'EGRESO-POS plan'!J106+'EGRESO-POS plan'!J107+'EGRESO-POS plan'!J108+'EGRESO-POS plan'!J109+'EGRESO-POS plan'!J110+'EGRESO-POS plan'!J111+'EGRESO-POS plan'!J112+'EGRESO-POS plan'!J116</f>
        <v>7</v>
      </c>
      <c r="J41" s="1264">
        <f t="shared" si="80"/>
        <v>21</v>
      </c>
      <c r="K41" s="1262">
        <f>+'EGRESO-POS plan'!L104+'EGRESO-POS plan'!L105+'EGRESO-POS plan'!L106+'EGRESO-POS plan'!L107+'EGRESO-POS plan'!L108+'EGRESO-POS plan'!L109+'EGRESO-POS plan'!L110+'EGRESO-POS plan'!L111+'EGRESO-POS plan'!L112+'EGRESO-POS plan'!L116</f>
        <v>4</v>
      </c>
      <c r="L41" s="1263">
        <f>+'EGRESO-POS plan'!M104+'EGRESO-POS plan'!M105+'EGRESO-POS plan'!M106+'EGRESO-POS plan'!M107+'EGRESO-POS plan'!M108+'EGRESO-POS plan'!M109+'EGRESO-POS plan'!M110+'EGRESO-POS plan'!M111+'EGRESO-POS plan'!M112+'EGRESO-POS plan'!M116</f>
        <v>8</v>
      </c>
      <c r="M41" s="1263">
        <f>+'EGRESO-POS plan'!N104+'EGRESO-POS plan'!N105+'EGRESO-POS plan'!N106+'EGRESO-POS plan'!N107+'EGRESO-POS plan'!N108+'EGRESO-POS plan'!N109+'EGRESO-POS plan'!N110+'EGRESO-POS plan'!N111+'EGRESO-POS plan'!N112+'EGRESO-POS plan'!N116</f>
        <v>9</v>
      </c>
      <c r="N41" s="1264">
        <f t="shared" si="81"/>
        <v>21</v>
      </c>
      <c r="O41" s="1262">
        <f>+'EGRESO-POS plan'!P104+'EGRESO-POS plan'!P105+'EGRESO-POS plan'!P106+'EGRESO-POS plan'!P107+'EGRESO-POS plan'!P108+'EGRESO-POS plan'!P109+'EGRESO-POS plan'!P110+'EGRESO-POS plan'!P111+'EGRESO-POS plan'!P112+'EGRESO-POS plan'!P116</f>
        <v>10</v>
      </c>
      <c r="P41" s="1263">
        <f>+'EGRESO-POS plan'!Q104+'EGRESO-POS plan'!Q105+'EGRESO-POS plan'!Q106+'EGRESO-POS plan'!Q107+'EGRESO-POS plan'!Q108+'EGRESO-POS plan'!Q109+'EGRESO-POS plan'!Q110+'EGRESO-POS plan'!Q111+'EGRESO-POS plan'!Q112+'EGRESO-POS plan'!Q116</f>
        <v>41</v>
      </c>
      <c r="Q41" s="1263">
        <f>+'EGRESO-POS plan'!R104+'EGRESO-POS plan'!R105+'EGRESO-POS plan'!R106+'EGRESO-POS plan'!R107+'EGRESO-POS plan'!R108+'EGRESO-POS plan'!R109+'EGRESO-POS plan'!R110+'EGRESO-POS plan'!R111+'EGRESO-POS plan'!R112+'EGRESO-POS plan'!R116</f>
        <v>18</v>
      </c>
      <c r="R41" s="1264">
        <f t="shared" si="82"/>
        <v>69</v>
      </c>
      <c r="S41" s="1262">
        <v>24</v>
      </c>
      <c r="T41" s="1263">
        <v>14</v>
      </c>
      <c r="U41" s="1263">
        <v>15</v>
      </c>
      <c r="V41" s="1264">
        <v>53</v>
      </c>
      <c r="W41" s="1262">
        <v>14</v>
      </c>
      <c r="X41" s="1263">
        <v>13</v>
      </c>
      <c r="Y41" s="1263">
        <v>11</v>
      </c>
      <c r="Z41" s="1337">
        <v>38</v>
      </c>
      <c r="AA41" s="1262">
        <v>20</v>
      </c>
      <c r="AB41" s="1263">
        <v>14</v>
      </c>
      <c r="AC41" s="1263">
        <v>23</v>
      </c>
      <c r="AD41" s="1264">
        <v>57</v>
      </c>
      <c r="AE41" s="1263">
        <v>5</v>
      </c>
      <c r="AF41" s="1263">
        <v>11</v>
      </c>
      <c r="AG41" s="1263">
        <v>24</v>
      </c>
      <c r="AH41" s="1264">
        <v>40</v>
      </c>
      <c r="AI41" s="1263">
        <v>26</v>
      </c>
      <c r="AJ41" s="1263">
        <v>18</v>
      </c>
      <c r="AK41" s="1263">
        <v>20</v>
      </c>
      <c r="AL41" s="1337">
        <v>64</v>
      </c>
      <c r="AM41" s="129">
        <v>18</v>
      </c>
      <c r="AN41" s="130">
        <v>11</v>
      </c>
      <c r="AO41" s="130">
        <v>29</v>
      </c>
      <c r="AP41" s="396">
        <v>58</v>
      </c>
      <c r="AQ41" s="129">
        <v>18</v>
      </c>
      <c r="AR41" s="130">
        <v>14</v>
      </c>
      <c r="AS41" s="130">
        <v>25</v>
      </c>
      <c r="AT41" s="396">
        <v>57</v>
      </c>
      <c r="AU41" s="129">
        <v>38</v>
      </c>
      <c r="AV41" s="130">
        <v>24</v>
      </c>
      <c r="AW41" s="130">
        <v>53</v>
      </c>
      <c r="AX41" s="396">
        <f t="shared" si="83"/>
        <v>115</v>
      </c>
      <c r="AY41" s="129">
        <v>44</v>
      </c>
      <c r="AZ41" s="130">
        <v>37</v>
      </c>
      <c r="BA41" s="130">
        <v>17</v>
      </c>
      <c r="BB41" s="396">
        <f t="shared" si="84"/>
        <v>98</v>
      </c>
      <c r="BC41" s="129">
        <f>SUM('EGRESO-POS plan'!BD104,'EGRESO-POS plan'!BD105,'EGRESO-POS plan'!BD106,'EGRESO-POS plan'!BD107,'EGRESO-POS plan'!BD108,'EGRESO-POS plan'!BD109,'EGRESO-POS plan'!BD110,'EGRESO-POS plan'!BD111,'EGRESO-POS plan'!BD112)</f>
        <v>17</v>
      </c>
      <c r="BD41" s="130">
        <f>SUM('EGRESO-POS plan'!BE104,'EGRESO-POS plan'!BE105,'EGRESO-POS plan'!BE106,'EGRESO-POS plan'!BE107,'EGRESO-POS plan'!BE108,'EGRESO-POS plan'!BE109,'EGRESO-POS plan'!BE110,'EGRESO-POS plan'!BE111,'EGRESO-POS plan'!BE112)</f>
        <v>15</v>
      </c>
      <c r="BE41" s="130">
        <f>SUM('EGRESO-POS plan'!BF104,'EGRESO-POS plan'!BF105,'EGRESO-POS plan'!BF106,'EGRESO-POS plan'!BF107,'EGRESO-POS plan'!BF108,'EGRESO-POS plan'!BF109,'EGRESO-POS plan'!BF110,'EGRESO-POS plan'!BF111,'EGRESO-POS plan'!BF112)</f>
        <v>33</v>
      </c>
      <c r="BF41" s="396">
        <f>SUM(BC41:BE41)</f>
        <v>65</v>
      </c>
      <c r="BG41" s="129">
        <f>SUM('EGRESO-POS plan'!BH104,'EGRESO-POS plan'!BH105,'EGRESO-POS plan'!BH106,'EGRESO-POS plan'!BH107,'EGRESO-POS plan'!BH108,'EGRESO-POS plan'!BH109,'EGRESO-POS plan'!BH110,'EGRESO-POS plan'!BH111,'EGRESO-POS plan'!BH112)</f>
        <v>45</v>
      </c>
      <c r="BH41" s="130">
        <f>SUM('EGRESO-POS plan'!BI104,'EGRESO-POS plan'!BI105,'EGRESO-POS plan'!BI106,'EGRESO-POS plan'!BI107,'EGRESO-POS plan'!BI108,'EGRESO-POS plan'!BI109,'EGRESO-POS plan'!BI110,'EGRESO-POS plan'!BI111,'EGRESO-POS plan'!BI112)</f>
        <v>11</v>
      </c>
      <c r="BI41" s="130">
        <f>SUM('EGRESO-POS plan'!BJ104,'EGRESO-POS plan'!BJ105,'EGRESO-POS plan'!BJ106,'EGRESO-POS plan'!BJ107,'EGRESO-POS plan'!BJ108,'EGRESO-POS plan'!BJ109,'EGRESO-POS plan'!BJ110,'EGRESO-POS plan'!BJ111,'EGRESO-POS plan'!BJ112)</f>
        <v>12</v>
      </c>
      <c r="BJ41" s="396">
        <f>SUM(BG41:BI41)</f>
        <v>68</v>
      </c>
      <c r="BK41" s="129">
        <f>SUM('EGRESO-POS plan'!BL104:BL116)</f>
        <v>14</v>
      </c>
      <c r="BL41" s="130">
        <f>SUM('EGRESO-POS plan'!BM104:BM116)</f>
        <v>19</v>
      </c>
      <c r="BM41" s="130">
        <f>SUM('EGRESO-POS plan'!BN104:BN116)</f>
        <v>31</v>
      </c>
      <c r="BN41" s="396">
        <f>SUM('EGRESO-POS plan'!BO104:BO116)</f>
        <v>64</v>
      </c>
      <c r="BO41" s="129">
        <f>SUM('EGRESO-POS plan'!BP104:BP116)</f>
        <v>32</v>
      </c>
      <c r="BP41" s="130">
        <f>SUM('EGRESO-POS plan'!BQ104:BQ116)</f>
        <v>18</v>
      </c>
      <c r="BQ41" s="130">
        <f>SUM('EGRESO-POS plan'!BR104:BR116)</f>
        <v>21</v>
      </c>
      <c r="BR41" s="396">
        <f>SUM('EGRESO-POS plan'!BS104:BS116)</f>
        <v>71</v>
      </c>
      <c r="BS41" s="129">
        <f>SUM('EGRESO-POS plan'!BT104:BT116)</f>
        <v>20</v>
      </c>
      <c r="BT41" s="130">
        <f>SUM('EGRESO-POS plan'!BU104:BU116)</f>
        <v>30</v>
      </c>
      <c r="BU41" s="130">
        <f>SUM('EGRESO-POS plan'!BV104:BV116)</f>
        <v>27</v>
      </c>
      <c r="BV41" s="396">
        <f>SUM('EGRESO-POS plan'!BW104:BW116)</f>
        <v>77</v>
      </c>
      <c r="BW41" s="129">
        <f>SUM('EGRESO-POS plan'!BX104:BX116)</f>
        <v>34</v>
      </c>
      <c r="BX41" s="130">
        <f>SUM('EGRESO-POS plan'!BY104:BY116)</f>
        <v>10</v>
      </c>
      <c r="BY41" s="130">
        <f>SUM('EGRESO-POS plan'!BZ104:BZ116)</f>
        <v>27</v>
      </c>
      <c r="BZ41" s="396">
        <f>SUM('EGRESO-POS plan'!CA104:CA116)</f>
        <v>71</v>
      </c>
      <c r="CA41" s="129">
        <f>SUM('EGRESO-POS plan'!CB104:CB116)</f>
        <v>12</v>
      </c>
      <c r="CB41" s="130">
        <f>SUM('EGRESO-POS plan'!CC104:CC116)</f>
        <v>31</v>
      </c>
      <c r="CC41" s="130">
        <f>SUM('EGRESO-POS plan'!CD104:CD116)</f>
        <v>55</v>
      </c>
      <c r="CD41" s="396">
        <f>SUM('EGRESO-POS plan'!CE104:CE116)</f>
        <v>98</v>
      </c>
      <c r="CE41" s="129">
        <f>SUM('EGRESO-POS plan'!CF104:CF116)</f>
        <v>49</v>
      </c>
      <c r="CF41" s="130">
        <f>SUM('EGRESO-POS plan'!CG104:CG116)</f>
        <v>7</v>
      </c>
      <c r="CG41" s="130">
        <f>SUM('EGRESO-POS plan'!CH104:CH116)</f>
        <v>20</v>
      </c>
      <c r="CH41" s="396">
        <f>SUM('EGRESO-POS plan'!CI104:CI116)</f>
        <v>76</v>
      </c>
      <c r="CI41" s="129">
        <f>SUM('EGRESO-POS plan'!CJ104:CJ116)</f>
        <v>14</v>
      </c>
      <c r="CJ41" s="130">
        <f>SUM('EGRESO-POS plan'!CK104:CK116)</f>
        <v>11</v>
      </c>
      <c r="CK41" s="130">
        <f>SUM('EGRESO-POS plan'!CL104:CL116)</f>
        <v>44</v>
      </c>
      <c r="CL41" s="396">
        <f>SUM('EGRESO-POS plan'!CM104:CM116)</f>
        <v>69</v>
      </c>
      <c r="CM41" s="129">
        <f>SUM('EGRESO-POS plan'!CN104:CN116)</f>
        <v>32</v>
      </c>
      <c r="CN41" s="130">
        <f>SUM('EGRESO-POS plan'!CO104:CO116)</f>
        <v>10</v>
      </c>
      <c r="CO41" s="130">
        <f>SUM('EGRESO-POS plan'!CP104:CP116)</f>
        <v>14</v>
      </c>
      <c r="CP41" s="396">
        <f>SUM('EGRESO-POS plan'!CQ104:CQ116)</f>
        <v>56</v>
      </c>
      <c r="CQ41" s="129">
        <f>SUM('EGRESO-POS plan'!CR104:CR116)</f>
        <v>12</v>
      </c>
      <c r="CR41" s="130">
        <f>SUM('EGRESO-POS plan'!CS104:CS116)</f>
        <v>21</v>
      </c>
      <c r="CS41" s="130">
        <f>SUM('EGRESO-POS plan'!CT104:CT116)</f>
        <v>29</v>
      </c>
      <c r="CT41" s="396">
        <f>SUM('EGRESO-POS plan'!CU104:CU116)</f>
        <v>62</v>
      </c>
    </row>
    <row r="42" spans="1:98" ht="15" customHeight="1" x14ac:dyDescent="0.25">
      <c r="A42" s="1661"/>
      <c r="B42" s="1339" t="s">
        <v>317</v>
      </c>
      <c r="C42" s="1262">
        <f>+'EGRESO-POS plan'!D120+'EGRESO-POS plan'!D121</f>
        <v>4</v>
      </c>
      <c r="D42" s="1263">
        <f>+'EGRESO-POS plan'!E120+'EGRESO-POS plan'!E121</f>
        <v>1</v>
      </c>
      <c r="E42" s="1263">
        <f>+'EGRESO-POS plan'!F120+'EGRESO-POS plan'!F121</f>
        <v>2</v>
      </c>
      <c r="F42" s="1264">
        <f t="shared" si="79"/>
        <v>7</v>
      </c>
      <c r="G42" s="1262">
        <f>+'EGRESO-POS plan'!H120+'EGRESO-POS plan'!H121</f>
        <v>1</v>
      </c>
      <c r="H42" s="1263">
        <f>+'EGRESO-POS plan'!I120+'EGRESO-POS plan'!I121</f>
        <v>5</v>
      </c>
      <c r="I42" s="1263">
        <f>+'EGRESO-POS plan'!J120+'EGRESO-POS plan'!J121</f>
        <v>4</v>
      </c>
      <c r="J42" s="1264">
        <f t="shared" si="80"/>
        <v>10</v>
      </c>
      <c r="K42" s="1262">
        <f>+'EGRESO-POS plan'!L120+'EGRESO-POS plan'!L121</f>
        <v>1</v>
      </c>
      <c r="L42" s="1263">
        <f>+'EGRESO-POS plan'!M120+'EGRESO-POS plan'!M121</f>
        <v>1</v>
      </c>
      <c r="M42" s="1263">
        <f>+'EGRESO-POS plan'!N120+'EGRESO-POS plan'!N121</f>
        <v>3</v>
      </c>
      <c r="N42" s="1264">
        <f t="shared" si="81"/>
        <v>5</v>
      </c>
      <c r="O42" s="1262">
        <f>+'EGRESO-POS plan'!P120+'EGRESO-POS plan'!P121</f>
        <v>5</v>
      </c>
      <c r="P42" s="1263">
        <f>+'EGRESO-POS plan'!Q120+'EGRESO-POS plan'!Q121</f>
        <v>5</v>
      </c>
      <c r="Q42" s="1263">
        <f>+'EGRESO-POS plan'!R120+'EGRESO-POS plan'!R121</f>
        <v>7</v>
      </c>
      <c r="R42" s="1264">
        <f t="shared" si="82"/>
        <v>17</v>
      </c>
      <c r="S42" s="1262">
        <v>3</v>
      </c>
      <c r="T42" s="1263">
        <v>4</v>
      </c>
      <c r="U42" s="1263">
        <v>5</v>
      </c>
      <c r="V42" s="1264">
        <v>12</v>
      </c>
      <c r="W42" s="1262">
        <v>4</v>
      </c>
      <c r="X42" s="1263">
        <v>4</v>
      </c>
      <c r="Y42" s="1263">
        <v>8</v>
      </c>
      <c r="Z42" s="1337">
        <v>16</v>
      </c>
      <c r="AA42" s="1262">
        <v>6</v>
      </c>
      <c r="AB42" s="1263">
        <v>10</v>
      </c>
      <c r="AC42" s="1263">
        <v>3</v>
      </c>
      <c r="AD42" s="1264">
        <v>19</v>
      </c>
      <c r="AE42" s="1263">
        <v>1</v>
      </c>
      <c r="AF42" s="1263">
        <v>9</v>
      </c>
      <c r="AG42" s="1263">
        <v>9</v>
      </c>
      <c r="AH42" s="1264">
        <v>19</v>
      </c>
      <c r="AI42" s="1263">
        <v>4</v>
      </c>
      <c r="AJ42" s="1263">
        <v>8</v>
      </c>
      <c r="AK42" s="1263">
        <v>7</v>
      </c>
      <c r="AL42" s="1337">
        <v>19</v>
      </c>
      <c r="AM42" s="129">
        <v>3</v>
      </c>
      <c r="AN42" s="130">
        <v>8</v>
      </c>
      <c r="AO42" s="130">
        <v>6</v>
      </c>
      <c r="AP42" s="396">
        <v>17</v>
      </c>
      <c r="AQ42" s="129">
        <v>3</v>
      </c>
      <c r="AR42" s="130">
        <v>11</v>
      </c>
      <c r="AS42" s="130">
        <v>12</v>
      </c>
      <c r="AT42" s="396">
        <v>26</v>
      </c>
      <c r="AU42" s="129">
        <v>10</v>
      </c>
      <c r="AV42" s="130">
        <v>14</v>
      </c>
      <c r="AW42" s="130">
        <v>23</v>
      </c>
      <c r="AX42" s="396">
        <f t="shared" si="83"/>
        <v>47</v>
      </c>
      <c r="AY42" s="129">
        <v>16</v>
      </c>
      <c r="AZ42" s="130">
        <v>12</v>
      </c>
      <c r="BA42" s="130">
        <v>5</v>
      </c>
      <c r="BB42" s="396">
        <f t="shared" si="84"/>
        <v>33</v>
      </c>
      <c r="BC42" s="129">
        <f>SUM('EGRESO-POS plan'!BD117,'EGRESO-POS plan'!BD120,'EGRESO-POS plan'!BD121)</f>
        <v>5</v>
      </c>
      <c r="BD42" s="130">
        <f>SUM('EGRESO-POS plan'!BE117,'EGRESO-POS plan'!BE120,'EGRESO-POS plan'!BE121)</f>
        <v>8</v>
      </c>
      <c r="BE42" s="130">
        <f>SUM('EGRESO-POS plan'!BF117,'EGRESO-POS plan'!BF120,'EGRESO-POS plan'!BF121)</f>
        <v>9</v>
      </c>
      <c r="BF42" s="396">
        <f>SUM(BC42:BE42)</f>
        <v>22</v>
      </c>
      <c r="BG42" s="129">
        <f>SUM('EGRESO-POS plan'!BH117,'EGRESO-POS plan'!BH120,'EGRESO-POS plan'!BH121)</f>
        <v>7</v>
      </c>
      <c r="BH42" s="130">
        <f>SUM('EGRESO-POS plan'!BI117,'EGRESO-POS plan'!BI120,'EGRESO-POS plan'!BI121)</f>
        <v>10</v>
      </c>
      <c r="BI42" s="130">
        <f>SUM('EGRESO-POS plan'!BJ117,'EGRESO-POS plan'!BJ120,'EGRESO-POS plan'!BJ121)</f>
        <v>13</v>
      </c>
      <c r="BJ42" s="396">
        <f>SUM(BG42:BI42)</f>
        <v>30</v>
      </c>
      <c r="BK42" s="129">
        <f>SUM('EGRESO-POS plan'!BL117:BL121)</f>
        <v>5</v>
      </c>
      <c r="BL42" s="130">
        <f>SUM('EGRESO-POS plan'!BM117,'EGRESO-POS plan'!BM120,'EGRESO-POS plan'!BM121)</f>
        <v>4</v>
      </c>
      <c r="BM42" s="130">
        <f>SUM('EGRESO-POS plan'!BN117:BN121)</f>
        <v>17</v>
      </c>
      <c r="BN42" s="396">
        <f>SUM(BK42:BM42)</f>
        <v>26</v>
      </c>
      <c r="BO42" s="129">
        <f>SUM('EGRESO-POS plan'!BP117:BP121)</f>
        <v>9</v>
      </c>
      <c r="BP42" s="130">
        <f>SUM('EGRESO-POS plan'!BQ117,'EGRESO-POS plan'!BQ120,'EGRESO-POS plan'!BQ121)</f>
        <v>13</v>
      </c>
      <c r="BQ42" s="130">
        <f>SUM('EGRESO-POS plan'!BR117:BR121)</f>
        <v>9</v>
      </c>
      <c r="BR42" s="396">
        <f>SUM(BO42:BQ42)</f>
        <v>31</v>
      </c>
      <c r="BS42" s="129">
        <f>SUM('EGRESO-POS plan'!BT117:BT121)</f>
        <v>4</v>
      </c>
      <c r="BT42" s="130">
        <f>SUM('EGRESO-POS plan'!BU117,'EGRESO-POS plan'!BU120,'EGRESO-POS plan'!BU121)</f>
        <v>5</v>
      </c>
      <c r="BU42" s="130">
        <f>SUM('EGRESO-POS plan'!BV117:BV121)</f>
        <v>9</v>
      </c>
      <c r="BV42" s="396">
        <f>SUM(BS42:BU42)</f>
        <v>18</v>
      </c>
      <c r="BW42" s="129">
        <f>SUM('EGRESO-POS plan'!BX117:BX121)</f>
        <v>9</v>
      </c>
      <c r="BX42" s="130">
        <f>SUM('EGRESO-POS plan'!BY117,'EGRESO-POS plan'!BY120,'EGRESO-POS plan'!BY121)</f>
        <v>13</v>
      </c>
      <c r="BY42" s="130">
        <f>SUM('EGRESO-POS plan'!BZ117:BZ121)</f>
        <v>9</v>
      </c>
      <c r="BZ42" s="396">
        <f>SUM(BW42:BY42)</f>
        <v>31</v>
      </c>
      <c r="CA42" s="129">
        <f>SUM('EGRESO-POS plan'!CB117:CB121)</f>
        <v>5</v>
      </c>
      <c r="CB42" s="130">
        <f>SUM('EGRESO-POS plan'!CC117:CC121)</f>
        <v>12</v>
      </c>
      <c r="CC42" s="130">
        <f>SUM('EGRESO-POS plan'!CD117,'EGRESO-POS plan'!CD120,'EGRESO-POS plan'!CD121)</f>
        <v>9</v>
      </c>
      <c r="CD42" s="396">
        <f>SUM(CA42:CC42)</f>
        <v>26</v>
      </c>
      <c r="CE42" s="129">
        <f>SUM('EGRESO-POS plan'!CF117:CF121)</f>
        <v>8</v>
      </c>
      <c r="CF42" s="130">
        <f>SUM('EGRESO-POS plan'!CG117:CG121)</f>
        <v>5</v>
      </c>
      <c r="CG42" s="130">
        <f>SUM('EGRESO-POS plan'!CH117,'EGRESO-POS plan'!CH120,'EGRESO-POS plan'!CH121)</f>
        <v>21</v>
      </c>
      <c r="CH42" s="396">
        <f>SUM(CE42:CG42)</f>
        <v>34</v>
      </c>
      <c r="CI42" s="129">
        <f>SUM('EGRESO-POS plan'!CJ117:CJ121)</f>
        <v>2</v>
      </c>
      <c r="CJ42" s="130">
        <f>SUM('EGRESO-POS plan'!CK117:CK121)</f>
        <v>2</v>
      </c>
      <c r="CK42" s="130">
        <f>SUM('EGRESO-POS plan'!CL117,'EGRESO-POS plan'!CL120,'EGRESO-POS plan'!CL121)</f>
        <v>13</v>
      </c>
      <c r="CL42" s="396">
        <f>SUM(CI42:CK42)</f>
        <v>17</v>
      </c>
      <c r="CM42" s="129">
        <f>SUM('EGRESO-POS plan'!CN117:CN121)</f>
        <v>8</v>
      </c>
      <c r="CN42" s="130">
        <f>SUM('EGRESO-POS plan'!CO117:CO121)</f>
        <v>3</v>
      </c>
      <c r="CO42" s="130">
        <f>SUM('EGRESO-POS plan'!CP117:CP121)</f>
        <v>20</v>
      </c>
      <c r="CP42" s="396">
        <f>SUM(CM42:CO42)</f>
        <v>31</v>
      </c>
      <c r="CQ42" s="129">
        <f>SUM('EGRESO-POS plan'!CR117:CR121)</f>
        <v>18</v>
      </c>
      <c r="CR42" s="130">
        <f>SUM('EGRESO-POS plan'!CS117:CS121)</f>
        <v>6</v>
      </c>
      <c r="CS42" s="130">
        <f>SUM('EGRESO-POS plan'!CT117:CT121)</f>
        <v>7</v>
      </c>
      <c r="CT42" s="396">
        <f>SUM(CQ42:CS42)</f>
        <v>31</v>
      </c>
    </row>
    <row r="43" spans="1:98" s="1330" customFormat="1" ht="15" customHeight="1" x14ac:dyDescent="0.25">
      <c r="A43" s="1661"/>
      <c r="B43" s="1342" t="s">
        <v>64</v>
      </c>
      <c r="C43" s="1662">
        <f>SUM(C40:C42)</f>
        <v>8</v>
      </c>
      <c r="D43" s="1663">
        <f>SUM(D40:D42)</f>
        <v>13</v>
      </c>
      <c r="E43" s="1663">
        <f>SUM(E40:E42)</f>
        <v>20</v>
      </c>
      <c r="F43" s="1310">
        <f t="shared" si="79"/>
        <v>41</v>
      </c>
      <c r="G43" s="1662">
        <f>SUM(G40:G42)</f>
        <v>9</v>
      </c>
      <c r="H43" s="1663">
        <f>SUM(H40:H42)</f>
        <v>12</v>
      </c>
      <c r="I43" s="1663">
        <f>SUM(I40:I42)</f>
        <v>15</v>
      </c>
      <c r="J43" s="1310">
        <f t="shared" si="80"/>
        <v>36</v>
      </c>
      <c r="K43" s="1662">
        <f>SUM(K40:K42)</f>
        <v>14</v>
      </c>
      <c r="L43" s="1663">
        <f>SUM(L40:L42)</f>
        <v>9</v>
      </c>
      <c r="M43" s="1663">
        <f>SUM(M40:M42)</f>
        <v>39</v>
      </c>
      <c r="N43" s="1310">
        <f t="shared" si="81"/>
        <v>62</v>
      </c>
      <c r="O43" s="1662">
        <f>SUM(O40:O42)</f>
        <v>18</v>
      </c>
      <c r="P43" s="1663">
        <f>SUM(P40:P42)</f>
        <v>58</v>
      </c>
      <c r="Q43" s="1663">
        <f>SUM(Q40:Q42)</f>
        <v>25</v>
      </c>
      <c r="R43" s="1310">
        <f t="shared" si="82"/>
        <v>101</v>
      </c>
      <c r="S43" s="1662">
        <v>27</v>
      </c>
      <c r="T43" s="1663">
        <v>19</v>
      </c>
      <c r="U43" s="1663">
        <v>32</v>
      </c>
      <c r="V43" s="1310">
        <v>78</v>
      </c>
      <c r="W43" s="1662">
        <v>19</v>
      </c>
      <c r="X43" s="1663">
        <v>18</v>
      </c>
      <c r="Y43" s="1663">
        <v>46</v>
      </c>
      <c r="Z43" s="1663">
        <v>83</v>
      </c>
      <c r="AA43" s="1662">
        <v>26</v>
      </c>
      <c r="AB43" s="1663">
        <v>40</v>
      </c>
      <c r="AC43" s="1663">
        <v>29</v>
      </c>
      <c r="AD43" s="1310">
        <v>95</v>
      </c>
      <c r="AE43" s="1663">
        <v>6</v>
      </c>
      <c r="AF43" s="1663">
        <v>22</v>
      </c>
      <c r="AG43" s="1663">
        <v>33</v>
      </c>
      <c r="AH43" s="1310">
        <v>61</v>
      </c>
      <c r="AI43" s="1663">
        <v>61</v>
      </c>
      <c r="AJ43" s="1663">
        <v>26</v>
      </c>
      <c r="AK43" s="1663">
        <v>42</v>
      </c>
      <c r="AL43" s="1663">
        <v>129</v>
      </c>
      <c r="AM43" s="630">
        <v>21</v>
      </c>
      <c r="AN43" s="1664">
        <v>19</v>
      </c>
      <c r="AO43" s="1664">
        <v>77</v>
      </c>
      <c r="AP43" s="1664">
        <v>117</v>
      </c>
      <c r="AQ43" s="630">
        <v>22</v>
      </c>
      <c r="AR43" s="1664">
        <v>25</v>
      </c>
      <c r="AS43" s="1664">
        <v>55</v>
      </c>
      <c r="AT43" s="1665">
        <v>102</v>
      </c>
      <c r="AU43" s="630">
        <f>SUM(AU40:AU42)</f>
        <v>48</v>
      </c>
      <c r="AV43" s="1664">
        <f>SUM(AV40:AV42)</f>
        <v>38</v>
      </c>
      <c r="AW43" s="1664">
        <f>SUM(AW40:AW42)</f>
        <v>116</v>
      </c>
      <c r="AX43" s="1665">
        <f t="shared" si="83"/>
        <v>202</v>
      </c>
      <c r="AY43" s="630">
        <f>SUM(AY40:AY42)</f>
        <v>61</v>
      </c>
      <c r="AZ43" s="1664">
        <f>SUM(AZ40:AZ42)</f>
        <v>50</v>
      </c>
      <c r="BA43" s="1664">
        <f>SUM(BA40:BA42)</f>
        <v>39</v>
      </c>
      <c r="BB43" s="1665">
        <f t="shared" si="84"/>
        <v>150</v>
      </c>
      <c r="BC43" s="630">
        <f t="shared" ref="BC43:CL43" si="85">SUM(BC40:BC42)</f>
        <v>22</v>
      </c>
      <c r="BD43" s="1664">
        <f t="shared" si="85"/>
        <v>24</v>
      </c>
      <c r="BE43" s="1664">
        <f t="shared" si="85"/>
        <v>42</v>
      </c>
      <c r="BF43" s="1665">
        <f t="shared" si="85"/>
        <v>88</v>
      </c>
      <c r="BG43" s="630">
        <f t="shared" si="85"/>
        <v>52</v>
      </c>
      <c r="BH43" s="1664">
        <f t="shared" si="85"/>
        <v>22</v>
      </c>
      <c r="BI43" s="1664">
        <f t="shared" si="85"/>
        <v>25</v>
      </c>
      <c r="BJ43" s="1665">
        <f t="shared" si="85"/>
        <v>99</v>
      </c>
      <c r="BK43" s="630">
        <f t="shared" si="85"/>
        <v>19</v>
      </c>
      <c r="BL43" s="1664">
        <f t="shared" si="85"/>
        <v>23</v>
      </c>
      <c r="BM43" s="1664">
        <f t="shared" si="85"/>
        <v>76</v>
      </c>
      <c r="BN43" s="1665">
        <f t="shared" si="85"/>
        <v>118</v>
      </c>
      <c r="BO43" s="630">
        <f t="shared" si="85"/>
        <v>41</v>
      </c>
      <c r="BP43" s="1664">
        <f t="shared" si="85"/>
        <v>32</v>
      </c>
      <c r="BQ43" s="1664">
        <f t="shared" si="85"/>
        <v>30</v>
      </c>
      <c r="BR43" s="1665">
        <f t="shared" si="85"/>
        <v>103</v>
      </c>
      <c r="BS43" s="630">
        <f t="shared" si="85"/>
        <v>24</v>
      </c>
      <c r="BT43" s="1664">
        <f t="shared" si="85"/>
        <v>35</v>
      </c>
      <c r="BU43" s="1664">
        <f t="shared" si="85"/>
        <v>37</v>
      </c>
      <c r="BV43" s="1665">
        <f t="shared" si="85"/>
        <v>96</v>
      </c>
      <c r="BW43" s="630">
        <f t="shared" si="85"/>
        <v>44</v>
      </c>
      <c r="BX43" s="1664">
        <f t="shared" si="85"/>
        <v>23</v>
      </c>
      <c r="BY43" s="1664">
        <f t="shared" si="85"/>
        <v>36</v>
      </c>
      <c r="BZ43" s="1665">
        <f t="shared" si="85"/>
        <v>103</v>
      </c>
      <c r="CA43" s="630">
        <f t="shared" si="85"/>
        <v>17</v>
      </c>
      <c r="CB43" s="1664">
        <f t="shared" si="85"/>
        <v>43</v>
      </c>
      <c r="CC43" s="1664">
        <f t="shared" si="85"/>
        <v>86</v>
      </c>
      <c r="CD43" s="1665">
        <f t="shared" si="85"/>
        <v>146</v>
      </c>
      <c r="CE43" s="630">
        <f t="shared" si="85"/>
        <v>59</v>
      </c>
      <c r="CF43" s="1664">
        <f t="shared" si="85"/>
        <v>12</v>
      </c>
      <c r="CG43" s="1664">
        <f t="shared" si="85"/>
        <v>43</v>
      </c>
      <c r="CH43" s="1665">
        <f t="shared" si="85"/>
        <v>114</v>
      </c>
      <c r="CI43" s="630">
        <f t="shared" si="85"/>
        <v>16</v>
      </c>
      <c r="CJ43" s="1664">
        <f t="shared" si="85"/>
        <v>13</v>
      </c>
      <c r="CK43" s="1664">
        <f t="shared" si="85"/>
        <v>57</v>
      </c>
      <c r="CL43" s="1665">
        <f t="shared" si="85"/>
        <v>86</v>
      </c>
      <c r="CM43" s="630">
        <f t="shared" ref="CM43:CP43" si="86">SUM(CM40:CM42)</f>
        <v>49</v>
      </c>
      <c r="CN43" s="1664">
        <f t="shared" si="86"/>
        <v>13</v>
      </c>
      <c r="CO43" s="1664">
        <f t="shared" si="86"/>
        <v>34</v>
      </c>
      <c r="CP43" s="1665">
        <f t="shared" si="86"/>
        <v>96</v>
      </c>
      <c r="CQ43" s="630">
        <f t="shared" ref="CQ43:CT43" si="87">SUM(CQ40:CQ42)</f>
        <v>30</v>
      </c>
      <c r="CR43" s="1664">
        <f t="shared" si="87"/>
        <v>41</v>
      </c>
      <c r="CS43" s="1664">
        <f t="shared" si="87"/>
        <v>40</v>
      </c>
      <c r="CT43" s="1665">
        <f t="shared" si="87"/>
        <v>111</v>
      </c>
    </row>
    <row r="44" spans="1:98" ht="15" customHeight="1" x14ac:dyDescent="0.25">
      <c r="A44" s="1661"/>
      <c r="B44" s="1334" t="s">
        <v>308</v>
      </c>
      <c r="C44" s="1276">
        <f>+'EGRESO-POS plan'!D123+'EGRESO-POS plan'!D124+'EGRESO-POS plan'!D125</f>
        <v>1</v>
      </c>
      <c r="D44" s="1279">
        <f>+'EGRESO-POS plan'!E123+'EGRESO-POS plan'!E124+'EGRESO-POS plan'!E125</f>
        <v>0</v>
      </c>
      <c r="E44" s="1279">
        <f>+'EGRESO-POS plan'!F123+'EGRESO-POS plan'!F124+'EGRESO-POS plan'!F125</f>
        <v>0</v>
      </c>
      <c r="F44" s="1278">
        <f t="shared" si="79"/>
        <v>1</v>
      </c>
      <c r="G44" s="1276">
        <f>+'EGRESO-POS plan'!H123+'EGRESO-POS plan'!H124+'EGRESO-POS plan'!H125</f>
        <v>7</v>
      </c>
      <c r="H44" s="1279">
        <f>+'EGRESO-POS plan'!I123+'EGRESO-POS plan'!I124+'EGRESO-POS plan'!I125</f>
        <v>0</v>
      </c>
      <c r="I44" s="1279">
        <f>+'EGRESO-POS plan'!J123+'EGRESO-POS plan'!J124+'EGRESO-POS plan'!J125</f>
        <v>2</v>
      </c>
      <c r="J44" s="1278">
        <f t="shared" si="80"/>
        <v>9</v>
      </c>
      <c r="K44" s="1276">
        <f>+'EGRESO-POS plan'!L123+'EGRESO-POS plan'!L124+'EGRESO-POS plan'!L125</f>
        <v>1</v>
      </c>
      <c r="L44" s="1279">
        <f>+'EGRESO-POS plan'!M123+'EGRESO-POS plan'!M124+'EGRESO-POS plan'!M125</f>
        <v>2</v>
      </c>
      <c r="M44" s="1279">
        <f>+'EGRESO-POS plan'!N123+'EGRESO-POS plan'!N124+'EGRESO-POS plan'!N125</f>
        <v>1</v>
      </c>
      <c r="N44" s="1278">
        <f t="shared" si="81"/>
        <v>4</v>
      </c>
      <c r="O44" s="1276">
        <f>+'EGRESO-POS plan'!P123+'EGRESO-POS plan'!P124+'EGRESO-POS plan'!P125</f>
        <v>1</v>
      </c>
      <c r="P44" s="1279">
        <f>+'EGRESO-POS plan'!Q123+'EGRESO-POS plan'!Q124+'EGRESO-POS plan'!Q125</f>
        <v>59</v>
      </c>
      <c r="Q44" s="1279">
        <f>+'EGRESO-POS plan'!R123+'EGRESO-POS plan'!R124+'EGRESO-POS plan'!R125</f>
        <v>8</v>
      </c>
      <c r="R44" s="1278">
        <f t="shared" si="82"/>
        <v>68</v>
      </c>
      <c r="S44" s="1276">
        <v>1</v>
      </c>
      <c r="T44" s="1279">
        <v>8</v>
      </c>
      <c r="U44" s="1279">
        <v>8</v>
      </c>
      <c r="V44" s="1278">
        <v>17</v>
      </c>
      <c r="W44" s="1276">
        <v>6</v>
      </c>
      <c r="X44" s="1279">
        <v>1</v>
      </c>
      <c r="Y44" s="1279">
        <v>2</v>
      </c>
      <c r="Z44" s="1666">
        <v>9</v>
      </c>
      <c r="AA44" s="1276">
        <v>3</v>
      </c>
      <c r="AB44" s="1279">
        <v>8</v>
      </c>
      <c r="AC44" s="1279">
        <v>1</v>
      </c>
      <c r="AD44" s="1278">
        <v>12</v>
      </c>
      <c r="AE44" s="1279">
        <v>0</v>
      </c>
      <c r="AF44" s="1279">
        <v>0</v>
      </c>
      <c r="AG44" s="1279">
        <v>1</v>
      </c>
      <c r="AH44" s="1278">
        <v>1</v>
      </c>
      <c r="AI44" s="1279">
        <v>3</v>
      </c>
      <c r="AJ44" s="1279">
        <v>9</v>
      </c>
      <c r="AK44" s="1279">
        <v>0</v>
      </c>
      <c r="AL44" s="1666">
        <v>12</v>
      </c>
      <c r="AM44" s="1398">
        <v>0</v>
      </c>
      <c r="AN44" s="1399">
        <v>3</v>
      </c>
      <c r="AO44" s="1399">
        <v>6</v>
      </c>
      <c r="AP44" s="1400">
        <v>9</v>
      </c>
      <c r="AQ44" s="1398">
        <v>1</v>
      </c>
      <c r="AR44" s="1399">
        <v>10</v>
      </c>
      <c r="AS44" s="1399">
        <v>6</v>
      </c>
      <c r="AT44" s="1400">
        <v>17</v>
      </c>
      <c r="AU44" s="1398">
        <v>4</v>
      </c>
      <c r="AV44" s="1399">
        <v>2</v>
      </c>
      <c r="AW44" s="1399"/>
      <c r="AX44" s="1400">
        <f t="shared" si="83"/>
        <v>6</v>
      </c>
      <c r="AY44" s="1398"/>
      <c r="AZ44" s="1399">
        <v>1</v>
      </c>
      <c r="BA44" s="1399">
        <v>2</v>
      </c>
      <c r="BB44" s="1400">
        <f t="shared" si="84"/>
        <v>3</v>
      </c>
      <c r="BC44" s="151">
        <f>SUM('EGRESO-POS plan'!BD123,'EGRESO-POS plan'!BD124,'EGRESO-POS plan'!BD125)</f>
        <v>6</v>
      </c>
      <c r="BD44" s="152">
        <f>SUM('EGRESO-POS plan'!BE123,'EGRESO-POS plan'!BE124,'EGRESO-POS plan'!BE125)</f>
        <v>1</v>
      </c>
      <c r="BE44" s="152">
        <f>SUM('EGRESO-POS plan'!BF123,'EGRESO-POS plan'!BF124,'EGRESO-POS plan'!BF125)</f>
        <v>0</v>
      </c>
      <c r="BF44" s="395">
        <f>SUM(BC44:BE44)</f>
        <v>7</v>
      </c>
      <c r="BG44" s="151">
        <f>SUM('EGRESO-POS plan'!BH123,'EGRESO-POS plan'!BH124,'EGRESO-POS plan'!BH125)</f>
        <v>0</v>
      </c>
      <c r="BH44" s="152">
        <f>SUM('EGRESO-POS plan'!BI123,'EGRESO-POS plan'!BI124,'EGRESO-POS plan'!BI125)</f>
        <v>0</v>
      </c>
      <c r="BI44" s="152">
        <f>SUM('EGRESO-POS plan'!BJ123,'EGRESO-POS plan'!BJ124,'EGRESO-POS plan'!BJ125)</f>
        <v>0</v>
      </c>
      <c r="BJ44" s="395">
        <f>SUM(BG44:BI44)</f>
        <v>0</v>
      </c>
      <c r="BK44" s="151">
        <f>SUM('EGRESO-POS plan'!BL123,'EGRESO-POS plan'!BL124,'EGRESO-POS plan'!BL125)</f>
        <v>9</v>
      </c>
      <c r="BL44" s="152">
        <f>SUM('EGRESO-POS plan'!BM123,'EGRESO-POS plan'!BM124,'EGRESO-POS plan'!BM125)</f>
        <v>1</v>
      </c>
      <c r="BM44" s="152">
        <f>SUM('EGRESO-POS plan'!BN123,'EGRESO-POS plan'!BN124,'EGRESO-POS plan'!BN125)</f>
        <v>0</v>
      </c>
      <c r="BN44" s="395">
        <f>SUM(BK44:BM44)</f>
        <v>10</v>
      </c>
      <c r="BO44" s="151">
        <f>SUM('EGRESO-POS plan'!BP123,'EGRESO-POS plan'!BP124,'EGRESO-POS plan'!BP125)</f>
        <v>5</v>
      </c>
      <c r="BP44" s="152">
        <f>SUM('EGRESO-POS plan'!BQ123,'EGRESO-POS plan'!BQ124,'EGRESO-POS plan'!BQ125)</f>
        <v>1</v>
      </c>
      <c r="BQ44" s="152">
        <f>SUM('EGRESO-POS plan'!BR123,'EGRESO-POS plan'!BR124,'EGRESO-POS plan'!BR125)</f>
        <v>0</v>
      </c>
      <c r="BR44" s="395">
        <f>SUM(BO44:BQ44)</f>
        <v>6</v>
      </c>
      <c r="BS44" s="151">
        <f>SUM('EGRESO-POS plan'!BT123,'EGRESO-POS plan'!BT124,'EGRESO-POS plan'!BT125)</f>
        <v>0</v>
      </c>
      <c r="BT44" s="152">
        <f>SUM('EGRESO-POS plan'!BU123,'EGRESO-POS plan'!BU124,'EGRESO-POS plan'!BU125)</f>
        <v>0</v>
      </c>
      <c r="BU44" s="152">
        <f>SUM('EGRESO-POS plan'!BV123,'EGRESO-POS plan'!BV124,'EGRESO-POS plan'!BV125)</f>
        <v>3</v>
      </c>
      <c r="BV44" s="395">
        <f>SUM(BS44:BU44)</f>
        <v>3</v>
      </c>
      <c r="BW44" s="151">
        <f>SUM('EGRESO-POS plan'!BX123,'EGRESO-POS plan'!BX124,'EGRESO-POS plan'!BX125)</f>
        <v>2</v>
      </c>
      <c r="BX44" s="152">
        <f>SUM('EGRESO-POS plan'!BY123,'EGRESO-POS plan'!BY124,'EGRESO-POS plan'!BY125)</f>
        <v>2</v>
      </c>
      <c r="BY44" s="152">
        <f>SUM('EGRESO-POS plan'!BZ123,'EGRESO-POS plan'!BZ124,'EGRESO-POS plan'!BZ125)</f>
        <v>0</v>
      </c>
      <c r="BZ44" s="395">
        <f>SUM(BW44:BY44)</f>
        <v>4</v>
      </c>
      <c r="CA44" s="151">
        <f>SUM('EGRESO-POS plan'!CB123,'EGRESO-POS plan'!CB124,'EGRESO-POS plan'!CB125)</f>
        <v>1</v>
      </c>
      <c r="CB44" s="152">
        <f>SUM('EGRESO-POS plan'!CC123,'EGRESO-POS plan'!CC124,'EGRESO-POS plan'!CC125)</f>
        <v>0</v>
      </c>
      <c r="CC44" s="152">
        <f>SUM('EGRESO-POS plan'!CD123,'EGRESO-POS plan'!CD124,'EGRESO-POS plan'!CD125)</f>
        <v>0</v>
      </c>
      <c r="CD44" s="395">
        <f>SUM(CA44:CC44)</f>
        <v>1</v>
      </c>
      <c r="CE44" s="151">
        <f>SUM('EGRESO-POS plan'!CF123,'EGRESO-POS plan'!CF124,'EGRESO-POS plan'!CF125)</f>
        <v>0</v>
      </c>
      <c r="CF44" s="152">
        <f>SUM('EGRESO-POS plan'!CG123,'EGRESO-POS plan'!CG124,'EGRESO-POS plan'!CG125)</f>
        <v>0</v>
      </c>
      <c r="CG44" s="152">
        <f>SUM('EGRESO-POS plan'!CH123,'EGRESO-POS plan'!CH124,'EGRESO-POS plan'!CH125)</f>
        <v>0</v>
      </c>
      <c r="CH44" s="395">
        <f>SUM(CE44:CG44)</f>
        <v>0</v>
      </c>
      <c r="CI44" s="151">
        <f>SUM('EGRESO-POS plan'!CJ123,'EGRESO-POS plan'!CJ124,'EGRESO-POS plan'!CJ125)</f>
        <v>0</v>
      </c>
      <c r="CJ44" s="152">
        <f>SUM('EGRESO-POS plan'!CK123,'EGRESO-POS plan'!CK124,'EGRESO-POS plan'!CK125)</f>
        <v>0</v>
      </c>
      <c r="CK44" s="152">
        <f>SUM('EGRESO-POS plan'!CL123,'EGRESO-POS plan'!CL124,'EGRESO-POS plan'!CL125)</f>
        <v>0</v>
      </c>
      <c r="CL44" s="395">
        <f>SUM(CI44:CK44)</f>
        <v>0</v>
      </c>
      <c r="CM44" s="151">
        <f>SUM('EGRESO-POS plan'!CN123,'EGRESO-POS plan'!CN124,'EGRESO-POS plan'!CN125)</f>
        <v>0</v>
      </c>
      <c r="CN44" s="152">
        <f>SUM('EGRESO-POS plan'!CO123,'EGRESO-POS plan'!CO124,'EGRESO-POS plan'!CO125)</f>
        <v>0</v>
      </c>
      <c r="CO44" s="152">
        <f>SUM('EGRESO-POS plan'!CP123,'EGRESO-POS plan'!CP124,'EGRESO-POS plan'!CP125)</f>
        <v>0</v>
      </c>
      <c r="CP44" s="395">
        <f>SUM(CM44:CO44)</f>
        <v>0</v>
      </c>
      <c r="CQ44" s="151">
        <f>SUM('EGRESO-POS plan'!CR123,'EGRESO-POS plan'!CR124,'EGRESO-POS plan'!CR125)</f>
        <v>0</v>
      </c>
      <c r="CR44" s="152">
        <f>SUM('EGRESO-POS plan'!CS123,'EGRESO-POS plan'!CS124,'EGRESO-POS plan'!CS125)</f>
        <v>0</v>
      </c>
      <c r="CS44" s="152">
        <f>SUM('EGRESO-POS plan'!CT123,'EGRESO-POS plan'!CT124,'EGRESO-POS plan'!CT125)</f>
        <v>0</v>
      </c>
      <c r="CT44" s="395">
        <f>SUM(CQ44:CS44)</f>
        <v>0</v>
      </c>
    </row>
    <row r="45" spans="1:98" ht="15" customHeight="1" x14ac:dyDescent="0.25">
      <c r="A45" s="1661"/>
      <c r="B45" s="1336" t="s">
        <v>310</v>
      </c>
      <c r="C45" s="1262">
        <f>+'EGRESO-POS plan'!D126+'EGRESO-POS plan'!D127+'EGRESO-POS plan'!D128+'EGRESO-POS plan'!D129+'EGRESO-POS plan'!D131+'EGRESO-POS plan'!D132+'EGRESO-POS plan'!D133</f>
        <v>2</v>
      </c>
      <c r="D45" s="1263">
        <f>+'EGRESO-POS plan'!E126+'EGRESO-POS plan'!E127+'EGRESO-POS plan'!E128+'EGRESO-POS plan'!E129+'EGRESO-POS plan'!E131+'EGRESO-POS plan'!E132+'EGRESO-POS plan'!E133</f>
        <v>1</v>
      </c>
      <c r="E45" s="1263">
        <f>+'EGRESO-POS plan'!F126+'EGRESO-POS plan'!F127+'EGRESO-POS plan'!F128+'EGRESO-POS plan'!F129+'EGRESO-POS plan'!F131+'EGRESO-POS plan'!F132+'EGRESO-POS plan'!F133</f>
        <v>7</v>
      </c>
      <c r="F45" s="1264">
        <f t="shared" si="79"/>
        <v>10</v>
      </c>
      <c r="G45" s="1262">
        <f>+'EGRESO-POS plan'!H126+'EGRESO-POS plan'!H127+'EGRESO-POS plan'!H128+'EGRESO-POS plan'!H129+'EGRESO-POS plan'!H131+'EGRESO-POS plan'!H132+'EGRESO-POS plan'!H133</f>
        <v>1</v>
      </c>
      <c r="H45" s="1263">
        <f>+'EGRESO-POS plan'!I126+'EGRESO-POS plan'!I127+'EGRESO-POS plan'!I128+'EGRESO-POS plan'!I129+'EGRESO-POS plan'!I131+'EGRESO-POS plan'!I132+'EGRESO-POS plan'!I133</f>
        <v>4</v>
      </c>
      <c r="I45" s="1263">
        <f>+'EGRESO-POS plan'!J126+'EGRESO-POS plan'!J127+'EGRESO-POS plan'!J128+'EGRESO-POS plan'!J129+'EGRESO-POS plan'!J131+'EGRESO-POS plan'!J132+'EGRESO-POS plan'!J133</f>
        <v>9</v>
      </c>
      <c r="J45" s="1264">
        <f t="shared" si="80"/>
        <v>14</v>
      </c>
      <c r="K45" s="1262">
        <f>+'EGRESO-POS plan'!L126+'EGRESO-POS plan'!L127+'EGRESO-POS plan'!L128+'EGRESO-POS plan'!L129+'EGRESO-POS plan'!L131+'EGRESO-POS plan'!L132+'EGRESO-POS plan'!L133</f>
        <v>7</v>
      </c>
      <c r="L45" s="1263">
        <f>+'EGRESO-POS plan'!M126+'EGRESO-POS plan'!M127+'EGRESO-POS plan'!M128+'EGRESO-POS plan'!M129+'EGRESO-POS plan'!M131+'EGRESO-POS plan'!M132+'EGRESO-POS plan'!M133</f>
        <v>1</v>
      </c>
      <c r="M45" s="1263">
        <f>+'EGRESO-POS plan'!N126+'EGRESO-POS plan'!N127+'EGRESO-POS plan'!N128+'EGRESO-POS plan'!N129+'EGRESO-POS plan'!N131+'EGRESO-POS plan'!N132+'EGRESO-POS plan'!N133</f>
        <v>5</v>
      </c>
      <c r="N45" s="1264">
        <f t="shared" si="81"/>
        <v>13</v>
      </c>
      <c r="O45" s="1262">
        <f>+'EGRESO-POS plan'!P126+'EGRESO-POS plan'!P127+'EGRESO-POS plan'!P128+'EGRESO-POS plan'!P129+'EGRESO-POS plan'!P131+'EGRESO-POS plan'!P132+'EGRESO-POS plan'!P133</f>
        <v>2</v>
      </c>
      <c r="P45" s="1263">
        <f>+'EGRESO-POS plan'!Q126+'EGRESO-POS plan'!Q127+'EGRESO-POS plan'!Q128+'EGRESO-POS plan'!Q129+'EGRESO-POS plan'!Q131+'EGRESO-POS plan'!Q132+'EGRESO-POS plan'!Q133</f>
        <v>2</v>
      </c>
      <c r="Q45" s="1263">
        <f>+'EGRESO-POS plan'!R126+'EGRESO-POS plan'!R127+'EGRESO-POS plan'!R128+'EGRESO-POS plan'!R129+'EGRESO-POS plan'!R131+'EGRESO-POS plan'!R132+'EGRESO-POS plan'!R133</f>
        <v>1</v>
      </c>
      <c r="R45" s="1264">
        <f t="shared" si="82"/>
        <v>5</v>
      </c>
      <c r="S45" s="1262">
        <v>4</v>
      </c>
      <c r="T45" s="1263">
        <v>9</v>
      </c>
      <c r="U45" s="1263">
        <v>7</v>
      </c>
      <c r="V45" s="1264">
        <v>20</v>
      </c>
      <c r="W45" s="1262">
        <v>4</v>
      </c>
      <c r="X45" s="1263">
        <v>16</v>
      </c>
      <c r="Y45" s="1263">
        <v>6</v>
      </c>
      <c r="Z45" s="1337">
        <v>26</v>
      </c>
      <c r="AA45" s="1262">
        <v>7</v>
      </c>
      <c r="AB45" s="1263">
        <v>7</v>
      </c>
      <c r="AC45" s="1263">
        <v>14</v>
      </c>
      <c r="AD45" s="1264">
        <v>28</v>
      </c>
      <c r="AE45" s="1263">
        <v>9</v>
      </c>
      <c r="AF45" s="1263">
        <v>11</v>
      </c>
      <c r="AG45" s="1263">
        <v>17</v>
      </c>
      <c r="AH45" s="1264">
        <v>37</v>
      </c>
      <c r="AI45" s="1263">
        <v>6</v>
      </c>
      <c r="AJ45" s="1263">
        <v>12</v>
      </c>
      <c r="AK45" s="1263">
        <v>15</v>
      </c>
      <c r="AL45" s="1337">
        <v>33</v>
      </c>
      <c r="AM45" s="129">
        <v>12</v>
      </c>
      <c r="AN45" s="130">
        <v>14</v>
      </c>
      <c r="AO45" s="130">
        <v>10</v>
      </c>
      <c r="AP45" s="396">
        <v>36</v>
      </c>
      <c r="AQ45" s="129">
        <v>16</v>
      </c>
      <c r="AR45" s="130">
        <v>23</v>
      </c>
      <c r="AS45" s="130">
        <v>19</v>
      </c>
      <c r="AT45" s="396">
        <v>58</v>
      </c>
      <c r="AU45" s="129">
        <v>11</v>
      </c>
      <c r="AV45" s="130">
        <v>21</v>
      </c>
      <c r="AW45" s="130">
        <v>25</v>
      </c>
      <c r="AX45" s="396">
        <f t="shared" si="83"/>
        <v>57</v>
      </c>
      <c r="AY45" s="129">
        <v>22</v>
      </c>
      <c r="AZ45" s="130">
        <v>17</v>
      </c>
      <c r="BA45" s="130">
        <v>23</v>
      </c>
      <c r="BB45" s="396">
        <f t="shared" si="84"/>
        <v>62</v>
      </c>
      <c r="BC45" s="129">
        <f>SUM('EGRESO-POS plan'!BD126,'EGRESO-POS plan'!BD127,'EGRESO-POS plan'!BD128,'EGRESO-POS plan'!BD129,'EGRESO-POS plan'!BD131,'EGRESO-POS plan'!BD132,'EGRESO-POS plan'!BD133)</f>
        <v>11</v>
      </c>
      <c r="BD45" s="130">
        <f>SUM('EGRESO-POS plan'!BE126,'EGRESO-POS plan'!BE127,'EGRESO-POS plan'!BE128,'EGRESO-POS plan'!BE129,'EGRESO-POS plan'!BE131,'EGRESO-POS plan'!BE132,'EGRESO-POS plan'!BE133)</f>
        <v>9</v>
      </c>
      <c r="BE45" s="130">
        <f>SUM('EGRESO-POS plan'!BF126,'EGRESO-POS plan'!BF127,'EGRESO-POS plan'!BF128,'EGRESO-POS plan'!BF129,'EGRESO-POS plan'!BF131,'EGRESO-POS plan'!BF132,'EGRESO-POS plan'!BF133)</f>
        <v>13</v>
      </c>
      <c r="BF45" s="396">
        <f>SUM(BC45:BE45)</f>
        <v>33</v>
      </c>
      <c r="BG45" s="129">
        <f>SUM('EGRESO-POS plan'!BH126,'EGRESO-POS plan'!BH127,'EGRESO-POS plan'!BH128,'EGRESO-POS plan'!BH129,'EGRESO-POS plan'!BH131,'EGRESO-POS plan'!BH132,'EGRESO-POS plan'!BH133)</f>
        <v>15</v>
      </c>
      <c r="BH45" s="130">
        <f>SUM('EGRESO-POS plan'!BI126,'EGRESO-POS plan'!BI127,'EGRESO-POS plan'!BI128,'EGRESO-POS plan'!BI129,'EGRESO-POS plan'!BI131,'EGRESO-POS plan'!BI132,'EGRESO-POS plan'!BI133)</f>
        <v>18</v>
      </c>
      <c r="BI45" s="130">
        <f>SUM('EGRESO-POS plan'!BJ126,'EGRESO-POS plan'!BJ127,'EGRESO-POS plan'!BJ128,'EGRESO-POS plan'!BJ129,'EGRESO-POS plan'!BJ131,'EGRESO-POS plan'!BJ132,'EGRESO-POS plan'!BJ133)</f>
        <v>28</v>
      </c>
      <c r="BJ45" s="396">
        <f>SUM(BG45:BI45)</f>
        <v>61</v>
      </c>
      <c r="BK45" s="129">
        <f>SUM('EGRESO-POS plan'!BL126,'EGRESO-POS plan'!BL127,'EGRESO-POS plan'!BL128,'EGRESO-POS plan'!BL129,'EGRESO-POS plan'!BL131,'EGRESO-POS plan'!BL132,'EGRESO-POS plan'!BL133)</f>
        <v>7</v>
      </c>
      <c r="BL45" s="130">
        <f>SUM('EGRESO-POS plan'!BM126,'EGRESO-POS plan'!BM127,'EGRESO-POS plan'!BM128,'EGRESO-POS plan'!BM129,'EGRESO-POS plan'!BM131,'EGRESO-POS plan'!BM132,'EGRESO-POS plan'!BM133)</f>
        <v>24</v>
      </c>
      <c r="BM45" s="130">
        <f>SUM('EGRESO-POS plan'!BN126,'EGRESO-POS plan'!BN127,'EGRESO-POS plan'!BN128,'EGRESO-POS plan'!BN129,'EGRESO-POS plan'!BN131,'EGRESO-POS plan'!BN132,'EGRESO-POS plan'!BN133)</f>
        <v>20</v>
      </c>
      <c r="BN45" s="396">
        <f>SUM(BK45:BM45)</f>
        <v>51</v>
      </c>
      <c r="BO45" s="129">
        <f>SUM('EGRESO-POS plan'!BP126,'EGRESO-POS plan'!BP127,'EGRESO-POS plan'!BP128,'EGRESO-POS plan'!BP129,'EGRESO-POS plan'!BP131,'EGRESO-POS plan'!BP132,'EGRESO-POS plan'!BP133)</f>
        <v>18</v>
      </c>
      <c r="BP45" s="130">
        <f>SUM('EGRESO-POS plan'!BQ126,'EGRESO-POS plan'!BQ127,'EGRESO-POS plan'!BQ128,'EGRESO-POS plan'!BQ129,'EGRESO-POS plan'!BQ131,'EGRESO-POS plan'!BQ132,'EGRESO-POS plan'!BQ133)</f>
        <v>21</v>
      </c>
      <c r="BQ45" s="130">
        <f>SUM('EGRESO-POS plan'!BR126,'EGRESO-POS plan'!BR127,'EGRESO-POS plan'!BR128,'EGRESO-POS plan'!BR129,'EGRESO-POS plan'!BR131,'EGRESO-POS plan'!BR132,'EGRESO-POS plan'!BR133)</f>
        <v>23</v>
      </c>
      <c r="BR45" s="396">
        <f>SUM(BO45:BQ45)</f>
        <v>62</v>
      </c>
      <c r="BS45" s="129">
        <f>SUM('EGRESO-POS plan'!BT126:BT134)</f>
        <v>16</v>
      </c>
      <c r="BT45" s="130">
        <f>SUM('EGRESO-POS plan'!BU126:BU134)</f>
        <v>17</v>
      </c>
      <c r="BU45" s="130">
        <f>SUM('EGRESO-POS plan'!BV126:BV134)</f>
        <v>21</v>
      </c>
      <c r="BV45" s="396">
        <f>SUM(BS45:BU45)</f>
        <v>54</v>
      </c>
      <c r="BW45" s="129">
        <f>SUM('EGRESO-POS plan'!BX126:BX134)</f>
        <v>21</v>
      </c>
      <c r="BX45" s="130">
        <f>SUM('EGRESO-POS plan'!BY126:BY134)</f>
        <v>37</v>
      </c>
      <c r="BY45" s="130">
        <f>SUM('EGRESO-POS plan'!BZ126:BZ134)</f>
        <v>15</v>
      </c>
      <c r="BZ45" s="396">
        <f>SUM(BW45:BY45)</f>
        <v>73</v>
      </c>
      <c r="CA45" s="129">
        <f>SUM('EGRESO-POS plan'!CB126:CB134)</f>
        <v>16</v>
      </c>
      <c r="CB45" s="130">
        <f>SUM('EGRESO-POS plan'!CC126:CC134)</f>
        <v>21</v>
      </c>
      <c r="CC45" s="130">
        <f>SUM('EGRESO-POS plan'!CD126:CD134)</f>
        <v>28</v>
      </c>
      <c r="CD45" s="396">
        <f>SUM(CA45:CC45)</f>
        <v>65</v>
      </c>
      <c r="CE45" s="129">
        <f>SUM('EGRESO-POS plan'!CF126:CF134)</f>
        <v>22</v>
      </c>
      <c r="CF45" s="130">
        <f>SUM('EGRESO-POS plan'!CG126:CG134)</f>
        <v>20</v>
      </c>
      <c r="CG45" s="130">
        <f>SUM('EGRESO-POS plan'!CH126:CH134)</f>
        <v>19</v>
      </c>
      <c r="CH45" s="396">
        <f>SUM(CE45:CG45)</f>
        <v>61</v>
      </c>
      <c r="CI45" s="129">
        <f>SUM('EGRESO-POS plan'!CJ126:CJ134)</f>
        <v>7</v>
      </c>
      <c r="CJ45" s="130">
        <f>SUM('EGRESO-POS plan'!CK126:CK134)</f>
        <v>14</v>
      </c>
      <c r="CK45" s="130">
        <f>SUM('EGRESO-POS plan'!CL126:CL134)</f>
        <v>31</v>
      </c>
      <c r="CL45" s="396">
        <f>SUM(CI45:CK45)</f>
        <v>52</v>
      </c>
      <c r="CM45" s="129">
        <f>SUM('EGRESO-POS plan'!CN126:CN134)</f>
        <v>11</v>
      </c>
      <c r="CN45" s="130">
        <f>SUM('EGRESO-POS plan'!CO126:CO134)</f>
        <v>9</v>
      </c>
      <c r="CO45" s="130">
        <f>SUM('EGRESO-POS plan'!CP126:CP134)</f>
        <v>11</v>
      </c>
      <c r="CP45" s="396">
        <f>SUM(CM45:CO45)</f>
        <v>31</v>
      </c>
      <c r="CQ45" s="129">
        <f>SUM('EGRESO-POS plan'!CR126:CR134)</f>
        <v>28</v>
      </c>
      <c r="CR45" s="130">
        <f>SUM('EGRESO-POS plan'!CS126:CS134)</f>
        <v>27</v>
      </c>
      <c r="CS45" s="130">
        <f>SUM('EGRESO-POS plan'!CT126:CT134)</f>
        <v>7</v>
      </c>
      <c r="CT45" s="396">
        <f>SUM(CQ45:CS45)</f>
        <v>62</v>
      </c>
    </row>
    <row r="46" spans="1:98" ht="15" customHeight="1" x14ac:dyDescent="0.25">
      <c r="A46" s="1661"/>
      <c r="B46" s="1339" t="s">
        <v>317</v>
      </c>
      <c r="C46" s="1262">
        <f>+'EGRESO-POS plan'!D135+'EGRESO-POS plan'!D136</f>
        <v>0</v>
      </c>
      <c r="D46" s="1263">
        <f>+'EGRESO-POS plan'!E135+'EGRESO-POS plan'!E136</f>
        <v>2</v>
      </c>
      <c r="E46" s="1263">
        <f>+'EGRESO-POS plan'!F135+'EGRESO-POS plan'!F136</f>
        <v>3</v>
      </c>
      <c r="F46" s="1264">
        <f t="shared" si="79"/>
        <v>5</v>
      </c>
      <c r="G46" s="1262">
        <f>+'EGRESO-POS plan'!H135+'EGRESO-POS plan'!H136</f>
        <v>1</v>
      </c>
      <c r="H46" s="1263">
        <f>+'EGRESO-POS plan'!I135+'EGRESO-POS plan'!I136</f>
        <v>2</v>
      </c>
      <c r="I46" s="1263">
        <f>+'EGRESO-POS plan'!J135+'EGRESO-POS plan'!J136</f>
        <v>1</v>
      </c>
      <c r="J46" s="1264">
        <f t="shared" si="80"/>
        <v>4</v>
      </c>
      <c r="K46" s="1262">
        <f>+'EGRESO-POS plan'!L135+'EGRESO-POS plan'!L136</f>
        <v>1</v>
      </c>
      <c r="L46" s="1263">
        <f>+'EGRESO-POS plan'!M135+'EGRESO-POS plan'!M136</f>
        <v>1</v>
      </c>
      <c r="M46" s="1263">
        <f>+'EGRESO-POS plan'!N135+'EGRESO-POS plan'!N136</f>
        <v>1</v>
      </c>
      <c r="N46" s="1264">
        <f t="shared" si="81"/>
        <v>3</v>
      </c>
      <c r="O46" s="1262">
        <f>+'EGRESO-POS plan'!P135+'EGRESO-POS plan'!P136</f>
        <v>1</v>
      </c>
      <c r="P46" s="1263">
        <f>+'EGRESO-POS plan'!Q135+'EGRESO-POS plan'!Q136</f>
        <v>1</v>
      </c>
      <c r="Q46" s="1263">
        <f>+'EGRESO-POS plan'!R135+'EGRESO-POS plan'!R136</f>
        <v>0</v>
      </c>
      <c r="R46" s="1264">
        <f t="shared" si="82"/>
        <v>2</v>
      </c>
      <c r="S46" s="1262">
        <v>3</v>
      </c>
      <c r="T46" s="1263">
        <v>1</v>
      </c>
      <c r="U46" s="1263">
        <v>5</v>
      </c>
      <c r="V46" s="1264">
        <v>9</v>
      </c>
      <c r="W46" s="1262">
        <v>2</v>
      </c>
      <c r="X46" s="1263">
        <v>0</v>
      </c>
      <c r="Y46" s="1263">
        <v>1</v>
      </c>
      <c r="Z46" s="1337">
        <v>3</v>
      </c>
      <c r="AA46" s="1262">
        <v>2</v>
      </c>
      <c r="AB46" s="1263">
        <v>6</v>
      </c>
      <c r="AC46" s="1263">
        <v>4</v>
      </c>
      <c r="AD46" s="1264">
        <v>12</v>
      </c>
      <c r="AE46" s="1263">
        <v>6</v>
      </c>
      <c r="AF46" s="1263">
        <v>4</v>
      </c>
      <c r="AG46" s="1263">
        <v>2</v>
      </c>
      <c r="AH46" s="1264">
        <v>12</v>
      </c>
      <c r="AI46" s="1263">
        <v>2</v>
      </c>
      <c r="AJ46" s="1263">
        <v>4</v>
      </c>
      <c r="AK46" s="1263">
        <v>5</v>
      </c>
      <c r="AL46" s="1337">
        <v>11</v>
      </c>
      <c r="AM46" s="129">
        <v>4</v>
      </c>
      <c r="AN46" s="130">
        <v>7</v>
      </c>
      <c r="AO46" s="130">
        <v>2</v>
      </c>
      <c r="AP46" s="396">
        <v>13</v>
      </c>
      <c r="AQ46" s="129">
        <v>1</v>
      </c>
      <c r="AR46" s="130">
        <v>3</v>
      </c>
      <c r="AS46" s="130">
        <v>2</v>
      </c>
      <c r="AT46" s="396">
        <v>6</v>
      </c>
      <c r="AU46" s="129">
        <v>1</v>
      </c>
      <c r="AV46" s="130">
        <v>8</v>
      </c>
      <c r="AW46" s="130">
        <v>6</v>
      </c>
      <c r="AX46" s="396">
        <f t="shared" si="83"/>
        <v>15</v>
      </c>
      <c r="AY46" s="129">
        <v>5</v>
      </c>
      <c r="AZ46" s="130">
        <v>5</v>
      </c>
      <c r="BA46" s="130">
        <v>8</v>
      </c>
      <c r="BB46" s="396">
        <f t="shared" si="84"/>
        <v>18</v>
      </c>
      <c r="BC46" s="129">
        <f>SUM('EGRESO-POS plan'!BD135,'EGRESO-POS plan'!BD136)</f>
        <v>7</v>
      </c>
      <c r="BD46" s="130">
        <f>SUM('EGRESO-POS plan'!BE135,'EGRESO-POS plan'!BE136)</f>
        <v>2</v>
      </c>
      <c r="BE46" s="130">
        <f>SUM('EGRESO-POS plan'!BF135,'EGRESO-POS plan'!BF136)</f>
        <v>8</v>
      </c>
      <c r="BF46" s="396">
        <f>SUM(BC46:BE46)</f>
        <v>17</v>
      </c>
      <c r="BG46" s="129">
        <f>SUM('EGRESO-POS plan'!BH135,'EGRESO-POS plan'!BH136)</f>
        <v>4</v>
      </c>
      <c r="BH46" s="130">
        <f>SUM('EGRESO-POS plan'!BI135,'EGRESO-POS plan'!BI136)</f>
        <v>2</v>
      </c>
      <c r="BI46" s="130">
        <f>SUM('EGRESO-POS plan'!BJ135,'EGRESO-POS plan'!BJ136)</f>
        <v>6</v>
      </c>
      <c r="BJ46" s="396">
        <f>SUM(BG46:BI46)</f>
        <v>12</v>
      </c>
      <c r="BK46" s="129">
        <f>SUM('EGRESO-POS plan'!BL135,'EGRESO-POS plan'!BL136)</f>
        <v>6</v>
      </c>
      <c r="BL46" s="130">
        <f>SUM('EGRESO-POS plan'!BM135,'EGRESO-POS plan'!BM136)</f>
        <v>5</v>
      </c>
      <c r="BM46" s="130">
        <f>SUM('EGRESO-POS plan'!BN135,'EGRESO-POS plan'!BN136)</f>
        <v>2</v>
      </c>
      <c r="BN46" s="396">
        <f>SUM(BK46:BM46)</f>
        <v>13</v>
      </c>
      <c r="BO46" s="129">
        <f>SUM('EGRESO-POS plan'!BP135,'EGRESO-POS plan'!BP136)</f>
        <v>6</v>
      </c>
      <c r="BP46" s="130">
        <f>SUM('EGRESO-POS plan'!BQ135,'EGRESO-POS plan'!BQ136)</f>
        <v>2</v>
      </c>
      <c r="BQ46" s="130">
        <f>SUM('EGRESO-POS plan'!BR135,'EGRESO-POS plan'!BR136)</f>
        <v>5</v>
      </c>
      <c r="BR46" s="396">
        <f>SUM(BO46:BQ46)</f>
        <v>13</v>
      </c>
      <c r="BS46" s="129">
        <f>SUM('EGRESO-POS plan'!BT135:BT137)</f>
        <v>6</v>
      </c>
      <c r="BT46" s="130">
        <f>SUM('EGRESO-POS plan'!BU135:BU137)</f>
        <v>3</v>
      </c>
      <c r="BU46" s="130">
        <f>SUM('EGRESO-POS plan'!BV135:BV137)</f>
        <v>7</v>
      </c>
      <c r="BV46" s="396">
        <f>SUM(BS46:BU46)</f>
        <v>16</v>
      </c>
      <c r="BW46" s="129">
        <f>SUM('EGRESO-POS plan'!BX135:BX137)</f>
        <v>2</v>
      </c>
      <c r="BX46" s="130">
        <f>SUM('EGRESO-POS plan'!BY135:BY137)</f>
        <v>10</v>
      </c>
      <c r="BY46" s="130">
        <f>SUM('EGRESO-POS plan'!BZ135:BZ137)</f>
        <v>5</v>
      </c>
      <c r="BZ46" s="396">
        <f>SUM(BW46:BY46)</f>
        <v>17</v>
      </c>
      <c r="CA46" s="129">
        <f>SUM('EGRESO-POS plan'!CB135:CB137)</f>
        <v>8</v>
      </c>
      <c r="CB46" s="130">
        <f>SUM('EGRESO-POS plan'!CC135:CC137)</f>
        <v>14</v>
      </c>
      <c r="CC46" s="130">
        <f>SUM('EGRESO-POS plan'!CD135:CD137)</f>
        <v>5</v>
      </c>
      <c r="CD46" s="396">
        <f>SUM(CA46:CC46)</f>
        <v>27</v>
      </c>
      <c r="CE46" s="129">
        <f>SUM('EGRESO-POS plan'!CF135:CF137)</f>
        <v>3</v>
      </c>
      <c r="CF46" s="130">
        <f>SUM('EGRESO-POS plan'!CG135:CG137)</f>
        <v>6</v>
      </c>
      <c r="CG46" s="130">
        <f>SUM('EGRESO-POS plan'!CH135:CH137)</f>
        <v>8</v>
      </c>
      <c r="CH46" s="396">
        <f>SUM(CE46:CG46)</f>
        <v>17</v>
      </c>
      <c r="CI46" s="129">
        <f>SUM('EGRESO-POS plan'!CJ135:CJ137)</f>
        <v>9</v>
      </c>
      <c r="CJ46" s="130">
        <f>SUM('EGRESO-POS plan'!CK135:CK137)</f>
        <v>1</v>
      </c>
      <c r="CK46" s="130">
        <f>SUM('EGRESO-POS plan'!CL135:CL137)</f>
        <v>3</v>
      </c>
      <c r="CL46" s="396">
        <f>SUM(CI46:CK46)</f>
        <v>13</v>
      </c>
      <c r="CM46" s="129">
        <f>SUM('EGRESO-POS plan'!CN135:CN137)</f>
        <v>7</v>
      </c>
      <c r="CN46" s="130">
        <f>SUM('EGRESO-POS plan'!CO135:CO137)</f>
        <v>12</v>
      </c>
      <c r="CO46" s="130">
        <f>SUM('EGRESO-POS plan'!CP135:CP137)</f>
        <v>11</v>
      </c>
      <c r="CP46" s="396">
        <f>SUM(CM46:CO46)</f>
        <v>30</v>
      </c>
      <c r="CQ46" s="129">
        <f>SUM('EGRESO-POS plan'!CR135:CR137)</f>
        <v>6</v>
      </c>
      <c r="CR46" s="130">
        <f>SUM('EGRESO-POS plan'!CS135:CS137)</f>
        <v>4</v>
      </c>
      <c r="CS46" s="130">
        <f>SUM('EGRESO-POS plan'!CT135:CT137)</f>
        <v>2</v>
      </c>
      <c r="CT46" s="396">
        <f>SUM(CQ46:CS46)</f>
        <v>12</v>
      </c>
    </row>
    <row r="47" spans="1:98" s="1330" customFormat="1" ht="15" customHeight="1" x14ac:dyDescent="0.25">
      <c r="A47" s="1661"/>
      <c r="B47" s="1342" t="s">
        <v>92</v>
      </c>
      <c r="C47" s="1662">
        <f>SUM(C44:C46)</f>
        <v>3</v>
      </c>
      <c r="D47" s="1663">
        <f>SUM(D44:D46)</f>
        <v>3</v>
      </c>
      <c r="E47" s="1663">
        <f>SUM(E44:E46)</f>
        <v>10</v>
      </c>
      <c r="F47" s="1310">
        <f t="shared" si="79"/>
        <v>16</v>
      </c>
      <c r="G47" s="1662">
        <f>SUM(G44:G46)</f>
        <v>9</v>
      </c>
      <c r="H47" s="1663">
        <f>SUM(H44:H46)</f>
        <v>6</v>
      </c>
      <c r="I47" s="1663">
        <f>SUM(I44:I46)</f>
        <v>12</v>
      </c>
      <c r="J47" s="1310">
        <f t="shared" si="80"/>
        <v>27</v>
      </c>
      <c r="K47" s="1662">
        <f>SUM(K44:K46)</f>
        <v>9</v>
      </c>
      <c r="L47" s="1663">
        <f>SUM(L44:L46)</f>
        <v>4</v>
      </c>
      <c r="M47" s="1663">
        <f>SUM(M44:M46)</f>
        <v>7</v>
      </c>
      <c r="N47" s="1310">
        <f t="shared" si="81"/>
        <v>20</v>
      </c>
      <c r="O47" s="1662">
        <f>SUM(O44:O46)</f>
        <v>4</v>
      </c>
      <c r="P47" s="1663">
        <f>SUM(P44:P46)</f>
        <v>62</v>
      </c>
      <c r="Q47" s="1663">
        <f>SUM(Q44:Q46)</f>
        <v>9</v>
      </c>
      <c r="R47" s="1310">
        <f t="shared" si="82"/>
        <v>75</v>
      </c>
      <c r="S47" s="1662">
        <v>8</v>
      </c>
      <c r="T47" s="1663">
        <v>18</v>
      </c>
      <c r="U47" s="1663">
        <v>20</v>
      </c>
      <c r="V47" s="1310">
        <v>46</v>
      </c>
      <c r="W47" s="1662">
        <v>12</v>
      </c>
      <c r="X47" s="1663">
        <v>17</v>
      </c>
      <c r="Y47" s="1663">
        <v>9</v>
      </c>
      <c r="Z47" s="1663">
        <v>38</v>
      </c>
      <c r="AA47" s="1662">
        <v>12</v>
      </c>
      <c r="AB47" s="1663">
        <v>21</v>
      </c>
      <c r="AC47" s="1663">
        <v>19</v>
      </c>
      <c r="AD47" s="1310">
        <v>52</v>
      </c>
      <c r="AE47" s="1663">
        <v>15</v>
      </c>
      <c r="AF47" s="1663">
        <v>15</v>
      </c>
      <c r="AG47" s="1663">
        <v>20</v>
      </c>
      <c r="AH47" s="1310">
        <v>50</v>
      </c>
      <c r="AI47" s="1663">
        <v>11</v>
      </c>
      <c r="AJ47" s="1663">
        <v>25</v>
      </c>
      <c r="AK47" s="1663">
        <v>20</v>
      </c>
      <c r="AL47" s="1663">
        <v>56</v>
      </c>
      <c r="AM47" s="630">
        <v>16</v>
      </c>
      <c r="AN47" s="1664">
        <v>24</v>
      </c>
      <c r="AO47" s="1664">
        <v>18</v>
      </c>
      <c r="AP47" s="1664">
        <v>58</v>
      </c>
      <c r="AQ47" s="630">
        <v>18</v>
      </c>
      <c r="AR47" s="1664">
        <v>36</v>
      </c>
      <c r="AS47" s="1664">
        <v>27</v>
      </c>
      <c r="AT47" s="1665">
        <v>81</v>
      </c>
      <c r="AU47" s="630">
        <f>SUM(AU44:AU46)</f>
        <v>16</v>
      </c>
      <c r="AV47" s="1664">
        <f>SUM(AV44:AV46)</f>
        <v>31</v>
      </c>
      <c r="AW47" s="1664">
        <f>SUM(AW44:AW46)</f>
        <v>31</v>
      </c>
      <c r="AX47" s="1665">
        <f t="shared" si="83"/>
        <v>78</v>
      </c>
      <c r="AY47" s="630">
        <f>SUM(AY44:AY46)</f>
        <v>27</v>
      </c>
      <c r="AZ47" s="1664">
        <f>SUM(AZ44:AZ46)</f>
        <v>23</v>
      </c>
      <c r="BA47" s="1664">
        <f>SUM(BA44:BA46)</f>
        <v>33</v>
      </c>
      <c r="BB47" s="1665">
        <f t="shared" si="84"/>
        <v>83</v>
      </c>
      <c r="BC47" s="630">
        <f t="shared" ref="BC47:CL47" si="88">SUM(BC44:BC46)</f>
        <v>24</v>
      </c>
      <c r="BD47" s="1664">
        <f t="shared" si="88"/>
        <v>12</v>
      </c>
      <c r="BE47" s="1664">
        <f t="shared" si="88"/>
        <v>21</v>
      </c>
      <c r="BF47" s="1665">
        <f t="shared" si="88"/>
        <v>57</v>
      </c>
      <c r="BG47" s="630">
        <f t="shared" si="88"/>
        <v>19</v>
      </c>
      <c r="BH47" s="1664">
        <f t="shared" si="88"/>
        <v>20</v>
      </c>
      <c r="BI47" s="1664">
        <f t="shared" si="88"/>
        <v>34</v>
      </c>
      <c r="BJ47" s="1665">
        <f t="shared" si="88"/>
        <v>73</v>
      </c>
      <c r="BK47" s="630">
        <f t="shared" si="88"/>
        <v>22</v>
      </c>
      <c r="BL47" s="1664">
        <f t="shared" si="88"/>
        <v>30</v>
      </c>
      <c r="BM47" s="1664">
        <f t="shared" si="88"/>
        <v>22</v>
      </c>
      <c r="BN47" s="1665">
        <f t="shared" si="88"/>
        <v>74</v>
      </c>
      <c r="BO47" s="630">
        <f t="shared" si="88"/>
        <v>29</v>
      </c>
      <c r="BP47" s="1664">
        <f t="shared" si="88"/>
        <v>24</v>
      </c>
      <c r="BQ47" s="1664">
        <f t="shared" si="88"/>
        <v>28</v>
      </c>
      <c r="BR47" s="1665">
        <f t="shared" si="88"/>
        <v>81</v>
      </c>
      <c r="BS47" s="630">
        <f t="shared" si="88"/>
        <v>22</v>
      </c>
      <c r="BT47" s="1664">
        <f t="shared" si="88"/>
        <v>20</v>
      </c>
      <c r="BU47" s="1664">
        <f t="shared" si="88"/>
        <v>31</v>
      </c>
      <c r="BV47" s="1665">
        <f t="shared" si="88"/>
        <v>73</v>
      </c>
      <c r="BW47" s="630">
        <f t="shared" si="88"/>
        <v>25</v>
      </c>
      <c r="BX47" s="1664">
        <f t="shared" si="88"/>
        <v>49</v>
      </c>
      <c r="BY47" s="1664">
        <f t="shared" si="88"/>
        <v>20</v>
      </c>
      <c r="BZ47" s="1665">
        <f t="shared" si="88"/>
        <v>94</v>
      </c>
      <c r="CA47" s="630">
        <f t="shared" si="88"/>
        <v>25</v>
      </c>
      <c r="CB47" s="1664">
        <f t="shared" si="88"/>
        <v>35</v>
      </c>
      <c r="CC47" s="1664">
        <f t="shared" si="88"/>
        <v>33</v>
      </c>
      <c r="CD47" s="1665">
        <f t="shared" si="88"/>
        <v>93</v>
      </c>
      <c r="CE47" s="630">
        <f t="shared" si="88"/>
        <v>25</v>
      </c>
      <c r="CF47" s="1664">
        <f t="shared" si="88"/>
        <v>26</v>
      </c>
      <c r="CG47" s="1664">
        <f t="shared" si="88"/>
        <v>27</v>
      </c>
      <c r="CH47" s="1665">
        <f t="shared" si="88"/>
        <v>78</v>
      </c>
      <c r="CI47" s="630">
        <f t="shared" si="88"/>
        <v>16</v>
      </c>
      <c r="CJ47" s="1664">
        <f t="shared" si="88"/>
        <v>15</v>
      </c>
      <c r="CK47" s="1664">
        <f t="shared" si="88"/>
        <v>34</v>
      </c>
      <c r="CL47" s="1665">
        <f t="shared" si="88"/>
        <v>65</v>
      </c>
      <c r="CM47" s="630">
        <f t="shared" ref="CM47:CP47" si="89">SUM(CM44:CM46)</f>
        <v>18</v>
      </c>
      <c r="CN47" s="1664">
        <f t="shared" si="89"/>
        <v>21</v>
      </c>
      <c r="CO47" s="1664">
        <f t="shared" si="89"/>
        <v>22</v>
      </c>
      <c r="CP47" s="1665">
        <f t="shared" si="89"/>
        <v>61</v>
      </c>
      <c r="CQ47" s="630">
        <f t="shared" ref="CQ47:CT47" si="90">SUM(CQ44:CQ46)</f>
        <v>34</v>
      </c>
      <c r="CR47" s="1664">
        <f t="shared" si="90"/>
        <v>31</v>
      </c>
      <c r="CS47" s="1664">
        <f t="shared" si="90"/>
        <v>9</v>
      </c>
      <c r="CT47" s="1665">
        <f t="shared" si="90"/>
        <v>74</v>
      </c>
    </row>
    <row r="48" spans="1:98" ht="15" customHeight="1" x14ac:dyDescent="0.25">
      <c r="A48" s="1661"/>
      <c r="B48" s="1334" t="s">
        <v>308</v>
      </c>
      <c r="C48" s="1258"/>
      <c r="D48" s="1259"/>
      <c r="E48" s="1259"/>
      <c r="F48" s="1260"/>
      <c r="G48" s="1258"/>
      <c r="H48" s="1259"/>
      <c r="I48" s="1259"/>
      <c r="J48" s="1260"/>
      <c r="K48" s="1258"/>
      <c r="L48" s="1259"/>
      <c r="M48" s="1259"/>
      <c r="N48" s="1260"/>
      <c r="O48" s="1258"/>
      <c r="P48" s="1259"/>
      <c r="Q48" s="1259"/>
      <c r="R48" s="1260"/>
      <c r="S48" s="1258"/>
      <c r="T48" s="1259"/>
      <c r="U48" s="1259"/>
      <c r="V48" s="1260"/>
      <c r="W48" s="1258"/>
      <c r="X48" s="1259"/>
      <c r="Y48" s="1259"/>
      <c r="Z48" s="1298"/>
      <c r="AA48" s="1258"/>
      <c r="AB48" s="1259"/>
      <c r="AC48" s="1259"/>
      <c r="AD48" s="1260"/>
      <c r="AE48" s="1259"/>
      <c r="AF48" s="1259"/>
      <c r="AG48" s="1259"/>
      <c r="AH48" s="1260"/>
      <c r="AI48" s="1259"/>
      <c r="AJ48" s="1259"/>
      <c r="AK48" s="1259"/>
      <c r="AL48" s="1298"/>
      <c r="AM48" s="151"/>
      <c r="AN48" s="152"/>
      <c r="AO48" s="152"/>
      <c r="AP48" s="395"/>
      <c r="AQ48" s="151"/>
      <c r="AR48" s="152"/>
      <c r="AS48" s="152"/>
      <c r="AT48" s="395"/>
      <c r="AU48" s="151"/>
      <c r="AV48" s="152"/>
      <c r="AW48" s="152"/>
      <c r="AX48" s="395"/>
      <c r="AY48" s="151"/>
      <c r="AZ48" s="152"/>
      <c r="BA48" s="152"/>
      <c r="BB48" s="395"/>
      <c r="BC48" s="151"/>
      <c r="BD48" s="152"/>
      <c r="BE48" s="152"/>
      <c r="BF48" s="395"/>
      <c r="BG48" s="151"/>
      <c r="BH48" s="152"/>
      <c r="BI48" s="152"/>
      <c r="BJ48" s="395"/>
      <c r="BK48" s="151"/>
      <c r="BL48" s="152"/>
      <c r="BM48" s="152"/>
      <c r="BN48" s="395"/>
      <c r="BO48" s="151"/>
      <c r="BP48" s="152"/>
      <c r="BQ48" s="152"/>
      <c r="BR48" s="395"/>
      <c r="BS48" s="151"/>
      <c r="BT48" s="152"/>
      <c r="BU48" s="152"/>
      <c r="BV48" s="395"/>
      <c r="BW48" s="151"/>
      <c r="BX48" s="152"/>
      <c r="BY48" s="152"/>
      <c r="BZ48" s="395"/>
      <c r="CA48" s="151"/>
      <c r="CB48" s="152"/>
      <c r="CC48" s="152"/>
      <c r="CD48" s="395"/>
      <c r="CE48" s="151"/>
      <c r="CF48" s="152"/>
      <c r="CG48" s="152"/>
      <c r="CH48" s="395"/>
      <c r="CI48" s="151"/>
      <c r="CJ48" s="152"/>
      <c r="CK48" s="152"/>
      <c r="CL48" s="395"/>
      <c r="CM48" s="151"/>
      <c r="CN48" s="152"/>
      <c r="CO48" s="152"/>
      <c r="CP48" s="395"/>
      <c r="CQ48" s="151"/>
      <c r="CR48" s="152"/>
      <c r="CS48" s="152"/>
      <c r="CT48" s="395"/>
    </row>
    <row r="49" spans="1:98" ht="15" customHeight="1" x14ac:dyDescent="0.25">
      <c r="A49" s="1661"/>
      <c r="B49" s="1336" t="s">
        <v>310</v>
      </c>
      <c r="C49" s="1262"/>
      <c r="D49" s="1263"/>
      <c r="E49" s="1263"/>
      <c r="F49" s="1264">
        <f t="shared" si="79"/>
        <v>0</v>
      </c>
      <c r="G49" s="1262"/>
      <c r="H49" s="1263"/>
      <c r="I49" s="1263"/>
      <c r="J49" s="1264">
        <f t="shared" si="80"/>
        <v>0</v>
      </c>
      <c r="K49" s="1262"/>
      <c r="L49" s="1263"/>
      <c r="M49" s="1263"/>
      <c r="N49" s="1264">
        <f t="shared" si="81"/>
        <v>0</v>
      </c>
      <c r="O49" s="1262"/>
      <c r="P49" s="1263">
        <f>+'EGRESO-POS plan'!Q139</f>
        <v>10</v>
      </c>
      <c r="Q49" s="1263">
        <f>+'EGRESO-POS plan'!R139</f>
        <v>9</v>
      </c>
      <c r="R49" s="1264">
        <f t="shared" si="82"/>
        <v>19</v>
      </c>
      <c r="S49" s="1262">
        <v>0</v>
      </c>
      <c r="T49" s="1263">
        <v>0</v>
      </c>
      <c r="U49" s="1263">
        <v>0</v>
      </c>
      <c r="V49" s="1264">
        <v>0</v>
      </c>
      <c r="W49" s="1262">
        <v>0</v>
      </c>
      <c r="X49" s="1263">
        <v>15</v>
      </c>
      <c r="Y49" s="1263">
        <v>0</v>
      </c>
      <c r="Z49" s="1337">
        <v>15</v>
      </c>
      <c r="AA49" s="1262">
        <v>1</v>
      </c>
      <c r="AB49" s="1263">
        <v>12</v>
      </c>
      <c r="AC49" s="1263">
        <v>4</v>
      </c>
      <c r="AD49" s="1264">
        <v>17</v>
      </c>
      <c r="AE49" s="1263">
        <v>1</v>
      </c>
      <c r="AF49" s="1263">
        <v>25</v>
      </c>
      <c r="AG49" s="1263">
        <v>0</v>
      </c>
      <c r="AH49" s="1264">
        <v>26</v>
      </c>
      <c r="AI49" s="1263">
        <v>0</v>
      </c>
      <c r="AJ49" s="1263">
        <v>20</v>
      </c>
      <c r="AK49" s="1263">
        <v>0</v>
      </c>
      <c r="AL49" s="1337">
        <v>20</v>
      </c>
      <c r="AM49" s="129">
        <v>0</v>
      </c>
      <c r="AN49" s="130">
        <v>17</v>
      </c>
      <c r="AO49" s="130">
        <v>1</v>
      </c>
      <c r="AP49" s="396">
        <v>18</v>
      </c>
      <c r="AQ49" s="129">
        <v>1</v>
      </c>
      <c r="AR49" s="130">
        <v>8</v>
      </c>
      <c r="AS49" s="130">
        <v>8</v>
      </c>
      <c r="AT49" s="396">
        <v>17</v>
      </c>
      <c r="AU49" s="129"/>
      <c r="AV49" s="130">
        <v>2</v>
      </c>
      <c r="AW49" s="130">
        <v>13</v>
      </c>
      <c r="AX49" s="396">
        <f t="shared" si="83"/>
        <v>15</v>
      </c>
      <c r="AY49" s="129">
        <v>4</v>
      </c>
      <c r="AZ49" s="130">
        <v>9</v>
      </c>
      <c r="BA49" s="130">
        <v>17</v>
      </c>
      <c r="BB49" s="396">
        <f t="shared" si="84"/>
        <v>30</v>
      </c>
      <c r="BC49" s="129">
        <f>SUM('EGRESO-POS plan'!BD139,'EGRESO-POS plan'!BD140,'EGRESO-POS plan'!BD141)</f>
        <v>0</v>
      </c>
      <c r="BD49" s="130">
        <f>SUM('EGRESO-POS plan'!BE139,'EGRESO-POS plan'!BE140,'EGRESO-POS plan'!BE141)</f>
        <v>1</v>
      </c>
      <c r="BE49" s="130">
        <f>SUM('EGRESO-POS plan'!BF139,'EGRESO-POS plan'!BF140,'EGRESO-POS plan'!BF141)</f>
        <v>13</v>
      </c>
      <c r="BF49" s="396">
        <f>SUM(BC49:BE49)</f>
        <v>14</v>
      </c>
      <c r="BG49" s="129">
        <f>SUM('EGRESO-POS plan'!BH139,'EGRESO-POS plan'!BH140,'EGRESO-POS plan'!BH141)</f>
        <v>3</v>
      </c>
      <c r="BH49" s="130">
        <f>SUM('EGRESO-POS plan'!BI139,'EGRESO-POS plan'!BI140,'EGRESO-POS plan'!BI141)</f>
        <v>28</v>
      </c>
      <c r="BI49" s="130">
        <f>SUM('EGRESO-POS plan'!BJ139,'EGRESO-POS plan'!BJ140,'EGRESO-POS plan'!BJ141)</f>
        <v>20</v>
      </c>
      <c r="BJ49" s="396">
        <f>SUM(BG49:BI49)</f>
        <v>51</v>
      </c>
      <c r="BK49" s="129">
        <f>SUM('EGRESO-POS plan'!BL139,'EGRESO-POS plan'!BL140,'EGRESO-POS plan'!BL141)</f>
        <v>5</v>
      </c>
      <c r="BL49" s="130">
        <f>SUM('EGRESO-POS plan'!BM139,'EGRESO-POS plan'!BM140,'EGRESO-POS plan'!BM141)</f>
        <v>12</v>
      </c>
      <c r="BM49" s="130">
        <f>SUM('EGRESO-POS plan'!BN139,'EGRESO-POS plan'!BN140,'EGRESO-POS plan'!BN141)</f>
        <v>6</v>
      </c>
      <c r="BN49" s="396">
        <f>SUM(BK49:BM49)</f>
        <v>23</v>
      </c>
      <c r="BO49" s="129">
        <f>SUM('EGRESO-POS plan'!BP139,'EGRESO-POS plan'!BP140,'EGRESO-POS plan'!BP141)</f>
        <v>17</v>
      </c>
      <c r="BP49" s="130">
        <f>SUM('EGRESO-POS plan'!BQ139,'EGRESO-POS plan'!BQ140,'EGRESO-POS plan'!BQ141)</f>
        <v>13</v>
      </c>
      <c r="BQ49" s="130">
        <f>SUM('EGRESO-POS plan'!BR139,'EGRESO-POS plan'!BR140,'EGRESO-POS plan'!BR141)</f>
        <v>21</v>
      </c>
      <c r="BR49" s="396">
        <f>SUM(BO49:BQ49)</f>
        <v>51</v>
      </c>
      <c r="BS49" s="129">
        <f>SUM('EGRESO-POS plan'!BT139,'EGRESO-POS plan'!BT140,'EGRESO-POS plan'!BT141)</f>
        <v>2</v>
      </c>
      <c r="BT49" s="130">
        <f>SUM('EGRESO-POS plan'!BU139,'EGRESO-POS plan'!BU140,'EGRESO-POS plan'!BU141)</f>
        <v>2</v>
      </c>
      <c r="BU49" s="130">
        <f>SUM('EGRESO-POS plan'!BV139,'EGRESO-POS plan'!BV140,'EGRESO-POS plan'!BV141)</f>
        <v>23</v>
      </c>
      <c r="BV49" s="396">
        <f>SUM(BS49:BU49)</f>
        <v>27</v>
      </c>
      <c r="BW49" s="129">
        <f>SUM('EGRESO-POS plan'!BX139,'EGRESO-POS plan'!BX140,'EGRESO-POS plan'!BX141)</f>
        <v>9</v>
      </c>
      <c r="BX49" s="130">
        <f>SUM('EGRESO-POS plan'!BY139,'EGRESO-POS plan'!BY140,'EGRESO-POS plan'!BY141)</f>
        <v>2</v>
      </c>
      <c r="BY49" s="130">
        <f>SUM('EGRESO-POS plan'!BZ139,'EGRESO-POS plan'!BZ140,'EGRESO-POS plan'!BZ141)</f>
        <v>27</v>
      </c>
      <c r="BZ49" s="396">
        <f>SUM(BW49:BY49)</f>
        <v>38</v>
      </c>
      <c r="CA49" s="129">
        <f>SUM('EGRESO-POS plan'!CB139,'EGRESO-POS plan'!CB140,'EGRESO-POS plan'!CB141)</f>
        <v>5</v>
      </c>
      <c r="CB49" s="130">
        <f>SUM('EGRESO-POS plan'!CC139,'EGRESO-POS plan'!CC140,'EGRESO-POS plan'!CC141)</f>
        <v>4</v>
      </c>
      <c r="CC49" s="130">
        <f>SUM('EGRESO-POS plan'!CD139,'EGRESO-POS plan'!CD140,'EGRESO-POS plan'!CD141)</f>
        <v>20</v>
      </c>
      <c r="CD49" s="396">
        <f>SUM(CA49:CC49)</f>
        <v>29</v>
      </c>
      <c r="CE49" s="129">
        <f>SUM('EGRESO-POS plan'!CF139,'EGRESO-POS plan'!CF140,'EGRESO-POS plan'!CF141)</f>
        <v>8</v>
      </c>
      <c r="CF49" s="130">
        <f>SUM('EGRESO-POS plan'!CG139,'EGRESO-POS plan'!CG140,'EGRESO-POS plan'!CG141)</f>
        <v>4</v>
      </c>
      <c r="CG49" s="130">
        <f>SUM('EGRESO-POS plan'!CH139,'EGRESO-POS plan'!CH140,'EGRESO-POS plan'!CH141)</f>
        <v>21</v>
      </c>
      <c r="CH49" s="396">
        <f>SUM(CE49:CG49)</f>
        <v>33</v>
      </c>
      <c r="CI49" s="129">
        <f>SUM('EGRESO-POS plan'!CJ139,'EGRESO-POS plan'!CJ140,'EGRESO-POS plan'!CJ141)</f>
        <v>1</v>
      </c>
      <c r="CJ49" s="130">
        <f>SUM('EGRESO-POS plan'!CK139,'EGRESO-POS plan'!CK140,'EGRESO-POS plan'!CK141)</f>
        <v>2</v>
      </c>
      <c r="CK49" s="130">
        <f>SUM('EGRESO-POS plan'!CL139,'EGRESO-POS plan'!CL140,'EGRESO-POS plan'!CL141)</f>
        <v>21</v>
      </c>
      <c r="CL49" s="396">
        <f>SUM(CI49:CK49)</f>
        <v>24</v>
      </c>
      <c r="CM49" s="129">
        <f>SUM('EGRESO-POS plan'!CN139,'EGRESO-POS plan'!CN140,'EGRESO-POS plan'!CN141)</f>
        <v>8</v>
      </c>
      <c r="CN49" s="130">
        <f>SUM('EGRESO-POS plan'!CO139,'EGRESO-POS plan'!CO140,'EGRESO-POS plan'!CO141)</f>
        <v>0</v>
      </c>
      <c r="CO49" s="130">
        <f>SUM('EGRESO-POS plan'!CP139,'EGRESO-POS plan'!CP140,'EGRESO-POS plan'!CP141)</f>
        <v>25</v>
      </c>
      <c r="CP49" s="396">
        <f>SUM(CM49:CO49)</f>
        <v>33</v>
      </c>
      <c r="CQ49" s="129">
        <f>SUM('EGRESO-POS plan'!CR139,'EGRESO-POS plan'!CR140,'EGRESO-POS plan'!CR141)</f>
        <v>0</v>
      </c>
      <c r="CR49" s="130">
        <f>SUM('EGRESO-POS plan'!CS139,'EGRESO-POS plan'!CS140,'EGRESO-POS plan'!CS141)</f>
        <v>1</v>
      </c>
      <c r="CS49" s="130">
        <f>SUM('EGRESO-POS plan'!CT139,'EGRESO-POS plan'!CT140,'EGRESO-POS plan'!CT141)</f>
        <v>15</v>
      </c>
      <c r="CT49" s="396">
        <f>SUM(CQ49:CS49)</f>
        <v>16</v>
      </c>
    </row>
    <row r="50" spans="1:98" ht="15" customHeight="1" x14ac:dyDescent="0.25">
      <c r="A50" s="1661"/>
      <c r="B50" s="1339" t="s">
        <v>317</v>
      </c>
      <c r="C50" s="1262"/>
      <c r="D50" s="1263"/>
      <c r="E50" s="1263"/>
      <c r="F50" s="1264">
        <f t="shared" si="79"/>
        <v>0</v>
      </c>
      <c r="G50" s="1262"/>
      <c r="H50" s="1263"/>
      <c r="I50" s="1263"/>
      <c r="J50" s="1264">
        <f t="shared" si="80"/>
        <v>0</v>
      </c>
      <c r="K50" s="1262"/>
      <c r="L50" s="1263"/>
      <c r="M50" s="1263"/>
      <c r="N50" s="1264">
        <f t="shared" si="81"/>
        <v>0</v>
      </c>
      <c r="O50" s="1262"/>
      <c r="P50" s="1263"/>
      <c r="Q50" s="1263"/>
      <c r="R50" s="1264">
        <f t="shared" si="82"/>
        <v>0</v>
      </c>
      <c r="S50" s="1262">
        <v>0</v>
      </c>
      <c r="T50" s="1263">
        <v>0</v>
      </c>
      <c r="U50" s="1263">
        <v>0</v>
      </c>
      <c r="V50" s="1264">
        <v>0</v>
      </c>
      <c r="W50" s="1262">
        <v>0</v>
      </c>
      <c r="X50" s="1263">
        <v>0</v>
      </c>
      <c r="Y50" s="1263">
        <v>0</v>
      </c>
      <c r="Z50" s="1337">
        <v>0</v>
      </c>
      <c r="AA50" s="1262">
        <v>0</v>
      </c>
      <c r="AB50" s="1263">
        <v>0</v>
      </c>
      <c r="AC50" s="1263">
        <v>0</v>
      </c>
      <c r="AD50" s="1264">
        <v>0</v>
      </c>
      <c r="AE50" s="1263">
        <v>0</v>
      </c>
      <c r="AF50" s="1263">
        <v>0</v>
      </c>
      <c r="AG50" s="1263">
        <v>0</v>
      </c>
      <c r="AH50" s="1264">
        <v>0</v>
      </c>
      <c r="AI50" s="1263">
        <v>0</v>
      </c>
      <c r="AJ50" s="1263">
        <v>0</v>
      </c>
      <c r="AK50" s="1263">
        <v>0</v>
      </c>
      <c r="AL50" s="1337">
        <v>0</v>
      </c>
      <c r="AM50" s="129">
        <v>0</v>
      </c>
      <c r="AN50" s="130">
        <v>1</v>
      </c>
      <c r="AO50" s="130">
        <v>1</v>
      </c>
      <c r="AP50" s="396">
        <v>2</v>
      </c>
      <c r="AQ50" s="129">
        <v>0</v>
      </c>
      <c r="AR50" s="130">
        <v>0</v>
      </c>
      <c r="AS50" s="130">
        <v>2</v>
      </c>
      <c r="AT50" s="396">
        <v>2</v>
      </c>
      <c r="AU50" s="129"/>
      <c r="AV50" s="130"/>
      <c r="AW50" s="130">
        <v>3</v>
      </c>
      <c r="AX50" s="396">
        <f t="shared" si="83"/>
        <v>3</v>
      </c>
      <c r="AY50" s="129"/>
      <c r="AZ50" s="130">
        <v>2</v>
      </c>
      <c r="BA50" s="130">
        <v>1</v>
      </c>
      <c r="BB50" s="396">
        <f t="shared" si="84"/>
        <v>3</v>
      </c>
      <c r="BC50" s="129">
        <f>SUM('EGRESO-POS plan'!BD142)</f>
        <v>1</v>
      </c>
      <c r="BD50" s="130">
        <f>SUM('EGRESO-POS plan'!BE142)</f>
        <v>1</v>
      </c>
      <c r="BE50" s="130">
        <f>SUM('EGRESO-POS plan'!BF142)</f>
        <v>4</v>
      </c>
      <c r="BF50" s="396">
        <f>SUM(BC50:BE50)</f>
        <v>6</v>
      </c>
      <c r="BG50" s="129">
        <f>SUM('EGRESO-POS plan'!BH142)</f>
        <v>0</v>
      </c>
      <c r="BH50" s="130">
        <f>SUM('EGRESO-POS plan'!BI142)</f>
        <v>0</v>
      </c>
      <c r="BI50" s="130">
        <f>SUM('EGRESO-POS plan'!BJ142)</f>
        <v>2</v>
      </c>
      <c r="BJ50" s="396">
        <f>SUM(BG50:BI50)</f>
        <v>2</v>
      </c>
      <c r="BK50" s="129">
        <f>SUM('EGRESO-POS plan'!BL142)</f>
        <v>2</v>
      </c>
      <c r="BL50" s="130">
        <f>SUM('EGRESO-POS plan'!BM142)</f>
        <v>2</v>
      </c>
      <c r="BM50" s="130">
        <f>SUM('EGRESO-POS plan'!BN142)</f>
        <v>2</v>
      </c>
      <c r="BN50" s="396">
        <f>SUM(BK50:BM50)</f>
        <v>6</v>
      </c>
      <c r="BO50" s="129">
        <f>SUM('EGRESO-POS plan'!BP142)</f>
        <v>3</v>
      </c>
      <c r="BP50" s="130">
        <f>SUM('EGRESO-POS plan'!BQ142)</f>
        <v>3</v>
      </c>
      <c r="BQ50" s="130">
        <f>SUM('EGRESO-POS plan'!BR142)</f>
        <v>0</v>
      </c>
      <c r="BR50" s="396">
        <f>SUM(BO50:BQ50)</f>
        <v>6</v>
      </c>
      <c r="BS50" s="129">
        <f>SUM('EGRESO-POS plan'!BT142)</f>
        <v>0</v>
      </c>
      <c r="BT50" s="130">
        <f>SUM('EGRESO-POS plan'!BU142)</f>
        <v>4</v>
      </c>
      <c r="BU50" s="130">
        <f>SUM('EGRESO-POS plan'!BV142)</f>
        <v>1</v>
      </c>
      <c r="BV50" s="396">
        <f>SUM(BS50:BU50)</f>
        <v>5</v>
      </c>
      <c r="BW50" s="129">
        <f>SUM('EGRESO-POS plan'!BX142)</f>
        <v>5</v>
      </c>
      <c r="BX50" s="130">
        <f>SUM('EGRESO-POS plan'!BY142)</f>
        <v>5</v>
      </c>
      <c r="BY50" s="130">
        <f>SUM('EGRESO-POS plan'!BZ142)</f>
        <v>2</v>
      </c>
      <c r="BZ50" s="396">
        <f>SUM(BW50:BY50)</f>
        <v>12</v>
      </c>
      <c r="CA50" s="129">
        <f>SUM('EGRESO-POS plan'!CB142)</f>
        <v>2</v>
      </c>
      <c r="CB50" s="130">
        <f>SUM('EGRESO-POS plan'!CC142)</f>
        <v>1</v>
      </c>
      <c r="CC50" s="130">
        <f>SUM('EGRESO-POS plan'!CD142)</f>
        <v>1</v>
      </c>
      <c r="CD50" s="396">
        <f>SUM(CA50:CC50)</f>
        <v>4</v>
      </c>
      <c r="CE50" s="129">
        <f>SUM('EGRESO-POS plan'!CF142)</f>
        <v>0</v>
      </c>
      <c r="CF50" s="130">
        <f>SUM('EGRESO-POS plan'!CG142)</f>
        <v>1</v>
      </c>
      <c r="CG50" s="130">
        <f>SUM('EGRESO-POS plan'!CH142)</f>
        <v>2</v>
      </c>
      <c r="CH50" s="396">
        <f>SUM(CE50:CG50)</f>
        <v>3</v>
      </c>
      <c r="CI50" s="129">
        <f>SUM('EGRESO-POS plan'!CJ142)</f>
        <v>2</v>
      </c>
      <c r="CJ50" s="130">
        <f>SUM('EGRESO-POS plan'!CK142)</f>
        <v>0</v>
      </c>
      <c r="CK50" s="130">
        <f>SUM('EGRESO-POS plan'!CL142)</f>
        <v>3</v>
      </c>
      <c r="CL50" s="396">
        <f>SUM(CI50:CK50)</f>
        <v>5</v>
      </c>
      <c r="CM50" s="129">
        <f>SUM('EGRESO-POS plan'!CN142)</f>
        <v>0</v>
      </c>
      <c r="CN50" s="130">
        <f>SUM('EGRESO-POS plan'!CO142)</f>
        <v>1</v>
      </c>
      <c r="CO50" s="130">
        <f>SUM('EGRESO-POS plan'!CP142)</f>
        <v>1</v>
      </c>
      <c r="CP50" s="396">
        <f>SUM(CM50:CO50)</f>
        <v>2</v>
      </c>
      <c r="CQ50" s="129">
        <f>SUM('EGRESO-POS plan'!CR142)</f>
        <v>0</v>
      </c>
      <c r="CR50" s="130">
        <f>SUM('EGRESO-POS plan'!CS142)</f>
        <v>1</v>
      </c>
      <c r="CS50" s="130">
        <f>SUM('EGRESO-POS plan'!CT142)</f>
        <v>1</v>
      </c>
      <c r="CT50" s="396">
        <f>SUM(CQ50:CS50)</f>
        <v>2</v>
      </c>
    </row>
    <row r="51" spans="1:98" s="1330" customFormat="1" ht="15" customHeight="1" x14ac:dyDescent="0.25">
      <c r="A51" s="1661"/>
      <c r="B51" s="1342" t="s">
        <v>68</v>
      </c>
      <c r="C51" s="1662">
        <f>SUM(C48:C50)</f>
        <v>0</v>
      </c>
      <c r="D51" s="1663">
        <f>SUM(D48:D50)</f>
        <v>0</v>
      </c>
      <c r="E51" s="1663">
        <f>SUM(E48:E50)</f>
        <v>0</v>
      </c>
      <c r="F51" s="1310">
        <f t="shared" si="79"/>
        <v>0</v>
      </c>
      <c r="G51" s="1662">
        <f>SUM(G48:G50)</f>
        <v>0</v>
      </c>
      <c r="H51" s="1663">
        <f>SUM(H48:H50)</f>
        <v>0</v>
      </c>
      <c r="I51" s="1663">
        <f>SUM(I48:I50)</f>
        <v>0</v>
      </c>
      <c r="J51" s="1310">
        <f t="shared" si="80"/>
        <v>0</v>
      </c>
      <c r="K51" s="1662">
        <f>SUM(K48:K50)</f>
        <v>0</v>
      </c>
      <c r="L51" s="1663">
        <f>SUM(L48:L50)</f>
        <v>0</v>
      </c>
      <c r="M51" s="1663">
        <f>SUM(M48:M50)</f>
        <v>0</v>
      </c>
      <c r="N51" s="1310">
        <f t="shared" si="81"/>
        <v>0</v>
      </c>
      <c r="O51" s="1662">
        <f>SUM(O48:O50)</f>
        <v>0</v>
      </c>
      <c r="P51" s="1663">
        <f>SUM(P48:P50)</f>
        <v>10</v>
      </c>
      <c r="Q51" s="1663">
        <f>SUM(Q48:Q50)</f>
        <v>9</v>
      </c>
      <c r="R51" s="1310">
        <f t="shared" si="82"/>
        <v>19</v>
      </c>
      <c r="S51" s="1662">
        <v>0</v>
      </c>
      <c r="T51" s="1663">
        <v>0</v>
      </c>
      <c r="U51" s="1663">
        <v>0</v>
      </c>
      <c r="V51" s="1310">
        <v>0</v>
      </c>
      <c r="W51" s="1662">
        <v>0</v>
      </c>
      <c r="X51" s="1663">
        <v>15</v>
      </c>
      <c r="Y51" s="1663">
        <v>0</v>
      </c>
      <c r="Z51" s="1663">
        <v>15</v>
      </c>
      <c r="AA51" s="1662">
        <v>1</v>
      </c>
      <c r="AB51" s="1663">
        <v>12</v>
      </c>
      <c r="AC51" s="1663">
        <v>4</v>
      </c>
      <c r="AD51" s="1310">
        <v>17</v>
      </c>
      <c r="AE51" s="1663">
        <v>1</v>
      </c>
      <c r="AF51" s="1663">
        <v>25</v>
      </c>
      <c r="AG51" s="1663">
        <v>0</v>
      </c>
      <c r="AH51" s="1310">
        <v>26</v>
      </c>
      <c r="AI51" s="1663">
        <v>0</v>
      </c>
      <c r="AJ51" s="1663">
        <v>20</v>
      </c>
      <c r="AK51" s="1663">
        <v>0</v>
      </c>
      <c r="AL51" s="1663">
        <v>20</v>
      </c>
      <c r="AM51" s="630">
        <v>0</v>
      </c>
      <c r="AN51" s="1664">
        <v>18</v>
      </c>
      <c r="AO51" s="1664">
        <v>2</v>
      </c>
      <c r="AP51" s="1664">
        <v>20</v>
      </c>
      <c r="AQ51" s="630">
        <v>1</v>
      </c>
      <c r="AR51" s="1664">
        <v>8</v>
      </c>
      <c r="AS51" s="1664">
        <v>10</v>
      </c>
      <c r="AT51" s="1665">
        <v>19</v>
      </c>
      <c r="AU51" s="630">
        <f>SUM(AU48:AU50)</f>
        <v>0</v>
      </c>
      <c r="AV51" s="1664">
        <f>SUM(AV48:AV50)</f>
        <v>2</v>
      </c>
      <c r="AW51" s="1664">
        <f>SUM(AW48:AW50)</f>
        <v>16</v>
      </c>
      <c r="AX51" s="1665">
        <f t="shared" si="83"/>
        <v>18</v>
      </c>
      <c r="AY51" s="630">
        <f>SUM(AY48:AY50)</f>
        <v>4</v>
      </c>
      <c r="AZ51" s="1664">
        <f>SUM(AZ48:AZ50)</f>
        <v>11</v>
      </c>
      <c r="BA51" s="1664">
        <f>SUM(BA48:BA50)</f>
        <v>18</v>
      </c>
      <c r="BB51" s="1665">
        <f t="shared" si="84"/>
        <v>33</v>
      </c>
      <c r="BC51" s="630">
        <f t="shared" ref="BC51:CL51" si="91">SUM(BC48:BC50)</f>
        <v>1</v>
      </c>
      <c r="BD51" s="1664">
        <f t="shared" si="91"/>
        <v>2</v>
      </c>
      <c r="BE51" s="1664">
        <f t="shared" si="91"/>
        <v>17</v>
      </c>
      <c r="BF51" s="1665">
        <f t="shared" si="91"/>
        <v>20</v>
      </c>
      <c r="BG51" s="630">
        <f t="shared" si="91"/>
        <v>3</v>
      </c>
      <c r="BH51" s="1664">
        <f t="shared" si="91"/>
        <v>28</v>
      </c>
      <c r="BI51" s="1664">
        <f t="shared" si="91"/>
        <v>22</v>
      </c>
      <c r="BJ51" s="1665">
        <f t="shared" si="91"/>
        <v>53</v>
      </c>
      <c r="BK51" s="630">
        <f t="shared" si="91"/>
        <v>7</v>
      </c>
      <c r="BL51" s="1664">
        <f t="shared" si="91"/>
        <v>14</v>
      </c>
      <c r="BM51" s="1664">
        <f t="shared" si="91"/>
        <v>8</v>
      </c>
      <c r="BN51" s="1665">
        <f t="shared" si="91"/>
        <v>29</v>
      </c>
      <c r="BO51" s="630">
        <f t="shared" si="91"/>
        <v>20</v>
      </c>
      <c r="BP51" s="1664">
        <f t="shared" si="91"/>
        <v>16</v>
      </c>
      <c r="BQ51" s="1664">
        <f t="shared" si="91"/>
        <v>21</v>
      </c>
      <c r="BR51" s="1665">
        <f t="shared" si="91"/>
        <v>57</v>
      </c>
      <c r="BS51" s="630">
        <f t="shared" si="91"/>
        <v>2</v>
      </c>
      <c r="BT51" s="1664">
        <f t="shared" si="91"/>
        <v>6</v>
      </c>
      <c r="BU51" s="1664">
        <f t="shared" si="91"/>
        <v>24</v>
      </c>
      <c r="BV51" s="1665">
        <f t="shared" si="91"/>
        <v>32</v>
      </c>
      <c r="BW51" s="630">
        <f t="shared" si="91"/>
        <v>14</v>
      </c>
      <c r="BX51" s="1664">
        <f t="shared" si="91"/>
        <v>7</v>
      </c>
      <c r="BY51" s="1664">
        <f t="shared" si="91"/>
        <v>29</v>
      </c>
      <c r="BZ51" s="1665">
        <f t="shared" si="91"/>
        <v>50</v>
      </c>
      <c r="CA51" s="630">
        <f t="shared" si="91"/>
        <v>7</v>
      </c>
      <c r="CB51" s="1664">
        <f t="shared" si="91"/>
        <v>5</v>
      </c>
      <c r="CC51" s="1664">
        <f t="shared" si="91"/>
        <v>21</v>
      </c>
      <c r="CD51" s="1665">
        <f t="shared" si="91"/>
        <v>33</v>
      </c>
      <c r="CE51" s="630">
        <f t="shared" si="91"/>
        <v>8</v>
      </c>
      <c r="CF51" s="1664">
        <f t="shared" si="91"/>
        <v>5</v>
      </c>
      <c r="CG51" s="1664">
        <f t="shared" si="91"/>
        <v>23</v>
      </c>
      <c r="CH51" s="1665">
        <f t="shared" si="91"/>
        <v>36</v>
      </c>
      <c r="CI51" s="630">
        <f t="shared" si="91"/>
        <v>3</v>
      </c>
      <c r="CJ51" s="1664">
        <f t="shared" si="91"/>
        <v>2</v>
      </c>
      <c r="CK51" s="1664">
        <f t="shared" si="91"/>
        <v>24</v>
      </c>
      <c r="CL51" s="1665">
        <f t="shared" si="91"/>
        <v>29</v>
      </c>
      <c r="CM51" s="630">
        <f t="shared" ref="CM51:CP51" si="92">SUM(CM48:CM50)</f>
        <v>8</v>
      </c>
      <c r="CN51" s="1664">
        <f t="shared" si="92"/>
        <v>1</v>
      </c>
      <c r="CO51" s="1664">
        <f t="shared" si="92"/>
        <v>26</v>
      </c>
      <c r="CP51" s="1665">
        <f t="shared" si="92"/>
        <v>35</v>
      </c>
      <c r="CQ51" s="630">
        <f t="shared" ref="CQ51:CT51" si="93">SUM(CQ48:CQ50)</f>
        <v>0</v>
      </c>
      <c r="CR51" s="1664">
        <f t="shared" si="93"/>
        <v>2</v>
      </c>
      <c r="CS51" s="1664">
        <f t="shared" si="93"/>
        <v>16</v>
      </c>
      <c r="CT51" s="1665">
        <f t="shared" si="93"/>
        <v>18</v>
      </c>
    </row>
    <row r="52" spans="1:98" ht="15" customHeight="1" x14ac:dyDescent="0.25">
      <c r="A52" s="1661"/>
      <c r="B52" s="1334" t="s">
        <v>308</v>
      </c>
      <c r="C52" s="1258">
        <f>+C40+C44+C48</f>
        <v>1</v>
      </c>
      <c r="D52" s="1259">
        <f t="shared" ref="D52:E54" si="94">+D40+D44+D48</f>
        <v>0</v>
      </c>
      <c r="E52" s="1259">
        <f t="shared" si="94"/>
        <v>0</v>
      </c>
      <c r="F52" s="1260">
        <f t="shared" si="79"/>
        <v>1</v>
      </c>
      <c r="G52" s="1258">
        <f t="shared" ref="G52:I54" si="95">+G40+G44+G48</f>
        <v>8</v>
      </c>
      <c r="H52" s="1259">
        <f t="shared" si="95"/>
        <v>0</v>
      </c>
      <c r="I52" s="1259">
        <f t="shared" si="95"/>
        <v>6</v>
      </c>
      <c r="J52" s="1260">
        <f t="shared" si="80"/>
        <v>14</v>
      </c>
      <c r="K52" s="1258">
        <f t="shared" ref="K52:M54" si="96">+K40+K44+K48</f>
        <v>10</v>
      </c>
      <c r="L52" s="1259">
        <f t="shared" si="96"/>
        <v>2</v>
      </c>
      <c r="M52" s="1259">
        <f t="shared" si="96"/>
        <v>28</v>
      </c>
      <c r="N52" s="1260">
        <f t="shared" si="81"/>
        <v>40</v>
      </c>
      <c r="O52" s="1258">
        <f t="shared" ref="O52:Q54" si="97">+O40+O44+O48</f>
        <v>4</v>
      </c>
      <c r="P52" s="1259">
        <f t="shared" si="97"/>
        <v>71</v>
      </c>
      <c r="Q52" s="1259">
        <f t="shared" si="97"/>
        <v>8</v>
      </c>
      <c r="R52" s="1260">
        <f t="shared" si="82"/>
        <v>83</v>
      </c>
      <c r="S52" s="1258">
        <f t="shared" ref="S52:AL54" si="98">S40+S44+S48</f>
        <v>1</v>
      </c>
      <c r="T52" s="1259">
        <f t="shared" si="98"/>
        <v>9</v>
      </c>
      <c r="U52" s="1259">
        <f t="shared" si="98"/>
        <v>20</v>
      </c>
      <c r="V52" s="1260">
        <f t="shared" si="98"/>
        <v>30</v>
      </c>
      <c r="W52" s="1258">
        <f t="shared" si="98"/>
        <v>7</v>
      </c>
      <c r="X52" s="1259">
        <f t="shared" si="98"/>
        <v>2</v>
      </c>
      <c r="Y52" s="1259">
        <f t="shared" si="98"/>
        <v>29</v>
      </c>
      <c r="Z52" s="1298">
        <f t="shared" si="98"/>
        <v>38</v>
      </c>
      <c r="AA52" s="1258">
        <f t="shared" si="98"/>
        <v>3</v>
      </c>
      <c r="AB52" s="1259">
        <f t="shared" si="98"/>
        <v>24</v>
      </c>
      <c r="AC52" s="1259">
        <f t="shared" si="98"/>
        <v>4</v>
      </c>
      <c r="AD52" s="1260">
        <f t="shared" si="98"/>
        <v>31</v>
      </c>
      <c r="AE52" s="1259">
        <f t="shared" si="98"/>
        <v>0</v>
      </c>
      <c r="AF52" s="1259">
        <f t="shared" si="98"/>
        <v>2</v>
      </c>
      <c r="AG52" s="1259">
        <f t="shared" si="98"/>
        <v>1</v>
      </c>
      <c r="AH52" s="1260">
        <f t="shared" si="98"/>
        <v>3</v>
      </c>
      <c r="AI52" s="1259">
        <f t="shared" si="98"/>
        <v>34</v>
      </c>
      <c r="AJ52" s="1259">
        <f t="shared" si="98"/>
        <v>9</v>
      </c>
      <c r="AK52" s="1259">
        <f t="shared" si="98"/>
        <v>15</v>
      </c>
      <c r="AL52" s="1298">
        <f t="shared" si="98"/>
        <v>58</v>
      </c>
      <c r="AM52" s="151">
        <v>0</v>
      </c>
      <c r="AN52" s="152">
        <v>3</v>
      </c>
      <c r="AO52" s="152">
        <v>48</v>
      </c>
      <c r="AP52" s="152">
        <v>51</v>
      </c>
      <c r="AQ52" s="151">
        <f t="shared" ref="AQ52:AW54" si="99">SUM(AQ40,AQ44,AQ48)</f>
        <v>2</v>
      </c>
      <c r="AR52" s="152">
        <f t="shared" si="99"/>
        <v>10</v>
      </c>
      <c r="AS52" s="152">
        <f t="shared" si="99"/>
        <v>24</v>
      </c>
      <c r="AT52" s="395">
        <f t="shared" si="99"/>
        <v>36</v>
      </c>
      <c r="AU52" s="151">
        <f t="shared" si="99"/>
        <v>4</v>
      </c>
      <c r="AV52" s="152">
        <f t="shared" si="99"/>
        <v>2</v>
      </c>
      <c r="AW52" s="152">
        <f t="shared" si="99"/>
        <v>40</v>
      </c>
      <c r="AX52" s="395">
        <f t="shared" si="83"/>
        <v>46</v>
      </c>
      <c r="AY52" s="151">
        <f t="shared" ref="AY52:BA54" si="100">SUM(AY40,AY44,AY48)</f>
        <v>1</v>
      </c>
      <c r="AZ52" s="152">
        <f t="shared" si="100"/>
        <v>2</v>
      </c>
      <c r="BA52" s="152">
        <f t="shared" si="100"/>
        <v>19</v>
      </c>
      <c r="BB52" s="395">
        <f t="shared" si="84"/>
        <v>22</v>
      </c>
      <c r="BC52" s="151">
        <f>SUM(BC40,BC44,BC48)</f>
        <v>6</v>
      </c>
      <c r="BD52" s="152">
        <f>SUM(BD40,BD44,BD48)</f>
        <v>2</v>
      </c>
      <c r="BE52" s="152">
        <f>SUM(BE40,BE44,BE48)</f>
        <v>0</v>
      </c>
      <c r="BF52" s="395">
        <f>SUM(BC52:BE52)</f>
        <v>8</v>
      </c>
      <c r="BG52" s="151">
        <f t="shared" ref="BG52:BI54" si="101">SUM(BG40,BG44,BG48)</f>
        <v>0</v>
      </c>
      <c r="BH52" s="152">
        <f t="shared" si="101"/>
        <v>1</v>
      </c>
      <c r="BI52" s="152">
        <f t="shared" si="101"/>
        <v>0</v>
      </c>
      <c r="BJ52" s="395">
        <f>SUM(BG52:BI52)</f>
        <v>1</v>
      </c>
      <c r="BK52" s="151">
        <f t="shared" ref="BK52:BM54" si="102">SUM(BK40,BK44,BK48)</f>
        <v>9</v>
      </c>
      <c r="BL52" s="152">
        <f t="shared" si="102"/>
        <v>1</v>
      </c>
      <c r="BM52" s="152">
        <f t="shared" si="102"/>
        <v>28</v>
      </c>
      <c r="BN52" s="395">
        <f>SUM(BK52:BM52)</f>
        <v>38</v>
      </c>
      <c r="BO52" s="151">
        <f t="shared" ref="BO52:BQ54" si="103">SUM(BO40,BO44,BO48)</f>
        <v>5</v>
      </c>
      <c r="BP52" s="152">
        <f t="shared" si="103"/>
        <v>2</v>
      </c>
      <c r="BQ52" s="152">
        <f t="shared" si="103"/>
        <v>0</v>
      </c>
      <c r="BR52" s="395">
        <f>SUM(BO52:BQ52)</f>
        <v>7</v>
      </c>
      <c r="BS52" s="151">
        <f t="shared" ref="BS52:BU54" si="104">SUM(BS40,BS44,BS48)</f>
        <v>0</v>
      </c>
      <c r="BT52" s="152">
        <f t="shared" si="104"/>
        <v>0</v>
      </c>
      <c r="BU52" s="152">
        <f t="shared" si="104"/>
        <v>4</v>
      </c>
      <c r="BV52" s="395">
        <f>SUM(BS52:BU52)</f>
        <v>4</v>
      </c>
      <c r="BW52" s="151">
        <f t="shared" ref="BW52:BY54" si="105">SUM(BW40,BW44,BW48)</f>
        <v>3</v>
      </c>
      <c r="BX52" s="152">
        <f t="shared" si="105"/>
        <v>2</v>
      </c>
      <c r="BY52" s="152">
        <f t="shared" si="105"/>
        <v>0</v>
      </c>
      <c r="BZ52" s="395">
        <f>SUM(BW52:BY52)</f>
        <v>5</v>
      </c>
      <c r="CA52" s="151">
        <f>SUM(CA40,CA44,CA48)</f>
        <v>1</v>
      </c>
      <c r="CB52" s="152">
        <f t="shared" ref="CB52:CC54" si="106">SUM(CB40,CB44,CB48)</f>
        <v>0</v>
      </c>
      <c r="CC52" s="152">
        <f t="shared" si="106"/>
        <v>22</v>
      </c>
      <c r="CD52" s="395">
        <f>SUM(CA52:CC52)</f>
        <v>23</v>
      </c>
      <c r="CE52" s="151">
        <f t="shared" ref="CE52:CG54" si="107">SUM(CE40,CE44,CE48)</f>
        <v>2</v>
      </c>
      <c r="CF52" s="152">
        <f t="shared" si="107"/>
        <v>0</v>
      </c>
      <c r="CG52" s="152">
        <f t="shared" si="107"/>
        <v>2</v>
      </c>
      <c r="CH52" s="395">
        <f>SUM(CE52:CG52)</f>
        <v>4</v>
      </c>
      <c r="CI52" s="151">
        <f t="shared" ref="CI52:CK54" si="108">SUM(CI40,CI44,CI48)</f>
        <v>0</v>
      </c>
      <c r="CJ52" s="152">
        <f t="shared" si="108"/>
        <v>0</v>
      </c>
      <c r="CK52" s="152">
        <f t="shared" si="108"/>
        <v>0</v>
      </c>
      <c r="CL52" s="395">
        <f>SUM(CI52:CK52)</f>
        <v>0</v>
      </c>
      <c r="CM52" s="151">
        <f t="shared" ref="CM52:CO52" si="109">SUM(CM40,CM44,CM48)</f>
        <v>9</v>
      </c>
      <c r="CN52" s="152">
        <f t="shared" si="109"/>
        <v>0</v>
      </c>
      <c r="CO52" s="152">
        <f t="shared" si="109"/>
        <v>0</v>
      </c>
      <c r="CP52" s="395">
        <f>SUM(CM52:CO52)</f>
        <v>9</v>
      </c>
      <c r="CQ52" s="151">
        <f t="shared" ref="CQ52:CS52" si="110">SUM(CQ40,CQ44,CQ48)</f>
        <v>0</v>
      </c>
      <c r="CR52" s="152">
        <f t="shared" si="110"/>
        <v>14</v>
      </c>
      <c r="CS52" s="152">
        <f t="shared" si="110"/>
        <v>4</v>
      </c>
      <c r="CT52" s="395">
        <f>SUM(CQ52:CS52)</f>
        <v>18</v>
      </c>
    </row>
    <row r="53" spans="1:98" ht="15" customHeight="1" x14ac:dyDescent="0.25">
      <c r="A53" s="1661"/>
      <c r="B53" s="1336" t="s">
        <v>310</v>
      </c>
      <c r="C53" s="1262">
        <f>+C41+C45+C49</f>
        <v>6</v>
      </c>
      <c r="D53" s="1263">
        <f t="shared" si="94"/>
        <v>13</v>
      </c>
      <c r="E53" s="1263">
        <f t="shared" si="94"/>
        <v>25</v>
      </c>
      <c r="F53" s="1264">
        <f t="shared" si="79"/>
        <v>44</v>
      </c>
      <c r="G53" s="1262">
        <f t="shared" si="95"/>
        <v>8</v>
      </c>
      <c r="H53" s="1263">
        <f t="shared" si="95"/>
        <v>11</v>
      </c>
      <c r="I53" s="1263">
        <f t="shared" si="95"/>
        <v>16</v>
      </c>
      <c r="J53" s="1264">
        <f t="shared" si="80"/>
        <v>35</v>
      </c>
      <c r="K53" s="1262">
        <f t="shared" si="96"/>
        <v>11</v>
      </c>
      <c r="L53" s="1263">
        <f t="shared" si="96"/>
        <v>9</v>
      </c>
      <c r="M53" s="1263">
        <f t="shared" si="96"/>
        <v>14</v>
      </c>
      <c r="N53" s="1264">
        <f t="shared" si="81"/>
        <v>34</v>
      </c>
      <c r="O53" s="1262">
        <f t="shared" si="97"/>
        <v>12</v>
      </c>
      <c r="P53" s="1263">
        <f t="shared" si="97"/>
        <v>53</v>
      </c>
      <c r="Q53" s="1263">
        <f t="shared" si="97"/>
        <v>28</v>
      </c>
      <c r="R53" s="1264">
        <f t="shared" si="82"/>
        <v>93</v>
      </c>
      <c r="S53" s="1262">
        <f t="shared" si="98"/>
        <v>28</v>
      </c>
      <c r="T53" s="1263">
        <f t="shared" si="98"/>
        <v>23</v>
      </c>
      <c r="U53" s="1263">
        <f t="shared" si="98"/>
        <v>22</v>
      </c>
      <c r="V53" s="1264">
        <f t="shared" si="98"/>
        <v>73</v>
      </c>
      <c r="W53" s="1262">
        <f t="shared" si="98"/>
        <v>18</v>
      </c>
      <c r="X53" s="1263">
        <f t="shared" si="98"/>
        <v>44</v>
      </c>
      <c r="Y53" s="1263">
        <f t="shared" si="98"/>
        <v>17</v>
      </c>
      <c r="Z53" s="1337">
        <f t="shared" si="98"/>
        <v>79</v>
      </c>
      <c r="AA53" s="1262">
        <f t="shared" si="98"/>
        <v>28</v>
      </c>
      <c r="AB53" s="1263">
        <f t="shared" si="98"/>
        <v>33</v>
      </c>
      <c r="AC53" s="1263">
        <f t="shared" si="98"/>
        <v>41</v>
      </c>
      <c r="AD53" s="1264">
        <f t="shared" si="98"/>
        <v>102</v>
      </c>
      <c r="AE53" s="1263">
        <f t="shared" si="98"/>
        <v>15</v>
      </c>
      <c r="AF53" s="1263">
        <f t="shared" si="98"/>
        <v>47</v>
      </c>
      <c r="AG53" s="1263">
        <f t="shared" si="98"/>
        <v>41</v>
      </c>
      <c r="AH53" s="1264">
        <f t="shared" si="98"/>
        <v>103</v>
      </c>
      <c r="AI53" s="1263">
        <f t="shared" si="98"/>
        <v>32</v>
      </c>
      <c r="AJ53" s="1263">
        <f t="shared" si="98"/>
        <v>50</v>
      </c>
      <c r="AK53" s="1263">
        <f t="shared" si="98"/>
        <v>35</v>
      </c>
      <c r="AL53" s="1337">
        <f t="shared" si="98"/>
        <v>117</v>
      </c>
      <c r="AM53" s="129">
        <v>30</v>
      </c>
      <c r="AN53" s="130">
        <v>42</v>
      </c>
      <c r="AO53" s="130">
        <v>40</v>
      </c>
      <c r="AP53" s="130">
        <v>112</v>
      </c>
      <c r="AQ53" s="129">
        <f t="shared" si="99"/>
        <v>35</v>
      </c>
      <c r="AR53" s="130">
        <f t="shared" si="99"/>
        <v>45</v>
      </c>
      <c r="AS53" s="130">
        <f t="shared" si="99"/>
        <v>52</v>
      </c>
      <c r="AT53" s="396">
        <f t="shared" si="99"/>
        <v>132</v>
      </c>
      <c r="AU53" s="129">
        <f t="shared" si="99"/>
        <v>49</v>
      </c>
      <c r="AV53" s="130">
        <f t="shared" si="99"/>
        <v>47</v>
      </c>
      <c r="AW53" s="130">
        <f t="shared" si="99"/>
        <v>91</v>
      </c>
      <c r="AX53" s="396">
        <f t="shared" si="83"/>
        <v>187</v>
      </c>
      <c r="AY53" s="129">
        <f t="shared" si="100"/>
        <v>70</v>
      </c>
      <c r="AZ53" s="130">
        <f t="shared" si="100"/>
        <v>63</v>
      </c>
      <c r="BA53" s="130">
        <f t="shared" si="100"/>
        <v>57</v>
      </c>
      <c r="BB53" s="396">
        <f t="shared" si="84"/>
        <v>190</v>
      </c>
      <c r="BC53" s="129">
        <f t="shared" ref="BC53:BE54" si="111">SUM(BC41,BC45,BC49)</f>
        <v>28</v>
      </c>
      <c r="BD53" s="130">
        <f t="shared" si="111"/>
        <v>25</v>
      </c>
      <c r="BE53" s="130">
        <f t="shared" si="111"/>
        <v>59</v>
      </c>
      <c r="BF53" s="396">
        <f>SUM(BC53:BE53)</f>
        <v>112</v>
      </c>
      <c r="BG53" s="129">
        <f t="shared" si="101"/>
        <v>63</v>
      </c>
      <c r="BH53" s="130">
        <f t="shared" si="101"/>
        <v>57</v>
      </c>
      <c r="BI53" s="130">
        <f t="shared" si="101"/>
        <v>60</v>
      </c>
      <c r="BJ53" s="396">
        <f>SUM(BG53:BI53)</f>
        <v>180</v>
      </c>
      <c r="BK53" s="129">
        <f t="shared" si="102"/>
        <v>26</v>
      </c>
      <c r="BL53" s="130">
        <f t="shared" si="102"/>
        <v>55</v>
      </c>
      <c r="BM53" s="130">
        <f t="shared" si="102"/>
        <v>57</v>
      </c>
      <c r="BN53" s="396">
        <f>SUM(BK53:BM53)</f>
        <v>138</v>
      </c>
      <c r="BO53" s="129">
        <f t="shared" si="103"/>
        <v>67</v>
      </c>
      <c r="BP53" s="130">
        <f t="shared" si="103"/>
        <v>52</v>
      </c>
      <c r="BQ53" s="130">
        <f t="shared" si="103"/>
        <v>65</v>
      </c>
      <c r="BR53" s="396">
        <f>SUM(BO53:BQ53)</f>
        <v>184</v>
      </c>
      <c r="BS53" s="129">
        <f t="shared" si="104"/>
        <v>38</v>
      </c>
      <c r="BT53" s="130">
        <f t="shared" si="104"/>
        <v>49</v>
      </c>
      <c r="BU53" s="130">
        <f t="shared" si="104"/>
        <v>71</v>
      </c>
      <c r="BV53" s="396">
        <f>SUM(BS53:BU53)</f>
        <v>158</v>
      </c>
      <c r="BW53" s="129">
        <f t="shared" si="105"/>
        <v>64</v>
      </c>
      <c r="BX53" s="130">
        <f t="shared" si="105"/>
        <v>49</v>
      </c>
      <c r="BY53" s="130">
        <f t="shared" si="105"/>
        <v>69</v>
      </c>
      <c r="BZ53" s="396">
        <f>SUM(BW53:BY53)</f>
        <v>182</v>
      </c>
      <c r="CA53" s="129">
        <f>SUM(CA41,CA45,CA49)</f>
        <v>33</v>
      </c>
      <c r="CB53" s="130">
        <f t="shared" si="106"/>
        <v>56</v>
      </c>
      <c r="CC53" s="130">
        <f t="shared" si="106"/>
        <v>103</v>
      </c>
      <c r="CD53" s="396">
        <f>SUM(CA53:CC53)</f>
        <v>192</v>
      </c>
      <c r="CE53" s="129">
        <f t="shared" si="107"/>
        <v>79</v>
      </c>
      <c r="CF53" s="130">
        <f t="shared" si="107"/>
        <v>31</v>
      </c>
      <c r="CG53" s="130">
        <f t="shared" si="107"/>
        <v>60</v>
      </c>
      <c r="CH53" s="396">
        <f>SUM(CE53:CG53)</f>
        <v>170</v>
      </c>
      <c r="CI53" s="129">
        <f t="shared" si="108"/>
        <v>22</v>
      </c>
      <c r="CJ53" s="130">
        <f t="shared" si="108"/>
        <v>27</v>
      </c>
      <c r="CK53" s="130">
        <f t="shared" si="108"/>
        <v>96</v>
      </c>
      <c r="CL53" s="396">
        <f>SUM(CI53:CK53)</f>
        <v>145</v>
      </c>
      <c r="CM53" s="129">
        <f t="shared" ref="CM53:CO53" si="112">SUM(CM41,CM45,CM49)</f>
        <v>51</v>
      </c>
      <c r="CN53" s="130">
        <f t="shared" si="112"/>
        <v>19</v>
      </c>
      <c r="CO53" s="130">
        <f t="shared" si="112"/>
        <v>50</v>
      </c>
      <c r="CP53" s="396">
        <f>SUM(CM53:CO53)</f>
        <v>120</v>
      </c>
      <c r="CQ53" s="129">
        <f t="shared" ref="CQ53:CS53" si="113">SUM(CQ41,CQ45,CQ49)</f>
        <v>40</v>
      </c>
      <c r="CR53" s="130">
        <f t="shared" si="113"/>
        <v>49</v>
      </c>
      <c r="CS53" s="130">
        <f t="shared" si="113"/>
        <v>51</v>
      </c>
      <c r="CT53" s="396">
        <f>SUM(CQ53:CS53)</f>
        <v>140</v>
      </c>
    </row>
    <row r="54" spans="1:98" ht="15" customHeight="1" x14ac:dyDescent="0.25">
      <c r="A54" s="1661"/>
      <c r="B54" s="1339" t="s">
        <v>317</v>
      </c>
      <c r="C54" s="1262">
        <f>+C42+C46+C50</f>
        <v>4</v>
      </c>
      <c r="D54" s="1263">
        <f t="shared" si="94"/>
        <v>3</v>
      </c>
      <c r="E54" s="1263">
        <f t="shared" si="94"/>
        <v>5</v>
      </c>
      <c r="F54" s="1264">
        <f t="shared" si="79"/>
        <v>12</v>
      </c>
      <c r="G54" s="1262">
        <f t="shared" si="95"/>
        <v>2</v>
      </c>
      <c r="H54" s="1263">
        <f t="shared" si="95"/>
        <v>7</v>
      </c>
      <c r="I54" s="1263">
        <f t="shared" si="95"/>
        <v>5</v>
      </c>
      <c r="J54" s="1264">
        <f t="shared" si="80"/>
        <v>14</v>
      </c>
      <c r="K54" s="1262">
        <f t="shared" si="96"/>
        <v>2</v>
      </c>
      <c r="L54" s="1263">
        <f t="shared" si="96"/>
        <v>2</v>
      </c>
      <c r="M54" s="1263">
        <f t="shared" si="96"/>
        <v>4</v>
      </c>
      <c r="N54" s="1264">
        <f t="shared" si="81"/>
        <v>8</v>
      </c>
      <c r="O54" s="1262">
        <f t="shared" si="97"/>
        <v>6</v>
      </c>
      <c r="P54" s="1263">
        <f t="shared" si="97"/>
        <v>6</v>
      </c>
      <c r="Q54" s="1263">
        <f t="shared" si="97"/>
        <v>7</v>
      </c>
      <c r="R54" s="1264">
        <f t="shared" si="82"/>
        <v>19</v>
      </c>
      <c r="S54" s="1262">
        <f t="shared" si="98"/>
        <v>6</v>
      </c>
      <c r="T54" s="1263">
        <f t="shared" si="98"/>
        <v>5</v>
      </c>
      <c r="U54" s="1263">
        <f t="shared" si="98"/>
        <v>10</v>
      </c>
      <c r="V54" s="1264">
        <f t="shared" si="98"/>
        <v>21</v>
      </c>
      <c r="W54" s="1262">
        <f t="shared" si="98"/>
        <v>6</v>
      </c>
      <c r="X54" s="1263">
        <f t="shared" si="98"/>
        <v>4</v>
      </c>
      <c r="Y54" s="1263">
        <f t="shared" si="98"/>
        <v>9</v>
      </c>
      <c r="Z54" s="1337">
        <f t="shared" si="98"/>
        <v>19</v>
      </c>
      <c r="AA54" s="1262">
        <f t="shared" si="98"/>
        <v>8</v>
      </c>
      <c r="AB54" s="1263">
        <f t="shared" si="98"/>
        <v>16</v>
      </c>
      <c r="AC54" s="1263">
        <f t="shared" si="98"/>
        <v>7</v>
      </c>
      <c r="AD54" s="1264">
        <f t="shared" si="98"/>
        <v>31</v>
      </c>
      <c r="AE54" s="1263">
        <f t="shared" si="98"/>
        <v>7</v>
      </c>
      <c r="AF54" s="1263">
        <f t="shared" si="98"/>
        <v>13</v>
      </c>
      <c r="AG54" s="1263">
        <f t="shared" si="98"/>
        <v>11</v>
      </c>
      <c r="AH54" s="1264">
        <f t="shared" si="98"/>
        <v>31</v>
      </c>
      <c r="AI54" s="1263">
        <f t="shared" si="98"/>
        <v>6</v>
      </c>
      <c r="AJ54" s="1263">
        <f t="shared" si="98"/>
        <v>12</v>
      </c>
      <c r="AK54" s="1263">
        <f t="shared" si="98"/>
        <v>12</v>
      </c>
      <c r="AL54" s="1337">
        <f t="shared" si="98"/>
        <v>30</v>
      </c>
      <c r="AM54" s="129">
        <v>7</v>
      </c>
      <c r="AN54" s="130">
        <v>16</v>
      </c>
      <c r="AO54" s="130">
        <v>9</v>
      </c>
      <c r="AP54" s="130">
        <v>32</v>
      </c>
      <c r="AQ54" s="129">
        <f t="shared" si="99"/>
        <v>4</v>
      </c>
      <c r="AR54" s="130">
        <f t="shared" si="99"/>
        <v>14</v>
      </c>
      <c r="AS54" s="130">
        <f t="shared" si="99"/>
        <v>16</v>
      </c>
      <c r="AT54" s="396">
        <f t="shared" si="99"/>
        <v>34</v>
      </c>
      <c r="AU54" s="129">
        <f t="shared" si="99"/>
        <v>11</v>
      </c>
      <c r="AV54" s="130">
        <f t="shared" si="99"/>
        <v>22</v>
      </c>
      <c r="AW54" s="130">
        <f t="shared" si="99"/>
        <v>32</v>
      </c>
      <c r="AX54" s="396">
        <f t="shared" si="83"/>
        <v>65</v>
      </c>
      <c r="AY54" s="129">
        <f t="shared" si="100"/>
        <v>21</v>
      </c>
      <c r="AZ54" s="130">
        <f t="shared" si="100"/>
        <v>19</v>
      </c>
      <c r="BA54" s="130">
        <f t="shared" si="100"/>
        <v>14</v>
      </c>
      <c r="BB54" s="396">
        <f t="shared" si="84"/>
        <v>54</v>
      </c>
      <c r="BC54" s="129">
        <f t="shared" si="111"/>
        <v>13</v>
      </c>
      <c r="BD54" s="130">
        <f t="shared" si="111"/>
        <v>11</v>
      </c>
      <c r="BE54" s="130">
        <f t="shared" si="111"/>
        <v>21</v>
      </c>
      <c r="BF54" s="396">
        <f>SUM(BC54:BE54)</f>
        <v>45</v>
      </c>
      <c r="BG54" s="129">
        <f t="shared" si="101"/>
        <v>11</v>
      </c>
      <c r="BH54" s="130">
        <f t="shared" si="101"/>
        <v>12</v>
      </c>
      <c r="BI54" s="130">
        <f t="shared" si="101"/>
        <v>21</v>
      </c>
      <c r="BJ54" s="396">
        <f>SUM(BG54:BI54)</f>
        <v>44</v>
      </c>
      <c r="BK54" s="129">
        <f t="shared" si="102"/>
        <v>13</v>
      </c>
      <c r="BL54" s="130">
        <f t="shared" si="102"/>
        <v>11</v>
      </c>
      <c r="BM54" s="130">
        <f t="shared" si="102"/>
        <v>21</v>
      </c>
      <c r="BN54" s="396">
        <f>SUM(BK54:BM54)</f>
        <v>45</v>
      </c>
      <c r="BO54" s="129">
        <f t="shared" si="103"/>
        <v>18</v>
      </c>
      <c r="BP54" s="130">
        <f t="shared" si="103"/>
        <v>18</v>
      </c>
      <c r="BQ54" s="130">
        <f t="shared" si="103"/>
        <v>14</v>
      </c>
      <c r="BR54" s="396">
        <f>SUM(BO54:BQ54)</f>
        <v>50</v>
      </c>
      <c r="BS54" s="129">
        <f t="shared" si="104"/>
        <v>10</v>
      </c>
      <c r="BT54" s="130">
        <f t="shared" si="104"/>
        <v>12</v>
      </c>
      <c r="BU54" s="130">
        <f t="shared" si="104"/>
        <v>17</v>
      </c>
      <c r="BV54" s="396">
        <f>SUM(BS54:BU54)</f>
        <v>39</v>
      </c>
      <c r="BW54" s="129">
        <f t="shared" si="105"/>
        <v>16</v>
      </c>
      <c r="BX54" s="130">
        <f t="shared" si="105"/>
        <v>28</v>
      </c>
      <c r="BY54" s="130">
        <f t="shared" si="105"/>
        <v>16</v>
      </c>
      <c r="BZ54" s="396">
        <f>SUM(BW54:BY54)</f>
        <v>60</v>
      </c>
      <c r="CA54" s="129">
        <f>SUM(CA42,CA46,CA50)</f>
        <v>15</v>
      </c>
      <c r="CB54" s="130">
        <f t="shared" si="106"/>
        <v>27</v>
      </c>
      <c r="CC54" s="130">
        <f t="shared" si="106"/>
        <v>15</v>
      </c>
      <c r="CD54" s="396">
        <f>SUM(CA54:CC54)</f>
        <v>57</v>
      </c>
      <c r="CE54" s="129">
        <f t="shared" si="107"/>
        <v>11</v>
      </c>
      <c r="CF54" s="130">
        <f t="shared" si="107"/>
        <v>12</v>
      </c>
      <c r="CG54" s="130">
        <f t="shared" si="107"/>
        <v>31</v>
      </c>
      <c r="CH54" s="396">
        <f>SUM(CE54:CG54)</f>
        <v>54</v>
      </c>
      <c r="CI54" s="129">
        <f t="shared" si="108"/>
        <v>13</v>
      </c>
      <c r="CJ54" s="130">
        <f t="shared" si="108"/>
        <v>3</v>
      </c>
      <c r="CK54" s="130">
        <f t="shared" si="108"/>
        <v>19</v>
      </c>
      <c r="CL54" s="396">
        <f>SUM(CI54:CK54)</f>
        <v>35</v>
      </c>
      <c r="CM54" s="129">
        <f t="shared" ref="CM54:CO54" si="114">SUM(CM42,CM46,CM50)</f>
        <v>15</v>
      </c>
      <c r="CN54" s="130">
        <f t="shared" si="114"/>
        <v>16</v>
      </c>
      <c r="CO54" s="130">
        <f t="shared" si="114"/>
        <v>32</v>
      </c>
      <c r="CP54" s="396">
        <f>SUM(CM54:CO54)</f>
        <v>63</v>
      </c>
      <c r="CQ54" s="129">
        <f t="shared" ref="CQ54:CS54" si="115">SUM(CQ42,CQ46,CQ50)</f>
        <v>24</v>
      </c>
      <c r="CR54" s="130">
        <f t="shared" si="115"/>
        <v>11</v>
      </c>
      <c r="CS54" s="130">
        <f t="shared" si="115"/>
        <v>10</v>
      </c>
      <c r="CT54" s="396">
        <f>SUM(CQ54:CS54)</f>
        <v>45</v>
      </c>
    </row>
    <row r="55" spans="1:98" s="1330" customFormat="1" ht="15" customHeight="1" x14ac:dyDescent="0.25">
      <c r="A55" s="1661"/>
      <c r="B55" s="1376" t="s">
        <v>137</v>
      </c>
      <c r="C55" s="1377">
        <f>SUM(C52:C54)</f>
        <v>11</v>
      </c>
      <c r="D55" s="1378">
        <f>SUM(D52:D54)</f>
        <v>16</v>
      </c>
      <c r="E55" s="1378">
        <f>SUM(E52:E54)</f>
        <v>30</v>
      </c>
      <c r="F55" s="1379">
        <f t="shared" si="79"/>
        <v>57</v>
      </c>
      <c r="G55" s="1377">
        <f>SUM(G52:G54)</f>
        <v>18</v>
      </c>
      <c r="H55" s="1378">
        <f>SUM(H52:H54)</f>
        <v>18</v>
      </c>
      <c r="I55" s="1378">
        <f>SUM(I52:I54)</f>
        <v>27</v>
      </c>
      <c r="J55" s="1379">
        <f t="shared" si="80"/>
        <v>63</v>
      </c>
      <c r="K55" s="1377">
        <f>SUM(K52:K54)</f>
        <v>23</v>
      </c>
      <c r="L55" s="1378">
        <f>SUM(L52:L54)</f>
        <v>13</v>
      </c>
      <c r="M55" s="1378">
        <f>SUM(M52:M54)</f>
        <v>46</v>
      </c>
      <c r="N55" s="1379">
        <f t="shared" si="81"/>
        <v>82</v>
      </c>
      <c r="O55" s="1377">
        <f>SUM(O52:O54)</f>
        <v>22</v>
      </c>
      <c r="P55" s="1378">
        <f>SUM(P52:P54)</f>
        <v>130</v>
      </c>
      <c r="Q55" s="1378">
        <f>SUM(Q52:Q54)</f>
        <v>43</v>
      </c>
      <c r="R55" s="1379">
        <f t="shared" si="82"/>
        <v>195</v>
      </c>
      <c r="S55" s="1377">
        <f>SUM(S52:S54)</f>
        <v>35</v>
      </c>
      <c r="T55" s="1378">
        <f>SUM(T52:T54)</f>
        <v>37</v>
      </c>
      <c r="U55" s="1378">
        <f>SUM(U52:U54)</f>
        <v>52</v>
      </c>
      <c r="V55" s="1379">
        <f>SUM(V52:V54)</f>
        <v>124</v>
      </c>
      <c r="W55" s="1377">
        <f t="shared" ref="W55:AL55" si="116">SUM(W52:W54)</f>
        <v>31</v>
      </c>
      <c r="X55" s="1378">
        <f t="shared" si="116"/>
        <v>50</v>
      </c>
      <c r="Y55" s="1378">
        <f t="shared" si="116"/>
        <v>55</v>
      </c>
      <c r="Z55" s="1378">
        <f t="shared" si="116"/>
        <v>136</v>
      </c>
      <c r="AA55" s="1377">
        <f t="shared" si="116"/>
        <v>39</v>
      </c>
      <c r="AB55" s="1378">
        <f t="shared" si="116"/>
        <v>73</v>
      </c>
      <c r="AC55" s="1378">
        <f t="shared" si="116"/>
        <v>52</v>
      </c>
      <c r="AD55" s="1379">
        <f t="shared" si="116"/>
        <v>164</v>
      </c>
      <c r="AE55" s="1378">
        <f t="shared" si="116"/>
        <v>22</v>
      </c>
      <c r="AF55" s="1378">
        <f t="shared" si="116"/>
        <v>62</v>
      </c>
      <c r="AG55" s="1378">
        <f t="shared" si="116"/>
        <v>53</v>
      </c>
      <c r="AH55" s="1379">
        <f t="shared" si="116"/>
        <v>137</v>
      </c>
      <c r="AI55" s="1378">
        <f t="shared" si="116"/>
        <v>72</v>
      </c>
      <c r="AJ55" s="1378">
        <f t="shared" si="116"/>
        <v>71</v>
      </c>
      <c r="AK55" s="1378">
        <f t="shared" si="116"/>
        <v>62</v>
      </c>
      <c r="AL55" s="1378">
        <f t="shared" si="116"/>
        <v>205</v>
      </c>
      <c r="AM55" s="1380">
        <v>37</v>
      </c>
      <c r="AN55" s="1381">
        <v>61</v>
      </c>
      <c r="AO55" s="1381">
        <v>97</v>
      </c>
      <c r="AP55" s="1381">
        <v>195</v>
      </c>
      <c r="AQ55" s="1380">
        <f t="shared" ref="AQ55:AW55" si="117">SUM(AQ52:AQ54)</f>
        <v>41</v>
      </c>
      <c r="AR55" s="1381">
        <f t="shared" si="117"/>
        <v>69</v>
      </c>
      <c r="AS55" s="1381">
        <f t="shared" si="117"/>
        <v>92</v>
      </c>
      <c r="AT55" s="1382">
        <f t="shared" si="117"/>
        <v>202</v>
      </c>
      <c r="AU55" s="1380">
        <f t="shared" si="117"/>
        <v>64</v>
      </c>
      <c r="AV55" s="1381">
        <f t="shared" si="117"/>
        <v>71</v>
      </c>
      <c r="AW55" s="1381">
        <f t="shared" si="117"/>
        <v>163</v>
      </c>
      <c r="AX55" s="1382">
        <f t="shared" si="83"/>
        <v>298</v>
      </c>
      <c r="AY55" s="1380">
        <f>SUM(AY52:AY54)</f>
        <v>92</v>
      </c>
      <c r="AZ55" s="1381">
        <f>SUM(AZ52:AZ54)</f>
        <v>84</v>
      </c>
      <c r="BA55" s="1381">
        <f>SUM(BA52:BA54)</f>
        <v>90</v>
      </c>
      <c r="BB55" s="1382">
        <f t="shared" si="84"/>
        <v>266</v>
      </c>
      <c r="BC55" s="1380">
        <f t="shared" ref="BC55:CL55" si="118">SUM(BC52:BC54)</f>
        <v>47</v>
      </c>
      <c r="BD55" s="1381">
        <f t="shared" si="118"/>
        <v>38</v>
      </c>
      <c r="BE55" s="1381">
        <f t="shared" si="118"/>
        <v>80</v>
      </c>
      <c r="BF55" s="1382">
        <f t="shared" si="118"/>
        <v>165</v>
      </c>
      <c r="BG55" s="1380">
        <f t="shared" si="118"/>
        <v>74</v>
      </c>
      <c r="BH55" s="1381">
        <f t="shared" si="118"/>
        <v>70</v>
      </c>
      <c r="BI55" s="1381">
        <f t="shared" si="118"/>
        <v>81</v>
      </c>
      <c r="BJ55" s="1382">
        <f t="shared" si="118"/>
        <v>225</v>
      </c>
      <c r="BK55" s="1380">
        <f t="shared" si="118"/>
        <v>48</v>
      </c>
      <c r="BL55" s="1381">
        <f t="shared" si="118"/>
        <v>67</v>
      </c>
      <c r="BM55" s="1381">
        <f t="shared" si="118"/>
        <v>106</v>
      </c>
      <c r="BN55" s="1382">
        <f t="shared" si="118"/>
        <v>221</v>
      </c>
      <c r="BO55" s="1380">
        <f t="shared" si="118"/>
        <v>90</v>
      </c>
      <c r="BP55" s="1381">
        <f t="shared" si="118"/>
        <v>72</v>
      </c>
      <c r="BQ55" s="1381">
        <f t="shared" si="118"/>
        <v>79</v>
      </c>
      <c r="BR55" s="1382">
        <f t="shared" si="118"/>
        <v>241</v>
      </c>
      <c r="BS55" s="1380">
        <f t="shared" si="118"/>
        <v>48</v>
      </c>
      <c r="BT55" s="1381">
        <f t="shared" si="118"/>
        <v>61</v>
      </c>
      <c r="BU55" s="1381">
        <f t="shared" si="118"/>
        <v>92</v>
      </c>
      <c r="BV55" s="1382">
        <f t="shared" si="118"/>
        <v>201</v>
      </c>
      <c r="BW55" s="1380">
        <f t="shared" si="118"/>
        <v>83</v>
      </c>
      <c r="BX55" s="1381">
        <f t="shared" si="118"/>
        <v>79</v>
      </c>
      <c r="BY55" s="1381">
        <f t="shared" si="118"/>
        <v>85</v>
      </c>
      <c r="BZ55" s="1382">
        <f t="shared" si="118"/>
        <v>247</v>
      </c>
      <c r="CA55" s="1380">
        <f t="shared" si="118"/>
        <v>49</v>
      </c>
      <c r="CB55" s="1381">
        <f t="shared" si="118"/>
        <v>83</v>
      </c>
      <c r="CC55" s="1381">
        <f t="shared" si="118"/>
        <v>140</v>
      </c>
      <c r="CD55" s="1382">
        <f t="shared" si="118"/>
        <v>272</v>
      </c>
      <c r="CE55" s="1380">
        <f t="shared" si="118"/>
        <v>92</v>
      </c>
      <c r="CF55" s="1381">
        <f t="shared" si="118"/>
        <v>43</v>
      </c>
      <c r="CG55" s="1381">
        <f t="shared" si="118"/>
        <v>93</v>
      </c>
      <c r="CH55" s="1382">
        <f t="shared" si="118"/>
        <v>228</v>
      </c>
      <c r="CI55" s="1380">
        <f t="shared" si="118"/>
        <v>35</v>
      </c>
      <c r="CJ55" s="1381">
        <f t="shared" si="118"/>
        <v>30</v>
      </c>
      <c r="CK55" s="1381">
        <f t="shared" si="118"/>
        <v>115</v>
      </c>
      <c r="CL55" s="1382">
        <f t="shared" si="118"/>
        <v>180</v>
      </c>
      <c r="CM55" s="1380">
        <f t="shared" ref="CM55:CP55" si="119">SUM(CM52:CM54)</f>
        <v>75</v>
      </c>
      <c r="CN55" s="1381">
        <f t="shared" si="119"/>
        <v>35</v>
      </c>
      <c r="CO55" s="1381">
        <f t="shared" si="119"/>
        <v>82</v>
      </c>
      <c r="CP55" s="1382">
        <f t="shared" si="119"/>
        <v>192</v>
      </c>
      <c r="CQ55" s="1380">
        <f t="shared" ref="CQ55:CT55" si="120">SUM(CQ52:CQ54)</f>
        <v>64</v>
      </c>
      <c r="CR55" s="1381">
        <f t="shared" si="120"/>
        <v>74</v>
      </c>
      <c r="CS55" s="1381">
        <f t="shared" si="120"/>
        <v>65</v>
      </c>
      <c r="CT55" s="1382">
        <f t="shared" si="120"/>
        <v>203</v>
      </c>
    </row>
    <row r="56" spans="1:98" s="1330" customFormat="1" ht="15" customHeight="1" x14ac:dyDescent="0.25">
      <c r="A56" s="1661"/>
      <c r="B56" s="328"/>
      <c r="C56" s="1670"/>
      <c r="D56" s="1670"/>
      <c r="E56" s="1670"/>
      <c r="F56" s="1670"/>
      <c r="G56" s="1670"/>
      <c r="H56" s="1670"/>
      <c r="I56" s="1670"/>
      <c r="J56" s="1670"/>
      <c r="K56" s="1670"/>
      <c r="L56" s="1670"/>
      <c r="M56" s="1670"/>
      <c r="N56" s="1670"/>
      <c r="O56" s="1670"/>
      <c r="P56" s="1670"/>
      <c r="Q56" s="1670"/>
      <c r="R56" s="1670"/>
      <c r="S56" s="1670"/>
      <c r="T56" s="1670"/>
      <c r="U56" s="1670"/>
      <c r="V56" s="1670"/>
      <c r="W56" s="1670"/>
      <c r="X56" s="1670"/>
      <c r="Y56" s="1670"/>
      <c r="Z56" s="1670"/>
      <c r="AA56" s="1670"/>
      <c r="AB56" s="1670"/>
      <c r="AC56" s="1670"/>
      <c r="AD56" s="1670"/>
      <c r="AE56" s="1670"/>
      <c r="AF56" s="1670"/>
      <c r="AG56" s="1670"/>
      <c r="AH56" s="1670"/>
      <c r="AI56" s="1670"/>
      <c r="AJ56" s="1670"/>
      <c r="AK56" s="1670"/>
      <c r="AL56" s="1670"/>
      <c r="AM56" s="1670"/>
      <c r="AN56" s="1670"/>
      <c r="AO56" s="1670"/>
      <c r="AP56" s="1670"/>
      <c r="AQ56" s="1670"/>
      <c r="AR56" s="1670"/>
      <c r="AS56" s="1670"/>
      <c r="AT56" s="1670"/>
      <c r="AU56" s="1670"/>
      <c r="AV56" s="1670"/>
      <c r="AW56" s="1670"/>
      <c r="AX56" s="1670"/>
      <c r="AY56" s="1670"/>
      <c r="AZ56" s="1670"/>
      <c r="BA56" s="1670"/>
      <c r="BB56" s="1670"/>
      <c r="BC56" s="1670"/>
      <c r="BD56" s="1670"/>
      <c r="BE56" s="1670"/>
      <c r="BF56" s="1670"/>
      <c r="BG56" s="1670"/>
      <c r="BH56" s="1670"/>
      <c r="BI56" s="1670"/>
      <c r="BJ56" s="1670"/>
      <c r="BK56" s="1670"/>
      <c r="BL56" s="1670"/>
      <c r="BM56" s="1670"/>
      <c r="BN56" s="1670"/>
      <c r="BO56" s="1670"/>
      <c r="BP56" s="1670"/>
      <c r="BQ56" s="1670"/>
      <c r="BR56" s="1670"/>
      <c r="BS56" s="1670"/>
      <c r="BT56" s="1670"/>
      <c r="BU56" s="1670"/>
      <c r="BV56" s="1670"/>
      <c r="BW56" s="1670"/>
      <c r="BX56" s="1670"/>
      <c r="BY56" s="1670"/>
      <c r="BZ56" s="1670"/>
      <c r="CA56" s="1670"/>
      <c r="CB56" s="1670"/>
      <c r="CC56" s="1670"/>
      <c r="CD56" s="1670"/>
      <c r="CE56" s="1670"/>
      <c r="CF56" s="1670"/>
      <c r="CG56" s="1670"/>
      <c r="CH56" s="1670"/>
      <c r="CI56" s="1670"/>
      <c r="CJ56" s="1670"/>
      <c r="CK56" s="1670"/>
      <c r="CL56" s="1670"/>
      <c r="CM56" s="1670"/>
      <c r="CN56" s="1670"/>
      <c r="CO56" s="1670"/>
      <c r="CP56" s="1670"/>
      <c r="CQ56" s="1670"/>
      <c r="CR56" s="1670"/>
      <c r="CS56" s="1670"/>
      <c r="CT56" s="1670"/>
    </row>
    <row r="57" spans="1:98" s="1330" customFormat="1" ht="15" customHeight="1" x14ac:dyDescent="0.25">
      <c r="A57" s="1661"/>
      <c r="B57" s="1334" t="s">
        <v>308</v>
      </c>
      <c r="C57" s="1258"/>
      <c r="D57" s="1259"/>
      <c r="E57" s="1259"/>
      <c r="F57" s="1260"/>
      <c r="G57" s="1258"/>
      <c r="H57" s="1259"/>
      <c r="I57" s="1259"/>
      <c r="J57" s="1260"/>
      <c r="K57" s="1258"/>
      <c r="L57" s="1259"/>
      <c r="M57" s="1259"/>
      <c r="N57" s="1260"/>
      <c r="O57" s="1258"/>
      <c r="P57" s="1259"/>
      <c r="Q57" s="1259"/>
      <c r="R57" s="1260"/>
      <c r="S57" s="1258"/>
      <c r="T57" s="1259"/>
      <c r="U57" s="1259"/>
      <c r="V57" s="1260"/>
      <c r="W57" s="1258"/>
      <c r="X57" s="1259"/>
      <c r="Y57" s="1259"/>
      <c r="Z57" s="1298"/>
      <c r="AA57" s="1258"/>
      <c r="AB57" s="1259"/>
      <c r="AC57" s="1259"/>
      <c r="AD57" s="1260"/>
      <c r="AE57" s="1259"/>
      <c r="AF57" s="1259"/>
      <c r="AG57" s="1259"/>
      <c r="AH57" s="1260"/>
      <c r="AI57" s="1259"/>
      <c r="AJ57" s="1259"/>
      <c r="AK57" s="1259"/>
      <c r="AL57" s="1298"/>
      <c r="AM57" s="151"/>
      <c r="AN57" s="152"/>
      <c r="AO57" s="152"/>
      <c r="AP57" s="395"/>
      <c r="AQ57" s="151"/>
      <c r="AR57" s="152"/>
      <c r="AS57" s="152"/>
      <c r="AT57" s="395"/>
      <c r="AU57" s="151"/>
      <c r="AV57" s="152"/>
      <c r="AW57" s="152"/>
      <c r="AX57" s="395"/>
      <c r="AY57" s="151"/>
      <c r="AZ57" s="152"/>
      <c r="BA57" s="152"/>
      <c r="BB57" s="395"/>
      <c r="BC57" s="151"/>
      <c r="BD57" s="152"/>
      <c r="BE57" s="152"/>
      <c r="BF57" s="395"/>
      <c r="BG57" s="151"/>
      <c r="BH57" s="152"/>
      <c r="BI57" s="152"/>
      <c r="BJ57" s="395">
        <f>SUM(BG57:BI57)</f>
        <v>0</v>
      </c>
      <c r="BK57" s="151"/>
      <c r="BL57" s="152"/>
      <c r="BM57" s="152"/>
      <c r="BN57" s="395">
        <f>SUM(BK57:BM57)</f>
        <v>0</v>
      </c>
      <c r="BO57" s="151"/>
      <c r="BP57" s="152"/>
      <c r="BQ57" s="152"/>
      <c r="BR57" s="395">
        <f>SUM(BO57:BQ57)</f>
        <v>0</v>
      </c>
      <c r="BS57" s="151"/>
      <c r="BT57" s="152"/>
      <c r="BU57" s="152"/>
      <c r="BV57" s="395">
        <f>SUM(BS57:BU57)</f>
        <v>0</v>
      </c>
      <c r="BW57" s="151"/>
      <c r="BX57" s="152"/>
      <c r="BY57" s="152"/>
      <c r="BZ57" s="395">
        <f>SUM(BW57:BY57)</f>
        <v>0</v>
      </c>
      <c r="CA57" s="151"/>
      <c r="CB57" s="152"/>
      <c r="CC57" s="152"/>
      <c r="CD57" s="395">
        <f>SUM(CA57:CC57)</f>
        <v>0</v>
      </c>
      <c r="CE57" s="151"/>
      <c r="CF57" s="152"/>
      <c r="CG57" s="152"/>
      <c r="CH57" s="395">
        <f>SUM(CE57:CG57)</f>
        <v>0</v>
      </c>
      <c r="CI57" s="151"/>
      <c r="CJ57" s="152"/>
      <c r="CK57" s="152"/>
      <c r="CL57" s="395">
        <f>SUM(CI57:CK57)</f>
        <v>0</v>
      </c>
      <c r="CM57" s="151"/>
      <c r="CN57" s="152"/>
      <c r="CO57" s="152"/>
      <c r="CP57" s="395">
        <f>SUM(CM57:CO57)</f>
        <v>0</v>
      </c>
      <c r="CQ57" s="151"/>
      <c r="CR57" s="152"/>
      <c r="CS57" s="152"/>
      <c r="CT57" s="395">
        <f>SUM(CQ57:CS57)</f>
        <v>0</v>
      </c>
    </row>
    <row r="58" spans="1:98" s="1330" customFormat="1" ht="15" customHeight="1" x14ac:dyDescent="0.25">
      <c r="A58" s="1661"/>
      <c r="B58" s="1336" t="s">
        <v>310</v>
      </c>
      <c r="C58" s="1262"/>
      <c r="D58" s="1263"/>
      <c r="E58" s="1263"/>
      <c r="F58" s="1264"/>
      <c r="G58" s="1262"/>
      <c r="H58" s="1263"/>
      <c r="I58" s="1263"/>
      <c r="J58" s="1264"/>
      <c r="K58" s="1262"/>
      <c r="L58" s="1263"/>
      <c r="M58" s="1263"/>
      <c r="N58" s="1264"/>
      <c r="O58" s="1262"/>
      <c r="P58" s="1263"/>
      <c r="Q58" s="1263"/>
      <c r="R58" s="1264"/>
      <c r="S58" s="1262"/>
      <c r="T58" s="1263"/>
      <c r="U58" s="1263"/>
      <c r="V58" s="1264"/>
      <c r="W58" s="1262"/>
      <c r="X58" s="1263"/>
      <c r="Y58" s="1263"/>
      <c r="Z58" s="1337"/>
      <c r="AA58" s="1262"/>
      <c r="AB58" s="1263"/>
      <c r="AC58" s="1263"/>
      <c r="AD58" s="1264"/>
      <c r="AE58" s="1263"/>
      <c r="AF58" s="1263"/>
      <c r="AG58" s="1263"/>
      <c r="AH58" s="1264"/>
      <c r="AI58" s="1263"/>
      <c r="AJ58" s="1263"/>
      <c r="AK58" s="1263"/>
      <c r="AL58" s="1337"/>
      <c r="AM58" s="129"/>
      <c r="AN58" s="130"/>
      <c r="AO58" s="130"/>
      <c r="AP58" s="396"/>
      <c r="AQ58" s="129"/>
      <c r="AR58" s="130"/>
      <c r="AS58" s="130"/>
      <c r="AT58" s="396"/>
      <c r="AU58" s="129"/>
      <c r="AV58" s="130"/>
      <c r="AW58" s="130"/>
      <c r="AX58" s="396"/>
      <c r="AY58" s="129"/>
      <c r="AZ58" s="130"/>
      <c r="BA58" s="130"/>
      <c r="BB58" s="396"/>
      <c r="BC58" s="129"/>
      <c r="BD58" s="130"/>
      <c r="BE58" s="130"/>
      <c r="BF58" s="396"/>
      <c r="BG58" s="129">
        <f>SUM('EGRESO-POS plan'!BH145:BH146)</f>
        <v>5</v>
      </c>
      <c r="BH58" s="130">
        <f>SUM('EGRESO-POS plan'!BI145:BI146)</f>
        <v>3</v>
      </c>
      <c r="BI58" s="130">
        <f>SUM('EGRESO-POS plan'!BJ145:BJ146)</f>
        <v>2</v>
      </c>
      <c r="BJ58" s="396">
        <f>SUM(BG58:BI58)</f>
        <v>10</v>
      </c>
      <c r="BK58" s="129">
        <f>SUM('EGRESO-POS plan'!BL145)</f>
        <v>3</v>
      </c>
      <c r="BL58" s="130">
        <f>SUM('EGRESO-POS plan'!BM145)</f>
        <v>1</v>
      </c>
      <c r="BM58" s="130">
        <f>SUM('EGRESO-POS plan'!BN145)</f>
        <v>2</v>
      </c>
      <c r="BN58" s="396">
        <f>SUM(BK58:BM58)</f>
        <v>6</v>
      </c>
      <c r="BO58" s="129">
        <f>SUM('EGRESO-POS plan'!BP145)</f>
        <v>3</v>
      </c>
      <c r="BP58" s="130">
        <f>SUM('EGRESO-POS plan'!BQ145)</f>
        <v>1</v>
      </c>
      <c r="BQ58" s="130">
        <f>SUM('EGRESO-POS plan'!BR145)</f>
        <v>5</v>
      </c>
      <c r="BR58" s="396">
        <f>SUM(BO58:BQ58)</f>
        <v>9</v>
      </c>
      <c r="BS58" s="129">
        <f>SUM('EGRESO-POS plan'!BT145)</f>
        <v>1</v>
      </c>
      <c r="BT58" s="130">
        <f>SUM('EGRESO-POS plan'!BU145)</f>
        <v>2</v>
      </c>
      <c r="BU58" s="130">
        <f>SUM('EGRESO-POS plan'!BV145)</f>
        <v>4</v>
      </c>
      <c r="BV58" s="396">
        <f>SUM(BS58:BU58)</f>
        <v>7</v>
      </c>
      <c r="BW58" s="129">
        <f>SUM('EGRESO-POS plan'!BX145)</f>
        <v>8</v>
      </c>
      <c r="BX58" s="130">
        <f>SUM('EGRESO-POS plan'!BY145)</f>
        <v>0</v>
      </c>
      <c r="BY58" s="130">
        <f>SUM('EGRESO-POS plan'!BZ145)</f>
        <v>4</v>
      </c>
      <c r="BZ58" s="396">
        <f>SUM(BW58:BY58)</f>
        <v>12</v>
      </c>
      <c r="CA58" s="129">
        <f>SUM('EGRESO-POS plan'!CB145)</f>
        <v>4</v>
      </c>
      <c r="CB58" s="130">
        <f>SUM('EGRESO-POS plan'!CC145)</f>
        <v>3</v>
      </c>
      <c r="CC58" s="130">
        <f>SUM('EGRESO-POS plan'!CD145)</f>
        <v>2</v>
      </c>
      <c r="CD58" s="396">
        <f>SUM(CA58:CC58)</f>
        <v>9</v>
      </c>
      <c r="CE58" s="129">
        <f>SUM('EGRESO-POS plan'!CF145)</f>
        <v>6</v>
      </c>
      <c r="CF58" s="130">
        <f>SUM('EGRESO-POS plan'!CG145)</f>
        <v>5</v>
      </c>
      <c r="CG58" s="130">
        <f>SUM('EGRESO-POS plan'!CH145)</f>
        <v>2</v>
      </c>
      <c r="CH58" s="396">
        <f>SUM(CE58:CG58)</f>
        <v>13</v>
      </c>
      <c r="CI58" s="129">
        <f>SUM('EGRESO-POS plan'!CJ145)</f>
        <v>0</v>
      </c>
      <c r="CJ58" s="130">
        <f>SUM('EGRESO-POS plan'!CK145)</f>
        <v>5</v>
      </c>
      <c r="CK58" s="130">
        <f>SUM('EGRESO-POS plan'!CL145)</f>
        <v>3</v>
      </c>
      <c r="CL58" s="396">
        <f>SUM(CI58:CK58)</f>
        <v>8</v>
      </c>
      <c r="CM58" s="129">
        <f>SUM('EGRESO-POS plan'!CN145)</f>
        <v>1</v>
      </c>
      <c r="CN58" s="130">
        <f>SUM('EGRESO-POS plan'!CO145)</f>
        <v>0</v>
      </c>
      <c r="CO58" s="130">
        <f>SUM('EGRESO-POS plan'!CP145)</f>
        <v>2</v>
      </c>
      <c r="CP58" s="396">
        <f>SUM(CM58:CO58)</f>
        <v>3</v>
      </c>
      <c r="CQ58" s="129">
        <f>SUM('EGRESO-POS plan'!CR145)</f>
        <v>1</v>
      </c>
      <c r="CR58" s="130">
        <f>SUM('EGRESO-POS plan'!CS145)</f>
        <v>3</v>
      </c>
      <c r="CS58" s="130">
        <f>SUM('EGRESO-POS plan'!CT145)</f>
        <v>1</v>
      </c>
      <c r="CT58" s="396">
        <f>SUM(CQ58:CS58)</f>
        <v>5</v>
      </c>
    </row>
    <row r="59" spans="1:98" s="1330" customFormat="1" ht="15" customHeight="1" x14ac:dyDescent="0.25">
      <c r="A59" s="1661"/>
      <c r="B59" s="1339" t="s">
        <v>317</v>
      </c>
      <c r="C59" s="1262"/>
      <c r="D59" s="1263"/>
      <c r="E59" s="1263"/>
      <c r="F59" s="1264"/>
      <c r="G59" s="1262"/>
      <c r="H59" s="1263"/>
      <c r="I59" s="1263"/>
      <c r="J59" s="1264"/>
      <c r="K59" s="1262"/>
      <c r="L59" s="1263"/>
      <c r="M59" s="1263"/>
      <c r="N59" s="1264"/>
      <c r="O59" s="1262"/>
      <c r="P59" s="1263"/>
      <c r="Q59" s="1263"/>
      <c r="R59" s="1264"/>
      <c r="S59" s="1262"/>
      <c r="T59" s="1263"/>
      <c r="U59" s="1263"/>
      <c r="V59" s="1264"/>
      <c r="W59" s="1262"/>
      <c r="X59" s="1263"/>
      <c r="Y59" s="1263"/>
      <c r="Z59" s="1337"/>
      <c r="AA59" s="1262"/>
      <c r="AB59" s="1263"/>
      <c r="AC59" s="1263"/>
      <c r="AD59" s="1264"/>
      <c r="AE59" s="1263"/>
      <c r="AF59" s="1263"/>
      <c r="AG59" s="1263"/>
      <c r="AH59" s="1264"/>
      <c r="AI59" s="1263"/>
      <c r="AJ59" s="1263"/>
      <c r="AK59" s="1263"/>
      <c r="AL59" s="1337"/>
      <c r="AM59" s="129"/>
      <c r="AN59" s="130"/>
      <c r="AO59" s="130"/>
      <c r="AP59" s="396"/>
      <c r="AQ59" s="129"/>
      <c r="AR59" s="130"/>
      <c r="AS59" s="130"/>
      <c r="AT59" s="396"/>
      <c r="AU59" s="129"/>
      <c r="AV59" s="130"/>
      <c r="AW59" s="130"/>
      <c r="AX59" s="396"/>
      <c r="AY59" s="129"/>
      <c r="AZ59" s="130"/>
      <c r="BA59" s="130"/>
      <c r="BB59" s="396"/>
      <c r="BC59" s="129"/>
      <c r="BD59" s="130"/>
      <c r="BE59" s="130"/>
      <c r="BF59" s="396"/>
      <c r="BG59" s="129"/>
      <c r="BH59" s="130"/>
      <c r="BI59" s="130"/>
      <c r="BJ59" s="396">
        <f>SUM(BG59:BI59)</f>
        <v>0</v>
      </c>
      <c r="BK59" s="129">
        <f>SUM('EGRESO-POS plan'!BL146)</f>
        <v>0</v>
      </c>
      <c r="BL59" s="130">
        <f>SUM('EGRESO-POS plan'!BM146)</f>
        <v>1</v>
      </c>
      <c r="BM59" s="130">
        <f>SUM('EGRESO-POS plan'!BN146)</f>
        <v>1</v>
      </c>
      <c r="BN59" s="396">
        <f>SUM(BK59:BM59)</f>
        <v>2</v>
      </c>
      <c r="BO59" s="129">
        <f>SUM('EGRESO-POS plan'!BP146)</f>
        <v>0</v>
      </c>
      <c r="BP59" s="130">
        <f>SUM('EGRESO-POS plan'!BQ146)</f>
        <v>1</v>
      </c>
      <c r="BQ59" s="130">
        <f>SUM('EGRESO-POS plan'!BR146)</f>
        <v>0</v>
      </c>
      <c r="BR59" s="396">
        <f>SUM(BO59:BQ59)</f>
        <v>1</v>
      </c>
      <c r="BS59" s="129">
        <f>SUM('EGRESO-POS plan'!BT146)</f>
        <v>2</v>
      </c>
      <c r="BT59" s="130">
        <f>SUM('EGRESO-POS plan'!BU146)</f>
        <v>1</v>
      </c>
      <c r="BU59" s="130">
        <f>SUM('EGRESO-POS plan'!BV146)</f>
        <v>2</v>
      </c>
      <c r="BV59" s="396">
        <f>SUM(BS59:BU59)</f>
        <v>5</v>
      </c>
      <c r="BW59" s="129">
        <f>SUM('EGRESO-POS plan'!BX146)</f>
        <v>5</v>
      </c>
      <c r="BX59" s="130">
        <f>SUM('EGRESO-POS plan'!BY146)</f>
        <v>1</v>
      </c>
      <c r="BY59" s="130">
        <f>SUM('EGRESO-POS plan'!BZ146)</f>
        <v>3</v>
      </c>
      <c r="BZ59" s="396">
        <f>SUM(BW59:BY59)</f>
        <v>9</v>
      </c>
      <c r="CA59" s="129">
        <f>SUM('EGRESO-POS plan'!CB146)</f>
        <v>3</v>
      </c>
      <c r="CB59" s="130">
        <f>SUM('EGRESO-POS plan'!CC146)</f>
        <v>4</v>
      </c>
      <c r="CC59" s="130">
        <f>SUM('EGRESO-POS plan'!CD146)</f>
        <v>0</v>
      </c>
      <c r="CD59" s="396">
        <f>SUM(CA59:CC59)</f>
        <v>7</v>
      </c>
      <c r="CE59" s="129">
        <f>SUM('EGRESO-POS plan'!CF146)</f>
        <v>2</v>
      </c>
      <c r="CF59" s="130">
        <f>SUM('EGRESO-POS plan'!CG146)</f>
        <v>1</v>
      </c>
      <c r="CG59" s="130">
        <f>SUM('EGRESO-POS plan'!CH146)</f>
        <v>2</v>
      </c>
      <c r="CH59" s="396">
        <f>SUM(CE59:CG59)</f>
        <v>5</v>
      </c>
      <c r="CI59" s="129">
        <f>SUM('EGRESO-POS plan'!CJ146)</f>
        <v>0</v>
      </c>
      <c r="CJ59" s="130">
        <f>SUM('EGRESO-POS plan'!CK146)</f>
        <v>0</v>
      </c>
      <c r="CK59" s="130">
        <f>SUM('EGRESO-POS plan'!CL146)</f>
        <v>3</v>
      </c>
      <c r="CL59" s="396">
        <f>SUM(CI59:CK59)</f>
        <v>3</v>
      </c>
      <c r="CM59" s="129">
        <f>SUM('EGRESO-POS plan'!CN146)</f>
        <v>2</v>
      </c>
      <c r="CN59" s="130">
        <f>SUM('EGRESO-POS plan'!CO146)</f>
        <v>1</v>
      </c>
      <c r="CO59" s="130">
        <f>SUM('EGRESO-POS plan'!CP146)</f>
        <v>1</v>
      </c>
      <c r="CP59" s="396">
        <f>SUM(CM59:CO59)</f>
        <v>4</v>
      </c>
      <c r="CQ59" s="129">
        <f>SUM('EGRESO-POS plan'!CR146)</f>
        <v>4</v>
      </c>
      <c r="CR59" s="130">
        <f>SUM('EGRESO-POS plan'!CS146)</f>
        <v>2</v>
      </c>
      <c r="CS59" s="130">
        <f>SUM('EGRESO-POS plan'!CT146)</f>
        <v>1</v>
      </c>
      <c r="CT59" s="396">
        <f>SUM(CQ59:CS59)</f>
        <v>7</v>
      </c>
    </row>
    <row r="60" spans="1:98" s="1330" customFormat="1" ht="15" customHeight="1" x14ac:dyDescent="0.25">
      <c r="A60" s="1661"/>
      <c r="B60" s="1342" t="s">
        <v>64</v>
      </c>
      <c r="C60" s="1662"/>
      <c r="D60" s="1663"/>
      <c r="E60" s="1663"/>
      <c r="F60" s="1310"/>
      <c r="G60" s="1662"/>
      <c r="H60" s="1663"/>
      <c r="I60" s="1663"/>
      <c r="J60" s="1310"/>
      <c r="K60" s="1662"/>
      <c r="L60" s="1663"/>
      <c r="M60" s="1663"/>
      <c r="N60" s="1310"/>
      <c r="O60" s="1662"/>
      <c r="P60" s="1663"/>
      <c r="Q60" s="1663"/>
      <c r="R60" s="1310"/>
      <c r="S60" s="1662"/>
      <c r="T60" s="1663"/>
      <c r="U60" s="1663"/>
      <c r="V60" s="1310"/>
      <c r="W60" s="1662"/>
      <c r="X60" s="1663"/>
      <c r="Y60" s="1663"/>
      <c r="Z60" s="1663"/>
      <c r="AA60" s="1662"/>
      <c r="AB60" s="1663"/>
      <c r="AC60" s="1663"/>
      <c r="AD60" s="1310"/>
      <c r="AE60" s="1663"/>
      <c r="AF60" s="1663"/>
      <c r="AG60" s="1663"/>
      <c r="AH60" s="1310"/>
      <c r="AI60" s="1663"/>
      <c r="AJ60" s="1663"/>
      <c r="AK60" s="1663"/>
      <c r="AL60" s="1663"/>
      <c r="AM60" s="630"/>
      <c r="AN60" s="1664"/>
      <c r="AO60" s="1664"/>
      <c r="AP60" s="1664"/>
      <c r="AQ60" s="630"/>
      <c r="AR60" s="1664"/>
      <c r="AS60" s="1664"/>
      <c r="AT60" s="1665"/>
      <c r="AU60" s="630"/>
      <c r="AV60" s="1664"/>
      <c r="AW60" s="1664"/>
      <c r="AX60" s="1665"/>
      <c r="AY60" s="630"/>
      <c r="AZ60" s="1664"/>
      <c r="BA60" s="1664"/>
      <c r="BB60" s="1665"/>
      <c r="BC60" s="630"/>
      <c r="BD60" s="1664"/>
      <c r="BE60" s="1664"/>
      <c r="BF60" s="1665"/>
      <c r="BG60" s="630">
        <f t="shared" ref="BG60:CL60" si="121">SUM(BG57:BG59)</f>
        <v>5</v>
      </c>
      <c r="BH60" s="1664">
        <f t="shared" si="121"/>
        <v>3</v>
      </c>
      <c r="BI60" s="1664">
        <f t="shared" si="121"/>
        <v>2</v>
      </c>
      <c r="BJ60" s="1665">
        <f t="shared" si="121"/>
        <v>10</v>
      </c>
      <c r="BK60" s="630">
        <f t="shared" si="121"/>
        <v>3</v>
      </c>
      <c r="BL60" s="1664">
        <f t="shared" si="121"/>
        <v>2</v>
      </c>
      <c r="BM60" s="1664">
        <f t="shared" si="121"/>
        <v>3</v>
      </c>
      <c r="BN60" s="1665">
        <f t="shared" si="121"/>
        <v>8</v>
      </c>
      <c r="BO60" s="630">
        <f t="shared" si="121"/>
        <v>3</v>
      </c>
      <c r="BP60" s="1664">
        <f t="shared" si="121"/>
        <v>2</v>
      </c>
      <c r="BQ60" s="1664">
        <f t="shared" si="121"/>
        <v>5</v>
      </c>
      <c r="BR60" s="1665">
        <f t="shared" si="121"/>
        <v>10</v>
      </c>
      <c r="BS60" s="630">
        <f t="shared" si="121"/>
        <v>3</v>
      </c>
      <c r="BT60" s="1664">
        <f t="shared" si="121"/>
        <v>3</v>
      </c>
      <c r="BU60" s="1664">
        <f t="shared" si="121"/>
        <v>6</v>
      </c>
      <c r="BV60" s="1665">
        <f t="shared" si="121"/>
        <v>12</v>
      </c>
      <c r="BW60" s="630">
        <f t="shared" si="121"/>
        <v>13</v>
      </c>
      <c r="BX60" s="1664">
        <f t="shared" si="121"/>
        <v>1</v>
      </c>
      <c r="BY60" s="1664">
        <f t="shared" si="121"/>
        <v>7</v>
      </c>
      <c r="BZ60" s="1665">
        <f t="shared" si="121"/>
        <v>21</v>
      </c>
      <c r="CA60" s="630">
        <f t="shared" si="121"/>
        <v>7</v>
      </c>
      <c r="CB60" s="1664">
        <f t="shared" si="121"/>
        <v>7</v>
      </c>
      <c r="CC60" s="1664">
        <f t="shared" si="121"/>
        <v>2</v>
      </c>
      <c r="CD60" s="1665">
        <f t="shared" si="121"/>
        <v>16</v>
      </c>
      <c r="CE60" s="630">
        <f t="shared" si="121"/>
        <v>8</v>
      </c>
      <c r="CF60" s="1664">
        <f t="shared" si="121"/>
        <v>6</v>
      </c>
      <c r="CG60" s="1664">
        <f t="shared" si="121"/>
        <v>4</v>
      </c>
      <c r="CH60" s="1665">
        <f t="shared" si="121"/>
        <v>18</v>
      </c>
      <c r="CI60" s="630">
        <f t="shared" si="121"/>
        <v>0</v>
      </c>
      <c r="CJ60" s="1664">
        <f t="shared" si="121"/>
        <v>5</v>
      </c>
      <c r="CK60" s="1664">
        <f t="shared" si="121"/>
        <v>6</v>
      </c>
      <c r="CL60" s="1665">
        <f t="shared" si="121"/>
        <v>11</v>
      </c>
      <c r="CM60" s="630">
        <f t="shared" ref="CM60:CP60" si="122">SUM(CM57:CM59)</f>
        <v>3</v>
      </c>
      <c r="CN60" s="1664">
        <f t="shared" si="122"/>
        <v>1</v>
      </c>
      <c r="CO60" s="1664">
        <f t="shared" si="122"/>
        <v>3</v>
      </c>
      <c r="CP60" s="1665">
        <f t="shared" si="122"/>
        <v>7</v>
      </c>
      <c r="CQ60" s="630">
        <f t="shared" ref="CQ60:CT60" si="123">SUM(CQ57:CQ59)</f>
        <v>5</v>
      </c>
      <c r="CR60" s="1664">
        <f t="shared" si="123"/>
        <v>5</v>
      </c>
      <c r="CS60" s="1664">
        <f t="shared" si="123"/>
        <v>2</v>
      </c>
      <c r="CT60" s="1665">
        <f t="shared" si="123"/>
        <v>12</v>
      </c>
    </row>
    <row r="61" spans="1:98" s="1330" customFormat="1" ht="15" customHeight="1" x14ac:dyDescent="0.25">
      <c r="A61" s="1661"/>
      <c r="B61" s="1334" t="s">
        <v>308</v>
      </c>
      <c r="C61" s="1276"/>
      <c r="D61" s="1279"/>
      <c r="E61" s="1279"/>
      <c r="F61" s="1278"/>
      <c r="G61" s="1276"/>
      <c r="H61" s="1279"/>
      <c r="I61" s="1279"/>
      <c r="J61" s="1278"/>
      <c r="K61" s="1276"/>
      <c r="L61" s="1279"/>
      <c r="M61" s="1279"/>
      <c r="N61" s="1278"/>
      <c r="O61" s="1276"/>
      <c r="P61" s="1279"/>
      <c r="Q61" s="1279"/>
      <c r="R61" s="1278"/>
      <c r="S61" s="1276"/>
      <c r="T61" s="1279"/>
      <c r="U61" s="1279"/>
      <c r="V61" s="1278"/>
      <c r="W61" s="1276"/>
      <c r="X61" s="1279"/>
      <c r="Y61" s="1279"/>
      <c r="Z61" s="1666"/>
      <c r="AA61" s="1276"/>
      <c r="AB61" s="1279"/>
      <c r="AC61" s="1279"/>
      <c r="AD61" s="1278"/>
      <c r="AE61" s="1279"/>
      <c r="AF61" s="1279"/>
      <c r="AG61" s="1279"/>
      <c r="AH61" s="1278"/>
      <c r="AI61" s="1279"/>
      <c r="AJ61" s="1279"/>
      <c r="AK61" s="1279"/>
      <c r="AL61" s="1666"/>
      <c r="AM61" s="1398"/>
      <c r="AN61" s="1399"/>
      <c r="AO61" s="1399"/>
      <c r="AP61" s="1400"/>
      <c r="AQ61" s="1398"/>
      <c r="AR61" s="1399"/>
      <c r="AS61" s="1399"/>
      <c r="AT61" s="1400"/>
      <c r="AU61" s="1398"/>
      <c r="AV61" s="1399"/>
      <c r="AW61" s="1399"/>
      <c r="AX61" s="1400"/>
      <c r="AY61" s="1398"/>
      <c r="AZ61" s="1399"/>
      <c r="BA61" s="1399"/>
      <c r="BB61" s="1400"/>
      <c r="BC61" s="151"/>
      <c r="BD61" s="152"/>
      <c r="BE61" s="152"/>
      <c r="BF61" s="395"/>
      <c r="BG61" s="151"/>
      <c r="BH61" s="152"/>
      <c r="BI61" s="152"/>
      <c r="BJ61" s="395">
        <f>SUM(BG61:BI61)</f>
        <v>0</v>
      </c>
      <c r="BK61" s="151"/>
      <c r="BL61" s="152"/>
      <c r="BM61" s="152"/>
      <c r="BN61" s="395">
        <f>SUM(BK61:BM61)</f>
        <v>0</v>
      </c>
      <c r="BO61" s="151"/>
      <c r="BP61" s="152"/>
      <c r="BQ61" s="152"/>
      <c r="BR61" s="395">
        <f>SUM(BO61:BQ61)</f>
        <v>0</v>
      </c>
      <c r="BS61" s="151"/>
      <c r="BT61" s="152"/>
      <c r="BU61" s="152"/>
      <c r="BV61" s="395">
        <f>SUM(BS61:BU61)</f>
        <v>0</v>
      </c>
      <c r="BW61" s="151"/>
      <c r="BX61" s="152"/>
      <c r="BY61" s="152"/>
      <c r="BZ61" s="395">
        <f>SUM(BW61:BY61)</f>
        <v>0</v>
      </c>
      <c r="CA61" s="151"/>
      <c r="CB61" s="152"/>
      <c r="CC61" s="152"/>
      <c r="CD61" s="395">
        <f>SUM(CA61:CC61)</f>
        <v>0</v>
      </c>
      <c r="CE61" s="151"/>
      <c r="CF61" s="152"/>
      <c r="CG61" s="152"/>
      <c r="CH61" s="395">
        <f>SUM(CE61:CG61)</f>
        <v>0</v>
      </c>
      <c r="CI61" s="151"/>
      <c r="CJ61" s="152"/>
      <c r="CK61" s="152"/>
      <c r="CL61" s="395">
        <f>SUM(CI61:CK61)</f>
        <v>0</v>
      </c>
      <c r="CM61" s="151"/>
      <c r="CN61" s="152"/>
      <c r="CO61" s="152"/>
      <c r="CP61" s="395">
        <f>SUM(CM61:CO61)</f>
        <v>0</v>
      </c>
      <c r="CQ61" s="151"/>
      <c r="CR61" s="152"/>
      <c r="CS61" s="152"/>
      <c r="CT61" s="395">
        <f>SUM(CQ61:CS61)</f>
        <v>0</v>
      </c>
    </row>
    <row r="62" spans="1:98" s="1330" customFormat="1" ht="15" customHeight="1" x14ac:dyDescent="0.25">
      <c r="A62" s="1661"/>
      <c r="B62" s="1336" t="s">
        <v>310</v>
      </c>
      <c r="C62" s="1262"/>
      <c r="D62" s="1263"/>
      <c r="E62" s="1263"/>
      <c r="F62" s="1264"/>
      <c r="G62" s="1262"/>
      <c r="H62" s="1263"/>
      <c r="I62" s="1263"/>
      <c r="J62" s="1264"/>
      <c r="K62" s="1262"/>
      <c r="L62" s="1263"/>
      <c r="M62" s="1263"/>
      <c r="N62" s="1264"/>
      <c r="O62" s="1262"/>
      <c r="P62" s="1263"/>
      <c r="Q62" s="1263"/>
      <c r="R62" s="1264"/>
      <c r="S62" s="1262"/>
      <c r="T62" s="1263"/>
      <c r="U62" s="1263"/>
      <c r="V62" s="1264"/>
      <c r="W62" s="1262"/>
      <c r="X62" s="1263"/>
      <c r="Y62" s="1263"/>
      <c r="Z62" s="1337"/>
      <c r="AA62" s="1262"/>
      <c r="AB62" s="1263"/>
      <c r="AC62" s="1263"/>
      <c r="AD62" s="1264"/>
      <c r="AE62" s="1263"/>
      <c r="AF62" s="1263"/>
      <c r="AG62" s="1263"/>
      <c r="AH62" s="1264"/>
      <c r="AI62" s="1263"/>
      <c r="AJ62" s="1263"/>
      <c r="AK62" s="1263"/>
      <c r="AL62" s="1337"/>
      <c r="AM62" s="129"/>
      <c r="AN62" s="130"/>
      <c r="AO62" s="130"/>
      <c r="AP62" s="396"/>
      <c r="AQ62" s="129"/>
      <c r="AR62" s="130"/>
      <c r="AS62" s="130"/>
      <c r="AT62" s="396"/>
      <c r="AU62" s="129"/>
      <c r="AV62" s="130"/>
      <c r="AW62" s="130"/>
      <c r="AX62" s="396"/>
      <c r="AY62" s="129"/>
      <c r="AZ62" s="130"/>
      <c r="BA62" s="130"/>
      <c r="BB62" s="396"/>
      <c r="BC62" s="129"/>
      <c r="BD62" s="130"/>
      <c r="BE62" s="130"/>
      <c r="BF62" s="396"/>
      <c r="BG62" s="129"/>
      <c r="BH62" s="130"/>
      <c r="BI62" s="130"/>
      <c r="BJ62" s="396">
        <f>SUM(BG62:BI62)</f>
        <v>0</v>
      </c>
      <c r="BK62" s="129"/>
      <c r="BL62" s="130"/>
      <c r="BM62" s="130">
        <f>SUM('EGRESO-POS plan'!BN148)</f>
        <v>8</v>
      </c>
      <c r="BN62" s="396">
        <f>SUM(BK62:BM62)</f>
        <v>8</v>
      </c>
      <c r="BO62" s="129"/>
      <c r="BP62" s="130"/>
      <c r="BQ62" s="130">
        <f>SUM('EGRESO-POS plan'!BR148)</f>
        <v>11</v>
      </c>
      <c r="BR62" s="396">
        <f>SUM(BO62:BQ62)</f>
        <v>11</v>
      </c>
      <c r="BS62" s="130">
        <f>SUM('EGRESO-POS plan'!BT148)</f>
        <v>0</v>
      </c>
      <c r="BT62" s="130">
        <f>SUM('EGRESO-POS plan'!BU148)</f>
        <v>3</v>
      </c>
      <c r="BU62" s="130">
        <f>SUM('EGRESO-POS plan'!BV148)</f>
        <v>15</v>
      </c>
      <c r="BV62" s="396">
        <f>SUM(BS62:BU62)</f>
        <v>18</v>
      </c>
      <c r="BW62" s="130">
        <f>SUM('EGRESO-POS plan'!BX148)</f>
        <v>0</v>
      </c>
      <c r="BX62" s="130">
        <f>SUM('EGRESO-POS plan'!BY148)</f>
        <v>0</v>
      </c>
      <c r="BY62" s="130">
        <f>SUM('EGRESO-POS plan'!BZ148)</f>
        <v>7</v>
      </c>
      <c r="BZ62" s="396">
        <f>SUM(BW62:BY62)</f>
        <v>7</v>
      </c>
      <c r="CA62" s="130">
        <f>SUM('EGRESO-POS plan'!CB148)</f>
        <v>0</v>
      </c>
      <c r="CB62" s="130">
        <f>SUM('EGRESO-POS plan'!CC148)</f>
        <v>0</v>
      </c>
      <c r="CC62" s="130">
        <f>SUM('EGRESO-POS plan'!CD148)</f>
        <v>0</v>
      </c>
      <c r="CD62" s="396">
        <f>SUM(CA62:CC62)</f>
        <v>0</v>
      </c>
      <c r="CE62" s="130">
        <f>SUM('EGRESO-POS plan'!CF148)</f>
        <v>8</v>
      </c>
      <c r="CF62" s="130">
        <f>SUM('EGRESO-POS plan'!CG148)</f>
        <v>7</v>
      </c>
      <c r="CG62" s="130">
        <f>SUM('EGRESO-POS plan'!CH148)</f>
        <v>0</v>
      </c>
      <c r="CH62" s="396">
        <f>SUM(CE62:CG62)</f>
        <v>15</v>
      </c>
      <c r="CI62" s="130">
        <f>SUM('EGRESO-POS plan'!CJ148)</f>
        <v>6</v>
      </c>
      <c r="CJ62" s="130">
        <f>SUM('EGRESO-POS plan'!CK148)</f>
        <v>3</v>
      </c>
      <c r="CK62" s="130">
        <f>SUM('EGRESO-POS plan'!CL148)</f>
        <v>9</v>
      </c>
      <c r="CL62" s="396">
        <f>SUM(CI62:CK62)</f>
        <v>18</v>
      </c>
      <c r="CM62" s="130">
        <f>SUM('EGRESO-POS plan'!CN148)</f>
        <v>12</v>
      </c>
      <c r="CN62" s="130">
        <f>SUM('EGRESO-POS plan'!CO148)</f>
        <v>0</v>
      </c>
      <c r="CO62" s="130">
        <f>SUM('EGRESO-POS plan'!CP148)</f>
        <v>0</v>
      </c>
      <c r="CP62" s="396">
        <f>SUM(CM62:CO62)</f>
        <v>12</v>
      </c>
      <c r="CQ62" s="130">
        <f>SUM('EGRESO-POS plan'!CR148)</f>
        <v>3</v>
      </c>
      <c r="CR62" s="130">
        <f>SUM('EGRESO-POS plan'!CS148)</f>
        <v>6</v>
      </c>
      <c r="CS62" s="130">
        <f>SUM('EGRESO-POS plan'!CT148)</f>
        <v>7</v>
      </c>
      <c r="CT62" s="396">
        <f>SUM(CQ62:CS62)</f>
        <v>16</v>
      </c>
    </row>
    <row r="63" spans="1:98" s="1330" customFormat="1" ht="15" customHeight="1" x14ac:dyDescent="0.25">
      <c r="A63" s="1661"/>
      <c r="B63" s="1339" t="s">
        <v>317</v>
      </c>
      <c r="C63" s="1262"/>
      <c r="D63" s="1263"/>
      <c r="E63" s="1263"/>
      <c r="F63" s="1264"/>
      <c r="G63" s="1262"/>
      <c r="H63" s="1263"/>
      <c r="I63" s="1263"/>
      <c r="J63" s="1264"/>
      <c r="K63" s="1262"/>
      <c r="L63" s="1263"/>
      <c r="M63" s="1263"/>
      <c r="N63" s="1264"/>
      <c r="O63" s="1262"/>
      <c r="P63" s="1263"/>
      <c r="Q63" s="1263"/>
      <c r="R63" s="1264"/>
      <c r="S63" s="1262"/>
      <c r="T63" s="1263"/>
      <c r="U63" s="1263"/>
      <c r="V63" s="1264"/>
      <c r="W63" s="1262"/>
      <c r="X63" s="1263"/>
      <c r="Y63" s="1263"/>
      <c r="Z63" s="1337"/>
      <c r="AA63" s="1262"/>
      <c r="AB63" s="1263"/>
      <c r="AC63" s="1263"/>
      <c r="AD63" s="1264"/>
      <c r="AE63" s="1263"/>
      <c r="AF63" s="1263"/>
      <c r="AG63" s="1263"/>
      <c r="AH63" s="1264"/>
      <c r="AI63" s="1263"/>
      <c r="AJ63" s="1263"/>
      <c r="AK63" s="1263"/>
      <c r="AL63" s="1337"/>
      <c r="AM63" s="129"/>
      <c r="AN63" s="130"/>
      <c r="AO63" s="130"/>
      <c r="AP63" s="396"/>
      <c r="AQ63" s="129"/>
      <c r="AR63" s="130"/>
      <c r="AS63" s="130"/>
      <c r="AT63" s="396"/>
      <c r="AU63" s="129"/>
      <c r="AV63" s="130"/>
      <c r="AW63" s="130"/>
      <c r="AX63" s="396"/>
      <c r="AY63" s="129"/>
      <c r="AZ63" s="130"/>
      <c r="BA63" s="130"/>
      <c r="BB63" s="396"/>
      <c r="BC63" s="129"/>
      <c r="BD63" s="130"/>
      <c r="BE63" s="130"/>
      <c r="BF63" s="396"/>
      <c r="BG63" s="129"/>
      <c r="BH63" s="130"/>
      <c r="BI63" s="130"/>
      <c r="BJ63" s="396">
        <f>SUM(BG63:BI63)</f>
        <v>0</v>
      </c>
      <c r="BK63" s="129"/>
      <c r="BL63" s="130"/>
      <c r="BM63" s="130"/>
      <c r="BN63" s="396">
        <f>SUM(BK63:BM63)</f>
        <v>0</v>
      </c>
      <c r="BO63" s="129"/>
      <c r="BP63" s="130"/>
      <c r="BQ63" s="130"/>
      <c r="BR63" s="396">
        <f>SUM(BO63:BQ63)</f>
        <v>0</v>
      </c>
      <c r="BS63" s="129"/>
      <c r="BT63" s="130"/>
      <c r="BU63" s="130"/>
      <c r="BV63" s="396">
        <f>SUM(BS63:BU63)</f>
        <v>0</v>
      </c>
      <c r="BW63" s="129"/>
      <c r="BX63" s="130"/>
      <c r="BY63" s="130"/>
      <c r="BZ63" s="396">
        <f>SUM(BW63:BY63)</f>
        <v>0</v>
      </c>
      <c r="CA63" s="129"/>
      <c r="CB63" s="130"/>
      <c r="CC63" s="130"/>
      <c r="CD63" s="396">
        <f>SUM(CA63:CC63)</f>
        <v>0</v>
      </c>
      <c r="CE63" s="129"/>
      <c r="CF63" s="130"/>
      <c r="CG63" s="130"/>
      <c r="CH63" s="396">
        <f>SUM(CE63:CG63)</f>
        <v>0</v>
      </c>
      <c r="CI63" s="129"/>
      <c r="CJ63" s="130"/>
      <c r="CK63" s="130"/>
      <c r="CL63" s="396">
        <f>SUM(CI63:CK63)</f>
        <v>0</v>
      </c>
      <c r="CM63" s="129"/>
      <c r="CN63" s="130"/>
      <c r="CO63" s="130"/>
      <c r="CP63" s="396">
        <f>SUM(CM63:CO63)</f>
        <v>0</v>
      </c>
      <c r="CQ63" s="129"/>
      <c r="CR63" s="130"/>
      <c r="CS63" s="130"/>
      <c r="CT63" s="396">
        <f>SUM(CQ63:CS63)</f>
        <v>0</v>
      </c>
    </row>
    <row r="64" spans="1:98" s="1330" customFormat="1" ht="15" customHeight="1" x14ac:dyDescent="0.25">
      <c r="A64" s="1661"/>
      <c r="B64" s="1342" t="s">
        <v>111</v>
      </c>
      <c r="C64" s="1662"/>
      <c r="D64" s="1663"/>
      <c r="E64" s="1663"/>
      <c r="F64" s="1310"/>
      <c r="G64" s="1662"/>
      <c r="H64" s="1663"/>
      <c r="I64" s="1663"/>
      <c r="J64" s="1310"/>
      <c r="K64" s="1662"/>
      <c r="L64" s="1663"/>
      <c r="M64" s="1663"/>
      <c r="N64" s="1310"/>
      <c r="O64" s="1662"/>
      <c r="P64" s="1663"/>
      <c r="Q64" s="1663"/>
      <c r="R64" s="1310"/>
      <c r="S64" s="1662"/>
      <c r="T64" s="1663"/>
      <c r="U64" s="1663"/>
      <c r="V64" s="1310"/>
      <c r="W64" s="1662"/>
      <c r="X64" s="1663"/>
      <c r="Y64" s="1663"/>
      <c r="Z64" s="1663"/>
      <c r="AA64" s="1662"/>
      <c r="AB64" s="1663"/>
      <c r="AC64" s="1663"/>
      <c r="AD64" s="1310"/>
      <c r="AE64" s="1663"/>
      <c r="AF64" s="1663"/>
      <c r="AG64" s="1663"/>
      <c r="AH64" s="1310"/>
      <c r="AI64" s="1663"/>
      <c r="AJ64" s="1663"/>
      <c r="AK64" s="1663"/>
      <c r="AL64" s="1663"/>
      <c r="AM64" s="630"/>
      <c r="AN64" s="1664"/>
      <c r="AO64" s="1664"/>
      <c r="AP64" s="1664"/>
      <c r="AQ64" s="630"/>
      <c r="AR64" s="1664"/>
      <c r="AS64" s="1664"/>
      <c r="AT64" s="1665"/>
      <c r="AU64" s="630"/>
      <c r="AV64" s="1664"/>
      <c r="AW64" s="1664"/>
      <c r="AX64" s="1665"/>
      <c r="AY64" s="630"/>
      <c r="AZ64" s="1664"/>
      <c r="BA64" s="1664"/>
      <c r="BB64" s="1665"/>
      <c r="BC64" s="630"/>
      <c r="BD64" s="1664"/>
      <c r="BE64" s="1664"/>
      <c r="BF64" s="1665"/>
      <c r="BG64" s="630">
        <f t="shared" ref="BG64:CL64" si="124">SUM(BG61:BG63)</f>
        <v>0</v>
      </c>
      <c r="BH64" s="1664">
        <f t="shared" si="124"/>
        <v>0</v>
      </c>
      <c r="BI64" s="1664">
        <f t="shared" si="124"/>
        <v>0</v>
      </c>
      <c r="BJ64" s="1665">
        <f t="shared" si="124"/>
        <v>0</v>
      </c>
      <c r="BK64" s="630">
        <f t="shared" si="124"/>
        <v>0</v>
      </c>
      <c r="BL64" s="1664">
        <f t="shared" si="124"/>
        <v>0</v>
      </c>
      <c r="BM64" s="1664">
        <f t="shared" si="124"/>
        <v>8</v>
      </c>
      <c r="BN64" s="1665">
        <f t="shared" si="124"/>
        <v>8</v>
      </c>
      <c r="BO64" s="630">
        <f t="shared" si="124"/>
        <v>0</v>
      </c>
      <c r="BP64" s="1664">
        <f t="shared" si="124"/>
        <v>0</v>
      </c>
      <c r="BQ64" s="1664">
        <f t="shared" si="124"/>
        <v>11</v>
      </c>
      <c r="BR64" s="1665">
        <f t="shared" si="124"/>
        <v>11</v>
      </c>
      <c r="BS64" s="630">
        <f t="shared" si="124"/>
        <v>0</v>
      </c>
      <c r="BT64" s="1664">
        <f t="shared" si="124"/>
        <v>3</v>
      </c>
      <c r="BU64" s="1664">
        <f t="shared" si="124"/>
        <v>15</v>
      </c>
      <c r="BV64" s="1665">
        <f t="shared" si="124"/>
        <v>18</v>
      </c>
      <c r="BW64" s="630">
        <f t="shared" si="124"/>
        <v>0</v>
      </c>
      <c r="BX64" s="1664">
        <f t="shared" si="124"/>
        <v>0</v>
      </c>
      <c r="BY64" s="1664">
        <f t="shared" si="124"/>
        <v>7</v>
      </c>
      <c r="BZ64" s="1665">
        <f t="shared" si="124"/>
        <v>7</v>
      </c>
      <c r="CA64" s="630">
        <f t="shared" si="124"/>
        <v>0</v>
      </c>
      <c r="CB64" s="1664">
        <f t="shared" si="124"/>
        <v>0</v>
      </c>
      <c r="CC64" s="1664">
        <f t="shared" si="124"/>
        <v>0</v>
      </c>
      <c r="CD64" s="1665">
        <f t="shared" si="124"/>
        <v>0</v>
      </c>
      <c r="CE64" s="630">
        <f t="shared" si="124"/>
        <v>8</v>
      </c>
      <c r="CF64" s="1664">
        <f t="shared" si="124"/>
        <v>7</v>
      </c>
      <c r="CG64" s="1664">
        <f t="shared" si="124"/>
        <v>0</v>
      </c>
      <c r="CH64" s="1665">
        <f t="shared" si="124"/>
        <v>15</v>
      </c>
      <c r="CI64" s="630">
        <f t="shared" si="124"/>
        <v>6</v>
      </c>
      <c r="CJ64" s="1664">
        <f t="shared" si="124"/>
        <v>3</v>
      </c>
      <c r="CK64" s="1664">
        <f t="shared" si="124"/>
        <v>9</v>
      </c>
      <c r="CL64" s="1665">
        <f t="shared" si="124"/>
        <v>18</v>
      </c>
      <c r="CM64" s="630">
        <f t="shared" ref="CM64:CP64" si="125">SUM(CM61:CM63)</f>
        <v>12</v>
      </c>
      <c r="CN64" s="1664">
        <f t="shared" si="125"/>
        <v>0</v>
      </c>
      <c r="CO64" s="1664">
        <f t="shared" si="125"/>
        <v>0</v>
      </c>
      <c r="CP64" s="1665">
        <f t="shared" si="125"/>
        <v>12</v>
      </c>
      <c r="CQ64" s="630">
        <f t="shared" ref="CQ64:CT64" si="126">SUM(CQ61:CQ63)</f>
        <v>3</v>
      </c>
      <c r="CR64" s="1664">
        <f t="shared" si="126"/>
        <v>6</v>
      </c>
      <c r="CS64" s="1664">
        <f t="shared" si="126"/>
        <v>7</v>
      </c>
      <c r="CT64" s="1665">
        <f t="shared" si="126"/>
        <v>16</v>
      </c>
    </row>
    <row r="65" spans="1:98" s="1330" customFormat="1" ht="15" customHeight="1" x14ac:dyDescent="0.25">
      <c r="A65" s="1661"/>
      <c r="B65" s="1334" t="s">
        <v>308</v>
      </c>
      <c r="C65" s="1258"/>
      <c r="D65" s="1259"/>
      <c r="E65" s="1259"/>
      <c r="F65" s="1260"/>
      <c r="G65" s="1258"/>
      <c r="H65" s="1259"/>
      <c r="I65" s="1259"/>
      <c r="J65" s="1260"/>
      <c r="K65" s="1258"/>
      <c r="L65" s="1259"/>
      <c r="M65" s="1259"/>
      <c r="N65" s="1260"/>
      <c r="O65" s="1258"/>
      <c r="P65" s="1259"/>
      <c r="Q65" s="1259"/>
      <c r="R65" s="1260"/>
      <c r="S65" s="1258"/>
      <c r="T65" s="1259"/>
      <c r="U65" s="1259"/>
      <c r="V65" s="1260"/>
      <c r="W65" s="1258"/>
      <c r="X65" s="1259"/>
      <c r="Y65" s="1259"/>
      <c r="Z65" s="1298"/>
      <c r="AA65" s="1258"/>
      <c r="AB65" s="1259"/>
      <c r="AC65" s="1259"/>
      <c r="AD65" s="1260"/>
      <c r="AE65" s="1259"/>
      <c r="AF65" s="1259"/>
      <c r="AG65" s="1259"/>
      <c r="AH65" s="1260"/>
      <c r="AI65" s="1259"/>
      <c r="AJ65" s="1259"/>
      <c r="AK65" s="1259"/>
      <c r="AL65" s="1298"/>
      <c r="AM65" s="151"/>
      <c r="AN65" s="152"/>
      <c r="AO65" s="152"/>
      <c r="AP65" s="395"/>
      <c r="AQ65" s="151"/>
      <c r="AR65" s="152"/>
      <c r="AS65" s="152"/>
      <c r="AT65" s="395"/>
      <c r="AU65" s="151"/>
      <c r="AV65" s="152"/>
      <c r="AW65" s="152"/>
      <c r="AX65" s="395"/>
      <c r="AY65" s="151"/>
      <c r="AZ65" s="152"/>
      <c r="BA65" s="152"/>
      <c r="BB65" s="395"/>
      <c r="BC65" s="151"/>
      <c r="BD65" s="152"/>
      <c r="BE65" s="152"/>
      <c r="BF65" s="395"/>
      <c r="BG65" s="151"/>
      <c r="BH65" s="152">
        <f>SUM('EGRESO-POS plan'!BI150)</f>
        <v>2</v>
      </c>
      <c r="BI65" s="152"/>
      <c r="BJ65" s="396">
        <f>SUM(BG65:BI65)</f>
        <v>2</v>
      </c>
      <c r="BK65" s="151"/>
      <c r="BL65" s="152">
        <f>SUM('EGRESO-POS plan'!BM150)</f>
        <v>2</v>
      </c>
      <c r="BM65" s="152"/>
      <c r="BN65" s="396">
        <f>SUM(BK65:BM65)</f>
        <v>2</v>
      </c>
      <c r="BO65" s="151"/>
      <c r="BP65" s="152">
        <f>SUM('EGRESO-POS plan'!BQ150)</f>
        <v>2</v>
      </c>
      <c r="BQ65" s="152"/>
      <c r="BR65" s="396">
        <f>SUM(BO65:BQ65)</f>
        <v>2</v>
      </c>
      <c r="BS65" s="151">
        <f>SUM('EGRESO-POS plan'!BT150)</f>
        <v>1</v>
      </c>
      <c r="BT65" s="152">
        <f>SUM('EGRESO-POS plan'!BU150)</f>
        <v>1</v>
      </c>
      <c r="BU65" s="152">
        <f>SUM('EGRESO-POS plan'!BV150)</f>
        <v>0</v>
      </c>
      <c r="BV65" s="396">
        <f>SUM(BS65:BU65)</f>
        <v>2</v>
      </c>
      <c r="BW65" s="151">
        <f>SUM('EGRESO-POS plan'!BX150)</f>
        <v>0</v>
      </c>
      <c r="BX65" s="152">
        <f>SUM('EGRESO-POS plan'!BY150)</f>
        <v>1</v>
      </c>
      <c r="BY65" s="152">
        <f>SUM('EGRESO-POS plan'!BZ150)</f>
        <v>0</v>
      </c>
      <c r="BZ65" s="396">
        <f>SUM(BW65:BY65)</f>
        <v>1</v>
      </c>
      <c r="CA65" s="151">
        <f>SUM('EGRESO-POS plan'!CB150)</f>
        <v>0</v>
      </c>
      <c r="CB65" s="152">
        <f>SUM('EGRESO-POS plan'!CC150)</f>
        <v>0</v>
      </c>
      <c r="CC65" s="152">
        <f>SUM('EGRESO-POS plan'!CD150)</f>
        <v>2</v>
      </c>
      <c r="CD65" s="396">
        <f>SUM(CA65:CC65)</f>
        <v>2</v>
      </c>
      <c r="CE65" s="151">
        <f>SUM('EGRESO-POS plan'!CF150)</f>
        <v>0</v>
      </c>
      <c r="CF65" s="152">
        <f>SUM('EGRESO-POS plan'!CG150)</f>
        <v>0</v>
      </c>
      <c r="CG65" s="152">
        <f>SUM('EGRESO-POS plan'!CH150)</f>
        <v>0</v>
      </c>
      <c r="CH65" s="396">
        <f>SUM(CE65:CG65)</f>
        <v>0</v>
      </c>
      <c r="CI65" s="151">
        <f>SUM('EGRESO-POS plan'!CJ150)</f>
        <v>0</v>
      </c>
      <c r="CJ65" s="152">
        <f>SUM('EGRESO-POS plan'!CK150)</f>
        <v>0</v>
      </c>
      <c r="CK65" s="152">
        <f>SUM('EGRESO-POS plan'!CL150)</f>
        <v>0</v>
      </c>
      <c r="CL65" s="396">
        <f>SUM(CI65:CK65)</f>
        <v>0</v>
      </c>
      <c r="CM65" s="151">
        <f>SUM('EGRESO-POS plan'!CN150)</f>
        <v>0</v>
      </c>
      <c r="CN65" s="152">
        <f>SUM('EGRESO-POS plan'!CO150)</f>
        <v>0</v>
      </c>
      <c r="CO65" s="152">
        <f>SUM('EGRESO-POS plan'!CP150)</f>
        <v>0</v>
      </c>
      <c r="CP65" s="396">
        <f>SUM(CM65:CO65)</f>
        <v>0</v>
      </c>
      <c r="CQ65" s="151">
        <f>SUM('EGRESO-POS plan'!CR150)</f>
        <v>0</v>
      </c>
      <c r="CR65" s="152">
        <f>SUM('EGRESO-POS plan'!CS150)</f>
        <v>0</v>
      </c>
      <c r="CS65" s="152">
        <f>SUM('EGRESO-POS plan'!CT150)</f>
        <v>0</v>
      </c>
      <c r="CT65" s="396">
        <f>SUM(CQ65:CS65)</f>
        <v>0</v>
      </c>
    </row>
    <row r="66" spans="1:98" s="1330" customFormat="1" ht="15" customHeight="1" x14ac:dyDescent="0.25">
      <c r="A66" s="1661"/>
      <c r="B66" s="1336" t="s">
        <v>310</v>
      </c>
      <c r="C66" s="1262"/>
      <c r="D66" s="1263"/>
      <c r="E66" s="1263"/>
      <c r="F66" s="1264"/>
      <c r="G66" s="1262"/>
      <c r="H66" s="1263"/>
      <c r="I66" s="1263"/>
      <c r="J66" s="1264"/>
      <c r="K66" s="1262"/>
      <c r="L66" s="1263"/>
      <c r="M66" s="1263"/>
      <c r="N66" s="1264"/>
      <c r="O66" s="1262"/>
      <c r="P66" s="1263"/>
      <c r="Q66" s="1263"/>
      <c r="R66" s="1264"/>
      <c r="S66" s="1262"/>
      <c r="T66" s="1263"/>
      <c r="U66" s="1263"/>
      <c r="V66" s="1264"/>
      <c r="W66" s="1262"/>
      <c r="X66" s="1263"/>
      <c r="Y66" s="1263"/>
      <c r="Z66" s="1337"/>
      <c r="AA66" s="1262"/>
      <c r="AB66" s="1263"/>
      <c r="AC66" s="1263"/>
      <c r="AD66" s="1264"/>
      <c r="AE66" s="1263"/>
      <c r="AF66" s="1263"/>
      <c r="AG66" s="1263"/>
      <c r="AH66" s="1264"/>
      <c r="AI66" s="1263"/>
      <c r="AJ66" s="1263"/>
      <c r="AK66" s="1263"/>
      <c r="AL66" s="1337"/>
      <c r="AM66" s="129"/>
      <c r="AN66" s="130"/>
      <c r="AO66" s="130"/>
      <c r="AP66" s="396"/>
      <c r="AQ66" s="129"/>
      <c r="AR66" s="130"/>
      <c r="AS66" s="130"/>
      <c r="AT66" s="396"/>
      <c r="AU66" s="129"/>
      <c r="AV66" s="130"/>
      <c r="AW66" s="130"/>
      <c r="AX66" s="396"/>
      <c r="AY66" s="129"/>
      <c r="AZ66" s="130"/>
      <c r="BA66" s="130"/>
      <c r="BB66" s="396"/>
      <c r="BC66" s="129"/>
      <c r="BD66" s="130"/>
      <c r="BE66" s="130"/>
      <c r="BF66" s="396"/>
      <c r="BG66" s="129"/>
      <c r="BH66" s="130"/>
      <c r="BI66" s="130"/>
      <c r="BJ66" s="396">
        <f>SUM(BG66:BI66)</f>
        <v>0</v>
      </c>
      <c r="BK66" s="129"/>
      <c r="BL66" s="130"/>
      <c r="BM66" s="130">
        <f>SUM('EGRESO-POS plan'!BN151)</f>
        <v>1</v>
      </c>
      <c r="BN66" s="396">
        <f>SUM(BK66:BM66)</f>
        <v>1</v>
      </c>
      <c r="BO66" s="129"/>
      <c r="BP66" s="130">
        <v>5</v>
      </c>
      <c r="BQ66" s="130">
        <f>SUM('EGRESO-POS plan'!BR151)</f>
        <v>1</v>
      </c>
      <c r="BR66" s="396">
        <f>SUM(BO66:BQ66)</f>
        <v>6</v>
      </c>
      <c r="BS66" s="130">
        <f>SUM('EGRESO-POS plan'!BT151)</f>
        <v>4</v>
      </c>
      <c r="BT66" s="130">
        <f>SUM('EGRESO-POS plan'!BU151)</f>
        <v>1</v>
      </c>
      <c r="BU66" s="130">
        <f>SUM('EGRESO-POS plan'!BV151)</f>
        <v>4</v>
      </c>
      <c r="BV66" s="396">
        <f>SUM(BS66:BU66)</f>
        <v>9</v>
      </c>
      <c r="BW66" s="130">
        <f>SUM('EGRESO-POS plan'!BX151)</f>
        <v>1</v>
      </c>
      <c r="BX66" s="130">
        <f>SUM('EGRESO-POS plan'!BY151)</f>
        <v>4</v>
      </c>
      <c r="BY66" s="130">
        <f>SUM('EGRESO-POS plan'!BZ151)</f>
        <v>2</v>
      </c>
      <c r="BZ66" s="396">
        <f>SUM(BW66:BY66)</f>
        <v>7</v>
      </c>
      <c r="CA66" s="130">
        <f>SUM('EGRESO-POS plan'!CB151)</f>
        <v>2</v>
      </c>
      <c r="CB66" s="130">
        <f>SUM('EGRESO-POS plan'!CC151)</f>
        <v>3</v>
      </c>
      <c r="CC66" s="130">
        <f>SUM('EGRESO-POS plan'!CD151)</f>
        <v>1</v>
      </c>
      <c r="CD66" s="396">
        <f>SUM(CA66:CC66)</f>
        <v>6</v>
      </c>
      <c r="CE66" s="130">
        <f>SUM('EGRESO-POS plan'!CF151)</f>
        <v>4</v>
      </c>
      <c r="CF66" s="130">
        <f>SUM('EGRESO-POS plan'!CG151)</f>
        <v>4</v>
      </c>
      <c r="CG66" s="130">
        <f>SUM('EGRESO-POS plan'!CH151)</f>
        <v>2</v>
      </c>
      <c r="CH66" s="396">
        <f>SUM(CE66:CG66)</f>
        <v>10</v>
      </c>
      <c r="CI66" s="130">
        <f>SUM('EGRESO-POS plan'!CJ151)</f>
        <v>3</v>
      </c>
      <c r="CJ66" s="130">
        <f>SUM('EGRESO-POS plan'!CK151)</f>
        <v>0</v>
      </c>
      <c r="CK66" s="130">
        <f>SUM('EGRESO-POS plan'!CL151)</f>
        <v>3</v>
      </c>
      <c r="CL66" s="396">
        <f>SUM(CI66:CK66)</f>
        <v>6</v>
      </c>
      <c r="CM66" s="130">
        <f>SUM('EGRESO-POS plan'!CN151)</f>
        <v>0</v>
      </c>
      <c r="CN66" s="130">
        <f>SUM('EGRESO-POS plan'!CO151)</f>
        <v>1</v>
      </c>
      <c r="CO66" s="130">
        <f>SUM('EGRESO-POS plan'!CP151)</f>
        <v>3</v>
      </c>
      <c r="CP66" s="396">
        <f>SUM(CM66:CO66)</f>
        <v>4</v>
      </c>
      <c r="CQ66" s="130">
        <f>SUM('EGRESO-POS plan'!CR151)</f>
        <v>2</v>
      </c>
      <c r="CR66" s="130">
        <f>SUM('EGRESO-POS plan'!CS151)</f>
        <v>3</v>
      </c>
      <c r="CS66" s="130">
        <f>SUM('EGRESO-POS plan'!CT151)</f>
        <v>2</v>
      </c>
      <c r="CT66" s="396">
        <f>SUM(CQ66:CS66)</f>
        <v>7</v>
      </c>
    </row>
    <row r="67" spans="1:98" s="1330" customFormat="1" ht="15" customHeight="1" x14ac:dyDescent="0.25">
      <c r="A67" s="1661"/>
      <c r="B67" s="1339" t="s">
        <v>317</v>
      </c>
      <c r="C67" s="1262"/>
      <c r="D67" s="1263"/>
      <c r="E67" s="1263"/>
      <c r="F67" s="1264"/>
      <c r="G67" s="1262"/>
      <c r="H67" s="1263"/>
      <c r="I67" s="1263"/>
      <c r="J67" s="1264"/>
      <c r="K67" s="1262"/>
      <c r="L67" s="1263"/>
      <c r="M67" s="1263"/>
      <c r="N67" s="1264"/>
      <c r="O67" s="1262"/>
      <c r="P67" s="1263"/>
      <c r="Q67" s="1263"/>
      <c r="R67" s="1264"/>
      <c r="S67" s="1262"/>
      <c r="T67" s="1263"/>
      <c r="U67" s="1263"/>
      <c r="V67" s="1264"/>
      <c r="W67" s="1262"/>
      <c r="X67" s="1263"/>
      <c r="Y67" s="1263"/>
      <c r="Z67" s="1337"/>
      <c r="AA67" s="1262"/>
      <c r="AB67" s="1263"/>
      <c r="AC67" s="1263"/>
      <c r="AD67" s="1264"/>
      <c r="AE67" s="1263"/>
      <c r="AF67" s="1263"/>
      <c r="AG67" s="1263"/>
      <c r="AH67" s="1264"/>
      <c r="AI67" s="1263"/>
      <c r="AJ67" s="1263"/>
      <c r="AK67" s="1263"/>
      <c r="AL67" s="1337"/>
      <c r="AM67" s="129"/>
      <c r="AN67" s="130"/>
      <c r="AO67" s="130"/>
      <c r="AP67" s="396"/>
      <c r="AQ67" s="129"/>
      <c r="AR67" s="130"/>
      <c r="AS67" s="130"/>
      <c r="AT67" s="396"/>
      <c r="AU67" s="129"/>
      <c r="AV67" s="130"/>
      <c r="AW67" s="130"/>
      <c r="AX67" s="396"/>
      <c r="AY67" s="129"/>
      <c r="AZ67" s="130"/>
      <c r="BA67" s="130"/>
      <c r="BB67" s="396"/>
      <c r="BC67" s="129"/>
      <c r="BD67" s="130"/>
      <c r="BE67" s="130"/>
      <c r="BF67" s="396"/>
      <c r="BG67" s="129"/>
      <c r="BH67" s="130"/>
      <c r="BI67" s="130"/>
      <c r="BJ67" s="396">
        <f>SUM(BG67:BI67)</f>
        <v>0</v>
      </c>
      <c r="BK67" s="129"/>
      <c r="BL67" s="130"/>
      <c r="BM67" s="130"/>
      <c r="BN67" s="396">
        <f>SUM(BK67:BM67)</f>
        <v>0</v>
      </c>
      <c r="BO67" s="129">
        <f>SUM('EGRESO-POS plan'!BP152:BP153)</f>
        <v>0</v>
      </c>
      <c r="BP67" s="130">
        <f>SUM('EGRESO-POS plan'!BQ152:BQ153)</f>
        <v>1</v>
      </c>
      <c r="BQ67" s="130">
        <f>SUM('EGRESO-POS plan'!BR152:BR153)</f>
        <v>1</v>
      </c>
      <c r="BR67" s="396">
        <f>SUM(BO67:BQ67)</f>
        <v>2</v>
      </c>
      <c r="BS67" s="129">
        <f>SUM('EGRESO-POS plan'!BT152:BT153)</f>
        <v>0</v>
      </c>
      <c r="BT67" s="130">
        <f>SUM('EGRESO-POS plan'!BU152:BU153)</f>
        <v>0</v>
      </c>
      <c r="BU67" s="130">
        <f>SUM('EGRESO-POS plan'!BV152:BV153)</f>
        <v>0</v>
      </c>
      <c r="BV67" s="396">
        <f>SUM(BS67:BU67)</f>
        <v>0</v>
      </c>
      <c r="BW67" s="129">
        <f>SUM('EGRESO-POS plan'!BX152:BX153)</f>
        <v>0</v>
      </c>
      <c r="BX67" s="130">
        <f>SUM('EGRESO-POS plan'!BY152:BY153)</f>
        <v>0</v>
      </c>
      <c r="BY67" s="130">
        <f>SUM('EGRESO-POS plan'!BZ152:BZ153)</f>
        <v>2</v>
      </c>
      <c r="BZ67" s="396">
        <f>SUM(BW67:BY67)</f>
        <v>2</v>
      </c>
      <c r="CA67" s="129">
        <f>SUM('EGRESO-POS plan'!CB152:CB153)</f>
        <v>4</v>
      </c>
      <c r="CB67" s="130">
        <f>SUM('EGRESO-POS plan'!CC152:CC153)</f>
        <v>0</v>
      </c>
      <c r="CC67" s="130">
        <f>SUM('EGRESO-POS plan'!CD152:CD153)</f>
        <v>0</v>
      </c>
      <c r="CD67" s="396">
        <f>SUM(CA67:CC67)</f>
        <v>4</v>
      </c>
      <c r="CE67" s="129">
        <f>SUM('EGRESO-POS plan'!CF152:CF153)</f>
        <v>1</v>
      </c>
      <c r="CF67" s="130">
        <f>SUM('EGRESO-POS plan'!CG152:CG153)</f>
        <v>0</v>
      </c>
      <c r="CG67" s="130">
        <f>SUM('EGRESO-POS plan'!CH152:CH153)</f>
        <v>5</v>
      </c>
      <c r="CH67" s="396">
        <f>SUM(CE67:CG67)</f>
        <v>6</v>
      </c>
      <c r="CI67" s="129">
        <f>SUM('EGRESO-POS plan'!CJ152:CJ153)</f>
        <v>0</v>
      </c>
      <c r="CJ67" s="130">
        <f>SUM('EGRESO-POS plan'!CK152:CK153)</f>
        <v>0</v>
      </c>
      <c r="CK67" s="130">
        <f>SUM('EGRESO-POS plan'!CL152:CL153)</f>
        <v>4</v>
      </c>
      <c r="CL67" s="396">
        <f>SUM(CI67:CK67)</f>
        <v>4</v>
      </c>
      <c r="CM67" s="129">
        <f>SUM('EGRESO-POS plan'!CN152:CN153)</f>
        <v>0</v>
      </c>
      <c r="CN67" s="130">
        <f>SUM('EGRESO-POS plan'!CO152:CO153)</f>
        <v>1</v>
      </c>
      <c r="CO67" s="130">
        <f>SUM('EGRESO-POS plan'!CP152:CP153)</f>
        <v>0</v>
      </c>
      <c r="CP67" s="396">
        <f>SUM(CM67:CO67)</f>
        <v>1</v>
      </c>
      <c r="CQ67" s="129">
        <f>SUM('EGRESO-POS plan'!CR152:CR153)</f>
        <v>2</v>
      </c>
      <c r="CR67" s="130">
        <f>SUM('EGRESO-POS plan'!CS152:CS153)</f>
        <v>1</v>
      </c>
      <c r="CS67" s="130">
        <f>SUM('EGRESO-POS plan'!CT152:CT153)</f>
        <v>1</v>
      </c>
      <c r="CT67" s="396">
        <f>SUM(CQ67:CS67)</f>
        <v>4</v>
      </c>
    </row>
    <row r="68" spans="1:98" s="1330" customFormat="1" ht="15" customHeight="1" x14ac:dyDescent="0.25">
      <c r="A68" s="1661"/>
      <c r="B68" s="1342" t="s">
        <v>115</v>
      </c>
      <c r="C68" s="1662"/>
      <c r="D68" s="1663"/>
      <c r="E68" s="1663"/>
      <c r="F68" s="1310"/>
      <c r="G68" s="1662"/>
      <c r="H68" s="1663"/>
      <c r="I68" s="1663"/>
      <c r="J68" s="1310"/>
      <c r="K68" s="1662"/>
      <c r="L68" s="1663"/>
      <c r="M68" s="1663"/>
      <c r="N68" s="1310"/>
      <c r="O68" s="1662"/>
      <c r="P68" s="1663"/>
      <c r="Q68" s="1663"/>
      <c r="R68" s="1310"/>
      <c r="S68" s="1662"/>
      <c r="T68" s="1663"/>
      <c r="U68" s="1663"/>
      <c r="V68" s="1310"/>
      <c r="W68" s="1662"/>
      <c r="X68" s="1663"/>
      <c r="Y68" s="1663"/>
      <c r="Z68" s="1663"/>
      <c r="AA68" s="1662"/>
      <c r="AB68" s="1663"/>
      <c r="AC68" s="1663"/>
      <c r="AD68" s="1310"/>
      <c r="AE68" s="1663"/>
      <c r="AF68" s="1663"/>
      <c r="AG68" s="1663"/>
      <c r="AH68" s="1310"/>
      <c r="AI68" s="1663"/>
      <c r="AJ68" s="1663"/>
      <c r="AK68" s="1663"/>
      <c r="AL68" s="1663"/>
      <c r="AM68" s="630"/>
      <c r="AN68" s="1664"/>
      <c r="AO68" s="1664"/>
      <c r="AP68" s="1664"/>
      <c r="AQ68" s="630"/>
      <c r="AR68" s="1664"/>
      <c r="AS68" s="1664"/>
      <c r="AT68" s="1665"/>
      <c r="AU68" s="630"/>
      <c r="AV68" s="1664"/>
      <c r="AW68" s="1664"/>
      <c r="AX68" s="1665"/>
      <c r="AY68" s="630"/>
      <c r="AZ68" s="1664"/>
      <c r="BA68" s="1664"/>
      <c r="BB68" s="1665"/>
      <c r="BC68" s="630"/>
      <c r="BD68" s="1664"/>
      <c r="BE68" s="1664"/>
      <c r="BF68" s="1665"/>
      <c r="BG68" s="630">
        <f t="shared" ref="BG68:CL68" si="127">SUM(BG65:BG67)</f>
        <v>0</v>
      </c>
      <c r="BH68" s="1664">
        <f t="shared" si="127"/>
        <v>2</v>
      </c>
      <c r="BI68" s="1664">
        <f t="shared" si="127"/>
        <v>0</v>
      </c>
      <c r="BJ68" s="1665">
        <f t="shared" si="127"/>
        <v>2</v>
      </c>
      <c r="BK68" s="630">
        <f t="shared" si="127"/>
        <v>0</v>
      </c>
      <c r="BL68" s="1664">
        <f t="shared" si="127"/>
        <v>2</v>
      </c>
      <c r="BM68" s="1664">
        <f t="shared" si="127"/>
        <v>1</v>
      </c>
      <c r="BN68" s="1665">
        <f t="shared" si="127"/>
        <v>3</v>
      </c>
      <c r="BO68" s="630">
        <f t="shared" si="127"/>
        <v>0</v>
      </c>
      <c r="BP68" s="1664">
        <f t="shared" si="127"/>
        <v>8</v>
      </c>
      <c r="BQ68" s="1664">
        <f t="shared" si="127"/>
        <v>2</v>
      </c>
      <c r="BR68" s="1665">
        <f t="shared" si="127"/>
        <v>10</v>
      </c>
      <c r="BS68" s="630">
        <f t="shared" si="127"/>
        <v>5</v>
      </c>
      <c r="BT68" s="1664">
        <f t="shared" si="127"/>
        <v>2</v>
      </c>
      <c r="BU68" s="1664">
        <f t="shared" si="127"/>
        <v>4</v>
      </c>
      <c r="BV68" s="1665">
        <f t="shared" si="127"/>
        <v>11</v>
      </c>
      <c r="BW68" s="630">
        <f t="shared" si="127"/>
        <v>1</v>
      </c>
      <c r="BX68" s="1664">
        <f t="shared" si="127"/>
        <v>5</v>
      </c>
      <c r="BY68" s="1664">
        <f t="shared" si="127"/>
        <v>4</v>
      </c>
      <c r="BZ68" s="1665">
        <f t="shared" si="127"/>
        <v>10</v>
      </c>
      <c r="CA68" s="630">
        <f t="shared" si="127"/>
        <v>6</v>
      </c>
      <c r="CB68" s="1664">
        <f t="shared" si="127"/>
        <v>3</v>
      </c>
      <c r="CC68" s="1664">
        <f t="shared" si="127"/>
        <v>3</v>
      </c>
      <c r="CD68" s="1665">
        <f t="shared" si="127"/>
        <v>12</v>
      </c>
      <c r="CE68" s="630">
        <f t="shared" si="127"/>
        <v>5</v>
      </c>
      <c r="CF68" s="1664">
        <f t="shared" si="127"/>
        <v>4</v>
      </c>
      <c r="CG68" s="1664">
        <f t="shared" si="127"/>
        <v>7</v>
      </c>
      <c r="CH68" s="1665">
        <f t="shared" si="127"/>
        <v>16</v>
      </c>
      <c r="CI68" s="630">
        <f t="shared" si="127"/>
        <v>3</v>
      </c>
      <c r="CJ68" s="1664">
        <f t="shared" si="127"/>
        <v>0</v>
      </c>
      <c r="CK68" s="1664">
        <f t="shared" si="127"/>
        <v>7</v>
      </c>
      <c r="CL68" s="1665">
        <f t="shared" si="127"/>
        <v>10</v>
      </c>
      <c r="CM68" s="630">
        <f t="shared" ref="CM68:CP68" si="128">SUM(CM65:CM67)</f>
        <v>0</v>
      </c>
      <c r="CN68" s="1664">
        <f t="shared" si="128"/>
        <v>2</v>
      </c>
      <c r="CO68" s="1664">
        <f t="shared" si="128"/>
        <v>3</v>
      </c>
      <c r="CP68" s="1665">
        <f t="shared" si="128"/>
        <v>5</v>
      </c>
      <c r="CQ68" s="630">
        <f t="shared" ref="CQ68:CT68" si="129">SUM(CQ65:CQ67)</f>
        <v>4</v>
      </c>
      <c r="CR68" s="1664">
        <f t="shared" si="129"/>
        <v>4</v>
      </c>
      <c r="CS68" s="1664">
        <f t="shared" si="129"/>
        <v>3</v>
      </c>
      <c r="CT68" s="1665">
        <f t="shared" si="129"/>
        <v>11</v>
      </c>
    </row>
    <row r="69" spans="1:98" s="1330" customFormat="1" ht="15" customHeight="1" x14ac:dyDescent="0.25">
      <c r="A69" s="1661"/>
      <c r="B69" s="1334" t="s">
        <v>308</v>
      </c>
      <c r="C69" s="1258"/>
      <c r="D69" s="1259"/>
      <c r="E69" s="1259"/>
      <c r="F69" s="1260"/>
      <c r="G69" s="1258"/>
      <c r="H69" s="1259"/>
      <c r="I69" s="1259"/>
      <c r="J69" s="1260"/>
      <c r="K69" s="1258"/>
      <c r="L69" s="1259"/>
      <c r="M69" s="1259"/>
      <c r="N69" s="1260"/>
      <c r="O69" s="1258"/>
      <c r="P69" s="1259"/>
      <c r="Q69" s="1259"/>
      <c r="R69" s="1260"/>
      <c r="S69" s="1258"/>
      <c r="T69" s="1259"/>
      <c r="U69" s="1259"/>
      <c r="V69" s="1260"/>
      <c r="W69" s="1258"/>
      <c r="X69" s="1259"/>
      <c r="Y69" s="1259"/>
      <c r="Z69" s="1298"/>
      <c r="AA69" s="1258"/>
      <c r="AB69" s="1259"/>
      <c r="AC69" s="1259"/>
      <c r="AD69" s="1260"/>
      <c r="AE69" s="1259"/>
      <c r="AF69" s="1259"/>
      <c r="AG69" s="1259"/>
      <c r="AH69" s="1260"/>
      <c r="AI69" s="1259"/>
      <c r="AJ69" s="1259"/>
      <c r="AK69" s="1259"/>
      <c r="AL69" s="1298"/>
      <c r="AM69" s="151"/>
      <c r="AN69" s="152"/>
      <c r="AO69" s="152"/>
      <c r="AP69" s="152"/>
      <c r="AQ69" s="151"/>
      <c r="AR69" s="152"/>
      <c r="AS69" s="152"/>
      <c r="AT69" s="395"/>
      <c r="AU69" s="151"/>
      <c r="AV69" s="152"/>
      <c r="AW69" s="152"/>
      <c r="AX69" s="395"/>
      <c r="AY69" s="151"/>
      <c r="AZ69" s="152"/>
      <c r="BA69" s="152"/>
      <c r="BB69" s="395"/>
      <c r="BC69" s="151"/>
      <c r="BD69" s="152"/>
      <c r="BE69" s="152"/>
      <c r="BF69" s="395"/>
      <c r="BG69" s="151">
        <f t="shared" ref="BG69:BI71" si="130">SUM(BG57,BG61,BG65)</f>
        <v>0</v>
      </c>
      <c r="BH69" s="152">
        <f t="shared" si="130"/>
        <v>2</v>
      </c>
      <c r="BI69" s="152">
        <f t="shared" si="130"/>
        <v>0</v>
      </c>
      <c r="BJ69" s="395">
        <f>SUM(BG69:BI69)</f>
        <v>2</v>
      </c>
      <c r="BK69" s="151">
        <f t="shared" ref="BK69:BM71" si="131">SUM(BK57,BK61,BK65)</f>
        <v>0</v>
      </c>
      <c r="BL69" s="152">
        <f t="shared" si="131"/>
        <v>2</v>
      </c>
      <c r="BM69" s="152">
        <f t="shared" si="131"/>
        <v>0</v>
      </c>
      <c r="BN69" s="395">
        <f>SUM(BK69:BM69)</f>
        <v>2</v>
      </c>
      <c r="BO69" s="151">
        <f t="shared" ref="BO69:BQ71" si="132">SUM(BO57,BO61,BO65)</f>
        <v>0</v>
      </c>
      <c r="BP69" s="152">
        <f t="shared" si="132"/>
        <v>2</v>
      </c>
      <c r="BQ69" s="152">
        <f t="shared" si="132"/>
        <v>0</v>
      </c>
      <c r="BR69" s="395">
        <f>SUM(BO69:BQ69)</f>
        <v>2</v>
      </c>
      <c r="BS69" s="151">
        <f t="shared" ref="BS69:BU71" si="133">SUM(BS57,BS61,BS65)</f>
        <v>1</v>
      </c>
      <c r="BT69" s="152">
        <f t="shared" si="133"/>
        <v>1</v>
      </c>
      <c r="BU69" s="152">
        <f t="shared" si="133"/>
        <v>0</v>
      </c>
      <c r="BV69" s="395">
        <f>SUM(BS69:BU69)</f>
        <v>2</v>
      </c>
      <c r="BW69" s="151">
        <f t="shared" ref="BW69:BY71" si="134">SUM(BW57,BW61,BW65)</f>
        <v>0</v>
      </c>
      <c r="BX69" s="152">
        <f t="shared" si="134"/>
        <v>1</v>
      </c>
      <c r="BY69" s="152">
        <f t="shared" si="134"/>
        <v>0</v>
      </c>
      <c r="BZ69" s="395">
        <f>SUM(BW69:BY69)</f>
        <v>1</v>
      </c>
      <c r="CA69" s="151">
        <f>SUM(CA57,CA61,CA65)</f>
        <v>0</v>
      </c>
      <c r="CB69" s="152">
        <f t="shared" ref="CB69:CC71" si="135">SUM(CB57,CB61,CB65)</f>
        <v>0</v>
      </c>
      <c r="CC69" s="152">
        <f t="shared" si="135"/>
        <v>2</v>
      </c>
      <c r="CD69" s="395">
        <f>SUM(CA69:CC69)</f>
        <v>2</v>
      </c>
      <c r="CE69" s="151">
        <f t="shared" ref="CE69:CG71" si="136">SUM(CE57,CE61,CE65)</f>
        <v>0</v>
      </c>
      <c r="CF69" s="152">
        <f t="shared" si="136"/>
        <v>0</v>
      </c>
      <c r="CG69" s="152">
        <f t="shared" si="136"/>
        <v>0</v>
      </c>
      <c r="CH69" s="395">
        <f>SUM(CE69:CG69)</f>
        <v>0</v>
      </c>
      <c r="CI69" s="151">
        <f t="shared" ref="CI69:CK71" si="137">SUM(CI57,CI61,CI65)</f>
        <v>0</v>
      </c>
      <c r="CJ69" s="152">
        <f t="shared" si="137"/>
        <v>0</v>
      </c>
      <c r="CK69" s="152">
        <f t="shared" si="137"/>
        <v>0</v>
      </c>
      <c r="CL69" s="395">
        <f>SUM(CI69:CK69)</f>
        <v>0</v>
      </c>
      <c r="CM69" s="151">
        <f t="shared" ref="CM69:CO69" si="138">SUM(CM57,CM61,CM65)</f>
        <v>0</v>
      </c>
      <c r="CN69" s="152">
        <f t="shared" si="138"/>
        <v>0</v>
      </c>
      <c r="CO69" s="152">
        <f t="shared" si="138"/>
        <v>0</v>
      </c>
      <c r="CP69" s="395">
        <f>SUM(CM69:CO69)</f>
        <v>0</v>
      </c>
      <c r="CQ69" s="151">
        <f t="shared" ref="CQ69:CS69" si="139">SUM(CQ57,CQ61,CQ65)</f>
        <v>0</v>
      </c>
      <c r="CR69" s="152">
        <f t="shared" si="139"/>
        <v>0</v>
      </c>
      <c r="CS69" s="152">
        <f t="shared" si="139"/>
        <v>0</v>
      </c>
      <c r="CT69" s="395">
        <f>SUM(CQ69:CS69)</f>
        <v>0</v>
      </c>
    </row>
    <row r="70" spans="1:98" s="1330" customFormat="1" ht="15" customHeight="1" x14ac:dyDescent="0.25">
      <c r="A70" s="1661"/>
      <c r="B70" s="1336" t="s">
        <v>310</v>
      </c>
      <c r="C70" s="1262"/>
      <c r="D70" s="1263"/>
      <c r="E70" s="1263"/>
      <c r="F70" s="1264"/>
      <c r="G70" s="1262"/>
      <c r="H70" s="1263"/>
      <c r="I70" s="1263"/>
      <c r="J70" s="1264"/>
      <c r="K70" s="1262"/>
      <c r="L70" s="1263"/>
      <c r="M70" s="1263"/>
      <c r="N70" s="1264"/>
      <c r="O70" s="1262"/>
      <c r="P70" s="1263"/>
      <c r="Q70" s="1263"/>
      <c r="R70" s="1264"/>
      <c r="S70" s="1262"/>
      <c r="T70" s="1263"/>
      <c r="U70" s="1263"/>
      <c r="V70" s="1264"/>
      <c r="W70" s="1262"/>
      <c r="X70" s="1263"/>
      <c r="Y70" s="1263"/>
      <c r="Z70" s="1337"/>
      <c r="AA70" s="1262"/>
      <c r="AB70" s="1263"/>
      <c r="AC70" s="1263"/>
      <c r="AD70" s="1264"/>
      <c r="AE70" s="1263"/>
      <c r="AF70" s="1263"/>
      <c r="AG70" s="1263"/>
      <c r="AH70" s="1264"/>
      <c r="AI70" s="1263"/>
      <c r="AJ70" s="1263"/>
      <c r="AK70" s="1263"/>
      <c r="AL70" s="1337"/>
      <c r="AM70" s="129"/>
      <c r="AN70" s="130"/>
      <c r="AO70" s="130"/>
      <c r="AP70" s="130"/>
      <c r="AQ70" s="129"/>
      <c r="AR70" s="130"/>
      <c r="AS70" s="130"/>
      <c r="AT70" s="396"/>
      <c r="AU70" s="129"/>
      <c r="AV70" s="130"/>
      <c r="AW70" s="130"/>
      <c r="AX70" s="396"/>
      <c r="AY70" s="129"/>
      <c r="AZ70" s="130"/>
      <c r="BA70" s="130"/>
      <c r="BB70" s="396"/>
      <c r="BC70" s="129"/>
      <c r="BD70" s="130"/>
      <c r="BE70" s="130"/>
      <c r="BF70" s="396"/>
      <c r="BG70" s="129">
        <f t="shared" si="130"/>
        <v>5</v>
      </c>
      <c r="BH70" s="130">
        <f t="shared" si="130"/>
        <v>3</v>
      </c>
      <c r="BI70" s="130">
        <f t="shared" si="130"/>
        <v>2</v>
      </c>
      <c r="BJ70" s="396">
        <f>SUM(BG70:BI70)</f>
        <v>10</v>
      </c>
      <c r="BK70" s="129">
        <f t="shared" si="131"/>
        <v>3</v>
      </c>
      <c r="BL70" s="130">
        <f t="shared" si="131"/>
        <v>1</v>
      </c>
      <c r="BM70" s="130">
        <f t="shared" si="131"/>
        <v>11</v>
      </c>
      <c r="BN70" s="396">
        <f>SUM(BK70:BM70)</f>
        <v>15</v>
      </c>
      <c r="BO70" s="129">
        <f t="shared" si="132"/>
        <v>3</v>
      </c>
      <c r="BP70" s="130">
        <f t="shared" si="132"/>
        <v>6</v>
      </c>
      <c r="BQ70" s="130">
        <f t="shared" si="132"/>
        <v>17</v>
      </c>
      <c r="BR70" s="396">
        <f>SUM(BO70:BQ70)</f>
        <v>26</v>
      </c>
      <c r="BS70" s="129">
        <f t="shared" si="133"/>
        <v>5</v>
      </c>
      <c r="BT70" s="130">
        <f t="shared" si="133"/>
        <v>6</v>
      </c>
      <c r="BU70" s="130">
        <f t="shared" si="133"/>
        <v>23</v>
      </c>
      <c r="BV70" s="396">
        <f>SUM(BS70:BU70)</f>
        <v>34</v>
      </c>
      <c r="BW70" s="129">
        <f t="shared" si="134"/>
        <v>9</v>
      </c>
      <c r="BX70" s="130">
        <f t="shared" si="134"/>
        <v>4</v>
      </c>
      <c r="BY70" s="130">
        <f t="shared" si="134"/>
        <v>13</v>
      </c>
      <c r="BZ70" s="396">
        <f>SUM(BW70:BY70)</f>
        <v>26</v>
      </c>
      <c r="CA70" s="129">
        <f>SUM(CA58,CA62,CA66)</f>
        <v>6</v>
      </c>
      <c r="CB70" s="130">
        <f t="shared" si="135"/>
        <v>6</v>
      </c>
      <c r="CC70" s="130">
        <f t="shared" si="135"/>
        <v>3</v>
      </c>
      <c r="CD70" s="396">
        <f>SUM(CA70:CC70)</f>
        <v>15</v>
      </c>
      <c r="CE70" s="129">
        <f t="shared" si="136"/>
        <v>18</v>
      </c>
      <c r="CF70" s="130">
        <f t="shared" si="136"/>
        <v>16</v>
      </c>
      <c r="CG70" s="130">
        <f t="shared" si="136"/>
        <v>4</v>
      </c>
      <c r="CH70" s="396">
        <f>SUM(CE70:CG70)</f>
        <v>38</v>
      </c>
      <c r="CI70" s="129">
        <f t="shared" si="137"/>
        <v>9</v>
      </c>
      <c r="CJ70" s="130">
        <f t="shared" si="137"/>
        <v>8</v>
      </c>
      <c r="CK70" s="130">
        <f t="shared" si="137"/>
        <v>15</v>
      </c>
      <c r="CL70" s="396">
        <f>SUM(CI70:CK70)</f>
        <v>32</v>
      </c>
      <c r="CM70" s="129">
        <f t="shared" ref="CM70:CO70" si="140">SUM(CM58,CM62,CM66)</f>
        <v>13</v>
      </c>
      <c r="CN70" s="130">
        <f t="shared" si="140"/>
        <v>1</v>
      </c>
      <c r="CO70" s="130">
        <f t="shared" si="140"/>
        <v>5</v>
      </c>
      <c r="CP70" s="396">
        <f>SUM(CM70:CO70)</f>
        <v>19</v>
      </c>
      <c r="CQ70" s="129">
        <f t="shared" ref="CQ70:CS70" si="141">SUM(CQ58,CQ62,CQ66)</f>
        <v>6</v>
      </c>
      <c r="CR70" s="130">
        <f t="shared" si="141"/>
        <v>12</v>
      </c>
      <c r="CS70" s="130">
        <f t="shared" si="141"/>
        <v>10</v>
      </c>
      <c r="CT70" s="396">
        <f>SUM(CQ70:CS70)</f>
        <v>28</v>
      </c>
    </row>
    <row r="71" spans="1:98" s="1330" customFormat="1" ht="15" customHeight="1" x14ac:dyDescent="0.25">
      <c r="A71" s="1661"/>
      <c r="B71" s="1339" t="s">
        <v>317</v>
      </c>
      <c r="C71" s="1262"/>
      <c r="D71" s="1263"/>
      <c r="E71" s="1263"/>
      <c r="F71" s="1264"/>
      <c r="G71" s="1262"/>
      <c r="H71" s="1263"/>
      <c r="I71" s="1263"/>
      <c r="J71" s="1264"/>
      <c r="K71" s="1262"/>
      <c r="L71" s="1263"/>
      <c r="M71" s="1263"/>
      <c r="N71" s="1264"/>
      <c r="O71" s="1262"/>
      <c r="P71" s="1263"/>
      <c r="Q71" s="1263"/>
      <c r="R71" s="1264"/>
      <c r="S71" s="1262"/>
      <c r="T71" s="1263"/>
      <c r="U71" s="1263"/>
      <c r="V71" s="1264"/>
      <c r="W71" s="1262"/>
      <c r="X71" s="1263"/>
      <c r="Y71" s="1263"/>
      <c r="Z71" s="1337"/>
      <c r="AA71" s="1262"/>
      <c r="AB71" s="1263"/>
      <c r="AC71" s="1263"/>
      <c r="AD71" s="1264"/>
      <c r="AE71" s="1263"/>
      <c r="AF71" s="1263"/>
      <c r="AG71" s="1263"/>
      <c r="AH71" s="1264"/>
      <c r="AI71" s="1263"/>
      <c r="AJ71" s="1263"/>
      <c r="AK71" s="1263"/>
      <c r="AL71" s="1337"/>
      <c r="AM71" s="129"/>
      <c r="AN71" s="130"/>
      <c r="AO71" s="130"/>
      <c r="AP71" s="130"/>
      <c r="AQ71" s="129"/>
      <c r="AR71" s="130"/>
      <c r="AS71" s="130"/>
      <c r="AT71" s="396"/>
      <c r="AU71" s="129"/>
      <c r="AV71" s="130"/>
      <c r="AW71" s="130"/>
      <c r="AX71" s="396"/>
      <c r="AY71" s="129"/>
      <c r="AZ71" s="130"/>
      <c r="BA71" s="130"/>
      <c r="BB71" s="396"/>
      <c r="BC71" s="129"/>
      <c r="BD71" s="130"/>
      <c r="BE71" s="130"/>
      <c r="BF71" s="396"/>
      <c r="BG71" s="129">
        <f t="shared" si="130"/>
        <v>0</v>
      </c>
      <c r="BH71" s="130">
        <f t="shared" si="130"/>
        <v>0</v>
      </c>
      <c r="BI71" s="130">
        <f t="shared" si="130"/>
        <v>0</v>
      </c>
      <c r="BJ71" s="396">
        <f>SUM(BG71:BI71)</f>
        <v>0</v>
      </c>
      <c r="BK71" s="129">
        <f t="shared" si="131"/>
        <v>0</v>
      </c>
      <c r="BL71" s="130">
        <f t="shared" si="131"/>
        <v>1</v>
      </c>
      <c r="BM71" s="130">
        <f t="shared" si="131"/>
        <v>1</v>
      </c>
      <c r="BN71" s="396">
        <f>SUM(BK71:BM71)</f>
        <v>2</v>
      </c>
      <c r="BO71" s="129">
        <f t="shared" si="132"/>
        <v>0</v>
      </c>
      <c r="BP71" s="130">
        <f t="shared" si="132"/>
        <v>2</v>
      </c>
      <c r="BQ71" s="130">
        <f t="shared" si="132"/>
        <v>1</v>
      </c>
      <c r="BR71" s="396">
        <f>SUM(BO71:BQ71)</f>
        <v>3</v>
      </c>
      <c r="BS71" s="129">
        <f t="shared" si="133"/>
        <v>2</v>
      </c>
      <c r="BT71" s="130">
        <f t="shared" si="133"/>
        <v>1</v>
      </c>
      <c r="BU71" s="130">
        <f t="shared" si="133"/>
        <v>2</v>
      </c>
      <c r="BV71" s="396">
        <f>SUM(BS71:BU71)</f>
        <v>5</v>
      </c>
      <c r="BW71" s="129">
        <f t="shared" si="134"/>
        <v>5</v>
      </c>
      <c r="BX71" s="130">
        <f t="shared" si="134"/>
        <v>1</v>
      </c>
      <c r="BY71" s="130">
        <f t="shared" si="134"/>
        <v>5</v>
      </c>
      <c r="BZ71" s="396">
        <f>SUM(BW71:BY71)</f>
        <v>11</v>
      </c>
      <c r="CA71" s="129">
        <f>SUM(CA59,CA63,CA67)</f>
        <v>7</v>
      </c>
      <c r="CB71" s="130">
        <f t="shared" si="135"/>
        <v>4</v>
      </c>
      <c r="CC71" s="130">
        <f t="shared" si="135"/>
        <v>0</v>
      </c>
      <c r="CD71" s="396">
        <f>SUM(CA71:CC71)</f>
        <v>11</v>
      </c>
      <c r="CE71" s="129">
        <f t="shared" si="136"/>
        <v>3</v>
      </c>
      <c r="CF71" s="130">
        <f t="shared" si="136"/>
        <v>1</v>
      </c>
      <c r="CG71" s="130">
        <f t="shared" si="136"/>
        <v>7</v>
      </c>
      <c r="CH71" s="396">
        <f>SUM(CE71:CG71)</f>
        <v>11</v>
      </c>
      <c r="CI71" s="129">
        <f t="shared" si="137"/>
        <v>0</v>
      </c>
      <c r="CJ71" s="130">
        <f t="shared" si="137"/>
        <v>0</v>
      </c>
      <c r="CK71" s="130">
        <f t="shared" si="137"/>
        <v>7</v>
      </c>
      <c r="CL71" s="396">
        <f>SUM(CI71:CK71)</f>
        <v>7</v>
      </c>
      <c r="CM71" s="129">
        <f t="shared" ref="CM71:CO71" si="142">SUM(CM59,CM63,CM67)</f>
        <v>2</v>
      </c>
      <c r="CN71" s="130">
        <f t="shared" si="142"/>
        <v>2</v>
      </c>
      <c r="CO71" s="130">
        <f t="shared" si="142"/>
        <v>1</v>
      </c>
      <c r="CP71" s="396">
        <f>SUM(CM71:CO71)</f>
        <v>5</v>
      </c>
      <c r="CQ71" s="129">
        <f t="shared" ref="CQ71:CS71" si="143">SUM(CQ59,CQ63,CQ67)</f>
        <v>6</v>
      </c>
      <c r="CR71" s="130">
        <f t="shared" si="143"/>
        <v>3</v>
      </c>
      <c r="CS71" s="130">
        <f t="shared" si="143"/>
        <v>2</v>
      </c>
      <c r="CT71" s="396">
        <f>SUM(CQ71:CS71)</f>
        <v>11</v>
      </c>
    </row>
    <row r="72" spans="1:98" s="1330" customFormat="1" ht="15" customHeight="1" x14ac:dyDescent="0.25">
      <c r="A72" s="1661"/>
      <c r="B72" s="1355" t="s">
        <v>134</v>
      </c>
      <c r="C72" s="1671"/>
      <c r="D72" s="1672"/>
      <c r="E72" s="1672"/>
      <c r="F72" s="1673"/>
      <c r="G72" s="1671"/>
      <c r="H72" s="1672"/>
      <c r="I72" s="1672"/>
      <c r="J72" s="1673"/>
      <c r="K72" s="1671"/>
      <c r="L72" s="1672"/>
      <c r="M72" s="1672"/>
      <c r="N72" s="1673"/>
      <c r="O72" s="1671"/>
      <c r="P72" s="1672"/>
      <c r="Q72" s="1672"/>
      <c r="R72" s="1673"/>
      <c r="S72" s="1671"/>
      <c r="T72" s="1672"/>
      <c r="U72" s="1672"/>
      <c r="V72" s="1673"/>
      <c r="W72" s="1671"/>
      <c r="X72" s="1672"/>
      <c r="Y72" s="1672"/>
      <c r="Z72" s="1672"/>
      <c r="AA72" s="1671"/>
      <c r="AB72" s="1672"/>
      <c r="AC72" s="1672"/>
      <c r="AD72" s="1673"/>
      <c r="AE72" s="1672"/>
      <c r="AF72" s="1672"/>
      <c r="AG72" s="1672"/>
      <c r="AH72" s="1673"/>
      <c r="AI72" s="1672"/>
      <c r="AJ72" s="1672"/>
      <c r="AK72" s="1672"/>
      <c r="AL72" s="1672"/>
      <c r="AM72" s="1357"/>
      <c r="AN72" s="1356"/>
      <c r="AO72" s="1356"/>
      <c r="AP72" s="1356"/>
      <c r="AQ72" s="1357"/>
      <c r="AR72" s="1356"/>
      <c r="AS72" s="1356"/>
      <c r="AT72" s="1358"/>
      <c r="AU72" s="1357"/>
      <c r="AV72" s="1356"/>
      <c r="AW72" s="1356"/>
      <c r="AX72" s="1358"/>
      <c r="AY72" s="1357"/>
      <c r="AZ72" s="1356"/>
      <c r="BA72" s="1356"/>
      <c r="BB72" s="1358"/>
      <c r="BC72" s="1357"/>
      <c r="BD72" s="1356"/>
      <c r="BE72" s="1356"/>
      <c r="BF72" s="1358"/>
      <c r="BG72" s="1357">
        <f t="shared" ref="BG72:CL72" si="144">SUM(BG69:BG71)</f>
        <v>5</v>
      </c>
      <c r="BH72" s="1356">
        <f t="shared" si="144"/>
        <v>5</v>
      </c>
      <c r="BI72" s="1356">
        <f t="shared" si="144"/>
        <v>2</v>
      </c>
      <c r="BJ72" s="1358">
        <f t="shared" si="144"/>
        <v>12</v>
      </c>
      <c r="BK72" s="1357">
        <f t="shared" si="144"/>
        <v>3</v>
      </c>
      <c r="BL72" s="1356">
        <f t="shared" si="144"/>
        <v>4</v>
      </c>
      <c r="BM72" s="1356">
        <f t="shared" si="144"/>
        <v>12</v>
      </c>
      <c r="BN72" s="1358">
        <f t="shared" si="144"/>
        <v>19</v>
      </c>
      <c r="BO72" s="1357">
        <f t="shared" si="144"/>
        <v>3</v>
      </c>
      <c r="BP72" s="1356">
        <f t="shared" si="144"/>
        <v>10</v>
      </c>
      <c r="BQ72" s="1356">
        <f t="shared" si="144"/>
        <v>18</v>
      </c>
      <c r="BR72" s="1358">
        <f t="shared" si="144"/>
        <v>31</v>
      </c>
      <c r="BS72" s="1357">
        <f t="shared" si="144"/>
        <v>8</v>
      </c>
      <c r="BT72" s="1356">
        <f t="shared" si="144"/>
        <v>8</v>
      </c>
      <c r="BU72" s="1356">
        <f t="shared" si="144"/>
        <v>25</v>
      </c>
      <c r="BV72" s="1358">
        <f t="shared" si="144"/>
        <v>41</v>
      </c>
      <c r="BW72" s="1357">
        <f t="shared" si="144"/>
        <v>14</v>
      </c>
      <c r="BX72" s="1356">
        <f t="shared" si="144"/>
        <v>6</v>
      </c>
      <c r="BY72" s="1356">
        <f t="shared" si="144"/>
        <v>18</v>
      </c>
      <c r="BZ72" s="1358">
        <f t="shared" si="144"/>
        <v>38</v>
      </c>
      <c r="CA72" s="1357">
        <f t="shared" si="144"/>
        <v>13</v>
      </c>
      <c r="CB72" s="1356">
        <f t="shared" si="144"/>
        <v>10</v>
      </c>
      <c r="CC72" s="1356">
        <f t="shared" si="144"/>
        <v>5</v>
      </c>
      <c r="CD72" s="1358">
        <f t="shared" si="144"/>
        <v>28</v>
      </c>
      <c r="CE72" s="1357">
        <f t="shared" si="144"/>
        <v>21</v>
      </c>
      <c r="CF72" s="1356">
        <f t="shared" si="144"/>
        <v>17</v>
      </c>
      <c r="CG72" s="1356">
        <f t="shared" si="144"/>
        <v>11</v>
      </c>
      <c r="CH72" s="1358">
        <f t="shared" si="144"/>
        <v>49</v>
      </c>
      <c r="CI72" s="1357">
        <f t="shared" si="144"/>
        <v>9</v>
      </c>
      <c r="CJ72" s="1356">
        <f t="shared" si="144"/>
        <v>8</v>
      </c>
      <c r="CK72" s="1356">
        <f t="shared" si="144"/>
        <v>22</v>
      </c>
      <c r="CL72" s="1358">
        <f t="shared" si="144"/>
        <v>39</v>
      </c>
      <c r="CM72" s="1357">
        <f t="shared" ref="CM72:CP72" si="145">SUM(CM69:CM71)</f>
        <v>15</v>
      </c>
      <c r="CN72" s="1356">
        <f t="shared" si="145"/>
        <v>3</v>
      </c>
      <c r="CO72" s="1356">
        <f t="shared" si="145"/>
        <v>6</v>
      </c>
      <c r="CP72" s="1358">
        <f t="shared" si="145"/>
        <v>24</v>
      </c>
      <c r="CQ72" s="1357">
        <f t="shared" ref="CQ72:CT72" si="146">SUM(CQ69:CQ71)</f>
        <v>12</v>
      </c>
      <c r="CR72" s="1356">
        <f t="shared" si="146"/>
        <v>15</v>
      </c>
      <c r="CS72" s="1356">
        <f t="shared" si="146"/>
        <v>12</v>
      </c>
      <c r="CT72" s="1358">
        <f t="shared" si="146"/>
        <v>39</v>
      </c>
    </row>
    <row r="73" spans="1:98" s="1330" customFormat="1" ht="15" customHeight="1" x14ac:dyDescent="0.25">
      <c r="A73" s="1661"/>
      <c r="B73" s="1661"/>
      <c r="C73" s="1661"/>
      <c r="D73" s="1661"/>
      <c r="E73" s="1661"/>
      <c r="F73" s="1661"/>
      <c r="G73" s="1661"/>
      <c r="H73" s="1661"/>
      <c r="I73" s="1661"/>
      <c r="J73" s="1661"/>
      <c r="K73" s="1661"/>
      <c r="L73" s="1661"/>
      <c r="M73" s="1661"/>
      <c r="N73" s="1661"/>
      <c r="O73" s="1661"/>
      <c r="P73" s="1661"/>
      <c r="Q73" s="1661"/>
      <c r="R73" s="1661"/>
      <c r="S73" s="1661"/>
      <c r="T73" s="1661"/>
      <c r="U73" s="1661"/>
      <c r="V73" s="1661"/>
      <c r="W73" s="1661"/>
      <c r="X73" s="1661"/>
      <c r="Y73" s="1661"/>
      <c r="Z73" s="1661"/>
      <c r="AA73" s="1661"/>
      <c r="AB73" s="1661"/>
      <c r="AC73" s="1661"/>
      <c r="AD73" s="1661"/>
      <c r="AE73" s="1661"/>
      <c r="AF73" s="1661"/>
      <c r="AG73" s="1661"/>
      <c r="AH73" s="1661"/>
      <c r="AI73" s="1661"/>
      <c r="AJ73" s="1661"/>
      <c r="AK73" s="1661"/>
      <c r="AL73" s="1661"/>
      <c r="AM73" s="1661"/>
      <c r="AN73" s="1661"/>
      <c r="AO73" s="1661"/>
      <c r="AP73" s="1661"/>
      <c r="AQ73" s="1661"/>
      <c r="AR73" s="1661"/>
      <c r="AS73" s="1661"/>
      <c r="AT73" s="1661"/>
      <c r="AU73" s="1661"/>
      <c r="AV73" s="1661"/>
      <c r="AW73" s="1661"/>
      <c r="AX73" s="1661"/>
      <c r="AY73" s="1661"/>
      <c r="AZ73" s="1661"/>
      <c r="BA73" s="1661"/>
      <c r="BB73" s="1661"/>
      <c r="BC73" s="1661"/>
      <c r="BD73" s="1661"/>
      <c r="BE73" s="1661"/>
      <c r="BF73" s="1661"/>
      <c r="BG73" s="1661"/>
      <c r="BH73" s="1661"/>
      <c r="BI73" s="1661"/>
      <c r="BJ73" s="1661"/>
      <c r="BK73" s="1661"/>
      <c r="BL73" s="1661"/>
      <c r="BM73" s="1661"/>
      <c r="BN73" s="1661"/>
      <c r="BO73" s="1661"/>
      <c r="BP73" s="1661"/>
      <c r="BQ73" s="1661"/>
      <c r="BR73" s="1661"/>
      <c r="BS73" s="1661"/>
      <c r="BT73" s="1661"/>
      <c r="BU73" s="1661"/>
      <c r="BV73" s="1661"/>
      <c r="BW73" s="1661"/>
      <c r="BX73" s="1661"/>
      <c r="BY73" s="1661"/>
      <c r="BZ73" s="1661"/>
      <c r="CA73" s="1661"/>
      <c r="CB73" s="1661"/>
      <c r="CC73" s="1661"/>
      <c r="CD73" s="1661"/>
      <c r="CE73" s="1661"/>
      <c r="CF73" s="1661"/>
      <c r="CG73" s="1661"/>
      <c r="CH73" s="1661"/>
      <c r="CI73" s="1661"/>
      <c r="CJ73" s="1661"/>
      <c r="CK73" s="1661"/>
      <c r="CL73" s="1661"/>
      <c r="CM73" s="1661"/>
      <c r="CN73" s="1661"/>
      <c r="CO73" s="1661"/>
      <c r="CP73" s="1661"/>
      <c r="CQ73" s="1661"/>
      <c r="CR73" s="1661"/>
      <c r="CS73" s="1661"/>
      <c r="CT73" s="1661"/>
    </row>
    <row r="74" spans="1:98" s="1330" customFormat="1" ht="15" customHeight="1" x14ac:dyDescent="0.25">
      <c r="A74" s="1661"/>
      <c r="B74" s="4952" t="s">
        <v>308</v>
      </c>
      <c r="C74" s="4953"/>
      <c r="D74" s="4954"/>
      <c r="E74" s="4954"/>
      <c r="F74" s="4955"/>
      <c r="G74" s="4953"/>
      <c r="H74" s="4954"/>
      <c r="I74" s="4954"/>
      <c r="J74" s="4955"/>
      <c r="K74" s="4953"/>
      <c r="L74" s="4954"/>
      <c r="M74" s="4954"/>
      <c r="N74" s="4955"/>
      <c r="O74" s="4953"/>
      <c r="P74" s="4954"/>
      <c r="Q74" s="4954"/>
      <c r="R74" s="4955"/>
      <c r="S74" s="4953"/>
      <c r="T74" s="4954"/>
      <c r="U74" s="4954"/>
      <c r="V74" s="4955"/>
      <c r="W74" s="4953"/>
      <c r="X74" s="4954"/>
      <c r="Y74" s="4954"/>
      <c r="Z74" s="4956"/>
      <c r="AA74" s="4953"/>
      <c r="AB74" s="4954"/>
      <c r="AC74" s="4954"/>
      <c r="AD74" s="4955"/>
      <c r="AE74" s="4954"/>
      <c r="AF74" s="4954"/>
      <c r="AG74" s="4954"/>
      <c r="AH74" s="4955"/>
      <c r="AI74" s="4954"/>
      <c r="AJ74" s="4954"/>
      <c r="AK74" s="4954"/>
      <c r="AL74" s="4956"/>
      <c r="AM74" s="4957"/>
      <c r="AN74" s="4958"/>
      <c r="AO74" s="4958"/>
      <c r="AP74" s="4959"/>
      <c r="AQ74" s="4957"/>
      <c r="AR74" s="4958"/>
      <c r="AS74" s="4958"/>
      <c r="AT74" s="4959"/>
      <c r="AU74" s="4957"/>
      <c r="AV74" s="4958"/>
      <c r="AW74" s="4958"/>
      <c r="AX74" s="4959"/>
      <c r="AY74" s="4957"/>
      <c r="AZ74" s="4958"/>
      <c r="BA74" s="4958"/>
      <c r="BB74" s="4959"/>
      <c r="BC74" s="4957"/>
      <c r="BD74" s="4958"/>
      <c r="BE74" s="4958"/>
      <c r="BF74" s="4959"/>
      <c r="BG74" s="4957"/>
      <c r="BH74" s="4958"/>
      <c r="BI74" s="4958"/>
      <c r="BJ74" s="4959"/>
      <c r="BK74" s="4957"/>
      <c r="BL74" s="4958"/>
      <c r="BM74" s="4958"/>
      <c r="BN74" s="4959"/>
      <c r="BO74" s="4957"/>
      <c r="BP74" s="4958"/>
      <c r="BQ74" s="4958"/>
      <c r="BR74" s="4959"/>
      <c r="BS74" s="4957"/>
      <c r="BT74" s="4958"/>
      <c r="BU74" s="4958"/>
      <c r="BV74" s="4959"/>
      <c r="BW74" s="4957"/>
      <c r="BX74" s="4958"/>
      <c r="BY74" s="4958"/>
      <c r="BZ74" s="4959"/>
      <c r="CA74" s="4957"/>
      <c r="CB74" s="4958"/>
      <c r="CC74" s="4958"/>
      <c r="CD74" s="4959"/>
      <c r="CE74" s="4957"/>
      <c r="CF74" s="4958"/>
      <c r="CG74" s="4958"/>
      <c r="CH74" s="4959"/>
      <c r="CI74" s="4957"/>
      <c r="CJ74" s="4958"/>
      <c r="CK74" s="4958"/>
      <c r="CL74" s="4959"/>
      <c r="CM74" s="4957"/>
      <c r="CN74" s="4958"/>
      <c r="CO74" s="4958"/>
      <c r="CP74" s="4959"/>
      <c r="CQ74" s="4957"/>
      <c r="CR74" s="4958"/>
      <c r="CS74" s="4958"/>
      <c r="CT74" s="4959"/>
    </row>
    <row r="75" spans="1:98" s="1330" customFormat="1" ht="15" customHeight="1" x14ac:dyDescent="0.25">
      <c r="A75" s="1661"/>
      <c r="B75" s="1336" t="s">
        <v>310</v>
      </c>
      <c r="C75" s="1262"/>
      <c r="D75" s="1263"/>
      <c r="E75" s="1263"/>
      <c r="F75" s="1264"/>
      <c r="G75" s="1262"/>
      <c r="H75" s="1263"/>
      <c r="I75" s="1263"/>
      <c r="J75" s="1264"/>
      <c r="K75" s="1262"/>
      <c r="L75" s="1263"/>
      <c r="M75" s="1263"/>
      <c r="N75" s="1264"/>
      <c r="O75" s="1262"/>
      <c r="P75" s="1263"/>
      <c r="Q75" s="1263"/>
      <c r="R75" s="1264"/>
      <c r="S75" s="1262"/>
      <c r="T75" s="1263"/>
      <c r="U75" s="1263"/>
      <c r="V75" s="1264"/>
      <c r="W75" s="1262"/>
      <c r="X75" s="1263"/>
      <c r="Y75" s="1263"/>
      <c r="Z75" s="1337"/>
      <c r="AA75" s="1262"/>
      <c r="AB75" s="1263"/>
      <c r="AC75" s="1263"/>
      <c r="AD75" s="1264"/>
      <c r="AE75" s="1263"/>
      <c r="AF75" s="1263"/>
      <c r="AG75" s="1263"/>
      <c r="AH75" s="1264"/>
      <c r="AI75" s="1263"/>
      <c r="AJ75" s="1263"/>
      <c r="AK75" s="1263"/>
      <c r="AL75" s="1337"/>
      <c r="AM75" s="129"/>
      <c r="AN75" s="130"/>
      <c r="AO75" s="130"/>
      <c r="AP75" s="396"/>
      <c r="AQ75" s="129"/>
      <c r="AR75" s="130"/>
      <c r="AS75" s="130"/>
      <c r="AT75" s="396"/>
      <c r="AU75" s="129"/>
      <c r="AV75" s="130"/>
      <c r="AW75" s="130"/>
      <c r="AX75" s="396"/>
      <c r="AY75" s="129"/>
      <c r="AZ75" s="130"/>
      <c r="BA75" s="130"/>
      <c r="BB75" s="396"/>
      <c r="BC75" s="129"/>
      <c r="BD75" s="130"/>
      <c r="BE75" s="130"/>
      <c r="BF75" s="396"/>
      <c r="BG75" s="129"/>
      <c r="BH75" s="130"/>
      <c r="BI75" s="130"/>
      <c r="BJ75" s="396"/>
      <c r="BK75" s="129"/>
      <c r="BL75" s="130"/>
      <c r="BM75" s="130"/>
      <c r="BN75" s="396"/>
      <c r="BO75" s="129"/>
      <c r="BP75" s="130"/>
      <c r="BQ75" s="130"/>
      <c r="BR75" s="396"/>
      <c r="BS75" s="130"/>
      <c r="BT75" s="130"/>
      <c r="BU75" s="130"/>
      <c r="BV75" s="396"/>
      <c r="BW75" s="130"/>
      <c r="BX75" s="130"/>
      <c r="BY75" s="130"/>
      <c r="BZ75" s="396"/>
      <c r="CA75" s="130"/>
      <c r="CB75" s="130"/>
      <c r="CC75" s="130"/>
      <c r="CD75" s="396"/>
      <c r="CE75" s="130"/>
      <c r="CF75" s="130"/>
      <c r="CG75" s="130"/>
      <c r="CH75" s="396"/>
      <c r="CI75" s="130"/>
      <c r="CJ75" s="130"/>
      <c r="CK75" s="130"/>
      <c r="CL75" s="396"/>
      <c r="CM75" s="130"/>
      <c r="CN75" s="130"/>
      <c r="CO75" s="130"/>
      <c r="CP75" s="396"/>
      <c r="CQ75" s="130"/>
      <c r="CR75" s="130"/>
      <c r="CS75" s="130"/>
      <c r="CT75" s="396"/>
    </row>
    <row r="76" spans="1:98" s="1330" customFormat="1" ht="15" customHeight="1" x14ac:dyDescent="0.25">
      <c r="A76" s="1661"/>
      <c r="B76" s="1339" t="s">
        <v>317</v>
      </c>
      <c r="C76" s="1262"/>
      <c r="D76" s="1263"/>
      <c r="E76" s="1263"/>
      <c r="F76" s="1264"/>
      <c r="G76" s="1262"/>
      <c r="H76" s="1263"/>
      <c r="I76" s="1263"/>
      <c r="J76" s="1264"/>
      <c r="K76" s="1262"/>
      <c r="L76" s="1263"/>
      <c r="M76" s="1263"/>
      <c r="N76" s="1264"/>
      <c r="O76" s="1262"/>
      <c r="P76" s="1263"/>
      <c r="Q76" s="1263"/>
      <c r="R76" s="1264"/>
      <c r="S76" s="1262"/>
      <c r="T76" s="1263"/>
      <c r="U76" s="1263"/>
      <c r="V76" s="1264"/>
      <c r="W76" s="1262"/>
      <c r="X76" s="1263"/>
      <c r="Y76" s="1263"/>
      <c r="Z76" s="1337"/>
      <c r="AA76" s="1262"/>
      <c r="AB76" s="1263"/>
      <c r="AC76" s="1263"/>
      <c r="AD76" s="1264"/>
      <c r="AE76" s="1263"/>
      <c r="AF76" s="1263"/>
      <c r="AG76" s="1263"/>
      <c r="AH76" s="1264"/>
      <c r="AI76" s="1263"/>
      <c r="AJ76" s="1263"/>
      <c r="AK76" s="1263"/>
      <c r="AL76" s="1337"/>
      <c r="AM76" s="129"/>
      <c r="AN76" s="130"/>
      <c r="AO76" s="130"/>
      <c r="AP76" s="396"/>
      <c r="AQ76" s="129"/>
      <c r="AR76" s="130"/>
      <c r="AS76" s="130"/>
      <c r="AT76" s="396"/>
      <c r="AU76" s="129"/>
      <c r="AV76" s="130"/>
      <c r="AW76" s="130"/>
      <c r="AX76" s="396"/>
      <c r="AY76" s="129"/>
      <c r="AZ76" s="130"/>
      <c r="BA76" s="130"/>
      <c r="BB76" s="396"/>
      <c r="BC76" s="129"/>
      <c r="BD76" s="130"/>
      <c r="BE76" s="130"/>
      <c r="BF76" s="396"/>
      <c r="BG76" s="129"/>
      <c r="BH76" s="130"/>
      <c r="BI76" s="130"/>
      <c r="BJ76" s="396"/>
      <c r="BK76" s="129"/>
      <c r="BL76" s="130"/>
      <c r="BM76" s="130"/>
      <c r="BN76" s="396"/>
      <c r="BO76" s="129"/>
      <c r="BP76" s="130"/>
      <c r="BQ76" s="130"/>
      <c r="BR76" s="396"/>
      <c r="BS76" s="129"/>
      <c r="BT76" s="130"/>
      <c r="BU76" s="130"/>
      <c r="BV76" s="396"/>
      <c r="BW76" s="129"/>
      <c r="BX76" s="130"/>
      <c r="BY76" s="130"/>
      <c r="BZ76" s="396"/>
      <c r="CA76" s="129"/>
      <c r="CB76" s="130"/>
      <c r="CC76" s="130"/>
      <c r="CD76" s="396"/>
      <c r="CE76" s="129"/>
      <c r="CF76" s="130"/>
      <c r="CG76" s="130"/>
      <c r="CH76" s="396"/>
      <c r="CI76" s="129"/>
      <c r="CJ76" s="130"/>
      <c r="CK76" s="130"/>
      <c r="CL76" s="396"/>
      <c r="CM76" s="129"/>
      <c r="CN76" s="130"/>
      <c r="CO76" s="130">
        <f>SUM('EGRESO-POS plan'!CP156)</f>
        <v>1</v>
      </c>
      <c r="CP76" s="396">
        <f>SUM(CM76:CO76)</f>
        <v>1</v>
      </c>
      <c r="CQ76" s="129"/>
      <c r="CR76" s="130"/>
      <c r="CS76" s="130"/>
      <c r="CT76" s="396"/>
    </row>
    <row r="77" spans="1:98" s="1330" customFormat="1" ht="15" customHeight="1" x14ac:dyDescent="0.25">
      <c r="A77" s="1661"/>
      <c r="B77" s="4923" t="s">
        <v>92</v>
      </c>
      <c r="C77" s="1662"/>
      <c r="D77" s="1663"/>
      <c r="E77" s="1663"/>
      <c r="F77" s="1310"/>
      <c r="G77" s="1662"/>
      <c r="H77" s="1663"/>
      <c r="I77" s="1663"/>
      <c r="J77" s="1310"/>
      <c r="K77" s="1662"/>
      <c r="L77" s="1663"/>
      <c r="M77" s="1663"/>
      <c r="N77" s="1310"/>
      <c r="O77" s="1662"/>
      <c r="P77" s="1663"/>
      <c r="Q77" s="1663"/>
      <c r="R77" s="1310"/>
      <c r="S77" s="1662"/>
      <c r="T77" s="1663"/>
      <c r="U77" s="1663"/>
      <c r="V77" s="1310"/>
      <c r="W77" s="1662"/>
      <c r="X77" s="1663"/>
      <c r="Y77" s="1663"/>
      <c r="Z77" s="1663"/>
      <c r="AA77" s="1662"/>
      <c r="AB77" s="1663"/>
      <c r="AC77" s="1663"/>
      <c r="AD77" s="1310"/>
      <c r="AE77" s="1663"/>
      <c r="AF77" s="1663"/>
      <c r="AG77" s="1663"/>
      <c r="AH77" s="1310"/>
      <c r="AI77" s="1663"/>
      <c r="AJ77" s="1663"/>
      <c r="AK77" s="1663"/>
      <c r="AL77" s="1663"/>
      <c r="AM77" s="630"/>
      <c r="AN77" s="1664"/>
      <c r="AO77" s="1664"/>
      <c r="AP77" s="1664"/>
      <c r="AQ77" s="630"/>
      <c r="AR77" s="1664"/>
      <c r="AS77" s="1664"/>
      <c r="AT77" s="1665"/>
      <c r="AU77" s="630"/>
      <c r="AV77" s="1664"/>
      <c r="AW77" s="1664"/>
      <c r="AX77" s="1665"/>
      <c r="AY77" s="630"/>
      <c r="AZ77" s="1664"/>
      <c r="BA77" s="1664"/>
      <c r="BB77" s="1665"/>
      <c r="BC77" s="630"/>
      <c r="BD77" s="1664"/>
      <c r="BE77" s="1664"/>
      <c r="BF77" s="1665"/>
      <c r="BG77" s="630"/>
      <c r="BH77" s="1664"/>
      <c r="BI77" s="1664"/>
      <c r="BJ77" s="1665"/>
      <c r="BK77" s="630"/>
      <c r="BL77" s="1664"/>
      <c r="BM77" s="1664"/>
      <c r="BN77" s="1665"/>
      <c r="BO77" s="630"/>
      <c r="BP77" s="1664"/>
      <c r="BQ77" s="1664"/>
      <c r="BR77" s="1665"/>
      <c r="BS77" s="630"/>
      <c r="BT77" s="1664"/>
      <c r="BU77" s="1664"/>
      <c r="BV77" s="1665"/>
      <c r="BW77" s="630"/>
      <c r="BX77" s="1664"/>
      <c r="BY77" s="1664"/>
      <c r="BZ77" s="1665"/>
      <c r="CA77" s="630"/>
      <c r="CB77" s="1664"/>
      <c r="CC77" s="1664"/>
      <c r="CD77" s="1665"/>
      <c r="CE77" s="630"/>
      <c r="CF77" s="1664"/>
      <c r="CG77" s="1664"/>
      <c r="CH77" s="1665"/>
      <c r="CI77" s="630"/>
      <c r="CJ77" s="1664"/>
      <c r="CK77" s="1664"/>
      <c r="CL77" s="1665"/>
      <c r="CM77" s="630"/>
      <c r="CN77" s="1664"/>
      <c r="CO77" s="1664">
        <f t="shared" ref="CO77:CP77" si="147">SUM(CO74:CO76)</f>
        <v>1</v>
      </c>
      <c r="CP77" s="1665">
        <f t="shared" si="147"/>
        <v>1</v>
      </c>
      <c r="CQ77" s="630"/>
      <c r="CR77" s="1664"/>
      <c r="CS77" s="1664"/>
      <c r="CT77" s="1665"/>
    </row>
    <row r="78" spans="1:98" s="1330" customFormat="1" ht="15" customHeight="1" x14ac:dyDescent="0.25">
      <c r="A78" s="1661"/>
      <c r="B78" s="4944" t="s">
        <v>317</v>
      </c>
      <c r="C78" s="4945"/>
      <c r="D78" s="4946"/>
      <c r="E78" s="4946"/>
      <c r="F78" s="4947"/>
      <c r="G78" s="4945"/>
      <c r="H78" s="4946"/>
      <c r="I78" s="4946"/>
      <c r="J78" s="4947"/>
      <c r="K78" s="4945"/>
      <c r="L78" s="4946"/>
      <c r="M78" s="4946"/>
      <c r="N78" s="4947"/>
      <c r="O78" s="4945"/>
      <c r="P78" s="4946"/>
      <c r="Q78" s="4946"/>
      <c r="R78" s="4947"/>
      <c r="S78" s="4945"/>
      <c r="T78" s="4946"/>
      <c r="U78" s="4946"/>
      <c r="V78" s="4947"/>
      <c r="W78" s="4945"/>
      <c r="X78" s="4946"/>
      <c r="Y78" s="4946"/>
      <c r="Z78" s="4948"/>
      <c r="AA78" s="4945"/>
      <c r="AB78" s="4946"/>
      <c r="AC78" s="4946"/>
      <c r="AD78" s="4947"/>
      <c r="AE78" s="4946"/>
      <c r="AF78" s="4946"/>
      <c r="AG78" s="4946"/>
      <c r="AH78" s="4947"/>
      <c r="AI78" s="4946"/>
      <c r="AJ78" s="4946"/>
      <c r="AK78" s="4946"/>
      <c r="AL78" s="4948"/>
      <c r="AM78" s="4949"/>
      <c r="AN78" s="4950"/>
      <c r="AO78" s="4950"/>
      <c r="AP78" s="4951"/>
      <c r="AQ78" s="4949"/>
      <c r="AR78" s="4950"/>
      <c r="AS78" s="4950"/>
      <c r="AT78" s="4951"/>
      <c r="AU78" s="4949"/>
      <c r="AV78" s="4950"/>
      <c r="AW78" s="4950"/>
      <c r="AX78" s="4951"/>
      <c r="AY78" s="4949"/>
      <c r="AZ78" s="4950"/>
      <c r="BA78" s="4950"/>
      <c r="BB78" s="4951"/>
      <c r="BC78" s="4949"/>
      <c r="BD78" s="4950"/>
      <c r="BE78" s="4950"/>
      <c r="BF78" s="4951"/>
      <c r="BG78" s="4949"/>
      <c r="BH78" s="4950"/>
      <c r="BI78" s="4950"/>
      <c r="BJ78" s="4951"/>
      <c r="BK78" s="4949"/>
      <c r="BL78" s="4950"/>
      <c r="BM78" s="4950"/>
      <c r="BN78" s="4951"/>
      <c r="BO78" s="4949"/>
      <c r="BP78" s="4950"/>
      <c r="BQ78" s="4950"/>
      <c r="BR78" s="4951"/>
      <c r="BS78" s="4949"/>
      <c r="BT78" s="4950"/>
      <c r="BU78" s="4950"/>
      <c r="BV78" s="4951"/>
      <c r="BW78" s="4949"/>
      <c r="BX78" s="4950"/>
      <c r="BY78" s="4950"/>
      <c r="BZ78" s="4951"/>
      <c r="CA78" s="4949"/>
      <c r="CB78" s="4950"/>
      <c r="CC78" s="4950"/>
      <c r="CD78" s="4951"/>
      <c r="CE78" s="4949"/>
      <c r="CF78" s="4950"/>
      <c r="CG78" s="4950"/>
      <c r="CH78" s="4951"/>
      <c r="CI78" s="4949"/>
      <c r="CJ78" s="4950"/>
      <c r="CK78" s="4950"/>
      <c r="CL78" s="4951"/>
      <c r="CM78" s="4949"/>
      <c r="CN78" s="4950"/>
      <c r="CO78" s="4950">
        <f>SUM(CO76)</f>
        <v>1</v>
      </c>
      <c r="CP78" s="4951">
        <f>SUM(CM78:CO78)</f>
        <v>1</v>
      </c>
      <c r="CQ78" s="4949"/>
      <c r="CR78" s="4950"/>
      <c r="CS78" s="4950"/>
      <c r="CT78" s="4951"/>
    </row>
    <row r="79" spans="1:98" s="1330" customFormat="1" ht="15" customHeight="1" x14ac:dyDescent="0.25">
      <c r="A79" s="1661"/>
      <c r="B79" s="1369" t="s">
        <v>136</v>
      </c>
      <c r="C79" s="1360"/>
      <c r="D79" s="1361"/>
      <c r="E79" s="1361"/>
      <c r="F79" s="1362"/>
      <c r="G79" s="1360"/>
      <c r="H79" s="1361"/>
      <c r="I79" s="1361"/>
      <c r="J79" s="1362"/>
      <c r="K79" s="1360"/>
      <c r="L79" s="1361"/>
      <c r="M79" s="1361"/>
      <c r="N79" s="1362"/>
      <c r="O79" s="1360"/>
      <c r="P79" s="1361"/>
      <c r="Q79" s="1361"/>
      <c r="R79" s="1362"/>
      <c r="S79" s="1360"/>
      <c r="T79" s="1361"/>
      <c r="U79" s="1361"/>
      <c r="V79" s="1362"/>
      <c r="W79" s="1360"/>
      <c r="X79" s="1361"/>
      <c r="Y79" s="1361"/>
      <c r="Z79" s="1361"/>
      <c r="AA79" s="1360"/>
      <c r="AB79" s="1361"/>
      <c r="AC79" s="1361"/>
      <c r="AD79" s="1362"/>
      <c r="AE79" s="1361"/>
      <c r="AF79" s="1361"/>
      <c r="AG79" s="1361"/>
      <c r="AH79" s="1362"/>
      <c r="AI79" s="1361"/>
      <c r="AJ79" s="1361"/>
      <c r="AK79" s="1361"/>
      <c r="AL79" s="1361"/>
      <c r="AM79" s="1363"/>
      <c r="AN79" s="1364"/>
      <c r="AO79" s="1364"/>
      <c r="AP79" s="1364"/>
      <c r="AQ79" s="1363"/>
      <c r="AR79" s="1364"/>
      <c r="AS79" s="1364"/>
      <c r="AT79" s="1365"/>
      <c r="AU79" s="1363"/>
      <c r="AV79" s="1364"/>
      <c r="AW79" s="1364"/>
      <c r="AX79" s="1365"/>
      <c r="AY79" s="1363"/>
      <c r="AZ79" s="1364"/>
      <c r="BA79" s="1364"/>
      <c r="BB79" s="1365"/>
      <c r="BC79" s="1363"/>
      <c r="BD79" s="1364"/>
      <c r="BE79" s="1364"/>
      <c r="BF79" s="1365"/>
      <c r="BG79" s="1363"/>
      <c r="BH79" s="1364"/>
      <c r="BI79" s="1364"/>
      <c r="BJ79" s="1365"/>
      <c r="BK79" s="1363"/>
      <c r="BL79" s="1364"/>
      <c r="BM79" s="1364"/>
      <c r="BN79" s="1365"/>
      <c r="BO79" s="1363"/>
      <c r="BP79" s="1364"/>
      <c r="BQ79" s="1364"/>
      <c r="BR79" s="1365"/>
      <c r="BS79" s="1363"/>
      <c r="BT79" s="1364"/>
      <c r="BU79" s="1364"/>
      <c r="BV79" s="1365"/>
      <c r="BW79" s="1363"/>
      <c r="BX79" s="1364"/>
      <c r="BY79" s="1364"/>
      <c r="BZ79" s="1365"/>
      <c r="CA79" s="1363"/>
      <c r="CB79" s="1364"/>
      <c r="CC79" s="1364"/>
      <c r="CD79" s="1365"/>
      <c r="CE79" s="1363"/>
      <c r="CF79" s="1364"/>
      <c r="CG79" s="1364"/>
      <c r="CH79" s="1365"/>
      <c r="CI79" s="1363"/>
      <c r="CJ79" s="1364"/>
      <c r="CK79" s="1364"/>
      <c r="CL79" s="1365"/>
      <c r="CM79" s="1373"/>
      <c r="CN79" s="1374"/>
      <c r="CO79" s="1374">
        <f>SUM(CO78)</f>
        <v>1</v>
      </c>
      <c r="CP79" s="1375">
        <f>SUM(CP78)</f>
        <v>1</v>
      </c>
      <c r="CQ79" s="1373"/>
      <c r="CR79" s="1374"/>
      <c r="CS79" s="1374"/>
      <c r="CT79" s="1375"/>
    </row>
    <row r="80" spans="1:98" s="1330" customFormat="1" ht="15" customHeight="1" x14ac:dyDescent="0.25">
      <c r="A80" s="1661"/>
      <c r="B80" s="328"/>
      <c r="C80" s="1670"/>
      <c r="D80" s="1670"/>
      <c r="E80" s="1670"/>
      <c r="F80" s="1670"/>
      <c r="G80" s="1670"/>
      <c r="H80" s="1670"/>
      <c r="I80" s="1670"/>
      <c r="J80" s="1670"/>
      <c r="K80" s="1670"/>
      <c r="L80" s="1670"/>
      <c r="M80" s="1670"/>
      <c r="N80" s="1670"/>
      <c r="O80" s="1670"/>
      <c r="P80" s="1670"/>
      <c r="Q80" s="1670"/>
      <c r="R80" s="1670"/>
      <c r="S80" s="1670"/>
      <c r="T80" s="1670"/>
      <c r="U80" s="1670"/>
      <c r="V80" s="1670"/>
      <c r="W80" s="1670"/>
      <c r="X80" s="1670"/>
      <c r="Y80" s="1670"/>
      <c r="Z80" s="1670"/>
      <c r="AA80" s="1670"/>
      <c r="AB80" s="1670"/>
      <c r="AC80" s="1670"/>
      <c r="AD80" s="1670"/>
      <c r="AE80" s="1670"/>
      <c r="AF80" s="1670"/>
      <c r="AG80" s="1670"/>
      <c r="AH80" s="1670"/>
      <c r="AI80" s="1670"/>
      <c r="AJ80" s="1670"/>
      <c r="AK80" s="1670"/>
      <c r="AL80" s="1670"/>
      <c r="AM80" s="1670"/>
      <c r="AN80" s="1670"/>
      <c r="AO80" s="1670"/>
      <c r="AP80" s="1670"/>
      <c r="AQ80" s="1670"/>
      <c r="AR80" s="1670"/>
      <c r="AS80" s="1670"/>
      <c r="AT80" s="1670"/>
      <c r="AU80" s="1670"/>
      <c r="AV80" s="1670"/>
      <c r="AW80" s="1670"/>
      <c r="AX80" s="1670"/>
      <c r="AY80" s="1670"/>
      <c r="AZ80" s="1670"/>
      <c r="BA80" s="1670"/>
      <c r="BB80" s="1670"/>
      <c r="BC80" s="1670"/>
      <c r="BD80" s="1670"/>
      <c r="BE80" s="1670"/>
      <c r="BF80" s="1670"/>
      <c r="BG80" s="1670"/>
      <c r="BH80" s="1670"/>
      <c r="BI80" s="1670"/>
      <c r="BJ80" s="1670"/>
      <c r="BK80" s="1670"/>
      <c r="BL80" s="1670"/>
      <c r="BM80" s="1670"/>
      <c r="BN80" s="1670"/>
      <c r="BO80" s="1670"/>
      <c r="BP80" s="1670"/>
      <c r="BQ80" s="1670"/>
      <c r="BR80" s="1670"/>
      <c r="BS80" s="1670"/>
      <c r="BT80" s="1670"/>
      <c r="BU80" s="1670"/>
      <c r="BV80" s="1670"/>
      <c r="BW80" s="1670"/>
      <c r="BX80" s="1670"/>
      <c r="BY80" s="1670"/>
      <c r="BZ80" s="1670"/>
      <c r="CA80" s="1670"/>
      <c r="CB80" s="1670"/>
      <c r="CC80" s="1670"/>
      <c r="CD80" s="1670"/>
      <c r="CE80" s="1670"/>
      <c r="CF80" s="1670"/>
      <c r="CG80" s="1670"/>
      <c r="CH80" s="1670"/>
      <c r="CI80" s="1670"/>
      <c r="CJ80" s="1670"/>
      <c r="CK80" s="1670"/>
      <c r="CL80" s="1670"/>
      <c r="CM80" s="1670"/>
      <c r="CN80" s="1670"/>
      <c r="CO80" s="1670"/>
      <c r="CP80" s="1670"/>
      <c r="CQ80" s="1670"/>
      <c r="CR80" s="1670"/>
      <c r="CS80" s="1670"/>
      <c r="CT80" s="1670"/>
    </row>
    <row r="81" spans="1:98" ht="15" customHeight="1" x14ac:dyDescent="0.25">
      <c r="A81" s="1661"/>
      <c r="B81" s="1334" t="s">
        <v>308</v>
      </c>
      <c r="C81" s="1258">
        <f>+C35+C52+C18</f>
        <v>1</v>
      </c>
      <c r="D81" s="1259">
        <f>+D35+D52+D18</f>
        <v>0</v>
      </c>
      <c r="E81" s="1259">
        <f>+E35+E52+E18</f>
        <v>45</v>
      </c>
      <c r="F81" s="1260">
        <f t="shared" si="79"/>
        <v>46</v>
      </c>
      <c r="G81" s="1258">
        <f>+G35+G52+G18</f>
        <v>10</v>
      </c>
      <c r="H81" s="1259">
        <f>+H35+H52+H18</f>
        <v>7</v>
      </c>
      <c r="I81" s="1259">
        <f>+I35+I52+I18</f>
        <v>15</v>
      </c>
      <c r="J81" s="1260">
        <f>SUM(G81:I81)</f>
        <v>32</v>
      </c>
      <c r="K81" s="1258">
        <f>+K35+K52+K18</f>
        <v>11</v>
      </c>
      <c r="L81" s="1259">
        <f>+L35+L52+L18</f>
        <v>22</v>
      </c>
      <c r="M81" s="1259">
        <f>+M35+M52+M18</f>
        <v>36</v>
      </c>
      <c r="N81" s="1260">
        <f t="shared" si="81"/>
        <v>69</v>
      </c>
      <c r="O81" s="1258">
        <f>+O35+O52+O18</f>
        <v>9</v>
      </c>
      <c r="P81" s="1259">
        <f>+P35+P52+P18</f>
        <v>196</v>
      </c>
      <c r="Q81" s="1259">
        <f>+Q35+Q52+Q18</f>
        <v>44</v>
      </c>
      <c r="R81" s="1260">
        <f t="shared" si="82"/>
        <v>249</v>
      </c>
      <c r="S81" s="1258">
        <f t="shared" ref="S81:AL81" si="148">S18+S35+S52</f>
        <v>17</v>
      </c>
      <c r="T81" s="1259">
        <f t="shared" si="148"/>
        <v>29</v>
      </c>
      <c r="U81" s="1259">
        <f t="shared" si="148"/>
        <v>29</v>
      </c>
      <c r="V81" s="1260">
        <f t="shared" si="148"/>
        <v>75</v>
      </c>
      <c r="W81" s="1258">
        <f t="shared" si="148"/>
        <v>12</v>
      </c>
      <c r="X81" s="1259">
        <f t="shared" si="148"/>
        <v>64</v>
      </c>
      <c r="Y81" s="1259">
        <f t="shared" si="148"/>
        <v>49</v>
      </c>
      <c r="Z81" s="1298">
        <f t="shared" si="148"/>
        <v>125</v>
      </c>
      <c r="AA81" s="1258">
        <f t="shared" si="148"/>
        <v>13</v>
      </c>
      <c r="AB81" s="1259">
        <f t="shared" si="148"/>
        <v>124</v>
      </c>
      <c r="AC81" s="1259">
        <f t="shared" si="148"/>
        <v>22</v>
      </c>
      <c r="AD81" s="1260">
        <f t="shared" si="148"/>
        <v>159</v>
      </c>
      <c r="AE81" s="1259">
        <f t="shared" si="148"/>
        <v>0</v>
      </c>
      <c r="AF81" s="1259">
        <f t="shared" si="148"/>
        <v>54</v>
      </c>
      <c r="AG81" s="1259">
        <f t="shared" si="148"/>
        <v>70</v>
      </c>
      <c r="AH81" s="1260">
        <f t="shared" si="148"/>
        <v>124</v>
      </c>
      <c r="AI81" s="1259">
        <f t="shared" si="148"/>
        <v>39</v>
      </c>
      <c r="AJ81" s="1259">
        <f t="shared" si="148"/>
        <v>50</v>
      </c>
      <c r="AK81" s="1259">
        <f t="shared" si="148"/>
        <v>35</v>
      </c>
      <c r="AL81" s="1298">
        <f t="shared" si="148"/>
        <v>124</v>
      </c>
      <c r="AM81" s="151">
        <v>69</v>
      </c>
      <c r="AN81" s="152">
        <v>32</v>
      </c>
      <c r="AO81" s="152">
        <v>65</v>
      </c>
      <c r="AP81" s="153">
        <v>166</v>
      </c>
      <c r="AQ81" s="151">
        <f t="shared" ref="AQ81:BE81" si="149">SUM(AQ18,AQ35,AQ52)</f>
        <v>20</v>
      </c>
      <c r="AR81" s="152">
        <f t="shared" si="149"/>
        <v>38</v>
      </c>
      <c r="AS81" s="152">
        <f t="shared" si="149"/>
        <v>75</v>
      </c>
      <c r="AT81" s="103">
        <f t="shared" si="149"/>
        <v>133</v>
      </c>
      <c r="AU81" s="151">
        <f t="shared" si="149"/>
        <v>8</v>
      </c>
      <c r="AV81" s="152">
        <f t="shared" si="149"/>
        <v>36</v>
      </c>
      <c r="AW81" s="152">
        <f t="shared" si="149"/>
        <v>72</v>
      </c>
      <c r="AX81" s="103">
        <f t="shared" si="149"/>
        <v>116</v>
      </c>
      <c r="AY81" s="151">
        <f t="shared" si="149"/>
        <v>70</v>
      </c>
      <c r="AZ81" s="152">
        <f t="shared" si="149"/>
        <v>30</v>
      </c>
      <c r="BA81" s="152">
        <f t="shared" si="149"/>
        <v>105</v>
      </c>
      <c r="BB81" s="103">
        <f t="shared" si="149"/>
        <v>205</v>
      </c>
      <c r="BC81" s="151">
        <f t="shared" si="149"/>
        <v>14</v>
      </c>
      <c r="BD81" s="152">
        <f t="shared" si="149"/>
        <v>82</v>
      </c>
      <c r="BE81" s="152">
        <f t="shared" si="149"/>
        <v>59</v>
      </c>
      <c r="BF81" s="103">
        <f>SUM(BC81:BE81)</f>
        <v>155</v>
      </c>
      <c r="BG81" s="151">
        <f t="shared" ref="BG81:BI83" si="150">SUM(BG18,BG35,BG52,BG69)</f>
        <v>8</v>
      </c>
      <c r="BH81" s="152">
        <f t="shared" si="150"/>
        <v>39</v>
      </c>
      <c r="BI81" s="152">
        <f t="shared" si="150"/>
        <v>45</v>
      </c>
      <c r="BJ81" s="103">
        <f>SUM(BG81:BI81)</f>
        <v>92</v>
      </c>
      <c r="BK81" s="151">
        <f t="shared" ref="BK81:BM83" si="151">SUM(BK18,BK35,BK52,BK69)</f>
        <v>10</v>
      </c>
      <c r="BL81" s="152">
        <f t="shared" si="151"/>
        <v>33</v>
      </c>
      <c r="BM81" s="152">
        <f t="shared" si="151"/>
        <v>56</v>
      </c>
      <c r="BN81" s="103">
        <f>SUM(BK81:BM81)</f>
        <v>99</v>
      </c>
      <c r="BO81" s="151">
        <f t="shared" ref="BO81:BQ83" si="152">SUM(BO18,BO35,BO52,BO69)</f>
        <v>11</v>
      </c>
      <c r="BP81" s="152">
        <f t="shared" si="152"/>
        <v>35</v>
      </c>
      <c r="BQ81" s="152">
        <f t="shared" si="152"/>
        <v>13</v>
      </c>
      <c r="BR81" s="103">
        <f>SUM(BO81:BQ81)</f>
        <v>59</v>
      </c>
      <c r="BS81" s="151">
        <f t="shared" ref="BS81:BU83" si="153">SUM(BS18,BS35,BS52,BS69)</f>
        <v>35</v>
      </c>
      <c r="BT81" s="152">
        <f t="shared" si="153"/>
        <v>30</v>
      </c>
      <c r="BU81" s="152">
        <f t="shared" si="153"/>
        <v>34</v>
      </c>
      <c r="BV81" s="103">
        <f>SUM(BS81:BU81)</f>
        <v>99</v>
      </c>
      <c r="BW81" s="151">
        <f t="shared" ref="BW81:BY83" si="154">SUM(BW18,BW35,BW52,BW69)</f>
        <v>10</v>
      </c>
      <c r="BX81" s="152">
        <f t="shared" si="154"/>
        <v>32</v>
      </c>
      <c r="BY81" s="152">
        <f t="shared" si="154"/>
        <v>23</v>
      </c>
      <c r="BZ81" s="103">
        <f>SUM(BW81:BY81)</f>
        <v>65</v>
      </c>
      <c r="CA81" s="151">
        <f t="shared" ref="CA81:CC83" si="155">SUM(CA18,CA35,CA52,CA69)</f>
        <v>2</v>
      </c>
      <c r="CB81" s="152">
        <f t="shared" si="155"/>
        <v>78</v>
      </c>
      <c r="CC81" s="152">
        <f t="shared" si="155"/>
        <v>33</v>
      </c>
      <c r="CD81" s="103">
        <f>SUM(CA81:CC81)</f>
        <v>113</v>
      </c>
      <c r="CE81" s="151">
        <f t="shared" ref="CE81:CG83" si="156">SUM(CE18,CE35,CE52,CE69)</f>
        <v>5</v>
      </c>
      <c r="CF81" s="152">
        <f t="shared" si="156"/>
        <v>42</v>
      </c>
      <c r="CG81" s="152">
        <f t="shared" si="156"/>
        <v>28</v>
      </c>
      <c r="CH81" s="103">
        <f>SUM(CE81:CG81)</f>
        <v>75</v>
      </c>
      <c r="CI81" s="151">
        <f t="shared" ref="CI81:CK83" si="157">SUM(CI18,CI35,CI52,CI69)</f>
        <v>2</v>
      </c>
      <c r="CJ81" s="152">
        <f t="shared" si="157"/>
        <v>35</v>
      </c>
      <c r="CK81" s="152">
        <f t="shared" si="157"/>
        <v>23</v>
      </c>
      <c r="CL81" s="103">
        <f>SUM(CI81:CK81)</f>
        <v>60</v>
      </c>
      <c r="CM81" s="151">
        <f t="shared" ref="CM81:CO82" si="158">SUM(CM18,CM35,CM52,CM69)</f>
        <v>16</v>
      </c>
      <c r="CN81" s="152">
        <f t="shared" si="158"/>
        <v>66</v>
      </c>
      <c r="CO81" s="152">
        <f t="shared" si="158"/>
        <v>13</v>
      </c>
      <c r="CP81" s="103">
        <f>SUM(CM81:CO81)</f>
        <v>95</v>
      </c>
      <c r="CQ81" s="151">
        <f t="shared" ref="CQ81:CS81" si="159">SUM(CQ18,CQ35,CQ52,CQ69)</f>
        <v>7</v>
      </c>
      <c r="CR81" s="152">
        <f t="shared" si="159"/>
        <v>27</v>
      </c>
      <c r="CS81" s="152">
        <f t="shared" si="159"/>
        <v>47</v>
      </c>
      <c r="CT81" s="103">
        <f>SUM(CQ81:CS81)</f>
        <v>81</v>
      </c>
    </row>
    <row r="82" spans="1:98" ht="15" customHeight="1" x14ac:dyDescent="0.25">
      <c r="A82" s="1661"/>
      <c r="B82" s="1336" t="s">
        <v>310</v>
      </c>
      <c r="C82" s="1262">
        <f t="shared" ref="C82:E83" si="160">+C19+C36+C53</f>
        <v>20</v>
      </c>
      <c r="D82" s="1263">
        <f t="shared" si="160"/>
        <v>57</v>
      </c>
      <c r="E82" s="1263">
        <f t="shared" si="160"/>
        <v>68</v>
      </c>
      <c r="F82" s="1264">
        <f t="shared" si="79"/>
        <v>145</v>
      </c>
      <c r="G82" s="1262">
        <f t="shared" ref="G82:I83" si="161">+G19+G36+G53</f>
        <v>25</v>
      </c>
      <c r="H82" s="1263">
        <f t="shared" si="161"/>
        <v>58</v>
      </c>
      <c r="I82" s="1263">
        <f t="shared" si="161"/>
        <v>49</v>
      </c>
      <c r="J82" s="1264">
        <f>SUM(G82:I82)</f>
        <v>132</v>
      </c>
      <c r="K82" s="1262">
        <f t="shared" ref="K82:M83" si="162">+K19+K36+K53</f>
        <v>31</v>
      </c>
      <c r="L82" s="1263">
        <f t="shared" si="162"/>
        <v>95</v>
      </c>
      <c r="M82" s="1263">
        <f t="shared" si="162"/>
        <v>73</v>
      </c>
      <c r="N82" s="1264">
        <f t="shared" si="81"/>
        <v>199</v>
      </c>
      <c r="O82" s="1262">
        <f t="shared" ref="O82:Q83" si="163">+O19+O36+O53</f>
        <v>46</v>
      </c>
      <c r="P82" s="1263">
        <f t="shared" si="163"/>
        <v>171</v>
      </c>
      <c r="Q82" s="1263">
        <f t="shared" si="163"/>
        <v>65</v>
      </c>
      <c r="R82" s="1264">
        <f t="shared" si="82"/>
        <v>282</v>
      </c>
      <c r="S82" s="1262">
        <f t="shared" ref="S82:AL82" si="164">S19+S36+S53</f>
        <v>69</v>
      </c>
      <c r="T82" s="1263">
        <f t="shared" si="164"/>
        <v>71</v>
      </c>
      <c r="U82" s="1263">
        <f t="shared" si="164"/>
        <v>73</v>
      </c>
      <c r="V82" s="1264">
        <f t="shared" si="164"/>
        <v>213</v>
      </c>
      <c r="W82" s="1262">
        <f t="shared" si="164"/>
        <v>54</v>
      </c>
      <c r="X82" s="1263">
        <f t="shared" si="164"/>
        <v>111</v>
      </c>
      <c r="Y82" s="1263">
        <f t="shared" si="164"/>
        <v>57</v>
      </c>
      <c r="Z82" s="1337">
        <f t="shared" si="164"/>
        <v>222</v>
      </c>
      <c r="AA82" s="1262">
        <f t="shared" si="164"/>
        <v>70</v>
      </c>
      <c r="AB82" s="1263">
        <f t="shared" si="164"/>
        <v>78</v>
      </c>
      <c r="AC82" s="1263">
        <f t="shared" si="164"/>
        <v>77</v>
      </c>
      <c r="AD82" s="1264">
        <f t="shared" si="164"/>
        <v>225</v>
      </c>
      <c r="AE82" s="1263">
        <f t="shared" si="164"/>
        <v>51</v>
      </c>
      <c r="AF82" s="1263">
        <f t="shared" si="164"/>
        <v>109</v>
      </c>
      <c r="AG82" s="1263">
        <f t="shared" si="164"/>
        <v>106</v>
      </c>
      <c r="AH82" s="1264">
        <f t="shared" si="164"/>
        <v>266</v>
      </c>
      <c r="AI82" s="1263">
        <f t="shared" si="164"/>
        <v>84</v>
      </c>
      <c r="AJ82" s="1263">
        <f t="shared" si="164"/>
        <v>120</v>
      </c>
      <c r="AK82" s="1263">
        <f t="shared" si="164"/>
        <v>75</v>
      </c>
      <c r="AL82" s="1337">
        <f t="shared" si="164"/>
        <v>279</v>
      </c>
      <c r="AM82" s="129">
        <v>74</v>
      </c>
      <c r="AN82" s="130">
        <v>100</v>
      </c>
      <c r="AO82" s="130">
        <v>94</v>
      </c>
      <c r="AP82" s="155">
        <v>268</v>
      </c>
      <c r="AQ82" s="129">
        <f t="shared" ref="AQ82:BE82" si="165">SUM(AQ19,AQ36,AQ53)</f>
        <v>86</v>
      </c>
      <c r="AR82" s="130">
        <f t="shared" si="165"/>
        <v>139</v>
      </c>
      <c r="AS82" s="130">
        <f t="shared" si="165"/>
        <v>110</v>
      </c>
      <c r="AT82" s="110">
        <f t="shared" si="165"/>
        <v>335</v>
      </c>
      <c r="AU82" s="129">
        <f t="shared" si="165"/>
        <v>128</v>
      </c>
      <c r="AV82" s="130">
        <f t="shared" si="165"/>
        <v>162</v>
      </c>
      <c r="AW82" s="130">
        <f t="shared" si="165"/>
        <v>142</v>
      </c>
      <c r="AX82" s="110">
        <f t="shared" si="165"/>
        <v>432</v>
      </c>
      <c r="AY82" s="129">
        <f t="shared" si="165"/>
        <v>162</v>
      </c>
      <c r="AZ82" s="130">
        <f t="shared" si="165"/>
        <v>166</v>
      </c>
      <c r="BA82" s="130">
        <f t="shared" si="165"/>
        <v>137</v>
      </c>
      <c r="BB82" s="110">
        <f t="shared" si="165"/>
        <v>465</v>
      </c>
      <c r="BC82" s="129">
        <f t="shared" si="165"/>
        <v>100</v>
      </c>
      <c r="BD82" s="130">
        <f t="shared" si="165"/>
        <v>99</v>
      </c>
      <c r="BE82" s="130">
        <f t="shared" si="165"/>
        <v>147</v>
      </c>
      <c r="BF82" s="110">
        <f>SUM(BC82:BE82)</f>
        <v>346</v>
      </c>
      <c r="BG82" s="129">
        <f t="shared" si="150"/>
        <v>158</v>
      </c>
      <c r="BH82" s="130">
        <f t="shared" si="150"/>
        <v>147</v>
      </c>
      <c r="BI82" s="130">
        <f t="shared" si="150"/>
        <v>146</v>
      </c>
      <c r="BJ82" s="110">
        <f>SUM(BG82:BI82)</f>
        <v>451</v>
      </c>
      <c r="BK82" s="129">
        <f t="shared" si="151"/>
        <v>111</v>
      </c>
      <c r="BL82" s="130">
        <f t="shared" si="151"/>
        <v>179</v>
      </c>
      <c r="BM82" s="130">
        <f t="shared" si="151"/>
        <v>201</v>
      </c>
      <c r="BN82" s="110">
        <f>SUM(BK82:BM82)</f>
        <v>491</v>
      </c>
      <c r="BO82" s="129">
        <f t="shared" si="152"/>
        <v>137</v>
      </c>
      <c r="BP82" s="130">
        <f t="shared" si="152"/>
        <v>142</v>
      </c>
      <c r="BQ82" s="130">
        <f t="shared" si="152"/>
        <v>149</v>
      </c>
      <c r="BR82" s="110">
        <f>SUM(BO82:BQ82)</f>
        <v>428</v>
      </c>
      <c r="BS82" s="129">
        <f t="shared" si="153"/>
        <v>133</v>
      </c>
      <c r="BT82" s="130">
        <f t="shared" si="153"/>
        <v>170</v>
      </c>
      <c r="BU82" s="130">
        <f t="shared" si="153"/>
        <v>217</v>
      </c>
      <c r="BV82" s="110">
        <f>SUM(BS82:BU82)</f>
        <v>520</v>
      </c>
      <c r="BW82" s="129">
        <f t="shared" si="154"/>
        <v>165</v>
      </c>
      <c r="BX82" s="130">
        <f t="shared" si="154"/>
        <v>158</v>
      </c>
      <c r="BY82" s="130">
        <f t="shared" si="154"/>
        <v>179</v>
      </c>
      <c r="BZ82" s="110">
        <f>SUM(BW82:BY82)</f>
        <v>502</v>
      </c>
      <c r="CA82" s="129">
        <f t="shared" si="155"/>
        <v>127</v>
      </c>
      <c r="CB82" s="130">
        <f t="shared" si="155"/>
        <v>185</v>
      </c>
      <c r="CC82" s="130">
        <f t="shared" si="155"/>
        <v>203</v>
      </c>
      <c r="CD82" s="110">
        <f>SUM(CA82:CC82)</f>
        <v>515</v>
      </c>
      <c r="CE82" s="129">
        <f t="shared" si="156"/>
        <v>187</v>
      </c>
      <c r="CF82" s="130">
        <f t="shared" si="156"/>
        <v>112</v>
      </c>
      <c r="CG82" s="130">
        <f t="shared" si="156"/>
        <v>151</v>
      </c>
      <c r="CH82" s="110">
        <f>SUM(CE82:CG82)</f>
        <v>450</v>
      </c>
      <c r="CI82" s="129">
        <f t="shared" si="157"/>
        <v>96</v>
      </c>
      <c r="CJ82" s="130">
        <f t="shared" si="157"/>
        <v>76</v>
      </c>
      <c r="CK82" s="130">
        <f t="shared" si="157"/>
        <v>231</v>
      </c>
      <c r="CL82" s="110">
        <f>SUM(CI82:CK82)</f>
        <v>403</v>
      </c>
      <c r="CM82" s="129">
        <f t="shared" si="158"/>
        <v>139</v>
      </c>
      <c r="CN82" s="130">
        <f t="shared" si="158"/>
        <v>82</v>
      </c>
      <c r="CO82" s="130">
        <f t="shared" si="158"/>
        <v>135</v>
      </c>
      <c r="CP82" s="110">
        <f>SUM(CM82:CO82)</f>
        <v>356</v>
      </c>
      <c r="CQ82" s="129">
        <f t="shared" ref="CQ82:CS82" si="166">SUM(CQ19,CQ36,CQ53,CQ70)</f>
        <v>115</v>
      </c>
      <c r="CR82" s="130">
        <f t="shared" si="166"/>
        <v>138</v>
      </c>
      <c r="CS82" s="130">
        <f t="shared" si="166"/>
        <v>136</v>
      </c>
      <c r="CT82" s="110">
        <f>SUM(CQ82:CS82)</f>
        <v>389</v>
      </c>
    </row>
    <row r="83" spans="1:98" ht="15" customHeight="1" x14ac:dyDescent="0.25">
      <c r="A83" s="1661"/>
      <c r="B83" s="1339" t="s">
        <v>317</v>
      </c>
      <c r="C83" s="1674">
        <f t="shared" si="160"/>
        <v>11</v>
      </c>
      <c r="D83" s="1675">
        <f t="shared" si="160"/>
        <v>12</v>
      </c>
      <c r="E83" s="1675">
        <f t="shared" si="160"/>
        <v>19</v>
      </c>
      <c r="F83" s="1676">
        <f t="shared" si="79"/>
        <v>42</v>
      </c>
      <c r="G83" s="1674">
        <f t="shared" si="161"/>
        <v>10</v>
      </c>
      <c r="H83" s="1675">
        <f t="shared" si="161"/>
        <v>17</v>
      </c>
      <c r="I83" s="1675">
        <f t="shared" si="161"/>
        <v>22</v>
      </c>
      <c r="J83" s="1676">
        <f>SUM(G83:I83)</f>
        <v>49</v>
      </c>
      <c r="K83" s="1674">
        <f t="shared" si="162"/>
        <v>18</v>
      </c>
      <c r="L83" s="1675">
        <f t="shared" si="162"/>
        <v>34</v>
      </c>
      <c r="M83" s="1675">
        <f t="shared" si="162"/>
        <v>19</v>
      </c>
      <c r="N83" s="1676">
        <f t="shared" si="81"/>
        <v>71</v>
      </c>
      <c r="O83" s="1674">
        <f t="shared" si="163"/>
        <v>25</v>
      </c>
      <c r="P83" s="1675">
        <f t="shared" si="163"/>
        <v>30</v>
      </c>
      <c r="Q83" s="1675">
        <f t="shared" si="163"/>
        <v>29</v>
      </c>
      <c r="R83" s="1676">
        <f t="shared" si="82"/>
        <v>84</v>
      </c>
      <c r="S83" s="1674">
        <f t="shared" ref="S83:AL83" si="167">S20+S37+S54</f>
        <v>22</v>
      </c>
      <c r="T83" s="1675">
        <f t="shared" si="167"/>
        <v>34</v>
      </c>
      <c r="U83" s="1675">
        <f t="shared" si="167"/>
        <v>45</v>
      </c>
      <c r="V83" s="1676">
        <f t="shared" si="167"/>
        <v>101</v>
      </c>
      <c r="W83" s="1674">
        <f t="shared" si="167"/>
        <v>36</v>
      </c>
      <c r="X83" s="1675">
        <f t="shared" si="167"/>
        <v>44</v>
      </c>
      <c r="Y83" s="1675">
        <f t="shared" si="167"/>
        <v>48</v>
      </c>
      <c r="Z83" s="1677">
        <f t="shared" si="167"/>
        <v>128</v>
      </c>
      <c r="AA83" s="1674">
        <f t="shared" si="167"/>
        <v>33</v>
      </c>
      <c r="AB83" s="1675">
        <f t="shared" si="167"/>
        <v>56</v>
      </c>
      <c r="AC83" s="1675">
        <f t="shared" si="167"/>
        <v>28</v>
      </c>
      <c r="AD83" s="1676">
        <f t="shared" si="167"/>
        <v>117</v>
      </c>
      <c r="AE83" s="1675">
        <f t="shared" si="167"/>
        <v>26</v>
      </c>
      <c r="AF83" s="1675">
        <f t="shared" si="167"/>
        <v>38</v>
      </c>
      <c r="AG83" s="1675">
        <f t="shared" si="167"/>
        <v>67</v>
      </c>
      <c r="AH83" s="1676">
        <f t="shared" si="167"/>
        <v>131</v>
      </c>
      <c r="AI83" s="1675">
        <f t="shared" si="167"/>
        <v>28</v>
      </c>
      <c r="AJ83" s="1675">
        <f t="shared" si="167"/>
        <v>57</v>
      </c>
      <c r="AK83" s="1675">
        <f t="shared" si="167"/>
        <v>52</v>
      </c>
      <c r="AL83" s="1677">
        <f t="shared" si="167"/>
        <v>137</v>
      </c>
      <c r="AM83" s="628">
        <v>42</v>
      </c>
      <c r="AN83" s="1678">
        <v>46</v>
      </c>
      <c r="AO83" s="1678">
        <v>40</v>
      </c>
      <c r="AP83" s="1679">
        <v>128</v>
      </c>
      <c r="AQ83" s="628">
        <f t="shared" ref="AQ83:BE83" si="168">SUM(AQ20,AQ37,AQ54)</f>
        <v>39</v>
      </c>
      <c r="AR83" s="1678">
        <f t="shared" si="168"/>
        <v>59</v>
      </c>
      <c r="AS83" s="1678">
        <f t="shared" si="168"/>
        <v>61</v>
      </c>
      <c r="AT83" s="1680">
        <f t="shared" si="168"/>
        <v>159</v>
      </c>
      <c r="AU83" s="628">
        <f t="shared" si="168"/>
        <v>45</v>
      </c>
      <c r="AV83" s="1678">
        <f t="shared" si="168"/>
        <v>73</v>
      </c>
      <c r="AW83" s="1678">
        <f t="shared" si="168"/>
        <v>71</v>
      </c>
      <c r="AX83" s="1680">
        <f t="shared" si="168"/>
        <v>189</v>
      </c>
      <c r="AY83" s="628">
        <f t="shared" si="168"/>
        <v>78</v>
      </c>
      <c r="AZ83" s="1678">
        <f t="shared" si="168"/>
        <v>65</v>
      </c>
      <c r="BA83" s="1678">
        <f t="shared" si="168"/>
        <v>48</v>
      </c>
      <c r="BB83" s="1680">
        <f t="shared" si="168"/>
        <v>191</v>
      </c>
      <c r="BC83" s="628">
        <f t="shared" si="168"/>
        <v>45</v>
      </c>
      <c r="BD83" s="1678">
        <f t="shared" si="168"/>
        <v>46</v>
      </c>
      <c r="BE83" s="1678">
        <f t="shared" si="168"/>
        <v>71</v>
      </c>
      <c r="BF83" s="1680">
        <f>SUM(BC83:BE83)</f>
        <v>162</v>
      </c>
      <c r="BG83" s="628">
        <f t="shared" si="150"/>
        <v>54</v>
      </c>
      <c r="BH83" s="1678">
        <f t="shared" si="150"/>
        <v>61</v>
      </c>
      <c r="BI83" s="1678">
        <f t="shared" si="150"/>
        <v>74</v>
      </c>
      <c r="BJ83" s="1680">
        <f>SUM(BG83:BI83)</f>
        <v>189</v>
      </c>
      <c r="BK83" s="628">
        <f t="shared" si="151"/>
        <v>59</v>
      </c>
      <c r="BL83" s="1678">
        <f t="shared" si="151"/>
        <v>80</v>
      </c>
      <c r="BM83" s="1678">
        <f t="shared" si="151"/>
        <v>86</v>
      </c>
      <c r="BN83" s="1680">
        <f>SUM(BK83:BM83)</f>
        <v>225</v>
      </c>
      <c r="BO83" s="628">
        <f t="shared" si="152"/>
        <v>61</v>
      </c>
      <c r="BP83" s="1678">
        <f t="shared" si="152"/>
        <v>59</v>
      </c>
      <c r="BQ83" s="1678">
        <f t="shared" si="152"/>
        <v>52</v>
      </c>
      <c r="BR83" s="1680">
        <f>SUM(BO83:BQ83)</f>
        <v>172</v>
      </c>
      <c r="BS83" s="628">
        <f t="shared" si="153"/>
        <v>56</v>
      </c>
      <c r="BT83" s="1678">
        <f t="shared" si="153"/>
        <v>69</v>
      </c>
      <c r="BU83" s="1678">
        <f t="shared" si="153"/>
        <v>80</v>
      </c>
      <c r="BV83" s="1680">
        <f>SUM(BS83:BU83)</f>
        <v>205</v>
      </c>
      <c r="BW83" s="628">
        <f t="shared" si="154"/>
        <v>75</v>
      </c>
      <c r="BX83" s="1678">
        <f t="shared" si="154"/>
        <v>69</v>
      </c>
      <c r="BY83" s="1678">
        <f t="shared" si="154"/>
        <v>60</v>
      </c>
      <c r="BZ83" s="1680">
        <f>SUM(BW83:BY83)</f>
        <v>204</v>
      </c>
      <c r="CA83" s="628">
        <f t="shared" si="155"/>
        <v>69</v>
      </c>
      <c r="CB83" s="1678">
        <f t="shared" si="155"/>
        <v>93</v>
      </c>
      <c r="CC83" s="1678">
        <f t="shared" si="155"/>
        <v>72</v>
      </c>
      <c r="CD83" s="1680">
        <f>SUM(CA83:CC83)</f>
        <v>234</v>
      </c>
      <c r="CE83" s="628">
        <f t="shared" si="156"/>
        <v>82</v>
      </c>
      <c r="CF83" s="1678">
        <f t="shared" si="156"/>
        <v>45</v>
      </c>
      <c r="CG83" s="1678">
        <f t="shared" si="156"/>
        <v>92</v>
      </c>
      <c r="CH83" s="1680">
        <f>SUM(CE83:CG83)</f>
        <v>219</v>
      </c>
      <c r="CI83" s="628">
        <f t="shared" si="157"/>
        <v>28</v>
      </c>
      <c r="CJ83" s="1678">
        <f t="shared" si="157"/>
        <v>7</v>
      </c>
      <c r="CK83" s="1678">
        <f t="shared" si="157"/>
        <v>111</v>
      </c>
      <c r="CL83" s="1680">
        <f>SUM(CI83:CK83)</f>
        <v>146</v>
      </c>
      <c r="CM83" s="628">
        <f>SUM(CM20,CM37,CM54,CM71)</f>
        <v>48</v>
      </c>
      <c r="CN83" s="1678">
        <f>SUM(CN20,CN37,CN54,CN71)</f>
        <v>52</v>
      </c>
      <c r="CO83" s="1678">
        <f>SUM(CO20,CO37,CO54,CO71,CO78)</f>
        <v>75</v>
      </c>
      <c r="CP83" s="1680">
        <f>SUM(CM83:CO83)</f>
        <v>175</v>
      </c>
      <c r="CQ83" s="628">
        <f>SUM(CQ20,CQ37,CQ54,CQ71)</f>
        <v>74</v>
      </c>
      <c r="CR83" s="1678">
        <f>SUM(CR20,CR37,CR54,CR71)</f>
        <v>46</v>
      </c>
      <c r="CS83" s="1678">
        <f>SUM(CS20,CS37,CS54,CS71,CS78)</f>
        <v>65</v>
      </c>
      <c r="CT83" s="1680">
        <f>SUM(CQ83:CS83)</f>
        <v>185</v>
      </c>
    </row>
    <row r="84" spans="1:98" s="161" customFormat="1" ht="15" customHeight="1" x14ac:dyDescent="0.25">
      <c r="A84" s="1661"/>
      <c r="B84" s="1383" t="s">
        <v>7</v>
      </c>
      <c r="C84" s="1681">
        <f t="shared" ref="C84:I84" si="169">SUM(C81:C83)</f>
        <v>32</v>
      </c>
      <c r="D84" s="1682">
        <f t="shared" si="169"/>
        <v>69</v>
      </c>
      <c r="E84" s="1682">
        <f t="shared" si="169"/>
        <v>132</v>
      </c>
      <c r="F84" s="1683">
        <f t="shared" si="169"/>
        <v>233</v>
      </c>
      <c r="G84" s="1681">
        <f t="shared" si="169"/>
        <v>45</v>
      </c>
      <c r="H84" s="1682">
        <f t="shared" si="169"/>
        <v>82</v>
      </c>
      <c r="I84" s="1682">
        <f t="shared" si="169"/>
        <v>86</v>
      </c>
      <c r="J84" s="1683">
        <f>SUM(G84:I84)</f>
        <v>213</v>
      </c>
      <c r="K84" s="1681">
        <f>SUM(K81:K83)</f>
        <v>60</v>
      </c>
      <c r="L84" s="1682">
        <f>SUM(L81:L83)</f>
        <v>151</v>
      </c>
      <c r="M84" s="1682">
        <f>SUM(M81:M83)</f>
        <v>128</v>
      </c>
      <c r="N84" s="1683">
        <f t="shared" si="81"/>
        <v>339</v>
      </c>
      <c r="O84" s="1681">
        <f>SUM(O81:O83)</f>
        <v>80</v>
      </c>
      <c r="P84" s="1682">
        <f>SUM(P81:P83)</f>
        <v>397</v>
      </c>
      <c r="Q84" s="1682">
        <f>SUM(Q81:Q83)</f>
        <v>138</v>
      </c>
      <c r="R84" s="1683">
        <f t="shared" si="82"/>
        <v>615</v>
      </c>
      <c r="S84" s="1681">
        <f>SUM(S81:S83)</f>
        <v>108</v>
      </c>
      <c r="T84" s="1682">
        <f>SUM(T81:T83)</f>
        <v>134</v>
      </c>
      <c r="U84" s="1682">
        <f>SUM(U81:U83)</f>
        <v>147</v>
      </c>
      <c r="V84" s="1683">
        <f>SUM(V81:V83)</f>
        <v>389</v>
      </c>
      <c r="W84" s="1681">
        <f t="shared" ref="W84:AL84" si="170">SUM(W81:W83)</f>
        <v>102</v>
      </c>
      <c r="X84" s="1682">
        <f t="shared" si="170"/>
        <v>219</v>
      </c>
      <c r="Y84" s="1682">
        <f t="shared" si="170"/>
        <v>154</v>
      </c>
      <c r="Z84" s="1682">
        <f t="shared" si="170"/>
        <v>475</v>
      </c>
      <c r="AA84" s="1681">
        <f t="shared" si="170"/>
        <v>116</v>
      </c>
      <c r="AB84" s="1682">
        <f t="shared" si="170"/>
        <v>258</v>
      </c>
      <c r="AC84" s="1682">
        <f t="shared" si="170"/>
        <v>127</v>
      </c>
      <c r="AD84" s="1683">
        <f t="shared" si="170"/>
        <v>501</v>
      </c>
      <c r="AE84" s="1682">
        <f t="shared" si="170"/>
        <v>77</v>
      </c>
      <c r="AF84" s="1682">
        <f t="shared" si="170"/>
        <v>201</v>
      </c>
      <c r="AG84" s="1682">
        <f t="shared" si="170"/>
        <v>243</v>
      </c>
      <c r="AH84" s="1683">
        <f t="shared" si="170"/>
        <v>521</v>
      </c>
      <c r="AI84" s="1682">
        <f t="shared" si="170"/>
        <v>151</v>
      </c>
      <c r="AJ84" s="1682">
        <f t="shared" si="170"/>
        <v>227</v>
      </c>
      <c r="AK84" s="1682">
        <f t="shared" si="170"/>
        <v>162</v>
      </c>
      <c r="AL84" s="1682">
        <f t="shared" si="170"/>
        <v>540</v>
      </c>
      <c r="AM84" s="398">
        <v>185</v>
      </c>
      <c r="AN84" s="399">
        <v>178</v>
      </c>
      <c r="AO84" s="399">
        <v>199</v>
      </c>
      <c r="AP84" s="399">
        <v>562</v>
      </c>
      <c r="AQ84" s="398">
        <f t="shared" ref="AQ84:CL84" si="171">SUM(AQ81:AQ83)</f>
        <v>145</v>
      </c>
      <c r="AR84" s="399">
        <f t="shared" si="171"/>
        <v>236</v>
      </c>
      <c r="AS84" s="399">
        <f t="shared" si="171"/>
        <v>246</v>
      </c>
      <c r="AT84" s="400">
        <f t="shared" si="171"/>
        <v>627</v>
      </c>
      <c r="AU84" s="398">
        <f t="shared" si="171"/>
        <v>181</v>
      </c>
      <c r="AV84" s="399">
        <f t="shared" si="171"/>
        <v>271</v>
      </c>
      <c r="AW84" s="399">
        <f t="shared" si="171"/>
        <v>285</v>
      </c>
      <c r="AX84" s="400">
        <f t="shared" si="171"/>
        <v>737</v>
      </c>
      <c r="AY84" s="398">
        <f t="shared" si="171"/>
        <v>310</v>
      </c>
      <c r="AZ84" s="399">
        <f t="shared" si="171"/>
        <v>261</v>
      </c>
      <c r="BA84" s="399">
        <f t="shared" si="171"/>
        <v>290</v>
      </c>
      <c r="BB84" s="400">
        <f t="shared" si="171"/>
        <v>861</v>
      </c>
      <c r="BC84" s="398">
        <f t="shared" si="171"/>
        <v>159</v>
      </c>
      <c r="BD84" s="399">
        <f t="shared" si="171"/>
        <v>227</v>
      </c>
      <c r="BE84" s="399">
        <f t="shared" si="171"/>
        <v>277</v>
      </c>
      <c r="BF84" s="400">
        <f t="shared" si="171"/>
        <v>663</v>
      </c>
      <c r="BG84" s="398">
        <f t="shared" si="171"/>
        <v>220</v>
      </c>
      <c r="BH84" s="399">
        <f t="shared" si="171"/>
        <v>247</v>
      </c>
      <c r="BI84" s="399">
        <f t="shared" si="171"/>
        <v>265</v>
      </c>
      <c r="BJ84" s="400">
        <f t="shared" si="171"/>
        <v>732</v>
      </c>
      <c r="BK84" s="398">
        <f t="shared" si="171"/>
        <v>180</v>
      </c>
      <c r="BL84" s="399">
        <f t="shared" si="171"/>
        <v>292</v>
      </c>
      <c r="BM84" s="399">
        <f t="shared" si="171"/>
        <v>343</v>
      </c>
      <c r="BN84" s="400">
        <f t="shared" si="171"/>
        <v>815</v>
      </c>
      <c r="BO84" s="398">
        <f t="shared" si="171"/>
        <v>209</v>
      </c>
      <c r="BP84" s="399">
        <f t="shared" si="171"/>
        <v>236</v>
      </c>
      <c r="BQ84" s="399">
        <f t="shared" si="171"/>
        <v>214</v>
      </c>
      <c r="BR84" s="400">
        <f t="shared" si="171"/>
        <v>659</v>
      </c>
      <c r="BS84" s="398">
        <f t="shared" si="171"/>
        <v>224</v>
      </c>
      <c r="BT84" s="399">
        <f t="shared" si="171"/>
        <v>269</v>
      </c>
      <c r="BU84" s="399">
        <f t="shared" si="171"/>
        <v>331</v>
      </c>
      <c r="BV84" s="400">
        <f t="shared" si="171"/>
        <v>824</v>
      </c>
      <c r="BW84" s="398">
        <f t="shared" si="171"/>
        <v>250</v>
      </c>
      <c r="BX84" s="399">
        <f t="shared" si="171"/>
        <v>259</v>
      </c>
      <c r="BY84" s="399">
        <f t="shared" si="171"/>
        <v>262</v>
      </c>
      <c r="BZ84" s="400">
        <f t="shared" si="171"/>
        <v>771</v>
      </c>
      <c r="CA84" s="398">
        <f t="shared" si="171"/>
        <v>198</v>
      </c>
      <c r="CB84" s="399">
        <f t="shared" si="171"/>
        <v>356</v>
      </c>
      <c r="CC84" s="399">
        <f t="shared" si="171"/>
        <v>308</v>
      </c>
      <c r="CD84" s="400">
        <f t="shared" si="171"/>
        <v>862</v>
      </c>
      <c r="CE84" s="398">
        <f t="shared" si="171"/>
        <v>274</v>
      </c>
      <c r="CF84" s="399">
        <f t="shared" si="171"/>
        <v>199</v>
      </c>
      <c r="CG84" s="399">
        <f t="shared" si="171"/>
        <v>271</v>
      </c>
      <c r="CH84" s="400">
        <f t="shared" si="171"/>
        <v>744</v>
      </c>
      <c r="CI84" s="398">
        <f t="shared" si="171"/>
        <v>126</v>
      </c>
      <c r="CJ84" s="399">
        <f t="shared" si="171"/>
        <v>118</v>
      </c>
      <c r="CK84" s="399">
        <f t="shared" si="171"/>
        <v>365</v>
      </c>
      <c r="CL84" s="400">
        <f t="shared" si="171"/>
        <v>609</v>
      </c>
      <c r="CM84" s="398">
        <f t="shared" ref="CM84:CP84" si="172">SUM(CM81:CM83)</f>
        <v>203</v>
      </c>
      <c r="CN84" s="399">
        <f t="shared" si="172"/>
        <v>200</v>
      </c>
      <c r="CO84" s="399">
        <f t="shared" si="172"/>
        <v>223</v>
      </c>
      <c r="CP84" s="400">
        <f t="shared" si="172"/>
        <v>626</v>
      </c>
      <c r="CQ84" s="398">
        <f t="shared" ref="CQ84:CT84" si="173">SUM(CQ81:CQ83)</f>
        <v>196</v>
      </c>
      <c r="CR84" s="399">
        <f t="shared" si="173"/>
        <v>211</v>
      </c>
      <c r="CS84" s="399">
        <f t="shared" si="173"/>
        <v>248</v>
      </c>
      <c r="CT84" s="400">
        <f t="shared" si="173"/>
        <v>655</v>
      </c>
    </row>
    <row r="85" spans="1:98" ht="17.399999999999999" x14ac:dyDescent="0.25">
      <c r="A85" s="1661"/>
      <c r="B85" s="1331"/>
      <c r="C85" s="393"/>
      <c r="D85" s="393"/>
      <c r="E85" s="393"/>
      <c r="F85" s="393"/>
      <c r="G85" s="393"/>
      <c r="H85" s="393"/>
      <c r="I85" s="393"/>
      <c r="J85" s="393"/>
      <c r="K85" s="393"/>
      <c r="L85" s="393"/>
      <c r="M85" s="393"/>
      <c r="N85" s="393"/>
      <c r="O85" s="393"/>
      <c r="P85" s="393"/>
      <c r="Q85" s="393"/>
      <c r="R85" s="393"/>
      <c r="S85" s="393"/>
      <c r="T85" s="393"/>
      <c r="U85" s="393"/>
      <c r="V85" s="393"/>
      <c r="CL85" s="747"/>
      <c r="CP85" s="4645"/>
      <c r="CT85" s="4645"/>
    </row>
    <row r="86" spans="1:98" ht="17.399999999999999" x14ac:dyDescent="0.25">
      <c r="A86" s="1661"/>
      <c r="B86" s="393"/>
      <c r="C86" s="393"/>
      <c r="D86" s="393"/>
      <c r="E86" s="393"/>
      <c r="F86" s="393"/>
      <c r="G86" s="393"/>
      <c r="H86" s="393"/>
      <c r="I86" s="393"/>
      <c r="J86" s="393"/>
      <c r="K86" s="393"/>
      <c r="L86" s="393"/>
      <c r="M86" s="393"/>
      <c r="N86" s="393"/>
      <c r="O86" s="393"/>
      <c r="P86" s="393"/>
      <c r="Q86" s="393"/>
      <c r="R86" s="393"/>
      <c r="S86" s="614"/>
      <c r="T86" s="614"/>
      <c r="U86" s="614"/>
      <c r="V86" s="614"/>
      <c r="W86" s="1384"/>
      <c r="X86" s="1384"/>
      <c r="Y86" s="1384"/>
      <c r="Z86" s="1385"/>
      <c r="AA86" s="1384"/>
      <c r="AB86" s="1384"/>
      <c r="AC86" s="1384"/>
      <c r="AD86" s="1385"/>
      <c r="AE86" s="1384"/>
      <c r="AF86" s="1384"/>
      <c r="AG86" s="1384"/>
      <c r="AH86" s="1385"/>
      <c r="AI86" s="1384"/>
      <c r="AJ86" s="1384"/>
      <c r="AK86" s="1384"/>
      <c r="AL86" s="1385"/>
    </row>
    <row r="87" spans="1:98" ht="17.399999999999999" x14ac:dyDescent="0.25">
      <c r="A87" s="1661"/>
    </row>
    <row r="88" spans="1:98" ht="17.399999999999999" x14ac:dyDescent="0.25">
      <c r="A88" s="1661"/>
    </row>
    <row r="89" spans="1:98" ht="17.399999999999999" x14ac:dyDescent="0.25">
      <c r="A89" s="1661"/>
    </row>
    <row r="90" spans="1:98" ht="17.399999999999999" x14ac:dyDescent="0.25">
      <c r="A90" s="1661"/>
      <c r="BK90" s="1684">
        <v>1999</v>
      </c>
    </row>
    <row r="91" spans="1:98" x14ac:dyDescent="0.25">
      <c r="BK91" s="1684">
        <v>2000</v>
      </c>
    </row>
    <row r="92" spans="1:98" x14ac:dyDescent="0.25">
      <c r="BK92" s="1684">
        <v>2001</v>
      </c>
    </row>
    <row r="93" spans="1:98" x14ac:dyDescent="0.25">
      <c r="BK93" s="1684">
        <v>2002</v>
      </c>
    </row>
    <row r="94" spans="1:98" x14ac:dyDescent="0.25">
      <c r="BK94" s="1684">
        <v>2003</v>
      </c>
    </row>
    <row r="95" spans="1:98" x14ac:dyDescent="0.25">
      <c r="BK95" s="1684">
        <v>2004</v>
      </c>
    </row>
    <row r="96" spans="1:98" x14ac:dyDescent="0.25">
      <c r="BK96" s="1684">
        <v>2005</v>
      </c>
    </row>
    <row r="97" spans="3:63" x14ac:dyDescent="0.25">
      <c r="BK97" s="1684">
        <v>2006</v>
      </c>
    </row>
    <row r="98" spans="3:63" x14ac:dyDescent="0.25">
      <c r="BK98" s="1684">
        <v>2007</v>
      </c>
    </row>
    <row r="99" spans="3:63" x14ac:dyDescent="0.25">
      <c r="BK99" s="1684">
        <v>2008</v>
      </c>
    </row>
    <row r="100" spans="3:63" x14ac:dyDescent="0.25">
      <c r="BK100" s="1684">
        <v>2009</v>
      </c>
    </row>
    <row r="101" spans="3:63" x14ac:dyDescent="0.25">
      <c r="BK101" s="1684">
        <v>2010</v>
      </c>
    </row>
    <row r="102" spans="3:63" x14ac:dyDescent="0.25">
      <c r="BK102" s="1684">
        <v>2011</v>
      </c>
    </row>
    <row r="103" spans="3:63" x14ac:dyDescent="0.25">
      <c r="BK103" s="1684">
        <v>2012</v>
      </c>
    </row>
    <row r="104" spans="3:63" x14ac:dyDescent="0.25">
      <c r="BK104" s="1684">
        <v>2013</v>
      </c>
    </row>
    <row r="105" spans="3:63" x14ac:dyDescent="0.25">
      <c r="BK105" s="1684">
        <v>2014</v>
      </c>
    </row>
    <row r="106" spans="3:63" x14ac:dyDescent="0.25">
      <c r="BK106" s="1684">
        <v>2015</v>
      </c>
    </row>
    <row r="107" spans="3:63" x14ac:dyDescent="0.25">
      <c r="BK107" s="1684">
        <v>2016</v>
      </c>
    </row>
    <row r="108" spans="3:63" x14ac:dyDescent="0.25">
      <c r="BK108" s="1684">
        <v>2017</v>
      </c>
    </row>
    <row r="109" spans="3:63" x14ac:dyDescent="0.25">
      <c r="BK109" s="1684">
        <v>2018</v>
      </c>
    </row>
    <row r="110" spans="3:63" x14ac:dyDescent="0.25">
      <c r="BK110" s="1684">
        <v>2019</v>
      </c>
    </row>
    <row r="111" spans="3:63" x14ac:dyDescent="0.25">
      <c r="C111" s="205"/>
      <c r="BK111" s="1684">
        <v>2020</v>
      </c>
    </row>
    <row r="112" spans="3:63" x14ac:dyDescent="0.25">
      <c r="C112" s="205"/>
      <c r="BK112" s="1684">
        <v>2021</v>
      </c>
    </row>
    <row r="113" spans="3:63" x14ac:dyDescent="0.25">
      <c r="C113" s="205"/>
      <c r="BK113" s="1684">
        <v>2022</v>
      </c>
    </row>
    <row r="114" spans="3:63" x14ac:dyDescent="0.25">
      <c r="C114" s="205"/>
    </row>
    <row r="115" spans="3:63" x14ac:dyDescent="0.25">
      <c r="C115" s="205"/>
    </row>
    <row r="116" spans="3:63" x14ac:dyDescent="0.25">
      <c r="C116" s="205"/>
    </row>
    <row r="117" spans="3:63" x14ac:dyDescent="0.25">
      <c r="C117" s="205"/>
    </row>
    <row r="118" spans="3:63" x14ac:dyDescent="0.25">
      <c r="C118" s="205"/>
    </row>
    <row r="119" spans="3:63" x14ac:dyDescent="0.25">
      <c r="C119" s="205"/>
    </row>
    <row r="120" spans="3:63" x14ac:dyDescent="0.25">
      <c r="C120" s="205"/>
    </row>
    <row r="121" spans="3:63" x14ac:dyDescent="0.25">
      <c r="C121" s="205"/>
    </row>
  </sheetData>
  <mergeCells count="25">
    <mergeCell ref="AY3:BB3"/>
    <mergeCell ref="CA3:CD3"/>
    <mergeCell ref="CE3:CH3"/>
    <mergeCell ref="CI3:CL3"/>
    <mergeCell ref="BC3:BF3"/>
    <mergeCell ref="BG3:BJ3"/>
    <mergeCell ref="BK3:BN3"/>
    <mergeCell ref="BS3:BV3"/>
    <mergeCell ref="BW3:BZ3"/>
    <mergeCell ref="CQ3:CT3"/>
    <mergeCell ref="CM3:CP3"/>
    <mergeCell ref="S3:V3"/>
    <mergeCell ref="B3:B4"/>
    <mergeCell ref="C3:F3"/>
    <mergeCell ref="G3:J3"/>
    <mergeCell ref="K3:N3"/>
    <mergeCell ref="O3:R3"/>
    <mergeCell ref="BO3:BR3"/>
    <mergeCell ref="W3:Z3"/>
    <mergeCell ref="AA3:AD3"/>
    <mergeCell ref="AE3:AH3"/>
    <mergeCell ref="AI3:AL3"/>
    <mergeCell ref="AM3:AP3"/>
    <mergeCell ref="AQ3:AT3"/>
    <mergeCell ref="AU3:AX3"/>
  </mergeCells>
  <printOptions horizontalCentered="1" verticalCentered="1"/>
  <pageMargins left="0.39370078740157483" right="0.39370078740157483" top="0.27559055118110237" bottom="0.19685039370078741" header="0" footer="0.31496062992125984"/>
  <pageSetup scale="49" firstPageNumber="73" pageOrder="overThenDown" orientation="portrait" useFirstPageNumber="1" r:id="rId1"/>
  <headerFooter scaleWithDoc="0" alignWithMargins="0">
    <oddFooter>&amp;R&amp;P</oddFooter>
  </headerFooter>
  <rowBreaks count="1" manualBreakCount="1">
    <brk id="85" min="78" max="97" man="1"/>
  </rowBreaks>
  <colBreaks count="1" manualBreakCount="1">
    <brk id="30" max="124" man="1"/>
  </colBreaks>
  <ignoredErrors>
    <ignoredError sqref="BT7:CL8 BT9:BU30 CM25:CN30 BW40:CP40 BW55:CP55 BW41:BY54 CN8:CP8 CN9:CO17 CO25:CP25 CO24:CP24 CO31:CP35 CO26:CO28 CO30 CR7:CT8 CR22:CT75 CQ7:CQ8 CQ24:CQ25 CR77 CR76 CR80:CT84 CR78 CR79" formulaRange="1"/>
    <ignoredError sqref="BV9:CL30 BZ41:CP41 BW80:CP82 CP26:CP30 BZ43:CP54 BZ42:CN42 CP42 BW67:CP72 BW84:CP84 BW83:CN83 CP83 CR9:CT21 CP9:CP17" formula="1" formulaRange="1"/>
    <ignoredError sqref="BV31:CL34 BV41:BV54 BV60:CP66 BV80:BV84 BV67:BV72 CP77 CP18:CQ21 CQ9:CQ17" formula="1"/>
  </ignoredError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7A519"/>
  </sheetPr>
  <dimension ref="B1:T182"/>
  <sheetViews>
    <sheetView showGridLines="0" zoomScaleNormal="100" workbookViewId="0">
      <pane xSplit="3" ySplit="3" topLeftCell="J172" activePane="bottomRight" state="frozen"/>
      <selection activeCell="Q31" sqref="Q31"/>
      <selection pane="topRight" activeCell="Q31" sqref="Q31"/>
      <selection pane="bottomLeft" activeCell="Q31" sqref="Q31"/>
      <selection pane="bottomRight" activeCell="Q168" sqref="Q168"/>
    </sheetView>
  </sheetViews>
  <sheetFormatPr baseColWidth="10" defaultRowHeight="14.4" x14ac:dyDescent="0.25"/>
  <cols>
    <col min="1" max="1" width="2.88671875" customWidth="1"/>
    <col min="2" max="2" width="15.88671875" style="1327" customWidth="1"/>
    <col min="3" max="3" width="60.109375" style="25" customWidth="1"/>
    <col min="4" max="4" width="11.44140625" style="25" customWidth="1"/>
    <col min="5" max="5" width="11.5546875" style="25"/>
    <col min="17" max="28" width="11.44140625" customWidth="1"/>
    <col min="244" max="244" width="10.109375" customWidth="1"/>
    <col min="245" max="245" width="16.5546875" bestFit="1" customWidth="1"/>
    <col min="246" max="246" width="103" customWidth="1"/>
    <col min="247" max="247" width="11.44140625" customWidth="1"/>
    <col min="500" max="500" width="10.109375" customWidth="1"/>
    <col min="501" max="501" width="16.5546875" bestFit="1" customWidth="1"/>
    <col min="502" max="502" width="103" customWidth="1"/>
    <col min="503" max="503" width="11.44140625" customWidth="1"/>
    <col min="756" max="756" width="10.109375" customWidth="1"/>
    <col min="757" max="757" width="16.5546875" bestFit="1" customWidth="1"/>
    <col min="758" max="758" width="103" customWidth="1"/>
    <col min="759" max="759" width="11.44140625" customWidth="1"/>
    <col min="1012" max="1012" width="10.109375" customWidth="1"/>
    <col min="1013" max="1013" width="16.5546875" bestFit="1" customWidth="1"/>
    <col min="1014" max="1014" width="103" customWidth="1"/>
    <col min="1015" max="1015" width="11.44140625" customWidth="1"/>
    <col min="1268" max="1268" width="10.109375" customWidth="1"/>
    <col min="1269" max="1269" width="16.5546875" bestFit="1" customWidth="1"/>
    <col min="1270" max="1270" width="103" customWidth="1"/>
    <col min="1271" max="1271" width="11.44140625" customWidth="1"/>
    <col min="1524" max="1524" width="10.109375" customWidth="1"/>
    <col min="1525" max="1525" width="16.5546875" bestFit="1" customWidth="1"/>
    <col min="1526" max="1526" width="103" customWidth="1"/>
    <col min="1527" max="1527" width="11.44140625" customWidth="1"/>
    <col min="1780" max="1780" width="10.109375" customWidth="1"/>
    <col min="1781" max="1781" width="16.5546875" bestFit="1" customWidth="1"/>
    <col min="1782" max="1782" width="103" customWidth="1"/>
    <col min="1783" max="1783" width="11.44140625" customWidth="1"/>
    <col min="2036" max="2036" width="10.109375" customWidth="1"/>
    <col min="2037" max="2037" width="16.5546875" bestFit="1" customWidth="1"/>
    <col min="2038" max="2038" width="103" customWidth="1"/>
    <col min="2039" max="2039" width="11.44140625" customWidth="1"/>
    <col min="2292" max="2292" width="10.109375" customWidth="1"/>
    <col min="2293" max="2293" width="16.5546875" bestFit="1" customWidth="1"/>
    <col min="2294" max="2294" width="103" customWidth="1"/>
    <col min="2295" max="2295" width="11.44140625" customWidth="1"/>
    <col min="2548" max="2548" width="10.109375" customWidth="1"/>
    <col min="2549" max="2549" width="16.5546875" bestFit="1" customWidth="1"/>
    <col min="2550" max="2550" width="103" customWidth="1"/>
    <col min="2551" max="2551" width="11.44140625" customWidth="1"/>
    <col min="2804" max="2804" width="10.109375" customWidth="1"/>
    <col min="2805" max="2805" width="16.5546875" bestFit="1" customWidth="1"/>
    <col min="2806" max="2806" width="103" customWidth="1"/>
    <col min="2807" max="2807" width="11.44140625" customWidth="1"/>
    <col min="3060" max="3060" width="10.109375" customWidth="1"/>
    <col min="3061" max="3061" width="16.5546875" bestFit="1" customWidth="1"/>
    <col min="3062" max="3062" width="103" customWidth="1"/>
    <col min="3063" max="3063" width="11.44140625" customWidth="1"/>
    <col min="3316" max="3316" width="10.109375" customWidth="1"/>
    <col min="3317" max="3317" width="16.5546875" bestFit="1" customWidth="1"/>
    <col min="3318" max="3318" width="103" customWidth="1"/>
    <col min="3319" max="3319" width="11.44140625" customWidth="1"/>
    <col min="3572" max="3572" width="10.109375" customWidth="1"/>
    <col min="3573" max="3573" width="16.5546875" bestFit="1" customWidth="1"/>
    <col min="3574" max="3574" width="103" customWidth="1"/>
    <col min="3575" max="3575" width="11.44140625" customWidth="1"/>
    <col min="3828" max="3828" width="10.109375" customWidth="1"/>
    <col min="3829" max="3829" width="16.5546875" bestFit="1" customWidth="1"/>
    <col min="3830" max="3830" width="103" customWidth="1"/>
    <col min="3831" max="3831" width="11.44140625" customWidth="1"/>
    <col min="4084" max="4084" width="10.109375" customWidth="1"/>
    <col min="4085" max="4085" width="16.5546875" bestFit="1" customWidth="1"/>
    <col min="4086" max="4086" width="103" customWidth="1"/>
    <col min="4087" max="4087" width="11.44140625" customWidth="1"/>
    <col min="4340" max="4340" width="10.109375" customWidth="1"/>
    <col min="4341" max="4341" width="16.5546875" bestFit="1" customWidth="1"/>
    <col min="4342" max="4342" width="103" customWidth="1"/>
    <col min="4343" max="4343" width="11.44140625" customWidth="1"/>
    <col min="4596" max="4596" width="10.109375" customWidth="1"/>
    <col min="4597" max="4597" width="16.5546875" bestFit="1" customWidth="1"/>
    <col min="4598" max="4598" width="103" customWidth="1"/>
    <col min="4599" max="4599" width="11.44140625" customWidth="1"/>
    <col min="4852" max="4852" width="10.109375" customWidth="1"/>
    <col min="4853" max="4853" width="16.5546875" bestFit="1" customWidth="1"/>
    <col min="4854" max="4854" width="103" customWidth="1"/>
    <col min="4855" max="4855" width="11.44140625" customWidth="1"/>
    <col min="5108" max="5108" width="10.109375" customWidth="1"/>
    <col min="5109" max="5109" width="16.5546875" bestFit="1" customWidth="1"/>
    <col min="5110" max="5110" width="103" customWidth="1"/>
    <col min="5111" max="5111" width="11.44140625" customWidth="1"/>
    <col min="5364" max="5364" width="10.109375" customWidth="1"/>
    <col min="5365" max="5365" width="16.5546875" bestFit="1" customWidth="1"/>
    <col min="5366" max="5366" width="103" customWidth="1"/>
    <col min="5367" max="5367" width="11.44140625" customWidth="1"/>
    <col min="5620" max="5620" width="10.109375" customWidth="1"/>
    <col min="5621" max="5621" width="16.5546875" bestFit="1" customWidth="1"/>
    <col min="5622" max="5622" width="103" customWidth="1"/>
    <col min="5623" max="5623" width="11.44140625" customWidth="1"/>
    <col min="5876" max="5876" width="10.109375" customWidth="1"/>
    <col min="5877" max="5877" width="16.5546875" bestFit="1" customWidth="1"/>
    <col min="5878" max="5878" width="103" customWidth="1"/>
    <col min="5879" max="5879" width="11.44140625" customWidth="1"/>
    <col min="6132" max="6132" width="10.109375" customWidth="1"/>
    <col min="6133" max="6133" width="16.5546875" bestFit="1" customWidth="1"/>
    <col min="6134" max="6134" width="103" customWidth="1"/>
    <col min="6135" max="6135" width="11.44140625" customWidth="1"/>
    <col min="6388" max="6388" width="10.109375" customWidth="1"/>
    <col min="6389" max="6389" width="16.5546875" bestFit="1" customWidth="1"/>
    <col min="6390" max="6390" width="103" customWidth="1"/>
    <col min="6391" max="6391" width="11.44140625" customWidth="1"/>
    <col min="6644" max="6644" width="10.109375" customWidth="1"/>
    <col min="6645" max="6645" width="16.5546875" bestFit="1" customWidth="1"/>
    <col min="6646" max="6646" width="103" customWidth="1"/>
    <col min="6647" max="6647" width="11.44140625" customWidth="1"/>
    <col min="6900" max="6900" width="10.109375" customWidth="1"/>
    <col min="6901" max="6901" width="16.5546875" bestFit="1" customWidth="1"/>
    <col min="6902" max="6902" width="103" customWidth="1"/>
    <col min="6903" max="6903" width="11.44140625" customWidth="1"/>
    <col min="7156" max="7156" width="10.109375" customWidth="1"/>
    <col min="7157" max="7157" width="16.5546875" bestFit="1" customWidth="1"/>
    <col min="7158" max="7158" width="103" customWidth="1"/>
    <col min="7159" max="7159" width="11.44140625" customWidth="1"/>
    <col min="7412" max="7412" width="10.109375" customWidth="1"/>
    <col min="7413" max="7413" width="16.5546875" bestFit="1" customWidth="1"/>
    <col min="7414" max="7414" width="103" customWidth="1"/>
    <col min="7415" max="7415" width="11.44140625" customWidth="1"/>
    <col min="7668" max="7668" width="10.109375" customWidth="1"/>
    <col min="7669" max="7669" width="16.5546875" bestFit="1" customWidth="1"/>
    <col min="7670" max="7670" width="103" customWidth="1"/>
    <col min="7671" max="7671" width="11.44140625" customWidth="1"/>
    <col min="7924" max="7924" width="10.109375" customWidth="1"/>
    <col min="7925" max="7925" width="16.5546875" bestFit="1" customWidth="1"/>
    <col min="7926" max="7926" width="103" customWidth="1"/>
    <col min="7927" max="7927" width="11.44140625" customWidth="1"/>
    <col min="8180" max="8180" width="10.109375" customWidth="1"/>
    <col min="8181" max="8181" width="16.5546875" bestFit="1" customWidth="1"/>
    <col min="8182" max="8182" width="103" customWidth="1"/>
    <col min="8183" max="8183" width="11.44140625" customWidth="1"/>
    <col min="8436" max="8436" width="10.109375" customWidth="1"/>
    <col min="8437" max="8437" width="16.5546875" bestFit="1" customWidth="1"/>
    <col min="8438" max="8438" width="103" customWidth="1"/>
    <col min="8439" max="8439" width="11.44140625" customWidth="1"/>
    <col min="8692" max="8692" width="10.109375" customWidth="1"/>
    <col min="8693" max="8693" width="16.5546875" bestFit="1" customWidth="1"/>
    <col min="8694" max="8694" width="103" customWidth="1"/>
    <col min="8695" max="8695" width="11.44140625" customWidth="1"/>
    <col min="8948" max="8948" width="10.109375" customWidth="1"/>
    <col min="8949" max="8949" width="16.5546875" bestFit="1" customWidth="1"/>
    <col min="8950" max="8950" width="103" customWidth="1"/>
    <col min="8951" max="8951" width="11.44140625" customWidth="1"/>
    <col min="9204" max="9204" width="10.109375" customWidth="1"/>
    <col min="9205" max="9205" width="16.5546875" bestFit="1" customWidth="1"/>
    <col min="9206" max="9206" width="103" customWidth="1"/>
    <col min="9207" max="9207" width="11.44140625" customWidth="1"/>
    <col min="9460" max="9460" width="10.109375" customWidth="1"/>
    <col min="9461" max="9461" width="16.5546875" bestFit="1" customWidth="1"/>
    <col min="9462" max="9462" width="103" customWidth="1"/>
    <col min="9463" max="9463" width="11.44140625" customWidth="1"/>
    <col min="9716" max="9716" width="10.109375" customWidth="1"/>
    <col min="9717" max="9717" width="16.5546875" bestFit="1" customWidth="1"/>
    <col min="9718" max="9718" width="103" customWidth="1"/>
    <col min="9719" max="9719" width="11.44140625" customWidth="1"/>
    <col min="9972" max="9972" width="10.109375" customWidth="1"/>
    <col min="9973" max="9973" width="16.5546875" bestFit="1" customWidth="1"/>
    <col min="9974" max="9974" width="103" customWidth="1"/>
    <col min="9975" max="9975" width="11.44140625" customWidth="1"/>
    <col min="10228" max="10228" width="10.109375" customWidth="1"/>
    <col min="10229" max="10229" width="16.5546875" bestFit="1" customWidth="1"/>
    <col min="10230" max="10230" width="103" customWidth="1"/>
    <col min="10231" max="10231" width="11.44140625" customWidth="1"/>
    <col min="10484" max="10484" width="10.109375" customWidth="1"/>
    <col min="10485" max="10485" width="16.5546875" bestFit="1" customWidth="1"/>
    <col min="10486" max="10486" width="103" customWidth="1"/>
    <col min="10487" max="10487" width="11.44140625" customWidth="1"/>
    <col min="10740" max="10740" width="10.109375" customWidth="1"/>
    <col min="10741" max="10741" width="16.5546875" bestFit="1" customWidth="1"/>
    <col min="10742" max="10742" width="103" customWidth="1"/>
    <col min="10743" max="10743" width="11.44140625" customWidth="1"/>
    <col min="10996" max="10996" width="10.109375" customWidth="1"/>
    <col min="10997" max="10997" width="16.5546875" bestFit="1" customWidth="1"/>
    <col min="10998" max="10998" width="103" customWidth="1"/>
    <col min="10999" max="10999" width="11.44140625" customWidth="1"/>
    <col min="11252" max="11252" width="10.109375" customWidth="1"/>
    <col min="11253" max="11253" width="16.5546875" bestFit="1" customWidth="1"/>
    <col min="11254" max="11254" width="103" customWidth="1"/>
    <col min="11255" max="11255" width="11.44140625" customWidth="1"/>
    <col min="11508" max="11508" width="10.109375" customWidth="1"/>
    <col min="11509" max="11509" width="16.5546875" bestFit="1" customWidth="1"/>
    <col min="11510" max="11510" width="103" customWidth="1"/>
    <col min="11511" max="11511" width="11.44140625" customWidth="1"/>
    <col min="11764" max="11764" width="10.109375" customWidth="1"/>
    <col min="11765" max="11765" width="16.5546875" bestFit="1" customWidth="1"/>
    <col min="11766" max="11766" width="103" customWidth="1"/>
    <col min="11767" max="11767" width="11.44140625" customWidth="1"/>
    <col min="12020" max="12020" width="10.109375" customWidth="1"/>
    <col min="12021" max="12021" width="16.5546875" bestFit="1" customWidth="1"/>
    <col min="12022" max="12022" width="103" customWidth="1"/>
    <col min="12023" max="12023" width="11.44140625" customWidth="1"/>
    <col min="12276" max="12276" width="10.109375" customWidth="1"/>
    <col min="12277" max="12277" width="16.5546875" bestFit="1" customWidth="1"/>
    <col min="12278" max="12278" width="103" customWidth="1"/>
    <col min="12279" max="12279" width="11.44140625" customWidth="1"/>
    <col min="12532" max="12532" width="10.109375" customWidth="1"/>
    <col min="12533" max="12533" width="16.5546875" bestFit="1" customWidth="1"/>
    <col min="12534" max="12534" width="103" customWidth="1"/>
    <col min="12535" max="12535" width="11.44140625" customWidth="1"/>
    <col min="12788" max="12788" width="10.109375" customWidth="1"/>
    <col min="12789" max="12789" width="16.5546875" bestFit="1" customWidth="1"/>
    <col min="12790" max="12790" width="103" customWidth="1"/>
    <col min="12791" max="12791" width="11.44140625" customWidth="1"/>
    <col min="13044" max="13044" width="10.109375" customWidth="1"/>
    <col min="13045" max="13045" width="16.5546875" bestFit="1" customWidth="1"/>
    <col min="13046" max="13046" width="103" customWidth="1"/>
    <col min="13047" max="13047" width="11.44140625" customWidth="1"/>
    <col min="13300" max="13300" width="10.109375" customWidth="1"/>
    <col min="13301" max="13301" width="16.5546875" bestFit="1" customWidth="1"/>
    <col min="13302" max="13302" width="103" customWidth="1"/>
    <col min="13303" max="13303" width="11.44140625" customWidth="1"/>
    <col min="13556" max="13556" width="10.109375" customWidth="1"/>
    <col min="13557" max="13557" width="16.5546875" bestFit="1" customWidth="1"/>
    <col min="13558" max="13558" width="103" customWidth="1"/>
    <col min="13559" max="13559" width="11.44140625" customWidth="1"/>
    <col min="13812" max="13812" width="10.109375" customWidth="1"/>
    <col min="13813" max="13813" width="16.5546875" bestFit="1" customWidth="1"/>
    <col min="13814" max="13814" width="103" customWidth="1"/>
    <col min="13815" max="13815" width="11.44140625" customWidth="1"/>
    <col min="14068" max="14068" width="10.109375" customWidth="1"/>
    <col min="14069" max="14069" width="16.5546875" bestFit="1" customWidth="1"/>
    <col min="14070" max="14070" width="103" customWidth="1"/>
    <col min="14071" max="14071" width="11.44140625" customWidth="1"/>
    <col min="14324" max="14324" width="10.109375" customWidth="1"/>
    <col min="14325" max="14325" width="16.5546875" bestFit="1" customWidth="1"/>
    <col min="14326" max="14326" width="103" customWidth="1"/>
    <col min="14327" max="14327" width="11.44140625" customWidth="1"/>
    <col min="14580" max="14580" width="10.109375" customWidth="1"/>
    <col min="14581" max="14581" width="16.5546875" bestFit="1" customWidth="1"/>
    <col min="14582" max="14582" width="103" customWidth="1"/>
    <col min="14583" max="14583" width="11.44140625" customWidth="1"/>
    <col min="14836" max="14836" width="10.109375" customWidth="1"/>
    <col min="14837" max="14837" width="16.5546875" bestFit="1" customWidth="1"/>
    <col min="14838" max="14838" width="103" customWidth="1"/>
    <col min="14839" max="14839" width="11.44140625" customWidth="1"/>
    <col min="15092" max="15092" width="10.109375" customWidth="1"/>
    <col min="15093" max="15093" width="16.5546875" bestFit="1" customWidth="1"/>
    <col min="15094" max="15094" width="103" customWidth="1"/>
    <col min="15095" max="15095" width="11.44140625" customWidth="1"/>
    <col min="15348" max="15348" width="10.109375" customWidth="1"/>
    <col min="15349" max="15349" width="16.5546875" bestFit="1" customWidth="1"/>
    <col min="15350" max="15350" width="103" customWidth="1"/>
    <col min="15351" max="15351" width="11.44140625" customWidth="1"/>
    <col min="15604" max="15604" width="10.109375" customWidth="1"/>
    <col min="15605" max="15605" width="16.5546875" bestFit="1" customWidth="1"/>
    <col min="15606" max="15606" width="103" customWidth="1"/>
    <col min="15607" max="15607" width="11.44140625" customWidth="1"/>
    <col min="15860" max="15860" width="10.109375" customWidth="1"/>
    <col min="15861" max="15861" width="16.5546875" bestFit="1" customWidth="1"/>
    <col min="15862" max="15862" width="103" customWidth="1"/>
    <col min="15863" max="15863" width="11.44140625" customWidth="1"/>
    <col min="16116" max="16116" width="10.109375" customWidth="1"/>
    <col min="16117" max="16117" width="16.5546875" bestFit="1" customWidth="1"/>
    <col min="16118" max="16118" width="103" customWidth="1"/>
    <col min="16119" max="16119" width="11.44140625" customWidth="1"/>
  </cols>
  <sheetData>
    <row r="1" spans="2:17" ht="16.8" x14ac:dyDescent="0.25">
      <c r="B1" s="161" t="s">
        <v>494</v>
      </c>
      <c r="C1" s="1454"/>
      <c r="D1" s="1454"/>
      <c r="E1" s="1454"/>
    </row>
    <row r="2" spans="2:17" ht="16.8" x14ac:dyDescent="0.25">
      <c r="C2" s="1685"/>
      <c r="D2" s="1685"/>
      <c r="E2" s="1685"/>
    </row>
    <row r="3" spans="2:17" ht="28.8" x14ac:dyDescent="0.25">
      <c r="B3" s="1686" t="s">
        <v>432</v>
      </c>
      <c r="C3" s="1687" t="s">
        <v>45</v>
      </c>
      <c r="D3" s="1688">
        <v>2009</v>
      </c>
      <c r="E3" s="1688">
        <v>2010</v>
      </c>
      <c r="F3" s="1688">
        <v>2011</v>
      </c>
      <c r="G3" s="1688">
        <v>2012</v>
      </c>
      <c r="H3" s="1688">
        <v>2013</v>
      </c>
      <c r="I3" s="1688">
        <v>2014</v>
      </c>
      <c r="J3" s="1688">
        <v>2015</v>
      </c>
      <c r="K3" s="1688">
        <v>2016</v>
      </c>
      <c r="L3" s="1688">
        <v>2017</v>
      </c>
      <c r="M3" s="1688">
        <v>2018</v>
      </c>
      <c r="N3" s="1688">
        <v>2019</v>
      </c>
      <c r="O3" s="1688">
        <v>2020</v>
      </c>
      <c r="P3" s="1688">
        <v>2021</v>
      </c>
      <c r="Q3" s="1688">
        <v>2022</v>
      </c>
    </row>
    <row r="4" spans="2:17" ht="15" customHeight="1" x14ac:dyDescent="0.25">
      <c r="B4" s="1689" t="s">
        <v>308</v>
      </c>
      <c r="C4" s="1690" t="s">
        <v>495</v>
      </c>
      <c r="D4" s="1691">
        <v>4</v>
      </c>
      <c r="E4" s="1691">
        <v>4</v>
      </c>
      <c r="F4" s="1691">
        <v>4</v>
      </c>
      <c r="G4" s="1691">
        <v>4</v>
      </c>
      <c r="H4" s="1691">
        <v>4</v>
      </c>
      <c r="I4" s="1691">
        <v>4</v>
      </c>
      <c r="J4" s="1691">
        <v>4</v>
      </c>
      <c r="K4" s="1691">
        <v>4</v>
      </c>
      <c r="L4" s="1691">
        <v>4</v>
      </c>
      <c r="M4" s="1691">
        <v>4</v>
      </c>
      <c r="N4" s="1691">
        <v>4</v>
      </c>
      <c r="O4" s="1691">
        <v>4</v>
      </c>
      <c r="P4" s="1691">
        <v>4</v>
      </c>
      <c r="Q4" s="1691">
        <v>4</v>
      </c>
    </row>
    <row r="5" spans="2:17" x14ac:dyDescent="0.25">
      <c r="B5" s="5891" t="s">
        <v>310</v>
      </c>
      <c r="C5" s="1692" t="s">
        <v>313</v>
      </c>
      <c r="D5" s="1693">
        <v>83</v>
      </c>
      <c r="E5" s="1693">
        <v>84</v>
      </c>
      <c r="F5" s="1693">
        <f>+E5+4</f>
        <v>88</v>
      </c>
      <c r="G5" s="1693">
        <v>89</v>
      </c>
      <c r="H5" s="1693">
        <v>90</v>
      </c>
      <c r="I5" s="1693">
        <v>93</v>
      </c>
      <c r="J5" s="1693">
        <v>93</v>
      </c>
      <c r="K5" s="1693">
        <v>93</v>
      </c>
      <c r="L5" s="1693">
        <v>97</v>
      </c>
      <c r="M5" s="1693">
        <v>98</v>
      </c>
      <c r="N5" s="1693">
        <v>101</v>
      </c>
      <c r="O5" s="1693">
        <v>104</v>
      </c>
      <c r="P5" s="1693">
        <v>107</v>
      </c>
      <c r="Q5" s="1693">
        <v>112</v>
      </c>
    </row>
    <row r="6" spans="2:17" x14ac:dyDescent="0.25">
      <c r="B6" s="5892"/>
      <c r="C6" s="1692" t="s">
        <v>437</v>
      </c>
      <c r="D6" s="1693"/>
      <c r="E6" s="1693"/>
      <c r="F6" s="1693"/>
      <c r="G6" s="1693"/>
      <c r="H6" s="1693"/>
      <c r="I6" s="1693"/>
      <c r="J6" s="1693"/>
      <c r="K6" s="1693"/>
      <c r="L6" s="1693"/>
      <c r="M6" s="1693"/>
      <c r="N6" s="1693"/>
      <c r="O6" s="1693">
        <v>5</v>
      </c>
      <c r="P6" s="1693">
        <v>9</v>
      </c>
      <c r="Q6" s="1693">
        <v>11</v>
      </c>
    </row>
    <row r="7" spans="2:17" x14ac:dyDescent="0.25">
      <c r="B7" s="5892"/>
      <c r="C7" s="1694" t="s">
        <v>496</v>
      </c>
      <c r="D7" s="1693">
        <v>141</v>
      </c>
      <c r="E7" s="1693">
        <v>151</v>
      </c>
      <c r="F7" s="1693">
        <f>+E7+18</f>
        <v>169</v>
      </c>
      <c r="G7" s="1693">
        <v>195</v>
      </c>
      <c r="H7" s="1693">
        <v>210</v>
      </c>
      <c r="I7" s="1693">
        <v>225</v>
      </c>
      <c r="J7" s="1693">
        <v>242</v>
      </c>
      <c r="K7" s="1693">
        <v>275</v>
      </c>
      <c r="L7" s="1693">
        <v>280</v>
      </c>
      <c r="M7" s="1693">
        <v>280</v>
      </c>
      <c r="N7" s="1693">
        <v>280</v>
      </c>
      <c r="O7" s="1693">
        <v>280</v>
      </c>
      <c r="P7" s="1693">
        <v>280</v>
      </c>
      <c r="Q7" s="1693">
        <v>280</v>
      </c>
    </row>
    <row r="8" spans="2:17" x14ac:dyDescent="0.25">
      <c r="B8" s="5892"/>
      <c r="C8" s="1692" t="s">
        <v>312</v>
      </c>
      <c r="D8" s="1693">
        <v>23</v>
      </c>
      <c r="E8" s="1693">
        <v>29</v>
      </c>
      <c r="F8" s="1693">
        <v>39</v>
      </c>
      <c r="G8" s="1693">
        <v>49</v>
      </c>
      <c r="H8" s="1693">
        <v>57</v>
      </c>
      <c r="I8" s="1693">
        <v>69</v>
      </c>
      <c r="J8" s="1693">
        <v>78</v>
      </c>
      <c r="K8" s="1693">
        <v>87</v>
      </c>
      <c r="L8" s="1693">
        <v>102</v>
      </c>
      <c r="M8" s="1693">
        <v>110</v>
      </c>
      <c r="N8" s="1693">
        <v>123</v>
      </c>
      <c r="O8" s="1693">
        <v>137</v>
      </c>
      <c r="P8" s="1693">
        <v>145</v>
      </c>
      <c r="Q8" s="1693">
        <v>154</v>
      </c>
    </row>
    <row r="9" spans="2:17" x14ac:dyDescent="0.25">
      <c r="B9" s="5892"/>
      <c r="C9" s="1695" t="s">
        <v>481</v>
      </c>
      <c r="D9" s="1693"/>
      <c r="E9" s="1693"/>
      <c r="F9" s="1693"/>
      <c r="G9" s="1693"/>
      <c r="H9" s="1693"/>
      <c r="I9" s="1693"/>
      <c r="J9" s="1693"/>
      <c r="K9" s="1693"/>
      <c r="L9" s="1693">
        <v>26</v>
      </c>
      <c r="M9" s="1693">
        <v>62</v>
      </c>
      <c r="N9" s="1693">
        <v>78</v>
      </c>
      <c r="O9" s="1693">
        <v>88</v>
      </c>
      <c r="P9" s="1693">
        <v>107</v>
      </c>
      <c r="Q9" s="1693">
        <v>126</v>
      </c>
    </row>
    <row r="10" spans="2:17" x14ac:dyDescent="0.25">
      <c r="B10" s="5892"/>
      <c r="C10" s="1692" t="s">
        <v>435</v>
      </c>
      <c r="D10" s="1693"/>
      <c r="E10" s="1693"/>
      <c r="F10" s="1693"/>
      <c r="G10" s="1693"/>
      <c r="H10" s="1693"/>
      <c r="I10" s="1693">
        <v>5</v>
      </c>
      <c r="J10" s="1693">
        <v>12</v>
      </c>
      <c r="K10" s="1693">
        <v>21</v>
      </c>
      <c r="L10" s="1693">
        <v>33</v>
      </c>
      <c r="M10" s="1693">
        <v>42</v>
      </c>
      <c r="N10" s="1693">
        <v>51</v>
      </c>
      <c r="O10" s="1693">
        <v>53</v>
      </c>
      <c r="P10" s="1693">
        <v>65</v>
      </c>
      <c r="Q10" s="1693">
        <v>69</v>
      </c>
    </row>
    <row r="11" spans="2:17" x14ac:dyDescent="0.25">
      <c r="B11" s="5893"/>
      <c r="C11" s="1692" t="s">
        <v>436</v>
      </c>
      <c r="D11" s="1693"/>
      <c r="E11" s="1693"/>
      <c r="F11" s="1693"/>
      <c r="G11" s="1693"/>
      <c r="H11" s="1693"/>
      <c r="I11" s="1693">
        <v>1</v>
      </c>
      <c r="J11" s="1693">
        <v>4</v>
      </c>
      <c r="K11" s="1693">
        <v>7</v>
      </c>
      <c r="L11" s="1693">
        <v>11</v>
      </c>
      <c r="M11" s="1693">
        <v>16</v>
      </c>
      <c r="N11" s="1693">
        <v>16</v>
      </c>
      <c r="O11" s="1693">
        <v>20</v>
      </c>
      <c r="P11" s="1693">
        <v>22</v>
      </c>
      <c r="Q11" s="1693">
        <v>26</v>
      </c>
    </row>
    <row r="12" spans="2:17" x14ac:dyDescent="0.25">
      <c r="B12" s="5894" t="s">
        <v>317</v>
      </c>
      <c r="C12" s="1696" t="s">
        <v>497</v>
      </c>
      <c r="D12" s="1697">
        <v>31</v>
      </c>
      <c r="E12" s="1697">
        <v>35</v>
      </c>
      <c r="F12" s="1697">
        <f>+E12+10</f>
        <v>45</v>
      </c>
      <c r="G12" s="1697">
        <v>50</v>
      </c>
      <c r="H12" s="1697">
        <v>61</v>
      </c>
      <c r="I12" s="1697">
        <v>66</v>
      </c>
      <c r="J12" s="1697">
        <v>69</v>
      </c>
      <c r="K12" s="1697">
        <v>76</v>
      </c>
      <c r="L12" s="1697">
        <v>77</v>
      </c>
      <c r="M12" s="1697">
        <v>77</v>
      </c>
      <c r="N12" s="1697">
        <v>77</v>
      </c>
      <c r="O12" s="1697">
        <v>77</v>
      </c>
      <c r="P12" s="1697">
        <v>77</v>
      </c>
      <c r="Q12" s="4473">
        <v>77</v>
      </c>
    </row>
    <row r="13" spans="2:17" x14ac:dyDescent="0.25">
      <c r="B13" s="5895"/>
      <c r="C13" s="1698" t="s">
        <v>319</v>
      </c>
      <c r="D13" s="1697"/>
      <c r="E13" s="1697">
        <v>2</v>
      </c>
      <c r="F13" s="1697">
        <v>3</v>
      </c>
      <c r="G13" s="1697">
        <v>4</v>
      </c>
      <c r="H13" s="1697">
        <v>6</v>
      </c>
      <c r="I13" s="1697">
        <v>7</v>
      </c>
      <c r="J13" s="1697">
        <v>8</v>
      </c>
      <c r="K13" s="1697">
        <v>8</v>
      </c>
      <c r="L13" s="1697">
        <v>9</v>
      </c>
      <c r="M13" s="1697">
        <v>9</v>
      </c>
      <c r="N13" s="1697">
        <v>11</v>
      </c>
      <c r="O13" s="1697">
        <v>12</v>
      </c>
      <c r="P13" s="1697">
        <v>15</v>
      </c>
      <c r="Q13" s="1697">
        <v>16</v>
      </c>
    </row>
    <row r="14" spans="2:17" x14ac:dyDescent="0.25">
      <c r="B14" s="5895"/>
      <c r="C14" s="1699" t="s">
        <v>481</v>
      </c>
      <c r="D14" s="1700"/>
      <c r="E14" s="1700"/>
      <c r="F14" s="1700"/>
      <c r="G14" s="1700"/>
      <c r="H14" s="1700"/>
      <c r="I14" s="1700"/>
      <c r="J14" s="1700"/>
      <c r="K14" s="1700"/>
      <c r="L14" s="1700">
        <v>5</v>
      </c>
      <c r="M14" s="1700">
        <v>7</v>
      </c>
      <c r="N14" s="1700">
        <v>12</v>
      </c>
      <c r="O14" s="1700">
        <v>13</v>
      </c>
      <c r="P14" s="1700">
        <v>15</v>
      </c>
      <c r="Q14" s="1700">
        <v>25</v>
      </c>
    </row>
    <row r="15" spans="2:17" x14ac:dyDescent="0.25">
      <c r="B15" s="5895"/>
      <c r="C15" s="1698" t="s">
        <v>435</v>
      </c>
      <c r="D15" s="1700"/>
      <c r="E15" s="1700"/>
      <c r="F15" s="1700"/>
      <c r="G15" s="1700"/>
      <c r="H15" s="1700"/>
      <c r="I15" s="1700"/>
      <c r="J15" s="1700"/>
      <c r="K15" s="1700"/>
      <c r="L15" s="1700">
        <v>1</v>
      </c>
      <c r="M15" s="1700">
        <v>2</v>
      </c>
      <c r="N15" s="1700">
        <v>3</v>
      </c>
      <c r="O15" s="1700">
        <v>6</v>
      </c>
      <c r="P15" s="1700">
        <v>7</v>
      </c>
      <c r="Q15" s="1700">
        <v>10</v>
      </c>
    </row>
    <row r="16" spans="2:17" x14ac:dyDescent="0.25">
      <c r="B16" s="5896"/>
      <c r="C16" s="1698" t="s">
        <v>436</v>
      </c>
      <c r="D16" s="1700"/>
      <c r="E16" s="1700"/>
      <c r="F16" s="1700"/>
      <c r="G16" s="1700"/>
      <c r="H16" s="1700"/>
      <c r="I16" s="1700"/>
      <c r="J16" s="1700"/>
      <c r="K16" s="1700"/>
      <c r="L16" s="1700">
        <v>2</v>
      </c>
      <c r="M16" s="1700">
        <v>3</v>
      </c>
      <c r="N16" s="1700">
        <v>3</v>
      </c>
      <c r="O16" s="1700">
        <v>3</v>
      </c>
      <c r="P16" s="1700">
        <v>4</v>
      </c>
      <c r="Q16" s="1700">
        <v>4</v>
      </c>
    </row>
    <row r="17" spans="2:17" x14ac:dyDescent="0.25">
      <c r="B17" s="1701"/>
      <c r="C17" s="1702" t="s">
        <v>59</v>
      </c>
      <c r="D17" s="1703">
        <f t="shared" ref="D17:K17" si="0">SUM(D4:D13)</f>
        <v>282</v>
      </c>
      <c r="E17" s="1703">
        <f t="shared" si="0"/>
        <v>305</v>
      </c>
      <c r="F17" s="1703">
        <f t="shared" si="0"/>
        <v>348</v>
      </c>
      <c r="G17" s="1703">
        <f t="shared" si="0"/>
        <v>391</v>
      </c>
      <c r="H17" s="1703">
        <f t="shared" si="0"/>
        <v>428</v>
      </c>
      <c r="I17" s="1703">
        <f t="shared" si="0"/>
        <v>470</v>
      </c>
      <c r="J17" s="1703">
        <f t="shared" si="0"/>
        <v>510</v>
      </c>
      <c r="K17" s="1703">
        <f t="shared" si="0"/>
        <v>571</v>
      </c>
      <c r="L17" s="1703">
        <f t="shared" ref="L17:Q17" si="1">SUM(L4:L16)</f>
        <v>647</v>
      </c>
      <c r="M17" s="1703">
        <f t="shared" si="1"/>
        <v>710</v>
      </c>
      <c r="N17" s="1703">
        <f t="shared" si="1"/>
        <v>759</v>
      </c>
      <c r="O17" s="1703">
        <f t="shared" si="1"/>
        <v>802</v>
      </c>
      <c r="P17" s="1703">
        <f t="shared" si="1"/>
        <v>857</v>
      </c>
      <c r="Q17" s="1703">
        <f t="shared" si="1"/>
        <v>914</v>
      </c>
    </row>
    <row r="18" spans="2:17" x14ac:dyDescent="0.25">
      <c r="B18" s="5897" t="s">
        <v>308</v>
      </c>
      <c r="C18" s="1704" t="s">
        <v>323</v>
      </c>
      <c r="D18" s="1705"/>
      <c r="E18" s="1705"/>
      <c r="F18" s="1705"/>
      <c r="G18" s="1705"/>
      <c r="H18" s="1705"/>
      <c r="I18" s="1705"/>
      <c r="J18" s="1705"/>
      <c r="K18" s="1705"/>
      <c r="L18" s="1705"/>
      <c r="M18" s="1705"/>
      <c r="N18" s="1705"/>
      <c r="O18" s="1705">
        <v>6</v>
      </c>
      <c r="P18" s="1705">
        <v>6</v>
      </c>
      <c r="Q18" s="1705">
        <v>8</v>
      </c>
    </row>
    <row r="19" spans="2:17" x14ac:dyDescent="0.25">
      <c r="B19" s="5898"/>
      <c r="C19" s="1704" t="s">
        <v>322</v>
      </c>
      <c r="D19" s="1705">
        <v>180</v>
      </c>
      <c r="E19" s="1705">
        <v>190</v>
      </c>
      <c r="F19" s="1705">
        <v>204</v>
      </c>
      <c r="G19" s="1705">
        <v>220</v>
      </c>
      <c r="H19" s="1705">
        <v>232</v>
      </c>
      <c r="I19" s="1705">
        <v>251</v>
      </c>
      <c r="J19" s="1705">
        <v>266</v>
      </c>
      <c r="K19" s="1705">
        <v>285</v>
      </c>
      <c r="L19" s="1705">
        <v>308</v>
      </c>
      <c r="M19" s="1705">
        <v>327</v>
      </c>
      <c r="N19" s="1705">
        <v>340</v>
      </c>
      <c r="O19" s="1705">
        <v>354</v>
      </c>
      <c r="P19" s="1705">
        <v>361</v>
      </c>
      <c r="Q19" s="1705">
        <v>371</v>
      </c>
    </row>
    <row r="20" spans="2:17" x14ac:dyDescent="0.25">
      <c r="B20" s="5898"/>
      <c r="C20" s="1698" t="s">
        <v>324</v>
      </c>
      <c r="D20" s="1697">
        <v>37</v>
      </c>
      <c r="E20" s="1697">
        <v>45</v>
      </c>
      <c r="F20" s="1697">
        <v>54</v>
      </c>
      <c r="G20" s="1697">
        <v>65</v>
      </c>
      <c r="H20" s="1697">
        <v>65</v>
      </c>
      <c r="I20" s="1697">
        <v>70</v>
      </c>
      <c r="J20" s="1697">
        <v>71</v>
      </c>
      <c r="K20" s="1697">
        <v>76</v>
      </c>
      <c r="L20" s="1697">
        <v>76</v>
      </c>
      <c r="M20" s="1697">
        <v>76</v>
      </c>
      <c r="N20" s="1697">
        <v>76</v>
      </c>
      <c r="O20" s="1697">
        <v>82</v>
      </c>
      <c r="P20" s="1697">
        <v>82</v>
      </c>
      <c r="Q20" s="1697">
        <v>82</v>
      </c>
    </row>
    <row r="21" spans="2:17" x14ac:dyDescent="0.25">
      <c r="B21" s="5899"/>
      <c r="C21" s="1698" t="s">
        <v>326</v>
      </c>
      <c r="D21" s="1697">
        <v>1</v>
      </c>
      <c r="E21" s="1697">
        <v>1</v>
      </c>
      <c r="F21" s="1697">
        <v>1</v>
      </c>
      <c r="G21" s="1697">
        <v>1</v>
      </c>
      <c r="H21" s="1697">
        <v>1</v>
      </c>
      <c r="I21" s="1697">
        <v>1</v>
      </c>
      <c r="J21" s="1697">
        <v>1</v>
      </c>
      <c r="K21" s="1697">
        <v>1</v>
      </c>
      <c r="L21" s="1697">
        <v>1</v>
      </c>
      <c r="M21" s="1697">
        <v>1</v>
      </c>
      <c r="N21" s="1697">
        <v>1</v>
      </c>
      <c r="O21" s="1697">
        <v>1</v>
      </c>
      <c r="P21" s="1697">
        <v>1</v>
      </c>
      <c r="Q21" s="1697">
        <v>1</v>
      </c>
    </row>
    <row r="22" spans="2:17" x14ac:dyDescent="0.25">
      <c r="B22" s="5891" t="s">
        <v>310</v>
      </c>
      <c r="C22" s="1692" t="s">
        <v>330</v>
      </c>
      <c r="D22" s="1693">
        <v>100</v>
      </c>
      <c r="E22" s="1693">
        <v>108</v>
      </c>
      <c r="F22" s="1693">
        <v>114</v>
      </c>
      <c r="G22" s="1693">
        <v>124</v>
      </c>
      <c r="H22" s="1693">
        <v>135</v>
      </c>
      <c r="I22" s="1693">
        <v>143</v>
      </c>
      <c r="J22" s="1693">
        <v>154</v>
      </c>
      <c r="K22" s="1693">
        <v>167</v>
      </c>
      <c r="L22" s="1693">
        <v>176</v>
      </c>
      <c r="M22" s="1693">
        <v>183</v>
      </c>
      <c r="N22" s="1693">
        <v>190</v>
      </c>
      <c r="O22" s="1693">
        <v>196</v>
      </c>
      <c r="P22" s="1693">
        <v>201</v>
      </c>
      <c r="Q22" s="1693">
        <v>210</v>
      </c>
    </row>
    <row r="23" spans="2:17" x14ac:dyDescent="0.25">
      <c r="B23" s="5892"/>
      <c r="C23" s="1692" t="s">
        <v>333</v>
      </c>
      <c r="D23" s="1693"/>
      <c r="E23" s="1693"/>
      <c r="F23" s="1693"/>
      <c r="G23" s="1693"/>
      <c r="H23" s="1693"/>
      <c r="I23" s="1693"/>
      <c r="J23" s="1693"/>
      <c r="K23" s="1693"/>
      <c r="L23" s="1693"/>
      <c r="M23" s="1693"/>
      <c r="N23" s="1693"/>
      <c r="O23" s="1693">
        <v>2</v>
      </c>
      <c r="P23" s="1693">
        <v>7</v>
      </c>
      <c r="Q23" s="1693">
        <v>18</v>
      </c>
    </row>
    <row r="24" spans="2:17" x14ac:dyDescent="0.25">
      <c r="B24" s="5892"/>
      <c r="C24" s="1692" t="s">
        <v>332</v>
      </c>
      <c r="D24" s="1693">
        <v>82</v>
      </c>
      <c r="E24" s="1693">
        <v>93</v>
      </c>
      <c r="F24" s="1693">
        <v>105</v>
      </c>
      <c r="G24" s="1693">
        <v>109</v>
      </c>
      <c r="H24" s="1693">
        <v>125</v>
      </c>
      <c r="I24" s="1693">
        <v>133</v>
      </c>
      <c r="J24" s="1693">
        <v>139</v>
      </c>
      <c r="K24" s="1693">
        <v>146</v>
      </c>
      <c r="L24" s="1693">
        <v>148</v>
      </c>
      <c r="M24" s="1693">
        <v>157</v>
      </c>
      <c r="N24" s="1693">
        <v>158</v>
      </c>
      <c r="O24" s="1693">
        <v>166</v>
      </c>
      <c r="P24" s="1693">
        <v>170</v>
      </c>
      <c r="Q24" s="1693">
        <v>177</v>
      </c>
    </row>
    <row r="25" spans="2:17" x14ac:dyDescent="0.25">
      <c r="B25" s="5892"/>
      <c r="C25" s="1692" t="s">
        <v>327</v>
      </c>
      <c r="D25" s="1693">
        <v>54</v>
      </c>
      <c r="E25" s="1693">
        <v>56</v>
      </c>
      <c r="F25" s="1693">
        <v>59</v>
      </c>
      <c r="G25" s="1693">
        <v>59</v>
      </c>
      <c r="H25" s="1693">
        <v>59</v>
      </c>
      <c r="I25" s="1693">
        <v>59</v>
      </c>
      <c r="J25" s="1693">
        <v>59</v>
      </c>
      <c r="K25" s="1693">
        <v>59</v>
      </c>
      <c r="L25" s="1693">
        <v>59</v>
      </c>
      <c r="M25" s="1693">
        <v>59</v>
      </c>
      <c r="N25" s="1693">
        <v>59</v>
      </c>
      <c r="O25" s="1693">
        <v>59</v>
      </c>
      <c r="P25" s="1693">
        <v>59</v>
      </c>
      <c r="Q25" s="1693">
        <v>59</v>
      </c>
    </row>
    <row r="26" spans="2:17" x14ac:dyDescent="0.25">
      <c r="B26" s="5892"/>
      <c r="C26" s="1692" t="s">
        <v>328</v>
      </c>
      <c r="D26" s="1693">
        <v>7</v>
      </c>
      <c r="E26" s="1693">
        <v>7</v>
      </c>
      <c r="F26" s="1693">
        <v>7</v>
      </c>
      <c r="G26" s="1693">
        <v>7</v>
      </c>
      <c r="H26" s="1693">
        <v>7</v>
      </c>
      <c r="I26" s="1693">
        <v>7</v>
      </c>
      <c r="J26" s="1693">
        <v>7</v>
      </c>
      <c r="K26" s="1693">
        <v>7</v>
      </c>
      <c r="L26" s="1693">
        <v>7</v>
      </c>
      <c r="M26" s="1693">
        <v>8</v>
      </c>
      <c r="N26" s="1693">
        <v>8</v>
      </c>
      <c r="O26" s="1693">
        <v>8</v>
      </c>
      <c r="P26" s="1693">
        <v>7</v>
      </c>
      <c r="Q26" s="1693">
        <v>8</v>
      </c>
    </row>
    <row r="27" spans="2:17" x14ac:dyDescent="0.25">
      <c r="B27" s="5892"/>
      <c r="C27" s="1692" t="s">
        <v>329</v>
      </c>
      <c r="D27" s="1693">
        <v>17</v>
      </c>
      <c r="E27" s="1693">
        <v>29</v>
      </c>
      <c r="F27" s="1693">
        <v>36</v>
      </c>
      <c r="G27" s="1693">
        <v>45</v>
      </c>
      <c r="H27" s="1693">
        <v>45</v>
      </c>
      <c r="I27" s="1693">
        <v>55</v>
      </c>
      <c r="J27" s="1693">
        <v>58</v>
      </c>
      <c r="K27" s="1693">
        <v>73</v>
      </c>
      <c r="L27" s="1693">
        <v>76</v>
      </c>
      <c r="M27" s="1693">
        <v>90</v>
      </c>
      <c r="N27" s="1693">
        <v>89</v>
      </c>
      <c r="O27" s="1693">
        <v>94</v>
      </c>
      <c r="P27" s="1693">
        <v>94</v>
      </c>
      <c r="Q27" s="1693">
        <v>101</v>
      </c>
    </row>
    <row r="28" spans="2:17" x14ac:dyDescent="0.25">
      <c r="B28" s="5892"/>
      <c r="C28" s="1692" t="s">
        <v>326</v>
      </c>
      <c r="D28" s="1693"/>
      <c r="E28" s="1693">
        <v>3</v>
      </c>
      <c r="F28" s="1693">
        <v>7</v>
      </c>
      <c r="G28" s="1693">
        <v>10</v>
      </c>
      <c r="H28" s="1693">
        <v>11</v>
      </c>
      <c r="I28" s="1693">
        <v>14</v>
      </c>
      <c r="J28" s="1693">
        <v>15</v>
      </c>
      <c r="K28" s="1693">
        <v>20</v>
      </c>
      <c r="L28" s="1693">
        <v>26</v>
      </c>
      <c r="M28" s="1693">
        <v>29</v>
      </c>
      <c r="N28" s="1693">
        <v>33</v>
      </c>
      <c r="O28" s="1693">
        <v>33</v>
      </c>
      <c r="P28" s="1693">
        <v>37</v>
      </c>
      <c r="Q28" s="1693">
        <v>37</v>
      </c>
    </row>
    <row r="29" spans="2:17" x14ac:dyDescent="0.25">
      <c r="B29" s="5892"/>
      <c r="C29" s="1692" t="s">
        <v>331</v>
      </c>
      <c r="D29" s="1693"/>
      <c r="E29" s="1693"/>
      <c r="F29" s="1693"/>
      <c r="G29" s="1693"/>
      <c r="H29" s="1693"/>
      <c r="I29" s="1693">
        <v>5</v>
      </c>
      <c r="J29" s="1693">
        <v>7</v>
      </c>
      <c r="K29" s="1693">
        <v>18</v>
      </c>
      <c r="L29" s="1693">
        <v>22</v>
      </c>
      <c r="M29" s="1693">
        <v>29</v>
      </c>
      <c r="N29" s="1693">
        <v>36</v>
      </c>
      <c r="O29" s="1693">
        <v>43</v>
      </c>
      <c r="P29" s="1693">
        <v>55</v>
      </c>
      <c r="Q29" s="1693">
        <v>58</v>
      </c>
    </row>
    <row r="30" spans="2:17" x14ac:dyDescent="0.25">
      <c r="B30" s="5893"/>
      <c r="C30" s="1692" t="s">
        <v>334</v>
      </c>
      <c r="D30" s="1693"/>
      <c r="E30" s="1693"/>
      <c r="F30" s="1693"/>
      <c r="G30" s="1693"/>
      <c r="H30" s="1693"/>
      <c r="I30" s="1693"/>
      <c r="J30" s="1693"/>
      <c r="K30" s="1693"/>
      <c r="L30" s="1693"/>
      <c r="M30" s="1693">
        <v>2</v>
      </c>
      <c r="N30" s="1693">
        <v>5</v>
      </c>
      <c r="O30" s="1693">
        <v>8</v>
      </c>
      <c r="P30" s="1693">
        <v>10</v>
      </c>
      <c r="Q30" s="1693">
        <v>10</v>
      </c>
    </row>
    <row r="31" spans="2:17" x14ac:dyDescent="0.25">
      <c r="B31" s="5894" t="s">
        <v>317</v>
      </c>
      <c r="C31" s="1698" t="s">
        <v>334</v>
      </c>
      <c r="D31" s="1697"/>
      <c r="E31" s="1697"/>
      <c r="F31" s="1697"/>
      <c r="G31" s="1697"/>
      <c r="H31" s="1697"/>
      <c r="I31" s="1697"/>
      <c r="J31" s="1697"/>
      <c r="K31" s="1697"/>
      <c r="L31" s="1697"/>
      <c r="M31" s="1697"/>
      <c r="N31" s="1697"/>
      <c r="O31" s="1697"/>
      <c r="P31" s="1697"/>
      <c r="Q31" s="1697"/>
    </row>
    <row r="32" spans="2:17" x14ac:dyDescent="0.25">
      <c r="B32" s="5895"/>
      <c r="C32" s="1698" t="s">
        <v>335</v>
      </c>
      <c r="D32" s="1697">
        <v>1</v>
      </c>
      <c r="E32" s="1697">
        <v>2</v>
      </c>
      <c r="F32" s="1697">
        <v>3</v>
      </c>
      <c r="G32" s="1697">
        <v>3</v>
      </c>
      <c r="H32" s="1697">
        <v>4</v>
      </c>
      <c r="I32" s="1697">
        <v>4</v>
      </c>
      <c r="J32" s="1697">
        <v>5</v>
      </c>
      <c r="K32" s="1697">
        <v>5</v>
      </c>
      <c r="L32" s="1697">
        <v>6</v>
      </c>
      <c r="M32" s="1697">
        <v>6</v>
      </c>
      <c r="N32" s="1697">
        <v>6</v>
      </c>
      <c r="O32" s="1697">
        <v>7</v>
      </c>
      <c r="P32" s="1697">
        <v>6</v>
      </c>
      <c r="Q32" s="1697">
        <v>6</v>
      </c>
    </row>
    <row r="33" spans="2:17" x14ac:dyDescent="0.25">
      <c r="B33" s="5895"/>
      <c r="C33" s="1698" t="s">
        <v>498</v>
      </c>
      <c r="D33" s="1697"/>
      <c r="E33" s="1697"/>
      <c r="F33" s="1697">
        <v>5</v>
      </c>
      <c r="G33" s="1697">
        <v>7</v>
      </c>
      <c r="H33" s="1697">
        <v>7</v>
      </c>
      <c r="I33" s="1697">
        <v>12</v>
      </c>
      <c r="J33" s="1697">
        <v>16</v>
      </c>
      <c r="K33" s="1697">
        <v>21</v>
      </c>
      <c r="L33" s="1697">
        <v>23</v>
      </c>
      <c r="M33" s="1697">
        <v>26</v>
      </c>
      <c r="N33" s="1697">
        <v>30</v>
      </c>
      <c r="O33" s="1697">
        <v>32</v>
      </c>
      <c r="P33" s="1697">
        <v>32</v>
      </c>
      <c r="Q33" s="1697">
        <v>36</v>
      </c>
    </row>
    <row r="34" spans="2:17" x14ac:dyDescent="0.25">
      <c r="B34" s="5896"/>
      <c r="C34" s="1698" t="s">
        <v>336</v>
      </c>
      <c r="D34" s="1697">
        <v>2</v>
      </c>
      <c r="E34" s="1697">
        <v>4</v>
      </c>
      <c r="F34" s="1697">
        <v>5</v>
      </c>
      <c r="G34" s="1697">
        <v>9</v>
      </c>
      <c r="H34" s="1697">
        <v>17</v>
      </c>
      <c r="I34" s="1697">
        <v>25</v>
      </c>
      <c r="J34" s="1697">
        <v>27</v>
      </c>
      <c r="K34" s="1697">
        <v>33</v>
      </c>
      <c r="L34" s="1697">
        <v>34</v>
      </c>
      <c r="M34" s="1697">
        <v>38</v>
      </c>
      <c r="N34" s="1697">
        <v>42</v>
      </c>
      <c r="O34" s="1697">
        <v>42</v>
      </c>
      <c r="P34" s="1697">
        <v>51</v>
      </c>
      <c r="Q34" s="1697">
        <v>57</v>
      </c>
    </row>
    <row r="35" spans="2:17" x14ac:dyDescent="0.25">
      <c r="B35" s="1701"/>
      <c r="C35" s="1702" t="s">
        <v>64</v>
      </c>
      <c r="D35" s="1703">
        <f t="shared" ref="D35:N35" si="2">SUM(D19:D34)</f>
        <v>481</v>
      </c>
      <c r="E35" s="1703">
        <f t="shared" si="2"/>
        <v>538</v>
      </c>
      <c r="F35" s="1703">
        <f t="shared" si="2"/>
        <v>600</v>
      </c>
      <c r="G35" s="1703">
        <f t="shared" si="2"/>
        <v>659</v>
      </c>
      <c r="H35" s="1703">
        <f t="shared" si="2"/>
        <v>708</v>
      </c>
      <c r="I35" s="1703">
        <f t="shared" si="2"/>
        <v>779</v>
      </c>
      <c r="J35" s="1703">
        <f t="shared" si="2"/>
        <v>825</v>
      </c>
      <c r="K35" s="1703">
        <f t="shared" si="2"/>
        <v>911</v>
      </c>
      <c r="L35" s="1703">
        <f t="shared" si="2"/>
        <v>962</v>
      </c>
      <c r="M35" s="1703">
        <f t="shared" si="2"/>
        <v>1031</v>
      </c>
      <c r="N35" s="1703">
        <f t="shared" si="2"/>
        <v>1073</v>
      </c>
      <c r="O35" s="1703">
        <f>SUM(O18:O34)</f>
        <v>1133</v>
      </c>
      <c r="P35" s="1703">
        <f>SUM(P18:P34)</f>
        <v>1179</v>
      </c>
      <c r="Q35" s="1703">
        <f>SUM(Q18:Q34)</f>
        <v>1239</v>
      </c>
    </row>
    <row r="36" spans="2:17" x14ac:dyDescent="0.25">
      <c r="B36" s="5894" t="s">
        <v>308</v>
      </c>
      <c r="C36" s="1704" t="s">
        <v>338</v>
      </c>
      <c r="D36" s="1705">
        <v>35</v>
      </c>
      <c r="E36" s="1705">
        <v>35</v>
      </c>
      <c r="F36" s="1705">
        <v>36</v>
      </c>
      <c r="G36" s="1705">
        <v>36</v>
      </c>
      <c r="H36" s="1705">
        <v>36</v>
      </c>
      <c r="I36" s="1705">
        <v>36</v>
      </c>
      <c r="J36" s="1705">
        <v>36</v>
      </c>
      <c r="K36" s="1705">
        <v>36</v>
      </c>
      <c r="L36" s="1705">
        <v>36</v>
      </c>
      <c r="M36" s="1705">
        <v>38</v>
      </c>
      <c r="N36" s="1705">
        <v>45</v>
      </c>
      <c r="O36" s="1705">
        <v>45</v>
      </c>
      <c r="P36" s="1705">
        <v>51</v>
      </c>
      <c r="Q36" s="1705">
        <v>56</v>
      </c>
    </row>
    <row r="37" spans="2:17" x14ac:dyDescent="0.25">
      <c r="B37" s="5895"/>
      <c r="C37" s="1696" t="s">
        <v>337</v>
      </c>
      <c r="D37" s="1706">
        <v>306</v>
      </c>
      <c r="E37" s="1706">
        <v>331</v>
      </c>
      <c r="F37" s="1706">
        <v>367</v>
      </c>
      <c r="G37" s="1706">
        <v>371</v>
      </c>
      <c r="H37" s="1706">
        <v>404</v>
      </c>
      <c r="I37" s="1706">
        <v>405</v>
      </c>
      <c r="J37" s="1706">
        <v>372</v>
      </c>
      <c r="K37" s="1706">
        <v>374</v>
      </c>
      <c r="L37" s="1706">
        <v>374</v>
      </c>
      <c r="M37" s="1706">
        <v>374</v>
      </c>
      <c r="N37" s="1706">
        <v>374</v>
      </c>
      <c r="O37" s="1706">
        <v>374</v>
      </c>
      <c r="P37" s="1706">
        <v>374</v>
      </c>
      <c r="Q37" s="1706">
        <v>374</v>
      </c>
    </row>
    <row r="38" spans="2:17" x14ac:dyDescent="0.25">
      <c r="B38" s="5895"/>
      <c r="C38" s="1698" t="s">
        <v>341</v>
      </c>
      <c r="D38" s="1697"/>
      <c r="E38" s="1697"/>
      <c r="F38" s="1697"/>
      <c r="G38" s="1697"/>
      <c r="H38" s="1697"/>
      <c r="I38" s="1697"/>
      <c r="J38" s="1697">
        <v>7</v>
      </c>
      <c r="K38" s="1697">
        <v>11</v>
      </c>
      <c r="L38" s="1697">
        <v>13</v>
      </c>
      <c r="M38" s="1697">
        <v>13</v>
      </c>
      <c r="N38" s="1697">
        <v>13</v>
      </c>
      <c r="O38" s="1697">
        <v>13</v>
      </c>
      <c r="P38" s="1697">
        <v>13</v>
      </c>
      <c r="Q38" s="1697">
        <v>13</v>
      </c>
    </row>
    <row r="39" spans="2:17" x14ac:dyDescent="0.25">
      <c r="B39" s="5895"/>
      <c r="C39" s="1698" t="s">
        <v>342</v>
      </c>
      <c r="D39" s="1697"/>
      <c r="E39" s="1697"/>
      <c r="F39" s="1697"/>
      <c r="G39" s="1697"/>
      <c r="H39" s="1697"/>
      <c r="I39" s="1697"/>
      <c r="J39" s="1697">
        <v>1</v>
      </c>
      <c r="K39" s="1697">
        <v>1</v>
      </c>
      <c r="L39" s="1697">
        <v>1</v>
      </c>
      <c r="M39" s="1697">
        <v>1</v>
      </c>
      <c r="N39" s="1697">
        <v>1</v>
      </c>
      <c r="O39" s="1697">
        <v>1</v>
      </c>
      <c r="P39" s="1697">
        <v>1</v>
      </c>
      <c r="Q39" s="1697">
        <v>2</v>
      </c>
    </row>
    <row r="40" spans="2:17" x14ac:dyDescent="0.25">
      <c r="B40" s="5895"/>
      <c r="C40" s="1698" t="s">
        <v>343</v>
      </c>
      <c r="D40" s="1697"/>
      <c r="E40" s="1697"/>
      <c r="F40" s="1697"/>
      <c r="G40" s="1697"/>
      <c r="H40" s="1697"/>
      <c r="I40" s="1697"/>
      <c r="J40" s="1697"/>
      <c r="K40" s="1697">
        <v>4</v>
      </c>
      <c r="L40" s="1697">
        <v>4</v>
      </c>
      <c r="M40" s="1697">
        <v>4</v>
      </c>
      <c r="N40" s="1697">
        <v>4</v>
      </c>
      <c r="O40" s="1697">
        <v>4</v>
      </c>
      <c r="P40" s="1697">
        <v>4</v>
      </c>
      <c r="Q40" s="1697">
        <v>4</v>
      </c>
    </row>
    <row r="41" spans="2:17" x14ac:dyDescent="0.25">
      <c r="B41" s="5895"/>
      <c r="C41" s="1698" t="s">
        <v>339</v>
      </c>
      <c r="D41" s="1697"/>
      <c r="E41" s="1697"/>
      <c r="F41" s="1697"/>
      <c r="G41" s="1697"/>
      <c r="H41" s="1697"/>
      <c r="I41" s="1697"/>
      <c r="J41" s="1697">
        <v>6</v>
      </c>
      <c r="K41" s="1697">
        <v>7</v>
      </c>
      <c r="L41" s="1697">
        <v>14</v>
      </c>
      <c r="M41" s="1697">
        <v>14</v>
      </c>
      <c r="N41" s="1697">
        <v>28</v>
      </c>
      <c r="O41" s="1697">
        <v>23</v>
      </c>
      <c r="P41" s="1697">
        <v>30</v>
      </c>
      <c r="Q41" s="1697">
        <v>36</v>
      </c>
    </row>
    <row r="42" spans="2:17" x14ac:dyDescent="0.25">
      <c r="B42" s="5896"/>
      <c r="C42" s="1698" t="s">
        <v>344</v>
      </c>
      <c r="D42" s="1697"/>
      <c r="E42" s="1697"/>
      <c r="F42" s="1697"/>
      <c r="G42" s="1697"/>
      <c r="H42" s="1697"/>
      <c r="I42" s="1697"/>
      <c r="J42" s="1697">
        <v>1</v>
      </c>
      <c r="K42" s="1697">
        <v>2</v>
      </c>
      <c r="L42" s="1697">
        <v>2</v>
      </c>
      <c r="M42" s="1697">
        <v>2</v>
      </c>
      <c r="N42" s="1697">
        <v>1</v>
      </c>
      <c r="O42" s="1697">
        <v>1</v>
      </c>
      <c r="P42" s="1697">
        <v>1</v>
      </c>
      <c r="Q42" s="1697">
        <v>1</v>
      </c>
    </row>
    <row r="43" spans="2:17" x14ac:dyDescent="0.25">
      <c r="B43" s="5891" t="s">
        <v>310</v>
      </c>
      <c r="C43" s="1719" t="s">
        <v>499</v>
      </c>
      <c r="D43" s="1707">
        <v>3</v>
      </c>
      <c r="E43" s="1707">
        <v>3</v>
      </c>
      <c r="F43" s="1707">
        <v>3</v>
      </c>
      <c r="G43" s="1707">
        <v>3</v>
      </c>
      <c r="H43" s="1707">
        <v>3</v>
      </c>
      <c r="I43" s="1707">
        <v>3</v>
      </c>
      <c r="J43" s="1707">
        <v>3</v>
      </c>
      <c r="K43" s="1707">
        <v>3</v>
      </c>
      <c r="L43" s="1707">
        <v>3</v>
      </c>
      <c r="M43" s="1707">
        <v>3</v>
      </c>
      <c r="N43" s="1707">
        <v>3</v>
      </c>
      <c r="O43" s="1707">
        <v>3</v>
      </c>
      <c r="P43" s="1707">
        <v>3</v>
      </c>
      <c r="Q43" s="1707">
        <v>3</v>
      </c>
    </row>
    <row r="44" spans="2:17" x14ac:dyDescent="0.25">
      <c r="B44" s="5892"/>
      <c r="C44" s="1694" t="s">
        <v>340</v>
      </c>
      <c r="D44" s="1707">
        <v>81</v>
      </c>
      <c r="E44" s="1707">
        <v>96</v>
      </c>
      <c r="F44" s="1707">
        <v>125</v>
      </c>
      <c r="G44" s="1707">
        <v>148</v>
      </c>
      <c r="H44" s="1707">
        <v>186</v>
      </c>
      <c r="I44" s="1707">
        <v>212</v>
      </c>
      <c r="J44" s="1707">
        <v>205</v>
      </c>
      <c r="K44" s="1707">
        <v>201</v>
      </c>
      <c r="L44" s="1707">
        <v>200</v>
      </c>
      <c r="M44" s="1707">
        <v>200</v>
      </c>
      <c r="N44" s="1707">
        <v>200</v>
      </c>
      <c r="O44" s="1707">
        <v>200</v>
      </c>
      <c r="P44" s="1707">
        <v>200</v>
      </c>
      <c r="Q44" s="1707">
        <v>200</v>
      </c>
    </row>
    <row r="45" spans="2:17" x14ac:dyDescent="0.25">
      <c r="B45" s="5892"/>
      <c r="C45" s="1692" t="s">
        <v>341</v>
      </c>
      <c r="D45" s="1693"/>
      <c r="E45" s="1693"/>
      <c r="F45" s="1693"/>
      <c r="G45" s="1693"/>
      <c r="H45" s="1693"/>
      <c r="I45" s="1693"/>
      <c r="J45" s="1693">
        <v>4</v>
      </c>
      <c r="K45" s="1693">
        <v>10</v>
      </c>
      <c r="L45" s="1693">
        <v>21</v>
      </c>
      <c r="M45" s="1693">
        <v>24</v>
      </c>
      <c r="N45" s="1693">
        <v>25</v>
      </c>
      <c r="O45" s="1693">
        <v>26</v>
      </c>
      <c r="P45" s="1693">
        <v>26</v>
      </c>
      <c r="Q45" s="1693">
        <v>28</v>
      </c>
    </row>
    <row r="46" spans="2:17" x14ac:dyDescent="0.25">
      <c r="B46" s="5892"/>
      <c r="C46" s="1692" t="s">
        <v>342</v>
      </c>
      <c r="D46" s="1693"/>
      <c r="E46" s="1693"/>
      <c r="F46" s="1693"/>
      <c r="G46" s="1693"/>
      <c r="H46" s="1693"/>
      <c r="I46" s="1693"/>
      <c r="J46" s="1693">
        <v>8</v>
      </c>
      <c r="K46" s="1693">
        <v>10</v>
      </c>
      <c r="L46" s="1693">
        <v>12</v>
      </c>
      <c r="M46" s="1693">
        <v>15</v>
      </c>
      <c r="N46" s="1693">
        <v>15</v>
      </c>
      <c r="O46" s="1693">
        <v>17</v>
      </c>
      <c r="P46" s="1693">
        <v>19</v>
      </c>
      <c r="Q46" s="1693">
        <v>19</v>
      </c>
    </row>
    <row r="47" spans="2:17" x14ac:dyDescent="0.25">
      <c r="B47" s="5892"/>
      <c r="C47" s="1692" t="s">
        <v>343</v>
      </c>
      <c r="D47" s="1693"/>
      <c r="E47" s="1693"/>
      <c r="F47" s="1693"/>
      <c r="G47" s="1693"/>
      <c r="H47" s="1693"/>
      <c r="I47" s="1693"/>
      <c r="J47" s="1693">
        <v>7</v>
      </c>
      <c r="K47" s="1693">
        <v>15</v>
      </c>
      <c r="L47" s="1693">
        <v>21</v>
      </c>
      <c r="M47" s="1693">
        <v>26</v>
      </c>
      <c r="N47" s="1693">
        <v>29</v>
      </c>
      <c r="O47" s="1693">
        <v>31</v>
      </c>
      <c r="P47" s="1693">
        <v>33</v>
      </c>
      <c r="Q47" s="1693">
        <v>36</v>
      </c>
    </row>
    <row r="48" spans="2:17" x14ac:dyDescent="0.25">
      <c r="B48" s="5892"/>
      <c r="C48" s="1692" t="s">
        <v>339</v>
      </c>
      <c r="D48" s="1693"/>
      <c r="E48" s="1693"/>
      <c r="F48" s="1693"/>
      <c r="G48" s="1693"/>
      <c r="H48" s="1693"/>
      <c r="I48" s="1693"/>
      <c r="J48" s="1693">
        <v>4</v>
      </c>
      <c r="K48" s="1693">
        <v>8</v>
      </c>
      <c r="L48" s="1693">
        <v>9</v>
      </c>
      <c r="M48" s="1693">
        <v>9</v>
      </c>
      <c r="N48" s="1693">
        <v>11</v>
      </c>
      <c r="O48" s="1693">
        <v>12</v>
      </c>
      <c r="P48" s="1693">
        <v>15</v>
      </c>
      <c r="Q48" s="1693">
        <v>21</v>
      </c>
    </row>
    <row r="49" spans="2:17" x14ac:dyDescent="0.25">
      <c r="B49" s="5892"/>
      <c r="C49" s="1692" t="s">
        <v>344</v>
      </c>
      <c r="D49" s="1693"/>
      <c r="E49" s="1693"/>
      <c r="F49" s="1693"/>
      <c r="G49" s="1693"/>
      <c r="H49" s="1693"/>
      <c r="I49" s="1693"/>
      <c r="J49" s="1693">
        <v>7</v>
      </c>
      <c r="K49" s="1693">
        <v>10</v>
      </c>
      <c r="L49" s="1693">
        <v>14</v>
      </c>
      <c r="M49" s="1693">
        <v>20</v>
      </c>
      <c r="N49" s="1693">
        <v>20</v>
      </c>
      <c r="O49" s="1693">
        <v>19</v>
      </c>
      <c r="P49" s="1693">
        <v>22</v>
      </c>
      <c r="Q49" s="1693">
        <v>25</v>
      </c>
    </row>
    <row r="50" spans="2:17" ht="28.8" x14ac:dyDescent="0.25">
      <c r="B50" s="5893"/>
      <c r="C50" s="1692" t="s">
        <v>345</v>
      </c>
      <c r="D50" s="1693"/>
      <c r="E50" s="1693"/>
      <c r="F50" s="1693"/>
      <c r="G50" s="1693"/>
      <c r="H50" s="1693"/>
      <c r="I50" s="1693"/>
      <c r="J50" s="1693"/>
      <c r="K50" s="1693"/>
      <c r="L50" s="1693"/>
      <c r="M50" s="1693">
        <v>6</v>
      </c>
      <c r="N50" s="1693">
        <v>7</v>
      </c>
      <c r="O50" s="1693">
        <v>7</v>
      </c>
      <c r="P50" s="1693">
        <v>9</v>
      </c>
      <c r="Q50" s="1693">
        <v>10</v>
      </c>
    </row>
    <row r="51" spans="2:17" x14ac:dyDescent="0.25">
      <c r="B51" s="5897" t="s">
        <v>317</v>
      </c>
      <c r="C51" s="1696" t="s">
        <v>346</v>
      </c>
      <c r="D51" s="1706">
        <v>33</v>
      </c>
      <c r="E51" s="1706">
        <v>38</v>
      </c>
      <c r="F51" s="1706">
        <v>45</v>
      </c>
      <c r="G51" s="1706">
        <v>47</v>
      </c>
      <c r="H51" s="1706">
        <v>56</v>
      </c>
      <c r="I51" s="1706">
        <v>65</v>
      </c>
      <c r="J51" s="1706">
        <v>68</v>
      </c>
      <c r="K51" s="1706">
        <v>68</v>
      </c>
      <c r="L51" s="1706">
        <v>68</v>
      </c>
      <c r="M51" s="1706">
        <v>68</v>
      </c>
      <c r="N51" s="1706">
        <v>68</v>
      </c>
      <c r="O51" s="1706">
        <v>68</v>
      </c>
      <c r="P51" s="1706">
        <v>68</v>
      </c>
      <c r="Q51" s="5626">
        <v>68</v>
      </c>
    </row>
    <row r="52" spans="2:17" x14ac:dyDescent="0.25">
      <c r="B52" s="5898"/>
      <c r="C52" s="1708" t="s">
        <v>341</v>
      </c>
      <c r="D52" s="1700"/>
      <c r="E52" s="1700"/>
      <c r="F52" s="1700"/>
      <c r="G52" s="1700"/>
      <c r="H52" s="1700"/>
      <c r="I52" s="1700"/>
      <c r="J52" s="1700">
        <v>1</v>
      </c>
      <c r="K52" s="1700">
        <v>1</v>
      </c>
      <c r="L52" s="1700">
        <v>1</v>
      </c>
      <c r="M52" s="1700">
        <v>2</v>
      </c>
      <c r="N52" s="1700">
        <v>4</v>
      </c>
      <c r="O52" s="1700">
        <v>5</v>
      </c>
      <c r="P52" s="1700">
        <v>6</v>
      </c>
      <c r="Q52" s="1700">
        <v>8</v>
      </c>
    </row>
    <row r="53" spans="2:17" x14ac:dyDescent="0.25">
      <c r="B53" s="5898"/>
      <c r="C53" s="1708" t="s">
        <v>342</v>
      </c>
      <c r="D53" s="1700"/>
      <c r="E53" s="1700"/>
      <c r="F53" s="1700"/>
      <c r="G53" s="1700"/>
      <c r="H53" s="1700"/>
      <c r="I53" s="1700"/>
      <c r="J53" s="1700">
        <v>1</v>
      </c>
      <c r="K53" s="1700">
        <v>1</v>
      </c>
      <c r="L53" s="1700">
        <v>2</v>
      </c>
      <c r="M53" s="1700">
        <v>3</v>
      </c>
      <c r="N53" s="1700">
        <v>4</v>
      </c>
      <c r="O53" s="1700">
        <v>5</v>
      </c>
      <c r="P53" s="1700">
        <v>6</v>
      </c>
      <c r="Q53" s="1700">
        <v>8</v>
      </c>
    </row>
    <row r="54" spans="2:17" x14ac:dyDescent="0.25">
      <c r="B54" s="5898"/>
      <c r="C54" s="1708" t="s">
        <v>343</v>
      </c>
      <c r="D54" s="1700"/>
      <c r="E54" s="1700"/>
      <c r="F54" s="1700"/>
      <c r="G54" s="1700"/>
      <c r="H54" s="1700"/>
      <c r="I54" s="1700"/>
      <c r="J54" s="1700">
        <v>1</v>
      </c>
      <c r="K54" s="1700">
        <v>7</v>
      </c>
      <c r="L54" s="1700">
        <v>8</v>
      </c>
      <c r="M54" s="1700">
        <v>13</v>
      </c>
      <c r="N54" s="1700">
        <v>19</v>
      </c>
      <c r="O54" s="1700">
        <v>22</v>
      </c>
      <c r="P54" s="1700">
        <v>24</v>
      </c>
      <c r="Q54" s="1700">
        <v>27</v>
      </c>
    </row>
    <row r="55" spans="2:17" x14ac:dyDescent="0.25">
      <c r="B55" s="5898"/>
      <c r="C55" s="1698" t="s">
        <v>339</v>
      </c>
      <c r="D55" s="1700"/>
      <c r="E55" s="1700"/>
      <c r="F55" s="1700"/>
      <c r="G55" s="1700"/>
      <c r="H55" s="1700"/>
      <c r="I55" s="1700"/>
      <c r="J55" s="1700"/>
      <c r="K55" s="1700">
        <v>1</v>
      </c>
      <c r="L55" s="1700">
        <v>1</v>
      </c>
      <c r="M55" s="1700">
        <v>1</v>
      </c>
      <c r="N55" s="1700">
        <v>1</v>
      </c>
      <c r="O55" s="1700">
        <v>1</v>
      </c>
      <c r="P55" s="1700">
        <v>1</v>
      </c>
      <c r="Q55" s="1700">
        <v>2</v>
      </c>
    </row>
    <row r="56" spans="2:17" x14ac:dyDescent="0.25">
      <c r="B56" s="5898"/>
      <c r="C56" s="1698" t="s">
        <v>344</v>
      </c>
      <c r="D56" s="1700"/>
      <c r="E56" s="1700"/>
      <c r="F56" s="1700"/>
      <c r="G56" s="1700"/>
      <c r="H56" s="1700"/>
      <c r="I56" s="1700"/>
      <c r="J56" s="1700"/>
      <c r="K56" s="1700">
        <v>2</v>
      </c>
      <c r="L56" s="1700">
        <v>6</v>
      </c>
      <c r="M56" s="1700">
        <v>9</v>
      </c>
      <c r="N56" s="1700">
        <v>13</v>
      </c>
      <c r="O56" s="1700">
        <v>16</v>
      </c>
      <c r="P56" s="1700">
        <v>19</v>
      </c>
      <c r="Q56" s="1700">
        <v>24</v>
      </c>
    </row>
    <row r="57" spans="2:17" ht="28.8" x14ac:dyDescent="0.25">
      <c r="B57" s="5899"/>
      <c r="C57" s="1698" t="s">
        <v>345</v>
      </c>
      <c r="D57" s="1700"/>
      <c r="E57" s="1700"/>
      <c r="F57" s="1700"/>
      <c r="G57" s="1700"/>
      <c r="H57" s="1700"/>
      <c r="I57" s="1700"/>
      <c r="J57" s="1700"/>
      <c r="K57" s="1700"/>
      <c r="L57" s="1700"/>
      <c r="M57" s="1700"/>
      <c r="N57" s="1700"/>
      <c r="O57" s="1700">
        <v>1</v>
      </c>
      <c r="P57" s="1700">
        <v>1</v>
      </c>
      <c r="Q57" s="1700">
        <v>1</v>
      </c>
    </row>
    <row r="58" spans="2:17" x14ac:dyDescent="0.25">
      <c r="B58" s="1701"/>
      <c r="C58" s="1702" t="s">
        <v>68</v>
      </c>
      <c r="D58" s="1709">
        <f t="shared" ref="D58:I58" si="3">SUM(D36:D51)</f>
        <v>458</v>
      </c>
      <c r="E58" s="1709">
        <f t="shared" si="3"/>
        <v>503</v>
      </c>
      <c r="F58" s="1709">
        <f t="shared" si="3"/>
        <v>576</v>
      </c>
      <c r="G58" s="1709">
        <f t="shared" si="3"/>
        <v>605</v>
      </c>
      <c r="H58" s="1709">
        <f t="shared" si="3"/>
        <v>685</v>
      </c>
      <c r="I58" s="1709">
        <f t="shared" si="3"/>
        <v>721</v>
      </c>
      <c r="J58" s="1709">
        <f>SUM(J36:J54)</f>
        <v>732</v>
      </c>
      <c r="K58" s="1709">
        <f>SUM(K36:K56)</f>
        <v>772</v>
      </c>
      <c r="L58" s="1709">
        <f>SUM(L36:L56)</f>
        <v>810</v>
      </c>
      <c r="M58" s="1709">
        <f>SUM(M36:M56)</f>
        <v>845</v>
      </c>
      <c r="N58" s="1709">
        <f>SUM(N36:N56)</f>
        <v>885</v>
      </c>
      <c r="O58" s="1709">
        <f>SUM(O36:O57)</f>
        <v>894</v>
      </c>
      <c r="P58" s="1709">
        <f>SUM(P36:P57)</f>
        <v>926</v>
      </c>
      <c r="Q58" s="1709">
        <f>SUM(Q36:Q57)</f>
        <v>966</v>
      </c>
    </row>
    <row r="59" spans="2:17" x14ac:dyDescent="0.25">
      <c r="B59" s="1710"/>
      <c r="C59" s="1483" t="s">
        <v>347</v>
      </c>
      <c r="D59" s="1711">
        <f t="shared" ref="D59:Q59" si="4">SUM(D17,D35,D58)</f>
        <v>1221</v>
      </c>
      <c r="E59" s="1711">
        <f t="shared" si="4"/>
        <v>1346</v>
      </c>
      <c r="F59" s="1711">
        <f t="shared" si="4"/>
        <v>1524</v>
      </c>
      <c r="G59" s="1711">
        <f t="shared" si="4"/>
        <v>1655</v>
      </c>
      <c r="H59" s="1711">
        <f t="shared" si="4"/>
        <v>1821</v>
      </c>
      <c r="I59" s="1711">
        <f t="shared" si="4"/>
        <v>1970</v>
      </c>
      <c r="J59" s="1711">
        <f t="shared" si="4"/>
        <v>2067</v>
      </c>
      <c r="K59" s="1711">
        <f t="shared" si="4"/>
        <v>2254</v>
      </c>
      <c r="L59" s="1711">
        <f t="shared" si="4"/>
        <v>2419</v>
      </c>
      <c r="M59" s="1711">
        <f t="shared" si="4"/>
        <v>2586</v>
      </c>
      <c r="N59" s="1711">
        <f t="shared" si="4"/>
        <v>2717</v>
      </c>
      <c r="O59" s="1711">
        <f t="shared" si="4"/>
        <v>2829</v>
      </c>
      <c r="P59" s="1711">
        <f t="shared" si="4"/>
        <v>2962</v>
      </c>
      <c r="Q59" s="1711">
        <f t="shared" si="4"/>
        <v>3119</v>
      </c>
    </row>
    <row r="60" spans="2:17" x14ac:dyDescent="0.25">
      <c r="B60" s="1712" t="s">
        <v>308</v>
      </c>
      <c r="C60" s="1698" t="s">
        <v>356</v>
      </c>
      <c r="D60" s="1713"/>
      <c r="E60" s="1713"/>
      <c r="F60" s="1713"/>
      <c r="G60" s="1713"/>
      <c r="H60" s="1713"/>
      <c r="I60" s="1713"/>
      <c r="J60" s="1713"/>
      <c r="K60" s="1713"/>
      <c r="L60" s="1713"/>
      <c r="M60" s="1714"/>
      <c r="N60" s="1697">
        <v>3</v>
      </c>
      <c r="O60" s="1697">
        <v>4</v>
      </c>
      <c r="P60" s="1697">
        <v>4</v>
      </c>
      <c r="Q60" s="1697">
        <v>6</v>
      </c>
    </row>
    <row r="61" spans="2:17" ht="15" customHeight="1" x14ac:dyDescent="0.25">
      <c r="B61" s="5900" t="s">
        <v>310</v>
      </c>
      <c r="C61" s="1715" t="s">
        <v>500</v>
      </c>
      <c r="D61" s="1707">
        <v>78</v>
      </c>
      <c r="E61" s="1707">
        <v>78</v>
      </c>
      <c r="F61" s="1707">
        <v>78</v>
      </c>
      <c r="G61" s="1707">
        <v>78</v>
      </c>
      <c r="H61" s="1707">
        <v>78</v>
      </c>
      <c r="I61" s="1707">
        <v>78</v>
      </c>
      <c r="J61" s="1707">
        <v>78</v>
      </c>
      <c r="K61" s="1707">
        <v>78</v>
      </c>
      <c r="L61" s="1707">
        <v>78</v>
      </c>
      <c r="M61" s="1707">
        <v>78</v>
      </c>
      <c r="N61" s="1716">
        <v>78</v>
      </c>
      <c r="O61" s="1716">
        <v>78</v>
      </c>
      <c r="P61" s="1716">
        <v>78</v>
      </c>
      <c r="Q61" s="5624">
        <v>78</v>
      </c>
    </row>
    <row r="62" spans="2:17" x14ac:dyDescent="0.25">
      <c r="B62" s="5901"/>
      <c r="C62" s="1694" t="s">
        <v>501</v>
      </c>
      <c r="D62" s="1707">
        <v>159</v>
      </c>
      <c r="E62" s="1707">
        <v>159</v>
      </c>
      <c r="F62" s="1707">
        <v>159</v>
      </c>
      <c r="G62" s="1707">
        <v>159</v>
      </c>
      <c r="H62" s="1707">
        <v>159</v>
      </c>
      <c r="I62" s="1707">
        <v>159</v>
      </c>
      <c r="J62" s="1707">
        <v>159</v>
      </c>
      <c r="K62" s="1707">
        <v>159</v>
      </c>
      <c r="L62" s="1707">
        <v>159</v>
      </c>
      <c r="M62" s="1707">
        <v>159</v>
      </c>
      <c r="N62" s="1707">
        <v>159</v>
      </c>
      <c r="O62" s="1707">
        <v>159</v>
      </c>
      <c r="P62" s="1707">
        <v>159</v>
      </c>
      <c r="Q62" s="5625">
        <v>159</v>
      </c>
    </row>
    <row r="63" spans="2:17" x14ac:dyDescent="0.25">
      <c r="B63" s="5901"/>
      <c r="C63" s="1694" t="s">
        <v>502</v>
      </c>
      <c r="D63" s="1707">
        <v>58</v>
      </c>
      <c r="E63" s="1707">
        <v>58</v>
      </c>
      <c r="F63" s="1707">
        <v>58</v>
      </c>
      <c r="G63" s="1707">
        <v>58</v>
      </c>
      <c r="H63" s="1707">
        <v>58</v>
      </c>
      <c r="I63" s="1707">
        <v>58</v>
      </c>
      <c r="J63" s="1707">
        <v>58</v>
      </c>
      <c r="K63" s="1707">
        <v>58</v>
      </c>
      <c r="L63" s="1707">
        <v>58</v>
      </c>
      <c r="M63" s="1707">
        <v>58</v>
      </c>
      <c r="N63" s="1707">
        <v>58</v>
      </c>
      <c r="O63" s="1707">
        <v>58</v>
      </c>
      <c r="P63" s="1707">
        <v>58</v>
      </c>
      <c r="Q63" s="5625">
        <v>58</v>
      </c>
    </row>
    <row r="64" spans="2:17" x14ac:dyDescent="0.25">
      <c r="B64" s="5901"/>
      <c r="C64" s="1694" t="s">
        <v>503</v>
      </c>
      <c r="D64" s="1707">
        <v>112</v>
      </c>
      <c r="E64" s="1707">
        <v>112</v>
      </c>
      <c r="F64" s="1707">
        <v>112</v>
      </c>
      <c r="G64" s="1707">
        <v>112</v>
      </c>
      <c r="H64" s="1707">
        <v>112</v>
      </c>
      <c r="I64" s="1707">
        <v>112</v>
      </c>
      <c r="J64" s="1707">
        <v>112</v>
      </c>
      <c r="K64" s="1707">
        <v>112</v>
      </c>
      <c r="L64" s="1707">
        <v>112</v>
      </c>
      <c r="M64" s="1707">
        <v>112</v>
      </c>
      <c r="N64" s="1707">
        <v>112</v>
      </c>
      <c r="O64" s="1707">
        <v>112</v>
      </c>
      <c r="P64" s="1707">
        <v>112</v>
      </c>
      <c r="Q64" s="5625">
        <v>112</v>
      </c>
    </row>
    <row r="65" spans="2:17" x14ac:dyDescent="0.25">
      <c r="B65" s="5901"/>
      <c r="C65" s="1694" t="s">
        <v>504</v>
      </c>
      <c r="D65" s="1707">
        <v>36</v>
      </c>
      <c r="E65" s="1707">
        <v>36</v>
      </c>
      <c r="F65" s="1707">
        <v>36</v>
      </c>
      <c r="G65" s="1707">
        <v>36</v>
      </c>
      <c r="H65" s="1707">
        <v>36</v>
      </c>
      <c r="I65" s="1707">
        <v>36</v>
      </c>
      <c r="J65" s="1707">
        <v>36</v>
      </c>
      <c r="K65" s="1707">
        <v>36</v>
      </c>
      <c r="L65" s="1707">
        <v>36</v>
      </c>
      <c r="M65" s="1707">
        <v>36</v>
      </c>
      <c r="N65" s="1707">
        <v>36</v>
      </c>
      <c r="O65" s="1707">
        <v>36</v>
      </c>
      <c r="P65" s="1707">
        <v>36</v>
      </c>
      <c r="Q65" s="5625">
        <v>36</v>
      </c>
    </row>
    <row r="66" spans="2:17" ht="15" customHeight="1" x14ac:dyDescent="0.25">
      <c r="B66" s="5901"/>
      <c r="C66" s="1694" t="s">
        <v>362</v>
      </c>
      <c r="D66" s="1707">
        <v>13</v>
      </c>
      <c r="E66" s="1707">
        <v>17</v>
      </c>
      <c r="F66" s="1707">
        <v>17</v>
      </c>
      <c r="G66" s="1707">
        <v>17</v>
      </c>
      <c r="H66" s="1707">
        <v>17</v>
      </c>
      <c r="I66" s="1707">
        <v>17</v>
      </c>
      <c r="J66" s="1707">
        <v>17</v>
      </c>
      <c r="K66" s="1707">
        <v>17</v>
      </c>
      <c r="L66" s="1707">
        <v>17</v>
      </c>
      <c r="M66" s="1707">
        <v>17</v>
      </c>
      <c r="N66" s="1707">
        <v>17</v>
      </c>
      <c r="O66" s="1707">
        <v>17</v>
      </c>
      <c r="P66" s="1707">
        <v>17</v>
      </c>
      <c r="Q66" s="5625">
        <v>17</v>
      </c>
    </row>
    <row r="67" spans="2:17" x14ac:dyDescent="0.25">
      <c r="B67" s="5901"/>
      <c r="C67" s="1692" t="s">
        <v>364</v>
      </c>
      <c r="D67" s="1693">
        <v>21</v>
      </c>
      <c r="E67" s="1693">
        <v>24</v>
      </c>
      <c r="F67" s="1693">
        <v>25</v>
      </c>
      <c r="G67" s="1693">
        <v>25</v>
      </c>
      <c r="H67" s="1693">
        <v>34</v>
      </c>
      <c r="I67" s="1693">
        <v>42</v>
      </c>
      <c r="J67" s="1693">
        <v>49</v>
      </c>
      <c r="K67" s="1693">
        <v>52</v>
      </c>
      <c r="L67" s="1693">
        <v>64</v>
      </c>
      <c r="M67" s="1693">
        <v>78</v>
      </c>
      <c r="N67" s="1693">
        <v>90</v>
      </c>
      <c r="O67" s="1693">
        <v>93</v>
      </c>
      <c r="P67" s="1693">
        <v>113</v>
      </c>
      <c r="Q67" s="1693">
        <v>127</v>
      </c>
    </row>
    <row r="68" spans="2:17" x14ac:dyDescent="0.25">
      <c r="B68" s="5901"/>
      <c r="C68" s="1692" t="s">
        <v>443</v>
      </c>
      <c r="D68" s="1693">
        <v>53</v>
      </c>
      <c r="E68" s="1693">
        <v>70</v>
      </c>
      <c r="F68" s="1693">
        <v>82</v>
      </c>
      <c r="G68" s="1693">
        <v>98</v>
      </c>
      <c r="H68" s="1693">
        <v>111</v>
      </c>
      <c r="I68" s="1693">
        <v>128</v>
      </c>
      <c r="J68" s="1693">
        <v>142</v>
      </c>
      <c r="K68" s="1693">
        <v>164</v>
      </c>
      <c r="L68" s="1693">
        <v>185</v>
      </c>
      <c r="M68" s="1693">
        <v>195</v>
      </c>
      <c r="N68" s="1693">
        <v>212</v>
      </c>
      <c r="O68" s="1693">
        <v>226</v>
      </c>
      <c r="P68" s="1693">
        <v>235</v>
      </c>
      <c r="Q68" s="1693">
        <v>242</v>
      </c>
    </row>
    <row r="69" spans="2:17" x14ac:dyDescent="0.25">
      <c r="B69" s="5901"/>
      <c r="C69" s="1692" t="s">
        <v>359</v>
      </c>
      <c r="D69" s="1693">
        <v>66</v>
      </c>
      <c r="E69" s="1693">
        <v>70</v>
      </c>
      <c r="F69" s="1693">
        <v>72</v>
      </c>
      <c r="G69" s="1693">
        <v>75</v>
      </c>
      <c r="H69" s="1693">
        <v>78</v>
      </c>
      <c r="I69" s="1693">
        <v>87</v>
      </c>
      <c r="J69" s="1693">
        <v>90</v>
      </c>
      <c r="K69" s="1693">
        <v>98</v>
      </c>
      <c r="L69" s="1693">
        <v>112</v>
      </c>
      <c r="M69" s="1693">
        <v>126</v>
      </c>
      <c r="N69" s="1693">
        <v>132</v>
      </c>
      <c r="O69" s="1693">
        <v>134</v>
      </c>
      <c r="P69" s="1693">
        <v>140</v>
      </c>
      <c r="Q69" s="1693">
        <v>143</v>
      </c>
    </row>
    <row r="70" spans="2:17" x14ac:dyDescent="0.25">
      <c r="B70" s="5901"/>
      <c r="C70" s="1692" t="s">
        <v>360</v>
      </c>
      <c r="D70" s="1693">
        <v>100</v>
      </c>
      <c r="E70" s="1693">
        <v>109</v>
      </c>
      <c r="F70" s="1693">
        <v>117</v>
      </c>
      <c r="G70" s="1693">
        <v>132</v>
      </c>
      <c r="H70" s="1693">
        <v>141</v>
      </c>
      <c r="I70" s="1693">
        <v>147</v>
      </c>
      <c r="J70" s="1693">
        <v>153</v>
      </c>
      <c r="K70" s="1693">
        <v>163</v>
      </c>
      <c r="L70" s="1693">
        <v>171</v>
      </c>
      <c r="M70" s="1693">
        <v>182</v>
      </c>
      <c r="N70" s="1693">
        <v>186</v>
      </c>
      <c r="O70" s="1693">
        <v>192</v>
      </c>
      <c r="P70" s="1693">
        <v>199</v>
      </c>
      <c r="Q70" s="1693">
        <v>202</v>
      </c>
    </row>
    <row r="71" spans="2:17" x14ac:dyDescent="0.25">
      <c r="B71" s="5901"/>
      <c r="C71" s="1692" t="s">
        <v>361</v>
      </c>
      <c r="D71" s="1693">
        <v>67</v>
      </c>
      <c r="E71" s="1693">
        <v>83</v>
      </c>
      <c r="F71" s="1693">
        <v>91</v>
      </c>
      <c r="G71" s="1693">
        <v>96</v>
      </c>
      <c r="H71" s="1693">
        <v>112</v>
      </c>
      <c r="I71" s="1693">
        <v>121</v>
      </c>
      <c r="J71" s="1693">
        <v>130</v>
      </c>
      <c r="K71" s="1693">
        <v>136</v>
      </c>
      <c r="L71" s="1693">
        <v>140</v>
      </c>
      <c r="M71" s="1693">
        <v>146</v>
      </c>
      <c r="N71" s="1693">
        <v>152</v>
      </c>
      <c r="O71" s="1693">
        <v>157</v>
      </c>
      <c r="P71" s="1693">
        <v>161</v>
      </c>
      <c r="Q71" s="1693">
        <v>172</v>
      </c>
    </row>
    <row r="72" spans="2:17" x14ac:dyDescent="0.25">
      <c r="B72" s="5901"/>
      <c r="C72" s="1692" t="s">
        <v>484</v>
      </c>
      <c r="D72" s="1693"/>
      <c r="E72" s="1693"/>
      <c r="F72" s="1693">
        <v>14</v>
      </c>
      <c r="G72" s="1693">
        <v>21</v>
      </c>
      <c r="H72" s="1693">
        <v>35</v>
      </c>
      <c r="I72" s="1693">
        <v>44</v>
      </c>
      <c r="J72" s="1693">
        <v>50</v>
      </c>
      <c r="K72" s="1693">
        <v>57</v>
      </c>
      <c r="L72" s="1693">
        <v>68</v>
      </c>
      <c r="M72" s="1693">
        <v>77</v>
      </c>
      <c r="N72" s="1693">
        <v>85</v>
      </c>
      <c r="O72" s="1693">
        <v>94</v>
      </c>
      <c r="P72" s="1693">
        <v>95</v>
      </c>
      <c r="Q72" s="1693">
        <v>102</v>
      </c>
    </row>
    <row r="73" spans="2:17" x14ac:dyDescent="0.25">
      <c r="B73" s="5902"/>
      <c r="C73" s="1692" t="s">
        <v>363</v>
      </c>
      <c r="D73" s="1693"/>
      <c r="E73" s="1693"/>
      <c r="F73" s="1693"/>
      <c r="G73" s="1693"/>
      <c r="H73" s="1693"/>
      <c r="I73" s="1693"/>
      <c r="J73" s="1693">
        <v>7</v>
      </c>
      <c r="K73" s="1693">
        <v>13</v>
      </c>
      <c r="L73" s="1693">
        <v>24</v>
      </c>
      <c r="M73" s="1693">
        <v>51</v>
      </c>
      <c r="N73" s="1693">
        <v>61</v>
      </c>
      <c r="O73" s="1693">
        <v>71</v>
      </c>
      <c r="P73" s="1693">
        <v>88</v>
      </c>
      <c r="Q73" s="1693">
        <v>100</v>
      </c>
    </row>
    <row r="74" spans="2:17" x14ac:dyDescent="0.25">
      <c r="B74" s="5903" t="s">
        <v>317</v>
      </c>
      <c r="C74" s="1696" t="s">
        <v>369</v>
      </c>
      <c r="D74" s="1706">
        <v>291</v>
      </c>
      <c r="E74" s="1706">
        <v>303</v>
      </c>
      <c r="F74" s="1706">
        <v>303</v>
      </c>
      <c r="G74" s="1706">
        <v>303</v>
      </c>
      <c r="H74" s="1706">
        <v>303</v>
      </c>
      <c r="I74" s="1706">
        <v>303</v>
      </c>
      <c r="J74" s="1706">
        <v>302</v>
      </c>
      <c r="K74" s="1706">
        <v>302</v>
      </c>
      <c r="L74" s="1706">
        <v>302</v>
      </c>
      <c r="M74" s="1706">
        <v>303</v>
      </c>
      <c r="N74" s="1706">
        <v>303</v>
      </c>
      <c r="O74" s="1706">
        <v>303</v>
      </c>
      <c r="P74" s="1706">
        <v>303</v>
      </c>
      <c r="Q74" s="5626">
        <v>303</v>
      </c>
    </row>
    <row r="75" spans="2:17" x14ac:dyDescent="0.25">
      <c r="B75" s="5904"/>
      <c r="C75" s="1698" t="s">
        <v>364</v>
      </c>
      <c r="D75" s="1697">
        <v>21</v>
      </c>
      <c r="E75" s="1697">
        <v>22</v>
      </c>
      <c r="F75" s="1697">
        <v>26</v>
      </c>
      <c r="G75" s="1697">
        <v>28</v>
      </c>
      <c r="H75" s="1697">
        <v>31</v>
      </c>
      <c r="I75" s="1697">
        <v>38</v>
      </c>
      <c r="J75" s="1697">
        <v>40</v>
      </c>
      <c r="K75" s="1697">
        <v>43</v>
      </c>
      <c r="L75" s="1697">
        <v>43</v>
      </c>
      <c r="M75" s="1697">
        <v>47</v>
      </c>
      <c r="N75" s="1697">
        <v>52</v>
      </c>
      <c r="O75" s="1697">
        <v>53</v>
      </c>
      <c r="P75" s="1697">
        <v>54</v>
      </c>
      <c r="Q75" s="1697">
        <v>55</v>
      </c>
    </row>
    <row r="76" spans="2:17" x14ac:dyDescent="0.25">
      <c r="B76" s="5904"/>
      <c r="C76" s="1698" t="s">
        <v>443</v>
      </c>
      <c r="D76" s="1697">
        <v>12</v>
      </c>
      <c r="E76" s="1697">
        <v>16</v>
      </c>
      <c r="F76" s="1697">
        <v>18</v>
      </c>
      <c r="G76" s="1697">
        <v>24</v>
      </c>
      <c r="H76" s="1697">
        <v>31</v>
      </c>
      <c r="I76" s="1697">
        <v>34</v>
      </c>
      <c r="J76" s="1697">
        <v>37</v>
      </c>
      <c r="K76" s="1697">
        <v>46</v>
      </c>
      <c r="L76" s="1697">
        <v>52</v>
      </c>
      <c r="M76" s="1697">
        <v>61</v>
      </c>
      <c r="N76" s="1697">
        <v>68</v>
      </c>
      <c r="O76" s="1697">
        <v>72</v>
      </c>
      <c r="P76" s="1697">
        <v>75</v>
      </c>
      <c r="Q76" s="1697">
        <v>78</v>
      </c>
    </row>
    <row r="77" spans="2:17" x14ac:dyDescent="0.25">
      <c r="B77" s="5904"/>
      <c r="C77" s="1698" t="s">
        <v>359</v>
      </c>
      <c r="D77" s="1697">
        <v>58</v>
      </c>
      <c r="E77" s="1697">
        <v>65</v>
      </c>
      <c r="F77" s="1697">
        <v>79</v>
      </c>
      <c r="G77" s="1697">
        <v>84</v>
      </c>
      <c r="H77" s="1697">
        <v>91</v>
      </c>
      <c r="I77" s="1697">
        <v>107</v>
      </c>
      <c r="J77" s="1697">
        <v>119</v>
      </c>
      <c r="K77" s="1697">
        <v>130</v>
      </c>
      <c r="L77" s="1697">
        <v>146</v>
      </c>
      <c r="M77" s="1697">
        <v>162</v>
      </c>
      <c r="N77" s="1697">
        <v>172</v>
      </c>
      <c r="O77" s="1697">
        <v>175</v>
      </c>
      <c r="P77" s="1697">
        <v>179</v>
      </c>
      <c r="Q77" s="1697">
        <v>188</v>
      </c>
    </row>
    <row r="78" spans="2:17" x14ac:dyDescent="0.25">
      <c r="B78" s="5904"/>
      <c r="C78" s="1698" t="s">
        <v>360</v>
      </c>
      <c r="D78" s="1697">
        <v>26</v>
      </c>
      <c r="E78" s="1697">
        <v>34</v>
      </c>
      <c r="F78" s="1697">
        <v>37</v>
      </c>
      <c r="G78" s="1697">
        <v>43</v>
      </c>
      <c r="H78" s="1697">
        <v>49</v>
      </c>
      <c r="I78" s="1697">
        <v>54</v>
      </c>
      <c r="J78" s="1697">
        <v>57</v>
      </c>
      <c r="K78" s="1697">
        <v>66</v>
      </c>
      <c r="L78" s="1697">
        <v>70</v>
      </c>
      <c r="M78" s="1697">
        <v>75</v>
      </c>
      <c r="N78" s="1697">
        <v>84</v>
      </c>
      <c r="O78" s="1697">
        <v>85</v>
      </c>
      <c r="P78" s="1697">
        <v>90</v>
      </c>
      <c r="Q78" s="1697">
        <v>92</v>
      </c>
    </row>
    <row r="79" spans="2:17" x14ac:dyDescent="0.25">
      <c r="B79" s="5904"/>
      <c r="C79" s="1698" t="s">
        <v>361</v>
      </c>
      <c r="D79" s="1697">
        <v>10</v>
      </c>
      <c r="E79" s="1697">
        <v>13</v>
      </c>
      <c r="F79" s="1697">
        <v>13</v>
      </c>
      <c r="G79" s="1697">
        <v>15</v>
      </c>
      <c r="H79" s="1697">
        <v>16</v>
      </c>
      <c r="I79" s="1697">
        <v>20</v>
      </c>
      <c r="J79" s="1697">
        <v>23</v>
      </c>
      <c r="K79" s="1697">
        <v>26</v>
      </c>
      <c r="L79" s="1697">
        <v>32</v>
      </c>
      <c r="M79" s="1697">
        <v>35</v>
      </c>
      <c r="N79" s="1697">
        <v>37</v>
      </c>
      <c r="O79" s="1697">
        <v>38</v>
      </c>
      <c r="P79" s="1697">
        <v>38</v>
      </c>
      <c r="Q79" s="1697">
        <v>40</v>
      </c>
    </row>
    <row r="80" spans="2:17" x14ac:dyDescent="0.25">
      <c r="B80" s="5904"/>
      <c r="C80" s="1698" t="s">
        <v>484</v>
      </c>
      <c r="D80" s="1700"/>
      <c r="E80" s="1700"/>
      <c r="F80" s="1700"/>
      <c r="G80" s="1700"/>
      <c r="H80" s="1700"/>
      <c r="I80" s="1700"/>
      <c r="J80" s="1700"/>
      <c r="K80" s="1700">
        <v>2</v>
      </c>
      <c r="L80" s="1700">
        <v>7</v>
      </c>
      <c r="M80" s="1700">
        <v>9</v>
      </c>
      <c r="N80" s="1700">
        <v>12</v>
      </c>
      <c r="O80" s="1700">
        <v>12</v>
      </c>
      <c r="P80" s="1700">
        <v>16</v>
      </c>
      <c r="Q80" s="1700">
        <v>19</v>
      </c>
    </row>
    <row r="81" spans="2:17" x14ac:dyDescent="0.25">
      <c r="B81" s="5905"/>
      <c r="C81" s="1717" t="s">
        <v>363</v>
      </c>
      <c r="D81" s="1700"/>
      <c r="E81" s="1700"/>
      <c r="F81" s="1700"/>
      <c r="G81" s="1700"/>
      <c r="H81" s="1700"/>
      <c r="I81" s="1700"/>
      <c r="J81" s="1700"/>
      <c r="K81" s="1700"/>
      <c r="L81" s="1700"/>
      <c r="M81" s="1700">
        <v>2</v>
      </c>
      <c r="N81" s="1700">
        <v>4</v>
      </c>
      <c r="O81" s="1700">
        <v>9</v>
      </c>
      <c r="P81" s="1700">
        <v>10</v>
      </c>
      <c r="Q81" s="1700">
        <v>11</v>
      </c>
    </row>
    <row r="82" spans="2:17" x14ac:dyDescent="0.25">
      <c r="B82" s="1701"/>
      <c r="C82" s="1702" t="s">
        <v>59</v>
      </c>
      <c r="D82" s="1703">
        <f t="shared" ref="D82:J82" si="5">SUM(D61:D79)</f>
        <v>1181</v>
      </c>
      <c r="E82" s="1703">
        <f t="shared" si="5"/>
        <v>1269</v>
      </c>
      <c r="F82" s="1703">
        <f t="shared" si="5"/>
        <v>1337</v>
      </c>
      <c r="G82" s="1703">
        <f t="shared" si="5"/>
        <v>1404</v>
      </c>
      <c r="H82" s="1703">
        <f t="shared" si="5"/>
        <v>1492</v>
      </c>
      <c r="I82" s="1703">
        <f t="shared" si="5"/>
        <v>1585</v>
      </c>
      <c r="J82" s="1703">
        <f t="shared" si="5"/>
        <v>1659</v>
      </c>
      <c r="K82" s="1703">
        <f>SUM(K61:K80)</f>
        <v>1758</v>
      </c>
      <c r="L82" s="1703">
        <f>SUM(L61:L80)</f>
        <v>1876</v>
      </c>
      <c r="M82" s="1703">
        <f>SUM(M61:M81)</f>
        <v>2009</v>
      </c>
      <c r="N82" s="1703">
        <f>SUM(N60:N81)</f>
        <v>2113</v>
      </c>
      <c r="O82" s="1703">
        <f>SUM(O60:O81)</f>
        <v>2178</v>
      </c>
      <c r="P82" s="1703">
        <f>SUM(P60:P81)</f>
        <v>2260</v>
      </c>
      <c r="Q82" s="1703">
        <f>SUM(Q60:Q81)</f>
        <v>2340</v>
      </c>
    </row>
    <row r="83" spans="2:17" x14ac:dyDescent="0.25">
      <c r="B83" s="1718" t="s">
        <v>308</v>
      </c>
      <c r="C83" s="1704" t="s">
        <v>370</v>
      </c>
      <c r="D83" s="1705">
        <v>350</v>
      </c>
      <c r="E83" s="1705">
        <v>374</v>
      </c>
      <c r="F83" s="1705">
        <v>487</v>
      </c>
      <c r="G83" s="1705">
        <v>595</v>
      </c>
      <c r="H83" s="1705">
        <v>612</v>
      </c>
      <c r="I83" s="1705">
        <v>635</v>
      </c>
      <c r="J83" s="1705">
        <v>651</v>
      </c>
      <c r="K83" s="1705">
        <v>701</v>
      </c>
      <c r="L83" s="1705">
        <v>717</v>
      </c>
      <c r="M83" s="1705">
        <v>768</v>
      </c>
      <c r="N83" s="1705">
        <v>805</v>
      </c>
      <c r="O83" s="1705">
        <v>833</v>
      </c>
      <c r="P83" s="1705">
        <v>893</v>
      </c>
      <c r="Q83" s="1705">
        <v>931</v>
      </c>
    </row>
    <row r="84" spans="2:17" x14ac:dyDescent="0.25">
      <c r="B84" s="5900" t="s">
        <v>310</v>
      </c>
      <c r="C84" s="1694" t="s">
        <v>485</v>
      </c>
      <c r="D84" s="1707">
        <v>80</v>
      </c>
      <c r="E84" s="1707">
        <v>80</v>
      </c>
      <c r="F84" s="1707">
        <v>80</v>
      </c>
      <c r="G84" s="1707">
        <v>80</v>
      </c>
      <c r="H84" s="1707">
        <v>80</v>
      </c>
      <c r="I84" s="1707">
        <v>80</v>
      </c>
      <c r="J84" s="1707">
        <v>80</v>
      </c>
      <c r="K84" s="1707">
        <v>80</v>
      </c>
      <c r="L84" s="1707">
        <v>80</v>
      </c>
      <c r="M84" s="1707">
        <v>86</v>
      </c>
      <c r="N84" s="1707">
        <v>86</v>
      </c>
      <c r="O84" s="1707">
        <v>86</v>
      </c>
      <c r="P84" s="1707">
        <v>86</v>
      </c>
      <c r="Q84" s="5625">
        <v>86</v>
      </c>
    </row>
    <row r="85" spans="2:17" x14ac:dyDescent="0.25">
      <c r="B85" s="5901"/>
      <c r="C85" s="1694" t="s">
        <v>446</v>
      </c>
      <c r="D85" s="1707">
        <v>52</v>
      </c>
      <c r="E85" s="1707">
        <v>52</v>
      </c>
      <c r="F85" s="1707">
        <v>53</v>
      </c>
      <c r="G85" s="1707">
        <v>53</v>
      </c>
      <c r="H85" s="1707">
        <v>53</v>
      </c>
      <c r="I85" s="1707">
        <v>53</v>
      </c>
      <c r="J85" s="1707">
        <v>53</v>
      </c>
      <c r="K85" s="1707">
        <v>53</v>
      </c>
      <c r="L85" s="1707">
        <v>53</v>
      </c>
      <c r="M85" s="1707">
        <v>53</v>
      </c>
      <c r="N85" s="1707">
        <v>53</v>
      </c>
      <c r="O85" s="1707">
        <v>53</v>
      </c>
      <c r="P85" s="1707">
        <v>53</v>
      </c>
      <c r="Q85" s="5625">
        <v>53</v>
      </c>
    </row>
    <row r="86" spans="2:17" x14ac:dyDescent="0.25">
      <c r="B86" s="5901"/>
      <c r="C86" s="1694" t="s">
        <v>447</v>
      </c>
      <c r="D86" s="1707">
        <v>35</v>
      </c>
      <c r="E86" s="1707">
        <v>38</v>
      </c>
      <c r="F86" s="1707">
        <v>38</v>
      </c>
      <c r="G86" s="1707">
        <v>38</v>
      </c>
      <c r="H86" s="1707">
        <v>38</v>
      </c>
      <c r="I86" s="1707">
        <v>38</v>
      </c>
      <c r="J86" s="1707">
        <v>38</v>
      </c>
      <c r="K86" s="1707">
        <v>38</v>
      </c>
      <c r="L86" s="1707">
        <v>38</v>
      </c>
      <c r="M86" s="1707">
        <v>38</v>
      </c>
      <c r="N86" s="1707">
        <v>38</v>
      </c>
      <c r="O86" s="1707">
        <v>38</v>
      </c>
      <c r="P86" s="1707">
        <v>38</v>
      </c>
      <c r="Q86" s="5625">
        <v>38</v>
      </c>
    </row>
    <row r="87" spans="2:17" x14ac:dyDescent="0.25">
      <c r="B87" s="5901"/>
      <c r="C87" s="1692" t="s">
        <v>371</v>
      </c>
      <c r="D87" s="1693">
        <v>215</v>
      </c>
      <c r="E87" s="1693">
        <v>217</v>
      </c>
      <c r="F87" s="1693">
        <v>232</v>
      </c>
      <c r="G87" s="1693">
        <v>225</v>
      </c>
      <c r="H87" s="1693">
        <v>225</v>
      </c>
      <c r="I87" s="1693">
        <v>241</v>
      </c>
      <c r="J87" s="1693">
        <v>241</v>
      </c>
      <c r="K87" s="1693">
        <v>259</v>
      </c>
      <c r="L87" s="1693">
        <v>263</v>
      </c>
      <c r="M87" s="1693">
        <v>273</v>
      </c>
      <c r="N87" s="1693">
        <v>273</v>
      </c>
      <c r="O87" s="1693">
        <v>284</v>
      </c>
      <c r="P87" s="1693">
        <v>284</v>
      </c>
      <c r="Q87" s="1693">
        <v>295</v>
      </c>
    </row>
    <row r="88" spans="2:17" x14ac:dyDescent="0.25">
      <c r="B88" s="5901"/>
      <c r="C88" s="1692" t="s">
        <v>372</v>
      </c>
      <c r="D88" s="1693">
        <v>74</v>
      </c>
      <c r="E88" s="1693">
        <v>91</v>
      </c>
      <c r="F88" s="1693">
        <v>100</v>
      </c>
      <c r="G88" s="1693">
        <v>109</v>
      </c>
      <c r="H88" s="1693">
        <v>115</v>
      </c>
      <c r="I88" s="1693">
        <v>128</v>
      </c>
      <c r="J88" s="1693">
        <v>130</v>
      </c>
      <c r="K88" s="1693">
        <v>138</v>
      </c>
      <c r="L88" s="1693">
        <v>166</v>
      </c>
      <c r="M88" s="1693">
        <v>170</v>
      </c>
      <c r="N88" s="1693">
        <v>191</v>
      </c>
      <c r="O88" s="1693">
        <v>191</v>
      </c>
      <c r="P88" s="1693">
        <v>198</v>
      </c>
      <c r="Q88" s="1693">
        <v>211</v>
      </c>
    </row>
    <row r="89" spans="2:17" x14ac:dyDescent="0.25">
      <c r="B89" s="5901"/>
      <c r="C89" s="1692" t="s">
        <v>373</v>
      </c>
      <c r="D89" s="1693">
        <v>129</v>
      </c>
      <c r="E89" s="1693">
        <v>154</v>
      </c>
      <c r="F89" s="1693">
        <v>211</v>
      </c>
      <c r="G89" s="1693">
        <v>229</v>
      </c>
      <c r="H89" s="1693">
        <v>270</v>
      </c>
      <c r="I89" s="1693">
        <v>314</v>
      </c>
      <c r="J89" s="1693">
        <v>328</v>
      </c>
      <c r="K89" s="1693">
        <v>373</v>
      </c>
      <c r="L89" s="1693">
        <v>389</v>
      </c>
      <c r="M89" s="1693">
        <v>403</v>
      </c>
      <c r="N89" s="1693">
        <v>429</v>
      </c>
      <c r="O89" s="1693">
        <v>451</v>
      </c>
      <c r="P89" s="1693">
        <v>470</v>
      </c>
      <c r="Q89" s="1693">
        <v>488</v>
      </c>
    </row>
    <row r="90" spans="2:17" x14ac:dyDescent="0.25">
      <c r="B90" s="5901"/>
      <c r="C90" s="1692" t="s">
        <v>374</v>
      </c>
      <c r="D90" s="1693">
        <v>101</v>
      </c>
      <c r="E90" s="1693">
        <v>125</v>
      </c>
      <c r="F90" s="1693">
        <v>137</v>
      </c>
      <c r="G90" s="1693">
        <v>163</v>
      </c>
      <c r="H90" s="1693">
        <v>169</v>
      </c>
      <c r="I90" s="1693">
        <v>192</v>
      </c>
      <c r="J90" s="1693">
        <v>196</v>
      </c>
      <c r="K90" s="1693">
        <v>213</v>
      </c>
      <c r="L90" s="1693">
        <v>219</v>
      </c>
      <c r="M90" s="1693">
        <v>235</v>
      </c>
      <c r="N90" s="1693">
        <v>237</v>
      </c>
      <c r="O90" s="1693">
        <v>254</v>
      </c>
      <c r="P90" s="1693">
        <v>254</v>
      </c>
      <c r="Q90" s="1693">
        <v>264</v>
      </c>
    </row>
    <row r="91" spans="2:17" x14ac:dyDescent="0.25">
      <c r="B91" s="5901"/>
      <c r="C91" s="1692" t="s">
        <v>505</v>
      </c>
      <c r="D91" s="1693">
        <v>23</v>
      </c>
      <c r="E91" s="1693">
        <v>25</v>
      </c>
      <c r="F91" s="1693">
        <v>41</v>
      </c>
      <c r="G91" s="1693">
        <v>44</v>
      </c>
      <c r="H91" s="1693">
        <v>61</v>
      </c>
      <c r="I91" s="1693">
        <v>83</v>
      </c>
      <c r="J91" s="1693">
        <v>92</v>
      </c>
      <c r="K91" s="1693">
        <v>102</v>
      </c>
      <c r="L91" s="1693">
        <v>103</v>
      </c>
      <c r="M91" s="1693">
        <v>63</v>
      </c>
      <c r="N91" s="1693">
        <v>101</v>
      </c>
      <c r="O91" s="1693">
        <v>104</v>
      </c>
      <c r="P91" s="1693">
        <v>112</v>
      </c>
      <c r="Q91" s="1693">
        <v>122</v>
      </c>
    </row>
    <row r="92" spans="2:17" x14ac:dyDescent="0.25">
      <c r="B92" s="5901"/>
      <c r="C92" s="4646" t="s">
        <v>448</v>
      </c>
      <c r="D92" s="1693"/>
      <c r="E92" s="1693"/>
      <c r="F92" s="1693"/>
      <c r="G92" s="1693"/>
      <c r="H92" s="1693"/>
      <c r="I92" s="1693"/>
      <c r="J92" s="1693"/>
      <c r="K92" s="1693"/>
      <c r="L92" s="1693"/>
      <c r="M92" s="1693"/>
      <c r="N92" s="1693">
        <v>9</v>
      </c>
      <c r="O92" s="1693">
        <v>9</v>
      </c>
      <c r="P92" s="1693">
        <v>18</v>
      </c>
      <c r="Q92" s="1693">
        <v>21</v>
      </c>
    </row>
    <row r="93" spans="2:17" x14ac:dyDescent="0.25">
      <c r="B93" s="5902"/>
      <c r="C93" s="4924" t="s">
        <v>334</v>
      </c>
      <c r="D93" s="1693"/>
      <c r="E93" s="1693"/>
      <c r="F93" s="1693"/>
      <c r="G93" s="1693"/>
      <c r="H93" s="1693"/>
      <c r="I93" s="1693"/>
      <c r="J93" s="1693"/>
      <c r="K93" s="1693"/>
      <c r="L93" s="1693"/>
      <c r="M93" s="1693"/>
      <c r="N93" s="1693">
        <v>3</v>
      </c>
      <c r="O93" s="1693">
        <v>4</v>
      </c>
      <c r="P93" s="1693">
        <v>8</v>
      </c>
      <c r="Q93" s="1693">
        <v>12</v>
      </c>
    </row>
    <row r="94" spans="2:17" x14ac:dyDescent="0.25">
      <c r="B94" s="5888" t="s">
        <v>317</v>
      </c>
      <c r="C94" s="4926" t="s">
        <v>335</v>
      </c>
      <c r="D94" s="1706">
        <v>19</v>
      </c>
      <c r="E94" s="1706">
        <v>19</v>
      </c>
      <c r="F94" s="1706">
        <v>19</v>
      </c>
      <c r="G94" s="1706">
        <v>19</v>
      </c>
      <c r="H94" s="1706">
        <v>19</v>
      </c>
      <c r="I94" s="1706">
        <v>19</v>
      </c>
      <c r="J94" s="1706">
        <v>19</v>
      </c>
      <c r="K94" s="1706">
        <v>19</v>
      </c>
      <c r="L94" s="1706">
        <v>19</v>
      </c>
      <c r="M94" s="1706">
        <v>19</v>
      </c>
      <c r="N94" s="1706">
        <v>19</v>
      </c>
      <c r="O94" s="1706">
        <v>19</v>
      </c>
      <c r="P94" s="1706">
        <v>19</v>
      </c>
      <c r="Q94" s="5626">
        <v>19</v>
      </c>
    </row>
    <row r="95" spans="2:17" x14ac:dyDescent="0.25">
      <c r="B95" s="5889"/>
      <c r="C95" s="4927" t="s">
        <v>376</v>
      </c>
      <c r="D95" s="1697">
        <v>102</v>
      </c>
      <c r="E95" s="1697">
        <v>114</v>
      </c>
      <c r="F95" s="1697">
        <v>127</v>
      </c>
      <c r="G95" s="1697">
        <v>140</v>
      </c>
      <c r="H95" s="1697">
        <v>150</v>
      </c>
      <c r="I95" s="1697">
        <v>161</v>
      </c>
      <c r="J95" s="1697">
        <v>170</v>
      </c>
      <c r="K95" s="1697">
        <v>183</v>
      </c>
      <c r="L95" s="1697">
        <v>189</v>
      </c>
      <c r="M95" s="1697">
        <v>197</v>
      </c>
      <c r="N95" s="1697">
        <v>210</v>
      </c>
      <c r="O95" s="1697">
        <v>213</v>
      </c>
      <c r="P95" s="1697">
        <v>227</v>
      </c>
      <c r="Q95" s="1697">
        <v>228</v>
      </c>
    </row>
    <row r="96" spans="2:17" x14ac:dyDescent="0.25">
      <c r="B96" s="5889"/>
      <c r="C96" s="4927" t="s">
        <v>377</v>
      </c>
      <c r="D96" s="1697">
        <v>123</v>
      </c>
      <c r="E96" s="1697">
        <v>131</v>
      </c>
      <c r="F96" s="1697">
        <v>147</v>
      </c>
      <c r="G96" s="1697">
        <v>150</v>
      </c>
      <c r="H96" s="1697">
        <v>161</v>
      </c>
      <c r="I96" s="1697">
        <v>187</v>
      </c>
      <c r="J96" s="1697">
        <v>196</v>
      </c>
      <c r="K96" s="1697">
        <v>209</v>
      </c>
      <c r="L96" s="1697">
        <v>214</v>
      </c>
      <c r="M96" s="1697">
        <v>239</v>
      </c>
      <c r="N96" s="1697">
        <v>241</v>
      </c>
      <c r="O96" s="1697">
        <v>249</v>
      </c>
      <c r="P96" s="1697">
        <v>253</v>
      </c>
      <c r="Q96" s="1697">
        <v>258</v>
      </c>
    </row>
    <row r="97" spans="2:20" x14ac:dyDescent="0.25">
      <c r="B97" s="5889"/>
      <c r="C97" s="4927" t="s">
        <v>378</v>
      </c>
      <c r="D97" s="1697">
        <v>61</v>
      </c>
      <c r="E97" s="1697">
        <v>73</v>
      </c>
      <c r="F97" s="1697">
        <v>90</v>
      </c>
      <c r="G97" s="1697">
        <v>108</v>
      </c>
      <c r="H97" s="1697">
        <v>135</v>
      </c>
      <c r="I97" s="1697">
        <v>160</v>
      </c>
      <c r="J97" s="1697">
        <v>177</v>
      </c>
      <c r="K97" s="1697">
        <v>202</v>
      </c>
      <c r="L97" s="1697">
        <v>218</v>
      </c>
      <c r="M97" s="1697">
        <v>233</v>
      </c>
      <c r="N97" s="1697">
        <v>260</v>
      </c>
      <c r="O97" s="1697">
        <v>273</v>
      </c>
      <c r="P97" s="1697">
        <v>286</v>
      </c>
      <c r="Q97" s="1697">
        <v>301</v>
      </c>
    </row>
    <row r="98" spans="2:20" x14ac:dyDescent="0.25">
      <c r="B98" s="5889"/>
      <c r="C98" s="4927" t="s">
        <v>379</v>
      </c>
      <c r="D98" s="1697">
        <v>57</v>
      </c>
      <c r="E98" s="1697">
        <v>68</v>
      </c>
      <c r="F98" s="1697">
        <v>80</v>
      </c>
      <c r="G98" s="1697">
        <v>94</v>
      </c>
      <c r="H98" s="1697">
        <v>101</v>
      </c>
      <c r="I98" s="1697">
        <v>112</v>
      </c>
      <c r="J98" s="1697">
        <v>115</v>
      </c>
      <c r="K98" s="1697">
        <v>130</v>
      </c>
      <c r="L98" s="1697">
        <v>138</v>
      </c>
      <c r="M98" s="1697">
        <v>156</v>
      </c>
      <c r="N98" s="1697">
        <v>163</v>
      </c>
      <c r="O98" s="1697">
        <v>176</v>
      </c>
      <c r="P98" s="1697">
        <v>178</v>
      </c>
      <c r="Q98" s="1697">
        <v>195</v>
      </c>
    </row>
    <row r="99" spans="2:20" x14ac:dyDescent="0.25">
      <c r="B99" s="5889"/>
      <c r="C99" s="4927" t="s">
        <v>506</v>
      </c>
      <c r="D99" s="1697">
        <v>5</v>
      </c>
      <c r="E99" s="1697">
        <v>6</v>
      </c>
      <c r="F99" s="1697">
        <v>9</v>
      </c>
      <c r="G99" s="1697">
        <v>10</v>
      </c>
      <c r="H99" s="1697">
        <v>13</v>
      </c>
      <c r="I99" s="1697">
        <v>16</v>
      </c>
      <c r="J99" s="1697">
        <v>19</v>
      </c>
      <c r="K99" s="1697">
        <v>23</v>
      </c>
      <c r="L99" s="1697">
        <v>35</v>
      </c>
      <c r="M99" s="1697">
        <v>39</v>
      </c>
      <c r="N99" s="1697">
        <v>47</v>
      </c>
      <c r="O99" s="1697">
        <v>49</v>
      </c>
      <c r="P99" s="1697">
        <v>52</v>
      </c>
      <c r="Q99" s="1697">
        <v>56</v>
      </c>
    </row>
    <row r="100" spans="2:20" x14ac:dyDescent="0.25">
      <c r="B100" s="5889"/>
      <c r="C100" s="4927" t="s">
        <v>448</v>
      </c>
      <c r="D100" s="1697"/>
      <c r="E100" s="1697"/>
      <c r="F100" s="1697"/>
      <c r="G100" s="1697"/>
      <c r="H100" s="1697"/>
      <c r="I100" s="1697"/>
      <c r="J100" s="1697"/>
      <c r="K100" s="1697"/>
      <c r="L100" s="1697"/>
      <c r="M100" s="1697"/>
      <c r="N100" s="1697"/>
      <c r="O100" s="1697"/>
      <c r="P100" s="1697">
        <v>1</v>
      </c>
      <c r="Q100" s="1697">
        <v>3</v>
      </c>
    </row>
    <row r="101" spans="2:20" x14ac:dyDescent="0.25">
      <c r="B101" s="5890"/>
      <c r="C101" s="4925" t="s">
        <v>334</v>
      </c>
      <c r="D101" s="1700"/>
      <c r="E101" s="1700"/>
      <c r="F101" s="1700"/>
      <c r="G101" s="1700"/>
      <c r="H101" s="1700"/>
      <c r="I101" s="1700"/>
      <c r="J101" s="1700"/>
      <c r="K101" s="1700"/>
      <c r="L101" s="1700"/>
      <c r="M101" s="1700"/>
      <c r="N101" s="1700"/>
      <c r="O101" s="1700"/>
      <c r="P101" s="1700">
        <v>1</v>
      </c>
      <c r="Q101" s="1700">
        <v>3</v>
      </c>
    </row>
    <row r="102" spans="2:20" x14ac:dyDescent="0.25">
      <c r="B102" s="1701"/>
      <c r="C102" s="1702" t="s">
        <v>64</v>
      </c>
      <c r="D102" s="1703">
        <f t="shared" ref="D102:O102" si="6">SUM(D83:D100)</f>
        <v>1426</v>
      </c>
      <c r="E102" s="1703">
        <f t="shared" si="6"/>
        <v>1567</v>
      </c>
      <c r="F102" s="1703">
        <f t="shared" si="6"/>
        <v>1851</v>
      </c>
      <c r="G102" s="1703">
        <f t="shared" si="6"/>
        <v>2057</v>
      </c>
      <c r="H102" s="1703">
        <f t="shared" si="6"/>
        <v>2202</v>
      </c>
      <c r="I102" s="1703">
        <f t="shared" si="6"/>
        <v>2419</v>
      </c>
      <c r="J102" s="1703">
        <f t="shared" si="6"/>
        <v>2505</v>
      </c>
      <c r="K102" s="1703">
        <f t="shared" si="6"/>
        <v>2723</v>
      </c>
      <c r="L102" s="1703">
        <f t="shared" si="6"/>
        <v>2841</v>
      </c>
      <c r="M102" s="1703">
        <f t="shared" si="6"/>
        <v>2972</v>
      </c>
      <c r="N102" s="1703">
        <f t="shared" si="6"/>
        <v>3165</v>
      </c>
      <c r="O102" s="1703">
        <f t="shared" si="6"/>
        <v>3286</v>
      </c>
      <c r="P102" s="1703">
        <f>SUM(P83:P101)</f>
        <v>3431</v>
      </c>
      <c r="Q102" s="1703">
        <f>SUM(Q83:Q101)</f>
        <v>3584</v>
      </c>
    </row>
    <row r="103" spans="2:20" x14ac:dyDescent="0.25">
      <c r="B103" s="5908" t="s">
        <v>308</v>
      </c>
      <c r="C103" s="1704" t="s">
        <v>381</v>
      </c>
      <c r="D103" s="1705">
        <v>85</v>
      </c>
      <c r="E103" s="1705">
        <v>103</v>
      </c>
      <c r="F103" s="1705">
        <v>123</v>
      </c>
      <c r="G103" s="1705">
        <v>138</v>
      </c>
      <c r="H103" s="1705">
        <v>164</v>
      </c>
      <c r="I103" s="1705">
        <v>170</v>
      </c>
      <c r="J103" s="1705">
        <v>183</v>
      </c>
      <c r="K103" s="1705">
        <v>197</v>
      </c>
      <c r="L103" s="1705">
        <v>211</v>
      </c>
      <c r="M103" s="1705">
        <v>221</v>
      </c>
      <c r="N103" s="1705">
        <v>226</v>
      </c>
      <c r="O103" s="1705">
        <v>232</v>
      </c>
      <c r="P103" s="1705">
        <v>235</v>
      </c>
      <c r="Q103" s="1705">
        <v>236</v>
      </c>
    </row>
    <row r="104" spans="2:20" x14ac:dyDescent="0.25">
      <c r="B104" s="5889"/>
      <c r="C104" s="1698" t="s">
        <v>382</v>
      </c>
      <c r="D104" s="1697">
        <v>67</v>
      </c>
      <c r="E104" s="1697">
        <v>71</v>
      </c>
      <c r="F104" s="1697">
        <v>73</v>
      </c>
      <c r="G104" s="1697">
        <v>75</v>
      </c>
      <c r="H104" s="1697">
        <v>78</v>
      </c>
      <c r="I104" s="1697">
        <v>84</v>
      </c>
      <c r="J104" s="1697">
        <v>91</v>
      </c>
      <c r="K104" s="1697">
        <v>98</v>
      </c>
      <c r="L104" s="1697">
        <v>100</v>
      </c>
      <c r="M104" s="1697">
        <v>106</v>
      </c>
      <c r="N104" s="1697">
        <v>106</v>
      </c>
      <c r="O104" s="1697">
        <v>106</v>
      </c>
      <c r="P104" s="1697">
        <v>109</v>
      </c>
      <c r="Q104" s="1697">
        <v>110</v>
      </c>
    </row>
    <row r="105" spans="2:20" x14ac:dyDescent="0.25">
      <c r="B105" s="5900" t="s">
        <v>310</v>
      </c>
      <c r="C105" s="1694" t="s">
        <v>507</v>
      </c>
      <c r="D105" s="1707">
        <v>90</v>
      </c>
      <c r="E105" s="1707">
        <v>90</v>
      </c>
      <c r="F105" s="1707">
        <v>90</v>
      </c>
      <c r="G105" s="1707">
        <v>90</v>
      </c>
      <c r="H105" s="1707">
        <v>90</v>
      </c>
      <c r="I105" s="1707">
        <v>90</v>
      </c>
      <c r="J105" s="1707">
        <v>90</v>
      </c>
      <c r="K105" s="1707">
        <v>90</v>
      </c>
      <c r="L105" s="1707">
        <v>89</v>
      </c>
      <c r="M105" s="1707">
        <v>89</v>
      </c>
      <c r="N105" s="1707">
        <v>89</v>
      </c>
      <c r="O105" s="1707">
        <v>89</v>
      </c>
      <c r="P105" s="1707">
        <v>89</v>
      </c>
      <c r="Q105" s="5625">
        <v>89</v>
      </c>
    </row>
    <row r="106" spans="2:20" x14ac:dyDescent="0.25">
      <c r="B106" s="5901"/>
      <c r="C106" s="1692" t="s">
        <v>385</v>
      </c>
      <c r="D106" s="1693">
        <v>57</v>
      </c>
      <c r="E106" s="1693">
        <v>59</v>
      </c>
      <c r="F106" s="1693">
        <v>59</v>
      </c>
      <c r="G106" s="1693">
        <v>59</v>
      </c>
      <c r="H106" s="1693">
        <v>59</v>
      </c>
      <c r="I106" s="1693">
        <v>71</v>
      </c>
      <c r="J106" s="1693">
        <v>77</v>
      </c>
      <c r="K106" s="1693">
        <v>90</v>
      </c>
      <c r="L106" s="1693">
        <v>101</v>
      </c>
      <c r="M106" s="1693">
        <v>115</v>
      </c>
      <c r="N106" s="1693">
        <v>131</v>
      </c>
      <c r="O106" s="1693">
        <v>148</v>
      </c>
      <c r="P106" s="1693">
        <v>153</v>
      </c>
      <c r="Q106" s="1693">
        <v>160</v>
      </c>
    </row>
    <row r="107" spans="2:20" x14ac:dyDescent="0.25">
      <c r="B107" s="5901"/>
      <c r="C107" s="1719" t="s">
        <v>486</v>
      </c>
      <c r="D107" s="1707">
        <v>22</v>
      </c>
      <c r="E107" s="1707">
        <v>22</v>
      </c>
      <c r="F107" s="1707">
        <v>22</v>
      </c>
      <c r="G107" s="1707">
        <v>22</v>
      </c>
      <c r="H107" s="1707">
        <v>22</v>
      </c>
      <c r="I107" s="1707">
        <v>22</v>
      </c>
      <c r="J107" s="1707">
        <v>22</v>
      </c>
      <c r="K107" s="1707">
        <v>22</v>
      </c>
      <c r="L107" s="1707">
        <v>22</v>
      </c>
      <c r="M107" s="1707">
        <v>22</v>
      </c>
      <c r="N107" s="1707">
        <v>22</v>
      </c>
      <c r="O107" s="1707">
        <v>22</v>
      </c>
      <c r="P107" s="1707">
        <v>22</v>
      </c>
      <c r="Q107" s="5625">
        <v>22</v>
      </c>
    </row>
    <row r="108" spans="2:20" x14ac:dyDescent="0.25">
      <c r="B108" s="5901"/>
      <c r="C108" s="1692" t="s">
        <v>387</v>
      </c>
      <c r="D108" s="1693">
        <v>202</v>
      </c>
      <c r="E108" s="1693">
        <v>224</v>
      </c>
      <c r="F108" s="1693">
        <v>240</v>
      </c>
      <c r="G108" s="1693">
        <v>252</v>
      </c>
      <c r="H108" s="1693">
        <v>274</v>
      </c>
      <c r="I108" s="1693">
        <v>287</v>
      </c>
      <c r="J108" s="1693">
        <v>308</v>
      </c>
      <c r="K108" s="1693">
        <v>332</v>
      </c>
      <c r="L108" s="1693">
        <v>346</v>
      </c>
      <c r="M108" s="1693">
        <v>358</v>
      </c>
      <c r="N108" s="1693">
        <v>373</v>
      </c>
      <c r="O108" s="1693">
        <v>385</v>
      </c>
      <c r="P108" s="1693">
        <v>394</v>
      </c>
      <c r="Q108" s="1693">
        <v>403</v>
      </c>
    </row>
    <row r="109" spans="2:20" x14ac:dyDescent="0.25">
      <c r="B109" s="5901"/>
      <c r="C109" s="1692" t="s">
        <v>384</v>
      </c>
      <c r="D109" s="1693">
        <v>76</v>
      </c>
      <c r="E109" s="1693">
        <v>89</v>
      </c>
      <c r="F109" s="1693">
        <v>108</v>
      </c>
      <c r="G109" s="1693">
        <v>130</v>
      </c>
      <c r="H109" s="1693">
        <v>148</v>
      </c>
      <c r="I109" s="1693">
        <v>167</v>
      </c>
      <c r="J109" s="1693">
        <v>181</v>
      </c>
      <c r="K109" s="1693">
        <v>197</v>
      </c>
      <c r="L109" s="1693">
        <v>207</v>
      </c>
      <c r="M109" s="1693">
        <v>225</v>
      </c>
      <c r="N109" s="1693">
        <v>236</v>
      </c>
      <c r="O109" s="1693">
        <v>245</v>
      </c>
      <c r="P109" s="1693">
        <v>264</v>
      </c>
      <c r="Q109" s="1693">
        <v>274</v>
      </c>
    </row>
    <row r="110" spans="2:20" x14ac:dyDescent="0.25">
      <c r="B110" s="5902"/>
      <c r="C110" s="1692" t="s">
        <v>386</v>
      </c>
      <c r="D110" s="1693">
        <v>54</v>
      </c>
      <c r="E110" s="1693">
        <v>63</v>
      </c>
      <c r="F110" s="1693">
        <v>77</v>
      </c>
      <c r="G110" s="1693">
        <v>83</v>
      </c>
      <c r="H110" s="1693">
        <v>95</v>
      </c>
      <c r="I110" s="1693">
        <v>114</v>
      </c>
      <c r="J110" s="1693">
        <v>132</v>
      </c>
      <c r="K110" s="1693">
        <v>157</v>
      </c>
      <c r="L110" s="1693">
        <v>171</v>
      </c>
      <c r="M110" s="1693">
        <v>185</v>
      </c>
      <c r="N110" s="1693">
        <v>194</v>
      </c>
      <c r="O110" s="1693">
        <v>204</v>
      </c>
      <c r="P110" s="1693">
        <v>212</v>
      </c>
      <c r="Q110" s="1693">
        <v>223</v>
      </c>
    </row>
    <row r="111" spans="2:20" x14ac:dyDescent="0.25">
      <c r="B111" s="5908" t="s">
        <v>317</v>
      </c>
      <c r="C111" s="1698" t="s">
        <v>387</v>
      </c>
      <c r="D111" s="1697">
        <v>71</v>
      </c>
      <c r="E111" s="1697">
        <v>87</v>
      </c>
      <c r="F111" s="1697">
        <v>107</v>
      </c>
      <c r="G111" s="1697">
        <v>123</v>
      </c>
      <c r="H111" s="1697">
        <v>135</v>
      </c>
      <c r="I111" s="1697">
        <v>157</v>
      </c>
      <c r="J111" s="1697">
        <v>171</v>
      </c>
      <c r="K111" s="1697">
        <v>185</v>
      </c>
      <c r="L111" s="1697">
        <v>200</v>
      </c>
      <c r="M111" s="1697">
        <v>220</v>
      </c>
      <c r="N111" s="1697">
        <v>232</v>
      </c>
      <c r="O111" s="1697">
        <v>246</v>
      </c>
      <c r="P111" s="1697">
        <v>266</v>
      </c>
      <c r="Q111" s="1697">
        <v>285</v>
      </c>
    </row>
    <row r="112" spans="2:20" x14ac:dyDescent="0.25">
      <c r="B112" s="5889"/>
      <c r="C112" s="1696" t="s">
        <v>508</v>
      </c>
      <c r="D112" s="1720">
        <v>133</v>
      </c>
      <c r="E112" s="1720">
        <v>141</v>
      </c>
      <c r="F112" s="1720">
        <v>141</v>
      </c>
      <c r="G112" s="1720">
        <v>141</v>
      </c>
      <c r="H112" s="1720">
        <v>141</v>
      </c>
      <c r="I112" s="1720">
        <v>141</v>
      </c>
      <c r="J112" s="1720">
        <v>141</v>
      </c>
      <c r="K112" s="1720">
        <v>141</v>
      </c>
      <c r="L112" s="1720">
        <v>141</v>
      </c>
      <c r="M112" s="1720">
        <v>141</v>
      </c>
      <c r="N112" s="1720">
        <v>141</v>
      </c>
      <c r="O112" s="1720">
        <v>141</v>
      </c>
      <c r="P112" s="1720">
        <v>141</v>
      </c>
      <c r="Q112" s="1720">
        <v>141</v>
      </c>
      <c r="R112" s="1721"/>
      <c r="S112" s="1721"/>
      <c r="T112" s="1721"/>
    </row>
    <row r="113" spans="2:17" x14ac:dyDescent="0.25">
      <c r="B113" s="5889"/>
      <c r="C113" s="1698" t="s">
        <v>354</v>
      </c>
      <c r="D113" s="1697"/>
      <c r="E113" s="1697"/>
      <c r="F113" s="1697">
        <v>9</v>
      </c>
      <c r="G113" s="1697">
        <v>17</v>
      </c>
      <c r="H113" s="1697">
        <v>28</v>
      </c>
      <c r="I113" s="1697">
        <v>36</v>
      </c>
      <c r="J113" s="1697">
        <v>47</v>
      </c>
      <c r="K113" s="1697">
        <v>54</v>
      </c>
      <c r="L113" s="1697">
        <v>58</v>
      </c>
      <c r="M113" s="1697">
        <v>69</v>
      </c>
      <c r="N113" s="1697">
        <v>85</v>
      </c>
      <c r="O113" s="1697">
        <v>101</v>
      </c>
      <c r="P113" s="1697">
        <v>122</v>
      </c>
      <c r="Q113" s="1697">
        <v>133</v>
      </c>
    </row>
    <row r="114" spans="2:17" x14ac:dyDescent="0.25">
      <c r="B114" s="5890"/>
      <c r="C114" s="1698" t="s">
        <v>384</v>
      </c>
      <c r="D114" s="1697">
        <v>23</v>
      </c>
      <c r="E114" s="1697">
        <v>27</v>
      </c>
      <c r="F114" s="1697">
        <v>31</v>
      </c>
      <c r="G114" s="1697">
        <v>40</v>
      </c>
      <c r="H114" s="1697">
        <v>48</v>
      </c>
      <c r="I114" s="1697">
        <v>56</v>
      </c>
      <c r="J114" s="1697">
        <v>70</v>
      </c>
      <c r="K114" s="1697">
        <v>82</v>
      </c>
      <c r="L114" s="1697">
        <v>97</v>
      </c>
      <c r="M114" s="1697">
        <v>106</v>
      </c>
      <c r="N114" s="1697">
        <v>116</v>
      </c>
      <c r="O114" s="1697">
        <v>125</v>
      </c>
      <c r="P114" s="1697">
        <v>135</v>
      </c>
      <c r="Q114" s="1697">
        <v>145</v>
      </c>
    </row>
    <row r="115" spans="2:17" x14ac:dyDescent="0.25">
      <c r="B115" s="1701"/>
      <c r="C115" s="1702" t="s">
        <v>92</v>
      </c>
      <c r="D115" s="1703">
        <f t="shared" ref="D115:Q115" si="7">SUM(D103:D114)</f>
        <v>880</v>
      </c>
      <c r="E115" s="1703">
        <f t="shared" si="7"/>
        <v>976</v>
      </c>
      <c r="F115" s="1703">
        <f t="shared" si="7"/>
        <v>1080</v>
      </c>
      <c r="G115" s="1703">
        <f t="shared" si="7"/>
        <v>1170</v>
      </c>
      <c r="H115" s="1703">
        <f t="shared" si="7"/>
        <v>1282</v>
      </c>
      <c r="I115" s="1703">
        <f t="shared" si="7"/>
        <v>1395</v>
      </c>
      <c r="J115" s="1703">
        <f t="shared" si="7"/>
        <v>1513</v>
      </c>
      <c r="K115" s="1703">
        <f t="shared" si="7"/>
        <v>1645</v>
      </c>
      <c r="L115" s="1703">
        <f t="shared" si="7"/>
        <v>1743</v>
      </c>
      <c r="M115" s="1703">
        <f t="shared" si="7"/>
        <v>1857</v>
      </c>
      <c r="N115" s="1703">
        <f t="shared" si="7"/>
        <v>1951</v>
      </c>
      <c r="O115" s="1703">
        <f t="shared" si="7"/>
        <v>2044</v>
      </c>
      <c r="P115" s="1703">
        <f t="shared" si="7"/>
        <v>2142</v>
      </c>
      <c r="Q115" s="1703">
        <f t="shared" si="7"/>
        <v>2221</v>
      </c>
    </row>
    <row r="116" spans="2:17" ht="15" customHeight="1" x14ac:dyDescent="0.25">
      <c r="B116" s="1722"/>
      <c r="C116" s="1489" t="s">
        <v>388</v>
      </c>
      <c r="D116" s="1723">
        <f t="shared" ref="D116:Q116" si="8">SUM(D115,D102,D82)</f>
        <v>3487</v>
      </c>
      <c r="E116" s="1723">
        <f t="shared" si="8"/>
        <v>3812</v>
      </c>
      <c r="F116" s="1723">
        <f t="shared" si="8"/>
        <v>4268</v>
      </c>
      <c r="G116" s="1723">
        <f t="shared" si="8"/>
        <v>4631</v>
      </c>
      <c r="H116" s="1723">
        <f t="shared" si="8"/>
        <v>4976</v>
      </c>
      <c r="I116" s="1723">
        <f t="shared" si="8"/>
        <v>5399</v>
      </c>
      <c r="J116" s="1723">
        <f t="shared" si="8"/>
        <v>5677</v>
      </c>
      <c r="K116" s="1723">
        <f t="shared" si="8"/>
        <v>6126</v>
      </c>
      <c r="L116" s="1723">
        <f t="shared" si="8"/>
        <v>6460</v>
      </c>
      <c r="M116" s="1723">
        <f t="shared" si="8"/>
        <v>6838</v>
      </c>
      <c r="N116" s="1723">
        <f t="shared" si="8"/>
        <v>7229</v>
      </c>
      <c r="O116" s="1723">
        <f t="shared" si="8"/>
        <v>7508</v>
      </c>
      <c r="P116" s="1723">
        <f t="shared" si="8"/>
        <v>7833</v>
      </c>
      <c r="Q116" s="1723">
        <f t="shared" si="8"/>
        <v>8145</v>
      </c>
    </row>
    <row r="117" spans="2:17" x14ac:dyDescent="0.25">
      <c r="B117" s="5909" t="s">
        <v>308</v>
      </c>
      <c r="C117" s="5286" t="s">
        <v>509</v>
      </c>
      <c r="D117" s="5287">
        <v>151</v>
      </c>
      <c r="E117" s="5287">
        <v>152</v>
      </c>
      <c r="F117" s="5287">
        <v>169</v>
      </c>
      <c r="G117" s="5287">
        <v>170</v>
      </c>
      <c r="H117" s="5287">
        <v>170</v>
      </c>
      <c r="I117" s="5287">
        <v>170</v>
      </c>
      <c r="J117" s="5287">
        <v>170</v>
      </c>
      <c r="K117" s="5287">
        <v>170</v>
      </c>
      <c r="L117" s="5287">
        <v>170</v>
      </c>
      <c r="M117" s="5287">
        <v>170</v>
      </c>
      <c r="N117" s="5287">
        <v>170</v>
      </c>
      <c r="O117" s="5287">
        <v>170</v>
      </c>
      <c r="P117" s="5287">
        <v>170</v>
      </c>
      <c r="Q117" s="5287">
        <v>153</v>
      </c>
    </row>
    <row r="118" spans="2:17" x14ac:dyDescent="0.25">
      <c r="B118" s="5909"/>
      <c r="C118" s="4483" t="s">
        <v>1397</v>
      </c>
      <c r="D118" s="1697">
        <v>101</v>
      </c>
      <c r="E118" s="1697">
        <v>141</v>
      </c>
      <c r="F118" s="1697">
        <v>143</v>
      </c>
      <c r="G118" s="1697">
        <v>142</v>
      </c>
      <c r="H118" s="1697">
        <v>180</v>
      </c>
      <c r="I118" s="1697">
        <v>209</v>
      </c>
      <c r="J118" s="1697">
        <v>210</v>
      </c>
      <c r="K118" s="1697">
        <v>211</v>
      </c>
      <c r="L118" s="1697">
        <v>245</v>
      </c>
      <c r="M118" s="1697">
        <v>267</v>
      </c>
      <c r="N118" s="1697">
        <v>274</v>
      </c>
      <c r="O118" s="1697">
        <v>274</v>
      </c>
      <c r="P118" s="1697">
        <v>284</v>
      </c>
      <c r="Q118" s="1697">
        <v>303</v>
      </c>
    </row>
    <row r="119" spans="2:17" x14ac:dyDescent="0.25">
      <c r="B119" s="5910" t="s">
        <v>310</v>
      </c>
      <c r="C119" s="1694" t="s">
        <v>487</v>
      </c>
      <c r="D119" s="1707">
        <v>84</v>
      </c>
      <c r="E119" s="1707">
        <v>84</v>
      </c>
      <c r="F119" s="1707">
        <v>85</v>
      </c>
      <c r="G119" s="1707">
        <v>85</v>
      </c>
      <c r="H119" s="1707">
        <v>85</v>
      </c>
      <c r="I119" s="1707">
        <v>85</v>
      </c>
      <c r="J119" s="1707">
        <v>85</v>
      </c>
      <c r="K119" s="1707">
        <v>85</v>
      </c>
      <c r="L119" s="1707">
        <v>86</v>
      </c>
      <c r="M119" s="1707">
        <v>86</v>
      </c>
      <c r="N119" s="1707">
        <v>86</v>
      </c>
      <c r="O119" s="1707">
        <v>86</v>
      </c>
      <c r="P119" s="1707">
        <v>86</v>
      </c>
      <c r="Q119" s="5625">
        <v>86</v>
      </c>
    </row>
    <row r="120" spans="2:17" x14ac:dyDescent="0.25">
      <c r="B120" s="5911"/>
      <c r="C120" s="4484" t="s">
        <v>1397</v>
      </c>
      <c r="D120" s="1693">
        <v>115</v>
      </c>
      <c r="E120" s="1693">
        <v>115</v>
      </c>
      <c r="F120" s="1693">
        <v>115</v>
      </c>
      <c r="G120" s="1693">
        <v>115</v>
      </c>
      <c r="H120" s="1693">
        <v>115</v>
      </c>
      <c r="I120" s="1693">
        <v>115</v>
      </c>
      <c r="J120" s="1693">
        <v>115</v>
      </c>
      <c r="K120" s="1693">
        <v>115</v>
      </c>
      <c r="L120" s="1693">
        <v>283</v>
      </c>
      <c r="M120" s="1693">
        <v>297</v>
      </c>
      <c r="N120" s="1693">
        <v>310</v>
      </c>
      <c r="O120" s="1693">
        <v>321</v>
      </c>
      <c r="P120" s="1693">
        <v>325</v>
      </c>
      <c r="Q120" s="1693">
        <v>338</v>
      </c>
    </row>
    <row r="121" spans="2:17" x14ac:dyDescent="0.25">
      <c r="B121" s="5911"/>
      <c r="C121" s="1692" t="s">
        <v>394</v>
      </c>
      <c r="D121" s="1693">
        <v>55</v>
      </c>
      <c r="E121" s="1693">
        <v>67</v>
      </c>
      <c r="F121" s="1693">
        <v>76</v>
      </c>
      <c r="G121" s="1693">
        <v>90</v>
      </c>
      <c r="H121" s="1693">
        <v>108</v>
      </c>
      <c r="I121" s="1693">
        <v>113</v>
      </c>
      <c r="J121" s="1693">
        <v>121</v>
      </c>
      <c r="K121" s="1693">
        <v>137</v>
      </c>
      <c r="L121" s="1693">
        <v>143</v>
      </c>
      <c r="M121" s="1693">
        <v>159</v>
      </c>
      <c r="N121" s="1693">
        <v>168</v>
      </c>
      <c r="O121" s="1693">
        <v>176</v>
      </c>
      <c r="P121" s="1693">
        <v>187</v>
      </c>
      <c r="Q121" s="1693">
        <v>192</v>
      </c>
    </row>
    <row r="122" spans="2:17" x14ac:dyDescent="0.25">
      <c r="B122" s="5911"/>
      <c r="C122" s="1692" t="s">
        <v>510</v>
      </c>
      <c r="D122" s="1693">
        <v>84</v>
      </c>
      <c r="E122" s="1693">
        <v>96</v>
      </c>
      <c r="F122" s="1693">
        <v>108</v>
      </c>
      <c r="G122" s="1693">
        <v>117</v>
      </c>
      <c r="H122" s="1693">
        <v>123</v>
      </c>
      <c r="I122" s="1693">
        <v>131</v>
      </c>
      <c r="J122" s="1693">
        <v>141</v>
      </c>
      <c r="K122" s="1693">
        <v>141</v>
      </c>
      <c r="L122" s="1693">
        <v>141</v>
      </c>
      <c r="M122" s="1693">
        <v>141</v>
      </c>
      <c r="N122" s="1693">
        <v>141</v>
      </c>
      <c r="O122" s="1693">
        <v>141</v>
      </c>
      <c r="P122" s="1693">
        <v>141</v>
      </c>
      <c r="Q122" s="1693">
        <v>141</v>
      </c>
    </row>
    <row r="123" spans="2:17" x14ac:dyDescent="0.25">
      <c r="B123" s="5911"/>
      <c r="C123" s="1692" t="s">
        <v>395</v>
      </c>
      <c r="D123" s="1693"/>
      <c r="E123" s="1693"/>
      <c r="F123" s="1693"/>
      <c r="G123" s="1693"/>
      <c r="H123" s="1693"/>
      <c r="I123" s="1693"/>
      <c r="J123" s="1693"/>
      <c r="K123" s="1693">
        <v>10</v>
      </c>
      <c r="L123" s="1693">
        <v>16</v>
      </c>
      <c r="M123" s="1693">
        <v>33</v>
      </c>
      <c r="N123" s="1693">
        <v>36</v>
      </c>
      <c r="O123" s="1693">
        <v>52</v>
      </c>
      <c r="P123" s="1693">
        <v>54</v>
      </c>
      <c r="Q123" s="1693">
        <v>67</v>
      </c>
    </row>
    <row r="124" spans="2:17" x14ac:dyDescent="0.25">
      <c r="B124" s="5911"/>
      <c r="C124" s="1692" t="s">
        <v>392</v>
      </c>
      <c r="D124" s="1693">
        <v>67</v>
      </c>
      <c r="E124" s="1693">
        <v>87</v>
      </c>
      <c r="F124" s="1693">
        <v>100</v>
      </c>
      <c r="G124" s="1693">
        <v>105</v>
      </c>
      <c r="H124" s="1693">
        <v>114</v>
      </c>
      <c r="I124" s="1693">
        <v>124</v>
      </c>
      <c r="J124" s="1693">
        <v>133</v>
      </c>
      <c r="K124" s="1693">
        <v>143</v>
      </c>
      <c r="L124" s="1693">
        <v>154</v>
      </c>
      <c r="M124" s="1693">
        <v>163</v>
      </c>
      <c r="N124" s="1693">
        <v>169</v>
      </c>
      <c r="O124" s="1693">
        <v>178</v>
      </c>
      <c r="P124" s="1693">
        <v>191</v>
      </c>
      <c r="Q124" s="1693">
        <v>215</v>
      </c>
    </row>
    <row r="125" spans="2:17" x14ac:dyDescent="0.25">
      <c r="B125" s="5911"/>
      <c r="C125" s="1692" t="s">
        <v>396</v>
      </c>
      <c r="D125" s="1693">
        <v>58</v>
      </c>
      <c r="E125" s="1693">
        <v>75</v>
      </c>
      <c r="F125" s="1693">
        <v>83</v>
      </c>
      <c r="G125" s="1693">
        <v>94</v>
      </c>
      <c r="H125" s="1693">
        <v>105</v>
      </c>
      <c r="I125" s="1693">
        <v>117</v>
      </c>
      <c r="J125" s="1693">
        <v>125</v>
      </c>
      <c r="K125" s="1693">
        <v>132</v>
      </c>
      <c r="L125" s="1693">
        <v>141</v>
      </c>
      <c r="M125" s="1693">
        <v>149</v>
      </c>
      <c r="N125" s="1693">
        <v>161</v>
      </c>
      <c r="O125" s="1693">
        <v>163</v>
      </c>
      <c r="P125" s="1693">
        <v>174</v>
      </c>
      <c r="Q125" s="1693">
        <v>182</v>
      </c>
    </row>
    <row r="126" spans="2:17" x14ac:dyDescent="0.25">
      <c r="B126" s="5911"/>
      <c r="C126" s="1694" t="s">
        <v>488</v>
      </c>
      <c r="D126" s="1707">
        <v>18</v>
      </c>
      <c r="E126" s="1707">
        <v>18</v>
      </c>
      <c r="F126" s="1707">
        <v>18</v>
      </c>
      <c r="G126" s="1707">
        <v>18</v>
      </c>
      <c r="H126" s="1707">
        <v>18</v>
      </c>
      <c r="I126" s="1707">
        <v>18</v>
      </c>
      <c r="J126" s="1707">
        <v>18</v>
      </c>
      <c r="K126" s="1707">
        <v>18</v>
      </c>
      <c r="L126" s="1707">
        <v>21</v>
      </c>
      <c r="M126" s="1707">
        <v>21</v>
      </c>
      <c r="N126" s="1707">
        <v>21</v>
      </c>
      <c r="O126" s="1707">
        <v>21</v>
      </c>
      <c r="P126" s="1707">
        <v>21</v>
      </c>
      <c r="Q126" s="5625">
        <v>21</v>
      </c>
    </row>
    <row r="127" spans="2:17" x14ac:dyDescent="0.25">
      <c r="B127" s="5911"/>
      <c r="C127" s="1692" t="s">
        <v>397</v>
      </c>
      <c r="D127" s="1693">
        <v>62</v>
      </c>
      <c r="E127" s="1693">
        <v>76</v>
      </c>
      <c r="F127" s="1693">
        <v>87</v>
      </c>
      <c r="G127" s="1693">
        <v>95</v>
      </c>
      <c r="H127" s="1693">
        <v>103</v>
      </c>
      <c r="I127" s="1693">
        <v>104</v>
      </c>
      <c r="J127" s="1693">
        <v>110</v>
      </c>
      <c r="K127" s="1693">
        <v>113</v>
      </c>
      <c r="L127" s="1693">
        <v>123</v>
      </c>
      <c r="M127" s="1693">
        <v>128</v>
      </c>
      <c r="N127" s="1693">
        <v>140</v>
      </c>
      <c r="O127" s="1693">
        <v>144</v>
      </c>
      <c r="P127" s="1693">
        <v>148</v>
      </c>
      <c r="Q127" s="1693">
        <v>156</v>
      </c>
    </row>
    <row r="128" spans="2:17" x14ac:dyDescent="0.25">
      <c r="B128" s="5911"/>
      <c r="C128" s="1692" t="s">
        <v>398</v>
      </c>
      <c r="D128" s="1693">
        <v>37</v>
      </c>
      <c r="E128" s="1693">
        <v>48</v>
      </c>
      <c r="F128" s="1693">
        <v>57</v>
      </c>
      <c r="G128" s="1693">
        <v>64</v>
      </c>
      <c r="H128" s="1693">
        <v>71</v>
      </c>
      <c r="I128" s="1693">
        <v>75</v>
      </c>
      <c r="J128" s="1693">
        <v>81</v>
      </c>
      <c r="K128" s="1693">
        <v>87</v>
      </c>
      <c r="L128" s="1693">
        <v>95</v>
      </c>
      <c r="M128" s="1693">
        <v>101</v>
      </c>
      <c r="N128" s="1693">
        <v>110</v>
      </c>
      <c r="O128" s="1693">
        <v>113</v>
      </c>
      <c r="P128" s="1693">
        <v>118</v>
      </c>
      <c r="Q128" s="1693">
        <v>121</v>
      </c>
    </row>
    <row r="129" spans="2:17" x14ac:dyDescent="0.25">
      <c r="B129" s="5911"/>
      <c r="C129" s="1692" t="s">
        <v>505</v>
      </c>
      <c r="D129" s="1693">
        <v>11</v>
      </c>
      <c r="E129" s="1693">
        <v>11</v>
      </c>
      <c r="F129" s="1693">
        <v>11</v>
      </c>
      <c r="G129" s="1693">
        <v>13</v>
      </c>
      <c r="H129" s="1693">
        <v>12</v>
      </c>
      <c r="I129" s="1693">
        <v>11</v>
      </c>
      <c r="J129" s="1693">
        <v>11</v>
      </c>
      <c r="K129" s="1693">
        <v>12</v>
      </c>
      <c r="L129" s="1693">
        <v>18</v>
      </c>
      <c r="M129" s="1693">
        <v>70</v>
      </c>
      <c r="N129" s="1693">
        <v>34</v>
      </c>
      <c r="O129" s="1693">
        <v>42</v>
      </c>
      <c r="P129" s="1693">
        <v>37</v>
      </c>
      <c r="Q129" s="1693">
        <v>31</v>
      </c>
    </row>
    <row r="130" spans="2:17" x14ac:dyDescent="0.25">
      <c r="B130" s="5911"/>
      <c r="C130" s="1694" t="s">
        <v>393</v>
      </c>
      <c r="D130" s="1707">
        <v>120</v>
      </c>
      <c r="E130" s="1707">
        <v>147</v>
      </c>
      <c r="F130" s="1707">
        <v>184</v>
      </c>
      <c r="G130" s="1707">
        <v>194</v>
      </c>
      <c r="H130" s="1707">
        <v>205</v>
      </c>
      <c r="I130" s="1707">
        <v>220</v>
      </c>
      <c r="J130" s="1707">
        <v>244</v>
      </c>
      <c r="K130" s="1707">
        <v>258</v>
      </c>
      <c r="L130" s="1707">
        <v>115</v>
      </c>
      <c r="M130" s="1707">
        <v>115</v>
      </c>
      <c r="N130" s="1707">
        <v>115</v>
      </c>
      <c r="O130" s="1707">
        <v>115</v>
      </c>
      <c r="P130" s="1707">
        <v>115</v>
      </c>
      <c r="Q130" s="5625">
        <v>115</v>
      </c>
    </row>
    <row r="131" spans="2:17" x14ac:dyDescent="0.25">
      <c r="B131" s="5911"/>
      <c r="C131" s="1692" t="s">
        <v>399</v>
      </c>
      <c r="D131" s="1693"/>
      <c r="E131" s="1693"/>
      <c r="F131" s="1693"/>
      <c r="G131" s="1693"/>
      <c r="H131" s="1693"/>
      <c r="I131" s="1693">
        <v>8</v>
      </c>
      <c r="J131" s="1693">
        <v>10</v>
      </c>
      <c r="K131" s="1693">
        <v>23</v>
      </c>
      <c r="L131" s="1693">
        <v>23</v>
      </c>
      <c r="M131" s="1693">
        <v>38</v>
      </c>
      <c r="N131" s="1693">
        <v>40</v>
      </c>
      <c r="O131" s="1693">
        <v>51</v>
      </c>
      <c r="P131" s="1693">
        <v>53</v>
      </c>
      <c r="Q131" s="1693">
        <v>55</v>
      </c>
    </row>
    <row r="132" spans="2:17" x14ac:dyDescent="0.25">
      <c r="B132" s="5911"/>
      <c r="C132" s="1692" t="s">
        <v>400</v>
      </c>
      <c r="D132" s="1693"/>
      <c r="E132" s="1693"/>
      <c r="F132" s="1693"/>
      <c r="G132" s="1693"/>
      <c r="H132" s="1693"/>
      <c r="I132" s="1693"/>
      <c r="J132" s="1693"/>
      <c r="K132" s="1693"/>
      <c r="L132" s="1693"/>
      <c r="M132" s="1693"/>
      <c r="N132" s="1693">
        <v>8</v>
      </c>
      <c r="O132" s="1693">
        <v>11</v>
      </c>
      <c r="P132" s="1693">
        <v>19</v>
      </c>
      <c r="Q132" s="1693">
        <v>22</v>
      </c>
    </row>
    <row r="133" spans="2:17" x14ac:dyDescent="0.25">
      <c r="B133" s="5912"/>
      <c r="C133" s="1692" t="s">
        <v>334</v>
      </c>
      <c r="D133" s="1693"/>
      <c r="E133" s="1693"/>
      <c r="F133" s="1693"/>
      <c r="G133" s="1693"/>
      <c r="H133" s="1693"/>
      <c r="I133" s="1693"/>
      <c r="J133" s="1693"/>
      <c r="K133" s="1693"/>
      <c r="L133" s="1693"/>
      <c r="M133" s="1693">
        <v>1</v>
      </c>
      <c r="N133" s="1693">
        <v>3</v>
      </c>
      <c r="O133" s="1693">
        <v>3</v>
      </c>
      <c r="P133" s="1693">
        <v>3</v>
      </c>
      <c r="Q133" s="1693">
        <v>6</v>
      </c>
    </row>
    <row r="134" spans="2:17" x14ac:dyDescent="0.25">
      <c r="B134" s="5913" t="s">
        <v>317</v>
      </c>
      <c r="C134" s="1698" t="s">
        <v>402</v>
      </c>
      <c r="D134" s="1697">
        <v>164</v>
      </c>
      <c r="E134" s="1697">
        <v>202</v>
      </c>
      <c r="F134" s="1697">
        <v>227</v>
      </c>
      <c r="G134" s="1697">
        <v>244</v>
      </c>
      <c r="H134" s="1697">
        <v>267</v>
      </c>
      <c r="I134" s="1697">
        <v>285</v>
      </c>
      <c r="J134" s="1697">
        <v>308</v>
      </c>
      <c r="K134" s="1697">
        <v>322</v>
      </c>
      <c r="L134" s="1697">
        <v>345</v>
      </c>
      <c r="M134" s="1697">
        <v>364</v>
      </c>
      <c r="N134" s="1697">
        <v>383</v>
      </c>
      <c r="O134" s="1697">
        <v>398</v>
      </c>
      <c r="P134" s="1697">
        <v>420</v>
      </c>
      <c r="Q134" s="1697">
        <v>440</v>
      </c>
    </row>
    <row r="135" spans="2:17" x14ac:dyDescent="0.25">
      <c r="B135" s="5909"/>
      <c r="C135" s="1698" t="s">
        <v>403</v>
      </c>
      <c r="D135" s="1697"/>
      <c r="E135" s="1697"/>
      <c r="F135" s="1697"/>
      <c r="G135" s="1697"/>
      <c r="H135" s="1697"/>
      <c r="I135" s="1697"/>
      <c r="J135" s="1697"/>
      <c r="K135" s="1697"/>
      <c r="L135" s="1697"/>
      <c r="M135" s="1697"/>
      <c r="N135" s="1697"/>
      <c r="O135" s="1697"/>
      <c r="P135" s="1697"/>
      <c r="Q135" s="1697">
        <v>3</v>
      </c>
    </row>
    <row r="136" spans="2:17" x14ac:dyDescent="0.25">
      <c r="B136" s="5909"/>
      <c r="C136" s="4928" t="s">
        <v>378</v>
      </c>
      <c r="D136" s="1697"/>
      <c r="E136" s="1697"/>
      <c r="F136" s="1697"/>
      <c r="G136" s="1697"/>
      <c r="H136" s="1697"/>
      <c r="I136" s="1697"/>
      <c r="J136" s="1697"/>
      <c r="K136" s="1697"/>
      <c r="L136" s="1697"/>
      <c r="M136" s="1697"/>
      <c r="N136" s="1697"/>
      <c r="O136" s="1697"/>
      <c r="P136" s="1697">
        <v>3</v>
      </c>
      <c r="Q136" s="1697">
        <v>6</v>
      </c>
    </row>
    <row r="137" spans="2:17" x14ac:dyDescent="0.25">
      <c r="B137" s="5909"/>
      <c r="C137" s="1698" t="s">
        <v>505</v>
      </c>
      <c r="D137" s="1697">
        <v>7</v>
      </c>
      <c r="E137" s="1697">
        <v>7</v>
      </c>
      <c r="F137" s="1697">
        <v>8</v>
      </c>
      <c r="G137" s="1697">
        <v>10</v>
      </c>
      <c r="H137" s="1697">
        <v>15</v>
      </c>
      <c r="I137" s="1697">
        <v>18</v>
      </c>
      <c r="J137" s="1697">
        <v>18</v>
      </c>
      <c r="K137" s="1697">
        <v>18</v>
      </c>
      <c r="L137" s="1697">
        <v>18</v>
      </c>
      <c r="M137" s="1697">
        <v>22</v>
      </c>
      <c r="N137" s="1697">
        <v>24</v>
      </c>
      <c r="O137" s="1697">
        <v>24</v>
      </c>
      <c r="P137" s="1697">
        <v>28</v>
      </c>
      <c r="Q137" s="1697">
        <v>28</v>
      </c>
    </row>
    <row r="138" spans="2:17" x14ac:dyDescent="0.25">
      <c r="B138" s="5914"/>
      <c r="C138" s="4483" t="s">
        <v>1397</v>
      </c>
      <c r="D138" s="1697">
        <v>12</v>
      </c>
      <c r="E138" s="1697">
        <v>19</v>
      </c>
      <c r="F138" s="1697">
        <v>26</v>
      </c>
      <c r="G138" s="1697">
        <v>32</v>
      </c>
      <c r="H138" s="1697">
        <v>36</v>
      </c>
      <c r="I138" s="1697">
        <v>42</v>
      </c>
      <c r="J138" s="1697">
        <v>52</v>
      </c>
      <c r="K138" s="1697">
        <v>56</v>
      </c>
      <c r="L138" s="1697">
        <v>64</v>
      </c>
      <c r="M138" s="1697">
        <v>68</v>
      </c>
      <c r="N138" s="1697">
        <v>82</v>
      </c>
      <c r="O138" s="1697">
        <v>86</v>
      </c>
      <c r="P138" s="1697">
        <v>93</v>
      </c>
      <c r="Q138" s="1697">
        <v>104</v>
      </c>
    </row>
    <row r="139" spans="2:17" x14ac:dyDescent="0.25">
      <c r="B139" s="1701"/>
      <c r="C139" s="1702" t="s">
        <v>64</v>
      </c>
      <c r="D139" s="1703">
        <f t="shared" ref="D139:Q139" si="9">SUM(D117:D138)</f>
        <v>1146</v>
      </c>
      <c r="E139" s="1703">
        <f t="shared" si="9"/>
        <v>1345</v>
      </c>
      <c r="F139" s="1703">
        <f t="shared" si="9"/>
        <v>1497</v>
      </c>
      <c r="G139" s="1703">
        <f t="shared" si="9"/>
        <v>1588</v>
      </c>
      <c r="H139" s="1703">
        <f t="shared" si="9"/>
        <v>1727</v>
      </c>
      <c r="I139" s="1703">
        <f t="shared" si="9"/>
        <v>1845</v>
      </c>
      <c r="J139" s="1703">
        <f t="shared" si="9"/>
        <v>1952</v>
      </c>
      <c r="K139" s="1703">
        <f t="shared" si="9"/>
        <v>2051</v>
      </c>
      <c r="L139" s="1703">
        <f t="shared" si="9"/>
        <v>2201</v>
      </c>
      <c r="M139" s="1703">
        <f t="shared" si="9"/>
        <v>2393</v>
      </c>
      <c r="N139" s="1703">
        <f t="shared" si="9"/>
        <v>2475</v>
      </c>
      <c r="O139" s="1703">
        <f t="shared" si="9"/>
        <v>2569</v>
      </c>
      <c r="P139" s="1703">
        <f t="shared" si="9"/>
        <v>2670</v>
      </c>
      <c r="Q139" s="1703">
        <f t="shared" si="9"/>
        <v>2785</v>
      </c>
    </row>
    <row r="140" spans="2:17" x14ac:dyDescent="0.25">
      <c r="B140" s="5915" t="s">
        <v>308</v>
      </c>
      <c r="C140" s="1704" t="s">
        <v>406</v>
      </c>
      <c r="D140" s="1705">
        <v>84</v>
      </c>
      <c r="E140" s="1705">
        <v>84</v>
      </c>
      <c r="F140" s="1705">
        <v>87</v>
      </c>
      <c r="G140" s="1705">
        <v>87</v>
      </c>
      <c r="H140" s="1705">
        <v>87</v>
      </c>
      <c r="I140" s="1705">
        <v>88</v>
      </c>
      <c r="J140" s="1705">
        <v>94</v>
      </c>
      <c r="K140" s="1705">
        <v>97</v>
      </c>
      <c r="L140" s="1705">
        <v>99</v>
      </c>
      <c r="M140" s="1705">
        <v>102</v>
      </c>
      <c r="N140" s="1705">
        <v>101</v>
      </c>
      <c r="O140" s="1705">
        <v>101</v>
      </c>
      <c r="P140" s="1705">
        <v>101</v>
      </c>
      <c r="Q140" s="1705">
        <v>101</v>
      </c>
    </row>
    <row r="141" spans="2:17" x14ac:dyDescent="0.25">
      <c r="B141" s="5916"/>
      <c r="C141" s="1696" t="s">
        <v>405</v>
      </c>
      <c r="D141" s="1706">
        <v>76</v>
      </c>
      <c r="E141" s="1706">
        <v>76</v>
      </c>
      <c r="F141" s="1706">
        <v>76</v>
      </c>
      <c r="G141" s="1706">
        <v>76</v>
      </c>
      <c r="H141" s="1706">
        <v>76</v>
      </c>
      <c r="I141" s="1706">
        <v>76</v>
      </c>
      <c r="J141" s="1706">
        <v>76</v>
      </c>
      <c r="K141" s="1706">
        <v>76</v>
      </c>
      <c r="L141" s="1706">
        <v>76</v>
      </c>
      <c r="M141" s="1706">
        <v>76</v>
      </c>
      <c r="N141" s="1706">
        <v>76</v>
      </c>
      <c r="O141" s="1706">
        <v>76</v>
      </c>
      <c r="P141" s="1706">
        <v>76</v>
      </c>
      <c r="Q141" s="1706">
        <v>76</v>
      </c>
    </row>
    <row r="142" spans="2:17" x14ac:dyDescent="0.25">
      <c r="B142" s="5916"/>
      <c r="C142" s="5288" t="s">
        <v>404</v>
      </c>
      <c r="D142" s="5289">
        <v>45</v>
      </c>
      <c r="E142" s="5289">
        <v>45</v>
      </c>
      <c r="F142" s="5289">
        <v>45</v>
      </c>
      <c r="G142" s="5289">
        <v>45</v>
      </c>
      <c r="H142" s="5289">
        <v>45</v>
      </c>
      <c r="I142" s="5289">
        <v>55</v>
      </c>
      <c r="J142" s="5289">
        <v>45</v>
      </c>
      <c r="K142" s="5289">
        <v>40</v>
      </c>
      <c r="L142" s="5289">
        <v>45</v>
      </c>
      <c r="M142" s="5289">
        <v>45</v>
      </c>
      <c r="N142" s="5289">
        <v>45</v>
      </c>
      <c r="O142" s="5289">
        <v>45</v>
      </c>
      <c r="P142" s="5289">
        <v>45</v>
      </c>
      <c r="Q142" s="5289">
        <v>45</v>
      </c>
    </row>
    <row r="143" spans="2:17" x14ac:dyDescent="0.25">
      <c r="B143" s="5917"/>
      <c r="C143" s="1696" t="s">
        <v>511</v>
      </c>
      <c r="D143" s="1706">
        <v>15</v>
      </c>
      <c r="E143" s="1706">
        <v>20</v>
      </c>
      <c r="F143" s="1706">
        <v>22</v>
      </c>
      <c r="G143" s="1706">
        <v>30</v>
      </c>
      <c r="H143" s="1706">
        <v>30</v>
      </c>
      <c r="I143" s="1706">
        <v>30</v>
      </c>
      <c r="J143" s="1706">
        <v>40</v>
      </c>
      <c r="K143" s="1706">
        <v>45</v>
      </c>
      <c r="L143" s="1706">
        <v>40</v>
      </c>
      <c r="M143" s="1706">
        <v>40</v>
      </c>
      <c r="N143" s="1706">
        <v>40</v>
      </c>
      <c r="O143" s="1706">
        <v>30</v>
      </c>
      <c r="P143" s="1706">
        <v>30</v>
      </c>
      <c r="Q143" s="1706">
        <v>30</v>
      </c>
    </row>
    <row r="144" spans="2:17" x14ac:dyDescent="0.25">
      <c r="B144" s="5910" t="s">
        <v>310</v>
      </c>
      <c r="C144" s="1692" t="s">
        <v>408</v>
      </c>
      <c r="D144" s="1693">
        <v>158</v>
      </c>
      <c r="E144" s="1693">
        <v>168</v>
      </c>
      <c r="F144" s="1693">
        <v>168</v>
      </c>
      <c r="G144" s="1693">
        <v>169</v>
      </c>
      <c r="H144" s="1693">
        <v>172</v>
      </c>
      <c r="I144" s="1693">
        <v>174</v>
      </c>
      <c r="J144" s="1693">
        <v>181</v>
      </c>
      <c r="K144" s="1693">
        <v>190</v>
      </c>
      <c r="L144" s="1693">
        <v>201</v>
      </c>
      <c r="M144" s="1693">
        <v>208</v>
      </c>
      <c r="N144" s="1724">
        <v>214</v>
      </c>
      <c r="O144" s="1724">
        <v>215</v>
      </c>
      <c r="P144" s="1724">
        <v>216</v>
      </c>
      <c r="Q144" s="1724">
        <v>219</v>
      </c>
    </row>
    <row r="145" spans="2:17" x14ac:dyDescent="0.25">
      <c r="B145" s="5911"/>
      <c r="C145" s="1692" t="s">
        <v>409</v>
      </c>
      <c r="D145" s="1693">
        <v>105</v>
      </c>
      <c r="E145" s="1693">
        <v>117</v>
      </c>
      <c r="F145" s="1693">
        <v>138</v>
      </c>
      <c r="G145" s="1693">
        <v>148</v>
      </c>
      <c r="H145" s="1693">
        <v>167</v>
      </c>
      <c r="I145" s="1693">
        <v>171</v>
      </c>
      <c r="J145" s="1693">
        <v>181</v>
      </c>
      <c r="K145" s="1693">
        <v>191</v>
      </c>
      <c r="L145" s="1693">
        <v>205</v>
      </c>
      <c r="M145" s="1693">
        <v>220</v>
      </c>
      <c r="N145" s="1693">
        <v>231</v>
      </c>
      <c r="O145" s="1693">
        <v>246</v>
      </c>
      <c r="P145" s="1693">
        <v>253</v>
      </c>
      <c r="Q145" s="1693">
        <v>265</v>
      </c>
    </row>
    <row r="146" spans="2:17" x14ac:dyDescent="0.25">
      <c r="B146" s="5911"/>
      <c r="C146" s="1692" t="s">
        <v>512</v>
      </c>
      <c r="D146" s="1693">
        <v>64</v>
      </c>
      <c r="E146" s="1693">
        <v>75</v>
      </c>
      <c r="F146" s="1693">
        <v>79</v>
      </c>
      <c r="G146" s="1693">
        <v>84</v>
      </c>
      <c r="H146" s="1693">
        <v>93</v>
      </c>
      <c r="I146" s="1693">
        <v>96</v>
      </c>
      <c r="J146" s="1693">
        <v>104</v>
      </c>
      <c r="K146" s="1693">
        <v>104</v>
      </c>
      <c r="L146" s="1693">
        <v>117</v>
      </c>
      <c r="M146" s="1693">
        <v>122</v>
      </c>
      <c r="N146" s="1693">
        <v>126</v>
      </c>
      <c r="O146" s="1693">
        <v>131</v>
      </c>
      <c r="P146" s="1693">
        <v>135</v>
      </c>
      <c r="Q146" s="1693">
        <v>143</v>
      </c>
    </row>
    <row r="147" spans="2:17" x14ac:dyDescent="0.25">
      <c r="B147" s="5911"/>
      <c r="C147" s="1692" t="s">
        <v>513</v>
      </c>
      <c r="D147" s="1693">
        <v>11</v>
      </c>
      <c r="E147" s="1693">
        <v>13</v>
      </c>
      <c r="F147" s="1693">
        <v>13</v>
      </c>
      <c r="G147" s="1693">
        <v>14</v>
      </c>
      <c r="H147" s="1693">
        <v>14</v>
      </c>
      <c r="I147" s="1693">
        <v>19</v>
      </c>
      <c r="J147" s="1693">
        <v>19</v>
      </c>
      <c r="K147" s="1693">
        <v>20</v>
      </c>
      <c r="L147" s="1693">
        <v>24</v>
      </c>
      <c r="M147" s="1693">
        <v>24</v>
      </c>
      <c r="N147" s="1693">
        <v>24</v>
      </c>
      <c r="O147" s="1693">
        <v>24</v>
      </c>
      <c r="P147" s="1693">
        <v>24</v>
      </c>
      <c r="Q147" s="1693">
        <v>32</v>
      </c>
    </row>
    <row r="148" spans="2:17" x14ac:dyDescent="0.25">
      <c r="B148" s="5911"/>
      <c r="C148" s="4472" t="s">
        <v>1392</v>
      </c>
      <c r="D148" s="1693">
        <v>60</v>
      </c>
      <c r="E148" s="1693">
        <v>69</v>
      </c>
      <c r="F148" s="1693">
        <v>89</v>
      </c>
      <c r="G148" s="1693">
        <v>98</v>
      </c>
      <c r="H148" s="1693">
        <v>110</v>
      </c>
      <c r="I148" s="1693">
        <v>123</v>
      </c>
      <c r="J148" s="1693">
        <v>136</v>
      </c>
      <c r="K148" s="1693">
        <v>148</v>
      </c>
      <c r="L148" s="1693">
        <v>157</v>
      </c>
      <c r="M148" s="1693">
        <v>175</v>
      </c>
      <c r="N148" s="1693">
        <v>187</v>
      </c>
      <c r="O148" s="1693">
        <v>192</v>
      </c>
      <c r="P148" s="1693">
        <v>203</v>
      </c>
      <c r="Q148" s="1693">
        <v>213</v>
      </c>
    </row>
    <row r="149" spans="2:17" x14ac:dyDescent="0.25">
      <c r="B149" s="5911"/>
      <c r="C149" s="1692" t="s">
        <v>414</v>
      </c>
      <c r="D149" s="1693"/>
      <c r="E149" s="1693"/>
      <c r="F149" s="1693"/>
      <c r="G149" s="1693"/>
      <c r="H149" s="1693"/>
      <c r="I149" s="1693"/>
      <c r="J149" s="1693"/>
      <c r="K149" s="1693"/>
      <c r="L149" s="1693"/>
      <c r="M149" s="1693"/>
      <c r="N149" s="1693"/>
      <c r="O149" s="1693">
        <v>4</v>
      </c>
      <c r="P149" s="1693">
        <v>8</v>
      </c>
      <c r="Q149" s="1693">
        <v>16</v>
      </c>
    </row>
    <row r="150" spans="2:17" x14ac:dyDescent="0.25">
      <c r="B150" s="5911"/>
      <c r="C150" s="1692" t="s">
        <v>407</v>
      </c>
      <c r="D150" s="1724"/>
      <c r="E150" s="1724"/>
      <c r="F150" s="1724">
        <v>4</v>
      </c>
      <c r="G150" s="1724">
        <v>4</v>
      </c>
      <c r="H150" s="1724">
        <v>10</v>
      </c>
      <c r="I150" s="1724">
        <v>10</v>
      </c>
      <c r="J150" s="1724">
        <v>15</v>
      </c>
      <c r="K150" s="1724">
        <v>17</v>
      </c>
      <c r="L150" s="1724">
        <v>23</v>
      </c>
      <c r="M150" s="1724">
        <v>24</v>
      </c>
      <c r="N150" s="1724">
        <v>29</v>
      </c>
      <c r="O150" s="1724">
        <v>43</v>
      </c>
      <c r="P150" s="1724">
        <v>44</v>
      </c>
      <c r="Q150" s="1724">
        <v>45</v>
      </c>
    </row>
    <row r="151" spans="2:17" x14ac:dyDescent="0.25">
      <c r="B151" s="5911"/>
      <c r="C151" s="4472" t="s">
        <v>413</v>
      </c>
      <c r="D151" s="1693">
        <v>56</v>
      </c>
      <c r="E151" s="1693">
        <v>69</v>
      </c>
      <c r="F151" s="1693">
        <v>84</v>
      </c>
      <c r="G151" s="1693">
        <v>90</v>
      </c>
      <c r="H151" s="1693">
        <v>104</v>
      </c>
      <c r="I151" s="1693">
        <v>126</v>
      </c>
      <c r="J151" s="1693">
        <v>147</v>
      </c>
      <c r="K151" s="1693">
        <v>165</v>
      </c>
      <c r="L151" s="1693">
        <v>182</v>
      </c>
      <c r="M151" s="1693">
        <v>195</v>
      </c>
      <c r="N151" s="1693">
        <v>210</v>
      </c>
      <c r="O151" s="1693">
        <v>226</v>
      </c>
      <c r="P151" s="1693">
        <v>233</v>
      </c>
      <c r="Q151" s="1693">
        <v>255</v>
      </c>
    </row>
    <row r="152" spans="2:17" x14ac:dyDescent="0.25">
      <c r="B152" s="5912"/>
      <c r="C152" s="1692" t="s">
        <v>514</v>
      </c>
      <c r="D152" s="1693"/>
      <c r="E152" s="1693"/>
      <c r="F152" s="1693"/>
      <c r="G152" s="1693"/>
      <c r="H152" s="1693"/>
      <c r="I152" s="1693"/>
      <c r="J152" s="1693"/>
      <c r="K152" s="1693">
        <v>3</v>
      </c>
      <c r="L152" s="1693">
        <v>9</v>
      </c>
      <c r="M152" s="1693">
        <v>16</v>
      </c>
      <c r="N152" s="1724">
        <v>23</v>
      </c>
      <c r="O152" s="1724">
        <v>28</v>
      </c>
      <c r="P152" s="1724">
        <v>29</v>
      </c>
      <c r="Q152" s="1724">
        <v>33</v>
      </c>
    </row>
    <row r="153" spans="2:17" x14ac:dyDescent="0.25">
      <c r="B153" s="5913" t="s">
        <v>317</v>
      </c>
      <c r="C153" s="1696" t="s">
        <v>508</v>
      </c>
      <c r="D153" s="4473">
        <v>75</v>
      </c>
      <c r="E153" s="4473">
        <v>86</v>
      </c>
      <c r="F153" s="4473">
        <v>86</v>
      </c>
      <c r="G153" s="4473">
        <v>86</v>
      </c>
      <c r="H153" s="4473">
        <v>86</v>
      </c>
      <c r="I153" s="4473">
        <v>86</v>
      </c>
      <c r="J153" s="4473">
        <v>86</v>
      </c>
      <c r="K153" s="4473">
        <v>86</v>
      </c>
      <c r="L153" s="4473">
        <v>86</v>
      </c>
      <c r="M153" s="4473">
        <v>86</v>
      </c>
      <c r="N153" s="4474">
        <v>86</v>
      </c>
      <c r="O153" s="4474">
        <v>86</v>
      </c>
      <c r="P153" s="4474">
        <v>86</v>
      </c>
      <c r="Q153" s="4474">
        <v>86</v>
      </c>
    </row>
    <row r="154" spans="2:17" x14ac:dyDescent="0.25">
      <c r="B154" s="5909"/>
      <c r="C154" s="1698" t="s">
        <v>354</v>
      </c>
      <c r="D154" s="1697"/>
      <c r="E154" s="1697"/>
      <c r="F154" s="1697">
        <v>16</v>
      </c>
      <c r="G154" s="1697">
        <v>30</v>
      </c>
      <c r="H154" s="1697">
        <v>37</v>
      </c>
      <c r="I154" s="1697">
        <v>44</v>
      </c>
      <c r="J154" s="1697">
        <v>57</v>
      </c>
      <c r="K154" s="1697">
        <v>68</v>
      </c>
      <c r="L154" s="1697">
        <v>77</v>
      </c>
      <c r="M154" s="1697">
        <v>86</v>
      </c>
      <c r="N154" s="1714">
        <v>95</v>
      </c>
      <c r="O154" s="1714">
        <v>107</v>
      </c>
      <c r="P154" s="1714">
        <v>130</v>
      </c>
      <c r="Q154" s="1714">
        <v>134</v>
      </c>
    </row>
    <row r="155" spans="2:17" x14ac:dyDescent="0.25">
      <c r="B155" s="5909"/>
      <c r="C155" s="4928" t="s">
        <v>417</v>
      </c>
      <c r="D155" s="1697"/>
      <c r="E155" s="1697"/>
      <c r="F155" s="1697"/>
      <c r="G155" s="1697"/>
      <c r="H155" s="1697"/>
      <c r="I155" s="1697"/>
      <c r="J155" s="1697"/>
      <c r="K155" s="1697">
        <v>1</v>
      </c>
      <c r="L155" s="1697">
        <v>5</v>
      </c>
      <c r="M155" s="1697">
        <v>9</v>
      </c>
      <c r="N155" s="1725">
        <v>15</v>
      </c>
      <c r="O155" s="1725">
        <v>16</v>
      </c>
      <c r="P155" s="1725">
        <v>21</v>
      </c>
      <c r="Q155" s="1725">
        <v>25</v>
      </c>
    </row>
    <row r="156" spans="2:17" x14ac:dyDescent="0.25">
      <c r="B156" s="5914"/>
      <c r="C156" s="1698" t="s">
        <v>416</v>
      </c>
      <c r="D156" s="1697">
        <v>10</v>
      </c>
      <c r="E156" s="1697">
        <v>14</v>
      </c>
      <c r="F156" s="1697">
        <v>20</v>
      </c>
      <c r="G156" s="1697">
        <v>23</v>
      </c>
      <c r="H156" s="1697">
        <v>31</v>
      </c>
      <c r="I156" s="1697">
        <v>37</v>
      </c>
      <c r="J156" s="1697">
        <v>40</v>
      </c>
      <c r="K156" s="1697">
        <v>48</v>
      </c>
      <c r="L156" s="1697">
        <v>53</v>
      </c>
      <c r="M156" s="1697">
        <v>69</v>
      </c>
      <c r="N156" s="1714">
        <v>73</v>
      </c>
      <c r="O156" s="1714">
        <v>75</v>
      </c>
      <c r="P156" s="1714">
        <v>78</v>
      </c>
      <c r="Q156" s="1714">
        <v>86</v>
      </c>
    </row>
    <row r="157" spans="2:17" x14ac:dyDescent="0.25">
      <c r="B157" s="1701"/>
      <c r="C157" s="1702" t="s">
        <v>92</v>
      </c>
      <c r="D157" s="1703">
        <f t="shared" ref="D157:Q157" si="10">SUM(D140:D156)</f>
        <v>759</v>
      </c>
      <c r="E157" s="1703">
        <f t="shared" si="10"/>
        <v>836</v>
      </c>
      <c r="F157" s="1703">
        <f t="shared" si="10"/>
        <v>927</v>
      </c>
      <c r="G157" s="1703">
        <f t="shared" si="10"/>
        <v>984</v>
      </c>
      <c r="H157" s="1703">
        <f t="shared" si="10"/>
        <v>1062</v>
      </c>
      <c r="I157" s="1703">
        <f t="shared" si="10"/>
        <v>1135</v>
      </c>
      <c r="J157" s="1703">
        <f t="shared" si="10"/>
        <v>1221</v>
      </c>
      <c r="K157" s="1703">
        <f t="shared" si="10"/>
        <v>1299</v>
      </c>
      <c r="L157" s="1703">
        <f t="shared" si="10"/>
        <v>1399</v>
      </c>
      <c r="M157" s="1703">
        <f t="shared" si="10"/>
        <v>1497</v>
      </c>
      <c r="N157" s="1703">
        <f t="shared" si="10"/>
        <v>1575</v>
      </c>
      <c r="O157" s="1703">
        <f t="shared" si="10"/>
        <v>1645</v>
      </c>
      <c r="P157" s="1703">
        <f t="shared" si="10"/>
        <v>1712</v>
      </c>
      <c r="Q157" s="1703">
        <f t="shared" si="10"/>
        <v>1804</v>
      </c>
    </row>
    <row r="158" spans="2:17" x14ac:dyDescent="0.25">
      <c r="B158" s="5911" t="s">
        <v>310</v>
      </c>
      <c r="C158" s="1726" t="s">
        <v>418</v>
      </c>
      <c r="D158" s="1727">
        <v>132</v>
      </c>
      <c r="E158" s="1727">
        <v>147</v>
      </c>
      <c r="F158" s="1727">
        <v>168</v>
      </c>
      <c r="G158" s="1727">
        <v>180</v>
      </c>
      <c r="H158" s="1727">
        <v>195</v>
      </c>
      <c r="I158" s="1727">
        <v>214</v>
      </c>
      <c r="J158" s="1727">
        <v>233</v>
      </c>
      <c r="K158" s="1727">
        <v>257</v>
      </c>
      <c r="L158" s="1727">
        <v>271</v>
      </c>
      <c r="M158" s="1727">
        <v>298</v>
      </c>
      <c r="N158" s="1727">
        <v>318</v>
      </c>
      <c r="O158" s="1727">
        <v>343</v>
      </c>
      <c r="P158" s="1727">
        <v>361</v>
      </c>
      <c r="Q158" s="1727">
        <v>376</v>
      </c>
    </row>
    <row r="159" spans="2:17" x14ac:dyDescent="0.25">
      <c r="B159" s="5911"/>
      <c r="C159" s="1692" t="s">
        <v>419</v>
      </c>
      <c r="D159" s="1693"/>
      <c r="E159" s="1693"/>
      <c r="F159" s="1693">
        <v>13</v>
      </c>
      <c r="G159" s="1693">
        <v>13</v>
      </c>
      <c r="H159" s="1693">
        <v>22</v>
      </c>
      <c r="I159" s="1693">
        <v>23</v>
      </c>
      <c r="J159" s="1693">
        <v>38</v>
      </c>
      <c r="K159" s="1693">
        <v>38</v>
      </c>
      <c r="L159" s="1693">
        <v>53</v>
      </c>
      <c r="M159" s="1693">
        <v>55</v>
      </c>
      <c r="N159" s="1693">
        <v>62</v>
      </c>
      <c r="O159" s="1693">
        <v>63</v>
      </c>
      <c r="P159" s="1693">
        <v>70</v>
      </c>
      <c r="Q159" s="1693">
        <v>71</v>
      </c>
    </row>
    <row r="160" spans="2:17" x14ac:dyDescent="0.25">
      <c r="B160" s="5912"/>
      <c r="C160" s="1692" t="s">
        <v>420</v>
      </c>
      <c r="D160" s="1693"/>
      <c r="E160" s="1693"/>
      <c r="F160" s="1693"/>
      <c r="G160" s="1693">
        <v>2</v>
      </c>
      <c r="H160" s="1693">
        <v>29</v>
      </c>
      <c r="I160" s="1693">
        <v>32</v>
      </c>
      <c r="J160" s="1693">
        <v>49</v>
      </c>
      <c r="K160" s="1693">
        <v>52</v>
      </c>
      <c r="L160" s="1693">
        <v>61</v>
      </c>
      <c r="M160" s="1693">
        <v>61</v>
      </c>
      <c r="N160" s="1693">
        <v>67</v>
      </c>
      <c r="O160" s="1693">
        <v>67</v>
      </c>
      <c r="P160" s="1693">
        <v>75</v>
      </c>
      <c r="Q160" s="1693">
        <v>76</v>
      </c>
    </row>
    <row r="161" spans="2:17" x14ac:dyDescent="0.25">
      <c r="B161" s="1728" t="s">
        <v>317</v>
      </c>
      <c r="C161" s="1698" t="s">
        <v>421</v>
      </c>
      <c r="D161" s="1697">
        <v>4</v>
      </c>
      <c r="E161" s="1697">
        <v>7</v>
      </c>
      <c r="F161" s="1697">
        <v>11</v>
      </c>
      <c r="G161" s="1697">
        <v>16</v>
      </c>
      <c r="H161" s="1697">
        <v>18</v>
      </c>
      <c r="I161" s="1697">
        <v>24</v>
      </c>
      <c r="J161" s="1697">
        <v>30</v>
      </c>
      <c r="K161" s="1697">
        <v>35</v>
      </c>
      <c r="L161" s="1697">
        <v>42</v>
      </c>
      <c r="M161" s="1697">
        <v>46</v>
      </c>
      <c r="N161" s="1697">
        <v>49</v>
      </c>
      <c r="O161" s="1697">
        <v>54</v>
      </c>
      <c r="P161" s="1697">
        <v>56</v>
      </c>
      <c r="Q161" s="1697">
        <v>58</v>
      </c>
    </row>
    <row r="162" spans="2:17" x14ac:dyDescent="0.25">
      <c r="B162" s="1701"/>
      <c r="C162" s="1702" t="s">
        <v>68</v>
      </c>
      <c r="D162" s="1703">
        <f t="shared" ref="D162:Q162" si="11">SUM(D158:D161)</f>
        <v>136</v>
      </c>
      <c r="E162" s="1703">
        <f t="shared" si="11"/>
        <v>154</v>
      </c>
      <c r="F162" s="1703">
        <f t="shared" si="11"/>
        <v>192</v>
      </c>
      <c r="G162" s="1703">
        <f t="shared" si="11"/>
        <v>211</v>
      </c>
      <c r="H162" s="1703">
        <f t="shared" si="11"/>
        <v>264</v>
      </c>
      <c r="I162" s="1703">
        <f t="shared" si="11"/>
        <v>293</v>
      </c>
      <c r="J162" s="1703">
        <f t="shared" si="11"/>
        <v>350</v>
      </c>
      <c r="K162" s="1703">
        <f t="shared" si="11"/>
        <v>382</v>
      </c>
      <c r="L162" s="1703">
        <f t="shared" si="11"/>
        <v>427</v>
      </c>
      <c r="M162" s="1703">
        <f t="shared" si="11"/>
        <v>460</v>
      </c>
      <c r="N162" s="1703">
        <f t="shared" si="11"/>
        <v>496</v>
      </c>
      <c r="O162" s="1703">
        <f t="shared" si="11"/>
        <v>527</v>
      </c>
      <c r="P162" s="1703">
        <f t="shared" si="11"/>
        <v>562</v>
      </c>
      <c r="Q162" s="1703">
        <f t="shared" si="11"/>
        <v>581</v>
      </c>
    </row>
    <row r="163" spans="2:17" ht="15" customHeight="1" x14ac:dyDescent="0.25">
      <c r="B163" s="1729"/>
      <c r="C163" s="1492" t="s">
        <v>422</v>
      </c>
      <c r="D163" s="1730">
        <f t="shared" ref="D163:Q163" si="12">SUM(D162,D157,D139)</f>
        <v>2041</v>
      </c>
      <c r="E163" s="1730">
        <f t="shared" si="12"/>
        <v>2335</v>
      </c>
      <c r="F163" s="1730">
        <f t="shared" si="12"/>
        <v>2616</v>
      </c>
      <c r="G163" s="1730">
        <f t="shared" si="12"/>
        <v>2783</v>
      </c>
      <c r="H163" s="1730">
        <f t="shared" si="12"/>
        <v>3053</v>
      </c>
      <c r="I163" s="1730">
        <f t="shared" si="12"/>
        <v>3273</v>
      </c>
      <c r="J163" s="1730">
        <f t="shared" si="12"/>
        <v>3523</v>
      </c>
      <c r="K163" s="1730">
        <f t="shared" si="12"/>
        <v>3732</v>
      </c>
      <c r="L163" s="1730">
        <f t="shared" si="12"/>
        <v>4027</v>
      </c>
      <c r="M163" s="1730">
        <f t="shared" si="12"/>
        <v>4350</v>
      </c>
      <c r="N163" s="1730">
        <f t="shared" si="12"/>
        <v>4546</v>
      </c>
      <c r="O163" s="1730">
        <f t="shared" si="12"/>
        <v>4741</v>
      </c>
      <c r="P163" s="1730">
        <f t="shared" si="12"/>
        <v>4944</v>
      </c>
      <c r="Q163" s="1730">
        <f t="shared" si="12"/>
        <v>5170</v>
      </c>
    </row>
    <row r="164" spans="2:17" ht="15" customHeight="1" x14ac:dyDescent="0.25">
      <c r="B164" s="1731" t="s">
        <v>310</v>
      </c>
      <c r="C164" s="1692" t="s">
        <v>515</v>
      </c>
      <c r="D164" s="1693"/>
      <c r="E164" s="1693"/>
      <c r="F164" s="1693"/>
      <c r="G164" s="1693"/>
      <c r="H164" s="1693">
        <v>10</v>
      </c>
      <c r="I164" s="1693">
        <v>16</v>
      </c>
      <c r="J164" s="1693">
        <v>25</v>
      </c>
      <c r="K164" s="1693">
        <v>32</v>
      </c>
      <c r="L164" s="1693">
        <v>45</v>
      </c>
      <c r="M164" s="1693">
        <v>54</v>
      </c>
      <c r="N164" s="1693">
        <v>67</v>
      </c>
      <c r="O164" s="1693">
        <v>73</v>
      </c>
      <c r="P164" s="1693">
        <v>80</v>
      </c>
      <c r="Q164" s="1693">
        <v>86</v>
      </c>
    </row>
    <row r="165" spans="2:17" ht="15" customHeight="1" x14ac:dyDescent="0.25">
      <c r="B165" s="1732" t="s">
        <v>317</v>
      </c>
      <c r="C165" s="1698" t="s">
        <v>515</v>
      </c>
      <c r="D165" s="1697"/>
      <c r="E165" s="1697"/>
      <c r="F165" s="1697"/>
      <c r="G165" s="1697"/>
      <c r="H165" s="1697"/>
      <c r="I165" s="1697">
        <v>2</v>
      </c>
      <c r="J165" s="1697">
        <v>3</v>
      </c>
      <c r="K165" s="1697">
        <v>8</v>
      </c>
      <c r="L165" s="1697">
        <v>17</v>
      </c>
      <c r="M165" s="1697">
        <v>24</v>
      </c>
      <c r="N165" s="1697">
        <v>29</v>
      </c>
      <c r="O165" s="1697">
        <v>32</v>
      </c>
      <c r="P165" s="1697">
        <v>39</v>
      </c>
      <c r="Q165" s="1697">
        <v>48</v>
      </c>
    </row>
    <row r="166" spans="2:17" ht="15" customHeight="1" x14ac:dyDescent="0.25">
      <c r="B166" s="1701"/>
      <c r="C166" s="1702" t="s">
        <v>64</v>
      </c>
      <c r="D166" s="1703"/>
      <c r="E166" s="1733"/>
      <c r="F166" s="1703"/>
      <c r="G166" s="1733"/>
      <c r="H166" s="1703">
        <f>SUM(H164)</f>
        <v>10</v>
      </c>
      <c r="I166" s="1703">
        <f t="shared" ref="I166:Q166" si="13">SUM(I164:I165)</f>
        <v>18</v>
      </c>
      <c r="J166" s="1703">
        <f t="shared" si="13"/>
        <v>28</v>
      </c>
      <c r="K166" s="1703">
        <f t="shared" si="13"/>
        <v>40</v>
      </c>
      <c r="L166" s="1703">
        <f t="shared" si="13"/>
        <v>62</v>
      </c>
      <c r="M166" s="1703">
        <f t="shared" si="13"/>
        <v>78</v>
      </c>
      <c r="N166" s="1703">
        <f t="shared" si="13"/>
        <v>96</v>
      </c>
      <c r="O166" s="1703">
        <f t="shared" si="13"/>
        <v>105</v>
      </c>
      <c r="P166" s="1703">
        <f t="shared" si="13"/>
        <v>119</v>
      </c>
      <c r="Q166" s="1703">
        <f t="shared" si="13"/>
        <v>134</v>
      </c>
    </row>
    <row r="167" spans="2:17" ht="15" customHeight="1" x14ac:dyDescent="0.25">
      <c r="B167" s="1734" t="s">
        <v>310</v>
      </c>
      <c r="C167" s="1735" t="s">
        <v>350</v>
      </c>
      <c r="D167" s="1736"/>
      <c r="E167" s="1737"/>
      <c r="F167" s="1736"/>
      <c r="G167" s="1737"/>
      <c r="H167" s="1705"/>
      <c r="I167" s="1705">
        <v>8</v>
      </c>
      <c r="J167" s="1705">
        <v>21</v>
      </c>
      <c r="K167" s="1705">
        <v>39</v>
      </c>
      <c r="L167" s="1705">
        <v>49</v>
      </c>
      <c r="M167" s="1705">
        <v>59</v>
      </c>
      <c r="N167" s="1705">
        <v>81</v>
      </c>
      <c r="O167" s="1705">
        <v>102</v>
      </c>
      <c r="P167" s="1705">
        <v>121</v>
      </c>
      <c r="Q167" s="1705">
        <v>138</v>
      </c>
    </row>
    <row r="168" spans="2:17" ht="15" customHeight="1" x14ac:dyDescent="0.25">
      <c r="B168" s="1701"/>
      <c r="C168" s="1702" t="s">
        <v>111</v>
      </c>
      <c r="D168" s="1738"/>
      <c r="E168" s="1739"/>
      <c r="F168" s="1738"/>
      <c r="G168" s="1739"/>
      <c r="H168" s="1738"/>
      <c r="I168" s="1738">
        <f t="shared" ref="I168:Q168" si="14">SUM(I167)</f>
        <v>8</v>
      </c>
      <c r="J168" s="1738">
        <f t="shared" si="14"/>
        <v>21</v>
      </c>
      <c r="K168" s="1738">
        <f t="shared" si="14"/>
        <v>39</v>
      </c>
      <c r="L168" s="1738">
        <f t="shared" si="14"/>
        <v>49</v>
      </c>
      <c r="M168" s="1738">
        <f t="shared" si="14"/>
        <v>59</v>
      </c>
      <c r="N168" s="1738">
        <f t="shared" si="14"/>
        <v>81</v>
      </c>
      <c r="O168" s="1738">
        <f t="shared" si="14"/>
        <v>102</v>
      </c>
      <c r="P168" s="1738">
        <f t="shared" si="14"/>
        <v>121</v>
      </c>
      <c r="Q168" s="1738">
        <f t="shared" si="14"/>
        <v>138</v>
      </c>
    </row>
    <row r="169" spans="2:17" ht="15" customHeight="1" x14ac:dyDescent="0.25">
      <c r="B169" s="1731" t="s">
        <v>308</v>
      </c>
      <c r="C169" s="1704" t="s">
        <v>491</v>
      </c>
      <c r="D169" s="1705"/>
      <c r="E169" s="1705"/>
      <c r="F169" s="1705"/>
      <c r="G169" s="1705"/>
      <c r="H169" s="1705">
        <v>2</v>
      </c>
      <c r="I169" s="1705">
        <v>4</v>
      </c>
      <c r="J169" s="1705">
        <v>6</v>
      </c>
      <c r="K169" s="1705">
        <v>8</v>
      </c>
      <c r="L169" s="1705">
        <v>9</v>
      </c>
      <c r="M169" s="1705">
        <v>11</v>
      </c>
      <c r="N169" s="1705">
        <v>11</v>
      </c>
      <c r="O169" s="1705">
        <v>11</v>
      </c>
      <c r="P169" s="1705">
        <v>11</v>
      </c>
      <c r="Q169" s="1705">
        <v>11</v>
      </c>
    </row>
    <row r="170" spans="2:17" ht="15" customHeight="1" x14ac:dyDescent="0.25">
      <c r="B170" s="1740" t="s">
        <v>310</v>
      </c>
      <c r="C170" s="1692" t="s">
        <v>491</v>
      </c>
      <c r="D170" s="1693"/>
      <c r="E170" s="1693"/>
      <c r="F170" s="1693"/>
      <c r="G170" s="1693"/>
      <c r="H170" s="1693"/>
      <c r="I170" s="1693">
        <v>1</v>
      </c>
      <c r="J170" s="1693">
        <v>8</v>
      </c>
      <c r="K170" s="1693">
        <v>17</v>
      </c>
      <c r="L170" s="1693">
        <v>24</v>
      </c>
      <c r="M170" s="1693">
        <v>30</v>
      </c>
      <c r="N170" s="1693">
        <v>41</v>
      </c>
      <c r="O170" s="1693">
        <v>43</v>
      </c>
      <c r="P170" s="1693">
        <v>50</v>
      </c>
      <c r="Q170" s="1693">
        <v>57</v>
      </c>
    </row>
    <row r="171" spans="2:17" ht="15" customHeight="1" x14ac:dyDescent="0.25">
      <c r="B171" s="5918" t="s">
        <v>317</v>
      </c>
      <c r="C171" s="1698" t="s">
        <v>491</v>
      </c>
      <c r="D171" s="1697"/>
      <c r="E171" s="1697"/>
      <c r="F171" s="1697"/>
      <c r="G171" s="1697"/>
      <c r="H171" s="1697"/>
      <c r="I171" s="1697"/>
      <c r="J171" s="1697">
        <v>1</v>
      </c>
      <c r="K171" s="1697">
        <v>1</v>
      </c>
      <c r="L171" s="1697">
        <v>3</v>
      </c>
      <c r="M171" s="1697">
        <v>7</v>
      </c>
      <c r="N171" s="1697">
        <v>13</v>
      </c>
      <c r="O171" s="1697">
        <v>15</v>
      </c>
      <c r="P171" s="1697">
        <v>17</v>
      </c>
      <c r="Q171" s="1697">
        <v>20</v>
      </c>
    </row>
    <row r="172" spans="2:17" ht="15" customHeight="1" x14ac:dyDescent="0.25">
      <c r="B172" s="5919"/>
      <c r="C172" s="4928" t="s">
        <v>354</v>
      </c>
      <c r="D172" s="1697"/>
      <c r="E172" s="1697"/>
      <c r="F172" s="1697"/>
      <c r="G172" s="1697"/>
      <c r="H172" s="1697"/>
      <c r="I172" s="1697"/>
      <c r="J172" s="1697">
        <v>1</v>
      </c>
      <c r="K172" s="1697">
        <v>1</v>
      </c>
      <c r="L172" s="1697">
        <v>1</v>
      </c>
      <c r="M172" s="1697">
        <v>1</v>
      </c>
      <c r="N172" s="1697">
        <v>1</v>
      </c>
      <c r="O172" s="1697">
        <v>3</v>
      </c>
      <c r="P172" s="1697">
        <v>3</v>
      </c>
      <c r="Q172" s="1697">
        <v>5</v>
      </c>
    </row>
    <row r="173" spans="2:17" ht="15" customHeight="1" x14ac:dyDescent="0.25">
      <c r="B173" s="1701"/>
      <c r="C173" s="1702" t="s">
        <v>115</v>
      </c>
      <c r="D173" s="1703"/>
      <c r="E173" s="1733"/>
      <c r="F173" s="1703"/>
      <c r="G173" s="1733"/>
      <c r="H173" s="1703">
        <f>SUM(H169)</f>
        <v>2</v>
      </c>
      <c r="I173" s="1703">
        <f>SUM(I169:I170)</f>
        <v>5</v>
      </c>
      <c r="J173" s="1703">
        <f t="shared" ref="J173:Q173" si="15">SUM(J169:J172)</f>
        <v>16</v>
      </c>
      <c r="K173" s="1703">
        <f t="shared" si="15"/>
        <v>27</v>
      </c>
      <c r="L173" s="1703">
        <f t="shared" si="15"/>
        <v>37</v>
      </c>
      <c r="M173" s="1703">
        <f t="shared" si="15"/>
        <v>49</v>
      </c>
      <c r="N173" s="1703">
        <f t="shared" si="15"/>
        <v>66</v>
      </c>
      <c r="O173" s="1703">
        <f t="shared" si="15"/>
        <v>72</v>
      </c>
      <c r="P173" s="1703">
        <f t="shared" si="15"/>
        <v>81</v>
      </c>
      <c r="Q173" s="1703">
        <f t="shared" si="15"/>
        <v>93</v>
      </c>
    </row>
    <row r="174" spans="2:17" ht="15" customHeight="1" x14ac:dyDescent="0.25">
      <c r="B174" s="1741"/>
      <c r="C174" s="1742" t="s">
        <v>355</v>
      </c>
      <c r="D174" s="1743"/>
      <c r="E174" s="1744"/>
      <c r="F174" s="1743"/>
      <c r="G174" s="1744"/>
      <c r="H174" s="1743">
        <f>SUM(H173,H166)</f>
        <v>12</v>
      </c>
      <c r="I174" s="1743">
        <f t="shared" ref="I174:N174" si="16">SUM(I173,I168,I166)</f>
        <v>31</v>
      </c>
      <c r="J174" s="1743">
        <f t="shared" si="16"/>
        <v>65</v>
      </c>
      <c r="K174" s="1743">
        <f t="shared" si="16"/>
        <v>106</v>
      </c>
      <c r="L174" s="1743">
        <f t="shared" si="16"/>
        <v>148</v>
      </c>
      <c r="M174" s="1743">
        <f t="shared" si="16"/>
        <v>186</v>
      </c>
      <c r="N174" s="1743">
        <f t="shared" si="16"/>
        <v>243</v>
      </c>
      <c r="O174" s="1743">
        <f>SUM(O173,O168,O166)</f>
        <v>279</v>
      </c>
      <c r="P174" s="1743">
        <f>SUM(P173,P168,P166)</f>
        <v>321</v>
      </c>
      <c r="Q174" s="1743">
        <f>SUM(Q173,Q168,Q166)</f>
        <v>365</v>
      </c>
    </row>
    <row r="175" spans="2:17" ht="15" customHeight="1" x14ac:dyDescent="0.25">
      <c r="B175" s="4929" t="s">
        <v>317</v>
      </c>
      <c r="C175" s="4928" t="s">
        <v>354</v>
      </c>
      <c r="D175" s="1697"/>
      <c r="E175" s="1697"/>
      <c r="F175" s="1697"/>
      <c r="G175" s="1697"/>
      <c r="H175" s="1697"/>
      <c r="I175" s="1697"/>
      <c r="J175" s="1697"/>
      <c r="K175" s="1697"/>
      <c r="L175" s="1697"/>
      <c r="M175" s="1697"/>
      <c r="N175" s="1697"/>
      <c r="O175" s="1697"/>
      <c r="P175" s="1697">
        <v>1</v>
      </c>
      <c r="Q175" s="1697">
        <v>1</v>
      </c>
    </row>
    <row r="176" spans="2:17" ht="15" customHeight="1" x14ac:dyDescent="0.25">
      <c r="B176" s="1701"/>
      <c r="C176" s="1702" t="s">
        <v>64</v>
      </c>
      <c r="D176" s="1703"/>
      <c r="E176" s="1733"/>
      <c r="F176" s="1703"/>
      <c r="G176" s="1733"/>
      <c r="H176" s="1703"/>
      <c r="I176" s="1703"/>
      <c r="J176" s="1703"/>
      <c r="K176" s="1703"/>
      <c r="L176" s="1703"/>
      <c r="M176" s="1703"/>
      <c r="N176" s="1703"/>
      <c r="O176" s="1703"/>
      <c r="P176" s="1703">
        <f>SUM(P175)</f>
        <v>1</v>
      </c>
      <c r="Q176" s="1703">
        <f>SUM(Q175)</f>
        <v>1</v>
      </c>
    </row>
    <row r="177" spans="2:17" ht="15" customHeight="1" x14ac:dyDescent="0.25">
      <c r="B177" s="1741"/>
      <c r="C177" s="4930" t="s">
        <v>389</v>
      </c>
      <c r="D177" s="1743"/>
      <c r="E177" s="1744"/>
      <c r="F177" s="1743"/>
      <c r="G177" s="1744"/>
      <c r="H177" s="1743"/>
      <c r="I177" s="1743"/>
      <c r="J177" s="1743"/>
      <c r="K177" s="1743"/>
      <c r="L177" s="1743"/>
      <c r="M177" s="1743"/>
      <c r="N177" s="1743"/>
      <c r="O177" s="1743"/>
      <c r="P177" s="4931">
        <f>SUM(P176)</f>
        <v>1</v>
      </c>
      <c r="Q177" s="4931">
        <f>SUM(Q176)</f>
        <v>1</v>
      </c>
    </row>
    <row r="178" spans="2:17" ht="15" customHeight="1" x14ac:dyDescent="0.25">
      <c r="B178" s="328"/>
      <c r="C178" s="328"/>
      <c r="D178" s="342"/>
      <c r="E178" s="342"/>
      <c r="F178" s="342"/>
      <c r="G178" s="342"/>
      <c r="H178" s="342"/>
      <c r="I178" s="342"/>
      <c r="J178" s="342"/>
      <c r="K178" s="342"/>
      <c r="L178" s="342"/>
      <c r="M178" s="342"/>
      <c r="N178" s="342"/>
      <c r="O178" s="342"/>
      <c r="P178" s="342"/>
      <c r="Q178" s="342"/>
    </row>
    <row r="179" spans="2:17" x14ac:dyDescent="0.25">
      <c r="B179" s="5906" t="s">
        <v>128</v>
      </c>
      <c r="C179" s="5907"/>
      <c r="D179" s="1745">
        <f>SUM(D59,D116,D163)</f>
        <v>6749</v>
      </c>
      <c r="E179" s="1745">
        <f>SUM(E59,E116,E163)</f>
        <v>7493</v>
      </c>
      <c r="F179" s="1745">
        <f>SUM(F59,F116,F163)</f>
        <v>8408</v>
      </c>
      <c r="G179" s="1745">
        <f>SUM(G59,G116,G163)</f>
        <v>9069</v>
      </c>
      <c r="H179" s="1745">
        <f t="shared" ref="H179:O179" si="17">SUM(H59,H116,H163,H174)</f>
        <v>9862</v>
      </c>
      <c r="I179" s="1745">
        <f t="shared" si="17"/>
        <v>10673</v>
      </c>
      <c r="J179" s="1745">
        <f t="shared" si="17"/>
        <v>11332</v>
      </c>
      <c r="K179" s="1745">
        <f t="shared" si="17"/>
        <v>12218</v>
      </c>
      <c r="L179" s="1745">
        <f t="shared" si="17"/>
        <v>13054</v>
      </c>
      <c r="M179" s="1745">
        <f t="shared" si="17"/>
        <v>13960</v>
      </c>
      <c r="N179" s="1745">
        <f t="shared" si="17"/>
        <v>14735</v>
      </c>
      <c r="O179" s="1745">
        <f t="shared" si="17"/>
        <v>15357</v>
      </c>
      <c r="P179" s="1745">
        <f>SUM(P59,P116,P163,P174,P177)</f>
        <v>16061</v>
      </c>
      <c r="Q179" s="1745">
        <f>SUM(Q59,Q116,Q163,Q174,Q177)</f>
        <v>16800</v>
      </c>
    </row>
    <row r="180" spans="2:17" x14ac:dyDescent="0.25">
      <c r="N180" s="1746"/>
      <c r="O180" s="747"/>
      <c r="P180" s="4645"/>
      <c r="Q180" s="4645"/>
    </row>
    <row r="181" spans="2:17" x14ac:dyDescent="0.25"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</row>
    <row r="182" spans="2:17" x14ac:dyDescent="0.25"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</row>
  </sheetData>
  <mergeCells count="24">
    <mergeCell ref="B179:C179"/>
    <mergeCell ref="B103:B104"/>
    <mergeCell ref="B105:B110"/>
    <mergeCell ref="B111:B114"/>
    <mergeCell ref="B117:B118"/>
    <mergeCell ref="B119:B133"/>
    <mergeCell ref="B134:B138"/>
    <mergeCell ref="B140:B143"/>
    <mergeCell ref="B144:B152"/>
    <mergeCell ref="B153:B156"/>
    <mergeCell ref="B158:B160"/>
    <mergeCell ref="B171:B172"/>
    <mergeCell ref="B94:B101"/>
    <mergeCell ref="B5:B11"/>
    <mergeCell ref="B12:B16"/>
    <mergeCell ref="B18:B21"/>
    <mergeCell ref="B22:B30"/>
    <mergeCell ref="B31:B34"/>
    <mergeCell ref="B84:B93"/>
    <mergeCell ref="B36:B42"/>
    <mergeCell ref="B43:B50"/>
    <mergeCell ref="B51:B57"/>
    <mergeCell ref="B61:B73"/>
    <mergeCell ref="B74:B81"/>
  </mergeCells>
  <printOptions horizontalCentered="1" verticalCentered="1"/>
  <pageMargins left="0.70866141732283472" right="0.70866141732283472" top="0.35433070866141736" bottom="0.35433070866141736" header="0.31496062992125984" footer="0.31496062992125984"/>
  <pageSetup scale="56" firstPageNumber="75" orientation="landscape" useFirstPageNumber="1" r:id="rId1"/>
  <headerFooter scaleWithDoc="0" alignWithMargins="0">
    <oddFooter>&amp;R&amp;P</oddFooter>
  </headerFooter>
  <rowBreaks count="2" manualBreakCount="2">
    <brk id="59" min="7" max="16" man="1"/>
    <brk id="116" min="7" max="16" man="1"/>
  </rowBreaks>
  <ignoredErrors>
    <ignoredError sqref="M17:P17" formulaRange="1"/>
  </ignoredError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7A519"/>
  </sheetPr>
  <dimension ref="A1:BF79"/>
  <sheetViews>
    <sheetView showGridLines="0" zoomScaleNormal="100" zoomScaleSheetLayoutView="50" workbookViewId="0">
      <pane xSplit="2" ySplit="5" topLeftCell="AJ6" activePane="bottomRight" state="frozen"/>
      <selection activeCell="Q31" sqref="Q31"/>
      <selection pane="topRight" activeCell="Q31" sqref="Q31"/>
      <selection pane="bottomLeft" activeCell="Q31" sqref="Q31"/>
      <selection pane="bottomRight" activeCell="BH86" sqref="BH86"/>
    </sheetView>
  </sheetViews>
  <sheetFormatPr baseColWidth="10" defaultColWidth="11.44140625" defaultRowHeight="13.2" x14ac:dyDescent="0.25"/>
  <cols>
    <col min="1" max="1" width="2.88671875" style="25" customWidth="1"/>
    <col min="2" max="2" width="19.33203125" style="25" customWidth="1"/>
    <col min="3" max="25" width="8.88671875" style="25" customWidth="1"/>
    <col min="26" max="26" width="9.88671875" style="25" customWidth="1"/>
    <col min="27" max="29" width="8.88671875" style="25" customWidth="1"/>
    <col min="30" max="30" width="9.88671875" style="25" customWidth="1"/>
    <col min="31" max="58" width="8.88671875" style="25" customWidth="1"/>
    <col min="59" max="241" width="11.44140625" style="25"/>
    <col min="242" max="242" width="1.109375" style="25" customWidth="1"/>
    <col min="243" max="243" width="17.88671875" style="25" bestFit="1" customWidth="1"/>
    <col min="244" max="244" width="11.109375" style="25" bestFit="1" customWidth="1"/>
    <col min="245" max="245" width="37.88671875" style="25" customWidth="1"/>
    <col min="246" max="246" width="15.44140625" style="25" customWidth="1"/>
    <col min="247" max="247" width="3" style="25" customWidth="1"/>
    <col min="248" max="497" width="11.44140625" style="25"/>
    <col min="498" max="498" width="1.109375" style="25" customWidth="1"/>
    <col min="499" max="499" width="17.88671875" style="25" bestFit="1" customWidth="1"/>
    <col min="500" max="500" width="11.109375" style="25" bestFit="1" customWidth="1"/>
    <col min="501" max="501" width="37.88671875" style="25" customWidth="1"/>
    <col min="502" max="502" width="15.44140625" style="25" customWidth="1"/>
    <col min="503" max="503" width="3" style="25" customWidth="1"/>
    <col min="504" max="753" width="11.44140625" style="25"/>
    <col min="754" max="754" width="1.109375" style="25" customWidth="1"/>
    <col min="755" max="755" width="17.88671875" style="25" bestFit="1" customWidth="1"/>
    <col min="756" max="756" width="11.109375" style="25" bestFit="1" customWidth="1"/>
    <col min="757" max="757" width="37.88671875" style="25" customWidth="1"/>
    <col min="758" max="758" width="15.44140625" style="25" customWidth="1"/>
    <col min="759" max="759" width="3" style="25" customWidth="1"/>
    <col min="760" max="1009" width="11.44140625" style="25"/>
    <col min="1010" max="1010" width="1.109375" style="25" customWidth="1"/>
    <col min="1011" max="1011" width="17.88671875" style="25" bestFit="1" customWidth="1"/>
    <col min="1012" max="1012" width="11.109375" style="25" bestFit="1" customWidth="1"/>
    <col min="1013" max="1013" width="37.88671875" style="25" customWidth="1"/>
    <col min="1014" max="1014" width="15.44140625" style="25" customWidth="1"/>
    <col min="1015" max="1015" width="3" style="25" customWidth="1"/>
    <col min="1016" max="1265" width="11.44140625" style="25"/>
    <col min="1266" max="1266" width="1.109375" style="25" customWidth="1"/>
    <col min="1267" max="1267" width="17.88671875" style="25" bestFit="1" customWidth="1"/>
    <col min="1268" max="1268" width="11.109375" style="25" bestFit="1" customWidth="1"/>
    <col min="1269" max="1269" width="37.88671875" style="25" customWidth="1"/>
    <col min="1270" max="1270" width="15.44140625" style="25" customWidth="1"/>
    <col min="1271" max="1271" width="3" style="25" customWidth="1"/>
    <col min="1272" max="1521" width="11.44140625" style="25"/>
    <col min="1522" max="1522" width="1.109375" style="25" customWidth="1"/>
    <col min="1523" max="1523" width="17.88671875" style="25" bestFit="1" customWidth="1"/>
    <col min="1524" max="1524" width="11.109375" style="25" bestFit="1" customWidth="1"/>
    <col min="1525" max="1525" width="37.88671875" style="25" customWidth="1"/>
    <col min="1526" max="1526" width="15.44140625" style="25" customWidth="1"/>
    <col min="1527" max="1527" width="3" style="25" customWidth="1"/>
    <col min="1528" max="1777" width="11.44140625" style="25"/>
    <col min="1778" max="1778" width="1.109375" style="25" customWidth="1"/>
    <col min="1779" max="1779" width="17.88671875" style="25" bestFit="1" customWidth="1"/>
    <col min="1780" max="1780" width="11.109375" style="25" bestFit="1" customWidth="1"/>
    <col min="1781" max="1781" width="37.88671875" style="25" customWidth="1"/>
    <col min="1782" max="1782" width="15.44140625" style="25" customWidth="1"/>
    <col min="1783" max="1783" width="3" style="25" customWidth="1"/>
    <col min="1784" max="2033" width="11.44140625" style="25"/>
    <col min="2034" max="2034" width="1.109375" style="25" customWidth="1"/>
    <col min="2035" max="2035" width="17.88671875" style="25" bestFit="1" customWidth="1"/>
    <col min="2036" max="2036" width="11.109375" style="25" bestFit="1" customWidth="1"/>
    <col min="2037" max="2037" width="37.88671875" style="25" customWidth="1"/>
    <col min="2038" max="2038" width="15.44140625" style="25" customWidth="1"/>
    <col min="2039" max="2039" width="3" style="25" customWidth="1"/>
    <col min="2040" max="2289" width="11.44140625" style="25"/>
    <col min="2290" max="2290" width="1.109375" style="25" customWidth="1"/>
    <col min="2291" max="2291" width="17.88671875" style="25" bestFit="1" customWidth="1"/>
    <col min="2292" max="2292" width="11.109375" style="25" bestFit="1" customWidth="1"/>
    <col min="2293" max="2293" width="37.88671875" style="25" customWidth="1"/>
    <col min="2294" max="2294" width="15.44140625" style="25" customWidth="1"/>
    <col min="2295" max="2295" width="3" style="25" customWidth="1"/>
    <col min="2296" max="2545" width="11.44140625" style="25"/>
    <col min="2546" max="2546" width="1.109375" style="25" customWidth="1"/>
    <col min="2547" max="2547" width="17.88671875" style="25" bestFit="1" customWidth="1"/>
    <col min="2548" max="2548" width="11.109375" style="25" bestFit="1" customWidth="1"/>
    <col min="2549" max="2549" width="37.88671875" style="25" customWidth="1"/>
    <col min="2550" max="2550" width="15.44140625" style="25" customWidth="1"/>
    <col min="2551" max="2551" width="3" style="25" customWidth="1"/>
    <col min="2552" max="2801" width="11.44140625" style="25"/>
    <col min="2802" max="2802" width="1.109375" style="25" customWidth="1"/>
    <col min="2803" max="2803" width="17.88671875" style="25" bestFit="1" customWidth="1"/>
    <col min="2804" max="2804" width="11.109375" style="25" bestFit="1" customWidth="1"/>
    <col min="2805" max="2805" width="37.88671875" style="25" customWidth="1"/>
    <col min="2806" max="2806" width="15.44140625" style="25" customWidth="1"/>
    <col min="2807" max="2807" width="3" style="25" customWidth="1"/>
    <col min="2808" max="3057" width="11.44140625" style="25"/>
    <col min="3058" max="3058" width="1.109375" style="25" customWidth="1"/>
    <col min="3059" max="3059" width="17.88671875" style="25" bestFit="1" customWidth="1"/>
    <col min="3060" max="3060" width="11.109375" style="25" bestFit="1" customWidth="1"/>
    <col min="3061" max="3061" width="37.88671875" style="25" customWidth="1"/>
    <col min="3062" max="3062" width="15.44140625" style="25" customWidth="1"/>
    <col min="3063" max="3063" width="3" style="25" customWidth="1"/>
    <col min="3064" max="3313" width="11.44140625" style="25"/>
    <col min="3314" max="3314" width="1.109375" style="25" customWidth="1"/>
    <col min="3315" max="3315" width="17.88671875" style="25" bestFit="1" customWidth="1"/>
    <col min="3316" max="3316" width="11.109375" style="25" bestFit="1" customWidth="1"/>
    <col min="3317" max="3317" width="37.88671875" style="25" customWidth="1"/>
    <col min="3318" max="3318" width="15.44140625" style="25" customWidth="1"/>
    <col min="3319" max="3319" width="3" style="25" customWidth="1"/>
    <col min="3320" max="3569" width="11.44140625" style="25"/>
    <col min="3570" max="3570" width="1.109375" style="25" customWidth="1"/>
    <col min="3571" max="3571" width="17.88671875" style="25" bestFit="1" customWidth="1"/>
    <col min="3572" max="3572" width="11.109375" style="25" bestFit="1" customWidth="1"/>
    <col min="3573" max="3573" width="37.88671875" style="25" customWidth="1"/>
    <col min="3574" max="3574" width="15.44140625" style="25" customWidth="1"/>
    <col min="3575" max="3575" width="3" style="25" customWidth="1"/>
    <col min="3576" max="3825" width="11.44140625" style="25"/>
    <col min="3826" max="3826" width="1.109375" style="25" customWidth="1"/>
    <col min="3827" max="3827" width="17.88671875" style="25" bestFit="1" customWidth="1"/>
    <col min="3828" max="3828" width="11.109375" style="25" bestFit="1" customWidth="1"/>
    <col min="3829" max="3829" width="37.88671875" style="25" customWidth="1"/>
    <col min="3830" max="3830" width="15.44140625" style="25" customWidth="1"/>
    <col min="3831" max="3831" width="3" style="25" customWidth="1"/>
    <col min="3832" max="4081" width="11.44140625" style="25"/>
    <col min="4082" max="4082" width="1.109375" style="25" customWidth="1"/>
    <col min="4083" max="4083" width="17.88671875" style="25" bestFit="1" customWidth="1"/>
    <col min="4084" max="4084" width="11.109375" style="25" bestFit="1" customWidth="1"/>
    <col min="4085" max="4085" width="37.88671875" style="25" customWidth="1"/>
    <col min="4086" max="4086" width="15.44140625" style="25" customWidth="1"/>
    <col min="4087" max="4087" width="3" style="25" customWidth="1"/>
    <col min="4088" max="4337" width="11.44140625" style="25"/>
    <col min="4338" max="4338" width="1.109375" style="25" customWidth="1"/>
    <col min="4339" max="4339" width="17.88671875" style="25" bestFit="1" customWidth="1"/>
    <col min="4340" max="4340" width="11.109375" style="25" bestFit="1" customWidth="1"/>
    <col min="4341" max="4341" width="37.88671875" style="25" customWidth="1"/>
    <col min="4342" max="4342" width="15.44140625" style="25" customWidth="1"/>
    <col min="4343" max="4343" width="3" style="25" customWidth="1"/>
    <col min="4344" max="4593" width="11.44140625" style="25"/>
    <col min="4594" max="4594" width="1.109375" style="25" customWidth="1"/>
    <col min="4595" max="4595" width="17.88671875" style="25" bestFit="1" customWidth="1"/>
    <col min="4596" max="4596" width="11.109375" style="25" bestFit="1" customWidth="1"/>
    <col min="4597" max="4597" width="37.88671875" style="25" customWidth="1"/>
    <col min="4598" max="4598" width="15.44140625" style="25" customWidth="1"/>
    <col min="4599" max="4599" width="3" style="25" customWidth="1"/>
    <col min="4600" max="4849" width="11.44140625" style="25"/>
    <col min="4850" max="4850" width="1.109375" style="25" customWidth="1"/>
    <col min="4851" max="4851" width="17.88671875" style="25" bestFit="1" customWidth="1"/>
    <col min="4852" max="4852" width="11.109375" style="25" bestFit="1" customWidth="1"/>
    <col min="4853" max="4853" width="37.88671875" style="25" customWidth="1"/>
    <col min="4854" max="4854" width="15.44140625" style="25" customWidth="1"/>
    <col min="4855" max="4855" width="3" style="25" customWidth="1"/>
    <col min="4856" max="5105" width="11.44140625" style="25"/>
    <col min="5106" max="5106" width="1.109375" style="25" customWidth="1"/>
    <col min="5107" max="5107" width="17.88671875" style="25" bestFit="1" customWidth="1"/>
    <col min="5108" max="5108" width="11.109375" style="25" bestFit="1" customWidth="1"/>
    <col min="5109" max="5109" width="37.88671875" style="25" customWidth="1"/>
    <col min="5110" max="5110" width="15.44140625" style="25" customWidth="1"/>
    <col min="5111" max="5111" width="3" style="25" customWidth="1"/>
    <col min="5112" max="5361" width="11.44140625" style="25"/>
    <col min="5362" max="5362" width="1.109375" style="25" customWidth="1"/>
    <col min="5363" max="5363" width="17.88671875" style="25" bestFit="1" customWidth="1"/>
    <col min="5364" max="5364" width="11.109375" style="25" bestFit="1" customWidth="1"/>
    <col min="5365" max="5365" width="37.88671875" style="25" customWidth="1"/>
    <col min="5366" max="5366" width="15.44140625" style="25" customWidth="1"/>
    <col min="5367" max="5367" width="3" style="25" customWidth="1"/>
    <col min="5368" max="5617" width="11.44140625" style="25"/>
    <col min="5618" max="5618" width="1.109375" style="25" customWidth="1"/>
    <col min="5619" max="5619" width="17.88671875" style="25" bestFit="1" customWidth="1"/>
    <col min="5620" max="5620" width="11.109375" style="25" bestFit="1" customWidth="1"/>
    <col min="5621" max="5621" width="37.88671875" style="25" customWidth="1"/>
    <col min="5622" max="5622" width="15.44140625" style="25" customWidth="1"/>
    <col min="5623" max="5623" width="3" style="25" customWidth="1"/>
    <col min="5624" max="5873" width="11.44140625" style="25"/>
    <col min="5874" max="5874" width="1.109375" style="25" customWidth="1"/>
    <col min="5875" max="5875" width="17.88671875" style="25" bestFit="1" customWidth="1"/>
    <col min="5876" max="5876" width="11.109375" style="25" bestFit="1" customWidth="1"/>
    <col min="5877" max="5877" width="37.88671875" style="25" customWidth="1"/>
    <col min="5878" max="5878" width="15.44140625" style="25" customWidth="1"/>
    <col min="5879" max="5879" width="3" style="25" customWidth="1"/>
    <col min="5880" max="6129" width="11.44140625" style="25"/>
    <col min="6130" max="6130" width="1.109375" style="25" customWidth="1"/>
    <col min="6131" max="6131" width="17.88671875" style="25" bestFit="1" customWidth="1"/>
    <col min="6132" max="6132" width="11.109375" style="25" bestFit="1" customWidth="1"/>
    <col min="6133" max="6133" width="37.88671875" style="25" customWidth="1"/>
    <col min="6134" max="6134" width="15.44140625" style="25" customWidth="1"/>
    <col min="6135" max="6135" width="3" style="25" customWidth="1"/>
    <col min="6136" max="6385" width="11.44140625" style="25"/>
    <col min="6386" max="6386" width="1.109375" style="25" customWidth="1"/>
    <col min="6387" max="6387" width="17.88671875" style="25" bestFit="1" customWidth="1"/>
    <col min="6388" max="6388" width="11.109375" style="25" bestFit="1" customWidth="1"/>
    <col min="6389" max="6389" width="37.88671875" style="25" customWidth="1"/>
    <col min="6390" max="6390" width="15.44140625" style="25" customWidth="1"/>
    <col min="6391" max="6391" width="3" style="25" customWidth="1"/>
    <col min="6392" max="6641" width="11.44140625" style="25"/>
    <col min="6642" max="6642" width="1.109375" style="25" customWidth="1"/>
    <col min="6643" max="6643" width="17.88671875" style="25" bestFit="1" customWidth="1"/>
    <col min="6644" max="6644" width="11.109375" style="25" bestFit="1" customWidth="1"/>
    <col min="6645" max="6645" width="37.88671875" style="25" customWidth="1"/>
    <col min="6646" max="6646" width="15.44140625" style="25" customWidth="1"/>
    <col min="6647" max="6647" width="3" style="25" customWidth="1"/>
    <col min="6648" max="6897" width="11.44140625" style="25"/>
    <col min="6898" max="6898" width="1.109375" style="25" customWidth="1"/>
    <col min="6899" max="6899" width="17.88671875" style="25" bestFit="1" customWidth="1"/>
    <col min="6900" max="6900" width="11.109375" style="25" bestFit="1" customWidth="1"/>
    <col min="6901" max="6901" width="37.88671875" style="25" customWidth="1"/>
    <col min="6902" max="6902" width="15.44140625" style="25" customWidth="1"/>
    <col min="6903" max="6903" width="3" style="25" customWidth="1"/>
    <col min="6904" max="7153" width="11.44140625" style="25"/>
    <col min="7154" max="7154" width="1.109375" style="25" customWidth="1"/>
    <col min="7155" max="7155" width="17.88671875" style="25" bestFit="1" customWidth="1"/>
    <col min="7156" max="7156" width="11.109375" style="25" bestFit="1" customWidth="1"/>
    <col min="7157" max="7157" width="37.88671875" style="25" customWidth="1"/>
    <col min="7158" max="7158" width="15.44140625" style="25" customWidth="1"/>
    <col min="7159" max="7159" width="3" style="25" customWidth="1"/>
    <col min="7160" max="7409" width="11.44140625" style="25"/>
    <col min="7410" max="7410" width="1.109375" style="25" customWidth="1"/>
    <col min="7411" max="7411" width="17.88671875" style="25" bestFit="1" customWidth="1"/>
    <col min="7412" max="7412" width="11.109375" style="25" bestFit="1" customWidth="1"/>
    <col min="7413" max="7413" width="37.88671875" style="25" customWidth="1"/>
    <col min="7414" max="7414" width="15.44140625" style="25" customWidth="1"/>
    <col min="7415" max="7415" width="3" style="25" customWidth="1"/>
    <col min="7416" max="7665" width="11.44140625" style="25"/>
    <col min="7666" max="7666" width="1.109375" style="25" customWidth="1"/>
    <col min="7667" max="7667" width="17.88671875" style="25" bestFit="1" customWidth="1"/>
    <col min="7668" max="7668" width="11.109375" style="25" bestFit="1" customWidth="1"/>
    <col min="7669" max="7669" width="37.88671875" style="25" customWidth="1"/>
    <col min="7670" max="7670" width="15.44140625" style="25" customWidth="1"/>
    <col min="7671" max="7671" width="3" style="25" customWidth="1"/>
    <col min="7672" max="7921" width="11.44140625" style="25"/>
    <col min="7922" max="7922" width="1.109375" style="25" customWidth="1"/>
    <col min="7923" max="7923" width="17.88671875" style="25" bestFit="1" customWidth="1"/>
    <col min="7924" max="7924" width="11.109375" style="25" bestFit="1" customWidth="1"/>
    <col min="7925" max="7925" width="37.88671875" style="25" customWidth="1"/>
    <col min="7926" max="7926" width="15.44140625" style="25" customWidth="1"/>
    <col min="7927" max="7927" width="3" style="25" customWidth="1"/>
    <col min="7928" max="8177" width="11.44140625" style="25"/>
    <col min="8178" max="8178" width="1.109375" style="25" customWidth="1"/>
    <col min="8179" max="8179" width="17.88671875" style="25" bestFit="1" customWidth="1"/>
    <col min="8180" max="8180" width="11.109375" style="25" bestFit="1" customWidth="1"/>
    <col min="8181" max="8181" width="37.88671875" style="25" customWidth="1"/>
    <col min="8182" max="8182" width="15.44140625" style="25" customWidth="1"/>
    <col min="8183" max="8183" width="3" style="25" customWidth="1"/>
    <col min="8184" max="8433" width="11.44140625" style="25"/>
    <col min="8434" max="8434" width="1.109375" style="25" customWidth="1"/>
    <col min="8435" max="8435" width="17.88671875" style="25" bestFit="1" customWidth="1"/>
    <col min="8436" max="8436" width="11.109375" style="25" bestFit="1" customWidth="1"/>
    <col min="8437" max="8437" width="37.88671875" style="25" customWidth="1"/>
    <col min="8438" max="8438" width="15.44140625" style="25" customWidth="1"/>
    <col min="8439" max="8439" width="3" style="25" customWidth="1"/>
    <col min="8440" max="8689" width="11.44140625" style="25"/>
    <col min="8690" max="8690" width="1.109375" style="25" customWidth="1"/>
    <col min="8691" max="8691" width="17.88671875" style="25" bestFit="1" customWidth="1"/>
    <col min="8692" max="8692" width="11.109375" style="25" bestFit="1" customWidth="1"/>
    <col min="8693" max="8693" width="37.88671875" style="25" customWidth="1"/>
    <col min="8694" max="8694" width="15.44140625" style="25" customWidth="1"/>
    <col min="8695" max="8695" width="3" style="25" customWidth="1"/>
    <col min="8696" max="8945" width="11.44140625" style="25"/>
    <col min="8946" max="8946" width="1.109375" style="25" customWidth="1"/>
    <col min="8947" max="8947" width="17.88671875" style="25" bestFit="1" customWidth="1"/>
    <col min="8948" max="8948" width="11.109375" style="25" bestFit="1" customWidth="1"/>
    <col min="8949" max="8949" width="37.88671875" style="25" customWidth="1"/>
    <col min="8950" max="8950" width="15.44140625" style="25" customWidth="1"/>
    <col min="8951" max="8951" width="3" style="25" customWidth="1"/>
    <col min="8952" max="9201" width="11.44140625" style="25"/>
    <col min="9202" max="9202" width="1.109375" style="25" customWidth="1"/>
    <col min="9203" max="9203" width="17.88671875" style="25" bestFit="1" customWidth="1"/>
    <col min="9204" max="9204" width="11.109375" style="25" bestFit="1" customWidth="1"/>
    <col min="9205" max="9205" width="37.88671875" style="25" customWidth="1"/>
    <col min="9206" max="9206" width="15.44140625" style="25" customWidth="1"/>
    <col min="9207" max="9207" width="3" style="25" customWidth="1"/>
    <col min="9208" max="9457" width="11.44140625" style="25"/>
    <col min="9458" max="9458" width="1.109375" style="25" customWidth="1"/>
    <col min="9459" max="9459" width="17.88671875" style="25" bestFit="1" customWidth="1"/>
    <col min="9460" max="9460" width="11.109375" style="25" bestFit="1" customWidth="1"/>
    <col min="9461" max="9461" width="37.88671875" style="25" customWidth="1"/>
    <col min="9462" max="9462" width="15.44140625" style="25" customWidth="1"/>
    <col min="9463" max="9463" width="3" style="25" customWidth="1"/>
    <col min="9464" max="9713" width="11.44140625" style="25"/>
    <col min="9714" max="9714" width="1.109375" style="25" customWidth="1"/>
    <col min="9715" max="9715" width="17.88671875" style="25" bestFit="1" customWidth="1"/>
    <col min="9716" max="9716" width="11.109375" style="25" bestFit="1" customWidth="1"/>
    <col min="9717" max="9717" width="37.88671875" style="25" customWidth="1"/>
    <col min="9718" max="9718" width="15.44140625" style="25" customWidth="1"/>
    <col min="9719" max="9719" width="3" style="25" customWidth="1"/>
    <col min="9720" max="9969" width="11.44140625" style="25"/>
    <col min="9970" max="9970" width="1.109375" style="25" customWidth="1"/>
    <col min="9971" max="9971" width="17.88671875" style="25" bestFit="1" customWidth="1"/>
    <col min="9972" max="9972" width="11.109375" style="25" bestFit="1" customWidth="1"/>
    <col min="9973" max="9973" width="37.88671875" style="25" customWidth="1"/>
    <col min="9974" max="9974" width="15.44140625" style="25" customWidth="1"/>
    <col min="9975" max="9975" width="3" style="25" customWidth="1"/>
    <col min="9976" max="10225" width="11.44140625" style="25"/>
    <col min="10226" max="10226" width="1.109375" style="25" customWidth="1"/>
    <col min="10227" max="10227" width="17.88671875" style="25" bestFit="1" customWidth="1"/>
    <col min="10228" max="10228" width="11.109375" style="25" bestFit="1" customWidth="1"/>
    <col min="10229" max="10229" width="37.88671875" style="25" customWidth="1"/>
    <col min="10230" max="10230" width="15.44140625" style="25" customWidth="1"/>
    <col min="10231" max="10231" width="3" style="25" customWidth="1"/>
    <col min="10232" max="10481" width="11.44140625" style="25"/>
    <col min="10482" max="10482" width="1.109375" style="25" customWidth="1"/>
    <col min="10483" max="10483" width="17.88671875" style="25" bestFit="1" customWidth="1"/>
    <col min="10484" max="10484" width="11.109375" style="25" bestFit="1" customWidth="1"/>
    <col min="10485" max="10485" width="37.88671875" style="25" customWidth="1"/>
    <col min="10486" max="10486" width="15.44140625" style="25" customWidth="1"/>
    <col min="10487" max="10487" width="3" style="25" customWidth="1"/>
    <col min="10488" max="10737" width="11.44140625" style="25"/>
    <col min="10738" max="10738" width="1.109375" style="25" customWidth="1"/>
    <col min="10739" max="10739" width="17.88671875" style="25" bestFit="1" customWidth="1"/>
    <col min="10740" max="10740" width="11.109375" style="25" bestFit="1" customWidth="1"/>
    <col min="10741" max="10741" width="37.88671875" style="25" customWidth="1"/>
    <col min="10742" max="10742" width="15.44140625" style="25" customWidth="1"/>
    <col min="10743" max="10743" width="3" style="25" customWidth="1"/>
    <col min="10744" max="10993" width="11.44140625" style="25"/>
    <col min="10994" max="10994" width="1.109375" style="25" customWidth="1"/>
    <col min="10995" max="10995" width="17.88671875" style="25" bestFit="1" customWidth="1"/>
    <col min="10996" max="10996" width="11.109375" style="25" bestFit="1" customWidth="1"/>
    <col min="10997" max="10997" width="37.88671875" style="25" customWidth="1"/>
    <col min="10998" max="10998" width="15.44140625" style="25" customWidth="1"/>
    <col min="10999" max="10999" width="3" style="25" customWidth="1"/>
    <col min="11000" max="11249" width="11.44140625" style="25"/>
    <col min="11250" max="11250" width="1.109375" style="25" customWidth="1"/>
    <col min="11251" max="11251" width="17.88671875" style="25" bestFit="1" customWidth="1"/>
    <col min="11252" max="11252" width="11.109375" style="25" bestFit="1" customWidth="1"/>
    <col min="11253" max="11253" width="37.88671875" style="25" customWidth="1"/>
    <col min="11254" max="11254" width="15.44140625" style="25" customWidth="1"/>
    <col min="11255" max="11255" width="3" style="25" customWidth="1"/>
    <col min="11256" max="11505" width="11.44140625" style="25"/>
    <col min="11506" max="11506" width="1.109375" style="25" customWidth="1"/>
    <col min="11507" max="11507" width="17.88671875" style="25" bestFit="1" customWidth="1"/>
    <col min="11508" max="11508" width="11.109375" style="25" bestFit="1" customWidth="1"/>
    <col min="11509" max="11509" width="37.88671875" style="25" customWidth="1"/>
    <col min="11510" max="11510" width="15.44140625" style="25" customWidth="1"/>
    <col min="11511" max="11511" width="3" style="25" customWidth="1"/>
    <col min="11512" max="11761" width="11.44140625" style="25"/>
    <col min="11762" max="11762" width="1.109375" style="25" customWidth="1"/>
    <col min="11763" max="11763" width="17.88671875" style="25" bestFit="1" customWidth="1"/>
    <col min="11764" max="11764" width="11.109375" style="25" bestFit="1" customWidth="1"/>
    <col min="11765" max="11765" width="37.88671875" style="25" customWidth="1"/>
    <col min="11766" max="11766" width="15.44140625" style="25" customWidth="1"/>
    <col min="11767" max="11767" width="3" style="25" customWidth="1"/>
    <col min="11768" max="12017" width="11.44140625" style="25"/>
    <col min="12018" max="12018" width="1.109375" style="25" customWidth="1"/>
    <col min="12019" max="12019" width="17.88671875" style="25" bestFit="1" customWidth="1"/>
    <col min="12020" max="12020" width="11.109375" style="25" bestFit="1" customWidth="1"/>
    <col min="12021" max="12021" width="37.88671875" style="25" customWidth="1"/>
    <col min="12022" max="12022" width="15.44140625" style="25" customWidth="1"/>
    <col min="12023" max="12023" width="3" style="25" customWidth="1"/>
    <col min="12024" max="12273" width="11.44140625" style="25"/>
    <col min="12274" max="12274" width="1.109375" style="25" customWidth="1"/>
    <col min="12275" max="12275" width="17.88671875" style="25" bestFit="1" customWidth="1"/>
    <col min="12276" max="12276" width="11.109375" style="25" bestFit="1" customWidth="1"/>
    <col min="12277" max="12277" width="37.88671875" style="25" customWidth="1"/>
    <col min="12278" max="12278" width="15.44140625" style="25" customWidth="1"/>
    <col min="12279" max="12279" width="3" style="25" customWidth="1"/>
    <col min="12280" max="12529" width="11.44140625" style="25"/>
    <col min="12530" max="12530" width="1.109375" style="25" customWidth="1"/>
    <col min="12531" max="12531" width="17.88671875" style="25" bestFit="1" customWidth="1"/>
    <col min="12532" max="12532" width="11.109375" style="25" bestFit="1" customWidth="1"/>
    <col min="12533" max="12533" width="37.88671875" style="25" customWidth="1"/>
    <col min="12534" max="12534" width="15.44140625" style="25" customWidth="1"/>
    <col min="12535" max="12535" width="3" style="25" customWidth="1"/>
    <col min="12536" max="12785" width="11.44140625" style="25"/>
    <col min="12786" max="12786" width="1.109375" style="25" customWidth="1"/>
    <col min="12787" max="12787" width="17.88671875" style="25" bestFit="1" customWidth="1"/>
    <col min="12788" max="12788" width="11.109375" style="25" bestFit="1" customWidth="1"/>
    <col min="12789" max="12789" width="37.88671875" style="25" customWidth="1"/>
    <col min="12790" max="12790" width="15.44140625" style="25" customWidth="1"/>
    <col min="12791" max="12791" width="3" style="25" customWidth="1"/>
    <col min="12792" max="13041" width="11.44140625" style="25"/>
    <col min="13042" max="13042" width="1.109375" style="25" customWidth="1"/>
    <col min="13043" max="13043" width="17.88671875" style="25" bestFit="1" customWidth="1"/>
    <col min="13044" max="13044" width="11.109375" style="25" bestFit="1" customWidth="1"/>
    <col min="13045" max="13045" width="37.88671875" style="25" customWidth="1"/>
    <col min="13046" max="13046" width="15.44140625" style="25" customWidth="1"/>
    <col min="13047" max="13047" width="3" style="25" customWidth="1"/>
    <col min="13048" max="13297" width="11.44140625" style="25"/>
    <col min="13298" max="13298" width="1.109375" style="25" customWidth="1"/>
    <col min="13299" max="13299" width="17.88671875" style="25" bestFit="1" customWidth="1"/>
    <col min="13300" max="13300" width="11.109375" style="25" bestFit="1" customWidth="1"/>
    <col min="13301" max="13301" width="37.88671875" style="25" customWidth="1"/>
    <col min="13302" max="13302" width="15.44140625" style="25" customWidth="1"/>
    <col min="13303" max="13303" width="3" style="25" customWidth="1"/>
    <col min="13304" max="13553" width="11.44140625" style="25"/>
    <col min="13554" max="13554" width="1.109375" style="25" customWidth="1"/>
    <col min="13555" max="13555" width="17.88671875" style="25" bestFit="1" customWidth="1"/>
    <col min="13556" max="13556" width="11.109375" style="25" bestFit="1" customWidth="1"/>
    <col min="13557" max="13557" width="37.88671875" style="25" customWidth="1"/>
    <col min="13558" max="13558" width="15.44140625" style="25" customWidth="1"/>
    <col min="13559" max="13559" width="3" style="25" customWidth="1"/>
    <col min="13560" max="13809" width="11.44140625" style="25"/>
    <col min="13810" max="13810" width="1.109375" style="25" customWidth="1"/>
    <col min="13811" max="13811" width="17.88671875" style="25" bestFit="1" customWidth="1"/>
    <col min="13812" max="13812" width="11.109375" style="25" bestFit="1" customWidth="1"/>
    <col min="13813" max="13813" width="37.88671875" style="25" customWidth="1"/>
    <col min="13814" max="13814" width="15.44140625" style="25" customWidth="1"/>
    <col min="13815" max="13815" width="3" style="25" customWidth="1"/>
    <col min="13816" max="14065" width="11.44140625" style="25"/>
    <col min="14066" max="14066" width="1.109375" style="25" customWidth="1"/>
    <col min="14067" max="14067" width="17.88671875" style="25" bestFit="1" customWidth="1"/>
    <col min="14068" max="14068" width="11.109375" style="25" bestFit="1" customWidth="1"/>
    <col min="14069" max="14069" width="37.88671875" style="25" customWidth="1"/>
    <col min="14070" max="14070" width="15.44140625" style="25" customWidth="1"/>
    <col min="14071" max="14071" width="3" style="25" customWidth="1"/>
    <col min="14072" max="14321" width="11.44140625" style="25"/>
    <col min="14322" max="14322" width="1.109375" style="25" customWidth="1"/>
    <col min="14323" max="14323" width="17.88671875" style="25" bestFit="1" customWidth="1"/>
    <col min="14324" max="14324" width="11.109375" style="25" bestFit="1" customWidth="1"/>
    <col min="14325" max="14325" width="37.88671875" style="25" customWidth="1"/>
    <col min="14326" max="14326" width="15.44140625" style="25" customWidth="1"/>
    <col min="14327" max="14327" width="3" style="25" customWidth="1"/>
    <col min="14328" max="14577" width="11.44140625" style="25"/>
    <col min="14578" max="14578" width="1.109375" style="25" customWidth="1"/>
    <col min="14579" max="14579" width="17.88671875" style="25" bestFit="1" customWidth="1"/>
    <col min="14580" max="14580" width="11.109375" style="25" bestFit="1" customWidth="1"/>
    <col min="14581" max="14581" width="37.88671875" style="25" customWidth="1"/>
    <col min="14582" max="14582" width="15.44140625" style="25" customWidth="1"/>
    <col min="14583" max="14583" width="3" style="25" customWidth="1"/>
    <col min="14584" max="14833" width="11.44140625" style="25"/>
    <col min="14834" max="14834" width="1.109375" style="25" customWidth="1"/>
    <col min="14835" max="14835" width="17.88671875" style="25" bestFit="1" customWidth="1"/>
    <col min="14836" max="14836" width="11.109375" style="25" bestFit="1" customWidth="1"/>
    <col min="14837" max="14837" width="37.88671875" style="25" customWidth="1"/>
    <col min="14838" max="14838" width="15.44140625" style="25" customWidth="1"/>
    <col min="14839" max="14839" width="3" style="25" customWidth="1"/>
    <col min="14840" max="15089" width="11.44140625" style="25"/>
    <col min="15090" max="15090" width="1.109375" style="25" customWidth="1"/>
    <col min="15091" max="15091" width="17.88671875" style="25" bestFit="1" customWidth="1"/>
    <col min="15092" max="15092" width="11.109375" style="25" bestFit="1" customWidth="1"/>
    <col min="15093" max="15093" width="37.88671875" style="25" customWidth="1"/>
    <col min="15094" max="15094" width="15.44140625" style="25" customWidth="1"/>
    <col min="15095" max="15095" width="3" style="25" customWidth="1"/>
    <col min="15096" max="15345" width="11.44140625" style="25"/>
    <col min="15346" max="15346" width="1.109375" style="25" customWidth="1"/>
    <col min="15347" max="15347" width="17.88671875" style="25" bestFit="1" customWidth="1"/>
    <col min="15348" max="15348" width="11.109375" style="25" bestFit="1" customWidth="1"/>
    <col min="15349" max="15349" width="37.88671875" style="25" customWidth="1"/>
    <col min="15350" max="15350" width="15.44140625" style="25" customWidth="1"/>
    <col min="15351" max="15351" width="3" style="25" customWidth="1"/>
    <col min="15352" max="15601" width="11.44140625" style="25"/>
    <col min="15602" max="15602" width="1.109375" style="25" customWidth="1"/>
    <col min="15603" max="15603" width="17.88671875" style="25" bestFit="1" customWidth="1"/>
    <col min="15604" max="15604" width="11.109375" style="25" bestFit="1" customWidth="1"/>
    <col min="15605" max="15605" width="37.88671875" style="25" customWidth="1"/>
    <col min="15606" max="15606" width="15.44140625" style="25" customWidth="1"/>
    <col min="15607" max="15607" width="3" style="25" customWidth="1"/>
    <col min="15608" max="15857" width="11.44140625" style="25"/>
    <col min="15858" max="15858" width="1.109375" style="25" customWidth="1"/>
    <col min="15859" max="15859" width="17.88671875" style="25" bestFit="1" customWidth="1"/>
    <col min="15860" max="15860" width="11.109375" style="25" bestFit="1" customWidth="1"/>
    <col min="15861" max="15861" width="37.88671875" style="25" customWidth="1"/>
    <col min="15862" max="15862" width="15.44140625" style="25" customWidth="1"/>
    <col min="15863" max="15863" width="3" style="25" customWidth="1"/>
    <col min="15864" max="16113" width="11.44140625" style="25"/>
    <col min="16114" max="16114" width="1.109375" style="25" customWidth="1"/>
    <col min="16115" max="16115" width="17.88671875" style="25" bestFit="1" customWidth="1"/>
    <col min="16116" max="16116" width="11.109375" style="25" bestFit="1" customWidth="1"/>
    <col min="16117" max="16117" width="37.88671875" style="25" customWidth="1"/>
    <col min="16118" max="16118" width="15.44140625" style="25" customWidth="1"/>
    <col min="16119" max="16119" width="3" style="25" customWidth="1"/>
    <col min="16120" max="16384" width="11.44140625" style="25"/>
  </cols>
  <sheetData>
    <row r="1" spans="1:58" ht="69" x14ac:dyDescent="0.25">
      <c r="B1" s="26" t="s">
        <v>516</v>
      </c>
      <c r="C1" s="161"/>
      <c r="D1" s="147"/>
      <c r="E1" s="147"/>
      <c r="F1" s="147"/>
    </row>
    <row r="2" spans="1:58" ht="15.6" x14ac:dyDescent="0.25">
      <c r="A2" s="635"/>
      <c r="B2" s="373"/>
      <c r="C2" s="373"/>
      <c r="D2" s="373"/>
      <c r="E2" s="373"/>
      <c r="F2" s="373"/>
    </row>
    <row r="3" spans="1:58" ht="14.4" x14ac:dyDescent="0.25">
      <c r="A3" s="635"/>
      <c r="B3" s="5921" t="s">
        <v>132</v>
      </c>
      <c r="C3" s="5737">
        <v>2009</v>
      </c>
      <c r="D3" s="5737"/>
      <c r="E3" s="5737"/>
      <c r="F3" s="5920"/>
      <c r="G3" s="5737">
        <v>2010</v>
      </c>
      <c r="H3" s="5737"/>
      <c r="I3" s="5737"/>
      <c r="J3" s="5920"/>
      <c r="K3" s="5737">
        <v>2011</v>
      </c>
      <c r="L3" s="5737"/>
      <c r="M3" s="5737"/>
      <c r="N3" s="5920"/>
      <c r="O3" s="5737">
        <v>2012</v>
      </c>
      <c r="P3" s="5737"/>
      <c r="Q3" s="5737"/>
      <c r="R3" s="5920"/>
      <c r="S3" s="5737">
        <v>2013</v>
      </c>
      <c r="T3" s="5737"/>
      <c r="U3" s="5737"/>
      <c r="V3" s="5920"/>
      <c r="W3" s="5737">
        <v>2014</v>
      </c>
      <c r="X3" s="5737"/>
      <c r="Y3" s="5737"/>
      <c r="Z3" s="5920"/>
      <c r="AA3" s="5737">
        <v>2015</v>
      </c>
      <c r="AB3" s="5737"/>
      <c r="AC3" s="5737"/>
      <c r="AD3" s="5920"/>
      <c r="AE3" s="5737">
        <v>2016</v>
      </c>
      <c r="AF3" s="5737"/>
      <c r="AG3" s="5737"/>
      <c r="AH3" s="5920"/>
      <c r="AI3" s="5737">
        <v>2017</v>
      </c>
      <c r="AJ3" s="5737"/>
      <c r="AK3" s="5737"/>
      <c r="AL3" s="5920"/>
      <c r="AM3" s="5737">
        <v>2018</v>
      </c>
      <c r="AN3" s="5737"/>
      <c r="AO3" s="5737"/>
      <c r="AP3" s="5920"/>
      <c r="AQ3" s="5737">
        <v>2019</v>
      </c>
      <c r="AR3" s="5737"/>
      <c r="AS3" s="5737"/>
      <c r="AT3" s="5920"/>
      <c r="AU3" s="5737">
        <v>2020</v>
      </c>
      <c r="AV3" s="5737"/>
      <c r="AW3" s="5737"/>
      <c r="AX3" s="5920"/>
      <c r="AY3" s="5737">
        <v>2021</v>
      </c>
      <c r="AZ3" s="5737"/>
      <c r="BA3" s="5737"/>
      <c r="BB3" s="5920"/>
      <c r="BC3" s="5737">
        <v>2022</v>
      </c>
      <c r="BD3" s="5737"/>
      <c r="BE3" s="5737"/>
      <c r="BF3" s="5920"/>
    </row>
    <row r="4" spans="1:58" ht="30" customHeight="1" x14ac:dyDescent="0.25">
      <c r="A4" s="635"/>
      <c r="B4" s="5921"/>
      <c r="C4" s="1747" t="s">
        <v>463</v>
      </c>
      <c r="D4" s="1748" t="s">
        <v>517</v>
      </c>
      <c r="E4" s="1748" t="s">
        <v>518</v>
      </c>
      <c r="F4" s="1749" t="s">
        <v>279</v>
      </c>
      <c r="G4" s="1747" t="s">
        <v>463</v>
      </c>
      <c r="H4" s="1748" t="s">
        <v>517</v>
      </c>
      <c r="I4" s="1748" t="s">
        <v>518</v>
      </c>
      <c r="J4" s="1749" t="s">
        <v>279</v>
      </c>
      <c r="K4" s="1747" t="s">
        <v>463</v>
      </c>
      <c r="L4" s="1748" t="s">
        <v>517</v>
      </c>
      <c r="M4" s="1748" t="s">
        <v>518</v>
      </c>
      <c r="N4" s="1749" t="s">
        <v>279</v>
      </c>
      <c r="O4" s="1747" t="s">
        <v>463</v>
      </c>
      <c r="P4" s="1748" t="s">
        <v>517</v>
      </c>
      <c r="Q4" s="1748" t="s">
        <v>518</v>
      </c>
      <c r="R4" s="1749" t="s">
        <v>279</v>
      </c>
      <c r="S4" s="1747" t="s">
        <v>463</v>
      </c>
      <c r="T4" s="1748" t="s">
        <v>517</v>
      </c>
      <c r="U4" s="1748" t="s">
        <v>518</v>
      </c>
      <c r="V4" s="1749" t="s">
        <v>279</v>
      </c>
      <c r="W4" s="1747" t="s">
        <v>463</v>
      </c>
      <c r="X4" s="1748" t="s">
        <v>517</v>
      </c>
      <c r="Y4" s="1748" t="s">
        <v>518</v>
      </c>
      <c r="Z4" s="1749" t="s">
        <v>279</v>
      </c>
      <c r="AA4" s="1747" t="s">
        <v>463</v>
      </c>
      <c r="AB4" s="1748" t="s">
        <v>517</v>
      </c>
      <c r="AC4" s="1748" t="s">
        <v>518</v>
      </c>
      <c r="AD4" s="1749" t="s">
        <v>279</v>
      </c>
      <c r="AE4" s="1747" t="s">
        <v>463</v>
      </c>
      <c r="AF4" s="1748" t="s">
        <v>517</v>
      </c>
      <c r="AG4" s="1748" t="s">
        <v>518</v>
      </c>
      <c r="AH4" s="1749" t="s">
        <v>279</v>
      </c>
      <c r="AI4" s="1747" t="s">
        <v>463</v>
      </c>
      <c r="AJ4" s="1748" t="s">
        <v>517</v>
      </c>
      <c r="AK4" s="1748" t="s">
        <v>518</v>
      </c>
      <c r="AL4" s="1749" t="s">
        <v>279</v>
      </c>
      <c r="AM4" s="1747" t="s">
        <v>463</v>
      </c>
      <c r="AN4" s="1748" t="s">
        <v>517</v>
      </c>
      <c r="AO4" s="1748" t="s">
        <v>518</v>
      </c>
      <c r="AP4" s="1749" t="s">
        <v>279</v>
      </c>
      <c r="AQ4" s="1747" t="s">
        <v>463</v>
      </c>
      <c r="AR4" s="1748" t="s">
        <v>517</v>
      </c>
      <c r="AS4" s="1748" t="s">
        <v>518</v>
      </c>
      <c r="AT4" s="1749" t="s">
        <v>279</v>
      </c>
      <c r="AU4" s="1747" t="s">
        <v>463</v>
      </c>
      <c r="AV4" s="1748" t="s">
        <v>517</v>
      </c>
      <c r="AW4" s="1748" t="s">
        <v>518</v>
      </c>
      <c r="AX4" s="1749" t="s">
        <v>279</v>
      </c>
      <c r="AY4" s="1747" t="s">
        <v>463</v>
      </c>
      <c r="AZ4" s="1748" t="s">
        <v>517</v>
      </c>
      <c r="BA4" s="1748" t="s">
        <v>518</v>
      </c>
      <c r="BB4" s="1749" t="s">
        <v>279</v>
      </c>
      <c r="BC4" s="1747" t="s">
        <v>463</v>
      </c>
      <c r="BD4" s="1748" t="s">
        <v>517</v>
      </c>
      <c r="BE4" s="1748" t="s">
        <v>518</v>
      </c>
      <c r="BF4" s="1749" t="s">
        <v>279</v>
      </c>
    </row>
    <row r="5" spans="1:58" ht="14.4" x14ac:dyDescent="0.25">
      <c r="A5" s="635"/>
      <c r="B5" s="1750"/>
      <c r="C5" s="1750"/>
      <c r="D5" s="1750"/>
      <c r="E5" s="1750"/>
      <c r="F5" s="1750"/>
      <c r="G5" s="1750"/>
      <c r="H5" s="1750"/>
      <c r="I5" s="1750"/>
      <c r="J5" s="1750"/>
      <c r="K5" s="1750"/>
      <c r="L5" s="1750"/>
      <c r="M5" s="1750"/>
      <c r="N5" s="1750"/>
      <c r="O5" s="1750"/>
      <c r="P5" s="1750"/>
      <c r="Q5" s="1750"/>
      <c r="R5" s="1750"/>
      <c r="S5" s="1750"/>
      <c r="T5" s="1750"/>
      <c r="U5" s="1750"/>
      <c r="V5" s="1750"/>
      <c r="W5" s="1750"/>
      <c r="X5" s="1750"/>
      <c r="Y5" s="1750"/>
      <c r="Z5" s="1750"/>
      <c r="AA5" s="1750"/>
      <c r="AB5" s="1750"/>
      <c r="AC5" s="1750"/>
      <c r="AD5" s="1750"/>
      <c r="AE5" s="1750"/>
      <c r="AF5" s="1750"/>
      <c r="AG5" s="1750"/>
      <c r="AH5" s="1750"/>
      <c r="AI5" s="1750"/>
      <c r="AJ5" s="1750"/>
      <c r="AK5" s="1750"/>
      <c r="AL5" s="1750"/>
      <c r="AM5" s="1750"/>
      <c r="AN5" s="1750"/>
      <c r="AO5" s="1750"/>
      <c r="AP5" s="1750"/>
      <c r="AQ5" s="1750"/>
      <c r="AR5" s="1750"/>
      <c r="AS5" s="1750"/>
      <c r="AT5" s="1750"/>
      <c r="AU5" s="1750"/>
      <c r="AV5" s="1750"/>
      <c r="AW5" s="1750"/>
      <c r="AX5" s="1750"/>
      <c r="AY5" s="1750"/>
      <c r="AZ5" s="1750"/>
      <c r="BA5" s="1750"/>
      <c r="BB5" s="1750"/>
      <c r="BC5" s="1750"/>
      <c r="BD5" s="1750"/>
      <c r="BE5" s="1750"/>
      <c r="BF5" s="1750"/>
    </row>
    <row r="6" spans="1:58" ht="14.4" x14ac:dyDescent="0.25">
      <c r="A6" s="635"/>
      <c r="B6" s="1751" t="s">
        <v>59</v>
      </c>
      <c r="C6" s="755">
        <f>SUM('EGRESO POS ACUM plan'!D4)</f>
        <v>4</v>
      </c>
      <c r="D6" s="756">
        <f>SUM('EGRESO POS ACUM plan'!D5:D8)</f>
        <v>247</v>
      </c>
      <c r="E6" s="756">
        <f>SUM('EGRESO POS ACUM plan'!D12:D13)</f>
        <v>31</v>
      </c>
      <c r="F6" s="1752">
        <f>SUM(C6:E6)</f>
        <v>282</v>
      </c>
      <c r="G6" s="755">
        <f>SUM('EGRESO POS ACUM plan'!D4)</f>
        <v>4</v>
      </c>
      <c r="H6" s="756">
        <f>SUM('EGRESO POS ACUM plan'!E5:E8)</f>
        <v>264</v>
      </c>
      <c r="I6" s="756">
        <f>SUM('EGRESO POS ACUM plan'!E12:E13)</f>
        <v>37</v>
      </c>
      <c r="J6" s="1752">
        <f>SUM(G6:I6)</f>
        <v>305</v>
      </c>
      <c r="K6" s="755">
        <f>SUM('EGRESO POS ACUM plan'!F4)</f>
        <v>4</v>
      </c>
      <c r="L6" s="756">
        <f>SUM('EGRESO POS ACUM plan'!F5:F8)</f>
        <v>296</v>
      </c>
      <c r="M6" s="756">
        <f>SUM('EGRESO POS ACUM plan'!F12:F13)</f>
        <v>48</v>
      </c>
      <c r="N6" s="1752">
        <f>SUM(K6:M6)</f>
        <v>348</v>
      </c>
      <c r="O6" s="755">
        <f>SUM('EGRESO POS ACUM plan'!G4)</f>
        <v>4</v>
      </c>
      <c r="P6" s="756">
        <f>SUM('EGRESO POS ACUM plan'!G5:G8)</f>
        <v>333</v>
      </c>
      <c r="Q6" s="756">
        <f>SUM('EGRESO POS ACUM plan'!G12:G13)</f>
        <v>54</v>
      </c>
      <c r="R6" s="1752">
        <f>SUM(O6:Q6)</f>
        <v>391</v>
      </c>
      <c r="S6" s="755">
        <f>SUM('EGRESO POS ACUM plan'!H4)</f>
        <v>4</v>
      </c>
      <c r="T6" s="756">
        <f>SUM('EGRESO POS ACUM plan'!H5:H8)</f>
        <v>357</v>
      </c>
      <c r="U6" s="756">
        <f>SUM('EGRESO POS ACUM plan'!H12:H13)</f>
        <v>67</v>
      </c>
      <c r="V6" s="1752">
        <f>SUM(S6:U6)</f>
        <v>428</v>
      </c>
      <c r="W6" s="755">
        <f>SUM('EGRESO POS ACUM plan'!I4)</f>
        <v>4</v>
      </c>
      <c r="X6" s="756">
        <f>SUM('EGRESO POS ACUM plan'!I5:I11)</f>
        <v>393</v>
      </c>
      <c r="Y6" s="756">
        <f>SUM('EGRESO POS ACUM plan'!I12:I13)</f>
        <v>73</v>
      </c>
      <c r="Z6" s="1752">
        <f>SUM(W6:Y6)</f>
        <v>470</v>
      </c>
      <c r="AA6" s="755">
        <f>SUM('EGRESO POS ACUM plan'!J4)</f>
        <v>4</v>
      </c>
      <c r="AB6" s="756">
        <f>SUM('EGRESO POS ACUM plan'!J5:J11)</f>
        <v>429</v>
      </c>
      <c r="AC6" s="756">
        <f>SUM('EGRESO POS ACUM plan'!J12:J13)</f>
        <v>77</v>
      </c>
      <c r="AD6" s="1752">
        <f>SUM(AA6:AC6)</f>
        <v>510</v>
      </c>
      <c r="AE6" s="755">
        <f>SUM('EGRESO POS ACUM plan'!K4)</f>
        <v>4</v>
      </c>
      <c r="AF6" s="756">
        <f>SUM('EGRESO POS ACUM plan'!K5:K11)</f>
        <v>483</v>
      </c>
      <c r="AG6" s="756">
        <f>SUM('EGRESO POS ACUM plan'!K12:K13)</f>
        <v>84</v>
      </c>
      <c r="AH6" s="1752">
        <f>SUM(AE6:AG6)</f>
        <v>571</v>
      </c>
      <c r="AI6" s="755">
        <f>SUM('EGRESO POS ACUM plan'!L4)</f>
        <v>4</v>
      </c>
      <c r="AJ6" s="756">
        <f>SUM('EGRESO POS ACUM plan'!L5:L11)</f>
        <v>549</v>
      </c>
      <c r="AK6" s="756">
        <f>SUM('EGRESO POS ACUM plan'!L12:L16)</f>
        <v>94</v>
      </c>
      <c r="AL6" s="1752">
        <f>SUM(AI6:AK6)</f>
        <v>647</v>
      </c>
      <c r="AM6" s="755">
        <f>SUM('EGRESO POS ACUM plan'!M4)</f>
        <v>4</v>
      </c>
      <c r="AN6" s="756">
        <f>SUM('EGRESO POS ACUM plan'!M5:M11)</f>
        <v>608</v>
      </c>
      <c r="AO6" s="756">
        <f>SUM('EGRESO POS ACUM plan'!M12:M16)</f>
        <v>98</v>
      </c>
      <c r="AP6" s="1752">
        <f>SUM(AM6:AO6)</f>
        <v>710</v>
      </c>
      <c r="AQ6" s="755">
        <f>SUM('EGRESO POS ACUM plan'!N4)</f>
        <v>4</v>
      </c>
      <c r="AR6" s="756">
        <f>SUM('EGRESO POS ACUM plan'!N5:N11)</f>
        <v>649</v>
      </c>
      <c r="AS6" s="756">
        <f>SUM('EGRESO POS ACUM plan'!N12:N16)</f>
        <v>106</v>
      </c>
      <c r="AT6" s="1752">
        <f>SUM(AQ6:AS6)</f>
        <v>759</v>
      </c>
      <c r="AU6" s="755">
        <f>SUM('EGRESO POS ACUM plan'!O4)</f>
        <v>4</v>
      </c>
      <c r="AV6" s="756">
        <f>SUM('EGRESO POS ACUM plan'!O5:O11)</f>
        <v>687</v>
      </c>
      <c r="AW6" s="756">
        <f>SUM('EGRESO POS ACUM plan'!O12:O16)</f>
        <v>111</v>
      </c>
      <c r="AX6" s="1752">
        <f>SUM(AU6:AW6)</f>
        <v>802</v>
      </c>
      <c r="AY6" s="755">
        <f>SUM('EGRESO POS ACUM plan'!P4)</f>
        <v>4</v>
      </c>
      <c r="AZ6" s="756">
        <f>SUM('EGRESO POS ACUM plan'!P5:P11)</f>
        <v>735</v>
      </c>
      <c r="BA6" s="756">
        <f>SUM('EGRESO POS ACUM plan'!P12:P16)</f>
        <v>118</v>
      </c>
      <c r="BB6" s="1752">
        <f>SUM(AY6:BA6)</f>
        <v>857</v>
      </c>
      <c r="BC6" s="755">
        <f>SUM('EGRESO POS ACUM plan'!Q4)</f>
        <v>4</v>
      </c>
      <c r="BD6" s="756">
        <f>SUM('EGRESO POS ACUM plan'!Q5:Q11)</f>
        <v>778</v>
      </c>
      <c r="BE6" s="756">
        <f>SUM('EGRESO POS ACUM plan'!Q12:Q16)</f>
        <v>132</v>
      </c>
      <c r="BF6" s="1752">
        <f>SUM(BC6:BE6)</f>
        <v>914</v>
      </c>
    </row>
    <row r="7" spans="1:58" ht="14.4" x14ac:dyDescent="0.25">
      <c r="A7" s="635"/>
      <c r="B7" s="1753" t="s">
        <v>64</v>
      </c>
      <c r="C7" s="758">
        <f>SUM('EGRESO POS ACUM plan'!D19:D21)</f>
        <v>218</v>
      </c>
      <c r="D7" s="759">
        <f>SUM('EGRESO POS ACUM plan'!D22:D28)</f>
        <v>260</v>
      </c>
      <c r="E7" s="759">
        <f>SUM('EGRESO POS ACUM plan'!D32:D34)</f>
        <v>3</v>
      </c>
      <c r="F7" s="1754">
        <f>SUM(C7:E7)</f>
        <v>481</v>
      </c>
      <c r="G7" s="758">
        <f>SUM('EGRESO POS ACUM plan'!E19:E21)</f>
        <v>236</v>
      </c>
      <c r="H7" s="759">
        <f>SUM('EGRESO POS ACUM plan'!E22:E28)</f>
        <v>296</v>
      </c>
      <c r="I7" s="759">
        <f>SUM('EGRESO POS ACUM plan'!E32:E34)</f>
        <v>6</v>
      </c>
      <c r="J7" s="1754">
        <f>SUM(G7:I7)</f>
        <v>538</v>
      </c>
      <c r="K7" s="758">
        <f>SUM('EGRESO POS ACUM plan'!F19:F21)</f>
        <v>259</v>
      </c>
      <c r="L7" s="759">
        <f>SUM('EGRESO POS ACUM plan'!F22:F28)</f>
        <v>328</v>
      </c>
      <c r="M7" s="759">
        <f>SUM('EGRESO POS ACUM plan'!F32:F34)</f>
        <v>13</v>
      </c>
      <c r="N7" s="1754">
        <f>SUM(K7:M7)</f>
        <v>600</v>
      </c>
      <c r="O7" s="758">
        <f>SUM('EGRESO POS ACUM plan'!G19:G21)</f>
        <v>286</v>
      </c>
      <c r="P7" s="759">
        <f>SUM('EGRESO POS ACUM plan'!G22:G28)</f>
        <v>354</v>
      </c>
      <c r="Q7" s="759">
        <f>SUM('EGRESO POS ACUM plan'!G32:G34)</f>
        <v>19</v>
      </c>
      <c r="R7" s="1754">
        <f>SUM(O7:Q7)</f>
        <v>659</v>
      </c>
      <c r="S7" s="758">
        <f>SUM('EGRESO POS ACUM plan'!H19:H21)</f>
        <v>298</v>
      </c>
      <c r="T7" s="759">
        <f>SUM('EGRESO POS ACUM plan'!H22:H28)</f>
        <v>382</v>
      </c>
      <c r="U7" s="759">
        <f>SUM('EGRESO POS ACUM plan'!H32:H34)</f>
        <v>28</v>
      </c>
      <c r="V7" s="1754">
        <f>SUM(S7:U7)</f>
        <v>708</v>
      </c>
      <c r="W7" s="758">
        <f>SUM('EGRESO POS ACUM plan'!I19:I21)</f>
        <v>322</v>
      </c>
      <c r="X7" s="759">
        <f>SUM('EGRESO POS ACUM plan'!I22:I29)</f>
        <v>416</v>
      </c>
      <c r="Y7" s="759">
        <f>SUM('EGRESO POS ACUM plan'!I32:I34)</f>
        <v>41</v>
      </c>
      <c r="Z7" s="1754">
        <f>SUM(W7:Y7)</f>
        <v>779</v>
      </c>
      <c r="AA7" s="758">
        <f>SUM('EGRESO POS ACUM plan'!J19:J21)</f>
        <v>338</v>
      </c>
      <c r="AB7" s="759">
        <f>SUM('EGRESO POS ACUM plan'!J22:J29)</f>
        <v>439</v>
      </c>
      <c r="AC7" s="759">
        <f>SUM('EGRESO POS ACUM plan'!J32:J34)</f>
        <v>48</v>
      </c>
      <c r="AD7" s="1754">
        <f>SUM(AA7:AC7)</f>
        <v>825</v>
      </c>
      <c r="AE7" s="758">
        <f>SUM('EGRESO POS ACUM plan'!K19:K21)</f>
        <v>362</v>
      </c>
      <c r="AF7" s="759">
        <f>SUM('EGRESO POS ACUM plan'!K22:K29)</f>
        <v>490</v>
      </c>
      <c r="AG7" s="759">
        <f>SUM('EGRESO POS ACUM plan'!K32:K34)</f>
        <v>59</v>
      </c>
      <c r="AH7" s="1754">
        <f>SUM(AE7:AG7)</f>
        <v>911</v>
      </c>
      <c r="AI7" s="758">
        <f>SUM('EGRESO POS ACUM plan'!L19:L21)</f>
        <v>385</v>
      </c>
      <c r="AJ7" s="759">
        <f>SUM('EGRESO POS ACUM plan'!L22:L29)</f>
        <v>514</v>
      </c>
      <c r="AK7" s="759">
        <f>SUM('EGRESO POS ACUM plan'!L32:L34)</f>
        <v>63</v>
      </c>
      <c r="AL7" s="1754">
        <f>SUM(AI7:AK7)</f>
        <v>962</v>
      </c>
      <c r="AM7" s="758">
        <f>SUM('EGRESO POS ACUM plan'!M19:M21)</f>
        <v>404</v>
      </c>
      <c r="AN7" s="759">
        <f>SUM('EGRESO POS ACUM plan'!M22:M30)</f>
        <v>557</v>
      </c>
      <c r="AO7" s="759">
        <f>SUM('EGRESO POS ACUM plan'!M32:M34)</f>
        <v>70</v>
      </c>
      <c r="AP7" s="1754">
        <f>SUM(AM7:AO7)</f>
        <v>1031</v>
      </c>
      <c r="AQ7" s="758">
        <f>SUM('EGRESO POS ACUM plan'!N19:N21)</f>
        <v>417</v>
      </c>
      <c r="AR7" s="759">
        <f>SUM('EGRESO POS ACUM plan'!N22:N30)</f>
        <v>578</v>
      </c>
      <c r="AS7" s="759">
        <f>SUM('EGRESO POS ACUM plan'!N32:N34)</f>
        <v>78</v>
      </c>
      <c r="AT7" s="1754">
        <f>SUM(AQ7:AS7)</f>
        <v>1073</v>
      </c>
      <c r="AU7" s="758">
        <f>SUM('EGRESO POS ACUM plan'!O18:O21)</f>
        <v>443</v>
      </c>
      <c r="AV7" s="759">
        <f>SUM('EGRESO POS ACUM plan'!O22:O30)</f>
        <v>609</v>
      </c>
      <c r="AW7" s="759">
        <f>SUM('EGRESO POS ACUM plan'!O31:O34)</f>
        <v>81</v>
      </c>
      <c r="AX7" s="1754">
        <f>SUM(AU7:AW7)</f>
        <v>1133</v>
      </c>
      <c r="AY7" s="758">
        <f>SUM('EGRESO POS ACUM plan'!P18:P21)</f>
        <v>450</v>
      </c>
      <c r="AZ7" s="759">
        <f>SUM('EGRESO POS ACUM plan'!P22:P30)</f>
        <v>640</v>
      </c>
      <c r="BA7" s="759">
        <f>SUM('EGRESO POS ACUM plan'!P31:P34)</f>
        <v>89</v>
      </c>
      <c r="BB7" s="1754">
        <f>SUM(AY7:BA7)</f>
        <v>1179</v>
      </c>
      <c r="BC7" s="758">
        <f>SUM('EGRESO POS ACUM plan'!Q18:Q21)</f>
        <v>462</v>
      </c>
      <c r="BD7" s="759">
        <f>SUM('EGRESO POS ACUM plan'!Q22:Q30)</f>
        <v>678</v>
      </c>
      <c r="BE7" s="759">
        <f>SUM('EGRESO POS ACUM plan'!Q31:Q34)</f>
        <v>99</v>
      </c>
      <c r="BF7" s="1754">
        <f>SUM(BC7:BE7)</f>
        <v>1239</v>
      </c>
    </row>
    <row r="8" spans="1:58" ht="14.4" x14ac:dyDescent="0.25">
      <c r="A8" s="635"/>
      <c r="B8" s="1753" t="s">
        <v>68</v>
      </c>
      <c r="C8" s="758">
        <f>SUM('EGRESO POS ACUM plan'!D36:D37)</f>
        <v>341</v>
      </c>
      <c r="D8" s="759">
        <f>SUM('EGRESO POS ACUM plan'!D43:D44)</f>
        <v>84</v>
      </c>
      <c r="E8" s="759">
        <f>SUM('EGRESO POS ACUM plan'!D51)</f>
        <v>33</v>
      </c>
      <c r="F8" s="1754">
        <f>SUM(C8:E8)</f>
        <v>458</v>
      </c>
      <c r="G8" s="758">
        <f>SUM('EGRESO POS ACUM plan'!E36:E37)</f>
        <v>366</v>
      </c>
      <c r="H8" s="759">
        <f>SUM('EGRESO POS ACUM plan'!E43:E44)</f>
        <v>99</v>
      </c>
      <c r="I8" s="759">
        <f>SUM('EGRESO POS ACUM plan'!E51)</f>
        <v>38</v>
      </c>
      <c r="J8" s="1754">
        <f>SUM(G8:I8)</f>
        <v>503</v>
      </c>
      <c r="K8" s="758">
        <f>SUM('EGRESO POS ACUM plan'!F36:F37)</f>
        <v>403</v>
      </c>
      <c r="L8" s="759">
        <f>SUM('EGRESO POS ACUM plan'!F43:F44)</f>
        <v>128</v>
      </c>
      <c r="M8" s="759">
        <f>SUM('EGRESO POS ACUM plan'!F51)</f>
        <v>45</v>
      </c>
      <c r="N8" s="1754">
        <f>SUM(K8:M8)</f>
        <v>576</v>
      </c>
      <c r="O8" s="758">
        <f>SUM('EGRESO POS ACUM plan'!G36:G37)</f>
        <v>407</v>
      </c>
      <c r="P8" s="759">
        <f>SUM('EGRESO POS ACUM plan'!G43:G44)</f>
        <v>151</v>
      </c>
      <c r="Q8" s="759">
        <f>SUM('EGRESO POS ACUM plan'!G51)</f>
        <v>47</v>
      </c>
      <c r="R8" s="1754">
        <f>SUM(O8:Q8)</f>
        <v>605</v>
      </c>
      <c r="S8" s="758">
        <f>SUM('EGRESO POS ACUM plan'!H36:H37)</f>
        <v>440</v>
      </c>
      <c r="T8" s="759">
        <f>SUM('EGRESO POS ACUM plan'!H43:H44)</f>
        <v>189</v>
      </c>
      <c r="U8" s="759">
        <f>SUM('EGRESO POS ACUM plan'!H51)</f>
        <v>56</v>
      </c>
      <c r="V8" s="1754">
        <f>SUM(S8:U8)</f>
        <v>685</v>
      </c>
      <c r="W8" s="758">
        <f>SUM('EGRESO POS ACUM plan'!I36:I42)</f>
        <v>441</v>
      </c>
      <c r="X8" s="759">
        <f>SUM('EGRESO POS ACUM plan'!I43:I49)</f>
        <v>215</v>
      </c>
      <c r="Y8" s="759">
        <f>SUM('EGRESO POS ACUM plan'!I51:I54)</f>
        <v>65</v>
      </c>
      <c r="Z8" s="1754">
        <f>SUM(W8:Y8)</f>
        <v>721</v>
      </c>
      <c r="AA8" s="758">
        <f>SUM('EGRESO POS ACUM plan'!J36:J42)</f>
        <v>423</v>
      </c>
      <c r="AB8" s="759">
        <f>SUM('EGRESO POS ACUM plan'!J43:J49)</f>
        <v>238</v>
      </c>
      <c r="AC8" s="759">
        <f>SUM('EGRESO POS ACUM plan'!J51:J54)</f>
        <v>71</v>
      </c>
      <c r="AD8" s="1754">
        <f>SUM(AA8:AC8)</f>
        <v>732</v>
      </c>
      <c r="AE8" s="758">
        <f>SUM('EGRESO POS ACUM plan'!K36:K42)</f>
        <v>435</v>
      </c>
      <c r="AF8" s="759">
        <f>SUM('EGRESO POS ACUM plan'!K43:K49)</f>
        <v>257</v>
      </c>
      <c r="AG8" s="759">
        <f>SUM('EGRESO POS ACUM plan'!K51:K56)</f>
        <v>80</v>
      </c>
      <c r="AH8" s="1754">
        <f>SUM(AE8:AG8)</f>
        <v>772</v>
      </c>
      <c r="AI8" s="758">
        <f>SUM('EGRESO POS ACUM plan'!L36:L42)</f>
        <v>444</v>
      </c>
      <c r="AJ8" s="759">
        <f>SUM('EGRESO POS ACUM plan'!L43:L49)</f>
        <v>280</v>
      </c>
      <c r="AK8" s="759">
        <f>SUM('EGRESO POS ACUM plan'!L51:L56)</f>
        <v>86</v>
      </c>
      <c r="AL8" s="1754">
        <f>SUM(AI8:AK8)</f>
        <v>810</v>
      </c>
      <c r="AM8" s="758">
        <f>SUM('EGRESO POS ACUM plan'!M36:M42)</f>
        <v>446</v>
      </c>
      <c r="AN8" s="759">
        <f>SUM('EGRESO POS ACUM plan'!M43:M50)</f>
        <v>303</v>
      </c>
      <c r="AO8" s="759">
        <f>SUM('EGRESO POS ACUM plan'!M51:M56)</f>
        <v>96</v>
      </c>
      <c r="AP8" s="1754">
        <f>SUM(AM8:AO8)</f>
        <v>845</v>
      </c>
      <c r="AQ8" s="758">
        <f>SUM('EGRESO POS ACUM plan'!N36:N42)</f>
        <v>466</v>
      </c>
      <c r="AR8" s="759">
        <f>SUM('EGRESO POS ACUM plan'!N43:N50)</f>
        <v>310</v>
      </c>
      <c r="AS8" s="759">
        <f>SUM('EGRESO POS ACUM plan'!N51:N56)</f>
        <v>109</v>
      </c>
      <c r="AT8" s="1754">
        <f>SUM(AQ8:AS8)</f>
        <v>885</v>
      </c>
      <c r="AU8" s="758">
        <f>SUM('EGRESO POS ACUM plan'!O36:O42)</f>
        <v>461</v>
      </c>
      <c r="AV8" s="759">
        <f>SUM('EGRESO POS ACUM plan'!O43:O50)</f>
        <v>315</v>
      </c>
      <c r="AW8" s="759">
        <f>SUM('EGRESO POS ACUM plan'!O51:O57)</f>
        <v>118</v>
      </c>
      <c r="AX8" s="1754">
        <f>SUM(AU8:AW8)</f>
        <v>894</v>
      </c>
      <c r="AY8" s="758">
        <f>SUM('EGRESO POS ACUM plan'!P36:P42)</f>
        <v>474</v>
      </c>
      <c r="AZ8" s="759">
        <f>SUM('EGRESO POS ACUM plan'!P43:P50)</f>
        <v>327</v>
      </c>
      <c r="BA8" s="759">
        <f>SUM('EGRESO POS ACUM plan'!P51:P57)</f>
        <v>125</v>
      </c>
      <c r="BB8" s="1754">
        <f>SUM(AY8:BA8)</f>
        <v>926</v>
      </c>
      <c r="BC8" s="758">
        <f>SUM('EGRESO POS ACUM plan'!Q36:Q42)</f>
        <v>486</v>
      </c>
      <c r="BD8" s="759">
        <f>SUM('EGRESO POS ACUM plan'!Q43:Q50)</f>
        <v>342</v>
      </c>
      <c r="BE8" s="759">
        <f>SUM('EGRESO POS ACUM plan'!Q51:Q57)</f>
        <v>138</v>
      </c>
      <c r="BF8" s="1754">
        <f>SUM(BC8:BE8)</f>
        <v>966</v>
      </c>
    </row>
    <row r="9" spans="1:58" ht="14.4" x14ac:dyDescent="0.25">
      <c r="A9" s="635"/>
      <c r="B9" s="1755" t="s">
        <v>138</v>
      </c>
      <c r="C9" s="1756">
        <f t="shared" ref="C9:AX9" si="0">SUM(C6:C8)</f>
        <v>563</v>
      </c>
      <c r="D9" s="1757">
        <f t="shared" si="0"/>
        <v>591</v>
      </c>
      <c r="E9" s="1757">
        <f t="shared" si="0"/>
        <v>67</v>
      </c>
      <c r="F9" s="1758">
        <f t="shared" si="0"/>
        <v>1221</v>
      </c>
      <c r="G9" s="1756">
        <f t="shared" si="0"/>
        <v>606</v>
      </c>
      <c r="H9" s="1757">
        <f t="shared" si="0"/>
        <v>659</v>
      </c>
      <c r="I9" s="1757">
        <f t="shared" si="0"/>
        <v>81</v>
      </c>
      <c r="J9" s="1758">
        <f t="shared" si="0"/>
        <v>1346</v>
      </c>
      <c r="K9" s="1756">
        <f t="shared" si="0"/>
        <v>666</v>
      </c>
      <c r="L9" s="1757">
        <f t="shared" si="0"/>
        <v>752</v>
      </c>
      <c r="M9" s="1757">
        <f t="shared" si="0"/>
        <v>106</v>
      </c>
      <c r="N9" s="1758">
        <f t="shared" si="0"/>
        <v>1524</v>
      </c>
      <c r="O9" s="1756">
        <f t="shared" si="0"/>
        <v>697</v>
      </c>
      <c r="P9" s="1757">
        <f t="shared" si="0"/>
        <v>838</v>
      </c>
      <c r="Q9" s="1757">
        <f t="shared" si="0"/>
        <v>120</v>
      </c>
      <c r="R9" s="1758">
        <f t="shared" si="0"/>
        <v>1655</v>
      </c>
      <c r="S9" s="1756">
        <f t="shared" si="0"/>
        <v>742</v>
      </c>
      <c r="T9" s="1757">
        <f t="shared" si="0"/>
        <v>928</v>
      </c>
      <c r="U9" s="1757">
        <f t="shared" si="0"/>
        <v>151</v>
      </c>
      <c r="V9" s="1758">
        <f t="shared" si="0"/>
        <v>1821</v>
      </c>
      <c r="W9" s="1756">
        <f t="shared" si="0"/>
        <v>767</v>
      </c>
      <c r="X9" s="1757">
        <f t="shared" si="0"/>
        <v>1024</v>
      </c>
      <c r="Y9" s="1757">
        <f t="shared" si="0"/>
        <v>179</v>
      </c>
      <c r="Z9" s="1758">
        <f t="shared" si="0"/>
        <v>1970</v>
      </c>
      <c r="AA9" s="1756">
        <f t="shared" si="0"/>
        <v>765</v>
      </c>
      <c r="AB9" s="1757">
        <f t="shared" si="0"/>
        <v>1106</v>
      </c>
      <c r="AC9" s="1757">
        <f t="shared" si="0"/>
        <v>196</v>
      </c>
      <c r="AD9" s="1758">
        <f t="shared" si="0"/>
        <v>2067</v>
      </c>
      <c r="AE9" s="1756">
        <f t="shared" si="0"/>
        <v>801</v>
      </c>
      <c r="AF9" s="1757">
        <f t="shared" si="0"/>
        <v>1230</v>
      </c>
      <c r="AG9" s="1757">
        <f t="shared" si="0"/>
        <v>223</v>
      </c>
      <c r="AH9" s="1758">
        <f t="shared" si="0"/>
        <v>2254</v>
      </c>
      <c r="AI9" s="1756">
        <f t="shared" si="0"/>
        <v>833</v>
      </c>
      <c r="AJ9" s="1757">
        <f t="shared" si="0"/>
        <v>1343</v>
      </c>
      <c r="AK9" s="1757">
        <f t="shared" si="0"/>
        <v>243</v>
      </c>
      <c r="AL9" s="1758">
        <f t="shared" si="0"/>
        <v>2419</v>
      </c>
      <c r="AM9" s="1756">
        <f t="shared" si="0"/>
        <v>854</v>
      </c>
      <c r="AN9" s="1757">
        <f t="shared" si="0"/>
        <v>1468</v>
      </c>
      <c r="AO9" s="1757">
        <f t="shared" si="0"/>
        <v>264</v>
      </c>
      <c r="AP9" s="1758">
        <f t="shared" si="0"/>
        <v>2586</v>
      </c>
      <c r="AQ9" s="1756">
        <f t="shared" si="0"/>
        <v>887</v>
      </c>
      <c r="AR9" s="1757">
        <f t="shared" si="0"/>
        <v>1537</v>
      </c>
      <c r="AS9" s="1757">
        <f t="shared" si="0"/>
        <v>293</v>
      </c>
      <c r="AT9" s="1758">
        <f t="shared" si="0"/>
        <v>2717</v>
      </c>
      <c r="AU9" s="1756">
        <f t="shared" si="0"/>
        <v>908</v>
      </c>
      <c r="AV9" s="1757">
        <f t="shared" si="0"/>
        <v>1611</v>
      </c>
      <c r="AW9" s="1757">
        <f t="shared" si="0"/>
        <v>310</v>
      </c>
      <c r="AX9" s="1758">
        <f t="shared" si="0"/>
        <v>2829</v>
      </c>
      <c r="AY9" s="1756">
        <f t="shared" ref="AY9:BF9" si="1">SUM(AY6:AY8)</f>
        <v>928</v>
      </c>
      <c r="AZ9" s="1757">
        <f t="shared" si="1"/>
        <v>1702</v>
      </c>
      <c r="BA9" s="1757">
        <f t="shared" si="1"/>
        <v>332</v>
      </c>
      <c r="BB9" s="1758">
        <f t="shared" si="1"/>
        <v>2962</v>
      </c>
      <c r="BC9" s="1756">
        <f t="shared" si="1"/>
        <v>952</v>
      </c>
      <c r="BD9" s="1757">
        <f t="shared" si="1"/>
        <v>1798</v>
      </c>
      <c r="BE9" s="1757">
        <f t="shared" si="1"/>
        <v>369</v>
      </c>
      <c r="BF9" s="1758">
        <f t="shared" si="1"/>
        <v>3119</v>
      </c>
    </row>
    <row r="10" spans="1:58" ht="14.4" x14ac:dyDescent="0.25">
      <c r="A10" s="635"/>
      <c r="B10" s="1759"/>
      <c r="C10" s="1760"/>
      <c r="D10" s="1760"/>
      <c r="E10" s="1760"/>
      <c r="F10" s="1760"/>
      <c r="G10" s="1760"/>
      <c r="H10" s="1760"/>
      <c r="I10" s="1760"/>
      <c r="J10" s="1760"/>
      <c r="K10" s="1760"/>
      <c r="L10" s="1760"/>
      <c r="M10" s="1760"/>
      <c r="N10" s="1760"/>
      <c r="O10" s="1760"/>
      <c r="P10" s="1760"/>
      <c r="Q10" s="1760"/>
      <c r="R10" s="1760"/>
      <c r="S10" s="1760"/>
      <c r="T10" s="1760"/>
      <c r="U10" s="1760"/>
      <c r="V10" s="1760"/>
      <c r="W10" s="1760"/>
      <c r="X10" s="1760"/>
      <c r="Y10" s="1760"/>
      <c r="Z10" s="1760"/>
      <c r="AA10" s="1760"/>
      <c r="AB10" s="1760"/>
      <c r="AC10" s="1760"/>
      <c r="AD10" s="1760"/>
      <c r="AE10" s="1760"/>
      <c r="AF10" s="1760"/>
      <c r="AG10" s="1760"/>
      <c r="AH10" s="1760"/>
      <c r="AI10" s="1760"/>
      <c r="AJ10" s="1760"/>
      <c r="AK10" s="1760"/>
      <c r="AL10" s="1760"/>
      <c r="AM10" s="1760"/>
      <c r="AN10" s="1760"/>
      <c r="AO10" s="1760"/>
      <c r="AP10" s="1760"/>
      <c r="AQ10" s="1760"/>
      <c r="AR10" s="1760"/>
      <c r="AS10" s="1760"/>
      <c r="AT10" s="1760"/>
      <c r="AU10" s="1760"/>
      <c r="AV10" s="1760"/>
      <c r="AW10" s="1760"/>
      <c r="AX10" s="1760"/>
      <c r="AY10" s="1760"/>
      <c r="AZ10" s="1760"/>
      <c r="BA10" s="1760"/>
      <c r="BB10" s="1760"/>
      <c r="BC10" s="1760"/>
      <c r="BD10" s="1760"/>
      <c r="BE10" s="1760"/>
      <c r="BF10" s="1760"/>
    </row>
    <row r="11" spans="1:58" ht="14.4" x14ac:dyDescent="0.25">
      <c r="A11" s="635"/>
      <c r="B11" s="1751" t="s">
        <v>64</v>
      </c>
      <c r="C11" s="755"/>
      <c r="D11" s="756"/>
      <c r="E11" s="756"/>
      <c r="F11" s="1752"/>
      <c r="G11" s="755"/>
      <c r="H11" s="756"/>
      <c r="I11" s="756"/>
      <c r="J11" s="1752"/>
      <c r="K11" s="755"/>
      <c r="L11" s="756"/>
      <c r="M11" s="756"/>
      <c r="N11" s="1752"/>
      <c r="O11" s="755"/>
      <c r="P11" s="756"/>
      <c r="Q11" s="756"/>
      <c r="R11" s="1752"/>
      <c r="S11" s="755"/>
      <c r="T11" s="756">
        <f>SUM('EGRESO POS ACUM plan'!H164)</f>
        <v>10</v>
      </c>
      <c r="U11" s="756"/>
      <c r="V11" s="1752">
        <f>SUM(S11:U11)</f>
        <v>10</v>
      </c>
      <c r="W11" s="755"/>
      <c r="X11" s="756">
        <f>SUM('EGRESO POS ACUM plan'!I164)</f>
        <v>16</v>
      </c>
      <c r="Y11" s="756">
        <f>SUM('EGRESO POS ACUM plan'!I165)</f>
        <v>2</v>
      </c>
      <c r="Z11" s="1752">
        <f>SUM(W11:Y11)</f>
        <v>18</v>
      </c>
      <c r="AA11" s="755"/>
      <c r="AB11" s="756">
        <f>SUM('EGRESO POS ACUM plan'!J164)</f>
        <v>25</v>
      </c>
      <c r="AC11" s="756">
        <f>SUM('EGRESO POS ACUM plan'!J165)</f>
        <v>3</v>
      </c>
      <c r="AD11" s="1752">
        <f>SUM(AA11:AC11)</f>
        <v>28</v>
      </c>
      <c r="AE11" s="755"/>
      <c r="AF11" s="756">
        <f>SUM('EGRESO POS ACUM plan'!K164)</f>
        <v>32</v>
      </c>
      <c r="AG11" s="756">
        <f>SUM('EGRESO POS ACUM plan'!K165)</f>
        <v>8</v>
      </c>
      <c r="AH11" s="1752">
        <f>SUM(AE11:AG11)</f>
        <v>40</v>
      </c>
      <c r="AI11" s="755"/>
      <c r="AJ11" s="756">
        <f>SUM('EGRESO POS ACUM plan'!L164)</f>
        <v>45</v>
      </c>
      <c r="AK11" s="756">
        <f>SUM('EGRESO POS ACUM plan'!L165)</f>
        <v>17</v>
      </c>
      <c r="AL11" s="1752">
        <f>SUM(AI11:AK11)</f>
        <v>62</v>
      </c>
      <c r="AM11" s="755"/>
      <c r="AN11" s="756">
        <f>SUM('EGRESO POS ACUM plan'!M164)</f>
        <v>54</v>
      </c>
      <c r="AO11" s="756">
        <f>SUM('EGRESO POS ACUM plan'!M165)</f>
        <v>24</v>
      </c>
      <c r="AP11" s="1752">
        <f>SUM(AM11:AO11)</f>
        <v>78</v>
      </c>
      <c r="AQ11" s="755"/>
      <c r="AR11" s="756">
        <f>SUM('EGRESO POS ACUM plan'!N164)</f>
        <v>67</v>
      </c>
      <c r="AS11" s="756">
        <f>SUM('EGRESO POS ACUM plan'!N165)</f>
        <v>29</v>
      </c>
      <c r="AT11" s="1752">
        <f>SUM(AQ11:AS11)</f>
        <v>96</v>
      </c>
      <c r="AU11" s="755"/>
      <c r="AV11" s="756">
        <f>SUM('EGRESO POS ACUM plan'!O164)</f>
        <v>73</v>
      </c>
      <c r="AW11" s="756">
        <f>SUM('EGRESO POS ACUM plan'!O165)</f>
        <v>32</v>
      </c>
      <c r="AX11" s="1752">
        <f>SUM(AU11:AW11)</f>
        <v>105</v>
      </c>
      <c r="AY11" s="755"/>
      <c r="AZ11" s="756">
        <f>SUM('EGRESO POS ACUM plan'!P164)</f>
        <v>80</v>
      </c>
      <c r="BA11" s="756">
        <f>SUM('EGRESO POS ACUM plan'!P165)</f>
        <v>39</v>
      </c>
      <c r="BB11" s="1752">
        <f>SUM(AY11:BA11)</f>
        <v>119</v>
      </c>
      <c r="BC11" s="755"/>
      <c r="BD11" s="756">
        <f>SUM('EGRESO POS ACUM plan'!Q164)</f>
        <v>86</v>
      </c>
      <c r="BE11" s="756">
        <f>SUM('EGRESO POS ACUM plan'!Q165)</f>
        <v>48</v>
      </c>
      <c r="BF11" s="1752">
        <f>SUM(BC11:BE11)</f>
        <v>134</v>
      </c>
    </row>
    <row r="12" spans="1:58" ht="14.4" x14ac:dyDescent="0.25">
      <c r="A12" s="635"/>
      <c r="B12" s="1753" t="s">
        <v>111</v>
      </c>
      <c r="C12" s="758"/>
      <c r="D12" s="759"/>
      <c r="E12" s="759"/>
      <c r="F12" s="1754"/>
      <c r="G12" s="758"/>
      <c r="H12" s="759"/>
      <c r="I12" s="759"/>
      <c r="J12" s="1754"/>
      <c r="K12" s="758"/>
      <c r="L12" s="759"/>
      <c r="M12" s="759"/>
      <c r="N12" s="1754"/>
      <c r="O12" s="758"/>
      <c r="P12" s="759"/>
      <c r="Q12" s="759"/>
      <c r="R12" s="1754"/>
      <c r="S12" s="758"/>
      <c r="T12" s="759"/>
      <c r="U12" s="759"/>
      <c r="V12" s="1754">
        <f>SUM(S12:U12)</f>
        <v>0</v>
      </c>
      <c r="W12" s="758"/>
      <c r="X12" s="759">
        <f>SUM('EGRESO POS ACUM plan'!I167)</f>
        <v>8</v>
      </c>
      <c r="Y12" s="759"/>
      <c r="Z12" s="1754">
        <f>SUM(W12:Y12)</f>
        <v>8</v>
      </c>
      <c r="AA12" s="758"/>
      <c r="AB12" s="759">
        <f>SUM('EGRESO POS ACUM plan'!J167)</f>
        <v>21</v>
      </c>
      <c r="AC12" s="759"/>
      <c r="AD12" s="1754">
        <f>SUM(AA12:AC12)</f>
        <v>21</v>
      </c>
      <c r="AE12" s="758"/>
      <c r="AF12" s="759">
        <f>SUM('EGRESO POS ACUM plan'!K167)</f>
        <v>39</v>
      </c>
      <c r="AG12" s="759"/>
      <c r="AH12" s="1754">
        <f>SUM(AE12:AG12)</f>
        <v>39</v>
      </c>
      <c r="AI12" s="758"/>
      <c r="AJ12" s="759">
        <f>SUM('EGRESO POS ACUM plan'!L167)</f>
        <v>49</v>
      </c>
      <c r="AK12" s="759"/>
      <c r="AL12" s="1754">
        <f>SUM(AI12:AK12)</f>
        <v>49</v>
      </c>
      <c r="AM12" s="758"/>
      <c r="AN12" s="759">
        <f>SUM('EGRESO POS ACUM plan'!M167)</f>
        <v>59</v>
      </c>
      <c r="AO12" s="759"/>
      <c r="AP12" s="1754">
        <f>SUM(AM12:AO12)</f>
        <v>59</v>
      </c>
      <c r="AQ12" s="758"/>
      <c r="AR12" s="759">
        <f>SUM('EGRESO POS ACUM plan'!N167)</f>
        <v>81</v>
      </c>
      <c r="AS12" s="759"/>
      <c r="AT12" s="1754">
        <f>SUM(AQ12:AS12)</f>
        <v>81</v>
      </c>
      <c r="AU12" s="758"/>
      <c r="AV12" s="759">
        <f>SUM('EGRESO POS ACUM plan'!O167)</f>
        <v>102</v>
      </c>
      <c r="AW12" s="759"/>
      <c r="AX12" s="1754">
        <f>SUM(AU12:AW12)</f>
        <v>102</v>
      </c>
      <c r="AY12" s="758"/>
      <c r="AZ12" s="759">
        <f>SUM('EGRESO POS ACUM plan'!P167)</f>
        <v>121</v>
      </c>
      <c r="BA12" s="759"/>
      <c r="BB12" s="1754">
        <f>SUM(AY12:BA12)</f>
        <v>121</v>
      </c>
      <c r="BC12" s="758"/>
      <c r="BD12" s="759">
        <f>SUM('EGRESO POS ACUM plan'!Q167)</f>
        <v>138</v>
      </c>
      <c r="BE12" s="759"/>
      <c r="BF12" s="1754">
        <f>SUM(BC12:BE12)</f>
        <v>138</v>
      </c>
    </row>
    <row r="13" spans="1:58" ht="14.4" x14ac:dyDescent="0.25">
      <c r="A13" s="635"/>
      <c r="B13" s="1753" t="s">
        <v>115</v>
      </c>
      <c r="C13" s="758"/>
      <c r="D13" s="759"/>
      <c r="E13" s="759"/>
      <c r="F13" s="1754"/>
      <c r="G13" s="758"/>
      <c r="H13" s="759"/>
      <c r="I13" s="759"/>
      <c r="J13" s="1754"/>
      <c r="K13" s="758"/>
      <c r="L13" s="759"/>
      <c r="M13" s="759"/>
      <c r="N13" s="1754"/>
      <c r="O13" s="758"/>
      <c r="P13" s="759"/>
      <c r="Q13" s="759"/>
      <c r="R13" s="1754"/>
      <c r="S13" s="758">
        <f>SUM('EGRESO POS ACUM plan'!H169)</f>
        <v>2</v>
      </c>
      <c r="T13" s="759"/>
      <c r="U13" s="759"/>
      <c r="V13" s="1754">
        <f>SUM(S13:U13)</f>
        <v>2</v>
      </c>
      <c r="W13" s="758">
        <f>SUM('EGRESO POS ACUM plan'!I169)</f>
        <v>4</v>
      </c>
      <c r="X13" s="759">
        <f>SUM('EGRESO POS ACUM plan'!I170)</f>
        <v>1</v>
      </c>
      <c r="Y13" s="759"/>
      <c r="Z13" s="1754">
        <f>SUM(W13:Y13)</f>
        <v>5</v>
      </c>
      <c r="AA13" s="758">
        <f>SUM('EGRESO POS ACUM plan'!J169)</f>
        <v>6</v>
      </c>
      <c r="AB13" s="759">
        <f>SUM('EGRESO POS ACUM plan'!J170)</f>
        <v>8</v>
      </c>
      <c r="AC13" s="759">
        <f>SUM('EGRESO POS ACUM plan'!J171:J172)</f>
        <v>2</v>
      </c>
      <c r="AD13" s="1754">
        <f>SUM(AA13:AC13)</f>
        <v>16</v>
      </c>
      <c r="AE13" s="758">
        <f>SUM('EGRESO POS ACUM plan'!K169)</f>
        <v>8</v>
      </c>
      <c r="AF13" s="759">
        <f>SUM('EGRESO POS ACUM plan'!K170)</f>
        <v>17</v>
      </c>
      <c r="AG13" s="759">
        <f>SUM('EGRESO POS ACUM plan'!K171:K172)</f>
        <v>2</v>
      </c>
      <c r="AH13" s="1754">
        <f>SUM(AE13:AG13)</f>
        <v>27</v>
      </c>
      <c r="AI13" s="758">
        <f>SUM('EGRESO POS ACUM plan'!L169)</f>
        <v>9</v>
      </c>
      <c r="AJ13" s="759">
        <f>SUM('EGRESO POS ACUM plan'!L170)</f>
        <v>24</v>
      </c>
      <c r="AK13" s="759">
        <f>SUM('EGRESO POS ACUM plan'!L171:L172)</f>
        <v>4</v>
      </c>
      <c r="AL13" s="1754">
        <f>SUM(AI13:AK13)</f>
        <v>37</v>
      </c>
      <c r="AM13" s="758">
        <f>SUM('EGRESO POS ACUM plan'!M169)</f>
        <v>11</v>
      </c>
      <c r="AN13" s="759">
        <f>SUM('EGRESO POS ACUM plan'!M170)</f>
        <v>30</v>
      </c>
      <c r="AO13" s="759">
        <f>SUM('EGRESO POS ACUM plan'!M171:M172)</f>
        <v>8</v>
      </c>
      <c r="AP13" s="1754">
        <f>SUM(AM13:AO13)</f>
        <v>49</v>
      </c>
      <c r="AQ13" s="758">
        <f>SUM('EGRESO POS ACUM plan'!N169)</f>
        <v>11</v>
      </c>
      <c r="AR13" s="759">
        <f>SUM('EGRESO POS ACUM plan'!N170)</f>
        <v>41</v>
      </c>
      <c r="AS13" s="759">
        <f>SUM('EGRESO POS ACUM plan'!N171:N172)</f>
        <v>14</v>
      </c>
      <c r="AT13" s="1754">
        <f>SUM(AQ13:AS13)</f>
        <v>66</v>
      </c>
      <c r="AU13" s="758">
        <f>SUM('EGRESO POS ACUM plan'!O169)</f>
        <v>11</v>
      </c>
      <c r="AV13" s="759">
        <f>SUM('EGRESO POS ACUM plan'!O170)</f>
        <v>43</v>
      </c>
      <c r="AW13" s="759">
        <f>SUM('EGRESO POS ACUM plan'!O171:O172)</f>
        <v>18</v>
      </c>
      <c r="AX13" s="1754">
        <f>SUM(AU13:AW13)</f>
        <v>72</v>
      </c>
      <c r="AY13" s="758">
        <f>SUM('EGRESO POS ACUM plan'!P169)</f>
        <v>11</v>
      </c>
      <c r="AZ13" s="759">
        <f>SUM('EGRESO POS ACUM plan'!P170)</f>
        <v>50</v>
      </c>
      <c r="BA13" s="759">
        <f>SUM('EGRESO POS ACUM plan'!P171:P172)</f>
        <v>20</v>
      </c>
      <c r="BB13" s="1754">
        <f>SUM(AY13:BA13)</f>
        <v>81</v>
      </c>
      <c r="BC13" s="758">
        <f>SUM('EGRESO POS ACUM plan'!Q169)</f>
        <v>11</v>
      </c>
      <c r="BD13" s="759">
        <f>SUM('EGRESO POS ACUM plan'!Q170)</f>
        <v>57</v>
      </c>
      <c r="BE13" s="759">
        <f>SUM('EGRESO POS ACUM plan'!Q171:Q172)</f>
        <v>25</v>
      </c>
      <c r="BF13" s="1754">
        <f>SUM(BC13:BE13)</f>
        <v>93</v>
      </c>
    </row>
    <row r="14" spans="1:58" ht="14.4" x14ac:dyDescent="0.25">
      <c r="A14" s="635"/>
      <c r="B14" s="1761" t="s">
        <v>134</v>
      </c>
      <c r="C14" s="1762"/>
      <c r="D14" s="1763"/>
      <c r="E14" s="1763"/>
      <c r="F14" s="1764"/>
      <c r="G14" s="1762"/>
      <c r="H14" s="1763"/>
      <c r="I14" s="1763"/>
      <c r="J14" s="1764"/>
      <c r="K14" s="1762"/>
      <c r="L14" s="1763"/>
      <c r="M14" s="1763"/>
      <c r="N14" s="1764"/>
      <c r="O14" s="1762"/>
      <c r="P14" s="1763"/>
      <c r="Q14" s="1763"/>
      <c r="R14" s="1764"/>
      <c r="S14" s="1762">
        <f t="shared" ref="S14:AX14" si="2">SUM(S11:S13)</f>
        <v>2</v>
      </c>
      <c r="T14" s="1763">
        <f t="shared" si="2"/>
        <v>10</v>
      </c>
      <c r="U14" s="1763">
        <f t="shared" si="2"/>
        <v>0</v>
      </c>
      <c r="V14" s="1764">
        <f t="shared" si="2"/>
        <v>12</v>
      </c>
      <c r="W14" s="1762">
        <f t="shared" si="2"/>
        <v>4</v>
      </c>
      <c r="X14" s="1763">
        <f t="shared" si="2"/>
        <v>25</v>
      </c>
      <c r="Y14" s="1763">
        <f t="shared" si="2"/>
        <v>2</v>
      </c>
      <c r="Z14" s="1764">
        <f t="shared" si="2"/>
        <v>31</v>
      </c>
      <c r="AA14" s="1762">
        <f t="shared" si="2"/>
        <v>6</v>
      </c>
      <c r="AB14" s="1763">
        <f t="shared" si="2"/>
        <v>54</v>
      </c>
      <c r="AC14" s="1763">
        <f t="shared" si="2"/>
        <v>5</v>
      </c>
      <c r="AD14" s="1764">
        <f t="shared" si="2"/>
        <v>65</v>
      </c>
      <c r="AE14" s="1762">
        <f t="shared" si="2"/>
        <v>8</v>
      </c>
      <c r="AF14" s="1763">
        <f t="shared" si="2"/>
        <v>88</v>
      </c>
      <c r="AG14" s="1763">
        <f t="shared" si="2"/>
        <v>10</v>
      </c>
      <c r="AH14" s="1764">
        <f t="shared" si="2"/>
        <v>106</v>
      </c>
      <c r="AI14" s="1762">
        <f t="shared" si="2"/>
        <v>9</v>
      </c>
      <c r="AJ14" s="1763">
        <f t="shared" si="2"/>
        <v>118</v>
      </c>
      <c r="AK14" s="1763">
        <f t="shared" si="2"/>
        <v>21</v>
      </c>
      <c r="AL14" s="1764">
        <f t="shared" si="2"/>
        <v>148</v>
      </c>
      <c r="AM14" s="1762">
        <f t="shared" si="2"/>
        <v>11</v>
      </c>
      <c r="AN14" s="1763">
        <f t="shared" si="2"/>
        <v>143</v>
      </c>
      <c r="AO14" s="1763">
        <f t="shared" si="2"/>
        <v>32</v>
      </c>
      <c r="AP14" s="1764">
        <f t="shared" si="2"/>
        <v>186</v>
      </c>
      <c r="AQ14" s="1762">
        <f t="shared" si="2"/>
        <v>11</v>
      </c>
      <c r="AR14" s="1763">
        <f t="shared" si="2"/>
        <v>189</v>
      </c>
      <c r="AS14" s="1763">
        <f t="shared" si="2"/>
        <v>43</v>
      </c>
      <c r="AT14" s="1764">
        <f t="shared" si="2"/>
        <v>243</v>
      </c>
      <c r="AU14" s="1762">
        <f t="shared" si="2"/>
        <v>11</v>
      </c>
      <c r="AV14" s="1763">
        <f t="shared" si="2"/>
        <v>218</v>
      </c>
      <c r="AW14" s="1763">
        <f t="shared" si="2"/>
        <v>50</v>
      </c>
      <c r="AX14" s="1764">
        <f t="shared" si="2"/>
        <v>279</v>
      </c>
      <c r="AY14" s="1762">
        <f t="shared" ref="AY14:BF14" si="3">SUM(AY11:AY13)</f>
        <v>11</v>
      </c>
      <c r="AZ14" s="1763">
        <f t="shared" si="3"/>
        <v>251</v>
      </c>
      <c r="BA14" s="1763">
        <f t="shared" si="3"/>
        <v>59</v>
      </c>
      <c r="BB14" s="1764">
        <f t="shared" si="3"/>
        <v>321</v>
      </c>
      <c r="BC14" s="1762">
        <f t="shared" si="3"/>
        <v>11</v>
      </c>
      <c r="BD14" s="1763">
        <f t="shared" si="3"/>
        <v>281</v>
      </c>
      <c r="BE14" s="1763">
        <f t="shared" si="3"/>
        <v>73</v>
      </c>
      <c r="BF14" s="1764">
        <f t="shared" si="3"/>
        <v>365</v>
      </c>
    </row>
    <row r="15" spans="1:58" ht="15" customHeight="1" x14ac:dyDescent="0.3">
      <c r="A15" s="635"/>
      <c r="B15"/>
      <c r="C15" s="1765"/>
      <c r="D15" s="1765"/>
      <c r="E15" s="1765"/>
      <c r="F15" s="1766"/>
      <c r="G15" s="1765"/>
      <c r="H15" s="1765"/>
      <c r="I15" s="1765"/>
      <c r="J15" s="1766"/>
      <c r="K15" s="1765"/>
      <c r="L15" s="1765"/>
      <c r="M15" s="1765"/>
      <c r="N15" s="1766"/>
      <c r="O15" s="1765"/>
      <c r="P15" s="1765"/>
      <c r="Q15" s="1765"/>
      <c r="R15" s="1766"/>
      <c r="S15" s="1765"/>
      <c r="T15" s="1765"/>
      <c r="U15" s="1765"/>
      <c r="V15" s="1766"/>
      <c r="W15" s="1765"/>
      <c r="X15" s="1765"/>
      <c r="Y15" s="1765"/>
      <c r="Z15" s="1766"/>
      <c r="AA15" s="1765"/>
      <c r="AB15" s="1765"/>
      <c r="AC15" s="1765"/>
      <c r="AD15" s="1766"/>
      <c r="AE15" s="1765"/>
      <c r="AF15" s="1765"/>
      <c r="AG15" s="1765"/>
      <c r="AH15" s="1766"/>
      <c r="AI15" s="1765"/>
      <c r="AJ15" s="1765"/>
      <c r="AK15" s="1765"/>
      <c r="AL15" s="1766"/>
      <c r="AM15" s="1765"/>
      <c r="AN15" s="1765"/>
      <c r="AO15" s="1765"/>
      <c r="AP15" s="1766"/>
      <c r="AQ15" s="1765"/>
      <c r="AR15" s="1765"/>
      <c r="AS15" s="1765"/>
      <c r="AT15" s="1766"/>
      <c r="AU15" s="1765"/>
      <c r="AV15" s="1765"/>
      <c r="AW15" s="1765"/>
      <c r="AX15" s="1766"/>
      <c r="AY15" s="1765"/>
      <c r="AZ15" s="1765"/>
      <c r="BA15" s="1765"/>
      <c r="BB15" s="1766"/>
      <c r="BC15" s="1765"/>
      <c r="BD15" s="1765"/>
      <c r="BE15" s="1765"/>
      <c r="BF15" s="1766"/>
    </row>
    <row r="16" spans="1:58" ht="14.4" x14ac:dyDescent="0.25">
      <c r="A16" s="635"/>
      <c r="B16" s="1751" t="s">
        <v>59</v>
      </c>
      <c r="C16" s="755"/>
      <c r="D16" s="756">
        <f>SUM('EGRESO POS ACUM plan'!D61:D72)</f>
        <v>763</v>
      </c>
      <c r="E16" s="756">
        <f>SUM('EGRESO POS ACUM plan'!D74:D79)</f>
        <v>418</v>
      </c>
      <c r="F16" s="1752">
        <f>SUM(C16:E16)</f>
        <v>1181</v>
      </c>
      <c r="G16" s="755"/>
      <c r="H16" s="756">
        <f>SUM('EGRESO POS ACUM plan'!E61:E72)</f>
        <v>816</v>
      </c>
      <c r="I16" s="756">
        <f>SUM('EGRESO POS ACUM plan'!E74:E79)</f>
        <v>453</v>
      </c>
      <c r="J16" s="1752">
        <f>SUM(G16:I16)</f>
        <v>1269</v>
      </c>
      <c r="K16" s="755"/>
      <c r="L16" s="756">
        <f>SUM('EGRESO POS ACUM plan'!F61:F72)</f>
        <v>861</v>
      </c>
      <c r="M16" s="756">
        <f>SUM('EGRESO POS ACUM plan'!F74:F79)</f>
        <v>476</v>
      </c>
      <c r="N16" s="1752">
        <f>SUM(K16:M16)</f>
        <v>1337</v>
      </c>
      <c r="O16" s="755"/>
      <c r="P16" s="756">
        <f>SUM('EGRESO POS ACUM plan'!G61:G72)</f>
        <v>907</v>
      </c>
      <c r="Q16" s="756">
        <f>SUM('EGRESO POS ACUM plan'!G74:G79)</f>
        <v>497</v>
      </c>
      <c r="R16" s="1752">
        <f>SUM(O16:Q16)</f>
        <v>1404</v>
      </c>
      <c r="S16" s="755"/>
      <c r="T16" s="756">
        <f>SUM('EGRESO POS ACUM plan'!H61:H72)</f>
        <v>971</v>
      </c>
      <c r="U16" s="756">
        <f>SUM('EGRESO POS ACUM plan'!H74:H79)</f>
        <v>521</v>
      </c>
      <c r="V16" s="1752">
        <f>SUM(S16:U16)</f>
        <v>1492</v>
      </c>
      <c r="W16" s="755"/>
      <c r="X16" s="756">
        <f>SUM('EGRESO POS ACUM plan'!I61:I72)</f>
        <v>1029</v>
      </c>
      <c r="Y16" s="756">
        <f>SUM('EGRESO POS ACUM plan'!I74:I79)</f>
        <v>556</v>
      </c>
      <c r="Z16" s="1752">
        <f>SUM(W16:Y16)</f>
        <v>1585</v>
      </c>
      <c r="AA16" s="755"/>
      <c r="AB16" s="756">
        <f>SUM('EGRESO POS ACUM plan'!J61:J73)</f>
        <v>1081</v>
      </c>
      <c r="AC16" s="756">
        <f>SUM('EGRESO POS ACUM plan'!J74:J79)</f>
        <v>578</v>
      </c>
      <c r="AD16" s="1752">
        <f>SUM(AA16:AC16)</f>
        <v>1659</v>
      </c>
      <c r="AE16" s="755"/>
      <c r="AF16" s="756">
        <f>SUM('EGRESO POS ACUM plan'!K61:K73)</f>
        <v>1143</v>
      </c>
      <c r="AG16" s="756">
        <f>SUM('EGRESO POS ACUM plan'!K74:K80)</f>
        <v>615</v>
      </c>
      <c r="AH16" s="1752">
        <f>SUM(AE16:AG16)</f>
        <v>1758</v>
      </c>
      <c r="AI16" s="755"/>
      <c r="AJ16" s="756">
        <f>SUM('EGRESO POS ACUM plan'!L61:L73)</f>
        <v>1224</v>
      </c>
      <c r="AK16" s="756">
        <f>SUM('EGRESO POS ACUM plan'!L74:L80)</f>
        <v>652</v>
      </c>
      <c r="AL16" s="1752">
        <f>SUM(AI16:AK16)</f>
        <v>1876</v>
      </c>
      <c r="AM16" s="755"/>
      <c r="AN16" s="756">
        <f>SUM('EGRESO POS ACUM plan'!M61:M73)</f>
        <v>1315</v>
      </c>
      <c r="AO16" s="756">
        <f>SUM('EGRESO POS ACUM plan'!M74:M81)</f>
        <v>694</v>
      </c>
      <c r="AP16" s="1752">
        <f>SUM(AM16:AO16)</f>
        <v>2009</v>
      </c>
      <c r="AQ16" s="755">
        <f>SUM('EGRESO POS ACUM plan'!N60)</f>
        <v>3</v>
      </c>
      <c r="AR16" s="756">
        <f>SUM('EGRESO POS ACUM plan'!N61:N73)</f>
        <v>1378</v>
      </c>
      <c r="AS16" s="756">
        <f>SUM('EGRESO POS ACUM plan'!N74:N81)</f>
        <v>732</v>
      </c>
      <c r="AT16" s="1752">
        <f>SUM(AQ16:AS16)</f>
        <v>2113</v>
      </c>
      <c r="AU16" s="755">
        <f>SUM('EGRESO POS ACUM plan'!O60)</f>
        <v>4</v>
      </c>
      <c r="AV16" s="756">
        <f>SUM('EGRESO POS ACUM plan'!O61:O73)</f>
        <v>1427</v>
      </c>
      <c r="AW16" s="756">
        <f>SUM('EGRESO POS ACUM plan'!O74:O81)</f>
        <v>747</v>
      </c>
      <c r="AX16" s="1752">
        <f>SUM(AU16:AW16)</f>
        <v>2178</v>
      </c>
      <c r="AY16" s="755">
        <f>SUM('EGRESO POS ACUM plan'!P60)</f>
        <v>4</v>
      </c>
      <c r="AZ16" s="756">
        <f>SUM('EGRESO POS ACUM plan'!P61:P73)</f>
        <v>1491</v>
      </c>
      <c r="BA16" s="756">
        <f>SUM('EGRESO POS ACUM plan'!P74:P81)</f>
        <v>765</v>
      </c>
      <c r="BB16" s="1752">
        <f>SUM(AY16:BA16)</f>
        <v>2260</v>
      </c>
      <c r="BC16" s="755">
        <f>SUM('EGRESO POS ACUM plan'!Q60)</f>
        <v>6</v>
      </c>
      <c r="BD16" s="756">
        <f>SUM('EGRESO POS ACUM plan'!Q61:Q73)</f>
        <v>1548</v>
      </c>
      <c r="BE16" s="756">
        <f>SUM('EGRESO POS ACUM plan'!Q74:Q81)</f>
        <v>786</v>
      </c>
      <c r="BF16" s="1752">
        <f>SUM(BC16:BE16)</f>
        <v>2340</v>
      </c>
    </row>
    <row r="17" spans="1:58" ht="14.4" x14ac:dyDescent="0.25">
      <c r="A17" s="635"/>
      <c r="B17" s="1753" t="s">
        <v>64</v>
      </c>
      <c r="C17" s="758">
        <f>SUM('EGRESO POS ACUM plan'!D83:D83)</f>
        <v>350</v>
      </c>
      <c r="D17" s="759">
        <f>SUM('EGRESO POS ACUM plan'!D84:D91)</f>
        <v>709</v>
      </c>
      <c r="E17" s="759">
        <f>SUM('EGRESO POS ACUM plan'!D94:D100)</f>
        <v>367</v>
      </c>
      <c r="F17" s="1754">
        <f>SUM(C17:E17)</f>
        <v>1426</v>
      </c>
      <c r="G17" s="758">
        <f>SUM('EGRESO POS ACUM plan'!E83:E83)</f>
        <v>374</v>
      </c>
      <c r="H17" s="759">
        <f>SUM('EGRESO POS ACUM plan'!E84:E91)</f>
        <v>782</v>
      </c>
      <c r="I17" s="759">
        <f>SUM('EGRESO POS ACUM plan'!E94:E100)</f>
        <v>411</v>
      </c>
      <c r="J17" s="1754">
        <f>SUM(G17:I17)</f>
        <v>1567</v>
      </c>
      <c r="K17" s="758">
        <f>SUM('EGRESO POS ACUM plan'!F83:F83)</f>
        <v>487</v>
      </c>
      <c r="L17" s="759">
        <f>SUM('EGRESO POS ACUM plan'!F84:F91)</f>
        <v>892</v>
      </c>
      <c r="M17" s="759">
        <f>SUM('EGRESO POS ACUM plan'!F94:F100)</f>
        <v>472</v>
      </c>
      <c r="N17" s="1754">
        <f>SUM(K17:M17)</f>
        <v>1851</v>
      </c>
      <c r="O17" s="758">
        <f>SUM('EGRESO POS ACUM plan'!G83:G83)</f>
        <v>595</v>
      </c>
      <c r="P17" s="759">
        <f>SUM('EGRESO POS ACUM plan'!G84:G91)</f>
        <v>941</v>
      </c>
      <c r="Q17" s="759">
        <f>SUM('EGRESO POS ACUM plan'!G94:G100)</f>
        <v>521</v>
      </c>
      <c r="R17" s="1754">
        <f>SUM(O17:Q17)</f>
        <v>2057</v>
      </c>
      <c r="S17" s="758">
        <f>SUM('EGRESO POS ACUM plan'!H83:H83)</f>
        <v>612</v>
      </c>
      <c r="T17" s="759">
        <f>SUM('EGRESO POS ACUM plan'!H84:H91)</f>
        <v>1011</v>
      </c>
      <c r="U17" s="759">
        <f>SUM('EGRESO POS ACUM plan'!H94:H100)</f>
        <v>579</v>
      </c>
      <c r="V17" s="1754">
        <f>SUM(S17:U17)</f>
        <v>2202</v>
      </c>
      <c r="W17" s="758">
        <f>SUM('EGRESO POS ACUM plan'!I83:I83)</f>
        <v>635</v>
      </c>
      <c r="X17" s="759">
        <f>SUM('EGRESO POS ACUM plan'!I84:I91)</f>
        <v>1129</v>
      </c>
      <c r="Y17" s="759">
        <f>SUM('EGRESO POS ACUM plan'!I94:I100)</f>
        <v>655</v>
      </c>
      <c r="Z17" s="1754">
        <f>SUM(W17:Y17)</f>
        <v>2419</v>
      </c>
      <c r="AA17" s="758">
        <f>SUM('EGRESO POS ACUM plan'!J83)</f>
        <v>651</v>
      </c>
      <c r="AB17" s="759">
        <f>SUM('EGRESO POS ACUM plan'!J84:J91)</f>
        <v>1158</v>
      </c>
      <c r="AC17" s="759">
        <f>SUM('EGRESO POS ACUM plan'!J94:J100)</f>
        <v>696</v>
      </c>
      <c r="AD17" s="1754">
        <f>SUM(AA17:AC17)</f>
        <v>2505</v>
      </c>
      <c r="AE17" s="758">
        <f>SUM('EGRESO POS ACUM plan'!K83)</f>
        <v>701</v>
      </c>
      <c r="AF17" s="759">
        <f>SUM('EGRESO POS ACUM plan'!K84:K91)</f>
        <v>1256</v>
      </c>
      <c r="AG17" s="759">
        <f>SUM('EGRESO POS ACUM plan'!K94:K100)</f>
        <v>766</v>
      </c>
      <c r="AH17" s="1754">
        <f>SUM(AE17:AG17)</f>
        <v>2723</v>
      </c>
      <c r="AI17" s="758">
        <f>SUM('EGRESO POS ACUM plan'!L83)</f>
        <v>717</v>
      </c>
      <c r="AJ17" s="759">
        <f>SUM('EGRESO POS ACUM plan'!L84:L91)</f>
        <v>1311</v>
      </c>
      <c r="AK17" s="759">
        <f>SUM('EGRESO POS ACUM plan'!L94:L100)</f>
        <v>813</v>
      </c>
      <c r="AL17" s="1754">
        <f>SUM(AI17:AK17)</f>
        <v>2841</v>
      </c>
      <c r="AM17" s="758">
        <f>SUM('EGRESO POS ACUM plan'!M83)</f>
        <v>768</v>
      </c>
      <c r="AN17" s="759">
        <f>SUM('EGRESO POS ACUM plan'!M84:M91)</f>
        <v>1321</v>
      </c>
      <c r="AO17" s="759">
        <f>SUM('EGRESO POS ACUM plan'!M94:M100)</f>
        <v>883</v>
      </c>
      <c r="AP17" s="1754">
        <f>SUM(AM17:AO17)</f>
        <v>2972</v>
      </c>
      <c r="AQ17" s="758">
        <f>SUM('EGRESO POS ACUM plan'!N83)</f>
        <v>805</v>
      </c>
      <c r="AR17" s="759">
        <f>SUM('EGRESO POS ACUM plan'!N84:N93)</f>
        <v>1420</v>
      </c>
      <c r="AS17" s="759">
        <f>SUM('EGRESO POS ACUM plan'!N94:N100)</f>
        <v>940</v>
      </c>
      <c r="AT17" s="1754">
        <f>SUM(AQ17:AS17)</f>
        <v>3165</v>
      </c>
      <c r="AU17" s="758">
        <f>SUM('EGRESO POS ACUM plan'!O83)</f>
        <v>833</v>
      </c>
      <c r="AV17" s="759">
        <f>SUM('EGRESO POS ACUM plan'!O84:O93)</f>
        <v>1474</v>
      </c>
      <c r="AW17" s="759">
        <f>SUM('EGRESO POS ACUM plan'!O94:O100)</f>
        <v>979</v>
      </c>
      <c r="AX17" s="1754">
        <f>SUM(AU17:AW17)</f>
        <v>3286</v>
      </c>
      <c r="AY17" s="758">
        <f>SUM('EGRESO POS ACUM plan'!P83)</f>
        <v>893</v>
      </c>
      <c r="AZ17" s="759">
        <f>SUM('EGRESO POS ACUM plan'!P84:P93)</f>
        <v>1521</v>
      </c>
      <c r="BA17" s="759">
        <f>SUM('EGRESO POS ACUM plan'!P94:P101)</f>
        <v>1017</v>
      </c>
      <c r="BB17" s="1754">
        <f>SUM(AY17:BA17)</f>
        <v>3431</v>
      </c>
      <c r="BC17" s="758">
        <f>SUM('EGRESO POS ACUM plan'!Q83)</f>
        <v>931</v>
      </c>
      <c r="BD17" s="759">
        <f>SUM('EGRESO POS ACUM plan'!Q84:Q93)</f>
        <v>1590</v>
      </c>
      <c r="BE17" s="759">
        <f>SUM('EGRESO POS ACUM plan'!Q94:Q101)</f>
        <v>1063</v>
      </c>
      <c r="BF17" s="1754">
        <f>SUM(BC17:BE17)</f>
        <v>3584</v>
      </c>
    </row>
    <row r="18" spans="1:58" ht="14.4" x14ac:dyDescent="0.25">
      <c r="A18" s="635"/>
      <c r="B18" s="1753" t="s">
        <v>92</v>
      </c>
      <c r="C18" s="758">
        <f>SUM('EGRESO POS ACUM plan'!D103:D104)</f>
        <v>152</v>
      </c>
      <c r="D18" s="759">
        <f>SUM('EGRESO POS ACUM plan'!D105:D110)</f>
        <v>501</v>
      </c>
      <c r="E18" s="759">
        <f>SUM('EGRESO POS ACUM plan'!D111:D114)</f>
        <v>227</v>
      </c>
      <c r="F18" s="1754">
        <f>SUM(C18:E18)</f>
        <v>880</v>
      </c>
      <c r="G18" s="758">
        <f>SUM('EGRESO POS ACUM plan'!E103:E104)</f>
        <v>174</v>
      </c>
      <c r="H18" s="759">
        <f>SUM('EGRESO POS ACUM plan'!E105:E110)</f>
        <v>547</v>
      </c>
      <c r="I18" s="759">
        <f>SUM('EGRESO POS ACUM plan'!E111:E114)</f>
        <v>255</v>
      </c>
      <c r="J18" s="1754">
        <f>SUM(G18:I18)</f>
        <v>976</v>
      </c>
      <c r="K18" s="758">
        <f>SUM('EGRESO POS ACUM plan'!F103:F104)</f>
        <v>196</v>
      </c>
      <c r="L18" s="759">
        <f>SUM('EGRESO POS ACUM plan'!F105:F110)</f>
        <v>596</v>
      </c>
      <c r="M18" s="759">
        <f>SUM('EGRESO POS ACUM plan'!F111:F114)</f>
        <v>288</v>
      </c>
      <c r="N18" s="1754">
        <f>SUM(K18:M18)</f>
        <v>1080</v>
      </c>
      <c r="O18" s="758">
        <f>SUM('EGRESO POS ACUM plan'!G103:G104)</f>
        <v>213</v>
      </c>
      <c r="P18" s="759">
        <f>SUM('EGRESO POS ACUM plan'!G105:G110)</f>
        <v>636</v>
      </c>
      <c r="Q18" s="759">
        <f>SUM('EGRESO POS ACUM plan'!G111:G114)</f>
        <v>321</v>
      </c>
      <c r="R18" s="1754">
        <f>SUM(O18:Q18)</f>
        <v>1170</v>
      </c>
      <c r="S18" s="758">
        <f>SUM('EGRESO POS ACUM plan'!H103:H104)</f>
        <v>242</v>
      </c>
      <c r="T18" s="759">
        <f>SUM('EGRESO POS ACUM plan'!H105:H110)</f>
        <v>688</v>
      </c>
      <c r="U18" s="759">
        <f>SUM('EGRESO POS ACUM plan'!H111:H114)</f>
        <v>352</v>
      </c>
      <c r="V18" s="1754">
        <f>SUM(S18:U18)</f>
        <v>1282</v>
      </c>
      <c r="W18" s="758">
        <f>SUM('EGRESO POS ACUM plan'!I103:I104)</f>
        <v>254</v>
      </c>
      <c r="X18" s="759">
        <f>SUM('EGRESO POS ACUM plan'!I105:I110)</f>
        <v>751</v>
      </c>
      <c r="Y18" s="759">
        <f>SUM('EGRESO POS ACUM plan'!I111:I114)</f>
        <v>390</v>
      </c>
      <c r="Z18" s="1754">
        <f>SUM(W18:Y18)</f>
        <v>1395</v>
      </c>
      <c r="AA18" s="758">
        <f>SUM('EGRESO POS ACUM plan'!J103:J104)</f>
        <v>274</v>
      </c>
      <c r="AB18" s="759">
        <f>SUM('EGRESO POS ACUM plan'!J105:J110)</f>
        <v>810</v>
      </c>
      <c r="AC18" s="759">
        <f>SUM('EGRESO POS ACUM plan'!J111:J114)</f>
        <v>429</v>
      </c>
      <c r="AD18" s="1754">
        <f>SUM(AA18:AC18)</f>
        <v>1513</v>
      </c>
      <c r="AE18" s="758">
        <f>SUM('EGRESO POS ACUM plan'!K103:K104)</f>
        <v>295</v>
      </c>
      <c r="AF18" s="759">
        <f>SUM('EGRESO POS ACUM plan'!K105:K110)</f>
        <v>888</v>
      </c>
      <c r="AG18" s="759">
        <f>SUM('EGRESO POS ACUM plan'!K111:K114)</f>
        <v>462</v>
      </c>
      <c r="AH18" s="1754">
        <f>SUM(AE18:AG18)</f>
        <v>1645</v>
      </c>
      <c r="AI18" s="758">
        <f>SUM('EGRESO POS ACUM plan'!L103:L104)</f>
        <v>311</v>
      </c>
      <c r="AJ18" s="759">
        <f>SUM('EGRESO POS ACUM plan'!L105:L110)</f>
        <v>936</v>
      </c>
      <c r="AK18" s="759">
        <f>SUM('EGRESO POS ACUM plan'!L111:L114)</f>
        <v>496</v>
      </c>
      <c r="AL18" s="1754">
        <f>SUM(AI18:AK18)</f>
        <v>1743</v>
      </c>
      <c r="AM18" s="758">
        <f>SUM('EGRESO POS ACUM plan'!M103:M104)</f>
        <v>327</v>
      </c>
      <c r="AN18" s="759">
        <f>SUM('EGRESO POS ACUM plan'!M105:M110)</f>
        <v>994</v>
      </c>
      <c r="AO18" s="759">
        <f>SUM('EGRESO POS ACUM plan'!M111:M114)</f>
        <v>536</v>
      </c>
      <c r="AP18" s="1754">
        <f>SUM(AM18:AO18)</f>
        <v>1857</v>
      </c>
      <c r="AQ18" s="758">
        <f>SUM('EGRESO POS ACUM plan'!N103:N104)</f>
        <v>332</v>
      </c>
      <c r="AR18" s="759">
        <f>SUM('EGRESO POS ACUM plan'!N105:N110)</f>
        <v>1045</v>
      </c>
      <c r="AS18" s="759">
        <f>SUM('EGRESO POS ACUM plan'!N111:N114)</f>
        <v>574</v>
      </c>
      <c r="AT18" s="1754">
        <f>SUM(AQ18:AS18)</f>
        <v>1951</v>
      </c>
      <c r="AU18" s="758">
        <f>SUM('EGRESO POS ACUM plan'!O103:O104)</f>
        <v>338</v>
      </c>
      <c r="AV18" s="759">
        <f>SUM('EGRESO POS ACUM plan'!O105:O110)</f>
        <v>1093</v>
      </c>
      <c r="AW18" s="759">
        <f>SUM('EGRESO POS ACUM plan'!O111:O114)</f>
        <v>613</v>
      </c>
      <c r="AX18" s="1754">
        <f>SUM(AU18:AW18)</f>
        <v>2044</v>
      </c>
      <c r="AY18" s="758">
        <f>SUM('EGRESO POS ACUM plan'!P103:P104)</f>
        <v>344</v>
      </c>
      <c r="AZ18" s="759">
        <f>SUM('EGRESO POS ACUM plan'!P105:P110)</f>
        <v>1134</v>
      </c>
      <c r="BA18" s="759">
        <f>SUM('EGRESO POS ACUM plan'!P111:P114)</f>
        <v>664</v>
      </c>
      <c r="BB18" s="1754">
        <f>SUM(AY18:BA18)</f>
        <v>2142</v>
      </c>
      <c r="BC18" s="758">
        <f>SUM('EGRESO POS ACUM plan'!Q103:Q104)</f>
        <v>346</v>
      </c>
      <c r="BD18" s="759">
        <f>SUM('EGRESO POS ACUM plan'!Q105:Q110)</f>
        <v>1171</v>
      </c>
      <c r="BE18" s="759">
        <f>SUM('EGRESO POS ACUM plan'!Q111:Q114)</f>
        <v>704</v>
      </c>
      <c r="BF18" s="1754">
        <f>SUM(BC18:BE18)</f>
        <v>2221</v>
      </c>
    </row>
    <row r="19" spans="1:58" ht="14.4" x14ac:dyDescent="0.25">
      <c r="A19" s="635"/>
      <c r="B19" s="1767" t="s">
        <v>135</v>
      </c>
      <c r="C19" s="1768">
        <f t="shared" ref="C19:AX19" si="4">SUM(C16:C18)</f>
        <v>502</v>
      </c>
      <c r="D19" s="1769">
        <f t="shared" si="4"/>
        <v>1973</v>
      </c>
      <c r="E19" s="1769">
        <f t="shared" si="4"/>
        <v>1012</v>
      </c>
      <c r="F19" s="1770">
        <f t="shared" si="4"/>
        <v>3487</v>
      </c>
      <c r="G19" s="1768">
        <f t="shared" si="4"/>
        <v>548</v>
      </c>
      <c r="H19" s="1769">
        <f t="shared" si="4"/>
        <v>2145</v>
      </c>
      <c r="I19" s="1769">
        <f t="shared" si="4"/>
        <v>1119</v>
      </c>
      <c r="J19" s="1770">
        <f t="shared" si="4"/>
        <v>3812</v>
      </c>
      <c r="K19" s="1768">
        <f t="shared" si="4"/>
        <v>683</v>
      </c>
      <c r="L19" s="1769">
        <f t="shared" si="4"/>
        <v>2349</v>
      </c>
      <c r="M19" s="1769">
        <f t="shared" si="4"/>
        <v>1236</v>
      </c>
      <c r="N19" s="1770">
        <f t="shared" si="4"/>
        <v>4268</v>
      </c>
      <c r="O19" s="1768">
        <f t="shared" si="4"/>
        <v>808</v>
      </c>
      <c r="P19" s="1769">
        <f t="shared" si="4"/>
        <v>2484</v>
      </c>
      <c r="Q19" s="1769">
        <f t="shared" si="4"/>
        <v>1339</v>
      </c>
      <c r="R19" s="1770">
        <f t="shared" si="4"/>
        <v>4631</v>
      </c>
      <c r="S19" s="1768">
        <f t="shared" si="4"/>
        <v>854</v>
      </c>
      <c r="T19" s="1769">
        <f t="shared" si="4"/>
        <v>2670</v>
      </c>
      <c r="U19" s="1769">
        <f t="shared" si="4"/>
        <v>1452</v>
      </c>
      <c r="V19" s="1770">
        <f t="shared" si="4"/>
        <v>4976</v>
      </c>
      <c r="W19" s="1768">
        <f t="shared" si="4"/>
        <v>889</v>
      </c>
      <c r="X19" s="1769">
        <f t="shared" si="4"/>
        <v>2909</v>
      </c>
      <c r="Y19" s="1769">
        <f t="shared" si="4"/>
        <v>1601</v>
      </c>
      <c r="Z19" s="1770">
        <f t="shared" si="4"/>
        <v>5399</v>
      </c>
      <c r="AA19" s="1768">
        <f t="shared" si="4"/>
        <v>925</v>
      </c>
      <c r="AB19" s="1769">
        <f t="shared" si="4"/>
        <v>3049</v>
      </c>
      <c r="AC19" s="1769">
        <f t="shared" si="4"/>
        <v>1703</v>
      </c>
      <c r="AD19" s="1770">
        <f t="shared" si="4"/>
        <v>5677</v>
      </c>
      <c r="AE19" s="1768">
        <f t="shared" si="4"/>
        <v>996</v>
      </c>
      <c r="AF19" s="1769">
        <f t="shared" si="4"/>
        <v>3287</v>
      </c>
      <c r="AG19" s="1769">
        <f t="shared" si="4"/>
        <v>1843</v>
      </c>
      <c r="AH19" s="1770">
        <f t="shared" si="4"/>
        <v>6126</v>
      </c>
      <c r="AI19" s="1768">
        <f t="shared" si="4"/>
        <v>1028</v>
      </c>
      <c r="AJ19" s="1769">
        <f t="shared" si="4"/>
        <v>3471</v>
      </c>
      <c r="AK19" s="1769">
        <f t="shared" si="4"/>
        <v>1961</v>
      </c>
      <c r="AL19" s="1770">
        <f t="shared" si="4"/>
        <v>6460</v>
      </c>
      <c r="AM19" s="1768">
        <f t="shared" si="4"/>
        <v>1095</v>
      </c>
      <c r="AN19" s="1769">
        <f t="shared" si="4"/>
        <v>3630</v>
      </c>
      <c r="AO19" s="1769">
        <f t="shared" si="4"/>
        <v>2113</v>
      </c>
      <c r="AP19" s="1770">
        <f t="shared" si="4"/>
        <v>6838</v>
      </c>
      <c r="AQ19" s="1768">
        <f t="shared" si="4"/>
        <v>1140</v>
      </c>
      <c r="AR19" s="1769">
        <f t="shared" si="4"/>
        <v>3843</v>
      </c>
      <c r="AS19" s="1769">
        <f t="shared" si="4"/>
        <v>2246</v>
      </c>
      <c r="AT19" s="1770">
        <f t="shared" si="4"/>
        <v>7229</v>
      </c>
      <c r="AU19" s="1768">
        <f t="shared" si="4"/>
        <v>1175</v>
      </c>
      <c r="AV19" s="1769">
        <f t="shared" si="4"/>
        <v>3994</v>
      </c>
      <c r="AW19" s="1769">
        <f t="shared" si="4"/>
        <v>2339</v>
      </c>
      <c r="AX19" s="1770">
        <f t="shared" si="4"/>
        <v>7508</v>
      </c>
      <c r="AY19" s="1768">
        <f t="shared" ref="AY19:BF19" si="5">SUM(AY16:AY18)</f>
        <v>1241</v>
      </c>
      <c r="AZ19" s="1769">
        <f t="shared" si="5"/>
        <v>4146</v>
      </c>
      <c r="BA19" s="1769">
        <f t="shared" si="5"/>
        <v>2446</v>
      </c>
      <c r="BB19" s="1770">
        <f t="shared" si="5"/>
        <v>7833</v>
      </c>
      <c r="BC19" s="1768">
        <f t="shared" si="5"/>
        <v>1283</v>
      </c>
      <c r="BD19" s="1769">
        <f t="shared" si="5"/>
        <v>4309</v>
      </c>
      <c r="BE19" s="1769">
        <f t="shared" si="5"/>
        <v>2553</v>
      </c>
      <c r="BF19" s="1770">
        <f t="shared" si="5"/>
        <v>8145</v>
      </c>
    </row>
    <row r="20" spans="1:58" ht="14.4" x14ac:dyDescent="0.25">
      <c r="A20" s="635"/>
      <c r="B20" s="4932"/>
      <c r="C20" s="4933"/>
      <c r="D20" s="4933"/>
      <c r="E20" s="4933"/>
      <c r="F20" s="4933"/>
      <c r="G20" s="4933"/>
      <c r="H20" s="4933"/>
      <c r="I20" s="4933"/>
      <c r="J20" s="4933"/>
      <c r="K20" s="4933"/>
      <c r="L20" s="4933"/>
      <c r="M20" s="4933"/>
      <c r="N20" s="4933"/>
      <c r="O20" s="4933"/>
      <c r="P20" s="4933"/>
      <c r="Q20" s="4933"/>
      <c r="R20" s="4933"/>
      <c r="S20" s="4933"/>
      <c r="T20" s="4933"/>
      <c r="U20" s="4933"/>
      <c r="V20" s="4933"/>
      <c r="W20" s="4933"/>
      <c r="X20" s="4933"/>
      <c r="Y20" s="4933"/>
      <c r="Z20" s="4933"/>
      <c r="AA20" s="4933"/>
      <c r="AB20" s="4933"/>
      <c r="AC20" s="4933"/>
      <c r="AD20" s="4933"/>
      <c r="AE20" s="4933"/>
      <c r="AF20" s="4933"/>
      <c r="AG20" s="4933"/>
      <c r="AH20" s="4933"/>
      <c r="AI20" s="4933"/>
      <c r="AJ20" s="4933"/>
      <c r="AK20" s="4933"/>
      <c r="AL20" s="4933"/>
      <c r="AM20" s="4933"/>
      <c r="AN20" s="4933"/>
      <c r="AO20" s="4933"/>
      <c r="AP20" s="4933"/>
      <c r="AQ20" s="4933"/>
      <c r="AR20" s="4933"/>
      <c r="AS20" s="4933"/>
      <c r="AT20" s="4933"/>
      <c r="AU20" s="4933"/>
      <c r="AV20" s="4933"/>
      <c r="AW20" s="4933"/>
      <c r="AX20" s="4933"/>
      <c r="AY20" s="4933"/>
      <c r="AZ20" s="4933"/>
      <c r="BA20" s="4933"/>
      <c r="BB20" s="4933"/>
      <c r="BC20" s="4933"/>
      <c r="BD20" s="4933"/>
      <c r="BE20" s="4933"/>
      <c r="BF20" s="4933"/>
    </row>
    <row r="21" spans="1:58" ht="14.4" x14ac:dyDescent="0.25">
      <c r="A21" s="635"/>
      <c r="B21" s="4934" t="s">
        <v>92</v>
      </c>
      <c r="C21" s="4935"/>
      <c r="D21" s="4936"/>
      <c r="E21" s="4936"/>
      <c r="F21" s="4937"/>
      <c r="G21" s="4935"/>
      <c r="H21" s="4936"/>
      <c r="I21" s="4936"/>
      <c r="J21" s="4937"/>
      <c r="K21" s="4935"/>
      <c r="L21" s="4936"/>
      <c r="M21" s="4936"/>
      <c r="N21" s="4937"/>
      <c r="O21" s="4935"/>
      <c r="P21" s="4936"/>
      <c r="Q21" s="4936"/>
      <c r="R21" s="4937"/>
      <c r="S21" s="4935"/>
      <c r="T21" s="4936"/>
      <c r="U21" s="4936"/>
      <c r="V21" s="4937"/>
      <c r="W21" s="4935"/>
      <c r="X21" s="4936"/>
      <c r="Y21" s="4936"/>
      <c r="Z21" s="4937"/>
      <c r="AA21" s="4935"/>
      <c r="AB21" s="4936"/>
      <c r="AC21" s="4936"/>
      <c r="AD21" s="4937"/>
      <c r="AE21" s="4935"/>
      <c r="AF21" s="4936"/>
      <c r="AG21" s="4936"/>
      <c r="AH21" s="4937"/>
      <c r="AI21" s="4935"/>
      <c r="AJ21" s="4936"/>
      <c r="AK21" s="4936"/>
      <c r="AL21" s="4937"/>
      <c r="AM21" s="4935"/>
      <c r="AN21" s="4936"/>
      <c r="AO21" s="4936"/>
      <c r="AP21" s="4937"/>
      <c r="AQ21" s="4935"/>
      <c r="AR21" s="4936"/>
      <c r="AS21" s="4936"/>
      <c r="AT21" s="4937"/>
      <c r="AU21" s="4935"/>
      <c r="AV21" s="4936"/>
      <c r="AW21" s="4936"/>
      <c r="AX21" s="4937"/>
      <c r="AY21" s="4935"/>
      <c r="AZ21" s="4936"/>
      <c r="BA21" s="4936">
        <f>SUM('EGRESO POS ACUM plan'!P175)</f>
        <v>1</v>
      </c>
      <c r="BB21" s="4937">
        <f>SUM(AY21:BA21)</f>
        <v>1</v>
      </c>
      <c r="BC21" s="4935"/>
      <c r="BD21" s="4936"/>
      <c r="BE21" s="4936">
        <f>SUM('EGRESO POS ACUM plan'!Q175)</f>
        <v>1</v>
      </c>
      <c r="BF21" s="4937">
        <f>SUM(BC21:BE21)</f>
        <v>1</v>
      </c>
    </row>
    <row r="22" spans="1:58" ht="14.4" x14ac:dyDescent="0.25">
      <c r="A22" s="635"/>
      <c r="B22" s="4938" t="s">
        <v>136</v>
      </c>
      <c r="C22" s="4939"/>
      <c r="D22" s="4940"/>
      <c r="E22" s="4940"/>
      <c r="F22" s="4941"/>
      <c r="G22" s="4939"/>
      <c r="H22" s="4940"/>
      <c r="I22" s="4940"/>
      <c r="J22" s="4941"/>
      <c r="K22" s="4939"/>
      <c r="L22" s="4940"/>
      <c r="M22" s="4940"/>
      <c r="N22" s="4941"/>
      <c r="O22" s="4939"/>
      <c r="P22" s="4940"/>
      <c r="Q22" s="4940"/>
      <c r="R22" s="4941"/>
      <c r="S22" s="4939"/>
      <c r="T22" s="4940"/>
      <c r="U22" s="4940"/>
      <c r="V22" s="4941"/>
      <c r="W22" s="4939"/>
      <c r="X22" s="4940"/>
      <c r="Y22" s="4940"/>
      <c r="Z22" s="4941"/>
      <c r="AA22" s="4939"/>
      <c r="AB22" s="4940"/>
      <c r="AC22" s="4940"/>
      <c r="AD22" s="4941"/>
      <c r="AE22" s="4939"/>
      <c r="AF22" s="4940"/>
      <c r="AG22" s="4940"/>
      <c r="AH22" s="4941"/>
      <c r="AI22" s="4939"/>
      <c r="AJ22" s="4940"/>
      <c r="AK22" s="4940"/>
      <c r="AL22" s="4941"/>
      <c r="AM22" s="4939"/>
      <c r="AN22" s="4940"/>
      <c r="AO22" s="4940"/>
      <c r="AP22" s="4941"/>
      <c r="AQ22" s="4939"/>
      <c r="AR22" s="4940"/>
      <c r="AS22" s="4940"/>
      <c r="AT22" s="4941"/>
      <c r="AU22" s="4939"/>
      <c r="AV22" s="4940"/>
      <c r="AW22" s="4940"/>
      <c r="AX22" s="4941"/>
      <c r="AY22" s="4939"/>
      <c r="AZ22" s="4940"/>
      <c r="BA22" s="4940">
        <f>SUM(BA21)</f>
        <v>1</v>
      </c>
      <c r="BB22" s="4941">
        <f>SUM(AY22:BA22)</f>
        <v>1</v>
      </c>
      <c r="BC22" s="4939"/>
      <c r="BD22" s="4940"/>
      <c r="BE22" s="4940">
        <f>SUM(BE21)</f>
        <v>1</v>
      </c>
      <c r="BF22" s="4941">
        <f>SUM(BF21)</f>
        <v>1</v>
      </c>
    </row>
    <row r="23" spans="1:58" ht="14.4" x14ac:dyDescent="0.25">
      <c r="A23" s="635"/>
      <c r="B23" s="4932"/>
      <c r="C23" s="4933"/>
      <c r="D23" s="4933"/>
      <c r="E23" s="4933"/>
      <c r="F23" s="4933"/>
      <c r="G23" s="4933"/>
      <c r="H23" s="4933"/>
      <c r="I23" s="4933"/>
      <c r="J23" s="4933"/>
      <c r="K23" s="4933"/>
      <c r="L23" s="4933"/>
      <c r="M23" s="4933"/>
      <c r="N23" s="4933"/>
      <c r="O23" s="4933"/>
      <c r="P23" s="4933"/>
      <c r="Q23" s="4933"/>
      <c r="R23" s="4933"/>
      <c r="S23" s="4933"/>
      <c r="T23" s="4933"/>
      <c r="U23" s="4933"/>
      <c r="V23" s="4933"/>
      <c r="W23" s="4933"/>
      <c r="X23" s="4933"/>
      <c r="Y23" s="4933"/>
      <c r="Z23" s="4933"/>
      <c r="AA23" s="4933"/>
      <c r="AB23" s="4933"/>
      <c r="AC23" s="4933"/>
      <c r="AD23" s="4933"/>
      <c r="AE23" s="4933"/>
      <c r="AF23" s="4933"/>
      <c r="AG23" s="4933"/>
      <c r="AH23" s="4933"/>
      <c r="AI23" s="4933"/>
      <c r="AJ23" s="4933"/>
      <c r="AK23" s="4933"/>
      <c r="AL23" s="4933"/>
      <c r="AM23" s="4933"/>
      <c r="AN23" s="4933"/>
      <c r="AO23" s="4933"/>
      <c r="AP23" s="4933"/>
      <c r="AQ23" s="4933"/>
      <c r="AR23" s="4933"/>
      <c r="AS23" s="4933"/>
      <c r="AT23" s="4933"/>
      <c r="AU23" s="4933"/>
      <c r="AV23" s="4933"/>
      <c r="AW23" s="4933"/>
      <c r="AX23" s="4933"/>
      <c r="AY23" s="4933"/>
      <c r="AZ23" s="4933"/>
      <c r="BA23" s="4933"/>
      <c r="BB23" s="4933"/>
      <c r="BC23" s="4933"/>
      <c r="BD23" s="4933"/>
      <c r="BE23" s="4933"/>
      <c r="BF23" s="4933"/>
    </row>
    <row r="24" spans="1:58" ht="14.4" x14ac:dyDescent="0.25">
      <c r="A24" s="635"/>
      <c r="B24" s="1751" t="s">
        <v>64</v>
      </c>
      <c r="C24" s="755">
        <f>SUM('EGRESO POS ACUM plan'!D117:D118)</f>
        <v>252</v>
      </c>
      <c r="D24" s="756">
        <f>SUM('EGRESO POS ACUM plan'!D119:D130)</f>
        <v>711</v>
      </c>
      <c r="E24" s="756">
        <f>SUM('EGRESO POS ACUM plan'!D134:D138)</f>
        <v>183</v>
      </c>
      <c r="F24" s="1752">
        <f>SUM(C24:E24)</f>
        <v>1146</v>
      </c>
      <c r="G24" s="755">
        <f>SUM('EGRESO POS ACUM plan'!E117:E118)</f>
        <v>293</v>
      </c>
      <c r="H24" s="756">
        <f>SUM('EGRESO POS ACUM plan'!E119:E130)</f>
        <v>824</v>
      </c>
      <c r="I24" s="756">
        <f>SUM('EGRESO POS ACUM plan'!E134:E138)</f>
        <v>228</v>
      </c>
      <c r="J24" s="1752">
        <f>SUM(G24:I24)</f>
        <v>1345</v>
      </c>
      <c r="K24" s="755">
        <f>SUM('EGRESO POS ACUM plan'!F117:F118)</f>
        <v>312</v>
      </c>
      <c r="L24" s="756">
        <f>SUM('EGRESO POS ACUM plan'!F119:F130)</f>
        <v>924</v>
      </c>
      <c r="M24" s="756">
        <f>SUM('EGRESO POS ACUM plan'!F134:F138)</f>
        <v>261</v>
      </c>
      <c r="N24" s="1752">
        <f>SUM(K24:M24)</f>
        <v>1497</v>
      </c>
      <c r="O24" s="755">
        <f>SUM('EGRESO POS ACUM plan'!G117:G118)</f>
        <v>312</v>
      </c>
      <c r="P24" s="756">
        <f>SUM('EGRESO POS ACUM plan'!G119:G130)</f>
        <v>990</v>
      </c>
      <c r="Q24" s="756">
        <f>SUM('EGRESO POS ACUM plan'!G134:G138)</f>
        <v>286</v>
      </c>
      <c r="R24" s="1752">
        <f>SUM(O24:Q24)</f>
        <v>1588</v>
      </c>
      <c r="S24" s="755">
        <f>SUM('EGRESO POS ACUM plan'!H117:H118)</f>
        <v>350</v>
      </c>
      <c r="T24" s="756">
        <f>SUM('EGRESO POS ACUM plan'!H119:H130)</f>
        <v>1059</v>
      </c>
      <c r="U24" s="756">
        <f>SUM('EGRESO POS ACUM plan'!H134:H138)</f>
        <v>318</v>
      </c>
      <c r="V24" s="1752">
        <f>SUM(S24:U24)</f>
        <v>1727</v>
      </c>
      <c r="W24" s="755">
        <f>SUM('EGRESO POS ACUM plan'!I117:I118)</f>
        <v>379</v>
      </c>
      <c r="X24" s="756">
        <f>SUM('EGRESO POS ACUM plan'!I119:I131)</f>
        <v>1121</v>
      </c>
      <c r="Y24" s="756">
        <f>SUM('EGRESO POS ACUM plan'!I134:I138)</f>
        <v>345</v>
      </c>
      <c r="Z24" s="1752">
        <f>SUM(W24:Y24)</f>
        <v>1845</v>
      </c>
      <c r="AA24" s="755">
        <f>SUM('EGRESO POS ACUM plan'!J117:J118)</f>
        <v>380</v>
      </c>
      <c r="AB24" s="756">
        <f>SUM('EGRESO POS ACUM plan'!J119:J131)</f>
        <v>1194</v>
      </c>
      <c r="AC24" s="756">
        <f>SUM('EGRESO POS ACUM plan'!J134:J138)</f>
        <v>378</v>
      </c>
      <c r="AD24" s="1752">
        <f>SUM(AA24:AC24)</f>
        <v>1952</v>
      </c>
      <c r="AE24" s="755">
        <f>SUM('EGRESO POS ACUM plan'!K117:K118)</f>
        <v>381</v>
      </c>
      <c r="AF24" s="756">
        <f>SUM('EGRESO POS ACUM plan'!K119:K131)</f>
        <v>1274</v>
      </c>
      <c r="AG24" s="756">
        <f>SUM('EGRESO POS ACUM plan'!K134:K138)</f>
        <v>396</v>
      </c>
      <c r="AH24" s="1752">
        <f>SUM(AE24:AG24)</f>
        <v>2051</v>
      </c>
      <c r="AI24" s="755">
        <f>SUM('EGRESO POS ACUM plan'!L117:L118)</f>
        <v>415</v>
      </c>
      <c r="AJ24" s="756">
        <f>SUM('EGRESO POS ACUM plan'!L119:L131)</f>
        <v>1359</v>
      </c>
      <c r="AK24" s="756">
        <f>SUM('EGRESO POS ACUM plan'!L134:L138)</f>
        <v>427</v>
      </c>
      <c r="AL24" s="1752">
        <f>SUM(AI24:AK24)</f>
        <v>2201</v>
      </c>
      <c r="AM24" s="755">
        <f>SUM('EGRESO POS ACUM plan'!M117:M118)</f>
        <v>437</v>
      </c>
      <c r="AN24" s="756">
        <f>SUM('EGRESO POS ACUM plan'!M119:M133)</f>
        <v>1502</v>
      </c>
      <c r="AO24" s="756">
        <f>SUM('EGRESO POS ACUM plan'!M134:M138)</f>
        <v>454</v>
      </c>
      <c r="AP24" s="1752">
        <f>SUM(AM24:AO24)</f>
        <v>2393</v>
      </c>
      <c r="AQ24" s="755">
        <f>SUM('EGRESO POS ACUM plan'!N117:N118)</f>
        <v>444</v>
      </c>
      <c r="AR24" s="756">
        <f>SUM('EGRESO POS ACUM plan'!N119:N133)</f>
        <v>1542</v>
      </c>
      <c r="AS24" s="756">
        <f>SUM('EGRESO POS ACUM plan'!N134:N138)</f>
        <v>489</v>
      </c>
      <c r="AT24" s="1752">
        <f>SUM(AQ24:AS24)</f>
        <v>2475</v>
      </c>
      <c r="AU24" s="755">
        <f>SUM('EGRESO POS ACUM plan'!O117:O118)</f>
        <v>444</v>
      </c>
      <c r="AV24" s="756">
        <f>SUM('EGRESO POS ACUM plan'!O119:O133)</f>
        <v>1617</v>
      </c>
      <c r="AW24" s="756">
        <f>SUM('EGRESO POS ACUM plan'!O134:O138)</f>
        <v>508</v>
      </c>
      <c r="AX24" s="1752">
        <f>SUM(AU24:AW24)</f>
        <v>2569</v>
      </c>
      <c r="AY24" s="755">
        <f>SUM('EGRESO POS ACUM plan'!P117:P118)</f>
        <v>454</v>
      </c>
      <c r="AZ24" s="756">
        <f>SUM('EGRESO POS ACUM plan'!P119:P133)</f>
        <v>1672</v>
      </c>
      <c r="BA24" s="756">
        <f>SUM('EGRESO POS ACUM plan'!P134:P138)</f>
        <v>544</v>
      </c>
      <c r="BB24" s="1752">
        <f>SUM(AY24:BA24)</f>
        <v>2670</v>
      </c>
      <c r="BC24" s="755">
        <f>SUM('EGRESO POS ACUM plan'!Q117:Q118)</f>
        <v>456</v>
      </c>
      <c r="BD24" s="756">
        <f>SUM('EGRESO POS ACUM plan'!Q119:Q133)</f>
        <v>1748</v>
      </c>
      <c r="BE24" s="756">
        <f>SUM('EGRESO POS ACUM plan'!Q134:Q138)</f>
        <v>581</v>
      </c>
      <c r="BF24" s="1752">
        <f>SUM(BC24:BE24)</f>
        <v>2785</v>
      </c>
    </row>
    <row r="25" spans="1:58" ht="14.4" x14ac:dyDescent="0.25">
      <c r="A25" s="635"/>
      <c r="B25" s="1753" t="s">
        <v>92</v>
      </c>
      <c r="C25" s="758">
        <f>SUM('EGRESO POS ACUM plan'!D140:D143)</f>
        <v>220</v>
      </c>
      <c r="D25" s="759">
        <f>SUM('EGRESO POS ACUM plan'!D145:D153)</f>
        <v>371</v>
      </c>
      <c r="E25" s="759">
        <f>SUM('EGRESO POS ACUM plan'!D155:D156)</f>
        <v>10</v>
      </c>
      <c r="F25" s="1754">
        <f>SUM(C25:E25)</f>
        <v>601</v>
      </c>
      <c r="G25" s="758">
        <f>SUM('EGRESO POS ACUM plan'!E140:E143)</f>
        <v>225</v>
      </c>
      <c r="H25" s="759">
        <f>SUM('EGRESO POS ACUM plan'!E145:E153)</f>
        <v>429</v>
      </c>
      <c r="I25" s="759">
        <f>SUM('EGRESO POS ACUM plan'!E155:E156)</f>
        <v>14</v>
      </c>
      <c r="J25" s="1754">
        <f>SUM(G25:I25)</f>
        <v>668</v>
      </c>
      <c r="K25" s="758">
        <f>SUM('EGRESO POS ACUM plan'!F140:F143)</f>
        <v>230</v>
      </c>
      <c r="L25" s="759">
        <f>SUM('EGRESO POS ACUM plan'!F145:F153)</f>
        <v>493</v>
      </c>
      <c r="M25" s="759">
        <f>SUM('EGRESO POS ACUM plan'!F155:F156)</f>
        <v>20</v>
      </c>
      <c r="N25" s="1754">
        <f>SUM(K25:M25)</f>
        <v>743</v>
      </c>
      <c r="O25" s="758">
        <f>SUM('EGRESO POS ACUM plan'!G140:G143)</f>
        <v>238</v>
      </c>
      <c r="P25" s="759">
        <f>SUM('EGRESO POS ACUM plan'!G145:G153)</f>
        <v>524</v>
      </c>
      <c r="Q25" s="759">
        <f>SUM('EGRESO POS ACUM plan'!G155:G156)</f>
        <v>23</v>
      </c>
      <c r="R25" s="1754">
        <f>SUM(O25:Q25)</f>
        <v>785</v>
      </c>
      <c r="S25" s="758">
        <f>SUM('EGRESO POS ACUM plan'!H140:H143)</f>
        <v>238</v>
      </c>
      <c r="T25" s="759">
        <f>SUM('EGRESO POS ACUM plan'!H145:H153)</f>
        <v>584</v>
      </c>
      <c r="U25" s="759">
        <f>SUM('EGRESO POS ACUM plan'!H155:H156)</f>
        <v>31</v>
      </c>
      <c r="V25" s="1754">
        <f>SUM(S25:U25)</f>
        <v>853</v>
      </c>
      <c r="W25" s="758">
        <f>SUM('EGRESO POS ACUM plan'!I140:I142)</f>
        <v>219</v>
      </c>
      <c r="X25" s="759">
        <f>SUM('EGRESO POS ACUM plan'!I143:I153)</f>
        <v>835</v>
      </c>
      <c r="Y25" s="759">
        <f>SUM('EGRESO POS ACUM plan'!I155:I156)</f>
        <v>37</v>
      </c>
      <c r="Z25" s="1754">
        <f>SUM(W25:Y25)</f>
        <v>1091</v>
      </c>
      <c r="AA25" s="758">
        <f>SUM('EGRESO POS ACUM plan'!J140:J143)</f>
        <v>255</v>
      </c>
      <c r="AB25" s="759">
        <f>SUM('EGRESO POS ACUM plan'!J145:J153)</f>
        <v>688</v>
      </c>
      <c r="AC25" s="759">
        <f>SUM('EGRESO POS ACUM plan'!J155:J156)</f>
        <v>40</v>
      </c>
      <c r="AD25" s="1754">
        <f>SUM(AA25:AC25)</f>
        <v>983</v>
      </c>
      <c r="AE25" s="758">
        <f>SUM('EGRESO POS ACUM plan'!K140:K143)</f>
        <v>258</v>
      </c>
      <c r="AF25" s="759">
        <f>SUM('EGRESO POS ACUM plan'!K145:K154)</f>
        <v>802</v>
      </c>
      <c r="AG25" s="759">
        <f>SUM('EGRESO POS ACUM plan'!K155:K156)</f>
        <v>49</v>
      </c>
      <c r="AH25" s="1754">
        <f>SUM(AE25:AG25)</f>
        <v>1109</v>
      </c>
      <c r="AI25" s="758">
        <f>SUM('EGRESO POS ACUM plan'!L140:L143)</f>
        <v>260</v>
      </c>
      <c r="AJ25" s="759">
        <f>SUM('EGRESO POS ACUM plan'!L145:L154)</f>
        <v>880</v>
      </c>
      <c r="AK25" s="759">
        <f>SUM('EGRESO POS ACUM plan'!L155:L156)</f>
        <v>58</v>
      </c>
      <c r="AL25" s="1754">
        <f>SUM(AI25:AK25)</f>
        <v>1198</v>
      </c>
      <c r="AM25" s="758">
        <f>SUM('EGRESO POS ACUM plan'!M140:M143)</f>
        <v>263</v>
      </c>
      <c r="AN25" s="759">
        <f>SUM('EGRESO POS ACUM plan'!M145:M154)</f>
        <v>948</v>
      </c>
      <c r="AO25" s="759">
        <f>SUM('EGRESO POS ACUM plan'!M155:M156)</f>
        <v>78</v>
      </c>
      <c r="AP25" s="1754">
        <f>SUM(AM25:AO25)</f>
        <v>1289</v>
      </c>
      <c r="AQ25" s="758">
        <f>SUM('EGRESO POS ACUM plan'!N140:N143)</f>
        <v>262</v>
      </c>
      <c r="AR25" s="759">
        <f>SUM('EGRESO POS ACUM plan'!N144:N152)</f>
        <v>1044</v>
      </c>
      <c r="AS25" s="759">
        <f>SUM('EGRESO POS ACUM plan'!N153:N156)</f>
        <v>269</v>
      </c>
      <c r="AT25" s="1754">
        <f>SUM(AQ25:AS25)</f>
        <v>1575</v>
      </c>
      <c r="AU25" s="758">
        <f>SUM('EGRESO POS ACUM plan'!O140:O143)</f>
        <v>252</v>
      </c>
      <c r="AV25" s="759">
        <f>SUM('EGRESO POS ACUM plan'!O144:O152)</f>
        <v>1109</v>
      </c>
      <c r="AW25" s="759">
        <f>SUM('EGRESO POS ACUM plan'!O153:O156)</f>
        <v>284</v>
      </c>
      <c r="AX25" s="1754">
        <f>SUM(AU25:AW25)</f>
        <v>1645</v>
      </c>
      <c r="AY25" s="758">
        <f>SUM('EGRESO POS ACUM plan'!P140:P143)</f>
        <v>252</v>
      </c>
      <c r="AZ25" s="759">
        <f>SUM('EGRESO POS ACUM plan'!P144:P152)</f>
        <v>1145</v>
      </c>
      <c r="BA25" s="759">
        <f>SUM('EGRESO POS ACUM plan'!P153:P156)</f>
        <v>315</v>
      </c>
      <c r="BB25" s="1754">
        <f>SUM(AY25:BA25)</f>
        <v>1712</v>
      </c>
      <c r="BC25" s="758">
        <f>SUM('EGRESO POS ACUM plan'!Q140:Q143)</f>
        <v>252</v>
      </c>
      <c r="BD25" s="759">
        <f>SUM('EGRESO POS ACUM plan'!Q144:Q152)</f>
        <v>1221</v>
      </c>
      <c r="BE25" s="759">
        <f>SUM('EGRESO POS ACUM plan'!Q153:Q156)</f>
        <v>331</v>
      </c>
      <c r="BF25" s="1754">
        <f>SUM(BC25:BE25)</f>
        <v>1804</v>
      </c>
    </row>
    <row r="26" spans="1:58" ht="14.4" x14ac:dyDescent="0.25">
      <c r="A26" s="635"/>
      <c r="B26" s="1753" t="s">
        <v>68</v>
      </c>
      <c r="C26" s="758"/>
      <c r="D26" s="759">
        <f>SUM('EGRESO POS ACUM plan'!D158:D160)</f>
        <v>132</v>
      </c>
      <c r="E26" s="759">
        <f>SUM('EGRESO POS ACUM plan'!D161)</f>
        <v>4</v>
      </c>
      <c r="F26" s="1754">
        <f>SUM(C26:E26)</f>
        <v>136</v>
      </c>
      <c r="G26" s="758"/>
      <c r="H26" s="759">
        <f>SUM('EGRESO POS ACUM plan'!E158:E160)</f>
        <v>147</v>
      </c>
      <c r="I26" s="759">
        <f>SUM('EGRESO POS ACUM plan'!E161)</f>
        <v>7</v>
      </c>
      <c r="J26" s="1754">
        <f>SUM(G26:I26)</f>
        <v>154</v>
      </c>
      <c r="K26" s="758"/>
      <c r="L26" s="759">
        <f>SUM('EGRESO POS ACUM plan'!F158:F160)</f>
        <v>181</v>
      </c>
      <c r="M26" s="759">
        <f>SUM('EGRESO POS ACUM plan'!F161)</f>
        <v>11</v>
      </c>
      <c r="N26" s="1754">
        <f>SUM(K26:M26)</f>
        <v>192</v>
      </c>
      <c r="O26" s="758"/>
      <c r="P26" s="759">
        <f>SUM('EGRESO POS ACUM plan'!G158:G160)</f>
        <v>195</v>
      </c>
      <c r="Q26" s="759">
        <f>SUM('EGRESO POS ACUM plan'!G161)</f>
        <v>16</v>
      </c>
      <c r="R26" s="1754">
        <f>SUM(O26:Q26)</f>
        <v>211</v>
      </c>
      <c r="S26" s="758"/>
      <c r="T26" s="759">
        <f>SUM('EGRESO POS ACUM plan'!H158:H160)</f>
        <v>246</v>
      </c>
      <c r="U26" s="759">
        <f>SUM('EGRESO POS ACUM plan'!H161)</f>
        <v>18</v>
      </c>
      <c r="V26" s="1754">
        <f>SUM(S26:U26)</f>
        <v>264</v>
      </c>
      <c r="W26" s="758"/>
      <c r="X26" s="759">
        <f>SUM('EGRESO POS ACUM plan'!I158:I160)</f>
        <v>269</v>
      </c>
      <c r="Y26" s="759">
        <f>SUM('EGRESO POS ACUM plan'!I161)</f>
        <v>24</v>
      </c>
      <c r="Z26" s="1754">
        <f>SUM(W26:Y26)</f>
        <v>293</v>
      </c>
      <c r="AA26" s="758"/>
      <c r="AB26" s="759">
        <f>SUM('EGRESO POS ACUM plan'!J158:J160)</f>
        <v>320</v>
      </c>
      <c r="AC26" s="759">
        <f>SUM('EGRESO POS ACUM plan'!J161)</f>
        <v>30</v>
      </c>
      <c r="AD26" s="1754">
        <f>SUM(AA26:AC26)</f>
        <v>350</v>
      </c>
      <c r="AE26" s="758"/>
      <c r="AF26" s="759">
        <f>SUM('EGRESO POS ACUM plan'!K158:K160)</f>
        <v>347</v>
      </c>
      <c r="AG26" s="759">
        <f>SUM('EGRESO POS ACUM plan'!K161)</f>
        <v>35</v>
      </c>
      <c r="AH26" s="1754">
        <f>SUM(AE26:AG26)</f>
        <v>382</v>
      </c>
      <c r="AI26" s="758"/>
      <c r="AJ26" s="759">
        <f>SUM('EGRESO POS ACUM plan'!L158:L160)</f>
        <v>385</v>
      </c>
      <c r="AK26" s="759">
        <f>SUM('EGRESO POS ACUM plan'!L161)</f>
        <v>42</v>
      </c>
      <c r="AL26" s="1754">
        <f>SUM(AI26:AK26)</f>
        <v>427</v>
      </c>
      <c r="AM26" s="758"/>
      <c r="AN26" s="759">
        <f>SUM('EGRESO POS ACUM plan'!M158:M160)</f>
        <v>414</v>
      </c>
      <c r="AO26" s="759">
        <f>SUM('EGRESO POS ACUM plan'!M161)</f>
        <v>46</v>
      </c>
      <c r="AP26" s="1754">
        <f>SUM(AM26:AO26)</f>
        <v>460</v>
      </c>
      <c r="AQ26" s="758"/>
      <c r="AR26" s="759">
        <f>SUM('EGRESO POS ACUM plan'!N158:N160)</f>
        <v>447</v>
      </c>
      <c r="AS26" s="759">
        <f>SUM('EGRESO POS ACUM plan'!N161)</f>
        <v>49</v>
      </c>
      <c r="AT26" s="1754">
        <f>SUM(AQ26:AS26)</f>
        <v>496</v>
      </c>
      <c r="AU26" s="758"/>
      <c r="AV26" s="759">
        <f>SUM('EGRESO POS ACUM plan'!O158:O160)</f>
        <v>473</v>
      </c>
      <c r="AW26" s="759">
        <f>SUM('EGRESO POS ACUM plan'!O161)</f>
        <v>54</v>
      </c>
      <c r="AX26" s="1754">
        <f>SUM(AU26:AW26)</f>
        <v>527</v>
      </c>
      <c r="AY26" s="758"/>
      <c r="AZ26" s="759">
        <f>SUM('EGRESO POS ACUM plan'!P158:P160)</f>
        <v>506</v>
      </c>
      <c r="BA26" s="759">
        <f>SUM('EGRESO POS ACUM plan'!P161)</f>
        <v>56</v>
      </c>
      <c r="BB26" s="1754">
        <f>SUM(AY26:BA26)</f>
        <v>562</v>
      </c>
      <c r="BC26" s="758"/>
      <c r="BD26" s="759">
        <f>SUM('EGRESO POS ACUM plan'!Q158:Q160)</f>
        <v>523</v>
      </c>
      <c r="BE26" s="759">
        <f>SUM('EGRESO POS ACUM plan'!Q161)</f>
        <v>58</v>
      </c>
      <c r="BF26" s="1754">
        <f>SUM(BC26:BE26)</f>
        <v>581</v>
      </c>
    </row>
    <row r="27" spans="1:58" ht="14.4" x14ac:dyDescent="0.25">
      <c r="A27" s="635"/>
      <c r="B27" s="1771" t="s">
        <v>137</v>
      </c>
      <c r="C27" s="1772">
        <f t="shared" ref="C27:AX27" si="6">SUM(C24:C26)</f>
        <v>472</v>
      </c>
      <c r="D27" s="1773">
        <f t="shared" si="6"/>
        <v>1214</v>
      </c>
      <c r="E27" s="1773">
        <f t="shared" si="6"/>
        <v>197</v>
      </c>
      <c r="F27" s="1774">
        <f t="shared" si="6"/>
        <v>1883</v>
      </c>
      <c r="G27" s="1772">
        <f t="shared" si="6"/>
        <v>518</v>
      </c>
      <c r="H27" s="1773">
        <f t="shared" si="6"/>
        <v>1400</v>
      </c>
      <c r="I27" s="1773">
        <f t="shared" si="6"/>
        <v>249</v>
      </c>
      <c r="J27" s="1774">
        <f t="shared" si="6"/>
        <v>2167</v>
      </c>
      <c r="K27" s="1772">
        <f t="shared" si="6"/>
        <v>542</v>
      </c>
      <c r="L27" s="1773">
        <f t="shared" si="6"/>
        <v>1598</v>
      </c>
      <c r="M27" s="1773">
        <f t="shared" si="6"/>
        <v>292</v>
      </c>
      <c r="N27" s="1774">
        <f t="shared" si="6"/>
        <v>2432</v>
      </c>
      <c r="O27" s="1772">
        <f t="shared" si="6"/>
        <v>550</v>
      </c>
      <c r="P27" s="1773">
        <f t="shared" si="6"/>
        <v>1709</v>
      </c>
      <c r="Q27" s="1773">
        <f t="shared" si="6"/>
        <v>325</v>
      </c>
      <c r="R27" s="1774">
        <f t="shared" si="6"/>
        <v>2584</v>
      </c>
      <c r="S27" s="1772">
        <f t="shared" si="6"/>
        <v>588</v>
      </c>
      <c r="T27" s="1773">
        <f t="shared" si="6"/>
        <v>1889</v>
      </c>
      <c r="U27" s="1773">
        <f t="shared" si="6"/>
        <v>367</v>
      </c>
      <c r="V27" s="1774">
        <f t="shared" si="6"/>
        <v>2844</v>
      </c>
      <c r="W27" s="1772">
        <f t="shared" si="6"/>
        <v>598</v>
      </c>
      <c r="X27" s="1773">
        <f t="shared" si="6"/>
        <v>2225</v>
      </c>
      <c r="Y27" s="1773">
        <f t="shared" si="6"/>
        <v>406</v>
      </c>
      <c r="Z27" s="1774">
        <f t="shared" si="6"/>
        <v>3229</v>
      </c>
      <c r="AA27" s="1772">
        <f t="shared" si="6"/>
        <v>635</v>
      </c>
      <c r="AB27" s="1773">
        <f t="shared" si="6"/>
        <v>2202</v>
      </c>
      <c r="AC27" s="1773">
        <f t="shared" si="6"/>
        <v>448</v>
      </c>
      <c r="AD27" s="1774">
        <f t="shared" si="6"/>
        <v>3285</v>
      </c>
      <c r="AE27" s="1772">
        <f t="shared" si="6"/>
        <v>639</v>
      </c>
      <c r="AF27" s="1773">
        <f t="shared" si="6"/>
        <v>2423</v>
      </c>
      <c r="AG27" s="1773">
        <f t="shared" si="6"/>
        <v>480</v>
      </c>
      <c r="AH27" s="1774">
        <f t="shared" si="6"/>
        <v>3542</v>
      </c>
      <c r="AI27" s="1772">
        <f t="shared" si="6"/>
        <v>675</v>
      </c>
      <c r="AJ27" s="1773">
        <f t="shared" si="6"/>
        <v>2624</v>
      </c>
      <c r="AK27" s="1773">
        <f t="shared" si="6"/>
        <v>527</v>
      </c>
      <c r="AL27" s="1774">
        <f t="shared" si="6"/>
        <v>3826</v>
      </c>
      <c r="AM27" s="1772">
        <f t="shared" si="6"/>
        <v>700</v>
      </c>
      <c r="AN27" s="1773">
        <f t="shared" si="6"/>
        <v>2864</v>
      </c>
      <c r="AO27" s="1773">
        <f t="shared" si="6"/>
        <v>578</v>
      </c>
      <c r="AP27" s="1774">
        <f t="shared" si="6"/>
        <v>4142</v>
      </c>
      <c r="AQ27" s="1772">
        <f t="shared" si="6"/>
        <v>706</v>
      </c>
      <c r="AR27" s="1773">
        <f t="shared" si="6"/>
        <v>3033</v>
      </c>
      <c r="AS27" s="1773">
        <f t="shared" si="6"/>
        <v>807</v>
      </c>
      <c r="AT27" s="1774">
        <f t="shared" si="6"/>
        <v>4546</v>
      </c>
      <c r="AU27" s="1772">
        <f t="shared" si="6"/>
        <v>696</v>
      </c>
      <c r="AV27" s="1773">
        <f t="shared" si="6"/>
        <v>3199</v>
      </c>
      <c r="AW27" s="1773">
        <f t="shared" si="6"/>
        <v>846</v>
      </c>
      <c r="AX27" s="1774">
        <f t="shared" si="6"/>
        <v>4741</v>
      </c>
      <c r="AY27" s="1772">
        <f t="shared" ref="AY27:BF27" si="7">SUM(AY24:AY26)</f>
        <v>706</v>
      </c>
      <c r="AZ27" s="1773">
        <f t="shared" si="7"/>
        <v>3323</v>
      </c>
      <c r="BA27" s="1773">
        <f t="shared" si="7"/>
        <v>915</v>
      </c>
      <c r="BB27" s="1774">
        <f t="shared" si="7"/>
        <v>4944</v>
      </c>
      <c r="BC27" s="1772">
        <f t="shared" si="7"/>
        <v>708</v>
      </c>
      <c r="BD27" s="1773">
        <f t="shared" si="7"/>
        <v>3492</v>
      </c>
      <c r="BE27" s="1773">
        <f t="shared" si="7"/>
        <v>970</v>
      </c>
      <c r="BF27" s="1774">
        <f t="shared" si="7"/>
        <v>5170</v>
      </c>
    </row>
    <row r="28" spans="1:58" ht="15" customHeight="1" x14ac:dyDescent="0.3">
      <c r="A28" s="635"/>
      <c r="B28"/>
      <c r="C28" s="1765"/>
      <c r="D28" s="1765"/>
      <c r="E28" s="1765"/>
      <c r="F28" s="1766"/>
      <c r="G28" s="1765"/>
      <c r="H28" s="1765"/>
      <c r="I28" s="1765"/>
      <c r="J28" s="1766"/>
      <c r="K28" s="1765"/>
      <c r="L28" s="1765"/>
      <c r="M28" s="1765"/>
      <c r="N28" s="1766"/>
      <c r="O28" s="1765"/>
      <c r="P28" s="1765"/>
      <c r="Q28" s="1765"/>
      <c r="R28" s="1766"/>
      <c r="S28" s="1765"/>
      <c r="T28" s="1765"/>
      <c r="U28" s="1765"/>
      <c r="V28" s="1766"/>
      <c r="W28" s="1765"/>
      <c r="X28" s="1765"/>
      <c r="Y28" s="1765"/>
      <c r="Z28" s="1766"/>
      <c r="AA28" s="1765"/>
      <c r="AB28" s="1765"/>
      <c r="AC28" s="1765"/>
      <c r="AD28" s="1766"/>
      <c r="AE28" s="1765"/>
      <c r="AF28" s="1765"/>
      <c r="AG28" s="1765"/>
      <c r="AH28" s="1766"/>
      <c r="AI28" s="1765"/>
      <c r="AJ28" s="1765"/>
      <c r="AK28" s="1765"/>
      <c r="AL28" s="1766"/>
      <c r="AM28" s="1765"/>
      <c r="AN28" s="1765"/>
      <c r="AO28" s="1765"/>
      <c r="AP28" s="1766"/>
      <c r="AQ28" s="1765"/>
      <c r="AR28" s="1765"/>
      <c r="AS28" s="1765"/>
      <c r="AT28" s="1766"/>
      <c r="AU28" s="1765"/>
      <c r="AV28" s="1765"/>
      <c r="AW28" s="1765"/>
      <c r="AX28" s="1766"/>
      <c r="AY28" s="1765"/>
      <c r="AZ28" s="1765"/>
      <c r="BA28" s="1765"/>
      <c r="BB28" s="1766"/>
      <c r="BC28" s="1765"/>
      <c r="BD28" s="1765"/>
      <c r="BE28" s="1765"/>
      <c r="BF28" s="1766"/>
    </row>
    <row r="29" spans="1:58" ht="15" customHeight="1" x14ac:dyDescent="0.25">
      <c r="A29" s="635"/>
      <c r="B29" s="1751" t="s">
        <v>59</v>
      </c>
      <c r="C29" s="755">
        <f t="shared" ref="C29:U29" si="8">SUM(C6,C16)</f>
        <v>4</v>
      </c>
      <c r="D29" s="756">
        <f t="shared" si="8"/>
        <v>1010</v>
      </c>
      <c r="E29" s="756">
        <f t="shared" si="8"/>
        <v>449</v>
      </c>
      <c r="F29" s="1752">
        <f t="shared" si="8"/>
        <v>1463</v>
      </c>
      <c r="G29" s="755">
        <f t="shared" si="8"/>
        <v>4</v>
      </c>
      <c r="H29" s="756">
        <f t="shared" si="8"/>
        <v>1080</v>
      </c>
      <c r="I29" s="756">
        <f t="shared" si="8"/>
        <v>490</v>
      </c>
      <c r="J29" s="1752">
        <f t="shared" si="8"/>
        <v>1574</v>
      </c>
      <c r="K29" s="755">
        <f t="shared" si="8"/>
        <v>4</v>
      </c>
      <c r="L29" s="756">
        <f t="shared" si="8"/>
        <v>1157</v>
      </c>
      <c r="M29" s="756">
        <f t="shared" si="8"/>
        <v>524</v>
      </c>
      <c r="N29" s="1752">
        <f t="shared" si="8"/>
        <v>1685</v>
      </c>
      <c r="O29" s="755">
        <f t="shared" si="8"/>
        <v>4</v>
      </c>
      <c r="P29" s="756">
        <f t="shared" si="8"/>
        <v>1240</v>
      </c>
      <c r="Q29" s="756">
        <f t="shared" si="8"/>
        <v>551</v>
      </c>
      <c r="R29" s="1752">
        <f t="shared" si="8"/>
        <v>1795</v>
      </c>
      <c r="S29" s="755">
        <f t="shared" si="8"/>
        <v>4</v>
      </c>
      <c r="T29" s="756">
        <f t="shared" si="8"/>
        <v>1328</v>
      </c>
      <c r="U29" s="756">
        <f t="shared" si="8"/>
        <v>588</v>
      </c>
      <c r="V29" s="1752">
        <f t="shared" ref="V29:V34" si="9">SUM(S29:U29)</f>
        <v>1920</v>
      </c>
      <c r="W29" s="755">
        <f>SUM(W6,W16)</f>
        <v>4</v>
      </c>
      <c r="X29" s="756">
        <f>SUM(X6,X16)</f>
        <v>1422</v>
      </c>
      <c r="Y29" s="756">
        <f>SUM(Y6,Y16)</f>
        <v>629</v>
      </c>
      <c r="Z29" s="1752">
        <f t="shared" ref="Z29:Z34" si="10">SUM(W29:Y29)</f>
        <v>2055</v>
      </c>
      <c r="AA29" s="755">
        <f>SUM(AA6,AA16)</f>
        <v>4</v>
      </c>
      <c r="AB29" s="756">
        <f>SUM(AB6,AB16)</f>
        <v>1510</v>
      </c>
      <c r="AC29" s="756">
        <f>SUM(AC6,AC16)</f>
        <v>655</v>
      </c>
      <c r="AD29" s="1752">
        <f t="shared" ref="AD29:AD34" si="11">SUM(AA29:AC29)</f>
        <v>2169</v>
      </c>
      <c r="AE29" s="755">
        <f>SUM(AE6,AE16)</f>
        <v>4</v>
      </c>
      <c r="AF29" s="756">
        <f>SUM(AF6,AF16)</f>
        <v>1626</v>
      </c>
      <c r="AG29" s="756">
        <f>SUM(AG6,AG16)</f>
        <v>699</v>
      </c>
      <c r="AH29" s="1752">
        <f t="shared" ref="AH29:AH34" si="12">SUM(AE29:AG29)</f>
        <v>2329</v>
      </c>
      <c r="AI29" s="755">
        <f>SUM(AI6,AI16)</f>
        <v>4</v>
      </c>
      <c r="AJ29" s="756">
        <f>SUM(AJ6,AJ16)</f>
        <v>1773</v>
      </c>
      <c r="AK29" s="756">
        <f>SUM(AK6,AK16)</f>
        <v>746</v>
      </c>
      <c r="AL29" s="1752">
        <f t="shared" ref="AL29:AL34" si="13">SUM(AI29:AK29)</f>
        <v>2523</v>
      </c>
      <c r="AM29" s="755">
        <f>SUM(AM6,AM16)</f>
        <v>4</v>
      </c>
      <c r="AN29" s="756">
        <f>SUM(AN6,AN16)</f>
        <v>1923</v>
      </c>
      <c r="AO29" s="756">
        <f>SUM(AO6,AO16)</f>
        <v>792</v>
      </c>
      <c r="AP29" s="1752">
        <f t="shared" ref="AP29:AP34" si="14">SUM(AM29:AO29)</f>
        <v>2719</v>
      </c>
      <c r="AQ29" s="755">
        <f>SUM(AQ6,AQ16)</f>
        <v>7</v>
      </c>
      <c r="AR29" s="756">
        <f>SUM(AR6,AR16)</f>
        <v>2027</v>
      </c>
      <c r="AS29" s="756">
        <f>SUM(AS6,AS16)</f>
        <v>838</v>
      </c>
      <c r="AT29" s="1752">
        <f t="shared" ref="AT29:AT34" si="15">SUM(AQ29:AS29)</f>
        <v>2872</v>
      </c>
      <c r="AU29" s="755">
        <f>SUM(AU6,AU16)</f>
        <v>8</v>
      </c>
      <c r="AV29" s="756">
        <f>SUM(AV6,AV16)</f>
        <v>2114</v>
      </c>
      <c r="AW29" s="756">
        <f>SUM(AW6,AW16)</f>
        <v>858</v>
      </c>
      <c r="AX29" s="1752">
        <f t="shared" ref="AX29:AX34" si="16">SUM(AU29:AW29)</f>
        <v>2980</v>
      </c>
      <c r="AY29" s="755">
        <f>SUM(AY6,AY16)</f>
        <v>8</v>
      </c>
      <c r="AZ29" s="756">
        <f>SUM(AZ6,AZ16)</f>
        <v>2226</v>
      </c>
      <c r="BA29" s="756">
        <f>SUM(BA6,BA16)</f>
        <v>883</v>
      </c>
      <c r="BB29" s="1752">
        <f t="shared" ref="BB29:BB34" si="17">SUM(AY29:BA29)</f>
        <v>3117</v>
      </c>
      <c r="BC29" s="755">
        <f>SUM(BC6,BC16)</f>
        <v>10</v>
      </c>
      <c r="BD29" s="756">
        <f>SUM(BD6,BD16)</f>
        <v>2326</v>
      </c>
      <c r="BE29" s="756">
        <f>SUM(BE6,BE16)</f>
        <v>918</v>
      </c>
      <c r="BF29" s="1752">
        <f t="shared" ref="BF29:BF34" si="18">SUM(BC29:BE29)</f>
        <v>3254</v>
      </c>
    </row>
    <row r="30" spans="1:58" ht="14.4" x14ac:dyDescent="0.25">
      <c r="A30" s="635"/>
      <c r="B30" s="1753" t="s">
        <v>64</v>
      </c>
      <c r="C30" s="758">
        <f t="shared" ref="C30:R30" si="19">SUM(C7,C17,C24)</f>
        <v>820</v>
      </c>
      <c r="D30" s="759">
        <f t="shared" si="19"/>
        <v>1680</v>
      </c>
      <c r="E30" s="759">
        <f t="shared" si="19"/>
        <v>553</v>
      </c>
      <c r="F30" s="1754">
        <f t="shared" si="19"/>
        <v>3053</v>
      </c>
      <c r="G30" s="758">
        <f t="shared" si="19"/>
        <v>903</v>
      </c>
      <c r="H30" s="759">
        <f t="shared" si="19"/>
        <v>1902</v>
      </c>
      <c r="I30" s="759">
        <f t="shared" si="19"/>
        <v>645</v>
      </c>
      <c r="J30" s="1754">
        <f t="shared" si="19"/>
        <v>3450</v>
      </c>
      <c r="K30" s="758">
        <f t="shared" si="19"/>
        <v>1058</v>
      </c>
      <c r="L30" s="759">
        <f t="shared" si="19"/>
        <v>2144</v>
      </c>
      <c r="M30" s="759">
        <f t="shared" si="19"/>
        <v>746</v>
      </c>
      <c r="N30" s="1754">
        <f t="shared" si="19"/>
        <v>3948</v>
      </c>
      <c r="O30" s="758">
        <f t="shared" si="19"/>
        <v>1193</v>
      </c>
      <c r="P30" s="759">
        <f t="shared" si="19"/>
        <v>2285</v>
      </c>
      <c r="Q30" s="759">
        <f t="shared" si="19"/>
        <v>826</v>
      </c>
      <c r="R30" s="1754">
        <f t="shared" si="19"/>
        <v>4304</v>
      </c>
      <c r="S30" s="758">
        <f>SUM(S7,S11,S17,S24)</f>
        <v>1260</v>
      </c>
      <c r="T30" s="759">
        <f>SUM(T7,T11,T17,T24)</f>
        <v>2462</v>
      </c>
      <c r="U30" s="759">
        <f>SUM(U7,U11,U17,U24)</f>
        <v>925</v>
      </c>
      <c r="V30" s="1754">
        <f t="shared" si="9"/>
        <v>4647</v>
      </c>
      <c r="W30" s="758">
        <f>SUM(W7,W11,W17,W24)</f>
        <v>1336</v>
      </c>
      <c r="X30" s="759">
        <f>SUM(X7,X11,X17,X24)</f>
        <v>2682</v>
      </c>
      <c r="Y30" s="759">
        <f>SUM(Y7,Y11,Y17,Y24)</f>
        <v>1043</v>
      </c>
      <c r="Z30" s="1754">
        <f t="shared" si="10"/>
        <v>5061</v>
      </c>
      <c r="AA30" s="758">
        <f>SUM(AA7,AA11,AA17,AA24)</f>
        <v>1369</v>
      </c>
      <c r="AB30" s="759">
        <f>SUM(AB7,AB11,AB17,AB24)</f>
        <v>2816</v>
      </c>
      <c r="AC30" s="759">
        <f>SUM(AC7,AC11,AC17,AC24)</f>
        <v>1125</v>
      </c>
      <c r="AD30" s="1754">
        <f t="shared" si="11"/>
        <v>5310</v>
      </c>
      <c r="AE30" s="758">
        <f>SUM(AE7,AE11,AE17,AE24)</f>
        <v>1444</v>
      </c>
      <c r="AF30" s="759">
        <f>SUM(AF7,AF11,AF17,AF24)</f>
        <v>3052</v>
      </c>
      <c r="AG30" s="759">
        <f>SUM(AG7,AG11,AG17,AG24)</f>
        <v>1229</v>
      </c>
      <c r="AH30" s="1754">
        <f t="shared" si="12"/>
        <v>5725</v>
      </c>
      <c r="AI30" s="758">
        <f>SUM(AI7,AI11,AI17,AI24)</f>
        <v>1517</v>
      </c>
      <c r="AJ30" s="759">
        <f>SUM(AJ7,AJ11,AJ17,AJ24)</f>
        <v>3229</v>
      </c>
      <c r="AK30" s="759">
        <f>SUM(AK7,AK11,AK17,AK24)</f>
        <v>1320</v>
      </c>
      <c r="AL30" s="1754">
        <f t="shared" si="13"/>
        <v>6066</v>
      </c>
      <c r="AM30" s="758">
        <f>SUM(AM7,AM11,AM17,AM24)</f>
        <v>1609</v>
      </c>
      <c r="AN30" s="759">
        <f>SUM(AN7,AN11,AN17,AN24)</f>
        <v>3434</v>
      </c>
      <c r="AO30" s="759">
        <f>SUM(AO7,AO11,AO17,AO24)</f>
        <v>1431</v>
      </c>
      <c r="AP30" s="1754">
        <f t="shared" si="14"/>
        <v>6474</v>
      </c>
      <c r="AQ30" s="758">
        <f>SUM(AQ7,AQ11,AQ17,AQ24)</f>
        <v>1666</v>
      </c>
      <c r="AR30" s="759">
        <f>SUM(AR7,AR11,AR17,AR24)</f>
        <v>3607</v>
      </c>
      <c r="AS30" s="759">
        <f>SUM(AS7,AS11,AS17,AS24)</f>
        <v>1536</v>
      </c>
      <c r="AT30" s="1754">
        <f t="shared" si="15"/>
        <v>6809</v>
      </c>
      <c r="AU30" s="758">
        <f>SUM(AU7,AU11,AU17,AU24)</f>
        <v>1720</v>
      </c>
      <c r="AV30" s="759">
        <f>SUM(AV7,AV11,AV17,AV24)</f>
        <v>3773</v>
      </c>
      <c r="AW30" s="759">
        <f>SUM(AW7,AW11,AW17,AW24)</f>
        <v>1600</v>
      </c>
      <c r="AX30" s="1754">
        <f t="shared" si="16"/>
        <v>7093</v>
      </c>
      <c r="AY30" s="758">
        <f>SUM(AY7,AY11,AY17,AY24)</f>
        <v>1797</v>
      </c>
      <c r="AZ30" s="759">
        <f>SUM(AZ7,AZ11,AZ17,AZ24)</f>
        <v>3913</v>
      </c>
      <c r="BA30" s="759">
        <f>SUM(BA7,BA11,BA17,BA24)</f>
        <v>1689</v>
      </c>
      <c r="BB30" s="1754">
        <f t="shared" si="17"/>
        <v>7399</v>
      </c>
      <c r="BC30" s="758">
        <f>SUM(BC7,BC11,BC17,BC24)</f>
        <v>1849</v>
      </c>
      <c r="BD30" s="759">
        <f>SUM(BD7,BD11,BD17,BD24)</f>
        <v>4102</v>
      </c>
      <c r="BE30" s="759">
        <f>SUM(BE7,BE11,BE17,BE24)</f>
        <v>1791</v>
      </c>
      <c r="BF30" s="1754">
        <f t="shared" si="18"/>
        <v>7742</v>
      </c>
    </row>
    <row r="31" spans="1:58" ht="14.4" x14ac:dyDescent="0.25">
      <c r="A31" s="635"/>
      <c r="B31" s="1753" t="s">
        <v>92</v>
      </c>
      <c r="C31" s="758">
        <f t="shared" ref="C31:U31" si="20">SUM(C18,C25)</f>
        <v>372</v>
      </c>
      <c r="D31" s="759">
        <f t="shared" si="20"/>
        <v>872</v>
      </c>
      <c r="E31" s="759">
        <f t="shared" si="20"/>
        <v>237</v>
      </c>
      <c r="F31" s="1754">
        <f t="shared" si="20"/>
        <v>1481</v>
      </c>
      <c r="G31" s="758">
        <f t="shared" si="20"/>
        <v>399</v>
      </c>
      <c r="H31" s="759">
        <f t="shared" si="20"/>
        <v>976</v>
      </c>
      <c r="I31" s="759">
        <f t="shared" si="20"/>
        <v>269</v>
      </c>
      <c r="J31" s="1754">
        <f t="shared" si="20"/>
        <v>1644</v>
      </c>
      <c r="K31" s="758">
        <f t="shared" si="20"/>
        <v>426</v>
      </c>
      <c r="L31" s="759">
        <f t="shared" si="20"/>
        <v>1089</v>
      </c>
      <c r="M31" s="759">
        <f t="shared" si="20"/>
        <v>308</v>
      </c>
      <c r="N31" s="1754">
        <f t="shared" si="20"/>
        <v>1823</v>
      </c>
      <c r="O31" s="758">
        <f t="shared" si="20"/>
        <v>451</v>
      </c>
      <c r="P31" s="759">
        <f t="shared" si="20"/>
        <v>1160</v>
      </c>
      <c r="Q31" s="759">
        <f t="shared" si="20"/>
        <v>344</v>
      </c>
      <c r="R31" s="1754">
        <f t="shared" si="20"/>
        <v>1955</v>
      </c>
      <c r="S31" s="758">
        <f t="shared" si="20"/>
        <v>480</v>
      </c>
      <c r="T31" s="759">
        <f t="shared" si="20"/>
        <v>1272</v>
      </c>
      <c r="U31" s="759">
        <f t="shared" si="20"/>
        <v>383</v>
      </c>
      <c r="V31" s="1754">
        <f t="shared" si="9"/>
        <v>2135</v>
      </c>
      <c r="W31" s="758">
        <f>SUM(W18,W25)</f>
        <v>473</v>
      </c>
      <c r="X31" s="759">
        <f>SUM(X18,X25)</f>
        <v>1586</v>
      </c>
      <c r="Y31" s="759">
        <f>SUM(Y18,Y25)</f>
        <v>427</v>
      </c>
      <c r="Z31" s="1754">
        <f t="shared" si="10"/>
        <v>2486</v>
      </c>
      <c r="AA31" s="758">
        <f>SUM(AA18,AA25)</f>
        <v>529</v>
      </c>
      <c r="AB31" s="759">
        <f>SUM(AB18,AB25)</f>
        <v>1498</v>
      </c>
      <c r="AC31" s="759">
        <f>SUM(AC18,AC25)</f>
        <v>469</v>
      </c>
      <c r="AD31" s="1754">
        <f t="shared" si="11"/>
        <v>2496</v>
      </c>
      <c r="AE31" s="758">
        <f>SUM(AE18,AE25)</f>
        <v>553</v>
      </c>
      <c r="AF31" s="759">
        <f>SUM(AF18,AF25)</f>
        <v>1690</v>
      </c>
      <c r="AG31" s="759">
        <f>SUM(AG18,AG25)</f>
        <v>511</v>
      </c>
      <c r="AH31" s="1754">
        <f t="shared" si="12"/>
        <v>2754</v>
      </c>
      <c r="AI31" s="758">
        <f>SUM(AI18,AI25)</f>
        <v>571</v>
      </c>
      <c r="AJ31" s="759">
        <f>SUM(AJ18,AJ25)</f>
        <v>1816</v>
      </c>
      <c r="AK31" s="759">
        <f>SUM(AK18,AK25)</f>
        <v>554</v>
      </c>
      <c r="AL31" s="1754">
        <f t="shared" si="13"/>
        <v>2941</v>
      </c>
      <c r="AM31" s="758">
        <f>SUM(AM18,AM25)</f>
        <v>590</v>
      </c>
      <c r="AN31" s="759">
        <f>SUM(AN18,AN25)</f>
        <v>1942</v>
      </c>
      <c r="AO31" s="759">
        <f>SUM(AO18,AO25)</f>
        <v>614</v>
      </c>
      <c r="AP31" s="1754">
        <f t="shared" si="14"/>
        <v>3146</v>
      </c>
      <c r="AQ31" s="758">
        <f>SUM(AQ18,AQ25)</f>
        <v>594</v>
      </c>
      <c r="AR31" s="759">
        <f>SUM(AR18,AR25)</f>
        <v>2089</v>
      </c>
      <c r="AS31" s="759">
        <f>SUM(AS18,AS25)</f>
        <v>843</v>
      </c>
      <c r="AT31" s="1754">
        <f t="shared" si="15"/>
        <v>3526</v>
      </c>
      <c r="AU31" s="758">
        <f>SUM(AU18,AU25)</f>
        <v>590</v>
      </c>
      <c r="AV31" s="759">
        <f>SUM(AV18,AV25)</f>
        <v>2202</v>
      </c>
      <c r="AW31" s="759">
        <f>SUM(AW18,AW25)</f>
        <v>897</v>
      </c>
      <c r="AX31" s="1754">
        <f t="shared" si="16"/>
        <v>3689</v>
      </c>
      <c r="AY31" s="758">
        <f>SUM(AY18,AY25)</f>
        <v>596</v>
      </c>
      <c r="AZ31" s="759">
        <f>SUM(AZ18,AZ25)</f>
        <v>2279</v>
      </c>
      <c r="BA31" s="759">
        <f>SUM(BA18,BA21,BA25)</f>
        <v>980</v>
      </c>
      <c r="BB31" s="1754">
        <f t="shared" si="17"/>
        <v>3855</v>
      </c>
      <c r="BC31" s="758">
        <f>SUM(BC18,BC25)</f>
        <v>598</v>
      </c>
      <c r="BD31" s="759">
        <f>SUM(BD18,BD25)</f>
        <v>2392</v>
      </c>
      <c r="BE31" s="759">
        <f>SUM(BE18,BE21,BE25)</f>
        <v>1036</v>
      </c>
      <c r="BF31" s="1754">
        <f t="shared" si="18"/>
        <v>4026</v>
      </c>
    </row>
    <row r="32" spans="1:58" ht="14.4" x14ac:dyDescent="0.25">
      <c r="A32" s="635"/>
      <c r="B32" s="1775" t="s">
        <v>68</v>
      </c>
      <c r="C32" s="1776">
        <f t="shared" ref="C32:U32" si="21">SUM(C8,C26)</f>
        <v>341</v>
      </c>
      <c r="D32" s="1777">
        <f t="shared" si="21"/>
        <v>216</v>
      </c>
      <c r="E32" s="1777">
        <f t="shared" si="21"/>
        <v>37</v>
      </c>
      <c r="F32" s="1778">
        <f t="shared" si="21"/>
        <v>594</v>
      </c>
      <c r="G32" s="1776">
        <f t="shared" si="21"/>
        <v>366</v>
      </c>
      <c r="H32" s="1777">
        <f t="shared" si="21"/>
        <v>246</v>
      </c>
      <c r="I32" s="1777">
        <f t="shared" si="21"/>
        <v>45</v>
      </c>
      <c r="J32" s="1778">
        <f t="shared" si="21"/>
        <v>657</v>
      </c>
      <c r="K32" s="1776">
        <f t="shared" si="21"/>
        <v>403</v>
      </c>
      <c r="L32" s="1777">
        <f t="shared" si="21"/>
        <v>309</v>
      </c>
      <c r="M32" s="1777">
        <f t="shared" si="21"/>
        <v>56</v>
      </c>
      <c r="N32" s="1778">
        <f t="shared" si="21"/>
        <v>768</v>
      </c>
      <c r="O32" s="1776">
        <f t="shared" si="21"/>
        <v>407</v>
      </c>
      <c r="P32" s="1777">
        <f t="shared" si="21"/>
        <v>346</v>
      </c>
      <c r="Q32" s="1777">
        <f t="shared" si="21"/>
        <v>63</v>
      </c>
      <c r="R32" s="1778">
        <f t="shared" si="21"/>
        <v>816</v>
      </c>
      <c r="S32" s="1776">
        <f t="shared" si="21"/>
        <v>440</v>
      </c>
      <c r="T32" s="1777">
        <f t="shared" si="21"/>
        <v>435</v>
      </c>
      <c r="U32" s="1777">
        <f t="shared" si="21"/>
        <v>74</v>
      </c>
      <c r="V32" s="1778">
        <f t="shared" si="9"/>
        <v>949</v>
      </c>
      <c r="W32" s="1776">
        <f>SUM(W8,W26)</f>
        <v>441</v>
      </c>
      <c r="X32" s="1777">
        <f>SUM(X8,X26)</f>
        <v>484</v>
      </c>
      <c r="Y32" s="1777">
        <f>SUM(Y8,Y26)</f>
        <v>89</v>
      </c>
      <c r="Z32" s="1778">
        <f t="shared" si="10"/>
        <v>1014</v>
      </c>
      <c r="AA32" s="1776">
        <f>SUM(AA8,AA26)</f>
        <v>423</v>
      </c>
      <c r="AB32" s="1777">
        <f>SUM(AB8,AB26)</f>
        <v>558</v>
      </c>
      <c r="AC32" s="1777">
        <f>SUM(AC8,AC26)</f>
        <v>101</v>
      </c>
      <c r="AD32" s="1778">
        <f t="shared" si="11"/>
        <v>1082</v>
      </c>
      <c r="AE32" s="1776">
        <f>SUM(AE8,AE26)</f>
        <v>435</v>
      </c>
      <c r="AF32" s="1777">
        <f>SUM(AF8,AF26)</f>
        <v>604</v>
      </c>
      <c r="AG32" s="1777">
        <f>SUM(AG8,AG26)</f>
        <v>115</v>
      </c>
      <c r="AH32" s="1778">
        <f t="shared" si="12"/>
        <v>1154</v>
      </c>
      <c r="AI32" s="1776">
        <f>SUM(AI8,AI26)</f>
        <v>444</v>
      </c>
      <c r="AJ32" s="1777">
        <f>SUM(AJ8,AJ26)</f>
        <v>665</v>
      </c>
      <c r="AK32" s="1777">
        <f>SUM(AK8,AK26)</f>
        <v>128</v>
      </c>
      <c r="AL32" s="1778">
        <f t="shared" si="13"/>
        <v>1237</v>
      </c>
      <c r="AM32" s="1776">
        <f>SUM(AM8,AM26)</f>
        <v>446</v>
      </c>
      <c r="AN32" s="1777">
        <f>SUM(AN8,AN26)</f>
        <v>717</v>
      </c>
      <c r="AO32" s="1777">
        <f>SUM(AO8,AO26)</f>
        <v>142</v>
      </c>
      <c r="AP32" s="1778">
        <f t="shared" si="14"/>
        <v>1305</v>
      </c>
      <c r="AQ32" s="1776">
        <f>SUM(AQ8,AQ26)</f>
        <v>466</v>
      </c>
      <c r="AR32" s="1777">
        <f>SUM(AR8,AR26)</f>
        <v>757</v>
      </c>
      <c r="AS32" s="1777">
        <f>SUM(AS8,AS26)</f>
        <v>158</v>
      </c>
      <c r="AT32" s="1778">
        <f t="shared" si="15"/>
        <v>1381</v>
      </c>
      <c r="AU32" s="1776">
        <f>SUM(AU8,AU26)</f>
        <v>461</v>
      </c>
      <c r="AV32" s="1777">
        <f>SUM(AV8,AV26)</f>
        <v>788</v>
      </c>
      <c r="AW32" s="1777">
        <f>SUM(AW8,AW26)</f>
        <v>172</v>
      </c>
      <c r="AX32" s="1778">
        <f t="shared" si="16"/>
        <v>1421</v>
      </c>
      <c r="AY32" s="1776">
        <f>SUM(AY8,AY26)</f>
        <v>474</v>
      </c>
      <c r="AZ32" s="1777">
        <f>SUM(AZ8,AZ26)</f>
        <v>833</v>
      </c>
      <c r="BA32" s="1777">
        <f>SUM(BA8,BA26)</f>
        <v>181</v>
      </c>
      <c r="BB32" s="1778">
        <f t="shared" si="17"/>
        <v>1488</v>
      </c>
      <c r="BC32" s="1776">
        <f>SUM(BC8,BC26)</f>
        <v>486</v>
      </c>
      <c r="BD32" s="1777">
        <f>SUM(BD8,BD26)</f>
        <v>865</v>
      </c>
      <c r="BE32" s="1777">
        <f>SUM(BE8,BE26)</f>
        <v>196</v>
      </c>
      <c r="BF32" s="1778">
        <f t="shared" si="18"/>
        <v>1547</v>
      </c>
    </row>
    <row r="33" spans="1:58" ht="14.4" x14ac:dyDescent="0.25">
      <c r="A33" s="635"/>
      <c r="B33" s="1775" t="s">
        <v>111</v>
      </c>
      <c r="C33" s="1776"/>
      <c r="D33" s="1777"/>
      <c r="E33" s="1777"/>
      <c r="F33" s="1778"/>
      <c r="G33" s="1776"/>
      <c r="H33" s="1777"/>
      <c r="I33" s="1777"/>
      <c r="J33" s="1778"/>
      <c r="K33" s="1776"/>
      <c r="L33" s="1777"/>
      <c r="M33" s="1777"/>
      <c r="N33" s="1778"/>
      <c r="O33" s="1776"/>
      <c r="P33" s="1777"/>
      <c r="Q33" s="1777"/>
      <c r="R33" s="1778"/>
      <c r="S33" s="1776"/>
      <c r="T33" s="1777"/>
      <c r="U33" s="1777"/>
      <c r="V33" s="1778">
        <f t="shared" si="9"/>
        <v>0</v>
      </c>
      <c r="W33" s="1776"/>
      <c r="X33" s="1777">
        <f>SUM(X12)</f>
        <v>8</v>
      </c>
      <c r="Y33" s="1777"/>
      <c r="Z33" s="1778">
        <f t="shared" si="10"/>
        <v>8</v>
      </c>
      <c r="AA33" s="1777"/>
      <c r="AB33" s="1777">
        <f>SUM(AB12)</f>
        <v>21</v>
      </c>
      <c r="AC33" s="1777"/>
      <c r="AD33" s="1778">
        <f t="shared" si="11"/>
        <v>21</v>
      </c>
      <c r="AE33" s="1777"/>
      <c r="AF33" s="1777">
        <f>SUM(AF12)</f>
        <v>39</v>
      </c>
      <c r="AG33" s="1777"/>
      <c r="AH33" s="1778">
        <f t="shared" si="12"/>
        <v>39</v>
      </c>
      <c r="AI33" s="1777"/>
      <c r="AJ33" s="1777">
        <f>SUM(AJ12)</f>
        <v>49</v>
      </c>
      <c r="AK33" s="1777"/>
      <c r="AL33" s="1778">
        <f t="shared" si="13"/>
        <v>49</v>
      </c>
      <c r="AM33" s="1777"/>
      <c r="AN33" s="1777">
        <f>SUM(AN12)</f>
        <v>59</v>
      </c>
      <c r="AO33" s="1777"/>
      <c r="AP33" s="1778">
        <f t="shared" si="14"/>
        <v>59</v>
      </c>
      <c r="AQ33" s="1777"/>
      <c r="AR33" s="1777">
        <f>SUM(AR12)</f>
        <v>81</v>
      </c>
      <c r="AS33" s="1777"/>
      <c r="AT33" s="1778">
        <f t="shared" si="15"/>
        <v>81</v>
      </c>
      <c r="AU33" s="1777"/>
      <c r="AV33" s="1777">
        <f>SUM(AV12)</f>
        <v>102</v>
      </c>
      <c r="AW33" s="1777"/>
      <c r="AX33" s="1778">
        <f t="shared" si="16"/>
        <v>102</v>
      </c>
      <c r="AY33" s="1777"/>
      <c r="AZ33" s="1777">
        <f>SUM(AZ12)</f>
        <v>121</v>
      </c>
      <c r="BA33" s="1777"/>
      <c r="BB33" s="1778">
        <f t="shared" si="17"/>
        <v>121</v>
      </c>
      <c r="BC33" s="1777"/>
      <c r="BD33" s="1777">
        <f>SUM(BD12)</f>
        <v>138</v>
      </c>
      <c r="BE33" s="1777"/>
      <c r="BF33" s="1778">
        <f t="shared" si="18"/>
        <v>138</v>
      </c>
    </row>
    <row r="34" spans="1:58" ht="14.4" x14ac:dyDescent="0.25">
      <c r="A34" s="635"/>
      <c r="B34" s="1775" t="s">
        <v>115</v>
      </c>
      <c r="C34" s="1776"/>
      <c r="D34" s="1777"/>
      <c r="E34" s="1777"/>
      <c r="F34" s="1778"/>
      <c r="G34" s="1776"/>
      <c r="H34" s="1777"/>
      <c r="I34" s="1777"/>
      <c r="J34" s="1778"/>
      <c r="K34" s="1776"/>
      <c r="L34" s="1777"/>
      <c r="M34" s="1777"/>
      <c r="N34" s="1778"/>
      <c r="O34" s="1776"/>
      <c r="P34" s="1777"/>
      <c r="Q34" s="1777"/>
      <c r="R34" s="1778"/>
      <c r="S34" s="1776">
        <f>SUM(S13)</f>
        <v>2</v>
      </c>
      <c r="T34" s="1777"/>
      <c r="U34" s="1777"/>
      <c r="V34" s="1778">
        <f t="shared" si="9"/>
        <v>2</v>
      </c>
      <c r="W34" s="1776">
        <f>SUM(W13)</f>
        <v>4</v>
      </c>
      <c r="X34" s="1777">
        <f>SUM(X13)</f>
        <v>1</v>
      </c>
      <c r="Y34" s="1777"/>
      <c r="Z34" s="1778">
        <f t="shared" si="10"/>
        <v>5</v>
      </c>
      <c r="AA34" s="1776">
        <f>SUM(AA13)</f>
        <v>6</v>
      </c>
      <c r="AB34" s="1777">
        <f>SUM(AB13)</f>
        <v>8</v>
      </c>
      <c r="AC34" s="1777">
        <f>SUM(AC13)</f>
        <v>2</v>
      </c>
      <c r="AD34" s="1778">
        <f t="shared" si="11"/>
        <v>16</v>
      </c>
      <c r="AE34" s="1776">
        <f>SUM(AE13)</f>
        <v>8</v>
      </c>
      <c r="AF34" s="1777">
        <f>SUM(AF13)</f>
        <v>17</v>
      </c>
      <c r="AG34" s="1777">
        <f>SUM(AG13)</f>
        <v>2</v>
      </c>
      <c r="AH34" s="1778">
        <f t="shared" si="12"/>
        <v>27</v>
      </c>
      <c r="AI34" s="1776">
        <f>SUM(AI13)</f>
        <v>9</v>
      </c>
      <c r="AJ34" s="1777">
        <f>SUM(AJ13)</f>
        <v>24</v>
      </c>
      <c r="AK34" s="1777">
        <f>SUM(AK13)</f>
        <v>4</v>
      </c>
      <c r="AL34" s="1778">
        <f t="shared" si="13"/>
        <v>37</v>
      </c>
      <c r="AM34" s="1776">
        <f>SUM(AM13)</f>
        <v>11</v>
      </c>
      <c r="AN34" s="1777">
        <f>SUM(AN13)</f>
        <v>30</v>
      </c>
      <c r="AO34" s="1777">
        <f>SUM(AO13)</f>
        <v>8</v>
      </c>
      <c r="AP34" s="1778">
        <f t="shared" si="14"/>
        <v>49</v>
      </c>
      <c r="AQ34" s="1776">
        <f>SUM(AQ13)</f>
        <v>11</v>
      </c>
      <c r="AR34" s="1777">
        <f>SUM(AR13)</f>
        <v>41</v>
      </c>
      <c r="AS34" s="1777">
        <f>SUM(AS13)</f>
        <v>14</v>
      </c>
      <c r="AT34" s="1778">
        <f t="shared" si="15"/>
        <v>66</v>
      </c>
      <c r="AU34" s="1776">
        <f>SUM(AU13)</f>
        <v>11</v>
      </c>
      <c r="AV34" s="1777">
        <f>SUM(AV13)</f>
        <v>43</v>
      </c>
      <c r="AW34" s="1777">
        <f>SUM(AW13)</f>
        <v>18</v>
      </c>
      <c r="AX34" s="1778">
        <f t="shared" si="16"/>
        <v>72</v>
      </c>
      <c r="AY34" s="1776">
        <f>SUM(AY13)</f>
        <v>11</v>
      </c>
      <c r="AZ34" s="1777">
        <f>SUM(AZ13)</f>
        <v>50</v>
      </c>
      <c r="BA34" s="1777">
        <f>SUM(BA13)</f>
        <v>20</v>
      </c>
      <c r="BB34" s="1778">
        <f t="shared" si="17"/>
        <v>81</v>
      </c>
      <c r="BC34" s="1776">
        <f>SUM(BC13)</f>
        <v>11</v>
      </c>
      <c r="BD34" s="1777">
        <f>SUM(BD13)</f>
        <v>57</v>
      </c>
      <c r="BE34" s="1777">
        <f>SUM(BE13)</f>
        <v>25</v>
      </c>
      <c r="BF34" s="1778">
        <f t="shared" si="18"/>
        <v>93</v>
      </c>
    </row>
    <row r="35" spans="1:58" ht="14.4" x14ac:dyDescent="0.25">
      <c r="A35" s="635"/>
      <c r="B35" s="1779" t="s">
        <v>431</v>
      </c>
      <c r="C35" s="1780">
        <f t="shared" ref="C35:R35" si="22">SUM(C29:C32)</f>
        <v>1537</v>
      </c>
      <c r="D35" s="1781">
        <f t="shared" si="22"/>
        <v>3778</v>
      </c>
      <c r="E35" s="1781">
        <f t="shared" si="22"/>
        <v>1276</v>
      </c>
      <c r="F35" s="1782">
        <f t="shared" si="22"/>
        <v>6591</v>
      </c>
      <c r="G35" s="1780">
        <f t="shared" si="22"/>
        <v>1672</v>
      </c>
      <c r="H35" s="1781">
        <f t="shared" si="22"/>
        <v>4204</v>
      </c>
      <c r="I35" s="1781">
        <f t="shared" si="22"/>
        <v>1449</v>
      </c>
      <c r="J35" s="1782">
        <f>SUM(J29:J32)</f>
        <v>7325</v>
      </c>
      <c r="K35" s="1780">
        <f t="shared" si="22"/>
        <v>1891</v>
      </c>
      <c r="L35" s="1781">
        <f t="shared" si="22"/>
        <v>4699</v>
      </c>
      <c r="M35" s="1781">
        <f t="shared" si="22"/>
        <v>1634</v>
      </c>
      <c r="N35" s="1782">
        <f t="shared" si="22"/>
        <v>8224</v>
      </c>
      <c r="O35" s="1780">
        <f t="shared" si="22"/>
        <v>2055</v>
      </c>
      <c r="P35" s="1781">
        <f t="shared" si="22"/>
        <v>5031</v>
      </c>
      <c r="Q35" s="1781">
        <f t="shared" si="22"/>
        <v>1784</v>
      </c>
      <c r="R35" s="1782">
        <f t="shared" si="22"/>
        <v>8870</v>
      </c>
      <c r="S35" s="1780">
        <f t="shared" ref="S35:AX35" si="23">SUM(S29:S34)</f>
        <v>2186</v>
      </c>
      <c r="T35" s="1781">
        <f t="shared" si="23"/>
        <v>5497</v>
      </c>
      <c r="U35" s="1781">
        <f t="shared" si="23"/>
        <v>1970</v>
      </c>
      <c r="V35" s="1782">
        <f t="shared" si="23"/>
        <v>9653</v>
      </c>
      <c r="W35" s="1780">
        <f t="shared" si="23"/>
        <v>2258</v>
      </c>
      <c r="X35" s="1781">
        <f t="shared" si="23"/>
        <v>6183</v>
      </c>
      <c r="Y35" s="1781">
        <f t="shared" si="23"/>
        <v>2188</v>
      </c>
      <c r="Z35" s="1782">
        <f t="shared" si="23"/>
        <v>10629</v>
      </c>
      <c r="AA35" s="1780">
        <f t="shared" si="23"/>
        <v>2331</v>
      </c>
      <c r="AB35" s="1781">
        <f t="shared" si="23"/>
        <v>6411</v>
      </c>
      <c r="AC35" s="1781">
        <f t="shared" si="23"/>
        <v>2352</v>
      </c>
      <c r="AD35" s="1782">
        <f t="shared" si="23"/>
        <v>11094</v>
      </c>
      <c r="AE35" s="1780">
        <f t="shared" si="23"/>
        <v>2444</v>
      </c>
      <c r="AF35" s="1781">
        <f t="shared" si="23"/>
        <v>7028</v>
      </c>
      <c r="AG35" s="1781">
        <f t="shared" si="23"/>
        <v>2556</v>
      </c>
      <c r="AH35" s="1782">
        <f t="shared" si="23"/>
        <v>12028</v>
      </c>
      <c r="AI35" s="1780">
        <f t="shared" si="23"/>
        <v>2545</v>
      </c>
      <c r="AJ35" s="1781">
        <f t="shared" si="23"/>
        <v>7556</v>
      </c>
      <c r="AK35" s="1781">
        <f t="shared" si="23"/>
        <v>2752</v>
      </c>
      <c r="AL35" s="1782">
        <f t="shared" si="23"/>
        <v>12853</v>
      </c>
      <c r="AM35" s="1780">
        <f t="shared" si="23"/>
        <v>2660</v>
      </c>
      <c r="AN35" s="1781">
        <f t="shared" si="23"/>
        <v>8105</v>
      </c>
      <c r="AO35" s="1781">
        <f t="shared" si="23"/>
        <v>2987</v>
      </c>
      <c r="AP35" s="1782">
        <f t="shared" si="23"/>
        <v>13752</v>
      </c>
      <c r="AQ35" s="1780">
        <f t="shared" si="23"/>
        <v>2744</v>
      </c>
      <c r="AR35" s="1781">
        <f t="shared" si="23"/>
        <v>8602</v>
      </c>
      <c r="AS35" s="1781">
        <f t="shared" si="23"/>
        <v>3389</v>
      </c>
      <c r="AT35" s="1782">
        <f t="shared" si="23"/>
        <v>14735</v>
      </c>
      <c r="AU35" s="1780">
        <f t="shared" si="23"/>
        <v>2790</v>
      </c>
      <c r="AV35" s="1781">
        <f t="shared" si="23"/>
        <v>9022</v>
      </c>
      <c r="AW35" s="1781">
        <f t="shared" si="23"/>
        <v>3545</v>
      </c>
      <c r="AX35" s="1782">
        <f t="shared" si="23"/>
        <v>15357</v>
      </c>
      <c r="AY35" s="1780">
        <f t="shared" ref="AY35:BF35" si="24">SUM(AY29:AY34)</f>
        <v>2886</v>
      </c>
      <c r="AZ35" s="1781">
        <f t="shared" si="24"/>
        <v>9422</v>
      </c>
      <c r="BA35" s="1781">
        <f t="shared" si="24"/>
        <v>3753</v>
      </c>
      <c r="BB35" s="1782">
        <f t="shared" si="24"/>
        <v>16061</v>
      </c>
      <c r="BC35" s="1780">
        <f t="shared" si="24"/>
        <v>2954</v>
      </c>
      <c r="BD35" s="1781">
        <f t="shared" si="24"/>
        <v>9880</v>
      </c>
      <c r="BE35" s="1781">
        <f t="shared" si="24"/>
        <v>3966</v>
      </c>
      <c r="BF35" s="1782">
        <f t="shared" si="24"/>
        <v>16800</v>
      </c>
    </row>
    <row r="36" spans="1:58" ht="13.8" x14ac:dyDescent="0.25">
      <c r="A36" s="635"/>
      <c r="B36" s="354"/>
      <c r="C36" s="354"/>
      <c r="AT36" s="1746"/>
      <c r="AX36" s="747"/>
      <c r="BB36" s="4645"/>
      <c r="BF36" s="4645"/>
    </row>
    <row r="37" spans="1:58" x14ac:dyDescent="0.25">
      <c r="A37" s="635"/>
      <c r="B37" s="635"/>
      <c r="C37" s="635"/>
    </row>
    <row r="45" spans="1:58" x14ac:dyDescent="0.25">
      <c r="B45" s="205"/>
    </row>
    <row r="46" spans="1:58" x14ac:dyDescent="0.25">
      <c r="D46" s="206"/>
    </row>
    <row r="47" spans="1:58" x14ac:dyDescent="0.25">
      <c r="D47" s="206"/>
      <c r="AC47" s="206" t="s">
        <v>308</v>
      </c>
      <c r="AD47" s="1386">
        <v>2009</v>
      </c>
    </row>
    <row r="48" spans="1:58" x14ac:dyDescent="0.25">
      <c r="D48" s="206"/>
      <c r="AC48" s="206" t="s">
        <v>310</v>
      </c>
      <c r="AD48" s="1386">
        <v>2010</v>
      </c>
    </row>
    <row r="49" spans="2:30" x14ac:dyDescent="0.25">
      <c r="D49" s="206"/>
      <c r="AC49" s="206" t="s">
        <v>317</v>
      </c>
      <c r="AD49" s="1386">
        <v>2011</v>
      </c>
    </row>
    <row r="50" spans="2:30" x14ac:dyDescent="0.25">
      <c r="D50" s="206"/>
      <c r="AD50" s="1386">
        <v>2012</v>
      </c>
    </row>
    <row r="51" spans="2:30" ht="12.75" customHeight="1" x14ac:dyDescent="0.25">
      <c r="D51" s="206"/>
      <c r="AD51" s="1386">
        <v>2013</v>
      </c>
    </row>
    <row r="52" spans="2:30" ht="12.75" customHeight="1" x14ac:dyDescent="0.25">
      <c r="D52" s="206"/>
      <c r="AD52" s="1386">
        <v>2014</v>
      </c>
    </row>
    <row r="53" spans="2:30" ht="12.75" customHeight="1" x14ac:dyDescent="0.25">
      <c r="D53" s="206"/>
      <c r="AD53" s="1386">
        <v>2015</v>
      </c>
    </row>
    <row r="54" spans="2:30" x14ac:dyDescent="0.25">
      <c r="B54" s="205"/>
      <c r="D54" s="206"/>
      <c r="AD54" s="1386">
        <v>2016</v>
      </c>
    </row>
    <row r="55" spans="2:30" x14ac:dyDescent="0.25">
      <c r="B55" s="205"/>
      <c r="D55" s="206"/>
      <c r="AD55" s="1386">
        <v>2017</v>
      </c>
    </row>
    <row r="56" spans="2:30" x14ac:dyDescent="0.25">
      <c r="B56" s="205"/>
      <c r="D56" s="206"/>
      <c r="AD56" s="1386">
        <v>2018</v>
      </c>
    </row>
    <row r="57" spans="2:30" x14ac:dyDescent="0.25">
      <c r="B57" s="205"/>
      <c r="D57" s="206"/>
      <c r="AD57" s="1386">
        <v>2019</v>
      </c>
    </row>
    <row r="58" spans="2:30" x14ac:dyDescent="0.25">
      <c r="B58" s="205"/>
      <c r="D58" s="206"/>
      <c r="AD58" s="1386">
        <v>2020</v>
      </c>
    </row>
    <row r="59" spans="2:30" x14ac:dyDescent="0.25">
      <c r="B59" s="205"/>
      <c r="D59" s="206"/>
      <c r="AD59" s="1386">
        <v>2021</v>
      </c>
    </row>
    <row r="60" spans="2:30" x14ac:dyDescent="0.25">
      <c r="B60" s="205"/>
      <c r="AD60" s="1386">
        <v>2022</v>
      </c>
    </row>
    <row r="61" spans="2:30" x14ac:dyDescent="0.25">
      <c r="B61" s="205"/>
    </row>
    <row r="62" spans="2:30" x14ac:dyDescent="0.25">
      <c r="B62" s="205"/>
    </row>
    <row r="63" spans="2:30" x14ac:dyDescent="0.25">
      <c r="B63" s="205"/>
    </row>
    <row r="64" spans="2:30" x14ac:dyDescent="0.25">
      <c r="B64" s="205"/>
    </row>
    <row r="65" spans="1:6" x14ac:dyDescent="0.25">
      <c r="B65" s="205"/>
    </row>
    <row r="66" spans="1:6" x14ac:dyDescent="0.25">
      <c r="B66" s="205"/>
    </row>
    <row r="67" spans="1:6" x14ac:dyDescent="0.25">
      <c r="B67" s="205"/>
    </row>
    <row r="68" spans="1:6" x14ac:dyDescent="0.25">
      <c r="B68" s="205"/>
    </row>
    <row r="69" spans="1:6" x14ac:dyDescent="0.25">
      <c r="B69" s="205"/>
    </row>
    <row r="70" spans="1:6" x14ac:dyDescent="0.25">
      <c r="B70" s="205"/>
    </row>
    <row r="71" spans="1:6" ht="12.75" customHeight="1" x14ac:dyDescent="0.25">
      <c r="B71" s="205"/>
    </row>
    <row r="72" spans="1:6" ht="12.75" customHeight="1" x14ac:dyDescent="0.25">
      <c r="B72" s="1783"/>
      <c r="C72" s="38"/>
      <c r="D72" s="38"/>
      <c r="E72" s="38"/>
      <c r="F72" s="38"/>
    </row>
    <row r="73" spans="1:6" ht="12.75" customHeight="1" x14ac:dyDescent="0.25"/>
    <row r="74" spans="1:6" ht="13.8" x14ac:dyDescent="0.25">
      <c r="A74" s="38"/>
    </row>
    <row r="76" spans="1:6" x14ac:dyDescent="0.25">
      <c r="B76" s="205"/>
    </row>
    <row r="79" spans="1:6" s="38" customFormat="1" ht="13.8" x14ac:dyDescent="0.25">
      <c r="A79" s="25"/>
      <c r="B79" s="25"/>
      <c r="C79" s="25"/>
      <c r="D79" s="25"/>
      <c r="E79" s="25"/>
      <c r="F79" s="25"/>
    </row>
  </sheetData>
  <mergeCells count="15">
    <mergeCell ref="BC3:BF3"/>
    <mergeCell ref="AY3:BB3"/>
    <mergeCell ref="S3:V3"/>
    <mergeCell ref="B3:B4"/>
    <mergeCell ref="C3:F3"/>
    <mergeCell ref="G3:J3"/>
    <mergeCell ref="K3:N3"/>
    <mergeCell ref="O3:R3"/>
    <mergeCell ref="AU3:AX3"/>
    <mergeCell ref="W3:Z3"/>
    <mergeCell ref="AA3:AD3"/>
    <mergeCell ref="AE3:AH3"/>
    <mergeCell ref="AI3:AL3"/>
    <mergeCell ref="AM3:AP3"/>
    <mergeCell ref="AQ3:AT3"/>
  </mergeCells>
  <printOptions horizontalCentered="1" verticalCentered="1"/>
  <pageMargins left="0.39370078740157483" right="0.39370078740157483" top="0.19685039370078741" bottom="0.27559055118110237" header="3.937007874015748E-2" footer="0.31496062992125984"/>
  <pageSetup scale="65" firstPageNumber="78" pageOrder="overThenDown" orientation="landscape" useFirstPageNumber="1" r:id="rId1"/>
  <headerFooter scaleWithDoc="0" alignWithMargins="0">
    <oddFooter xml:space="preserve">&amp;R&amp;P
</oddFooter>
  </headerFooter>
  <rowBreaks count="1" manualBreakCount="1">
    <brk id="37" max="16383" man="1"/>
  </rowBreaks>
  <ignoredErrors>
    <ignoredError sqref="D6:Z28 C18:C25 AG35:BB35 AA20:AB23 AA35:AF35 AA28:AC34 AA24:AB25 AA18:AB19 BA31 AA26:AB26 AA27:AB27 AC26 AC27 AC20:BB23 AC24:AC25 AC18:AC19 AC13:AC17 AZ17:BA17 AG13:BB15 AJ6:BA8 AC9:BB12 AC6:AI8 BB6:BB8 AD13:AF15 AY17 BC6:BE8 BE13 BC16:BE18 BC24:BE26" formulaRange="1"/>
    <ignoredError sqref="D29:Z35 BB31 AI31:AZ31 AI32:BB34 AI28:BB30 AH28:AH34 AG28:AG34 AD28:AF34 AD27:AF27 AD26:AE26 AD24:AD25 AD18:AD19 AG24:AG27 AH24:AH27 AF24:AF26 AE24:AE25 AI24:BB27 AI18:BB19 AE18:AE19 AF18:AF19 AH18:AH19 AG18:AG19 AG16:AG17 AH16:AH17 AF16:AF17 BB17 AI17:AX17 AI16:BB16 AD16:AE17" formula="1" formulaRange="1"/>
    <ignoredError sqref="C29:C35" formula="1"/>
  </ignoredError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7A519"/>
  </sheetPr>
  <dimension ref="B1:F177"/>
  <sheetViews>
    <sheetView showGridLines="0" zoomScaleNormal="100" workbookViewId="0">
      <selection activeCell="Q31" sqref="Q31"/>
    </sheetView>
  </sheetViews>
  <sheetFormatPr baseColWidth="10" defaultRowHeight="14.4" x14ac:dyDescent="0.3"/>
  <cols>
    <col min="1" max="1" width="1.88671875" style="1784" customWidth="1"/>
    <col min="2" max="2" width="15.88671875" style="1784" customWidth="1"/>
    <col min="3" max="3" width="15" style="1784" bestFit="1" customWidth="1"/>
    <col min="4" max="4" width="73.88671875" style="1784" customWidth="1"/>
    <col min="5" max="5" width="25.109375" style="1784" bestFit="1" customWidth="1"/>
    <col min="6" max="6" width="26.5546875" style="1784" customWidth="1"/>
    <col min="7" max="226" width="11.5546875" style="1784"/>
    <col min="227" max="227" width="16.5546875" style="1784" customWidth="1"/>
    <col min="228" max="228" width="11.5546875" style="1784"/>
    <col min="229" max="229" width="15.109375" style="1784" customWidth="1"/>
    <col min="230" max="230" width="11.88671875" style="1784" bestFit="1" customWidth="1"/>
    <col min="231" max="235" width="10.88671875" style="1784" customWidth="1"/>
    <col min="236" max="236" width="1.88671875" style="1784" customWidth="1"/>
    <col min="237" max="237" width="11.88671875" style="1784" customWidth="1"/>
    <col min="238" max="240" width="9.88671875" style="1784" customWidth="1"/>
    <col min="241" max="482" width="11.5546875" style="1784"/>
    <col min="483" max="483" width="16.5546875" style="1784" customWidth="1"/>
    <col min="484" max="484" width="11.5546875" style="1784"/>
    <col min="485" max="485" width="15.109375" style="1784" customWidth="1"/>
    <col min="486" max="486" width="11.88671875" style="1784" bestFit="1" customWidth="1"/>
    <col min="487" max="491" width="10.88671875" style="1784" customWidth="1"/>
    <col min="492" max="492" width="1.88671875" style="1784" customWidth="1"/>
    <col min="493" max="493" width="11.88671875" style="1784" customWidth="1"/>
    <col min="494" max="496" width="9.88671875" style="1784" customWidth="1"/>
    <col min="497" max="738" width="11.5546875" style="1784"/>
    <col min="739" max="739" width="16.5546875" style="1784" customWidth="1"/>
    <col min="740" max="740" width="11.5546875" style="1784"/>
    <col min="741" max="741" width="15.109375" style="1784" customWidth="1"/>
    <col min="742" max="742" width="11.88671875" style="1784" bestFit="1" customWidth="1"/>
    <col min="743" max="747" width="10.88671875" style="1784" customWidth="1"/>
    <col min="748" max="748" width="1.88671875" style="1784" customWidth="1"/>
    <col min="749" max="749" width="11.88671875" style="1784" customWidth="1"/>
    <col min="750" max="752" width="9.88671875" style="1784" customWidth="1"/>
    <col min="753" max="994" width="11.5546875" style="1784"/>
    <col min="995" max="995" width="16.5546875" style="1784" customWidth="1"/>
    <col min="996" max="996" width="11.5546875" style="1784"/>
    <col min="997" max="997" width="15.109375" style="1784" customWidth="1"/>
    <col min="998" max="998" width="11.88671875" style="1784" bestFit="1" customWidth="1"/>
    <col min="999" max="1003" width="10.88671875" style="1784" customWidth="1"/>
    <col min="1004" max="1004" width="1.88671875" style="1784" customWidth="1"/>
    <col min="1005" max="1005" width="11.88671875" style="1784" customWidth="1"/>
    <col min="1006" max="1008" width="9.88671875" style="1784" customWidth="1"/>
    <col min="1009" max="1250" width="11.5546875" style="1784"/>
    <col min="1251" max="1251" width="16.5546875" style="1784" customWidth="1"/>
    <col min="1252" max="1252" width="11.5546875" style="1784"/>
    <col min="1253" max="1253" width="15.109375" style="1784" customWidth="1"/>
    <col min="1254" max="1254" width="11.88671875" style="1784" bestFit="1" customWidth="1"/>
    <col min="1255" max="1259" width="10.88671875" style="1784" customWidth="1"/>
    <col min="1260" max="1260" width="1.88671875" style="1784" customWidth="1"/>
    <col min="1261" max="1261" width="11.88671875" style="1784" customWidth="1"/>
    <col min="1262" max="1264" width="9.88671875" style="1784" customWidth="1"/>
    <col min="1265" max="1506" width="11.5546875" style="1784"/>
    <col min="1507" max="1507" width="16.5546875" style="1784" customWidth="1"/>
    <col min="1508" max="1508" width="11.5546875" style="1784"/>
    <col min="1509" max="1509" width="15.109375" style="1784" customWidth="1"/>
    <col min="1510" max="1510" width="11.88671875" style="1784" bestFit="1" customWidth="1"/>
    <col min="1511" max="1515" width="10.88671875" style="1784" customWidth="1"/>
    <col min="1516" max="1516" width="1.88671875" style="1784" customWidth="1"/>
    <col min="1517" max="1517" width="11.88671875" style="1784" customWidth="1"/>
    <col min="1518" max="1520" width="9.88671875" style="1784" customWidth="1"/>
    <col min="1521" max="1762" width="11.5546875" style="1784"/>
    <col min="1763" max="1763" width="16.5546875" style="1784" customWidth="1"/>
    <col min="1764" max="1764" width="11.5546875" style="1784"/>
    <col min="1765" max="1765" width="15.109375" style="1784" customWidth="1"/>
    <col min="1766" max="1766" width="11.88671875" style="1784" bestFit="1" customWidth="1"/>
    <col min="1767" max="1771" width="10.88671875" style="1784" customWidth="1"/>
    <col min="1772" max="1772" width="1.88671875" style="1784" customWidth="1"/>
    <col min="1773" max="1773" width="11.88671875" style="1784" customWidth="1"/>
    <col min="1774" max="1776" width="9.88671875" style="1784" customWidth="1"/>
    <col min="1777" max="2018" width="11.5546875" style="1784"/>
    <col min="2019" max="2019" width="16.5546875" style="1784" customWidth="1"/>
    <col min="2020" max="2020" width="11.5546875" style="1784"/>
    <col min="2021" max="2021" width="15.109375" style="1784" customWidth="1"/>
    <col min="2022" max="2022" width="11.88671875" style="1784" bestFit="1" customWidth="1"/>
    <col min="2023" max="2027" width="10.88671875" style="1784" customWidth="1"/>
    <col min="2028" max="2028" width="1.88671875" style="1784" customWidth="1"/>
    <col min="2029" max="2029" width="11.88671875" style="1784" customWidth="1"/>
    <col min="2030" max="2032" width="9.88671875" style="1784" customWidth="1"/>
    <col min="2033" max="2274" width="11.5546875" style="1784"/>
    <col min="2275" max="2275" width="16.5546875" style="1784" customWidth="1"/>
    <col min="2276" max="2276" width="11.5546875" style="1784"/>
    <col min="2277" max="2277" width="15.109375" style="1784" customWidth="1"/>
    <col min="2278" max="2278" width="11.88671875" style="1784" bestFit="1" customWidth="1"/>
    <col min="2279" max="2283" width="10.88671875" style="1784" customWidth="1"/>
    <col min="2284" max="2284" width="1.88671875" style="1784" customWidth="1"/>
    <col min="2285" max="2285" width="11.88671875" style="1784" customWidth="1"/>
    <col min="2286" max="2288" width="9.88671875" style="1784" customWidth="1"/>
    <col min="2289" max="2530" width="11.5546875" style="1784"/>
    <col min="2531" max="2531" width="16.5546875" style="1784" customWidth="1"/>
    <col min="2532" max="2532" width="11.5546875" style="1784"/>
    <col min="2533" max="2533" width="15.109375" style="1784" customWidth="1"/>
    <col min="2534" max="2534" width="11.88671875" style="1784" bestFit="1" customWidth="1"/>
    <col min="2535" max="2539" width="10.88671875" style="1784" customWidth="1"/>
    <col min="2540" max="2540" width="1.88671875" style="1784" customWidth="1"/>
    <col min="2541" max="2541" width="11.88671875" style="1784" customWidth="1"/>
    <col min="2542" max="2544" width="9.88671875" style="1784" customWidth="1"/>
    <col min="2545" max="2786" width="11.5546875" style="1784"/>
    <col min="2787" max="2787" width="16.5546875" style="1784" customWidth="1"/>
    <col min="2788" max="2788" width="11.5546875" style="1784"/>
    <col min="2789" max="2789" width="15.109375" style="1784" customWidth="1"/>
    <col min="2790" max="2790" width="11.88671875" style="1784" bestFit="1" customWidth="1"/>
    <col min="2791" max="2795" width="10.88671875" style="1784" customWidth="1"/>
    <col min="2796" max="2796" width="1.88671875" style="1784" customWidth="1"/>
    <col min="2797" max="2797" width="11.88671875" style="1784" customWidth="1"/>
    <col min="2798" max="2800" width="9.88671875" style="1784" customWidth="1"/>
    <col min="2801" max="3042" width="11.5546875" style="1784"/>
    <col min="3043" max="3043" width="16.5546875" style="1784" customWidth="1"/>
    <col min="3044" max="3044" width="11.5546875" style="1784"/>
    <col min="3045" max="3045" width="15.109375" style="1784" customWidth="1"/>
    <col min="3046" max="3046" width="11.88671875" style="1784" bestFit="1" customWidth="1"/>
    <col min="3047" max="3051" width="10.88671875" style="1784" customWidth="1"/>
    <col min="3052" max="3052" width="1.88671875" style="1784" customWidth="1"/>
    <col min="3053" max="3053" width="11.88671875" style="1784" customWidth="1"/>
    <col min="3054" max="3056" width="9.88671875" style="1784" customWidth="1"/>
    <col min="3057" max="3298" width="11.5546875" style="1784"/>
    <col min="3299" max="3299" width="16.5546875" style="1784" customWidth="1"/>
    <col min="3300" max="3300" width="11.5546875" style="1784"/>
    <col min="3301" max="3301" width="15.109375" style="1784" customWidth="1"/>
    <col min="3302" max="3302" width="11.88671875" style="1784" bestFit="1" customWidth="1"/>
    <col min="3303" max="3307" width="10.88671875" style="1784" customWidth="1"/>
    <col min="3308" max="3308" width="1.88671875" style="1784" customWidth="1"/>
    <col min="3309" max="3309" width="11.88671875" style="1784" customWidth="1"/>
    <col min="3310" max="3312" width="9.88671875" style="1784" customWidth="1"/>
    <col min="3313" max="3554" width="11.5546875" style="1784"/>
    <col min="3555" max="3555" width="16.5546875" style="1784" customWidth="1"/>
    <col min="3556" max="3556" width="11.5546875" style="1784"/>
    <col min="3557" max="3557" width="15.109375" style="1784" customWidth="1"/>
    <col min="3558" max="3558" width="11.88671875" style="1784" bestFit="1" customWidth="1"/>
    <col min="3559" max="3563" width="10.88671875" style="1784" customWidth="1"/>
    <col min="3564" max="3564" width="1.88671875" style="1784" customWidth="1"/>
    <col min="3565" max="3565" width="11.88671875" style="1784" customWidth="1"/>
    <col min="3566" max="3568" width="9.88671875" style="1784" customWidth="1"/>
    <col min="3569" max="3810" width="11.5546875" style="1784"/>
    <col min="3811" max="3811" width="16.5546875" style="1784" customWidth="1"/>
    <col min="3812" max="3812" width="11.5546875" style="1784"/>
    <col min="3813" max="3813" width="15.109375" style="1784" customWidth="1"/>
    <col min="3814" max="3814" width="11.88671875" style="1784" bestFit="1" customWidth="1"/>
    <col min="3815" max="3819" width="10.88671875" style="1784" customWidth="1"/>
    <col min="3820" max="3820" width="1.88671875" style="1784" customWidth="1"/>
    <col min="3821" max="3821" width="11.88671875" style="1784" customWidth="1"/>
    <col min="3822" max="3824" width="9.88671875" style="1784" customWidth="1"/>
    <col min="3825" max="4066" width="11.5546875" style="1784"/>
    <col min="4067" max="4067" width="16.5546875" style="1784" customWidth="1"/>
    <col min="4068" max="4068" width="11.5546875" style="1784"/>
    <col min="4069" max="4069" width="15.109375" style="1784" customWidth="1"/>
    <col min="4070" max="4070" width="11.88671875" style="1784" bestFit="1" customWidth="1"/>
    <col min="4071" max="4075" width="10.88671875" style="1784" customWidth="1"/>
    <col min="4076" max="4076" width="1.88671875" style="1784" customWidth="1"/>
    <col min="4077" max="4077" width="11.88671875" style="1784" customWidth="1"/>
    <col min="4078" max="4080" width="9.88671875" style="1784" customWidth="1"/>
    <col min="4081" max="4322" width="11.5546875" style="1784"/>
    <col min="4323" max="4323" width="16.5546875" style="1784" customWidth="1"/>
    <col min="4324" max="4324" width="11.5546875" style="1784"/>
    <col min="4325" max="4325" width="15.109375" style="1784" customWidth="1"/>
    <col min="4326" max="4326" width="11.88671875" style="1784" bestFit="1" customWidth="1"/>
    <col min="4327" max="4331" width="10.88671875" style="1784" customWidth="1"/>
    <col min="4332" max="4332" width="1.88671875" style="1784" customWidth="1"/>
    <col min="4333" max="4333" width="11.88671875" style="1784" customWidth="1"/>
    <col min="4334" max="4336" width="9.88671875" style="1784" customWidth="1"/>
    <col min="4337" max="4578" width="11.5546875" style="1784"/>
    <col min="4579" max="4579" width="16.5546875" style="1784" customWidth="1"/>
    <col min="4580" max="4580" width="11.5546875" style="1784"/>
    <col min="4581" max="4581" width="15.109375" style="1784" customWidth="1"/>
    <col min="4582" max="4582" width="11.88671875" style="1784" bestFit="1" customWidth="1"/>
    <col min="4583" max="4587" width="10.88671875" style="1784" customWidth="1"/>
    <col min="4588" max="4588" width="1.88671875" style="1784" customWidth="1"/>
    <col min="4589" max="4589" width="11.88671875" style="1784" customWidth="1"/>
    <col min="4590" max="4592" width="9.88671875" style="1784" customWidth="1"/>
    <col min="4593" max="4834" width="11.5546875" style="1784"/>
    <col min="4835" max="4835" width="16.5546875" style="1784" customWidth="1"/>
    <col min="4836" max="4836" width="11.5546875" style="1784"/>
    <col min="4837" max="4837" width="15.109375" style="1784" customWidth="1"/>
    <col min="4838" max="4838" width="11.88671875" style="1784" bestFit="1" customWidth="1"/>
    <col min="4839" max="4843" width="10.88671875" style="1784" customWidth="1"/>
    <col min="4844" max="4844" width="1.88671875" style="1784" customWidth="1"/>
    <col min="4845" max="4845" width="11.88671875" style="1784" customWidth="1"/>
    <col min="4846" max="4848" width="9.88671875" style="1784" customWidth="1"/>
    <col min="4849" max="5090" width="11.5546875" style="1784"/>
    <col min="5091" max="5091" width="16.5546875" style="1784" customWidth="1"/>
    <col min="5092" max="5092" width="11.5546875" style="1784"/>
    <col min="5093" max="5093" width="15.109375" style="1784" customWidth="1"/>
    <col min="5094" max="5094" width="11.88671875" style="1784" bestFit="1" customWidth="1"/>
    <col min="5095" max="5099" width="10.88671875" style="1784" customWidth="1"/>
    <col min="5100" max="5100" width="1.88671875" style="1784" customWidth="1"/>
    <col min="5101" max="5101" width="11.88671875" style="1784" customWidth="1"/>
    <col min="5102" max="5104" width="9.88671875" style="1784" customWidth="1"/>
    <col min="5105" max="5346" width="11.5546875" style="1784"/>
    <col min="5347" max="5347" width="16.5546875" style="1784" customWidth="1"/>
    <col min="5348" max="5348" width="11.5546875" style="1784"/>
    <col min="5349" max="5349" width="15.109375" style="1784" customWidth="1"/>
    <col min="5350" max="5350" width="11.88671875" style="1784" bestFit="1" customWidth="1"/>
    <col min="5351" max="5355" width="10.88671875" style="1784" customWidth="1"/>
    <col min="5356" max="5356" width="1.88671875" style="1784" customWidth="1"/>
    <col min="5357" max="5357" width="11.88671875" style="1784" customWidth="1"/>
    <col min="5358" max="5360" width="9.88671875" style="1784" customWidth="1"/>
    <col min="5361" max="5602" width="11.5546875" style="1784"/>
    <col min="5603" max="5603" width="16.5546875" style="1784" customWidth="1"/>
    <col min="5604" max="5604" width="11.5546875" style="1784"/>
    <col min="5605" max="5605" width="15.109375" style="1784" customWidth="1"/>
    <col min="5606" max="5606" width="11.88671875" style="1784" bestFit="1" customWidth="1"/>
    <col min="5607" max="5611" width="10.88671875" style="1784" customWidth="1"/>
    <col min="5612" max="5612" width="1.88671875" style="1784" customWidth="1"/>
    <col min="5613" max="5613" width="11.88671875" style="1784" customWidth="1"/>
    <col min="5614" max="5616" width="9.88671875" style="1784" customWidth="1"/>
    <col min="5617" max="5858" width="11.5546875" style="1784"/>
    <col min="5859" max="5859" width="16.5546875" style="1784" customWidth="1"/>
    <col min="5860" max="5860" width="11.5546875" style="1784"/>
    <col min="5861" max="5861" width="15.109375" style="1784" customWidth="1"/>
    <col min="5862" max="5862" width="11.88671875" style="1784" bestFit="1" customWidth="1"/>
    <col min="5863" max="5867" width="10.88671875" style="1784" customWidth="1"/>
    <col min="5868" max="5868" width="1.88671875" style="1784" customWidth="1"/>
    <col min="5869" max="5869" width="11.88671875" style="1784" customWidth="1"/>
    <col min="5870" max="5872" width="9.88671875" style="1784" customWidth="1"/>
    <col min="5873" max="6114" width="11.5546875" style="1784"/>
    <col min="6115" max="6115" width="16.5546875" style="1784" customWidth="1"/>
    <col min="6116" max="6116" width="11.5546875" style="1784"/>
    <col min="6117" max="6117" width="15.109375" style="1784" customWidth="1"/>
    <col min="6118" max="6118" width="11.88671875" style="1784" bestFit="1" customWidth="1"/>
    <col min="6119" max="6123" width="10.88671875" style="1784" customWidth="1"/>
    <col min="6124" max="6124" width="1.88671875" style="1784" customWidth="1"/>
    <col min="6125" max="6125" width="11.88671875" style="1784" customWidth="1"/>
    <col min="6126" max="6128" width="9.88671875" style="1784" customWidth="1"/>
    <col min="6129" max="6370" width="11.5546875" style="1784"/>
    <col min="6371" max="6371" width="16.5546875" style="1784" customWidth="1"/>
    <col min="6372" max="6372" width="11.5546875" style="1784"/>
    <col min="6373" max="6373" width="15.109375" style="1784" customWidth="1"/>
    <col min="6374" max="6374" width="11.88671875" style="1784" bestFit="1" customWidth="1"/>
    <col min="6375" max="6379" width="10.88671875" style="1784" customWidth="1"/>
    <col min="6380" max="6380" width="1.88671875" style="1784" customWidth="1"/>
    <col min="6381" max="6381" width="11.88671875" style="1784" customWidth="1"/>
    <col min="6382" max="6384" width="9.88671875" style="1784" customWidth="1"/>
    <col min="6385" max="6626" width="11.5546875" style="1784"/>
    <col min="6627" max="6627" width="16.5546875" style="1784" customWidth="1"/>
    <col min="6628" max="6628" width="11.5546875" style="1784"/>
    <col min="6629" max="6629" width="15.109375" style="1784" customWidth="1"/>
    <col min="6630" max="6630" width="11.88671875" style="1784" bestFit="1" customWidth="1"/>
    <col min="6631" max="6635" width="10.88671875" style="1784" customWidth="1"/>
    <col min="6636" max="6636" width="1.88671875" style="1784" customWidth="1"/>
    <col min="6637" max="6637" width="11.88671875" style="1784" customWidth="1"/>
    <col min="6638" max="6640" width="9.88671875" style="1784" customWidth="1"/>
    <col min="6641" max="6882" width="11.5546875" style="1784"/>
    <col min="6883" max="6883" width="16.5546875" style="1784" customWidth="1"/>
    <col min="6884" max="6884" width="11.5546875" style="1784"/>
    <col min="6885" max="6885" width="15.109375" style="1784" customWidth="1"/>
    <col min="6886" max="6886" width="11.88671875" style="1784" bestFit="1" customWidth="1"/>
    <col min="6887" max="6891" width="10.88671875" style="1784" customWidth="1"/>
    <col min="6892" max="6892" width="1.88671875" style="1784" customWidth="1"/>
    <col min="6893" max="6893" width="11.88671875" style="1784" customWidth="1"/>
    <col min="6894" max="6896" width="9.88671875" style="1784" customWidth="1"/>
    <col min="6897" max="7138" width="11.5546875" style="1784"/>
    <col min="7139" max="7139" width="16.5546875" style="1784" customWidth="1"/>
    <col min="7140" max="7140" width="11.5546875" style="1784"/>
    <col min="7141" max="7141" width="15.109375" style="1784" customWidth="1"/>
    <col min="7142" max="7142" width="11.88671875" style="1784" bestFit="1" customWidth="1"/>
    <col min="7143" max="7147" width="10.88671875" style="1784" customWidth="1"/>
    <col min="7148" max="7148" width="1.88671875" style="1784" customWidth="1"/>
    <col min="7149" max="7149" width="11.88671875" style="1784" customWidth="1"/>
    <col min="7150" max="7152" width="9.88671875" style="1784" customWidth="1"/>
    <col min="7153" max="7394" width="11.5546875" style="1784"/>
    <col min="7395" max="7395" width="16.5546875" style="1784" customWidth="1"/>
    <col min="7396" max="7396" width="11.5546875" style="1784"/>
    <col min="7397" max="7397" width="15.109375" style="1784" customWidth="1"/>
    <col min="7398" max="7398" width="11.88671875" style="1784" bestFit="1" customWidth="1"/>
    <col min="7399" max="7403" width="10.88671875" style="1784" customWidth="1"/>
    <col min="7404" max="7404" width="1.88671875" style="1784" customWidth="1"/>
    <col min="7405" max="7405" width="11.88671875" style="1784" customWidth="1"/>
    <col min="7406" max="7408" width="9.88671875" style="1784" customWidth="1"/>
    <col min="7409" max="7650" width="11.5546875" style="1784"/>
    <col min="7651" max="7651" width="16.5546875" style="1784" customWidth="1"/>
    <col min="7652" max="7652" width="11.5546875" style="1784"/>
    <col min="7653" max="7653" width="15.109375" style="1784" customWidth="1"/>
    <col min="7654" max="7654" width="11.88671875" style="1784" bestFit="1" customWidth="1"/>
    <col min="7655" max="7659" width="10.88671875" style="1784" customWidth="1"/>
    <col min="7660" max="7660" width="1.88671875" style="1784" customWidth="1"/>
    <col min="7661" max="7661" width="11.88671875" style="1784" customWidth="1"/>
    <col min="7662" max="7664" width="9.88671875" style="1784" customWidth="1"/>
    <col min="7665" max="7906" width="11.5546875" style="1784"/>
    <col min="7907" max="7907" width="16.5546875" style="1784" customWidth="1"/>
    <col min="7908" max="7908" width="11.5546875" style="1784"/>
    <col min="7909" max="7909" width="15.109375" style="1784" customWidth="1"/>
    <col min="7910" max="7910" width="11.88671875" style="1784" bestFit="1" customWidth="1"/>
    <col min="7911" max="7915" width="10.88671875" style="1784" customWidth="1"/>
    <col min="7916" max="7916" width="1.88671875" style="1784" customWidth="1"/>
    <col min="7917" max="7917" width="11.88671875" style="1784" customWidth="1"/>
    <col min="7918" max="7920" width="9.88671875" style="1784" customWidth="1"/>
    <col min="7921" max="8162" width="11.5546875" style="1784"/>
    <col min="8163" max="8163" width="16.5546875" style="1784" customWidth="1"/>
    <col min="8164" max="8164" width="11.5546875" style="1784"/>
    <col min="8165" max="8165" width="15.109375" style="1784" customWidth="1"/>
    <col min="8166" max="8166" width="11.88671875" style="1784" bestFit="1" customWidth="1"/>
    <col min="8167" max="8171" width="10.88671875" style="1784" customWidth="1"/>
    <col min="8172" max="8172" width="1.88671875" style="1784" customWidth="1"/>
    <col min="8173" max="8173" width="11.88671875" style="1784" customWidth="1"/>
    <col min="8174" max="8176" width="9.88671875" style="1784" customWidth="1"/>
    <col min="8177" max="8418" width="11.5546875" style="1784"/>
    <col min="8419" max="8419" width="16.5546875" style="1784" customWidth="1"/>
    <col min="8420" max="8420" width="11.5546875" style="1784"/>
    <col min="8421" max="8421" width="15.109375" style="1784" customWidth="1"/>
    <col min="8422" max="8422" width="11.88671875" style="1784" bestFit="1" customWidth="1"/>
    <col min="8423" max="8427" width="10.88671875" style="1784" customWidth="1"/>
    <col min="8428" max="8428" width="1.88671875" style="1784" customWidth="1"/>
    <col min="8429" max="8429" width="11.88671875" style="1784" customWidth="1"/>
    <col min="8430" max="8432" width="9.88671875" style="1784" customWidth="1"/>
    <col min="8433" max="8674" width="11.5546875" style="1784"/>
    <col min="8675" max="8675" width="16.5546875" style="1784" customWidth="1"/>
    <col min="8676" max="8676" width="11.5546875" style="1784"/>
    <col min="8677" max="8677" width="15.109375" style="1784" customWidth="1"/>
    <col min="8678" max="8678" width="11.88671875" style="1784" bestFit="1" customWidth="1"/>
    <col min="8679" max="8683" width="10.88671875" style="1784" customWidth="1"/>
    <col min="8684" max="8684" width="1.88671875" style="1784" customWidth="1"/>
    <col min="8685" max="8685" width="11.88671875" style="1784" customWidth="1"/>
    <col min="8686" max="8688" width="9.88671875" style="1784" customWidth="1"/>
    <col min="8689" max="8930" width="11.5546875" style="1784"/>
    <col min="8931" max="8931" width="16.5546875" style="1784" customWidth="1"/>
    <col min="8932" max="8932" width="11.5546875" style="1784"/>
    <col min="8933" max="8933" width="15.109375" style="1784" customWidth="1"/>
    <col min="8934" max="8934" width="11.88671875" style="1784" bestFit="1" customWidth="1"/>
    <col min="8935" max="8939" width="10.88671875" style="1784" customWidth="1"/>
    <col min="8940" max="8940" width="1.88671875" style="1784" customWidth="1"/>
    <col min="8941" max="8941" width="11.88671875" style="1784" customWidth="1"/>
    <col min="8942" max="8944" width="9.88671875" style="1784" customWidth="1"/>
    <col min="8945" max="9186" width="11.5546875" style="1784"/>
    <col min="9187" max="9187" width="16.5546875" style="1784" customWidth="1"/>
    <col min="9188" max="9188" width="11.5546875" style="1784"/>
    <col min="9189" max="9189" width="15.109375" style="1784" customWidth="1"/>
    <col min="9190" max="9190" width="11.88671875" style="1784" bestFit="1" customWidth="1"/>
    <col min="9191" max="9195" width="10.88671875" style="1784" customWidth="1"/>
    <col min="9196" max="9196" width="1.88671875" style="1784" customWidth="1"/>
    <col min="9197" max="9197" width="11.88671875" style="1784" customWidth="1"/>
    <col min="9198" max="9200" width="9.88671875" style="1784" customWidth="1"/>
    <col min="9201" max="9442" width="11.5546875" style="1784"/>
    <col min="9443" max="9443" width="16.5546875" style="1784" customWidth="1"/>
    <col min="9444" max="9444" width="11.5546875" style="1784"/>
    <col min="9445" max="9445" width="15.109375" style="1784" customWidth="1"/>
    <col min="9446" max="9446" width="11.88671875" style="1784" bestFit="1" customWidth="1"/>
    <col min="9447" max="9451" width="10.88671875" style="1784" customWidth="1"/>
    <col min="9452" max="9452" width="1.88671875" style="1784" customWidth="1"/>
    <col min="9453" max="9453" width="11.88671875" style="1784" customWidth="1"/>
    <col min="9454" max="9456" width="9.88671875" style="1784" customWidth="1"/>
    <col min="9457" max="9698" width="11.5546875" style="1784"/>
    <col min="9699" max="9699" width="16.5546875" style="1784" customWidth="1"/>
    <col min="9700" max="9700" width="11.5546875" style="1784"/>
    <col min="9701" max="9701" width="15.109375" style="1784" customWidth="1"/>
    <col min="9702" max="9702" width="11.88671875" style="1784" bestFit="1" customWidth="1"/>
    <col min="9703" max="9707" width="10.88671875" style="1784" customWidth="1"/>
    <col min="9708" max="9708" width="1.88671875" style="1784" customWidth="1"/>
    <col min="9709" max="9709" width="11.88671875" style="1784" customWidth="1"/>
    <col min="9710" max="9712" width="9.88671875" style="1784" customWidth="1"/>
    <col min="9713" max="9954" width="11.5546875" style="1784"/>
    <col min="9955" max="9955" width="16.5546875" style="1784" customWidth="1"/>
    <col min="9956" max="9956" width="11.5546875" style="1784"/>
    <col min="9957" max="9957" width="15.109375" style="1784" customWidth="1"/>
    <col min="9958" max="9958" width="11.88671875" style="1784" bestFit="1" customWidth="1"/>
    <col min="9959" max="9963" width="10.88671875" style="1784" customWidth="1"/>
    <col min="9964" max="9964" width="1.88671875" style="1784" customWidth="1"/>
    <col min="9965" max="9965" width="11.88671875" style="1784" customWidth="1"/>
    <col min="9966" max="9968" width="9.88671875" style="1784" customWidth="1"/>
    <col min="9969" max="10210" width="11.5546875" style="1784"/>
    <col min="10211" max="10211" width="16.5546875" style="1784" customWidth="1"/>
    <col min="10212" max="10212" width="11.5546875" style="1784"/>
    <col min="10213" max="10213" width="15.109375" style="1784" customWidth="1"/>
    <col min="10214" max="10214" width="11.88671875" style="1784" bestFit="1" customWidth="1"/>
    <col min="10215" max="10219" width="10.88671875" style="1784" customWidth="1"/>
    <col min="10220" max="10220" width="1.88671875" style="1784" customWidth="1"/>
    <col min="10221" max="10221" width="11.88671875" style="1784" customWidth="1"/>
    <col min="10222" max="10224" width="9.88671875" style="1784" customWidth="1"/>
    <col min="10225" max="10466" width="11.5546875" style="1784"/>
    <col min="10467" max="10467" width="16.5546875" style="1784" customWidth="1"/>
    <col min="10468" max="10468" width="11.5546875" style="1784"/>
    <col min="10469" max="10469" width="15.109375" style="1784" customWidth="1"/>
    <col min="10470" max="10470" width="11.88671875" style="1784" bestFit="1" customWidth="1"/>
    <col min="10471" max="10475" width="10.88671875" style="1784" customWidth="1"/>
    <col min="10476" max="10476" width="1.88671875" style="1784" customWidth="1"/>
    <col min="10477" max="10477" width="11.88671875" style="1784" customWidth="1"/>
    <col min="10478" max="10480" width="9.88671875" style="1784" customWidth="1"/>
    <col min="10481" max="10722" width="11.5546875" style="1784"/>
    <col min="10723" max="10723" width="16.5546875" style="1784" customWidth="1"/>
    <col min="10724" max="10724" width="11.5546875" style="1784"/>
    <col min="10725" max="10725" width="15.109375" style="1784" customWidth="1"/>
    <col min="10726" max="10726" width="11.88671875" style="1784" bestFit="1" customWidth="1"/>
    <col min="10727" max="10731" width="10.88671875" style="1784" customWidth="1"/>
    <col min="10732" max="10732" width="1.88671875" style="1784" customWidth="1"/>
    <col min="10733" max="10733" width="11.88671875" style="1784" customWidth="1"/>
    <col min="10734" max="10736" width="9.88671875" style="1784" customWidth="1"/>
    <col min="10737" max="10978" width="11.5546875" style="1784"/>
    <col min="10979" max="10979" width="16.5546875" style="1784" customWidth="1"/>
    <col min="10980" max="10980" width="11.5546875" style="1784"/>
    <col min="10981" max="10981" width="15.109375" style="1784" customWidth="1"/>
    <col min="10982" max="10982" width="11.88671875" style="1784" bestFit="1" customWidth="1"/>
    <col min="10983" max="10987" width="10.88671875" style="1784" customWidth="1"/>
    <col min="10988" max="10988" width="1.88671875" style="1784" customWidth="1"/>
    <col min="10989" max="10989" width="11.88671875" style="1784" customWidth="1"/>
    <col min="10990" max="10992" width="9.88671875" style="1784" customWidth="1"/>
    <col min="10993" max="11234" width="11.5546875" style="1784"/>
    <col min="11235" max="11235" width="16.5546875" style="1784" customWidth="1"/>
    <col min="11236" max="11236" width="11.5546875" style="1784"/>
    <col min="11237" max="11237" width="15.109375" style="1784" customWidth="1"/>
    <col min="11238" max="11238" width="11.88671875" style="1784" bestFit="1" customWidth="1"/>
    <col min="11239" max="11243" width="10.88671875" style="1784" customWidth="1"/>
    <col min="11244" max="11244" width="1.88671875" style="1784" customWidth="1"/>
    <col min="11245" max="11245" width="11.88671875" style="1784" customWidth="1"/>
    <col min="11246" max="11248" width="9.88671875" style="1784" customWidth="1"/>
    <col min="11249" max="11490" width="11.5546875" style="1784"/>
    <col min="11491" max="11491" width="16.5546875" style="1784" customWidth="1"/>
    <col min="11492" max="11492" width="11.5546875" style="1784"/>
    <col min="11493" max="11493" width="15.109375" style="1784" customWidth="1"/>
    <col min="11494" max="11494" width="11.88671875" style="1784" bestFit="1" customWidth="1"/>
    <col min="11495" max="11499" width="10.88671875" style="1784" customWidth="1"/>
    <col min="11500" max="11500" width="1.88671875" style="1784" customWidth="1"/>
    <col min="11501" max="11501" width="11.88671875" style="1784" customWidth="1"/>
    <col min="11502" max="11504" width="9.88671875" style="1784" customWidth="1"/>
    <col min="11505" max="11746" width="11.5546875" style="1784"/>
    <col min="11747" max="11747" width="16.5546875" style="1784" customWidth="1"/>
    <col min="11748" max="11748" width="11.5546875" style="1784"/>
    <col min="11749" max="11749" width="15.109375" style="1784" customWidth="1"/>
    <col min="11750" max="11750" width="11.88671875" style="1784" bestFit="1" customWidth="1"/>
    <col min="11751" max="11755" width="10.88671875" style="1784" customWidth="1"/>
    <col min="11756" max="11756" width="1.88671875" style="1784" customWidth="1"/>
    <col min="11757" max="11757" width="11.88671875" style="1784" customWidth="1"/>
    <col min="11758" max="11760" width="9.88671875" style="1784" customWidth="1"/>
    <col min="11761" max="12002" width="11.5546875" style="1784"/>
    <col min="12003" max="12003" width="16.5546875" style="1784" customWidth="1"/>
    <col min="12004" max="12004" width="11.5546875" style="1784"/>
    <col min="12005" max="12005" width="15.109375" style="1784" customWidth="1"/>
    <col min="12006" max="12006" width="11.88671875" style="1784" bestFit="1" customWidth="1"/>
    <col min="12007" max="12011" width="10.88671875" style="1784" customWidth="1"/>
    <col min="12012" max="12012" width="1.88671875" style="1784" customWidth="1"/>
    <col min="12013" max="12013" width="11.88671875" style="1784" customWidth="1"/>
    <col min="12014" max="12016" width="9.88671875" style="1784" customWidth="1"/>
    <col min="12017" max="12258" width="11.5546875" style="1784"/>
    <col min="12259" max="12259" width="16.5546875" style="1784" customWidth="1"/>
    <col min="12260" max="12260" width="11.5546875" style="1784"/>
    <col min="12261" max="12261" width="15.109375" style="1784" customWidth="1"/>
    <col min="12262" max="12262" width="11.88671875" style="1784" bestFit="1" customWidth="1"/>
    <col min="12263" max="12267" width="10.88671875" style="1784" customWidth="1"/>
    <col min="12268" max="12268" width="1.88671875" style="1784" customWidth="1"/>
    <col min="12269" max="12269" width="11.88671875" style="1784" customWidth="1"/>
    <col min="12270" max="12272" width="9.88671875" style="1784" customWidth="1"/>
    <col min="12273" max="12514" width="11.5546875" style="1784"/>
    <col min="12515" max="12515" width="16.5546875" style="1784" customWidth="1"/>
    <col min="12516" max="12516" width="11.5546875" style="1784"/>
    <col min="12517" max="12517" width="15.109375" style="1784" customWidth="1"/>
    <col min="12518" max="12518" width="11.88671875" style="1784" bestFit="1" customWidth="1"/>
    <col min="12519" max="12523" width="10.88671875" style="1784" customWidth="1"/>
    <col min="12524" max="12524" width="1.88671875" style="1784" customWidth="1"/>
    <col min="12525" max="12525" width="11.88671875" style="1784" customWidth="1"/>
    <col min="12526" max="12528" width="9.88671875" style="1784" customWidth="1"/>
    <col min="12529" max="12770" width="11.5546875" style="1784"/>
    <col min="12771" max="12771" width="16.5546875" style="1784" customWidth="1"/>
    <col min="12772" max="12772" width="11.5546875" style="1784"/>
    <col min="12773" max="12773" width="15.109375" style="1784" customWidth="1"/>
    <col min="12774" max="12774" width="11.88671875" style="1784" bestFit="1" customWidth="1"/>
    <col min="12775" max="12779" width="10.88671875" style="1784" customWidth="1"/>
    <col min="12780" max="12780" width="1.88671875" style="1784" customWidth="1"/>
    <col min="12781" max="12781" width="11.88671875" style="1784" customWidth="1"/>
    <col min="12782" max="12784" width="9.88671875" style="1784" customWidth="1"/>
    <col min="12785" max="13026" width="11.5546875" style="1784"/>
    <col min="13027" max="13027" width="16.5546875" style="1784" customWidth="1"/>
    <col min="13028" max="13028" width="11.5546875" style="1784"/>
    <col min="13029" max="13029" width="15.109375" style="1784" customWidth="1"/>
    <col min="13030" max="13030" width="11.88671875" style="1784" bestFit="1" customWidth="1"/>
    <col min="13031" max="13035" width="10.88671875" style="1784" customWidth="1"/>
    <col min="13036" max="13036" width="1.88671875" style="1784" customWidth="1"/>
    <col min="13037" max="13037" width="11.88671875" style="1784" customWidth="1"/>
    <col min="13038" max="13040" width="9.88671875" style="1784" customWidth="1"/>
    <col min="13041" max="13282" width="11.5546875" style="1784"/>
    <col min="13283" max="13283" width="16.5546875" style="1784" customWidth="1"/>
    <col min="13284" max="13284" width="11.5546875" style="1784"/>
    <col min="13285" max="13285" width="15.109375" style="1784" customWidth="1"/>
    <col min="13286" max="13286" width="11.88671875" style="1784" bestFit="1" customWidth="1"/>
    <col min="13287" max="13291" width="10.88671875" style="1784" customWidth="1"/>
    <col min="13292" max="13292" width="1.88671875" style="1784" customWidth="1"/>
    <col min="13293" max="13293" width="11.88671875" style="1784" customWidth="1"/>
    <col min="13294" max="13296" width="9.88671875" style="1784" customWidth="1"/>
    <col min="13297" max="13538" width="11.5546875" style="1784"/>
    <col min="13539" max="13539" width="16.5546875" style="1784" customWidth="1"/>
    <col min="13540" max="13540" width="11.5546875" style="1784"/>
    <col min="13541" max="13541" width="15.109375" style="1784" customWidth="1"/>
    <col min="13542" max="13542" width="11.88671875" style="1784" bestFit="1" customWidth="1"/>
    <col min="13543" max="13547" width="10.88671875" style="1784" customWidth="1"/>
    <col min="13548" max="13548" width="1.88671875" style="1784" customWidth="1"/>
    <col min="13549" max="13549" width="11.88671875" style="1784" customWidth="1"/>
    <col min="13550" max="13552" width="9.88671875" style="1784" customWidth="1"/>
    <col min="13553" max="13794" width="11.5546875" style="1784"/>
    <col min="13795" max="13795" width="16.5546875" style="1784" customWidth="1"/>
    <col min="13796" max="13796" width="11.5546875" style="1784"/>
    <col min="13797" max="13797" width="15.109375" style="1784" customWidth="1"/>
    <col min="13798" max="13798" width="11.88671875" style="1784" bestFit="1" customWidth="1"/>
    <col min="13799" max="13803" width="10.88671875" style="1784" customWidth="1"/>
    <col min="13804" max="13804" width="1.88671875" style="1784" customWidth="1"/>
    <col min="13805" max="13805" width="11.88671875" style="1784" customWidth="1"/>
    <col min="13806" max="13808" width="9.88671875" style="1784" customWidth="1"/>
    <col min="13809" max="14050" width="11.5546875" style="1784"/>
    <col min="14051" max="14051" width="16.5546875" style="1784" customWidth="1"/>
    <col min="14052" max="14052" width="11.5546875" style="1784"/>
    <col min="14053" max="14053" width="15.109375" style="1784" customWidth="1"/>
    <col min="14054" max="14054" width="11.88671875" style="1784" bestFit="1" customWidth="1"/>
    <col min="14055" max="14059" width="10.88671875" style="1784" customWidth="1"/>
    <col min="14060" max="14060" width="1.88671875" style="1784" customWidth="1"/>
    <col min="14061" max="14061" width="11.88671875" style="1784" customWidth="1"/>
    <col min="14062" max="14064" width="9.88671875" style="1784" customWidth="1"/>
    <col min="14065" max="14306" width="11.5546875" style="1784"/>
    <col min="14307" max="14307" width="16.5546875" style="1784" customWidth="1"/>
    <col min="14308" max="14308" width="11.5546875" style="1784"/>
    <col min="14309" max="14309" width="15.109375" style="1784" customWidth="1"/>
    <col min="14310" max="14310" width="11.88671875" style="1784" bestFit="1" customWidth="1"/>
    <col min="14311" max="14315" width="10.88671875" style="1784" customWidth="1"/>
    <col min="14316" max="14316" width="1.88671875" style="1784" customWidth="1"/>
    <col min="14317" max="14317" width="11.88671875" style="1784" customWidth="1"/>
    <col min="14318" max="14320" width="9.88671875" style="1784" customWidth="1"/>
    <col min="14321" max="14562" width="11.5546875" style="1784"/>
    <col min="14563" max="14563" width="16.5546875" style="1784" customWidth="1"/>
    <col min="14564" max="14564" width="11.5546875" style="1784"/>
    <col min="14565" max="14565" width="15.109375" style="1784" customWidth="1"/>
    <col min="14566" max="14566" width="11.88671875" style="1784" bestFit="1" customWidth="1"/>
    <col min="14567" max="14571" width="10.88671875" style="1784" customWidth="1"/>
    <col min="14572" max="14572" width="1.88671875" style="1784" customWidth="1"/>
    <col min="14573" max="14573" width="11.88671875" style="1784" customWidth="1"/>
    <col min="14574" max="14576" width="9.88671875" style="1784" customWidth="1"/>
    <col min="14577" max="14818" width="11.5546875" style="1784"/>
    <col min="14819" max="14819" width="16.5546875" style="1784" customWidth="1"/>
    <col min="14820" max="14820" width="11.5546875" style="1784"/>
    <col min="14821" max="14821" width="15.109375" style="1784" customWidth="1"/>
    <col min="14822" max="14822" width="11.88671875" style="1784" bestFit="1" customWidth="1"/>
    <col min="14823" max="14827" width="10.88671875" style="1784" customWidth="1"/>
    <col min="14828" max="14828" width="1.88671875" style="1784" customWidth="1"/>
    <col min="14829" max="14829" width="11.88671875" style="1784" customWidth="1"/>
    <col min="14830" max="14832" width="9.88671875" style="1784" customWidth="1"/>
    <col min="14833" max="15074" width="11.5546875" style="1784"/>
    <col min="15075" max="15075" width="16.5546875" style="1784" customWidth="1"/>
    <col min="15076" max="15076" width="11.5546875" style="1784"/>
    <col min="15077" max="15077" width="15.109375" style="1784" customWidth="1"/>
    <col min="15078" max="15078" width="11.88671875" style="1784" bestFit="1" customWidth="1"/>
    <col min="15079" max="15083" width="10.88671875" style="1784" customWidth="1"/>
    <col min="15084" max="15084" width="1.88671875" style="1784" customWidth="1"/>
    <col min="15085" max="15085" width="11.88671875" style="1784" customWidth="1"/>
    <col min="15086" max="15088" width="9.88671875" style="1784" customWidth="1"/>
    <col min="15089" max="15330" width="11.5546875" style="1784"/>
    <col min="15331" max="15331" width="16.5546875" style="1784" customWidth="1"/>
    <col min="15332" max="15332" width="11.5546875" style="1784"/>
    <col min="15333" max="15333" width="15.109375" style="1784" customWidth="1"/>
    <col min="15334" max="15334" width="11.88671875" style="1784" bestFit="1" customWidth="1"/>
    <col min="15335" max="15339" width="10.88671875" style="1784" customWidth="1"/>
    <col min="15340" max="15340" width="1.88671875" style="1784" customWidth="1"/>
    <col min="15341" max="15341" width="11.88671875" style="1784" customWidth="1"/>
    <col min="15342" max="15344" width="9.88671875" style="1784" customWidth="1"/>
    <col min="15345" max="15586" width="11.5546875" style="1784"/>
    <col min="15587" max="15587" width="16.5546875" style="1784" customWidth="1"/>
    <col min="15588" max="15588" width="11.5546875" style="1784"/>
    <col min="15589" max="15589" width="15.109375" style="1784" customWidth="1"/>
    <col min="15590" max="15590" width="11.88671875" style="1784" bestFit="1" customWidth="1"/>
    <col min="15591" max="15595" width="10.88671875" style="1784" customWidth="1"/>
    <col min="15596" max="15596" width="1.88671875" style="1784" customWidth="1"/>
    <col min="15597" max="15597" width="11.88671875" style="1784" customWidth="1"/>
    <col min="15598" max="15600" width="9.88671875" style="1784" customWidth="1"/>
    <col min="15601" max="15842" width="11.5546875" style="1784"/>
    <col min="15843" max="15843" width="16.5546875" style="1784" customWidth="1"/>
    <col min="15844" max="15844" width="11.5546875" style="1784"/>
    <col min="15845" max="15845" width="15.109375" style="1784" customWidth="1"/>
    <col min="15846" max="15846" width="11.88671875" style="1784" bestFit="1" customWidth="1"/>
    <col min="15847" max="15851" width="10.88671875" style="1784" customWidth="1"/>
    <col min="15852" max="15852" width="1.88671875" style="1784" customWidth="1"/>
    <col min="15853" max="15853" width="11.88671875" style="1784" customWidth="1"/>
    <col min="15854" max="15856" width="9.88671875" style="1784" customWidth="1"/>
    <col min="15857" max="16098" width="11.5546875" style="1784"/>
    <col min="16099" max="16099" width="16.5546875" style="1784" customWidth="1"/>
    <col min="16100" max="16100" width="11.5546875" style="1784"/>
    <col min="16101" max="16101" width="15.109375" style="1784" customWidth="1"/>
    <col min="16102" max="16102" width="11.88671875" style="1784" bestFit="1" customWidth="1"/>
    <col min="16103" max="16107" width="10.88671875" style="1784" customWidth="1"/>
    <col min="16108" max="16108" width="1.88671875" style="1784" customWidth="1"/>
    <col min="16109" max="16109" width="11.88671875" style="1784" customWidth="1"/>
    <col min="16110" max="16112" width="9.88671875" style="1784" customWidth="1"/>
    <col min="16113" max="16384" width="11.5546875" style="1784"/>
  </cols>
  <sheetData>
    <row r="1" spans="2:6" ht="18" x14ac:dyDescent="0.35">
      <c r="B1" s="5937" t="s">
        <v>519</v>
      </c>
      <c r="C1" s="5937"/>
      <c r="D1" s="5937"/>
      <c r="E1" s="5937"/>
      <c r="F1" s="5937"/>
    </row>
    <row r="3" spans="2:6" ht="15.6" x14ac:dyDescent="0.3">
      <c r="B3" s="1785"/>
      <c r="C3" s="1785"/>
      <c r="D3" s="1786"/>
      <c r="E3" s="1787"/>
      <c r="F3" s="1788" t="s">
        <v>1556</v>
      </c>
    </row>
    <row r="4" spans="2:6" ht="15" thickBot="1" x14ac:dyDescent="0.35">
      <c r="B4" s="1789" t="s">
        <v>186</v>
      </c>
      <c r="C4" s="1789" t="s">
        <v>520</v>
      </c>
      <c r="D4" s="1789" t="s">
        <v>521</v>
      </c>
      <c r="E4" s="1790" t="s">
        <v>522</v>
      </c>
      <c r="F4" s="1790" t="s">
        <v>189</v>
      </c>
    </row>
    <row r="5" spans="2:6" ht="15" customHeight="1" x14ac:dyDescent="0.3">
      <c r="B5" s="5938" t="s">
        <v>190</v>
      </c>
      <c r="C5" s="5939" t="s">
        <v>310</v>
      </c>
      <c r="D5" s="1791" t="s">
        <v>313</v>
      </c>
      <c r="E5" s="1807" t="s">
        <v>525</v>
      </c>
      <c r="F5" s="5256" t="s">
        <v>1569</v>
      </c>
    </row>
    <row r="6" spans="2:6" x14ac:dyDescent="0.3">
      <c r="B6" s="5923"/>
      <c r="C6" s="5931"/>
      <c r="D6" s="1793" t="s">
        <v>437</v>
      </c>
      <c r="E6" s="1794" t="s">
        <v>525</v>
      </c>
      <c r="F6" s="1797"/>
    </row>
    <row r="7" spans="2:6" x14ac:dyDescent="0.3">
      <c r="B7" s="5923"/>
      <c r="C7" s="5931"/>
      <c r="D7" s="1793" t="s">
        <v>312</v>
      </c>
      <c r="E7" s="1794" t="s">
        <v>523</v>
      </c>
      <c r="F7" s="1795"/>
    </row>
    <row r="8" spans="2:6" x14ac:dyDescent="0.3">
      <c r="B8" s="5923"/>
      <c r="C8" s="5931"/>
      <c r="D8" s="5257" t="s">
        <v>1570</v>
      </c>
      <c r="E8" s="1794" t="s">
        <v>523</v>
      </c>
      <c r="F8" s="5258"/>
    </row>
    <row r="9" spans="2:6" x14ac:dyDescent="0.3">
      <c r="B9" s="5923"/>
      <c r="C9" s="5931"/>
      <c r="D9" s="5259" t="s">
        <v>1571</v>
      </c>
      <c r="E9" s="1794" t="s">
        <v>523</v>
      </c>
      <c r="F9" s="1797"/>
    </row>
    <row r="10" spans="2:6" x14ac:dyDescent="0.3">
      <c r="B10" s="5923"/>
      <c r="C10" s="5931"/>
      <c r="D10" s="1793" t="s">
        <v>314</v>
      </c>
      <c r="E10" s="1794" t="s">
        <v>523</v>
      </c>
      <c r="F10" s="5258"/>
    </row>
    <row r="11" spans="2:6" x14ac:dyDescent="0.3">
      <c r="B11" s="5923"/>
      <c r="C11" s="5926"/>
      <c r="D11" s="1793" t="s">
        <v>315</v>
      </c>
      <c r="E11" s="1794" t="s">
        <v>524</v>
      </c>
      <c r="F11" s="4620"/>
    </row>
    <row r="12" spans="2:6" x14ac:dyDescent="0.3">
      <c r="B12" s="5923"/>
      <c r="C12" s="5927" t="s">
        <v>317</v>
      </c>
      <c r="D12" s="1798" t="s">
        <v>319</v>
      </c>
      <c r="E12" s="1799" t="s">
        <v>524</v>
      </c>
      <c r="F12" s="1800"/>
    </row>
    <row r="13" spans="2:6" x14ac:dyDescent="0.3">
      <c r="B13" s="5923"/>
      <c r="C13" s="5928"/>
      <c r="D13" s="5260" t="s">
        <v>1570</v>
      </c>
      <c r="E13" s="1799"/>
      <c r="F13" s="1802"/>
    </row>
    <row r="14" spans="2:6" x14ac:dyDescent="0.3">
      <c r="B14" s="5923"/>
      <c r="C14" s="5928"/>
      <c r="D14" s="5261" t="s">
        <v>1571</v>
      </c>
      <c r="E14" s="1799" t="s">
        <v>523</v>
      </c>
      <c r="F14" s="1801"/>
    </row>
    <row r="15" spans="2:6" x14ac:dyDescent="0.3">
      <c r="B15" s="5923"/>
      <c r="C15" s="5928"/>
      <c r="D15" s="1798" t="s">
        <v>320</v>
      </c>
      <c r="E15" s="1799" t="s">
        <v>524</v>
      </c>
      <c r="F15" s="1801"/>
    </row>
    <row r="16" spans="2:6" x14ac:dyDescent="0.3">
      <c r="B16" s="5924"/>
      <c r="C16" s="5940"/>
      <c r="D16" s="1803" t="s">
        <v>321</v>
      </c>
      <c r="E16" s="1804" t="s">
        <v>525</v>
      </c>
      <c r="F16" s="5262" t="s">
        <v>1569</v>
      </c>
    </row>
    <row r="17" spans="2:6" ht="15" customHeight="1" x14ac:dyDescent="0.3">
      <c r="B17" s="5922" t="s">
        <v>201</v>
      </c>
      <c r="C17" s="5925" t="s">
        <v>308</v>
      </c>
      <c r="D17" s="1793" t="s">
        <v>323</v>
      </c>
      <c r="E17" s="1794" t="s">
        <v>525</v>
      </c>
      <c r="F17" s="1805" t="s">
        <v>1569</v>
      </c>
    </row>
    <row r="18" spans="2:6" x14ac:dyDescent="0.3">
      <c r="B18" s="5923"/>
      <c r="C18" s="5931"/>
      <c r="D18" s="1791" t="s">
        <v>1537</v>
      </c>
      <c r="E18" s="1807" t="s">
        <v>525</v>
      </c>
      <c r="F18" s="5256" t="s">
        <v>1572</v>
      </c>
    </row>
    <row r="19" spans="2:6" x14ac:dyDescent="0.3">
      <c r="B19" s="5923"/>
      <c r="C19" s="5931"/>
      <c r="D19" s="1791" t="s">
        <v>322</v>
      </c>
      <c r="E19" s="1807" t="s">
        <v>523</v>
      </c>
      <c r="F19" s="1805"/>
    </row>
    <row r="20" spans="2:6" x14ac:dyDescent="0.3">
      <c r="B20" s="5923"/>
      <c r="C20" s="5926"/>
      <c r="D20" s="1793" t="s">
        <v>324</v>
      </c>
      <c r="E20" s="1794"/>
      <c r="F20" s="1795"/>
    </row>
    <row r="21" spans="2:6" x14ac:dyDescent="0.3">
      <c r="B21" s="5923"/>
      <c r="C21" s="5927" t="s">
        <v>310</v>
      </c>
      <c r="D21" s="1798" t="s">
        <v>333</v>
      </c>
      <c r="E21" s="1799" t="s">
        <v>525</v>
      </c>
      <c r="F21" s="1801"/>
    </row>
    <row r="22" spans="2:6" x14ac:dyDescent="0.3">
      <c r="B22" s="5923"/>
      <c r="C22" s="5928"/>
      <c r="D22" s="1798" t="s">
        <v>332</v>
      </c>
      <c r="E22" s="1799" t="s">
        <v>524</v>
      </c>
      <c r="F22" s="1800"/>
    </row>
    <row r="23" spans="2:6" x14ac:dyDescent="0.3">
      <c r="B23" s="5923"/>
      <c r="C23" s="5928"/>
      <c r="D23" s="1798" t="s">
        <v>331</v>
      </c>
      <c r="E23" s="1799" t="s">
        <v>523</v>
      </c>
      <c r="F23" s="5263"/>
    </row>
    <row r="24" spans="2:6" x14ac:dyDescent="0.3">
      <c r="B24" s="5923"/>
      <c r="C24" s="5928"/>
      <c r="D24" s="1798" t="s">
        <v>330</v>
      </c>
      <c r="E24" s="1799" t="s">
        <v>523</v>
      </c>
      <c r="F24" s="1800"/>
    </row>
    <row r="25" spans="2:6" ht="28.8" x14ac:dyDescent="0.3">
      <c r="B25" s="5923"/>
      <c r="C25" s="5928"/>
      <c r="D25" s="1798" t="s">
        <v>328</v>
      </c>
      <c r="E25" s="1799" t="s">
        <v>523</v>
      </c>
      <c r="F25" s="1802" t="s">
        <v>528</v>
      </c>
    </row>
    <row r="26" spans="2:6" x14ac:dyDescent="0.3">
      <c r="B26" s="5923"/>
      <c r="C26" s="5928"/>
      <c r="D26" s="1798" t="s">
        <v>527</v>
      </c>
      <c r="E26" s="1799" t="s">
        <v>523</v>
      </c>
      <c r="F26" s="1801"/>
    </row>
    <row r="27" spans="2:6" x14ac:dyDescent="0.3">
      <c r="B27" s="5923"/>
      <c r="C27" s="5928"/>
      <c r="D27" s="1798" t="s">
        <v>526</v>
      </c>
      <c r="E27" s="1799" t="s">
        <v>523</v>
      </c>
      <c r="F27" s="5263"/>
    </row>
    <row r="28" spans="2:6" ht="28.8" x14ac:dyDescent="0.3">
      <c r="B28" s="5923"/>
      <c r="C28" s="5929"/>
      <c r="D28" s="5264" t="s">
        <v>334</v>
      </c>
      <c r="E28" s="1799"/>
      <c r="F28" s="1802" t="s">
        <v>528</v>
      </c>
    </row>
    <row r="29" spans="2:6" x14ac:dyDescent="0.3">
      <c r="B29" s="5923"/>
      <c r="C29" s="5930" t="s">
        <v>317</v>
      </c>
      <c r="D29" s="1791" t="s">
        <v>1391</v>
      </c>
      <c r="E29" s="1794" t="s">
        <v>525</v>
      </c>
      <c r="F29" s="5256" t="s">
        <v>1569</v>
      </c>
    </row>
    <row r="30" spans="2:6" ht="28.8" x14ac:dyDescent="0.3">
      <c r="B30" s="5923"/>
      <c r="C30" s="5931"/>
      <c r="D30" s="1793" t="s">
        <v>335</v>
      </c>
      <c r="E30" s="1794" t="s">
        <v>524</v>
      </c>
      <c r="F30" s="1796" t="s">
        <v>528</v>
      </c>
    </row>
    <row r="31" spans="2:6" x14ac:dyDescent="0.3">
      <c r="B31" s="5923"/>
      <c r="C31" s="5931"/>
      <c r="D31" s="1793" t="s">
        <v>336</v>
      </c>
      <c r="E31" s="1794" t="s">
        <v>524</v>
      </c>
      <c r="F31" s="5265"/>
    </row>
    <row r="32" spans="2:6" x14ac:dyDescent="0.3">
      <c r="B32" s="5923"/>
      <c r="C32" s="5931"/>
      <c r="D32" s="1814" t="s">
        <v>498</v>
      </c>
      <c r="E32" s="1794" t="s">
        <v>523</v>
      </c>
      <c r="F32" s="4621"/>
    </row>
    <row r="33" spans="2:6" ht="28.8" x14ac:dyDescent="0.3">
      <c r="B33" s="5924"/>
      <c r="C33" s="5932"/>
      <c r="D33" s="1809" t="s">
        <v>334</v>
      </c>
      <c r="E33" s="1810"/>
      <c r="F33" s="1811" t="s">
        <v>528</v>
      </c>
    </row>
    <row r="34" spans="2:6" ht="15" customHeight="1" x14ac:dyDescent="0.3">
      <c r="B34" s="5922" t="s">
        <v>205</v>
      </c>
      <c r="C34" s="5925" t="s">
        <v>308</v>
      </c>
      <c r="D34" s="5266" t="s">
        <v>338</v>
      </c>
      <c r="E34" s="1794" t="s">
        <v>525</v>
      </c>
      <c r="F34" s="5256" t="s">
        <v>1569</v>
      </c>
    </row>
    <row r="35" spans="2:6" x14ac:dyDescent="0.3">
      <c r="B35" s="5923"/>
      <c r="C35" s="5926"/>
      <c r="D35" s="1812" t="s">
        <v>339</v>
      </c>
      <c r="E35" s="1807" t="s">
        <v>524</v>
      </c>
      <c r="F35" s="1792"/>
    </row>
    <row r="36" spans="2:6" x14ac:dyDescent="0.3">
      <c r="B36" s="5923"/>
      <c r="C36" s="5927" t="s">
        <v>310</v>
      </c>
      <c r="D36" s="1813" t="s">
        <v>341</v>
      </c>
      <c r="E36" s="1799" t="s">
        <v>525</v>
      </c>
      <c r="F36" s="5263" t="s">
        <v>1569</v>
      </c>
    </row>
    <row r="37" spans="2:6" ht="28.8" x14ac:dyDescent="0.3">
      <c r="B37" s="5923"/>
      <c r="C37" s="5928"/>
      <c r="D37" s="1813" t="s">
        <v>345</v>
      </c>
      <c r="E37" s="1799" t="s">
        <v>525</v>
      </c>
      <c r="F37" s="5263" t="s">
        <v>1569</v>
      </c>
    </row>
    <row r="38" spans="2:6" x14ac:dyDescent="0.3">
      <c r="B38" s="5923"/>
      <c r="C38" s="5928"/>
      <c r="D38" s="1813" t="s">
        <v>342</v>
      </c>
      <c r="E38" s="1799" t="s">
        <v>525</v>
      </c>
      <c r="F38" s="5263" t="s">
        <v>1569</v>
      </c>
    </row>
    <row r="39" spans="2:6" x14ac:dyDescent="0.3">
      <c r="B39" s="5923"/>
      <c r="C39" s="5928"/>
      <c r="D39" s="1813" t="s">
        <v>343</v>
      </c>
      <c r="E39" s="1799" t="s">
        <v>524</v>
      </c>
      <c r="F39" s="1800"/>
    </row>
    <row r="40" spans="2:6" x14ac:dyDescent="0.3">
      <c r="B40" s="5923"/>
      <c r="C40" s="5928"/>
      <c r="D40" s="1813" t="s">
        <v>344</v>
      </c>
      <c r="E40" s="1799" t="s">
        <v>525</v>
      </c>
      <c r="F40" s="5263" t="s">
        <v>1569</v>
      </c>
    </row>
    <row r="41" spans="2:6" x14ac:dyDescent="0.3">
      <c r="B41" s="5923"/>
      <c r="C41" s="5929"/>
      <c r="D41" s="5267" t="s">
        <v>339</v>
      </c>
      <c r="E41" s="1799" t="s">
        <v>525</v>
      </c>
      <c r="F41" s="5263" t="s">
        <v>1569</v>
      </c>
    </row>
    <row r="42" spans="2:6" x14ac:dyDescent="0.3">
      <c r="B42" s="5923"/>
      <c r="C42" s="5930" t="s">
        <v>317</v>
      </c>
      <c r="D42" s="1814" t="s">
        <v>341</v>
      </c>
      <c r="E42" s="1794" t="s">
        <v>525</v>
      </c>
      <c r="F42" s="5256" t="s">
        <v>1569</v>
      </c>
    </row>
    <row r="43" spans="2:6" ht="28.8" x14ac:dyDescent="0.3">
      <c r="B43" s="5923"/>
      <c r="C43" s="5931"/>
      <c r="D43" s="1814" t="s">
        <v>345</v>
      </c>
      <c r="E43" s="1794" t="s">
        <v>525</v>
      </c>
      <c r="F43" s="5256" t="s">
        <v>1569</v>
      </c>
    </row>
    <row r="44" spans="2:6" x14ac:dyDescent="0.3">
      <c r="B44" s="5923"/>
      <c r="C44" s="5931"/>
      <c r="D44" s="1814" t="s">
        <v>342</v>
      </c>
      <c r="E44" s="1794" t="s">
        <v>525</v>
      </c>
      <c r="F44" s="5256" t="s">
        <v>1569</v>
      </c>
    </row>
    <row r="45" spans="2:6" x14ac:dyDescent="0.3">
      <c r="B45" s="5923"/>
      <c r="C45" s="5931"/>
      <c r="D45" s="1814" t="s">
        <v>343</v>
      </c>
      <c r="E45" s="1794" t="s">
        <v>524</v>
      </c>
      <c r="F45" s="1795"/>
    </row>
    <row r="46" spans="2:6" x14ac:dyDescent="0.3">
      <c r="B46" s="5923"/>
      <c r="C46" s="5931"/>
      <c r="D46" s="1814" t="s">
        <v>344</v>
      </c>
      <c r="E46" s="1794" t="s">
        <v>525</v>
      </c>
      <c r="F46" s="5256" t="s">
        <v>1569</v>
      </c>
    </row>
    <row r="47" spans="2:6" x14ac:dyDescent="0.3">
      <c r="B47" s="5924"/>
      <c r="C47" s="5932"/>
      <c r="D47" s="5268" t="s">
        <v>339</v>
      </c>
      <c r="E47" s="1810" t="s">
        <v>525</v>
      </c>
      <c r="F47" s="5269" t="s">
        <v>1569</v>
      </c>
    </row>
    <row r="48" spans="2:6" x14ac:dyDescent="0.3">
      <c r="F48" s="4622" t="s">
        <v>1584</v>
      </c>
    </row>
    <row r="49" spans="2:6" x14ac:dyDescent="0.3">
      <c r="F49" s="4622" t="s">
        <v>1573</v>
      </c>
    </row>
    <row r="50" spans="2:6" x14ac:dyDescent="0.3">
      <c r="F50" s="4622"/>
    </row>
    <row r="51" spans="2:6" x14ac:dyDescent="0.3">
      <c r="F51" s="4622"/>
    </row>
    <row r="52" spans="2:6" ht="15.6" x14ac:dyDescent="0.3">
      <c r="B52" s="1817"/>
      <c r="C52" s="1817"/>
      <c r="D52" s="1818"/>
      <c r="E52" s="1819"/>
      <c r="F52" s="1820" t="s">
        <v>1557</v>
      </c>
    </row>
    <row r="53" spans="2:6" ht="15" thickBot="1" x14ac:dyDescent="0.35">
      <c r="B53" s="1821" t="s">
        <v>186</v>
      </c>
      <c r="C53" s="1821" t="s">
        <v>520</v>
      </c>
      <c r="D53" s="1822" t="s">
        <v>521</v>
      </c>
      <c r="E53" s="1823" t="s">
        <v>522</v>
      </c>
      <c r="F53" s="1823" t="s">
        <v>189</v>
      </c>
    </row>
    <row r="54" spans="2:6" ht="15" customHeight="1" x14ac:dyDescent="0.3">
      <c r="B54" s="5924" t="s">
        <v>201</v>
      </c>
      <c r="C54" s="1824" t="s">
        <v>310</v>
      </c>
      <c r="D54" s="1791" t="s">
        <v>490</v>
      </c>
      <c r="E54" s="1807" t="s">
        <v>524</v>
      </c>
      <c r="F54" s="1825"/>
    </row>
    <row r="55" spans="2:6" x14ac:dyDescent="0.3">
      <c r="B55" s="5933"/>
      <c r="C55" s="5198" t="s">
        <v>317</v>
      </c>
      <c r="D55" s="1803" t="s">
        <v>490</v>
      </c>
      <c r="E55" s="5198" t="s">
        <v>524</v>
      </c>
      <c r="F55" s="1826"/>
    </row>
    <row r="56" spans="2:6" ht="43.2" x14ac:dyDescent="0.3">
      <c r="B56" s="5197" t="s">
        <v>216</v>
      </c>
      <c r="C56" s="4623" t="s">
        <v>310</v>
      </c>
      <c r="D56" s="4624" t="s">
        <v>350</v>
      </c>
      <c r="E56" s="4625" t="s">
        <v>524</v>
      </c>
      <c r="F56" s="4626"/>
    </row>
    <row r="57" spans="2:6" ht="15" customHeight="1" x14ac:dyDescent="0.3">
      <c r="B57" s="5933" t="s">
        <v>218</v>
      </c>
      <c r="C57" s="5199" t="s">
        <v>308</v>
      </c>
      <c r="D57" s="4627" t="s">
        <v>351</v>
      </c>
      <c r="E57" s="4628"/>
      <c r="F57" s="4629"/>
    </row>
    <row r="58" spans="2:6" x14ac:dyDescent="0.3">
      <c r="B58" s="5933"/>
      <c r="C58" s="5194" t="s">
        <v>310</v>
      </c>
      <c r="D58" s="1798" t="s">
        <v>352</v>
      </c>
      <c r="E58" s="1799" t="s">
        <v>524</v>
      </c>
      <c r="F58" s="1806"/>
    </row>
    <row r="59" spans="2:6" x14ac:dyDescent="0.3">
      <c r="B59" s="5933"/>
      <c r="C59" s="5934" t="s">
        <v>317</v>
      </c>
      <c r="D59" s="1793" t="s">
        <v>353</v>
      </c>
      <c r="E59" s="1794" t="s">
        <v>524</v>
      </c>
      <c r="F59" s="1795"/>
    </row>
    <row r="60" spans="2:6" ht="43.2" x14ac:dyDescent="0.3">
      <c r="B60" s="5933"/>
      <c r="C60" s="5935"/>
      <c r="D60" s="1809" t="s">
        <v>354</v>
      </c>
      <c r="E60" s="1810" t="s">
        <v>523</v>
      </c>
      <c r="F60" s="1811" t="s">
        <v>529</v>
      </c>
    </row>
    <row r="61" spans="2:6" x14ac:dyDescent="0.3">
      <c r="B61" s="1816"/>
      <c r="C61" s="1816"/>
      <c r="D61" s="1815"/>
      <c r="E61" s="4630"/>
      <c r="F61" s="4622" t="s">
        <v>1584</v>
      </c>
    </row>
    <row r="62" spans="2:6" x14ac:dyDescent="0.3">
      <c r="F62" s="4622" t="s">
        <v>1573</v>
      </c>
    </row>
    <row r="65" spans="2:6" ht="15.6" x14ac:dyDescent="0.3">
      <c r="B65" s="1827"/>
      <c r="C65" s="1827"/>
      <c r="D65" s="1827"/>
      <c r="E65" s="1828"/>
      <c r="F65" s="1829" t="s">
        <v>1559</v>
      </c>
    </row>
    <row r="66" spans="2:6" ht="15" thickBot="1" x14ac:dyDescent="0.35">
      <c r="B66" s="1830" t="s">
        <v>186</v>
      </c>
      <c r="C66" s="1830" t="s">
        <v>520</v>
      </c>
      <c r="D66" s="1830" t="s">
        <v>521</v>
      </c>
      <c r="E66" s="1831" t="s">
        <v>522</v>
      </c>
      <c r="F66" s="1831" t="s">
        <v>189</v>
      </c>
    </row>
    <row r="67" spans="2:6" ht="15" customHeight="1" x14ac:dyDescent="0.3">
      <c r="B67" s="5936" t="s">
        <v>190</v>
      </c>
      <c r="C67" s="5193" t="s">
        <v>308</v>
      </c>
      <c r="D67" s="1791" t="s">
        <v>356</v>
      </c>
      <c r="E67" s="1807" t="s">
        <v>525</v>
      </c>
      <c r="F67" s="1832" t="s">
        <v>1574</v>
      </c>
    </row>
    <row r="68" spans="2:6" x14ac:dyDescent="0.3">
      <c r="B68" s="5923"/>
      <c r="C68" s="5927" t="s">
        <v>310</v>
      </c>
      <c r="D68" s="1798" t="s">
        <v>362</v>
      </c>
      <c r="E68" s="1799" t="s">
        <v>523</v>
      </c>
      <c r="F68" s="1800"/>
    </row>
    <row r="69" spans="2:6" x14ac:dyDescent="0.3">
      <c r="B69" s="5923"/>
      <c r="C69" s="5928"/>
      <c r="D69" s="1798" t="s">
        <v>444</v>
      </c>
      <c r="E69" s="1799" t="s">
        <v>524</v>
      </c>
      <c r="F69" s="1834" t="s">
        <v>530</v>
      </c>
    </row>
    <row r="70" spans="2:6" x14ac:dyDescent="0.3">
      <c r="B70" s="5923"/>
      <c r="C70" s="5928"/>
      <c r="D70" s="1798" t="s">
        <v>532</v>
      </c>
      <c r="E70" s="1799" t="s">
        <v>523</v>
      </c>
      <c r="F70" s="4631"/>
    </row>
    <row r="71" spans="2:6" x14ac:dyDescent="0.3">
      <c r="B71" s="5923"/>
      <c r="C71" s="5928"/>
      <c r="D71" s="1798" t="s">
        <v>535</v>
      </c>
      <c r="E71" s="1799" t="s">
        <v>523</v>
      </c>
      <c r="F71" s="1800"/>
    </row>
    <row r="72" spans="2:6" x14ac:dyDescent="0.3">
      <c r="B72" s="5923"/>
      <c r="C72" s="5928"/>
      <c r="D72" s="1798" t="s">
        <v>534</v>
      </c>
      <c r="E72" s="1799" t="s">
        <v>523</v>
      </c>
      <c r="F72" s="4631"/>
    </row>
    <row r="73" spans="2:6" x14ac:dyDescent="0.3">
      <c r="B73" s="5923"/>
      <c r="C73" s="5928"/>
      <c r="D73" s="1798" t="s">
        <v>533</v>
      </c>
      <c r="E73" s="1799" t="s">
        <v>523</v>
      </c>
      <c r="F73" s="4631"/>
    </row>
    <row r="74" spans="2:6" x14ac:dyDescent="0.3">
      <c r="B74" s="5923"/>
      <c r="C74" s="5928"/>
      <c r="D74" s="1798" t="s">
        <v>531</v>
      </c>
      <c r="E74" s="1799" t="s">
        <v>523</v>
      </c>
      <c r="F74" s="1800"/>
    </row>
    <row r="75" spans="2:6" x14ac:dyDescent="0.3">
      <c r="B75" s="5923"/>
      <c r="C75" s="5929"/>
      <c r="D75" s="1798" t="s">
        <v>536</v>
      </c>
      <c r="E75" s="1799" t="s">
        <v>523</v>
      </c>
      <c r="F75" s="1800"/>
    </row>
    <row r="76" spans="2:6" x14ac:dyDescent="0.3">
      <c r="B76" s="5923"/>
      <c r="C76" s="5930" t="s">
        <v>317</v>
      </c>
      <c r="D76" s="1793" t="s">
        <v>484</v>
      </c>
      <c r="E76" s="1794" t="s">
        <v>524</v>
      </c>
      <c r="F76" s="1835"/>
    </row>
    <row r="77" spans="2:6" x14ac:dyDescent="0.3">
      <c r="B77" s="5923"/>
      <c r="C77" s="5931"/>
      <c r="D77" s="1793" t="s">
        <v>445</v>
      </c>
      <c r="E77" s="1807" t="s">
        <v>524</v>
      </c>
      <c r="F77" s="1832" t="s">
        <v>530</v>
      </c>
    </row>
    <row r="78" spans="2:6" x14ac:dyDescent="0.3">
      <c r="B78" s="5923"/>
      <c r="C78" s="5931"/>
      <c r="D78" s="1793" t="s">
        <v>537</v>
      </c>
      <c r="E78" s="1794" t="s">
        <v>524</v>
      </c>
      <c r="F78" s="5270"/>
    </row>
    <row r="79" spans="2:6" x14ac:dyDescent="0.3">
      <c r="B79" s="5923"/>
      <c r="C79" s="5931"/>
      <c r="D79" s="1793" t="s">
        <v>540</v>
      </c>
      <c r="E79" s="1794" t="s">
        <v>523</v>
      </c>
      <c r="F79" s="1836"/>
    </row>
    <row r="80" spans="2:6" x14ac:dyDescent="0.3">
      <c r="B80" s="5923"/>
      <c r="C80" s="5931"/>
      <c r="D80" s="1793" t="s">
        <v>539</v>
      </c>
      <c r="E80" s="1794" t="s">
        <v>523</v>
      </c>
      <c r="F80" s="5271"/>
    </row>
    <row r="81" spans="2:6" x14ac:dyDescent="0.3">
      <c r="B81" s="5923"/>
      <c r="C81" s="5931"/>
      <c r="D81" s="1793" t="s">
        <v>538</v>
      </c>
      <c r="E81" s="1807" t="s">
        <v>542</v>
      </c>
      <c r="F81" s="4632"/>
    </row>
    <row r="82" spans="2:6" x14ac:dyDescent="0.3">
      <c r="B82" s="5924"/>
      <c r="C82" s="5932"/>
      <c r="D82" s="1809" t="s">
        <v>541</v>
      </c>
      <c r="E82" s="1810" t="s">
        <v>523</v>
      </c>
      <c r="F82" s="5272"/>
    </row>
    <row r="83" spans="2:6" ht="15" customHeight="1" x14ac:dyDescent="0.3">
      <c r="B83" s="5922" t="s">
        <v>201</v>
      </c>
      <c r="C83" s="5193" t="s">
        <v>308</v>
      </c>
      <c r="D83" s="1791" t="s">
        <v>370</v>
      </c>
      <c r="E83" s="1791"/>
      <c r="F83" s="1792"/>
    </row>
    <row r="84" spans="2:6" x14ac:dyDescent="0.3">
      <c r="B84" s="5923"/>
      <c r="C84" s="5927" t="s">
        <v>310</v>
      </c>
      <c r="D84" s="1798" t="s">
        <v>371</v>
      </c>
      <c r="E84" s="1799" t="s">
        <v>542</v>
      </c>
      <c r="F84" s="1838"/>
    </row>
    <row r="85" spans="2:6" x14ac:dyDescent="0.3">
      <c r="B85" s="5923"/>
      <c r="C85" s="5928"/>
      <c r="D85" s="1798" t="s">
        <v>448</v>
      </c>
      <c r="E85" s="1799" t="s">
        <v>525</v>
      </c>
      <c r="F85" s="5273" t="s">
        <v>1569</v>
      </c>
    </row>
    <row r="86" spans="2:6" ht="28.8" x14ac:dyDescent="0.3">
      <c r="B86" s="5923"/>
      <c r="C86" s="5928"/>
      <c r="D86" s="1798" t="s">
        <v>328</v>
      </c>
      <c r="E86" s="1799" t="s">
        <v>523</v>
      </c>
      <c r="F86" s="1802" t="s">
        <v>528</v>
      </c>
    </row>
    <row r="87" spans="2:6" x14ac:dyDescent="0.3">
      <c r="B87" s="5923"/>
      <c r="C87" s="5928"/>
      <c r="D87" s="1798" t="s">
        <v>372</v>
      </c>
      <c r="E87" s="1799" t="s">
        <v>542</v>
      </c>
      <c r="F87" s="1802"/>
    </row>
    <row r="88" spans="2:6" x14ac:dyDescent="0.3">
      <c r="B88" s="5923"/>
      <c r="C88" s="5928"/>
      <c r="D88" s="1798" t="s">
        <v>374</v>
      </c>
      <c r="E88" s="1799" t="s">
        <v>542</v>
      </c>
      <c r="F88" s="1802"/>
    </row>
    <row r="89" spans="2:6" x14ac:dyDescent="0.3">
      <c r="B89" s="5923"/>
      <c r="C89" s="5928"/>
      <c r="D89" s="1798" t="s">
        <v>373</v>
      </c>
      <c r="E89" s="1799" t="s">
        <v>523</v>
      </c>
      <c r="F89" s="1806"/>
    </row>
    <row r="90" spans="2:6" ht="28.8" x14ac:dyDescent="0.3">
      <c r="B90" s="5923"/>
      <c r="C90" s="5929"/>
      <c r="D90" s="1798" t="s">
        <v>334</v>
      </c>
      <c r="E90" s="5602"/>
      <c r="F90" s="1802" t="s">
        <v>528</v>
      </c>
    </row>
    <row r="91" spans="2:6" x14ac:dyDescent="0.3">
      <c r="B91" s="5923"/>
      <c r="C91" s="5930" t="s">
        <v>317</v>
      </c>
      <c r="D91" s="1793" t="s">
        <v>376</v>
      </c>
      <c r="E91" s="1794" t="s">
        <v>542</v>
      </c>
      <c r="F91" s="5270"/>
    </row>
    <row r="92" spans="2:6" x14ac:dyDescent="0.3">
      <c r="B92" s="5923"/>
      <c r="C92" s="5931"/>
      <c r="D92" s="1793" t="s">
        <v>448</v>
      </c>
      <c r="E92" s="1794" t="s">
        <v>525</v>
      </c>
      <c r="F92" s="5271"/>
    </row>
    <row r="93" spans="2:6" ht="28.8" x14ac:dyDescent="0.3">
      <c r="B93" s="5923"/>
      <c r="C93" s="5931"/>
      <c r="D93" s="1793" t="s">
        <v>335</v>
      </c>
      <c r="E93" s="1794" t="s">
        <v>524</v>
      </c>
      <c r="F93" s="1796" t="s">
        <v>528</v>
      </c>
    </row>
    <row r="94" spans="2:6" x14ac:dyDescent="0.3">
      <c r="B94" s="5923"/>
      <c r="C94" s="5931"/>
      <c r="D94" s="1791" t="s">
        <v>377</v>
      </c>
      <c r="E94" s="1807" t="s">
        <v>542</v>
      </c>
      <c r="F94" s="1808"/>
    </row>
    <row r="95" spans="2:6" x14ac:dyDescent="0.3">
      <c r="B95" s="5923"/>
      <c r="C95" s="5931"/>
      <c r="D95" s="1793" t="s">
        <v>379</v>
      </c>
      <c r="E95" s="1794" t="s">
        <v>542</v>
      </c>
      <c r="F95" s="1795"/>
    </row>
    <row r="96" spans="2:6" x14ac:dyDescent="0.3">
      <c r="B96" s="5923"/>
      <c r="C96" s="5931"/>
      <c r="D96" s="1793" t="s">
        <v>378</v>
      </c>
      <c r="E96" s="1794" t="s">
        <v>523</v>
      </c>
      <c r="F96" s="1835"/>
    </row>
    <row r="97" spans="2:6" ht="28.8" x14ac:dyDescent="0.3">
      <c r="B97" s="5924"/>
      <c r="C97" s="5926"/>
      <c r="D97" s="1809" t="s">
        <v>334</v>
      </c>
      <c r="E97" s="5601"/>
      <c r="F97" s="1811" t="s">
        <v>528</v>
      </c>
    </row>
    <row r="98" spans="2:6" ht="15" customHeight="1" x14ac:dyDescent="0.3">
      <c r="B98" s="5922" t="s">
        <v>246</v>
      </c>
      <c r="C98" s="5925" t="s">
        <v>308</v>
      </c>
      <c r="D98" s="1793" t="s">
        <v>382</v>
      </c>
      <c r="E98" s="1794"/>
      <c r="F98" s="1795"/>
    </row>
    <row r="99" spans="2:6" x14ac:dyDescent="0.3">
      <c r="B99" s="5923"/>
      <c r="C99" s="5931"/>
      <c r="D99" s="1791" t="s">
        <v>381</v>
      </c>
      <c r="E99" s="1791"/>
      <c r="F99" s="1792"/>
    </row>
    <row r="100" spans="2:6" x14ac:dyDescent="0.3">
      <c r="B100" s="5923"/>
      <c r="C100" s="5926"/>
      <c r="D100" s="1793" t="s">
        <v>356</v>
      </c>
      <c r="E100" s="1794" t="s">
        <v>525</v>
      </c>
      <c r="F100" s="1839" t="s">
        <v>1575</v>
      </c>
    </row>
    <row r="101" spans="2:6" x14ac:dyDescent="0.3">
      <c r="B101" s="5923"/>
      <c r="C101" s="5927" t="s">
        <v>310</v>
      </c>
      <c r="D101" s="1798" t="s">
        <v>386</v>
      </c>
      <c r="E101" s="1799" t="s">
        <v>523</v>
      </c>
      <c r="F101" s="1840"/>
    </row>
    <row r="102" spans="2:6" x14ac:dyDescent="0.3">
      <c r="B102" s="5923"/>
      <c r="C102" s="5928"/>
      <c r="D102" s="1798" t="s">
        <v>385</v>
      </c>
      <c r="E102" s="1799" t="s">
        <v>523</v>
      </c>
      <c r="F102" s="4631"/>
    </row>
    <row r="103" spans="2:6" x14ac:dyDescent="0.3">
      <c r="B103" s="5923"/>
      <c r="C103" s="5928"/>
      <c r="D103" s="1798" t="s">
        <v>507</v>
      </c>
      <c r="E103" s="1799" t="s">
        <v>542</v>
      </c>
      <c r="F103" s="4631"/>
    </row>
    <row r="104" spans="2:6" x14ac:dyDescent="0.3">
      <c r="B104" s="5923"/>
      <c r="C104" s="5928"/>
      <c r="D104" s="1798" t="s">
        <v>544</v>
      </c>
      <c r="E104" s="1799" t="s">
        <v>523</v>
      </c>
      <c r="F104" s="1840"/>
    </row>
    <row r="105" spans="2:6" x14ac:dyDescent="0.3">
      <c r="B105" s="5923"/>
      <c r="C105" s="5929"/>
      <c r="D105" s="1798" t="s">
        <v>444</v>
      </c>
      <c r="E105" s="1799" t="s">
        <v>524</v>
      </c>
      <c r="F105" s="1841" t="s">
        <v>543</v>
      </c>
    </row>
    <row r="106" spans="2:6" ht="43.2" x14ac:dyDescent="0.3">
      <c r="B106" s="5923"/>
      <c r="C106" s="5930" t="s">
        <v>317</v>
      </c>
      <c r="D106" s="1793" t="s">
        <v>354</v>
      </c>
      <c r="E106" s="1794" t="s">
        <v>523</v>
      </c>
      <c r="F106" s="1796" t="s">
        <v>547</v>
      </c>
    </row>
    <row r="107" spans="2:6" x14ac:dyDescent="0.3">
      <c r="B107" s="5923"/>
      <c r="C107" s="5931"/>
      <c r="D107" s="1793" t="s">
        <v>546</v>
      </c>
      <c r="E107" s="1794" t="s">
        <v>523</v>
      </c>
      <c r="F107" s="1842"/>
    </row>
    <row r="108" spans="2:6" x14ac:dyDescent="0.3">
      <c r="B108" s="5923"/>
      <c r="C108" s="5931"/>
      <c r="D108" s="1793" t="s">
        <v>545</v>
      </c>
      <c r="E108" s="1794" t="s">
        <v>542</v>
      </c>
      <c r="F108" s="1842"/>
    </row>
    <row r="109" spans="2:6" x14ac:dyDescent="0.3">
      <c r="B109" s="5924"/>
      <c r="C109" s="5932"/>
      <c r="D109" s="1793" t="s">
        <v>445</v>
      </c>
      <c r="E109" s="1794" t="s">
        <v>524</v>
      </c>
      <c r="F109" s="5274" t="s">
        <v>543</v>
      </c>
    </row>
    <row r="110" spans="2:6" x14ac:dyDescent="0.3">
      <c r="B110" s="5922" t="s">
        <v>548</v>
      </c>
      <c r="C110" s="5200" t="s">
        <v>308</v>
      </c>
      <c r="D110" s="4627" t="s">
        <v>356</v>
      </c>
      <c r="E110" s="4628" t="s">
        <v>525</v>
      </c>
      <c r="F110" s="5275" t="s">
        <v>1569</v>
      </c>
    </row>
    <row r="111" spans="2:6" x14ac:dyDescent="0.3">
      <c r="B111" s="5923"/>
      <c r="C111" s="5194" t="s">
        <v>310</v>
      </c>
      <c r="D111" s="1833" t="s">
        <v>444</v>
      </c>
      <c r="E111" s="1799" t="s">
        <v>524</v>
      </c>
      <c r="F111" s="1796"/>
    </row>
    <row r="112" spans="2:6" x14ac:dyDescent="0.3">
      <c r="B112" s="5924"/>
      <c r="C112" s="5196" t="s">
        <v>317</v>
      </c>
      <c r="D112" s="1837" t="s">
        <v>445</v>
      </c>
      <c r="E112" s="1810" t="s">
        <v>524</v>
      </c>
      <c r="F112" s="1811"/>
    </row>
    <row r="113" spans="2:6" x14ac:dyDescent="0.3">
      <c r="B113" s="1785"/>
      <c r="C113" s="1785"/>
      <c r="D113" s="1815"/>
      <c r="E113" s="4630"/>
      <c r="F113" s="4622" t="s">
        <v>1584</v>
      </c>
    </row>
    <row r="114" spans="2:6" x14ac:dyDescent="0.3">
      <c r="B114" s="1816"/>
      <c r="C114" s="1816"/>
      <c r="D114" s="1815"/>
      <c r="E114" s="4630"/>
      <c r="F114" s="4622" t="s">
        <v>1573</v>
      </c>
    </row>
    <row r="115" spans="2:6" x14ac:dyDescent="0.3">
      <c r="B115" s="1816"/>
      <c r="C115" s="1816"/>
      <c r="D115" s="1815"/>
      <c r="E115" s="4630"/>
      <c r="F115" s="4622"/>
    </row>
    <row r="117" spans="2:6" ht="15.6" x14ac:dyDescent="0.3">
      <c r="B117" s="1817"/>
      <c r="C117" s="1817"/>
      <c r="D117" s="1818"/>
      <c r="E117" s="1819"/>
      <c r="F117" s="4633" t="s">
        <v>1560</v>
      </c>
    </row>
    <row r="118" spans="2:6" ht="15" thickBot="1" x14ac:dyDescent="0.35">
      <c r="B118" s="4634" t="s">
        <v>186</v>
      </c>
      <c r="C118" s="4634" t="s">
        <v>520</v>
      </c>
      <c r="D118" s="4635" t="s">
        <v>521</v>
      </c>
      <c r="E118" s="4636" t="s">
        <v>522</v>
      </c>
      <c r="F118" s="4636" t="s">
        <v>189</v>
      </c>
    </row>
    <row r="119" spans="2:6" ht="28.8" hidden="1" x14ac:dyDescent="0.3">
      <c r="B119" s="5192" t="s">
        <v>190</v>
      </c>
      <c r="C119" s="4637"/>
      <c r="D119" s="4638"/>
      <c r="E119" s="4639"/>
      <c r="F119" s="4640"/>
    </row>
    <row r="120" spans="2:6" ht="30" hidden="1" customHeight="1" x14ac:dyDescent="0.3">
      <c r="B120" s="5922" t="s">
        <v>201</v>
      </c>
      <c r="C120" s="5199" t="s">
        <v>310</v>
      </c>
      <c r="D120" s="4641" t="s">
        <v>1576</v>
      </c>
      <c r="E120" s="4642"/>
      <c r="F120" s="5276" t="s">
        <v>1577</v>
      </c>
    </row>
    <row r="121" spans="2:6" ht="22.2" hidden="1" x14ac:dyDescent="0.3">
      <c r="B121" s="5924"/>
      <c r="C121" s="5196" t="s">
        <v>317</v>
      </c>
      <c r="D121" s="1803" t="s">
        <v>402</v>
      </c>
      <c r="E121" s="1804"/>
      <c r="F121" s="5277" t="s">
        <v>1577</v>
      </c>
    </row>
    <row r="122" spans="2:6" ht="43.2" x14ac:dyDescent="0.3">
      <c r="B122" s="5192" t="s">
        <v>246</v>
      </c>
      <c r="C122" s="5278" t="s">
        <v>317</v>
      </c>
      <c r="D122" s="5279" t="s">
        <v>354</v>
      </c>
      <c r="E122" s="5280" t="s">
        <v>523</v>
      </c>
      <c r="F122" s="5281" t="s">
        <v>547</v>
      </c>
    </row>
    <row r="123" spans="2:6" x14ac:dyDescent="0.3">
      <c r="B123" s="1816"/>
      <c r="C123" s="1816"/>
      <c r="D123" s="1815"/>
      <c r="E123" s="4630"/>
      <c r="F123" s="4622" t="s">
        <v>1584</v>
      </c>
    </row>
    <row r="124" spans="2:6" x14ac:dyDescent="0.3">
      <c r="B124" s="1785"/>
      <c r="C124" s="1785"/>
      <c r="D124" s="1785"/>
      <c r="E124" s="4630"/>
      <c r="F124" s="4622" t="s">
        <v>1573</v>
      </c>
    </row>
    <row r="125" spans="2:6" x14ac:dyDescent="0.3">
      <c r="B125" s="1785"/>
      <c r="C125" s="1785"/>
      <c r="D125" s="1785"/>
      <c r="E125" s="4630"/>
      <c r="F125" s="4622"/>
    </row>
    <row r="126" spans="2:6" ht="15.6" x14ac:dyDescent="0.3">
      <c r="B126" s="1785"/>
      <c r="C126" s="1785"/>
      <c r="D126" s="1818"/>
      <c r="E126" s="1819"/>
      <c r="F126" s="1843" t="s">
        <v>1563</v>
      </c>
    </row>
    <row r="127" spans="2:6" ht="15" thickBot="1" x14ac:dyDescent="0.35">
      <c r="B127" s="1844" t="s">
        <v>186</v>
      </c>
      <c r="C127" s="1845" t="s">
        <v>520</v>
      </c>
      <c r="D127" s="1845" t="s">
        <v>521</v>
      </c>
      <c r="E127" s="1846" t="s">
        <v>522</v>
      </c>
      <c r="F127" s="1845" t="s">
        <v>189</v>
      </c>
    </row>
    <row r="128" spans="2:6" ht="15" customHeight="1" x14ac:dyDescent="0.3">
      <c r="B128" s="5946" t="s">
        <v>201</v>
      </c>
      <c r="C128" s="5193" t="s">
        <v>308</v>
      </c>
      <c r="D128" s="1791" t="s">
        <v>1578</v>
      </c>
      <c r="E128" s="1791"/>
      <c r="F128" s="1792"/>
    </row>
    <row r="129" spans="2:6" x14ac:dyDescent="0.3">
      <c r="B129" s="5923"/>
      <c r="C129" s="5927" t="s">
        <v>310</v>
      </c>
      <c r="D129" s="1798" t="s">
        <v>1578</v>
      </c>
      <c r="E129" s="1799" t="s">
        <v>523</v>
      </c>
      <c r="F129" s="1800"/>
    </row>
    <row r="130" spans="2:6" x14ac:dyDescent="0.3">
      <c r="B130" s="5923"/>
      <c r="C130" s="5928"/>
      <c r="D130" s="1798" t="s">
        <v>549</v>
      </c>
      <c r="E130" s="1799" t="s">
        <v>523</v>
      </c>
      <c r="F130" s="1800"/>
    </row>
    <row r="131" spans="2:6" x14ac:dyDescent="0.3">
      <c r="B131" s="5923"/>
      <c r="C131" s="5928"/>
      <c r="D131" s="1798" t="s">
        <v>394</v>
      </c>
      <c r="E131" s="1799" t="s">
        <v>524</v>
      </c>
      <c r="F131" s="1800"/>
    </row>
    <row r="132" spans="2:6" x14ac:dyDescent="0.3">
      <c r="B132" s="5923"/>
      <c r="C132" s="5928"/>
      <c r="D132" s="1798" t="s">
        <v>395</v>
      </c>
      <c r="E132" s="1799" t="s">
        <v>550</v>
      </c>
      <c r="F132" s="1800"/>
    </row>
    <row r="133" spans="2:6" x14ac:dyDescent="0.3">
      <c r="B133" s="5923"/>
      <c r="C133" s="5928"/>
      <c r="D133" s="1798" t="s">
        <v>392</v>
      </c>
      <c r="E133" s="1799" t="s">
        <v>550</v>
      </c>
      <c r="F133" s="1800"/>
    </row>
    <row r="134" spans="2:6" x14ac:dyDescent="0.3">
      <c r="B134" s="5923"/>
      <c r="C134" s="5928"/>
      <c r="D134" s="1798" t="s">
        <v>397</v>
      </c>
      <c r="E134" s="1799" t="s">
        <v>523</v>
      </c>
      <c r="F134" s="1800"/>
    </row>
    <row r="135" spans="2:6" x14ac:dyDescent="0.3">
      <c r="B135" s="5923"/>
      <c r="C135" s="5928"/>
      <c r="D135" s="1798" t="s">
        <v>396</v>
      </c>
      <c r="E135" s="1799" t="s">
        <v>524</v>
      </c>
      <c r="F135" s="1800"/>
    </row>
    <row r="136" spans="2:6" x14ac:dyDescent="0.3">
      <c r="B136" s="5923"/>
      <c r="C136" s="5928"/>
      <c r="D136" s="1798" t="s">
        <v>399</v>
      </c>
      <c r="E136" s="1799" t="s">
        <v>523</v>
      </c>
      <c r="F136" s="1801"/>
    </row>
    <row r="137" spans="2:6" x14ac:dyDescent="0.3">
      <c r="B137" s="5923"/>
      <c r="C137" s="5928"/>
      <c r="D137" s="1798" t="s">
        <v>400</v>
      </c>
      <c r="E137" s="1799" t="s">
        <v>525</v>
      </c>
      <c r="F137" s="1847" t="s">
        <v>1569</v>
      </c>
    </row>
    <row r="138" spans="2:6" ht="28.8" x14ac:dyDescent="0.3">
      <c r="B138" s="5923"/>
      <c r="C138" s="5928"/>
      <c r="D138" s="1798" t="s">
        <v>328</v>
      </c>
      <c r="E138" s="1799" t="s">
        <v>523</v>
      </c>
      <c r="F138" s="1802" t="s">
        <v>528</v>
      </c>
    </row>
    <row r="139" spans="2:6" ht="28.8" x14ac:dyDescent="0.3">
      <c r="B139" s="5923"/>
      <c r="C139" s="5929"/>
      <c r="D139" s="1798" t="s">
        <v>334</v>
      </c>
      <c r="E139" s="1799"/>
      <c r="F139" s="1802" t="s">
        <v>528</v>
      </c>
    </row>
    <row r="140" spans="2:6" x14ac:dyDescent="0.3">
      <c r="B140" s="5923"/>
      <c r="C140" s="5930" t="s">
        <v>317</v>
      </c>
      <c r="D140" s="1793" t="s">
        <v>402</v>
      </c>
      <c r="E140" s="1794" t="s">
        <v>524</v>
      </c>
      <c r="F140" s="1796"/>
    </row>
    <row r="141" spans="2:6" x14ac:dyDescent="0.3">
      <c r="B141" s="5923"/>
      <c r="C141" s="5931"/>
      <c r="D141" s="1793" t="s">
        <v>403</v>
      </c>
      <c r="E141" s="1794" t="s">
        <v>525</v>
      </c>
      <c r="F141" s="1848"/>
    </row>
    <row r="142" spans="2:6" x14ac:dyDescent="0.3">
      <c r="B142" s="5923"/>
      <c r="C142" s="5931"/>
      <c r="D142" s="1793" t="s">
        <v>378</v>
      </c>
      <c r="E142" s="1794" t="s">
        <v>525</v>
      </c>
      <c r="F142" s="1797"/>
    </row>
    <row r="143" spans="2:6" x14ac:dyDescent="0.3">
      <c r="B143" s="5923"/>
      <c r="C143" s="5931"/>
      <c r="D143" s="1793" t="s">
        <v>1397</v>
      </c>
      <c r="E143" s="1794" t="s">
        <v>524</v>
      </c>
      <c r="F143" s="5282"/>
    </row>
    <row r="144" spans="2:6" ht="28.8" x14ac:dyDescent="0.3">
      <c r="B144" s="5923"/>
      <c r="C144" s="5931"/>
      <c r="D144" s="1793" t="s">
        <v>335</v>
      </c>
      <c r="E144" s="1794" t="s">
        <v>524</v>
      </c>
      <c r="F144" s="1796" t="s">
        <v>528</v>
      </c>
    </row>
    <row r="145" spans="2:6" ht="28.8" x14ac:dyDescent="0.3">
      <c r="B145" s="5924"/>
      <c r="C145" s="5932"/>
      <c r="D145" s="1809" t="s">
        <v>334</v>
      </c>
      <c r="E145" s="1810"/>
      <c r="F145" s="1811" t="s">
        <v>528</v>
      </c>
    </row>
    <row r="146" spans="2:6" ht="15" customHeight="1" x14ac:dyDescent="0.3">
      <c r="B146" s="5922" t="s">
        <v>246</v>
      </c>
      <c r="C146" s="5195" t="s">
        <v>308</v>
      </c>
      <c r="D146" s="1793" t="s">
        <v>551</v>
      </c>
      <c r="E146" s="1794"/>
      <c r="F146" s="1849"/>
    </row>
    <row r="147" spans="2:6" x14ac:dyDescent="0.3">
      <c r="B147" s="5923"/>
      <c r="C147" s="5927" t="s">
        <v>310</v>
      </c>
      <c r="D147" s="1798" t="s">
        <v>412</v>
      </c>
      <c r="E147" s="1799" t="s">
        <v>523</v>
      </c>
      <c r="F147" s="1800"/>
    </row>
    <row r="148" spans="2:6" x14ac:dyDescent="0.3">
      <c r="B148" s="5923"/>
      <c r="C148" s="5928"/>
      <c r="D148" s="1798" t="s">
        <v>413</v>
      </c>
      <c r="E148" s="1799" t="s">
        <v>524</v>
      </c>
      <c r="F148" s="1800"/>
    </row>
    <row r="149" spans="2:6" x14ac:dyDescent="0.3">
      <c r="B149" s="5923"/>
      <c r="C149" s="5928"/>
      <c r="D149" s="1798" t="s">
        <v>552</v>
      </c>
      <c r="E149" s="1799" t="s">
        <v>524</v>
      </c>
      <c r="F149" s="5283"/>
    </row>
    <row r="150" spans="2:6" x14ac:dyDescent="0.3">
      <c r="B150" s="5923"/>
      <c r="C150" s="5928"/>
      <c r="D150" s="1798" t="s">
        <v>414</v>
      </c>
      <c r="E150" s="1799" t="s">
        <v>525</v>
      </c>
      <c r="F150" s="1806"/>
    </row>
    <row r="151" spans="2:6" x14ac:dyDescent="0.3">
      <c r="B151" s="5923"/>
      <c r="C151" s="5928"/>
      <c r="D151" s="1798" t="s">
        <v>415</v>
      </c>
      <c r="E151" s="1799" t="s">
        <v>524</v>
      </c>
      <c r="F151" s="1806"/>
    </row>
    <row r="152" spans="2:6" x14ac:dyDescent="0.3">
      <c r="B152" s="5923"/>
      <c r="C152" s="5928"/>
      <c r="D152" s="1798" t="s">
        <v>1536</v>
      </c>
      <c r="E152" s="1799" t="s">
        <v>525</v>
      </c>
      <c r="F152" s="5283" t="s">
        <v>1569</v>
      </c>
    </row>
    <row r="153" spans="2:6" x14ac:dyDescent="0.3">
      <c r="B153" s="5923"/>
      <c r="C153" s="5928"/>
      <c r="D153" s="1798" t="s">
        <v>408</v>
      </c>
      <c r="E153" s="1799" t="s">
        <v>523</v>
      </c>
      <c r="F153" s="5283"/>
    </row>
    <row r="154" spans="2:6" x14ac:dyDescent="0.3">
      <c r="B154" s="5923"/>
      <c r="C154" s="5928"/>
      <c r="D154" s="1798" t="s">
        <v>407</v>
      </c>
      <c r="E154" s="1799" t="s">
        <v>523</v>
      </c>
      <c r="F154" s="1847"/>
    </row>
    <row r="155" spans="2:6" x14ac:dyDescent="0.3">
      <c r="B155" s="5923"/>
      <c r="C155" s="5928"/>
      <c r="D155" s="1850" t="s">
        <v>450</v>
      </c>
      <c r="E155" s="1799"/>
      <c r="F155" s="1800"/>
    </row>
    <row r="156" spans="2:6" x14ac:dyDescent="0.3">
      <c r="B156" s="5923"/>
      <c r="C156" s="5929"/>
      <c r="D156" s="1798" t="s">
        <v>409</v>
      </c>
      <c r="E156" s="1799" t="s">
        <v>524</v>
      </c>
      <c r="F156" s="5284"/>
    </row>
    <row r="157" spans="2:6" x14ac:dyDescent="0.3">
      <c r="B157" s="5923"/>
      <c r="C157" s="5930" t="s">
        <v>317</v>
      </c>
      <c r="D157" s="1793" t="s">
        <v>1410</v>
      </c>
      <c r="E157" s="1794" t="s">
        <v>525</v>
      </c>
      <c r="F157" s="1852" t="s">
        <v>1569</v>
      </c>
    </row>
    <row r="158" spans="2:6" x14ac:dyDescent="0.3">
      <c r="B158" s="5923"/>
      <c r="C158" s="5931"/>
      <c r="D158" s="1793" t="s">
        <v>417</v>
      </c>
      <c r="E158" s="1794" t="s">
        <v>524</v>
      </c>
      <c r="F158" s="1851"/>
    </row>
    <row r="159" spans="2:6" ht="43.2" x14ac:dyDescent="0.3">
      <c r="B159" s="5923"/>
      <c r="C159" s="5931"/>
      <c r="D159" s="1793" t="s">
        <v>354</v>
      </c>
      <c r="E159" s="1794" t="s">
        <v>523</v>
      </c>
      <c r="F159" s="1796" t="s">
        <v>529</v>
      </c>
    </row>
    <row r="160" spans="2:6" ht="15" customHeight="1" x14ac:dyDescent="0.3">
      <c r="B160" s="5924"/>
      <c r="C160" s="5932"/>
      <c r="D160" s="1793" t="s">
        <v>416</v>
      </c>
      <c r="E160" s="1794" t="s">
        <v>523</v>
      </c>
      <c r="F160" s="1849"/>
    </row>
    <row r="161" spans="2:6" x14ac:dyDescent="0.3">
      <c r="B161" s="5922" t="s">
        <v>205</v>
      </c>
      <c r="C161" s="5947" t="s">
        <v>310</v>
      </c>
      <c r="D161" s="4641" t="s">
        <v>418</v>
      </c>
      <c r="E161" s="4642" t="s">
        <v>524</v>
      </c>
      <c r="F161" s="4643"/>
    </row>
    <row r="162" spans="2:6" x14ac:dyDescent="0.3">
      <c r="B162" s="5923"/>
      <c r="C162" s="5928"/>
      <c r="D162" s="1798" t="s">
        <v>420</v>
      </c>
      <c r="E162" s="1799"/>
      <c r="F162" s="1800"/>
    </row>
    <row r="163" spans="2:6" x14ac:dyDescent="0.3">
      <c r="B163" s="5923"/>
      <c r="C163" s="5929"/>
      <c r="D163" s="1798" t="s">
        <v>419</v>
      </c>
      <c r="E163" s="1799" t="s">
        <v>524</v>
      </c>
      <c r="F163" s="1806"/>
    </row>
    <row r="164" spans="2:6" x14ac:dyDescent="0.3">
      <c r="B164" s="5924"/>
      <c r="C164" s="5196" t="s">
        <v>317</v>
      </c>
      <c r="D164" s="1809" t="s">
        <v>421</v>
      </c>
      <c r="E164" s="1810" t="s">
        <v>524</v>
      </c>
      <c r="F164" s="1853"/>
    </row>
    <row r="165" spans="2:6" x14ac:dyDescent="0.3">
      <c r="B165" s="1815"/>
      <c r="C165" s="1815"/>
      <c r="D165" s="1816"/>
      <c r="E165" s="4630"/>
      <c r="F165" s="4622" t="s">
        <v>1584</v>
      </c>
    </row>
    <row r="166" spans="2:6" x14ac:dyDescent="0.3">
      <c r="B166" s="1785"/>
      <c r="C166" s="1785"/>
      <c r="D166" s="1815"/>
      <c r="E166" s="4630"/>
      <c r="F166" s="4622" t="s">
        <v>1573</v>
      </c>
    </row>
    <row r="167" spans="2:6" x14ac:dyDescent="0.3">
      <c r="B167" s="1785"/>
      <c r="C167" s="1785"/>
      <c r="D167" s="1815"/>
      <c r="E167" s="4630"/>
      <c r="F167" s="4622"/>
    </row>
    <row r="168" spans="2:6" x14ac:dyDescent="0.3">
      <c r="B168" s="1785"/>
      <c r="C168" s="1785"/>
      <c r="D168" s="1815"/>
      <c r="E168" s="4630"/>
      <c r="F168" s="4622"/>
    </row>
    <row r="169" spans="2:6" ht="15.6" x14ac:dyDescent="0.3">
      <c r="B169" s="1854"/>
      <c r="C169" s="1854"/>
      <c r="D169" s="1855"/>
      <c r="E169" s="1856"/>
      <c r="F169" s="1857" t="s">
        <v>1579</v>
      </c>
    </row>
    <row r="170" spans="2:6" ht="15" thickBot="1" x14ac:dyDescent="0.35">
      <c r="B170" s="1858" t="s">
        <v>186</v>
      </c>
      <c r="C170" s="1858" t="s">
        <v>520</v>
      </c>
      <c r="D170" s="1859" t="s">
        <v>45</v>
      </c>
      <c r="E170" s="1860" t="s">
        <v>522</v>
      </c>
      <c r="F170" s="1860" t="s">
        <v>189</v>
      </c>
    </row>
    <row r="171" spans="2:6" ht="28.8" x14ac:dyDescent="0.3">
      <c r="B171" s="5943" t="s">
        <v>201</v>
      </c>
      <c r="C171" s="5926" t="s">
        <v>310</v>
      </c>
      <c r="D171" s="1791" t="s">
        <v>328</v>
      </c>
      <c r="E171" s="1807" t="s">
        <v>523</v>
      </c>
      <c r="F171" s="1808" t="s">
        <v>528</v>
      </c>
    </row>
    <row r="172" spans="2:6" ht="28.8" x14ac:dyDescent="0.3">
      <c r="B172" s="5944"/>
      <c r="C172" s="5934"/>
      <c r="D172" s="1793" t="s">
        <v>334</v>
      </c>
      <c r="E172" s="1794" t="s">
        <v>1580</v>
      </c>
      <c r="F172" s="1796" t="s">
        <v>528</v>
      </c>
    </row>
    <row r="173" spans="2:6" ht="28.8" x14ac:dyDescent="0.3">
      <c r="B173" s="5944"/>
      <c r="C173" s="5941" t="s">
        <v>317</v>
      </c>
      <c r="D173" s="1798" t="s">
        <v>335</v>
      </c>
      <c r="E173" s="1799" t="s">
        <v>524</v>
      </c>
      <c r="F173" s="1802" t="s">
        <v>528</v>
      </c>
    </row>
    <row r="174" spans="2:6" ht="28.8" x14ac:dyDescent="0.3">
      <c r="B174" s="5945"/>
      <c r="C174" s="5942"/>
      <c r="D174" s="1803" t="s">
        <v>334</v>
      </c>
      <c r="E174" s="1804" t="s">
        <v>1580</v>
      </c>
      <c r="F174" s="1861" t="s">
        <v>528</v>
      </c>
    </row>
    <row r="175" spans="2:6" ht="43.2" x14ac:dyDescent="0.3">
      <c r="B175" s="5197" t="s">
        <v>553</v>
      </c>
      <c r="C175" s="4623" t="s">
        <v>317</v>
      </c>
      <c r="D175" s="4624" t="s">
        <v>354</v>
      </c>
      <c r="E175" s="4625" t="s">
        <v>523</v>
      </c>
      <c r="F175" s="4644" t="s">
        <v>547</v>
      </c>
    </row>
    <row r="176" spans="2:6" x14ac:dyDescent="0.3">
      <c r="B176" s="1815"/>
      <c r="C176" s="1815"/>
      <c r="D176" s="1815"/>
      <c r="E176" s="4630"/>
      <c r="F176" s="4622" t="s">
        <v>1584</v>
      </c>
    </row>
    <row r="177" spans="2:6" x14ac:dyDescent="0.3">
      <c r="B177" s="1785"/>
      <c r="C177" s="1785"/>
      <c r="D177" s="1816"/>
      <c r="E177" s="4630"/>
      <c r="F177" s="4622" t="s">
        <v>1573</v>
      </c>
    </row>
  </sheetData>
  <mergeCells count="38">
    <mergeCell ref="C173:C174"/>
    <mergeCell ref="B171:B174"/>
    <mergeCell ref="C171:C172"/>
    <mergeCell ref="B98:B109"/>
    <mergeCell ref="C98:C100"/>
    <mergeCell ref="C101:C105"/>
    <mergeCell ref="C106:C109"/>
    <mergeCell ref="B110:B112"/>
    <mergeCell ref="B128:B145"/>
    <mergeCell ref="C129:C139"/>
    <mergeCell ref="C140:C145"/>
    <mergeCell ref="B161:B164"/>
    <mergeCell ref="C161:C163"/>
    <mergeCell ref="B146:B160"/>
    <mergeCell ref="C147:C156"/>
    <mergeCell ref="C157:C160"/>
    <mergeCell ref="B1:F1"/>
    <mergeCell ref="B5:B16"/>
    <mergeCell ref="C5:C11"/>
    <mergeCell ref="C12:C16"/>
    <mergeCell ref="C21:C28"/>
    <mergeCell ref="B17:B33"/>
    <mergeCell ref="C17:C20"/>
    <mergeCell ref="C29:C33"/>
    <mergeCell ref="B34:B47"/>
    <mergeCell ref="C34:C35"/>
    <mergeCell ref="C36:C41"/>
    <mergeCell ref="C42:C47"/>
    <mergeCell ref="B120:B121"/>
    <mergeCell ref="B83:B97"/>
    <mergeCell ref="C84:C90"/>
    <mergeCell ref="C91:C97"/>
    <mergeCell ref="B54:B55"/>
    <mergeCell ref="B57:B60"/>
    <mergeCell ref="C59:C60"/>
    <mergeCell ref="B67:B82"/>
    <mergeCell ref="C68:C75"/>
    <mergeCell ref="C76:C82"/>
  </mergeCells>
  <printOptions horizontalCentered="1" verticalCentered="1"/>
  <pageMargins left="0.70866141732283472" right="0.70866141732283472" top="0.35433070866141736" bottom="0.35433070866141736" header="0.31496062992125984" footer="0.31496062992125984"/>
  <pageSetup scale="64" firstPageNumber="80" orientation="landscape" useFirstPageNumber="1" r:id="rId1"/>
  <headerFooter scaleWithDoc="0" alignWithMargins="0">
    <oddFooter>&amp;R&amp;P</oddFooter>
  </headerFooter>
  <rowBreaks count="5" manualBreakCount="5">
    <brk id="49" max="16383" man="1"/>
    <brk id="62" max="16383" man="1"/>
    <brk id="114" max="16383" man="1"/>
    <brk id="124" max="16383" man="1"/>
    <brk id="166" max="16383" man="1"/>
  </row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7A519"/>
  </sheetPr>
  <dimension ref="A1:S441"/>
  <sheetViews>
    <sheetView showGridLines="0" zoomScaleNormal="100" workbookViewId="0">
      <selection activeCell="Q31" sqref="Q31"/>
    </sheetView>
  </sheetViews>
  <sheetFormatPr baseColWidth="10" defaultRowHeight="14.4" x14ac:dyDescent="0.3"/>
  <cols>
    <col min="1" max="1" width="2.88671875" style="1784" customWidth="1"/>
    <col min="2" max="2" width="13.44140625" style="1784" bestFit="1" customWidth="1"/>
    <col min="3" max="11" width="10.5546875" style="1784" customWidth="1"/>
    <col min="12" max="12" width="11.44140625" style="1784" customWidth="1"/>
    <col min="13" max="13" width="10.5546875" style="1784" customWidth="1"/>
    <col min="14" max="14" width="12.44140625" style="1784" customWidth="1"/>
    <col min="15" max="18" width="10.5546875" style="1784" customWidth="1"/>
    <col min="19" max="231" width="11.5546875" style="1784"/>
    <col min="232" max="232" width="16.5546875" style="1784" customWidth="1"/>
    <col min="233" max="233" width="11.5546875" style="1784"/>
    <col min="234" max="234" width="15.109375" style="1784" customWidth="1"/>
    <col min="235" max="235" width="11.88671875" style="1784" bestFit="1" customWidth="1"/>
    <col min="236" max="240" width="10.88671875" style="1784" customWidth="1"/>
    <col min="241" max="241" width="1.88671875" style="1784" customWidth="1"/>
    <col min="242" max="242" width="11.88671875" style="1784" customWidth="1"/>
    <col min="243" max="245" width="9.88671875" style="1784" customWidth="1"/>
    <col min="246" max="487" width="11.5546875" style="1784"/>
    <col min="488" max="488" width="16.5546875" style="1784" customWidth="1"/>
    <col min="489" max="489" width="11.5546875" style="1784"/>
    <col min="490" max="490" width="15.109375" style="1784" customWidth="1"/>
    <col min="491" max="491" width="11.88671875" style="1784" bestFit="1" customWidth="1"/>
    <col min="492" max="496" width="10.88671875" style="1784" customWidth="1"/>
    <col min="497" max="497" width="1.88671875" style="1784" customWidth="1"/>
    <col min="498" max="498" width="11.88671875" style="1784" customWidth="1"/>
    <col min="499" max="501" width="9.88671875" style="1784" customWidth="1"/>
    <col min="502" max="743" width="11.5546875" style="1784"/>
    <col min="744" max="744" width="16.5546875" style="1784" customWidth="1"/>
    <col min="745" max="745" width="11.5546875" style="1784"/>
    <col min="746" max="746" width="15.109375" style="1784" customWidth="1"/>
    <col min="747" max="747" width="11.88671875" style="1784" bestFit="1" customWidth="1"/>
    <col min="748" max="752" width="10.88671875" style="1784" customWidth="1"/>
    <col min="753" max="753" width="1.88671875" style="1784" customWidth="1"/>
    <col min="754" max="754" width="11.88671875" style="1784" customWidth="1"/>
    <col min="755" max="757" width="9.88671875" style="1784" customWidth="1"/>
    <col min="758" max="999" width="11.5546875" style="1784"/>
    <col min="1000" max="1000" width="16.5546875" style="1784" customWidth="1"/>
    <col min="1001" max="1001" width="11.5546875" style="1784"/>
    <col min="1002" max="1002" width="15.109375" style="1784" customWidth="1"/>
    <col min="1003" max="1003" width="11.88671875" style="1784" bestFit="1" customWidth="1"/>
    <col min="1004" max="1008" width="10.88671875" style="1784" customWidth="1"/>
    <col min="1009" max="1009" width="1.88671875" style="1784" customWidth="1"/>
    <col min="1010" max="1010" width="11.88671875" style="1784" customWidth="1"/>
    <col min="1011" max="1013" width="9.88671875" style="1784" customWidth="1"/>
    <col min="1014" max="1255" width="11.5546875" style="1784"/>
    <col min="1256" max="1256" width="16.5546875" style="1784" customWidth="1"/>
    <col min="1257" max="1257" width="11.5546875" style="1784"/>
    <col min="1258" max="1258" width="15.109375" style="1784" customWidth="1"/>
    <col min="1259" max="1259" width="11.88671875" style="1784" bestFit="1" customWidth="1"/>
    <col min="1260" max="1264" width="10.88671875" style="1784" customWidth="1"/>
    <col min="1265" max="1265" width="1.88671875" style="1784" customWidth="1"/>
    <col min="1266" max="1266" width="11.88671875" style="1784" customWidth="1"/>
    <col min="1267" max="1269" width="9.88671875" style="1784" customWidth="1"/>
    <col min="1270" max="1511" width="11.5546875" style="1784"/>
    <col min="1512" max="1512" width="16.5546875" style="1784" customWidth="1"/>
    <col min="1513" max="1513" width="11.5546875" style="1784"/>
    <col min="1514" max="1514" width="15.109375" style="1784" customWidth="1"/>
    <col min="1515" max="1515" width="11.88671875" style="1784" bestFit="1" customWidth="1"/>
    <col min="1516" max="1520" width="10.88671875" style="1784" customWidth="1"/>
    <col min="1521" max="1521" width="1.88671875" style="1784" customWidth="1"/>
    <col min="1522" max="1522" width="11.88671875" style="1784" customWidth="1"/>
    <col min="1523" max="1525" width="9.88671875" style="1784" customWidth="1"/>
    <col min="1526" max="1767" width="11.5546875" style="1784"/>
    <col min="1768" max="1768" width="16.5546875" style="1784" customWidth="1"/>
    <col min="1769" max="1769" width="11.5546875" style="1784"/>
    <col min="1770" max="1770" width="15.109375" style="1784" customWidth="1"/>
    <col min="1771" max="1771" width="11.88671875" style="1784" bestFit="1" customWidth="1"/>
    <col min="1772" max="1776" width="10.88671875" style="1784" customWidth="1"/>
    <col min="1777" max="1777" width="1.88671875" style="1784" customWidth="1"/>
    <col min="1778" max="1778" width="11.88671875" style="1784" customWidth="1"/>
    <col min="1779" max="1781" width="9.88671875" style="1784" customWidth="1"/>
    <col min="1782" max="2023" width="11.5546875" style="1784"/>
    <col min="2024" max="2024" width="16.5546875" style="1784" customWidth="1"/>
    <col min="2025" max="2025" width="11.5546875" style="1784"/>
    <col min="2026" max="2026" width="15.109375" style="1784" customWidth="1"/>
    <col min="2027" max="2027" width="11.88671875" style="1784" bestFit="1" customWidth="1"/>
    <col min="2028" max="2032" width="10.88671875" style="1784" customWidth="1"/>
    <col min="2033" max="2033" width="1.88671875" style="1784" customWidth="1"/>
    <col min="2034" max="2034" width="11.88671875" style="1784" customWidth="1"/>
    <col min="2035" max="2037" width="9.88671875" style="1784" customWidth="1"/>
    <col min="2038" max="2279" width="11.5546875" style="1784"/>
    <col min="2280" max="2280" width="16.5546875" style="1784" customWidth="1"/>
    <col min="2281" max="2281" width="11.5546875" style="1784"/>
    <col min="2282" max="2282" width="15.109375" style="1784" customWidth="1"/>
    <col min="2283" max="2283" width="11.88671875" style="1784" bestFit="1" customWidth="1"/>
    <col min="2284" max="2288" width="10.88671875" style="1784" customWidth="1"/>
    <col min="2289" max="2289" width="1.88671875" style="1784" customWidth="1"/>
    <col min="2290" max="2290" width="11.88671875" style="1784" customWidth="1"/>
    <col min="2291" max="2293" width="9.88671875" style="1784" customWidth="1"/>
    <col min="2294" max="2535" width="11.5546875" style="1784"/>
    <col min="2536" max="2536" width="16.5546875" style="1784" customWidth="1"/>
    <col min="2537" max="2537" width="11.5546875" style="1784"/>
    <col min="2538" max="2538" width="15.109375" style="1784" customWidth="1"/>
    <col min="2539" max="2539" width="11.88671875" style="1784" bestFit="1" customWidth="1"/>
    <col min="2540" max="2544" width="10.88671875" style="1784" customWidth="1"/>
    <col min="2545" max="2545" width="1.88671875" style="1784" customWidth="1"/>
    <col min="2546" max="2546" width="11.88671875" style="1784" customWidth="1"/>
    <col min="2547" max="2549" width="9.88671875" style="1784" customWidth="1"/>
    <col min="2550" max="2791" width="11.5546875" style="1784"/>
    <col min="2792" max="2792" width="16.5546875" style="1784" customWidth="1"/>
    <col min="2793" max="2793" width="11.5546875" style="1784"/>
    <col min="2794" max="2794" width="15.109375" style="1784" customWidth="1"/>
    <col min="2795" max="2795" width="11.88671875" style="1784" bestFit="1" customWidth="1"/>
    <col min="2796" max="2800" width="10.88671875" style="1784" customWidth="1"/>
    <col min="2801" max="2801" width="1.88671875" style="1784" customWidth="1"/>
    <col min="2802" max="2802" width="11.88671875" style="1784" customWidth="1"/>
    <col min="2803" max="2805" width="9.88671875" style="1784" customWidth="1"/>
    <col min="2806" max="3047" width="11.5546875" style="1784"/>
    <col min="3048" max="3048" width="16.5546875" style="1784" customWidth="1"/>
    <col min="3049" max="3049" width="11.5546875" style="1784"/>
    <col min="3050" max="3050" width="15.109375" style="1784" customWidth="1"/>
    <col min="3051" max="3051" width="11.88671875" style="1784" bestFit="1" customWidth="1"/>
    <col min="3052" max="3056" width="10.88671875" style="1784" customWidth="1"/>
    <col min="3057" max="3057" width="1.88671875" style="1784" customWidth="1"/>
    <col min="3058" max="3058" width="11.88671875" style="1784" customWidth="1"/>
    <col min="3059" max="3061" width="9.88671875" style="1784" customWidth="1"/>
    <col min="3062" max="3303" width="11.5546875" style="1784"/>
    <col min="3304" max="3304" width="16.5546875" style="1784" customWidth="1"/>
    <col min="3305" max="3305" width="11.5546875" style="1784"/>
    <col min="3306" max="3306" width="15.109375" style="1784" customWidth="1"/>
    <col min="3307" max="3307" width="11.88671875" style="1784" bestFit="1" customWidth="1"/>
    <col min="3308" max="3312" width="10.88671875" style="1784" customWidth="1"/>
    <col min="3313" max="3313" width="1.88671875" style="1784" customWidth="1"/>
    <col min="3314" max="3314" width="11.88671875" style="1784" customWidth="1"/>
    <col min="3315" max="3317" width="9.88671875" style="1784" customWidth="1"/>
    <col min="3318" max="3559" width="11.5546875" style="1784"/>
    <col min="3560" max="3560" width="16.5546875" style="1784" customWidth="1"/>
    <col min="3561" max="3561" width="11.5546875" style="1784"/>
    <col min="3562" max="3562" width="15.109375" style="1784" customWidth="1"/>
    <col min="3563" max="3563" width="11.88671875" style="1784" bestFit="1" customWidth="1"/>
    <col min="3564" max="3568" width="10.88671875" style="1784" customWidth="1"/>
    <col min="3569" max="3569" width="1.88671875" style="1784" customWidth="1"/>
    <col min="3570" max="3570" width="11.88671875" style="1784" customWidth="1"/>
    <col min="3571" max="3573" width="9.88671875" style="1784" customWidth="1"/>
    <col min="3574" max="3815" width="11.5546875" style="1784"/>
    <col min="3816" max="3816" width="16.5546875" style="1784" customWidth="1"/>
    <col min="3817" max="3817" width="11.5546875" style="1784"/>
    <col min="3818" max="3818" width="15.109375" style="1784" customWidth="1"/>
    <col min="3819" max="3819" width="11.88671875" style="1784" bestFit="1" customWidth="1"/>
    <col min="3820" max="3824" width="10.88671875" style="1784" customWidth="1"/>
    <col min="3825" max="3825" width="1.88671875" style="1784" customWidth="1"/>
    <col min="3826" max="3826" width="11.88671875" style="1784" customWidth="1"/>
    <col min="3827" max="3829" width="9.88671875" style="1784" customWidth="1"/>
    <col min="3830" max="4071" width="11.5546875" style="1784"/>
    <col min="4072" max="4072" width="16.5546875" style="1784" customWidth="1"/>
    <col min="4073" max="4073" width="11.5546875" style="1784"/>
    <col min="4074" max="4074" width="15.109375" style="1784" customWidth="1"/>
    <col min="4075" max="4075" width="11.88671875" style="1784" bestFit="1" customWidth="1"/>
    <col min="4076" max="4080" width="10.88671875" style="1784" customWidth="1"/>
    <col min="4081" max="4081" width="1.88671875" style="1784" customWidth="1"/>
    <col min="4082" max="4082" width="11.88671875" style="1784" customWidth="1"/>
    <col min="4083" max="4085" width="9.88671875" style="1784" customWidth="1"/>
    <col min="4086" max="4327" width="11.5546875" style="1784"/>
    <col min="4328" max="4328" width="16.5546875" style="1784" customWidth="1"/>
    <col min="4329" max="4329" width="11.5546875" style="1784"/>
    <col min="4330" max="4330" width="15.109375" style="1784" customWidth="1"/>
    <col min="4331" max="4331" width="11.88671875" style="1784" bestFit="1" customWidth="1"/>
    <col min="4332" max="4336" width="10.88671875" style="1784" customWidth="1"/>
    <col min="4337" max="4337" width="1.88671875" style="1784" customWidth="1"/>
    <col min="4338" max="4338" width="11.88671875" style="1784" customWidth="1"/>
    <col min="4339" max="4341" width="9.88671875" style="1784" customWidth="1"/>
    <col min="4342" max="4583" width="11.5546875" style="1784"/>
    <col min="4584" max="4584" width="16.5546875" style="1784" customWidth="1"/>
    <col min="4585" max="4585" width="11.5546875" style="1784"/>
    <col min="4586" max="4586" width="15.109375" style="1784" customWidth="1"/>
    <col min="4587" max="4587" width="11.88671875" style="1784" bestFit="1" customWidth="1"/>
    <col min="4588" max="4592" width="10.88671875" style="1784" customWidth="1"/>
    <col min="4593" max="4593" width="1.88671875" style="1784" customWidth="1"/>
    <col min="4594" max="4594" width="11.88671875" style="1784" customWidth="1"/>
    <col min="4595" max="4597" width="9.88671875" style="1784" customWidth="1"/>
    <col min="4598" max="4839" width="11.5546875" style="1784"/>
    <col min="4840" max="4840" width="16.5546875" style="1784" customWidth="1"/>
    <col min="4841" max="4841" width="11.5546875" style="1784"/>
    <col min="4842" max="4842" width="15.109375" style="1784" customWidth="1"/>
    <col min="4843" max="4843" width="11.88671875" style="1784" bestFit="1" customWidth="1"/>
    <col min="4844" max="4848" width="10.88671875" style="1784" customWidth="1"/>
    <col min="4849" max="4849" width="1.88671875" style="1784" customWidth="1"/>
    <col min="4850" max="4850" width="11.88671875" style="1784" customWidth="1"/>
    <col min="4851" max="4853" width="9.88671875" style="1784" customWidth="1"/>
    <col min="4854" max="5095" width="11.5546875" style="1784"/>
    <col min="5096" max="5096" width="16.5546875" style="1784" customWidth="1"/>
    <col min="5097" max="5097" width="11.5546875" style="1784"/>
    <col min="5098" max="5098" width="15.109375" style="1784" customWidth="1"/>
    <col min="5099" max="5099" width="11.88671875" style="1784" bestFit="1" customWidth="1"/>
    <col min="5100" max="5104" width="10.88671875" style="1784" customWidth="1"/>
    <col min="5105" max="5105" width="1.88671875" style="1784" customWidth="1"/>
    <col min="5106" max="5106" width="11.88671875" style="1784" customWidth="1"/>
    <col min="5107" max="5109" width="9.88671875" style="1784" customWidth="1"/>
    <col min="5110" max="5351" width="11.5546875" style="1784"/>
    <col min="5352" max="5352" width="16.5546875" style="1784" customWidth="1"/>
    <col min="5353" max="5353" width="11.5546875" style="1784"/>
    <col min="5354" max="5354" width="15.109375" style="1784" customWidth="1"/>
    <col min="5355" max="5355" width="11.88671875" style="1784" bestFit="1" customWidth="1"/>
    <col min="5356" max="5360" width="10.88671875" style="1784" customWidth="1"/>
    <col min="5361" max="5361" width="1.88671875" style="1784" customWidth="1"/>
    <col min="5362" max="5362" width="11.88671875" style="1784" customWidth="1"/>
    <col min="5363" max="5365" width="9.88671875" style="1784" customWidth="1"/>
    <col min="5366" max="5607" width="11.5546875" style="1784"/>
    <col min="5608" max="5608" width="16.5546875" style="1784" customWidth="1"/>
    <col min="5609" max="5609" width="11.5546875" style="1784"/>
    <col min="5610" max="5610" width="15.109375" style="1784" customWidth="1"/>
    <col min="5611" max="5611" width="11.88671875" style="1784" bestFit="1" customWidth="1"/>
    <col min="5612" max="5616" width="10.88671875" style="1784" customWidth="1"/>
    <col min="5617" max="5617" width="1.88671875" style="1784" customWidth="1"/>
    <col min="5618" max="5618" width="11.88671875" style="1784" customWidth="1"/>
    <col min="5619" max="5621" width="9.88671875" style="1784" customWidth="1"/>
    <col min="5622" max="5863" width="11.5546875" style="1784"/>
    <col min="5864" max="5864" width="16.5546875" style="1784" customWidth="1"/>
    <col min="5865" max="5865" width="11.5546875" style="1784"/>
    <col min="5866" max="5866" width="15.109375" style="1784" customWidth="1"/>
    <col min="5867" max="5867" width="11.88671875" style="1784" bestFit="1" customWidth="1"/>
    <col min="5868" max="5872" width="10.88671875" style="1784" customWidth="1"/>
    <col min="5873" max="5873" width="1.88671875" style="1784" customWidth="1"/>
    <col min="5874" max="5874" width="11.88671875" style="1784" customWidth="1"/>
    <col min="5875" max="5877" width="9.88671875" style="1784" customWidth="1"/>
    <col min="5878" max="6119" width="11.5546875" style="1784"/>
    <col min="6120" max="6120" width="16.5546875" style="1784" customWidth="1"/>
    <col min="6121" max="6121" width="11.5546875" style="1784"/>
    <col min="6122" max="6122" width="15.109375" style="1784" customWidth="1"/>
    <col min="6123" max="6123" width="11.88671875" style="1784" bestFit="1" customWidth="1"/>
    <col min="6124" max="6128" width="10.88671875" style="1784" customWidth="1"/>
    <col min="6129" max="6129" width="1.88671875" style="1784" customWidth="1"/>
    <col min="6130" max="6130" width="11.88671875" style="1784" customWidth="1"/>
    <col min="6131" max="6133" width="9.88671875" style="1784" customWidth="1"/>
    <col min="6134" max="6375" width="11.5546875" style="1784"/>
    <col min="6376" max="6376" width="16.5546875" style="1784" customWidth="1"/>
    <col min="6377" max="6377" width="11.5546875" style="1784"/>
    <col min="6378" max="6378" width="15.109375" style="1784" customWidth="1"/>
    <col min="6379" max="6379" width="11.88671875" style="1784" bestFit="1" customWidth="1"/>
    <col min="6380" max="6384" width="10.88671875" style="1784" customWidth="1"/>
    <col min="6385" max="6385" width="1.88671875" style="1784" customWidth="1"/>
    <col min="6386" max="6386" width="11.88671875" style="1784" customWidth="1"/>
    <col min="6387" max="6389" width="9.88671875" style="1784" customWidth="1"/>
    <col min="6390" max="6631" width="11.5546875" style="1784"/>
    <col min="6632" max="6632" width="16.5546875" style="1784" customWidth="1"/>
    <col min="6633" max="6633" width="11.5546875" style="1784"/>
    <col min="6634" max="6634" width="15.109375" style="1784" customWidth="1"/>
    <col min="6635" max="6635" width="11.88671875" style="1784" bestFit="1" customWidth="1"/>
    <col min="6636" max="6640" width="10.88671875" style="1784" customWidth="1"/>
    <col min="6641" max="6641" width="1.88671875" style="1784" customWidth="1"/>
    <col min="6642" max="6642" width="11.88671875" style="1784" customWidth="1"/>
    <col min="6643" max="6645" width="9.88671875" style="1784" customWidth="1"/>
    <col min="6646" max="6887" width="11.5546875" style="1784"/>
    <col min="6888" max="6888" width="16.5546875" style="1784" customWidth="1"/>
    <col min="6889" max="6889" width="11.5546875" style="1784"/>
    <col min="6890" max="6890" width="15.109375" style="1784" customWidth="1"/>
    <col min="6891" max="6891" width="11.88671875" style="1784" bestFit="1" customWidth="1"/>
    <col min="6892" max="6896" width="10.88671875" style="1784" customWidth="1"/>
    <col min="6897" max="6897" width="1.88671875" style="1784" customWidth="1"/>
    <col min="6898" max="6898" width="11.88671875" style="1784" customWidth="1"/>
    <col min="6899" max="6901" width="9.88671875" style="1784" customWidth="1"/>
    <col min="6902" max="7143" width="11.5546875" style="1784"/>
    <col min="7144" max="7144" width="16.5546875" style="1784" customWidth="1"/>
    <col min="7145" max="7145" width="11.5546875" style="1784"/>
    <col min="7146" max="7146" width="15.109375" style="1784" customWidth="1"/>
    <col min="7147" max="7147" width="11.88671875" style="1784" bestFit="1" customWidth="1"/>
    <col min="7148" max="7152" width="10.88671875" style="1784" customWidth="1"/>
    <col min="7153" max="7153" width="1.88671875" style="1784" customWidth="1"/>
    <col min="7154" max="7154" width="11.88671875" style="1784" customWidth="1"/>
    <col min="7155" max="7157" width="9.88671875" style="1784" customWidth="1"/>
    <col min="7158" max="7399" width="11.5546875" style="1784"/>
    <col min="7400" max="7400" width="16.5546875" style="1784" customWidth="1"/>
    <col min="7401" max="7401" width="11.5546875" style="1784"/>
    <col min="7402" max="7402" width="15.109375" style="1784" customWidth="1"/>
    <col min="7403" max="7403" width="11.88671875" style="1784" bestFit="1" customWidth="1"/>
    <col min="7404" max="7408" width="10.88671875" style="1784" customWidth="1"/>
    <col min="7409" max="7409" width="1.88671875" style="1784" customWidth="1"/>
    <col min="7410" max="7410" width="11.88671875" style="1784" customWidth="1"/>
    <col min="7411" max="7413" width="9.88671875" style="1784" customWidth="1"/>
    <col min="7414" max="7655" width="11.5546875" style="1784"/>
    <col min="7656" max="7656" width="16.5546875" style="1784" customWidth="1"/>
    <col min="7657" max="7657" width="11.5546875" style="1784"/>
    <col min="7658" max="7658" width="15.109375" style="1784" customWidth="1"/>
    <col min="7659" max="7659" width="11.88671875" style="1784" bestFit="1" customWidth="1"/>
    <col min="7660" max="7664" width="10.88671875" style="1784" customWidth="1"/>
    <col min="7665" max="7665" width="1.88671875" style="1784" customWidth="1"/>
    <col min="7666" max="7666" width="11.88671875" style="1784" customWidth="1"/>
    <col min="7667" max="7669" width="9.88671875" style="1784" customWidth="1"/>
    <col min="7670" max="7911" width="11.5546875" style="1784"/>
    <col min="7912" max="7912" width="16.5546875" style="1784" customWidth="1"/>
    <col min="7913" max="7913" width="11.5546875" style="1784"/>
    <col min="7914" max="7914" width="15.109375" style="1784" customWidth="1"/>
    <col min="7915" max="7915" width="11.88671875" style="1784" bestFit="1" customWidth="1"/>
    <col min="7916" max="7920" width="10.88671875" style="1784" customWidth="1"/>
    <col min="7921" max="7921" width="1.88671875" style="1784" customWidth="1"/>
    <col min="7922" max="7922" width="11.88671875" style="1784" customWidth="1"/>
    <col min="7923" max="7925" width="9.88671875" style="1784" customWidth="1"/>
    <col min="7926" max="8167" width="11.5546875" style="1784"/>
    <col min="8168" max="8168" width="16.5546875" style="1784" customWidth="1"/>
    <col min="8169" max="8169" width="11.5546875" style="1784"/>
    <col min="8170" max="8170" width="15.109375" style="1784" customWidth="1"/>
    <col min="8171" max="8171" width="11.88671875" style="1784" bestFit="1" customWidth="1"/>
    <col min="8172" max="8176" width="10.88671875" style="1784" customWidth="1"/>
    <col min="8177" max="8177" width="1.88671875" style="1784" customWidth="1"/>
    <col min="8178" max="8178" width="11.88671875" style="1784" customWidth="1"/>
    <col min="8179" max="8181" width="9.88671875" style="1784" customWidth="1"/>
    <col min="8182" max="8423" width="11.5546875" style="1784"/>
    <col min="8424" max="8424" width="16.5546875" style="1784" customWidth="1"/>
    <col min="8425" max="8425" width="11.5546875" style="1784"/>
    <col min="8426" max="8426" width="15.109375" style="1784" customWidth="1"/>
    <col min="8427" max="8427" width="11.88671875" style="1784" bestFit="1" customWidth="1"/>
    <col min="8428" max="8432" width="10.88671875" style="1784" customWidth="1"/>
    <col min="8433" max="8433" width="1.88671875" style="1784" customWidth="1"/>
    <col min="8434" max="8434" width="11.88671875" style="1784" customWidth="1"/>
    <col min="8435" max="8437" width="9.88671875" style="1784" customWidth="1"/>
    <col min="8438" max="8679" width="11.5546875" style="1784"/>
    <col min="8680" max="8680" width="16.5546875" style="1784" customWidth="1"/>
    <col min="8681" max="8681" width="11.5546875" style="1784"/>
    <col min="8682" max="8682" width="15.109375" style="1784" customWidth="1"/>
    <col min="8683" max="8683" width="11.88671875" style="1784" bestFit="1" customWidth="1"/>
    <col min="8684" max="8688" width="10.88671875" style="1784" customWidth="1"/>
    <col min="8689" max="8689" width="1.88671875" style="1784" customWidth="1"/>
    <col min="8690" max="8690" width="11.88671875" style="1784" customWidth="1"/>
    <col min="8691" max="8693" width="9.88671875" style="1784" customWidth="1"/>
    <col min="8694" max="8935" width="11.5546875" style="1784"/>
    <col min="8936" max="8936" width="16.5546875" style="1784" customWidth="1"/>
    <col min="8937" max="8937" width="11.5546875" style="1784"/>
    <col min="8938" max="8938" width="15.109375" style="1784" customWidth="1"/>
    <col min="8939" max="8939" width="11.88671875" style="1784" bestFit="1" customWidth="1"/>
    <col min="8940" max="8944" width="10.88671875" style="1784" customWidth="1"/>
    <col min="8945" max="8945" width="1.88671875" style="1784" customWidth="1"/>
    <col min="8946" max="8946" width="11.88671875" style="1784" customWidth="1"/>
    <col min="8947" max="8949" width="9.88671875" style="1784" customWidth="1"/>
    <col min="8950" max="9191" width="11.5546875" style="1784"/>
    <col min="9192" max="9192" width="16.5546875" style="1784" customWidth="1"/>
    <col min="9193" max="9193" width="11.5546875" style="1784"/>
    <col min="9194" max="9194" width="15.109375" style="1784" customWidth="1"/>
    <col min="9195" max="9195" width="11.88671875" style="1784" bestFit="1" customWidth="1"/>
    <col min="9196" max="9200" width="10.88671875" style="1784" customWidth="1"/>
    <col min="9201" max="9201" width="1.88671875" style="1784" customWidth="1"/>
    <col min="9202" max="9202" width="11.88671875" style="1784" customWidth="1"/>
    <col min="9203" max="9205" width="9.88671875" style="1784" customWidth="1"/>
    <col min="9206" max="9447" width="11.5546875" style="1784"/>
    <col min="9448" max="9448" width="16.5546875" style="1784" customWidth="1"/>
    <col min="9449" max="9449" width="11.5546875" style="1784"/>
    <col min="9450" max="9450" width="15.109375" style="1784" customWidth="1"/>
    <col min="9451" max="9451" width="11.88671875" style="1784" bestFit="1" customWidth="1"/>
    <col min="9452" max="9456" width="10.88671875" style="1784" customWidth="1"/>
    <col min="9457" max="9457" width="1.88671875" style="1784" customWidth="1"/>
    <col min="9458" max="9458" width="11.88671875" style="1784" customWidth="1"/>
    <col min="9459" max="9461" width="9.88671875" style="1784" customWidth="1"/>
    <col min="9462" max="9703" width="11.5546875" style="1784"/>
    <col min="9704" max="9704" width="16.5546875" style="1784" customWidth="1"/>
    <col min="9705" max="9705" width="11.5546875" style="1784"/>
    <col min="9706" max="9706" width="15.109375" style="1784" customWidth="1"/>
    <col min="9707" max="9707" width="11.88671875" style="1784" bestFit="1" customWidth="1"/>
    <col min="9708" max="9712" width="10.88671875" style="1784" customWidth="1"/>
    <col min="9713" max="9713" width="1.88671875" style="1784" customWidth="1"/>
    <col min="9714" max="9714" width="11.88671875" style="1784" customWidth="1"/>
    <col min="9715" max="9717" width="9.88671875" style="1784" customWidth="1"/>
    <col min="9718" max="9959" width="11.5546875" style="1784"/>
    <col min="9960" max="9960" width="16.5546875" style="1784" customWidth="1"/>
    <col min="9961" max="9961" width="11.5546875" style="1784"/>
    <col min="9962" max="9962" width="15.109375" style="1784" customWidth="1"/>
    <col min="9963" max="9963" width="11.88671875" style="1784" bestFit="1" customWidth="1"/>
    <col min="9964" max="9968" width="10.88671875" style="1784" customWidth="1"/>
    <col min="9969" max="9969" width="1.88671875" style="1784" customWidth="1"/>
    <col min="9970" max="9970" width="11.88671875" style="1784" customWidth="1"/>
    <col min="9971" max="9973" width="9.88671875" style="1784" customWidth="1"/>
    <col min="9974" max="10215" width="11.5546875" style="1784"/>
    <col min="10216" max="10216" width="16.5546875" style="1784" customWidth="1"/>
    <col min="10217" max="10217" width="11.5546875" style="1784"/>
    <col min="10218" max="10218" width="15.109375" style="1784" customWidth="1"/>
    <col min="10219" max="10219" width="11.88671875" style="1784" bestFit="1" customWidth="1"/>
    <col min="10220" max="10224" width="10.88671875" style="1784" customWidth="1"/>
    <col min="10225" max="10225" width="1.88671875" style="1784" customWidth="1"/>
    <col min="10226" max="10226" width="11.88671875" style="1784" customWidth="1"/>
    <col min="10227" max="10229" width="9.88671875" style="1784" customWidth="1"/>
    <col min="10230" max="10471" width="11.5546875" style="1784"/>
    <col min="10472" max="10472" width="16.5546875" style="1784" customWidth="1"/>
    <col min="10473" max="10473" width="11.5546875" style="1784"/>
    <col min="10474" max="10474" width="15.109375" style="1784" customWidth="1"/>
    <col min="10475" max="10475" width="11.88671875" style="1784" bestFit="1" customWidth="1"/>
    <col min="10476" max="10480" width="10.88671875" style="1784" customWidth="1"/>
    <col min="10481" max="10481" width="1.88671875" style="1784" customWidth="1"/>
    <col min="10482" max="10482" width="11.88671875" style="1784" customWidth="1"/>
    <col min="10483" max="10485" width="9.88671875" style="1784" customWidth="1"/>
    <col min="10486" max="10727" width="11.5546875" style="1784"/>
    <col min="10728" max="10728" width="16.5546875" style="1784" customWidth="1"/>
    <col min="10729" max="10729" width="11.5546875" style="1784"/>
    <col min="10730" max="10730" width="15.109375" style="1784" customWidth="1"/>
    <col min="10731" max="10731" width="11.88671875" style="1784" bestFit="1" customWidth="1"/>
    <col min="10732" max="10736" width="10.88671875" style="1784" customWidth="1"/>
    <col min="10737" max="10737" width="1.88671875" style="1784" customWidth="1"/>
    <col min="10738" max="10738" width="11.88671875" style="1784" customWidth="1"/>
    <col min="10739" max="10741" width="9.88671875" style="1784" customWidth="1"/>
    <col min="10742" max="10983" width="11.5546875" style="1784"/>
    <col min="10984" max="10984" width="16.5546875" style="1784" customWidth="1"/>
    <col min="10985" max="10985" width="11.5546875" style="1784"/>
    <col min="10986" max="10986" width="15.109375" style="1784" customWidth="1"/>
    <col min="10987" max="10987" width="11.88671875" style="1784" bestFit="1" customWidth="1"/>
    <col min="10988" max="10992" width="10.88671875" style="1784" customWidth="1"/>
    <col min="10993" max="10993" width="1.88671875" style="1784" customWidth="1"/>
    <col min="10994" max="10994" width="11.88671875" style="1784" customWidth="1"/>
    <col min="10995" max="10997" width="9.88671875" style="1784" customWidth="1"/>
    <col min="10998" max="11239" width="11.5546875" style="1784"/>
    <col min="11240" max="11240" width="16.5546875" style="1784" customWidth="1"/>
    <col min="11241" max="11241" width="11.5546875" style="1784"/>
    <col min="11242" max="11242" width="15.109375" style="1784" customWidth="1"/>
    <col min="11243" max="11243" width="11.88671875" style="1784" bestFit="1" customWidth="1"/>
    <col min="11244" max="11248" width="10.88671875" style="1784" customWidth="1"/>
    <col min="11249" max="11249" width="1.88671875" style="1784" customWidth="1"/>
    <col min="11250" max="11250" width="11.88671875" style="1784" customWidth="1"/>
    <col min="11251" max="11253" width="9.88671875" style="1784" customWidth="1"/>
    <col min="11254" max="11495" width="11.5546875" style="1784"/>
    <col min="11496" max="11496" width="16.5546875" style="1784" customWidth="1"/>
    <col min="11497" max="11497" width="11.5546875" style="1784"/>
    <col min="11498" max="11498" width="15.109375" style="1784" customWidth="1"/>
    <col min="11499" max="11499" width="11.88671875" style="1784" bestFit="1" customWidth="1"/>
    <col min="11500" max="11504" width="10.88671875" style="1784" customWidth="1"/>
    <col min="11505" max="11505" width="1.88671875" style="1784" customWidth="1"/>
    <col min="11506" max="11506" width="11.88671875" style="1784" customWidth="1"/>
    <col min="11507" max="11509" width="9.88671875" style="1784" customWidth="1"/>
    <col min="11510" max="11751" width="11.5546875" style="1784"/>
    <col min="11752" max="11752" width="16.5546875" style="1784" customWidth="1"/>
    <col min="11753" max="11753" width="11.5546875" style="1784"/>
    <col min="11754" max="11754" width="15.109375" style="1784" customWidth="1"/>
    <col min="11755" max="11755" width="11.88671875" style="1784" bestFit="1" customWidth="1"/>
    <col min="11756" max="11760" width="10.88671875" style="1784" customWidth="1"/>
    <col min="11761" max="11761" width="1.88671875" style="1784" customWidth="1"/>
    <col min="11762" max="11762" width="11.88671875" style="1784" customWidth="1"/>
    <col min="11763" max="11765" width="9.88671875" style="1784" customWidth="1"/>
    <col min="11766" max="12007" width="11.5546875" style="1784"/>
    <col min="12008" max="12008" width="16.5546875" style="1784" customWidth="1"/>
    <col min="12009" max="12009" width="11.5546875" style="1784"/>
    <col min="12010" max="12010" width="15.109375" style="1784" customWidth="1"/>
    <col min="12011" max="12011" width="11.88671875" style="1784" bestFit="1" customWidth="1"/>
    <col min="12012" max="12016" width="10.88671875" style="1784" customWidth="1"/>
    <col min="12017" max="12017" width="1.88671875" style="1784" customWidth="1"/>
    <col min="12018" max="12018" width="11.88671875" style="1784" customWidth="1"/>
    <col min="12019" max="12021" width="9.88671875" style="1784" customWidth="1"/>
    <col min="12022" max="12263" width="11.5546875" style="1784"/>
    <col min="12264" max="12264" width="16.5546875" style="1784" customWidth="1"/>
    <col min="12265" max="12265" width="11.5546875" style="1784"/>
    <col min="12266" max="12266" width="15.109375" style="1784" customWidth="1"/>
    <col min="12267" max="12267" width="11.88671875" style="1784" bestFit="1" customWidth="1"/>
    <col min="12268" max="12272" width="10.88671875" style="1784" customWidth="1"/>
    <col min="12273" max="12273" width="1.88671875" style="1784" customWidth="1"/>
    <col min="12274" max="12274" width="11.88671875" style="1784" customWidth="1"/>
    <col min="12275" max="12277" width="9.88671875" style="1784" customWidth="1"/>
    <col min="12278" max="12519" width="11.5546875" style="1784"/>
    <col min="12520" max="12520" width="16.5546875" style="1784" customWidth="1"/>
    <col min="12521" max="12521" width="11.5546875" style="1784"/>
    <col min="12522" max="12522" width="15.109375" style="1784" customWidth="1"/>
    <col min="12523" max="12523" width="11.88671875" style="1784" bestFit="1" customWidth="1"/>
    <col min="12524" max="12528" width="10.88671875" style="1784" customWidth="1"/>
    <col min="12529" max="12529" width="1.88671875" style="1784" customWidth="1"/>
    <col min="12530" max="12530" width="11.88671875" style="1784" customWidth="1"/>
    <col min="12531" max="12533" width="9.88671875" style="1784" customWidth="1"/>
    <col min="12534" max="12775" width="11.5546875" style="1784"/>
    <col min="12776" max="12776" width="16.5546875" style="1784" customWidth="1"/>
    <col min="12777" max="12777" width="11.5546875" style="1784"/>
    <col min="12778" max="12778" width="15.109375" style="1784" customWidth="1"/>
    <col min="12779" max="12779" width="11.88671875" style="1784" bestFit="1" customWidth="1"/>
    <col min="12780" max="12784" width="10.88671875" style="1784" customWidth="1"/>
    <col min="12785" max="12785" width="1.88671875" style="1784" customWidth="1"/>
    <col min="12786" max="12786" width="11.88671875" style="1784" customWidth="1"/>
    <col min="12787" max="12789" width="9.88671875" style="1784" customWidth="1"/>
    <col min="12790" max="13031" width="11.5546875" style="1784"/>
    <col min="13032" max="13032" width="16.5546875" style="1784" customWidth="1"/>
    <col min="13033" max="13033" width="11.5546875" style="1784"/>
    <col min="13034" max="13034" width="15.109375" style="1784" customWidth="1"/>
    <col min="13035" max="13035" width="11.88671875" style="1784" bestFit="1" customWidth="1"/>
    <col min="13036" max="13040" width="10.88671875" style="1784" customWidth="1"/>
    <col min="13041" max="13041" width="1.88671875" style="1784" customWidth="1"/>
    <col min="13042" max="13042" width="11.88671875" style="1784" customWidth="1"/>
    <col min="13043" max="13045" width="9.88671875" style="1784" customWidth="1"/>
    <col min="13046" max="13287" width="11.5546875" style="1784"/>
    <col min="13288" max="13288" width="16.5546875" style="1784" customWidth="1"/>
    <col min="13289" max="13289" width="11.5546875" style="1784"/>
    <col min="13290" max="13290" width="15.109375" style="1784" customWidth="1"/>
    <col min="13291" max="13291" width="11.88671875" style="1784" bestFit="1" customWidth="1"/>
    <col min="13292" max="13296" width="10.88671875" style="1784" customWidth="1"/>
    <col min="13297" max="13297" width="1.88671875" style="1784" customWidth="1"/>
    <col min="13298" max="13298" width="11.88671875" style="1784" customWidth="1"/>
    <col min="13299" max="13301" width="9.88671875" style="1784" customWidth="1"/>
    <col min="13302" max="13543" width="11.5546875" style="1784"/>
    <col min="13544" max="13544" width="16.5546875" style="1784" customWidth="1"/>
    <col min="13545" max="13545" width="11.5546875" style="1784"/>
    <col min="13546" max="13546" width="15.109375" style="1784" customWidth="1"/>
    <col min="13547" max="13547" width="11.88671875" style="1784" bestFit="1" customWidth="1"/>
    <col min="13548" max="13552" width="10.88671875" style="1784" customWidth="1"/>
    <col min="13553" max="13553" width="1.88671875" style="1784" customWidth="1"/>
    <col min="13554" max="13554" width="11.88671875" style="1784" customWidth="1"/>
    <col min="13555" max="13557" width="9.88671875" style="1784" customWidth="1"/>
    <col min="13558" max="13799" width="11.5546875" style="1784"/>
    <col min="13800" max="13800" width="16.5546875" style="1784" customWidth="1"/>
    <col min="13801" max="13801" width="11.5546875" style="1784"/>
    <col min="13802" max="13802" width="15.109375" style="1784" customWidth="1"/>
    <col min="13803" max="13803" width="11.88671875" style="1784" bestFit="1" customWidth="1"/>
    <col min="13804" max="13808" width="10.88671875" style="1784" customWidth="1"/>
    <col min="13809" max="13809" width="1.88671875" style="1784" customWidth="1"/>
    <col min="13810" max="13810" width="11.88671875" style="1784" customWidth="1"/>
    <col min="13811" max="13813" width="9.88671875" style="1784" customWidth="1"/>
    <col min="13814" max="14055" width="11.5546875" style="1784"/>
    <col min="14056" max="14056" width="16.5546875" style="1784" customWidth="1"/>
    <col min="14057" max="14057" width="11.5546875" style="1784"/>
    <col min="14058" max="14058" width="15.109375" style="1784" customWidth="1"/>
    <col min="14059" max="14059" width="11.88671875" style="1784" bestFit="1" customWidth="1"/>
    <col min="14060" max="14064" width="10.88671875" style="1784" customWidth="1"/>
    <col min="14065" max="14065" width="1.88671875" style="1784" customWidth="1"/>
    <col min="14066" max="14066" width="11.88671875" style="1784" customWidth="1"/>
    <col min="14067" max="14069" width="9.88671875" style="1784" customWidth="1"/>
    <col min="14070" max="14311" width="11.5546875" style="1784"/>
    <col min="14312" max="14312" width="16.5546875" style="1784" customWidth="1"/>
    <col min="14313" max="14313" width="11.5546875" style="1784"/>
    <col min="14314" max="14314" width="15.109375" style="1784" customWidth="1"/>
    <col min="14315" max="14315" width="11.88671875" style="1784" bestFit="1" customWidth="1"/>
    <col min="14316" max="14320" width="10.88671875" style="1784" customWidth="1"/>
    <col min="14321" max="14321" width="1.88671875" style="1784" customWidth="1"/>
    <col min="14322" max="14322" width="11.88671875" style="1784" customWidth="1"/>
    <col min="14323" max="14325" width="9.88671875" style="1784" customWidth="1"/>
    <col min="14326" max="14567" width="11.5546875" style="1784"/>
    <col min="14568" max="14568" width="16.5546875" style="1784" customWidth="1"/>
    <col min="14569" max="14569" width="11.5546875" style="1784"/>
    <col min="14570" max="14570" width="15.109375" style="1784" customWidth="1"/>
    <col min="14571" max="14571" width="11.88671875" style="1784" bestFit="1" customWidth="1"/>
    <col min="14572" max="14576" width="10.88671875" style="1784" customWidth="1"/>
    <col min="14577" max="14577" width="1.88671875" style="1784" customWidth="1"/>
    <col min="14578" max="14578" width="11.88671875" style="1784" customWidth="1"/>
    <col min="14579" max="14581" width="9.88671875" style="1784" customWidth="1"/>
    <col min="14582" max="14823" width="11.5546875" style="1784"/>
    <col min="14824" max="14824" width="16.5546875" style="1784" customWidth="1"/>
    <col min="14825" max="14825" width="11.5546875" style="1784"/>
    <col min="14826" max="14826" width="15.109375" style="1784" customWidth="1"/>
    <col min="14827" max="14827" width="11.88671875" style="1784" bestFit="1" customWidth="1"/>
    <col min="14828" max="14832" width="10.88671875" style="1784" customWidth="1"/>
    <col min="14833" max="14833" width="1.88671875" style="1784" customWidth="1"/>
    <col min="14834" max="14834" width="11.88671875" style="1784" customWidth="1"/>
    <col min="14835" max="14837" width="9.88671875" style="1784" customWidth="1"/>
    <col min="14838" max="15079" width="11.5546875" style="1784"/>
    <col min="15080" max="15080" width="16.5546875" style="1784" customWidth="1"/>
    <col min="15081" max="15081" width="11.5546875" style="1784"/>
    <col min="15082" max="15082" width="15.109375" style="1784" customWidth="1"/>
    <col min="15083" max="15083" width="11.88671875" style="1784" bestFit="1" customWidth="1"/>
    <col min="15084" max="15088" width="10.88671875" style="1784" customWidth="1"/>
    <col min="15089" max="15089" width="1.88671875" style="1784" customWidth="1"/>
    <col min="15090" max="15090" width="11.88671875" style="1784" customWidth="1"/>
    <col min="15091" max="15093" width="9.88671875" style="1784" customWidth="1"/>
    <col min="15094" max="15335" width="11.5546875" style="1784"/>
    <col min="15336" max="15336" width="16.5546875" style="1784" customWidth="1"/>
    <col min="15337" max="15337" width="11.5546875" style="1784"/>
    <col min="15338" max="15338" width="15.109375" style="1784" customWidth="1"/>
    <col min="15339" max="15339" width="11.88671875" style="1784" bestFit="1" customWidth="1"/>
    <col min="15340" max="15344" width="10.88671875" style="1784" customWidth="1"/>
    <col min="15345" max="15345" width="1.88671875" style="1784" customWidth="1"/>
    <col min="15346" max="15346" width="11.88671875" style="1784" customWidth="1"/>
    <col min="15347" max="15349" width="9.88671875" style="1784" customWidth="1"/>
    <col min="15350" max="15591" width="11.5546875" style="1784"/>
    <col min="15592" max="15592" width="16.5546875" style="1784" customWidth="1"/>
    <col min="15593" max="15593" width="11.5546875" style="1784"/>
    <col min="15594" max="15594" width="15.109375" style="1784" customWidth="1"/>
    <col min="15595" max="15595" width="11.88671875" style="1784" bestFit="1" customWidth="1"/>
    <col min="15596" max="15600" width="10.88671875" style="1784" customWidth="1"/>
    <col min="15601" max="15601" width="1.88671875" style="1784" customWidth="1"/>
    <col min="15602" max="15602" width="11.88671875" style="1784" customWidth="1"/>
    <col min="15603" max="15605" width="9.88671875" style="1784" customWidth="1"/>
    <col min="15606" max="15847" width="11.5546875" style="1784"/>
    <col min="15848" max="15848" width="16.5546875" style="1784" customWidth="1"/>
    <col min="15849" max="15849" width="11.5546875" style="1784"/>
    <col min="15850" max="15850" width="15.109375" style="1784" customWidth="1"/>
    <col min="15851" max="15851" width="11.88671875" style="1784" bestFit="1" customWidth="1"/>
    <col min="15852" max="15856" width="10.88671875" style="1784" customWidth="1"/>
    <col min="15857" max="15857" width="1.88671875" style="1784" customWidth="1"/>
    <col min="15858" max="15858" width="11.88671875" style="1784" customWidth="1"/>
    <col min="15859" max="15861" width="9.88671875" style="1784" customWidth="1"/>
    <col min="15862" max="16103" width="11.5546875" style="1784"/>
    <col min="16104" max="16104" width="16.5546875" style="1784" customWidth="1"/>
    <col min="16105" max="16105" width="11.5546875" style="1784"/>
    <col min="16106" max="16106" width="15.109375" style="1784" customWidth="1"/>
    <col min="16107" max="16107" width="11.88671875" style="1784" bestFit="1" customWidth="1"/>
    <col min="16108" max="16112" width="10.88671875" style="1784" customWidth="1"/>
    <col min="16113" max="16113" width="1.88671875" style="1784" customWidth="1"/>
    <col min="16114" max="16114" width="11.88671875" style="1784" customWidth="1"/>
    <col min="16115" max="16117" width="9.88671875" style="1784" customWidth="1"/>
    <col min="16118" max="16381" width="11.5546875" style="1784"/>
    <col min="16382" max="16384" width="11.44140625" style="1784" customWidth="1"/>
  </cols>
  <sheetData>
    <row r="1" spans="2:18" ht="18" x14ac:dyDescent="0.35">
      <c r="B1" s="1862" t="s">
        <v>554</v>
      </c>
      <c r="C1" s="1862"/>
      <c r="D1" s="1862"/>
      <c r="E1" s="1862"/>
      <c r="F1" s="1862"/>
      <c r="G1" s="1862"/>
      <c r="H1" s="1862"/>
      <c r="I1" s="1862"/>
      <c r="J1" s="1862"/>
      <c r="K1" s="1862"/>
      <c r="L1" s="1862"/>
    </row>
    <row r="2" spans="2:18" ht="18" x14ac:dyDescent="0.35">
      <c r="B2" s="1862"/>
      <c r="C2" s="1862"/>
      <c r="D2" s="1862"/>
      <c r="E2" s="1862"/>
      <c r="F2" s="1862"/>
      <c r="G2" s="1862"/>
      <c r="H2" s="1862"/>
      <c r="I2" s="1862"/>
      <c r="J2" s="1862"/>
      <c r="K2" s="1862"/>
      <c r="L2" s="1862"/>
    </row>
    <row r="3" spans="2:18" ht="18" x14ac:dyDescent="0.35">
      <c r="B3" s="1862"/>
      <c r="C3" s="1862"/>
      <c r="D3" s="1862"/>
      <c r="E3" s="1862"/>
      <c r="F3" s="1862"/>
      <c r="G3" s="1862"/>
      <c r="H3" s="1862"/>
      <c r="I3" s="1862"/>
      <c r="J3" s="1862"/>
      <c r="K3" s="1862"/>
      <c r="L3" s="1862"/>
    </row>
    <row r="4" spans="2:18" ht="15" customHeight="1" x14ac:dyDescent="0.3">
      <c r="B4" s="5770" t="s">
        <v>267</v>
      </c>
      <c r="C4" s="5948" t="s">
        <v>1568</v>
      </c>
      <c r="D4" s="5948"/>
      <c r="E4" s="5948"/>
      <c r="F4" s="5948"/>
      <c r="G4" s="5948" t="s">
        <v>1582</v>
      </c>
      <c r="H4" s="5948"/>
      <c r="I4" s="5948"/>
      <c r="J4" s="5948"/>
      <c r="K4" s="5948"/>
      <c r="L4" s="5948" t="s">
        <v>1583</v>
      </c>
      <c r="M4" s="5948"/>
      <c r="N4" s="5948"/>
      <c r="O4" s="5948"/>
      <c r="P4" s="5948"/>
      <c r="Q4" s="5948" t="s">
        <v>558</v>
      </c>
      <c r="R4" s="5948"/>
    </row>
    <row r="5" spans="2:18" ht="28.2" thickBot="1" x14ac:dyDescent="0.35">
      <c r="B5" s="5771"/>
      <c r="C5" s="5215" t="s">
        <v>463</v>
      </c>
      <c r="D5" s="5215" t="s">
        <v>517</v>
      </c>
      <c r="E5" s="5215" t="s">
        <v>1567</v>
      </c>
      <c r="F5" s="4561" t="s">
        <v>48</v>
      </c>
      <c r="G5" s="5215" t="s">
        <v>463</v>
      </c>
      <c r="H5" s="5215" t="s">
        <v>517</v>
      </c>
      <c r="I5" s="5215" t="s">
        <v>1567</v>
      </c>
      <c r="J5" s="5216" t="s">
        <v>48</v>
      </c>
      <c r="K5" s="5217" t="s">
        <v>272</v>
      </c>
      <c r="L5" s="4560" t="s">
        <v>542</v>
      </c>
      <c r="M5" s="4560" t="s">
        <v>523</v>
      </c>
      <c r="N5" s="4560" t="s">
        <v>524</v>
      </c>
      <c r="O5" s="4560" t="s">
        <v>525</v>
      </c>
      <c r="P5" s="4561" t="s">
        <v>48</v>
      </c>
      <c r="Q5" s="5191" t="s">
        <v>48</v>
      </c>
      <c r="R5" s="4562" t="s">
        <v>272</v>
      </c>
    </row>
    <row r="6" spans="2:18" x14ac:dyDescent="0.3">
      <c r="B6" s="1111"/>
      <c r="C6" s="1111"/>
      <c r="D6" s="1111"/>
      <c r="E6" s="1111"/>
      <c r="F6" s="1111"/>
      <c r="G6" s="4563"/>
      <c r="H6" s="4563"/>
      <c r="I6" s="4563"/>
      <c r="J6" s="4563"/>
      <c r="K6" s="4563"/>
      <c r="L6" s="1111"/>
      <c r="M6" s="5202"/>
      <c r="N6" s="5202"/>
      <c r="O6" s="5202"/>
      <c r="P6" s="4564"/>
      <c r="Q6" s="4565"/>
      <c r="R6" s="1241"/>
    </row>
    <row r="7" spans="2:18" x14ac:dyDescent="0.3">
      <c r="B7" s="4566" t="s">
        <v>59</v>
      </c>
      <c r="C7" s="5218"/>
      <c r="D7" s="5219">
        <v>6</v>
      </c>
      <c r="E7" s="5219">
        <v>4</v>
      </c>
      <c r="F7" s="4569">
        <f>SUM(C7,D7,E7)</f>
        <v>10</v>
      </c>
      <c r="G7" s="5220"/>
      <c r="H7" s="5219">
        <v>6</v>
      </c>
      <c r="I7" s="5221">
        <v>4</v>
      </c>
      <c r="J7" s="4572">
        <f>SUM(G7,H7,I7)</f>
        <v>10</v>
      </c>
      <c r="K7" s="5222">
        <f>+J7/F7</f>
        <v>1</v>
      </c>
      <c r="L7" s="4573"/>
      <c r="M7" s="4574">
        <v>4</v>
      </c>
      <c r="N7" s="4574">
        <v>3</v>
      </c>
      <c r="O7" s="4575">
        <v>3</v>
      </c>
      <c r="P7" s="4576">
        <f>SUM(L7:O7)</f>
        <v>10</v>
      </c>
      <c r="Q7" s="4574">
        <f>F7-J7</f>
        <v>0</v>
      </c>
      <c r="R7" s="5223">
        <f>1-K7</f>
        <v>0</v>
      </c>
    </row>
    <row r="8" spans="2:18" x14ac:dyDescent="0.3">
      <c r="B8" s="4577" t="s">
        <v>64</v>
      </c>
      <c r="C8" s="5224">
        <v>4</v>
      </c>
      <c r="D8" s="5225">
        <v>6</v>
      </c>
      <c r="E8" s="5225">
        <v>3</v>
      </c>
      <c r="F8" s="4569">
        <f>SUM(C8,D8,E8)</f>
        <v>13</v>
      </c>
      <c r="G8" s="5226">
        <v>3</v>
      </c>
      <c r="H8" s="5225">
        <v>6</v>
      </c>
      <c r="I8" s="5227">
        <v>3</v>
      </c>
      <c r="J8" s="4572">
        <f>SUM(G8,H8,I8)</f>
        <v>12</v>
      </c>
      <c r="K8" s="5228">
        <f>+J8/F8</f>
        <v>0.92307692307692313</v>
      </c>
      <c r="L8" s="4582"/>
      <c r="M8" s="4583">
        <v>6</v>
      </c>
      <c r="N8" s="4584">
        <v>2</v>
      </c>
      <c r="O8" s="4583">
        <v>4</v>
      </c>
      <c r="P8" s="4585">
        <f>SUM(L8:O8)</f>
        <v>12</v>
      </c>
      <c r="Q8" s="4574">
        <f>F8-J8</f>
        <v>1</v>
      </c>
      <c r="R8" s="5229">
        <f>1-K8</f>
        <v>7.6923076923076872E-2</v>
      </c>
    </row>
    <row r="9" spans="2:18" x14ac:dyDescent="0.3">
      <c r="B9" s="4577" t="s">
        <v>68</v>
      </c>
      <c r="C9" s="5224">
        <v>2</v>
      </c>
      <c r="D9" s="5225">
        <v>6</v>
      </c>
      <c r="E9" s="5225">
        <v>6</v>
      </c>
      <c r="F9" s="4569">
        <f>SUM(C9,D9,E9)</f>
        <v>14</v>
      </c>
      <c r="G9" s="5226">
        <v>2</v>
      </c>
      <c r="H9" s="5225">
        <v>6</v>
      </c>
      <c r="I9" s="5227">
        <v>6</v>
      </c>
      <c r="J9" s="4572">
        <f>SUM(G9,H9,I9)</f>
        <v>14</v>
      </c>
      <c r="K9" s="5228">
        <f>+J9/F9</f>
        <v>1</v>
      </c>
      <c r="L9" s="4582"/>
      <c r="M9" s="4583"/>
      <c r="N9" s="4583">
        <v>3</v>
      </c>
      <c r="O9" s="4583">
        <v>11</v>
      </c>
      <c r="P9" s="4585">
        <f>SUM(L9:O9)</f>
        <v>14</v>
      </c>
      <c r="Q9" s="4574">
        <f>F9-J9</f>
        <v>0</v>
      </c>
      <c r="R9" s="5229">
        <f>1-K9</f>
        <v>0</v>
      </c>
    </row>
    <row r="10" spans="2:18" x14ac:dyDescent="0.3">
      <c r="B10" s="1124" t="s">
        <v>138</v>
      </c>
      <c r="C10" s="4586">
        <f t="shared" ref="C10:J10" si="0">SUM(C7:C9)</f>
        <v>6</v>
      </c>
      <c r="D10" s="4587">
        <f t="shared" si="0"/>
        <v>18</v>
      </c>
      <c r="E10" s="4587">
        <f t="shared" si="0"/>
        <v>13</v>
      </c>
      <c r="F10" s="4588">
        <f t="shared" si="0"/>
        <v>37</v>
      </c>
      <c r="G10" s="4589">
        <f t="shared" si="0"/>
        <v>5</v>
      </c>
      <c r="H10" s="4587">
        <f t="shared" si="0"/>
        <v>18</v>
      </c>
      <c r="I10" s="4590">
        <f t="shared" si="0"/>
        <v>13</v>
      </c>
      <c r="J10" s="4591">
        <f t="shared" si="0"/>
        <v>36</v>
      </c>
      <c r="K10" s="5230">
        <f>+J10/F10</f>
        <v>0.97297297297297303</v>
      </c>
      <c r="L10" s="4592">
        <f t="shared" ref="L10:Q10" si="1">SUM(L7:L9)</f>
        <v>0</v>
      </c>
      <c r="M10" s="4591">
        <f t="shared" si="1"/>
        <v>10</v>
      </c>
      <c r="N10" s="4591">
        <f t="shared" si="1"/>
        <v>8</v>
      </c>
      <c r="O10" s="4591">
        <f t="shared" si="1"/>
        <v>18</v>
      </c>
      <c r="P10" s="4593">
        <f t="shared" si="1"/>
        <v>36</v>
      </c>
      <c r="Q10" s="4591">
        <f t="shared" si="1"/>
        <v>1</v>
      </c>
      <c r="R10" s="5231">
        <f>1-K10</f>
        <v>2.7027027027026973E-2</v>
      </c>
    </row>
    <row r="11" spans="2:18" ht="18.75" customHeight="1" x14ac:dyDescent="0.3">
      <c r="B11" s="4594"/>
      <c r="C11" s="4594"/>
      <c r="D11" s="4594"/>
      <c r="E11" s="4594"/>
      <c r="F11" s="4594"/>
      <c r="G11" s="4594"/>
      <c r="H11" s="4594"/>
      <c r="I11" s="4594"/>
      <c r="J11" s="4594"/>
      <c r="K11" s="5232"/>
      <c r="L11" s="4594"/>
      <c r="M11" s="4594"/>
      <c r="N11" s="4594"/>
      <c r="O11" s="4594"/>
      <c r="P11" s="4594"/>
      <c r="Q11" s="4594"/>
      <c r="R11" s="5232"/>
    </row>
    <row r="12" spans="2:18" ht="18.75" customHeight="1" x14ac:dyDescent="0.3">
      <c r="B12" s="4566" t="s">
        <v>64</v>
      </c>
      <c r="C12" s="5218"/>
      <c r="D12" s="5219">
        <v>1</v>
      </c>
      <c r="E12" s="5219">
        <v>1</v>
      </c>
      <c r="F12" s="4569">
        <f>SUM(C12,D12,E12)</f>
        <v>2</v>
      </c>
      <c r="G12" s="5220"/>
      <c r="H12" s="5219">
        <v>1</v>
      </c>
      <c r="I12" s="5221">
        <v>1</v>
      </c>
      <c r="J12" s="4572">
        <f>SUM(G12,H12,I12)</f>
        <v>2</v>
      </c>
      <c r="K12" s="5222">
        <f>+J12/F12</f>
        <v>1</v>
      </c>
      <c r="L12" s="4573"/>
      <c r="M12" s="4574"/>
      <c r="N12" s="4574">
        <v>2</v>
      </c>
      <c r="O12" s="4575"/>
      <c r="P12" s="4576">
        <f>SUM(L12:O12)</f>
        <v>2</v>
      </c>
      <c r="Q12" s="4574">
        <f>F12-J12</f>
        <v>0</v>
      </c>
      <c r="R12" s="5223">
        <f>1-K12</f>
        <v>0</v>
      </c>
    </row>
    <row r="13" spans="2:18" ht="18.75" customHeight="1" x14ac:dyDescent="0.3">
      <c r="B13" s="4577" t="s">
        <v>111</v>
      </c>
      <c r="C13" s="5224"/>
      <c r="D13" s="5225">
        <v>1</v>
      </c>
      <c r="E13" s="5225"/>
      <c r="F13" s="4569">
        <f>SUM(C13,D13,E13)</f>
        <v>1</v>
      </c>
      <c r="G13" s="5226"/>
      <c r="H13" s="5225">
        <v>1</v>
      </c>
      <c r="I13" s="5227"/>
      <c r="J13" s="4572">
        <f>SUM(G13,H13,I13)</f>
        <v>1</v>
      </c>
      <c r="K13" s="5228">
        <f>+J13/F13</f>
        <v>1</v>
      </c>
      <c r="L13" s="4582"/>
      <c r="M13" s="4583"/>
      <c r="N13" s="4584">
        <v>1</v>
      </c>
      <c r="O13" s="4583"/>
      <c r="P13" s="4585">
        <f>SUM(L13:O13)</f>
        <v>1</v>
      </c>
      <c r="Q13" s="4574">
        <f>F13-J13</f>
        <v>0</v>
      </c>
      <c r="R13" s="5229">
        <f>1-K13</f>
        <v>0</v>
      </c>
    </row>
    <row r="14" spans="2:18" ht="18.75" customHeight="1" x14ac:dyDescent="0.3">
      <c r="B14" s="4577" t="s">
        <v>115</v>
      </c>
      <c r="C14" s="5224">
        <v>1</v>
      </c>
      <c r="D14" s="5225">
        <v>1</v>
      </c>
      <c r="E14" s="5225">
        <v>1</v>
      </c>
      <c r="F14" s="4569">
        <f>SUM(C14,D14,E14)</f>
        <v>3</v>
      </c>
      <c r="G14" s="5226"/>
      <c r="H14" s="5225">
        <v>1</v>
      </c>
      <c r="I14" s="5227">
        <v>1</v>
      </c>
      <c r="J14" s="4572">
        <f>SUM(G14,H14,I14)</f>
        <v>2</v>
      </c>
      <c r="K14" s="5228">
        <f>+J14/F14</f>
        <v>0.66666666666666663</v>
      </c>
      <c r="L14" s="4582"/>
      <c r="M14" s="4583"/>
      <c r="N14" s="4583">
        <v>2</v>
      </c>
      <c r="O14" s="4583"/>
      <c r="P14" s="4585">
        <f>SUM(L14:O14)</f>
        <v>2</v>
      </c>
      <c r="Q14" s="4574">
        <f>F14-J14</f>
        <v>1</v>
      </c>
      <c r="R14" s="5229">
        <f>1-K14</f>
        <v>0.33333333333333337</v>
      </c>
    </row>
    <row r="15" spans="2:18" ht="18.75" customHeight="1" x14ac:dyDescent="0.3">
      <c r="B15" s="1130" t="s">
        <v>134</v>
      </c>
      <c r="C15" s="4586">
        <f>SUM(C12:C14)</f>
        <v>1</v>
      </c>
      <c r="D15" s="4587">
        <f>SUM(D12:D14)</f>
        <v>3</v>
      </c>
      <c r="E15" s="4587">
        <f>SUM(E12:E14)</f>
        <v>2</v>
      </c>
      <c r="F15" s="4588">
        <f>SUM(F12:F14)</f>
        <v>6</v>
      </c>
      <c r="G15" s="4589"/>
      <c r="H15" s="4587">
        <f>SUM(H12:H14)</f>
        <v>3</v>
      </c>
      <c r="I15" s="4590">
        <f>SUM(I12:I14)</f>
        <v>2</v>
      </c>
      <c r="J15" s="4591">
        <f>SUM(J12:J14)</f>
        <v>5</v>
      </c>
      <c r="K15" s="5230">
        <f>+J15/F15</f>
        <v>0.83333333333333337</v>
      </c>
      <c r="L15" s="4592">
        <f t="shared" ref="L15:Q15" si="2">SUM(L12:L14)</f>
        <v>0</v>
      </c>
      <c r="M15" s="4591">
        <f t="shared" si="2"/>
        <v>0</v>
      </c>
      <c r="N15" s="4591">
        <f t="shared" si="2"/>
        <v>5</v>
      </c>
      <c r="O15" s="4591">
        <f t="shared" si="2"/>
        <v>0</v>
      </c>
      <c r="P15" s="4593">
        <f t="shared" si="2"/>
        <v>5</v>
      </c>
      <c r="Q15" s="4591">
        <f t="shared" si="2"/>
        <v>1</v>
      </c>
      <c r="R15" s="5231">
        <f>1-K15</f>
        <v>0.16666666666666663</v>
      </c>
    </row>
    <row r="16" spans="2:18" ht="18.75" customHeight="1" x14ac:dyDescent="0.3">
      <c r="B16" s="4595"/>
      <c r="C16" s="4595"/>
      <c r="D16" s="4595"/>
      <c r="E16" s="4595"/>
      <c r="F16" s="4595"/>
      <c r="G16" s="4595"/>
      <c r="H16" s="4595"/>
      <c r="I16" s="4595"/>
      <c r="J16" s="4595"/>
      <c r="K16" s="5233"/>
      <c r="L16" s="4595"/>
      <c r="M16" s="4595"/>
      <c r="N16" s="4595"/>
      <c r="O16" s="5233"/>
      <c r="P16" s="5233"/>
      <c r="Q16" s="5233"/>
      <c r="R16" s="5233"/>
    </row>
    <row r="17" spans="2:18" ht="18.75" customHeight="1" x14ac:dyDescent="0.3">
      <c r="B17" s="4566" t="s">
        <v>59</v>
      </c>
      <c r="C17" s="5218"/>
      <c r="D17" s="5219">
        <v>7</v>
      </c>
      <c r="E17" s="5219">
        <v>6</v>
      </c>
      <c r="F17" s="4569">
        <f>SUM(C17,D17,E17)</f>
        <v>13</v>
      </c>
      <c r="G17" s="5220"/>
      <c r="H17" s="5219">
        <v>7</v>
      </c>
      <c r="I17" s="5221">
        <v>6</v>
      </c>
      <c r="J17" s="4572">
        <f>SUM(G17,H17,I17)</f>
        <v>13</v>
      </c>
      <c r="K17" s="5222">
        <f>+J17/F17</f>
        <v>1</v>
      </c>
      <c r="L17" s="4573">
        <v>1</v>
      </c>
      <c r="M17" s="4574">
        <v>10</v>
      </c>
      <c r="N17" s="4574">
        <v>2</v>
      </c>
      <c r="O17" s="4575"/>
      <c r="P17" s="4576">
        <f>SUM(L17:O17)</f>
        <v>13</v>
      </c>
      <c r="Q17" s="4574">
        <f>F17-J17</f>
        <v>0</v>
      </c>
      <c r="R17" s="5223">
        <f>1-K17</f>
        <v>0</v>
      </c>
    </row>
    <row r="18" spans="2:18" ht="18.75" customHeight="1" x14ac:dyDescent="0.3">
      <c r="B18" s="4577" t="s">
        <v>64</v>
      </c>
      <c r="C18" s="5224">
        <v>1</v>
      </c>
      <c r="D18" s="5225">
        <v>5</v>
      </c>
      <c r="E18" s="5225">
        <v>5</v>
      </c>
      <c r="F18" s="4569">
        <f>SUM(C18,D18,E18)</f>
        <v>11</v>
      </c>
      <c r="G18" s="5226"/>
      <c r="H18" s="5225">
        <v>5</v>
      </c>
      <c r="I18" s="5227">
        <v>5</v>
      </c>
      <c r="J18" s="4572">
        <f>SUM(G18,H18,I18)</f>
        <v>10</v>
      </c>
      <c r="K18" s="5228">
        <f>+J18/F18</f>
        <v>0.90909090909090906</v>
      </c>
      <c r="L18" s="4582">
        <v>6</v>
      </c>
      <c r="M18" s="4583">
        <v>2</v>
      </c>
      <c r="N18" s="4584"/>
      <c r="O18" s="4583">
        <v>2</v>
      </c>
      <c r="P18" s="4585">
        <f>SUM(L18:O18)</f>
        <v>10</v>
      </c>
      <c r="Q18" s="4574">
        <f>F18-J18</f>
        <v>1</v>
      </c>
      <c r="R18" s="5229">
        <f>1-K18</f>
        <v>9.0909090909090939E-2</v>
      </c>
    </row>
    <row r="19" spans="2:18" x14ac:dyDescent="0.3">
      <c r="B19" s="4577" t="s">
        <v>92</v>
      </c>
      <c r="C19" s="5224">
        <v>2</v>
      </c>
      <c r="D19" s="5225">
        <v>4</v>
      </c>
      <c r="E19" s="5225">
        <v>2</v>
      </c>
      <c r="F19" s="4569">
        <f>SUM(C19,D19,E19)</f>
        <v>8</v>
      </c>
      <c r="G19" s="5226"/>
      <c r="H19" s="5225">
        <v>4</v>
      </c>
      <c r="I19" s="5227">
        <v>2</v>
      </c>
      <c r="J19" s="4572">
        <f>SUM(G19,H19,I19)</f>
        <v>6</v>
      </c>
      <c r="K19" s="5228">
        <f>+J19/F19</f>
        <v>0.75</v>
      </c>
      <c r="L19" s="4582">
        <v>2</v>
      </c>
      <c r="M19" s="4583">
        <v>4</v>
      </c>
      <c r="N19" s="4583"/>
      <c r="O19" s="4583"/>
      <c r="P19" s="4585">
        <f>SUM(L19:O19)</f>
        <v>6</v>
      </c>
      <c r="Q19" s="4574">
        <f>F19-J19</f>
        <v>2</v>
      </c>
      <c r="R19" s="5229">
        <f>1-K19</f>
        <v>0.25</v>
      </c>
    </row>
    <row r="20" spans="2:18" x14ac:dyDescent="0.3">
      <c r="B20" s="4597" t="s">
        <v>548</v>
      </c>
      <c r="C20" s="5234">
        <v>1</v>
      </c>
      <c r="D20" s="5235">
        <v>1</v>
      </c>
      <c r="E20" s="5235">
        <v>1</v>
      </c>
      <c r="F20" s="4569">
        <f>SUM(C20,D20,E20)</f>
        <v>3</v>
      </c>
      <c r="G20" s="5236">
        <v>1</v>
      </c>
      <c r="H20" s="5235">
        <v>1</v>
      </c>
      <c r="I20" s="5237">
        <v>1</v>
      </c>
      <c r="J20" s="4572">
        <f>SUM(G20,H20,I20)</f>
        <v>3</v>
      </c>
      <c r="K20" s="5228">
        <f>+J20/F20</f>
        <v>1</v>
      </c>
      <c r="L20" s="4602"/>
      <c r="M20" s="4603"/>
      <c r="N20" s="4603">
        <v>2</v>
      </c>
      <c r="O20" s="4603">
        <v>1</v>
      </c>
      <c r="P20" s="4585">
        <f>SUM(L20:O20)</f>
        <v>3</v>
      </c>
      <c r="Q20" s="4574">
        <f>F20-J20</f>
        <v>0</v>
      </c>
      <c r="R20" s="5229">
        <f>1-K20</f>
        <v>0</v>
      </c>
    </row>
    <row r="21" spans="2:18" x14ac:dyDescent="0.3">
      <c r="B21" s="1138" t="s">
        <v>135</v>
      </c>
      <c r="C21" s="4586">
        <f>SUM(C18:C20)</f>
        <v>4</v>
      </c>
      <c r="D21" s="4587">
        <f t="shared" ref="D21:J21" si="3">SUM(D17:D20)</f>
        <v>17</v>
      </c>
      <c r="E21" s="4587">
        <f t="shared" si="3"/>
        <v>14</v>
      </c>
      <c r="F21" s="4588">
        <f t="shared" si="3"/>
        <v>35</v>
      </c>
      <c r="G21" s="4589">
        <f t="shared" si="3"/>
        <v>1</v>
      </c>
      <c r="H21" s="4587">
        <f t="shared" si="3"/>
        <v>17</v>
      </c>
      <c r="I21" s="4590">
        <f t="shared" si="3"/>
        <v>14</v>
      </c>
      <c r="J21" s="4591">
        <f t="shared" si="3"/>
        <v>32</v>
      </c>
      <c r="K21" s="5230">
        <f>+J21/F21</f>
        <v>0.91428571428571426</v>
      </c>
      <c r="L21" s="4592">
        <f>SUM(L16:L20)</f>
        <v>9</v>
      </c>
      <c r="M21" s="4591">
        <f t="shared" ref="M21:O21" si="4">SUM(M16:M20)</f>
        <v>16</v>
      </c>
      <c r="N21" s="4591">
        <f t="shared" si="4"/>
        <v>4</v>
      </c>
      <c r="O21" s="4591">
        <f t="shared" si="4"/>
        <v>3</v>
      </c>
      <c r="P21" s="4593">
        <f>SUM(P17:P20)</f>
        <v>32</v>
      </c>
      <c r="Q21" s="4591">
        <f>SUM(Q17:Q20)</f>
        <v>3</v>
      </c>
      <c r="R21" s="5231">
        <f>1-K21</f>
        <v>8.5714285714285743E-2</v>
      </c>
    </row>
    <row r="22" spans="2:18" x14ac:dyDescent="0.3">
      <c r="B22" s="1923"/>
      <c r="C22" s="1923"/>
      <c r="D22" s="1923"/>
      <c r="E22" s="1923"/>
      <c r="F22" s="1923"/>
      <c r="G22" s="1923"/>
      <c r="H22" s="1923"/>
      <c r="I22" s="1923"/>
      <c r="J22" s="1923"/>
      <c r="K22" s="2067"/>
      <c r="L22" s="1923"/>
      <c r="M22" s="1923"/>
      <c r="N22" s="1923"/>
      <c r="O22" s="1923"/>
      <c r="P22" s="1923"/>
      <c r="Q22" s="1923"/>
      <c r="R22" s="2067"/>
    </row>
    <row r="23" spans="2:18" x14ac:dyDescent="0.3">
      <c r="B23" s="4566" t="s">
        <v>64</v>
      </c>
      <c r="C23" s="5218">
        <v>1</v>
      </c>
      <c r="D23" s="5219">
        <v>9</v>
      </c>
      <c r="E23" s="5219">
        <v>4</v>
      </c>
      <c r="F23" s="4569">
        <f>SUM(C23,D23,E23)</f>
        <v>14</v>
      </c>
      <c r="G23" s="5220"/>
      <c r="H23" s="5219">
        <v>9</v>
      </c>
      <c r="I23" s="5221">
        <v>4</v>
      </c>
      <c r="J23" s="4572">
        <f>SUM(G23,H23,I23)</f>
        <v>13</v>
      </c>
      <c r="K23" s="5222">
        <f>+J23/F23</f>
        <v>0.9285714285714286</v>
      </c>
      <c r="L23" s="4573">
        <v>2</v>
      </c>
      <c r="M23" s="4574">
        <v>4</v>
      </c>
      <c r="N23" s="4574">
        <v>4</v>
      </c>
      <c r="O23" s="4575">
        <v>3</v>
      </c>
      <c r="P23" s="4576">
        <f>SUM(L23:O23)</f>
        <v>13</v>
      </c>
      <c r="Q23" s="4574">
        <f>F23-J23</f>
        <v>1</v>
      </c>
      <c r="R23" s="5223">
        <f>1-K23</f>
        <v>7.1428571428571397E-2</v>
      </c>
    </row>
    <row r="24" spans="2:18" x14ac:dyDescent="0.3">
      <c r="B24" s="4577" t="s">
        <v>92</v>
      </c>
      <c r="C24" s="5224">
        <v>1</v>
      </c>
      <c r="D24" s="5225">
        <v>10</v>
      </c>
      <c r="E24" s="5225">
        <v>3</v>
      </c>
      <c r="F24" s="4569">
        <f>SUM(C24,D24,E24)</f>
        <v>14</v>
      </c>
      <c r="G24" s="5226"/>
      <c r="H24" s="5225">
        <v>9</v>
      </c>
      <c r="I24" s="5227">
        <v>3</v>
      </c>
      <c r="J24" s="4572">
        <f>SUM(G24,H24,I24)</f>
        <v>12</v>
      </c>
      <c r="K24" s="5228">
        <f>+J24/F24</f>
        <v>0.8571428571428571</v>
      </c>
      <c r="L24" s="4582"/>
      <c r="M24" s="4583">
        <v>4</v>
      </c>
      <c r="N24" s="4584">
        <v>5</v>
      </c>
      <c r="O24" s="4583">
        <v>3</v>
      </c>
      <c r="P24" s="4585">
        <f>SUM(M24:O24)</f>
        <v>12</v>
      </c>
      <c r="Q24" s="4574">
        <f>F24-J24</f>
        <v>2</v>
      </c>
      <c r="R24" s="5229">
        <f>1-K24</f>
        <v>0.1428571428571429</v>
      </c>
    </row>
    <row r="25" spans="2:18" x14ac:dyDescent="0.3">
      <c r="B25" s="4577" t="s">
        <v>68</v>
      </c>
      <c r="C25" s="5224"/>
      <c r="D25" s="5225">
        <v>3</v>
      </c>
      <c r="E25" s="5225">
        <v>1</v>
      </c>
      <c r="F25" s="4569">
        <f>SUM(C25,D25,E25)</f>
        <v>4</v>
      </c>
      <c r="G25" s="5226"/>
      <c r="H25" s="5225">
        <v>2</v>
      </c>
      <c r="I25" s="5227">
        <v>1</v>
      </c>
      <c r="J25" s="4572">
        <f>SUM(G25,H25,I25)</f>
        <v>3</v>
      </c>
      <c r="K25" s="5228">
        <f>+J25/F25</f>
        <v>0.75</v>
      </c>
      <c r="L25" s="4582"/>
      <c r="M25" s="4583"/>
      <c r="N25" s="4583">
        <v>3</v>
      </c>
      <c r="O25" s="4583"/>
      <c r="P25" s="4585">
        <f>SUM(M25:O25)</f>
        <v>3</v>
      </c>
      <c r="Q25" s="4574">
        <f>F25-J25</f>
        <v>1</v>
      </c>
      <c r="R25" s="5229">
        <f>1-K25</f>
        <v>0.25</v>
      </c>
    </row>
    <row r="26" spans="2:18" x14ac:dyDescent="0.3">
      <c r="B26" s="1151" t="s">
        <v>137</v>
      </c>
      <c r="C26" s="4586">
        <f>SUM(C23:C25)</f>
        <v>2</v>
      </c>
      <c r="D26" s="4587">
        <f>SUM(D23:D25)</f>
        <v>22</v>
      </c>
      <c r="E26" s="4587">
        <f>SUM(E23:E25)</f>
        <v>8</v>
      </c>
      <c r="F26" s="4588">
        <f>SUM(F23:F25)</f>
        <v>32</v>
      </c>
      <c r="G26" s="4589"/>
      <c r="H26" s="4587">
        <f>SUM(H23:H25)</f>
        <v>20</v>
      </c>
      <c r="I26" s="4590">
        <f>SUM(I23:I25)</f>
        <v>8</v>
      </c>
      <c r="J26" s="4591">
        <f>SUM(J23:J25)</f>
        <v>28</v>
      </c>
      <c r="K26" s="5230">
        <f>+J26/F26</f>
        <v>0.875</v>
      </c>
      <c r="L26" s="4592">
        <f t="shared" ref="L26:Q26" si="5">SUM(L23:L25)</f>
        <v>2</v>
      </c>
      <c r="M26" s="4591">
        <f t="shared" si="5"/>
        <v>8</v>
      </c>
      <c r="N26" s="4591">
        <f t="shared" si="5"/>
        <v>12</v>
      </c>
      <c r="O26" s="4591">
        <f t="shared" si="5"/>
        <v>6</v>
      </c>
      <c r="P26" s="4593">
        <f t="shared" si="5"/>
        <v>28</v>
      </c>
      <c r="Q26" s="4591">
        <f t="shared" si="5"/>
        <v>4</v>
      </c>
      <c r="R26" s="5231">
        <f>1-K26</f>
        <v>0.125</v>
      </c>
    </row>
    <row r="27" spans="2:18" x14ac:dyDescent="0.3">
      <c r="B27" s="4604"/>
      <c r="C27" s="4604"/>
      <c r="D27" s="4604"/>
      <c r="E27" s="4604"/>
      <c r="F27" s="4604"/>
      <c r="G27" s="4604"/>
      <c r="H27" s="4604"/>
      <c r="I27" s="4604"/>
      <c r="J27" s="4604"/>
      <c r="K27" s="4604"/>
      <c r="L27" s="4604"/>
      <c r="M27" s="4604"/>
      <c r="N27" s="4604"/>
      <c r="O27" s="4604"/>
      <c r="P27" s="4604"/>
      <c r="Q27" s="4604"/>
      <c r="R27" s="4604"/>
    </row>
    <row r="28" spans="2:18" x14ac:dyDescent="0.3">
      <c r="B28" s="4566" t="s">
        <v>64</v>
      </c>
      <c r="C28" s="5218"/>
      <c r="D28" s="5219">
        <v>2</v>
      </c>
      <c r="E28" s="5219">
        <v>2</v>
      </c>
      <c r="F28" s="4569">
        <f>SUM(C28,D28,E28)</f>
        <v>4</v>
      </c>
      <c r="G28" s="5220"/>
      <c r="H28" s="5219">
        <v>2</v>
      </c>
      <c r="I28" s="5221">
        <v>2</v>
      </c>
      <c r="J28" s="4572">
        <f>SUM(G28,H28,I28)</f>
        <v>4</v>
      </c>
      <c r="K28" s="5222">
        <f>+J28/F28</f>
        <v>1</v>
      </c>
      <c r="L28" s="4573"/>
      <c r="M28" s="4574">
        <v>1</v>
      </c>
      <c r="N28" s="4574">
        <v>1</v>
      </c>
      <c r="O28" s="4575">
        <v>2</v>
      </c>
      <c r="P28" s="4605">
        <f>SUM(L28:O28)</f>
        <v>4</v>
      </c>
      <c r="Q28" s="4574">
        <f>F28-J28</f>
        <v>0</v>
      </c>
      <c r="R28" s="5223">
        <f>1-K28</f>
        <v>0</v>
      </c>
    </row>
    <row r="29" spans="2:18" x14ac:dyDescent="0.3">
      <c r="B29" s="4577" t="s">
        <v>561</v>
      </c>
      <c r="C29" s="5224"/>
      <c r="D29" s="5225"/>
      <c r="E29" s="5225">
        <v>1</v>
      </c>
      <c r="F29" s="4569">
        <f>SUM(C29,D29,E29)</f>
        <v>1</v>
      </c>
      <c r="G29" s="5226"/>
      <c r="H29" s="5225"/>
      <c r="I29" s="5227">
        <v>1</v>
      </c>
      <c r="J29" s="4572">
        <f>SUM(G29,H29,I29)</f>
        <v>1</v>
      </c>
      <c r="K29" s="5228">
        <f>+J29/F29</f>
        <v>1</v>
      </c>
      <c r="L29" s="4582"/>
      <c r="M29" s="4583">
        <v>1</v>
      </c>
      <c r="N29" s="4584"/>
      <c r="O29" s="4583"/>
      <c r="P29" s="4606">
        <f>SUM(L29:O29)</f>
        <v>1</v>
      </c>
      <c r="Q29" s="4574">
        <f>F29-J29</f>
        <v>0</v>
      </c>
      <c r="R29" s="5229">
        <f>1-K29</f>
        <v>0</v>
      </c>
    </row>
    <row r="30" spans="2:18" x14ac:dyDescent="0.3">
      <c r="B30" s="4590" t="s">
        <v>562</v>
      </c>
      <c r="C30" s="4607">
        <f>SUM(C28:C29)</f>
        <v>0</v>
      </c>
      <c r="D30" s="4608">
        <f>SUM(D28:D29)</f>
        <v>2</v>
      </c>
      <c r="E30" s="4608">
        <f>SUM(E28:E29)</f>
        <v>3</v>
      </c>
      <c r="F30" s="4588">
        <f>SUM(F28:F29)</f>
        <v>5</v>
      </c>
      <c r="G30" s="4609"/>
      <c r="H30" s="4608">
        <f>SUM(H28:H29)</f>
        <v>2</v>
      </c>
      <c r="I30" s="4610">
        <f>SUM(I28:I29)</f>
        <v>3</v>
      </c>
      <c r="J30" s="4591">
        <f>SUM(J28:J29)</f>
        <v>5</v>
      </c>
      <c r="K30" s="5230">
        <f>+J30/F30</f>
        <v>1</v>
      </c>
      <c r="L30" s="4592">
        <f t="shared" ref="L30:Q30" si="6">SUM(L28:L29)</f>
        <v>0</v>
      </c>
      <c r="M30" s="4591">
        <f t="shared" si="6"/>
        <v>2</v>
      </c>
      <c r="N30" s="4591">
        <f t="shared" si="6"/>
        <v>1</v>
      </c>
      <c r="O30" s="4591">
        <f t="shared" si="6"/>
        <v>2</v>
      </c>
      <c r="P30" s="4593">
        <f t="shared" si="6"/>
        <v>5</v>
      </c>
      <c r="Q30" s="4591">
        <f t="shared" si="6"/>
        <v>0</v>
      </c>
      <c r="R30" s="5231">
        <f>1-K30</f>
        <v>0</v>
      </c>
    </row>
    <row r="31" spans="2:18" x14ac:dyDescent="0.3">
      <c r="B31" s="1241"/>
      <c r="C31" s="1241"/>
      <c r="D31" s="1241"/>
      <c r="E31" s="1241"/>
      <c r="F31" s="1241"/>
      <c r="G31" s="1241"/>
      <c r="H31" s="1241"/>
      <c r="I31" s="1241"/>
      <c r="J31" s="1241"/>
      <c r="K31" s="5238"/>
      <c r="L31" s="1241"/>
      <c r="M31" s="1241"/>
      <c r="N31" s="1241"/>
      <c r="O31" s="1241"/>
      <c r="P31" s="1241"/>
      <c r="Q31" s="1241"/>
      <c r="R31" s="5238"/>
    </row>
    <row r="32" spans="2:18" x14ac:dyDescent="0.3">
      <c r="B32" s="5949" t="s">
        <v>7</v>
      </c>
      <c r="C32" s="5239">
        <f t="shared" ref="C32:J32" si="7">SUM(C10,C15,C21,C26,C30)</f>
        <v>13</v>
      </c>
      <c r="D32" s="5239">
        <f t="shared" si="7"/>
        <v>62</v>
      </c>
      <c r="E32" s="5240">
        <f t="shared" si="7"/>
        <v>40</v>
      </c>
      <c r="F32" s="5241">
        <f t="shared" si="7"/>
        <v>115</v>
      </c>
      <c r="G32" s="5239">
        <f t="shared" si="7"/>
        <v>6</v>
      </c>
      <c r="H32" s="5239">
        <f t="shared" si="7"/>
        <v>60</v>
      </c>
      <c r="I32" s="5240">
        <f t="shared" si="7"/>
        <v>40</v>
      </c>
      <c r="J32" s="5242">
        <f t="shared" si="7"/>
        <v>106</v>
      </c>
      <c r="K32" s="5243">
        <f>+J32/F32</f>
        <v>0.92173913043478262</v>
      </c>
      <c r="L32" s="5244">
        <f>SUM(L10,L21,L26,L15,L30)</f>
        <v>11</v>
      </c>
      <c r="M32" s="5244">
        <f>SUM(M10,M21,M26,M15,M30)</f>
        <v>36</v>
      </c>
      <c r="N32" s="5244">
        <f>SUM(N10,N21,N26,N15,N30)</f>
        <v>30</v>
      </c>
      <c r="O32" s="5240">
        <f>SUM(O10,O21,O26,O15,O30)</f>
        <v>29</v>
      </c>
      <c r="P32" s="5241">
        <f>SUM(P10,P21,P26,P15,P30)</f>
        <v>106</v>
      </c>
      <c r="Q32" s="5239">
        <f>F32-J32</f>
        <v>9</v>
      </c>
      <c r="R32" s="5245">
        <f>1-K32</f>
        <v>7.8260869565217384E-2</v>
      </c>
    </row>
    <row r="33" spans="1:19" x14ac:dyDescent="0.3">
      <c r="B33" s="5950"/>
      <c r="C33" s="5246">
        <f>C32/$F$32</f>
        <v>0.11304347826086956</v>
      </c>
      <c r="D33" s="5246">
        <f>D32/$F$32</f>
        <v>0.53913043478260869</v>
      </c>
      <c r="E33" s="5247">
        <f>E32/$F$32</f>
        <v>0.34782608695652173</v>
      </c>
      <c r="F33" s="5248">
        <f>SUM(C33:E33)</f>
        <v>1</v>
      </c>
      <c r="G33" s="5246">
        <f>G32/$J$32</f>
        <v>5.6603773584905662E-2</v>
      </c>
      <c r="H33" s="5246">
        <f>H32/$J$32</f>
        <v>0.56603773584905659</v>
      </c>
      <c r="I33" s="5249">
        <f>I32/$J$32</f>
        <v>0.37735849056603776</v>
      </c>
      <c r="J33" s="5250">
        <f>SUM(G33:I33)</f>
        <v>1</v>
      </c>
      <c r="K33" s="5251"/>
      <c r="L33" s="5246">
        <f>L32/$P$32</f>
        <v>0.10377358490566038</v>
      </c>
      <c r="M33" s="5246">
        <f>M32/$P$32</f>
        <v>0.33962264150943394</v>
      </c>
      <c r="N33" s="5246">
        <f>N32/$P$32</f>
        <v>0.28301886792452829</v>
      </c>
      <c r="O33" s="5247">
        <f>O32/$P$32</f>
        <v>0.27358490566037735</v>
      </c>
      <c r="P33" s="5248">
        <f>SUM(L33:O33)</f>
        <v>1</v>
      </c>
      <c r="Q33" s="5252"/>
      <c r="R33" s="5253"/>
    </row>
    <row r="34" spans="1:19" x14ac:dyDescent="0.3">
      <c r="A34" s="5254"/>
      <c r="B34" s="5254"/>
      <c r="C34" s="5254"/>
      <c r="D34" s="5254"/>
      <c r="E34" s="5254"/>
      <c r="F34" s="5255"/>
      <c r="G34" s="5254"/>
      <c r="H34" s="5254"/>
      <c r="I34" s="5255"/>
      <c r="J34" s="5255"/>
      <c r="K34" s="5255"/>
      <c r="L34" s="5254"/>
      <c r="M34" s="5254"/>
      <c r="N34" s="5254"/>
      <c r="O34" s="5254"/>
      <c r="P34" s="5255"/>
      <c r="Q34" s="4616"/>
      <c r="R34" s="4622" t="s">
        <v>1585</v>
      </c>
      <c r="S34" s="4630"/>
    </row>
    <row r="35" spans="1:19" x14ac:dyDescent="0.3">
      <c r="A35" s="5254"/>
      <c r="B35" s="5254"/>
      <c r="C35" s="5254"/>
      <c r="D35" s="5254"/>
      <c r="E35" s="5254"/>
      <c r="F35" s="5255"/>
      <c r="G35" s="5254"/>
      <c r="H35" s="5254"/>
      <c r="I35" s="5255"/>
      <c r="J35" s="5255"/>
      <c r="K35" s="5255"/>
      <c r="L35" s="5254"/>
      <c r="M35" s="5254"/>
      <c r="N35" s="5254"/>
      <c r="O35" s="5254"/>
      <c r="P35" s="5255"/>
      <c r="Q35" s="4616"/>
      <c r="R35" s="4622" t="s">
        <v>1573</v>
      </c>
    </row>
    <row r="36" spans="1:19" ht="18" x14ac:dyDescent="0.35">
      <c r="B36" s="1862"/>
      <c r="C36" s="1862"/>
      <c r="D36" s="1862"/>
      <c r="E36" s="1862"/>
      <c r="F36" s="1862"/>
      <c r="G36" s="1862"/>
      <c r="H36" s="1862"/>
      <c r="I36" s="1862"/>
      <c r="J36" s="1862"/>
      <c r="K36" s="1862"/>
      <c r="L36" s="1862"/>
    </row>
    <row r="37" spans="1:19" ht="15.75" customHeight="1" x14ac:dyDescent="0.3">
      <c r="B37" s="5770" t="s">
        <v>267</v>
      </c>
      <c r="C37" s="5951" t="s">
        <v>1408</v>
      </c>
      <c r="D37" s="5951"/>
      <c r="E37" s="5951"/>
      <c r="F37" s="5951"/>
      <c r="G37" s="5951" t="s">
        <v>556</v>
      </c>
      <c r="H37" s="5951"/>
      <c r="I37" s="5951"/>
      <c r="J37" s="5951"/>
      <c r="K37" s="5951"/>
      <c r="L37" s="5951" t="s">
        <v>557</v>
      </c>
      <c r="M37" s="5951"/>
      <c r="N37" s="5951"/>
      <c r="O37" s="5951"/>
      <c r="P37" s="5951"/>
      <c r="Q37" s="5952" t="s">
        <v>558</v>
      </c>
      <c r="R37" s="5952"/>
    </row>
    <row r="38" spans="1:19" ht="28.2" thickBot="1" x14ac:dyDescent="0.35">
      <c r="B38" s="5771"/>
      <c r="C38" s="4557" t="s">
        <v>463</v>
      </c>
      <c r="D38" s="4557" t="s">
        <v>517</v>
      </c>
      <c r="E38" s="4557" t="s">
        <v>559</v>
      </c>
      <c r="F38" s="4558" t="s">
        <v>48</v>
      </c>
      <c r="G38" s="4557" t="s">
        <v>463</v>
      </c>
      <c r="H38" s="4557" t="s">
        <v>517</v>
      </c>
      <c r="I38" s="4557" t="s">
        <v>559</v>
      </c>
      <c r="J38" s="4558" t="s">
        <v>48</v>
      </c>
      <c r="K38" s="4559" t="s">
        <v>272</v>
      </c>
      <c r="L38" s="4560" t="s">
        <v>542</v>
      </c>
      <c r="M38" s="4560" t="s">
        <v>523</v>
      </c>
      <c r="N38" s="4560" t="s">
        <v>524</v>
      </c>
      <c r="O38" s="4560" t="s">
        <v>525</v>
      </c>
      <c r="P38" s="4561" t="s">
        <v>48</v>
      </c>
      <c r="Q38" s="5191" t="s">
        <v>48</v>
      </c>
      <c r="R38" s="4562" t="s">
        <v>272</v>
      </c>
    </row>
    <row r="39" spans="1:19" x14ac:dyDescent="0.3">
      <c r="B39" s="1111"/>
      <c r="C39" s="1111"/>
      <c r="D39" s="1111"/>
      <c r="E39" s="1111"/>
      <c r="F39" s="1111"/>
      <c r="G39" s="4563"/>
      <c r="H39" s="4563"/>
      <c r="I39" s="4563"/>
      <c r="J39" s="4563"/>
      <c r="K39" s="4563"/>
      <c r="L39" s="1111"/>
      <c r="M39" s="4540"/>
      <c r="N39" s="4540"/>
      <c r="O39" s="4540"/>
      <c r="P39" s="4564"/>
      <c r="Q39" s="4565"/>
      <c r="R39" s="1241"/>
    </row>
    <row r="40" spans="1:19" x14ac:dyDescent="0.3">
      <c r="B40" s="4566" t="s">
        <v>59</v>
      </c>
      <c r="C40" s="4567"/>
      <c r="D40" s="4568">
        <v>6</v>
      </c>
      <c r="E40" s="4568">
        <v>4</v>
      </c>
      <c r="F40" s="4569">
        <f>SUM(C40,D40,E40)</f>
        <v>10</v>
      </c>
      <c r="G40" s="4570"/>
      <c r="H40" s="4568">
        <v>5</v>
      </c>
      <c r="I40" s="4571">
        <v>3</v>
      </c>
      <c r="J40" s="4572">
        <f>SUM(G40,H40,I40)</f>
        <v>8</v>
      </c>
      <c r="K40" s="1883">
        <f>+J40/F40</f>
        <v>0.8</v>
      </c>
      <c r="L40" s="4573"/>
      <c r="M40" s="4574">
        <v>3</v>
      </c>
      <c r="N40" s="4574">
        <v>4</v>
      </c>
      <c r="O40" s="4575">
        <v>1</v>
      </c>
      <c r="P40" s="4576">
        <f>SUM(L40:O40)</f>
        <v>8</v>
      </c>
      <c r="Q40" s="4574">
        <f>F40-J40</f>
        <v>2</v>
      </c>
      <c r="R40" s="1888">
        <f>1-K40</f>
        <v>0.19999999999999996</v>
      </c>
    </row>
    <row r="41" spans="1:19" x14ac:dyDescent="0.3">
      <c r="B41" s="4577" t="s">
        <v>64</v>
      </c>
      <c r="C41" s="4578">
        <v>3</v>
      </c>
      <c r="D41" s="4579">
        <v>6</v>
      </c>
      <c r="E41" s="4579">
        <v>3</v>
      </c>
      <c r="F41" s="4569">
        <f>SUM(C41,D41,E41)</f>
        <v>12</v>
      </c>
      <c r="G41" s="4580">
        <v>1</v>
      </c>
      <c r="H41" s="4579">
        <v>6</v>
      </c>
      <c r="I41" s="4581">
        <v>2</v>
      </c>
      <c r="J41" s="4572">
        <f>SUM(G41,H41,I41)</f>
        <v>9</v>
      </c>
      <c r="K41" s="1894">
        <f>+J41/F41</f>
        <v>0.75</v>
      </c>
      <c r="L41" s="4582"/>
      <c r="M41" s="4583">
        <v>5</v>
      </c>
      <c r="N41" s="4584">
        <v>3</v>
      </c>
      <c r="O41" s="4583">
        <v>1</v>
      </c>
      <c r="P41" s="4585">
        <f>SUM(L41:O41)</f>
        <v>9</v>
      </c>
      <c r="Q41" s="4574">
        <f>F41-J41</f>
        <v>3</v>
      </c>
      <c r="R41" s="1899">
        <f>1-K41</f>
        <v>0.25</v>
      </c>
    </row>
    <row r="42" spans="1:19" x14ac:dyDescent="0.3">
      <c r="B42" s="4577" t="s">
        <v>68</v>
      </c>
      <c r="C42" s="4578">
        <v>2</v>
      </c>
      <c r="D42" s="4579">
        <v>6</v>
      </c>
      <c r="E42" s="4579">
        <v>6</v>
      </c>
      <c r="F42" s="4569">
        <f>SUM(C42,D42,E42)</f>
        <v>14</v>
      </c>
      <c r="G42" s="4580">
        <v>1</v>
      </c>
      <c r="H42" s="4579">
        <v>1</v>
      </c>
      <c r="I42" s="4581">
        <v>1</v>
      </c>
      <c r="J42" s="4572">
        <f>SUM(G42,H42,I42)</f>
        <v>3</v>
      </c>
      <c r="K42" s="1894">
        <f>+J42/F42</f>
        <v>0.21428571428571427</v>
      </c>
      <c r="L42" s="4582"/>
      <c r="M42" s="4583"/>
      <c r="N42" s="4583">
        <v>3</v>
      </c>
      <c r="O42" s="4583"/>
      <c r="P42" s="4585">
        <f>SUM(L42:O42)</f>
        <v>3</v>
      </c>
      <c r="Q42" s="4574">
        <f>F42-J42</f>
        <v>11</v>
      </c>
      <c r="R42" s="1899">
        <f>1-K42</f>
        <v>0.7857142857142857</v>
      </c>
    </row>
    <row r="43" spans="1:19" x14ac:dyDescent="0.3">
      <c r="B43" s="1124" t="s">
        <v>138</v>
      </c>
      <c r="C43" s="4586">
        <f t="shared" ref="C43:J43" si="8">SUM(C40:C42)</f>
        <v>5</v>
      </c>
      <c r="D43" s="4587">
        <f t="shared" si="8"/>
        <v>18</v>
      </c>
      <c r="E43" s="4587">
        <f t="shared" si="8"/>
        <v>13</v>
      </c>
      <c r="F43" s="4588">
        <f t="shared" si="8"/>
        <v>36</v>
      </c>
      <c r="G43" s="4589">
        <f t="shared" si="8"/>
        <v>2</v>
      </c>
      <c r="H43" s="4587">
        <f t="shared" si="8"/>
        <v>12</v>
      </c>
      <c r="I43" s="4590">
        <f t="shared" si="8"/>
        <v>6</v>
      </c>
      <c r="J43" s="4591">
        <f t="shared" si="8"/>
        <v>20</v>
      </c>
      <c r="K43" s="1907">
        <f>+J43/F43</f>
        <v>0.55555555555555558</v>
      </c>
      <c r="L43" s="4592">
        <f t="shared" ref="L43:Q43" si="9">SUM(L40:L42)</f>
        <v>0</v>
      </c>
      <c r="M43" s="4591">
        <f t="shared" si="9"/>
        <v>8</v>
      </c>
      <c r="N43" s="4591">
        <f t="shared" si="9"/>
        <v>10</v>
      </c>
      <c r="O43" s="4591">
        <f t="shared" si="9"/>
        <v>2</v>
      </c>
      <c r="P43" s="4593">
        <f t="shared" si="9"/>
        <v>20</v>
      </c>
      <c r="Q43" s="4591">
        <f t="shared" si="9"/>
        <v>16</v>
      </c>
      <c r="R43" s="1910">
        <f>1-K43</f>
        <v>0.44444444444444442</v>
      </c>
    </row>
    <row r="44" spans="1:19" x14ac:dyDescent="0.3">
      <c r="B44" s="4594"/>
      <c r="C44" s="4594"/>
      <c r="D44" s="4594"/>
      <c r="E44" s="4594"/>
      <c r="F44" s="4594"/>
      <c r="G44" s="4594"/>
      <c r="H44" s="4594"/>
      <c r="I44" s="4594"/>
      <c r="J44" s="4594"/>
      <c r="K44" s="4594"/>
      <c r="L44" s="4594"/>
      <c r="M44" s="4594"/>
      <c r="N44" s="4594"/>
      <c r="O44" s="4594"/>
      <c r="P44" s="4594"/>
      <c r="Q44" s="4594"/>
      <c r="R44" s="4594"/>
    </row>
    <row r="45" spans="1:19" x14ac:dyDescent="0.3">
      <c r="B45" s="4566" t="s">
        <v>64</v>
      </c>
      <c r="C45" s="4567"/>
      <c r="D45" s="4568">
        <v>1</v>
      </c>
      <c r="E45" s="4568">
        <v>1</v>
      </c>
      <c r="F45" s="4569">
        <f>SUM(C45,D45,E45)</f>
        <v>2</v>
      </c>
      <c r="G45" s="4570"/>
      <c r="H45" s="4568">
        <v>1</v>
      </c>
      <c r="I45" s="4571">
        <v>1</v>
      </c>
      <c r="J45" s="4572">
        <f>SUM(G45,H45,I45)</f>
        <v>2</v>
      </c>
      <c r="K45" s="1883">
        <f>+J45/F45</f>
        <v>1</v>
      </c>
      <c r="L45" s="4573"/>
      <c r="M45" s="4574"/>
      <c r="N45" s="4574">
        <v>2</v>
      </c>
      <c r="O45" s="4575"/>
      <c r="P45" s="4576">
        <f>SUM(L45:O45)</f>
        <v>2</v>
      </c>
      <c r="Q45" s="4574">
        <f>F45-J45</f>
        <v>0</v>
      </c>
      <c r="R45" s="1888">
        <f>1-K45</f>
        <v>0</v>
      </c>
    </row>
    <row r="46" spans="1:19" x14ac:dyDescent="0.3">
      <c r="B46" s="4577" t="s">
        <v>111</v>
      </c>
      <c r="C46" s="4578"/>
      <c r="D46" s="4579">
        <v>1</v>
      </c>
      <c r="E46" s="4579"/>
      <c r="F46" s="4569">
        <f>SUM(C46,D46,E46)</f>
        <v>1</v>
      </c>
      <c r="G46" s="4580"/>
      <c r="H46" s="4579">
        <v>1</v>
      </c>
      <c r="I46" s="4581"/>
      <c r="J46" s="4572">
        <f>SUM(G46,H46,I46)</f>
        <v>1</v>
      </c>
      <c r="K46" s="1894">
        <f>+J46/F46</f>
        <v>1</v>
      </c>
      <c r="L46" s="4582"/>
      <c r="M46" s="4583"/>
      <c r="N46" s="4584">
        <v>1</v>
      </c>
      <c r="O46" s="4583"/>
      <c r="P46" s="4585">
        <f>SUM(L46:O46)</f>
        <v>1</v>
      </c>
      <c r="Q46" s="4574">
        <f>F46-J46</f>
        <v>0</v>
      </c>
      <c r="R46" s="1899">
        <f>1-K46</f>
        <v>0</v>
      </c>
    </row>
    <row r="47" spans="1:19" x14ac:dyDescent="0.3">
      <c r="B47" s="4577" t="s">
        <v>115</v>
      </c>
      <c r="C47" s="4578">
        <v>1</v>
      </c>
      <c r="D47" s="4579">
        <v>1</v>
      </c>
      <c r="E47" s="4579">
        <v>1</v>
      </c>
      <c r="F47" s="4569">
        <f>SUM(C47,D47,E47)</f>
        <v>3</v>
      </c>
      <c r="G47" s="4580"/>
      <c r="H47" s="4579">
        <v>1</v>
      </c>
      <c r="I47" s="4581">
        <v>1</v>
      </c>
      <c r="J47" s="4572">
        <f>SUM(G47,H47,I47)</f>
        <v>2</v>
      </c>
      <c r="K47" s="1894">
        <f>+J47/F47</f>
        <v>0.66666666666666663</v>
      </c>
      <c r="L47" s="4582"/>
      <c r="M47" s="4583"/>
      <c r="N47" s="4583">
        <v>2</v>
      </c>
      <c r="O47" s="4583"/>
      <c r="P47" s="4585">
        <f>SUM(L47:O47)</f>
        <v>2</v>
      </c>
      <c r="Q47" s="4574">
        <f>F47-J47</f>
        <v>1</v>
      </c>
      <c r="R47" s="1899">
        <f>1-K47</f>
        <v>0.33333333333333337</v>
      </c>
    </row>
    <row r="48" spans="1:19" x14ac:dyDescent="0.3">
      <c r="B48" s="1130" t="s">
        <v>134</v>
      </c>
      <c r="C48" s="4586">
        <f>SUM(C45:C47)</f>
        <v>1</v>
      </c>
      <c r="D48" s="4587">
        <f>SUM(D45:D47)</f>
        <v>3</v>
      </c>
      <c r="E48" s="4587">
        <f>SUM(E45:E47)</f>
        <v>2</v>
      </c>
      <c r="F48" s="4588">
        <f>SUM(F45:F47)</f>
        <v>6</v>
      </c>
      <c r="G48" s="4589"/>
      <c r="H48" s="4587">
        <f>SUM(H45:H47)</f>
        <v>3</v>
      </c>
      <c r="I48" s="4590">
        <f>SUM(I45:I47)</f>
        <v>2</v>
      </c>
      <c r="J48" s="4591">
        <f>SUM(J45:J47)</f>
        <v>5</v>
      </c>
      <c r="K48" s="1907">
        <f>+J48/F48</f>
        <v>0.83333333333333337</v>
      </c>
      <c r="L48" s="4592">
        <f t="shared" ref="L48:Q48" si="10">SUM(L45:L47)</f>
        <v>0</v>
      </c>
      <c r="M48" s="4591">
        <f t="shared" si="10"/>
        <v>0</v>
      </c>
      <c r="N48" s="4591">
        <f t="shared" si="10"/>
        <v>5</v>
      </c>
      <c r="O48" s="4591">
        <f t="shared" si="10"/>
        <v>0</v>
      </c>
      <c r="P48" s="4593">
        <f t="shared" si="10"/>
        <v>5</v>
      </c>
      <c r="Q48" s="4591">
        <f t="shared" si="10"/>
        <v>1</v>
      </c>
      <c r="R48" s="1910">
        <f>1-K48</f>
        <v>0.16666666666666663</v>
      </c>
    </row>
    <row r="49" spans="2:18" x14ac:dyDescent="0.3">
      <c r="B49" s="4595"/>
      <c r="C49" s="4595"/>
      <c r="D49" s="4595"/>
      <c r="E49" s="4595"/>
      <c r="F49" s="4595"/>
      <c r="G49" s="4595"/>
      <c r="H49" s="4595"/>
      <c r="I49" s="4595"/>
      <c r="J49" s="4595"/>
      <c r="K49" s="4595"/>
      <c r="L49" s="4595"/>
      <c r="M49" s="4595"/>
      <c r="N49" s="4595"/>
      <c r="O49" s="4595"/>
      <c r="P49" s="4596"/>
      <c r="Q49" s="4595"/>
      <c r="R49" s="4595"/>
    </row>
    <row r="50" spans="2:18" x14ac:dyDescent="0.3">
      <c r="B50" s="4566" t="s">
        <v>59</v>
      </c>
      <c r="C50" s="4567"/>
      <c r="D50" s="4568">
        <v>7</v>
      </c>
      <c r="E50" s="4568">
        <v>6</v>
      </c>
      <c r="F50" s="4569">
        <f>SUM(C50,D50,E50)</f>
        <v>13</v>
      </c>
      <c r="G50" s="4570"/>
      <c r="H50" s="4568">
        <v>7</v>
      </c>
      <c r="I50" s="4571">
        <v>5</v>
      </c>
      <c r="J50" s="4572">
        <f>SUM(G50,H50,I50)</f>
        <v>12</v>
      </c>
      <c r="K50" s="1883">
        <f>+J50/F50</f>
        <v>0.92307692307692313</v>
      </c>
      <c r="L50" s="4573">
        <v>1</v>
      </c>
      <c r="M50" s="4574">
        <v>8</v>
      </c>
      <c r="N50" s="4574">
        <v>3</v>
      </c>
      <c r="O50" s="4575"/>
      <c r="P50" s="4576">
        <f>SUM(L50:O50)</f>
        <v>12</v>
      </c>
      <c r="Q50" s="4574">
        <f>F50-J50</f>
        <v>1</v>
      </c>
      <c r="R50" s="1888">
        <f>1-K50</f>
        <v>7.6923076923076872E-2</v>
      </c>
    </row>
    <row r="51" spans="2:18" x14ac:dyDescent="0.3">
      <c r="B51" s="4577" t="s">
        <v>64</v>
      </c>
      <c r="C51" s="4578">
        <v>1</v>
      </c>
      <c r="D51" s="4579">
        <v>5</v>
      </c>
      <c r="E51" s="4579">
        <v>5</v>
      </c>
      <c r="F51" s="4569">
        <f>SUM(C51,D51,E51)</f>
        <v>11</v>
      </c>
      <c r="G51" s="4580"/>
      <c r="H51" s="4579">
        <v>4</v>
      </c>
      <c r="I51" s="4581">
        <v>5</v>
      </c>
      <c r="J51" s="4572">
        <f>SUM(G51,H51,I51)</f>
        <v>9</v>
      </c>
      <c r="K51" s="1894">
        <f>+J51/F51</f>
        <v>0.81818181818181823</v>
      </c>
      <c r="L51" s="4582">
        <v>5</v>
      </c>
      <c r="M51" s="4583">
        <v>3</v>
      </c>
      <c r="N51" s="4584"/>
      <c r="O51" s="4583">
        <v>1</v>
      </c>
      <c r="P51" s="4585">
        <f>SUM(L51:O51)</f>
        <v>9</v>
      </c>
      <c r="Q51" s="4574">
        <f>F51-J51</f>
        <v>2</v>
      </c>
      <c r="R51" s="1899">
        <f>1-K51</f>
        <v>0.18181818181818177</v>
      </c>
    </row>
    <row r="52" spans="2:18" x14ac:dyDescent="0.3">
      <c r="B52" s="4577" t="s">
        <v>92</v>
      </c>
      <c r="C52" s="4578">
        <v>2</v>
      </c>
      <c r="D52" s="4579">
        <v>4</v>
      </c>
      <c r="E52" s="4579">
        <v>2</v>
      </c>
      <c r="F52" s="4569">
        <f>SUM(C52,D52,E52)</f>
        <v>8</v>
      </c>
      <c r="G52" s="4580"/>
      <c r="H52" s="4579">
        <v>4</v>
      </c>
      <c r="I52" s="4581">
        <v>2</v>
      </c>
      <c r="J52" s="4572">
        <f>SUM(G52,H52,I52)</f>
        <v>6</v>
      </c>
      <c r="K52" s="1894">
        <f>+J52/F52</f>
        <v>0.75</v>
      </c>
      <c r="L52" s="4582">
        <v>2</v>
      </c>
      <c r="M52" s="4583">
        <v>3</v>
      </c>
      <c r="N52" s="4583">
        <v>1</v>
      </c>
      <c r="O52" s="4583"/>
      <c r="P52" s="4585">
        <f>SUM(L52:O52)</f>
        <v>6</v>
      </c>
      <c r="Q52" s="4574">
        <f>F52-J52</f>
        <v>2</v>
      </c>
      <c r="R52" s="1899">
        <f>1-K52</f>
        <v>0.25</v>
      </c>
    </row>
    <row r="53" spans="2:18" x14ac:dyDescent="0.3">
      <c r="B53" s="4597" t="s">
        <v>548</v>
      </c>
      <c r="C53" s="4598">
        <v>1</v>
      </c>
      <c r="D53" s="4599">
        <v>1</v>
      </c>
      <c r="E53" s="4599">
        <v>1</v>
      </c>
      <c r="F53" s="4569">
        <f>SUM(C53,D53,E53)</f>
        <v>3</v>
      </c>
      <c r="G53" s="4600"/>
      <c r="H53" s="4599">
        <v>1</v>
      </c>
      <c r="I53" s="4601">
        <v>1</v>
      </c>
      <c r="J53" s="4572">
        <f>SUM(G53,H53,I53)</f>
        <v>2</v>
      </c>
      <c r="K53" s="1894">
        <f>+J53/F53</f>
        <v>0.66666666666666663</v>
      </c>
      <c r="L53" s="4602"/>
      <c r="M53" s="4603"/>
      <c r="N53" s="4603">
        <v>2</v>
      </c>
      <c r="O53" s="4603"/>
      <c r="P53" s="4585">
        <f>SUM(L53:O53)</f>
        <v>2</v>
      </c>
      <c r="Q53" s="4574">
        <f>F53-J53</f>
        <v>1</v>
      </c>
      <c r="R53" s="1899">
        <f>1-K53</f>
        <v>0.33333333333333337</v>
      </c>
    </row>
    <row r="54" spans="2:18" x14ac:dyDescent="0.3">
      <c r="B54" s="1138" t="s">
        <v>135</v>
      </c>
      <c r="C54" s="4586">
        <f>SUM(C51:C53)</f>
        <v>4</v>
      </c>
      <c r="D54" s="4587">
        <f>SUM(D50:D53)</f>
        <v>17</v>
      </c>
      <c r="E54" s="4587">
        <f>SUM(E50:E53)</f>
        <v>14</v>
      </c>
      <c r="F54" s="4588">
        <f>SUM(F50:F53)</f>
        <v>35</v>
      </c>
      <c r="G54" s="4589"/>
      <c r="H54" s="4587">
        <f>SUM(H50:H53)</f>
        <v>16</v>
      </c>
      <c r="I54" s="4590">
        <f>SUM(I50:I53)</f>
        <v>13</v>
      </c>
      <c r="J54" s="4591">
        <f>SUM(J50:J53)</f>
        <v>29</v>
      </c>
      <c r="K54" s="1907">
        <f>+J54/F54</f>
        <v>0.82857142857142863</v>
      </c>
      <c r="L54" s="4592">
        <f>SUM(L49:L53)</f>
        <v>8</v>
      </c>
      <c r="M54" s="4591">
        <f t="shared" ref="M54:O54" si="11">SUM(M49:M53)</f>
        <v>14</v>
      </c>
      <c r="N54" s="4591">
        <f t="shared" si="11"/>
        <v>6</v>
      </c>
      <c r="O54" s="4591">
        <f t="shared" si="11"/>
        <v>1</v>
      </c>
      <c r="P54" s="4593">
        <f>SUM(P50:P53)</f>
        <v>29</v>
      </c>
      <c r="Q54" s="4591">
        <f>SUM(Q50:Q53)</f>
        <v>6</v>
      </c>
      <c r="R54" s="1910">
        <f>1-K54</f>
        <v>0.17142857142857137</v>
      </c>
    </row>
    <row r="55" spans="2:18" x14ac:dyDescent="0.3">
      <c r="B55" s="1923"/>
      <c r="C55" s="1923"/>
      <c r="D55" s="1923"/>
      <c r="E55" s="1923"/>
      <c r="F55" s="1923"/>
      <c r="G55" s="1923"/>
      <c r="H55" s="1923"/>
      <c r="I55" s="1923"/>
      <c r="J55" s="1923"/>
      <c r="K55" s="1923"/>
      <c r="L55" s="1923"/>
      <c r="M55" s="1923"/>
      <c r="N55" s="1923"/>
      <c r="O55" s="1923"/>
      <c r="P55" s="1923"/>
      <c r="Q55" s="1923"/>
      <c r="R55" s="1923"/>
    </row>
    <row r="56" spans="2:18" x14ac:dyDescent="0.3">
      <c r="B56" s="4566" t="s">
        <v>64</v>
      </c>
      <c r="C56" s="4567">
        <v>1</v>
      </c>
      <c r="D56" s="4568">
        <v>9</v>
      </c>
      <c r="E56" s="4568">
        <v>4</v>
      </c>
      <c r="F56" s="4569">
        <f>SUM(C56,D56,E56)</f>
        <v>14</v>
      </c>
      <c r="G56" s="4570"/>
      <c r="H56" s="4568">
        <v>8</v>
      </c>
      <c r="I56" s="4571">
        <v>4</v>
      </c>
      <c r="J56" s="4572">
        <f>SUM(G56,H56,I56)</f>
        <v>12</v>
      </c>
      <c r="K56" s="1883">
        <f>+J56/F56</f>
        <v>0.8571428571428571</v>
      </c>
      <c r="L56" s="4573">
        <v>2</v>
      </c>
      <c r="M56" s="4574">
        <v>5</v>
      </c>
      <c r="N56" s="4574">
        <v>3</v>
      </c>
      <c r="O56" s="4575">
        <v>2</v>
      </c>
      <c r="P56" s="4576">
        <f>SUM(L56:O56)</f>
        <v>12</v>
      </c>
      <c r="Q56" s="4574">
        <f>F56-J56</f>
        <v>2</v>
      </c>
      <c r="R56" s="1888">
        <f>1-K56</f>
        <v>0.1428571428571429</v>
      </c>
    </row>
    <row r="57" spans="2:18" x14ac:dyDescent="0.3">
      <c r="B57" s="4577" t="s">
        <v>92</v>
      </c>
      <c r="C57" s="4578">
        <v>1</v>
      </c>
      <c r="D57" s="4579">
        <v>9</v>
      </c>
      <c r="E57" s="4579">
        <v>3</v>
      </c>
      <c r="F57" s="4569">
        <f>SUM(C57,D57,E57)</f>
        <v>13</v>
      </c>
      <c r="G57" s="4580"/>
      <c r="H57" s="4579">
        <v>8</v>
      </c>
      <c r="I57" s="4581">
        <v>2</v>
      </c>
      <c r="J57" s="4572">
        <f>SUM(G57,H57,I57)</f>
        <v>10</v>
      </c>
      <c r="K57" s="1894">
        <f>+J57/F57</f>
        <v>0.76923076923076927</v>
      </c>
      <c r="L57" s="4582"/>
      <c r="M57" s="4583">
        <v>5</v>
      </c>
      <c r="N57" s="4584">
        <v>5</v>
      </c>
      <c r="O57" s="4583">
        <v>1</v>
      </c>
      <c r="P57" s="4585">
        <f>SUM(M57:O57)</f>
        <v>11</v>
      </c>
      <c r="Q57" s="4574">
        <f>F57-J57</f>
        <v>3</v>
      </c>
      <c r="R57" s="1899">
        <f>1-K57</f>
        <v>0.23076923076923073</v>
      </c>
    </row>
    <row r="58" spans="2:18" x14ac:dyDescent="0.3">
      <c r="B58" s="4577" t="s">
        <v>68</v>
      </c>
      <c r="C58" s="4578"/>
      <c r="D58" s="4579">
        <v>3</v>
      </c>
      <c r="E58" s="4579">
        <v>1</v>
      </c>
      <c r="F58" s="4569">
        <f>SUM(C58,D58,E58)</f>
        <v>4</v>
      </c>
      <c r="G58" s="4580"/>
      <c r="H58" s="4579">
        <v>2</v>
      </c>
      <c r="I58" s="4581">
        <v>1</v>
      </c>
      <c r="J58" s="4572">
        <f>SUM(G58,H58,I58)</f>
        <v>3</v>
      </c>
      <c r="K58" s="1894">
        <f>+J58/F58</f>
        <v>0.75</v>
      </c>
      <c r="L58" s="4582"/>
      <c r="M58" s="4583"/>
      <c r="N58" s="4583">
        <v>2</v>
      </c>
      <c r="O58" s="4583"/>
      <c r="P58" s="4585">
        <f>SUM(M58:O58)</f>
        <v>2</v>
      </c>
      <c r="Q58" s="4574">
        <f>F58-J58</f>
        <v>1</v>
      </c>
      <c r="R58" s="1899">
        <f>1-K58</f>
        <v>0.25</v>
      </c>
    </row>
    <row r="59" spans="2:18" x14ac:dyDescent="0.3">
      <c r="B59" s="1151" t="s">
        <v>137</v>
      </c>
      <c r="C59" s="4586">
        <f>SUM(C56:C58)</f>
        <v>2</v>
      </c>
      <c r="D59" s="4587">
        <f>SUM(D56:D58)</f>
        <v>21</v>
      </c>
      <c r="E59" s="4587">
        <f>SUM(E56:E58)</f>
        <v>8</v>
      </c>
      <c r="F59" s="4588">
        <f>SUM(F56:F58)</f>
        <v>31</v>
      </c>
      <c r="G59" s="4589"/>
      <c r="H59" s="4587">
        <f>SUM(H56:H58)</f>
        <v>18</v>
      </c>
      <c r="I59" s="4590">
        <f>SUM(I56:I58)</f>
        <v>7</v>
      </c>
      <c r="J59" s="4591">
        <f>SUM(J56:J58)</f>
        <v>25</v>
      </c>
      <c r="K59" s="1907">
        <f>+J59/F59</f>
        <v>0.80645161290322576</v>
      </c>
      <c r="L59" s="4592">
        <f t="shared" ref="L59:Q59" si="12">SUM(L56:L58)</f>
        <v>2</v>
      </c>
      <c r="M59" s="4591">
        <f t="shared" si="12"/>
        <v>10</v>
      </c>
      <c r="N59" s="4591">
        <f t="shared" si="12"/>
        <v>10</v>
      </c>
      <c r="O59" s="4591">
        <f t="shared" si="12"/>
        <v>3</v>
      </c>
      <c r="P59" s="4593">
        <f t="shared" si="12"/>
        <v>25</v>
      </c>
      <c r="Q59" s="4591">
        <f t="shared" si="12"/>
        <v>6</v>
      </c>
      <c r="R59" s="1910">
        <f>1-K59</f>
        <v>0.19354838709677424</v>
      </c>
    </row>
    <row r="60" spans="2:18" x14ac:dyDescent="0.3">
      <c r="B60" s="4604"/>
      <c r="C60" s="4604"/>
      <c r="D60" s="4604"/>
      <c r="E60" s="4604"/>
      <c r="F60" s="4604"/>
      <c r="G60" s="4604"/>
      <c r="H60" s="4604"/>
      <c r="I60" s="4604"/>
      <c r="J60" s="4604"/>
      <c r="K60" s="4604"/>
      <c r="L60" s="4604"/>
      <c r="M60" s="4604"/>
      <c r="N60" s="4604"/>
      <c r="O60" s="4604"/>
      <c r="P60" s="4604"/>
      <c r="Q60" s="4604"/>
      <c r="R60" s="4604"/>
    </row>
    <row r="61" spans="2:18" x14ac:dyDescent="0.3">
      <c r="B61" s="4566" t="s">
        <v>64</v>
      </c>
      <c r="C61" s="4567"/>
      <c r="D61" s="4568">
        <v>2</v>
      </c>
      <c r="E61" s="4568">
        <v>2</v>
      </c>
      <c r="F61" s="4569">
        <f>SUM(C61,D61,E61)</f>
        <v>4</v>
      </c>
      <c r="G61" s="4570"/>
      <c r="H61" s="4568">
        <v>1</v>
      </c>
      <c r="I61" s="4571">
        <v>1</v>
      </c>
      <c r="J61" s="4572">
        <f>SUM(G61,H61,I61)</f>
        <v>2</v>
      </c>
      <c r="K61" s="1883">
        <f>+J61/F61</f>
        <v>0.5</v>
      </c>
      <c r="L61" s="4573"/>
      <c r="M61" s="4574">
        <v>1</v>
      </c>
      <c r="N61" s="4574">
        <v>1</v>
      </c>
      <c r="O61" s="4575"/>
      <c r="P61" s="4605">
        <f>SUM(L61:O61)</f>
        <v>2</v>
      </c>
      <c r="Q61" s="4574">
        <f>F61-J61</f>
        <v>2</v>
      </c>
      <c r="R61" s="1888">
        <f>1-K61</f>
        <v>0.5</v>
      </c>
    </row>
    <row r="62" spans="2:18" x14ac:dyDescent="0.3">
      <c r="B62" s="4577" t="s">
        <v>561</v>
      </c>
      <c r="C62" s="4578"/>
      <c r="D62" s="4579"/>
      <c r="E62" s="4579">
        <v>1</v>
      </c>
      <c r="F62" s="4569">
        <f>SUM(C62,D62,E62)</f>
        <v>1</v>
      </c>
      <c r="G62" s="4580"/>
      <c r="H62" s="4579"/>
      <c r="I62" s="4581">
        <v>1</v>
      </c>
      <c r="J62" s="4572">
        <f>SUM(G62,H62,I62)</f>
        <v>1</v>
      </c>
      <c r="K62" s="1894">
        <f>+J62/F62</f>
        <v>1</v>
      </c>
      <c r="L62" s="4582"/>
      <c r="M62" s="4583">
        <v>1</v>
      </c>
      <c r="N62" s="4584"/>
      <c r="O62" s="4583"/>
      <c r="P62" s="4606">
        <f>SUM(L62:O62)</f>
        <v>1</v>
      </c>
      <c r="Q62" s="4574">
        <f>F62-J62</f>
        <v>0</v>
      </c>
      <c r="R62" s="1899">
        <f>1-K62</f>
        <v>0</v>
      </c>
    </row>
    <row r="63" spans="2:18" x14ac:dyDescent="0.3">
      <c r="B63" s="4590" t="s">
        <v>562</v>
      </c>
      <c r="C63" s="4607">
        <f>SUM(C61:C62)</f>
        <v>0</v>
      </c>
      <c r="D63" s="4608">
        <f>SUM(D61:D62)</f>
        <v>2</v>
      </c>
      <c r="E63" s="4608">
        <f>SUM(E61:E62)</f>
        <v>3</v>
      </c>
      <c r="F63" s="4588">
        <f>SUM(F61:F62)</f>
        <v>5</v>
      </c>
      <c r="G63" s="4609"/>
      <c r="H63" s="4608">
        <f>SUM(H61:H62)</f>
        <v>1</v>
      </c>
      <c r="I63" s="4610">
        <f>SUM(I61:I62)</f>
        <v>2</v>
      </c>
      <c r="J63" s="4591">
        <f>SUM(J61:J62)</f>
        <v>3</v>
      </c>
      <c r="K63" s="1907">
        <f>+J63/F63</f>
        <v>0.6</v>
      </c>
      <c r="L63" s="4592">
        <f t="shared" ref="L63:Q63" si="13">SUM(L61:L62)</f>
        <v>0</v>
      </c>
      <c r="M63" s="4591">
        <f t="shared" si="13"/>
        <v>2</v>
      </c>
      <c r="N63" s="4591">
        <f t="shared" si="13"/>
        <v>1</v>
      </c>
      <c r="O63" s="4591">
        <f t="shared" si="13"/>
        <v>0</v>
      </c>
      <c r="P63" s="4593">
        <f t="shared" si="13"/>
        <v>3</v>
      </c>
      <c r="Q63" s="4591">
        <f t="shared" si="13"/>
        <v>2</v>
      </c>
      <c r="R63" s="1910">
        <f>1-K63</f>
        <v>0.4</v>
      </c>
    </row>
    <row r="64" spans="2:18" x14ac:dyDescent="0.3">
      <c r="B64" s="1241"/>
      <c r="C64" s="1241"/>
      <c r="D64" s="1241"/>
      <c r="E64" s="1241"/>
      <c r="F64" s="1241"/>
      <c r="G64" s="1241"/>
      <c r="H64" s="1241"/>
      <c r="I64" s="1241"/>
      <c r="J64" s="1241"/>
      <c r="K64" s="1241"/>
      <c r="L64" s="1241"/>
      <c r="M64" s="1241"/>
      <c r="N64" s="1241"/>
      <c r="O64" s="1241"/>
      <c r="P64" s="1241"/>
      <c r="Q64" s="1241"/>
      <c r="R64" s="1241"/>
    </row>
    <row r="65" spans="2:18" x14ac:dyDescent="0.3">
      <c r="B65" s="1157" t="s">
        <v>7</v>
      </c>
      <c r="C65" s="1158">
        <f t="shared" ref="C65:J65" si="14">SUM(C43,C48,C54,C59,C63)</f>
        <v>12</v>
      </c>
      <c r="D65" s="1159">
        <f t="shared" si="14"/>
        <v>61</v>
      </c>
      <c r="E65" s="1159">
        <f t="shared" si="14"/>
        <v>40</v>
      </c>
      <c r="F65" s="1158">
        <f t="shared" si="14"/>
        <v>113</v>
      </c>
      <c r="G65" s="4611">
        <f t="shared" si="14"/>
        <v>2</v>
      </c>
      <c r="H65" s="1159">
        <f t="shared" si="14"/>
        <v>50</v>
      </c>
      <c r="I65" s="1159">
        <f t="shared" si="14"/>
        <v>30</v>
      </c>
      <c r="J65" s="1158">
        <f t="shared" si="14"/>
        <v>82</v>
      </c>
      <c r="K65" s="1936">
        <f>+J65/F65</f>
        <v>0.72566371681415931</v>
      </c>
      <c r="L65" s="4612">
        <f>SUM(L43,L54,L59,L48,L63)</f>
        <v>10</v>
      </c>
      <c r="M65" s="4613">
        <f>SUM(M43,M54,M59,M48,M63)</f>
        <v>34</v>
      </c>
      <c r="N65" s="4613">
        <f>SUM(N43,N54,N59,N48,N63)</f>
        <v>32</v>
      </c>
      <c r="O65" s="4614">
        <f>SUM(O43,O54,O59,O48,O63)</f>
        <v>6</v>
      </c>
      <c r="P65" s="4615">
        <f>SUM(P43,P54,P59,P48,P63)</f>
        <v>82</v>
      </c>
      <c r="Q65" s="1159">
        <f>F65-J65</f>
        <v>31</v>
      </c>
      <c r="R65" s="1941">
        <f>1-K65</f>
        <v>0.27433628318584069</v>
      </c>
    </row>
    <row r="66" spans="2:18" x14ac:dyDescent="0.3">
      <c r="B66" s="4540"/>
      <c r="C66" s="4540"/>
      <c r="D66" s="4540"/>
      <c r="E66" s="4540"/>
      <c r="F66" s="4540"/>
      <c r="G66" s="4618"/>
      <c r="H66" s="4618"/>
      <c r="I66" s="4618"/>
      <c r="J66" s="4619"/>
      <c r="K66" s="4619"/>
      <c r="L66" s="4618"/>
      <c r="M66" s="4618"/>
      <c r="N66" s="4618"/>
      <c r="O66" s="4618"/>
      <c r="P66" s="4540"/>
      <c r="Q66" s="4616"/>
      <c r="R66" s="4616"/>
    </row>
    <row r="67" spans="2:18" x14ac:dyDescent="0.3">
      <c r="B67" s="4540"/>
      <c r="C67" s="4540"/>
      <c r="D67" s="4540"/>
      <c r="E67" s="4540"/>
      <c r="F67" s="4540"/>
      <c r="G67" s="4540"/>
      <c r="H67" s="4540"/>
      <c r="I67" s="4540"/>
      <c r="J67" s="4540"/>
      <c r="K67" s="4540"/>
      <c r="L67" s="4540"/>
      <c r="M67" s="4540"/>
      <c r="N67" s="4540"/>
      <c r="O67" s="4540"/>
      <c r="P67" s="1241"/>
      <c r="Q67" s="4540"/>
      <c r="R67" s="4617" t="s">
        <v>564</v>
      </c>
    </row>
    <row r="68" spans="2:18" ht="18" x14ac:dyDescent="0.35">
      <c r="B68" s="1862"/>
      <c r="C68" s="1862"/>
      <c r="D68" s="1862"/>
      <c r="E68" s="1862"/>
      <c r="F68" s="1862"/>
      <c r="G68" s="1862"/>
      <c r="H68" s="1862"/>
      <c r="I68" s="1862"/>
      <c r="J68" s="1862"/>
      <c r="K68" s="1862"/>
      <c r="L68" s="1862"/>
    </row>
    <row r="69" spans="2:18" ht="18" x14ac:dyDescent="0.35">
      <c r="B69" s="1862"/>
      <c r="C69" s="1862"/>
      <c r="D69" s="1862"/>
      <c r="E69" s="1862"/>
      <c r="F69" s="1862"/>
      <c r="G69" s="1862"/>
      <c r="H69" s="1862"/>
      <c r="I69" s="1862"/>
      <c r="J69" s="1862"/>
      <c r="K69" s="1862"/>
      <c r="L69" s="1862"/>
    </row>
    <row r="70" spans="2:18" ht="14.4" customHeight="1" x14ac:dyDescent="0.3">
      <c r="B70" s="5953" t="s">
        <v>267</v>
      </c>
      <c r="C70" s="5955" t="s">
        <v>555</v>
      </c>
      <c r="D70" s="5955"/>
      <c r="E70" s="5955"/>
      <c r="F70" s="5955"/>
      <c r="G70" s="5955" t="s">
        <v>556</v>
      </c>
      <c r="H70" s="5955"/>
      <c r="I70" s="5955"/>
      <c r="J70" s="5955"/>
      <c r="K70" s="5955"/>
      <c r="L70" s="5955" t="s">
        <v>557</v>
      </c>
      <c r="M70" s="5955"/>
      <c r="N70" s="5955"/>
      <c r="O70" s="5955"/>
      <c r="P70" s="5955"/>
      <c r="Q70" s="5956" t="s">
        <v>558</v>
      </c>
      <c r="R70" s="5956"/>
    </row>
    <row r="71" spans="2:18" ht="29.4" thickBot="1" x14ac:dyDescent="0.35">
      <c r="B71" s="5954"/>
      <c r="C71" s="1863" t="s">
        <v>463</v>
      </c>
      <c r="D71" s="1863" t="s">
        <v>517</v>
      </c>
      <c r="E71" s="1863" t="s">
        <v>559</v>
      </c>
      <c r="F71" s="1864" t="s">
        <v>560</v>
      </c>
      <c r="G71" s="1863" t="s">
        <v>463</v>
      </c>
      <c r="H71" s="1863" t="s">
        <v>517</v>
      </c>
      <c r="I71" s="1863" t="s">
        <v>559</v>
      </c>
      <c r="J71" s="1865" t="s">
        <v>560</v>
      </c>
      <c r="K71" s="1866" t="s">
        <v>272</v>
      </c>
      <c r="L71" s="1867" t="s">
        <v>542</v>
      </c>
      <c r="M71" s="1867" t="s">
        <v>523</v>
      </c>
      <c r="N71" s="1867" t="s">
        <v>524</v>
      </c>
      <c r="O71" s="1867" t="s">
        <v>525</v>
      </c>
      <c r="P71" s="1868" t="s">
        <v>560</v>
      </c>
      <c r="Q71" s="1869" t="s">
        <v>48</v>
      </c>
      <c r="R71" s="1870" t="s">
        <v>272</v>
      </c>
    </row>
    <row r="72" spans="2:18" x14ac:dyDescent="0.3">
      <c r="B72" s="1871"/>
      <c r="C72" s="1871"/>
      <c r="D72" s="1871"/>
      <c r="E72" s="1871"/>
      <c r="F72" s="1871"/>
      <c r="G72" s="1872"/>
      <c r="H72" s="1872"/>
      <c r="I72" s="1872"/>
      <c r="J72" s="1872"/>
      <c r="K72" s="1872"/>
      <c r="L72" s="1871"/>
      <c r="M72" s="1873"/>
      <c r="N72" s="1873"/>
      <c r="O72" s="1873"/>
      <c r="P72" s="1874"/>
      <c r="Q72" s="1875"/>
    </row>
    <row r="73" spans="2:18" x14ac:dyDescent="0.3">
      <c r="B73" s="1876" t="s">
        <v>59</v>
      </c>
      <c r="C73" s="1877"/>
      <c r="D73" s="1878">
        <v>6</v>
      </c>
      <c r="E73" s="1878">
        <v>4</v>
      </c>
      <c r="F73" s="1879">
        <f>SUM(C73,D73,E73)</f>
        <v>10</v>
      </c>
      <c r="G73" s="1880"/>
      <c r="H73" s="1878">
        <v>5</v>
      </c>
      <c r="I73" s="1881">
        <v>3</v>
      </c>
      <c r="J73" s="1882">
        <f>SUM(G73,H73,I73)</f>
        <v>8</v>
      </c>
      <c r="K73" s="1883">
        <f>+J73/F73</f>
        <v>0.8</v>
      </c>
      <c r="L73" s="1884"/>
      <c r="M73" s="1885">
        <v>4</v>
      </c>
      <c r="N73" s="1885">
        <v>3</v>
      </c>
      <c r="O73" s="1886">
        <v>1</v>
      </c>
      <c r="P73" s="1887">
        <f>SUM(L73:O73)</f>
        <v>8</v>
      </c>
      <c r="Q73" s="1885">
        <f>F73-J73</f>
        <v>2</v>
      </c>
      <c r="R73" s="1888">
        <f>1-K73</f>
        <v>0.19999999999999996</v>
      </c>
    </row>
    <row r="74" spans="2:18" x14ac:dyDescent="0.3">
      <c r="B74" s="1889" t="s">
        <v>64</v>
      </c>
      <c r="C74" s="1890">
        <v>4</v>
      </c>
      <c r="D74" s="1891">
        <v>6</v>
      </c>
      <c r="E74" s="1891">
        <v>2</v>
      </c>
      <c r="F74" s="1879">
        <f>SUM(C74,D74,E74)</f>
        <v>12</v>
      </c>
      <c r="G74" s="1892">
        <v>1</v>
      </c>
      <c r="H74" s="1891">
        <v>6</v>
      </c>
      <c r="I74" s="1893">
        <v>2</v>
      </c>
      <c r="J74" s="1882">
        <f>SUM(G74,H74,I74)</f>
        <v>9</v>
      </c>
      <c r="K74" s="1894">
        <f>+J74/F74</f>
        <v>0.75</v>
      </c>
      <c r="L74" s="1895"/>
      <c r="M74" s="1896">
        <v>4</v>
      </c>
      <c r="N74" s="1897">
        <v>4</v>
      </c>
      <c r="O74" s="1896">
        <v>1</v>
      </c>
      <c r="P74" s="1898">
        <f>SUM(L74:O74)</f>
        <v>9</v>
      </c>
      <c r="Q74" s="1885">
        <f>F74-J74</f>
        <v>3</v>
      </c>
      <c r="R74" s="1899">
        <f>1-K74</f>
        <v>0.25</v>
      </c>
    </row>
    <row r="75" spans="2:18" x14ac:dyDescent="0.3">
      <c r="B75" s="1889" t="s">
        <v>68</v>
      </c>
      <c r="C75" s="1890">
        <v>2</v>
      </c>
      <c r="D75" s="1891">
        <v>6</v>
      </c>
      <c r="E75" s="1891">
        <v>6</v>
      </c>
      <c r="F75" s="1879">
        <f>SUM(C75,D75,E75)</f>
        <v>14</v>
      </c>
      <c r="G75" s="1892">
        <v>1</v>
      </c>
      <c r="H75" s="1891">
        <v>1</v>
      </c>
      <c r="I75" s="1893">
        <v>1</v>
      </c>
      <c r="J75" s="1882">
        <f>SUM(G75,H75,I75)</f>
        <v>3</v>
      </c>
      <c r="K75" s="1894">
        <f>+J75/F75</f>
        <v>0.21428571428571427</v>
      </c>
      <c r="L75" s="1895"/>
      <c r="M75" s="1896"/>
      <c r="N75" s="1896">
        <v>3</v>
      </c>
      <c r="O75" s="1896"/>
      <c r="P75" s="1898">
        <f>SUM(L75:O75)</f>
        <v>3</v>
      </c>
      <c r="Q75" s="1885">
        <f>F75-J75</f>
        <v>11</v>
      </c>
      <c r="R75" s="1899">
        <f>1-K75</f>
        <v>0.7857142857142857</v>
      </c>
    </row>
    <row r="76" spans="2:18" x14ac:dyDescent="0.3">
      <c r="B76" s="1900" t="s">
        <v>138</v>
      </c>
      <c r="C76" s="1901">
        <f t="shared" ref="C76:J76" si="15">SUM(C73:C75)</f>
        <v>6</v>
      </c>
      <c r="D76" s="1902">
        <f t="shared" si="15"/>
        <v>18</v>
      </c>
      <c r="E76" s="1902">
        <f t="shared" si="15"/>
        <v>12</v>
      </c>
      <c r="F76" s="1903">
        <f t="shared" si="15"/>
        <v>36</v>
      </c>
      <c r="G76" s="1904">
        <f t="shared" si="15"/>
        <v>2</v>
      </c>
      <c r="H76" s="1902">
        <f t="shared" si="15"/>
        <v>12</v>
      </c>
      <c r="I76" s="1905">
        <f t="shared" si="15"/>
        <v>6</v>
      </c>
      <c r="J76" s="1906">
        <f t="shared" si="15"/>
        <v>20</v>
      </c>
      <c r="K76" s="1907">
        <f>+J76/F76</f>
        <v>0.55555555555555558</v>
      </c>
      <c r="L76" s="1908">
        <f t="shared" ref="L76:Q76" si="16">SUM(L73:L75)</f>
        <v>0</v>
      </c>
      <c r="M76" s="1906">
        <f t="shared" si="16"/>
        <v>8</v>
      </c>
      <c r="N76" s="1906">
        <f t="shared" si="16"/>
        <v>10</v>
      </c>
      <c r="O76" s="1906">
        <f t="shared" si="16"/>
        <v>2</v>
      </c>
      <c r="P76" s="1909">
        <f t="shared" si="16"/>
        <v>20</v>
      </c>
      <c r="Q76" s="1906">
        <f t="shared" si="16"/>
        <v>16</v>
      </c>
      <c r="R76" s="1910">
        <f>1-K76</f>
        <v>0.44444444444444442</v>
      </c>
    </row>
    <row r="77" spans="2:18" x14ac:dyDescent="0.3">
      <c r="B77" s="1911"/>
      <c r="C77" s="1911"/>
      <c r="D77" s="1911"/>
      <c r="E77" s="1911"/>
      <c r="F77" s="1911"/>
      <c r="G77" s="1911"/>
      <c r="H77" s="1911"/>
      <c r="I77" s="1911"/>
      <c r="J77" s="1911"/>
      <c r="K77" s="1911"/>
      <c r="L77" s="1911"/>
      <c r="M77" s="1911"/>
      <c r="N77" s="1911"/>
      <c r="O77" s="1911"/>
      <c r="P77" s="1911"/>
      <c r="Q77" s="1911"/>
      <c r="R77" s="1911"/>
    </row>
    <row r="78" spans="2:18" x14ac:dyDescent="0.3">
      <c r="B78" s="1876" t="s">
        <v>64</v>
      </c>
      <c r="C78" s="1877"/>
      <c r="D78" s="1878">
        <v>1</v>
      </c>
      <c r="E78" s="1878">
        <v>1</v>
      </c>
      <c r="F78" s="1879">
        <f>SUM(C78,D78,E78)</f>
        <v>2</v>
      </c>
      <c r="G78" s="1880"/>
      <c r="H78" s="1878">
        <v>1</v>
      </c>
      <c r="I78" s="1881">
        <v>1</v>
      </c>
      <c r="J78" s="1882">
        <f>SUM(G78,H78,I78)</f>
        <v>2</v>
      </c>
      <c r="K78" s="1883">
        <f>+J78/F78</f>
        <v>1</v>
      </c>
      <c r="L78" s="1884"/>
      <c r="M78" s="1885"/>
      <c r="N78" s="1885">
        <v>2</v>
      </c>
      <c r="O78" s="1886"/>
      <c r="P78" s="1887">
        <f>SUM(L78:O78)</f>
        <v>2</v>
      </c>
      <c r="Q78" s="1885">
        <f>F78-J78</f>
        <v>0</v>
      </c>
      <c r="R78" s="1888">
        <f>1-K78</f>
        <v>0</v>
      </c>
    </row>
    <row r="79" spans="2:18" x14ac:dyDescent="0.3">
      <c r="B79" s="1889" t="s">
        <v>111</v>
      </c>
      <c r="C79" s="1890"/>
      <c r="D79" s="1891">
        <v>1</v>
      </c>
      <c r="E79" s="1891"/>
      <c r="F79" s="1879">
        <f>SUM(C79,D79,E79)</f>
        <v>1</v>
      </c>
      <c r="G79" s="1892"/>
      <c r="H79" s="1891">
        <v>1</v>
      </c>
      <c r="I79" s="1893"/>
      <c r="J79" s="1882">
        <f>SUM(G79,H79,I79)</f>
        <v>1</v>
      </c>
      <c r="K79" s="1894">
        <f>+J79/F79</f>
        <v>1</v>
      </c>
      <c r="L79" s="1895"/>
      <c r="M79" s="1896"/>
      <c r="N79" s="1897">
        <v>1</v>
      </c>
      <c r="O79" s="1896"/>
      <c r="P79" s="1898">
        <f>SUM(L79:O79)</f>
        <v>1</v>
      </c>
      <c r="Q79" s="1885">
        <f>F79-J79</f>
        <v>0</v>
      </c>
      <c r="R79" s="1899">
        <f>1-K79</f>
        <v>0</v>
      </c>
    </row>
    <row r="80" spans="2:18" x14ac:dyDescent="0.3">
      <c r="B80" s="1889" t="s">
        <v>115</v>
      </c>
      <c r="C80" s="1890">
        <v>1</v>
      </c>
      <c r="D80" s="1891">
        <v>1</v>
      </c>
      <c r="E80" s="1891">
        <v>1</v>
      </c>
      <c r="F80" s="1879">
        <f>SUM(C80,D80,E80)</f>
        <v>3</v>
      </c>
      <c r="G80" s="1892"/>
      <c r="H80" s="1891">
        <v>1</v>
      </c>
      <c r="I80" s="1893">
        <v>1</v>
      </c>
      <c r="J80" s="1882">
        <f>SUM(G80,H80,I80)</f>
        <v>2</v>
      </c>
      <c r="K80" s="1894">
        <f>+J80/F80</f>
        <v>0.66666666666666663</v>
      </c>
      <c r="L80" s="1895"/>
      <c r="M80" s="1896"/>
      <c r="N80" s="1896">
        <v>2</v>
      </c>
      <c r="O80" s="1896"/>
      <c r="P80" s="1898">
        <f>SUM(L80:O80)</f>
        <v>2</v>
      </c>
      <c r="Q80" s="1885">
        <f>F80-J80</f>
        <v>1</v>
      </c>
      <c r="R80" s="1899">
        <f>1-K80</f>
        <v>0.33333333333333337</v>
      </c>
    </row>
    <row r="81" spans="2:18" x14ac:dyDescent="0.3">
      <c r="B81" s="1912" t="s">
        <v>134</v>
      </c>
      <c r="C81" s="1901">
        <f>SUM(C78:C80)</f>
        <v>1</v>
      </c>
      <c r="D81" s="1902">
        <f>SUM(D78:D80)</f>
        <v>3</v>
      </c>
      <c r="E81" s="1902">
        <f>SUM(E78:E80)</f>
        <v>2</v>
      </c>
      <c r="F81" s="1903">
        <f>SUM(F78:F80)</f>
        <v>6</v>
      </c>
      <c r="G81" s="1904"/>
      <c r="H81" s="1902">
        <f>SUM(H78:H80)</f>
        <v>3</v>
      </c>
      <c r="I81" s="1905">
        <f>SUM(I78:I80)</f>
        <v>2</v>
      </c>
      <c r="J81" s="1906">
        <f>SUM(J78:J80)</f>
        <v>5</v>
      </c>
      <c r="K81" s="1907">
        <f>+J81/F81</f>
        <v>0.83333333333333337</v>
      </c>
      <c r="L81" s="1908">
        <f t="shared" ref="L81:Q81" si="17">SUM(L78:L80)</f>
        <v>0</v>
      </c>
      <c r="M81" s="1906">
        <f t="shared" si="17"/>
        <v>0</v>
      </c>
      <c r="N81" s="1906">
        <f t="shared" si="17"/>
        <v>5</v>
      </c>
      <c r="O81" s="1906">
        <f t="shared" si="17"/>
        <v>0</v>
      </c>
      <c r="P81" s="1909">
        <f t="shared" si="17"/>
        <v>5</v>
      </c>
      <c r="Q81" s="1906">
        <f t="shared" si="17"/>
        <v>1</v>
      </c>
      <c r="R81" s="1910">
        <f>1-K81</f>
        <v>0.16666666666666663</v>
      </c>
    </row>
    <row r="82" spans="2:18" x14ac:dyDescent="0.3">
      <c r="B82" s="1913"/>
      <c r="C82" s="1913"/>
      <c r="D82" s="1913"/>
      <c r="E82" s="1913"/>
      <c r="F82" s="1913"/>
      <c r="G82" s="1913"/>
      <c r="H82" s="1913"/>
      <c r="I82" s="1913"/>
      <c r="J82" s="1913"/>
      <c r="K82" s="1913"/>
      <c r="L82" s="1913"/>
      <c r="M82" s="1913"/>
      <c r="N82" s="1913"/>
      <c r="O82" s="1913"/>
      <c r="P82" s="1914"/>
      <c r="Q82" s="1913"/>
      <c r="R82" s="1913"/>
    </row>
    <row r="83" spans="2:18" x14ac:dyDescent="0.3">
      <c r="B83" s="1876" t="s">
        <v>59</v>
      </c>
      <c r="C83" s="1877"/>
      <c r="D83" s="1878">
        <v>7</v>
      </c>
      <c r="E83" s="1878">
        <v>6</v>
      </c>
      <c r="F83" s="1879">
        <f>SUM(C83,D83,E83)</f>
        <v>13</v>
      </c>
      <c r="G83" s="1880"/>
      <c r="H83" s="1878">
        <v>7</v>
      </c>
      <c r="I83" s="1881">
        <v>5</v>
      </c>
      <c r="J83" s="1882">
        <f>SUM(G83,H83,I83)</f>
        <v>12</v>
      </c>
      <c r="K83" s="1883">
        <f>+J83/F83</f>
        <v>0.92307692307692313</v>
      </c>
      <c r="L83" s="1884"/>
      <c r="M83" s="1885">
        <v>8</v>
      </c>
      <c r="N83" s="1885">
        <v>4</v>
      </c>
      <c r="O83" s="1886"/>
      <c r="P83" s="1887">
        <f>SUM(L83:O83)</f>
        <v>12</v>
      </c>
      <c r="Q83" s="1885">
        <f>F83-J83</f>
        <v>1</v>
      </c>
      <c r="R83" s="1888">
        <f>1-K83</f>
        <v>7.6923076923076872E-2</v>
      </c>
    </row>
    <row r="84" spans="2:18" x14ac:dyDescent="0.3">
      <c r="B84" s="1889" t="s">
        <v>64</v>
      </c>
      <c r="C84" s="1890">
        <v>1</v>
      </c>
      <c r="D84" s="1891">
        <v>5</v>
      </c>
      <c r="E84" s="1891">
        <v>5</v>
      </c>
      <c r="F84" s="1879">
        <f>SUM(C84,D84,E84)</f>
        <v>11</v>
      </c>
      <c r="G84" s="1892"/>
      <c r="H84" s="1891">
        <v>4</v>
      </c>
      <c r="I84" s="1893">
        <v>5</v>
      </c>
      <c r="J84" s="1882">
        <f>SUM(G84,H84,I84)</f>
        <v>9</v>
      </c>
      <c r="K84" s="1894">
        <f>+J84/F84</f>
        <v>0.81818181818181823</v>
      </c>
      <c r="L84" s="1895">
        <v>5</v>
      </c>
      <c r="M84" s="1896">
        <v>3</v>
      </c>
      <c r="N84" s="1897"/>
      <c r="O84" s="1896">
        <v>1</v>
      </c>
      <c r="P84" s="1898">
        <f>SUM(L84:O84)</f>
        <v>9</v>
      </c>
      <c r="Q84" s="1885">
        <f>F84-J84</f>
        <v>2</v>
      </c>
      <c r="R84" s="1899">
        <f>1-K84</f>
        <v>0.18181818181818177</v>
      </c>
    </row>
    <row r="85" spans="2:18" x14ac:dyDescent="0.3">
      <c r="B85" s="1889" t="s">
        <v>92</v>
      </c>
      <c r="C85" s="1890">
        <v>2</v>
      </c>
      <c r="D85" s="1891">
        <v>4</v>
      </c>
      <c r="E85" s="1891">
        <v>2</v>
      </c>
      <c r="F85" s="1879">
        <f>SUM(C85,D85,E85)</f>
        <v>8</v>
      </c>
      <c r="G85" s="1892"/>
      <c r="H85" s="1891">
        <v>4</v>
      </c>
      <c r="I85" s="1893">
        <v>2</v>
      </c>
      <c r="J85" s="1882">
        <f>SUM(G85,H85,I85)</f>
        <v>6</v>
      </c>
      <c r="K85" s="1894">
        <f>+J85/F85</f>
        <v>0.75</v>
      </c>
      <c r="L85" s="1895">
        <v>1</v>
      </c>
      <c r="M85" s="1896">
        <v>4</v>
      </c>
      <c r="N85" s="1896">
        <v>1</v>
      </c>
      <c r="O85" s="1896"/>
      <c r="P85" s="1898">
        <f>SUM(L85:O85)</f>
        <v>6</v>
      </c>
      <c r="Q85" s="1885">
        <f>F85-J85</f>
        <v>2</v>
      </c>
      <c r="R85" s="1899">
        <f>1-K85</f>
        <v>0.25</v>
      </c>
    </row>
    <row r="86" spans="2:18" x14ac:dyDescent="0.3">
      <c r="B86" s="1915" t="s">
        <v>548</v>
      </c>
      <c r="C86" s="1916">
        <v>1</v>
      </c>
      <c r="D86" s="1917">
        <v>1</v>
      </c>
      <c r="E86" s="1917">
        <v>1</v>
      </c>
      <c r="F86" s="1879">
        <f>SUM(C86,D86,E86)</f>
        <v>3</v>
      </c>
      <c r="G86" s="1918"/>
      <c r="H86" s="1917">
        <v>1</v>
      </c>
      <c r="I86" s="1919">
        <v>1</v>
      </c>
      <c r="J86" s="1882">
        <f>SUM(G86,H86,I86)</f>
        <v>2</v>
      </c>
      <c r="K86" s="1894">
        <f>+J86/F86</f>
        <v>0.66666666666666663</v>
      </c>
      <c r="L86" s="1920"/>
      <c r="M86" s="1921"/>
      <c r="N86" s="1921">
        <v>2</v>
      </c>
      <c r="O86" s="1921"/>
      <c r="P86" s="1898">
        <f>SUM(L86:O86)</f>
        <v>2</v>
      </c>
      <c r="Q86" s="1885">
        <f>F86-J86</f>
        <v>1</v>
      </c>
      <c r="R86" s="1899">
        <f>1-K86</f>
        <v>0.33333333333333337</v>
      </c>
    </row>
    <row r="87" spans="2:18" x14ac:dyDescent="0.3">
      <c r="B87" s="1922" t="s">
        <v>135</v>
      </c>
      <c r="C87" s="1901">
        <f>SUM(C84:C86)</f>
        <v>4</v>
      </c>
      <c r="D87" s="1902">
        <f>SUM(D83:D86)</f>
        <v>17</v>
      </c>
      <c r="E87" s="1902">
        <f>SUM(E83:E86)</f>
        <v>14</v>
      </c>
      <c r="F87" s="1903">
        <f>SUM(F83:F86)</f>
        <v>35</v>
      </c>
      <c r="G87" s="1904"/>
      <c r="H87" s="1902">
        <f>SUM(H83:H86)</f>
        <v>16</v>
      </c>
      <c r="I87" s="1905">
        <f>SUM(I83:I86)</f>
        <v>13</v>
      </c>
      <c r="J87" s="1906">
        <f>SUM(J83:J86)</f>
        <v>29</v>
      </c>
      <c r="K87" s="1907">
        <f>+J87/F87</f>
        <v>0.82857142857142863</v>
      </c>
      <c r="L87" s="1908">
        <f>SUM(L82:L86)</f>
        <v>6</v>
      </c>
      <c r="M87" s="1906">
        <f t="shared" ref="M87:O87" si="18">SUM(M82:M86)</f>
        <v>15</v>
      </c>
      <c r="N87" s="1906">
        <f t="shared" si="18"/>
        <v>7</v>
      </c>
      <c r="O87" s="1906">
        <f t="shared" si="18"/>
        <v>1</v>
      </c>
      <c r="P87" s="1909">
        <f>SUM(P83:P86)</f>
        <v>29</v>
      </c>
      <c r="Q87" s="1906">
        <f>SUM(Q83:Q86)</f>
        <v>6</v>
      </c>
      <c r="R87" s="1910">
        <f>1-K87</f>
        <v>0.17142857142857137</v>
      </c>
    </row>
    <row r="88" spans="2:18" x14ac:dyDescent="0.3">
      <c r="B88" s="1923"/>
      <c r="C88" s="1923"/>
      <c r="D88" s="1923"/>
      <c r="E88" s="1923"/>
      <c r="F88" s="1923"/>
      <c r="G88" s="1923"/>
      <c r="H88" s="1923"/>
      <c r="I88" s="1923"/>
      <c r="J88" s="1923"/>
      <c r="K88" s="1923"/>
      <c r="L88" s="1923"/>
      <c r="M88" s="1923"/>
      <c r="N88" s="1923"/>
      <c r="O88" s="1923"/>
      <c r="P88" s="1923"/>
      <c r="Q88" s="1923"/>
      <c r="R88" s="1923"/>
    </row>
    <row r="89" spans="2:18" x14ac:dyDescent="0.3">
      <c r="B89" s="1876" t="s">
        <v>64</v>
      </c>
      <c r="C89" s="1877">
        <v>1</v>
      </c>
      <c r="D89" s="1878">
        <v>9</v>
      </c>
      <c r="E89" s="1878">
        <v>4</v>
      </c>
      <c r="F89" s="1879">
        <f>SUM(C89,D89,E89)</f>
        <v>14</v>
      </c>
      <c r="G89" s="1880"/>
      <c r="H89" s="1878">
        <v>8</v>
      </c>
      <c r="I89" s="1881">
        <v>4</v>
      </c>
      <c r="J89" s="1882">
        <f>SUM(G89,H89,I89)</f>
        <v>12</v>
      </c>
      <c r="K89" s="1883">
        <f>+J89/F89</f>
        <v>0.8571428571428571</v>
      </c>
      <c r="L89" s="1884">
        <v>2</v>
      </c>
      <c r="M89" s="1885">
        <v>5</v>
      </c>
      <c r="N89" s="1885">
        <v>3</v>
      </c>
      <c r="O89" s="1886">
        <v>2</v>
      </c>
      <c r="P89" s="1887">
        <f>SUM(L89:O89)</f>
        <v>12</v>
      </c>
      <c r="Q89" s="1885">
        <f>F89-J89</f>
        <v>2</v>
      </c>
      <c r="R89" s="1888">
        <f>1-K89</f>
        <v>0.1428571428571429</v>
      </c>
    </row>
    <row r="90" spans="2:18" x14ac:dyDescent="0.3">
      <c r="B90" s="1889" t="s">
        <v>92</v>
      </c>
      <c r="C90" s="1890">
        <v>1</v>
      </c>
      <c r="D90" s="1891">
        <v>9</v>
      </c>
      <c r="E90" s="1891">
        <v>3</v>
      </c>
      <c r="F90" s="1879">
        <f>SUM(C90,D90,E90)</f>
        <v>13</v>
      </c>
      <c r="G90" s="1892"/>
      <c r="H90" s="1891">
        <v>8</v>
      </c>
      <c r="I90" s="1893">
        <v>2</v>
      </c>
      <c r="J90" s="1882">
        <f>SUM(G90,H90,I90)</f>
        <v>10</v>
      </c>
      <c r="K90" s="1894">
        <f>+J90/F90</f>
        <v>0.76923076923076927</v>
      </c>
      <c r="L90" s="1895"/>
      <c r="M90" s="1896">
        <v>4</v>
      </c>
      <c r="N90" s="1897">
        <v>5</v>
      </c>
      <c r="O90" s="1896">
        <v>1</v>
      </c>
      <c r="P90" s="1898">
        <f>SUM(M90:O90)</f>
        <v>10</v>
      </c>
      <c r="Q90" s="1885">
        <f>F90-J90</f>
        <v>3</v>
      </c>
      <c r="R90" s="1899">
        <f>1-K90</f>
        <v>0.23076923076923073</v>
      </c>
    </row>
    <row r="91" spans="2:18" x14ac:dyDescent="0.3">
      <c r="B91" s="1889" t="s">
        <v>68</v>
      </c>
      <c r="C91" s="1890"/>
      <c r="D91" s="1891">
        <v>3</v>
      </c>
      <c r="E91" s="1891">
        <v>1</v>
      </c>
      <c r="F91" s="1879">
        <f>SUM(C91,D91,E91)</f>
        <v>4</v>
      </c>
      <c r="G91" s="1892"/>
      <c r="H91" s="1891">
        <v>2</v>
      </c>
      <c r="I91" s="1893">
        <v>1</v>
      </c>
      <c r="J91" s="1882">
        <f>SUM(G91,H91,I91)</f>
        <v>3</v>
      </c>
      <c r="K91" s="1894">
        <f>+J91/F91</f>
        <v>0.75</v>
      </c>
      <c r="L91" s="1895"/>
      <c r="M91" s="1896">
        <v>1</v>
      </c>
      <c r="N91" s="1896">
        <v>2</v>
      </c>
      <c r="O91" s="1896"/>
      <c r="P91" s="1898">
        <f>SUM(M91:O91)</f>
        <v>3</v>
      </c>
      <c r="Q91" s="1885">
        <f>F91-J91</f>
        <v>1</v>
      </c>
      <c r="R91" s="1899">
        <f>1-K91</f>
        <v>0.25</v>
      </c>
    </row>
    <row r="92" spans="2:18" x14ac:dyDescent="0.3">
      <c r="B92" s="1924" t="s">
        <v>137</v>
      </c>
      <c r="C92" s="1901">
        <f>SUM(C89:C91)</f>
        <v>2</v>
      </c>
      <c r="D92" s="1902">
        <f>SUM(D89:D91)</f>
        <v>21</v>
      </c>
      <c r="E92" s="1902">
        <f>SUM(E89:E91)</f>
        <v>8</v>
      </c>
      <c r="F92" s="1903">
        <f>SUM(F89:F91)</f>
        <v>31</v>
      </c>
      <c r="G92" s="1904"/>
      <c r="H92" s="1902">
        <f>SUM(H89:H91)</f>
        <v>18</v>
      </c>
      <c r="I92" s="1905">
        <f>SUM(I89:I91)</f>
        <v>7</v>
      </c>
      <c r="J92" s="1906">
        <f>SUM(J89:J91)</f>
        <v>25</v>
      </c>
      <c r="K92" s="1907">
        <f>+J92/F92</f>
        <v>0.80645161290322576</v>
      </c>
      <c r="L92" s="1908">
        <f t="shared" ref="L92:Q92" si="19">SUM(L89:L91)</f>
        <v>2</v>
      </c>
      <c r="M92" s="1906">
        <f t="shared" si="19"/>
        <v>10</v>
      </c>
      <c r="N92" s="1906">
        <f t="shared" si="19"/>
        <v>10</v>
      </c>
      <c r="O92" s="1906">
        <f t="shared" si="19"/>
        <v>3</v>
      </c>
      <c r="P92" s="1909">
        <f t="shared" si="19"/>
        <v>25</v>
      </c>
      <c r="Q92" s="1906">
        <f t="shared" si="19"/>
        <v>6</v>
      </c>
      <c r="R92" s="1910">
        <f>1-K92</f>
        <v>0.19354838709677424</v>
      </c>
    </row>
    <row r="93" spans="2:18" x14ac:dyDescent="0.3">
      <c r="B93" s="1925"/>
      <c r="C93" s="1925"/>
      <c r="D93" s="1925"/>
      <c r="E93" s="1925"/>
      <c r="F93" s="1925"/>
      <c r="G93" s="1925"/>
      <c r="H93" s="1925"/>
      <c r="I93" s="1925"/>
      <c r="J93" s="1925"/>
      <c r="K93" s="1925"/>
      <c r="L93" s="1925"/>
      <c r="M93" s="1925"/>
      <c r="N93" s="1925"/>
      <c r="O93" s="1925"/>
      <c r="P93" s="1925"/>
      <c r="Q93" s="1925"/>
      <c r="R93" s="1925"/>
    </row>
    <row r="94" spans="2:18" x14ac:dyDescent="0.3">
      <c r="B94" s="1876" t="s">
        <v>64</v>
      </c>
      <c r="C94" s="1877"/>
      <c r="D94" s="1878">
        <v>2</v>
      </c>
      <c r="E94" s="1878">
        <v>2</v>
      </c>
      <c r="F94" s="1879">
        <f>SUM(C94,D94,E94)</f>
        <v>4</v>
      </c>
      <c r="G94" s="1880"/>
      <c r="H94" s="1878"/>
      <c r="I94" s="1881">
        <v>1</v>
      </c>
      <c r="J94" s="1882">
        <f>SUM(G94,H94,I94)</f>
        <v>1</v>
      </c>
      <c r="K94" s="1883">
        <f>+J94/F94</f>
        <v>0.25</v>
      </c>
      <c r="L94" s="1884"/>
      <c r="M94" s="1885"/>
      <c r="N94" s="1885">
        <v>1</v>
      </c>
      <c r="O94" s="1886"/>
      <c r="P94" s="1926">
        <f>SUM(L94:O94)</f>
        <v>1</v>
      </c>
      <c r="Q94" s="1885">
        <f>F94-J94</f>
        <v>3</v>
      </c>
      <c r="R94" s="1888">
        <f>1-K94</f>
        <v>0.75</v>
      </c>
    </row>
    <row r="95" spans="2:18" x14ac:dyDescent="0.3">
      <c r="B95" s="1889" t="s">
        <v>561</v>
      </c>
      <c r="C95" s="1890"/>
      <c r="D95" s="1891"/>
      <c r="E95" s="1891">
        <v>1</v>
      </c>
      <c r="F95" s="1879">
        <f>SUM(C95,D95,E95)</f>
        <v>1</v>
      </c>
      <c r="G95" s="1892"/>
      <c r="H95" s="1891"/>
      <c r="I95" s="1893">
        <v>1</v>
      </c>
      <c r="J95" s="1882">
        <f>SUM(G95,H95,I95)</f>
        <v>1</v>
      </c>
      <c r="K95" s="1894">
        <f>+J95/F95</f>
        <v>1</v>
      </c>
      <c r="L95" s="1895"/>
      <c r="M95" s="1896">
        <v>1</v>
      </c>
      <c r="N95" s="1897"/>
      <c r="O95" s="1896"/>
      <c r="P95" s="1927">
        <f>SUM(L95:O95)</f>
        <v>1</v>
      </c>
      <c r="Q95" s="1885">
        <f>F95-J95</f>
        <v>0</v>
      </c>
      <c r="R95" s="1899">
        <f>1-K95</f>
        <v>0</v>
      </c>
    </row>
    <row r="96" spans="2:18" x14ac:dyDescent="0.3">
      <c r="B96" s="1905" t="s">
        <v>562</v>
      </c>
      <c r="C96" s="1928">
        <f>SUM(C94:C95)</f>
        <v>0</v>
      </c>
      <c r="D96" s="1929">
        <f>SUM(D94:D95)</f>
        <v>2</v>
      </c>
      <c r="E96" s="1929">
        <f>SUM(E94:E95)</f>
        <v>3</v>
      </c>
      <c r="F96" s="1903">
        <f>SUM(F94:F95)</f>
        <v>5</v>
      </c>
      <c r="G96" s="1930"/>
      <c r="H96" s="1929">
        <f>SUM(H94:H95)</f>
        <v>0</v>
      </c>
      <c r="I96" s="1931">
        <f>SUM(I94:I95)</f>
        <v>2</v>
      </c>
      <c r="J96" s="1906">
        <f>SUM(J94:J95)</f>
        <v>2</v>
      </c>
      <c r="K96" s="1907">
        <f>+J96/F96</f>
        <v>0.4</v>
      </c>
      <c r="L96" s="1908">
        <f t="shared" ref="L96:Q96" si="20">SUM(L94:L95)</f>
        <v>0</v>
      </c>
      <c r="M96" s="1906">
        <f t="shared" si="20"/>
        <v>1</v>
      </c>
      <c r="N96" s="1906">
        <f t="shared" si="20"/>
        <v>1</v>
      </c>
      <c r="O96" s="1906">
        <f t="shared" si="20"/>
        <v>0</v>
      </c>
      <c r="P96" s="1909">
        <f t="shared" si="20"/>
        <v>2</v>
      </c>
      <c r="Q96" s="1906">
        <f t="shared" si="20"/>
        <v>3</v>
      </c>
      <c r="R96" s="1910">
        <f>1-K96</f>
        <v>0.6</v>
      </c>
    </row>
    <row r="98" spans="1:18" x14ac:dyDescent="0.3">
      <c r="B98" s="1932" t="s">
        <v>563</v>
      </c>
      <c r="C98" s="1933">
        <f t="shared" ref="C98:J98" si="21">SUM(C76,C81,C87,C92,C96)</f>
        <v>13</v>
      </c>
      <c r="D98" s="1934">
        <f t="shared" si="21"/>
        <v>61</v>
      </c>
      <c r="E98" s="1934">
        <f t="shared" si="21"/>
        <v>39</v>
      </c>
      <c r="F98" s="1933">
        <f t="shared" si="21"/>
        <v>113</v>
      </c>
      <c r="G98" s="1935">
        <f t="shared" si="21"/>
        <v>2</v>
      </c>
      <c r="H98" s="1934">
        <f t="shared" si="21"/>
        <v>49</v>
      </c>
      <c r="I98" s="1934">
        <f t="shared" si="21"/>
        <v>30</v>
      </c>
      <c r="J98" s="1933">
        <f t="shared" si="21"/>
        <v>81</v>
      </c>
      <c r="K98" s="1936">
        <f>+J98/F98</f>
        <v>0.7168141592920354</v>
      </c>
      <c r="L98" s="1937">
        <f>SUM(L76,L87,L92,L81,L96)</f>
        <v>8</v>
      </c>
      <c r="M98" s="1938">
        <f>SUM(M76,M87,M92,M81,M96)</f>
        <v>34</v>
      </c>
      <c r="N98" s="1938">
        <f>SUM(N76,N87,N92,N81,N96)</f>
        <v>33</v>
      </c>
      <c r="O98" s="1939">
        <f>SUM(O76,O87,O92,O81,O96)</f>
        <v>6</v>
      </c>
      <c r="P98" s="1940">
        <f>SUM(P76,P87,P92,P81,P96)</f>
        <v>81</v>
      </c>
      <c r="Q98" s="1934">
        <f>F98-J98</f>
        <v>32</v>
      </c>
      <c r="R98" s="1941">
        <f>1-K98</f>
        <v>0.2831858407079646</v>
      </c>
    </row>
    <row r="99" spans="1:18" x14ac:dyDescent="0.3">
      <c r="B99" s="1873"/>
      <c r="C99" s="1873"/>
      <c r="D99" s="1873"/>
      <c r="E99" s="1873"/>
      <c r="F99" s="1873"/>
      <c r="G99" s="1942"/>
      <c r="H99" s="1942"/>
      <c r="I99" s="1942"/>
      <c r="J99" s="1873"/>
      <c r="K99" s="1873"/>
      <c r="L99" s="1942"/>
      <c r="M99" s="1942"/>
      <c r="N99" s="1942"/>
      <c r="O99" s="1942"/>
      <c r="P99" s="1873"/>
      <c r="Q99" s="1943"/>
      <c r="R99" s="1943"/>
    </row>
    <row r="100" spans="1:18" x14ac:dyDescent="0.3">
      <c r="B100" s="1873"/>
      <c r="C100" s="1873"/>
      <c r="D100" s="1873"/>
      <c r="E100" s="1873"/>
      <c r="F100" s="1873"/>
      <c r="G100" s="1873"/>
      <c r="H100" s="1873"/>
      <c r="I100" s="1873"/>
      <c r="J100" s="1873"/>
      <c r="K100" s="1873"/>
      <c r="L100" s="1873"/>
      <c r="M100" s="1873"/>
      <c r="N100" s="1873"/>
      <c r="O100" s="1873"/>
      <c r="Q100" s="1873"/>
      <c r="R100" s="1944" t="s">
        <v>564</v>
      </c>
    </row>
    <row r="101" spans="1:18" ht="18" x14ac:dyDescent="0.35">
      <c r="B101" s="1862"/>
      <c r="C101" s="1862"/>
      <c r="D101" s="1862"/>
      <c r="E101" s="1862"/>
      <c r="F101" s="1862"/>
      <c r="G101" s="1862"/>
      <c r="H101" s="1862"/>
      <c r="I101" s="1862"/>
      <c r="J101" s="1862"/>
      <c r="K101" s="1862"/>
      <c r="L101" s="1862"/>
    </row>
    <row r="102" spans="1:18" ht="15" customHeight="1" x14ac:dyDescent="0.35">
      <c r="A102" s="1945"/>
      <c r="B102" s="1945"/>
      <c r="C102" s="1945"/>
      <c r="D102" s="1945"/>
      <c r="E102" s="1945"/>
      <c r="F102" s="1945"/>
      <c r="G102" s="1945"/>
      <c r="H102" s="1945"/>
      <c r="I102" s="1945"/>
      <c r="J102" s="1945"/>
      <c r="K102" s="1945"/>
      <c r="L102" s="1945"/>
    </row>
    <row r="103" spans="1:18" ht="15" customHeight="1" x14ac:dyDescent="0.35">
      <c r="A103" s="1945"/>
      <c r="C103" s="5957" t="s">
        <v>1409</v>
      </c>
      <c r="D103" s="5957"/>
      <c r="E103" s="5957"/>
      <c r="F103" s="1943"/>
      <c r="G103" s="5957" t="s">
        <v>565</v>
      </c>
      <c r="H103" s="5957"/>
      <c r="I103" s="5957"/>
      <c r="J103" s="5957"/>
      <c r="K103" s="1943"/>
      <c r="L103" s="1943"/>
      <c r="M103" s="5958" t="s">
        <v>558</v>
      </c>
      <c r="N103" s="5958"/>
    </row>
    <row r="104" spans="1:18" ht="58.2" thickBot="1" x14ac:dyDescent="0.4">
      <c r="A104" s="1945"/>
      <c r="B104" s="1869" t="s">
        <v>267</v>
      </c>
      <c r="C104" s="1946" t="s">
        <v>308</v>
      </c>
      <c r="D104" s="1947" t="s">
        <v>310</v>
      </c>
      <c r="E104" s="1947" t="s">
        <v>317</v>
      </c>
      <c r="F104" s="1869" t="s">
        <v>48</v>
      </c>
      <c r="G104" s="1947" t="s">
        <v>542</v>
      </c>
      <c r="H104" s="1947" t="s">
        <v>523</v>
      </c>
      <c r="I104" s="1947" t="s">
        <v>524</v>
      </c>
      <c r="J104" s="1947" t="s">
        <v>525</v>
      </c>
      <c r="K104" s="1869" t="s">
        <v>48</v>
      </c>
      <c r="L104" s="1869" t="s">
        <v>272</v>
      </c>
      <c r="M104" s="1870" t="s">
        <v>48</v>
      </c>
      <c r="N104" s="1870" t="s">
        <v>272</v>
      </c>
    </row>
    <row r="105" spans="1:18" ht="15" customHeight="1" x14ac:dyDescent="0.35">
      <c r="A105" s="1945"/>
      <c r="B105" s="1871"/>
      <c r="C105" s="1873"/>
      <c r="D105" s="1873"/>
      <c r="E105" s="1873"/>
      <c r="F105" s="1871"/>
      <c r="G105" s="1871"/>
      <c r="H105" s="1873"/>
      <c r="I105" s="1873"/>
      <c r="J105" s="1873"/>
      <c r="K105" s="1874"/>
      <c r="L105" s="1874"/>
      <c r="M105" s="1875"/>
    </row>
    <row r="106" spans="1:18" ht="15" customHeight="1" x14ac:dyDescent="0.35">
      <c r="A106" s="1945"/>
      <c r="B106" s="1876" t="s">
        <v>59</v>
      </c>
      <c r="C106" s="1877"/>
      <c r="D106" s="1878">
        <v>6</v>
      </c>
      <c r="E106" s="1878">
        <v>4</v>
      </c>
      <c r="F106" s="1879">
        <f>SUM(C106:E106)</f>
        <v>10</v>
      </c>
      <c r="G106" s="1885"/>
      <c r="H106" s="1885">
        <v>4</v>
      </c>
      <c r="I106" s="1885">
        <v>3</v>
      </c>
      <c r="J106" s="1886">
        <v>2</v>
      </c>
      <c r="K106" s="1879">
        <f>SUM(G106:J106)</f>
        <v>9</v>
      </c>
      <c r="L106" s="1888">
        <f>K106/F106</f>
        <v>0.9</v>
      </c>
      <c r="M106" s="1885">
        <f>F106-K106</f>
        <v>1</v>
      </c>
      <c r="N106" s="1948">
        <f>1-L106</f>
        <v>9.9999999999999978E-2</v>
      </c>
    </row>
    <row r="107" spans="1:18" ht="15" customHeight="1" x14ac:dyDescent="0.35">
      <c r="A107" s="1945"/>
      <c r="B107" s="1889" t="s">
        <v>64</v>
      </c>
      <c r="C107" s="1890">
        <v>4</v>
      </c>
      <c r="D107" s="1891">
        <v>6</v>
      </c>
      <c r="E107" s="1891">
        <v>2</v>
      </c>
      <c r="F107" s="1949">
        <f>SUM(C107:E107)</f>
        <v>12</v>
      </c>
      <c r="G107" s="1896"/>
      <c r="H107" s="1896">
        <v>4</v>
      </c>
      <c r="I107" s="1897">
        <v>4</v>
      </c>
      <c r="J107" s="1896">
        <v>1</v>
      </c>
      <c r="K107" s="1949">
        <f>SUM(G107:J107)</f>
        <v>9</v>
      </c>
      <c r="L107" s="1899">
        <f>K107/F107</f>
        <v>0.75</v>
      </c>
      <c r="M107" s="1896">
        <f>F107-K107</f>
        <v>3</v>
      </c>
      <c r="N107" s="1950">
        <f>1-L107</f>
        <v>0.25</v>
      </c>
    </row>
    <row r="108" spans="1:18" ht="15" customHeight="1" x14ac:dyDescent="0.35">
      <c r="A108" s="1945"/>
      <c r="B108" s="1889" t="s">
        <v>68</v>
      </c>
      <c r="C108" s="1890">
        <v>2</v>
      </c>
      <c r="D108" s="1891">
        <v>6</v>
      </c>
      <c r="E108" s="1891">
        <v>6</v>
      </c>
      <c r="F108" s="1949">
        <f>SUM(C108:E108)</f>
        <v>14</v>
      </c>
      <c r="G108" s="1896"/>
      <c r="H108" s="1896"/>
      <c r="I108" s="1896">
        <v>3</v>
      </c>
      <c r="J108" s="1896"/>
      <c r="K108" s="1949">
        <f>SUM(G108:J108)</f>
        <v>3</v>
      </c>
      <c r="L108" s="1899">
        <f>K108/F108</f>
        <v>0.21428571428571427</v>
      </c>
      <c r="M108" s="1896">
        <f>F108-K108</f>
        <v>11</v>
      </c>
      <c r="N108" s="1950">
        <f>1-L108</f>
        <v>0.7857142857142857</v>
      </c>
    </row>
    <row r="109" spans="1:18" ht="15" customHeight="1" x14ac:dyDescent="0.35">
      <c r="A109" s="1945"/>
      <c r="B109" s="1900" t="s">
        <v>138</v>
      </c>
      <c r="C109" s="1901">
        <f t="shared" ref="C109:K109" si="22">SUM(C106:C108)</f>
        <v>6</v>
      </c>
      <c r="D109" s="1902">
        <f t="shared" si="22"/>
        <v>18</v>
      </c>
      <c r="E109" s="1902">
        <f t="shared" si="22"/>
        <v>12</v>
      </c>
      <c r="F109" s="1903">
        <f t="shared" si="22"/>
        <v>36</v>
      </c>
      <c r="G109" s="1906">
        <f t="shared" si="22"/>
        <v>0</v>
      </c>
      <c r="H109" s="1906">
        <f t="shared" si="22"/>
        <v>8</v>
      </c>
      <c r="I109" s="1906">
        <f t="shared" si="22"/>
        <v>10</v>
      </c>
      <c r="J109" s="1906">
        <f t="shared" si="22"/>
        <v>3</v>
      </c>
      <c r="K109" s="1903">
        <f t="shared" si="22"/>
        <v>21</v>
      </c>
      <c r="L109" s="1910">
        <f>K109/F109</f>
        <v>0.58333333333333337</v>
      </c>
      <c r="M109" s="1906">
        <f>F109-K109</f>
        <v>15</v>
      </c>
      <c r="N109" s="1951">
        <f>1-L109</f>
        <v>0.41666666666666663</v>
      </c>
    </row>
    <row r="110" spans="1:18" ht="15" customHeight="1" x14ac:dyDescent="0.35">
      <c r="A110" s="1945"/>
      <c r="B110" s="1911"/>
      <c r="C110" s="1911"/>
      <c r="D110" s="1911"/>
      <c r="E110" s="1911"/>
      <c r="F110" s="1911"/>
      <c r="G110" s="1911"/>
      <c r="H110" s="1911"/>
      <c r="I110" s="1911"/>
      <c r="J110" s="1911"/>
      <c r="K110" s="1911"/>
      <c r="L110" s="1911"/>
      <c r="M110" s="1911"/>
      <c r="N110" s="1911"/>
    </row>
    <row r="111" spans="1:18" ht="15" customHeight="1" x14ac:dyDescent="0.35">
      <c r="A111" s="1945"/>
      <c r="B111" s="1889" t="s">
        <v>64</v>
      </c>
      <c r="C111" s="1890"/>
      <c r="D111" s="1891">
        <v>1</v>
      </c>
      <c r="E111" s="1891">
        <v>1</v>
      </c>
      <c r="F111" s="1949">
        <f>SUM(C111:E111)</f>
        <v>2</v>
      </c>
      <c r="G111" s="1896"/>
      <c r="H111" s="1896"/>
      <c r="I111" s="1896">
        <v>2</v>
      </c>
      <c r="J111" s="1897"/>
      <c r="K111" s="1949">
        <f>SUM(G111:J111)</f>
        <v>2</v>
      </c>
      <c r="L111" s="1899">
        <f>K111/F111</f>
        <v>1</v>
      </c>
      <c r="M111" s="1896">
        <f>F111-K111</f>
        <v>0</v>
      </c>
      <c r="N111" s="1950">
        <f>1-L111</f>
        <v>0</v>
      </c>
    </row>
    <row r="112" spans="1:18" ht="15" customHeight="1" x14ac:dyDescent="0.35">
      <c r="A112" s="1945"/>
      <c r="B112" s="1889" t="s">
        <v>111</v>
      </c>
      <c r="C112" s="1890"/>
      <c r="D112" s="1891">
        <v>1</v>
      </c>
      <c r="E112" s="1891"/>
      <c r="F112" s="1949">
        <f>SUM(C112:E112)</f>
        <v>1</v>
      </c>
      <c r="G112" s="1896"/>
      <c r="H112" s="1896"/>
      <c r="I112" s="1897">
        <v>1</v>
      </c>
      <c r="J112" s="1896"/>
      <c r="K112" s="1949">
        <f>SUM(G112:J112)</f>
        <v>1</v>
      </c>
      <c r="L112" s="1899">
        <f>K112/F112</f>
        <v>1</v>
      </c>
      <c r="M112" s="1896">
        <f>F112-K112</f>
        <v>0</v>
      </c>
      <c r="N112" s="1950">
        <f>1-L112</f>
        <v>0</v>
      </c>
    </row>
    <row r="113" spans="1:14" ht="15" customHeight="1" x14ac:dyDescent="0.35">
      <c r="A113" s="1945"/>
      <c r="B113" s="1889" t="s">
        <v>115</v>
      </c>
      <c r="C113" s="1890">
        <v>1</v>
      </c>
      <c r="D113" s="1891">
        <v>1</v>
      </c>
      <c r="E113" s="1891">
        <v>1</v>
      </c>
      <c r="F113" s="1949">
        <f>SUM(C113:E113)</f>
        <v>3</v>
      </c>
      <c r="G113" s="1896"/>
      <c r="H113" s="1896"/>
      <c r="I113" s="1896">
        <v>2</v>
      </c>
      <c r="J113" s="1896"/>
      <c r="K113" s="1949">
        <f>SUM(G113:J113)</f>
        <v>2</v>
      </c>
      <c r="L113" s="1899">
        <f>K113/F113</f>
        <v>0.66666666666666663</v>
      </c>
      <c r="M113" s="1896">
        <f>F113-K113</f>
        <v>1</v>
      </c>
      <c r="N113" s="1950">
        <f>1-L113</f>
        <v>0.33333333333333337</v>
      </c>
    </row>
    <row r="114" spans="1:14" ht="15" customHeight="1" x14ac:dyDescent="0.35">
      <c r="A114" s="1945"/>
      <c r="B114" s="1912" t="s">
        <v>134</v>
      </c>
      <c r="C114" s="1901">
        <f t="shared" ref="C114:K114" si="23">SUM(C111:C113)</f>
        <v>1</v>
      </c>
      <c r="D114" s="1902">
        <f t="shared" si="23"/>
        <v>3</v>
      </c>
      <c r="E114" s="1902">
        <f t="shared" si="23"/>
        <v>2</v>
      </c>
      <c r="F114" s="1903">
        <f t="shared" si="23"/>
        <v>6</v>
      </c>
      <c r="G114" s="1906">
        <f t="shared" si="23"/>
        <v>0</v>
      </c>
      <c r="H114" s="1906">
        <f t="shared" si="23"/>
        <v>0</v>
      </c>
      <c r="I114" s="1906">
        <f t="shared" si="23"/>
        <v>5</v>
      </c>
      <c r="J114" s="1906">
        <f t="shared" si="23"/>
        <v>0</v>
      </c>
      <c r="K114" s="1903">
        <f t="shared" si="23"/>
        <v>5</v>
      </c>
      <c r="L114" s="1910">
        <f>K114/F114</f>
        <v>0.83333333333333337</v>
      </c>
      <c r="M114" s="1906">
        <f>F114-K114</f>
        <v>1</v>
      </c>
      <c r="N114" s="1951">
        <f>1-L114</f>
        <v>0.16666666666666663</v>
      </c>
    </row>
    <row r="115" spans="1:14" ht="15" customHeight="1" x14ac:dyDescent="0.35">
      <c r="A115" s="1945"/>
      <c r="B115" s="1873"/>
      <c r="C115" s="1952"/>
      <c r="D115" s="1952"/>
      <c r="E115" s="1913"/>
      <c r="F115" s="1913"/>
      <c r="G115" s="1913"/>
      <c r="H115" s="1913"/>
      <c r="I115" s="1913"/>
      <c r="J115" s="1913"/>
      <c r="K115" s="1913"/>
      <c r="L115" s="1913"/>
      <c r="M115" s="1913"/>
      <c r="N115" s="1913"/>
    </row>
    <row r="116" spans="1:14" ht="15" customHeight="1" x14ac:dyDescent="0.35">
      <c r="A116" s="1945"/>
      <c r="B116" s="1889" t="s">
        <v>59</v>
      </c>
      <c r="C116" s="1890"/>
      <c r="D116" s="1891">
        <v>7</v>
      </c>
      <c r="E116" s="1891">
        <v>6</v>
      </c>
      <c r="F116" s="1949">
        <f>SUM(C116:E116)</f>
        <v>13</v>
      </c>
      <c r="G116" s="1896"/>
      <c r="H116" s="1896">
        <v>8</v>
      </c>
      <c r="I116" s="1896">
        <v>4</v>
      </c>
      <c r="J116" s="1897"/>
      <c r="K116" s="1949">
        <f>SUM(H116:J116)</f>
        <v>12</v>
      </c>
      <c r="L116" s="1899">
        <f>K116/F116</f>
        <v>0.92307692307692313</v>
      </c>
      <c r="M116" s="1896">
        <f>F116-K116</f>
        <v>1</v>
      </c>
      <c r="N116" s="1950">
        <f>1-L116</f>
        <v>7.6923076923076872E-2</v>
      </c>
    </row>
    <row r="117" spans="1:14" ht="15" customHeight="1" x14ac:dyDescent="0.35">
      <c r="A117" s="1945"/>
      <c r="B117" s="1889" t="s">
        <v>64</v>
      </c>
      <c r="C117" s="1890">
        <v>1</v>
      </c>
      <c r="D117" s="1891">
        <v>5</v>
      </c>
      <c r="E117" s="1891">
        <v>5</v>
      </c>
      <c r="F117" s="1949">
        <f>SUM(C117:E117)</f>
        <v>11</v>
      </c>
      <c r="G117" s="1896">
        <v>5</v>
      </c>
      <c r="H117" s="1896">
        <v>3</v>
      </c>
      <c r="I117" s="1897"/>
      <c r="J117" s="1896">
        <v>1</v>
      </c>
      <c r="K117" s="1949">
        <f>SUM(G117:J117)</f>
        <v>9</v>
      </c>
      <c r="L117" s="1899">
        <f>K117/F117</f>
        <v>0.81818181818181823</v>
      </c>
      <c r="M117" s="1896">
        <f>F117-K117</f>
        <v>2</v>
      </c>
      <c r="N117" s="1950">
        <f>1-L117</f>
        <v>0.18181818181818177</v>
      </c>
    </row>
    <row r="118" spans="1:14" ht="15" customHeight="1" x14ac:dyDescent="0.35">
      <c r="A118" s="1945"/>
      <c r="B118" s="1889" t="s">
        <v>92</v>
      </c>
      <c r="C118" s="1890">
        <v>2</v>
      </c>
      <c r="D118" s="1891">
        <v>4</v>
      </c>
      <c r="E118" s="1891">
        <v>2</v>
      </c>
      <c r="F118" s="1949">
        <f>SUM(C118:E118)</f>
        <v>8</v>
      </c>
      <c r="G118" s="1896">
        <v>1</v>
      </c>
      <c r="H118" s="1896">
        <v>4</v>
      </c>
      <c r="I118" s="1896">
        <v>1</v>
      </c>
      <c r="J118" s="1896"/>
      <c r="K118" s="1949">
        <f>SUM(G118:J118)</f>
        <v>6</v>
      </c>
      <c r="L118" s="1899">
        <f>K118/F118</f>
        <v>0.75</v>
      </c>
      <c r="M118" s="1896">
        <f>F118-K118</f>
        <v>2</v>
      </c>
      <c r="N118" s="1950">
        <f>1-L118</f>
        <v>0.25</v>
      </c>
    </row>
    <row r="119" spans="1:14" ht="15" customHeight="1" x14ac:dyDescent="0.35">
      <c r="A119" s="1945"/>
      <c r="B119" s="1915" t="s">
        <v>548</v>
      </c>
      <c r="C119" s="1916">
        <v>1</v>
      </c>
      <c r="D119" s="1917">
        <v>1</v>
      </c>
      <c r="E119" s="1917">
        <v>1</v>
      </c>
      <c r="F119" s="1949">
        <f>SUM(C119:E119)</f>
        <v>3</v>
      </c>
      <c r="G119" s="1921"/>
      <c r="H119" s="1921"/>
      <c r="I119" s="1921">
        <v>1</v>
      </c>
      <c r="J119" s="1921">
        <v>1</v>
      </c>
      <c r="K119" s="1949">
        <f>SUM(G119:J119)</f>
        <v>2</v>
      </c>
      <c r="L119" s="1899">
        <f>K119/F119</f>
        <v>0.66666666666666663</v>
      </c>
      <c r="M119" s="1896">
        <f>F119-K119</f>
        <v>1</v>
      </c>
      <c r="N119" s="1950">
        <f>1-L119</f>
        <v>0.33333333333333337</v>
      </c>
    </row>
    <row r="120" spans="1:14" ht="15" customHeight="1" x14ac:dyDescent="0.35">
      <c r="A120" s="1945"/>
      <c r="B120" s="1922" t="s">
        <v>135</v>
      </c>
      <c r="C120" s="1901">
        <f>SUM(C117:C119)</f>
        <v>4</v>
      </c>
      <c r="D120" s="1902">
        <f>SUM(D116:D119)</f>
        <v>17</v>
      </c>
      <c r="E120" s="1902">
        <f>SUM(E116:E119)</f>
        <v>14</v>
      </c>
      <c r="F120" s="1903">
        <f>SUM(F116:F119)</f>
        <v>35</v>
      </c>
      <c r="G120" s="1906">
        <f>SUM(G115:G119)</f>
        <v>6</v>
      </c>
      <c r="H120" s="1906">
        <f>SUM(H115:H119)</f>
        <v>15</v>
      </c>
      <c r="I120" s="1906">
        <f>SUM(I115:I119)</f>
        <v>6</v>
      </c>
      <c r="J120" s="1906">
        <f>SUM(J115:J119)</f>
        <v>2</v>
      </c>
      <c r="K120" s="1903">
        <f>SUM(K116:K119)</f>
        <v>29</v>
      </c>
      <c r="L120" s="1910">
        <f>K120/F120</f>
        <v>0.82857142857142863</v>
      </c>
      <c r="M120" s="1906">
        <f>F120-K120</f>
        <v>6</v>
      </c>
      <c r="N120" s="1951">
        <f>1-L120</f>
        <v>0.17142857142857137</v>
      </c>
    </row>
    <row r="121" spans="1:14" ht="15" customHeight="1" x14ac:dyDescent="0.35">
      <c r="A121" s="1945"/>
      <c r="B121" s="1953"/>
      <c r="C121" s="1954"/>
      <c r="D121" s="1954"/>
      <c r="E121" s="1923"/>
      <c r="F121" s="1923"/>
      <c r="G121" s="1923"/>
      <c r="H121" s="1923"/>
      <c r="I121" s="1923"/>
      <c r="J121" s="1923"/>
      <c r="K121" s="1923"/>
      <c r="L121" s="1923"/>
      <c r="M121" s="1923"/>
      <c r="N121" s="1923"/>
    </row>
    <row r="122" spans="1:14" ht="15" customHeight="1" x14ac:dyDescent="0.35">
      <c r="A122" s="1945"/>
      <c r="B122" s="1889" t="s">
        <v>64</v>
      </c>
      <c r="C122" s="1890">
        <v>1</v>
      </c>
      <c r="D122" s="1891">
        <v>9</v>
      </c>
      <c r="E122" s="1891">
        <v>4</v>
      </c>
      <c r="F122" s="1949">
        <f>SUM(C122:E122)</f>
        <v>14</v>
      </c>
      <c r="G122" s="1896">
        <v>2</v>
      </c>
      <c r="H122" s="1896">
        <v>5</v>
      </c>
      <c r="I122" s="1896">
        <v>3</v>
      </c>
      <c r="J122" s="1897">
        <v>1</v>
      </c>
      <c r="K122" s="1949">
        <f>SUM(G122:J122)</f>
        <v>11</v>
      </c>
      <c r="L122" s="1899">
        <f>K122/F122</f>
        <v>0.7857142857142857</v>
      </c>
      <c r="M122" s="1896">
        <f>F122-K122</f>
        <v>3</v>
      </c>
      <c r="N122" s="1950">
        <f>1-L122</f>
        <v>0.2142857142857143</v>
      </c>
    </row>
    <row r="123" spans="1:14" ht="15" customHeight="1" x14ac:dyDescent="0.35">
      <c r="A123" s="1945"/>
      <c r="B123" s="1889" t="s">
        <v>92</v>
      </c>
      <c r="C123" s="1890">
        <v>1</v>
      </c>
      <c r="D123" s="1891">
        <v>9</v>
      </c>
      <c r="E123" s="1891">
        <v>2</v>
      </c>
      <c r="F123" s="1949">
        <f>SUM(C123:E123)</f>
        <v>12</v>
      </c>
      <c r="G123" s="1896"/>
      <c r="H123" s="1896">
        <v>4</v>
      </c>
      <c r="I123" s="1897">
        <v>5</v>
      </c>
      <c r="J123" s="1896">
        <v>1</v>
      </c>
      <c r="K123" s="1949">
        <f>SUM(H123:J123)</f>
        <v>10</v>
      </c>
      <c r="L123" s="1899">
        <f>K123/F123</f>
        <v>0.83333333333333337</v>
      </c>
      <c r="M123" s="1896">
        <f>F123-K123</f>
        <v>2</v>
      </c>
      <c r="N123" s="1950">
        <f>1-L123</f>
        <v>0.16666666666666663</v>
      </c>
    </row>
    <row r="124" spans="1:14" ht="15" customHeight="1" x14ac:dyDescent="0.35">
      <c r="A124" s="1945"/>
      <c r="B124" s="1889" t="s">
        <v>68</v>
      </c>
      <c r="C124" s="1890"/>
      <c r="D124" s="1891">
        <v>3</v>
      </c>
      <c r="E124" s="1891">
        <v>1</v>
      </c>
      <c r="F124" s="1949">
        <f>SUM(C124:E124)</f>
        <v>4</v>
      </c>
      <c r="G124" s="1896"/>
      <c r="H124" s="1896">
        <v>1</v>
      </c>
      <c r="I124" s="1896">
        <v>2</v>
      </c>
      <c r="J124" s="1896"/>
      <c r="K124" s="1949">
        <f>SUM(H124:J124)</f>
        <v>3</v>
      </c>
      <c r="L124" s="1899">
        <f>K124/F124</f>
        <v>0.75</v>
      </c>
      <c r="M124" s="1896">
        <f>F124-K124</f>
        <v>1</v>
      </c>
      <c r="N124" s="1950">
        <f>1-L124</f>
        <v>0.25</v>
      </c>
    </row>
    <row r="125" spans="1:14" ht="15" customHeight="1" x14ac:dyDescent="0.35">
      <c r="A125" s="1945"/>
      <c r="B125" s="1924" t="s">
        <v>137</v>
      </c>
      <c r="C125" s="1901">
        <f t="shared" ref="C125:K125" si="24">SUM(C122:C124)</f>
        <v>2</v>
      </c>
      <c r="D125" s="1902">
        <f t="shared" si="24"/>
        <v>21</v>
      </c>
      <c r="E125" s="1902">
        <f t="shared" si="24"/>
        <v>7</v>
      </c>
      <c r="F125" s="1903">
        <f t="shared" si="24"/>
        <v>30</v>
      </c>
      <c r="G125" s="1906">
        <f t="shared" si="24"/>
        <v>2</v>
      </c>
      <c r="H125" s="1906">
        <f t="shared" si="24"/>
        <v>10</v>
      </c>
      <c r="I125" s="1906">
        <f t="shared" si="24"/>
        <v>10</v>
      </c>
      <c r="J125" s="1906">
        <f t="shared" si="24"/>
        <v>2</v>
      </c>
      <c r="K125" s="1903">
        <f t="shared" si="24"/>
        <v>24</v>
      </c>
      <c r="L125" s="1910">
        <f>K125/F125</f>
        <v>0.8</v>
      </c>
      <c r="M125" s="1906">
        <f>F125-K125</f>
        <v>6</v>
      </c>
      <c r="N125" s="1951">
        <f>1-L125</f>
        <v>0.19999999999999996</v>
      </c>
    </row>
    <row r="126" spans="1:14" ht="15" customHeight="1" x14ac:dyDescent="0.35">
      <c r="A126" s="1945"/>
      <c r="B126" s="1955"/>
      <c r="C126" s="1955"/>
      <c r="D126" s="1925"/>
      <c r="E126" s="1925"/>
      <c r="F126" s="1925"/>
      <c r="G126" s="1925"/>
      <c r="H126" s="1925"/>
      <c r="I126" s="1925"/>
      <c r="J126" s="1925"/>
      <c r="K126" s="1925"/>
      <c r="L126" s="1925"/>
      <c r="M126" s="1925"/>
      <c r="N126" s="1925"/>
    </row>
    <row r="127" spans="1:14" ht="15" customHeight="1" x14ac:dyDescent="0.35">
      <c r="A127" s="1945"/>
      <c r="B127" s="1889" t="s">
        <v>64</v>
      </c>
      <c r="C127" s="1890"/>
      <c r="D127" s="1891">
        <v>2</v>
      </c>
      <c r="E127" s="1891">
        <v>2</v>
      </c>
      <c r="F127" s="1949">
        <f>SUM(C127:E127)</f>
        <v>4</v>
      </c>
      <c r="G127" s="1896"/>
      <c r="H127" s="1896">
        <v>1</v>
      </c>
      <c r="I127" s="1896">
        <v>1</v>
      </c>
      <c r="J127" s="1897"/>
      <c r="K127" s="1949">
        <f>SUM(G127:J127)</f>
        <v>2</v>
      </c>
      <c r="L127" s="1899">
        <f>K127/F127</f>
        <v>0.5</v>
      </c>
      <c r="M127" s="1896">
        <f>F127-K127</f>
        <v>2</v>
      </c>
      <c r="N127" s="1950">
        <f>1-L127</f>
        <v>0.5</v>
      </c>
    </row>
    <row r="128" spans="1:14" ht="15" customHeight="1" x14ac:dyDescent="0.35">
      <c r="A128" s="1945"/>
      <c r="B128" s="1889" t="s">
        <v>561</v>
      </c>
      <c r="C128" s="1890"/>
      <c r="D128" s="1891"/>
      <c r="E128" s="1891">
        <v>1</v>
      </c>
      <c r="F128" s="1949">
        <f>SUM(C128:E128)</f>
        <v>1</v>
      </c>
      <c r="G128" s="1896"/>
      <c r="H128" s="1896">
        <v>1</v>
      </c>
      <c r="I128" s="1897"/>
      <c r="J128" s="1896"/>
      <c r="K128" s="1949">
        <f>SUM(G128:J128)</f>
        <v>1</v>
      </c>
      <c r="L128" s="1899">
        <f>K128/F128</f>
        <v>1</v>
      </c>
      <c r="M128" s="1896">
        <f>F128-K128</f>
        <v>0</v>
      </c>
      <c r="N128" s="1950">
        <f>1-L128</f>
        <v>0</v>
      </c>
    </row>
    <row r="129" spans="1:14" ht="15" customHeight="1" x14ac:dyDescent="0.35">
      <c r="A129" s="1945"/>
      <c r="B129" s="1905" t="s">
        <v>562</v>
      </c>
      <c r="C129" s="1928">
        <f t="shared" ref="C129:K129" si="25">SUM(C127:C128)</f>
        <v>0</v>
      </c>
      <c r="D129" s="1929">
        <f t="shared" si="25"/>
        <v>2</v>
      </c>
      <c r="E129" s="1929">
        <f t="shared" si="25"/>
        <v>3</v>
      </c>
      <c r="F129" s="1903">
        <f t="shared" si="25"/>
        <v>5</v>
      </c>
      <c r="G129" s="1906">
        <f t="shared" si="25"/>
        <v>0</v>
      </c>
      <c r="H129" s="1906">
        <f t="shared" si="25"/>
        <v>2</v>
      </c>
      <c r="I129" s="1906">
        <f t="shared" si="25"/>
        <v>1</v>
      </c>
      <c r="J129" s="1906">
        <f t="shared" si="25"/>
        <v>0</v>
      </c>
      <c r="K129" s="1903">
        <f t="shared" si="25"/>
        <v>3</v>
      </c>
      <c r="L129" s="1910">
        <f>K129/F129</f>
        <v>0.6</v>
      </c>
      <c r="M129" s="1906">
        <f>F129-K129</f>
        <v>2</v>
      </c>
      <c r="N129" s="1951">
        <f>1-L129</f>
        <v>0.4</v>
      </c>
    </row>
    <row r="130" spans="1:14" ht="15" customHeight="1" x14ac:dyDescent="0.35">
      <c r="A130" s="1945"/>
      <c r="B130" s="1953"/>
      <c r="C130" s="1956"/>
      <c r="D130" s="1923"/>
      <c r="E130" s="1923"/>
      <c r="F130" s="1923"/>
      <c r="G130" s="1923"/>
      <c r="H130" s="1923"/>
      <c r="I130" s="1923"/>
      <c r="J130" s="1923"/>
      <c r="K130" s="1923"/>
      <c r="L130" s="1923"/>
      <c r="M130" s="1923"/>
      <c r="N130" s="1923"/>
    </row>
    <row r="131" spans="1:14" ht="15" customHeight="1" x14ac:dyDescent="0.35">
      <c r="A131" s="1945"/>
      <c r="B131" s="1932" t="s">
        <v>7</v>
      </c>
      <c r="C131" s="1933">
        <f>SUM(C109,C114,C120,C125,C129)</f>
        <v>13</v>
      </c>
      <c r="D131" s="1934">
        <f>SUM(D109,D114,D120,D125,D129)</f>
        <v>61</v>
      </c>
      <c r="E131" s="1957">
        <f>SUM(E109,E114,E120,E125,E129)</f>
        <v>38</v>
      </c>
      <c r="F131" s="1933">
        <f>SUM(F109,F114,F120,F125,F129)</f>
        <v>112</v>
      </c>
      <c r="G131" s="1938">
        <f>SUM(G109,G120,G125,G114,G129)</f>
        <v>8</v>
      </c>
      <c r="H131" s="1938">
        <f>SUM(H109,H120,H125,H114,H129)</f>
        <v>35</v>
      </c>
      <c r="I131" s="1938">
        <f>SUM(I109,I120,I125,I114,I129)</f>
        <v>32</v>
      </c>
      <c r="J131" s="1939">
        <f>SUM(J109,J120,J125,J114,J129)</f>
        <v>7</v>
      </c>
      <c r="K131" s="1958">
        <f>SUM(K109,K120,K125,K114,K129)</f>
        <v>82</v>
      </c>
      <c r="L131" s="1941">
        <f>K131/F131</f>
        <v>0.7321428571428571</v>
      </c>
      <c r="M131" s="1938">
        <f>F131-K131</f>
        <v>30</v>
      </c>
      <c r="N131" s="1959">
        <f>1-L131</f>
        <v>0.2678571428571429</v>
      </c>
    </row>
    <row r="132" spans="1:14" ht="15" customHeight="1" x14ac:dyDescent="0.35">
      <c r="A132" s="1945"/>
      <c r="B132" s="1873"/>
      <c r="C132" s="1873"/>
      <c r="D132" s="1873"/>
      <c r="E132" s="1873"/>
      <c r="F132" s="1873"/>
      <c r="G132" s="1873"/>
      <c r="H132" s="1873"/>
      <c r="I132" s="1873"/>
      <c r="J132" s="1873"/>
      <c r="K132" s="1873"/>
      <c r="L132" s="1873"/>
      <c r="M132" s="1960"/>
    </row>
    <row r="133" spans="1:14" ht="15" customHeight="1" thickBot="1" x14ac:dyDescent="0.4">
      <c r="A133" s="1945"/>
      <c r="B133" s="1961" t="s">
        <v>566</v>
      </c>
      <c r="C133" s="1962">
        <v>2</v>
      </c>
      <c r="D133" s="1962">
        <v>50</v>
      </c>
      <c r="E133" s="1962">
        <v>30</v>
      </c>
      <c r="F133" s="1963">
        <f>SUM(C133:E133)</f>
        <v>82</v>
      </c>
      <c r="G133" s="1873"/>
      <c r="H133" s="1873"/>
      <c r="I133" s="1873"/>
      <c r="J133" s="1873"/>
      <c r="K133" s="1873"/>
      <c r="L133" s="1873"/>
      <c r="M133" s="1873"/>
      <c r="N133" s="1944" t="s">
        <v>564</v>
      </c>
    </row>
    <row r="134" spans="1:14" ht="15" customHeight="1" x14ac:dyDescent="0.35">
      <c r="A134" s="1945"/>
      <c r="B134" s="1945"/>
      <c r="C134" s="1945"/>
      <c r="D134" s="1945"/>
      <c r="E134" s="1945"/>
      <c r="F134" s="1945"/>
      <c r="G134" s="1945"/>
      <c r="H134" s="1945"/>
      <c r="I134" s="1945"/>
      <c r="J134" s="1945"/>
      <c r="K134" s="1945"/>
      <c r="L134" s="1945"/>
    </row>
    <row r="135" spans="1:14" ht="15" customHeight="1" x14ac:dyDescent="0.35">
      <c r="A135" s="1945"/>
      <c r="B135" s="1945"/>
      <c r="C135" s="1945"/>
      <c r="D135" s="1945"/>
      <c r="E135" s="1945"/>
      <c r="F135" s="1945"/>
      <c r="G135" s="1945"/>
      <c r="H135" s="1945"/>
      <c r="I135" s="1945"/>
      <c r="J135" s="1945"/>
      <c r="K135" s="1945"/>
      <c r="L135" s="1945"/>
    </row>
    <row r="136" spans="1:14" x14ac:dyDescent="0.3">
      <c r="C136" s="5975" t="s">
        <v>567</v>
      </c>
      <c r="D136" s="5975"/>
      <c r="E136" s="5975"/>
      <c r="F136" s="1964"/>
      <c r="G136" s="5976" t="s">
        <v>568</v>
      </c>
      <c r="H136" s="5976"/>
      <c r="I136" s="5976"/>
      <c r="J136" s="5976"/>
      <c r="K136" s="1964"/>
      <c r="L136" s="1964"/>
      <c r="M136" s="5977" t="s">
        <v>558</v>
      </c>
      <c r="N136" s="5977"/>
    </row>
    <row r="137" spans="1:14" ht="58.2" thickBot="1" x14ac:dyDescent="0.35">
      <c r="B137" s="1965" t="s">
        <v>267</v>
      </c>
      <c r="C137" s="1966" t="s">
        <v>569</v>
      </c>
      <c r="D137" s="1966" t="s">
        <v>310</v>
      </c>
      <c r="E137" s="1966" t="s">
        <v>317</v>
      </c>
      <c r="F137" s="1965" t="s">
        <v>48</v>
      </c>
      <c r="G137" s="1966" t="s">
        <v>542</v>
      </c>
      <c r="H137" s="1966" t="s">
        <v>523</v>
      </c>
      <c r="I137" s="1966" t="s">
        <v>524</v>
      </c>
      <c r="J137" s="1966" t="s">
        <v>525</v>
      </c>
      <c r="K137" s="1965" t="s">
        <v>48</v>
      </c>
      <c r="L137" s="1965" t="s">
        <v>272</v>
      </c>
      <c r="M137" s="1967" t="s">
        <v>48</v>
      </c>
      <c r="N137" s="1967" t="s">
        <v>272</v>
      </c>
    </row>
    <row r="138" spans="1:14" x14ac:dyDescent="0.3">
      <c r="B138" s="1871"/>
      <c r="C138" s="1873"/>
      <c r="D138" s="1873"/>
      <c r="E138" s="1873"/>
      <c r="F138" s="1871"/>
      <c r="G138" s="1871"/>
      <c r="H138" s="1873"/>
      <c r="I138" s="1873"/>
      <c r="J138" s="1873"/>
      <c r="K138" s="1871"/>
      <c r="L138" s="1871"/>
      <c r="M138" s="1875"/>
    </row>
    <row r="139" spans="1:14" x14ac:dyDescent="0.3">
      <c r="B139" s="1968" t="s">
        <v>59</v>
      </c>
      <c r="C139" s="1969"/>
      <c r="D139" s="1970">
        <v>6</v>
      </c>
      <c r="E139" s="1970">
        <v>4</v>
      </c>
      <c r="F139" s="1971">
        <f>SUM(C139:E139)</f>
        <v>10</v>
      </c>
      <c r="G139" s="1972"/>
      <c r="H139" s="1972">
        <v>4</v>
      </c>
      <c r="I139" s="1972">
        <v>2</v>
      </c>
      <c r="J139" s="1973">
        <v>1</v>
      </c>
      <c r="K139" s="1971">
        <f>SUM(G139:J139)</f>
        <v>7</v>
      </c>
      <c r="L139" s="1974">
        <f>K139/F139</f>
        <v>0.7</v>
      </c>
      <c r="M139" s="1972">
        <f>F139-K139</f>
        <v>3</v>
      </c>
      <c r="N139" s="1975">
        <f>1-L139</f>
        <v>0.30000000000000004</v>
      </c>
    </row>
    <row r="140" spans="1:14" x14ac:dyDescent="0.3">
      <c r="B140" s="1976" t="s">
        <v>64</v>
      </c>
      <c r="C140" s="1977">
        <v>3</v>
      </c>
      <c r="D140" s="1978">
        <v>6</v>
      </c>
      <c r="E140" s="1978">
        <v>2</v>
      </c>
      <c r="F140" s="1979">
        <f>SUM(C140:E140)</f>
        <v>11</v>
      </c>
      <c r="G140" s="1980"/>
      <c r="H140" s="1980">
        <v>4</v>
      </c>
      <c r="I140" s="1981">
        <v>4</v>
      </c>
      <c r="J140" s="1980"/>
      <c r="K140" s="1979">
        <f>SUM(G140:J140)</f>
        <v>8</v>
      </c>
      <c r="L140" s="1982">
        <f>K140/F140</f>
        <v>0.72727272727272729</v>
      </c>
      <c r="M140" s="1980">
        <f>F140-K140</f>
        <v>3</v>
      </c>
      <c r="N140" s="1983">
        <f>1-L140</f>
        <v>0.27272727272727271</v>
      </c>
    </row>
    <row r="141" spans="1:14" x14ac:dyDescent="0.3">
      <c r="B141" s="1976" t="s">
        <v>68</v>
      </c>
      <c r="C141" s="1977">
        <v>1</v>
      </c>
      <c r="D141" s="1978">
        <v>6</v>
      </c>
      <c r="E141" s="1978">
        <v>6</v>
      </c>
      <c r="F141" s="1979">
        <f>SUM(C141:E141)</f>
        <v>13</v>
      </c>
      <c r="G141" s="1980"/>
      <c r="H141" s="1980"/>
      <c r="I141" s="1980">
        <v>3</v>
      </c>
      <c r="J141" s="1980"/>
      <c r="K141" s="1979">
        <f>SUM(G141:J141)</f>
        <v>3</v>
      </c>
      <c r="L141" s="1982">
        <f>K141/F141</f>
        <v>0.23076923076923078</v>
      </c>
      <c r="M141" s="1980">
        <f>F141-K141</f>
        <v>10</v>
      </c>
      <c r="N141" s="1983">
        <f>1-L141</f>
        <v>0.76923076923076916</v>
      </c>
    </row>
    <row r="142" spans="1:14" x14ac:dyDescent="0.3">
      <c r="B142" s="1984" t="s">
        <v>138</v>
      </c>
      <c r="C142" s="1985">
        <f t="shared" ref="C142:K142" si="26">SUM(C139:C141)</f>
        <v>4</v>
      </c>
      <c r="D142" s="1986">
        <f t="shared" si="26"/>
        <v>18</v>
      </c>
      <c r="E142" s="1986">
        <f t="shared" si="26"/>
        <v>12</v>
      </c>
      <c r="F142" s="1987">
        <f t="shared" si="26"/>
        <v>34</v>
      </c>
      <c r="G142" s="1988">
        <f t="shared" si="26"/>
        <v>0</v>
      </c>
      <c r="H142" s="1988">
        <f t="shared" si="26"/>
        <v>8</v>
      </c>
      <c r="I142" s="1988">
        <f t="shared" si="26"/>
        <v>9</v>
      </c>
      <c r="J142" s="1988">
        <f t="shared" si="26"/>
        <v>1</v>
      </c>
      <c r="K142" s="1987">
        <f t="shared" si="26"/>
        <v>18</v>
      </c>
      <c r="L142" s="1989">
        <f>K142/F142</f>
        <v>0.52941176470588236</v>
      </c>
      <c r="M142" s="1988">
        <f>F142-K142</f>
        <v>16</v>
      </c>
      <c r="N142" s="1990">
        <f>1-L142</f>
        <v>0.47058823529411764</v>
      </c>
    </row>
    <row r="143" spans="1:14" x14ac:dyDescent="0.3">
      <c r="B143" s="1991"/>
      <c r="C143" s="1991"/>
      <c r="D143" s="1991"/>
      <c r="E143" s="1991"/>
      <c r="F143" s="1991"/>
      <c r="G143" s="1991"/>
      <c r="H143" s="1991"/>
      <c r="I143" s="1991"/>
      <c r="J143" s="1991"/>
      <c r="K143" s="1991"/>
      <c r="L143" s="1991"/>
      <c r="M143" s="1991"/>
      <c r="N143" s="1991"/>
    </row>
    <row r="144" spans="1:14" x14ac:dyDescent="0.3">
      <c r="B144" s="1968" t="s">
        <v>64</v>
      </c>
      <c r="C144" s="1969"/>
      <c r="D144" s="1970">
        <v>1</v>
      </c>
      <c r="E144" s="1970">
        <v>1</v>
      </c>
      <c r="F144" s="1971">
        <f>SUM(C144:E144)</f>
        <v>2</v>
      </c>
      <c r="G144" s="1972"/>
      <c r="H144" s="1972"/>
      <c r="I144" s="1972">
        <v>2</v>
      </c>
      <c r="J144" s="1973"/>
      <c r="K144" s="1971">
        <f>SUM(G144:J144)</f>
        <v>2</v>
      </c>
      <c r="L144" s="1974">
        <f>K144/F144</f>
        <v>1</v>
      </c>
      <c r="M144" s="1972">
        <f>F144-K144</f>
        <v>0</v>
      </c>
      <c r="N144" s="1975">
        <f>1-L144</f>
        <v>0</v>
      </c>
    </row>
    <row r="145" spans="2:14" x14ac:dyDescent="0.3">
      <c r="B145" s="1976" t="s">
        <v>111</v>
      </c>
      <c r="C145" s="1977"/>
      <c r="D145" s="1978">
        <v>1</v>
      </c>
      <c r="E145" s="1978"/>
      <c r="F145" s="1979">
        <f>SUM(C145:E145)</f>
        <v>1</v>
      </c>
      <c r="G145" s="1980"/>
      <c r="H145" s="1980"/>
      <c r="I145" s="1981">
        <v>1</v>
      </c>
      <c r="J145" s="1980"/>
      <c r="K145" s="1979">
        <f>SUM(G145:J145)</f>
        <v>1</v>
      </c>
      <c r="L145" s="1982">
        <f>K145/F145</f>
        <v>1</v>
      </c>
      <c r="M145" s="1980">
        <f>F145-K145</f>
        <v>0</v>
      </c>
      <c r="N145" s="1983">
        <f>1-L145</f>
        <v>0</v>
      </c>
    </row>
    <row r="146" spans="2:14" x14ac:dyDescent="0.3">
      <c r="B146" s="1976" t="s">
        <v>115</v>
      </c>
      <c r="C146" s="1977">
        <v>1</v>
      </c>
      <c r="D146" s="1978">
        <v>1</v>
      </c>
      <c r="E146" s="1978">
        <v>1</v>
      </c>
      <c r="F146" s="1979">
        <f>SUM(C146:E146)</f>
        <v>3</v>
      </c>
      <c r="G146" s="1980"/>
      <c r="H146" s="1980"/>
      <c r="I146" s="1980">
        <v>2</v>
      </c>
      <c r="J146" s="1980"/>
      <c r="K146" s="1979">
        <f>SUM(G146:J146)</f>
        <v>2</v>
      </c>
      <c r="L146" s="1982">
        <f>K146/F146</f>
        <v>0.66666666666666663</v>
      </c>
      <c r="M146" s="1980">
        <f>F146-K146</f>
        <v>1</v>
      </c>
      <c r="N146" s="1983">
        <f>1-L146</f>
        <v>0.33333333333333337</v>
      </c>
    </row>
    <row r="147" spans="2:14" x14ac:dyDescent="0.3">
      <c r="B147" s="1992" t="s">
        <v>134</v>
      </c>
      <c r="C147" s="1985">
        <f t="shared" ref="C147:K147" si="27">SUM(C144:C146)</f>
        <v>1</v>
      </c>
      <c r="D147" s="1986">
        <f t="shared" si="27"/>
        <v>3</v>
      </c>
      <c r="E147" s="1986">
        <f t="shared" si="27"/>
        <v>2</v>
      </c>
      <c r="F147" s="1987">
        <f t="shared" si="27"/>
        <v>6</v>
      </c>
      <c r="G147" s="1988">
        <f t="shared" si="27"/>
        <v>0</v>
      </c>
      <c r="H147" s="1988">
        <f t="shared" si="27"/>
        <v>0</v>
      </c>
      <c r="I147" s="1988">
        <f t="shared" si="27"/>
        <v>5</v>
      </c>
      <c r="J147" s="1988">
        <f t="shared" si="27"/>
        <v>0</v>
      </c>
      <c r="K147" s="1987">
        <f t="shared" si="27"/>
        <v>5</v>
      </c>
      <c r="L147" s="1989">
        <f>K147/F147</f>
        <v>0.83333333333333337</v>
      </c>
      <c r="M147" s="1988">
        <f>F147-K147</f>
        <v>1</v>
      </c>
      <c r="N147" s="1990">
        <f>1-L147</f>
        <v>0.16666666666666663</v>
      </c>
    </row>
    <row r="148" spans="2:14" x14ac:dyDescent="0.3">
      <c r="B148" s="1873"/>
      <c r="C148" s="1873"/>
      <c r="D148" s="1873"/>
      <c r="E148" s="1913"/>
      <c r="F148" s="1913"/>
      <c r="G148" s="1913"/>
      <c r="H148" s="1913"/>
      <c r="I148" s="1913"/>
      <c r="J148" s="1913"/>
      <c r="K148" s="1913"/>
      <c r="L148" s="1913"/>
      <c r="M148" s="1913"/>
      <c r="N148" s="1913"/>
    </row>
    <row r="149" spans="2:14" x14ac:dyDescent="0.3">
      <c r="B149" s="1968" t="s">
        <v>59</v>
      </c>
      <c r="C149" s="1969"/>
      <c r="D149" s="1970">
        <v>7</v>
      </c>
      <c r="E149" s="1970">
        <v>6</v>
      </c>
      <c r="F149" s="1971">
        <f>SUM(C149:E149)</f>
        <v>13</v>
      </c>
      <c r="G149" s="1972"/>
      <c r="H149" s="1972">
        <v>8</v>
      </c>
      <c r="I149" s="1972">
        <v>4</v>
      </c>
      <c r="J149" s="1973"/>
      <c r="K149" s="1971">
        <f>SUM(H149:J149)</f>
        <v>12</v>
      </c>
      <c r="L149" s="1974">
        <f>K149/F149</f>
        <v>0.92307692307692313</v>
      </c>
      <c r="M149" s="1972">
        <f>F149-K149</f>
        <v>1</v>
      </c>
      <c r="N149" s="1975">
        <f>1-L149</f>
        <v>7.6923076923076872E-2</v>
      </c>
    </row>
    <row r="150" spans="2:14" x14ac:dyDescent="0.3">
      <c r="B150" s="1976" t="s">
        <v>64</v>
      </c>
      <c r="C150" s="1977">
        <v>1</v>
      </c>
      <c r="D150" s="1978">
        <v>5</v>
      </c>
      <c r="E150" s="1978">
        <v>5</v>
      </c>
      <c r="F150" s="1979">
        <f>SUM(C150:E150)</f>
        <v>11</v>
      </c>
      <c r="G150" s="1980">
        <v>5</v>
      </c>
      <c r="H150" s="1980">
        <v>3</v>
      </c>
      <c r="I150" s="1981"/>
      <c r="J150" s="1980"/>
      <c r="K150" s="1979">
        <f>SUM(G150:J150)</f>
        <v>8</v>
      </c>
      <c r="L150" s="1982">
        <f>K150/F150</f>
        <v>0.72727272727272729</v>
      </c>
      <c r="M150" s="1980">
        <f>F150-K150</f>
        <v>3</v>
      </c>
      <c r="N150" s="1983">
        <f>1-L150</f>
        <v>0.27272727272727271</v>
      </c>
    </row>
    <row r="151" spans="2:14" x14ac:dyDescent="0.3">
      <c r="B151" s="1976" t="s">
        <v>92</v>
      </c>
      <c r="C151" s="1977">
        <v>2</v>
      </c>
      <c r="D151" s="1978">
        <v>4</v>
      </c>
      <c r="E151" s="1978">
        <v>2</v>
      </c>
      <c r="F151" s="1979">
        <f>SUM(C151:E151)</f>
        <v>8</v>
      </c>
      <c r="G151" s="1980">
        <v>1</v>
      </c>
      <c r="H151" s="1980">
        <v>4</v>
      </c>
      <c r="I151" s="1980">
        <v>1</v>
      </c>
      <c r="J151" s="1980"/>
      <c r="K151" s="1979">
        <f>SUM(G151:J151)</f>
        <v>6</v>
      </c>
      <c r="L151" s="1982">
        <f>K151/F151</f>
        <v>0.75</v>
      </c>
      <c r="M151" s="1980">
        <f>F151-K151</f>
        <v>2</v>
      </c>
      <c r="N151" s="1983">
        <f>1-L151</f>
        <v>0.25</v>
      </c>
    </row>
    <row r="152" spans="2:14" x14ac:dyDescent="0.3">
      <c r="B152" s="1993" t="s">
        <v>548</v>
      </c>
      <c r="C152" s="1994">
        <v>1</v>
      </c>
      <c r="D152" s="1995">
        <v>1</v>
      </c>
      <c r="E152" s="1995">
        <v>1</v>
      </c>
      <c r="F152" s="1979">
        <f>SUM(C152:E152)</f>
        <v>3</v>
      </c>
      <c r="G152" s="1996"/>
      <c r="H152" s="1996"/>
      <c r="I152" s="1996">
        <v>1</v>
      </c>
      <c r="J152" s="1996">
        <v>1</v>
      </c>
      <c r="K152" s="1979">
        <f>SUM(G152:J152)</f>
        <v>2</v>
      </c>
      <c r="L152" s="1982">
        <f>K152/F152</f>
        <v>0.66666666666666663</v>
      </c>
      <c r="M152" s="1980">
        <f>F152-K152</f>
        <v>1</v>
      </c>
      <c r="N152" s="1983">
        <f>1-L152</f>
        <v>0.33333333333333337</v>
      </c>
    </row>
    <row r="153" spans="2:14" x14ac:dyDescent="0.3">
      <c r="B153" s="1997" t="s">
        <v>135</v>
      </c>
      <c r="C153" s="1985">
        <f>SUM(C150:C152)</f>
        <v>4</v>
      </c>
      <c r="D153" s="1986">
        <f>SUM(D149:D152)</f>
        <v>17</v>
      </c>
      <c r="E153" s="1986">
        <f>SUM(E149:E152)</f>
        <v>14</v>
      </c>
      <c r="F153" s="1987">
        <f>SUM(F149:F152)</f>
        <v>35</v>
      </c>
      <c r="G153" s="1988">
        <f>SUM(G148:G152)</f>
        <v>6</v>
      </c>
      <c r="H153" s="1988">
        <f>SUM(H148:H152)</f>
        <v>15</v>
      </c>
      <c r="I153" s="1988">
        <f>SUM(I148:I152)</f>
        <v>6</v>
      </c>
      <c r="J153" s="1988">
        <f>SUM(J148:J152)</f>
        <v>1</v>
      </c>
      <c r="K153" s="1987">
        <f>SUM(K149:K152)</f>
        <v>28</v>
      </c>
      <c r="L153" s="1989">
        <f>K153/F153</f>
        <v>0.8</v>
      </c>
      <c r="M153" s="1988">
        <f>F153-K153</f>
        <v>7</v>
      </c>
      <c r="N153" s="1990">
        <f>1-L153</f>
        <v>0.19999999999999996</v>
      </c>
    </row>
    <row r="154" spans="2:14" x14ac:dyDescent="0.3">
      <c r="B154" s="1953"/>
      <c r="C154" s="1956"/>
      <c r="D154" s="1956"/>
      <c r="E154" s="1923"/>
      <c r="F154" s="1923"/>
      <c r="G154" s="1923"/>
      <c r="H154" s="1923"/>
      <c r="I154" s="1923"/>
      <c r="J154" s="1923"/>
      <c r="K154" s="1923"/>
      <c r="L154" s="1923"/>
      <c r="M154" s="1923"/>
      <c r="N154" s="1923"/>
    </row>
    <row r="155" spans="2:14" x14ac:dyDescent="0.3">
      <c r="B155" s="1968" t="s">
        <v>64</v>
      </c>
      <c r="C155" s="1969">
        <v>1</v>
      </c>
      <c r="D155" s="1970">
        <v>9</v>
      </c>
      <c r="E155" s="1970">
        <v>4</v>
      </c>
      <c r="F155" s="1971">
        <f>SUM(C155:E155)</f>
        <v>14</v>
      </c>
      <c r="G155" s="1972">
        <v>2</v>
      </c>
      <c r="H155" s="1972">
        <v>5</v>
      </c>
      <c r="I155" s="1972">
        <v>3</v>
      </c>
      <c r="J155" s="1973"/>
      <c r="K155" s="1971">
        <f>SUM(G155:J155)</f>
        <v>10</v>
      </c>
      <c r="L155" s="1974">
        <f>K155/F155</f>
        <v>0.7142857142857143</v>
      </c>
      <c r="M155" s="1972">
        <f>F155-K155</f>
        <v>4</v>
      </c>
      <c r="N155" s="1975">
        <f>1-L155</f>
        <v>0.2857142857142857</v>
      </c>
    </row>
    <row r="156" spans="2:14" x14ac:dyDescent="0.3">
      <c r="B156" s="1976" t="s">
        <v>92</v>
      </c>
      <c r="C156" s="1977">
        <v>1</v>
      </c>
      <c r="D156" s="1978">
        <v>9</v>
      </c>
      <c r="E156" s="1978">
        <v>2</v>
      </c>
      <c r="F156" s="1979">
        <f>SUM(C156:E156)</f>
        <v>12</v>
      </c>
      <c r="G156" s="1980"/>
      <c r="H156" s="1980">
        <v>4</v>
      </c>
      <c r="I156" s="1981">
        <v>2</v>
      </c>
      <c r="J156" s="1980">
        <v>1</v>
      </c>
      <c r="K156" s="1979">
        <f>SUM(H156:J156)</f>
        <v>7</v>
      </c>
      <c r="L156" s="1982">
        <f>K156/F156</f>
        <v>0.58333333333333337</v>
      </c>
      <c r="M156" s="1980">
        <f>F156-K156</f>
        <v>5</v>
      </c>
      <c r="N156" s="1983">
        <f>1-L156</f>
        <v>0.41666666666666663</v>
      </c>
    </row>
    <row r="157" spans="2:14" x14ac:dyDescent="0.3">
      <c r="B157" s="1976" t="s">
        <v>68</v>
      </c>
      <c r="C157" s="1977"/>
      <c r="D157" s="1978">
        <v>3</v>
      </c>
      <c r="E157" s="1978">
        <v>1</v>
      </c>
      <c r="F157" s="1979">
        <f>SUM(C157:E157)</f>
        <v>4</v>
      </c>
      <c r="G157" s="1980"/>
      <c r="H157" s="1980">
        <v>1</v>
      </c>
      <c r="I157" s="1980">
        <v>2</v>
      </c>
      <c r="J157" s="1980"/>
      <c r="K157" s="1979">
        <f>SUM(H157:J157)</f>
        <v>3</v>
      </c>
      <c r="L157" s="1982">
        <f>K157/F157</f>
        <v>0.75</v>
      </c>
      <c r="M157" s="1980">
        <f>F157-K157</f>
        <v>1</v>
      </c>
      <c r="N157" s="1983">
        <f>1-L157</f>
        <v>0.25</v>
      </c>
    </row>
    <row r="158" spans="2:14" x14ac:dyDescent="0.3">
      <c r="B158" s="1998" t="s">
        <v>137</v>
      </c>
      <c r="C158" s="1985">
        <f t="shared" ref="C158:K158" si="28">SUM(C155:C157)</f>
        <v>2</v>
      </c>
      <c r="D158" s="1986">
        <f t="shared" si="28"/>
        <v>21</v>
      </c>
      <c r="E158" s="1986">
        <f t="shared" si="28"/>
        <v>7</v>
      </c>
      <c r="F158" s="1987">
        <f t="shared" si="28"/>
        <v>30</v>
      </c>
      <c r="G158" s="1988">
        <f t="shared" si="28"/>
        <v>2</v>
      </c>
      <c r="H158" s="1988">
        <f t="shared" si="28"/>
        <v>10</v>
      </c>
      <c r="I158" s="1988">
        <f t="shared" si="28"/>
        <v>7</v>
      </c>
      <c r="J158" s="1988">
        <f t="shared" si="28"/>
        <v>1</v>
      </c>
      <c r="K158" s="1987">
        <f t="shared" si="28"/>
        <v>20</v>
      </c>
      <c r="L158" s="1989">
        <f>K158/F158</f>
        <v>0.66666666666666663</v>
      </c>
      <c r="M158" s="1988">
        <f>F158-K158</f>
        <v>10</v>
      </c>
      <c r="N158" s="1990">
        <f>1-L158</f>
        <v>0.33333333333333337</v>
      </c>
    </row>
    <row r="159" spans="2:14" x14ac:dyDescent="0.3">
      <c r="B159" s="1999"/>
      <c r="C159" s="1999"/>
      <c r="D159" s="2000"/>
      <c r="E159" s="2000"/>
      <c r="F159" s="2000"/>
      <c r="G159" s="2000"/>
      <c r="H159" s="2000"/>
      <c r="I159" s="2000"/>
      <c r="J159" s="2000"/>
      <c r="K159" s="2000"/>
      <c r="L159" s="2000"/>
      <c r="M159" s="2000"/>
      <c r="N159" s="2000"/>
    </row>
    <row r="160" spans="2:14" x14ac:dyDescent="0.3">
      <c r="B160" s="1968" t="s">
        <v>64</v>
      </c>
      <c r="C160" s="1969"/>
      <c r="D160" s="1970">
        <v>2</v>
      </c>
      <c r="E160" s="1970">
        <v>2</v>
      </c>
      <c r="F160" s="1971">
        <f>SUM(C160:E160)</f>
        <v>4</v>
      </c>
      <c r="G160" s="1972"/>
      <c r="H160" s="1972">
        <v>1</v>
      </c>
      <c r="I160" s="1972">
        <v>1</v>
      </c>
      <c r="J160" s="1973"/>
      <c r="K160" s="1971">
        <f>SUM(G160:J160)</f>
        <v>2</v>
      </c>
      <c r="L160" s="1974">
        <f>K160/F160</f>
        <v>0.5</v>
      </c>
      <c r="M160" s="1972">
        <f>F160-K160</f>
        <v>2</v>
      </c>
      <c r="N160" s="1975">
        <f>1-L160</f>
        <v>0.5</v>
      </c>
    </row>
    <row r="161" spans="1:14" x14ac:dyDescent="0.3">
      <c r="B161" s="1976" t="s">
        <v>561</v>
      </c>
      <c r="C161" s="1977"/>
      <c r="D161" s="1978"/>
      <c r="E161" s="1978">
        <v>1</v>
      </c>
      <c r="F161" s="1979">
        <f>SUM(C161:E161)</f>
        <v>1</v>
      </c>
      <c r="G161" s="1980"/>
      <c r="H161" s="1980">
        <v>1</v>
      </c>
      <c r="I161" s="1981"/>
      <c r="J161" s="1980"/>
      <c r="K161" s="1979">
        <f>SUM(G161:J161)</f>
        <v>1</v>
      </c>
      <c r="L161" s="1982">
        <f>K161/F161</f>
        <v>1</v>
      </c>
      <c r="M161" s="1980">
        <f>F161-K161</f>
        <v>0</v>
      </c>
      <c r="N161" s="1983">
        <f>1-L161</f>
        <v>0</v>
      </c>
    </row>
    <row r="162" spans="1:14" x14ac:dyDescent="0.3">
      <c r="B162" s="2001" t="s">
        <v>562</v>
      </c>
      <c r="C162" s="2002">
        <f t="shared" ref="C162:K162" si="29">SUM(C160:C161)</f>
        <v>0</v>
      </c>
      <c r="D162" s="2003">
        <f t="shared" si="29"/>
        <v>2</v>
      </c>
      <c r="E162" s="2003">
        <f t="shared" si="29"/>
        <v>3</v>
      </c>
      <c r="F162" s="1987">
        <f t="shared" si="29"/>
        <v>5</v>
      </c>
      <c r="G162" s="1988">
        <f t="shared" si="29"/>
        <v>0</v>
      </c>
      <c r="H162" s="1988">
        <f t="shared" si="29"/>
        <v>2</v>
      </c>
      <c r="I162" s="1988">
        <f t="shared" si="29"/>
        <v>1</v>
      </c>
      <c r="J162" s="1988">
        <f t="shared" si="29"/>
        <v>0</v>
      </c>
      <c r="K162" s="1987">
        <f t="shared" si="29"/>
        <v>3</v>
      </c>
      <c r="L162" s="1989">
        <f>K162/F162</f>
        <v>0.6</v>
      </c>
      <c r="M162" s="1988">
        <f>F162-K162</f>
        <v>2</v>
      </c>
      <c r="N162" s="1990">
        <f>1-L162</f>
        <v>0.4</v>
      </c>
    </row>
    <row r="163" spans="1:14" x14ac:dyDescent="0.3">
      <c r="B163" s="1953"/>
      <c r="C163" s="1956"/>
      <c r="D163" s="1923"/>
      <c r="E163" s="1923"/>
      <c r="F163" s="1923"/>
      <c r="G163" s="1923"/>
      <c r="H163" s="1923"/>
      <c r="I163" s="1923"/>
      <c r="J163" s="1923"/>
      <c r="K163" s="1923"/>
      <c r="L163" s="1923"/>
      <c r="M163" s="1923"/>
      <c r="N163" s="1923"/>
    </row>
    <row r="164" spans="1:14" x14ac:dyDescent="0.3">
      <c r="B164" s="2004" t="s">
        <v>7</v>
      </c>
      <c r="C164" s="2005">
        <f>SUM(C142,C147,C153,C158,C162)</f>
        <v>11</v>
      </c>
      <c r="D164" s="2005">
        <f>SUM(D142,D147,D153,D158,D162)</f>
        <v>61</v>
      </c>
      <c r="E164" s="2005">
        <f>SUM(E142,E147,E153,E158,E162)</f>
        <v>38</v>
      </c>
      <c r="F164" s="2006">
        <f>SUM(F142,F147,F153,F158,F162)</f>
        <v>110</v>
      </c>
      <c r="G164" s="2007">
        <f>SUM(G142,G153,G158,G147,G162)</f>
        <v>8</v>
      </c>
      <c r="H164" s="2007">
        <f>SUM(H142,H153,H158,H147,H162)</f>
        <v>35</v>
      </c>
      <c r="I164" s="2007">
        <f>SUM(I142,I153,I158,I147,I162)</f>
        <v>28</v>
      </c>
      <c r="J164" s="2007">
        <f>SUM(J142,J153,J158,J147,J162)</f>
        <v>3</v>
      </c>
      <c r="K164" s="2008">
        <f>SUM(K142,K153,K158,K147,K162)</f>
        <v>74</v>
      </c>
      <c r="L164" s="2009">
        <f>K164/F164</f>
        <v>0.67272727272727273</v>
      </c>
      <c r="M164" s="2007">
        <f>F164-K164</f>
        <v>36</v>
      </c>
      <c r="N164" s="2010">
        <f>1-L164</f>
        <v>0.32727272727272727</v>
      </c>
    </row>
    <row r="165" spans="1:14" x14ac:dyDescent="0.3">
      <c r="B165" s="1873"/>
      <c r="C165" s="1873"/>
      <c r="D165" s="1873"/>
      <c r="E165" s="1873"/>
      <c r="F165" s="1873"/>
      <c r="G165" s="1873"/>
      <c r="H165" s="1873"/>
      <c r="I165" s="1873"/>
      <c r="J165" s="1873"/>
      <c r="K165" s="1873"/>
      <c r="L165" s="1873"/>
      <c r="M165" s="1960"/>
    </row>
    <row r="166" spans="1:14" ht="15" thickBot="1" x14ac:dyDescent="0.35">
      <c r="B166" s="2011" t="s">
        <v>566</v>
      </c>
      <c r="C166" s="2012">
        <v>2</v>
      </c>
      <c r="D166" s="2012">
        <v>45</v>
      </c>
      <c r="E166" s="2012">
        <v>27</v>
      </c>
      <c r="F166" s="2013">
        <f>SUM(C166:E166)</f>
        <v>74</v>
      </c>
      <c r="G166" s="1873"/>
      <c r="H166" s="1873"/>
      <c r="I166" s="1873"/>
      <c r="J166" s="1873"/>
      <c r="K166" s="1873"/>
      <c r="L166" s="1873"/>
      <c r="M166" s="1873"/>
      <c r="N166" s="1873"/>
    </row>
    <row r="167" spans="1:14" ht="18" x14ac:dyDescent="0.35">
      <c r="A167" s="1945"/>
      <c r="B167" s="1945"/>
      <c r="C167" s="1945"/>
      <c r="D167" s="1945"/>
      <c r="E167" s="1945"/>
      <c r="F167" s="1945"/>
      <c r="G167" s="1945"/>
      <c r="H167" s="1945"/>
      <c r="I167" s="1945"/>
      <c r="J167" s="1945"/>
      <c r="K167" s="1945"/>
      <c r="L167" s="1945"/>
    </row>
    <row r="168" spans="1:14" ht="18" x14ac:dyDescent="0.35">
      <c r="A168" s="1945"/>
      <c r="B168" s="1945"/>
      <c r="C168" s="1945"/>
      <c r="D168" s="1945"/>
      <c r="E168" s="1945"/>
      <c r="F168" s="1945"/>
      <c r="G168" s="1945"/>
      <c r="H168" s="1945"/>
      <c r="I168" s="1945"/>
      <c r="J168" s="1945"/>
      <c r="K168" s="1945"/>
      <c r="L168" s="1945"/>
    </row>
    <row r="169" spans="1:14" ht="15" customHeight="1" x14ac:dyDescent="0.3">
      <c r="A169" s="5978" t="s">
        <v>27</v>
      </c>
      <c r="B169" s="5978" t="s">
        <v>10</v>
      </c>
      <c r="C169" s="5980" t="s">
        <v>570</v>
      </c>
      <c r="D169" s="5981"/>
      <c r="E169" s="5981"/>
      <c r="F169" s="2014"/>
      <c r="G169" s="5982" t="s">
        <v>571</v>
      </c>
      <c r="H169" s="5983"/>
      <c r="I169" s="5983"/>
      <c r="J169" s="5983"/>
      <c r="K169" s="5983"/>
      <c r="L169" s="5984"/>
    </row>
    <row r="170" spans="1:14" ht="57.6" x14ac:dyDescent="0.3">
      <c r="A170" s="5979"/>
      <c r="B170" s="5979"/>
      <c r="C170" s="2015" t="s">
        <v>569</v>
      </c>
      <c r="D170" s="2015" t="s">
        <v>310</v>
      </c>
      <c r="E170" s="2015" t="s">
        <v>317</v>
      </c>
      <c r="F170" s="2016" t="s">
        <v>279</v>
      </c>
      <c r="G170" s="2015" t="s">
        <v>542</v>
      </c>
      <c r="H170" s="2015" t="s">
        <v>523</v>
      </c>
      <c r="I170" s="2015" t="s">
        <v>524</v>
      </c>
      <c r="J170" s="2015" t="s">
        <v>525</v>
      </c>
      <c r="K170" s="2017" t="s">
        <v>279</v>
      </c>
      <c r="L170" s="2018" t="s">
        <v>272</v>
      </c>
      <c r="M170" s="2019" t="s">
        <v>558</v>
      </c>
    </row>
    <row r="171" spans="1:14" x14ac:dyDescent="0.3">
      <c r="A171" s="1871"/>
      <c r="B171" s="1871"/>
      <c r="C171" s="1873"/>
      <c r="D171" s="1873"/>
      <c r="E171" s="1873"/>
      <c r="F171" s="1871"/>
      <c r="G171" s="1871"/>
      <c r="H171" s="1873"/>
      <c r="I171" s="1873"/>
      <c r="J171" s="1873"/>
      <c r="K171" s="1871"/>
      <c r="L171" s="1871"/>
      <c r="M171" s="2020"/>
    </row>
    <row r="172" spans="1:14" x14ac:dyDescent="0.3">
      <c r="A172" s="5959" t="s">
        <v>286</v>
      </c>
      <c r="B172" s="2021" t="s">
        <v>572</v>
      </c>
      <c r="C172" s="2022"/>
      <c r="D172" s="2023">
        <v>5</v>
      </c>
      <c r="E172" s="2023">
        <v>4</v>
      </c>
      <c r="F172" s="2024">
        <f>SUM(C172:E172)</f>
        <v>9</v>
      </c>
      <c r="G172" s="2025"/>
      <c r="H172" s="2026">
        <v>4</v>
      </c>
      <c r="I172" s="2025">
        <v>2</v>
      </c>
      <c r="J172" s="2027">
        <v>1</v>
      </c>
      <c r="K172" s="2028">
        <f>SUM(G172:J172)</f>
        <v>7</v>
      </c>
      <c r="L172" s="2029">
        <f>K172/F172</f>
        <v>0.77777777777777779</v>
      </c>
      <c r="M172" s="2030">
        <f>1-L172</f>
        <v>0.22222222222222221</v>
      </c>
    </row>
    <row r="173" spans="1:14" x14ac:dyDescent="0.3">
      <c r="A173" s="5960"/>
      <c r="B173" s="2031" t="s">
        <v>64</v>
      </c>
      <c r="C173" s="2032">
        <v>3</v>
      </c>
      <c r="D173" s="2033">
        <v>6</v>
      </c>
      <c r="E173" s="2033">
        <v>2</v>
      </c>
      <c r="F173" s="2034">
        <f>SUM(C173:E173)</f>
        <v>11</v>
      </c>
      <c r="G173" s="2035"/>
      <c r="H173" s="2036">
        <v>4</v>
      </c>
      <c r="I173" s="2037">
        <v>4</v>
      </c>
      <c r="J173" s="1980"/>
      <c r="K173" s="2038">
        <f>SUM(G173:J173)</f>
        <v>8</v>
      </c>
      <c r="L173" s="2039">
        <f>K173/F173</f>
        <v>0.72727272727272729</v>
      </c>
      <c r="M173" s="2040">
        <f>1-L173</f>
        <v>0.27272727272727271</v>
      </c>
    </row>
    <row r="174" spans="1:14" x14ac:dyDescent="0.3">
      <c r="A174" s="5960"/>
      <c r="B174" s="2041" t="s">
        <v>68</v>
      </c>
      <c r="C174" s="2042">
        <v>1</v>
      </c>
      <c r="D174" s="2043">
        <v>6</v>
      </c>
      <c r="E174" s="2043">
        <v>6</v>
      </c>
      <c r="F174" s="2044">
        <f>SUM(C174:E174)</f>
        <v>13</v>
      </c>
      <c r="G174" s="2045"/>
      <c r="H174" s="2046"/>
      <c r="I174" s="2045">
        <v>3</v>
      </c>
      <c r="J174" s="2047"/>
      <c r="K174" s="2048">
        <f>SUM(G174:J174)</f>
        <v>3</v>
      </c>
      <c r="L174" s="2049">
        <f>K174/F174</f>
        <v>0.23076923076923078</v>
      </c>
      <c r="M174" s="2050">
        <f>1-L174</f>
        <v>0.76923076923076916</v>
      </c>
    </row>
    <row r="175" spans="1:14" x14ac:dyDescent="0.3">
      <c r="A175" s="5961"/>
      <c r="B175" s="2051" t="s">
        <v>279</v>
      </c>
      <c r="C175" s="2051">
        <f t="shared" ref="C175:K175" si="30">SUM(C172:C174)</f>
        <v>4</v>
      </c>
      <c r="D175" s="2051">
        <f t="shared" si="30"/>
        <v>17</v>
      </c>
      <c r="E175" s="2051">
        <f t="shared" si="30"/>
        <v>12</v>
      </c>
      <c r="F175" s="2052">
        <f t="shared" si="30"/>
        <v>33</v>
      </c>
      <c r="G175" s="2052">
        <f t="shared" si="30"/>
        <v>0</v>
      </c>
      <c r="H175" s="2053">
        <f t="shared" si="30"/>
        <v>8</v>
      </c>
      <c r="I175" s="2053">
        <f t="shared" si="30"/>
        <v>9</v>
      </c>
      <c r="J175" s="2053">
        <f t="shared" si="30"/>
        <v>1</v>
      </c>
      <c r="K175" s="2053">
        <f t="shared" si="30"/>
        <v>18</v>
      </c>
      <c r="L175" s="2054">
        <f>K175/F175</f>
        <v>0.54545454545454541</v>
      </c>
      <c r="M175" s="2055">
        <f>1-L175</f>
        <v>0.45454545454545459</v>
      </c>
    </row>
    <row r="176" spans="1:14" x14ac:dyDescent="0.3">
      <c r="A176" s="1991"/>
      <c r="B176" s="1991"/>
      <c r="C176" s="1991"/>
      <c r="D176" s="1991"/>
      <c r="E176" s="1991"/>
      <c r="F176" s="1991"/>
      <c r="G176" s="1991"/>
      <c r="H176" s="1991"/>
      <c r="I176" s="1991"/>
      <c r="J176" s="1991"/>
      <c r="K176" s="1991"/>
      <c r="L176" s="1991"/>
      <c r="M176" s="1991"/>
    </row>
    <row r="177" spans="1:13" x14ac:dyDescent="0.3">
      <c r="A177" s="5962" t="s">
        <v>287</v>
      </c>
      <c r="B177" s="2021" t="s">
        <v>64</v>
      </c>
      <c r="C177" s="2022"/>
      <c r="D177" s="2023">
        <v>1</v>
      </c>
      <c r="E177" s="2023">
        <v>1</v>
      </c>
      <c r="F177" s="2024">
        <f>SUM(C177:E177)</f>
        <v>2</v>
      </c>
      <c r="G177" s="2025"/>
      <c r="H177" s="2026"/>
      <c r="I177" s="2025">
        <v>2</v>
      </c>
      <c r="J177" s="2056"/>
      <c r="K177" s="2028">
        <f>SUM(G177:J177)</f>
        <v>2</v>
      </c>
      <c r="L177" s="2029">
        <f>K177/F177</f>
        <v>1</v>
      </c>
      <c r="M177" s="2030">
        <f>1-L177</f>
        <v>0</v>
      </c>
    </row>
    <row r="178" spans="1:13" x14ac:dyDescent="0.3">
      <c r="A178" s="5963"/>
      <c r="B178" s="2031" t="s">
        <v>111</v>
      </c>
      <c r="C178" s="2032"/>
      <c r="D178" s="2033">
        <v>1</v>
      </c>
      <c r="E178" s="2033"/>
      <c r="F178" s="2034">
        <f>SUM(C178:E178)</f>
        <v>1</v>
      </c>
      <c r="G178" s="2035"/>
      <c r="H178" s="2036"/>
      <c r="I178" s="2035">
        <v>1</v>
      </c>
      <c r="J178" s="1980"/>
      <c r="K178" s="2038">
        <f>SUM(G178:J178)</f>
        <v>1</v>
      </c>
      <c r="L178" s="2039">
        <f>K178/F178</f>
        <v>1</v>
      </c>
      <c r="M178" s="2040">
        <f>1-L178</f>
        <v>0</v>
      </c>
    </row>
    <row r="179" spans="1:13" x14ac:dyDescent="0.3">
      <c r="A179" s="5963"/>
      <c r="B179" s="2041" t="s">
        <v>115</v>
      </c>
      <c r="C179" s="2042">
        <v>1</v>
      </c>
      <c r="D179" s="2043">
        <v>1</v>
      </c>
      <c r="E179" s="2043">
        <v>1</v>
      </c>
      <c r="F179" s="2044">
        <f>SUM(C179:E179)</f>
        <v>3</v>
      </c>
      <c r="G179" s="2045"/>
      <c r="H179" s="2046"/>
      <c r="I179" s="2045">
        <v>2</v>
      </c>
      <c r="J179" s="2047"/>
      <c r="K179" s="2048">
        <f>SUM(G179:J179)</f>
        <v>2</v>
      </c>
      <c r="L179" s="2049">
        <f>K179/F179</f>
        <v>0.66666666666666663</v>
      </c>
      <c r="M179" s="2050">
        <f>1-L179</f>
        <v>0.33333333333333337</v>
      </c>
    </row>
    <row r="180" spans="1:13" x14ac:dyDescent="0.3">
      <c r="A180" s="5964"/>
      <c r="B180" s="2051" t="s">
        <v>279</v>
      </c>
      <c r="C180" s="2051">
        <f t="shared" ref="C180:K180" si="31">SUM(C177:C179)</f>
        <v>1</v>
      </c>
      <c r="D180" s="2051">
        <f t="shared" si="31"/>
        <v>3</v>
      </c>
      <c r="E180" s="2051">
        <f t="shared" si="31"/>
        <v>2</v>
      </c>
      <c r="F180" s="2052">
        <f t="shared" si="31"/>
        <v>6</v>
      </c>
      <c r="G180" s="2053">
        <f t="shared" si="31"/>
        <v>0</v>
      </c>
      <c r="H180" s="2053">
        <f t="shared" si="31"/>
        <v>0</v>
      </c>
      <c r="I180" s="2053">
        <f t="shared" si="31"/>
        <v>5</v>
      </c>
      <c r="J180" s="2053">
        <f t="shared" si="31"/>
        <v>0</v>
      </c>
      <c r="K180" s="2053">
        <f t="shared" si="31"/>
        <v>5</v>
      </c>
      <c r="L180" s="2054">
        <f>K180/F180</f>
        <v>0.83333333333333337</v>
      </c>
      <c r="M180" s="2055">
        <f>1-L180</f>
        <v>0.16666666666666663</v>
      </c>
    </row>
    <row r="181" spans="1:13" ht="18.75" customHeight="1" x14ac:dyDescent="0.3">
      <c r="A181" s="1873"/>
      <c r="B181" s="1873"/>
      <c r="C181" s="1873"/>
      <c r="D181" s="1873"/>
      <c r="E181" s="1873"/>
      <c r="F181" s="2057"/>
      <c r="G181" s="1873"/>
      <c r="H181" s="1873"/>
      <c r="I181" s="1873"/>
      <c r="J181" s="1873"/>
      <c r="K181" s="2058"/>
      <c r="L181" s="1873"/>
    </row>
    <row r="182" spans="1:13" x14ac:dyDescent="0.3">
      <c r="A182" s="5965" t="s">
        <v>288</v>
      </c>
      <c r="B182" s="2021" t="s">
        <v>59</v>
      </c>
      <c r="C182" s="2022">
        <v>1</v>
      </c>
      <c r="D182" s="2023">
        <v>8</v>
      </c>
      <c r="E182" s="2023">
        <v>7</v>
      </c>
      <c r="F182" s="2024">
        <f>SUM(C182:E182)</f>
        <v>16</v>
      </c>
      <c r="G182" s="2025"/>
      <c r="H182" s="2059">
        <v>7</v>
      </c>
      <c r="I182" s="2060">
        <v>6</v>
      </c>
      <c r="J182" s="2056">
        <v>1</v>
      </c>
      <c r="K182" s="2028">
        <f>SUM(H182:J182)</f>
        <v>14</v>
      </c>
      <c r="L182" s="2029">
        <f>K182/F182</f>
        <v>0.875</v>
      </c>
      <c r="M182" s="2030">
        <f>1-L182</f>
        <v>0.125</v>
      </c>
    </row>
    <row r="183" spans="1:13" x14ac:dyDescent="0.3">
      <c r="A183" s="5966"/>
      <c r="B183" s="2031" t="s">
        <v>64</v>
      </c>
      <c r="C183" s="2032">
        <v>1</v>
      </c>
      <c r="D183" s="2033">
        <v>5</v>
      </c>
      <c r="E183" s="2033">
        <v>5</v>
      </c>
      <c r="F183" s="2034">
        <f>SUM(C183:E183)</f>
        <v>11</v>
      </c>
      <c r="G183" s="2035">
        <v>3</v>
      </c>
      <c r="H183" s="2036">
        <v>5</v>
      </c>
      <c r="I183" s="2035"/>
      <c r="J183" s="1980"/>
      <c r="K183" s="2038">
        <f>SUM(G183:J183)</f>
        <v>8</v>
      </c>
      <c r="L183" s="2039">
        <f>K183/F183</f>
        <v>0.72727272727272729</v>
      </c>
      <c r="M183" s="2040">
        <f>1-L183</f>
        <v>0.27272727272727271</v>
      </c>
    </row>
    <row r="184" spans="1:13" x14ac:dyDescent="0.3">
      <c r="A184" s="5966"/>
      <c r="B184" s="2041" t="s">
        <v>92</v>
      </c>
      <c r="C184" s="2042">
        <v>2</v>
      </c>
      <c r="D184" s="2043">
        <v>4</v>
      </c>
      <c r="E184" s="2043">
        <v>2</v>
      </c>
      <c r="F184" s="2044">
        <f>SUM(C184:E184)</f>
        <v>8</v>
      </c>
      <c r="G184" s="2045">
        <v>1</v>
      </c>
      <c r="H184" s="2046">
        <v>4</v>
      </c>
      <c r="I184" s="2045">
        <v>1</v>
      </c>
      <c r="J184" s="2047"/>
      <c r="K184" s="2048">
        <f>SUM(G184:J184)</f>
        <v>6</v>
      </c>
      <c r="L184" s="2049">
        <f>K184/F184</f>
        <v>0.75</v>
      </c>
      <c r="M184" s="2050">
        <f>1-L184</f>
        <v>0.25</v>
      </c>
    </row>
    <row r="185" spans="1:13" x14ac:dyDescent="0.3">
      <c r="A185" s="5967"/>
      <c r="B185" s="2051" t="s">
        <v>279</v>
      </c>
      <c r="C185" s="2051">
        <f t="shared" ref="C185:K185" si="32">SUM(C182:C184)</f>
        <v>4</v>
      </c>
      <c r="D185" s="2051">
        <f t="shared" si="32"/>
        <v>17</v>
      </c>
      <c r="E185" s="2051">
        <f t="shared" si="32"/>
        <v>14</v>
      </c>
      <c r="F185" s="2052">
        <f t="shared" si="32"/>
        <v>35</v>
      </c>
      <c r="G185" s="2053">
        <f t="shared" si="32"/>
        <v>4</v>
      </c>
      <c r="H185" s="2053">
        <f t="shared" si="32"/>
        <v>16</v>
      </c>
      <c r="I185" s="2053">
        <f t="shared" si="32"/>
        <v>7</v>
      </c>
      <c r="J185" s="2053">
        <f t="shared" si="32"/>
        <v>1</v>
      </c>
      <c r="K185" s="2053">
        <f t="shared" si="32"/>
        <v>28</v>
      </c>
      <c r="L185" s="2054">
        <f>K185/F185</f>
        <v>0.8</v>
      </c>
      <c r="M185" s="2055">
        <f>1-L185</f>
        <v>0.19999999999999996</v>
      </c>
    </row>
    <row r="186" spans="1:13" x14ac:dyDescent="0.3">
      <c r="A186" s="2061"/>
      <c r="B186" s="1953"/>
      <c r="C186" s="1956"/>
      <c r="D186" s="1956"/>
      <c r="E186" s="1956"/>
      <c r="F186" s="2062"/>
      <c r="G186" s="2063"/>
      <c r="H186" s="2063"/>
      <c r="I186" s="2063"/>
      <c r="J186" s="2064"/>
      <c r="K186" s="2065"/>
    </row>
    <row r="187" spans="1:13" x14ac:dyDescent="0.3">
      <c r="A187" s="5968" t="s">
        <v>290</v>
      </c>
      <c r="B187" s="2021" t="s">
        <v>64</v>
      </c>
      <c r="C187" s="2022">
        <v>1</v>
      </c>
      <c r="D187" s="2023">
        <v>9</v>
      </c>
      <c r="E187" s="2023">
        <v>3</v>
      </c>
      <c r="F187" s="2024">
        <f>SUM(C187:E187)</f>
        <v>13</v>
      </c>
      <c r="G187" s="2025">
        <v>1</v>
      </c>
      <c r="H187" s="2026">
        <v>5</v>
      </c>
      <c r="I187" s="2025">
        <v>4</v>
      </c>
      <c r="J187" s="2056"/>
      <c r="K187" s="2028">
        <f>SUM(G187:J187)</f>
        <v>10</v>
      </c>
      <c r="L187" s="2029">
        <f>K187/F187</f>
        <v>0.76923076923076927</v>
      </c>
      <c r="M187" s="2030">
        <f>1-L187</f>
        <v>0.23076923076923073</v>
      </c>
    </row>
    <row r="188" spans="1:13" x14ac:dyDescent="0.3">
      <c r="A188" s="5969"/>
      <c r="B188" s="2031" t="s">
        <v>92</v>
      </c>
      <c r="C188" s="2032">
        <v>2</v>
      </c>
      <c r="D188" s="2033">
        <v>8</v>
      </c>
      <c r="E188" s="2033">
        <v>2</v>
      </c>
      <c r="F188" s="2034">
        <f>SUM(C188:E188)</f>
        <v>12</v>
      </c>
      <c r="G188" s="2035"/>
      <c r="H188" s="2036">
        <v>4</v>
      </c>
      <c r="I188" s="2035">
        <v>2</v>
      </c>
      <c r="J188" s="1980">
        <v>1</v>
      </c>
      <c r="K188" s="2038">
        <f>SUM(H188:J188)</f>
        <v>7</v>
      </c>
      <c r="L188" s="2039">
        <f>K188/F188</f>
        <v>0.58333333333333337</v>
      </c>
      <c r="M188" s="2040">
        <f>1-L188</f>
        <v>0.41666666666666663</v>
      </c>
    </row>
    <row r="189" spans="1:13" x14ac:dyDescent="0.3">
      <c r="A189" s="5969"/>
      <c r="B189" s="2041" t="s">
        <v>68</v>
      </c>
      <c r="C189" s="2042"/>
      <c r="D189" s="2043">
        <v>3</v>
      </c>
      <c r="E189" s="2043">
        <v>1</v>
      </c>
      <c r="F189" s="2044">
        <f>SUM(C189:E189)</f>
        <v>4</v>
      </c>
      <c r="G189" s="2045"/>
      <c r="H189" s="2046">
        <v>1</v>
      </c>
      <c r="I189" s="2045">
        <v>2</v>
      </c>
      <c r="J189" s="2047"/>
      <c r="K189" s="2048">
        <f>SUM(H189:J189)</f>
        <v>3</v>
      </c>
      <c r="L189" s="2049">
        <f>K189/F189</f>
        <v>0.75</v>
      </c>
      <c r="M189" s="2050">
        <f>1-L189</f>
        <v>0.25</v>
      </c>
    </row>
    <row r="190" spans="1:13" x14ac:dyDescent="0.3">
      <c r="A190" s="5970"/>
      <c r="B190" s="2051" t="s">
        <v>279</v>
      </c>
      <c r="C190" s="2051">
        <f t="shared" ref="C190:K190" si="33">SUM(C187:C189)</f>
        <v>3</v>
      </c>
      <c r="D190" s="2051">
        <f t="shared" si="33"/>
        <v>20</v>
      </c>
      <c r="E190" s="2051">
        <f t="shared" si="33"/>
        <v>6</v>
      </c>
      <c r="F190" s="2052">
        <f t="shared" si="33"/>
        <v>29</v>
      </c>
      <c r="G190" s="2053">
        <f t="shared" si="33"/>
        <v>1</v>
      </c>
      <c r="H190" s="2053">
        <f t="shared" si="33"/>
        <v>10</v>
      </c>
      <c r="I190" s="2053">
        <f t="shared" si="33"/>
        <v>8</v>
      </c>
      <c r="J190" s="2053">
        <f t="shared" si="33"/>
        <v>1</v>
      </c>
      <c r="K190" s="2053">
        <f t="shared" si="33"/>
        <v>20</v>
      </c>
      <c r="L190" s="2054">
        <f>K190/F190</f>
        <v>0.68965517241379315</v>
      </c>
      <c r="M190" s="2055">
        <f>1-L190</f>
        <v>0.31034482758620685</v>
      </c>
    </row>
    <row r="191" spans="1:13" x14ac:dyDescent="0.3">
      <c r="A191" s="1999"/>
      <c r="B191" s="1999"/>
      <c r="C191" s="1999"/>
      <c r="D191" s="1999"/>
      <c r="E191" s="1999"/>
      <c r="F191" s="1999"/>
      <c r="G191" s="1999"/>
      <c r="H191" s="1999"/>
      <c r="I191" s="1999"/>
      <c r="J191" s="1999"/>
      <c r="K191" s="1999"/>
    </row>
    <row r="192" spans="1:13" x14ac:dyDescent="0.3">
      <c r="A192" s="5971" t="s">
        <v>573</v>
      </c>
      <c r="B192" s="2021" t="s">
        <v>64</v>
      </c>
      <c r="C192" s="2022"/>
      <c r="D192" s="2023">
        <v>2</v>
      </c>
      <c r="E192" s="2023">
        <v>2</v>
      </c>
      <c r="F192" s="2024">
        <f>SUM(C192:E192)</f>
        <v>4</v>
      </c>
      <c r="G192" s="2025"/>
      <c r="H192" s="2026">
        <v>1</v>
      </c>
      <c r="I192" s="2025">
        <v>1</v>
      </c>
      <c r="J192" s="2056"/>
      <c r="K192" s="2028">
        <f>SUM(G192:J192)</f>
        <v>2</v>
      </c>
      <c r="L192" s="2029">
        <f>K192/F192</f>
        <v>0.5</v>
      </c>
      <c r="M192" s="2030">
        <f>1-L192</f>
        <v>0.5</v>
      </c>
    </row>
    <row r="193" spans="1:13" x14ac:dyDescent="0.3">
      <c r="A193" s="5972"/>
      <c r="B193" s="2031" t="s">
        <v>561</v>
      </c>
      <c r="C193" s="2032"/>
      <c r="D193" s="2033"/>
      <c r="E193" s="2033">
        <v>1</v>
      </c>
      <c r="F193" s="2034">
        <f>SUM(C193:E193)</f>
        <v>1</v>
      </c>
      <c r="G193" s="2035"/>
      <c r="H193" s="2036">
        <v>1</v>
      </c>
      <c r="I193" s="2035"/>
      <c r="J193" s="1980"/>
      <c r="K193" s="2038">
        <f>SUM(G193:J193)</f>
        <v>1</v>
      </c>
      <c r="L193" s="2039">
        <f>K193/F193</f>
        <v>1</v>
      </c>
      <c r="M193" s="2040">
        <f>1-L193</f>
        <v>0</v>
      </c>
    </row>
    <row r="194" spans="1:13" x14ac:dyDescent="0.3">
      <c r="A194" s="5973"/>
      <c r="B194" s="2051" t="s">
        <v>279</v>
      </c>
      <c r="C194" s="2051">
        <f t="shared" ref="C194:K194" si="34">SUM(C192:C193)</f>
        <v>0</v>
      </c>
      <c r="D194" s="2051">
        <f t="shared" si="34"/>
        <v>2</v>
      </c>
      <c r="E194" s="2051">
        <f t="shared" si="34"/>
        <v>3</v>
      </c>
      <c r="F194" s="2052">
        <f t="shared" si="34"/>
        <v>5</v>
      </c>
      <c r="G194" s="2053">
        <f t="shared" si="34"/>
        <v>0</v>
      </c>
      <c r="H194" s="2053">
        <f t="shared" si="34"/>
        <v>2</v>
      </c>
      <c r="I194" s="2053">
        <f t="shared" si="34"/>
        <v>1</v>
      </c>
      <c r="J194" s="2053">
        <f t="shared" si="34"/>
        <v>0</v>
      </c>
      <c r="K194" s="2053">
        <f t="shared" si="34"/>
        <v>3</v>
      </c>
      <c r="L194" s="2054">
        <f>K194/F194</f>
        <v>0.6</v>
      </c>
      <c r="M194" s="2055">
        <f>1-L194</f>
        <v>0.4</v>
      </c>
    </row>
    <row r="195" spans="1:13" x14ac:dyDescent="0.3">
      <c r="A195" s="1953"/>
      <c r="B195" s="1953"/>
      <c r="C195" s="1956"/>
      <c r="D195" s="1956"/>
      <c r="E195" s="1956"/>
      <c r="F195" s="2062"/>
      <c r="G195" s="2063"/>
      <c r="H195" s="2063"/>
      <c r="I195" s="2063"/>
      <c r="J195" s="2064"/>
      <c r="K195" s="2065"/>
      <c r="L195" s="2066"/>
      <c r="M195" s="2067"/>
    </row>
    <row r="196" spans="1:13" x14ac:dyDescent="0.3">
      <c r="A196" s="5974" t="s">
        <v>7</v>
      </c>
      <c r="B196" s="5974"/>
      <c r="C196" s="2051">
        <f>SUM(C175,C180,C185,C190,C194)</f>
        <v>12</v>
      </c>
      <c r="D196" s="2051">
        <f>SUM(D175,D180,D185,D190,D194)</f>
        <v>59</v>
      </c>
      <c r="E196" s="2051">
        <f>SUM(E175,E180,E185,E190,E194)</f>
        <v>37</v>
      </c>
      <c r="F196" s="2051">
        <f>SUM(F175,F180,F185,F190,F194)</f>
        <v>108</v>
      </c>
      <c r="G196" s="2052">
        <f>SUM(G175,G185,G190,G180,G194)</f>
        <v>5</v>
      </c>
      <c r="H196" s="2052">
        <f>SUM(H175,H185,H190,H180,H194)</f>
        <v>36</v>
      </c>
      <c r="I196" s="2052">
        <f>SUM(I175,I185,I190,I180,I194)</f>
        <v>30</v>
      </c>
      <c r="J196" s="2052">
        <f>SUM(J175,J185,J190,J180,J194)</f>
        <v>3</v>
      </c>
      <c r="K196" s="2053">
        <f>SUM(K175,K185,K190,K180,K194)</f>
        <v>74</v>
      </c>
      <c r="L196" s="2068">
        <f>K196/F196</f>
        <v>0.68518518518518523</v>
      </c>
      <c r="M196" s="2055">
        <f>1-L196</f>
        <v>0.31481481481481477</v>
      </c>
    </row>
    <row r="197" spans="1:13" x14ac:dyDescent="0.3">
      <c r="A197" s="1873"/>
      <c r="B197" s="1873"/>
      <c r="C197" s="1873"/>
      <c r="D197" s="1873"/>
      <c r="E197" s="1873"/>
      <c r="F197" s="1873"/>
      <c r="G197" s="1873"/>
      <c r="H197" s="1873"/>
      <c r="I197" s="1873"/>
      <c r="J197" s="1873"/>
      <c r="K197" s="1873"/>
      <c r="L197" s="1873"/>
      <c r="M197" s="1960"/>
    </row>
    <row r="198" spans="1:13" ht="15" thickBot="1" x14ac:dyDescent="0.35">
      <c r="A198" s="5985" t="s">
        <v>574</v>
      </c>
      <c r="B198" s="5986"/>
      <c r="C198" s="2069">
        <v>2</v>
      </c>
      <c r="D198" s="2070">
        <v>45</v>
      </c>
      <c r="E198" s="2070">
        <v>27</v>
      </c>
      <c r="F198" s="2071">
        <f>SUM(C198:E198)</f>
        <v>74</v>
      </c>
      <c r="G198" s="1873"/>
      <c r="H198" s="1873"/>
      <c r="I198" s="5987" t="s">
        <v>575</v>
      </c>
      <c r="J198" s="5987"/>
      <c r="K198" s="2072">
        <f>F196-K196</f>
        <v>34</v>
      </c>
      <c r="L198" s="1873"/>
      <c r="M198" s="1960"/>
    </row>
    <row r="199" spans="1:13" ht="18" x14ac:dyDescent="0.35">
      <c r="A199" s="1945"/>
      <c r="B199" s="1945"/>
      <c r="C199" s="1945"/>
      <c r="D199" s="1945"/>
      <c r="E199" s="1945"/>
      <c r="F199" s="1945"/>
      <c r="G199" s="1945"/>
      <c r="H199" s="1945"/>
      <c r="I199" s="1945"/>
      <c r="J199" s="1945"/>
      <c r="K199" s="1945"/>
      <c r="L199" s="1945"/>
      <c r="M199" s="2073"/>
    </row>
    <row r="200" spans="1:13" ht="18" x14ac:dyDescent="0.35">
      <c r="A200" s="1945"/>
      <c r="B200" s="1945"/>
      <c r="C200" s="1945"/>
      <c r="D200" s="1945"/>
      <c r="E200" s="1945"/>
      <c r="F200" s="1945"/>
      <c r="G200" s="1945"/>
      <c r="H200" s="1945"/>
      <c r="I200" s="1945"/>
      <c r="J200" s="1945"/>
      <c r="K200" s="1945"/>
      <c r="L200" s="1945"/>
      <c r="M200" s="2073"/>
    </row>
    <row r="201" spans="1:13" ht="15" customHeight="1" x14ac:dyDescent="0.3">
      <c r="A201" s="5978" t="s">
        <v>27</v>
      </c>
      <c r="B201" s="5978" t="s">
        <v>10</v>
      </c>
      <c r="C201" s="5988" t="s">
        <v>576</v>
      </c>
      <c r="D201" s="5989"/>
      <c r="E201" s="5989"/>
      <c r="F201" s="5990"/>
      <c r="G201" s="5988" t="s">
        <v>577</v>
      </c>
      <c r="H201" s="5989"/>
      <c r="I201" s="5989"/>
      <c r="J201" s="5989"/>
      <c r="K201" s="5989"/>
      <c r="L201" s="5990"/>
    </row>
    <row r="202" spans="1:13" ht="57.6" x14ac:dyDescent="0.3">
      <c r="A202" s="5979"/>
      <c r="B202" s="5979"/>
      <c r="C202" s="2015" t="s">
        <v>569</v>
      </c>
      <c r="D202" s="2015" t="s">
        <v>310</v>
      </c>
      <c r="E202" s="2015" t="s">
        <v>317</v>
      </c>
      <c r="F202" s="2016" t="s">
        <v>279</v>
      </c>
      <c r="G202" s="2015" t="s">
        <v>542</v>
      </c>
      <c r="H202" s="2015" t="s">
        <v>523</v>
      </c>
      <c r="I202" s="2015" t="s">
        <v>524</v>
      </c>
      <c r="J202" s="2015" t="s">
        <v>525</v>
      </c>
      <c r="K202" s="2017" t="s">
        <v>279</v>
      </c>
      <c r="L202" s="2018" t="s">
        <v>272</v>
      </c>
      <c r="M202" s="2019" t="s">
        <v>558</v>
      </c>
    </row>
    <row r="203" spans="1:13" ht="15" customHeight="1" x14ac:dyDescent="0.3">
      <c r="A203" s="1871"/>
      <c r="B203" s="1871"/>
      <c r="C203" s="1873"/>
      <c r="D203" s="1873"/>
      <c r="E203" s="1873"/>
      <c r="F203" s="1871"/>
      <c r="G203" s="1871"/>
      <c r="H203" s="1873"/>
      <c r="I203" s="1873"/>
      <c r="J203" s="1873"/>
      <c r="K203" s="1871"/>
      <c r="L203" s="1871"/>
      <c r="M203" s="2020"/>
    </row>
    <row r="204" spans="1:13" ht="15" customHeight="1" x14ac:dyDescent="0.3">
      <c r="A204" s="5959" t="s">
        <v>286</v>
      </c>
      <c r="B204" s="2021" t="s">
        <v>59</v>
      </c>
      <c r="C204" s="2022"/>
      <c r="D204" s="2023">
        <v>5</v>
      </c>
      <c r="E204" s="2023">
        <v>4</v>
      </c>
      <c r="F204" s="2024">
        <f>SUM(C204:E204)</f>
        <v>9</v>
      </c>
      <c r="G204" s="2025"/>
      <c r="H204" s="2026">
        <v>4</v>
      </c>
      <c r="I204" s="2025">
        <v>2</v>
      </c>
      <c r="J204" s="2027">
        <v>1</v>
      </c>
      <c r="K204" s="2028">
        <f>SUM(G204:J204)</f>
        <v>7</v>
      </c>
      <c r="L204" s="2029">
        <f>K204/F204</f>
        <v>0.77777777777777779</v>
      </c>
      <c r="M204" s="2030">
        <f>1-L204</f>
        <v>0.22222222222222221</v>
      </c>
    </row>
    <row r="205" spans="1:13" ht="15" customHeight="1" x14ac:dyDescent="0.3">
      <c r="A205" s="5960"/>
      <c r="B205" s="2031" t="s">
        <v>64</v>
      </c>
      <c r="C205" s="2032">
        <v>3</v>
      </c>
      <c r="D205" s="2033">
        <v>5</v>
      </c>
      <c r="E205" s="2033">
        <v>2</v>
      </c>
      <c r="F205" s="2034">
        <f>SUM(C205:E205)</f>
        <v>10</v>
      </c>
      <c r="G205" s="2035"/>
      <c r="H205" s="2036">
        <v>2</v>
      </c>
      <c r="I205" s="2037">
        <v>5</v>
      </c>
      <c r="J205" s="1980">
        <v>1</v>
      </c>
      <c r="K205" s="2038">
        <f>SUM(G205:J205)</f>
        <v>8</v>
      </c>
      <c r="L205" s="2039">
        <f>K205/F205</f>
        <v>0.8</v>
      </c>
      <c r="M205" s="2040">
        <f>1-L205</f>
        <v>0.19999999999999996</v>
      </c>
    </row>
    <row r="206" spans="1:13" ht="15" customHeight="1" x14ac:dyDescent="0.3">
      <c r="A206" s="5960"/>
      <c r="B206" s="2041" t="s">
        <v>68</v>
      </c>
      <c r="C206" s="2042">
        <v>1</v>
      </c>
      <c r="D206" s="2043">
        <v>6</v>
      </c>
      <c r="E206" s="2043">
        <v>3</v>
      </c>
      <c r="F206" s="2044">
        <f>SUM(C206:E206)</f>
        <v>10</v>
      </c>
      <c r="G206" s="2045"/>
      <c r="H206" s="2046"/>
      <c r="I206" s="2045">
        <v>3</v>
      </c>
      <c r="J206" s="2047"/>
      <c r="K206" s="2048">
        <f>SUM(G206:J206)</f>
        <v>3</v>
      </c>
      <c r="L206" s="2049">
        <f>K206/F206</f>
        <v>0.3</v>
      </c>
      <c r="M206" s="2050">
        <f>1-L206</f>
        <v>0.7</v>
      </c>
    </row>
    <row r="207" spans="1:13" ht="15" customHeight="1" x14ac:dyDescent="0.3">
      <c r="A207" s="5961"/>
      <c r="B207" s="2051" t="s">
        <v>279</v>
      </c>
      <c r="C207" s="2051">
        <f t="shared" ref="C207:K207" si="35">SUM(C204:C206)</f>
        <v>4</v>
      </c>
      <c r="D207" s="2051">
        <f t="shared" si="35"/>
        <v>16</v>
      </c>
      <c r="E207" s="2051">
        <f t="shared" si="35"/>
        <v>9</v>
      </c>
      <c r="F207" s="2052">
        <f t="shared" si="35"/>
        <v>29</v>
      </c>
      <c r="G207" s="2052">
        <f t="shared" si="35"/>
        <v>0</v>
      </c>
      <c r="H207" s="2053">
        <f t="shared" si="35"/>
        <v>6</v>
      </c>
      <c r="I207" s="2053">
        <f t="shared" si="35"/>
        <v>10</v>
      </c>
      <c r="J207" s="2053">
        <f t="shared" si="35"/>
        <v>2</v>
      </c>
      <c r="K207" s="2053">
        <f t="shared" si="35"/>
        <v>18</v>
      </c>
      <c r="L207" s="2054">
        <f>K207/F207</f>
        <v>0.62068965517241381</v>
      </c>
      <c r="M207" s="2055">
        <f>1-L207</f>
        <v>0.37931034482758619</v>
      </c>
    </row>
    <row r="208" spans="1:13" ht="15" customHeight="1" x14ac:dyDescent="0.3">
      <c r="A208" s="1991"/>
      <c r="B208" s="1991"/>
      <c r="C208" s="1991"/>
      <c r="D208" s="1991"/>
      <c r="E208" s="1991"/>
      <c r="F208" s="1991"/>
      <c r="G208" s="1991"/>
      <c r="H208" s="1991"/>
      <c r="I208" s="1991"/>
      <c r="J208" s="1991"/>
      <c r="K208" s="1991"/>
      <c r="L208" s="1991"/>
    </row>
    <row r="209" spans="1:13" ht="15" customHeight="1" x14ac:dyDescent="0.3">
      <c r="A209" s="5962" t="s">
        <v>287</v>
      </c>
      <c r="B209" s="2021" t="s">
        <v>64</v>
      </c>
      <c r="C209" s="2022"/>
      <c r="D209" s="2023">
        <v>1</v>
      </c>
      <c r="E209" s="2023">
        <v>1</v>
      </c>
      <c r="F209" s="2024">
        <f>SUM(C209:E209)</f>
        <v>2</v>
      </c>
      <c r="G209" s="2025"/>
      <c r="H209" s="2026"/>
      <c r="I209" s="2025">
        <v>1</v>
      </c>
      <c r="J209" s="2056">
        <v>1</v>
      </c>
      <c r="K209" s="2028">
        <f>SUM(G209:J209)</f>
        <v>2</v>
      </c>
      <c r="L209" s="2029">
        <f>K209/F209</f>
        <v>1</v>
      </c>
      <c r="M209" s="2030">
        <f>1-L209</f>
        <v>0</v>
      </c>
    </row>
    <row r="210" spans="1:13" ht="15" customHeight="1" x14ac:dyDescent="0.3">
      <c r="A210" s="5963"/>
      <c r="B210" s="2031" t="s">
        <v>111</v>
      </c>
      <c r="C210" s="2032"/>
      <c r="D210" s="2033">
        <v>1</v>
      </c>
      <c r="E210" s="2033"/>
      <c r="F210" s="2034">
        <f>SUM(C210:E210)</f>
        <v>1</v>
      </c>
      <c r="G210" s="2035"/>
      <c r="H210" s="2036"/>
      <c r="I210" s="2035"/>
      <c r="J210" s="1980">
        <v>1</v>
      </c>
      <c r="K210" s="2038">
        <f>SUM(G210:J210)</f>
        <v>1</v>
      </c>
      <c r="L210" s="2039">
        <f>K210/F210</f>
        <v>1</v>
      </c>
      <c r="M210" s="2040">
        <f>1-L210</f>
        <v>0</v>
      </c>
    </row>
    <row r="211" spans="1:13" ht="15" customHeight="1" x14ac:dyDescent="0.3">
      <c r="A211" s="5963"/>
      <c r="B211" s="2041" t="s">
        <v>115</v>
      </c>
      <c r="C211" s="2042">
        <v>1</v>
      </c>
      <c r="D211" s="2043">
        <v>1</v>
      </c>
      <c r="E211" s="2043">
        <v>1</v>
      </c>
      <c r="F211" s="2044">
        <f>SUM(C211:E211)</f>
        <v>3</v>
      </c>
      <c r="G211" s="2045"/>
      <c r="H211" s="2046"/>
      <c r="I211" s="2045"/>
      <c r="J211" s="2047">
        <v>2</v>
      </c>
      <c r="K211" s="2048">
        <f>SUM(G211:J211)</f>
        <v>2</v>
      </c>
      <c r="L211" s="2049">
        <f>K211/F211</f>
        <v>0.66666666666666663</v>
      </c>
      <c r="M211" s="2050">
        <f>1-L211</f>
        <v>0.33333333333333337</v>
      </c>
    </row>
    <row r="212" spans="1:13" ht="15" customHeight="1" x14ac:dyDescent="0.3">
      <c r="A212" s="5964"/>
      <c r="B212" s="2051" t="s">
        <v>279</v>
      </c>
      <c r="C212" s="2051">
        <f t="shared" ref="C212:K212" si="36">SUM(C209:C211)</f>
        <v>1</v>
      </c>
      <c r="D212" s="2051">
        <f t="shared" si="36"/>
        <v>3</v>
      </c>
      <c r="E212" s="2051">
        <f t="shared" si="36"/>
        <v>2</v>
      </c>
      <c r="F212" s="2052">
        <f t="shared" si="36"/>
        <v>6</v>
      </c>
      <c r="G212" s="2053">
        <f t="shared" si="36"/>
        <v>0</v>
      </c>
      <c r="H212" s="2053">
        <f t="shared" si="36"/>
        <v>0</v>
      </c>
      <c r="I212" s="2053">
        <f t="shared" si="36"/>
        <v>1</v>
      </c>
      <c r="J212" s="2053">
        <f t="shared" si="36"/>
        <v>4</v>
      </c>
      <c r="K212" s="2053">
        <f t="shared" si="36"/>
        <v>5</v>
      </c>
      <c r="L212" s="2054">
        <f>K212/F212</f>
        <v>0.83333333333333337</v>
      </c>
      <c r="M212" s="2055">
        <f>1-L212</f>
        <v>0.16666666666666663</v>
      </c>
    </row>
    <row r="213" spans="1:13" ht="15" customHeight="1" x14ac:dyDescent="0.3">
      <c r="A213" s="1873"/>
      <c r="B213" s="1873"/>
      <c r="C213" s="1873"/>
      <c r="D213" s="1873"/>
      <c r="E213" s="1873"/>
      <c r="F213" s="2057"/>
      <c r="G213" s="1873"/>
      <c r="H213" s="1873"/>
      <c r="I213" s="1873"/>
      <c r="J213" s="1873"/>
      <c r="K213" s="2058"/>
      <c r="L213" s="1873"/>
    </row>
    <row r="214" spans="1:13" ht="15" customHeight="1" x14ac:dyDescent="0.3">
      <c r="A214" s="5965" t="s">
        <v>288</v>
      </c>
      <c r="B214" s="2021" t="s">
        <v>59</v>
      </c>
      <c r="C214" s="2022">
        <v>1</v>
      </c>
      <c r="D214" s="2023">
        <v>8</v>
      </c>
      <c r="E214" s="2023">
        <v>7</v>
      </c>
      <c r="F214" s="2024">
        <f>SUM(C214:E214)</f>
        <v>16</v>
      </c>
      <c r="G214" s="2025"/>
      <c r="H214" s="2059">
        <v>9</v>
      </c>
      <c r="I214" s="2060">
        <v>2</v>
      </c>
      <c r="J214" s="2056">
        <v>3</v>
      </c>
      <c r="K214" s="2028">
        <f>SUM(H214:J214)</f>
        <v>14</v>
      </c>
      <c r="L214" s="2029">
        <f>K214/F214</f>
        <v>0.875</v>
      </c>
      <c r="M214" s="2030">
        <f>1-L214</f>
        <v>0.125</v>
      </c>
    </row>
    <row r="215" spans="1:13" ht="15" customHeight="1" x14ac:dyDescent="0.3">
      <c r="A215" s="5966"/>
      <c r="B215" s="2031" t="s">
        <v>64</v>
      </c>
      <c r="C215" s="2032">
        <v>1</v>
      </c>
      <c r="D215" s="2033">
        <v>3</v>
      </c>
      <c r="E215" s="2033">
        <v>3</v>
      </c>
      <c r="F215" s="2034">
        <f>SUM(C215:E215)</f>
        <v>7</v>
      </c>
      <c r="G215" s="2035">
        <v>3</v>
      </c>
      <c r="H215" s="2036">
        <v>1</v>
      </c>
      <c r="I215" s="2035">
        <v>2</v>
      </c>
      <c r="J215" s="1980"/>
      <c r="K215" s="2038">
        <f>SUM(G215:J215)</f>
        <v>6</v>
      </c>
      <c r="L215" s="2039">
        <f>K215/F215</f>
        <v>0.8571428571428571</v>
      </c>
      <c r="M215" s="2040">
        <f>1-L215</f>
        <v>0.1428571428571429</v>
      </c>
    </row>
    <row r="216" spans="1:13" ht="15" customHeight="1" x14ac:dyDescent="0.3">
      <c r="A216" s="5966"/>
      <c r="B216" s="2041" t="s">
        <v>92</v>
      </c>
      <c r="C216" s="2042">
        <v>2</v>
      </c>
      <c r="D216" s="2043">
        <v>4</v>
      </c>
      <c r="E216" s="2043">
        <v>2</v>
      </c>
      <c r="F216" s="2044">
        <f>SUM(C216:E216)</f>
        <v>8</v>
      </c>
      <c r="G216" s="2045">
        <v>2</v>
      </c>
      <c r="H216" s="2046">
        <v>3</v>
      </c>
      <c r="I216" s="2045">
        <v>1</v>
      </c>
      <c r="J216" s="2047"/>
      <c r="K216" s="2048">
        <f>SUM(G216:J216)</f>
        <v>6</v>
      </c>
      <c r="L216" s="2049">
        <f>K216/F216</f>
        <v>0.75</v>
      </c>
      <c r="M216" s="2050">
        <f>1-L216</f>
        <v>0.25</v>
      </c>
    </row>
    <row r="217" spans="1:13" ht="15" customHeight="1" x14ac:dyDescent="0.3">
      <c r="A217" s="5967"/>
      <c r="B217" s="2051" t="s">
        <v>279</v>
      </c>
      <c r="C217" s="2051">
        <f t="shared" ref="C217:K217" si="37">SUM(C214:C216)</f>
        <v>4</v>
      </c>
      <c r="D217" s="2051">
        <f t="shared" si="37"/>
        <v>15</v>
      </c>
      <c r="E217" s="2051">
        <f t="shared" si="37"/>
        <v>12</v>
      </c>
      <c r="F217" s="2052">
        <f t="shared" si="37"/>
        <v>31</v>
      </c>
      <c r="G217" s="2053">
        <f t="shared" si="37"/>
        <v>5</v>
      </c>
      <c r="H217" s="2053">
        <f t="shared" si="37"/>
        <v>13</v>
      </c>
      <c r="I217" s="2053">
        <f t="shared" si="37"/>
        <v>5</v>
      </c>
      <c r="J217" s="2053">
        <f t="shared" si="37"/>
        <v>3</v>
      </c>
      <c r="K217" s="2053">
        <f t="shared" si="37"/>
        <v>26</v>
      </c>
      <c r="L217" s="2054">
        <f>K217/F217</f>
        <v>0.83870967741935487</v>
      </c>
      <c r="M217" s="2055">
        <f>1-L217</f>
        <v>0.16129032258064513</v>
      </c>
    </row>
    <row r="218" spans="1:13" ht="15" customHeight="1" x14ac:dyDescent="0.3">
      <c r="A218" s="2061"/>
      <c r="B218" s="1953"/>
      <c r="C218" s="1956"/>
      <c r="D218" s="1956"/>
      <c r="E218" s="1956"/>
      <c r="F218" s="2062"/>
      <c r="G218" s="2063"/>
      <c r="H218" s="2063"/>
      <c r="I218" s="2063"/>
      <c r="J218" s="2064"/>
      <c r="K218" s="2065"/>
      <c r="L218" s="2066"/>
    </row>
    <row r="219" spans="1:13" ht="15" customHeight="1" x14ac:dyDescent="0.3">
      <c r="A219" s="5968" t="s">
        <v>290</v>
      </c>
      <c r="B219" s="2021" t="s">
        <v>64</v>
      </c>
      <c r="C219" s="2022">
        <v>1</v>
      </c>
      <c r="D219" s="2023">
        <v>8</v>
      </c>
      <c r="E219" s="2023">
        <v>2</v>
      </c>
      <c r="F219" s="2024">
        <v>11</v>
      </c>
      <c r="G219" s="2025">
        <v>1</v>
      </c>
      <c r="H219" s="2026">
        <v>4</v>
      </c>
      <c r="I219" s="2025">
        <v>5</v>
      </c>
      <c r="J219" s="2056"/>
      <c r="K219" s="2028">
        <f>SUM(G219:J219)</f>
        <v>10</v>
      </c>
      <c r="L219" s="2029">
        <f>K219/F219</f>
        <v>0.90909090909090906</v>
      </c>
      <c r="M219" s="2030">
        <f>1-L219</f>
        <v>9.0909090909090939E-2</v>
      </c>
    </row>
    <row r="220" spans="1:13" ht="15" customHeight="1" x14ac:dyDescent="0.3">
      <c r="A220" s="5969"/>
      <c r="B220" s="2031" t="s">
        <v>92</v>
      </c>
      <c r="C220" s="2032">
        <v>3</v>
      </c>
      <c r="D220" s="2033">
        <v>8</v>
      </c>
      <c r="E220" s="2033">
        <v>2</v>
      </c>
      <c r="F220" s="2034">
        <f>SUM(C220:E220)</f>
        <v>13</v>
      </c>
      <c r="G220" s="2035"/>
      <c r="H220" s="2036">
        <v>4</v>
      </c>
      <c r="I220" s="2035">
        <v>2</v>
      </c>
      <c r="J220" s="1980">
        <v>1</v>
      </c>
      <c r="K220" s="2038">
        <f>SUM(H220:J220)</f>
        <v>7</v>
      </c>
      <c r="L220" s="2039">
        <f>K220/F220</f>
        <v>0.53846153846153844</v>
      </c>
      <c r="M220" s="2040">
        <f>1-L220</f>
        <v>0.46153846153846156</v>
      </c>
    </row>
    <row r="221" spans="1:13" ht="15" customHeight="1" x14ac:dyDescent="0.3">
      <c r="A221" s="5969"/>
      <c r="B221" s="2041" t="s">
        <v>68</v>
      </c>
      <c r="C221" s="2042"/>
      <c r="D221" s="2043">
        <v>3</v>
      </c>
      <c r="E221" s="2043">
        <v>1</v>
      </c>
      <c r="F221" s="2044">
        <f>SUM(C221:E221)</f>
        <v>4</v>
      </c>
      <c r="G221" s="2045"/>
      <c r="H221" s="2046">
        <v>1</v>
      </c>
      <c r="I221" s="2045">
        <v>2</v>
      </c>
      <c r="J221" s="2047"/>
      <c r="K221" s="2048">
        <f>SUM(H221:J221)</f>
        <v>3</v>
      </c>
      <c r="L221" s="2049">
        <f>K221/F221</f>
        <v>0.75</v>
      </c>
      <c r="M221" s="2050">
        <f>1-L221</f>
        <v>0.25</v>
      </c>
    </row>
    <row r="222" spans="1:13" ht="15" customHeight="1" x14ac:dyDescent="0.3">
      <c r="A222" s="5970"/>
      <c r="B222" s="2051" t="s">
        <v>279</v>
      </c>
      <c r="C222" s="2051">
        <f t="shared" ref="C222:K222" si="38">SUM(C219:C221)</f>
        <v>4</v>
      </c>
      <c r="D222" s="2051">
        <f t="shared" si="38"/>
        <v>19</v>
      </c>
      <c r="E222" s="2051">
        <f t="shared" si="38"/>
        <v>5</v>
      </c>
      <c r="F222" s="2052">
        <f t="shared" si="38"/>
        <v>28</v>
      </c>
      <c r="G222" s="2053">
        <f t="shared" si="38"/>
        <v>1</v>
      </c>
      <c r="H222" s="2053">
        <f t="shared" si="38"/>
        <v>9</v>
      </c>
      <c r="I222" s="2053">
        <f t="shared" si="38"/>
        <v>9</v>
      </c>
      <c r="J222" s="2053">
        <f t="shared" si="38"/>
        <v>1</v>
      </c>
      <c r="K222" s="2053">
        <f t="shared" si="38"/>
        <v>20</v>
      </c>
      <c r="L222" s="2054">
        <f>K222/F222</f>
        <v>0.7142857142857143</v>
      </c>
      <c r="M222" s="2055">
        <f>1-L222</f>
        <v>0.2857142857142857</v>
      </c>
    </row>
    <row r="223" spans="1:13" ht="15" customHeight="1" x14ac:dyDescent="0.3">
      <c r="A223" s="1999"/>
      <c r="B223" s="1999"/>
      <c r="C223" s="1999"/>
      <c r="D223" s="1999"/>
      <c r="E223" s="1999"/>
      <c r="F223" s="1999"/>
      <c r="G223" s="1999"/>
      <c r="H223" s="1999"/>
      <c r="I223" s="1999"/>
      <c r="J223" s="1999"/>
      <c r="K223" s="1999"/>
      <c r="L223" s="1999"/>
    </row>
    <row r="224" spans="1:13" ht="15" customHeight="1" x14ac:dyDescent="0.3">
      <c r="A224" s="5971" t="s">
        <v>573</v>
      </c>
      <c r="B224" s="2021" t="s">
        <v>64</v>
      </c>
      <c r="C224" s="2022"/>
      <c r="D224" s="2023">
        <v>2</v>
      </c>
      <c r="E224" s="2023">
        <v>2</v>
      </c>
      <c r="F224" s="2024">
        <f>SUM(C224:E224)</f>
        <v>4</v>
      </c>
      <c r="G224" s="2025"/>
      <c r="H224" s="2026">
        <v>3</v>
      </c>
      <c r="I224" s="2025">
        <v>1</v>
      </c>
      <c r="J224" s="2056"/>
      <c r="K224" s="2028">
        <f>SUM(G224:J224)</f>
        <v>4</v>
      </c>
      <c r="L224" s="2029">
        <f>K224/F224</f>
        <v>1</v>
      </c>
      <c r="M224" s="2030">
        <f>1-L224</f>
        <v>0</v>
      </c>
    </row>
    <row r="225" spans="1:13" ht="15" customHeight="1" x14ac:dyDescent="0.3">
      <c r="A225" s="5972"/>
      <c r="B225" s="2031" t="s">
        <v>561</v>
      </c>
      <c r="C225" s="2032"/>
      <c r="D225" s="2033"/>
      <c r="E225" s="2033">
        <v>1</v>
      </c>
      <c r="F225" s="2034">
        <f>SUM(C225:E225)</f>
        <v>1</v>
      </c>
      <c r="G225" s="2035"/>
      <c r="H225" s="2036">
        <v>1</v>
      </c>
      <c r="I225" s="2035"/>
      <c r="J225" s="1980"/>
      <c r="K225" s="2038">
        <f>SUM(G225:J225)</f>
        <v>1</v>
      </c>
      <c r="L225" s="2039">
        <f>K225/F225</f>
        <v>1</v>
      </c>
      <c r="M225" s="2040">
        <f>1-L225</f>
        <v>0</v>
      </c>
    </row>
    <row r="226" spans="1:13" ht="15" customHeight="1" x14ac:dyDescent="0.3">
      <c r="A226" s="5973"/>
      <c r="B226" s="2051" t="s">
        <v>279</v>
      </c>
      <c r="C226" s="2051">
        <f t="shared" ref="C226:K226" si="39">SUM(C224:C225)</f>
        <v>0</v>
      </c>
      <c r="D226" s="2051">
        <f t="shared" si="39"/>
        <v>2</v>
      </c>
      <c r="E226" s="2051">
        <f t="shared" si="39"/>
        <v>3</v>
      </c>
      <c r="F226" s="2052">
        <f t="shared" si="39"/>
        <v>5</v>
      </c>
      <c r="G226" s="2053">
        <f t="shared" si="39"/>
        <v>0</v>
      </c>
      <c r="H226" s="2053">
        <f t="shared" si="39"/>
        <v>4</v>
      </c>
      <c r="I226" s="2053">
        <f t="shared" si="39"/>
        <v>1</v>
      </c>
      <c r="J226" s="2053">
        <f t="shared" si="39"/>
        <v>0</v>
      </c>
      <c r="K226" s="2053">
        <f t="shared" si="39"/>
        <v>5</v>
      </c>
      <c r="L226" s="2054">
        <f>K226/F226</f>
        <v>1</v>
      </c>
      <c r="M226" s="2055">
        <f>1-L226</f>
        <v>0</v>
      </c>
    </row>
    <row r="227" spans="1:13" ht="15" customHeight="1" x14ac:dyDescent="0.3">
      <c r="A227" s="1953"/>
      <c r="B227" s="1953"/>
      <c r="C227" s="1956"/>
      <c r="D227" s="1956"/>
      <c r="E227" s="1956"/>
      <c r="F227" s="2062"/>
      <c r="G227" s="2063"/>
      <c r="H227" s="2063"/>
      <c r="I227" s="2063"/>
      <c r="J227" s="2064"/>
      <c r="K227" s="2065"/>
      <c r="L227" s="2066"/>
      <c r="M227" s="2067"/>
    </row>
    <row r="228" spans="1:13" ht="15" customHeight="1" x14ac:dyDescent="0.3">
      <c r="A228" s="5974" t="s">
        <v>7</v>
      </c>
      <c r="B228" s="5974"/>
      <c r="C228" s="2051">
        <f t="shared" ref="C228:K228" si="40">SUM(C207,C217,C222,C212,C226)</f>
        <v>13</v>
      </c>
      <c r="D228" s="2051">
        <f t="shared" si="40"/>
        <v>55</v>
      </c>
      <c r="E228" s="2051">
        <f t="shared" si="40"/>
        <v>31</v>
      </c>
      <c r="F228" s="2051">
        <f t="shared" si="40"/>
        <v>99</v>
      </c>
      <c r="G228" s="2052">
        <f t="shared" si="40"/>
        <v>6</v>
      </c>
      <c r="H228" s="2052">
        <f t="shared" si="40"/>
        <v>32</v>
      </c>
      <c r="I228" s="2052">
        <f t="shared" si="40"/>
        <v>26</v>
      </c>
      <c r="J228" s="2052">
        <f t="shared" si="40"/>
        <v>10</v>
      </c>
      <c r="K228" s="2053">
        <f t="shared" si="40"/>
        <v>74</v>
      </c>
      <c r="L228" s="2068">
        <f>K228/F228</f>
        <v>0.74747474747474751</v>
      </c>
      <c r="M228" s="2055">
        <f>1-L228</f>
        <v>0.25252525252525249</v>
      </c>
    </row>
    <row r="229" spans="1:13" ht="15" customHeight="1" x14ac:dyDescent="0.3">
      <c r="A229" s="1873"/>
      <c r="B229" s="1873"/>
      <c r="C229" s="1873"/>
      <c r="D229" s="1873"/>
      <c r="E229" s="1873"/>
      <c r="F229" s="1873"/>
      <c r="G229" s="1873"/>
      <c r="H229" s="1873"/>
      <c r="I229" s="1873"/>
      <c r="J229" s="1873"/>
      <c r="K229" s="1873"/>
      <c r="L229" s="1873"/>
      <c r="M229" s="1960"/>
    </row>
    <row r="230" spans="1:13" ht="15" customHeight="1" thickBot="1" x14ac:dyDescent="0.35">
      <c r="A230" s="5985" t="s">
        <v>574</v>
      </c>
      <c r="B230" s="5986"/>
      <c r="C230" s="2069">
        <v>2</v>
      </c>
      <c r="D230" s="2070">
        <v>45</v>
      </c>
      <c r="E230" s="2070">
        <v>27</v>
      </c>
      <c r="F230" s="2071">
        <f>SUM(C230:E230)</f>
        <v>74</v>
      </c>
      <c r="G230" s="1873"/>
      <c r="H230" s="1873"/>
      <c r="I230" s="5987" t="s">
        <v>575</v>
      </c>
      <c r="J230" s="5987"/>
      <c r="K230" s="2072">
        <f>F228-K228</f>
        <v>25</v>
      </c>
      <c r="L230" s="1873"/>
      <c r="M230" s="1960"/>
    </row>
    <row r="231" spans="1:13" ht="15" customHeight="1" x14ac:dyDescent="0.35">
      <c r="A231" s="1945"/>
      <c r="B231" s="1945"/>
      <c r="C231" s="1945"/>
      <c r="D231" s="1945"/>
      <c r="E231" s="1945"/>
      <c r="F231" s="1945"/>
      <c r="G231" s="1945"/>
      <c r="H231" s="1945"/>
      <c r="I231" s="1945"/>
      <c r="J231" s="1945"/>
      <c r="K231" s="1945"/>
      <c r="L231" s="1945"/>
      <c r="M231" s="2073"/>
    </row>
    <row r="232" spans="1:13" ht="15" customHeight="1" x14ac:dyDescent="0.35">
      <c r="A232" s="1945"/>
      <c r="B232" s="1945"/>
      <c r="C232" s="1945"/>
      <c r="D232" s="1945"/>
      <c r="E232" s="1945"/>
      <c r="F232" s="1945"/>
      <c r="G232" s="1945"/>
      <c r="H232" s="1945"/>
      <c r="I232" s="1945"/>
      <c r="J232" s="1945"/>
      <c r="K232" s="1945"/>
      <c r="L232" s="1945"/>
      <c r="M232" s="2073"/>
    </row>
    <row r="233" spans="1:13" ht="15" customHeight="1" x14ac:dyDescent="0.35">
      <c r="A233" s="1945"/>
      <c r="B233" s="1945"/>
      <c r="C233" s="1945"/>
      <c r="D233" s="1945"/>
      <c r="E233" s="1945"/>
      <c r="F233" s="1945"/>
      <c r="G233" s="1945"/>
      <c r="H233" s="1945"/>
      <c r="I233" s="1945"/>
      <c r="J233" s="1945"/>
      <c r="K233" s="1945"/>
      <c r="L233" s="1945"/>
      <c r="M233" s="2073"/>
    </row>
    <row r="234" spans="1:13" x14ac:dyDescent="0.3">
      <c r="A234" s="5991" t="s">
        <v>27</v>
      </c>
      <c r="B234" s="5991" t="s">
        <v>10</v>
      </c>
      <c r="C234" s="5992" t="s">
        <v>578</v>
      </c>
      <c r="D234" s="5993"/>
      <c r="E234" s="5993"/>
      <c r="F234" s="2014"/>
      <c r="G234" s="5992" t="s">
        <v>579</v>
      </c>
      <c r="H234" s="5993"/>
      <c r="I234" s="5993"/>
      <c r="J234" s="5993"/>
      <c r="K234" s="5993"/>
      <c r="L234" s="5994"/>
    </row>
    <row r="235" spans="1:13" ht="57.6" x14ac:dyDescent="0.3">
      <c r="A235" s="5991"/>
      <c r="B235" s="5991"/>
      <c r="C235" s="2015" t="s">
        <v>569</v>
      </c>
      <c r="D235" s="2015" t="s">
        <v>310</v>
      </c>
      <c r="E235" s="2015" t="s">
        <v>317</v>
      </c>
      <c r="F235" s="2016" t="s">
        <v>279</v>
      </c>
      <c r="G235" s="2015" t="s">
        <v>542</v>
      </c>
      <c r="H235" s="2015" t="s">
        <v>523</v>
      </c>
      <c r="I235" s="2015" t="s">
        <v>524</v>
      </c>
      <c r="J235" s="2015" t="s">
        <v>525</v>
      </c>
      <c r="K235" s="2074" t="s">
        <v>279</v>
      </c>
      <c r="L235" s="2015" t="s">
        <v>272</v>
      </c>
      <c r="M235" s="2019" t="s">
        <v>558</v>
      </c>
    </row>
    <row r="236" spans="1:13" x14ac:dyDescent="0.3">
      <c r="A236" s="1871"/>
      <c r="B236" s="1871"/>
      <c r="C236" s="1873"/>
      <c r="D236" s="1873"/>
      <c r="E236" s="1873"/>
      <c r="F236" s="1871"/>
      <c r="G236" s="1871"/>
      <c r="H236" s="1873"/>
      <c r="I236" s="1873"/>
      <c r="J236" s="1873"/>
      <c r="K236" s="1871"/>
      <c r="L236" s="1871"/>
      <c r="M236" s="2020"/>
    </row>
    <row r="237" spans="1:13" x14ac:dyDescent="0.3">
      <c r="A237" s="5959" t="s">
        <v>286</v>
      </c>
      <c r="B237" s="2021" t="s">
        <v>59</v>
      </c>
      <c r="C237" s="2022"/>
      <c r="D237" s="2023">
        <v>5</v>
      </c>
      <c r="E237" s="2023">
        <v>4</v>
      </c>
      <c r="F237" s="2024">
        <f>SUM(C237:E237)</f>
        <v>9</v>
      </c>
      <c r="G237" s="2025"/>
      <c r="H237" s="2026">
        <v>2</v>
      </c>
      <c r="I237" s="2025">
        <v>2</v>
      </c>
      <c r="J237" s="2027">
        <v>3</v>
      </c>
      <c r="K237" s="2024">
        <f>SUM(G237:J237)</f>
        <v>7</v>
      </c>
      <c r="L237" s="2029">
        <f>K237/F237</f>
        <v>0.77777777777777779</v>
      </c>
      <c r="M237" s="2030">
        <f>1-L237</f>
        <v>0.22222222222222221</v>
      </c>
    </row>
    <row r="238" spans="1:13" x14ac:dyDescent="0.3">
      <c r="A238" s="5960"/>
      <c r="B238" s="2031" t="s">
        <v>64</v>
      </c>
      <c r="C238" s="2032">
        <v>3</v>
      </c>
      <c r="D238" s="2033">
        <v>5</v>
      </c>
      <c r="E238" s="2033">
        <v>2</v>
      </c>
      <c r="F238" s="2034">
        <f>SUM(C238:E238)</f>
        <v>10</v>
      </c>
      <c r="G238" s="2035"/>
      <c r="H238" s="2036">
        <v>3</v>
      </c>
      <c r="I238" s="2037">
        <v>4</v>
      </c>
      <c r="J238" s="1980">
        <v>1</v>
      </c>
      <c r="K238" s="2034">
        <f>SUM(G238:J238)</f>
        <v>8</v>
      </c>
      <c r="L238" s="2039">
        <f>K238/F238</f>
        <v>0.8</v>
      </c>
      <c r="M238" s="2040">
        <f>1-L238</f>
        <v>0.19999999999999996</v>
      </c>
    </row>
    <row r="239" spans="1:13" x14ac:dyDescent="0.3">
      <c r="A239" s="5960"/>
      <c r="B239" s="2041" t="s">
        <v>68</v>
      </c>
      <c r="C239" s="2042">
        <v>1</v>
      </c>
      <c r="D239" s="2043">
        <v>6</v>
      </c>
      <c r="E239" s="2043">
        <v>3</v>
      </c>
      <c r="F239" s="2044">
        <f>SUM(C239:E239)</f>
        <v>10</v>
      </c>
      <c r="G239" s="2045"/>
      <c r="H239" s="2046"/>
      <c r="I239" s="2045">
        <v>3</v>
      </c>
      <c r="J239" s="2047"/>
      <c r="K239" s="2044">
        <f>SUM(G239:J239)</f>
        <v>3</v>
      </c>
      <c r="L239" s="2049">
        <f>K239/F239</f>
        <v>0.3</v>
      </c>
      <c r="M239" s="2050">
        <f>1-L239</f>
        <v>0.7</v>
      </c>
    </row>
    <row r="240" spans="1:13" x14ac:dyDescent="0.3">
      <c r="A240" s="5961"/>
      <c r="B240" s="2051" t="s">
        <v>279</v>
      </c>
      <c r="C240" s="2051">
        <f t="shared" ref="C240:K240" si="41">SUM(C237:C239)</f>
        <v>4</v>
      </c>
      <c r="D240" s="2051">
        <f t="shared" si="41"/>
        <v>16</v>
      </c>
      <c r="E240" s="2051">
        <f t="shared" si="41"/>
        <v>9</v>
      </c>
      <c r="F240" s="2052">
        <f t="shared" si="41"/>
        <v>29</v>
      </c>
      <c r="G240" s="2052">
        <f t="shared" si="41"/>
        <v>0</v>
      </c>
      <c r="H240" s="2053">
        <f t="shared" si="41"/>
        <v>5</v>
      </c>
      <c r="I240" s="2053">
        <f t="shared" si="41"/>
        <v>9</v>
      </c>
      <c r="J240" s="2053">
        <f t="shared" si="41"/>
        <v>4</v>
      </c>
      <c r="K240" s="2052">
        <f t="shared" si="41"/>
        <v>18</v>
      </c>
      <c r="L240" s="2075">
        <f>K240/F240</f>
        <v>0.62068965517241381</v>
      </c>
      <c r="M240" s="2055">
        <f>1-L240</f>
        <v>0.37931034482758619</v>
      </c>
    </row>
    <row r="241" spans="1:13" x14ac:dyDescent="0.3">
      <c r="A241" s="1991"/>
      <c r="B241" s="1991"/>
      <c r="C241" s="1991"/>
      <c r="D241" s="1991"/>
      <c r="E241" s="1991"/>
      <c r="F241" s="1991"/>
      <c r="G241" s="1991"/>
      <c r="H241" s="1991"/>
      <c r="I241" s="1991"/>
      <c r="J241" s="1991"/>
      <c r="K241" s="1991"/>
      <c r="L241" s="1991"/>
    </row>
    <row r="242" spans="1:13" x14ac:dyDescent="0.3">
      <c r="A242" s="5962" t="s">
        <v>287</v>
      </c>
      <c r="B242" s="2021" t="s">
        <v>64</v>
      </c>
      <c r="C242" s="2022"/>
      <c r="D242" s="2023">
        <v>1</v>
      </c>
      <c r="E242" s="2023">
        <v>1</v>
      </c>
      <c r="F242" s="2024">
        <f>SUM(C242:E242)</f>
        <v>2</v>
      </c>
      <c r="G242" s="2025"/>
      <c r="H242" s="2026"/>
      <c r="I242" s="2025">
        <v>1</v>
      </c>
      <c r="J242" s="2056">
        <v>1</v>
      </c>
      <c r="K242" s="2024">
        <f>SUM(G242:J242)</f>
        <v>2</v>
      </c>
      <c r="L242" s="2029">
        <f>K242/F242</f>
        <v>1</v>
      </c>
      <c r="M242" s="2030">
        <f>1-L242</f>
        <v>0</v>
      </c>
    </row>
    <row r="243" spans="1:13" x14ac:dyDescent="0.3">
      <c r="A243" s="5963"/>
      <c r="B243" s="2031" t="s">
        <v>111</v>
      </c>
      <c r="C243" s="2032"/>
      <c r="D243" s="2033">
        <v>1</v>
      </c>
      <c r="E243" s="2033"/>
      <c r="F243" s="2034">
        <f>SUM(C243:E243)</f>
        <v>1</v>
      </c>
      <c r="G243" s="2035"/>
      <c r="H243" s="2036"/>
      <c r="I243" s="2035"/>
      <c r="J243" s="1980">
        <v>1</v>
      </c>
      <c r="K243" s="2034">
        <f>SUM(G243:J243)</f>
        <v>1</v>
      </c>
      <c r="L243" s="2039">
        <f>K243/F243</f>
        <v>1</v>
      </c>
      <c r="M243" s="2040">
        <f>1-L243</f>
        <v>0</v>
      </c>
    </row>
    <row r="244" spans="1:13" x14ac:dyDescent="0.3">
      <c r="A244" s="5963"/>
      <c r="B244" s="2041" t="s">
        <v>115</v>
      </c>
      <c r="C244" s="2042">
        <v>1</v>
      </c>
      <c r="D244" s="2043">
        <v>1</v>
      </c>
      <c r="E244" s="2043">
        <v>1</v>
      </c>
      <c r="F244" s="2044">
        <f>SUM(C244:E244)</f>
        <v>3</v>
      </c>
      <c r="G244" s="2045"/>
      <c r="H244" s="2046"/>
      <c r="I244" s="2045"/>
      <c r="J244" s="2047">
        <v>2</v>
      </c>
      <c r="K244" s="2044">
        <f>SUM(G244:J244)</f>
        <v>2</v>
      </c>
      <c r="L244" s="2049">
        <f>K244/F244</f>
        <v>0.66666666666666663</v>
      </c>
      <c r="M244" s="2050">
        <f>1-L244</f>
        <v>0.33333333333333337</v>
      </c>
    </row>
    <row r="245" spans="1:13" x14ac:dyDescent="0.3">
      <c r="A245" s="5964"/>
      <c r="B245" s="2051" t="s">
        <v>279</v>
      </c>
      <c r="C245" s="2051">
        <f t="shared" ref="C245:K245" si="42">SUM(C242:C244)</f>
        <v>1</v>
      </c>
      <c r="D245" s="2051">
        <f t="shared" si="42"/>
        <v>3</v>
      </c>
      <c r="E245" s="2051">
        <f t="shared" si="42"/>
        <v>2</v>
      </c>
      <c r="F245" s="2052">
        <f t="shared" si="42"/>
        <v>6</v>
      </c>
      <c r="G245" s="2053">
        <f t="shared" si="42"/>
        <v>0</v>
      </c>
      <c r="H245" s="2053">
        <f t="shared" si="42"/>
        <v>0</v>
      </c>
      <c r="I245" s="2053">
        <f t="shared" si="42"/>
        <v>1</v>
      </c>
      <c r="J245" s="2053">
        <f t="shared" si="42"/>
        <v>4</v>
      </c>
      <c r="K245" s="2053">
        <f t="shared" si="42"/>
        <v>5</v>
      </c>
      <c r="L245" s="2075">
        <f>K245/F245</f>
        <v>0.83333333333333337</v>
      </c>
      <c r="M245" s="2055">
        <f>1-L245</f>
        <v>0.16666666666666663</v>
      </c>
    </row>
    <row r="246" spans="1:13" x14ac:dyDescent="0.3">
      <c r="A246" s="1873"/>
      <c r="B246" s="1873"/>
      <c r="C246" s="1873"/>
      <c r="D246" s="1873"/>
      <c r="E246" s="1873"/>
      <c r="F246" s="2057"/>
      <c r="G246" s="1873"/>
      <c r="H246" s="1873"/>
      <c r="I246" s="1873"/>
      <c r="J246" s="1873"/>
      <c r="K246" s="2058"/>
    </row>
    <row r="247" spans="1:13" x14ac:dyDescent="0.3">
      <c r="A247" s="5965" t="s">
        <v>288</v>
      </c>
      <c r="B247" s="2021" t="s">
        <v>59</v>
      </c>
      <c r="C247" s="2022"/>
      <c r="D247" s="2023">
        <v>8</v>
      </c>
      <c r="E247" s="2023">
        <v>7</v>
      </c>
      <c r="F247" s="2024">
        <f>SUM(C247:E247)</f>
        <v>15</v>
      </c>
      <c r="G247" s="2025"/>
      <c r="H247" s="2059">
        <v>9</v>
      </c>
      <c r="I247" s="2060">
        <v>2</v>
      </c>
      <c r="J247" s="2056">
        <v>2</v>
      </c>
      <c r="K247" s="2024">
        <f t="shared" ref="K247:K254" si="43">SUM(H247:J247)</f>
        <v>13</v>
      </c>
      <c r="L247" s="2029">
        <f>K247/F247</f>
        <v>0.8666666666666667</v>
      </c>
      <c r="M247" s="2030">
        <f>1-L247</f>
        <v>0.1333333333333333</v>
      </c>
    </row>
    <row r="248" spans="1:13" x14ac:dyDescent="0.3">
      <c r="A248" s="5966"/>
      <c r="B248" s="2031" t="s">
        <v>64</v>
      </c>
      <c r="C248" s="2032">
        <v>1</v>
      </c>
      <c r="D248" s="2033">
        <v>3</v>
      </c>
      <c r="E248" s="2033">
        <v>3</v>
      </c>
      <c r="F248" s="2034">
        <f>SUM(C248:E248)</f>
        <v>7</v>
      </c>
      <c r="G248" s="2035">
        <v>3</v>
      </c>
      <c r="H248" s="2036">
        <v>1</v>
      </c>
      <c r="I248" s="2035">
        <v>2</v>
      </c>
      <c r="J248" s="1980"/>
      <c r="K248" s="2034">
        <f>SUM(G248:J248)</f>
        <v>6</v>
      </c>
      <c r="L248" s="2039">
        <f>K248/F248</f>
        <v>0.8571428571428571</v>
      </c>
      <c r="M248" s="2040">
        <f>1-L248</f>
        <v>0.1428571428571429</v>
      </c>
    </row>
    <row r="249" spans="1:13" x14ac:dyDescent="0.3">
      <c r="A249" s="5966"/>
      <c r="B249" s="2041" t="s">
        <v>92</v>
      </c>
      <c r="C249" s="2042">
        <v>2</v>
      </c>
      <c r="D249" s="2043">
        <v>4</v>
      </c>
      <c r="E249" s="2043">
        <v>2</v>
      </c>
      <c r="F249" s="2044">
        <f>SUM(C249:E249)</f>
        <v>8</v>
      </c>
      <c r="G249" s="2045">
        <v>2</v>
      </c>
      <c r="H249" s="2046">
        <v>3</v>
      </c>
      <c r="I249" s="2045"/>
      <c r="J249" s="2047">
        <v>1</v>
      </c>
      <c r="K249" s="2044">
        <f>SUM(G249:J249)</f>
        <v>6</v>
      </c>
      <c r="L249" s="2049">
        <f>K249/F249</f>
        <v>0.75</v>
      </c>
      <c r="M249" s="2050">
        <f>1-L249</f>
        <v>0.25</v>
      </c>
    </row>
    <row r="250" spans="1:13" x14ac:dyDescent="0.3">
      <c r="A250" s="5967"/>
      <c r="B250" s="2051" t="s">
        <v>279</v>
      </c>
      <c r="C250" s="2051">
        <f t="shared" ref="C250:K250" si="44">SUM(C247:C249)</f>
        <v>3</v>
      </c>
      <c r="D250" s="2051">
        <f t="shared" si="44"/>
        <v>15</v>
      </c>
      <c r="E250" s="2051">
        <f t="shared" si="44"/>
        <v>12</v>
      </c>
      <c r="F250" s="2052">
        <f t="shared" si="44"/>
        <v>30</v>
      </c>
      <c r="G250" s="2053">
        <f t="shared" si="44"/>
        <v>5</v>
      </c>
      <c r="H250" s="2053">
        <f t="shared" si="44"/>
        <v>13</v>
      </c>
      <c r="I250" s="2053">
        <f t="shared" si="44"/>
        <v>4</v>
      </c>
      <c r="J250" s="2053">
        <f t="shared" si="44"/>
        <v>3</v>
      </c>
      <c r="K250" s="2053">
        <f t="shared" si="44"/>
        <v>25</v>
      </c>
      <c r="L250" s="2075">
        <f>K250/F250</f>
        <v>0.83333333333333337</v>
      </c>
      <c r="M250" s="2055">
        <f>1-L250</f>
        <v>0.16666666666666663</v>
      </c>
    </row>
    <row r="251" spans="1:13" x14ac:dyDescent="0.3">
      <c r="A251" s="2061"/>
      <c r="B251" s="1953"/>
      <c r="C251" s="1956"/>
      <c r="D251" s="1956"/>
      <c r="E251" s="1956"/>
      <c r="F251" s="2062"/>
      <c r="G251" s="2063"/>
      <c r="H251" s="2063"/>
      <c r="I251" s="2063"/>
      <c r="J251" s="2064"/>
      <c r="K251" s="2065"/>
      <c r="L251" s="2066"/>
    </row>
    <row r="252" spans="1:13" x14ac:dyDescent="0.3">
      <c r="A252" s="5968" t="s">
        <v>290</v>
      </c>
      <c r="B252" s="2021" t="s">
        <v>64</v>
      </c>
      <c r="C252" s="2022">
        <v>1</v>
      </c>
      <c r="D252" s="2023">
        <v>8</v>
      </c>
      <c r="E252" s="2023">
        <v>2</v>
      </c>
      <c r="F252" s="2024">
        <f>SUM(C252:E252)</f>
        <v>11</v>
      </c>
      <c r="G252" s="2025"/>
      <c r="H252" s="2026">
        <v>5</v>
      </c>
      <c r="I252" s="2025">
        <v>4</v>
      </c>
      <c r="J252" s="2056">
        <v>1</v>
      </c>
      <c r="K252" s="2024">
        <f t="shared" si="43"/>
        <v>10</v>
      </c>
      <c r="L252" s="2029">
        <f>K252/F252</f>
        <v>0.90909090909090906</v>
      </c>
      <c r="M252" s="2030">
        <f>1-L252</f>
        <v>9.0909090909090939E-2</v>
      </c>
    </row>
    <row r="253" spans="1:13" x14ac:dyDescent="0.3">
      <c r="A253" s="5969"/>
      <c r="B253" s="2031" t="s">
        <v>92</v>
      </c>
      <c r="C253" s="2032">
        <v>3</v>
      </c>
      <c r="D253" s="2033">
        <v>8</v>
      </c>
      <c r="E253" s="2033">
        <v>2</v>
      </c>
      <c r="F253" s="2034">
        <f>SUM(C253:E253)</f>
        <v>13</v>
      </c>
      <c r="G253" s="2035"/>
      <c r="H253" s="2036">
        <v>5</v>
      </c>
      <c r="I253" s="2035">
        <v>2</v>
      </c>
      <c r="J253" s="1980">
        <v>1</v>
      </c>
      <c r="K253" s="2034">
        <f t="shared" si="43"/>
        <v>8</v>
      </c>
      <c r="L253" s="2039">
        <f>K253/F253</f>
        <v>0.61538461538461542</v>
      </c>
      <c r="M253" s="2040">
        <f>1-L253</f>
        <v>0.38461538461538458</v>
      </c>
    </row>
    <row r="254" spans="1:13" x14ac:dyDescent="0.3">
      <c r="A254" s="5969"/>
      <c r="B254" s="2041" t="s">
        <v>68</v>
      </c>
      <c r="C254" s="2042"/>
      <c r="D254" s="2043">
        <v>3</v>
      </c>
      <c r="E254" s="2043">
        <v>1</v>
      </c>
      <c r="F254" s="2044">
        <f>SUM(C254:E254)</f>
        <v>4</v>
      </c>
      <c r="G254" s="2045"/>
      <c r="H254" s="2046">
        <v>1</v>
      </c>
      <c r="I254" s="2045">
        <v>1</v>
      </c>
      <c r="J254" s="2047"/>
      <c r="K254" s="2044">
        <f t="shared" si="43"/>
        <v>2</v>
      </c>
      <c r="L254" s="2049">
        <f>K254/F254</f>
        <v>0.5</v>
      </c>
      <c r="M254" s="2050">
        <f>1-L254</f>
        <v>0.5</v>
      </c>
    </row>
    <row r="255" spans="1:13" x14ac:dyDescent="0.3">
      <c r="A255" s="5970"/>
      <c r="B255" s="2051" t="s">
        <v>279</v>
      </c>
      <c r="C255" s="2051">
        <f t="shared" ref="C255:K255" si="45">SUM(C252:C254)</f>
        <v>4</v>
      </c>
      <c r="D255" s="2051">
        <f t="shared" si="45"/>
        <v>19</v>
      </c>
      <c r="E255" s="2051">
        <f t="shared" si="45"/>
        <v>5</v>
      </c>
      <c r="F255" s="2052">
        <f t="shared" si="45"/>
        <v>28</v>
      </c>
      <c r="G255" s="2053">
        <f t="shared" si="45"/>
        <v>0</v>
      </c>
      <c r="H255" s="2053">
        <f t="shared" si="45"/>
        <v>11</v>
      </c>
      <c r="I255" s="2053">
        <f t="shared" si="45"/>
        <v>7</v>
      </c>
      <c r="J255" s="2053">
        <f t="shared" si="45"/>
        <v>2</v>
      </c>
      <c r="K255" s="2053">
        <f t="shared" si="45"/>
        <v>20</v>
      </c>
      <c r="L255" s="2075">
        <f>K255/F255</f>
        <v>0.7142857142857143</v>
      </c>
      <c r="M255" s="2055">
        <f>1-L255</f>
        <v>0.2857142857142857</v>
      </c>
    </row>
    <row r="256" spans="1:13" x14ac:dyDescent="0.3">
      <c r="A256" s="1999"/>
      <c r="B256" s="1999"/>
      <c r="C256" s="1999"/>
      <c r="D256" s="1999"/>
      <c r="E256" s="1999"/>
      <c r="F256" s="1999"/>
      <c r="G256" s="1999"/>
      <c r="H256" s="1999"/>
      <c r="I256" s="1999"/>
      <c r="J256" s="1999"/>
      <c r="K256" s="1999"/>
    </row>
    <row r="257" spans="1:13" x14ac:dyDescent="0.3">
      <c r="A257" s="5971" t="s">
        <v>573</v>
      </c>
      <c r="B257" s="2021" t="s">
        <v>64</v>
      </c>
      <c r="C257" s="2022"/>
      <c r="D257" s="2023">
        <v>2</v>
      </c>
      <c r="E257" s="2023">
        <v>2</v>
      </c>
      <c r="F257" s="2024">
        <f>SUM(C257:E257)</f>
        <v>4</v>
      </c>
      <c r="G257" s="2025"/>
      <c r="H257" s="2026">
        <v>3</v>
      </c>
      <c r="I257" s="2025">
        <v>1</v>
      </c>
      <c r="J257" s="2056"/>
      <c r="K257" s="2024">
        <f>SUM(G257:J257)</f>
        <v>4</v>
      </c>
      <c r="L257" s="2029">
        <f>K257/F257</f>
        <v>1</v>
      </c>
      <c r="M257" s="2030">
        <f>1-L257</f>
        <v>0</v>
      </c>
    </row>
    <row r="258" spans="1:13" x14ac:dyDescent="0.3">
      <c r="A258" s="5972"/>
      <c r="B258" s="2031" t="s">
        <v>561</v>
      </c>
      <c r="C258" s="2032"/>
      <c r="D258" s="2033"/>
      <c r="E258" s="2033">
        <v>1</v>
      </c>
      <c r="F258" s="2034">
        <f>SUM(C258:E258)</f>
        <v>1</v>
      </c>
      <c r="G258" s="2035"/>
      <c r="H258" s="2036">
        <v>1</v>
      </c>
      <c r="I258" s="2035"/>
      <c r="J258" s="1980"/>
      <c r="K258" s="2034">
        <f>SUM(G258:J258)</f>
        <v>1</v>
      </c>
      <c r="L258" s="2039">
        <f>K258/F258</f>
        <v>1</v>
      </c>
      <c r="M258" s="2050">
        <f>1-L258</f>
        <v>0</v>
      </c>
    </row>
    <row r="259" spans="1:13" x14ac:dyDescent="0.3">
      <c r="A259" s="5973"/>
      <c r="B259" s="2051" t="s">
        <v>279</v>
      </c>
      <c r="C259" s="2051">
        <f t="shared" ref="C259:K259" si="46">SUM(C257:C258)</f>
        <v>0</v>
      </c>
      <c r="D259" s="2051">
        <f t="shared" si="46"/>
        <v>2</v>
      </c>
      <c r="E259" s="2051">
        <f t="shared" si="46"/>
        <v>3</v>
      </c>
      <c r="F259" s="2052">
        <f t="shared" si="46"/>
        <v>5</v>
      </c>
      <c r="G259" s="2053">
        <f t="shared" si="46"/>
        <v>0</v>
      </c>
      <c r="H259" s="2053">
        <f t="shared" si="46"/>
        <v>4</v>
      </c>
      <c r="I259" s="2053">
        <f t="shared" si="46"/>
        <v>1</v>
      </c>
      <c r="J259" s="2053">
        <f t="shared" si="46"/>
        <v>0</v>
      </c>
      <c r="K259" s="2053">
        <f t="shared" si="46"/>
        <v>5</v>
      </c>
      <c r="L259" s="2075">
        <f>K259/F259</f>
        <v>1</v>
      </c>
      <c r="M259" s="2055">
        <f>1-L259</f>
        <v>0</v>
      </c>
    </row>
    <row r="260" spans="1:13" x14ac:dyDescent="0.3">
      <c r="A260" s="1953"/>
      <c r="B260" s="1953"/>
      <c r="C260" s="1956"/>
      <c r="D260" s="1956"/>
      <c r="E260" s="1956"/>
      <c r="F260" s="2062"/>
      <c r="G260" s="2063"/>
      <c r="H260" s="2063"/>
      <c r="I260" s="2063"/>
      <c r="J260" s="2064"/>
      <c r="K260" s="2065"/>
      <c r="L260" s="2066"/>
      <c r="M260" s="2067"/>
    </row>
    <row r="261" spans="1:13" x14ac:dyDescent="0.3">
      <c r="A261" s="5974" t="s">
        <v>7</v>
      </c>
      <c r="B261" s="5974"/>
      <c r="C261" s="2051">
        <f t="shared" ref="C261:K261" si="47">SUM(C240,C250,C255,C245,C259)</f>
        <v>12</v>
      </c>
      <c r="D261" s="2051">
        <f t="shared" si="47"/>
        <v>55</v>
      </c>
      <c r="E261" s="2051">
        <f t="shared" si="47"/>
        <v>31</v>
      </c>
      <c r="F261" s="2051">
        <f t="shared" si="47"/>
        <v>98</v>
      </c>
      <c r="G261" s="2052">
        <f t="shared" si="47"/>
        <v>5</v>
      </c>
      <c r="H261" s="2052">
        <f t="shared" si="47"/>
        <v>33</v>
      </c>
      <c r="I261" s="2052">
        <f t="shared" si="47"/>
        <v>22</v>
      </c>
      <c r="J261" s="2052">
        <f t="shared" si="47"/>
        <v>13</v>
      </c>
      <c r="K261" s="2052">
        <f t="shared" si="47"/>
        <v>73</v>
      </c>
      <c r="L261" s="2076">
        <f>K261/F261</f>
        <v>0.74489795918367352</v>
      </c>
      <c r="M261" s="2055">
        <f>1-L261</f>
        <v>0.25510204081632648</v>
      </c>
    </row>
    <row r="262" spans="1:13" x14ac:dyDescent="0.3">
      <c r="A262" s="1873"/>
      <c r="B262" s="1873"/>
      <c r="C262" s="1873"/>
      <c r="D262" s="1873"/>
      <c r="E262" s="1873"/>
      <c r="F262" s="1873"/>
      <c r="G262" s="1873"/>
      <c r="H262" s="1873"/>
      <c r="I262" s="1873"/>
      <c r="J262" s="1873"/>
      <c r="K262" s="1873"/>
      <c r="L262" s="1873"/>
      <c r="M262" s="1960"/>
    </row>
    <row r="263" spans="1:13" ht="15" thickBot="1" x14ac:dyDescent="0.35">
      <c r="A263" s="5985" t="s">
        <v>574</v>
      </c>
      <c r="B263" s="5986"/>
      <c r="C263" s="2069">
        <v>2</v>
      </c>
      <c r="D263" s="2070">
        <v>46</v>
      </c>
      <c r="E263" s="2070">
        <v>25</v>
      </c>
      <c r="F263" s="2071">
        <f>SUM(C263:E263)</f>
        <v>73</v>
      </c>
      <c r="G263" s="1873"/>
      <c r="H263" s="1873"/>
      <c r="I263" s="5987" t="s">
        <v>575</v>
      </c>
      <c r="J263" s="5987"/>
      <c r="K263" s="2072">
        <f>F261-K261</f>
        <v>25</v>
      </c>
      <c r="L263" s="1873"/>
      <c r="M263" s="1960"/>
    </row>
    <row r="264" spans="1:13" ht="18" x14ac:dyDescent="0.35">
      <c r="A264" s="1945"/>
      <c r="B264" s="1945"/>
      <c r="C264" s="1945"/>
      <c r="D264" s="1945"/>
      <c r="E264" s="1945"/>
      <c r="F264" s="1945"/>
      <c r="G264" s="1945"/>
      <c r="H264" s="1945"/>
      <c r="I264" s="1945"/>
      <c r="J264" s="1945"/>
      <c r="K264" s="1945"/>
      <c r="L264" s="1945"/>
      <c r="M264" s="2073"/>
    </row>
    <row r="265" spans="1:13" ht="18" x14ac:dyDescent="0.35">
      <c r="A265" s="1945"/>
      <c r="B265" s="1945"/>
      <c r="C265" s="1945"/>
      <c r="D265" s="1945"/>
      <c r="E265" s="1945"/>
      <c r="F265" s="1945"/>
      <c r="G265" s="1945"/>
      <c r="H265" s="1945"/>
      <c r="I265" s="1945"/>
      <c r="J265" s="1945"/>
      <c r="K265" s="1945"/>
      <c r="L265" s="1945"/>
      <c r="M265" s="2073"/>
    </row>
    <row r="266" spans="1:13" x14ac:dyDescent="0.3">
      <c r="A266" s="5991" t="s">
        <v>27</v>
      </c>
      <c r="B266" s="5991" t="s">
        <v>10</v>
      </c>
      <c r="C266" s="5995" t="s">
        <v>580</v>
      </c>
      <c r="D266" s="5996"/>
      <c r="E266" s="5996"/>
      <c r="F266" s="5997"/>
      <c r="G266" s="5995" t="s">
        <v>581</v>
      </c>
      <c r="H266" s="5996"/>
      <c r="I266" s="5996"/>
      <c r="J266" s="5996"/>
      <c r="K266" s="5996"/>
      <c r="L266" s="5997"/>
    </row>
    <row r="267" spans="1:13" ht="30" customHeight="1" x14ac:dyDescent="0.3">
      <c r="A267" s="5991"/>
      <c r="B267" s="5991"/>
      <c r="C267" s="2077" t="s">
        <v>569</v>
      </c>
      <c r="D267" s="2077" t="s">
        <v>310</v>
      </c>
      <c r="E267" s="2077" t="s">
        <v>317</v>
      </c>
      <c r="F267" s="2016" t="s">
        <v>279</v>
      </c>
      <c r="G267" s="2015" t="s">
        <v>542</v>
      </c>
      <c r="H267" s="2015" t="s">
        <v>523</v>
      </c>
      <c r="I267" s="2015" t="s">
        <v>524</v>
      </c>
      <c r="J267" s="2015" t="s">
        <v>525</v>
      </c>
      <c r="K267" s="2074" t="s">
        <v>279</v>
      </c>
      <c r="L267" s="2015" t="s">
        <v>272</v>
      </c>
      <c r="M267" s="2019" t="s">
        <v>558</v>
      </c>
    </row>
    <row r="268" spans="1:13" x14ac:dyDescent="0.3">
      <c r="A268" s="1871"/>
      <c r="B268" s="1871"/>
      <c r="F268" s="1871"/>
      <c r="G268" s="1871"/>
      <c r="K268" s="1871"/>
      <c r="L268" s="1871"/>
      <c r="M268" s="2020"/>
    </row>
    <row r="269" spans="1:13" x14ac:dyDescent="0.3">
      <c r="A269" s="5959" t="s">
        <v>286</v>
      </c>
      <c r="B269" s="2021" t="s">
        <v>59</v>
      </c>
      <c r="C269" s="2078"/>
      <c r="D269" s="2079">
        <v>5</v>
      </c>
      <c r="E269" s="2079">
        <v>4</v>
      </c>
      <c r="F269" s="2024">
        <f>SUM(C269:E269)</f>
        <v>9</v>
      </c>
      <c r="G269" s="2025"/>
      <c r="H269" s="2026">
        <v>2</v>
      </c>
      <c r="I269" s="2025">
        <v>2</v>
      </c>
      <c r="J269" s="2080">
        <v>3</v>
      </c>
      <c r="K269" s="2024">
        <f>SUM(G269:J269)</f>
        <v>7</v>
      </c>
      <c r="L269" s="2029">
        <f>K269/F269</f>
        <v>0.77777777777777779</v>
      </c>
      <c r="M269" s="2030">
        <f>1-L269</f>
        <v>0.22222222222222221</v>
      </c>
    </row>
    <row r="270" spans="1:13" x14ac:dyDescent="0.3">
      <c r="A270" s="5960"/>
      <c r="B270" s="2031" t="s">
        <v>64</v>
      </c>
      <c r="C270" s="2081">
        <v>3</v>
      </c>
      <c r="D270" s="2082">
        <v>5</v>
      </c>
      <c r="E270" s="2082">
        <v>2</v>
      </c>
      <c r="F270" s="2034">
        <f>SUM(C270:E270)</f>
        <v>10</v>
      </c>
      <c r="G270" s="2035"/>
      <c r="H270" s="2036">
        <v>3</v>
      </c>
      <c r="I270" s="2083">
        <v>4</v>
      </c>
      <c r="J270" s="1980">
        <v>1</v>
      </c>
      <c r="K270" s="2034">
        <f>SUM(G270:J270)</f>
        <v>8</v>
      </c>
      <c r="L270" s="2039">
        <f>K270/F270</f>
        <v>0.8</v>
      </c>
      <c r="M270" s="2040">
        <f>1-L270</f>
        <v>0.19999999999999996</v>
      </c>
    </row>
    <row r="271" spans="1:13" x14ac:dyDescent="0.3">
      <c r="A271" s="5960"/>
      <c r="B271" s="2041" t="s">
        <v>68</v>
      </c>
      <c r="C271" s="2084">
        <v>1</v>
      </c>
      <c r="D271" s="2085">
        <v>1</v>
      </c>
      <c r="E271" s="2085">
        <v>1</v>
      </c>
      <c r="F271" s="2044">
        <f>SUM(C271:E271)</f>
        <v>3</v>
      </c>
      <c r="G271" s="2045"/>
      <c r="H271" s="2046"/>
      <c r="I271" s="2045">
        <v>3</v>
      </c>
      <c r="J271" s="2047"/>
      <c r="K271" s="2044">
        <f>SUM(G271:J271)</f>
        <v>3</v>
      </c>
      <c r="L271" s="2049">
        <f>K271/F271</f>
        <v>1</v>
      </c>
      <c r="M271" s="2050">
        <f>1-L271</f>
        <v>0</v>
      </c>
    </row>
    <row r="272" spans="1:13" x14ac:dyDescent="0.3">
      <c r="A272" s="5961"/>
      <c r="B272" s="2051" t="s">
        <v>279</v>
      </c>
      <c r="C272" s="2051">
        <f t="shared" ref="C272:K272" si="48">SUM(C269:C271)</f>
        <v>4</v>
      </c>
      <c r="D272" s="2051">
        <f t="shared" si="48"/>
        <v>11</v>
      </c>
      <c r="E272" s="2051">
        <f t="shared" si="48"/>
        <v>7</v>
      </c>
      <c r="F272" s="2052">
        <f t="shared" si="48"/>
        <v>22</v>
      </c>
      <c r="G272" s="2052">
        <f t="shared" si="48"/>
        <v>0</v>
      </c>
      <c r="H272" s="2053">
        <f t="shared" si="48"/>
        <v>5</v>
      </c>
      <c r="I272" s="2052">
        <f t="shared" si="48"/>
        <v>9</v>
      </c>
      <c r="J272" s="2086">
        <f t="shared" si="48"/>
        <v>4</v>
      </c>
      <c r="K272" s="2052">
        <f t="shared" si="48"/>
        <v>18</v>
      </c>
      <c r="L272" s="2075">
        <f>K272/F272</f>
        <v>0.81818181818181823</v>
      </c>
      <c r="M272" s="2055">
        <f>1-L272</f>
        <v>0.18181818181818177</v>
      </c>
    </row>
    <row r="273" spans="1:13" x14ac:dyDescent="0.3">
      <c r="A273" s="1991"/>
      <c r="B273" s="1991"/>
      <c r="C273" s="1991"/>
      <c r="D273" s="1991"/>
      <c r="E273" s="1991"/>
      <c r="F273" s="1991"/>
      <c r="G273" s="1991"/>
      <c r="H273" s="1991"/>
      <c r="I273" s="1991"/>
      <c r="J273" s="1991"/>
      <c r="K273" s="1991"/>
      <c r="L273" s="1991"/>
    </row>
    <row r="274" spans="1:13" x14ac:dyDescent="0.3">
      <c r="A274" s="5962" t="s">
        <v>287</v>
      </c>
      <c r="B274" s="2021" t="s">
        <v>64</v>
      </c>
      <c r="C274" s="2078"/>
      <c r="D274" s="2079">
        <v>1</v>
      </c>
      <c r="E274" s="2079">
        <v>1</v>
      </c>
      <c r="F274" s="2024">
        <f>SUM(C274:E274)</f>
        <v>2</v>
      </c>
      <c r="G274" s="2025"/>
      <c r="H274" s="2026"/>
      <c r="I274" s="2025"/>
      <c r="J274" s="2056">
        <v>2</v>
      </c>
      <c r="K274" s="2024">
        <f>SUM(G274:J274)</f>
        <v>2</v>
      </c>
      <c r="L274" s="2029">
        <f>K274/F274</f>
        <v>1</v>
      </c>
      <c r="M274" s="2030">
        <f>1-L274</f>
        <v>0</v>
      </c>
    </row>
    <row r="275" spans="1:13" x14ac:dyDescent="0.3">
      <c r="A275" s="5963"/>
      <c r="B275" s="2031" t="s">
        <v>111</v>
      </c>
      <c r="C275" s="2081"/>
      <c r="D275" s="2082">
        <v>1</v>
      </c>
      <c r="E275" s="2082"/>
      <c r="F275" s="2034">
        <f>SUM(C275:E275)</f>
        <v>1</v>
      </c>
      <c r="G275" s="2035"/>
      <c r="H275" s="2036"/>
      <c r="I275" s="2035"/>
      <c r="J275" s="1980">
        <v>1</v>
      </c>
      <c r="K275" s="2034">
        <f>SUM(G275:J275)</f>
        <v>1</v>
      </c>
      <c r="L275" s="2039">
        <f>K275/F275</f>
        <v>1</v>
      </c>
      <c r="M275" s="2040">
        <f>1-L275</f>
        <v>0</v>
      </c>
    </row>
    <row r="276" spans="1:13" x14ac:dyDescent="0.3">
      <c r="A276" s="5963"/>
      <c r="B276" s="2041" t="s">
        <v>115</v>
      </c>
      <c r="C276" s="2084">
        <v>1</v>
      </c>
      <c r="D276" s="2085">
        <v>1</v>
      </c>
      <c r="E276" s="2085">
        <v>1</v>
      </c>
      <c r="F276" s="2044">
        <f>SUM(C276:E276)</f>
        <v>3</v>
      </c>
      <c r="G276" s="2045"/>
      <c r="H276" s="2046"/>
      <c r="I276" s="2045"/>
      <c r="J276" s="2047">
        <v>2</v>
      </c>
      <c r="K276" s="2044">
        <f>SUM(G276:J276)</f>
        <v>2</v>
      </c>
      <c r="L276" s="2049">
        <f>K276/F276</f>
        <v>0.66666666666666663</v>
      </c>
      <c r="M276" s="2050">
        <f>1-L276</f>
        <v>0.33333333333333337</v>
      </c>
    </row>
    <row r="277" spans="1:13" x14ac:dyDescent="0.3">
      <c r="A277" s="5964"/>
      <c r="B277" s="2051" t="s">
        <v>279</v>
      </c>
      <c r="C277" s="2051">
        <f t="shared" ref="C277:K277" si="49">SUM(C274:C276)</f>
        <v>1</v>
      </c>
      <c r="D277" s="2051">
        <f t="shared" si="49"/>
        <v>3</v>
      </c>
      <c r="E277" s="2051">
        <f t="shared" si="49"/>
        <v>2</v>
      </c>
      <c r="F277" s="2052">
        <f t="shared" si="49"/>
        <v>6</v>
      </c>
      <c r="G277" s="2053">
        <f t="shared" si="49"/>
        <v>0</v>
      </c>
      <c r="H277" s="2053">
        <f t="shared" si="49"/>
        <v>0</v>
      </c>
      <c r="I277" s="2053">
        <f t="shared" si="49"/>
        <v>0</v>
      </c>
      <c r="J277" s="2053">
        <f t="shared" si="49"/>
        <v>5</v>
      </c>
      <c r="K277" s="2053">
        <f t="shared" si="49"/>
        <v>5</v>
      </c>
      <c r="L277" s="2075">
        <f>K277/F277</f>
        <v>0.83333333333333337</v>
      </c>
      <c r="M277" s="2055">
        <f>1-L277</f>
        <v>0.16666666666666663</v>
      </c>
    </row>
    <row r="278" spans="1:13" ht="15" customHeight="1" x14ac:dyDescent="0.3">
      <c r="F278" s="2057"/>
      <c r="K278" s="2058"/>
    </row>
    <row r="279" spans="1:13" x14ac:dyDescent="0.3">
      <c r="A279" s="5965" t="s">
        <v>288</v>
      </c>
      <c r="B279" s="2021" t="s">
        <v>59</v>
      </c>
      <c r="C279" s="2078"/>
      <c r="D279" s="2079">
        <v>8</v>
      </c>
      <c r="E279" s="2079">
        <v>7</v>
      </c>
      <c r="F279" s="2024">
        <f>SUM(C279:E279)</f>
        <v>15</v>
      </c>
      <c r="G279" s="2025"/>
      <c r="H279" s="2059">
        <v>9</v>
      </c>
      <c r="I279" s="2060">
        <v>2</v>
      </c>
      <c r="J279" s="2056">
        <v>2</v>
      </c>
      <c r="K279" s="2024">
        <f t="shared" ref="K279:K286" si="50">SUM(H279:J279)</f>
        <v>13</v>
      </c>
      <c r="L279" s="2029">
        <f>K279/F279</f>
        <v>0.8666666666666667</v>
      </c>
      <c r="M279" s="2030">
        <f>1-L279</f>
        <v>0.1333333333333333</v>
      </c>
    </row>
    <row r="280" spans="1:13" x14ac:dyDescent="0.3">
      <c r="A280" s="5966"/>
      <c r="B280" s="2031" t="s">
        <v>64</v>
      </c>
      <c r="C280" s="2081">
        <v>1</v>
      </c>
      <c r="D280" s="2082">
        <v>3</v>
      </c>
      <c r="E280" s="2082">
        <v>3</v>
      </c>
      <c r="F280" s="2034">
        <f>SUM(C280:E280)</f>
        <v>7</v>
      </c>
      <c r="G280" s="2035">
        <v>3</v>
      </c>
      <c r="H280" s="2036">
        <v>1</v>
      </c>
      <c r="I280" s="2035">
        <v>2</v>
      </c>
      <c r="J280" s="1980"/>
      <c r="K280" s="2034">
        <f>SUM(G280:J280)</f>
        <v>6</v>
      </c>
      <c r="L280" s="2039">
        <f>K280/F280</f>
        <v>0.8571428571428571</v>
      </c>
      <c r="M280" s="2040">
        <f>1-L280</f>
        <v>0.1428571428571429</v>
      </c>
    </row>
    <row r="281" spans="1:13" x14ac:dyDescent="0.3">
      <c r="A281" s="5966"/>
      <c r="B281" s="2041" t="s">
        <v>92</v>
      </c>
      <c r="C281" s="2084">
        <v>2</v>
      </c>
      <c r="D281" s="2085">
        <v>4</v>
      </c>
      <c r="E281" s="2085">
        <v>2</v>
      </c>
      <c r="F281" s="2044">
        <f>SUM(C281:E281)</f>
        <v>8</v>
      </c>
      <c r="G281" s="2045">
        <v>1</v>
      </c>
      <c r="H281" s="2046">
        <v>4</v>
      </c>
      <c r="I281" s="2045"/>
      <c r="J281" s="2047">
        <v>1</v>
      </c>
      <c r="K281" s="2044">
        <f>SUM(G281:J281)</f>
        <v>6</v>
      </c>
      <c r="L281" s="2049">
        <f>K281/F281</f>
        <v>0.75</v>
      </c>
      <c r="M281" s="2050">
        <f>1-L281</f>
        <v>0.25</v>
      </c>
    </row>
    <row r="282" spans="1:13" x14ac:dyDescent="0.3">
      <c r="A282" s="5967"/>
      <c r="B282" s="2051" t="s">
        <v>279</v>
      </c>
      <c r="C282" s="2051">
        <f t="shared" ref="C282:K282" si="51">SUM(C279:C281)</f>
        <v>3</v>
      </c>
      <c r="D282" s="2051">
        <f t="shared" si="51"/>
        <v>15</v>
      </c>
      <c r="E282" s="2051">
        <f t="shared" si="51"/>
        <v>12</v>
      </c>
      <c r="F282" s="2052">
        <f t="shared" si="51"/>
        <v>30</v>
      </c>
      <c r="G282" s="2053">
        <f t="shared" si="51"/>
        <v>4</v>
      </c>
      <c r="H282" s="2053">
        <f t="shared" si="51"/>
        <v>14</v>
      </c>
      <c r="I282" s="2053">
        <f t="shared" si="51"/>
        <v>4</v>
      </c>
      <c r="J282" s="2053">
        <f t="shared" si="51"/>
        <v>3</v>
      </c>
      <c r="K282" s="2053">
        <f t="shared" si="51"/>
        <v>25</v>
      </c>
      <c r="L282" s="2075">
        <f>K282/F282</f>
        <v>0.83333333333333337</v>
      </c>
      <c r="M282" s="2055">
        <f>1-L282</f>
        <v>0.16666666666666663</v>
      </c>
    </row>
    <row r="283" spans="1:13" x14ac:dyDescent="0.3">
      <c r="A283" s="2061"/>
      <c r="B283" s="1953"/>
      <c r="C283" s="2087"/>
      <c r="D283" s="2087"/>
      <c r="E283" s="2087"/>
      <c r="F283" s="2062"/>
      <c r="G283" s="2063"/>
      <c r="H283" s="2063"/>
      <c r="I283" s="2063"/>
      <c r="J283" s="2064"/>
      <c r="K283" s="2065"/>
      <c r="L283" s="2066"/>
    </row>
    <row r="284" spans="1:13" x14ac:dyDescent="0.3">
      <c r="A284" s="5968" t="s">
        <v>290</v>
      </c>
      <c r="B284" s="2021" t="s">
        <v>64</v>
      </c>
      <c r="C284" s="2078">
        <v>1</v>
      </c>
      <c r="D284" s="2079">
        <v>8</v>
      </c>
      <c r="E284" s="2079">
        <v>2</v>
      </c>
      <c r="F284" s="2024">
        <f>SUM(C284:E284)</f>
        <v>11</v>
      </c>
      <c r="G284" s="2025"/>
      <c r="H284" s="2026">
        <v>5</v>
      </c>
      <c r="I284" s="2025">
        <v>4</v>
      </c>
      <c r="J284" s="2056">
        <v>1</v>
      </c>
      <c r="K284" s="2024">
        <f t="shared" si="50"/>
        <v>10</v>
      </c>
      <c r="L284" s="2029">
        <f>K284/F284</f>
        <v>0.90909090909090906</v>
      </c>
      <c r="M284" s="2030">
        <f>1-L284</f>
        <v>9.0909090909090939E-2</v>
      </c>
    </row>
    <row r="285" spans="1:13" x14ac:dyDescent="0.3">
      <c r="A285" s="5969"/>
      <c r="B285" s="2031" t="s">
        <v>92</v>
      </c>
      <c r="C285" s="2081">
        <v>3</v>
      </c>
      <c r="D285" s="2082">
        <v>8</v>
      </c>
      <c r="E285" s="2082">
        <v>2</v>
      </c>
      <c r="F285" s="2034">
        <f>SUM(C285:E285)</f>
        <v>13</v>
      </c>
      <c r="G285" s="2035"/>
      <c r="H285" s="2036">
        <v>5</v>
      </c>
      <c r="I285" s="2035">
        <v>2</v>
      </c>
      <c r="J285" s="1980">
        <v>1</v>
      </c>
      <c r="K285" s="2034">
        <f t="shared" si="50"/>
        <v>8</v>
      </c>
      <c r="L285" s="2039">
        <f>K285/F285</f>
        <v>0.61538461538461542</v>
      </c>
      <c r="M285" s="2040">
        <f>1-L285</f>
        <v>0.38461538461538458</v>
      </c>
    </row>
    <row r="286" spans="1:13" x14ac:dyDescent="0.3">
      <c r="A286" s="5969"/>
      <c r="B286" s="2045" t="s">
        <v>68</v>
      </c>
      <c r="C286" s="2088"/>
      <c r="D286" s="2089">
        <v>3</v>
      </c>
      <c r="E286" s="2089">
        <v>1</v>
      </c>
      <c r="F286" s="2044">
        <f>SUM(C286:E286)</f>
        <v>4</v>
      </c>
      <c r="G286" s="2045"/>
      <c r="H286" s="2046">
        <v>1</v>
      </c>
      <c r="I286" s="2045">
        <v>1</v>
      </c>
      <c r="J286" s="2047"/>
      <c r="K286" s="2044">
        <f t="shared" si="50"/>
        <v>2</v>
      </c>
      <c r="L286" s="2090">
        <f>K286/F286</f>
        <v>0.5</v>
      </c>
      <c r="M286" s="2091">
        <f>1-L286</f>
        <v>0.5</v>
      </c>
    </row>
    <row r="287" spans="1:13" x14ac:dyDescent="0.3">
      <c r="A287" s="5970"/>
      <c r="B287" s="2052" t="s">
        <v>279</v>
      </c>
      <c r="C287" s="2052">
        <f t="shared" ref="C287:K287" si="52">SUM(C284:C286)</f>
        <v>4</v>
      </c>
      <c r="D287" s="2052">
        <f t="shared" si="52"/>
        <v>19</v>
      </c>
      <c r="E287" s="2052">
        <f t="shared" si="52"/>
        <v>5</v>
      </c>
      <c r="F287" s="2052">
        <f t="shared" si="52"/>
        <v>28</v>
      </c>
      <c r="G287" s="2053">
        <f t="shared" si="52"/>
        <v>0</v>
      </c>
      <c r="H287" s="2053">
        <f t="shared" si="52"/>
        <v>11</v>
      </c>
      <c r="I287" s="2053">
        <f t="shared" si="52"/>
        <v>7</v>
      </c>
      <c r="J287" s="2053">
        <f t="shared" si="52"/>
        <v>2</v>
      </c>
      <c r="K287" s="2053">
        <f t="shared" si="52"/>
        <v>20</v>
      </c>
      <c r="L287" s="2092">
        <f>K287/F287</f>
        <v>0.7142857142857143</v>
      </c>
      <c r="M287" s="2093">
        <f>1-L287</f>
        <v>0.2857142857142857</v>
      </c>
    </row>
    <row r="288" spans="1:13" x14ac:dyDescent="0.3">
      <c r="A288" s="1999"/>
      <c r="B288" s="1999"/>
      <c r="C288" s="1999"/>
      <c r="D288" s="1999"/>
      <c r="E288" s="1999"/>
      <c r="F288" s="1999"/>
      <c r="G288" s="1999"/>
      <c r="H288" s="1999"/>
      <c r="I288" s="1999"/>
      <c r="J288" s="1999"/>
      <c r="K288" s="1999"/>
    </row>
    <row r="289" spans="1:13" x14ac:dyDescent="0.3">
      <c r="A289" s="5971" t="s">
        <v>573</v>
      </c>
      <c r="B289" s="2025" t="s">
        <v>64</v>
      </c>
      <c r="C289" s="2094"/>
      <c r="D289" s="2095">
        <v>2</v>
      </c>
      <c r="E289" s="2095">
        <v>2</v>
      </c>
      <c r="F289" s="2024">
        <f>SUM(C289:E289)</f>
        <v>4</v>
      </c>
      <c r="G289" s="2025"/>
      <c r="H289" s="2026">
        <v>4</v>
      </c>
      <c r="I289" s="2025"/>
      <c r="J289" s="2056"/>
      <c r="K289" s="2024">
        <f>SUM(G289:J289)</f>
        <v>4</v>
      </c>
      <c r="L289" s="2096">
        <f>K289/F289</f>
        <v>1</v>
      </c>
      <c r="M289" s="2097">
        <f>1-L289</f>
        <v>0</v>
      </c>
    </row>
    <row r="290" spans="1:13" x14ac:dyDescent="0.3">
      <c r="A290" s="5972"/>
      <c r="B290" s="2035" t="s">
        <v>561</v>
      </c>
      <c r="C290" s="2098"/>
      <c r="D290" s="2099"/>
      <c r="E290" s="2099">
        <v>1</v>
      </c>
      <c r="F290" s="2034">
        <f>SUM(C290:E290)</f>
        <v>1</v>
      </c>
      <c r="G290" s="2035"/>
      <c r="H290" s="2036">
        <v>1</v>
      </c>
      <c r="I290" s="2035"/>
      <c r="J290" s="1980"/>
      <c r="K290" s="2034">
        <f>SUM(G290:J290)</f>
        <v>1</v>
      </c>
      <c r="L290" s="2100">
        <f>K290/F290</f>
        <v>1</v>
      </c>
      <c r="M290" s="2091">
        <f>1-L290</f>
        <v>0</v>
      </c>
    </row>
    <row r="291" spans="1:13" x14ac:dyDescent="0.3">
      <c r="A291" s="5973"/>
      <c r="B291" s="2051" t="s">
        <v>279</v>
      </c>
      <c r="C291" s="2051">
        <f t="shared" ref="C291:K291" si="53">SUM(C289:C290)</f>
        <v>0</v>
      </c>
      <c r="D291" s="2051">
        <f t="shared" si="53"/>
        <v>2</v>
      </c>
      <c r="E291" s="2051">
        <f t="shared" si="53"/>
        <v>3</v>
      </c>
      <c r="F291" s="2052">
        <f t="shared" si="53"/>
        <v>5</v>
      </c>
      <c r="G291" s="2053">
        <f t="shared" si="53"/>
        <v>0</v>
      </c>
      <c r="H291" s="2053">
        <f t="shared" si="53"/>
        <v>5</v>
      </c>
      <c r="I291" s="2053">
        <f t="shared" si="53"/>
        <v>0</v>
      </c>
      <c r="J291" s="2053">
        <f t="shared" si="53"/>
        <v>0</v>
      </c>
      <c r="K291" s="2053">
        <f t="shared" si="53"/>
        <v>5</v>
      </c>
      <c r="L291" s="2075">
        <f>K291/F291</f>
        <v>1</v>
      </c>
      <c r="M291" s="2055">
        <f>1-L291</f>
        <v>0</v>
      </c>
    </row>
    <row r="292" spans="1:13" ht="15" customHeight="1" x14ac:dyDescent="0.3">
      <c r="A292" s="1953"/>
      <c r="B292" s="1953"/>
      <c r="C292" s="2087"/>
      <c r="D292" s="2087"/>
      <c r="E292" s="2087"/>
      <c r="F292" s="2062"/>
      <c r="G292" s="2063"/>
      <c r="H292" s="2063"/>
      <c r="I292" s="2063"/>
      <c r="J292" s="2064"/>
      <c r="K292" s="2065"/>
      <c r="L292" s="2066"/>
      <c r="M292" s="2067"/>
    </row>
    <row r="293" spans="1:13" x14ac:dyDescent="0.3">
      <c r="A293" s="5974" t="s">
        <v>7</v>
      </c>
      <c r="B293" s="5974"/>
      <c r="C293" s="2051">
        <f t="shared" ref="C293:K293" si="54">SUM(C272,C282,C287,C277,C291)</f>
        <v>12</v>
      </c>
      <c r="D293" s="2051">
        <f t="shared" si="54"/>
        <v>50</v>
      </c>
      <c r="E293" s="2051">
        <f t="shared" si="54"/>
        <v>29</v>
      </c>
      <c r="F293" s="2051">
        <f t="shared" si="54"/>
        <v>91</v>
      </c>
      <c r="G293" s="2052">
        <f t="shared" si="54"/>
        <v>4</v>
      </c>
      <c r="H293" s="2052">
        <f t="shared" si="54"/>
        <v>35</v>
      </c>
      <c r="I293" s="2052">
        <f t="shared" si="54"/>
        <v>20</v>
      </c>
      <c r="J293" s="2052">
        <f t="shared" si="54"/>
        <v>14</v>
      </c>
      <c r="K293" s="2052">
        <f t="shared" si="54"/>
        <v>73</v>
      </c>
      <c r="L293" s="2075">
        <f>K293/F293</f>
        <v>0.80219780219780223</v>
      </c>
      <c r="M293" s="2055">
        <f>1-L293</f>
        <v>0.19780219780219777</v>
      </c>
    </row>
    <row r="294" spans="1:13" x14ac:dyDescent="0.3">
      <c r="M294" s="1960"/>
    </row>
    <row r="295" spans="1:13" ht="15" thickBot="1" x14ac:dyDescent="0.35">
      <c r="A295" s="5998" t="s">
        <v>574</v>
      </c>
      <c r="B295" s="5999"/>
      <c r="C295" s="2069">
        <v>3</v>
      </c>
      <c r="D295" s="2070">
        <v>45</v>
      </c>
      <c r="E295" s="2070">
        <v>25</v>
      </c>
      <c r="F295" s="2071">
        <f>SUM(C295:E295)</f>
        <v>73</v>
      </c>
      <c r="I295" s="5987" t="s">
        <v>575</v>
      </c>
      <c r="J295" s="5987"/>
      <c r="K295" s="2072">
        <f>F293-K293</f>
        <v>18</v>
      </c>
      <c r="M295" s="1960"/>
    </row>
    <row r="296" spans="1:13" x14ac:dyDescent="0.3">
      <c r="M296" s="2101"/>
    </row>
    <row r="297" spans="1:13" x14ac:dyDescent="0.3">
      <c r="M297" s="2101"/>
    </row>
    <row r="299" spans="1:13" x14ac:dyDescent="0.3">
      <c r="A299" s="5991" t="s">
        <v>27</v>
      </c>
      <c r="B299" s="5991" t="s">
        <v>10</v>
      </c>
      <c r="C299" s="5995" t="s">
        <v>582</v>
      </c>
      <c r="D299" s="5996"/>
      <c r="E299" s="5996"/>
      <c r="F299" s="5997"/>
      <c r="G299" s="5995" t="s">
        <v>583</v>
      </c>
      <c r="H299" s="5996"/>
      <c r="I299" s="5996"/>
      <c r="J299" s="5996"/>
      <c r="K299" s="5996"/>
      <c r="L299" s="5997"/>
    </row>
    <row r="300" spans="1:13" ht="57.6" x14ac:dyDescent="0.3">
      <c r="A300" s="5991"/>
      <c r="B300" s="5991"/>
      <c r="C300" s="2077" t="s">
        <v>569</v>
      </c>
      <c r="D300" s="2077" t="s">
        <v>310</v>
      </c>
      <c r="E300" s="2077" t="s">
        <v>317</v>
      </c>
      <c r="F300" s="2016" t="s">
        <v>279</v>
      </c>
      <c r="G300" s="2015" t="s">
        <v>542</v>
      </c>
      <c r="H300" s="2015" t="s">
        <v>523</v>
      </c>
      <c r="I300" s="2015" t="s">
        <v>524</v>
      </c>
      <c r="J300" s="2015" t="s">
        <v>525</v>
      </c>
      <c r="K300" s="2074" t="s">
        <v>279</v>
      </c>
      <c r="L300" s="2015" t="s">
        <v>272</v>
      </c>
      <c r="M300" s="2019" t="s">
        <v>558</v>
      </c>
    </row>
    <row r="301" spans="1:13" x14ac:dyDescent="0.3">
      <c r="A301" s="1871"/>
      <c r="B301" s="1871"/>
      <c r="F301" s="1871"/>
      <c r="G301" s="1871"/>
      <c r="K301" s="1871"/>
      <c r="L301" s="1871"/>
      <c r="M301" s="2020"/>
    </row>
    <row r="302" spans="1:13" x14ac:dyDescent="0.3">
      <c r="A302" s="5959" t="s">
        <v>286</v>
      </c>
      <c r="B302" s="2021" t="s">
        <v>59</v>
      </c>
      <c r="C302" s="2078"/>
      <c r="D302" s="2079">
        <v>5</v>
      </c>
      <c r="E302" s="2079">
        <v>4</v>
      </c>
      <c r="F302" s="2024">
        <f>SUM(C302:E302)</f>
        <v>9</v>
      </c>
      <c r="G302" s="2025"/>
      <c r="H302" s="2026">
        <v>2</v>
      </c>
      <c r="I302" s="2025">
        <v>2</v>
      </c>
      <c r="J302" s="2056">
        <v>2</v>
      </c>
      <c r="K302" s="2024">
        <f>SUM(G302:J302)</f>
        <v>6</v>
      </c>
      <c r="L302" s="2029">
        <f>K302/F302</f>
        <v>0.66666666666666663</v>
      </c>
      <c r="M302" s="2030">
        <f>1-L302</f>
        <v>0.33333333333333337</v>
      </c>
    </row>
    <row r="303" spans="1:13" x14ac:dyDescent="0.3">
      <c r="A303" s="5960"/>
      <c r="B303" s="2031" t="s">
        <v>64</v>
      </c>
      <c r="C303" s="2081">
        <v>3</v>
      </c>
      <c r="D303" s="2082">
        <v>5</v>
      </c>
      <c r="E303" s="2082">
        <v>2</v>
      </c>
      <c r="F303" s="2034">
        <f>SUM(C303:E303)</f>
        <v>10</v>
      </c>
      <c r="G303" s="2035"/>
      <c r="H303" s="2036">
        <v>3</v>
      </c>
      <c r="I303" s="2035">
        <v>3</v>
      </c>
      <c r="J303" s="1980">
        <v>1</v>
      </c>
      <c r="K303" s="2034">
        <f>SUM(G303:J303)</f>
        <v>7</v>
      </c>
      <c r="L303" s="2039">
        <f>K303/F303</f>
        <v>0.7</v>
      </c>
      <c r="M303" s="2040">
        <f>1-L303</f>
        <v>0.30000000000000004</v>
      </c>
    </row>
    <row r="304" spans="1:13" ht="15" customHeight="1" x14ac:dyDescent="0.3">
      <c r="A304" s="5960"/>
      <c r="B304" s="2041" t="s">
        <v>68</v>
      </c>
      <c r="C304" s="2084">
        <v>1</v>
      </c>
      <c r="D304" s="2085">
        <v>1</v>
      </c>
      <c r="E304" s="2085">
        <v>1</v>
      </c>
      <c r="F304" s="2044">
        <f>SUM(C304:E304)</f>
        <v>3</v>
      </c>
      <c r="G304" s="2045"/>
      <c r="H304" s="2046"/>
      <c r="I304" s="2045">
        <v>3</v>
      </c>
      <c r="J304" s="2047"/>
      <c r="K304" s="2044">
        <f>SUM(G304:J304)</f>
        <v>3</v>
      </c>
      <c r="L304" s="2049">
        <f>K304/F304</f>
        <v>1</v>
      </c>
      <c r="M304" s="2050">
        <f>1-L304</f>
        <v>0</v>
      </c>
    </row>
    <row r="305" spans="1:13" x14ac:dyDescent="0.3">
      <c r="A305" s="5961"/>
      <c r="B305" s="2051" t="s">
        <v>279</v>
      </c>
      <c r="C305" s="2051">
        <f t="shared" ref="C305:K305" si="55">SUM(C302:C304)</f>
        <v>4</v>
      </c>
      <c r="D305" s="2051">
        <f t="shared" si="55"/>
        <v>11</v>
      </c>
      <c r="E305" s="2051">
        <f t="shared" si="55"/>
        <v>7</v>
      </c>
      <c r="F305" s="2052">
        <f t="shared" si="55"/>
        <v>22</v>
      </c>
      <c r="G305" s="2052">
        <f t="shared" si="55"/>
        <v>0</v>
      </c>
      <c r="H305" s="2053">
        <f t="shared" si="55"/>
        <v>5</v>
      </c>
      <c r="I305" s="2052">
        <f t="shared" si="55"/>
        <v>8</v>
      </c>
      <c r="J305" s="2086">
        <f t="shared" si="55"/>
        <v>3</v>
      </c>
      <c r="K305" s="2052">
        <f t="shared" si="55"/>
        <v>16</v>
      </c>
      <c r="L305" s="2075">
        <f>K305/F305</f>
        <v>0.72727272727272729</v>
      </c>
      <c r="M305" s="2055">
        <f>1-L305</f>
        <v>0.27272727272727271</v>
      </c>
    </row>
    <row r="306" spans="1:13" x14ac:dyDescent="0.3">
      <c r="A306" s="1991"/>
      <c r="B306" s="1991"/>
      <c r="C306" s="1991"/>
      <c r="D306" s="1991"/>
      <c r="E306" s="1991"/>
      <c r="F306" s="1991"/>
      <c r="G306" s="1991"/>
      <c r="H306" s="1991"/>
      <c r="I306" s="1991"/>
      <c r="J306" s="1991"/>
      <c r="K306" s="1991"/>
    </row>
    <row r="307" spans="1:13" ht="15" customHeight="1" x14ac:dyDescent="0.3">
      <c r="A307" s="5962" t="s">
        <v>287</v>
      </c>
      <c r="B307" s="2021" t="s">
        <v>64</v>
      </c>
      <c r="C307" s="2078"/>
      <c r="D307" s="2079">
        <v>1</v>
      </c>
      <c r="E307" s="2079">
        <v>1</v>
      </c>
      <c r="F307" s="2024">
        <f>SUM(C307:E307)</f>
        <v>2</v>
      </c>
      <c r="G307" s="2025"/>
      <c r="H307" s="2026"/>
      <c r="I307" s="2025"/>
      <c r="J307" s="2056">
        <v>2</v>
      </c>
      <c r="K307" s="2024">
        <f>SUM(G307:J307)</f>
        <v>2</v>
      </c>
      <c r="L307" s="2029">
        <f>K307/F307</f>
        <v>1</v>
      </c>
      <c r="M307" s="2030">
        <f>1-L307</f>
        <v>0</v>
      </c>
    </row>
    <row r="308" spans="1:13" x14ac:dyDescent="0.3">
      <c r="A308" s="5963"/>
      <c r="B308" s="2031" t="s">
        <v>111</v>
      </c>
      <c r="C308" s="2081"/>
      <c r="D308" s="2082">
        <v>1</v>
      </c>
      <c r="E308" s="2082"/>
      <c r="F308" s="2034">
        <f>SUM(C308:E308)</f>
        <v>1</v>
      </c>
      <c r="G308" s="2035"/>
      <c r="H308" s="2036"/>
      <c r="I308" s="2035"/>
      <c r="J308" s="1980"/>
      <c r="K308" s="2034"/>
      <c r="L308" s="2039">
        <f>K308/F308</f>
        <v>0</v>
      </c>
      <c r="M308" s="2040">
        <f>1-L308</f>
        <v>1</v>
      </c>
    </row>
    <row r="309" spans="1:13" x14ac:dyDescent="0.3">
      <c r="A309" s="5963"/>
      <c r="B309" s="2041" t="s">
        <v>115</v>
      </c>
      <c r="C309" s="2084">
        <v>1</v>
      </c>
      <c r="D309" s="2085">
        <v>1</v>
      </c>
      <c r="E309" s="2085">
        <v>1</v>
      </c>
      <c r="F309" s="2044">
        <f>SUM(C309:E309)</f>
        <v>3</v>
      </c>
      <c r="G309" s="2045"/>
      <c r="H309" s="2046"/>
      <c r="I309" s="2045"/>
      <c r="J309" s="2047">
        <v>2</v>
      </c>
      <c r="K309" s="2044">
        <f>SUM(G309:J309)</f>
        <v>2</v>
      </c>
      <c r="L309" s="2049">
        <f>K309/F309</f>
        <v>0.66666666666666663</v>
      </c>
      <c r="M309" s="2050">
        <f>1-L309</f>
        <v>0.33333333333333337</v>
      </c>
    </row>
    <row r="310" spans="1:13" x14ac:dyDescent="0.3">
      <c r="A310" s="5964"/>
      <c r="B310" s="2051" t="s">
        <v>279</v>
      </c>
      <c r="C310" s="2051">
        <f t="shared" ref="C310:K310" si="56">SUM(C307:C309)</f>
        <v>1</v>
      </c>
      <c r="D310" s="2051">
        <f t="shared" si="56"/>
        <v>3</v>
      </c>
      <c r="E310" s="2051">
        <f t="shared" si="56"/>
        <v>2</v>
      </c>
      <c r="F310" s="2052">
        <f t="shared" si="56"/>
        <v>6</v>
      </c>
      <c r="G310" s="2053">
        <f t="shared" si="56"/>
        <v>0</v>
      </c>
      <c r="H310" s="2053">
        <f t="shared" si="56"/>
        <v>0</v>
      </c>
      <c r="I310" s="2053">
        <f t="shared" si="56"/>
        <v>0</v>
      </c>
      <c r="J310" s="2053">
        <f t="shared" si="56"/>
        <v>4</v>
      </c>
      <c r="K310" s="2053">
        <f t="shared" si="56"/>
        <v>4</v>
      </c>
      <c r="L310" s="2075">
        <f>K310/F310</f>
        <v>0.66666666666666663</v>
      </c>
      <c r="M310" s="2055">
        <f>1-L310</f>
        <v>0.33333333333333337</v>
      </c>
    </row>
    <row r="311" spans="1:13" x14ac:dyDescent="0.3">
      <c r="F311" s="2057"/>
      <c r="K311" s="2058"/>
    </row>
    <row r="312" spans="1:13" x14ac:dyDescent="0.3">
      <c r="A312" s="5965" t="s">
        <v>288</v>
      </c>
      <c r="B312" s="2021" t="s">
        <v>59</v>
      </c>
      <c r="C312" s="2078"/>
      <c r="D312" s="2079">
        <v>8</v>
      </c>
      <c r="E312" s="2079">
        <v>7</v>
      </c>
      <c r="F312" s="2024">
        <f>SUM(C312:E312)</f>
        <v>15</v>
      </c>
      <c r="G312" s="2025"/>
      <c r="H312" s="2026">
        <v>9</v>
      </c>
      <c r="I312" s="2025">
        <v>2</v>
      </c>
      <c r="J312" s="2056">
        <v>1</v>
      </c>
      <c r="K312" s="2024">
        <f t="shared" ref="K312:K319" si="57">SUM(H312:J312)</f>
        <v>12</v>
      </c>
      <c r="L312" s="2029">
        <f>K312/F312</f>
        <v>0.8</v>
      </c>
      <c r="M312" s="2030">
        <f>1-L312</f>
        <v>0.19999999999999996</v>
      </c>
    </row>
    <row r="313" spans="1:13" ht="15" customHeight="1" x14ac:dyDescent="0.3">
      <c r="A313" s="5966"/>
      <c r="B313" s="2031" t="s">
        <v>64</v>
      </c>
      <c r="C313" s="2081">
        <v>1</v>
      </c>
      <c r="D313" s="2082">
        <v>3</v>
      </c>
      <c r="E313" s="2082">
        <v>3</v>
      </c>
      <c r="F313" s="2034">
        <f>SUM(C313:E313)</f>
        <v>7</v>
      </c>
      <c r="G313" s="2035">
        <v>3</v>
      </c>
      <c r="H313" s="2036">
        <v>1</v>
      </c>
      <c r="I313" s="2035">
        <v>2</v>
      </c>
      <c r="J313" s="1980"/>
      <c r="K313" s="2034">
        <f>SUM(G313:J313)</f>
        <v>6</v>
      </c>
      <c r="L313" s="2039">
        <f>K313/F313</f>
        <v>0.8571428571428571</v>
      </c>
      <c r="M313" s="2040">
        <f>1-L313</f>
        <v>0.1428571428571429</v>
      </c>
    </row>
    <row r="314" spans="1:13" x14ac:dyDescent="0.3">
      <c r="A314" s="5966"/>
      <c r="B314" s="2041" t="s">
        <v>92</v>
      </c>
      <c r="C314" s="2084">
        <v>2</v>
      </c>
      <c r="D314" s="2085">
        <v>4</v>
      </c>
      <c r="E314" s="2085">
        <v>2</v>
      </c>
      <c r="F314" s="2044">
        <f>SUM(C314:E314)</f>
        <v>8</v>
      </c>
      <c r="G314" s="2045"/>
      <c r="H314" s="2046">
        <v>5</v>
      </c>
      <c r="I314" s="2045"/>
      <c r="J314" s="2047">
        <v>1</v>
      </c>
      <c r="K314" s="2044">
        <f t="shared" si="57"/>
        <v>6</v>
      </c>
      <c r="L314" s="2049">
        <f>K314/F314</f>
        <v>0.75</v>
      </c>
      <c r="M314" s="2050">
        <f>1-L314</f>
        <v>0.25</v>
      </c>
    </row>
    <row r="315" spans="1:13" x14ac:dyDescent="0.3">
      <c r="A315" s="5967"/>
      <c r="B315" s="2051" t="s">
        <v>279</v>
      </c>
      <c r="C315" s="2052">
        <f t="shared" ref="C315:K315" si="58">SUM(C312:C314)</f>
        <v>3</v>
      </c>
      <c r="D315" s="2052">
        <f t="shared" si="58"/>
        <v>15</v>
      </c>
      <c r="E315" s="2052">
        <f t="shared" si="58"/>
        <v>12</v>
      </c>
      <c r="F315" s="2052">
        <f t="shared" si="58"/>
        <v>30</v>
      </c>
      <c r="G315" s="2053">
        <f t="shared" si="58"/>
        <v>3</v>
      </c>
      <c r="H315" s="2053">
        <f t="shared" si="58"/>
        <v>15</v>
      </c>
      <c r="I315" s="2053">
        <f t="shared" si="58"/>
        <v>4</v>
      </c>
      <c r="J315" s="2053">
        <f t="shared" si="58"/>
        <v>2</v>
      </c>
      <c r="K315" s="2053">
        <f t="shared" si="58"/>
        <v>24</v>
      </c>
      <c r="L315" s="2075">
        <f>K315/F315</f>
        <v>0.8</v>
      </c>
      <c r="M315" s="2055">
        <f>1-L315</f>
        <v>0.19999999999999996</v>
      </c>
    </row>
    <row r="316" spans="1:13" ht="15" customHeight="1" x14ac:dyDescent="0.3">
      <c r="A316" s="2061"/>
      <c r="B316" s="1953"/>
      <c r="C316" s="2087"/>
      <c r="D316" s="2087"/>
      <c r="E316" s="2087"/>
      <c r="F316" s="2062"/>
      <c r="G316" s="2063"/>
      <c r="H316" s="2063"/>
      <c r="I316" s="2063"/>
      <c r="J316" s="2064"/>
      <c r="K316" s="2065"/>
      <c r="L316" s="2066"/>
    </row>
    <row r="317" spans="1:13" x14ac:dyDescent="0.3">
      <c r="A317" s="5968" t="s">
        <v>290</v>
      </c>
      <c r="B317" s="2021" t="s">
        <v>64</v>
      </c>
      <c r="C317" s="2078">
        <v>1</v>
      </c>
      <c r="D317" s="2079">
        <v>8</v>
      </c>
      <c r="E317" s="2079">
        <v>2</v>
      </c>
      <c r="F317" s="2024">
        <f>SUM(C317:E317)</f>
        <v>11</v>
      </c>
      <c r="G317" s="2025"/>
      <c r="H317" s="2026">
        <v>5</v>
      </c>
      <c r="I317" s="2025">
        <v>3</v>
      </c>
      <c r="J317" s="2056">
        <v>1</v>
      </c>
      <c r="K317" s="2024">
        <f t="shared" si="57"/>
        <v>9</v>
      </c>
      <c r="L317" s="2029">
        <f>K317/F317</f>
        <v>0.81818181818181823</v>
      </c>
      <c r="M317" s="2030">
        <f>1-L317</f>
        <v>0.18181818181818177</v>
      </c>
    </row>
    <row r="318" spans="1:13" x14ac:dyDescent="0.3">
      <c r="A318" s="5969"/>
      <c r="B318" s="2031" t="s">
        <v>92</v>
      </c>
      <c r="C318" s="2081">
        <v>3</v>
      </c>
      <c r="D318" s="2082">
        <v>7</v>
      </c>
      <c r="E318" s="2082">
        <v>2</v>
      </c>
      <c r="F318" s="2034">
        <f>SUM(C318:E318)</f>
        <v>12</v>
      </c>
      <c r="G318" s="2035"/>
      <c r="H318" s="2036">
        <v>5</v>
      </c>
      <c r="I318" s="2035">
        <v>2</v>
      </c>
      <c r="J318" s="1980">
        <v>1</v>
      </c>
      <c r="K318" s="2034">
        <f t="shared" si="57"/>
        <v>8</v>
      </c>
      <c r="L318" s="2039">
        <f>K318/F318</f>
        <v>0.66666666666666663</v>
      </c>
      <c r="M318" s="2040">
        <f>1-L318</f>
        <v>0.33333333333333337</v>
      </c>
    </row>
    <row r="319" spans="1:13" x14ac:dyDescent="0.3">
      <c r="A319" s="5969"/>
      <c r="B319" s="2041" t="s">
        <v>68</v>
      </c>
      <c r="C319" s="2084"/>
      <c r="D319" s="2085">
        <v>3</v>
      </c>
      <c r="E319" s="2085">
        <v>1</v>
      </c>
      <c r="F319" s="2044">
        <f>SUM(C319:E319)</f>
        <v>4</v>
      </c>
      <c r="G319" s="2045"/>
      <c r="H319" s="2046">
        <v>1</v>
      </c>
      <c r="I319" s="2045">
        <v>1</v>
      </c>
      <c r="J319" s="2047"/>
      <c r="K319" s="2044">
        <f t="shared" si="57"/>
        <v>2</v>
      </c>
      <c r="L319" s="2049">
        <f>K319/F319</f>
        <v>0.5</v>
      </c>
      <c r="M319" s="2050">
        <f>1-L319</f>
        <v>0.5</v>
      </c>
    </row>
    <row r="320" spans="1:13" x14ac:dyDescent="0.3">
      <c r="A320" s="5970"/>
      <c r="B320" s="2051" t="s">
        <v>279</v>
      </c>
      <c r="C320" s="2051">
        <f t="shared" ref="C320:K320" si="59">SUM(C317:C319)</f>
        <v>4</v>
      </c>
      <c r="D320" s="2051">
        <f t="shared" si="59"/>
        <v>18</v>
      </c>
      <c r="E320" s="2051">
        <f t="shared" si="59"/>
        <v>5</v>
      </c>
      <c r="F320" s="2052">
        <f t="shared" si="59"/>
        <v>27</v>
      </c>
      <c r="G320" s="2053">
        <f t="shared" si="59"/>
        <v>0</v>
      </c>
      <c r="H320" s="2053">
        <f t="shared" si="59"/>
        <v>11</v>
      </c>
      <c r="I320" s="2053">
        <f t="shared" si="59"/>
        <v>6</v>
      </c>
      <c r="J320" s="2053">
        <f t="shared" si="59"/>
        <v>2</v>
      </c>
      <c r="K320" s="2053">
        <f t="shared" si="59"/>
        <v>19</v>
      </c>
      <c r="L320" s="2075">
        <f>K320/F320</f>
        <v>0.70370370370370372</v>
      </c>
      <c r="M320" s="2055">
        <f>1-L320</f>
        <v>0.29629629629629628</v>
      </c>
    </row>
    <row r="321" spans="1:13" x14ac:dyDescent="0.3">
      <c r="A321" s="1999"/>
      <c r="B321" s="1999"/>
      <c r="C321" s="1999"/>
      <c r="D321" s="1999"/>
      <c r="E321" s="1999"/>
      <c r="F321" s="1999"/>
      <c r="G321" s="1999"/>
      <c r="H321" s="1999"/>
      <c r="I321" s="1999"/>
      <c r="J321" s="1999"/>
      <c r="K321" s="1999"/>
      <c r="L321" s="1999"/>
    </row>
    <row r="322" spans="1:13" x14ac:dyDescent="0.3">
      <c r="A322" s="5971" t="s">
        <v>573</v>
      </c>
      <c r="B322" s="2021" t="s">
        <v>64</v>
      </c>
      <c r="C322" s="2078"/>
      <c r="D322" s="2079">
        <v>2</v>
      </c>
      <c r="E322" s="2079">
        <v>2</v>
      </c>
      <c r="F322" s="2024">
        <f>SUM(C322:E322)</f>
        <v>4</v>
      </c>
      <c r="G322" s="2025"/>
      <c r="H322" s="2026">
        <v>4</v>
      </c>
      <c r="I322" s="2025"/>
      <c r="J322" s="2056"/>
      <c r="K322" s="2024">
        <f>SUM(G322:J322)</f>
        <v>4</v>
      </c>
      <c r="L322" s="2029">
        <f>K322/F322</f>
        <v>1</v>
      </c>
      <c r="M322" s="2030">
        <f>1-L322</f>
        <v>0</v>
      </c>
    </row>
    <row r="323" spans="1:13" x14ac:dyDescent="0.3">
      <c r="A323" s="5972"/>
      <c r="B323" s="2031" t="s">
        <v>561</v>
      </c>
      <c r="C323" s="2081"/>
      <c r="D323" s="2082"/>
      <c r="E323" s="2082">
        <v>1</v>
      </c>
      <c r="F323" s="2034">
        <f>SUM(C323:E323)</f>
        <v>1</v>
      </c>
      <c r="G323" s="2035"/>
      <c r="H323" s="2036">
        <v>1</v>
      </c>
      <c r="I323" s="2035"/>
      <c r="J323" s="1980"/>
      <c r="K323" s="2034">
        <f>SUM(G323:J323)</f>
        <v>1</v>
      </c>
      <c r="L323" s="2039">
        <f>K323/F323</f>
        <v>1</v>
      </c>
      <c r="M323" s="2050">
        <f>1-L323</f>
        <v>0</v>
      </c>
    </row>
    <row r="324" spans="1:13" x14ac:dyDescent="0.3">
      <c r="A324" s="5973"/>
      <c r="B324" s="2051" t="s">
        <v>279</v>
      </c>
      <c r="C324" s="2051">
        <f t="shared" ref="C324:K324" si="60">SUM(C322:C323)</f>
        <v>0</v>
      </c>
      <c r="D324" s="2051">
        <f t="shared" si="60"/>
        <v>2</v>
      </c>
      <c r="E324" s="2051">
        <f t="shared" si="60"/>
        <v>3</v>
      </c>
      <c r="F324" s="2052">
        <f t="shared" si="60"/>
        <v>5</v>
      </c>
      <c r="G324" s="2053">
        <f t="shared" si="60"/>
        <v>0</v>
      </c>
      <c r="H324" s="2053">
        <f t="shared" si="60"/>
        <v>5</v>
      </c>
      <c r="I324" s="2053">
        <f t="shared" si="60"/>
        <v>0</v>
      </c>
      <c r="J324" s="2053">
        <f t="shared" si="60"/>
        <v>0</v>
      </c>
      <c r="K324" s="2053">
        <f t="shared" si="60"/>
        <v>5</v>
      </c>
      <c r="L324" s="2075">
        <f>K324/F324</f>
        <v>1</v>
      </c>
      <c r="M324" s="2055">
        <f>1-L324</f>
        <v>0</v>
      </c>
    </row>
    <row r="325" spans="1:13" x14ac:dyDescent="0.3">
      <c r="A325" s="1953"/>
      <c r="B325" s="1953"/>
      <c r="C325" s="2087"/>
      <c r="D325" s="2087"/>
      <c r="E325" s="2087"/>
      <c r="F325" s="2062"/>
      <c r="G325" s="2063"/>
      <c r="H325" s="2063"/>
      <c r="I325" s="2063"/>
      <c r="J325" s="2064"/>
      <c r="K325" s="2065"/>
      <c r="L325" s="2066"/>
      <c r="M325" s="2067"/>
    </row>
    <row r="326" spans="1:13" x14ac:dyDescent="0.3">
      <c r="A326" s="5974" t="s">
        <v>7</v>
      </c>
      <c r="B326" s="5974"/>
      <c r="C326" s="2051">
        <f t="shared" ref="C326:K326" si="61">SUM(C305,C315,C320,C310,C324)</f>
        <v>12</v>
      </c>
      <c r="D326" s="2051">
        <f t="shared" si="61"/>
        <v>49</v>
      </c>
      <c r="E326" s="2051">
        <f t="shared" si="61"/>
        <v>29</v>
      </c>
      <c r="F326" s="2051">
        <f t="shared" si="61"/>
        <v>90</v>
      </c>
      <c r="G326" s="2052">
        <f t="shared" si="61"/>
        <v>3</v>
      </c>
      <c r="H326" s="2052">
        <f t="shared" si="61"/>
        <v>36</v>
      </c>
      <c r="I326" s="2052">
        <f t="shared" si="61"/>
        <v>18</v>
      </c>
      <c r="J326" s="2052">
        <f t="shared" si="61"/>
        <v>11</v>
      </c>
      <c r="K326" s="2052">
        <f t="shared" si="61"/>
        <v>68</v>
      </c>
      <c r="L326" s="2075">
        <f>K326/F326</f>
        <v>0.75555555555555554</v>
      </c>
      <c r="M326" s="2055">
        <f>1-L326</f>
        <v>0.24444444444444446</v>
      </c>
    </row>
    <row r="327" spans="1:13" x14ac:dyDescent="0.3">
      <c r="M327" s="1960"/>
    </row>
    <row r="328" spans="1:13" ht="15" thickBot="1" x14ac:dyDescent="0.35">
      <c r="A328" s="5998" t="s">
        <v>574</v>
      </c>
      <c r="B328" s="5999"/>
      <c r="C328" s="2069">
        <v>3</v>
      </c>
      <c r="D328" s="2070">
        <v>41</v>
      </c>
      <c r="E328" s="2070">
        <v>24</v>
      </c>
      <c r="F328" s="2071">
        <f>SUM(C328:E328)</f>
        <v>68</v>
      </c>
      <c r="I328" s="5987" t="s">
        <v>575</v>
      </c>
      <c r="J328" s="5987"/>
      <c r="K328" s="2072">
        <f>F326-K326</f>
        <v>22</v>
      </c>
      <c r="M328" s="1960"/>
    </row>
    <row r="332" spans="1:13" x14ac:dyDescent="0.3">
      <c r="A332" s="5991" t="s">
        <v>27</v>
      </c>
      <c r="B332" s="5991" t="s">
        <v>10</v>
      </c>
      <c r="C332" s="5995" t="s">
        <v>584</v>
      </c>
      <c r="D332" s="5996"/>
      <c r="E332" s="5996"/>
      <c r="F332" s="5997"/>
      <c r="G332" s="5995" t="s">
        <v>585</v>
      </c>
      <c r="H332" s="5996"/>
      <c r="I332" s="5996"/>
      <c r="J332" s="5996"/>
      <c r="K332" s="5996"/>
      <c r="L332" s="5997"/>
    </row>
    <row r="333" spans="1:13" ht="57.6" x14ac:dyDescent="0.3">
      <c r="A333" s="5991"/>
      <c r="B333" s="5991"/>
      <c r="C333" s="2077" t="s">
        <v>569</v>
      </c>
      <c r="D333" s="2077" t="s">
        <v>310</v>
      </c>
      <c r="E333" s="2077" t="s">
        <v>317</v>
      </c>
      <c r="F333" s="2016" t="s">
        <v>279</v>
      </c>
      <c r="G333" s="2015" t="s">
        <v>542</v>
      </c>
      <c r="H333" s="2015" t="s">
        <v>523</v>
      </c>
      <c r="I333" s="2015" t="s">
        <v>524</v>
      </c>
      <c r="J333" s="2015" t="s">
        <v>525</v>
      </c>
      <c r="K333" s="2074" t="s">
        <v>279</v>
      </c>
      <c r="L333" s="2015" t="s">
        <v>272</v>
      </c>
      <c r="M333" s="2019" t="s">
        <v>558</v>
      </c>
    </row>
    <row r="334" spans="1:13" x14ac:dyDescent="0.3">
      <c r="A334" s="1871"/>
      <c r="B334" s="1871"/>
      <c r="F334" s="1871"/>
      <c r="G334" s="1871"/>
      <c r="K334" s="1871"/>
      <c r="L334" s="1871"/>
      <c r="M334" s="2020"/>
    </row>
    <row r="335" spans="1:13" x14ac:dyDescent="0.3">
      <c r="A335" s="6000" t="s">
        <v>286</v>
      </c>
      <c r="B335" s="2021" t="s">
        <v>59</v>
      </c>
      <c r="C335" s="2094"/>
      <c r="D335" s="2095">
        <v>5</v>
      </c>
      <c r="E335" s="2095">
        <v>4</v>
      </c>
      <c r="F335" s="2024">
        <f>SUM(C335:E335)</f>
        <v>9</v>
      </c>
      <c r="G335" s="2025"/>
      <c r="H335" s="2026">
        <v>2</v>
      </c>
      <c r="I335" s="2025">
        <v>2</v>
      </c>
      <c r="J335" s="2056">
        <v>1</v>
      </c>
      <c r="K335" s="2024">
        <f>SUM(G335:J335)</f>
        <v>5</v>
      </c>
      <c r="L335" s="2096">
        <f>K335/F335</f>
        <v>0.55555555555555558</v>
      </c>
      <c r="M335" s="2030">
        <f>1-L335</f>
        <v>0.44444444444444442</v>
      </c>
    </row>
    <row r="336" spans="1:13" x14ac:dyDescent="0.3">
      <c r="A336" s="6001"/>
      <c r="B336" s="2031" t="s">
        <v>64</v>
      </c>
      <c r="C336" s="2098">
        <v>3</v>
      </c>
      <c r="D336" s="2099">
        <v>5</v>
      </c>
      <c r="E336" s="2099">
        <v>2</v>
      </c>
      <c r="F336" s="2034">
        <f>SUM(C336:E336)</f>
        <v>10</v>
      </c>
      <c r="G336" s="2035"/>
      <c r="H336" s="2036">
        <v>2</v>
      </c>
      <c r="I336" s="2035">
        <v>4</v>
      </c>
      <c r="J336" s="1980"/>
      <c r="K336" s="2034">
        <f>SUM(G336:J336)</f>
        <v>6</v>
      </c>
      <c r="L336" s="2100">
        <f>K336/F336</f>
        <v>0.6</v>
      </c>
      <c r="M336" s="2040">
        <f>1-L336</f>
        <v>0.4</v>
      </c>
    </row>
    <row r="337" spans="1:13" x14ac:dyDescent="0.3">
      <c r="A337" s="6001"/>
      <c r="B337" s="2041" t="s">
        <v>68</v>
      </c>
      <c r="C337" s="2088">
        <v>1</v>
      </c>
      <c r="D337" s="2089">
        <v>1</v>
      </c>
      <c r="E337" s="2089">
        <v>1</v>
      </c>
      <c r="F337" s="2044">
        <f>SUM(C337:E337)</f>
        <v>3</v>
      </c>
      <c r="G337" s="2045"/>
      <c r="H337" s="2046"/>
      <c r="I337" s="2045">
        <v>3</v>
      </c>
      <c r="J337" s="2047"/>
      <c r="K337" s="2044">
        <f>SUM(G337:J337)</f>
        <v>3</v>
      </c>
      <c r="L337" s="2090">
        <f>K337/F337</f>
        <v>1</v>
      </c>
      <c r="M337" s="2050">
        <f>1-L337</f>
        <v>0</v>
      </c>
    </row>
    <row r="338" spans="1:13" x14ac:dyDescent="0.3">
      <c r="A338" s="6002"/>
      <c r="B338" s="2051" t="s">
        <v>279</v>
      </c>
      <c r="C338" s="2052">
        <f t="shared" ref="C338:K338" si="62">SUM(C335:C337)</f>
        <v>4</v>
      </c>
      <c r="D338" s="2052">
        <f t="shared" si="62"/>
        <v>11</v>
      </c>
      <c r="E338" s="2052">
        <f t="shared" si="62"/>
        <v>7</v>
      </c>
      <c r="F338" s="2052">
        <f t="shared" si="62"/>
        <v>22</v>
      </c>
      <c r="G338" s="2052">
        <f t="shared" si="62"/>
        <v>0</v>
      </c>
      <c r="H338" s="2053">
        <f t="shared" si="62"/>
        <v>4</v>
      </c>
      <c r="I338" s="2052">
        <f t="shared" si="62"/>
        <v>9</v>
      </c>
      <c r="J338" s="2086">
        <f t="shared" si="62"/>
        <v>1</v>
      </c>
      <c r="K338" s="2052">
        <f t="shared" si="62"/>
        <v>14</v>
      </c>
      <c r="L338" s="2092">
        <f>K338/F338</f>
        <v>0.63636363636363635</v>
      </c>
      <c r="M338" s="2055">
        <f>1-L338</f>
        <v>0.36363636363636365</v>
      </c>
    </row>
    <row r="339" spans="1:13" x14ac:dyDescent="0.3">
      <c r="A339" s="1991"/>
      <c r="B339" s="1991"/>
      <c r="C339" s="1991"/>
      <c r="D339" s="1991"/>
      <c r="E339" s="1991"/>
      <c r="F339" s="1991"/>
      <c r="G339" s="1991"/>
      <c r="H339" s="1991"/>
      <c r="I339" s="1991"/>
      <c r="J339" s="1991"/>
      <c r="K339" s="1991"/>
      <c r="L339" s="1991"/>
    </row>
    <row r="340" spans="1:13" x14ac:dyDescent="0.3">
      <c r="A340" s="5962" t="s">
        <v>287</v>
      </c>
      <c r="B340" s="2021" t="s">
        <v>64</v>
      </c>
      <c r="C340" s="2094"/>
      <c r="D340" s="2095">
        <v>1</v>
      </c>
      <c r="E340" s="2095">
        <v>1</v>
      </c>
      <c r="F340" s="2024">
        <f>SUM(C340:E340)</f>
        <v>2</v>
      </c>
      <c r="G340" s="2025"/>
      <c r="H340" s="2026"/>
      <c r="I340" s="2025"/>
      <c r="J340" s="2056">
        <v>2</v>
      </c>
      <c r="K340" s="2024">
        <f>SUM(G340:J340)</f>
        <v>2</v>
      </c>
      <c r="L340" s="2096">
        <f>K340/F340</f>
        <v>1</v>
      </c>
      <c r="M340" s="2030">
        <f>1-L340</f>
        <v>0</v>
      </c>
    </row>
    <row r="341" spans="1:13" x14ac:dyDescent="0.3">
      <c r="A341" s="5963"/>
      <c r="B341" s="2031" t="s">
        <v>111</v>
      </c>
      <c r="C341" s="2098"/>
      <c r="D341" s="2099">
        <v>1</v>
      </c>
      <c r="E341" s="2099"/>
      <c r="F341" s="2034">
        <f>SUM(C341:E341)</f>
        <v>1</v>
      </c>
      <c r="G341" s="2035"/>
      <c r="H341" s="2036"/>
      <c r="I341" s="2035"/>
      <c r="J341" s="1980"/>
      <c r="K341" s="2034"/>
      <c r="L341" s="2100">
        <f>K341/F341</f>
        <v>0</v>
      </c>
      <c r="M341" s="2040">
        <f>1-L341</f>
        <v>1</v>
      </c>
    </row>
    <row r="342" spans="1:13" ht="15" customHeight="1" x14ac:dyDescent="0.3">
      <c r="A342" s="5963"/>
      <c r="B342" s="2041" t="s">
        <v>115</v>
      </c>
      <c r="C342" s="2088">
        <v>1</v>
      </c>
      <c r="D342" s="2089">
        <v>1</v>
      </c>
      <c r="E342" s="2089">
        <v>1</v>
      </c>
      <c r="F342" s="2044">
        <f>SUM(C342:E342)</f>
        <v>3</v>
      </c>
      <c r="G342" s="2045"/>
      <c r="H342" s="2046"/>
      <c r="I342" s="2045"/>
      <c r="J342" s="2047"/>
      <c r="K342" s="2044"/>
      <c r="L342" s="2090">
        <f>K342/F342</f>
        <v>0</v>
      </c>
      <c r="M342" s="2050">
        <f>1-L342</f>
        <v>1</v>
      </c>
    </row>
    <row r="343" spans="1:13" x14ac:dyDescent="0.3">
      <c r="A343" s="5964"/>
      <c r="B343" s="2051" t="s">
        <v>279</v>
      </c>
      <c r="C343" s="2052">
        <f t="shared" ref="C343:K343" si="63">SUM(C340:C342)</f>
        <v>1</v>
      </c>
      <c r="D343" s="2052">
        <f t="shared" si="63"/>
        <v>3</v>
      </c>
      <c r="E343" s="2052">
        <f t="shared" si="63"/>
        <v>2</v>
      </c>
      <c r="F343" s="2052">
        <f t="shared" si="63"/>
        <v>6</v>
      </c>
      <c r="G343" s="2053">
        <f t="shared" si="63"/>
        <v>0</v>
      </c>
      <c r="H343" s="2053">
        <f t="shared" si="63"/>
        <v>0</v>
      </c>
      <c r="I343" s="2053">
        <f t="shared" si="63"/>
        <v>0</v>
      </c>
      <c r="J343" s="2053">
        <f t="shared" si="63"/>
        <v>2</v>
      </c>
      <c r="K343" s="2053">
        <f t="shared" si="63"/>
        <v>2</v>
      </c>
      <c r="L343" s="2092">
        <f>K343/F343</f>
        <v>0.33333333333333331</v>
      </c>
      <c r="M343" s="2055">
        <f>1-L343</f>
        <v>0.66666666666666674</v>
      </c>
    </row>
    <row r="344" spans="1:13" x14ac:dyDescent="0.3">
      <c r="C344" s="2102"/>
      <c r="D344" s="2102"/>
      <c r="E344" s="2102"/>
      <c r="F344" s="1964"/>
      <c r="G344" s="2102"/>
      <c r="H344" s="2102"/>
      <c r="I344" s="2102"/>
      <c r="J344" s="2102"/>
      <c r="K344" s="2103"/>
      <c r="L344" s="2102"/>
    </row>
    <row r="345" spans="1:13" x14ac:dyDescent="0.3">
      <c r="A345" s="6003" t="s">
        <v>288</v>
      </c>
      <c r="B345" s="2021" t="s">
        <v>59</v>
      </c>
      <c r="C345" s="2094"/>
      <c r="D345" s="2095">
        <v>7</v>
      </c>
      <c r="E345" s="2095">
        <v>6</v>
      </c>
      <c r="F345" s="2024">
        <f>SUM(C345:E345)</f>
        <v>13</v>
      </c>
      <c r="G345" s="2025"/>
      <c r="H345" s="2026">
        <v>8</v>
      </c>
      <c r="I345" s="2025">
        <v>3</v>
      </c>
      <c r="J345" s="2056">
        <v>1</v>
      </c>
      <c r="K345" s="2024">
        <f>SUM(H345:J345)</f>
        <v>12</v>
      </c>
      <c r="L345" s="2096">
        <f>K345/F345</f>
        <v>0.92307692307692313</v>
      </c>
      <c r="M345" s="2030">
        <f>1-L345</f>
        <v>7.6923076923076872E-2</v>
      </c>
    </row>
    <row r="346" spans="1:13" x14ac:dyDescent="0.3">
      <c r="A346" s="6004"/>
      <c r="B346" s="2031" t="s">
        <v>64</v>
      </c>
      <c r="C346" s="2098">
        <v>1</v>
      </c>
      <c r="D346" s="2099">
        <v>3</v>
      </c>
      <c r="E346" s="2099">
        <v>3</v>
      </c>
      <c r="F346" s="2034">
        <f>SUM(C346:E346)</f>
        <v>7</v>
      </c>
      <c r="G346" s="2035">
        <v>2</v>
      </c>
      <c r="H346" s="2036">
        <v>2</v>
      </c>
      <c r="I346" s="2035">
        <v>2</v>
      </c>
      <c r="J346" s="1980"/>
      <c r="K346" s="2034">
        <f>SUM(G346:J346)</f>
        <v>6</v>
      </c>
      <c r="L346" s="2100">
        <f>K346/F346</f>
        <v>0.8571428571428571</v>
      </c>
      <c r="M346" s="2040">
        <f>1-L346</f>
        <v>0.1428571428571429</v>
      </c>
    </row>
    <row r="347" spans="1:13" x14ac:dyDescent="0.3">
      <c r="A347" s="6004"/>
      <c r="B347" s="2041" t="s">
        <v>92</v>
      </c>
      <c r="C347" s="2088">
        <v>2</v>
      </c>
      <c r="D347" s="2089">
        <v>4</v>
      </c>
      <c r="E347" s="2089">
        <v>2</v>
      </c>
      <c r="F347" s="2044">
        <f>SUM(C347:E347)</f>
        <v>8</v>
      </c>
      <c r="G347" s="2045"/>
      <c r="H347" s="2046">
        <v>5</v>
      </c>
      <c r="I347" s="2045"/>
      <c r="J347" s="2047"/>
      <c r="K347" s="2044">
        <f>SUM(H347:J347)</f>
        <v>5</v>
      </c>
      <c r="L347" s="2090">
        <f>K347/F347</f>
        <v>0.625</v>
      </c>
      <c r="M347" s="2050">
        <f>1-L347</f>
        <v>0.375</v>
      </c>
    </row>
    <row r="348" spans="1:13" x14ac:dyDescent="0.3">
      <c r="A348" s="6005"/>
      <c r="B348" s="2051" t="s">
        <v>279</v>
      </c>
      <c r="C348" s="2052">
        <f t="shared" ref="C348:K348" si="64">SUM(C345:C347)</f>
        <v>3</v>
      </c>
      <c r="D348" s="2052">
        <f t="shared" si="64"/>
        <v>14</v>
      </c>
      <c r="E348" s="2052">
        <f t="shared" si="64"/>
        <v>11</v>
      </c>
      <c r="F348" s="2052">
        <f t="shared" si="64"/>
        <v>28</v>
      </c>
      <c r="G348" s="2053">
        <f t="shared" si="64"/>
        <v>2</v>
      </c>
      <c r="H348" s="2053">
        <f t="shared" si="64"/>
        <v>15</v>
      </c>
      <c r="I348" s="2053">
        <f t="shared" si="64"/>
        <v>5</v>
      </c>
      <c r="J348" s="2053">
        <f t="shared" si="64"/>
        <v>1</v>
      </c>
      <c r="K348" s="2053">
        <f t="shared" si="64"/>
        <v>23</v>
      </c>
      <c r="L348" s="2092">
        <f>K348/F348</f>
        <v>0.8214285714285714</v>
      </c>
      <c r="M348" s="2055">
        <f>1-L348</f>
        <v>0.1785714285714286</v>
      </c>
    </row>
    <row r="349" spans="1:13" x14ac:dyDescent="0.3">
      <c r="A349" s="2061"/>
      <c r="B349" s="1953"/>
      <c r="C349" s="2087"/>
      <c r="D349" s="2087"/>
      <c r="E349" s="2087"/>
      <c r="F349" s="2062"/>
      <c r="G349" s="2063"/>
      <c r="H349" s="2063"/>
      <c r="I349" s="2063"/>
      <c r="J349" s="2064"/>
      <c r="K349" s="2065"/>
    </row>
    <row r="350" spans="1:13" x14ac:dyDescent="0.3">
      <c r="A350" s="6006" t="s">
        <v>290</v>
      </c>
      <c r="B350" s="2021" t="s">
        <v>64</v>
      </c>
      <c r="C350" s="2078">
        <v>1</v>
      </c>
      <c r="D350" s="2079">
        <v>8</v>
      </c>
      <c r="E350" s="2079">
        <v>2</v>
      </c>
      <c r="F350" s="2024">
        <f>SUM(C350:E350)</f>
        <v>11</v>
      </c>
      <c r="G350" s="2025"/>
      <c r="H350" s="2026">
        <v>5</v>
      </c>
      <c r="I350" s="2025">
        <v>3</v>
      </c>
      <c r="J350" s="2056">
        <v>1</v>
      </c>
      <c r="K350" s="2024">
        <f>SUM(H350:J350)</f>
        <v>9</v>
      </c>
      <c r="L350" s="2029">
        <f>K350/F350</f>
        <v>0.81818181818181823</v>
      </c>
      <c r="M350" s="2030">
        <f>1-L350</f>
        <v>0.18181818181818177</v>
      </c>
    </row>
    <row r="351" spans="1:13" x14ac:dyDescent="0.3">
      <c r="A351" s="6007"/>
      <c r="B351" s="2031" t="s">
        <v>92</v>
      </c>
      <c r="C351" s="2081">
        <v>3</v>
      </c>
      <c r="D351" s="2082">
        <v>7</v>
      </c>
      <c r="E351" s="2082">
        <v>1</v>
      </c>
      <c r="F351" s="2034">
        <f>SUM(C351:E351)</f>
        <v>11</v>
      </c>
      <c r="G351" s="2035"/>
      <c r="H351" s="2036">
        <v>4</v>
      </c>
      <c r="I351" s="2035">
        <v>3</v>
      </c>
      <c r="J351" s="1980"/>
      <c r="K351" s="2034">
        <f>SUM(H351:J351)</f>
        <v>7</v>
      </c>
      <c r="L351" s="2039">
        <f>K351/F351</f>
        <v>0.63636363636363635</v>
      </c>
      <c r="M351" s="2040">
        <f>1-L351</f>
        <v>0.36363636363636365</v>
      </c>
    </row>
    <row r="352" spans="1:13" x14ac:dyDescent="0.3">
      <c r="A352" s="6007"/>
      <c r="B352" s="2041" t="s">
        <v>68</v>
      </c>
      <c r="C352" s="2084"/>
      <c r="D352" s="2085">
        <v>3</v>
      </c>
      <c r="E352" s="2085">
        <v>1</v>
      </c>
      <c r="F352" s="2044">
        <f>SUM(C352:E352)</f>
        <v>4</v>
      </c>
      <c r="G352" s="2045"/>
      <c r="H352" s="2046">
        <v>1</v>
      </c>
      <c r="I352" s="2045">
        <v>1</v>
      </c>
      <c r="J352" s="2047"/>
      <c r="K352" s="2044">
        <f>SUM(H352:J352)</f>
        <v>2</v>
      </c>
      <c r="L352" s="2049">
        <f>K352/F352</f>
        <v>0.5</v>
      </c>
      <c r="M352" s="2050">
        <f>1-L352</f>
        <v>0.5</v>
      </c>
    </row>
    <row r="353" spans="1:13" ht="15" customHeight="1" x14ac:dyDescent="0.3">
      <c r="A353" s="6008"/>
      <c r="B353" s="2051" t="s">
        <v>279</v>
      </c>
      <c r="C353" s="2051">
        <f t="shared" ref="C353:K353" si="65">SUM(C350:C352)</f>
        <v>4</v>
      </c>
      <c r="D353" s="2051">
        <f t="shared" si="65"/>
        <v>18</v>
      </c>
      <c r="E353" s="2051">
        <f t="shared" si="65"/>
        <v>4</v>
      </c>
      <c r="F353" s="2052">
        <f t="shared" si="65"/>
        <v>26</v>
      </c>
      <c r="G353" s="2053">
        <f t="shared" si="65"/>
        <v>0</v>
      </c>
      <c r="H353" s="2053">
        <f t="shared" si="65"/>
        <v>10</v>
      </c>
      <c r="I353" s="2053">
        <f t="shared" si="65"/>
        <v>7</v>
      </c>
      <c r="J353" s="2053">
        <f t="shared" si="65"/>
        <v>1</v>
      </c>
      <c r="K353" s="2053">
        <f t="shared" si="65"/>
        <v>18</v>
      </c>
      <c r="L353" s="2075">
        <f>K353/F353</f>
        <v>0.69230769230769229</v>
      </c>
      <c r="M353" s="2055">
        <f>1-L353</f>
        <v>0.30769230769230771</v>
      </c>
    </row>
    <row r="354" spans="1:13" x14ac:dyDescent="0.3">
      <c r="A354" s="1999"/>
      <c r="B354" s="1999"/>
      <c r="C354" s="1999"/>
      <c r="D354" s="1999"/>
      <c r="E354" s="1999"/>
      <c r="F354" s="1999"/>
      <c r="G354" s="1999"/>
      <c r="H354" s="1999"/>
      <c r="I354" s="1999"/>
      <c r="J354" s="1999"/>
      <c r="K354" s="1999"/>
      <c r="L354" s="1999"/>
    </row>
    <row r="355" spans="1:13" x14ac:dyDescent="0.3">
      <c r="A355" s="5971" t="s">
        <v>573</v>
      </c>
      <c r="B355" s="2021" t="s">
        <v>64</v>
      </c>
      <c r="C355" s="2078"/>
      <c r="D355" s="2079">
        <v>2</v>
      </c>
      <c r="E355" s="2079">
        <v>2</v>
      </c>
      <c r="F355" s="2024">
        <f>SUM(C355:E355)</f>
        <v>4</v>
      </c>
      <c r="G355" s="2025"/>
      <c r="H355" s="2026">
        <v>4</v>
      </c>
      <c r="I355" s="2025"/>
      <c r="J355" s="2056"/>
      <c r="K355" s="2024">
        <f>SUM(G355:J355)</f>
        <v>4</v>
      </c>
      <c r="L355" s="2029">
        <f>K355/F355</f>
        <v>1</v>
      </c>
      <c r="M355" s="2104">
        <f>1-L355</f>
        <v>0</v>
      </c>
    </row>
    <row r="356" spans="1:13" x14ac:dyDescent="0.3">
      <c r="A356" s="5972"/>
      <c r="B356" s="2031" t="s">
        <v>561</v>
      </c>
      <c r="C356" s="2081"/>
      <c r="D356" s="2082"/>
      <c r="E356" s="2082">
        <v>1</v>
      </c>
      <c r="F356" s="2034">
        <f>SUM(C356:E356)</f>
        <v>1</v>
      </c>
      <c r="G356" s="2035"/>
      <c r="H356" s="2036">
        <v>1</v>
      </c>
      <c r="I356" s="2035"/>
      <c r="J356" s="1980"/>
      <c r="K356" s="2034">
        <f>SUM(G356:J356)</f>
        <v>1</v>
      </c>
      <c r="L356" s="2039">
        <f>K356/F356</f>
        <v>1</v>
      </c>
      <c r="M356" s="2105">
        <f>1-L356</f>
        <v>0</v>
      </c>
    </row>
    <row r="357" spans="1:13" x14ac:dyDescent="0.3">
      <c r="A357" s="5973"/>
      <c r="B357" s="2051" t="s">
        <v>279</v>
      </c>
      <c r="C357" s="2051">
        <f t="shared" ref="C357:K357" si="66">SUM(C355:C356)</f>
        <v>0</v>
      </c>
      <c r="D357" s="2051">
        <f t="shared" si="66"/>
        <v>2</v>
      </c>
      <c r="E357" s="2051">
        <f t="shared" si="66"/>
        <v>3</v>
      </c>
      <c r="F357" s="2052">
        <f t="shared" si="66"/>
        <v>5</v>
      </c>
      <c r="G357" s="2053">
        <f t="shared" si="66"/>
        <v>0</v>
      </c>
      <c r="H357" s="2053">
        <f t="shared" si="66"/>
        <v>5</v>
      </c>
      <c r="I357" s="2053">
        <f t="shared" si="66"/>
        <v>0</v>
      </c>
      <c r="J357" s="2053">
        <f t="shared" si="66"/>
        <v>0</v>
      </c>
      <c r="K357" s="2053">
        <f t="shared" si="66"/>
        <v>5</v>
      </c>
      <c r="L357" s="2075">
        <f>K357/F357</f>
        <v>1</v>
      </c>
      <c r="M357" s="2055">
        <f>1-L357</f>
        <v>0</v>
      </c>
    </row>
    <row r="358" spans="1:13" x14ac:dyDescent="0.3">
      <c r="A358" s="1953"/>
      <c r="B358" s="1953"/>
      <c r="C358" s="2087"/>
      <c r="D358" s="2087"/>
      <c r="E358" s="2087"/>
      <c r="F358" s="2062"/>
      <c r="G358" s="2063"/>
      <c r="H358" s="2063"/>
      <c r="I358" s="2063"/>
      <c r="J358" s="2064"/>
      <c r="K358" s="2065"/>
      <c r="L358" s="2066"/>
      <c r="M358" s="2067"/>
    </row>
    <row r="359" spans="1:13" x14ac:dyDescent="0.3">
      <c r="A359" s="5974" t="s">
        <v>7</v>
      </c>
      <c r="B359" s="5974"/>
      <c r="C359" s="2051">
        <f t="shared" ref="C359:K359" si="67">SUM(C338,C348,C353,C343,C357)</f>
        <v>12</v>
      </c>
      <c r="D359" s="2051">
        <f t="shared" si="67"/>
        <v>48</v>
      </c>
      <c r="E359" s="2051">
        <f t="shared" si="67"/>
        <v>27</v>
      </c>
      <c r="F359" s="2051">
        <f t="shared" si="67"/>
        <v>87</v>
      </c>
      <c r="G359" s="2052">
        <f t="shared" si="67"/>
        <v>2</v>
      </c>
      <c r="H359" s="2052">
        <f t="shared" si="67"/>
        <v>34</v>
      </c>
      <c r="I359" s="2052">
        <f t="shared" si="67"/>
        <v>21</v>
      </c>
      <c r="J359" s="2052">
        <f t="shared" si="67"/>
        <v>5</v>
      </c>
      <c r="K359" s="2052">
        <f t="shared" si="67"/>
        <v>62</v>
      </c>
      <c r="L359" s="2075">
        <f>K359/F359</f>
        <v>0.71264367816091956</v>
      </c>
      <c r="M359" s="2055">
        <f>1-L359</f>
        <v>0.28735632183908044</v>
      </c>
    </row>
    <row r="360" spans="1:13" x14ac:dyDescent="0.3">
      <c r="M360" s="1960"/>
    </row>
    <row r="361" spans="1:13" ht="15" thickBot="1" x14ac:dyDescent="0.35">
      <c r="A361" s="1871" t="s">
        <v>586</v>
      </c>
      <c r="I361" s="5987" t="s">
        <v>575</v>
      </c>
      <c r="J361" s="5987"/>
      <c r="K361" s="2072">
        <f>F359-K359</f>
        <v>25</v>
      </c>
      <c r="M361" s="1960"/>
    </row>
    <row r="365" spans="1:13" x14ac:dyDescent="0.3">
      <c r="A365" s="6017" t="s">
        <v>27</v>
      </c>
      <c r="B365" s="6017" t="s">
        <v>10</v>
      </c>
      <c r="C365" s="6011" t="s">
        <v>587</v>
      </c>
      <c r="D365" s="6012"/>
      <c r="E365" s="6012"/>
      <c r="F365" s="6013"/>
      <c r="G365" s="6011" t="s">
        <v>588</v>
      </c>
      <c r="H365" s="6012"/>
      <c r="I365" s="6012"/>
      <c r="J365" s="6012"/>
      <c r="K365" s="6012"/>
      <c r="L365" s="6013"/>
    </row>
    <row r="366" spans="1:13" ht="48" x14ac:dyDescent="0.3">
      <c r="A366" s="6017"/>
      <c r="B366" s="6017"/>
      <c r="C366" s="2106" t="s">
        <v>569</v>
      </c>
      <c r="D366" s="2106" t="s">
        <v>310</v>
      </c>
      <c r="E366" s="2106" t="s">
        <v>317</v>
      </c>
      <c r="F366" s="2107" t="s">
        <v>279</v>
      </c>
      <c r="G366" s="2108" t="s">
        <v>542</v>
      </c>
      <c r="H366" s="2108" t="s">
        <v>523</v>
      </c>
      <c r="I366" s="2108" t="s">
        <v>524</v>
      </c>
      <c r="J366" s="2108" t="s">
        <v>525</v>
      </c>
      <c r="K366" s="2109" t="s">
        <v>279</v>
      </c>
      <c r="L366" s="2110" t="s">
        <v>272</v>
      </c>
    </row>
    <row r="367" spans="1:13" x14ac:dyDescent="0.3">
      <c r="A367" s="2111"/>
      <c r="B367" s="2111"/>
      <c r="F367" s="2111"/>
      <c r="G367" s="2111"/>
      <c r="K367" s="2111"/>
      <c r="L367" s="2111"/>
    </row>
    <row r="368" spans="1:13" x14ac:dyDescent="0.3">
      <c r="A368" s="5959" t="s">
        <v>286</v>
      </c>
      <c r="B368" s="2112" t="s">
        <v>59</v>
      </c>
      <c r="C368" s="2113"/>
      <c r="D368" s="2114">
        <v>3</v>
      </c>
      <c r="E368" s="2114">
        <v>2</v>
      </c>
      <c r="F368" s="2115">
        <f>SUM(C368:E368)</f>
        <v>5</v>
      </c>
      <c r="G368" s="2116"/>
      <c r="H368" s="2117">
        <v>2</v>
      </c>
      <c r="I368" s="2116">
        <v>2</v>
      </c>
      <c r="J368" s="2118"/>
      <c r="K368" s="2115">
        <f>SUM(H368:J368)</f>
        <v>4</v>
      </c>
      <c r="L368" s="2119">
        <f>K368/F368</f>
        <v>0.8</v>
      </c>
    </row>
    <row r="369" spans="1:12" x14ac:dyDescent="0.3">
      <c r="A369" s="5960"/>
      <c r="B369" s="2120" t="s">
        <v>64</v>
      </c>
      <c r="C369" s="2121">
        <v>3</v>
      </c>
      <c r="D369" s="2122">
        <v>5</v>
      </c>
      <c r="E369" s="2122">
        <v>3</v>
      </c>
      <c r="F369" s="2123">
        <f>SUM(C369:E369)</f>
        <v>11</v>
      </c>
      <c r="G369" s="2124"/>
      <c r="H369" s="2125">
        <v>4</v>
      </c>
      <c r="I369" s="2124">
        <v>4</v>
      </c>
      <c r="J369" s="2126">
        <v>1</v>
      </c>
      <c r="K369" s="2123">
        <f>SUM(G369:J369)</f>
        <v>9</v>
      </c>
      <c r="L369" s="2127">
        <f>K369/F369</f>
        <v>0.81818181818181823</v>
      </c>
    </row>
    <row r="370" spans="1:12" x14ac:dyDescent="0.3">
      <c r="A370" s="5960"/>
      <c r="B370" s="2128" t="s">
        <v>68</v>
      </c>
      <c r="C370" s="2129">
        <v>1</v>
      </c>
      <c r="D370" s="2130">
        <v>1</v>
      </c>
      <c r="E370" s="2130">
        <v>1</v>
      </c>
      <c r="F370" s="2131">
        <f>SUM(C370:E370)</f>
        <v>3</v>
      </c>
      <c r="G370" s="2132"/>
      <c r="H370" s="2133"/>
      <c r="I370" s="2132">
        <v>3</v>
      </c>
      <c r="J370" s="2134"/>
      <c r="K370" s="2131">
        <f>SUM(H370:J370)</f>
        <v>3</v>
      </c>
      <c r="L370" s="2135">
        <f>K370/F370</f>
        <v>1</v>
      </c>
    </row>
    <row r="371" spans="1:12" ht="15" customHeight="1" x14ac:dyDescent="0.3">
      <c r="A371" s="5961"/>
      <c r="B371" s="2136" t="s">
        <v>279</v>
      </c>
      <c r="C371" s="2136">
        <f t="shared" ref="C371:K371" si="68">SUM(C368:C370)</f>
        <v>4</v>
      </c>
      <c r="D371" s="2136">
        <f t="shared" si="68"/>
        <v>9</v>
      </c>
      <c r="E371" s="2136">
        <f t="shared" si="68"/>
        <v>6</v>
      </c>
      <c r="F371" s="2137">
        <f t="shared" si="68"/>
        <v>19</v>
      </c>
      <c r="G371" s="2137">
        <f t="shared" si="68"/>
        <v>0</v>
      </c>
      <c r="H371" s="2138">
        <f t="shared" si="68"/>
        <v>6</v>
      </c>
      <c r="I371" s="2137">
        <f t="shared" si="68"/>
        <v>9</v>
      </c>
      <c r="J371" s="2139">
        <f t="shared" si="68"/>
        <v>1</v>
      </c>
      <c r="K371" s="2137">
        <f t="shared" si="68"/>
        <v>16</v>
      </c>
      <c r="L371" s="2140">
        <f>K371/F371</f>
        <v>0.84210526315789469</v>
      </c>
    </row>
    <row r="372" spans="1:12" x14ac:dyDescent="0.3">
      <c r="F372" s="2141"/>
      <c r="K372" s="2058"/>
    </row>
    <row r="373" spans="1:12" x14ac:dyDescent="0.3">
      <c r="A373" s="5965" t="s">
        <v>288</v>
      </c>
      <c r="B373" s="2112" t="s">
        <v>59</v>
      </c>
      <c r="C373" s="2113"/>
      <c r="D373" s="2114">
        <v>7</v>
      </c>
      <c r="E373" s="2114">
        <v>6</v>
      </c>
      <c r="F373" s="2115">
        <f>SUM(C373:E373)</f>
        <v>13</v>
      </c>
      <c r="G373" s="2116"/>
      <c r="H373" s="2117">
        <v>8</v>
      </c>
      <c r="I373" s="2116">
        <v>3</v>
      </c>
      <c r="J373" s="2118">
        <v>1</v>
      </c>
      <c r="K373" s="2115">
        <f>SUM(H373:J373)</f>
        <v>12</v>
      </c>
      <c r="L373" s="2119">
        <f>K373/F373</f>
        <v>0.92307692307692313</v>
      </c>
    </row>
    <row r="374" spans="1:12" x14ac:dyDescent="0.3">
      <c r="A374" s="5966"/>
      <c r="B374" s="2120" t="s">
        <v>64</v>
      </c>
      <c r="C374" s="2121">
        <v>1</v>
      </c>
      <c r="D374" s="2122">
        <v>4</v>
      </c>
      <c r="E374" s="2122">
        <v>4</v>
      </c>
      <c r="F374" s="2123">
        <f>SUM(C374:E374)</f>
        <v>9</v>
      </c>
      <c r="G374" s="2124">
        <v>2</v>
      </c>
      <c r="H374" s="2125">
        <v>4</v>
      </c>
      <c r="I374" s="2124">
        <v>2</v>
      </c>
      <c r="J374" s="2126"/>
      <c r="K374" s="2123">
        <f>SUM(G374:J374)</f>
        <v>8</v>
      </c>
      <c r="L374" s="2127">
        <f>K374/F374</f>
        <v>0.88888888888888884</v>
      </c>
    </row>
    <row r="375" spans="1:12" x14ac:dyDescent="0.3">
      <c r="A375" s="5966"/>
      <c r="B375" s="2128" t="s">
        <v>92</v>
      </c>
      <c r="C375" s="2129">
        <v>2</v>
      </c>
      <c r="D375" s="2130">
        <v>3</v>
      </c>
      <c r="E375" s="2130">
        <v>3</v>
      </c>
      <c r="F375" s="2131">
        <f>SUM(C375:E375)</f>
        <v>8</v>
      </c>
      <c r="G375" s="2132"/>
      <c r="H375" s="2133">
        <v>6</v>
      </c>
      <c r="I375" s="2132"/>
      <c r="J375" s="2134"/>
      <c r="K375" s="2131">
        <f>SUM(H375:J375)</f>
        <v>6</v>
      </c>
      <c r="L375" s="2135">
        <f>K375/F375</f>
        <v>0.75</v>
      </c>
    </row>
    <row r="376" spans="1:12" x14ac:dyDescent="0.3">
      <c r="A376" s="5967"/>
      <c r="B376" s="2136" t="s">
        <v>279</v>
      </c>
      <c r="C376" s="2136">
        <f t="shared" ref="C376:K376" si="69">SUM(C373:C375)</f>
        <v>3</v>
      </c>
      <c r="D376" s="2136">
        <f t="shared" si="69"/>
        <v>14</v>
      </c>
      <c r="E376" s="2136">
        <f t="shared" si="69"/>
        <v>13</v>
      </c>
      <c r="F376" s="2137">
        <f t="shared" si="69"/>
        <v>30</v>
      </c>
      <c r="G376" s="2138">
        <f t="shared" si="69"/>
        <v>2</v>
      </c>
      <c r="H376" s="2138">
        <f t="shared" si="69"/>
        <v>18</v>
      </c>
      <c r="I376" s="2138">
        <f t="shared" si="69"/>
        <v>5</v>
      </c>
      <c r="J376" s="2138">
        <f t="shared" si="69"/>
        <v>1</v>
      </c>
      <c r="K376" s="2138">
        <f t="shared" si="69"/>
        <v>26</v>
      </c>
      <c r="L376" s="2140">
        <f>K376/F376</f>
        <v>0.8666666666666667</v>
      </c>
    </row>
    <row r="377" spans="1:12" x14ac:dyDescent="0.3">
      <c r="A377" s="2142"/>
      <c r="B377" s="2143"/>
      <c r="C377" s="2144"/>
      <c r="D377" s="2144"/>
      <c r="E377" s="2144"/>
      <c r="F377" s="2145"/>
      <c r="G377" s="2146"/>
      <c r="H377" s="2146"/>
      <c r="I377" s="2146"/>
      <c r="J377" s="2147"/>
      <c r="K377" s="2148"/>
      <c r="L377" s="2149"/>
    </row>
    <row r="378" spans="1:12" x14ac:dyDescent="0.3">
      <c r="A378" s="5968" t="s">
        <v>290</v>
      </c>
      <c r="B378" s="2112" t="s">
        <v>64</v>
      </c>
      <c r="C378" s="2150">
        <v>2</v>
      </c>
      <c r="D378" s="2151">
        <v>7</v>
      </c>
      <c r="E378" s="2151">
        <v>2</v>
      </c>
      <c r="F378" s="2115">
        <f>SUM(C378:E378)</f>
        <v>11</v>
      </c>
      <c r="G378" s="2116"/>
      <c r="H378" s="2117">
        <v>4</v>
      </c>
      <c r="I378" s="2116">
        <v>4</v>
      </c>
      <c r="J378" s="2118"/>
      <c r="K378" s="2115">
        <f>SUM(H378:J378)</f>
        <v>8</v>
      </c>
      <c r="L378" s="2119">
        <f>K378/F378</f>
        <v>0.72727272727272729</v>
      </c>
    </row>
    <row r="379" spans="1:12" x14ac:dyDescent="0.3">
      <c r="A379" s="5969"/>
      <c r="B379" s="2120" t="s">
        <v>92</v>
      </c>
      <c r="C379" s="2152">
        <v>2</v>
      </c>
      <c r="D379" s="2153">
        <v>6</v>
      </c>
      <c r="E379" s="2153">
        <v>1</v>
      </c>
      <c r="F379" s="2123">
        <f>SUM(C379:E379)</f>
        <v>9</v>
      </c>
      <c r="G379" s="2124"/>
      <c r="H379" s="2125">
        <v>4</v>
      </c>
      <c r="I379" s="2124">
        <v>3</v>
      </c>
      <c r="J379" s="2126"/>
      <c r="K379" s="2123">
        <f>SUM(H379:J379)</f>
        <v>7</v>
      </c>
      <c r="L379" s="2127">
        <f>K379/F379</f>
        <v>0.77777777777777779</v>
      </c>
    </row>
    <row r="380" spans="1:12" x14ac:dyDescent="0.3">
      <c r="A380" s="5969"/>
      <c r="B380" s="2128" t="s">
        <v>68</v>
      </c>
      <c r="C380" s="2154"/>
      <c r="D380" s="2155">
        <v>3</v>
      </c>
      <c r="E380" s="2155">
        <v>1</v>
      </c>
      <c r="F380" s="2131">
        <f>SUM(C380:E380)</f>
        <v>4</v>
      </c>
      <c r="G380" s="2132"/>
      <c r="H380" s="2133">
        <v>1</v>
      </c>
      <c r="I380" s="2132"/>
      <c r="J380" s="2134">
        <v>1</v>
      </c>
      <c r="K380" s="2131">
        <f>SUM(H380:J380)</f>
        <v>2</v>
      </c>
      <c r="L380" s="2135">
        <f>K380/F380</f>
        <v>0.5</v>
      </c>
    </row>
    <row r="381" spans="1:12" x14ac:dyDescent="0.3">
      <c r="A381" s="5970"/>
      <c r="B381" s="2136" t="s">
        <v>279</v>
      </c>
      <c r="C381" s="2137">
        <f t="shared" ref="C381:K381" si="70">SUM(C378:C380)</f>
        <v>4</v>
      </c>
      <c r="D381" s="2137">
        <f t="shared" si="70"/>
        <v>16</v>
      </c>
      <c r="E381" s="2137">
        <f t="shared" si="70"/>
        <v>4</v>
      </c>
      <c r="F381" s="2137">
        <f t="shared" si="70"/>
        <v>24</v>
      </c>
      <c r="G381" s="2138">
        <f t="shared" si="70"/>
        <v>0</v>
      </c>
      <c r="H381" s="2138">
        <f t="shared" si="70"/>
        <v>9</v>
      </c>
      <c r="I381" s="2138">
        <f t="shared" si="70"/>
        <v>7</v>
      </c>
      <c r="J381" s="2138">
        <f t="shared" si="70"/>
        <v>1</v>
      </c>
      <c r="K381" s="2138">
        <f t="shared" si="70"/>
        <v>17</v>
      </c>
      <c r="L381" s="2140">
        <f>K381/F381</f>
        <v>0.70833333333333337</v>
      </c>
    </row>
    <row r="382" spans="1:12" x14ac:dyDescent="0.3">
      <c r="F382" s="2141"/>
      <c r="K382" s="2058"/>
    </row>
    <row r="383" spans="1:12" x14ac:dyDescent="0.3">
      <c r="A383" s="5962" t="s">
        <v>287</v>
      </c>
      <c r="B383" s="2112" t="s">
        <v>64</v>
      </c>
      <c r="C383" s="2113"/>
      <c r="D383" s="2114">
        <v>1</v>
      </c>
      <c r="E383" s="2114">
        <v>1</v>
      </c>
      <c r="F383" s="2115">
        <f>SUM(C383:E383)</f>
        <v>2</v>
      </c>
      <c r="G383" s="2116"/>
      <c r="H383" s="2117"/>
      <c r="I383" s="2116"/>
      <c r="J383" s="2118"/>
      <c r="K383" s="2115">
        <f>SUM(H383:J383)</f>
        <v>0</v>
      </c>
      <c r="L383" s="2119">
        <f>K383/F383</f>
        <v>0</v>
      </c>
    </row>
    <row r="384" spans="1:12" ht="15" customHeight="1" x14ac:dyDescent="0.3">
      <c r="A384" s="5963"/>
      <c r="B384" s="2120" t="s">
        <v>111</v>
      </c>
      <c r="C384" s="2121"/>
      <c r="D384" s="2122"/>
      <c r="E384" s="2122"/>
      <c r="F384" s="2123"/>
      <c r="G384" s="2124"/>
      <c r="H384" s="2125"/>
      <c r="I384" s="2124"/>
      <c r="J384" s="2126"/>
      <c r="K384" s="2123"/>
      <c r="L384" s="2127"/>
    </row>
    <row r="385" spans="1:12" x14ac:dyDescent="0.3">
      <c r="A385" s="5963"/>
      <c r="B385" s="2128" t="s">
        <v>115</v>
      </c>
      <c r="C385" s="2129"/>
      <c r="D385" s="2130"/>
      <c r="E385" s="2130"/>
      <c r="F385" s="2131"/>
      <c r="G385" s="2132"/>
      <c r="H385" s="2133"/>
      <c r="I385" s="2132"/>
      <c r="J385" s="2134"/>
      <c r="K385" s="2131"/>
      <c r="L385" s="2135"/>
    </row>
    <row r="386" spans="1:12" x14ac:dyDescent="0.3">
      <c r="A386" s="5964"/>
      <c r="B386" s="2136" t="s">
        <v>279</v>
      </c>
      <c r="C386" s="2136">
        <f t="shared" ref="C386:K386" si="71">SUM(C383:C385)</f>
        <v>0</v>
      </c>
      <c r="D386" s="2136">
        <f t="shared" si="71"/>
        <v>1</v>
      </c>
      <c r="E386" s="2136">
        <f t="shared" si="71"/>
        <v>1</v>
      </c>
      <c r="F386" s="2137">
        <f t="shared" si="71"/>
        <v>2</v>
      </c>
      <c r="G386" s="2138">
        <f t="shared" si="71"/>
        <v>0</v>
      </c>
      <c r="H386" s="2138">
        <f t="shared" si="71"/>
        <v>0</v>
      </c>
      <c r="I386" s="2138">
        <f t="shared" si="71"/>
        <v>0</v>
      </c>
      <c r="J386" s="2138">
        <f t="shared" si="71"/>
        <v>0</v>
      </c>
      <c r="K386" s="2138">
        <f t="shared" si="71"/>
        <v>0</v>
      </c>
      <c r="L386" s="2140">
        <f>K386/F386</f>
        <v>0</v>
      </c>
    </row>
    <row r="387" spans="1:12" x14ac:dyDescent="0.3">
      <c r="A387" s="2143"/>
      <c r="B387" s="2143"/>
      <c r="C387" s="2144"/>
      <c r="D387" s="2144"/>
      <c r="E387" s="2144"/>
      <c r="F387" s="2145"/>
      <c r="G387" s="2146"/>
      <c r="H387" s="2146"/>
      <c r="I387" s="2146"/>
      <c r="J387" s="2147"/>
      <c r="K387" s="2148"/>
      <c r="L387" s="2149"/>
    </row>
    <row r="388" spans="1:12" x14ac:dyDescent="0.3">
      <c r="A388" s="6019" t="s">
        <v>7</v>
      </c>
      <c r="B388" s="6019"/>
      <c r="C388" s="2136">
        <f t="shared" ref="C388:K388" si="72">SUM(C371,C376,C381,C386)</f>
        <v>11</v>
      </c>
      <c r="D388" s="2136">
        <f t="shared" si="72"/>
        <v>40</v>
      </c>
      <c r="E388" s="2136">
        <f t="shared" si="72"/>
        <v>24</v>
      </c>
      <c r="F388" s="2137">
        <f t="shared" si="72"/>
        <v>75</v>
      </c>
      <c r="G388" s="2137">
        <f t="shared" si="72"/>
        <v>2</v>
      </c>
      <c r="H388" s="2137">
        <f t="shared" si="72"/>
        <v>33</v>
      </c>
      <c r="I388" s="2137">
        <f t="shared" si="72"/>
        <v>21</v>
      </c>
      <c r="J388" s="2137">
        <f t="shared" si="72"/>
        <v>3</v>
      </c>
      <c r="K388" s="2137">
        <f t="shared" si="72"/>
        <v>59</v>
      </c>
      <c r="L388" s="2140">
        <f>K388/F388</f>
        <v>0.78666666666666663</v>
      </c>
    </row>
    <row r="390" spans="1:12" ht="15" thickBot="1" x14ac:dyDescent="0.35">
      <c r="A390" s="2156" t="s">
        <v>586</v>
      </c>
      <c r="J390" s="5987" t="s">
        <v>575</v>
      </c>
      <c r="K390" s="6009"/>
      <c r="L390" s="2072">
        <f>F388-K388</f>
        <v>16</v>
      </c>
    </row>
    <row r="391" spans="1:12" x14ac:dyDescent="0.3">
      <c r="A391" s="2156"/>
      <c r="J391" s="2157"/>
      <c r="K391" s="2157"/>
    </row>
    <row r="393" spans="1:12" x14ac:dyDescent="0.3">
      <c r="A393" s="6010" t="s">
        <v>27</v>
      </c>
      <c r="B393" s="6010" t="s">
        <v>10</v>
      </c>
      <c r="C393" s="6011" t="s">
        <v>589</v>
      </c>
      <c r="D393" s="6012"/>
      <c r="E393" s="6012"/>
      <c r="F393" s="6013"/>
      <c r="G393" s="6014" t="s">
        <v>590</v>
      </c>
      <c r="H393" s="6015"/>
      <c r="I393" s="6015"/>
      <c r="J393" s="6015"/>
      <c r="K393" s="6015"/>
      <c r="L393" s="6016"/>
    </row>
    <row r="394" spans="1:12" ht="48" x14ac:dyDescent="0.3">
      <c r="A394" s="6010"/>
      <c r="B394" s="6010"/>
      <c r="C394" s="2106" t="s">
        <v>569</v>
      </c>
      <c r="D394" s="2106" t="s">
        <v>310</v>
      </c>
      <c r="E394" s="2106" t="s">
        <v>317</v>
      </c>
      <c r="F394" s="2107" t="s">
        <v>279</v>
      </c>
      <c r="G394" s="2158" t="s">
        <v>542</v>
      </c>
      <c r="H394" s="2158" t="s">
        <v>523</v>
      </c>
      <c r="I394" s="2158" t="s">
        <v>524</v>
      </c>
      <c r="J394" s="2158" t="s">
        <v>525</v>
      </c>
      <c r="K394" s="2159" t="s">
        <v>279</v>
      </c>
      <c r="L394" s="2159" t="s">
        <v>272</v>
      </c>
    </row>
    <row r="395" spans="1:12" x14ac:dyDescent="0.3">
      <c r="A395" s="1242"/>
      <c r="B395" s="1242"/>
      <c r="C395"/>
      <c r="D395"/>
      <c r="E395"/>
      <c r="F395"/>
      <c r="G395" s="1242"/>
      <c r="H395"/>
      <c r="I395"/>
      <c r="J395"/>
      <c r="K395" s="1242"/>
      <c r="L395" s="1242"/>
    </row>
    <row r="396" spans="1:12" x14ac:dyDescent="0.3">
      <c r="A396" s="5959" t="s">
        <v>286</v>
      </c>
      <c r="B396" s="2160" t="s">
        <v>59</v>
      </c>
      <c r="C396" s="2161"/>
      <c r="D396" s="2162">
        <v>3</v>
      </c>
      <c r="E396" s="2163">
        <v>2</v>
      </c>
      <c r="F396" s="2164">
        <f>SUM(C396:E396)</f>
        <v>5</v>
      </c>
      <c r="G396" s="2160"/>
      <c r="H396" s="2165">
        <v>2</v>
      </c>
      <c r="I396" s="2160">
        <v>2</v>
      </c>
      <c r="J396" s="2166"/>
      <c r="K396" s="2160">
        <v>4</v>
      </c>
      <c r="L396" s="2167">
        <v>0.8</v>
      </c>
    </row>
    <row r="397" spans="1:12" ht="15" customHeight="1" x14ac:dyDescent="0.3">
      <c r="A397" s="5960"/>
      <c r="B397" s="2168" t="s">
        <v>64</v>
      </c>
      <c r="C397" s="2169">
        <v>3</v>
      </c>
      <c r="D397" s="2170">
        <v>5</v>
      </c>
      <c r="E397" s="2171">
        <v>3</v>
      </c>
      <c r="F397" s="2172">
        <f>SUM(C397:E397)</f>
        <v>11</v>
      </c>
      <c r="G397" s="2168">
        <v>1</v>
      </c>
      <c r="H397" s="2173">
        <v>4</v>
      </c>
      <c r="I397" s="2168">
        <v>1</v>
      </c>
      <c r="J397" s="2174">
        <v>3</v>
      </c>
      <c r="K397" s="2168">
        <v>9</v>
      </c>
      <c r="L397" s="2175">
        <v>0.81818181818181823</v>
      </c>
    </row>
    <row r="398" spans="1:12" x14ac:dyDescent="0.3">
      <c r="A398" s="5960"/>
      <c r="B398" s="2176" t="s">
        <v>68</v>
      </c>
      <c r="C398" s="2177">
        <v>1</v>
      </c>
      <c r="D398" s="2178">
        <v>1</v>
      </c>
      <c r="E398" s="2179">
        <v>1</v>
      </c>
      <c r="F398" s="2180">
        <f>SUM(C398:E398)</f>
        <v>3</v>
      </c>
      <c r="G398" s="2176"/>
      <c r="H398" s="2181">
        <v>1</v>
      </c>
      <c r="I398" s="2176">
        <v>2</v>
      </c>
      <c r="J398" s="2182"/>
      <c r="K398" s="2176">
        <v>3</v>
      </c>
      <c r="L398" s="2183">
        <v>1</v>
      </c>
    </row>
    <row r="399" spans="1:12" x14ac:dyDescent="0.3">
      <c r="A399" s="5961"/>
      <c r="B399" s="2184" t="s">
        <v>279</v>
      </c>
      <c r="C399" s="2185">
        <f>SUM(C396:C398)</f>
        <v>4</v>
      </c>
      <c r="D399" s="2185">
        <f>SUM(D396:D398)</f>
        <v>9</v>
      </c>
      <c r="E399" s="2185">
        <f>SUM(E396:E398)</f>
        <v>6</v>
      </c>
      <c r="F399" s="2185">
        <f>SUM(C399:E399)</f>
        <v>19</v>
      </c>
      <c r="G399" s="2184">
        <v>1</v>
      </c>
      <c r="H399" s="2186">
        <v>7</v>
      </c>
      <c r="I399" s="2184">
        <v>5</v>
      </c>
      <c r="J399" s="2187">
        <v>3</v>
      </c>
      <c r="K399" s="2184">
        <v>16</v>
      </c>
      <c r="L399" s="2188">
        <v>0.84210526315789469</v>
      </c>
    </row>
    <row r="400" spans="1:12" x14ac:dyDescent="0.3">
      <c r="A400" s="2189"/>
      <c r="B400" s="2190"/>
      <c r="C400" s="2191"/>
      <c r="D400" s="2191"/>
      <c r="E400" s="2191"/>
      <c r="F400" s="2192"/>
      <c r="G400" s="2190"/>
      <c r="H400" s="2190"/>
      <c r="I400" s="2190"/>
      <c r="J400" s="2190"/>
      <c r="K400" s="569"/>
      <c r="L400" s="2193"/>
    </row>
    <row r="401" spans="1:13" x14ac:dyDescent="0.3">
      <c r="A401" s="5965" t="s">
        <v>288</v>
      </c>
      <c r="B401" s="2194" t="s">
        <v>59</v>
      </c>
      <c r="C401" s="2161"/>
      <c r="D401" s="2162">
        <v>7</v>
      </c>
      <c r="E401" s="2163">
        <v>6</v>
      </c>
      <c r="F401" s="2164">
        <f>SUM(C401:E401)</f>
        <v>13</v>
      </c>
      <c r="G401" s="2160"/>
      <c r="H401" s="2165">
        <v>8</v>
      </c>
      <c r="I401" s="2160">
        <v>2</v>
      </c>
      <c r="J401" s="2166"/>
      <c r="K401" s="2160">
        <v>10</v>
      </c>
      <c r="L401" s="2167">
        <v>0.76923076923076927</v>
      </c>
    </row>
    <row r="402" spans="1:13" x14ac:dyDescent="0.3">
      <c r="A402" s="5966"/>
      <c r="B402" s="2195" t="s">
        <v>64</v>
      </c>
      <c r="C402" s="2169">
        <v>1</v>
      </c>
      <c r="D402" s="2170">
        <v>4</v>
      </c>
      <c r="E402" s="2171">
        <v>4</v>
      </c>
      <c r="F402" s="2172">
        <f>SUM(C402:E402)</f>
        <v>9</v>
      </c>
      <c r="G402" s="2168"/>
      <c r="H402" s="2173">
        <v>6</v>
      </c>
      <c r="I402" s="2168">
        <v>2</v>
      </c>
      <c r="J402" s="2174"/>
      <c r="K402" s="2168">
        <v>8</v>
      </c>
      <c r="L402" s="2175">
        <v>0.88888888888888884</v>
      </c>
    </row>
    <row r="403" spans="1:13" x14ac:dyDescent="0.3">
      <c r="A403" s="5966"/>
      <c r="B403" s="2196" t="s">
        <v>92</v>
      </c>
      <c r="C403" s="2177">
        <v>2</v>
      </c>
      <c r="D403" s="2178">
        <v>3</v>
      </c>
      <c r="E403" s="2179">
        <v>3</v>
      </c>
      <c r="F403" s="2180">
        <f>SUM(C403:E403)</f>
        <v>8</v>
      </c>
      <c r="G403" s="2176"/>
      <c r="H403" s="2181">
        <v>6</v>
      </c>
      <c r="I403" s="2176"/>
      <c r="J403" s="2182"/>
      <c r="K403" s="2176">
        <v>6</v>
      </c>
      <c r="L403" s="2183">
        <v>0.75</v>
      </c>
    </row>
    <row r="404" spans="1:13" x14ac:dyDescent="0.3">
      <c r="A404" s="5967"/>
      <c r="B404" s="2184" t="s">
        <v>279</v>
      </c>
      <c r="C404" s="2185">
        <f>SUM(C401:C403)</f>
        <v>3</v>
      </c>
      <c r="D404" s="2185">
        <f>SUM(D401:D403)</f>
        <v>14</v>
      </c>
      <c r="E404" s="2185">
        <f>SUM(E401:E403)</f>
        <v>13</v>
      </c>
      <c r="F404" s="2185">
        <f>SUM(C404:E404)</f>
        <v>30</v>
      </c>
      <c r="G404" s="2184"/>
      <c r="H404" s="2186">
        <v>20</v>
      </c>
      <c r="I404" s="2184">
        <v>4</v>
      </c>
      <c r="J404" s="2187">
        <v>0</v>
      </c>
      <c r="K404" s="2184">
        <v>24</v>
      </c>
      <c r="L404" s="2188">
        <v>0.8</v>
      </c>
    </row>
    <row r="405" spans="1:13" x14ac:dyDescent="0.3">
      <c r="A405" s="2197"/>
      <c r="B405" s="2198"/>
      <c r="C405" s="2191"/>
      <c r="D405" s="2191"/>
      <c r="E405" s="2191"/>
      <c r="F405" s="2192"/>
      <c r="G405" s="2190"/>
      <c r="H405" s="2190"/>
      <c r="I405" s="2190"/>
      <c r="J405" s="2199"/>
      <c r="K405" s="2199"/>
      <c r="L405" s="2200"/>
    </row>
    <row r="406" spans="1:13" x14ac:dyDescent="0.3">
      <c r="A406" s="5968" t="s">
        <v>290</v>
      </c>
      <c r="B406" s="2194" t="s">
        <v>64</v>
      </c>
      <c r="C406" s="2161">
        <v>2</v>
      </c>
      <c r="D406" s="2162">
        <v>7</v>
      </c>
      <c r="E406" s="2163">
        <v>2</v>
      </c>
      <c r="F406" s="2164">
        <f>SUM(C406:E406)</f>
        <v>11</v>
      </c>
      <c r="G406" s="2160"/>
      <c r="H406" s="2165">
        <v>4</v>
      </c>
      <c r="I406" s="2160">
        <v>4</v>
      </c>
      <c r="J406" s="2166"/>
      <c r="K406" s="2160">
        <v>8</v>
      </c>
      <c r="L406" s="2167">
        <v>0.72727272727272729</v>
      </c>
    </row>
    <row r="407" spans="1:13" x14ac:dyDescent="0.3">
      <c r="A407" s="5969"/>
      <c r="B407" s="2195" t="s">
        <v>92</v>
      </c>
      <c r="C407" s="2169">
        <v>2</v>
      </c>
      <c r="D407" s="2170">
        <v>6</v>
      </c>
      <c r="E407" s="2171">
        <v>1</v>
      </c>
      <c r="F407" s="2172">
        <f>SUM(C407:E407)</f>
        <v>9</v>
      </c>
      <c r="G407" s="2168"/>
      <c r="H407" s="2173">
        <v>5</v>
      </c>
      <c r="I407" s="2168">
        <v>2</v>
      </c>
      <c r="J407" s="2174"/>
      <c r="K407" s="2168">
        <v>7</v>
      </c>
      <c r="L407" s="2175">
        <v>0.77777777777777779</v>
      </c>
    </row>
    <row r="408" spans="1:13" x14ac:dyDescent="0.3">
      <c r="A408" s="5969"/>
      <c r="B408" s="2196" t="s">
        <v>68</v>
      </c>
      <c r="C408" s="2177"/>
      <c r="D408" s="2178">
        <v>3</v>
      </c>
      <c r="E408" s="2179">
        <v>1</v>
      </c>
      <c r="F408" s="2180">
        <f>SUM(C408:E408)</f>
        <v>4</v>
      </c>
      <c r="G408" s="2176"/>
      <c r="H408" s="2181">
        <v>1</v>
      </c>
      <c r="I408" s="2176"/>
      <c r="J408" s="2182">
        <v>1</v>
      </c>
      <c r="K408" s="2176">
        <v>2</v>
      </c>
      <c r="L408" s="2183">
        <v>0.5</v>
      </c>
    </row>
    <row r="409" spans="1:13" x14ac:dyDescent="0.3">
      <c r="A409" s="5970"/>
      <c r="B409" s="2184" t="s">
        <v>279</v>
      </c>
      <c r="C409" s="2185">
        <f>SUM(C406:C408)</f>
        <v>4</v>
      </c>
      <c r="D409" s="2185">
        <f>SUM(D406:D408)</f>
        <v>16</v>
      </c>
      <c r="E409" s="2185">
        <f>SUM(E406:E408)</f>
        <v>4</v>
      </c>
      <c r="F409" s="2185">
        <f>SUM(F406:F408)</f>
        <v>24</v>
      </c>
      <c r="G409" s="2184"/>
      <c r="H409" s="2186">
        <v>10</v>
      </c>
      <c r="I409" s="2184">
        <v>6</v>
      </c>
      <c r="J409" s="2187">
        <v>1</v>
      </c>
      <c r="K409" s="2184">
        <v>17</v>
      </c>
      <c r="L409" s="2188">
        <v>0.70833333333333337</v>
      </c>
    </row>
    <row r="410" spans="1:13" x14ac:dyDescent="0.3">
      <c r="A410" s="2197"/>
      <c r="B410" s="2197"/>
      <c r="C410" s="2201"/>
      <c r="D410" s="2201"/>
      <c r="E410" s="2201"/>
      <c r="F410" s="2202"/>
      <c r="G410" s="2190"/>
      <c r="H410" s="2190"/>
      <c r="I410" s="2190"/>
      <c r="J410" s="2199"/>
      <c r="K410" s="2199"/>
      <c r="L410" s="2200"/>
    </row>
    <row r="411" spans="1:13" x14ac:dyDescent="0.3">
      <c r="A411" s="6018" t="s">
        <v>7</v>
      </c>
      <c r="B411" s="6018"/>
      <c r="C411" s="2185">
        <f>SUM(C399,C404,C409)</f>
        <v>11</v>
      </c>
      <c r="D411" s="2185">
        <f>SUM(D399,D404,D409)</f>
        <v>39</v>
      </c>
      <c r="E411" s="2185">
        <f>SUM(E399,E404,E409)</f>
        <v>23</v>
      </c>
      <c r="F411" s="2185">
        <f>SUM(F399,F404,F409)</f>
        <v>73</v>
      </c>
      <c r="G411" s="2184">
        <v>1</v>
      </c>
      <c r="H411" s="2184">
        <v>37</v>
      </c>
      <c r="I411" s="2184">
        <v>15</v>
      </c>
      <c r="J411" s="2184">
        <v>4</v>
      </c>
      <c r="K411" s="2184">
        <v>57</v>
      </c>
      <c r="L411" s="2203">
        <v>0.78082191780821919</v>
      </c>
    </row>
    <row r="414" spans="1:13" x14ac:dyDescent="0.3">
      <c r="A414" s="1873"/>
      <c r="B414" s="1873"/>
      <c r="C414" s="1873"/>
      <c r="D414" s="1873"/>
      <c r="E414" s="1873"/>
      <c r="F414" s="1873"/>
      <c r="G414" s="1873"/>
      <c r="H414" s="1873"/>
      <c r="I414" s="1873"/>
      <c r="J414" s="1873"/>
      <c r="K414" s="1873"/>
      <c r="L414" s="1873"/>
      <c r="M414" s="2204"/>
    </row>
    <row r="415" spans="1:13" x14ac:dyDescent="0.3">
      <c r="A415" s="5991" t="s">
        <v>27</v>
      </c>
      <c r="B415" s="5991" t="s">
        <v>10</v>
      </c>
      <c r="C415" s="5995" t="s">
        <v>591</v>
      </c>
      <c r="D415" s="5996"/>
      <c r="E415" s="5996"/>
      <c r="F415" s="5997"/>
      <c r="G415" s="5995" t="s">
        <v>592</v>
      </c>
      <c r="H415" s="5996"/>
      <c r="I415" s="5996"/>
      <c r="J415" s="5996"/>
      <c r="K415" s="5996"/>
      <c r="L415" s="5997"/>
      <c r="M415" s="1873"/>
    </row>
    <row r="416" spans="1:13" ht="57.6" x14ac:dyDescent="0.3">
      <c r="A416" s="5991"/>
      <c r="B416" s="5991"/>
      <c r="C416" s="2077" t="s">
        <v>569</v>
      </c>
      <c r="D416" s="2077" t="s">
        <v>310</v>
      </c>
      <c r="E416" s="2077" t="s">
        <v>317</v>
      </c>
      <c r="F416" s="2016" t="s">
        <v>279</v>
      </c>
      <c r="G416" s="2015" t="s">
        <v>542</v>
      </c>
      <c r="H416" s="2015" t="s">
        <v>523</v>
      </c>
      <c r="I416" s="2015" t="s">
        <v>524</v>
      </c>
      <c r="J416" s="2015" t="s">
        <v>525</v>
      </c>
      <c r="K416" s="2074" t="s">
        <v>279</v>
      </c>
      <c r="L416" s="2015" t="s">
        <v>272</v>
      </c>
      <c r="M416" s="2019" t="s">
        <v>558</v>
      </c>
    </row>
    <row r="417" spans="1:13" x14ac:dyDescent="0.3">
      <c r="A417" s="1871"/>
      <c r="B417" s="1871"/>
      <c r="C417" s="1873"/>
      <c r="D417" s="1873"/>
      <c r="E417" s="1873"/>
      <c r="F417" s="1871"/>
      <c r="G417" s="1871"/>
      <c r="H417" s="1873"/>
      <c r="I417" s="1873"/>
      <c r="J417" s="1873"/>
      <c r="K417" s="1871"/>
      <c r="L417" s="1871"/>
      <c r="M417" s="2020"/>
    </row>
    <row r="418" spans="1:13" x14ac:dyDescent="0.3">
      <c r="A418" s="5959" t="s">
        <v>286</v>
      </c>
      <c r="B418" s="2021" t="s">
        <v>59</v>
      </c>
      <c r="C418" s="2022"/>
      <c r="D418" s="2023">
        <v>4</v>
      </c>
      <c r="E418" s="2023">
        <v>2</v>
      </c>
      <c r="F418" s="2024">
        <f>SUM(C418:E418)</f>
        <v>6</v>
      </c>
      <c r="G418" s="2025"/>
      <c r="H418" s="2026">
        <v>3</v>
      </c>
      <c r="I418" s="2025">
        <v>1</v>
      </c>
      <c r="J418" s="2080"/>
      <c r="K418" s="2024">
        <f>SUM(G418:J418)</f>
        <v>4</v>
      </c>
      <c r="L418" s="2029">
        <f>K418/F418</f>
        <v>0.66666666666666663</v>
      </c>
      <c r="M418" s="2030">
        <f>1-L418</f>
        <v>0.33333333333333337</v>
      </c>
    </row>
    <row r="419" spans="1:13" x14ac:dyDescent="0.3">
      <c r="A419" s="5960"/>
      <c r="B419" s="2031" t="s">
        <v>64</v>
      </c>
      <c r="C419" s="2032">
        <v>3</v>
      </c>
      <c r="D419" s="2033">
        <v>4</v>
      </c>
      <c r="E419" s="2033">
        <v>2</v>
      </c>
      <c r="F419" s="2034">
        <f>SUM(C419:E419)</f>
        <v>9</v>
      </c>
      <c r="G419" s="2035"/>
      <c r="H419" s="2036">
        <v>3</v>
      </c>
      <c r="I419" s="2037">
        <v>1</v>
      </c>
      <c r="J419" s="1980">
        <v>4</v>
      </c>
      <c r="K419" s="2034">
        <f>SUM(G419:J419)</f>
        <v>8</v>
      </c>
      <c r="L419" s="2039">
        <f>K419/F419</f>
        <v>0.88888888888888884</v>
      </c>
      <c r="M419" s="2040">
        <f>1-L419</f>
        <v>0.11111111111111116</v>
      </c>
    </row>
    <row r="420" spans="1:13" x14ac:dyDescent="0.3">
      <c r="A420" s="5960"/>
      <c r="B420" s="2041" t="s">
        <v>68</v>
      </c>
      <c r="C420" s="2042">
        <v>1</v>
      </c>
      <c r="D420" s="2043">
        <v>3</v>
      </c>
      <c r="E420" s="2043">
        <v>1</v>
      </c>
      <c r="F420" s="2044">
        <f>SUM(C420:E420)</f>
        <v>5</v>
      </c>
      <c r="G420" s="2045"/>
      <c r="H420" s="2046">
        <v>1</v>
      </c>
      <c r="I420" s="2045">
        <v>3</v>
      </c>
      <c r="J420" s="2047"/>
      <c r="K420" s="2044">
        <f>SUM(G420:J420)</f>
        <v>4</v>
      </c>
      <c r="L420" s="2049">
        <f>K420/F420</f>
        <v>0.8</v>
      </c>
      <c r="M420" s="2050">
        <f>1-L420</f>
        <v>0.19999999999999996</v>
      </c>
    </row>
    <row r="421" spans="1:13" x14ac:dyDescent="0.3">
      <c r="A421" s="5961"/>
      <c r="B421" s="2051" t="s">
        <v>279</v>
      </c>
      <c r="C421" s="2051">
        <f t="shared" ref="C421:K421" si="73">SUM(C418:C420)</f>
        <v>4</v>
      </c>
      <c r="D421" s="2051">
        <f t="shared" si="73"/>
        <v>11</v>
      </c>
      <c r="E421" s="2051">
        <f t="shared" si="73"/>
        <v>5</v>
      </c>
      <c r="F421" s="2052">
        <f t="shared" si="73"/>
        <v>20</v>
      </c>
      <c r="G421" s="2052">
        <f t="shared" si="73"/>
        <v>0</v>
      </c>
      <c r="H421" s="2053">
        <f t="shared" si="73"/>
        <v>7</v>
      </c>
      <c r="I421" s="2052">
        <f t="shared" si="73"/>
        <v>5</v>
      </c>
      <c r="J421" s="2086">
        <f t="shared" si="73"/>
        <v>4</v>
      </c>
      <c r="K421" s="2052">
        <f t="shared" si="73"/>
        <v>16</v>
      </c>
      <c r="L421" s="2075">
        <f>K421/F421</f>
        <v>0.8</v>
      </c>
      <c r="M421" s="2055">
        <f>1-L421</f>
        <v>0.19999999999999996</v>
      </c>
    </row>
    <row r="422" spans="1:13" x14ac:dyDescent="0.3">
      <c r="A422" s="1873"/>
      <c r="B422" s="1873"/>
      <c r="C422" s="1873"/>
      <c r="D422" s="1873"/>
      <c r="E422" s="1873"/>
      <c r="F422" s="2057"/>
      <c r="G422" s="1873"/>
      <c r="H422" s="1873"/>
      <c r="I422" s="1873"/>
      <c r="J422" s="1873"/>
      <c r="K422" s="2058"/>
      <c r="L422" s="1873"/>
      <c r="M422" s="2205"/>
    </row>
    <row r="423" spans="1:13" x14ac:dyDescent="0.3">
      <c r="A423" s="5965" t="s">
        <v>288</v>
      </c>
      <c r="B423" s="2021" t="s">
        <v>59</v>
      </c>
      <c r="C423" s="2022"/>
      <c r="D423" s="2023">
        <v>7</v>
      </c>
      <c r="E423" s="2023">
        <v>5</v>
      </c>
      <c r="F423" s="2024">
        <f>SUM(C423:E423)</f>
        <v>12</v>
      </c>
      <c r="G423" s="2025"/>
      <c r="H423" s="2059">
        <v>10</v>
      </c>
      <c r="I423" s="2060">
        <v>1</v>
      </c>
      <c r="J423" s="2056">
        <v>1</v>
      </c>
      <c r="K423" s="2024">
        <f t="shared" ref="K423:K430" si="74">SUM(H423:J423)</f>
        <v>12</v>
      </c>
      <c r="L423" s="2029">
        <f>K423/F423</f>
        <v>1</v>
      </c>
      <c r="M423" s="2030">
        <f>1-L423</f>
        <v>0</v>
      </c>
    </row>
    <row r="424" spans="1:13" x14ac:dyDescent="0.3">
      <c r="A424" s="5966"/>
      <c r="B424" s="2031" t="s">
        <v>64</v>
      </c>
      <c r="C424" s="2032">
        <v>1</v>
      </c>
      <c r="D424" s="2033">
        <v>4</v>
      </c>
      <c r="E424" s="2033">
        <v>4</v>
      </c>
      <c r="F424" s="2034">
        <f>SUM(C424:E424)</f>
        <v>9</v>
      </c>
      <c r="G424" s="2035">
        <v>2</v>
      </c>
      <c r="H424" s="2036">
        <v>4</v>
      </c>
      <c r="I424" s="2035">
        <v>2</v>
      </c>
      <c r="J424" s="1980"/>
      <c r="K424" s="2034">
        <f>SUM(G424:J424)</f>
        <v>8</v>
      </c>
      <c r="L424" s="2039">
        <f>K424/F424</f>
        <v>0.88888888888888884</v>
      </c>
      <c r="M424" s="2040">
        <f>1-L424</f>
        <v>0.11111111111111116</v>
      </c>
    </row>
    <row r="425" spans="1:13" x14ac:dyDescent="0.3">
      <c r="A425" s="5966"/>
      <c r="B425" s="2041" t="s">
        <v>92</v>
      </c>
      <c r="C425" s="2042">
        <v>2</v>
      </c>
      <c r="D425" s="2043">
        <v>3</v>
      </c>
      <c r="E425" s="2043">
        <v>2</v>
      </c>
      <c r="F425" s="2044">
        <f>SUM(C425:E425)</f>
        <v>7</v>
      </c>
      <c r="G425" s="2045"/>
      <c r="H425" s="2046">
        <v>5</v>
      </c>
      <c r="I425" s="2045"/>
      <c r="J425" s="2047"/>
      <c r="K425" s="2044">
        <f>SUM(G425:J425)</f>
        <v>5</v>
      </c>
      <c r="L425" s="2049">
        <f>K425/F425</f>
        <v>0.7142857142857143</v>
      </c>
      <c r="M425" s="2050">
        <f>1-L425</f>
        <v>0.2857142857142857</v>
      </c>
    </row>
    <row r="426" spans="1:13" x14ac:dyDescent="0.3">
      <c r="A426" s="5967"/>
      <c r="B426" s="2051" t="s">
        <v>279</v>
      </c>
      <c r="C426" s="2051">
        <f t="shared" ref="C426:K426" si="75">SUM(C423:C425)</f>
        <v>3</v>
      </c>
      <c r="D426" s="2051">
        <f t="shared" si="75"/>
        <v>14</v>
      </c>
      <c r="E426" s="2051">
        <f t="shared" si="75"/>
        <v>11</v>
      </c>
      <c r="F426" s="2052">
        <f t="shared" si="75"/>
        <v>28</v>
      </c>
      <c r="G426" s="2053">
        <f t="shared" si="75"/>
        <v>2</v>
      </c>
      <c r="H426" s="2053">
        <f t="shared" si="75"/>
        <v>19</v>
      </c>
      <c r="I426" s="2053">
        <f t="shared" si="75"/>
        <v>3</v>
      </c>
      <c r="J426" s="2053">
        <f t="shared" si="75"/>
        <v>1</v>
      </c>
      <c r="K426" s="2053">
        <f t="shared" si="75"/>
        <v>25</v>
      </c>
      <c r="L426" s="2075">
        <f>K426/F426</f>
        <v>0.8928571428571429</v>
      </c>
      <c r="M426" s="2055">
        <f>1-L426</f>
        <v>0.1071428571428571</v>
      </c>
    </row>
    <row r="427" spans="1:13" x14ac:dyDescent="0.3">
      <c r="A427" s="2061"/>
      <c r="B427" s="1953"/>
      <c r="C427" s="1956"/>
      <c r="D427" s="1956"/>
      <c r="E427" s="1956"/>
      <c r="F427" s="2062"/>
      <c r="G427" s="2063"/>
      <c r="H427" s="2063"/>
      <c r="I427" s="2063"/>
      <c r="J427" s="2064"/>
      <c r="K427" s="2065"/>
      <c r="L427" s="2066"/>
      <c r="M427" s="2067"/>
    </row>
    <row r="428" spans="1:13" x14ac:dyDescent="0.3">
      <c r="A428" s="5968" t="s">
        <v>290</v>
      </c>
      <c r="B428" s="2021" t="s">
        <v>64</v>
      </c>
      <c r="C428" s="2022">
        <v>2</v>
      </c>
      <c r="D428" s="2023">
        <v>7</v>
      </c>
      <c r="E428" s="2023">
        <v>2</v>
      </c>
      <c r="F428" s="2024">
        <f>SUM(C428:E428)</f>
        <v>11</v>
      </c>
      <c r="G428" s="2025"/>
      <c r="H428" s="2026">
        <v>5</v>
      </c>
      <c r="I428" s="2025">
        <v>2</v>
      </c>
      <c r="J428" s="2056"/>
      <c r="K428" s="2024">
        <f t="shared" si="74"/>
        <v>7</v>
      </c>
      <c r="L428" s="2029">
        <f>K428/F428</f>
        <v>0.63636363636363635</v>
      </c>
      <c r="M428" s="2030">
        <f>1-L428</f>
        <v>0.36363636363636365</v>
      </c>
    </row>
    <row r="429" spans="1:13" x14ac:dyDescent="0.3">
      <c r="A429" s="5969"/>
      <c r="B429" s="2031" t="s">
        <v>92</v>
      </c>
      <c r="C429" s="2032">
        <v>3</v>
      </c>
      <c r="D429" s="2033">
        <v>6</v>
      </c>
      <c r="E429" s="2033">
        <v>1</v>
      </c>
      <c r="F429" s="2034">
        <f>SUM(C429:E429)</f>
        <v>10</v>
      </c>
      <c r="G429" s="2035"/>
      <c r="H429" s="2036">
        <v>5</v>
      </c>
      <c r="I429" s="2035">
        <v>2</v>
      </c>
      <c r="J429" s="1980"/>
      <c r="K429" s="2034">
        <f t="shared" si="74"/>
        <v>7</v>
      </c>
      <c r="L429" s="2039">
        <f>K429/F429</f>
        <v>0.7</v>
      </c>
      <c r="M429" s="2040">
        <f>1-L429</f>
        <v>0.30000000000000004</v>
      </c>
    </row>
    <row r="430" spans="1:13" x14ac:dyDescent="0.3">
      <c r="A430" s="5969"/>
      <c r="B430" s="2041" t="s">
        <v>68</v>
      </c>
      <c r="C430" s="2042"/>
      <c r="D430" s="2043">
        <v>3</v>
      </c>
      <c r="E430" s="2043">
        <v>1</v>
      </c>
      <c r="F430" s="2044">
        <f>SUM(C430:E430)</f>
        <v>4</v>
      </c>
      <c r="G430" s="2045"/>
      <c r="H430" s="2046">
        <v>1</v>
      </c>
      <c r="I430" s="2045"/>
      <c r="J430" s="2047">
        <v>1</v>
      </c>
      <c r="K430" s="2044">
        <f t="shared" si="74"/>
        <v>2</v>
      </c>
      <c r="L430" s="2049">
        <f>K430/F430</f>
        <v>0.5</v>
      </c>
      <c r="M430" s="2050">
        <f>1-L430</f>
        <v>0.5</v>
      </c>
    </row>
    <row r="431" spans="1:13" x14ac:dyDescent="0.3">
      <c r="A431" s="5970"/>
      <c r="B431" s="2051" t="s">
        <v>279</v>
      </c>
      <c r="C431" s="2051">
        <f t="shared" ref="C431:K431" si="76">SUM(C428:C430)</f>
        <v>5</v>
      </c>
      <c r="D431" s="2051">
        <f t="shared" si="76"/>
        <v>16</v>
      </c>
      <c r="E431" s="2051">
        <f t="shared" si="76"/>
        <v>4</v>
      </c>
      <c r="F431" s="2052">
        <f t="shared" si="76"/>
        <v>25</v>
      </c>
      <c r="G431" s="2053">
        <f t="shared" si="76"/>
        <v>0</v>
      </c>
      <c r="H431" s="2053">
        <f t="shared" si="76"/>
        <v>11</v>
      </c>
      <c r="I431" s="2053">
        <f t="shared" si="76"/>
        <v>4</v>
      </c>
      <c r="J431" s="2053">
        <f t="shared" si="76"/>
        <v>1</v>
      </c>
      <c r="K431" s="2053">
        <f t="shared" si="76"/>
        <v>16</v>
      </c>
      <c r="L431" s="2075">
        <f>K431/F431</f>
        <v>0.64</v>
      </c>
      <c r="M431" s="2055">
        <f>1-L431</f>
        <v>0.36</v>
      </c>
    </row>
    <row r="432" spans="1:13" x14ac:dyDescent="0.3">
      <c r="A432" s="1999"/>
      <c r="B432" s="1999"/>
      <c r="C432" s="1999"/>
      <c r="D432" s="1999"/>
      <c r="E432" s="1999"/>
      <c r="F432" s="1999"/>
      <c r="G432" s="1999"/>
      <c r="H432" s="1999"/>
      <c r="I432" s="1999"/>
      <c r="J432" s="1999"/>
      <c r="K432" s="1999"/>
      <c r="L432" s="1999"/>
      <c r="M432" s="2206"/>
    </row>
    <row r="433" spans="1:13" x14ac:dyDescent="0.3">
      <c r="A433" s="5971" t="s">
        <v>573</v>
      </c>
      <c r="B433" s="2021" t="s">
        <v>64</v>
      </c>
      <c r="C433" s="2022"/>
      <c r="D433" s="2023">
        <v>1</v>
      </c>
      <c r="E433" s="2023">
        <v>1</v>
      </c>
      <c r="F433" s="2024">
        <f>SUM(C433:E433)</f>
        <v>2</v>
      </c>
      <c r="G433" s="2025"/>
      <c r="H433" s="2026">
        <v>2</v>
      </c>
      <c r="I433" s="2025"/>
      <c r="J433" s="2056"/>
      <c r="K433" s="2024">
        <f>SUM(G433:J433)</f>
        <v>2</v>
      </c>
      <c r="L433" s="2029">
        <f>K433/F433</f>
        <v>1</v>
      </c>
      <c r="M433" s="2030">
        <f>1-L433</f>
        <v>0</v>
      </c>
    </row>
    <row r="434" spans="1:13" x14ac:dyDescent="0.3">
      <c r="A434" s="5972"/>
      <c r="B434" s="2031" t="s">
        <v>561</v>
      </c>
      <c r="C434" s="2032"/>
      <c r="D434" s="2033"/>
      <c r="E434" s="2033">
        <v>1</v>
      </c>
      <c r="F434" s="2034">
        <f>SUM(C434:E434)</f>
        <v>1</v>
      </c>
      <c r="G434" s="2035"/>
      <c r="H434" s="2036">
        <v>1</v>
      </c>
      <c r="I434" s="2035"/>
      <c r="J434" s="1980"/>
      <c r="K434" s="2034">
        <f>SUM(G434:J434)</f>
        <v>1</v>
      </c>
      <c r="L434" s="2039">
        <f>K434/F434</f>
        <v>1</v>
      </c>
      <c r="M434" s="2050">
        <f>1-L434</f>
        <v>0</v>
      </c>
    </row>
    <row r="435" spans="1:13" x14ac:dyDescent="0.3">
      <c r="A435" s="5973"/>
      <c r="B435" s="2051" t="s">
        <v>279</v>
      </c>
      <c r="C435" s="2051">
        <f t="shared" ref="C435:K435" si="77">SUM(C433:C434)</f>
        <v>0</v>
      </c>
      <c r="D435" s="2051">
        <f t="shared" si="77"/>
        <v>1</v>
      </c>
      <c r="E435" s="2051">
        <f t="shared" si="77"/>
        <v>2</v>
      </c>
      <c r="F435" s="2052">
        <f t="shared" si="77"/>
        <v>3</v>
      </c>
      <c r="G435" s="2053">
        <f t="shared" si="77"/>
        <v>0</v>
      </c>
      <c r="H435" s="2053">
        <f t="shared" si="77"/>
        <v>3</v>
      </c>
      <c r="I435" s="2053">
        <f t="shared" si="77"/>
        <v>0</v>
      </c>
      <c r="J435" s="2053">
        <f t="shared" si="77"/>
        <v>0</v>
      </c>
      <c r="K435" s="2053">
        <f t="shared" si="77"/>
        <v>3</v>
      </c>
      <c r="L435" s="2075">
        <f>K435/F435</f>
        <v>1</v>
      </c>
      <c r="M435" s="2055">
        <f>1-L435</f>
        <v>0</v>
      </c>
    </row>
    <row r="436" spans="1:13" x14ac:dyDescent="0.3">
      <c r="A436" s="1953"/>
      <c r="B436" s="1953"/>
      <c r="C436" s="1956"/>
      <c r="D436" s="1956"/>
      <c r="E436" s="1956"/>
      <c r="F436" s="2062"/>
      <c r="G436" s="2063"/>
      <c r="H436" s="2063"/>
      <c r="I436" s="2063"/>
      <c r="J436" s="2064"/>
      <c r="K436" s="2065"/>
      <c r="L436" s="2066"/>
      <c r="M436" s="2067"/>
    </row>
    <row r="437" spans="1:13" x14ac:dyDescent="0.3">
      <c r="A437" s="5974" t="s">
        <v>7</v>
      </c>
      <c r="B437" s="5974"/>
      <c r="C437" s="2051">
        <f t="shared" ref="C437:K437" si="78">SUM(C421,C426,C431,C435)</f>
        <v>12</v>
      </c>
      <c r="D437" s="2051">
        <f t="shared" si="78"/>
        <v>42</v>
      </c>
      <c r="E437" s="2051">
        <f t="shared" si="78"/>
        <v>22</v>
      </c>
      <c r="F437" s="2051">
        <f t="shared" si="78"/>
        <v>76</v>
      </c>
      <c r="G437" s="2052">
        <f t="shared" si="78"/>
        <v>2</v>
      </c>
      <c r="H437" s="2052">
        <f t="shared" si="78"/>
        <v>40</v>
      </c>
      <c r="I437" s="2052">
        <f t="shared" si="78"/>
        <v>12</v>
      </c>
      <c r="J437" s="2052">
        <f t="shared" si="78"/>
        <v>6</v>
      </c>
      <c r="K437" s="2052">
        <f t="shared" si="78"/>
        <v>60</v>
      </c>
      <c r="L437" s="2076">
        <f>K437/F437</f>
        <v>0.78947368421052633</v>
      </c>
      <c r="M437" s="2055">
        <f>1-L437</f>
        <v>0.21052631578947367</v>
      </c>
    </row>
    <row r="438" spans="1:13" x14ac:dyDescent="0.3">
      <c r="A438" s="1873"/>
      <c r="B438" s="1873"/>
      <c r="C438" s="1873"/>
      <c r="D438" s="1873"/>
      <c r="E438" s="1873"/>
      <c r="F438" s="1873"/>
      <c r="G438" s="1873"/>
      <c r="H438" s="1873"/>
      <c r="I438" s="1873"/>
      <c r="J438" s="1873"/>
      <c r="K438" s="1873"/>
      <c r="L438" s="1873"/>
      <c r="M438" s="1960"/>
    </row>
    <row r="439" spans="1:13" ht="15" thickBot="1" x14ac:dyDescent="0.35">
      <c r="A439" s="5985" t="s">
        <v>574</v>
      </c>
      <c r="B439" s="5986"/>
      <c r="C439" s="2069">
        <v>4</v>
      </c>
      <c r="D439" s="2070">
        <v>35</v>
      </c>
      <c r="E439" s="2070">
        <v>21</v>
      </c>
      <c r="F439" s="2071">
        <f>SUM(C439:E439)</f>
        <v>60</v>
      </c>
      <c r="G439" s="1873"/>
      <c r="H439" s="1873"/>
      <c r="I439" s="5987" t="s">
        <v>575</v>
      </c>
      <c r="J439" s="5987"/>
      <c r="K439" s="2072">
        <f>F437-K437</f>
        <v>16</v>
      </c>
      <c r="L439" s="1873"/>
      <c r="M439" s="1960"/>
    </row>
    <row r="440" spans="1:13" x14ac:dyDescent="0.3">
      <c r="M440" s="2101"/>
    </row>
    <row r="441" spans="1:13" x14ac:dyDescent="0.3">
      <c r="A441" s="1871" t="s">
        <v>593</v>
      </c>
    </row>
  </sheetData>
  <mergeCells count="122">
    <mergeCell ref="A437:B437"/>
    <mergeCell ref="A439:B439"/>
    <mergeCell ref="I439:J439"/>
    <mergeCell ref="C415:F415"/>
    <mergeCell ref="G415:L415"/>
    <mergeCell ref="A418:A421"/>
    <mergeCell ref="A423:A426"/>
    <mergeCell ref="A428:A431"/>
    <mergeCell ref="A433:A435"/>
    <mergeCell ref="A396:A399"/>
    <mergeCell ref="A401:A404"/>
    <mergeCell ref="A406:A409"/>
    <mergeCell ref="A411:B411"/>
    <mergeCell ref="A415:A416"/>
    <mergeCell ref="B415:B416"/>
    <mergeCell ref="A373:A376"/>
    <mergeCell ref="A378:A381"/>
    <mergeCell ref="A383:A386"/>
    <mergeCell ref="A388:B388"/>
    <mergeCell ref="J390:K390"/>
    <mergeCell ref="A393:A394"/>
    <mergeCell ref="B393:B394"/>
    <mergeCell ref="C393:F393"/>
    <mergeCell ref="G393:L393"/>
    <mergeCell ref="I361:J361"/>
    <mergeCell ref="A365:A366"/>
    <mergeCell ref="B365:B366"/>
    <mergeCell ref="C365:F365"/>
    <mergeCell ref="G365:L365"/>
    <mergeCell ref="A368:A371"/>
    <mergeCell ref="A335:A338"/>
    <mergeCell ref="A340:A343"/>
    <mergeCell ref="A345:A348"/>
    <mergeCell ref="A350:A353"/>
    <mergeCell ref="A355:A357"/>
    <mergeCell ref="A359:B359"/>
    <mergeCell ref="A328:B328"/>
    <mergeCell ref="I328:J328"/>
    <mergeCell ref="A332:A333"/>
    <mergeCell ref="B332:B333"/>
    <mergeCell ref="C332:F332"/>
    <mergeCell ref="G332:L332"/>
    <mergeCell ref="A302:A305"/>
    <mergeCell ref="A307:A310"/>
    <mergeCell ref="A312:A315"/>
    <mergeCell ref="A317:A320"/>
    <mergeCell ref="A322:A324"/>
    <mergeCell ref="A326:B326"/>
    <mergeCell ref="A295:B295"/>
    <mergeCell ref="I295:J295"/>
    <mergeCell ref="A299:A300"/>
    <mergeCell ref="B299:B300"/>
    <mergeCell ref="C299:F299"/>
    <mergeCell ref="G299:L299"/>
    <mergeCell ref="A269:A272"/>
    <mergeCell ref="A274:A277"/>
    <mergeCell ref="A279:A282"/>
    <mergeCell ref="A284:A287"/>
    <mergeCell ref="A289:A291"/>
    <mergeCell ref="A293:B293"/>
    <mergeCell ref="A263:B263"/>
    <mergeCell ref="I263:J263"/>
    <mergeCell ref="A266:A267"/>
    <mergeCell ref="B266:B267"/>
    <mergeCell ref="C266:F266"/>
    <mergeCell ref="G266:L266"/>
    <mergeCell ref="A237:A240"/>
    <mergeCell ref="A242:A245"/>
    <mergeCell ref="A247:A250"/>
    <mergeCell ref="A252:A255"/>
    <mergeCell ref="A257:A259"/>
    <mergeCell ref="A261:B261"/>
    <mergeCell ref="A230:B230"/>
    <mergeCell ref="I230:J230"/>
    <mergeCell ref="A234:A235"/>
    <mergeCell ref="B234:B235"/>
    <mergeCell ref="C234:E234"/>
    <mergeCell ref="G234:L234"/>
    <mergeCell ref="A204:A207"/>
    <mergeCell ref="A209:A212"/>
    <mergeCell ref="A214:A217"/>
    <mergeCell ref="A219:A222"/>
    <mergeCell ref="A224:A226"/>
    <mergeCell ref="A228:B228"/>
    <mergeCell ref="A198:B198"/>
    <mergeCell ref="I198:J198"/>
    <mergeCell ref="A201:A202"/>
    <mergeCell ref="B201:B202"/>
    <mergeCell ref="C201:F201"/>
    <mergeCell ref="G201:L201"/>
    <mergeCell ref="A177:A180"/>
    <mergeCell ref="A182:A185"/>
    <mergeCell ref="A187:A190"/>
    <mergeCell ref="A192:A194"/>
    <mergeCell ref="A196:B196"/>
    <mergeCell ref="C136:E136"/>
    <mergeCell ref="G136:J136"/>
    <mergeCell ref="M136:N136"/>
    <mergeCell ref="A169:A170"/>
    <mergeCell ref="B169:B170"/>
    <mergeCell ref="C169:E169"/>
    <mergeCell ref="G169:L169"/>
    <mergeCell ref="B70:B71"/>
    <mergeCell ref="C70:F70"/>
    <mergeCell ref="G70:K70"/>
    <mergeCell ref="L70:P70"/>
    <mergeCell ref="Q70:R70"/>
    <mergeCell ref="C103:E103"/>
    <mergeCell ref="G103:J103"/>
    <mergeCell ref="M103:N103"/>
    <mergeCell ref="A172:A175"/>
    <mergeCell ref="B4:B5"/>
    <mergeCell ref="C4:F4"/>
    <mergeCell ref="G4:K4"/>
    <mergeCell ref="L4:P4"/>
    <mergeCell ref="Q4:R4"/>
    <mergeCell ref="B32:B33"/>
    <mergeCell ref="B37:B38"/>
    <mergeCell ref="C37:F37"/>
    <mergeCell ref="G37:K37"/>
    <mergeCell ref="L37:P37"/>
    <mergeCell ref="Q37:R37"/>
  </mergeCells>
  <printOptions horizontalCentered="1" verticalCentered="1"/>
  <pageMargins left="0.70866141732283472" right="0.70866141732283472" top="0.35433070866141736" bottom="0.35433070866141736" header="0.31496062992125984" footer="0.31496062992125984"/>
  <pageSetup scale="52" firstPageNumber="86" orientation="landscape" useFirstPageNumber="1" r:id="rId1"/>
  <headerFooter scaleWithDoc="0" alignWithMargins="0">
    <oddFooter>&amp;R&amp;P</oddFooter>
  </headerFooter>
  <rowBreaks count="7" manualBreakCount="7">
    <brk id="67" max="17" man="1"/>
    <brk id="134" max="17" man="1"/>
    <brk id="166" max="17" man="1"/>
    <brk id="199" max="16383" man="1"/>
    <brk id="263" max="13" man="1"/>
    <brk id="330" max="16383" man="1"/>
    <brk id="391" max="16383" man="1"/>
  </rowBreaks>
  <ignoredErrors>
    <ignoredError sqref="K81:K96 K43:K59 K63" 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1:BI75"/>
  <sheetViews>
    <sheetView showGridLines="0" zoomScaleNormal="100" zoomScaleSheetLayoutView="65" workbookViewId="0">
      <pane xSplit="1" ySplit="5" topLeftCell="AJ6" activePane="bottomRight" state="frozen"/>
      <selection activeCell="Q31" sqref="Q31"/>
      <selection pane="topRight" activeCell="Q31" sqref="Q31"/>
      <selection pane="bottomLeft" activeCell="Q31" sqref="Q31"/>
      <selection pane="bottomRight" activeCell="Q31" sqref="Q31"/>
    </sheetView>
  </sheetViews>
  <sheetFormatPr baseColWidth="10" defaultColWidth="11.44140625" defaultRowHeight="13.2" x14ac:dyDescent="0.25"/>
  <cols>
    <col min="1" max="1" width="20" style="25" customWidth="1"/>
    <col min="2" max="40" width="9.88671875" style="25" customWidth="1"/>
    <col min="41" max="52" width="8.88671875" style="25" customWidth="1"/>
    <col min="53" max="55" width="8.5546875" style="25" customWidth="1"/>
    <col min="56" max="79" width="9.88671875" style="25" customWidth="1"/>
    <col min="80" max="254" width="11.44140625" style="25"/>
    <col min="255" max="255" width="0.109375" style="25" customWidth="1"/>
    <col min="256" max="256" width="15.88671875" style="25" customWidth="1"/>
    <col min="257" max="257" width="9.109375" style="25" bestFit="1" customWidth="1"/>
    <col min="258" max="259" width="8.44140625" style="25" bestFit="1" customWidth="1"/>
    <col min="260" max="260" width="10.88671875" style="25" customWidth="1"/>
    <col min="261" max="262" width="8.44140625" style="25" bestFit="1" customWidth="1"/>
    <col min="263" max="263" width="10.88671875" style="25" customWidth="1"/>
    <col min="264" max="265" width="8.44140625" style="25" bestFit="1" customWidth="1"/>
    <col min="266" max="266" width="10.88671875" style="25" customWidth="1"/>
    <col min="267" max="268" width="8.44140625" style="25" bestFit="1" customWidth="1"/>
    <col min="269" max="269" width="10.88671875" style="25" customWidth="1"/>
    <col min="270" max="271" width="8.44140625" style="25" bestFit="1" customWidth="1"/>
    <col min="272" max="272" width="10.88671875" style="25" customWidth="1"/>
    <col min="273" max="274" width="8.44140625" style="25" bestFit="1" customWidth="1"/>
    <col min="275" max="275" width="10.88671875" style="25" customWidth="1"/>
    <col min="276" max="277" width="8.44140625" style="25" bestFit="1" customWidth="1"/>
    <col min="278" max="278" width="10.88671875" style="25" customWidth="1"/>
    <col min="279" max="279" width="8.44140625" style="25" bestFit="1" customWidth="1"/>
    <col min="280" max="280" width="5.44140625" style="25" bestFit="1" customWidth="1"/>
    <col min="281" max="281" width="10.88671875" style="25" customWidth="1"/>
    <col min="282" max="510" width="11.44140625" style="25"/>
    <col min="511" max="511" width="0.109375" style="25" customWidth="1"/>
    <col min="512" max="512" width="15.88671875" style="25" customWidth="1"/>
    <col min="513" max="513" width="9.109375" style="25" bestFit="1" customWidth="1"/>
    <col min="514" max="515" width="8.44140625" style="25" bestFit="1" customWidth="1"/>
    <col min="516" max="516" width="10.88671875" style="25" customWidth="1"/>
    <col min="517" max="518" width="8.44140625" style="25" bestFit="1" customWidth="1"/>
    <col min="519" max="519" width="10.88671875" style="25" customWidth="1"/>
    <col min="520" max="521" width="8.44140625" style="25" bestFit="1" customWidth="1"/>
    <col min="522" max="522" width="10.88671875" style="25" customWidth="1"/>
    <col min="523" max="524" width="8.44140625" style="25" bestFit="1" customWidth="1"/>
    <col min="525" max="525" width="10.88671875" style="25" customWidth="1"/>
    <col min="526" max="527" width="8.44140625" style="25" bestFit="1" customWidth="1"/>
    <col min="528" max="528" width="10.88671875" style="25" customWidth="1"/>
    <col min="529" max="530" width="8.44140625" style="25" bestFit="1" customWidth="1"/>
    <col min="531" max="531" width="10.88671875" style="25" customWidth="1"/>
    <col min="532" max="533" width="8.44140625" style="25" bestFit="1" customWidth="1"/>
    <col min="534" max="534" width="10.88671875" style="25" customWidth="1"/>
    <col min="535" max="535" width="8.44140625" style="25" bestFit="1" customWidth="1"/>
    <col min="536" max="536" width="5.44140625" style="25" bestFit="1" customWidth="1"/>
    <col min="537" max="537" width="10.88671875" style="25" customWidth="1"/>
    <col min="538" max="766" width="11.44140625" style="25"/>
    <col min="767" max="767" width="0.109375" style="25" customWidth="1"/>
    <col min="768" max="768" width="15.88671875" style="25" customWidth="1"/>
    <col min="769" max="769" width="9.109375" style="25" bestFit="1" customWidth="1"/>
    <col min="770" max="771" width="8.44140625" style="25" bestFit="1" customWidth="1"/>
    <col min="772" max="772" width="10.88671875" style="25" customWidth="1"/>
    <col min="773" max="774" width="8.44140625" style="25" bestFit="1" customWidth="1"/>
    <col min="775" max="775" width="10.88671875" style="25" customWidth="1"/>
    <col min="776" max="777" width="8.44140625" style="25" bestFit="1" customWidth="1"/>
    <col min="778" max="778" width="10.88671875" style="25" customWidth="1"/>
    <col min="779" max="780" width="8.44140625" style="25" bestFit="1" customWidth="1"/>
    <col min="781" max="781" width="10.88671875" style="25" customWidth="1"/>
    <col min="782" max="783" width="8.44140625" style="25" bestFit="1" customWidth="1"/>
    <col min="784" max="784" width="10.88671875" style="25" customWidth="1"/>
    <col min="785" max="786" width="8.44140625" style="25" bestFit="1" customWidth="1"/>
    <col min="787" max="787" width="10.88671875" style="25" customWidth="1"/>
    <col min="788" max="789" width="8.44140625" style="25" bestFit="1" customWidth="1"/>
    <col min="790" max="790" width="10.88671875" style="25" customWidth="1"/>
    <col min="791" max="791" width="8.44140625" style="25" bestFit="1" customWidth="1"/>
    <col min="792" max="792" width="5.44140625" style="25" bestFit="1" customWidth="1"/>
    <col min="793" max="793" width="10.88671875" style="25" customWidth="1"/>
    <col min="794" max="1022" width="11.44140625" style="25"/>
    <col min="1023" max="1023" width="0.109375" style="25" customWidth="1"/>
    <col min="1024" max="1024" width="15.88671875" style="25" customWidth="1"/>
    <col min="1025" max="1025" width="9.109375" style="25" bestFit="1" customWidth="1"/>
    <col min="1026" max="1027" width="8.44140625" style="25" bestFit="1" customWidth="1"/>
    <col min="1028" max="1028" width="10.88671875" style="25" customWidth="1"/>
    <col min="1029" max="1030" width="8.44140625" style="25" bestFit="1" customWidth="1"/>
    <col min="1031" max="1031" width="10.88671875" style="25" customWidth="1"/>
    <col min="1032" max="1033" width="8.44140625" style="25" bestFit="1" customWidth="1"/>
    <col min="1034" max="1034" width="10.88671875" style="25" customWidth="1"/>
    <col min="1035" max="1036" width="8.44140625" style="25" bestFit="1" customWidth="1"/>
    <col min="1037" max="1037" width="10.88671875" style="25" customWidth="1"/>
    <col min="1038" max="1039" width="8.44140625" style="25" bestFit="1" customWidth="1"/>
    <col min="1040" max="1040" width="10.88671875" style="25" customWidth="1"/>
    <col min="1041" max="1042" width="8.44140625" style="25" bestFit="1" customWidth="1"/>
    <col min="1043" max="1043" width="10.88671875" style="25" customWidth="1"/>
    <col min="1044" max="1045" width="8.44140625" style="25" bestFit="1" customWidth="1"/>
    <col min="1046" max="1046" width="10.88671875" style="25" customWidth="1"/>
    <col min="1047" max="1047" width="8.44140625" style="25" bestFit="1" customWidth="1"/>
    <col min="1048" max="1048" width="5.44140625" style="25" bestFit="1" customWidth="1"/>
    <col min="1049" max="1049" width="10.88671875" style="25" customWidth="1"/>
    <col min="1050" max="1278" width="11.44140625" style="25"/>
    <col min="1279" max="1279" width="0.109375" style="25" customWidth="1"/>
    <col min="1280" max="1280" width="15.88671875" style="25" customWidth="1"/>
    <col min="1281" max="1281" width="9.109375" style="25" bestFit="1" customWidth="1"/>
    <col min="1282" max="1283" width="8.44140625" style="25" bestFit="1" customWidth="1"/>
    <col min="1284" max="1284" width="10.88671875" style="25" customWidth="1"/>
    <col min="1285" max="1286" width="8.44140625" style="25" bestFit="1" customWidth="1"/>
    <col min="1287" max="1287" width="10.88671875" style="25" customWidth="1"/>
    <col min="1288" max="1289" width="8.44140625" style="25" bestFit="1" customWidth="1"/>
    <col min="1290" max="1290" width="10.88671875" style="25" customWidth="1"/>
    <col min="1291" max="1292" width="8.44140625" style="25" bestFit="1" customWidth="1"/>
    <col min="1293" max="1293" width="10.88671875" style="25" customWidth="1"/>
    <col min="1294" max="1295" width="8.44140625" style="25" bestFit="1" customWidth="1"/>
    <col min="1296" max="1296" width="10.88671875" style="25" customWidth="1"/>
    <col min="1297" max="1298" width="8.44140625" style="25" bestFit="1" customWidth="1"/>
    <col min="1299" max="1299" width="10.88671875" style="25" customWidth="1"/>
    <col min="1300" max="1301" width="8.44140625" style="25" bestFit="1" customWidth="1"/>
    <col min="1302" max="1302" width="10.88671875" style="25" customWidth="1"/>
    <col min="1303" max="1303" width="8.44140625" style="25" bestFit="1" customWidth="1"/>
    <col min="1304" max="1304" width="5.44140625" style="25" bestFit="1" customWidth="1"/>
    <col min="1305" max="1305" width="10.88671875" style="25" customWidth="1"/>
    <col min="1306" max="1534" width="11.44140625" style="25"/>
    <col min="1535" max="1535" width="0.109375" style="25" customWidth="1"/>
    <col min="1536" max="1536" width="15.88671875" style="25" customWidth="1"/>
    <col min="1537" max="1537" width="9.109375" style="25" bestFit="1" customWidth="1"/>
    <col min="1538" max="1539" width="8.44140625" style="25" bestFit="1" customWidth="1"/>
    <col min="1540" max="1540" width="10.88671875" style="25" customWidth="1"/>
    <col min="1541" max="1542" width="8.44140625" style="25" bestFit="1" customWidth="1"/>
    <col min="1543" max="1543" width="10.88671875" style="25" customWidth="1"/>
    <col min="1544" max="1545" width="8.44140625" style="25" bestFit="1" customWidth="1"/>
    <col min="1546" max="1546" width="10.88671875" style="25" customWidth="1"/>
    <col min="1547" max="1548" width="8.44140625" style="25" bestFit="1" customWidth="1"/>
    <col min="1549" max="1549" width="10.88671875" style="25" customWidth="1"/>
    <col min="1550" max="1551" width="8.44140625" style="25" bestFit="1" customWidth="1"/>
    <col min="1552" max="1552" width="10.88671875" style="25" customWidth="1"/>
    <col min="1553" max="1554" width="8.44140625" style="25" bestFit="1" customWidth="1"/>
    <col min="1555" max="1555" width="10.88671875" style="25" customWidth="1"/>
    <col min="1556" max="1557" width="8.44140625" style="25" bestFit="1" customWidth="1"/>
    <col min="1558" max="1558" width="10.88671875" style="25" customWidth="1"/>
    <col min="1559" max="1559" width="8.44140625" style="25" bestFit="1" customWidth="1"/>
    <col min="1560" max="1560" width="5.44140625" style="25" bestFit="1" customWidth="1"/>
    <col min="1561" max="1561" width="10.88671875" style="25" customWidth="1"/>
    <col min="1562" max="1790" width="11.44140625" style="25"/>
    <col min="1791" max="1791" width="0.109375" style="25" customWidth="1"/>
    <col min="1792" max="1792" width="15.88671875" style="25" customWidth="1"/>
    <col min="1793" max="1793" width="9.109375" style="25" bestFit="1" customWidth="1"/>
    <col min="1794" max="1795" width="8.44140625" style="25" bestFit="1" customWidth="1"/>
    <col min="1796" max="1796" width="10.88671875" style="25" customWidth="1"/>
    <col min="1797" max="1798" width="8.44140625" style="25" bestFit="1" customWidth="1"/>
    <col min="1799" max="1799" width="10.88671875" style="25" customWidth="1"/>
    <col min="1800" max="1801" width="8.44140625" style="25" bestFit="1" customWidth="1"/>
    <col min="1802" max="1802" width="10.88671875" style="25" customWidth="1"/>
    <col min="1803" max="1804" width="8.44140625" style="25" bestFit="1" customWidth="1"/>
    <col min="1805" max="1805" width="10.88671875" style="25" customWidth="1"/>
    <col min="1806" max="1807" width="8.44140625" style="25" bestFit="1" customWidth="1"/>
    <col min="1808" max="1808" width="10.88671875" style="25" customWidth="1"/>
    <col min="1809" max="1810" width="8.44140625" style="25" bestFit="1" customWidth="1"/>
    <col min="1811" max="1811" width="10.88671875" style="25" customWidth="1"/>
    <col min="1812" max="1813" width="8.44140625" style="25" bestFit="1" customWidth="1"/>
    <col min="1814" max="1814" width="10.88671875" style="25" customWidth="1"/>
    <col min="1815" max="1815" width="8.44140625" style="25" bestFit="1" customWidth="1"/>
    <col min="1816" max="1816" width="5.44140625" style="25" bestFit="1" customWidth="1"/>
    <col min="1817" max="1817" width="10.88671875" style="25" customWidth="1"/>
    <col min="1818" max="2046" width="11.44140625" style="25"/>
    <col min="2047" max="2047" width="0.109375" style="25" customWidth="1"/>
    <col min="2048" max="2048" width="15.88671875" style="25" customWidth="1"/>
    <col min="2049" max="2049" width="9.109375" style="25" bestFit="1" customWidth="1"/>
    <col min="2050" max="2051" width="8.44140625" style="25" bestFit="1" customWidth="1"/>
    <col min="2052" max="2052" width="10.88671875" style="25" customWidth="1"/>
    <col min="2053" max="2054" width="8.44140625" style="25" bestFit="1" customWidth="1"/>
    <col min="2055" max="2055" width="10.88671875" style="25" customWidth="1"/>
    <col min="2056" max="2057" width="8.44140625" style="25" bestFit="1" customWidth="1"/>
    <col min="2058" max="2058" width="10.88671875" style="25" customWidth="1"/>
    <col min="2059" max="2060" width="8.44140625" style="25" bestFit="1" customWidth="1"/>
    <col min="2061" max="2061" width="10.88671875" style="25" customWidth="1"/>
    <col min="2062" max="2063" width="8.44140625" style="25" bestFit="1" customWidth="1"/>
    <col min="2064" max="2064" width="10.88671875" style="25" customWidth="1"/>
    <col min="2065" max="2066" width="8.44140625" style="25" bestFit="1" customWidth="1"/>
    <col min="2067" max="2067" width="10.88671875" style="25" customWidth="1"/>
    <col min="2068" max="2069" width="8.44140625" style="25" bestFit="1" customWidth="1"/>
    <col min="2070" max="2070" width="10.88671875" style="25" customWidth="1"/>
    <col min="2071" max="2071" width="8.44140625" style="25" bestFit="1" customWidth="1"/>
    <col min="2072" max="2072" width="5.44140625" style="25" bestFit="1" customWidth="1"/>
    <col min="2073" max="2073" width="10.88671875" style="25" customWidth="1"/>
    <col min="2074" max="2302" width="11.44140625" style="25"/>
    <col min="2303" max="2303" width="0.109375" style="25" customWidth="1"/>
    <col min="2304" max="2304" width="15.88671875" style="25" customWidth="1"/>
    <col min="2305" max="2305" width="9.109375" style="25" bestFit="1" customWidth="1"/>
    <col min="2306" max="2307" width="8.44140625" style="25" bestFit="1" customWidth="1"/>
    <col min="2308" max="2308" width="10.88671875" style="25" customWidth="1"/>
    <col min="2309" max="2310" width="8.44140625" style="25" bestFit="1" customWidth="1"/>
    <col min="2311" max="2311" width="10.88671875" style="25" customWidth="1"/>
    <col min="2312" max="2313" width="8.44140625" style="25" bestFit="1" customWidth="1"/>
    <col min="2314" max="2314" width="10.88671875" style="25" customWidth="1"/>
    <col min="2315" max="2316" width="8.44140625" style="25" bestFit="1" customWidth="1"/>
    <col min="2317" max="2317" width="10.88671875" style="25" customWidth="1"/>
    <col min="2318" max="2319" width="8.44140625" style="25" bestFit="1" customWidth="1"/>
    <col min="2320" max="2320" width="10.88671875" style="25" customWidth="1"/>
    <col min="2321" max="2322" width="8.44140625" style="25" bestFit="1" customWidth="1"/>
    <col min="2323" max="2323" width="10.88671875" style="25" customWidth="1"/>
    <col min="2324" max="2325" width="8.44140625" style="25" bestFit="1" customWidth="1"/>
    <col min="2326" max="2326" width="10.88671875" style="25" customWidth="1"/>
    <col min="2327" max="2327" width="8.44140625" style="25" bestFit="1" customWidth="1"/>
    <col min="2328" max="2328" width="5.44140625" style="25" bestFit="1" customWidth="1"/>
    <col min="2329" max="2329" width="10.88671875" style="25" customWidth="1"/>
    <col min="2330" max="2558" width="11.44140625" style="25"/>
    <col min="2559" max="2559" width="0.109375" style="25" customWidth="1"/>
    <col min="2560" max="2560" width="15.88671875" style="25" customWidth="1"/>
    <col min="2561" max="2561" width="9.109375" style="25" bestFit="1" customWidth="1"/>
    <col min="2562" max="2563" width="8.44140625" style="25" bestFit="1" customWidth="1"/>
    <col min="2564" max="2564" width="10.88671875" style="25" customWidth="1"/>
    <col min="2565" max="2566" width="8.44140625" style="25" bestFit="1" customWidth="1"/>
    <col min="2567" max="2567" width="10.88671875" style="25" customWidth="1"/>
    <col min="2568" max="2569" width="8.44140625" style="25" bestFit="1" customWidth="1"/>
    <col min="2570" max="2570" width="10.88671875" style="25" customWidth="1"/>
    <col min="2571" max="2572" width="8.44140625" style="25" bestFit="1" customWidth="1"/>
    <col min="2573" max="2573" width="10.88671875" style="25" customWidth="1"/>
    <col min="2574" max="2575" width="8.44140625" style="25" bestFit="1" customWidth="1"/>
    <col min="2576" max="2576" width="10.88671875" style="25" customWidth="1"/>
    <col min="2577" max="2578" width="8.44140625" style="25" bestFit="1" customWidth="1"/>
    <col min="2579" max="2579" width="10.88671875" style="25" customWidth="1"/>
    <col min="2580" max="2581" width="8.44140625" style="25" bestFit="1" customWidth="1"/>
    <col min="2582" max="2582" width="10.88671875" style="25" customWidth="1"/>
    <col min="2583" max="2583" width="8.44140625" style="25" bestFit="1" customWidth="1"/>
    <col min="2584" max="2584" width="5.44140625" style="25" bestFit="1" customWidth="1"/>
    <col min="2585" max="2585" width="10.88671875" style="25" customWidth="1"/>
    <col min="2586" max="2814" width="11.44140625" style="25"/>
    <col min="2815" max="2815" width="0.109375" style="25" customWidth="1"/>
    <col min="2816" max="2816" width="15.88671875" style="25" customWidth="1"/>
    <col min="2817" max="2817" width="9.109375" style="25" bestFit="1" customWidth="1"/>
    <col min="2818" max="2819" width="8.44140625" style="25" bestFit="1" customWidth="1"/>
    <col min="2820" max="2820" width="10.88671875" style="25" customWidth="1"/>
    <col min="2821" max="2822" width="8.44140625" style="25" bestFit="1" customWidth="1"/>
    <col min="2823" max="2823" width="10.88671875" style="25" customWidth="1"/>
    <col min="2824" max="2825" width="8.44140625" style="25" bestFit="1" customWidth="1"/>
    <col min="2826" max="2826" width="10.88671875" style="25" customWidth="1"/>
    <col min="2827" max="2828" width="8.44140625" style="25" bestFit="1" customWidth="1"/>
    <col min="2829" max="2829" width="10.88671875" style="25" customWidth="1"/>
    <col min="2830" max="2831" width="8.44140625" style="25" bestFit="1" customWidth="1"/>
    <col min="2832" max="2832" width="10.88671875" style="25" customWidth="1"/>
    <col min="2833" max="2834" width="8.44140625" style="25" bestFit="1" customWidth="1"/>
    <col min="2835" max="2835" width="10.88671875" style="25" customWidth="1"/>
    <col min="2836" max="2837" width="8.44140625" style="25" bestFit="1" customWidth="1"/>
    <col min="2838" max="2838" width="10.88671875" style="25" customWidth="1"/>
    <col min="2839" max="2839" width="8.44140625" style="25" bestFit="1" customWidth="1"/>
    <col min="2840" max="2840" width="5.44140625" style="25" bestFit="1" customWidth="1"/>
    <col min="2841" max="2841" width="10.88671875" style="25" customWidth="1"/>
    <col min="2842" max="3070" width="11.44140625" style="25"/>
    <col min="3071" max="3071" width="0.109375" style="25" customWidth="1"/>
    <col min="3072" max="3072" width="15.88671875" style="25" customWidth="1"/>
    <col min="3073" max="3073" width="9.109375" style="25" bestFit="1" customWidth="1"/>
    <col min="3074" max="3075" width="8.44140625" style="25" bestFit="1" customWidth="1"/>
    <col min="3076" max="3076" width="10.88671875" style="25" customWidth="1"/>
    <col min="3077" max="3078" width="8.44140625" style="25" bestFit="1" customWidth="1"/>
    <col min="3079" max="3079" width="10.88671875" style="25" customWidth="1"/>
    <col min="3080" max="3081" width="8.44140625" style="25" bestFit="1" customWidth="1"/>
    <col min="3082" max="3082" width="10.88671875" style="25" customWidth="1"/>
    <col min="3083" max="3084" width="8.44140625" style="25" bestFit="1" customWidth="1"/>
    <col min="3085" max="3085" width="10.88671875" style="25" customWidth="1"/>
    <col min="3086" max="3087" width="8.44140625" style="25" bestFit="1" customWidth="1"/>
    <col min="3088" max="3088" width="10.88671875" style="25" customWidth="1"/>
    <col min="3089" max="3090" width="8.44140625" style="25" bestFit="1" customWidth="1"/>
    <col min="3091" max="3091" width="10.88671875" style="25" customWidth="1"/>
    <col min="3092" max="3093" width="8.44140625" style="25" bestFit="1" customWidth="1"/>
    <col min="3094" max="3094" width="10.88671875" style="25" customWidth="1"/>
    <col min="3095" max="3095" width="8.44140625" style="25" bestFit="1" customWidth="1"/>
    <col min="3096" max="3096" width="5.44140625" style="25" bestFit="1" customWidth="1"/>
    <col min="3097" max="3097" width="10.88671875" style="25" customWidth="1"/>
    <col min="3098" max="3326" width="11.44140625" style="25"/>
    <col min="3327" max="3327" width="0.109375" style="25" customWidth="1"/>
    <col min="3328" max="3328" width="15.88671875" style="25" customWidth="1"/>
    <col min="3329" max="3329" width="9.109375" style="25" bestFit="1" customWidth="1"/>
    <col min="3330" max="3331" width="8.44140625" style="25" bestFit="1" customWidth="1"/>
    <col min="3332" max="3332" width="10.88671875" style="25" customWidth="1"/>
    <col min="3333" max="3334" width="8.44140625" style="25" bestFit="1" customWidth="1"/>
    <col min="3335" max="3335" width="10.88671875" style="25" customWidth="1"/>
    <col min="3336" max="3337" width="8.44140625" style="25" bestFit="1" customWidth="1"/>
    <col min="3338" max="3338" width="10.88671875" style="25" customWidth="1"/>
    <col min="3339" max="3340" width="8.44140625" style="25" bestFit="1" customWidth="1"/>
    <col min="3341" max="3341" width="10.88671875" style="25" customWidth="1"/>
    <col min="3342" max="3343" width="8.44140625" style="25" bestFit="1" customWidth="1"/>
    <col min="3344" max="3344" width="10.88671875" style="25" customWidth="1"/>
    <col min="3345" max="3346" width="8.44140625" style="25" bestFit="1" customWidth="1"/>
    <col min="3347" max="3347" width="10.88671875" style="25" customWidth="1"/>
    <col min="3348" max="3349" width="8.44140625" style="25" bestFit="1" customWidth="1"/>
    <col min="3350" max="3350" width="10.88671875" style="25" customWidth="1"/>
    <col min="3351" max="3351" width="8.44140625" style="25" bestFit="1" customWidth="1"/>
    <col min="3352" max="3352" width="5.44140625" style="25" bestFit="1" customWidth="1"/>
    <col min="3353" max="3353" width="10.88671875" style="25" customWidth="1"/>
    <col min="3354" max="3582" width="11.44140625" style="25"/>
    <col min="3583" max="3583" width="0.109375" style="25" customWidth="1"/>
    <col min="3584" max="3584" width="15.88671875" style="25" customWidth="1"/>
    <col min="3585" max="3585" width="9.109375" style="25" bestFit="1" customWidth="1"/>
    <col min="3586" max="3587" width="8.44140625" style="25" bestFit="1" customWidth="1"/>
    <col min="3588" max="3588" width="10.88671875" style="25" customWidth="1"/>
    <col min="3589" max="3590" width="8.44140625" style="25" bestFit="1" customWidth="1"/>
    <col min="3591" max="3591" width="10.88671875" style="25" customWidth="1"/>
    <col min="3592" max="3593" width="8.44140625" style="25" bestFit="1" customWidth="1"/>
    <col min="3594" max="3594" width="10.88671875" style="25" customWidth="1"/>
    <col min="3595" max="3596" width="8.44140625" style="25" bestFit="1" customWidth="1"/>
    <col min="3597" max="3597" width="10.88671875" style="25" customWidth="1"/>
    <col min="3598" max="3599" width="8.44140625" style="25" bestFit="1" customWidth="1"/>
    <col min="3600" max="3600" width="10.88671875" style="25" customWidth="1"/>
    <col min="3601" max="3602" width="8.44140625" style="25" bestFit="1" customWidth="1"/>
    <col min="3603" max="3603" width="10.88671875" style="25" customWidth="1"/>
    <col min="3604" max="3605" width="8.44140625" style="25" bestFit="1" customWidth="1"/>
    <col min="3606" max="3606" width="10.88671875" style="25" customWidth="1"/>
    <col min="3607" max="3607" width="8.44140625" style="25" bestFit="1" customWidth="1"/>
    <col min="3608" max="3608" width="5.44140625" style="25" bestFit="1" customWidth="1"/>
    <col min="3609" max="3609" width="10.88671875" style="25" customWidth="1"/>
    <col min="3610" max="3838" width="11.44140625" style="25"/>
    <col min="3839" max="3839" width="0.109375" style="25" customWidth="1"/>
    <col min="3840" max="3840" width="15.88671875" style="25" customWidth="1"/>
    <col min="3841" max="3841" width="9.109375" style="25" bestFit="1" customWidth="1"/>
    <col min="3842" max="3843" width="8.44140625" style="25" bestFit="1" customWidth="1"/>
    <col min="3844" max="3844" width="10.88671875" style="25" customWidth="1"/>
    <col min="3845" max="3846" width="8.44140625" style="25" bestFit="1" customWidth="1"/>
    <col min="3847" max="3847" width="10.88671875" style="25" customWidth="1"/>
    <col min="3848" max="3849" width="8.44140625" style="25" bestFit="1" customWidth="1"/>
    <col min="3850" max="3850" width="10.88671875" style="25" customWidth="1"/>
    <col min="3851" max="3852" width="8.44140625" style="25" bestFit="1" customWidth="1"/>
    <col min="3853" max="3853" width="10.88671875" style="25" customWidth="1"/>
    <col min="3854" max="3855" width="8.44140625" style="25" bestFit="1" customWidth="1"/>
    <col min="3856" max="3856" width="10.88671875" style="25" customWidth="1"/>
    <col min="3857" max="3858" width="8.44140625" style="25" bestFit="1" customWidth="1"/>
    <col min="3859" max="3859" width="10.88671875" style="25" customWidth="1"/>
    <col min="3860" max="3861" width="8.44140625" style="25" bestFit="1" customWidth="1"/>
    <col min="3862" max="3862" width="10.88671875" style="25" customWidth="1"/>
    <col min="3863" max="3863" width="8.44140625" style="25" bestFit="1" customWidth="1"/>
    <col min="3864" max="3864" width="5.44140625" style="25" bestFit="1" customWidth="1"/>
    <col min="3865" max="3865" width="10.88671875" style="25" customWidth="1"/>
    <col min="3866" max="4094" width="11.44140625" style="25"/>
    <col min="4095" max="4095" width="0.109375" style="25" customWidth="1"/>
    <col min="4096" max="4096" width="15.88671875" style="25" customWidth="1"/>
    <col min="4097" max="4097" width="9.109375" style="25" bestFit="1" customWidth="1"/>
    <col min="4098" max="4099" width="8.44140625" style="25" bestFit="1" customWidth="1"/>
    <col min="4100" max="4100" width="10.88671875" style="25" customWidth="1"/>
    <col min="4101" max="4102" width="8.44140625" style="25" bestFit="1" customWidth="1"/>
    <col min="4103" max="4103" width="10.88671875" style="25" customWidth="1"/>
    <col min="4104" max="4105" width="8.44140625" style="25" bestFit="1" customWidth="1"/>
    <col min="4106" max="4106" width="10.88671875" style="25" customWidth="1"/>
    <col min="4107" max="4108" width="8.44140625" style="25" bestFit="1" customWidth="1"/>
    <col min="4109" max="4109" width="10.88671875" style="25" customWidth="1"/>
    <col min="4110" max="4111" width="8.44140625" style="25" bestFit="1" customWidth="1"/>
    <col min="4112" max="4112" width="10.88671875" style="25" customWidth="1"/>
    <col min="4113" max="4114" width="8.44140625" style="25" bestFit="1" customWidth="1"/>
    <col min="4115" max="4115" width="10.88671875" style="25" customWidth="1"/>
    <col min="4116" max="4117" width="8.44140625" style="25" bestFit="1" customWidth="1"/>
    <col min="4118" max="4118" width="10.88671875" style="25" customWidth="1"/>
    <col min="4119" max="4119" width="8.44140625" style="25" bestFit="1" customWidth="1"/>
    <col min="4120" max="4120" width="5.44140625" style="25" bestFit="1" customWidth="1"/>
    <col min="4121" max="4121" width="10.88671875" style="25" customWidth="1"/>
    <col min="4122" max="4350" width="11.44140625" style="25"/>
    <col min="4351" max="4351" width="0.109375" style="25" customWidth="1"/>
    <col min="4352" max="4352" width="15.88671875" style="25" customWidth="1"/>
    <col min="4353" max="4353" width="9.109375" style="25" bestFit="1" customWidth="1"/>
    <col min="4354" max="4355" width="8.44140625" style="25" bestFit="1" customWidth="1"/>
    <col min="4356" max="4356" width="10.88671875" style="25" customWidth="1"/>
    <col min="4357" max="4358" width="8.44140625" style="25" bestFit="1" customWidth="1"/>
    <col min="4359" max="4359" width="10.88671875" style="25" customWidth="1"/>
    <col min="4360" max="4361" width="8.44140625" style="25" bestFit="1" customWidth="1"/>
    <col min="4362" max="4362" width="10.88671875" style="25" customWidth="1"/>
    <col min="4363" max="4364" width="8.44140625" style="25" bestFit="1" customWidth="1"/>
    <col min="4365" max="4365" width="10.88671875" style="25" customWidth="1"/>
    <col min="4366" max="4367" width="8.44140625" style="25" bestFit="1" customWidth="1"/>
    <col min="4368" max="4368" width="10.88671875" style="25" customWidth="1"/>
    <col min="4369" max="4370" width="8.44140625" style="25" bestFit="1" customWidth="1"/>
    <col min="4371" max="4371" width="10.88671875" style="25" customWidth="1"/>
    <col min="4372" max="4373" width="8.44140625" style="25" bestFit="1" customWidth="1"/>
    <col min="4374" max="4374" width="10.88671875" style="25" customWidth="1"/>
    <col min="4375" max="4375" width="8.44140625" style="25" bestFit="1" customWidth="1"/>
    <col min="4376" max="4376" width="5.44140625" style="25" bestFit="1" customWidth="1"/>
    <col min="4377" max="4377" width="10.88671875" style="25" customWidth="1"/>
    <col min="4378" max="4606" width="11.44140625" style="25"/>
    <col min="4607" max="4607" width="0.109375" style="25" customWidth="1"/>
    <col min="4608" max="4608" width="15.88671875" style="25" customWidth="1"/>
    <col min="4609" max="4609" width="9.109375" style="25" bestFit="1" customWidth="1"/>
    <col min="4610" max="4611" width="8.44140625" style="25" bestFit="1" customWidth="1"/>
    <col min="4612" max="4612" width="10.88671875" style="25" customWidth="1"/>
    <col min="4613" max="4614" width="8.44140625" style="25" bestFit="1" customWidth="1"/>
    <col min="4615" max="4615" width="10.88671875" style="25" customWidth="1"/>
    <col min="4616" max="4617" width="8.44140625" style="25" bestFit="1" customWidth="1"/>
    <col min="4618" max="4618" width="10.88671875" style="25" customWidth="1"/>
    <col min="4619" max="4620" width="8.44140625" style="25" bestFit="1" customWidth="1"/>
    <col min="4621" max="4621" width="10.88671875" style="25" customWidth="1"/>
    <col min="4622" max="4623" width="8.44140625" style="25" bestFit="1" customWidth="1"/>
    <col min="4624" max="4624" width="10.88671875" style="25" customWidth="1"/>
    <col min="4625" max="4626" width="8.44140625" style="25" bestFit="1" customWidth="1"/>
    <col min="4627" max="4627" width="10.88671875" style="25" customWidth="1"/>
    <col min="4628" max="4629" width="8.44140625" style="25" bestFit="1" customWidth="1"/>
    <col min="4630" max="4630" width="10.88671875" style="25" customWidth="1"/>
    <col min="4631" max="4631" width="8.44140625" style="25" bestFit="1" customWidth="1"/>
    <col min="4632" max="4632" width="5.44140625" style="25" bestFit="1" customWidth="1"/>
    <col min="4633" max="4633" width="10.88671875" style="25" customWidth="1"/>
    <col min="4634" max="4862" width="11.44140625" style="25"/>
    <col min="4863" max="4863" width="0.109375" style="25" customWidth="1"/>
    <col min="4864" max="4864" width="15.88671875" style="25" customWidth="1"/>
    <col min="4865" max="4865" width="9.109375" style="25" bestFit="1" customWidth="1"/>
    <col min="4866" max="4867" width="8.44140625" style="25" bestFit="1" customWidth="1"/>
    <col min="4868" max="4868" width="10.88671875" style="25" customWidth="1"/>
    <col min="4869" max="4870" width="8.44140625" style="25" bestFit="1" customWidth="1"/>
    <col min="4871" max="4871" width="10.88671875" style="25" customWidth="1"/>
    <col min="4872" max="4873" width="8.44140625" style="25" bestFit="1" customWidth="1"/>
    <col min="4874" max="4874" width="10.88671875" style="25" customWidth="1"/>
    <col min="4875" max="4876" width="8.44140625" style="25" bestFit="1" customWidth="1"/>
    <col min="4877" max="4877" width="10.88671875" style="25" customWidth="1"/>
    <col min="4878" max="4879" width="8.44140625" style="25" bestFit="1" customWidth="1"/>
    <col min="4880" max="4880" width="10.88671875" style="25" customWidth="1"/>
    <col min="4881" max="4882" width="8.44140625" style="25" bestFit="1" customWidth="1"/>
    <col min="4883" max="4883" width="10.88671875" style="25" customWidth="1"/>
    <col min="4884" max="4885" width="8.44140625" style="25" bestFit="1" customWidth="1"/>
    <col min="4886" max="4886" width="10.88671875" style="25" customWidth="1"/>
    <col min="4887" max="4887" width="8.44140625" style="25" bestFit="1" customWidth="1"/>
    <col min="4888" max="4888" width="5.44140625" style="25" bestFit="1" customWidth="1"/>
    <col min="4889" max="4889" width="10.88671875" style="25" customWidth="1"/>
    <col min="4890" max="5118" width="11.44140625" style="25"/>
    <col min="5119" max="5119" width="0.109375" style="25" customWidth="1"/>
    <col min="5120" max="5120" width="15.88671875" style="25" customWidth="1"/>
    <col min="5121" max="5121" width="9.109375" style="25" bestFit="1" customWidth="1"/>
    <col min="5122" max="5123" width="8.44140625" style="25" bestFit="1" customWidth="1"/>
    <col min="5124" max="5124" width="10.88671875" style="25" customWidth="1"/>
    <col min="5125" max="5126" width="8.44140625" style="25" bestFit="1" customWidth="1"/>
    <col min="5127" max="5127" width="10.88671875" style="25" customWidth="1"/>
    <col min="5128" max="5129" width="8.44140625" style="25" bestFit="1" customWidth="1"/>
    <col min="5130" max="5130" width="10.88671875" style="25" customWidth="1"/>
    <col min="5131" max="5132" width="8.44140625" style="25" bestFit="1" customWidth="1"/>
    <col min="5133" max="5133" width="10.88671875" style="25" customWidth="1"/>
    <col min="5134" max="5135" width="8.44140625" style="25" bestFit="1" customWidth="1"/>
    <col min="5136" max="5136" width="10.88671875" style="25" customWidth="1"/>
    <col min="5137" max="5138" width="8.44140625" style="25" bestFit="1" customWidth="1"/>
    <col min="5139" max="5139" width="10.88671875" style="25" customWidth="1"/>
    <col min="5140" max="5141" width="8.44140625" style="25" bestFit="1" customWidth="1"/>
    <col min="5142" max="5142" width="10.88671875" style="25" customWidth="1"/>
    <col min="5143" max="5143" width="8.44140625" style="25" bestFit="1" customWidth="1"/>
    <col min="5144" max="5144" width="5.44140625" style="25" bestFit="1" customWidth="1"/>
    <col min="5145" max="5145" width="10.88671875" style="25" customWidth="1"/>
    <col min="5146" max="5374" width="11.44140625" style="25"/>
    <col min="5375" max="5375" width="0.109375" style="25" customWidth="1"/>
    <col min="5376" max="5376" width="15.88671875" style="25" customWidth="1"/>
    <col min="5377" max="5377" width="9.109375" style="25" bestFit="1" customWidth="1"/>
    <col min="5378" max="5379" width="8.44140625" style="25" bestFit="1" customWidth="1"/>
    <col min="5380" max="5380" width="10.88671875" style="25" customWidth="1"/>
    <col min="5381" max="5382" width="8.44140625" style="25" bestFit="1" customWidth="1"/>
    <col min="5383" max="5383" width="10.88671875" style="25" customWidth="1"/>
    <col min="5384" max="5385" width="8.44140625" style="25" bestFit="1" customWidth="1"/>
    <col min="5386" max="5386" width="10.88671875" style="25" customWidth="1"/>
    <col min="5387" max="5388" width="8.44140625" style="25" bestFit="1" customWidth="1"/>
    <col min="5389" max="5389" width="10.88671875" style="25" customWidth="1"/>
    <col min="5390" max="5391" width="8.44140625" style="25" bestFit="1" customWidth="1"/>
    <col min="5392" max="5392" width="10.88671875" style="25" customWidth="1"/>
    <col min="5393" max="5394" width="8.44140625" style="25" bestFit="1" customWidth="1"/>
    <col min="5395" max="5395" width="10.88671875" style="25" customWidth="1"/>
    <col min="5396" max="5397" width="8.44140625" style="25" bestFit="1" customWidth="1"/>
    <col min="5398" max="5398" width="10.88671875" style="25" customWidth="1"/>
    <col min="5399" max="5399" width="8.44140625" style="25" bestFit="1" customWidth="1"/>
    <col min="5400" max="5400" width="5.44140625" style="25" bestFit="1" customWidth="1"/>
    <col min="5401" max="5401" width="10.88671875" style="25" customWidth="1"/>
    <col min="5402" max="5630" width="11.44140625" style="25"/>
    <col min="5631" max="5631" width="0.109375" style="25" customWidth="1"/>
    <col min="5632" max="5632" width="15.88671875" style="25" customWidth="1"/>
    <col min="5633" max="5633" width="9.109375" style="25" bestFit="1" customWidth="1"/>
    <col min="5634" max="5635" width="8.44140625" style="25" bestFit="1" customWidth="1"/>
    <col min="5636" max="5636" width="10.88671875" style="25" customWidth="1"/>
    <col min="5637" max="5638" width="8.44140625" style="25" bestFit="1" customWidth="1"/>
    <col min="5639" max="5639" width="10.88671875" style="25" customWidth="1"/>
    <col min="5640" max="5641" width="8.44140625" style="25" bestFit="1" customWidth="1"/>
    <col min="5642" max="5642" width="10.88671875" style="25" customWidth="1"/>
    <col min="5643" max="5644" width="8.44140625" style="25" bestFit="1" customWidth="1"/>
    <col min="5645" max="5645" width="10.88671875" style="25" customWidth="1"/>
    <col min="5646" max="5647" width="8.44140625" style="25" bestFit="1" customWidth="1"/>
    <col min="5648" max="5648" width="10.88671875" style="25" customWidth="1"/>
    <col min="5649" max="5650" width="8.44140625" style="25" bestFit="1" customWidth="1"/>
    <col min="5651" max="5651" width="10.88671875" style="25" customWidth="1"/>
    <col min="5652" max="5653" width="8.44140625" style="25" bestFit="1" customWidth="1"/>
    <col min="5654" max="5654" width="10.88671875" style="25" customWidth="1"/>
    <col min="5655" max="5655" width="8.44140625" style="25" bestFit="1" customWidth="1"/>
    <col min="5656" max="5656" width="5.44140625" style="25" bestFit="1" customWidth="1"/>
    <col min="5657" max="5657" width="10.88671875" style="25" customWidth="1"/>
    <col min="5658" max="5886" width="11.44140625" style="25"/>
    <col min="5887" max="5887" width="0.109375" style="25" customWidth="1"/>
    <col min="5888" max="5888" width="15.88671875" style="25" customWidth="1"/>
    <col min="5889" max="5889" width="9.109375" style="25" bestFit="1" customWidth="1"/>
    <col min="5890" max="5891" width="8.44140625" style="25" bestFit="1" customWidth="1"/>
    <col min="5892" max="5892" width="10.88671875" style="25" customWidth="1"/>
    <col min="5893" max="5894" width="8.44140625" style="25" bestFit="1" customWidth="1"/>
    <col min="5895" max="5895" width="10.88671875" style="25" customWidth="1"/>
    <col min="5896" max="5897" width="8.44140625" style="25" bestFit="1" customWidth="1"/>
    <col min="5898" max="5898" width="10.88671875" style="25" customWidth="1"/>
    <col min="5899" max="5900" width="8.44140625" style="25" bestFit="1" customWidth="1"/>
    <col min="5901" max="5901" width="10.88671875" style="25" customWidth="1"/>
    <col min="5902" max="5903" width="8.44140625" style="25" bestFit="1" customWidth="1"/>
    <col min="5904" max="5904" width="10.88671875" style="25" customWidth="1"/>
    <col min="5905" max="5906" width="8.44140625" style="25" bestFit="1" customWidth="1"/>
    <col min="5907" max="5907" width="10.88671875" style="25" customWidth="1"/>
    <col min="5908" max="5909" width="8.44140625" style="25" bestFit="1" customWidth="1"/>
    <col min="5910" max="5910" width="10.88671875" style="25" customWidth="1"/>
    <col min="5911" max="5911" width="8.44140625" style="25" bestFit="1" customWidth="1"/>
    <col min="5912" max="5912" width="5.44140625" style="25" bestFit="1" customWidth="1"/>
    <col min="5913" max="5913" width="10.88671875" style="25" customWidth="1"/>
    <col min="5914" max="6142" width="11.44140625" style="25"/>
    <col min="6143" max="6143" width="0.109375" style="25" customWidth="1"/>
    <col min="6144" max="6144" width="15.88671875" style="25" customWidth="1"/>
    <col min="6145" max="6145" width="9.109375" style="25" bestFit="1" customWidth="1"/>
    <col min="6146" max="6147" width="8.44140625" style="25" bestFit="1" customWidth="1"/>
    <col min="6148" max="6148" width="10.88671875" style="25" customWidth="1"/>
    <col min="6149" max="6150" width="8.44140625" style="25" bestFit="1" customWidth="1"/>
    <col min="6151" max="6151" width="10.88671875" style="25" customWidth="1"/>
    <col min="6152" max="6153" width="8.44140625" style="25" bestFit="1" customWidth="1"/>
    <col min="6154" max="6154" width="10.88671875" style="25" customWidth="1"/>
    <col min="6155" max="6156" width="8.44140625" style="25" bestFit="1" customWidth="1"/>
    <col min="6157" max="6157" width="10.88671875" style="25" customWidth="1"/>
    <col min="6158" max="6159" width="8.44140625" style="25" bestFit="1" customWidth="1"/>
    <col min="6160" max="6160" width="10.88671875" style="25" customWidth="1"/>
    <col min="6161" max="6162" width="8.44140625" style="25" bestFit="1" customWidth="1"/>
    <col min="6163" max="6163" width="10.88671875" style="25" customWidth="1"/>
    <col min="6164" max="6165" width="8.44140625" style="25" bestFit="1" customWidth="1"/>
    <col min="6166" max="6166" width="10.88671875" style="25" customWidth="1"/>
    <col min="6167" max="6167" width="8.44140625" style="25" bestFit="1" customWidth="1"/>
    <col min="6168" max="6168" width="5.44140625" style="25" bestFit="1" customWidth="1"/>
    <col min="6169" max="6169" width="10.88671875" style="25" customWidth="1"/>
    <col min="6170" max="6398" width="11.44140625" style="25"/>
    <col min="6399" max="6399" width="0.109375" style="25" customWidth="1"/>
    <col min="6400" max="6400" width="15.88671875" style="25" customWidth="1"/>
    <col min="6401" max="6401" width="9.109375" style="25" bestFit="1" customWidth="1"/>
    <col min="6402" max="6403" width="8.44140625" style="25" bestFit="1" customWidth="1"/>
    <col min="6404" max="6404" width="10.88671875" style="25" customWidth="1"/>
    <col min="6405" max="6406" width="8.44140625" style="25" bestFit="1" customWidth="1"/>
    <col min="6407" max="6407" width="10.88671875" style="25" customWidth="1"/>
    <col min="6408" max="6409" width="8.44140625" style="25" bestFit="1" customWidth="1"/>
    <col min="6410" max="6410" width="10.88671875" style="25" customWidth="1"/>
    <col min="6411" max="6412" width="8.44140625" style="25" bestFit="1" customWidth="1"/>
    <col min="6413" max="6413" width="10.88671875" style="25" customWidth="1"/>
    <col min="6414" max="6415" width="8.44140625" style="25" bestFit="1" customWidth="1"/>
    <col min="6416" max="6416" width="10.88671875" style="25" customWidth="1"/>
    <col min="6417" max="6418" width="8.44140625" style="25" bestFit="1" customWidth="1"/>
    <col min="6419" max="6419" width="10.88671875" style="25" customWidth="1"/>
    <col min="6420" max="6421" width="8.44140625" style="25" bestFit="1" customWidth="1"/>
    <col min="6422" max="6422" width="10.88671875" style="25" customWidth="1"/>
    <col min="6423" max="6423" width="8.44140625" style="25" bestFit="1" customWidth="1"/>
    <col min="6424" max="6424" width="5.44140625" style="25" bestFit="1" customWidth="1"/>
    <col min="6425" max="6425" width="10.88671875" style="25" customWidth="1"/>
    <col min="6426" max="6654" width="11.44140625" style="25"/>
    <col min="6655" max="6655" width="0.109375" style="25" customWidth="1"/>
    <col min="6656" max="6656" width="15.88671875" style="25" customWidth="1"/>
    <col min="6657" max="6657" width="9.109375" style="25" bestFit="1" customWidth="1"/>
    <col min="6658" max="6659" width="8.44140625" style="25" bestFit="1" customWidth="1"/>
    <col min="6660" max="6660" width="10.88671875" style="25" customWidth="1"/>
    <col min="6661" max="6662" width="8.44140625" style="25" bestFit="1" customWidth="1"/>
    <col min="6663" max="6663" width="10.88671875" style="25" customWidth="1"/>
    <col min="6664" max="6665" width="8.44140625" style="25" bestFit="1" customWidth="1"/>
    <col min="6666" max="6666" width="10.88671875" style="25" customWidth="1"/>
    <col min="6667" max="6668" width="8.44140625" style="25" bestFit="1" customWidth="1"/>
    <col min="6669" max="6669" width="10.88671875" style="25" customWidth="1"/>
    <col min="6670" max="6671" width="8.44140625" style="25" bestFit="1" customWidth="1"/>
    <col min="6672" max="6672" width="10.88671875" style="25" customWidth="1"/>
    <col min="6673" max="6674" width="8.44140625" style="25" bestFit="1" customWidth="1"/>
    <col min="6675" max="6675" width="10.88671875" style="25" customWidth="1"/>
    <col min="6676" max="6677" width="8.44140625" style="25" bestFit="1" customWidth="1"/>
    <col min="6678" max="6678" width="10.88671875" style="25" customWidth="1"/>
    <col min="6679" max="6679" width="8.44140625" style="25" bestFit="1" customWidth="1"/>
    <col min="6680" max="6680" width="5.44140625" style="25" bestFit="1" customWidth="1"/>
    <col min="6681" max="6681" width="10.88671875" style="25" customWidth="1"/>
    <col min="6682" max="6910" width="11.44140625" style="25"/>
    <col min="6911" max="6911" width="0.109375" style="25" customWidth="1"/>
    <col min="6912" max="6912" width="15.88671875" style="25" customWidth="1"/>
    <col min="6913" max="6913" width="9.109375" style="25" bestFit="1" customWidth="1"/>
    <col min="6914" max="6915" width="8.44140625" style="25" bestFit="1" customWidth="1"/>
    <col min="6916" max="6916" width="10.88671875" style="25" customWidth="1"/>
    <col min="6917" max="6918" width="8.44140625" style="25" bestFit="1" customWidth="1"/>
    <col min="6919" max="6919" width="10.88671875" style="25" customWidth="1"/>
    <col min="6920" max="6921" width="8.44140625" style="25" bestFit="1" customWidth="1"/>
    <col min="6922" max="6922" width="10.88671875" style="25" customWidth="1"/>
    <col min="6923" max="6924" width="8.44140625" style="25" bestFit="1" customWidth="1"/>
    <col min="6925" max="6925" width="10.88671875" style="25" customWidth="1"/>
    <col min="6926" max="6927" width="8.44140625" style="25" bestFit="1" customWidth="1"/>
    <col min="6928" max="6928" width="10.88671875" style="25" customWidth="1"/>
    <col min="6929" max="6930" width="8.44140625" style="25" bestFit="1" customWidth="1"/>
    <col min="6931" max="6931" width="10.88671875" style="25" customWidth="1"/>
    <col min="6932" max="6933" width="8.44140625" style="25" bestFit="1" customWidth="1"/>
    <col min="6934" max="6934" width="10.88671875" style="25" customWidth="1"/>
    <col min="6935" max="6935" width="8.44140625" style="25" bestFit="1" customWidth="1"/>
    <col min="6936" max="6936" width="5.44140625" style="25" bestFit="1" customWidth="1"/>
    <col min="6937" max="6937" width="10.88671875" style="25" customWidth="1"/>
    <col min="6938" max="7166" width="11.44140625" style="25"/>
    <col min="7167" max="7167" width="0.109375" style="25" customWidth="1"/>
    <col min="7168" max="7168" width="15.88671875" style="25" customWidth="1"/>
    <col min="7169" max="7169" width="9.109375" style="25" bestFit="1" customWidth="1"/>
    <col min="7170" max="7171" width="8.44140625" style="25" bestFit="1" customWidth="1"/>
    <col min="7172" max="7172" width="10.88671875" style="25" customWidth="1"/>
    <col min="7173" max="7174" width="8.44140625" style="25" bestFit="1" customWidth="1"/>
    <col min="7175" max="7175" width="10.88671875" style="25" customWidth="1"/>
    <col min="7176" max="7177" width="8.44140625" style="25" bestFit="1" customWidth="1"/>
    <col min="7178" max="7178" width="10.88671875" style="25" customWidth="1"/>
    <col min="7179" max="7180" width="8.44140625" style="25" bestFit="1" customWidth="1"/>
    <col min="7181" max="7181" width="10.88671875" style="25" customWidth="1"/>
    <col min="7182" max="7183" width="8.44140625" style="25" bestFit="1" customWidth="1"/>
    <col min="7184" max="7184" width="10.88671875" style="25" customWidth="1"/>
    <col min="7185" max="7186" width="8.44140625" style="25" bestFit="1" customWidth="1"/>
    <col min="7187" max="7187" width="10.88671875" style="25" customWidth="1"/>
    <col min="7188" max="7189" width="8.44140625" style="25" bestFit="1" customWidth="1"/>
    <col min="7190" max="7190" width="10.88671875" style="25" customWidth="1"/>
    <col min="7191" max="7191" width="8.44140625" style="25" bestFit="1" customWidth="1"/>
    <col min="7192" max="7192" width="5.44140625" style="25" bestFit="1" customWidth="1"/>
    <col min="7193" max="7193" width="10.88671875" style="25" customWidth="1"/>
    <col min="7194" max="7422" width="11.44140625" style="25"/>
    <col min="7423" max="7423" width="0.109375" style="25" customWidth="1"/>
    <col min="7424" max="7424" width="15.88671875" style="25" customWidth="1"/>
    <col min="7425" max="7425" width="9.109375" style="25" bestFit="1" customWidth="1"/>
    <col min="7426" max="7427" width="8.44140625" style="25" bestFit="1" customWidth="1"/>
    <col min="7428" max="7428" width="10.88671875" style="25" customWidth="1"/>
    <col min="7429" max="7430" width="8.44140625" style="25" bestFit="1" customWidth="1"/>
    <col min="7431" max="7431" width="10.88671875" style="25" customWidth="1"/>
    <col min="7432" max="7433" width="8.44140625" style="25" bestFit="1" customWidth="1"/>
    <col min="7434" max="7434" width="10.88671875" style="25" customWidth="1"/>
    <col min="7435" max="7436" width="8.44140625" style="25" bestFit="1" customWidth="1"/>
    <col min="7437" max="7437" width="10.88671875" style="25" customWidth="1"/>
    <col min="7438" max="7439" width="8.44140625" style="25" bestFit="1" customWidth="1"/>
    <col min="7440" max="7440" width="10.88671875" style="25" customWidth="1"/>
    <col min="7441" max="7442" width="8.44140625" style="25" bestFit="1" customWidth="1"/>
    <col min="7443" max="7443" width="10.88671875" style="25" customWidth="1"/>
    <col min="7444" max="7445" width="8.44140625" style="25" bestFit="1" customWidth="1"/>
    <col min="7446" max="7446" width="10.88671875" style="25" customWidth="1"/>
    <col min="7447" max="7447" width="8.44140625" style="25" bestFit="1" customWidth="1"/>
    <col min="7448" max="7448" width="5.44140625" style="25" bestFit="1" customWidth="1"/>
    <col min="7449" max="7449" width="10.88671875" style="25" customWidth="1"/>
    <col min="7450" max="7678" width="11.44140625" style="25"/>
    <col min="7679" max="7679" width="0.109375" style="25" customWidth="1"/>
    <col min="7680" max="7680" width="15.88671875" style="25" customWidth="1"/>
    <col min="7681" max="7681" width="9.109375" style="25" bestFit="1" customWidth="1"/>
    <col min="7682" max="7683" width="8.44140625" style="25" bestFit="1" customWidth="1"/>
    <col min="7684" max="7684" width="10.88671875" style="25" customWidth="1"/>
    <col min="7685" max="7686" width="8.44140625" style="25" bestFit="1" customWidth="1"/>
    <col min="7687" max="7687" width="10.88671875" style="25" customWidth="1"/>
    <col min="7688" max="7689" width="8.44140625" style="25" bestFit="1" customWidth="1"/>
    <col min="7690" max="7690" width="10.88671875" style="25" customWidth="1"/>
    <col min="7691" max="7692" width="8.44140625" style="25" bestFit="1" customWidth="1"/>
    <col min="7693" max="7693" width="10.88671875" style="25" customWidth="1"/>
    <col min="7694" max="7695" width="8.44140625" style="25" bestFit="1" customWidth="1"/>
    <col min="7696" max="7696" width="10.88671875" style="25" customWidth="1"/>
    <col min="7697" max="7698" width="8.44140625" style="25" bestFit="1" customWidth="1"/>
    <col min="7699" max="7699" width="10.88671875" style="25" customWidth="1"/>
    <col min="7700" max="7701" width="8.44140625" style="25" bestFit="1" customWidth="1"/>
    <col min="7702" max="7702" width="10.88671875" style="25" customWidth="1"/>
    <col min="7703" max="7703" width="8.44140625" style="25" bestFit="1" customWidth="1"/>
    <col min="7704" max="7704" width="5.44140625" style="25" bestFit="1" customWidth="1"/>
    <col min="7705" max="7705" width="10.88671875" style="25" customWidth="1"/>
    <col min="7706" max="7934" width="11.44140625" style="25"/>
    <col min="7935" max="7935" width="0.109375" style="25" customWidth="1"/>
    <col min="7936" max="7936" width="15.88671875" style="25" customWidth="1"/>
    <col min="7937" max="7937" width="9.109375" style="25" bestFit="1" customWidth="1"/>
    <col min="7938" max="7939" width="8.44140625" style="25" bestFit="1" customWidth="1"/>
    <col min="7940" max="7940" width="10.88671875" style="25" customWidth="1"/>
    <col min="7941" max="7942" width="8.44140625" style="25" bestFit="1" customWidth="1"/>
    <col min="7943" max="7943" width="10.88671875" style="25" customWidth="1"/>
    <col min="7944" max="7945" width="8.44140625" style="25" bestFit="1" customWidth="1"/>
    <col min="7946" max="7946" width="10.88671875" style="25" customWidth="1"/>
    <col min="7947" max="7948" width="8.44140625" style="25" bestFit="1" customWidth="1"/>
    <col min="7949" max="7949" width="10.88671875" style="25" customWidth="1"/>
    <col min="7950" max="7951" width="8.44140625" style="25" bestFit="1" customWidth="1"/>
    <col min="7952" max="7952" width="10.88671875" style="25" customWidth="1"/>
    <col min="7953" max="7954" width="8.44140625" style="25" bestFit="1" customWidth="1"/>
    <col min="7955" max="7955" width="10.88671875" style="25" customWidth="1"/>
    <col min="7956" max="7957" width="8.44140625" style="25" bestFit="1" customWidth="1"/>
    <col min="7958" max="7958" width="10.88671875" style="25" customWidth="1"/>
    <col min="7959" max="7959" width="8.44140625" style="25" bestFit="1" customWidth="1"/>
    <col min="7960" max="7960" width="5.44140625" style="25" bestFit="1" customWidth="1"/>
    <col min="7961" max="7961" width="10.88671875" style="25" customWidth="1"/>
    <col min="7962" max="8190" width="11.44140625" style="25"/>
    <col min="8191" max="8191" width="0.109375" style="25" customWidth="1"/>
    <col min="8192" max="8192" width="15.88671875" style="25" customWidth="1"/>
    <col min="8193" max="8193" width="9.109375" style="25" bestFit="1" customWidth="1"/>
    <col min="8194" max="8195" width="8.44140625" style="25" bestFit="1" customWidth="1"/>
    <col min="8196" max="8196" width="10.88671875" style="25" customWidth="1"/>
    <col min="8197" max="8198" width="8.44140625" style="25" bestFit="1" customWidth="1"/>
    <col min="8199" max="8199" width="10.88671875" style="25" customWidth="1"/>
    <col min="8200" max="8201" width="8.44140625" style="25" bestFit="1" customWidth="1"/>
    <col min="8202" max="8202" width="10.88671875" style="25" customWidth="1"/>
    <col min="8203" max="8204" width="8.44140625" style="25" bestFit="1" customWidth="1"/>
    <col min="8205" max="8205" width="10.88671875" style="25" customWidth="1"/>
    <col min="8206" max="8207" width="8.44140625" style="25" bestFit="1" customWidth="1"/>
    <col min="8208" max="8208" width="10.88671875" style="25" customWidth="1"/>
    <col min="8209" max="8210" width="8.44140625" style="25" bestFit="1" customWidth="1"/>
    <col min="8211" max="8211" width="10.88671875" style="25" customWidth="1"/>
    <col min="8212" max="8213" width="8.44140625" style="25" bestFit="1" customWidth="1"/>
    <col min="8214" max="8214" width="10.88671875" style="25" customWidth="1"/>
    <col min="8215" max="8215" width="8.44140625" style="25" bestFit="1" customWidth="1"/>
    <col min="8216" max="8216" width="5.44140625" style="25" bestFit="1" customWidth="1"/>
    <col min="8217" max="8217" width="10.88671875" style="25" customWidth="1"/>
    <col min="8218" max="8446" width="11.44140625" style="25"/>
    <col min="8447" max="8447" width="0.109375" style="25" customWidth="1"/>
    <col min="8448" max="8448" width="15.88671875" style="25" customWidth="1"/>
    <col min="8449" max="8449" width="9.109375" style="25" bestFit="1" customWidth="1"/>
    <col min="8450" max="8451" width="8.44140625" style="25" bestFit="1" customWidth="1"/>
    <col min="8452" max="8452" width="10.88671875" style="25" customWidth="1"/>
    <col min="8453" max="8454" width="8.44140625" style="25" bestFit="1" customWidth="1"/>
    <col min="8455" max="8455" width="10.88671875" style="25" customWidth="1"/>
    <col min="8456" max="8457" width="8.44140625" style="25" bestFit="1" customWidth="1"/>
    <col min="8458" max="8458" width="10.88671875" style="25" customWidth="1"/>
    <col min="8459" max="8460" width="8.44140625" style="25" bestFit="1" customWidth="1"/>
    <col min="8461" max="8461" width="10.88671875" style="25" customWidth="1"/>
    <col min="8462" max="8463" width="8.44140625" style="25" bestFit="1" customWidth="1"/>
    <col min="8464" max="8464" width="10.88671875" style="25" customWidth="1"/>
    <col min="8465" max="8466" width="8.44140625" style="25" bestFit="1" customWidth="1"/>
    <col min="8467" max="8467" width="10.88671875" style="25" customWidth="1"/>
    <col min="8468" max="8469" width="8.44140625" style="25" bestFit="1" customWidth="1"/>
    <col min="8470" max="8470" width="10.88671875" style="25" customWidth="1"/>
    <col min="8471" max="8471" width="8.44140625" style="25" bestFit="1" customWidth="1"/>
    <col min="8472" max="8472" width="5.44140625" style="25" bestFit="1" customWidth="1"/>
    <col min="8473" max="8473" width="10.88671875" style="25" customWidth="1"/>
    <col min="8474" max="8702" width="11.44140625" style="25"/>
    <col min="8703" max="8703" width="0.109375" style="25" customWidth="1"/>
    <col min="8704" max="8704" width="15.88671875" style="25" customWidth="1"/>
    <col min="8705" max="8705" width="9.109375" style="25" bestFit="1" customWidth="1"/>
    <col min="8706" max="8707" width="8.44140625" style="25" bestFit="1" customWidth="1"/>
    <col min="8708" max="8708" width="10.88671875" style="25" customWidth="1"/>
    <col min="8709" max="8710" width="8.44140625" style="25" bestFit="1" customWidth="1"/>
    <col min="8711" max="8711" width="10.88671875" style="25" customWidth="1"/>
    <col min="8712" max="8713" width="8.44140625" style="25" bestFit="1" customWidth="1"/>
    <col min="8714" max="8714" width="10.88671875" style="25" customWidth="1"/>
    <col min="8715" max="8716" width="8.44140625" style="25" bestFit="1" customWidth="1"/>
    <col min="8717" max="8717" width="10.88671875" style="25" customWidth="1"/>
    <col min="8718" max="8719" width="8.44140625" style="25" bestFit="1" customWidth="1"/>
    <col min="8720" max="8720" width="10.88671875" style="25" customWidth="1"/>
    <col min="8721" max="8722" width="8.44140625" style="25" bestFit="1" customWidth="1"/>
    <col min="8723" max="8723" width="10.88671875" style="25" customWidth="1"/>
    <col min="8724" max="8725" width="8.44140625" style="25" bestFit="1" customWidth="1"/>
    <col min="8726" max="8726" width="10.88671875" style="25" customWidth="1"/>
    <col min="8727" max="8727" width="8.44140625" style="25" bestFit="1" customWidth="1"/>
    <col min="8728" max="8728" width="5.44140625" style="25" bestFit="1" customWidth="1"/>
    <col min="8729" max="8729" width="10.88671875" style="25" customWidth="1"/>
    <col min="8730" max="8958" width="11.44140625" style="25"/>
    <col min="8959" max="8959" width="0.109375" style="25" customWidth="1"/>
    <col min="8960" max="8960" width="15.88671875" style="25" customWidth="1"/>
    <col min="8961" max="8961" width="9.109375" style="25" bestFit="1" customWidth="1"/>
    <col min="8962" max="8963" width="8.44140625" style="25" bestFit="1" customWidth="1"/>
    <col min="8964" max="8964" width="10.88671875" style="25" customWidth="1"/>
    <col min="8965" max="8966" width="8.44140625" style="25" bestFit="1" customWidth="1"/>
    <col min="8967" max="8967" width="10.88671875" style="25" customWidth="1"/>
    <col min="8968" max="8969" width="8.44140625" style="25" bestFit="1" customWidth="1"/>
    <col min="8970" max="8970" width="10.88671875" style="25" customWidth="1"/>
    <col min="8971" max="8972" width="8.44140625" style="25" bestFit="1" customWidth="1"/>
    <col min="8973" max="8973" width="10.88671875" style="25" customWidth="1"/>
    <col min="8974" max="8975" width="8.44140625" style="25" bestFit="1" customWidth="1"/>
    <col min="8976" max="8976" width="10.88671875" style="25" customWidth="1"/>
    <col min="8977" max="8978" width="8.44140625" style="25" bestFit="1" customWidth="1"/>
    <col min="8979" max="8979" width="10.88671875" style="25" customWidth="1"/>
    <col min="8980" max="8981" width="8.44140625" style="25" bestFit="1" customWidth="1"/>
    <col min="8982" max="8982" width="10.88671875" style="25" customWidth="1"/>
    <col min="8983" max="8983" width="8.44140625" style="25" bestFit="1" customWidth="1"/>
    <col min="8984" max="8984" width="5.44140625" style="25" bestFit="1" customWidth="1"/>
    <col min="8985" max="8985" width="10.88671875" style="25" customWidth="1"/>
    <col min="8986" max="9214" width="11.44140625" style="25"/>
    <col min="9215" max="9215" width="0.109375" style="25" customWidth="1"/>
    <col min="9216" max="9216" width="15.88671875" style="25" customWidth="1"/>
    <col min="9217" max="9217" width="9.109375" style="25" bestFit="1" customWidth="1"/>
    <col min="9218" max="9219" width="8.44140625" style="25" bestFit="1" customWidth="1"/>
    <col min="9220" max="9220" width="10.88671875" style="25" customWidth="1"/>
    <col min="9221" max="9222" width="8.44140625" style="25" bestFit="1" customWidth="1"/>
    <col min="9223" max="9223" width="10.88671875" style="25" customWidth="1"/>
    <col min="9224" max="9225" width="8.44140625" style="25" bestFit="1" customWidth="1"/>
    <col min="9226" max="9226" width="10.88671875" style="25" customWidth="1"/>
    <col min="9227" max="9228" width="8.44140625" style="25" bestFit="1" customWidth="1"/>
    <col min="9229" max="9229" width="10.88671875" style="25" customWidth="1"/>
    <col min="9230" max="9231" width="8.44140625" style="25" bestFit="1" customWidth="1"/>
    <col min="9232" max="9232" width="10.88671875" style="25" customWidth="1"/>
    <col min="9233" max="9234" width="8.44140625" style="25" bestFit="1" customWidth="1"/>
    <col min="9235" max="9235" width="10.88671875" style="25" customWidth="1"/>
    <col min="9236" max="9237" width="8.44140625" style="25" bestFit="1" customWidth="1"/>
    <col min="9238" max="9238" width="10.88671875" style="25" customWidth="1"/>
    <col min="9239" max="9239" width="8.44140625" style="25" bestFit="1" customWidth="1"/>
    <col min="9240" max="9240" width="5.44140625" style="25" bestFit="1" customWidth="1"/>
    <col min="9241" max="9241" width="10.88671875" style="25" customWidth="1"/>
    <col min="9242" max="9470" width="11.44140625" style="25"/>
    <col min="9471" max="9471" width="0.109375" style="25" customWidth="1"/>
    <col min="9472" max="9472" width="15.88671875" style="25" customWidth="1"/>
    <col min="9473" max="9473" width="9.109375" style="25" bestFit="1" customWidth="1"/>
    <col min="9474" max="9475" width="8.44140625" style="25" bestFit="1" customWidth="1"/>
    <col min="9476" max="9476" width="10.88671875" style="25" customWidth="1"/>
    <col min="9477" max="9478" width="8.44140625" style="25" bestFit="1" customWidth="1"/>
    <col min="9479" max="9479" width="10.88671875" style="25" customWidth="1"/>
    <col min="9480" max="9481" width="8.44140625" style="25" bestFit="1" customWidth="1"/>
    <col min="9482" max="9482" width="10.88671875" style="25" customWidth="1"/>
    <col min="9483" max="9484" width="8.44140625" style="25" bestFit="1" customWidth="1"/>
    <col min="9485" max="9485" width="10.88671875" style="25" customWidth="1"/>
    <col min="9486" max="9487" width="8.44140625" style="25" bestFit="1" customWidth="1"/>
    <col min="9488" max="9488" width="10.88671875" style="25" customWidth="1"/>
    <col min="9489" max="9490" width="8.44140625" style="25" bestFit="1" customWidth="1"/>
    <col min="9491" max="9491" width="10.88671875" style="25" customWidth="1"/>
    <col min="9492" max="9493" width="8.44140625" style="25" bestFit="1" customWidth="1"/>
    <col min="9494" max="9494" width="10.88671875" style="25" customWidth="1"/>
    <col min="9495" max="9495" width="8.44140625" style="25" bestFit="1" customWidth="1"/>
    <col min="9496" max="9496" width="5.44140625" style="25" bestFit="1" customWidth="1"/>
    <col min="9497" max="9497" width="10.88671875" style="25" customWidth="1"/>
    <col min="9498" max="9726" width="11.44140625" style="25"/>
    <col min="9727" max="9727" width="0.109375" style="25" customWidth="1"/>
    <col min="9728" max="9728" width="15.88671875" style="25" customWidth="1"/>
    <col min="9729" max="9729" width="9.109375" style="25" bestFit="1" customWidth="1"/>
    <col min="9730" max="9731" width="8.44140625" style="25" bestFit="1" customWidth="1"/>
    <col min="9732" max="9732" width="10.88671875" style="25" customWidth="1"/>
    <col min="9733" max="9734" width="8.44140625" style="25" bestFit="1" customWidth="1"/>
    <col min="9735" max="9735" width="10.88671875" style="25" customWidth="1"/>
    <col min="9736" max="9737" width="8.44140625" style="25" bestFit="1" customWidth="1"/>
    <col min="9738" max="9738" width="10.88671875" style="25" customWidth="1"/>
    <col min="9739" max="9740" width="8.44140625" style="25" bestFit="1" customWidth="1"/>
    <col min="9741" max="9741" width="10.88671875" style="25" customWidth="1"/>
    <col min="9742" max="9743" width="8.44140625" style="25" bestFit="1" customWidth="1"/>
    <col min="9744" max="9744" width="10.88671875" style="25" customWidth="1"/>
    <col min="9745" max="9746" width="8.44140625" style="25" bestFit="1" customWidth="1"/>
    <col min="9747" max="9747" width="10.88671875" style="25" customWidth="1"/>
    <col min="9748" max="9749" width="8.44140625" style="25" bestFit="1" customWidth="1"/>
    <col min="9750" max="9750" width="10.88671875" style="25" customWidth="1"/>
    <col min="9751" max="9751" width="8.44140625" style="25" bestFit="1" customWidth="1"/>
    <col min="9752" max="9752" width="5.44140625" style="25" bestFit="1" customWidth="1"/>
    <col min="9753" max="9753" width="10.88671875" style="25" customWidth="1"/>
    <col min="9754" max="9982" width="11.44140625" style="25"/>
    <col min="9983" max="9983" width="0.109375" style="25" customWidth="1"/>
    <col min="9984" max="9984" width="15.88671875" style="25" customWidth="1"/>
    <col min="9985" max="9985" width="9.109375" style="25" bestFit="1" customWidth="1"/>
    <col min="9986" max="9987" width="8.44140625" style="25" bestFit="1" customWidth="1"/>
    <col min="9988" max="9988" width="10.88671875" style="25" customWidth="1"/>
    <col min="9989" max="9990" width="8.44140625" style="25" bestFit="1" customWidth="1"/>
    <col min="9991" max="9991" width="10.88671875" style="25" customWidth="1"/>
    <col min="9992" max="9993" width="8.44140625" style="25" bestFit="1" customWidth="1"/>
    <col min="9994" max="9994" width="10.88671875" style="25" customWidth="1"/>
    <col min="9995" max="9996" width="8.44140625" style="25" bestFit="1" customWidth="1"/>
    <col min="9997" max="9997" width="10.88671875" style="25" customWidth="1"/>
    <col min="9998" max="9999" width="8.44140625" style="25" bestFit="1" customWidth="1"/>
    <col min="10000" max="10000" width="10.88671875" style="25" customWidth="1"/>
    <col min="10001" max="10002" width="8.44140625" style="25" bestFit="1" customWidth="1"/>
    <col min="10003" max="10003" width="10.88671875" style="25" customWidth="1"/>
    <col min="10004" max="10005" width="8.44140625" style="25" bestFit="1" customWidth="1"/>
    <col min="10006" max="10006" width="10.88671875" style="25" customWidth="1"/>
    <col min="10007" max="10007" width="8.44140625" style="25" bestFit="1" customWidth="1"/>
    <col min="10008" max="10008" width="5.44140625" style="25" bestFit="1" customWidth="1"/>
    <col min="10009" max="10009" width="10.88671875" style="25" customWidth="1"/>
    <col min="10010" max="10238" width="11.44140625" style="25"/>
    <col min="10239" max="10239" width="0.109375" style="25" customWidth="1"/>
    <col min="10240" max="10240" width="15.88671875" style="25" customWidth="1"/>
    <col min="10241" max="10241" width="9.109375" style="25" bestFit="1" customWidth="1"/>
    <col min="10242" max="10243" width="8.44140625" style="25" bestFit="1" customWidth="1"/>
    <col min="10244" max="10244" width="10.88671875" style="25" customWidth="1"/>
    <col min="10245" max="10246" width="8.44140625" style="25" bestFit="1" customWidth="1"/>
    <col min="10247" max="10247" width="10.88671875" style="25" customWidth="1"/>
    <col min="10248" max="10249" width="8.44140625" style="25" bestFit="1" customWidth="1"/>
    <col min="10250" max="10250" width="10.88671875" style="25" customWidth="1"/>
    <col min="10251" max="10252" width="8.44140625" style="25" bestFit="1" customWidth="1"/>
    <col min="10253" max="10253" width="10.88671875" style="25" customWidth="1"/>
    <col min="10254" max="10255" width="8.44140625" style="25" bestFit="1" customWidth="1"/>
    <col min="10256" max="10256" width="10.88671875" style="25" customWidth="1"/>
    <col min="10257" max="10258" width="8.44140625" style="25" bestFit="1" customWidth="1"/>
    <col min="10259" max="10259" width="10.88671875" style="25" customWidth="1"/>
    <col min="10260" max="10261" width="8.44140625" style="25" bestFit="1" customWidth="1"/>
    <col min="10262" max="10262" width="10.88671875" style="25" customWidth="1"/>
    <col min="10263" max="10263" width="8.44140625" style="25" bestFit="1" customWidth="1"/>
    <col min="10264" max="10264" width="5.44140625" style="25" bestFit="1" customWidth="1"/>
    <col min="10265" max="10265" width="10.88671875" style="25" customWidth="1"/>
    <col min="10266" max="10494" width="11.44140625" style="25"/>
    <col min="10495" max="10495" width="0.109375" style="25" customWidth="1"/>
    <col min="10496" max="10496" width="15.88671875" style="25" customWidth="1"/>
    <col min="10497" max="10497" width="9.109375" style="25" bestFit="1" customWidth="1"/>
    <col min="10498" max="10499" width="8.44140625" style="25" bestFit="1" customWidth="1"/>
    <col min="10500" max="10500" width="10.88671875" style="25" customWidth="1"/>
    <col min="10501" max="10502" width="8.44140625" style="25" bestFit="1" customWidth="1"/>
    <col min="10503" max="10503" width="10.88671875" style="25" customWidth="1"/>
    <col min="10504" max="10505" width="8.44140625" style="25" bestFit="1" customWidth="1"/>
    <col min="10506" max="10506" width="10.88671875" style="25" customWidth="1"/>
    <col min="10507" max="10508" width="8.44140625" style="25" bestFit="1" customWidth="1"/>
    <col min="10509" max="10509" width="10.88671875" style="25" customWidth="1"/>
    <col min="10510" max="10511" width="8.44140625" style="25" bestFit="1" customWidth="1"/>
    <col min="10512" max="10512" width="10.88671875" style="25" customWidth="1"/>
    <col min="10513" max="10514" width="8.44140625" style="25" bestFit="1" customWidth="1"/>
    <col min="10515" max="10515" width="10.88671875" style="25" customWidth="1"/>
    <col min="10516" max="10517" width="8.44140625" style="25" bestFit="1" customWidth="1"/>
    <col min="10518" max="10518" width="10.88671875" style="25" customWidth="1"/>
    <col min="10519" max="10519" width="8.44140625" style="25" bestFit="1" customWidth="1"/>
    <col min="10520" max="10520" width="5.44140625" style="25" bestFit="1" customWidth="1"/>
    <col min="10521" max="10521" width="10.88671875" style="25" customWidth="1"/>
    <col min="10522" max="10750" width="11.44140625" style="25"/>
    <col min="10751" max="10751" width="0.109375" style="25" customWidth="1"/>
    <col min="10752" max="10752" width="15.88671875" style="25" customWidth="1"/>
    <col min="10753" max="10753" width="9.109375" style="25" bestFit="1" customWidth="1"/>
    <col min="10754" max="10755" width="8.44140625" style="25" bestFit="1" customWidth="1"/>
    <col min="10756" max="10756" width="10.88671875" style="25" customWidth="1"/>
    <col min="10757" max="10758" width="8.44140625" style="25" bestFit="1" customWidth="1"/>
    <col min="10759" max="10759" width="10.88671875" style="25" customWidth="1"/>
    <col min="10760" max="10761" width="8.44140625" style="25" bestFit="1" customWidth="1"/>
    <col min="10762" max="10762" width="10.88671875" style="25" customWidth="1"/>
    <col min="10763" max="10764" width="8.44140625" style="25" bestFit="1" customWidth="1"/>
    <col min="10765" max="10765" width="10.88671875" style="25" customWidth="1"/>
    <col min="10766" max="10767" width="8.44140625" style="25" bestFit="1" customWidth="1"/>
    <col min="10768" max="10768" width="10.88671875" style="25" customWidth="1"/>
    <col min="10769" max="10770" width="8.44140625" style="25" bestFit="1" customWidth="1"/>
    <col min="10771" max="10771" width="10.88671875" style="25" customWidth="1"/>
    <col min="10772" max="10773" width="8.44140625" style="25" bestFit="1" customWidth="1"/>
    <col min="10774" max="10774" width="10.88671875" style="25" customWidth="1"/>
    <col min="10775" max="10775" width="8.44140625" style="25" bestFit="1" customWidth="1"/>
    <col min="10776" max="10776" width="5.44140625" style="25" bestFit="1" customWidth="1"/>
    <col min="10777" max="10777" width="10.88671875" style="25" customWidth="1"/>
    <col min="10778" max="11006" width="11.44140625" style="25"/>
    <col min="11007" max="11007" width="0.109375" style="25" customWidth="1"/>
    <col min="11008" max="11008" width="15.88671875" style="25" customWidth="1"/>
    <col min="11009" max="11009" width="9.109375" style="25" bestFit="1" customWidth="1"/>
    <col min="11010" max="11011" width="8.44140625" style="25" bestFit="1" customWidth="1"/>
    <col min="11012" max="11012" width="10.88671875" style="25" customWidth="1"/>
    <col min="11013" max="11014" width="8.44140625" style="25" bestFit="1" customWidth="1"/>
    <col min="11015" max="11015" width="10.88671875" style="25" customWidth="1"/>
    <col min="11016" max="11017" width="8.44140625" style="25" bestFit="1" customWidth="1"/>
    <col min="11018" max="11018" width="10.88671875" style="25" customWidth="1"/>
    <col min="11019" max="11020" width="8.44140625" style="25" bestFit="1" customWidth="1"/>
    <col min="11021" max="11021" width="10.88671875" style="25" customWidth="1"/>
    <col min="11022" max="11023" width="8.44140625" style="25" bestFit="1" customWidth="1"/>
    <col min="11024" max="11024" width="10.88671875" style="25" customWidth="1"/>
    <col min="11025" max="11026" width="8.44140625" style="25" bestFit="1" customWidth="1"/>
    <col min="11027" max="11027" width="10.88671875" style="25" customWidth="1"/>
    <col min="11028" max="11029" width="8.44140625" style="25" bestFit="1" customWidth="1"/>
    <col min="11030" max="11030" width="10.88671875" style="25" customWidth="1"/>
    <col min="11031" max="11031" width="8.44140625" style="25" bestFit="1" customWidth="1"/>
    <col min="11032" max="11032" width="5.44140625" style="25" bestFit="1" customWidth="1"/>
    <col min="11033" max="11033" width="10.88671875" style="25" customWidth="1"/>
    <col min="11034" max="11262" width="11.44140625" style="25"/>
    <col min="11263" max="11263" width="0.109375" style="25" customWidth="1"/>
    <col min="11264" max="11264" width="15.88671875" style="25" customWidth="1"/>
    <col min="11265" max="11265" width="9.109375" style="25" bestFit="1" customWidth="1"/>
    <col min="11266" max="11267" width="8.44140625" style="25" bestFit="1" customWidth="1"/>
    <col min="11268" max="11268" width="10.88671875" style="25" customWidth="1"/>
    <col min="11269" max="11270" width="8.44140625" style="25" bestFit="1" customWidth="1"/>
    <col min="11271" max="11271" width="10.88671875" style="25" customWidth="1"/>
    <col min="11272" max="11273" width="8.44140625" style="25" bestFit="1" customWidth="1"/>
    <col min="11274" max="11274" width="10.88671875" style="25" customWidth="1"/>
    <col min="11275" max="11276" width="8.44140625" style="25" bestFit="1" customWidth="1"/>
    <col min="11277" max="11277" width="10.88671875" style="25" customWidth="1"/>
    <col min="11278" max="11279" width="8.44140625" style="25" bestFit="1" customWidth="1"/>
    <col min="11280" max="11280" width="10.88671875" style="25" customWidth="1"/>
    <col min="11281" max="11282" width="8.44140625" style="25" bestFit="1" customWidth="1"/>
    <col min="11283" max="11283" width="10.88671875" style="25" customWidth="1"/>
    <col min="11284" max="11285" width="8.44140625" style="25" bestFit="1" customWidth="1"/>
    <col min="11286" max="11286" width="10.88671875" style="25" customWidth="1"/>
    <col min="11287" max="11287" width="8.44140625" style="25" bestFit="1" customWidth="1"/>
    <col min="11288" max="11288" width="5.44140625" style="25" bestFit="1" customWidth="1"/>
    <col min="11289" max="11289" width="10.88671875" style="25" customWidth="1"/>
    <col min="11290" max="11518" width="11.44140625" style="25"/>
    <col min="11519" max="11519" width="0.109375" style="25" customWidth="1"/>
    <col min="11520" max="11520" width="15.88671875" style="25" customWidth="1"/>
    <col min="11521" max="11521" width="9.109375" style="25" bestFit="1" customWidth="1"/>
    <col min="11522" max="11523" width="8.44140625" style="25" bestFit="1" customWidth="1"/>
    <col min="11524" max="11524" width="10.88671875" style="25" customWidth="1"/>
    <col min="11525" max="11526" width="8.44140625" style="25" bestFit="1" customWidth="1"/>
    <col min="11527" max="11527" width="10.88671875" style="25" customWidth="1"/>
    <col min="11528" max="11529" width="8.44140625" style="25" bestFit="1" customWidth="1"/>
    <col min="11530" max="11530" width="10.88671875" style="25" customWidth="1"/>
    <col min="11531" max="11532" width="8.44140625" style="25" bestFit="1" customWidth="1"/>
    <col min="11533" max="11533" width="10.88671875" style="25" customWidth="1"/>
    <col min="11534" max="11535" width="8.44140625" style="25" bestFit="1" customWidth="1"/>
    <col min="11536" max="11536" width="10.88671875" style="25" customWidth="1"/>
    <col min="11537" max="11538" width="8.44140625" style="25" bestFit="1" customWidth="1"/>
    <col min="11539" max="11539" width="10.88671875" style="25" customWidth="1"/>
    <col min="11540" max="11541" width="8.44140625" style="25" bestFit="1" customWidth="1"/>
    <col min="11542" max="11542" width="10.88671875" style="25" customWidth="1"/>
    <col min="11543" max="11543" width="8.44140625" style="25" bestFit="1" customWidth="1"/>
    <col min="11544" max="11544" width="5.44140625" style="25" bestFit="1" customWidth="1"/>
    <col min="11545" max="11545" width="10.88671875" style="25" customWidth="1"/>
    <col min="11546" max="11774" width="11.44140625" style="25"/>
    <col min="11775" max="11775" width="0.109375" style="25" customWidth="1"/>
    <col min="11776" max="11776" width="15.88671875" style="25" customWidth="1"/>
    <col min="11777" max="11777" width="9.109375" style="25" bestFit="1" customWidth="1"/>
    <col min="11778" max="11779" width="8.44140625" style="25" bestFit="1" customWidth="1"/>
    <col min="11780" max="11780" width="10.88671875" style="25" customWidth="1"/>
    <col min="11781" max="11782" width="8.44140625" style="25" bestFit="1" customWidth="1"/>
    <col min="11783" max="11783" width="10.88671875" style="25" customWidth="1"/>
    <col min="11784" max="11785" width="8.44140625" style="25" bestFit="1" customWidth="1"/>
    <col min="11786" max="11786" width="10.88671875" style="25" customWidth="1"/>
    <col min="11787" max="11788" width="8.44140625" style="25" bestFit="1" customWidth="1"/>
    <col min="11789" max="11789" width="10.88671875" style="25" customWidth="1"/>
    <col min="11790" max="11791" width="8.44140625" style="25" bestFit="1" customWidth="1"/>
    <col min="11792" max="11792" width="10.88671875" style="25" customWidth="1"/>
    <col min="11793" max="11794" width="8.44140625" style="25" bestFit="1" customWidth="1"/>
    <col min="11795" max="11795" width="10.88671875" style="25" customWidth="1"/>
    <col min="11796" max="11797" width="8.44140625" style="25" bestFit="1" customWidth="1"/>
    <col min="11798" max="11798" width="10.88671875" style="25" customWidth="1"/>
    <col min="11799" max="11799" width="8.44140625" style="25" bestFit="1" customWidth="1"/>
    <col min="11800" max="11800" width="5.44140625" style="25" bestFit="1" customWidth="1"/>
    <col min="11801" max="11801" width="10.88671875" style="25" customWidth="1"/>
    <col min="11802" max="12030" width="11.44140625" style="25"/>
    <col min="12031" max="12031" width="0.109375" style="25" customWidth="1"/>
    <col min="12032" max="12032" width="15.88671875" style="25" customWidth="1"/>
    <col min="12033" max="12033" width="9.109375" style="25" bestFit="1" customWidth="1"/>
    <col min="12034" max="12035" width="8.44140625" style="25" bestFit="1" customWidth="1"/>
    <col min="12036" max="12036" width="10.88671875" style="25" customWidth="1"/>
    <col min="12037" max="12038" width="8.44140625" style="25" bestFit="1" customWidth="1"/>
    <col min="12039" max="12039" width="10.88671875" style="25" customWidth="1"/>
    <col min="12040" max="12041" width="8.44140625" style="25" bestFit="1" customWidth="1"/>
    <col min="12042" max="12042" width="10.88671875" style="25" customWidth="1"/>
    <col min="12043" max="12044" width="8.44140625" style="25" bestFit="1" customWidth="1"/>
    <col min="12045" max="12045" width="10.88671875" style="25" customWidth="1"/>
    <col min="12046" max="12047" width="8.44140625" style="25" bestFit="1" customWidth="1"/>
    <col min="12048" max="12048" width="10.88671875" style="25" customWidth="1"/>
    <col min="12049" max="12050" width="8.44140625" style="25" bestFit="1" customWidth="1"/>
    <col min="12051" max="12051" width="10.88671875" style="25" customWidth="1"/>
    <col min="12052" max="12053" width="8.44140625" style="25" bestFit="1" customWidth="1"/>
    <col min="12054" max="12054" width="10.88671875" style="25" customWidth="1"/>
    <col min="12055" max="12055" width="8.44140625" style="25" bestFit="1" customWidth="1"/>
    <col min="12056" max="12056" width="5.44140625" style="25" bestFit="1" customWidth="1"/>
    <col min="12057" max="12057" width="10.88671875" style="25" customWidth="1"/>
    <col min="12058" max="12286" width="11.44140625" style="25"/>
    <col min="12287" max="12287" width="0.109375" style="25" customWidth="1"/>
    <col min="12288" max="12288" width="15.88671875" style="25" customWidth="1"/>
    <col min="12289" max="12289" width="9.109375" style="25" bestFit="1" customWidth="1"/>
    <col min="12290" max="12291" width="8.44140625" style="25" bestFit="1" customWidth="1"/>
    <col min="12292" max="12292" width="10.88671875" style="25" customWidth="1"/>
    <col min="12293" max="12294" width="8.44140625" style="25" bestFit="1" customWidth="1"/>
    <col min="12295" max="12295" width="10.88671875" style="25" customWidth="1"/>
    <col min="12296" max="12297" width="8.44140625" style="25" bestFit="1" customWidth="1"/>
    <col min="12298" max="12298" width="10.88671875" style="25" customWidth="1"/>
    <col min="12299" max="12300" width="8.44140625" style="25" bestFit="1" customWidth="1"/>
    <col min="12301" max="12301" width="10.88671875" style="25" customWidth="1"/>
    <col min="12302" max="12303" width="8.44140625" style="25" bestFit="1" customWidth="1"/>
    <col min="12304" max="12304" width="10.88671875" style="25" customWidth="1"/>
    <col min="12305" max="12306" width="8.44140625" style="25" bestFit="1" customWidth="1"/>
    <col min="12307" max="12307" width="10.88671875" style="25" customWidth="1"/>
    <col min="12308" max="12309" width="8.44140625" style="25" bestFit="1" customWidth="1"/>
    <col min="12310" max="12310" width="10.88671875" style="25" customWidth="1"/>
    <col min="12311" max="12311" width="8.44140625" style="25" bestFit="1" customWidth="1"/>
    <col min="12312" max="12312" width="5.44140625" style="25" bestFit="1" customWidth="1"/>
    <col min="12313" max="12313" width="10.88671875" style="25" customWidth="1"/>
    <col min="12314" max="12542" width="11.44140625" style="25"/>
    <col min="12543" max="12543" width="0.109375" style="25" customWidth="1"/>
    <col min="12544" max="12544" width="15.88671875" style="25" customWidth="1"/>
    <col min="12545" max="12545" width="9.109375" style="25" bestFit="1" customWidth="1"/>
    <col min="12546" max="12547" width="8.44140625" style="25" bestFit="1" customWidth="1"/>
    <col min="12548" max="12548" width="10.88671875" style="25" customWidth="1"/>
    <col min="12549" max="12550" width="8.44140625" style="25" bestFit="1" customWidth="1"/>
    <col min="12551" max="12551" width="10.88671875" style="25" customWidth="1"/>
    <col min="12552" max="12553" width="8.44140625" style="25" bestFit="1" customWidth="1"/>
    <col min="12554" max="12554" width="10.88671875" style="25" customWidth="1"/>
    <col min="12555" max="12556" width="8.44140625" style="25" bestFit="1" customWidth="1"/>
    <col min="12557" max="12557" width="10.88671875" style="25" customWidth="1"/>
    <col min="12558" max="12559" width="8.44140625" style="25" bestFit="1" customWidth="1"/>
    <col min="12560" max="12560" width="10.88671875" style="25" customWidth="1"/>
    <col min="12561" max="12562" width="8.44140625" style="25" bestFit="1" customWidth="1"/>
    <col min="12563" max="12563" width="10.88671875" style="25" customWidth="1"/>
    <col min="12564" max="12565" width="8.44140625" style="25" bestFit="1" customWidth="1"/>
    <col min="12566" max="12566" width="10.88671875" style="25" customWidth="1"/>
    <col min="12567" max="12567" width="8.44140625" style="25" bestFit="1" customWidth="1"/>
    <col min="12568" max="12568" width="5.44140625" style="25" bestFit="1" customWidth="1"/>
    <col min="12569" max="12569" width="10.88671875" style="25" customWidth="1"/>
    <col min="12570" max="12798" width="11.44140625" style="25"/>
    <col min="12799" max="12799" width="0.109375" style="25" customWidth="1"/>
    <col min="12800" max="12800" width="15.88671875" style="25" customWidth="1"/>
    <col min="12801" max="12801" width="9.109375" style="25" bestFit="1" customWidth="1"/>
    <col min="12802" max="12803" width="8.44140625" style="25" bestFit="1" customWidth="1"/>
    <col min="12804" max="12804" width="10.88671875" style="25" customWidth="1"/>
    <col min="12805" max="12806" width="8.44140625" style="25" bestFit="1" customWidth="1"/>
    <col min="12807" max="12807" width="10.88671875" style="25" customWidth="1"/>
    <col min="12808" max="12809" width="8.44140625" style="25" bestFit="1" customWidth="1"/>
    <col min="12810" max="12810" width="10.88671875" style="25" customWidth="1"/>
    <col min="12811" max="12812" width="8.44140625" style="25" bestFit="1" customWidth="1"/>
    <col min="12813" max="12813" width="10.88671875" style="25" customWidth="1"/>
    <col min="12814" max="12815" width="8.44140625" style="25" bestFit="1" customWidth="1"/>
    <col min="12816" max="12816" width="10.88671875" style="25" customWidth="1"/>
    <col min="12817" max="12818" width="8.44140625" style="25" bestFit="1" customWidth="1"/>
    <col min="12819" max="12819" width="10.88671875" style="25" customWidth="1"/>
    <col min="12820" max="12821" width="8.44140625" style="25" bestFit="1" customWidth="1"/>
    <col min="12822" max="12822" width="10.88671875" style="25" customWidth="1"/>
    <col min="12823" max="12823" width="8.44140625" style="25" bestFit="1" customWidth="1"/>
    <col min="12824" max="12824" width="5.44140625" style="25" bestFit="1" customWidth="1"/>
    <col min="12825" max="12825" width="10.88671875" style="25" customWidth="1"/>
    <col min="12826" max="13054" width="11.44140625" style="25"/>
    <col min="13055" max="13055" width="0.109375" style="25" customWidth="1"/>
    <col min="13056" max="13056" width="15.88671875" style="25" customWidth="1"/>
    <col min="13057" max="13057" width="9.109375" style="25" bestFit="1" customWidth="1"/>
    <col min="13058" max="13059" width="8.44140625" style="25" bestFit="1" customWidth="1"/>
    <col min="13060" max="13060" width="10.88671875" style="25" customWidth="1"/>
    <col min="13061" max="13062" width="8.44140625" style="25" bestFit="1" customWidth="1"/>
    <col min="13063" max="13063" width="10.88671875" style="25" customWidth="1"/>
    <col min="13064" max="13065" width="8.44140625" style="25" bestFit="1" customWidth="1"/>
    <col min="13066" max="13066" width="10.88671875" style="25" customWidth="1"/>
    <col min="13067" max="13068" width="8.44140625" style="25" bestFit="1" customWidth="1"/>
    <col min="13069" max="13069" width="10.88671875" style="25" customWidth="1"/>
    <col min="13070" max="13071" width="8.44140625" style="25" bestFit="1" customWidth="1"/>
    <col min="13072" max="13072" width="10.88671875" style="25" customWidth="1"/>
    <col min="13073" max="13074" width="8.44140625" style="25" bestFit="1" customWidth="1"/>
    <col min="13075" max="13075" width="10.88671875" style="25" customWidth="1"/>
    <col min="13076" max="13077" width="8.44140625" style="25" bestFit="1" customWidth="1"/>
    <col min="13078" max="13078" width="10.88671875" style="25" customWidth="1"/>
    <col min="13079" max="13079" width="8.44140625" style="25" bestFit="1" customWidth="1"/>
    <col min="13080" max="13080" width="5.44140625" style="25" bestFit="1" customWidth="1"/>
    <col min="13081" max="13081" width="10.88671875" style="25" customWidth="1"/>
    <col min="13082" max="13310" width="11.44140625" style="25"/>
    <col min="13311" max="13311" width="0.109375" style="25" customWidth="1"/>
    <col min="13312" max="13312" width="15.88671875" style="25" customWidth="1"/>
    <col min="13313" max="13313" width="9.109375" style="25" bestFit="1" customWidth="1"/>
    <col min="13314" max="13315" width="8.44140625" style="25" bestFit="1" customWidth="1"/>
    <col min="13316" max="13316" width="10.88671875" style="25" customWidth="1"/>
    <col min="13317" max="13318" width="8.44140625" style="25" bestFit="1" customWidth="1"/>
    <col min="13319" max="13319" width="10.88671875" style="25" customWidth="1"/>
    <col min="13320" max="13321" width="8.44140625" style="25" bestFit="1" customWidth="1"/>
    <col min="13322" max="13322" width="10.88671875" style="25" customWidth="1"/>
    <col min="13323" max="13324" width="8.44140625" style="25" bestFit="1" customWidth="1"/>
    <col min="13325" max="13325" width="10.88671875" style="25" customWidth="1"/>
    <col min="13326" max="13327" width="8.44140625" style="25" bestFit="1" customWidth="1"/>
    <col min="13328" max="13328" width="10.88671875" style="25" customWidth="1"/>
    <col min="13329" max="13330" width="8.44140625" style="25" bestFit="1" customWidth="1"/>
    <col min="13331" max="13331" width="10.88671875" style="25" customWidth="1"/>
    <col min="13332" max="13333" width="8.44140625" style="25" bestFit="1" customWidth="1"/>
    <col min="13334" max="13334" width="10.88671875" style="25" customWidth="1"/>
    <col min="13335" max="13335" width="8.44140625" style="25" bestFit="1" customWidth="1"/>
    <col min="13336" max="13336" width="5.44140625" style="25" bestFit="1" customWidth="1"/>
    <col min="13337" max="13337" width="10.88671875" style="25" customWidth="1"/>
    <col min="13338" max="13566" width="11.44140625" style="25"/>
    <col min="13567" max="13567" width="0.109375" style="25" customWidth="1"/>
    <col min="13568" max="13568" width="15.88671875" style="25" customWidth="1"/>
    <col min="13569" max="13569" width="9.109375" style="25" bestFit="1" customWidth="1"/>
    <col min="13570" max="13571" width="8.44140625" style="25" bestFit="1" customWidth="1"/>
    <col min="13572" max="13572" width="10.88671875" style="25" customWidth="1"/>
    <col min="13573" max="13574" width="8.44140625" style="25" bestFit="1" customWidth="1"/>
    <col min="13575" max="13575" width="10.88671875" style="25" customWidth="1"/>
    <col min="13576" max="13577" width="8.44140625" style="25" bestFit="1" customWidth="1"/>
    <col min="13578" max="13578" width="10.88671875" style="25" customWidth="1"/>
    <col min="13579" max="13580" width="8.44140625" style="25" bestFit="1" customWidth="1"/>
    <col min="13581" max="13581" width="10.88671875" style="25" customWidth="1"/>
    <col min="13582" max="13583" width="8.44140625" style="25" bestFit="1" customWidth="1"/>
    <col min="13584" max="13584" width="10.88671875" style="25" customWidth="1"/>
    <col min="13585" max="13586" width="8.44140625" style="25" bestFit="1" customWidth="1"/>
    <col min="13587" max="13587" width="10.88671875" style="25" customWidth="1"/>
    <col min="13588" max="13589" width="8.44140625" style="25" bestFit="1" customWidth="1"/>
    <col min="13590" max="13590" width="10.88671875" style="25" customWidth="1"/>
    <col min="13591" max="13591" width="8.44140625" style="25" bestFit="1" customWidth="1"/>
    <col min="13592" max="13592" width="5.44140625" style="25" bestFit="1" customWidth="1"/>
    <col min="13593" max="13593" width="10.88671875" style="25" customWidth="1"/>
    <col min="13594" max="13822" width="11.44140625" style="25"/>
    <col min="13823" max="13823" width="0.109375" style="25" customWidth="1"/>
    <col min="13824" max="13824" width="15.88671875" style="25" customWidth="1"/>
    <col min="13825" max="13825" width="9.109375" style="25" bestFit="1" customWidth="1"/>
    <col min="13826" max="13827" width="8.44140625" style="25" bestFit="1" customWidth="1"/>
    <col min="13828" max="13828" width="10.88671875" style="25" customWidth="1"/>
    <col min="13829" max="13830" width="8.44140625" style="25" bestFit="1" customWidth="1"/>
    <col min="13831" max="13831" width="10.88671875" style="25" customWidth="1"/>
    <col min="13832" max="13833" width="8.44140625" style="25" bestFit="1" customWidth="1"/>
    <col min="13834" max="13834" width="10.88671875" style="25" customWidth="1"/>
    <col min="13835" max="13836" width="8.44140625" style="25" bestFit="1" customWidth="1"/>
    <col min="13837" max="13837" width="10.88671875" style="25" customWidth="1"/>
    <col min="13838" max="13839" width="8.44140625" style="25" bestFit="1" customWidth="1"/>
    <col min="13840" max="13840" width="10.88671875" style="25" customWidth="1"/>
    <col min="13841" max="13842" width="8.44140625" style="25" bestFit="1" customWidth="1"/>
    <col min="13843" max="13843" width="10.88671875" style="25" customWidth="1"/>
    <col min="13844" max="13845" width="8.44140625" style="25" bestFit="1" customWidth="1"/>
    <col min="13846" max="13846" width="10.88671875" style="25" customWidth="1"/>
    <col min="13847" max="13847" width="8.44140625" style="25" bestFit="1" customWidth="1"/>
    <col min="13848" max="13848" width="5.44140625" style="25" bestFit="1" customWidth="1"/>
    <col min="13849" max="13849" width="10.88671875" style="25" customWidth="1"/>
    <col min="13850" max="14078" width="11.44140625" style="25"/>
    <col min="14079" max="14079" width="0.109375" style="25" customWidth="1"/>
    <col min="14080" max="14080" width="15.88671875" style="25" customWidth="1"/>
    <col min="14081" max="14081" width="9.109375" style="25" bestFit="1" customWidth="1"/>
    <col min="14082" max="14083" width="8.44140625" style="25" bestFit="1" customWidth="1"/>
    <col min="14084" max="14084" width="10.88671875" style="25" customWidth="1"/>
    <col min="14085" max="14086" width="8.44140625" style="25" bestFit="1" customWidth="1"/>
    <col min="14087" max="14087" width="10.88671875" style="25" customWidth="1"/>
    <col min="14088" max="14089" width="8.44140625" style="25" bestFit="1" customWidth="1"/>
    <col min="14090" max="14090" width="10.88671875" style="25" customWidth="1"/>
    <col min="14091" max="14092" width="8.44140625" style="25" bestFit="1" customWidth="1"/>
    <col min="14093" max="14093" width="10.88671875" style="25" customWidth="1"/>
    <col min="14094" max="14095" width="8.44140625" style="25" bestFit="1" customWidth="1"/>
    <col min="14096" max="14096" width="10.88671875" style="25" customWidth="1"/>
    <col min="14097" max="14098" width="8.44140625" style="25" bestFit="1" customWidth="1"/>
    <col min="14099" max="14099" width="10.88671875" style="25" customWidth="1"/>
    <col min="14100" max="14101" width="8.44140625" style="25" bestFit="1" customWidth="1"/>
    <col min="14102" max="14102" width="10.88671875" style="25" customWidth="1"/>
    <col min="14103" max="14103" width="8.44140625" style="25" bestFit="1" customWidth="1"/>
    <col min="14104" max="14104" width="5.44140625" style="25" bestFit="1" customWidth="1"/>
    <col min="14105" max="14105" width="10.88671875" style="25" customWidth="1"/>
    <col min="14106" max="14334" width="11.44140625" style="25"/>
    <col min="14335" max="14335" width="0.109375" style="25" customWidth="1"/>
    <col min="14336" max="14336" width="15.88671875" style="25" customWidth="1"/>
    <col min="14337" max="14337" width="9.109375" style="25" bestFit="1" customWidth="1"/>
    <col min="14338" max="14339" width="8.44140625" style="25" bestFit="1" customWidth="1"/>
    <col min="14340" max="14340" width="10.88671875" style="25" customWidth="1"/>
    <col min="14341" max="14342" width="8.44140625" style="25" bestFit="1" customWidth="1"/>
    <col min="14343" max="14343" width="10.88671875" style="25" customWidth="1"/>
    <col min="14344" max="14345" width="8.44140625" style="25" bestFit="1" customWidth="1"/>
    <col min="14346" max="14346" width="10.88671875" style="25" customWidth="1"/>
    <col min="14347" max="14348" width="8.44140625" style="25" bestFit="1" customWidth="1"/>
    <col min="14349" max="14349" width="10.88671875" style="25" customWidth="1"/>
    <col min="14350" max="14351" width="8.44140625" style="25" bestFit="1" customWidth="1"/>
    <col min="14352" max="14352" width="10.88671875" style="25" customWidth="1"/>
    <col min="14353" max="14354" width="8.44140625" style="25" bestFit="1" customWidth="1"/>
    <col min="14355" max="14355" width="10.88671875" style="25" customWidth="1"/>
    <col min="14356" max="14357" width="8.44140625" style="25" bestFit="1" customWidth="1"/>
    <col min="14358" max="14358" width="10.88671875" style="25" customWidth="1"/>
    <col min="14359" max="14359" width="8.44140625" style="25" bestFit="1" customWidth="1"/>
    <col min="14360" max="14360" width="5.44140625" style="25" bestFit="1" customWidth="1"/>
    <col min="14361" max="14361" width="10.88671875" style="25" customWidth="1"/>
    <col min="14362" max="14590" width="11.44140625" style="25"/>
    <col min="14591" max="14591" width="0.109375" style="25" customWidth="1"/>
    <col min="14592" max="14592" width="15.88671875" style="25" customWidth="1"/>
    <col min="14593" max="14593" width="9.109375" style="25" bestFit="1" customWidth="1"/>
    <col min="14594" max="14595" width="8.44140625" style="25" bestFit="1" customWidth="1"/>
    <col min="14596" max="14596" width="10.88671875" style="25" customWidth="1"/>
    <col min="14597" max="14598" width="8.44140625" style="25" bestFit="1" customWidth="1"/>
    <col min="14599" max="14599" width="10.88671875" style="25" customWidth="1"/>
    <col min="14600" max="14601" width="8.44140625" style="25" bestFit="1" customWidth="1"/>
    <col min="14602" max="14602" width="10.88671875" style="25" customWidth="1"/>
    <col min="14603" max="14604" width="8.44140625" style="25" bestFit="1" customWidth="1"/>
    <col min="14605" max="14605" width="10.88671875" style="25" customWidth="1"/>
    <col min="14606" max="14607" width="8.44140625" style="25" bestFit="1" customWidth="1"/>
    <col min="14608" max="14608" width="10.88671875" style="25" customWidth="1"/>
    <col min="14609" max="14610" width="8.44140625" style="25" bestFit="1" customWidth="1"/>
    <col min="14611" max="14611" width="10.88671875" style="25" customWidth="1"/>
    <col min="14612" max="14613" width="8.44140625" style="25" bestFit="1" customWidth="1"/>
    <col min="14614" max="14614" width="10.88671875" style="25" customWidth="1"/>
    <col min="14615" max="14615" width="8.44140625" style="25" bestFit="1" customWidth="1"/>
    <col min="14616" max="14616" width="5.44140625" style="25" bestFit="1" customWidth="1"/>
    <col min="14617" max="14617" width="10.88671875" style="25" customWidth="1"/>
    <col min="14618" max="14846" width="11.44140625" style="25"/>
    <col min="14847" max="14847" width="0.109375" style="25" customWidth="1"/>
    <col min="14848" max="14848" width="15.88671875" style="25" customWidth="1"/>
    <col min="14849" max="14849" width="9.109375" style="25" bestFit="1" customWidth="1"/>
    <col min="14850" max="14851" width="8.44140625" style="25" bestFit="1" customWidth="1"/>
    <col min="14852" max="14852" width="10.88671875" style="25" customWidth="1"/>
    <col min="14853" max="14854" width="8.44140625" style="25" bestFit="1" customWidth="1"/>
    <col min="14855" max="14855" width="10.88671875" style="25" customWidth="1"/>
    <col min="14856" max="14857" width="8.44140625" style="25" bestFit="1" customWidth="1"/>
    <col min="14858" max="14858" width="10.88671875" style="25" customWidth="1"/>
    <col min="14859" max="14860" width="8.44140625" style="25" bestFit="1" customWidth="1"/>
    <col min="14861" max="14861" width="10.88671875" style="25" customWidth="1"/>
    <col min="14862" max="14863" width="8.44140625" style="25" bestFit="1" customWidth="1"/>
    <col min="14864" max="14864" width="10.88671875" style="25" customWidth="1"/>
    <col min="14865" max="14866" width="8.44140625" style="25" bestFit="1" customWidth="1"/>
    <col min="14867" max="14867" width="10.88671875" style="25" customWidth="1"/>
    <col min="14868" max="14869" width="8.44140625" style="25" bestFit="1" customWidth="1"/>
    <col min="14870" max="14870" width="10.88671875" style="25" customWidth="1"/>
    <col min="14871" max="14871" width="8.44140625" style="25" bestFit="1" customWidth="1"/>
    <col min="14872" max="14872" width="5.44140625" style="25" bestFit="1" customWidth="1"/>
    <col min="14873" max="14873" width="10.88671875" style="25" customWidth="1"/>
    <col min="14874" max="15102" width="11.44140625" style="25"/>
    <col min="15103" max="15103" width="0.109375" style="25" customWidth="1"/>
    <col min="15104" max="15104" width="15.88671875" style="25" customWidth="1"/>
    <col min="15105" max="15105" width="9.109375" style="25" bestFit="1" customWidth="1"/>
    <col min="15106" max="15107" width="8.44140625" style="25" bestFit="1" customWidth="1"/>
    <col min="15108" max="15108" width="10.88671875" style="25" customWidth="1"/>
    <col min="15109" max="15110" width="8.44140625" style="25" bestFit="1" customWidth="1"/>
    <col min="15111" max="15111" width="10.88671875" style="25" customWidth="1"/>
    <col min="15112" max="15113" width="8.44140625" style="25" bestFit="1" customWidth="1"/>
    <col min="15114" max="15114" width="10.88671875" style="25" customWidth="1"/>
    <col min="15115" max="15116" width="8.44140625" style="25" bestFit="1" customWidth="1"/>
    <col min="15117" max="15117" width="10.88671875" style="25" customWidth="1"/>
    <col min="15118" max="15119" width="8.44140625" style="25" bestFit="1" customWidth="1"/>
    <col min="15120" max="15120" width="10.88671875" style="25" customWidth="1"/>
    <col min="15121" max="15122" width="8.44140625" style="25" bestFit="1" customWidth="1"/>
    <col min="15123" max="15123" width="10.88671875" style="25" customWidth="1"/>
    <col min="15124" max="15125" width="8.44140625" style="25" bestFit="1" customWidth="1"/>
    <col min="15126" max="15126" width="10.88671875" style="25" customWidth="1"/>
    <col min="15127" max="15127" width="8.44140625" style="25" bestFit="1" customWidth="1"/>
    <col min="15128" max="15128" width="5.44140625" style="25" bestFit="1" customWidth="1"/>
    <col min="15129" max="15129" width="10.88671875" style="25" customWidth="1"/>
    <col min="15130" max="15358" width="11.44140625" style="25"/>
    <col min="15359" max="15359" width="0.109375" style="25" customWidth="1"/>
    <col min="15360" max="15360" width="15.88671875" style="25" customWidth="1"/>
    <col min="15361" max="15361" width="9.109375" style="25" bestFit="1" customWidth="1"/>
    <col min="15362" max="15363" width="8.44140625" style="25" bestFit="1" customWidth="1"/>
    <col min="15364" max="15364" width="10.88671875" style="25" customWidth="1"/>
    <col min="15365" max="15366" width="8.44140625" style="25" bestFit="1" customWidth="1"/>
    <col min="15367" max="15367" width="10.88671875" style="25" customWidth="1"/>
    <col min="15368" max="15369" width="8.44140625" style="25" bestFit="1" customWidth="1"/>
    <col min="15370" max="15370" width="10.88671875" style="25" customWidth="1"/>
    <col min="15371" max="15372" width="8.44140625" style="25" bestFit="1" customWidth="1"/>
    <col min="15373" max="15373" width="10.88671875" style="25" customWidth="1"/>
    <col min="15374" max="15375" width="8.44140625" style="25" bestFit="1" customWidth="1"/>
    <col min="15376" max="15376" width="10.88671875" style="25" customWidth="1"/>
    <col min="15377" max="15378" width="8.44140625" style="25" bestFit="1" customWidth="1"/>
    <col min="15379" max="15379" width="10.88671875" style="25" customWidth="1"/>
    <col min="15380" max="15381" width="8.44140625" style="25" bestFit="1" customWidth="1"/>
    <col min="15382" max="15382" width="10.88671875" style="25" customWidth="1"/>
    <col min="15383" max="15383" width="8.44140625" style="25" bestFit="1" customWidth="1"/>
    <col min="15384" max="15384" width="5.44140625" style="25" bestFit="1" customWidth="1"/>
    <col min="15385" max="15385" width="10.88671875" style="25" customWidth="1"/>
    <col min="15386" max="15614" width="11.44140625" style="25"/>
    <col min="15615" max="15615" width="0.109375" style="25" customWidth="1"/>
    <col min="15616" max="15616" width="15.88671875" style="25" customWidth="1"/>
    <col min="15617" max="15617" width="9.109375" style="25" bestFit="1" customWidth="1"/>
    <col min="15618" max="15619" width="8.44140625" style="25" bestFit="1" customWidth="1"/>
    <col min="15620" max="15620" width="10.88671875" style="25" customWidth="1"/>
    <col min="15621" max="15622" width="8.44140625" style="25" bestFit="1" customWidth="1"/>
    <col min="15623" max="15623" width="10.88671875" style="25" customWidth="1"/>
    <col min="15624" max="15625" width="8.44140625" style="25" bestFit="1" customWidth="1"/>
    <col min="15626" max="15626" width="10.88671875" style="25" customWidth="1"/>
    <col min="15627" max="15628" width="8.44140625" style="25" bestFit="1" customWidth="1"/>
    <col min="15629" max="15629" width="10.88671875" style="25" customWidth="1"/>
    <col min="15630" max="15631" width="8.44140625" style="25" bestFit="1" customWidth="1"/>
    <col min="15632" max="15632" width="10.88671875" style="25" customWidth="1"/>
    <col min="15633" max="15634" width="8.44140625" style="25" bestFit="1" customWidth="1"/>
    <col min="15635" max="15635" width="10.88671875" style="25" customWidth="1"/>
    <col min="15636" max="15637" width="8.44140625" style="25" bestFit="1" customWidth="1"/>
    <col min="15638" max="15638" width="10.88671875" style="25" customWidth="1"/>
    <col min="15639" max="15639" width="8.44140625" style="25" bestFit="1" customWidth="1"/>
    <col min="15640" max="15640" width="5.44140625" style="25" bestFit="1" customWidth="1"/>
    <col min="15641" max="15641" width="10.88671875" style="25" customWidth="1"/>
    <col min="15642" max="15870" width="11.44140625" style="25"/>
    <col min="15871" max="15871" width="0.109375" style="25" customWidth="1"/>
    <col min="15872" max="15872" width="15.88671875" style="25" customWidth="1"/>
    <col min="15873" max="15873" width="9.109375" style="25" bestFit="1" customWidth="1"/>
    <col min="15874" max="15875" width="8.44140625" style="25" bestFit="1" customWidth="1"/>
    <col min="15876" max="15876" width="10.88671875" style="25" customWidth="1"/>
    <col min="15877" max="15878" width="8.44140625" style="25" bestFit="1" customWidth="1"/>
    <col min="15879" max="15879" width="10.88671875" style="25" customWidth="1"/>
    <col min="15880" max="15881" width="8.44140625" style="25" bestFit="1" customWidth="1"/>
    <col min="15882" max="15882" width="10.88671875" style="25" customWidth="1"/>
    <col min="15883" max="15884" width="8.44140625" style="25" bestFit="1" customWidth="1"/>
    <col min="15885" max="15885" width="10.88671875" style="25" customWidth="1"/>
    <col min="15886" max="15887" width="8.44140625" style="25" bestFit="1" customWidth="1"/>
    <col min="15888" max="15888" width="10.88671875" style="25" customWidth="1"/>
    <col min="15889" max="15890" width="8.44140625" style="25" bestFit="1" customWidth="1"/>
    <col min="15891" max="15891" width="10.88671875" style="25" customWidth="1"/>
    <col min="15892" max="15893" width="8.44140625" style="25" bestFit="1" customWidth="1"/>
    <col min="15894" max="15894" width="10.88671875" style="25" customWidth="1"/>
    <col min="15895" max="15895" width="8.44140625" style="25" bestFit="1" customWidth="1"/>
    <col min="15896" max="15896" width="5.44140625" style="25" bestFit="1" customWidth="1"/>
    <col min="15897" max="15897" width="10.88671875" style="25" customWidth="1"/>
    <col min="15898" max="16126" width="11.44140625" style="25"/>
    <col min="16127" max="16127" width="0.109375" style="25" customWidth="1"/>
    <col min="16128" max="16128" width="15.88671875" style="25" customWidth="1"/>
    <col min="16129" max="16129" width="9.109375" style="25" bestFit="1" customWidth="1"/>
    <col min="16130" max="16131" width="8.44140625" style="25" bestFit="1" customWidth="1"/>
    <col min="16132" max="16132" width="10.88671875" style="25" customWidth="1"/>
    <col min="16133" max="16134" width="8.44140625" style="25" bestFit="1" customWidth="1"/>
    <col min="16135" max="16135" width="10.88671875" style="25" customWidth="1"/>
    <col min="16136" max="16137" width="8.44140625" style="25" bestFit="1" customWidth="1"/>
    <col min="16138" max="16138" width="10.88671875" style="25" customWidth="1"/>
    <col min="16139" max="16140" width="8.44140625" style="25" bestFit="1" customWidth="1"/>
    <col min="16141" max="16141" width="10.88671875" style="25" customWidth="1"/>
    <col min="16142" max="16143" width="8.44140625" style="25" bestFit="1" customWidth="1"/>
    <col min="16144" max="16144" width="10.88671875" style="25" customWidth="1"/>
    <col min="16145" max="16146" width="8.44140625" style="25" bestFit="1" customWidth="1"/>
    <col min="16147" max="16147" width="10.88671875" style="25" customWidth="1"/>
    <col min="16148" max="16149" width="8.44140625" style="25" bestFit="1" customWidth="1"/>
    <col min="16150" max="16150" width="10.88671875" style="25" customWidth="1"/>
    <col min="16151" max="16151" width="8.44140625" style="25" bestFit="1" customWidth="1"/>
    <col min="16152" max="16152" width="5.44140625" style="25" bestFit="1" customWidth="1"/>
    <col min="16153" max="16153" width="10.88671875" style="25" customWidth="1"/>
    <col min="16154" max="16384" width="11.44140625" style="25"/>
  </cols>
  <sheetData>
    <row r="1" spans="1:61" s="38" customFormat="1" ht="41.4" x14ac:dyDescent="0.25">
      <c r="A1" s="26" t="s">
        <v>131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</row>
    <row r="2" spans="1:61" s="38" customFormat="1" ht="22.8" x14ac:dyDescent="0.4">
      <c r="A2" s="147"/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8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</row>
    <row r="3" spans="1:61" s="38" customFormat="1" ht="15" customHeight="1" x14ac:dyDescent="0.25">
      <c r="A3" s="5727" t="s">
        <v>132</v>
      </c>
      <c r="B3" s="5724">
        <v>2003</v>
      </c>
      <c r="C3" s="5725"/>
      <c r="D3" s="5726"/>
      <c r="E3" s="5724">
        <v>2004</v>
      </c>
      <c r="F3" s="5725"/>
      <c r="G3" s="5726"/>
      <c r="H3" s="5724">
        <v>2005</v>
      </c>
      <c r="I3" s="5725"/>
      <c r="J3" s="5726"/>
      <c r="K3" s="5724">
        <v>2006</v>
      </c>
      <c r="L3" s="5725"/>
      <c r="M3" s="5726"/>
      <c r="N3" s="5724">
        <v>2007</v>
      </c>
      <c r="O3" s="5725"/>
      <c r="P3" s="5726"/>
      <c r="Q3" s="5724">
        <v>2008</v>
      </c>
      <c r="R3" s="5725"/>
      <c r="S3" s="5726"/>
      <c r="T3" s="5724">
        <v>2009</v>
      </c>
      <c r="U3" s="5725"/>
      <c r="V3" s="5726"/>
      <c r="W3" s="5724">
        <v>2010</v>
      </c>
      <c r="X3" s="5725"/>
      <c r="Y3" s="5726"/>
      <c r="Z3" s="5724">
        <v>2011</v>
      </c>
      <c r="AA3" s="5725"/>
      <c r="AB3" s="5726"/>
      <c r="AC3" s="5724">
        <v>2012</v>
      </c>
      <c r="AD3" s="5725"/>
      <c r="AE3" s="5726"/>
      <c r="AF3" s="5724">
        <v>2013</v>
      </c>
      <c r="AG3" s="5725"/>
      <c r="AH3" s="5726"/>
      <c r="AI3" s="5724">
        <v>2014</v>
      </c>
      <c r="AJ3" s="5725"/>
      <c r="AK3" s="5726"/>
      <c r="AL3" s="5724">
        <v>2015</v>
      </c>
      <c r="AM3" s="5725"/>
      <c r="AN3" s="5726"/>
      <c r="AO3" s="5724">
        <v>2016</v>
      </c>
      <c r="AP3" s="5725"/>
      <c r="AQ3" s="5726"/>
      <c r="AR3" s="5724">
        <v>2017</v>
      </c>
      <c r="AS3" s="5725"/>
      <c r="AT3" s="5726"/>
      <c r="AU3" s="5724">
        <v>2018</v>
      </c>
      <c r="AV3" s="5725"/>
      <c r="AW3" s="5726"/>
      <c r="AX3" s="5724">
        <v>2019</v>
      </c>
      <c r="AY3" s="5725"/>
      <c r="AZ3" s="5726"/>
      <c r="BA3" s="5724">
        <v>2020</v>
      </c>
      <c r="BB3" s="5725"/>
      <c r="BC3" s="5726"/>
      <c r="BD3" s="5724">
        <v>2021</v>
      </c>
      <c r="BE3" s="5725"/>
      <c r="BF3" s="5726"/>
      <c r="BG3" s="5724">
        <v>2022</v>
      </c>
      <c r="BH3" s="5725"/>
      <c r="BI3" s="5726"/>
    </row>
    <row r="4" spans="1:61" s="31" customFormat="1" ht="15.6" x14ac:dyDescent="0.25">
      <c r="A4" s="5728"/>
      <c r="B4" s="28" t="s">
        <v>46</v>
      </c>
      <c r="C4" s="29" t="s">
        <v>47</v>
      </c>
      <c r="D4" s="30" t="s">
        <v>48</v>
      </c>
      <c r="E4" s="28" t="s">
        <v>46</v>
      </c>
      <c r="F4" s="29" t="s">
        <v>47</v>
      </c>
      <c r="G4" s="30" t="s">
        <v>48</v>
      </c>
      <c r="H4" s="28" t="s">
        <v>46</v>
      </c>
      <c r="I4" s="29" t="s">
        <v>47</v>
      </c>
      <c r="J4" s="30" t="s">
        <v>48</v>
      </c>
      <c r="K4" s="28" t="s">
        <v>46</v>
      </c>
      <c r="L4" s="29" t="s">
        <v>47</v>
      </c>
      <c r="M4" s="30" t="s">
        <v>48</v>
      </c>
      <c r="N4" s="28" t="s">
        <v>46</v>
      </c>
      <c r="O4" s="29" t="s">
        <v>47</v>
      </c>
      <c r="P4" s="30" t="s">
        <v>48</v>
      </c>
      <c r="Q4" s="28" t="s">
        <v>46</v>
      </c>
      <c r="R4" s="29" t="s">
        <v>47</v>
      </c>
      <c r="S4" s="30" t="s">
        <v>48</v>
      </c>
      <c r="T4" s="28" t="s">
        <v>46</v>
      </c>
      <c r="U4" s="29" t="s">
        <v>47</v>
      </c>
      <c r="V4" s="30" t="s">
        <v>48</v>
      </c>
      <c r="W4" s="28" t="s">
        <v>46</v>
      </c>
      <c r="X4" s="29" t="s">
        <v>47</v>
      </c>
      <c r="Y4" s="30" t="s">
        <v>48</v>
      </c>
      <c r="Z4" s="28" t="s">
        <v>46</v>
      </c>
      <c r="AA4" s="29" t="s">
        <v>47</v>
      </c>
      <c r="AB4" s="30" t="s">
        <v>48</v>
      </c>
      <c r="AC4" s="28" t="s">
        <v>46</v>
      </c>
      <c r="AD4" s="29" t="s">
        <v>47</v>
      </c>
      <c r="AE4" s="30" t="s">
        <v>48</v>
      </c>
      <c r="AF4" s="28" t="s">
        <v>46</v>
      </c>
      <c r="AG4" s="29" t="s">
        <v>47</v>
      </c>
      <c r="AH4" s="30" t="s">
        <v>48</v>
      </c>
      <c r="AI4" s="28" t="s">
        <v>46</v>
      </c>
      <c r="AJ4" s="29" t="s">
        <v>47</v>
      </c>
      <c r="AK4" s="30" t="s">
        <v>48</v>
      </c>
      <c r="AL4" s="28" t="s">
        <v>46</v>
      </c>
      <c r="AM4" s="29" t="s">
        <v>47</v>
      </c>
      <c r="AN4" s="30" t="s">
        <v>48</v>
      </c>
      <c r="AO4" s="28" t="s">
        <v>46</v>
      </c>
      <c r="AP4" s="29" t="s">
        <v>47</v>
      </c>
      <c r="AQ4" s="30" t="s">
        <v>48</v>
      </c>
      <c r="AR4" s="28" t="s">
        <v>46</v>
      </c>
      <c r="AS4" s="29" t="s">
        <v>47</v>
      </c>
      <c r="AT4" s="30" t="s">
        <v>48</v>
      </c>
      <c r="AU4" s="28" t="s">
        <v>46</v>
      </c>
      <c r="AV4" s="29" t="s">
        <v>47</v>
      </c>
      <c r="AW4" s="30" t="s">
        <v>48</v>
      </c>
      <c r="AX4" s="28" t="s">
        <v>46</v>
      </c>
      <c r="AY4" s="29" t="s">
        <v>47</v>
      </c>
      <c r="AZ4" s="30" t="s">
        <v>48</v>
      </c>
      <c r="BA4" s="28" t="s">
        <v>46</v>
      </c>
      <c r="BB4" s="29" t="s">
        <v>47</v>
      </c>
      <c r="BC4" s="30" t="s">
        <v>48</v>
      </c>
      <c r="BD4" s="28" t="s">
        <v>46</v>
      </c>
      <c r="BE4" s="29" t="s">
        <v>47</v>
      </c>
      <c r="BF4" s="30" t="s">
        <v>48</v>
      </c>
      <c r="BG4" s="28" t="s">
        <v>46</v>
      </c>
      <c r="BH4" s="29" t="s">
        <v>47</v>
      </c>
      <c r="BI4" s="30" t="s">
        <v>48</v>
      </c>
    </row>
    <row r="5" spans="1:61" s="38" customFormat="1" ht="15" customHeight="1" x14ac:dyDescent="0.25">
      <c r="A5" s="149"/>
    </row>
    <row r="6" spans="1:61" s="38" customFormat="1" ht="15" customHeight="1" x14ac:dyDescent="0.25">
      <c r="A6" s="150" t="s">
        <v>59</v>
      </c>
      <c r="B6" s="151">
        <v>983</v>
      </c>
      <c r="C6" s="152">
        <v>3792</v>
      </c>
      <c r="D6" s="153">
        <v>4775</v>
      </c>
      <c r="E6" s="151">
        <v>1626</v>
      </c>
      <c r="F6" s="152">
        <v>4865</v>
      </c>
      <c r="G6" s="153">
        <v>6491</v>
      </c>
      <c r="H6" s="151">
        <v>1842</v>
      </c>
      <c r="I6" s="152">
        <v>4634</v>
      </c>
      <c r="J6" s="103">
        <v>6476</v>
      </c>
      <c r="K6" s="152">
        <v>1847</v>
      </c>
      <c r="L6" s="152">
        <v>3951</v>
      </c>
      <c r="M6" s="103">
        <v>5798</v>
      </c>
      <c r="N6" s="152">
        <v>1602</v>
      </c>
      <c r="O6" s="152">
        <v>4194</v>
      </c>
      <c r="P6" s="103">
        <v>5796</v>
      </c>
      <c r="Q6" s="152">
        <v>1910</v>
      </c>
      <c r="R6" s="152">
        <v>4434</v>
      </c>
      <c r="S6" s="103">
        <v>6344</v>
      </c>
      <c r="T6" s="151">
        <v>2077</v>
      </c>
      <c r="U6" s="152">
        <v>4916</v>
      </c>
      <c r="V6" s="103">
        <v>6993</v>
      </c>
      <c r="W6" s="151">
        <v>2514</v>
      </c>
      <c r="X6" s="152">
        <v>5779</v>
      </c>
      <c r="Y6" s="103">
        <f>SUM(W6:X6)</f>
        <v>8293</v>
      </c>
      <c r="Z6" s="151">
        <v>2734</v>
      </c>
      <c r="AA6" s="152">
        <v>5448</v>
      </c>
      <c r="AB6" s="103">
        <f>SUM(Z6:AA6)</f>
        <v>8182</v>
      </c>
      <c r="AC6" s="151">
        <f>SUM('Aspirantes plan'!AC5:AC14)</f>
        <v>2816</v>
      </c>
      <c r="AD6" s="152">
        <f>SUM('Aspirantes plan'!AD5:AD14)</f>
        <v>6205</v>
      </c>
      <c r="AE6" s="103">
        <f>SUM(AC6:AD6)</f>
        <v>9021</v>
      </c>
      <c r="AF6" s="151">
        <f>SUM('Aspirantes plan'!AF5:AF14)</f>
        <v>2446</v>
      </c>
      <c r="AG6" s="152">
        <f>SUM('Aspirantes plan'!AG5:AG14)</f>
        <v>6503</v>
      </c>
      <c r="AH6" s="103">
        <f>SUM(AF6:AG6)</f>
        <v>8949</v>
      </c>
      <c r="AI6" s="151">
        <f>SUM('Aspirantes plan'!AI5:AI14)</f>
        <v>2244</v>
      </c>
      <c r="AJ6" s="152">
        <f>SUM('Aspirantes plan'!AJ5:AJ14)</f>
        <v>6852</v>
      </c>
      <c r="AK6" s="153">
        <f>SUM(AI6:AJ6)</f>
        <v>9096</v>
      </c>
      <c r="AL6" s="151">
        <f>SUM('Aspirantes plan'!AL5:AL14)</f>
        <v>2565</v>
      </c>
      <c r="AM6" s="152">
        <f>SUM('Aspirantes plan'!AM5:AM14)</f>
        <v>7543</v>
      </c>
      <c r="AN6" s="103">
        <f>SUM(AL6:AM6)</f>
        <v>10108</v>
      </c>
      <c r="AO6" s="151">
        <f>SUM('Aspirantes plan'!AO5:AO14)</f>
        <v>2767</v>
      </c>
      <c r="AP6" s="152">
        <f>SUM('Aspirantes plan'!AP5:AP14)</f>
        <v>7593</v>
      </c>
      <c r="AQ6" s="103">
        <f>SUM(AO6:AP6)</f>
        <v>10360</v>
      </c>
      <c r="AR6" s="151">
        <f>SUM('Aspirantes plan'!AR5:AR14)</f>
        <v>2752</v>
      </c>
      <c r="AS6" s="152">
        <f>SUM('Aspirantes plan'!AS5:AS14)</f>
        <v>7599</v>
      </c>
      <c r="AT6" s="103">
        <f>SUM(AR6:AS6)</f>
        <v>10351</v>
      </c>
      <c r="AU6" s="151">
        <f>SUM('Aspirantes plan'!AU5:AU14)</f>
        <v>2744</v>
      </c>
      <c r="AV6" s="152">
        <f>SUM('Aspirantes plan'!AV5:AV14)</f>
        <v>8356</v>
      </c>
      <c r="AW6" s="103">
        <f>SUM(AU6:AV6)</f>
        <v>11100</v>
      </c>
      <c r="AX6" s="151">
        <f>SUM('Aspirantes plan'!AX5:AX14)</f>
        <v>3706</v>
      </c>
      <c r="AY6" s="152">
        <f>SUM('Aspirantes plan'!AY5:AY14)</f>
        <v>5596</v>
      </c>
      <c r="AZ6" s="103">
        <f>SUM(AX6:AY6)</f>
        <v>9302</v>
      </c>
      <c r="BA6" s="151">
        <f>SUM('Aspirantes plan'!BA5:BA14)</f>
        <v>3078</v>
      </c>
      <c r="BB6" s="152">
        <f>SUM('Aspirantes plan'!BB5:BB14)</f>
        <v>4306</v>
      </c>
      <c r="BC6" s="103">
        <f>SUM(BA6:BB6)</f>
        <v>7384</v>
      </c>
      <c r="BD6" s="151">
        <f>SUM('Aspirantes plan'!BD5:BD14)</f>
        <v>3501</v>
      </c>
      <c r="BE6" s="152">
        <f>SUM('Aspirantes plan'!BE5:BE14)</f>
        <v>3604</v>
      </c>
      <c r="BF6" s="103">
        <f>SUM(BD6:BE6)</f>
        <v>7105</v>
      </c>
      <c r="BG6" s="151">
        <f>SUM('Aspirantes plan'!BG5:BG14)</f>
        <v>3504</v>
      </c>
      <c r="BH6" s="152">
        <f>SUM('Aspirantes plan'!BH5:BH14)</f>
        <v>4253</v>
      </c>
      <c r="BI6" s="103">
        <f>SUM(BG6:BH6)</f>
        <v>7757</v>
      </c>
    </row>
    <row r="7" spans="1:61" s="38" customFormat="1" ht="15" customHeight="1" x14ac:dyDescent="0.25">
      <c r="A7" s="154" t="s">
        <v>64</v>
      </c>
      <c r="B7" s="129">
        <v>2549</v>
      </c>
      <c r="C7" s="130">
        <v>6571</v>
      </c>
      <c r="D7" s="155">
        <v>9120</v>
      </c>
      <c r="E7" s="129">
        <v>2550</v>
      </c>
      <c r="F7" s="130">
        <v>6937</v>
      </c>
      <c r="G7" s="155">
        <v>9487</v>
      </c>
      <c r="H7" s="129">
        <v>2840</v>
      </c>
      <c r="I7" s="130">
        <v>6836</v>
      </c>
      <c r="J7" s="110">
        <v>9676</v>
      </c>
      <c r="K7" s="130">
        <v>2952</v>
      </c>
      <c r="L7" s="130">
        <v>6157</v>
      </c>
      <c r="M7" s="110">
        <v>9109</v>
      </c>
      <c r="N7" s="130">
        <v>2807</v>
      </c>
      <c r="O7" s="130">
        <v>6644</v>
      </c>
      <c r="P7" s="110">
        <v>9451</v>
      </c>
      <c r="Q7" s="130">
        <v>3132</v>
      </c>
      <c r="R7" s="130">
        <v>6571</v>
      </c>
      <c r="S7" s="110">
        <v>9703</v>
      </c>
      <c r="T7" s="129">
        <v>3107</v>
      </c>
      <c r="U7" s="130">
        <v>6959</v>
      </c>
      <c r="V7" s="110">
        <v>10066</v>
      </c>
      <c r="W7" s="129">
        <v>3292</v>
      </c>
      <c r="X7" s="130">
        <v>7583</v>
      </c>
      <c r="Y7" s="110">
        <f>SUM(W7:X7)</f>
        <v>10875</v>
      </c>
      <c r="Z7" s="129">
        <v>3646</v>
      </c>
      <c r="AA7" s="130">
        <v>7200</v>
      </c>
      <c r="AB7" s="110">
        <f>SUM(Z7:AA7)</f>
        <v>10846</v>
      </c>
      <c r="AC7" s="129">
        <f>SUM('Aspirantes plan'!AC16:AC19)</f>
        <v>3555</v>
      </c>
      <c r="AD7" s="130">
        <f>SUM('Aspirantes plan'!AD16:AD19)</f>
        <v>8158</v>
      </c>
      <c r="AE7" s="110">
        <f>SUM(AC7:AD7)</f>
        <v>11713</v>
      </c>
      <c r="AF7" s="129">
        <f>SUM('Aspirantes plan'!AF16:AF19)</f>
        <v>3275</v>
      </c>
      <c r="AG7" s="130">
        <f>SUM('Aspirantes plan'!AG16:AG19)</f>
        <v>8110</v>
      </c>
      <c r="AH7" s="110">
        <f>SUM(AF7:AG7)</f>
        <v>11385</v>
      </c>
      <c r="AI7" s="129">
        <f>SUM('Aspirantes plan'!AI16:AI19)</f>
        <v>2753</v>
      </c>
      <c r="AJ7" s="130">
        <f>SUM('Aspirantes plan'!AJ16:AJ19)</f>
        <v>7999</v>
      </c>
      <c r="AK7" s="155">
        <f>SUM(AI7:AJ7)</f>
        <v>10752</v>
      </c>
      <c r="AL7" s="129">
        <f>SUM('Aspirantes plan'!AL16:AL19)</f>
        <v>3059</v>
      </c>
      <c r="AM7" s="130">
        <f>SUM('Aspirantes plan'!AM16:AM19)</f>
        <v>8359</v>
      </c>
      <c r="AN7" s="110">
        <f>SUM(AL7:AM7)</f>
        <v>11418</v>
      </c>
      <c r="AO7" s="129">
        <f>SUM('Aspirantes plan'!AO16:AO19)</f>
        <v>3060</v>
      </c>
      <c r="AP7" s="130">
        <f>SUM('Aspirantes plan'!AP16:AP19)</f>
        <v>8231</v>
      </c>
      <c r="AQ7" s="110">
        <f>SUM(AO7:AP7)</f>
        <v>11291</v>
      </c>
      <c r="AR7" s="129">
        <f>SUM('Aspirantes plan'!AR16:AR19)</f>
        <v>2889</v>
      </c>
      <c r="AS7" s="130">
        <f>SUM('Aspirantes plan'!AS16:AS19)</f>
        <v>8089</v>
      </c>
      <c r="AT7" s="110">
        <f>SUM(AR7:AS7)</f>
        <v>10978</v>
      </c>
      <c r="AU7" s="129">
        <f>SUM('Aspirantes plan'!AU16:AU19)</f>
        <v>2812</v>
      </c>
      <c r="AV7" s="130">
        <f>SUM('Aspirantes plan'!AV16:AV19)</f>
        <v>8410</v>
      </c>
      <c r="AW7" s="110">
        <f>SUM(AU7:AV7)</f>
        <v>11222</v>
      </c>
      <c r="AX7" s="129">
        <f>SUM('Aspirantes plan'!AX16:AX19)</f>
        <v>3487</v>
      </c>
      <c r="AY7" s="130">
        <f>SUM('Aspirantes plan'!AY16:AY19)</f>
        <v>5670</v>
      </c>
      <c r="AZ7" s="110">
        <f>SUM(AX7:AY7)</f>
        <v>9157</v>
      </c>
      <c r="BA7" s="129">
        <f>SUM('Aspirantes plan'!BA16:BA19)</f>
        <v>3025</v>
      </c>
      <c r="BB7" s="130">
        <f>SUM('Aspirantes plan'!BB16:BB19)</f>
        <v>4826</v>
      </c>
      <c r="BC7" s="110">
        <f>SUM(BA7:BB7)</f>
        <v>7851</v>
      </c>
      <c r="BD7" s="129">
        <f>SUM('Aspirantes plan'!BD16:BD19)</f>
        <v>4189</v>
      </c>
      <c r="BE7" s="130">
        <f>SUM('Aspirantes plan'!BE16:BE19)</f>
        <v>4329</v>
      </c>
      <c r="BF7" s="110">
        <f>SUM(BD7:BE7)</f>
        <v>8518</v>
      </c>
      <c r="BG7" s="129">
        <f>SUM('Aspirantes plan'!BG16:BG19)</f>
        <v>4031</v>
      </c>
      <c r="BH7" s="130">
        <f>SUM('Aspirantes plan'!BH16:BH19)</f>
        <v>4926</v>
      </c>
      <c r="BI7" s="110">
        <f>SUM(BG7:BH7)</f>
        <v>8957</v>
      </c>
    </row>
    <row r="8" spans="1:61" s="38" customFormat="1" ht="15" customHeight="1" x14ac:dyDescent="0.25">
      <c r="A8" s="154" t="s">
        <v>68</v>
      </c>
      <c r="B8" s="129">
        <v>1427</v>
      </c>
      <c r="C8" s="130">
        <v>3655</v>
      </c>
      <c r="D8" s="155">
        <v>5082</v>
      </c>
      <c r="E8" s="129">
        <v>1519</v>
      </c>
      <c r="F8" s="130">
        <v>3865</v>
      </c>
      <c r="G8" s="155">
        <v>5384</v>
      </c>
      <c r="H8" s="129">
        <v>1635</v>
      </c>
      <c r="I8" s="130">
        <v>4043</v>
      </c>
      <c r="J8" s="156">
        <v>5678</v>
      </c>
      <c r="K8" s="130">
        <v>1712</v>
      </c>
      <c r="L8" s="130">
        <v>3677</v>
      </c>
      <c r="M8" s="110">
        <v>5389</v>
      </c>
      <c r="N8" s="130">
        <v>1774</v>
      </c>
      <c r="O8" s="130">
        <v>4347</v>
      </c>
      <c r="P8" s="110">
        <v>6121</v>
      </c>
      <c r="Q8" s="130">
        <v>2301</v>
      </c>
      <c r="R8" s="130">
        <v>4621</v>
      </c>
      <c r="S8" s="110">
        <v>6922</v>
      </c>
      <c r="T8" s="129">
        <v>2373</v>
      </c>
      <c r="U8" s="130">
        <v>5031</v>
      </c>
      <c r="V8" s="110">
        <v>7404</v>
      </c>
      <c r="W8" s="129">
        <v>2570</v>
      </c>
      <c r="X8" s="130">
        <v>5798</v>
      </c>
      <c r="Y8" s="110">
        <f>SUM(W8:X8)</f>
        <v>8368</v>
      </c>
      <c r="Z8" s="129">
        <v>2925</v>
      </c>
      <c r="AA8" s="130">
        <v>5433</v>
      </c>
      <c r="AB8" s="110">
        <f>SUM(Z8:AA8)</f>
        <v>8358</v>
      </c>
      <c r="AC8" s="129">
        <f>SUM('Aspirantes plan'!AC21:AC23)</f>
        <v>2899</v>
      </c>
      <c r="AD8" s="130">
        <f>SUM('Aspirantes plan'!AD21:AD23)</f>
        <v>6579</v>
      </c>
      <c r="AE8" s="110">
        <f>SUM(AC8:AD8)</f>
        <v>9478</v>
      </c>
      <c r="AF8" s="129">
        <f>SUM('Aspirantes plan'!AF21:AF23)</f>
        <v>2605</v>
      </c>
      <c r="AG8" s="130">
        <f>SUM('Aspirantes plan'!AG21:AG23)</f>
        <v>6052</v>
      </c>
      <c r="AH8" s="110">
        <f>SUM(AF8:AG8)</f>
        <v>8657</v>
      </c>
      <c r="AI8" s="129">
        <f>SUM('Aspirantes plan'!AI21:AI23)</f>
        <v>2266</v>
      </c>
      <c r="AJ8" s="130">
        <f>SUM('Aspirantes plan'!AJ21:AJ23)</f>
        <v>5719</v>
      </c>
      <c r="AK8" s="155">
        <f>SUM(AI8:AJ8)</f>
        <v>7985</v>
      </c>
      <c r="AL8" s="129">
        <f>SUM('Aspirantes plan'!AL21:AL23)</f>
        <v>2298</v>
      </c>
      <c r="AM8" s="130">
        <f>SUM('Aspirantes plan'!AM21:AM23)</f>
        <v>5473</v>
      </c>
      <c r="AN8" s="110">
        <f>SUM(AL8:AM8)</f>
        <v>7771</v>
      </c>
      <c r="AO8" s="129">
        <f>SUM('Aspirantes plan'!AO21:AO23)</f>
        <v>2211</v>
      </c>
      <c r="AP8" s="130">
        <f>SUM('Aspirantes plan'!AP21:AP23)</f>
        <v>5501</v>
      </c>
      <c r="AQ8" s="110">
        <f>SUM(AO8:AP8)</f>
        <v>7712</v>
      </c>
      <c r="AR8" s="129">
        <f>SUM('Aspirantes plan'!AR21:AR23)</f>
        <v>2087</v>
      </c>
      <c r="AS8" s="130">
        <f>SUM('Aspirantes plan'!AS21:AS23)</f>
        <v>5266</v>
      </c>
      <c r="AT8" s="110">
        <f>SUM(AR8:AS8)</f>
        <v>7353</v>
      </c>
      <c r="AU8" s="129">
        <f>SUM('Aspirantes plan'!AU21:AU23)</f>
        <v>2143</v>
      </c>
      <c r="AV8" s="130">
        <f>SUM('Aspirantes plan'!AV21:AV23)</f>
        <v>5668</v>
      </c>
      <c r="AW8" s="110">
        <f>SUM(AU8:AV8)</f>
        <v>7811</v>
      </c>
      <c r="AX8" s="129">
        <f>SUM('Aspirantes plan'!AX21:AX23)</f>
        <v>2687</v>
      </c>
      <c r="AY8" s="130">
        <f>SUM('Aspirantes plan'!AY21:AY23)</f>
        <v>4586</v>
      </c>
      <c r="AZ8" s="110">
        <f>SUM(AX8:AY8)</f>
        <v>7273</v>
      </c>
      <c r="BA8" s="129">
        <f>SUM('Aspirantes plan'!BA21:BA23)</f>
        <v>2884</v>
      </c>
      <c r="BB8" s="130">
        <f>SUM('Aspirantes plan'!BB21:BB23)</f>
        <v>4324</v>
      </c>
      <c r="BC8" s="110">
        <f>SUM(BA8:BB8)</f>
        <v>7208</v>
      </c>
      <c r="BD8" s="129">
        <f>SUM('Aspirantes plan'!BD21:BD23)</f>
        <v>3611</v>
      </c>
      <c r="BE8" s="130">
        <f>SUM('Aspirantes plan'!BE21:BE23)</f>
        <v>3934</v>
      </c>
      <c r="BF8" s="110">
        <f>SUM(BD8:BE8)</f>
        <v>7545</v>
      </c>
      <c r="BG8" s="129">
        <f>SUM('Aspirantes plan'!BG21:BG23)</f>
        <v>3581</v>
      </c>
      <c r="BH8" s="130">
        <f>SUM('Aspirantes plan'!BH21:BH23)</f>
        <v>4389</v>
      </c>
      <c r="BI8" s="110">
        <f>SUM(BG8:BH8)</f>
        <v>7970</v>
      </c>
    </row>
    <row r="9" spans="1:61" s="161" customFormat="1" ht="15" customHeight="1" x14ac:dyDescent="0.25">
      <c r="A9" s="157" t="s">
        <v>133</v>
      </c>
      <c r="B9" s="158">
        <v>4959</v>
      </c>
      <c r="C9" s="159">
        <v>14018</v>
      </c>
      <c r="D9" s="159">
        <v>18977</v>
      </c>
      <c r="E9" s="158">
        <v>5695</v>
      </c>
      <c r="F9" s="159">
        <v>15667</v>
      </c>
      <c r="G9" s="159">
        <v>21362</v>
      </c>
      <c r="H9" s="158">
        <v>6317</v>
      </c>
      <c r="I9" s="159">
        <v>15513</v>
      </c>
      <c r="J9" s="160">
        <v>21830</v>
      </c>
      <c r="K9" s="159">
        <v>6511</v>
      </c>
      <c r="L9" s="159">
        <v>13785</v>
      </c>
      <c r="M9" s="160">
        <v>20296</v>
      </c>
      <c r="N9" s="159">
        <v>6183</v>
      </c>
      <c r="O9" s="159">
        <v>15185</v>
      </c>
      <c r="P9" s="160">
        <v>21368</v>
      </c>
      <c r="Q9" s="159">
        <v>7343</v>
      </c>
      <c r="R9" s="159">
        <v>15626</v>
      </c>
      <c r="S9" s="160">
        <v>22969</v>
      </c>
      <c r="T9" s="158">
        <v>7557</v>
      </c>
      <c r="U9" s="159">
        <v>16906</v>
      </c>
      <c r="V9" s="160">
        <v>24463</v>
      </c>
      <c r="W9" s="158">
        <f>SUM(W6:W8)</f>
        <v>8376</v>
      </c>
      <c r="X9" s="159">
        <v>19160</v>
      </c>
      <c r="Y9" s="160">
        <f>SUM(W9:X9)</f>
        <v>27536</v>
      </c>
      <c r="Z9" s="158">
        <f>SUM(Z6:Z8)</f>
        <v>9305</v>
      </c>
      <c r="AA9" s="159">
        <v>18081</v>
      </c>
      <c r="AB9" s="160">
        <f>SUM(Z9:AA9)</f>
        <v>27386</v>
      </c>
      <c r="AC9" s="158">
        <f t="shared" ref="AC9:BC9" si="0">SUM(AC6:AC8)</f>
        <v>9270</v>
      </c>
      <c r="AD9" s="159">
        <f t="shared" si="0"/>
        <v>20942</v>
      </c>
      <c r="AE9" s="160">
        <f t="shared" si="0"/>
        <v>30212</v>
      </c>
      <c r="AF9" s="158">
        <f t="shared" si="0"/>
        <v>8326</v>
      </c>
      <c r="AG9" s="159">
        <f t="shared" si="0"/>
        <v>20665</v>
      </c>
      <c r="AH9" s="160">
        <f t="shared" si="0"/>
        <v>28991</v>
      </c>
      <c r="AI9" s="158">
        <f t="shared" si="0"/>
        <v>7263</v>
      </c>
      <c r="AJ9" s="159">
        <f t="shared" si="0"/>
        <v>20570</v>
      </c>
      <c r="AK9" s="159">
        <f t="shared" si="0"/>
        <v>27833</v>
      </c>
      <c r="AL9" s="158">
        <f t="shared" si="0"/>
        <v>7922</v>
      </c>
      <c r="AM9" s="159">
        <f t="shared" si="0"/>
        <v>21375</v>
      </c>
      <c r="AN9" s="160">
        <f t="shared" si="0"/>
        <v>29297</v>
      </c>
      <c r="AO9" s="158">
        <f t="shared" si="0"/>
        <v>8038</v>
      </c>
      <c r="AP9" s="159">
        <f t="shared" si="0"/>
        <v>21325</v>
      </c>
      <c r="AQ9" s="160">
        <f t="shared" si="0"/>
        <v>29363</v>
      </c>
      <c r="AR9" s="158">
        <f t="shared" si="0"/>
        <v>7728</v>
      </c>
      <c r="AS9" s="159">
        <f t="shared" si="0"/>
        <v>20954</v>
      </c>
      <c r="AT9" s="160">
        <f t="shared" si="0"/>
        <v>28682</v>
      </c>
      <c r="AU9" s="158">
        <f t="shared" si="0"/>
        <v>7699</v>
      </c>
      <c r="AV9" s="159">
        <f t="shared" si="0"/>
        <v>22434</v>
      </c>
      <c r="AW9" s="160">
        <f t="shared" si="0"/>
        <v>30133</v>
      </c>
      <c r="AX9" s="158">
        <f t="shared" si="0"/>
        <v>9880</v>
      </c>
      <c r="AY9" s="159">
        <f t="shared" si="0"/>
        <v>15852</v>
      </c>
      <c r="AZ9" s="160">
        <f t="shared" si="0"/>
        <v>25732</v>
      </c>
      <c r="BA9" s="158">
        <f t="shared" si="0"/>
        <v>8987</v>
      </c>
      <c r="BB9" s="159">
        <f t="shared" si="0"/>
        <v>13456</v>
      </c>
      <c r="BC9" s="160">
        <f t="shared" si="0"/>
        <v>22443</v>
      </c>
      <c r="BD9" s="158">
        <f t="shared" ref="BD9:BF9" si="1">SUM(BD6:BD8)</f>
        <v>11301</v>
      </c>
      <c r="BE9" s="159">
        <f t="shared" si="1"/>
        <v>11867</v>
      </c>
      <c r="BF9" s="160">
        <f t="shared" si="1"/>
        <v>23168</v>
      </c>
      <c r="BG9" s="158">
        <f t="shared" ref="BG9:BI9" si="2">SUM(BG6:BG8)</f>
        <v>11116</v>
      </c>
      <c r="BH9" s="159">
        <f t="shared" si="2"/>
        <v>13568</v>
      </c>
      <c r="BI9" s="160">
        <f t="shared" si="2"/>
        <v>24684</v>
      </c>
    </row>
    <row r="10" spans="1:61" s="161" customFormat="1" ht="15" customHeight="1" x14ac:dyDescent="0.25">
      <c r="A10" s="162"/>
      <c r="B10" s="163"/>
      <c r="C10" s="163"/>
      <c r="D10" s="163"/>
      <c r="E10" s="163"/>
      <c r="F10" s="163"/>
      <c r="G10" s="163"/>
      <c r="H10" s="163"/>
      <c r="I10" s="163"/>
      <c r="J10" s="163"/>
      <c r="K10" s="163"/>
      <c r="L10" s="163"/>
      <c r="M10" s="163"/>
      <c r="N10" s="163"/>
      <c r="O10" s="163"/>
      <c r="P10" s="163"/>
      <c r="Q10" s="163"/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4"/>
      <c r="AM10" s="165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3"/>
      <c r="BB10" s="163"/>
      <c r="BC10" s="163"/>
      <c r="BD10" s="163"/>
      <c r="BE10" s="163"/>
      <c r="BF10" s="163"/>
      <c r="BG10" s="163"/>
      <c r="BH10" s="163"/>
      <c r="BI10" s="163"/>
    </row>
    <row r="11" spans="1:61" s="161" customFormat="1" ht="15" customHeight="1" x14ac:dyDescent="0.25">
      <c r="A11" s="150" t="s">
        <v>64</v>
      </c>
      <c r="B11" s="151"/>
      <c r="C11" s="152"/>
      <c r="D11" s="153"/>
      <c r="E11" s="151"/>
      <c r="F11" s="152"/>
      <c r="G11" s="153"/>
      <c r="H11" s="151"/>
      <c r="I11" s="152">
        <v>482</v>
      </c>
      <c r="J11" s="103">
        <v>482</v>
      </c>
      <c r="K11" s="152"/>
      <c r="L11" s="152">
        <v>103</v>
      </c>
      <c r="M11" s="103">
        <v>103</v>
      </c>
      <c r="N11" s="152"/>
      <c r="O11" s="152">
        <v>170</v>
      </c>
      <c r="P11" s="103">
        <v>170</v>
      </c>
      <c r="Q11" s="152"/>
      <c r="R11" s="152">
        <v>222</v>
      </c>
      <c r="S11" s="103">
        <v>222</v>
      </c>
      <c r="T11" s="151"/>
      <c r="U11" s="152">
        <v>242</v>
      </c>
      <c r="V11" s="103">
        <v>242</v>
      </c>
      <c r="W11" s="151"/>
      <c r="X11" s="152">
        <v>306</v>
      </c>
      <c r="Y11" s="103">
        <v>306</v>
      </c>
      <c r="Z11" s="151"/>
      <c r="AA11" s="152">
        <v>321</v>
      </c>
      <c r="AB11" s="103">
        <v>321</v>
      </c>
      <c r="AC11" s="151">
        <f>SUM('Aspirantes plan'!AC79:AC82)</f>
        <v>0</v>
      </c>
      <c r="AD11" s="152">
        <f>SUM('Aspirantes plan'!AD79:AD82)</f>
        <v>334</v>
      </c>
      <c r="AE11" s="103">
        <f>SUM(AC11:AD11)</f>
        <v>334</v>
      </c>
      <c r="AF11" s="151">
        <f>SUM('Aspirantes plan'!AF79:AF82)</f>
        <v>0</v>
      </c>
      <c r="AG11" s="152">
        <f>SUM('Aspirantes plan'!AG79:AG82)</f>
        <v>716</v>
      </c>
      <c r="AH11" s="103">
        <f>SUM(AF11:AG11)</f>
        <v>716</v>
      </c>
      <c r="AI11" s="151">
        <f>SUM('Aspirantes plan'!AI79:AI82)</f>
        <v>363</v>
      </c>
      <c r="AJ11" s="152">
        <f>SUM('Aspirantes plan'!AJ79:AJ82)</f>
        <v>788</v>
      </c>
      <c r="AK11" s="153">
        <f>SUM(AI11:AJ11)</f>
        <v>1151</v>
      </c>
      <c r="AL11" s="151">
        <f>SUM('Aspirantes plan'!AL79:AL82)</f>
        <v>458</v>
      </c>
      <c r="AM11" s="152">
        <f>SUM('Aspirantes plan'!AM79:AM82)</f>
        <v>1130</v>
      </c>
      <c r="AN11" s="103">
        <f>SUM(AL11:AM11)</f>
        <v>1588</v>
      </c>
      <c r="AO11" s="151">
        <f>SUM('Aspirantes plan'!AO79:AO82)</f>
        <v>470</v>
      </c>
      <c r="AP11" s="152">
        <f>SUM('Aspirantes plan'!AP79:AP82)</f>
        <v>1572</v>
      </c>
      <c r="AQ11" s="103">
        <f>SUM(AO11:AP11)</f>
        <v>2042</v>
      </c>
      <c r="AR11" s="151">
        <f>SUM('Aspirantes plan'!AR79:AR82)</f>
        <v>385</v>
      </c>
      <c r="AS11" s="152">
        <f>SUM('Aspirantes plan'!AS79:AS82)</f>
        <v>1608</v>
      </c>
      <c r="AT11" s="103">
        <f>SUM(AR11:AS11)</f>
        <v>1993</v>
      </c>
      <c r="AU11" s="151">
        <f>SUM('Aspirantes plan'!AU79:AU82)</f>
        <v>394</v>
      </c>
      <c r="AV11" s="152">
        <f>SUM('Aspirantes plan'!AV79:AV82)</f>
        <v>1679</v>
      </c>
      <c r="AW11" s="103">
        <f>SUM(AU11:AV11)</f>
        <v>2073</v>
      </c>
      <c r="AX11" s="151">
        <f>SUM('Aspirantes plan'!AX79:AX82)</f>
        <v>535</v>
      </c>
      <c r="AY11" s="152">
        <f>SUM('Aspirantes plan'!AY79:AY82)</f>
        <v>1334</v>
      </c>
      <c r="AZ11" s="103">
        <f>SUM(AX11:AY11)</f>
        <v>1869</v>
      </c>
      <c r="BA11" s="151">
        <f>SUM('Aspirantes plan'!BA79:BA82)</f>
        <v>458</v>
      </c>
      <c r="BB11" s="152">
        <f>SUM('Aspirantes plan'!BB79:BB82)</f>
        <v>1218</v>
      </c>
      <c r="BC11" s="103">
        <f>SUM(BA11:BB11)</f>
        <v>1676</v>
      </c>
      <c r="BD11" s="151">
        <f>SUM('Aspirantes plan'!BD79:BD82)</f>
        <v>484</v>
      </c>
      <c r="BE11" s="152">
        <f>SUM('Aspirantes plan'!BE79:BE82)</f>
        <v>1139</v>
      </c>
      <c r="BF11" s="103">
        <f>SUM(BD11:BE11)</f>
        <v>1623</v>
      </c>
      <c r="BG11" s="151">
        <f>SUM('Aspirantes plan'!BG79:BG82)</f>
        <v>559</v>
      </c>
      <c r="BH11" s="152">
        <f>SUM('Aspirantes plan'!BH79:BH82)</f>
        <v>1197</v>
      </c>
      <c r="BI11" s="103">
        <f>SUM(BG11:BH11)</f>
        <v>1756</v>
      </c>
    </row>
    <row r="12" spans="1:61" s="161" customFormat="1" ht="15" customHeight="1" x14ac:dyDescent="0.25">
      <c r="A12" s="154" t="s">
        <v>111</v>
      </c>
      <c r="B12" s="129"/>
      <c r="C12" s="130"/>
      <c r="D12" s="155"/>
      <c r="E12" s="129"/>
      <c r="F12" s="130"/>
      <c r="G12" s="155"/>
      <c r="H12" s="129"/>
      <c r="I12" s="130">
        <v>135</v>
      </c>
      <c r="J12" s="110">
        <v>135</v>
      </c>
      <c r="K12" s="130"/>
      <c r="L12" s="130">
        <v>89</v>
      </c>
      <c r="M12" s="110">
        <v>89</v>
      </c>
      <c r="N12" s="130"/>
      <c r="O12" s="130">
        <v>588</v>
      </c>
      <c r="P12" s="110">
        <v>588</v>
      </c>
      <c r="Q12" s="130"/>
      <c r="R12" s="130">
        <v>685</v>
      </c>
      <c r="S12" s="110">
        <v>685</v>
      </c>
      <c r="T12" s="129"/>
      <c r="U12" s="130">
        <v>879</v>
      </c>
      <c r="V12" s="110">
        <v>879</v>
      </c>
      <c r="W12" s="129"/>
      <c r="X12" s="130">
        <v>1094</v>
      </c>
      <c r="Y12" s="110">
        <v>1094</v>
      </c>
      <c r="Z12" s="129"/>
      <c r="AA12" s="130">
        <v>1011</v>
      </c>
      <c r="AB12" s="110">
        <v>1011</v>
      </c>
      <c r="AC12" s="129">
        <f>SUM('Aspirantes plan'!AC84:AC86)</f>
        <v>0</v>
      </c>
      <c r="AD12" s="130">
        <f>SUM('Aspirantes plan'!AD84:AD86)</f>
        <v>1001</v>
      </c>
      <c r="AE12" s="110">
        <f>SUM(AC12:AD12)</f>
        <v>1001</v>
      </c>
      <c r="AF12" s="129">
        <f>SUM('Aspirantes plan'!AF84:AF86)</f>
        <v>0</v>
      </c>
      <c r="AG12" s="130">
        <f>SUM('Aspirantes plan'!AG84:AG86)</f>
        <v>1887</v>
      </c>
      <c r="AH12" s="110">
        <f>SUM(AF12:AG12)</f>
        <v>1887</v>
      </c>
      <c r="AI12" s="129">
        <f>SUM('Aspirantes plan'!AI84:AI86)</f>
        <v>0</v>
      </c>
      <c r="AJ12" s="130">
        <f>SUM('Aspirantes plan'!AJ84:AJ86)</f>
        <v>1920</v>
      </c>
      <c r="AK12" s="155">
        <f>SUM(AI12:AJ12)</f>
        <v>1920</v>
      </c>
      <c r="AL12" s="129">
        <f>SUM('Aspirantes plan'!AL84:AL86)</f>
        <v>0</v>
      </c>
      <c r="AM12" s="130">
        <f>SUM('Aspirantes plan'!AM84:AM86)</f>
        <v>1926</v>
      </c>
      <c r="AN12" s="110">
        <f>SUM(AL12:AM12)</f>
        <v>1926</v>
      </c>
      <c r="AO12" s="129">
        <f>SUM('Aspirantes plan'!AO84:AO86)</f>
        <v>0</v>
      </c>
      <c r="AP12" s="130">
        <f>SUM('Aspirantes plan'!AP84:AP86)</f>
        <v>1866</v>
      </c>
      <c r="AQ12" s="110">
        <f>SUM(AO12:AP12)</f>
        <v>1866</v>
      </c>
      <c r="AR12" s="129">
        <f>SUM('Aspirantes plan'!AR84:AR86)</f>
        <v>0</v>
      </c>
      <c r="AS12" s="130">
        <f>SUM('Aspirantes plan'!AS84:AS86)</f>
        <v>1892</v>
      </c>
      <c r="AT12" s="110">
        <f>SUM(AR12:AS12)</f>
        <v>1892</v>
      </c>
      <c r="AU12" s="129">
        <f>SUM('Aspirantes plan'!AU84:AU86)</f>
        <v>0</v>
      </c>
      <c r="AV12" s="130">
        <f>SUM('Aspirantes plan'!AV84:AV86)</f>
        <v>1749</v>
      </c>
      <c r="AW12" s="110">
        <f>SUM(AU12:AV12)</f>
        <v>1749</v>
      </c>
      <c r="AX12" s="129">
        <f>SUM('Aspirantes plan'!AX84:AX86)</f>
        <v>0</v>
      </c>
      <c r="AY12" s="130">
        <f>SUM('Aspirantes plan'!AY84:AY86)</f>
        <v>1558</v>
      </c>
      <c r="AZ12" s="110">
        <f>SUM(AX12:AY12)</f>
        <v>1558</v>
      </c>
      <c r="BA12" s="129">
        <f>SUM('Aspirantes plan'!BA84:BA86)</f>
        <v>0</v>
      </c>
      <c r="BB12" s="130">
        <f>SUM('Aspirantes plan'!BB84:BB86)</f>
        <v>1418</v>
      </c>
      <c r="BC12" s="110">
        <f>SUM(BA12:BB12)</f>
        <v>1418</v>
      </c>
      <c r="BD12" s="129">
        <f>SUM('Aspirantes plan'!BD84:BD86)</f>
        <v>0</v>
      </c>
      <c r="BE12" s="130">
        <f>SUM('Aspirantes plan'!BE84:BE86)</f>
        <v>1532</v>
      </c>
      <c r="BF12" s="110">
        <f>SUM(BD12:BE12)</f>
        <v>1532</v>
      </c>
      <c r="BG12" s="129">
        <f>SUM('Aspirantes plan'!BG84:BG86)</f>
        <v>0</v>
      </c>
      <c r="BH12" s="130">
        <f>SUM('Aspirantes plan'!BH84:BH86)</f>
        <v>1527</v>
      </c>
      <c r="BI12" s="110">
        <f>SUM(BG12:BH12)</f>
        <v>1527</v>
      </c>
    </row>
    <row r="13" spans="1:61" s="161" customFormat="1" ht="15" customHeight="1" x14ac:dyDescent="0.25">
      <c r="A13" s="154" t="s">
        <v>115</v>
      </c>
      <c r="B13" s="129"/>
      <c r="C13" s="130"/>
      <c r="D13" s="155"/>
      <c r="E13" s="129"/>
      <c r="F13" s="130"/>
      <c r="G13" s="155"/>
      <c r="H13" s="129"/>
      <c r="I13" s="130">
        <v>209</v>
      </c>
      <c r="J13" s="156">
        <v>209</v>
      </c>
      <c r="K13" s="130"/>
      <c r="L13" s="130">
        <v>94</v>
      </c>
      <c r="M13" s="110">
        <v>94</v>
      </c>
      <c r="N13" s="130"/>
      <c r="O13" s="130">
        <v>169</v>
      </c>
      <c r="P13" s="110">
        <v>169</v>
      </c>
      <c r="Q13" s="130"/>
      <c r="R13" s="130">
        <v>246</v>
      </c>
      <c r="S13" s="110">
        <v>246</v>
      </c>
      <c r="T13" s="129"/>
      <c r="U13" s="130">
        <v>241</v>
      </c>
      <c r="V13" s="110">
        <v>241</v>
      </c>
      <c r="W13" s="129"/>
      <c r="X13" s="130">
        <v>444</v>
      </c>
      <c r="Y13" s="110">
        <v>444</v>
      </c>
      <c r="Z13" s="129"/>
      <c r="AA13" s="130">
        <v>380</v>
      </c>
      <c r="AB13" s="110">
        <v>380</v>
      </c>
      <c r="AC13" s="129">
        <f>SUM('Aspirantes plan'!AC88:AC91)</f>
        <v>0</v>
      </c>
      <c r="AD13" s="130">
        <f>SUM('Aspirantes plan'!AD88:AD91)</f>
        <v>363</v>
      </c>
      <c r="AE13" s="110">
        <f>SUM(AC13:AD13)</f>
        <v>363</v>
      </c>
      <c r="AF13" s="129">
        <f>SUM('Aspirantes plan'!AF88:AF91)</f>
        <v>0</v>
      </c>
      <c r="AG13" s="130">
        <f>SUM('Aspirantes plan'!AG88:AG91)</f>
        <v>770</v>
      </c>
      <c r="AH13" s="110">
        <f>SUM(AF13:AG13)</f>
        <v>770</v>
      </c>
      <c r="AI13" s="129">
        <f>SUM('Aspirantes plan'!AI88:AI91)</f>
        <v>0</v>
      </c>
      <c r="AJ13" s="130">
        <f>SUM('Aspirantes plan'!AJ88:AJ91)</f>
        <v>849</v>
      </c>
      <c r="AK13" s="155">
        <f>SUM(AI13:AJ13)</f>
        <v>849</v>
      </c>
      <c r="AL13" s="129">
        <f>SUM('Aspirantes plan'!AL88:AL91)</f>
        <v>0</v>
      </c>
      <c r="AM13" s="130">
        <f>SUM('Aspirantes plan'!AM88:AM91)</f>
        <v>955</v>
      </c>
      <c r="AN13" s="110">
        <f>SUM(AL13:AM13)</f>
        <v>955</v>
      </c>
      <c r="AO13" s="129">
        <f>SUM('Aspirantes plan'!AO88:AO91)</f>
        <v>0</v>
      </c>
      <c r="AP13" s="130">
        <f>SUM('Aspirantes plan'!AP88:AP91)</f>
        <v>1005</v>
      </c>
      <c r="AQ13" s="110">
        <f>SUM(AO13:AP13)</f>
        <v>1005</v>
      </c>
      <c r="AR13" s="129">
        <f>SUM('Aspirantes plan'!AR88:AR91)</f>
        <v>0</v>
      </c>
      <c r="AS13" s="130">
        <f>SUM('Aspirantes plan'!AS88:AS91)</f>
        <v>993</v>
      </c>
      <c r="AT13" s="110">
        <f>SUM(AR13:AS13)</f>
        <v>993</v>
      </c>
      <c r="AU13" s="129">
        <f>SUM('Aspirantes plan'!AU88:AU91)</f>
        <v>0</v>
      </c>
      <c r="AV13" s="130">
        <f>SUM('Aspirantes plan'!AV88:AV91)</f>
        <v>1171</v>
      </c>
      <c r="AW13" s="110">
        <f>SUM(AU13:AV13)</f>
        <v>1171</v>
      </c>
      <c r="AX13" s="129">
        <f>SUM('Aspirantes plan'!AX88:AX91)</f>
        <v>0</v>
      </c>
      <c r="AY13" s="130">
        <f>SUM('Aspirantes plan'!AY88:AY91)</f>
        <v>1057</v>
      </c>
      <c r="AZ13" s="110">
        <f>SUM(AX13:AY13)</f>
        <v>1057</v>
      </c>
      <c r="BA13" s="129">
        <f>SUM('Aspirantes plan'!BA88:BA91)</f>
        <v>0</v>
      </c>
      <c r="BB13" s="130">
        <f>SUM('Aspirantes plan'!BB88:BB91)</f>
        <v>1046</v>
      </c>
      <c r="BC13" s="110">
        <f>SUM(BA13:BB13)</f>
        <v>1046</v>
      </c>
      <c r="BD13" s="129">
        <f>SUM('Aspirantes plan'!BD88:BD91)</f>
        <v>0</v>
      </c>
      <c r="BE13" s="130">
        <f>SUM('Aspirantes plan'!BE88:BE91)</f>
        <v>835</v>
      </c>
      <c r="BF13" s="110">
        <f>SUM(BD13:BE13)</f>
        <v>835</v>
      </c>
      <c r="BG13" s="129">
        <f>SUM('Aspirantes plan'!BG88:BG91)</f>
        <v>0</v>
      </c>
      <c r="BH13" s="130">
        <f>SUM('Aspirantes plan'!BH88:BH91)</f>
        <v>854</v>
      </c>
      <c r="BI13" s="110">
        <f>SUM(BG13:BH13)</f>
        <v>854</v>
      </c>
    </row>
    <row r="14" spans="1:61" s="161" customFormat="1" ht="15" customHeight="1" x14ac:dyDescent="0.25">
      <c r="A14" s="166" t="s">
        <v>134</v>
      </c>
      <c r="B14" s="167"/>
      <c r="C14" s="168"/>
      <c r="D14" s="168"/>
      <c r="E14" s="167"/>
      <c r="F14" s="168"/>
      <c r="G14" s="168"/>
      <c r="H14" s="167"/>
      <c r="I14" s="168">
        <v>826</v>
      </c>
      <c r="J14" s="169">
        <v>826</v>
      </c>
      <c r="K14" s="168"/>
      <c r="L14" s="168">
        <v>286</v>
      </c>
      <c r="M14" s="169">
        <v>286</v>
      </c>
      <c r="N14" s="168"/>
      <c r="O14" s="168">
        <v>927</v>
      </c>
      <c r="P14" s="169">
        <v>927</v>
      </c>
      <c r="Q14" s="168"/>
      <c r="R14" s="168">
        <v>1153</v>
      </c>
      <c r="S14" s="169">
        <v>1153</v>
      </c>
      <c r="T14" s="167"/>
      <c r="U14" s="168">
        <v>1362</v>
      </c>
      <c r="V14" s="169">
        <v>1362</v>
      </c>
      <c r="W14" s="167"/>
      <c r="X14" s="168">
        <v>1844</v>
      </c>
      <c r="Y14" s="169">
        <v>1844</v>
      </c>
      <c r="Z14" s="167"/>
      <c r="AA14" s="168">
        <v>1712</v>
      </c>
      <c r="AB14" s="169">
        <v>1712</v>
      </c>
      <c r="AC14" s="167">
        <f t="shared" ref="AC14:BC14" si="3">SUM(AC11:AC13)</f>
        <v>0</v>
      </c>
      <c r="AD14" s="168">
        <f t="shared" si="3"/>
        <v>1698</v>
      </c>
      <c r="AE14" s="169">
        <f t="shared" si="3"/>
        <v>1698</v>
      </c>
      <c r="AF14" s="167">
        <f t="shared" si="3"/>
        <v>0</v>
      </c>
      <c r="AG14" s="168">
        <f t="shared" si="3"/>
        <v>3373</v>
      </c>
      <c r="AH14" s="169">
        <f t="shared" si="3"/>
        <v>3373</v>
      </c>
      <c r="AI14" s="167">
        <f t="shared" si="3"/>
        <v>363</v>
      </c>
      <c r="AJ14" s="168">
        <f t="shared" si="3"/>
        <v>3557</v>
      </c>
      <c r="AK14" s="168">
        <f t="shared" si="3"/>
        <v>3920</v>
      </c>
      <c r="AL14" s="167">
        <f t="shared" si="3"/>
        <v>458</v>
      </c>
      <c r="AM14" s="168">
        <f t="shared" si="3"/>
        <v>4011</v>
      </c>
      <c r="AN14" s="169">
        <f t="shared" si="3"/>
        <v>4469</v>
      </c>
      <c r="AO14" s="167">
        <f t="shared" si="3"/>
        <v>470</v>
      </c>
      <c r="AP14" s="168">
        <f t="shared" si="3"/>
        <v>4443</v>
      </c>
      <c r="AQ14" s="169">
        <f t="shared" si="3"/>
        <v>4913</v>
      </c>
      <c r="AR14" s="167">
        <f t="shared" si="3"/>
        <v>385</v>
      </c>
      <c r="AS14" s="168">
        <f t="shared" si="3"/>
        <v>4493</v>
      </c>
      <c r="AT14" s="169">
        <f t="shared" si="3"/>
        <v>4878</v>
      </c>
      <c r="AU14" s="167">
        <f t="shared" si="3"/>
        <v>394</v>
      </c>
      <c r="AV14" s="168">
        <f t="shared" si="3"/>
        <v>4599</v>
      </c>
      <c r="AW14" s="169">
        <f t="shared" si="3"/>
        <v>4993</v>
      </c>
      <c r="AX14" s="167">
        <f t="shared" si="3"/>
        <v>535</v>
      </c>
      <c r="AY14" s="168">
        <f t="shared" si="3"/>
        <v>3949</v>
      </c>
      <c r="AZ14" s="169">
        <f t="shared" si="3"/>
        <v>4484</v>
      </c>
      <c r="BA14" s="167">
        <f t="shared" si="3"/>
        <v>458</v>
      </c>
      <c r="BB14" s="168">
        <f t="shared" si="3"/>
        <v>3682</v>
      </c>
      <c r="BC14" s="169">
        <f t="shared" si="3"/>
        <v>4140</v>
      </c>
      <c r="BD14" s="167">
        <f t="shared" ref="BD14:BF14" si="4">SUM(BD11:BD13)</f>
        <v>484</v>
      </c>
      <c r="BE14" s="168">
        <f t="shared" si="4"/>
        <v>3506</v>
      </c>
      <c r="BF14" s="169">
        <f t="shared" si="4"/>
        <v>3990</v>
      </c>
      <c r="BG14" s="167">
        <f t="shared" ref="BG14:BI14" si="5">SUM(BG11:BG13)</f>
        <v>559</v>
      </c>
      <c r="BH14" s="168">
        <f t="shared" si="5"/>
        <v>3578</v>
      </c>
      <c r="BI14" s="169">
        <f t="shared" si="5"/>
        <v>4137</v>
      </c>
    </row>
    <row r="15" spans="1:61" s="161" customFormat="1" ht="15" customHeight="1" x14ac:dyDescent="0.25">
      <c r="A15" s="170"/>
      <c r="B15" s="171"/>
      <c r="C15" s="171"/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  <c r="R15" s="171"/>
      <c r="S15" s="171"/>
      <c r="T15" s="171"/>
      <c r="U15" s="171"/>
      <c r="V15" s="171"/>
      <c r="W15" s="171"/>
      <c r="X15" s="171"/>
      <c r="Y15" s="171"/>
      <c r="Z15" s="171"/>
      <c r="AA15" s="171"/>
      <c r="AB15" s="171"/>
      <c r="AC15" s="171"/>
      <c r="AD15" s="171"/>
      <c r="AE15" s="171"/>
      <c r="AF15" s="171"/>
      <c r="AG15" s="171"/>
      <c r="AH15" s="171"/>
      <c r="AI15" s="171"/>
      <c r="AJ15" s="171"/>
      <c r="AK15" s="171"/>
      <c r="AL15" s="172"/>
      <c r="AM15" s="173"/>
      <c r="AN15" s="171"/>
      <c r="AO15" s="171"/>
      <c r="AP15" s="171"/>
      <c r="AQ15" s="171"/>
      <c r="AR15" s="171"/>
      <c r="AS15" s="171"/>
      <c r="AT15" s="171"/>
      <c r="AU15" s="171"/>
      <c r="AV15" s="171"/>
      <c r="AW15" s="171"/>
      <c r="AX15" s="171"/>
      <c r="AY15" s="171"/>
      <c r="AZ15" s="171"/>
      <c r="BA15" s="171"/>
      <c r="BB15" s="171"/>
      <c r="BC15" s="171"/>
      <c r="BD15" s="171"/>
      <c r="BE15" s="171"/>
      <c r="BF15" s="171"/>
      <c r="BG15" s="171"/>
      <c r="BH15" s="171"/>
      <c r="BI15" s="171"/>
    </row>
    <row r="16" spans="1:61" s="38" customFormat="1" ht="15" customHeight="1" x14ac:dyDescent="0.25">
      <c r="A16" s="150" t="s">
        <v>59</v>
      </c>
      <c r="B16" s="151">
        <v>1159</v>
      </c>
      <c r="C16" s="152">
        <v>2440</v>
      </c>
      <c r="D16" s="153">
        <v>3599</v>
      </c>
      <c r="E16" s="151">
        <v>902</v>
      </c>
      <c r="F16" s="152">
        <v>2050</v>
      </c>
      <c r="G16" s="153">
        <v>2952</v>
      </c>
      <c r="H16" s="151">
        <v>978</v>
      </c>
      <c r="I16" s="152">
        <v>2254</v>
      </c>
      <c r="J16" s="103">
        <v>3232</v>
      </c>
      <c r="K16" s="152">
        <v>1062</v>
      </c>
      <c r="L16" s="152">
        <v>1947</v>
      </c>
      <c r="M16" s="103">
        <v>3009</v>
      </c>
      <c r="N16" s="152">
        <v>850</v>
      </c>
      <c r="O16" s="152">
        <v>2003</v>
      </c>
      <c r="P16" s="103">
        <v>2853</v>
      </c>
      <c r="Q16" s="152">
        <v>965</v>
      </c>
      <c r="R16" s="152">
        <v>2088</v>
      </c>
      <c r="S16" s="103">
        <v>3053</v>
      </c>
      <c r="T16" s="151">
        <v>983</v>
      </c>
      <c r="U16" s="152">
        <v>2386</v>
      </c>
      <c r="V16" s="103">
        <v>3369</v>
      </c>
      <c r="W16" s="151">
        <v>269</v>
      </c>
      <c r="X16" s="152">
        <v>2835</v>
      </c>
      <c r="Y16" s="103">
        <f>SUM(W16:X16)</f>
        <v>3104</v>
      </c>
      <c r="Z16" s="151">
        <v>316</v>
      </c>
      <c r="AA16" s="152">
        <v>2765</v>
      </c>
      <c r="AB16" s="103">
        <f>SUM(Z16:AA16)</f>
        <v>3081</v>
      </c>
      <c r="AC16" s="151">
        <f>SUM('Aspirantes plan'!AC26:AC34)</f>
        <v>320</v>
      </c>
      <c r="AD16" s="152">
        <f>SUM('Aspirantes plan'!AD26:AD34)</f>
        <v>3270</v>
      </c>
      <c r="AE16" s="103">
        <f>SUM(AC16:AD16)</f>
        <v>3590</v>
      </c>
      <c r="AF16" s="151">
        <f>SUM('Aspirantes plan'!AF26:AF34)</f>
        <v>385</v>
      </c>
      <c r="AG16" s="152">
        <f>SUM('Aspirantes plan'!AG26:AG34)</f>
        <v>3268</v>
      </c>
      <c r="AH16" s="103">
        <f>SUM(AF16:AG16)</f>
        <v>3653</v>
      </c>
      <c r="AI16" s="151">
        <f>SUM('Aspirantes plan'!AI26:AI34)</f>
        <v>360</v>
      </c>
      <c r="AJ16" s="152">
        <f>SUM('Aspirantes plan'!AJ26:AJ34)</f>
        <v>3274</v>
      </c>
      <c r="AK16" s="153">
        <f>SUM(AI16:AJ16)</f>
        <v>3634</v>
      </c>
      <c r="AL16" s="151">
        <f>SUM('Aspirantes plan'!AL26:AL34)</f>
        <v>436</v>
      </c>
      <c r="AM16" s="152">
        <f>SUM('Aspirantes plan'!AM26:AM34)</f>
        <v>3695</v>
      </c>
      <c r="AN16" s="103">
        <f>SUM(AL16:AM16)</f>
        <v>4131</v>
      </c>
      <c r="AO16" s="151">
        <f>SUM('Aspirantes plan'!AO26:AO34)</f>
        <v>396</v>
      </c>
      <c r="AP16" s="152">
        <f>SUM('Aspirantes plan'!AP26:AP35)</f>
        <v>3979</v>
      </c>
      <c r="AQ16" s="103">
        <f>SUM(AO16:AP16)</f>
        <v>4375</v>
      </c>
      <c r="AR16" s="151">
        <f>SUM('Aspirantes plan'!AR26:AR34)</f>
        <v>0</v>
      </c>
      <c r="AS16" s="152">
        <f>SUM('Aspirantes plan'!AS26:AS35)</f>
        <v>3933</v>
      </c>
      <c r="AT16" s="103">
        <f>SUM(AR16:AS16)</f>
        <v>3933</v>
      </c>
      <c r="AU16" s="151">
        <f>SUM('Aspirantes plan'!AU26:AU34)</f>
        <v>0</v>
      </c>
      <c r="AV16" s="152">
        <f>SUM('Aspirantes plan'!AV26:AV35)</f>
        <v>4345</v>
      </c>
      <c r="AW16" s="103">
        <f>SUM(AU16:AV16)</f>
        <v>4345</v>
      </c>
      <c r="AX16" s="151">
        <f>SUM('Aspirantes plan'!AX26:AX34)</f>
        <v>0</v>
      </c>
      <c r="AY16" s="152">
        <f>SUM('Aspirantes plan'!AY26:AY35)</f>
        <v>3377</v>
      </c>
      <c r="AZ16" s="103">
        <f>SUM(AX16:AY16)</f>
        <v>3377</v>
      </c>
      <c r="BA16" s="151">
        <f>SUM('Aspirantes plan'!BA26:BA34)</f>
        <v>0</v>
      </c>
      <c r="BB16" s="152">
        <f>SUM('Aspirantes plan'!BB26:BB35)</f>
        <v>2611</v>
      </c>
      <c r="BC16" s="103">
        <f>SUM(BA16:BB16)</f>
        <v>2611</v>
      </c>
      <c r="BD16" s="151">
        <f>SUM('Aspirantes plan'!BD26:BD34)</f>
        <v>0</v>
      </c>
      <c r="BE16" s="152">
        <f>SUM('Aspirantes plan'!BE26:BE35)</f>
        <v>2209</v>
      </c>
      <c r="BF16" s="103">
        <f>SUM(BD16:BE16)</f>
        <v>2209</v>
      </c>
      <c r="BG16" s="151">
        <f>SUM('Aspirantes plan'!BG26:BG34)</f>
        <v>0</v>
      </c>
      <c r="BH16" s="152">
        <f>SUM('Aspirantes plan'!BH26:BH35)</f>
        <v>2371</v>
      </c>
      <c r="BI16" s="103">
        <f>SUM(BG16:BH16)</f>
        <v>2371</v>
      </c>
    </row>
    <row r="17" spans="1:61" s="38" customFormat="1" ht="15" customHeight="1" x14ac:dyDescent="0.25">
      <c r="A17" s="154" t="s">
        <v>64</v>
      </c>
      <c r="B17" s="129">
        <v>1046</v>
      </c>
      <c r="C17" s="130">
        <v>3757</v>
      </c>
      <c r="D17" s="155">
        <v>4803</v>
      </c>
      <c r="E17" s="129">
        <v>913</v>
      </c>
      <c r="F17" s="130">
        <v>3561</v>
      </c>
      <c r="G17" s="155">
        <v>4474</v>
      </c>
      <c r="H17" s="129">
        <v>1024</v>
      </c>
      <c r="I17" s="130">
        <v>3941</v>
      </c>
      <c r="J17" s="110">
        <v>4965</v>
      </c>
      <c r="K17" s="130">
        <v>1060</v>
      </c>
      <c r="L17" s="130">
        <v>4203</v>
      </c>
      <c r="M17" s="110">
        <v>5263</v>
      </c>
      <c r="N17" s="130">
        <v>1072</v>
      </c>
      <c r="O17" s="130">
        <v>4348</v>
      </c>
      <c r="P17" s="110">
        <v>5420</v>
      </c>
      <c r="Q17" s="130">
        <v>1146</v>
      </c>
      <c r="R17" s="130">
        <v>4829</v>
      </c>
      <c r="S17" s="110">
        <v>5975</v>
      </c>
      <c r="T17" s="129">
        <v>1197</v>
      </c>
      <c r="U17" s="130">
        <v>5275</v>
      </c>
      <c r="V17" s="110">
        <v>6472</v>
      </c>
      <c r="W17" s="129">
        <v>1376</v>
      </c>
      <c r="X17" s="130">
        <v>6022</v>
      </c>
      <c r="Y17" s="110">
        <f>SUM(W17:X17)</f>
        <v>7398</v>
      </c>
      <c r="Z17" s="129">
        <v>1523</v>
      </c>
      <c r="AA17" s="130">
        <v>5800</v>
      </c>
      <c r="AB17" s="110">
        <f>SUM(Z17:AA17)</f>
        <v>7323</v>
      </c>
      <c r="AC17" s="129">
        <f>SUM('Aspirantes plan'!AC37:AC47)</f>
        <v>1555</v>
      </c>
      <c r="AD17" s="130">
        <f>SUM('Aspirantes plan'!AD37:AD47)</f>
        <v>6758</v>
      </c>
      <c r="AE17" s="110">
        <f>SUM(AC17:AD17)</f>
        <v>8313</v>
      </c>
      <c r="AF17" s="129">
        <f>SUM('Aspirantes plan'!AF37:AF47)</f>
        <v>1470</v>
      </c>
      <c r="AG17" s="130">
        <f>SUM('Aspirantes plan'!AG37:AG47)</f>
        <v>6737</v>
      </c>
      <c r="AH17" s="110">
        <f>SUM(AF17:AG17)</f>
        <v>8207</v>
      </c>
      <c r="AI17" s="129">
        <f>SUM('Aspirantes plan'!AI37:AI47)</f>
        <v>1292</v>
      </c>
      <c r="AJ17" s="130">
        <f>SUM('Aspirantes plan'!AJ37:AJ47)</f>
        <v>6544</v>
      </c>
      <c r="AK17" s="155">
        <f>SUM(AI17:AJ17)</f>
        <v>7836</v>
      </c>
      <c r="AL17" s="129">
        <f>SUM('Aspirantes plan'!AL37:AL47)</f>
        <v>1416</v>
      </c>
      <c r="AM17" s="130">
        <f>SUM('Aspirantes plan'!AM37:AM47)</f>
        <v>6739</v>
      </c>
      <c r="AN17" s="110">
        <f>SUM(AL17:AM17)</f>
        <v>8155</v>
      </c>
      <c r="AO17" s="129">
        <f>SUM('Aspirantes plan'!AO37:AO47)</f>
        <v>1421</v>
      </c>
      <c r="AP17" s="130">
        <f>SUM('Aspirantes plan'!AP37:AP47)</f>
        <v>6678</v>
      </c>
      <c r="AQ17" s="110">
        <f>SUM(AO17:AP17)</f>
        <v>8099</v>
      </c>
      <c r="AR17" s="129">
        <f>SUM('Aspirantes plan'!AR37:AR47)</f>
        <v>1298</v>
      </c>
      <c r="AS17" s="130">
        <f>SUM('Aspirantes plan'!AS37:AS47)</f>
        <v>6545</v>
      </c>
      <c r="AT17" s="110">
        <f>SUM(AR17:AS17)</f>
        <v>7843</v>
      </c>
      <c r="AU17" s="129">
        <f>SUM('Aspirantes plan'!AU37:AU47)</f>
        <v>1145</v>
      </c>
      <c r="AV17" s="130">
        <f>SUM('Aspirantes plan'!AV37:AV47)</f>
        <v>6409</v>
      </c>
      <c r="AW17" s="110">
        <f>SUM(AU17:AV17)</f>
        <v>7554</v>
      </c>
      <c r="AX17" s="129">
        <f>SUM('Aspirantes plan'!AX37:AX47)</f>
        <v>1367</v>
      </c>
      <c r="AY17" s="130">
        <f>SUM('Aspirantes plan'!AY37:AY47)</f>
        <v>4580</v>
      </c>
      <c r="AZ17" s="110">
        <f>SUM(AX17:AY17)</f>
        <v>5947</v>
      </c>
      <c r="BA17" s="129">
        <f>SUM('Aspirantes plan'!BA37:BA47)</f>
        <v>1177</v>
      </c>
      <c r="BB17" s="130">
        <f>SUM('Aspirantes plan'!BB37:BB47)</f>
        <v>3600</v>
      </c>
      <c r="BC17" s="110">
        <f>SUM(BA17:BB17)</f>
        <v>4777</v>
      </c>
      <c r="BD17" s="129">
        <f>SUM('Aspirantes plan'!BD37:BD47)</f>
        <v>1327</v>
      </c>
      <c r="BE17" s="130">
        <f>SUM('Aspirantes plan'!BE37:BE47)</f>
        <v>2921</v>
      </c>
      <c r="BF17" s="110">
        <f>SUM(BD17:BE17)</f>
        <v>4248</v>
      </c>
      <c r="BG17" s="129">
        <f>SUM('Aspirantes plan'!BG37:BG47)</f>
        <v>1489</v>
      </c>
      <c r="BH17" s="130">
        <f>SUM('Aspirantes plan'!BH37:BH47)</f>
        <v>3191</v>
      </c>
      <c r="BI17" s="110">
        <f>SUM(BG17:BH17)</f>
        <v>4680</v>
      </c>
    </row>
    <row r="18" spans="1:61" s="38" customFormat="1" ht="15" customHeight="1" x14ac:dyDescent="0.25">
      <c r="A18" s="154" t="s">
        <v>92</v>
      </c>
      <c r="B18" s="129">
        <v>340</v>
      </c>
      <c r="C18" s="130">
        <v>854</v>
      </c>
      <c r="D18" s="155">
        <v>1194</v>
      </c>
      <c r="E18" s="129">
        <v>332</v>
      </c>
      <c r="F18" s="130">
        <v>917</v>
      </c>
      <c r="G18" s="155">
        <v>1249</v>
      </c>
      <c r="H18" s="129">
        <v>339</v>
      </c>
      <c r="I18" s="130">
        <v>1021</v>
      </c>
      <c r="J18" s="156">
        <v>1360</v>
      </c>
      <c r="K18" s="130">
        <v>414</v>
      </c>
      <c r="L18" s="130">
        <v>1070</v>
      </c>
      <c r="M18" s="110">
        <v>1484</v>
      </c>
      <c r="N18" s="130">
        <v>401</v>
      </c>
      <c r="O18" s="130">
        <v>1044</v>
      </c>
      <c r="P18" s="110">
        <v>1445</v>
      </c>
      <c r="Q18" s="130">
        <v>498</v>
      </c>
      <c r="R18" s="130">
        <v>1398</v>
      </c>
      <c r="S18" s="110">
        <v>1896</v>
      </c>
      <c r="T18" s="129">
        <v>581</v>
      </c>
      <c r="U18" s="130">
        <v>1615</v>
      </c>
      <c r="V18" s="110">
        <v>2196</v>
      </c>
      <c r="W18" s="129">
        <v>664</v>
      </c>
      <c r="X18" s="130">
        <v>1730</v>
      </c>
      <c r="Y18" s="110">
        <f>SUM(W18:X18)</f>
        <v>2394</v>
      </c>
      <c r="Z18" s="129">
        <v>886</v>
      </c>
      <c r="AA18" s="130">
        <v>1718</v>
      </c>
      <c r="AB18" s="110">
        <f>SUM(Z18:AA18)</f>
        <v>2604</v>
      </c>
      <c r="AC18" s="129">
        <f>SUM('Aspirantes plan'!AC49:AC54)</f>
        <v>858</v>
      </c>
      <c r="AD18" s="130">
        <f>SUM('Aspirantes plan'!AD49:AD54)</f>
        <v>1970</v>
      </c>
      <c r="AE18" s="110">
        <f>SUM(AC18:AD18)</f>
        <v>2828</v>
      </c>
      <c r="AF18" s="129">
        <f>SUM('Aspirantes plan'!AF49:AF54)</f>
        <v>810</v>
      </c>
      <c r="AG18" s="130">
        <f>SUM('Aspirantes plan'!AG49:AG54)</f>
        <v>2020</v>
      </c>
      <c r="AH18" s="110">
        <f>SUM(AF18:AG18)</f>
        <v>2830</v>
      </c>
      <c r="AI18" s="129">
        <f>SUM('Aspirantes plan'!AI49:AI54)</f>
        <v>782</v>
      </c>
      <c r="AJ18" s="130">
        <f>SUM('Aspirantes plan'!AJ49:AJ54)</f>
        <v>2191</v>
      </c>
      <c r="AK18" s="155">
        <f>SUM(AI18:AJ18)</f>
        <v>2973</v>
      </c>
      <c r="AL18" s="129">
        <f>SUM('Aspirantes plan'!AL49:AL54)</f>
        <v>887</v>
      </c>
      <c r="AM18" s="130">
        <f>SUM('Aspirantes plan'!AM49:AM54)</f>
        <v>2228</v>
      </c>
      <c r="AN18" s="110">
        <f>SUM(AL18:AM18)</f>
        <v>3115</v>
      </c>
      <c r="AO18" s="129">
        <f>SUM('Aspirantes plan'!AO49:AO54)</f>
        <v>910</v>
      </c>
      <c r="AP18" s="130">
        <f>SUM('Aspirantes plan'!AP49:AP54)</f>
        <v>2257</v>
      </c>
      <c r="AQ18" s="110">
        <f>SUM(AO18:AP18)</f>
        <v>3167</v>
      </c>
      <c r="AR18" s="129">
        <f>SUM('Aspirantes plan'!AR49:AR54)</f>
        <v>923</v>
      </c>
      <c r="AS18" s="130">
        <f>SUM('Aspirantes plan'!AS49:AS54)</f>
        <v>2276</v>
      </c>
      <c r="AT18" s="110">
        <f>SUM(AR18:AS18)</f>
        <v>3199</v>
      </c>
      <c r="AU18" s="129">
        <f>SUM('Aspirantes plan'!AU49:AU54)</f>
        <v>939</v>
      </c>
      <c r="AV18" s="130">
        <f>SUM('Aspirantes plan'!AV49:AV54)</f>
        <v>2402</v>
      </c>
      <c r="AW18" s="110">
        <f>SUM(AU18:AV18)</f>
        <v>3341</v>
      </c>
      <c r="AX18" s="129">
        <f>SUM('Aspirantes plan'!AX49:AX54)</f>
        <v>1280</v>
      </c>
      <c r="AY18" s="130">
        <f>SUM('Aspirantes plan'!AY49:AY54)</f>
        <v>1858</v>
      </c>
      <c r="AZ18" s="110">
        <f>SUM(AX18:AY18)</f>
        <v>3138</v>
      </c>
      <c r="BA18" s="129">
        <f>SUM('Aspirantes plan'!BA49:BA54)</f>
        <v>1031</v>
      </c>
      <c r="BB18" s="130">
        <f>SUM('Aspirantes plan'!BB49:BB54)</f>
        <v>1182</v>
      </c>
      <c r="BC18" s="110">
        <f>SUM(BA18:BB18)</f>
        <v>2213</v>
      </c>
      <c r="BD18" s="129">
        <f>SUM('Aspirantes plan'!BD49:BD54)</f>
        <v>957</v>
      </c>
      <c r="BE18" s="130">
        <f>SUM('Aspirantes plan'!BE49:BE54)</f>
        <v>832</v>
      </c>
      <c r="BF18" s="110">
        <f>SUM(BD18:BE18)</f>
        <v>1789</v>
      </c>
      <c r="BG18" s="129">
        <f>SUM('Aspirantes plan'!BG49:BG54)</f>
        <v>859</v>
      </c>
      <c r="BH18" s="130">
        <f>SUM('Aspirantes plan'!BH49:BH54)</f>
        <v>1009</v>
      </c>
      <c r="BI18" s="110">
        <f>SUM(BG18:BH18)</f>
        <v>1868</v>
      </c>
    </row>
    <row r="19" spans="1:61" s="161" customFormat="1" ht="15" customHeight="1" x14ac:dyDescent="0.25">
      <c r="A19" s="174" t="s">
        <v>135</v>
      </c>
      <c r="B19" s="175">
        <v>2545</v>
      </c>
      <c r="C19" s="176">
        <v>7051</v>
      </c>
      <c r="D19" s="176">
        <v>9596</v>
      </c>
      <c r="E19" s="175">
        <v>2147</v>
      </c>
      <c r="F19" s="176">
        <v>6528</v>
      </c>
      <c r="G19" s="176">
        <v>8675</v>
      </c>
      <c r="H19" s="175">
        <v>2341</v>
      </c>
      <c r="I19" s="176">
        <v>7216</v>
      </c>
      <c r="J19" s="177">
        <v>9557</v>
      </c>
      <c r="K19" s="176">
        <v>2536</v>
      </c>
      <c r="L19" s="176">
        <v>7220</v>
      </c>
      <c r="M19" s="177">
        <v>9756</v>
      </c>
      <c r="N19" s="176">
        <v>2323</v>
      </c>
      <c r="O19" s="176">
        <v>7395</v>
      </c>
      <c r="P19" s="177">
        <v>9718</v>
      </c>
      <c r="Q19" s="176">
        <v>2609</v>
      </c>
      <c r="R19" s="176">
        <v>8315</v>
      </c>
      <c r="S19" s="177">
        <v>10924</v>
      </c>
      <c r="T19" s="175">
        <v>2761</v>
      </c>
      <c r="U19" s="176">
        <v>9276</v>
      </c>
      <c r="V19" s="177">
        <v>12037</v>
      </c>
      <c r="W19" s="175">
        <f>SUM(W16:W18)</f>
        <v>2309</v>
      </c>
      <c r="X19" s="176">
        <v>10587</v>
      </c>
      <c r="Y19" s="177">
        <f>SUM(W19:X19)</f>
        <v>12896</v>
      </c>
      <c r="Z19" s="175">
        <f>SUM(Z16:Z18)</f>
        <v>2725</v>
      </c>
      <c r="AA19" s="176">
        <v>10283</v>
      </c>
      <c r="AB19" s="177">
        <f>SUM(Z19:AA19)</f>
        <v>13008</v>
      </c>
      <c r="AC19" s="175">
        <f t="shared" ref="AC19:BC19" si="6">SUM(AC16:AC18)</f>
        <v>2733</v>
      </c>
      <c r="AD19" s="176">
        <f t="shared" si="6"/>
        <v>11998</v>
      </c>
      <c r="AE19" s="177">
        <f t="shared" si="6"/>
        <v>14731</v>
      </c>
      <c r="AF19" s="175">
        <f t="shared" si="6"/>
        <v>2665</v>
      </c>
      <c r="AG19" s="176">
        <f t="shared" si="6"/>
        <v>12025</v>
      </c>
      <c r="AH19" s="177">
        <f t="shared" si="6"/>
        <v>14690</v>
      </c>
      <c r="AI19" s="175">
        <f t="shared" si="6"/>
        <v>2434</v>
      </c>
      <c r="AJ19" s="176">
        <f t="shared" si="6"/>
        <v>12009</v>
      </c>
      <c r="AK19" s="176">
        <f t="shared" si="6"/>
        <v>14443</v>
      </c>
      <c r="AL19" s="175">
        <f t="shared" si="6"/>
        <v>2739</v>
      </c>
      <c r="AM19" s="176">
        <f t="shared" si="6"/>
        <v>12662</v>
      </c>
      <c r="AN19" s="177">
        <f t="shared" si="6"/>
        <v>15401</v>
      </c>
      <c r="AO19" s="175">
        <f t="shared" si="6"/>
        <v>2727</v>
      </c>
      <c r="AP19" s="176">
        <f t="shared" si="6"/>
        <v>12914</v>
      </c>
      <c r="AQ19" s="177">
        <f t="shared" si="6"/>
        <v>15641</v>
      </c>
      <c r="AR19" s="175">
        <f t="shared" si="6"/>
        <v>2221</v>
      </c>
      <c r="AS19" s="176">
        <f t="shared" si="6"/>
        <v>12754</v>
      </c>
      <c r="AT19" s="177">
        <f t="shared" si="6"/>
        <v>14975</v>
      </c>
      <c r="AU19" s="175">
        <f t="shared" si="6"/>
        <v>2084</v>
      </c>
      <c r="AV19" s="176">
        <f t="shared" si="6"/>
        <v>13156</v>
      </c>
      <c r="AW19" s="177">
        <f t="shared" si="6"/>
        <v>15240</v>
      </c>
      <c r="AX19" s="175">
        <f t="shared" si="6"/>
        <v>2647</v>
      </c>
      <c r="AY19" s="176">
        <f t="shared" si="6"/>
        <v>9815</v>
      </c>
      <c r="AZ19" s="177">
        <f t="shared" si="6"/>
        <v>12462</v>
      </c>
      <c r="BA19" s="175">
        <f t="shared" si="6"/>
        <v>2208</v>
      </c>
      <c r="BB19" s="176">
        <f t="shared" si="6"/>
        <v>7393</v>
      </c>
      <c r="BC19" s="177">
        <f t="shared" si="6"/>
        <v>9601</v>
      </c>
      <c r="BD19" s="175">
        <f t="shared" ref="BD19:BF19" si="7">SUM(BD16:BD18)</f>
        <v>2284</v>
      </c>
      <c r="BE19" s="176">
        <f t="shared" si="7"/>
        <v>5962</v>
      </c>
      <c r="BF19" s="177">
        <f t="shared" si="7"/>
        <v>8246</v>
      </c>
      <c r="BG19" s="175">
        <f t="shared" ref="BG19:BI19" si="8">SUM(BG16:BG18)</f>
        <v>2348</v>
      </c>
      <c r="BH19" s="176">
        <f t="shared" si="8"/>
        <v>6571</v>
      </c>
      <c r="BI19" s="177">
        <f t="shared" si="8"/>
        <v>8919</v>
      </c>
    </row>
    <row r="20" spans="1:61" s="161" customFormat="1" ht="15" customHeight="1" x14ac:dyDescent="0.25">
      <c r="A20" s="162"/>
      <c r="B20" s="171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71"/>
      <c r="Z20" s="171"/>
      <c r="AA20" s="171"/>
      <c r="AB20" s="171"/>
      <c r="AC20" s="171"/>
      <c r="AD20" s="171"/>
      <c r="AE20" s="171"/>
      <c r="AF20" s="171"/>
      <c r="AG20" s="171"/>
      <c r="AH20" s="171"/>
      <c r="AI20" s="171"/>
      <c r="AJ20" s="171"/>
      <c r="AK20" s="171"/>
      <c r="AL20" s="172"/>
      <c r="AM20" s="173"/>
      <c r="AN20" s="171"/>
      <c r="AO20" s="171"/>
      <c r="AP20" s="171"/>
      <c r="AQ20" s="171"/>
      <c r="AR20" s="171"/>
      <c r="AS20" s="171"/>
      <c r="AT20" s="171"/>
      <c r="AU20" s="171"/>
      <c r="AV20" s="171"/>
      <c r="AW20" s="171"/>
      <c r="AX20" s="171"/>
      <c r="AY20" s="171"/>
      <c r="AZ20" s="171"/>
      <c r="BA20" s="171"/>
      <c r="BB20" s="171"/>
      <c r="BC20" s="171"/>
      <c r="BD20" s="171"/>
      <c r="BE20" s="171"/>
      <c r="BF20" s="171"/>
      <c r="BG20" s="171"/>
      <c r="BH20" s="171"/>
      <c r="BI20" s="171"/>
    </row>
    <row r="21" spans="1:61" s="38" customFormat="1" ht="15" customHeight="1" x14ac:dyDescent="0.25">
      <c r="A21" s="150" t="s">
        <v>59</v>
      </c>
      <c r="B21" s="151"/>
      <c r="C21" s="152"/>
      <c r="D21" s="103"/>
      <c r="E21" s="152"/>
      <c r="F21" s="152"/>
      <c r="G21" s="153"/>
      <c r="H21" s="151"/>
      <c r="I21" s="152"/>
      <c r="J21" s="103"/>
      <c r="K21" s="152"/>
      <c r="L21" s="152"/>
      <c r="M21" s="153"/>
      <c r="N21" s="151"/>
      <c r="O21" s="152"/>
      <c r="P21" s="103"/>
      <c r="Q21" s="152"/>
      <c r="R21" s="152"/>
      <c r="S21" s="153"/>
      <c r="T21" s="151"/>
      <c r="U21" s="152"/>
      <c r="V21" s="103"/>
      <c r="W21" s="152"/>
      <c r="X21" s="152"/>
      <c r="Y21" s="103"/>
      <c r="Z21" s="151">
        <v>21</v>
      </c>
      <c r="AA21" s="152">
        <v>46</v>
      </c>
      <c r="AB21" s="103">
        <f>SUM(Z21:AA21)</f>
        <v>67</v>
      </c>
      <c r="AC21" s="151">
        <f>SUM('Aspirantes plan'!AC94)</f>
        <v>0</v>
      </c>
      <c r="AD21" s="152">
        <f>SUM('Aspirantes plan'!AD94)</f>
        <v>33</v>
      </c>
      <c r="AE21" s="103">
        <f>SUM(AC21:AD21)</f>
        <v>33</v>
      </c>
      <c r="AF21" s="151">
        <f>SUM('Aspirantes plan'!AF94)</f>
        <v>20</v>
      </c>
      <c r="AG21" s="152">
        <f>SUM('Aspirantes plan'!AG94)</f>
        <v>40</v>
      </c>
      <c r="AH21" s="103">
        <f>SUM(AF21:AG21)</f>
        <v>60</v>
      </c>
      <c r="AI21" s="151">
        <f>SUM('Aspirantes plan'!AI94)</f>
        <v>21</v>
      </c>
      <c r="AJ21" s="152">
        <f>SUM('Aspirantes plan'!AJ94)</f>
        <v>45</v>
      </c>
      <c r="AK21" s="153">
        <f>SUM(AI21:AJ21)</f>
        <v>66</v>
      </c>
      <c r="AL21" s="151">
        <f>SUM('Aspirantes plan'!AL94)</f>
        <v>23</v>
      </c>
      <c r="AM21" s="152">
        <f>SUM('Aspirantes plan'!AM94)</f>
        <v>56</v>
      </c>
      <c r="AN21" s="103">
        <f>SUM(AL21:AM21)</f>
        <v>79</v>
      </c>
      <c r="AO21" s="151">
        <f>SUM('Aspirantes plan'!AO94)</f>
        <v>19</v>
      </c>
      <c r="AP21" s="152">
        <f>SUM('Aspirantes plan'!AP94)</f>
        <v>63</v>
      </c>
      <c r="AQ21" s="103">
        <f>SUM(AO21:AP21)</f>
        <v>82</v>
      </c>
      <c r="AR21" s="151">
        <f>+'Aspirantes plan'!AR97</f>
        <v>111</v>
      </c>
      <c r="AS21" s="152">
        <f>+'Aspirantes plan'!AS97</f>
        <v>229</v>
      </c>
      <c r="AT21" s="103">
        <f>SUM(AR21:AS21)</f>
        <v>340</v>
      </c>
      <c r="AU21" s="151">
        <f>+'Aspirantes plan'!AU97</f>
        <v>0</v>
      </c>
      <c r="AV21" s="152">
        <f>+'Aspirantes plan'!AV97</f>
        <v>420</v>
      </c>
      <c r="AW21" s="103">
        <f>SUM(AU21:AV21)</f>
        <v>420</v>
      </c>
      <c r="AX21" s="151">
        <f>+'Aspirantes plan'!AX97</f>
        <v>0</v>
      </c>
      <c r="AY21" s="152">
        <f>+'Aspirantes plan'!AY97</f>
        <v>499</v>
      </c>
      <c r="AZ21" s="103">
        <f>SUM(AX21:AY21)</f>
        <v>499</v>
      </c>
      <c r="BA21" s="151">
        <f>+'Aspirantes plan'!BA97</f>
        <v>0</v>
      </c>
      <c r="BB21" s="152">
        <f>+'Aspirantes plan'!BB97</f>
        <v>545</v>
      </c>
      <c r="BC21" s="103">
        <f>SUM(BA21:BB21)</f>
        <v>545</v>
      </c>
      <c r="BD21" s="151">
        <f>+'Aspirantes plan'!BD97</f>
        <v>0</v>
      </c>
      <c r="BE21" s="152">
        <f>+'Aspirantes plan'!BE97</f>
        <v>373</v>
      </c>
      <c r="BF21" s="103">
        <f>SUM(BD21:BE21)</f>
        <v>373</v>
      </c>
      <c r="BG21" s="151">
        <f>+'Aspirantes plan'!BG97</f>
        <v>0</v>
      </c>
      <c r="BH21" s="152">
        <f>+'Aspirantes plan'!BH97</f>
        <v>459</v>
      </c>
      <c r="BI21" s="103">
        <f>SUM(BG21:BH21)</f>
        <v>459</v>
      </c>
    </row>
    <row r="22" spans="1:61" s="38" customFormat="1" ht="15" customHeight="1" x14ac:dyDescent="0.25">
      <c r="A22" s="154" t="s">
        <v>64</v>
      </c>
      <c r="B22" s="129"/>
      <c r="C22" s="130"/>
      <c r="D22" s="110"/>
      <c r="E22" s="130"/>
      <c r="F22" s="130"/>
      <c r="G22" s="155"/>
      <c r="H22" s="129"/>
      <c r="I22" s="130"/>
      <c r="J22" s="110"/>
      <c r="K22" s="130"/>
      <c r="L22" s="130"/>
      <c r="M22" s="155"/>
      <c r="N22" s="129"/>
      <c r="O22" s="130"/>
      <c r="P22" s="110"/>
      <c r="Q22" s="130"/>
      <c r="R22" s="130"/>
      <c r="S22" s="155"/>
      <c r="T22" s="129"/>
      <c r="U22" s="130"/>
      <c r="V22" s="110"/>
      <c r="W22" s="130"/>
      <c r="X22" s="130"/>
      <c r="Y22" s="110"/>
      <c r="Z22" s="129">
        <v>49</v>
      </c>
      <c r="AA22" s="130">
        <v>119</v>
      </c>
      <c r="AB22" s="110">
        <f>SUM(Z22:AA22)</f>
        <v>168</v>
      </c>
      <c r="AC22" s="129">
        <f>SUM('Aspirantes plan'!AC98)</f>
        <v>0</v>
      </c>
      <c r="AD22" s="130">
        <f>SUM('Aspirantes plan'!AD98)</f>
        <v>67</v>
      </c>
      <c r="AE22" s="110">
        <f>SUM(AC22:AD22)</f>
        <v>67</v>
      </c>
      <c r="AF22" s="129">
        <f>'Aspirantes plan'!AF101</f>
        <v>30</v>
      </c>
      <c r="AG22" s="130">
        <f>'Aspirantes plan'!AG101</f>
        <v>164</v>
      </c>
      <c r="AH22" s="110">
        <f>SUM(AF22:AG22)</f>
        <v>194</v>
      </c>
      <c r="AI22" s="129">
        <f>'Aspirantes plan'!AI101</f>
        <v>0</v>
      </c>
      <c r="AJ22" s="130">
        <f>'Aspirantes plan'!AJ101</f>
        <v>285</v>
      </c>
      <c r="AK22" s="155">
        <f>SUM(AI22:AJ22)</f>
        <v>285</v>
      </c>
      <c r="AL22" s="129">
        <f>'Aspirantes plan'!AL101</f>
        <v>0</v>
      </c>
      <c r="AM22" s="130">
        <f>'Aspirantes plan'!AM101</f>
        <v>395</v>
      </c>
      <c r="AN22" s="110">
        <f>SUM(AL22:AM22)</f>
        <v>395</v>
      </c>
      <c r="AO22" s="129">
        <f>'Aspirantes plan'!AO101</f>
        <v>48</v>
      </c>
      <c r="AP22" s="130">
        <f>'Aspirantes plan'!AP101</f>
        <v>415</v>
      </c>
      <c r="AQ22" s="110">
        <f>SUM(AO22:AP22)</f>
        <v>463</v>
      </c>
      <c r="AR22" s="129">
        <f>+'Aspirantes plan'!AR101</f>
        <v>39</v>
      </c>
      <c r="AS22" s="130">
        <f>+'Aspirantes plan'!AS101</f>
        <v>347</v>
      </c>
      <c r="AT22" s="110">
        <f>SUM(AR22:AS22)</f>
        <v>386</v>
      </c>
      <c r="AU22" s="129">
        <f>+'Aspirantes plan'!AU101</f>
        <v>74</v>
      </c>
      <c r="AV22" s="130">
        <f>+'Aspirantes plan'!AV101</f>
        <v>419</v>
      </c>
      <c r="AW22" s="110">
        <f>SUM(AU22:AV22)</f>
        <v>493</v>
      </c>
      <c r="AX22" s="129">
        <f>+'Aspirantes plan'!AX101</f>
        <v>76</v>
      </c>
      <c r="AY22" s="130">
        <f>+'Aspirantes plan'!AY101</f>
        <v>390</v>
      </c>
      <c r="AZ22" s="110">
        <f>SUM(AX22:AY22)</f>
        <v>466</v>
      </c>
      <c r="BA22" s="129">
        <f>+'Aspirantes plan'!BA101</f>
        <v>55</v>
      </c>
      <c r="BB22" s="130">
        <f>+'Aspirantes plan'!BB101</f>
        <v>381</v>
      </c>
      <c r="BC22" s="110">
        <f>SUM(BA22:BB22)</f>
        <v>436</v>
      </c>
      <c r="BD22" s="129">
        <f>+'Aspirantes plan'!BD101</f>
        <v>57</v>
      </c>
      <c r="BE22" s="130">
        <f>+'Aspirantes plan'!BE101</f>
        <v>387</v>
      </c>
      <c r="BF22" s="110">
        <f>SUM(BD22:BE22)</f>
        <v>444</v>
      </c>
      <c r="BG22" s="129">
        <f>+'Aspirantes plan'!BG101</f>
        <v>43</v>
      </c>
      <c r="BH22" s="130">
        <f>+'Aspirantes plan'!BH101</f>
        <v>353</v>
      </c>
      <c r="BI22" s="110">
        <f>SUM(BG22:BH22)</f>
        <v>396</v>
      </c>
    </row>
    <row r="23" spans="1:61" s="38" customFormat="1" ht="15" customHeight="1" x14ac:dyDescent="0.25">
      <c r="A23" s="154" t="s">
        <v>92</v>
      </c>
      <c r="B23" s="129"/>
      <c r="C23" s="130"/>
      <c r="D23" s="110"/>
      <c r="E23" s="130"/>
      <c r="F23" s="130"/>
      <c r="G23" s="155"/>
      <c r="H23" s="129"/>
      <c r="I23" s="130"/>
      <c r="J23" s="156"/>
      <c r="K23" s="130"/>
      <c r="L23" s="130"/>
      <c r="M23" s="155"/>
      <c r="N23" s="129"/>
      <c r="O23" s="130"/>
      <c r="P23" s="110"/>
      <c r="Q23" s="130"/>
      <c r="R23" s="130"/>
      <c r="S23" s="155"/>
      <c r="T23" s="129"/>
      <c r="U23" s="130"/>
      <c r="V23" s="110"/>
      <c r="W23" s="130"/>
      <c r="X23" s="130"/>
      <c r="Y23" s="110"/>
      <c r="Z23" s="129">
        <v>34</v>
      </c>
      <c r="AA23" s="130">
        <v>133</v>
      </c>
      <c r="AB23" s="110">
        <f>SUM(Z23:AA23)</f>
        <v>167</v>
      </c>
      <c r="AC23" s="129">
        <f>SUM('Aspirantes plan'!AC102)</f>
        <v>0</v>
      </c>
      <c r="AD23" s="130">
        <f>SUM('Aspirantes plan'!AD102)</f>
        <v>63</v>
      </c>
      <c r="AE23" s="110">
        <f>SUM(AC23:AD23)</f>
        <v>63</v>
      </c>
      <c r="AF23" s="129">
        <f>SUM('Aspirantes plan'!AF102)</f>
        <v>32</v>
      </c>
      <c r="AG23" s="130">
        <f>SUM('Aspirantes plan'!AG102)</f>
        <v>115</v>
      </c>
      <c r="AH23" s="110">
        <f>SUM(AF23:AG23)</f>
        <v>147</v>
      </c>
      <c r="AI23" s="129">
        <f>SUM('Aspirantes plan'!AI102)</f>
        <v>43</v>
      </c>
      <c r="AJ23" s="130">
        <f>SUM('Aspirantes plan'!AJ102)</f>
        <v>39</v>
      </c>
      <c r="AK23" s="155">
        <f>SUM(AI23:AJ23)</f>
        <v>82</v>
      </c>
      <c r="AL23" s="129">
        <f>SUM('Aspirantes plan'!AL102)</f>
        <v>38</v>
      </c>
      <c r="AM23" s="130">
        <f>SUM('Aspirantes plan'!AM102)</f>
        <v>133</v>
      </c>
      <c r="AN23" s="110">
        <f>SUM(AL23:AM23)</f>
        <v>171</v>
      </c>
      <c r="AO23" s="129">
        <f>SUM('Aspirantes plan'!AO102)</f>
        <v>51</v>
      </c>
      <c r="AP23" s="130">
        <f>SUM('Aspirantes plan'!AP102)</f>
        <v>171</v>
      </c>
      <c r="AQ23" s="110">
        <f>SUM(AO23:AP23)</f>
        <v>222</v>
      </c>
      <c r="AR23" s="129">
        <f>+'Aspirantes plan'!AR105</f>
        <v>45</v>
      </c>
      <c r="AS23" s="130">
        <f>+'Aspirantes plan'!AS105</f>
        <v>397</v>
      </c>
      <c r="AT23" s="110">
        <f>SUM(AR23:AS23)</f>
        <v>442</v>
      </c>
      <c r="AU23" s="129">
        <f>+'Aspirantes plan'!AU105</f>
        <v>0</v>
      </c>
      <c r="AV23" s="130">
        <f>+'Aspirantes plan'!AV105</f>
        <v>852</v>
      </c>
      <c r="AW23" s="110">
        <f>SUM(AU23:AV23)</f>
        <v>852</v>
      </c>
      <c r="AX23" s="129">
        <f>+'Aspirantes plan'!AX105</f>
        <v>0</v>
      </c>
      <c r="AY23" s="130">
        <f>+'Aspirantes plan'!AY105</f>
        <v>799</v>
      </c>
      <c r="AZ23" s="110">
        <f>SUM(AX23:AY23)</f>
        <v>799</v>
      </c>
      <c r="BA23" s="129">
        <f>+'Aspirantes plan'!BA105</f>
        <v>0</v>
      </c>
      <c r="BB23" s="130">
        <f>+'Aspirantes plan'!BB105</f>
        <v>776</v>
      </c>
      <c r="BC23" s="110">
        <f>SUM(BA23:BB23)</f>
        <v>776</v>
      </c>
      <c r="BD23" s="129">
        <f>+'Aspirantes plan'!BD105</f>
        <v>0</v>
      </c>
      <c r="BE23" s="130">
        <f>+'Aspirantes plan'!BE105</f>
        <v>659</v>
      </c>
      <c r="BF23" s="110">
        <f>SUM(BD23:BE23)</f>
        <v>659</v>
      </c>
      <c r="BG23" s="129">
        <f>+'Aspirantes plan'!BG105</f>
        <v>0</v>
      </c>
      <c r="BH23" s="130">
        <f>+'Aspirantes plan'!BH105</f>
        <v>682</v>
      </c>
      <c r="BI23" s="110">
        <f>SUM(BG23:BH23)</f>
        <v>682</v>
      </c>
    </row>
    <row r="24" spans="1:61" s="161" customFormat="1" ht="15" customHeight="1" x14ac:dyDescent="0.25">
      <c r="A24" s="178" t="s">
        <v>136</v>
      </c>
      <c r="B24" s="179"/>
      <c r="C24" s="180"/>
      <c r="D24" s="181"/>
      <c r="E24" s="180"/>
      <c r="F24" s="180"/>
      <c r="G24" s="180"/>
      <c r="H24" s="179"/>
      <c r="I24" s="180"/>
      <c r="J24" s="181"/>
      <c r="K24" s="180"/>
      <c r="L24" s="180"/>
      <c r="M24" s="180"/>
      <c r="N24" s="179"/>
      <c r="O24" s="180"/>
      <c r="P24" s="181"/>
      <c r="Q24" s="180"/>
      <c r="R24" s="180"/>
      <c r="S24" s="180"/>
      <c r="T24" s="179"/>
      <c r="U24" s="180"/>
      <c r="V24" s="181"/>
      <c r="W24" s="180"/>
      <c r="X24" s="180"/>
      <c r="Y24" s="181"/>
      <c r="Z24" s="182">
        <f>SUM(Z21:Z23)</f>
        <v>104</v>
      </c>
      <c r="AA24" s="183">
        <v>298</v>
      </c>
      <c r="AB24" s="184">
        <f>SUM(Z24:AA24)</f>
        <v>402</v>
      </c>
      <c r="AC24" s="182">
        <f t="shared" ref="AC24:BC24" si="9">SUM(AC21:AC23)</f>
        <v>0</v>
      </c>
      <c r="AD24" s="183">
        <f t="shared" si="9"/>
        <v>163</v>
      </c>
      <c r="AE24" s="184">
        <f t="shared" si="9"/>
        <v>163</v>
      </c>
      <c r="AF24" s="182">
        <f t="shared" si="9"/>
        <v>82</v>
      </c>
      <c r="AG24" s="183">
        <f t="shared" si="9"/>
        <v>319</v>
      </c>
      <c r="AH24" s="184">
        <f t="shared" si="9"/>
        <v>401</v>
      </c>
      <c r="AI24" s="182">
        <f t="shared" si="9"/>
        <v>64</v>
      </c>
      <c r="AJ24" s="183">
        <f t="shared" si="9"/>
        <v>369</v>
      </c>
      <c r="AK24" s="183">
        <f t="shared" si="9"/>
        <v>433</v>
      </c>
      <c r="AL24" s="182">
        <f t="shared" si="9"/>
        <v>61</v>
      </c>
      <c r="AM24" s="183">
        <f t="shared" si="9"/>
        <v>584</v>
      </c>
      <c r="AN24" s="184">
        <f t="shared" si="9"/>
        <v>645</v>
      </c>
      <c r="AO24" s="182">
        <f t="shared" si="9"/>
        <v>118</v>
      </c>
      <c r="AP24" s="183">
        <f t="shared" si="9"/>
        <v>649</v>
      </c>
      <c r="AQ24" s="184">
        <f t="shared" si="9"/>
        <v>767</v>
      </c>
      <c r="AR24" s="182">
        <f t="shared" si="9"/>
        <v>195</v>
      </c>
      <c r="AS24" s="183">
        <f t="shared" si="9"/>
        <v>973</v>
      </c>
      <c r="AT24" s="184">
        <f t="shared" si="9"/>
        <v>1168</v>
      </c>
      <c r="AU24" s="182">
        <f t="shared" si="9"/>
        <v>74</v>
      </c>
      <c r="AV24" s="183">
        <f t="shared" si="9"/>
        <v>1691</v>
      </c>
      <c r="AW24" s="184">
        <f t="shared" si="9"/>
        <v>1765</v>
      </c>
      <c r="AX24" s="182">
        <f t="shared" si="9"/>
        <v>76</v>
      </c>
      <c r="AY24" s="183">
        <f t="shared" si="9"/>
        <v>1688</v>
      </c>
      <c r="AZ24" s="184">
        <f t="shared" si="9"/>
        <v>1764</v>
      </c>
      <c r="BA24" s="182">
        <f t="shared" si="9"/>
        <v>55</v>
      </c>
      <c r="BB24" s="183">
        <f t="shared" si="9"/>
        <v>1702</v>
      </c>
      <c r="BC24" s="184">
        <f t="shared" si="9"/>
        <v>1757</v>
      </c>
      <c r="BD24" s="182">
        <f t="shared" ref="BD24:BF24" si="10">SUM(BD21:BD23)</f>
        <v>57</v>
      </c>
      <c r="BE24" s="183">
        <f t="shared" si="10"/>
        <v>1419</v>
      </c>
      <c r="BF24" s="184">
        <f t="shared" si="10"/>
        <v>1476</v>
      </c>
      <c r="BG24" s="182">
        <f t="shared" ref="BG24:BI24" si="11">SUM(BG21:BG23)</f>
        <v>43</v>
      </c>
      <c r="BH24" s="183">
        <f t="shared" si="11"/>
        <v>1494</v>
      </c>
      <c r="BI24" s="184">
        <f t="shared" si="11"/>
        <v>1537</v>
      </c>
    </row>
    <row r="25" spans="1:61" s="161" customFormat="1" ht="15" customHeight="1" x14ac:dyDescent="0.25">
      <c r="A25" s="170"/>
      <c r="B25" s="185"/>
      <c r="C25" s="185"/>
      <c r="D25" s="185"/>
      <c r="E25" s="185"/>
      <c r="F25" s="185"/>
      <c r="G25" s="185"/>
      <c r="H25" s="185"/>
      <c r="I25" s="185"/>
      <c r="J25" s="185"/>
      <c r="K25" s="185"/>
      <c r="L25" s="185"/>
      <c r="M25" s="185"/>
      <c r="N25" s="185"/>
      <c r="O25" s="185"/>
      <c r="P25" s="185"/>
      <c r="Q25" s="185"/>
      <c r="R25" s="185"/>
      <c r="S25" s="185"/>
      <c r="T25" s="185"/>
      <c r="U25" s="185"/>
      <c r="V25" s="185"/>
      <c r="W25" s="185"/>
      <c r="X25" s="185"/>
      <c r="Y25" s="185"/>
      <c r="Z25" s="185"/>
      <c r="AA25" s="185"/>
      <c r="AB25" s="185"/>
      <c r="AC25" s="185"/>
      <c r="AD25" s="185"/>
      <c r="AE25" s="185"/>
      <c r="AF25" s="185"/>
      <c r="AG25" s="185"/>
      <c r="AH25" s="185"/>
      <c r="AI25" s="185"/>
      <c r="AJ25" s="185"/>
      <c r="AK25" s="185"/>
      <c r="AL25" s="186"/>
      <c r="AM25" s="187"/>
      <c r="AN25" s="185"/>
      <c r="AO25" s="185"/>
      <c r="AP25" s="185"/>
      <c r="AQ25" s="185"/>
      <c r="AR25" s="185"/>
      <c r="AS25" s="185"/>
      <c r="AT25" s="185"/>
      <c r="AU25" s="185"/>
      <c r="AV25" s="185"/>
      <c r="AW25" s="185"/>
      <c r="AX25" s="185"/>
      <c r="AY25" s="185"/>
      <c r="AZ25" s="185"/>
      <c r="BA25" s="185"/>
      <c r="BB25" s="185"/>
      <c r="BC25" s="185"/>
      <c r="BD25" s="185"/>
      <c r="BE25" s="185"/>
      <c r="BF25" s="185"/>
      <c r="BG25" s="185"/>
      <c r="BH25" s="185"/>
      <c r="BI25" s="185"/>
    </row>
    <row r="26" spans="1:61" s="161" customFormat="1" ht="15" customHeight="1" x14ac:dyDescent="0.25">
      <c r="A26" s="150" t="s">
        <v>64</v>
      </c>
      <c r="B26" s="151">
        <v>3214</v>
      </c>
      <c r="C26" s="152">
        <v>6695</v>
      </c>
      <c r="D26" s="153">
        <v>9909</v>
      </c>
      <c r="E26" s="151">
        <v>3067</v>
      </c>
      <c r="F26" s="152">
        <v>6419</v>
      </c>
      <c r="G26" s="153">
        <v>9486</v>
      </c>
      <c r="H26" s="151">
        <v>3424</v>
      </c>
      <c r="I26" s="152">
        <v>6962</v>
      </c>
      <c r="J26" s="103">
        <v>10386</v>
      </c>
      <c r="K26" s="152">
        <v>3466</v>
      </c>
      <c r="L26" s="152">
        <v>6227</v>
      </c>
      <c r="M26" s="103">
        <v>9693</v>
      </c>
      <c r="N26" s="152">
        <v>3426</v>
      </c>
      <c r="O26" s="152">
        <v>6365</v>
      </c>
      <c r="P26" s="103">
        <v>9791</v>
      </c>
      <c r="Q26" s="152">
        <v>3760</v>
      </c>
      <c r="R26" s="152">
        <v>6538</v>
      </c>
      <c r="S26" s="103">
        <v>10298</v>
      </c>
      <c r="T26" s="151">
        <v>4082</v>
      </c>
      <c r="U26" s="152">
        <v>6936</v>
      </c>
      <c r="V26" s="103">
        <v>11018</v>
      </c>
      <c r="W26" s="151">
        <v>4056</v>
      </c>
      <c r="X26" s="152">
        <v>7614</v>
      </c>
      <c r="Y26" s="103">
        <f>SUM(W26:X26)</f>
        <v>11670</v>
      </c>
      <c r="Z26" s="151">
        <v>4430</v>
      </c>
      <c r="AA26" s="152">
        <v>7553</v>
      </c>
      <c r="AB26" s="103">
        <f>SUM(Z26:AA26)</f>
        <v>11983</v>
      </c>
      <c r="AC26" s="151">
        <f>SUM('Aspirantes plan'!AC57:AC62)</f>
        <v>4532</v>
      </c>
      <c r="AD26" s="152">
        <f>SUM('Aspirantes plan'!AD57:AD62)</f>
        <v>8284</v>
      </c>
      <c r="AE26" s="103">
        <f>SUM(AC26:AD26)</f>
        <v>12816</v>
      </c>
      <c r="AF26" s="151">
        <f>SUM('Aspirantes plan'!AF57:AF62)</f>
        <v>4055</v>
      </c>
      <c r="AG26" s="152">
        <f>SUM('Aspirantes plan'!AG57:AG62)</f>
        <v>8088</v>
      </c>
      <c r="AH26" s="103">
        <f>SUM(AF26:AG26)</f>
        <v>12143</v>
      </c>
      <c r="AI26" s="151">
        <f>SUM('Aspirantes plan'!AI57:AI62)</f>
        <v>3460</v>
      </c>
      <c r="AJ26" s="152">
        <f>SUM('Aspirantes plan'!AJ57:AJ62)</f>
        <v>7870</v>
      </c>
      <c r="AK26" s="153">
        <f>SUM(AI26:AJ26)</f>
        <v>11330</v>
      </c>
      <c r="AL26" s="151">
        <f>SUM('Aspirantes plan'!AL57:AL62)</f>
        <v>3758</v>
      </c>
      <c r="AM26" s="152">
        <f>SUM('Aspirantes plan'!AM57:AM62)</f>
        <v>7845</v>
      </c>
      <c r="AN26" s="103">
        <f>SUM(AL26:AM26)</f>
        <v>11603</v>
      </c>
      <c r="AO26" s="151">
        <f>SUM('Aspirantes plan'!AO57:AO62)</f>
        <v>3692</v>
      </c>
      <c r="AP26" s="152">
        <f>SUM('Aspirantes plan'!AP57:AP62)</f>
        <v>7669</v>
      </c>
      <c r="AQ26" s="103">
        <f>SUM(AO26:AP26)</f>
        <v>11361</v>
      </c>
      <c r="AR26" s="151">
        <f>SUM('Aspirantes plan'!AR57:AR62)</f>
        <v>3422</v>
      </c>
      <c r="AS26" s="152">
        <f>SUM('Aspirantes plan'!AS57:AS62)</f>
        <v>7586</v>
      </c>
      <c r="AT26" s="103">
        <f>SUM(AR26:AS26)</f>
        <v>11008</v>
      </c>
      <c r="AU26" s="151">
        <f>SUM('Aspirantes plan'!AU57:AU62)</f>
        <v>3270</v>
      </c>
      <c r="AV26" s="152">
        <f>SUM('Aspirantes plan'!AV57:AV62)</f>
        <v>7111</v>
      </c>
      <c r="AW26" s="103">
        <f>SUM(AU26:AV26)</f>
        <v>10381</v>
      </c>
      <c r="AX26" s="151">
        <f>SUM('Aspirantes plan'!AX57:AX62)</f>
        <v>3683</v>
      </c>
      <c r="AY26" s="152">
        <f>SUM('Aspirantes plan'!AY57:AY62)</f>
        <v>5331</v>
      </c>
      <c r="AZ26" s="103">
        <f>SUM(AX26:AY26)</f>
        <v>9014</v>
      </c>
      <c r="BA26" s="151">
        <f>SUM('Aspirantes plan'!BA57:BA62)</f>
        <v>3029</v>
      </c>
      <c r="BB26" s="152">
        <f>SUM('Aspirantes plan'!BB57:BB62)</f>
        <v>4415</v>
      </c>
      <c r="BC26" s="103">
        <f>SUM(BA26:BB26)</f>
        <v>7444</v>
      </c>
      <c r="BD26" s="151">
        <f>SUM('Aspirantes plan'!BD57:BD62)</f>
        <v>3875</v>
      </c>
      <c r="BE26" s="152">
        <f>SUM('Aspirantes plan'!BE57:BE62)</f>
        <v>3784</v>
      </c>
      <c r="BF26" s="103">
        <f>SUM(BD26:BE26)</f>
        <v>7659</v>
      </c>
      <c r="BG26" s="151">
        <f>SUM('Aspirantes plan'!BG57:BG62)</f>
        <v>4199</v>
      </c>
      <c r="BH26" s="152">
        <f>SUM('Aspirantes plan'!BH57:BH62)</f>
        <v>4717</v>
      </c>
      <c r="BI26" s="103">
        <f>SUM(BG26:BH26)</f>
        <v>8916</v>
      </c>
    </row>
    <row r="27" spans="1:61" s="161" customFormat="1" ht="15" customHeight="1" x14ac:dyDescent="0.25">
      <c r="A27" s="154" t="s">
        <v>92</v>
      </c>
      <c r="B27" s="129">
        <v>3113</v>
      </c>
      <c r="C27" s="130">
        <v>7519</v>
      </c>
      <c r="D27" s="155">
        <v>10632</v>
      </c>
      <c r="E27" s="129">
        <v>3317</v>
      </c>
      <c r="F27" s="130">
        <v>8198</v>
      </c>
      <c r="G27" s="155">
        <v>11515</v>
      </c>
      <c r="H27" s="129">
        <v>3987</v>
      </c>
      <c r="I27" s="130">
        <v>8833</v>
      </c>
      <c r="J27" s="110">
        <v>12820</v>
      </c>
      <c r="K27" s="130">
        <v>4142</v>
      </c>
      <c r="L27" s="130">
        <v>8088</v>
      </c>
      <c r="M27" s="110">
        <v>12230</v>
      </c>
      <c r="N27" s="130">
        <v>3944</v>
      </c>
      <c r="O27" s="130">
        <v>8994</v>
      </c>
      <c r="P27" s="110">
        <v>12938</v>
      </c>
      <c r="Q27" s="130">
        <v>4808</v>
      </c>
      <c r="R27" s="130">
        <v>9456</v>
      </c>
      <c r="S27" s="110">
        <v>14264</v>
      </c>
      <c r="T27" s="129">
        <v>4993</v>
      </c>
      <c r="U27" s="130">
        <v>10161</v>
      </c>
      <c r="V27" s="110">
        <v>15154</v>
      </c>
      <c r="W27" s="129">
        <v>5014</v>
      </c>
      <c r="X27" s="130">
        <v>11298</v>
      </c>
      <c r="Y27" s="110">
        <f>SUM(W27:X27)</f>
        <v>16312</v>
      </c>
      <c r="Z27" s="129">
        <v>6087</v>
      </c>
      <c r="AA27" s="130">
        <v>11494</v>
      </c>
      <c r="AB27" s="110">
        <f>SUM(Z27:AA27)</f>
        <v>17581</v>
      </c>
      <c r="AC27" s="129">
        <f>SUM('Aspirantes plan'!AC64:AC71)</f>
        <v>6380</v>
      </c>
      <c r="AD27" s="130">
        <f>SUM('Aspirantes plan'!AD64:AD71)</f>
        <v>13392</v>
      </c>
      <c r="AE27" s="110">
        <f>SUM(AC27:AD27)</f>
        <v>19772</v>
      </c>
      <c r="AF27" s="129">
        <f>SUM('Aspirantes plan'!AF64:AF71)</f>
        <v>6342</v>
      </c>
      <c r="AG27" s="130">
        <f>SUM('Aspirantes plan'!AG64:AG71)</f>
        <v>14912</v>
      </c>
      <c r="AH27" s="110">
        <f>SUM(AF27:AG27)</f>
        <v>21254</v>
      </c>
      <c r="AI27" s="129">
        <f>SUM('Aspirantes plan'!AI64:AI71)</f>
        <v>6027</v>
      </c>
      <c r="AJ27" s="130">
        <f>SUM('Aspirantes plan'!AJ64:AJ71)</f>
        <v>15702</v>
      </c>
      <c r="AK27" s="155">
        <f>SUM(AI27:AJ27)</f>
        <v>21729</v>
      </c>
      <c r="AL27" s="129">
        <f>SUM('Aspirantes plan'!AL64:AL71)</f>
        <v>6965</v>
      </c>
      <c r="AM27" s="130">
        <f>SUM('Aspirantes plan'!AM64:AM71)</f>
        <v>17629</v>
      </c>
      <c r="AN27" s="110">
        <f>SUM(AL27:AM27)</f>
        <v>24594</v>
      </c>
      <c r="AO27" s="129">
        <f>SUM('Aspirantes plan'!AO64:AO71)</f>
        <v>7521</v>
      </c>
      <c r="AP27" s="130">
        <f>SUM('Aspirantes plan'!AP64:AP71)</f>
        <v>17501</v>
      </c>
      <c r="AQ27" s="110">
        <f>SUM(AO27:AP27)</f>
        <v>25022</v>
      </c>
      <c r="AR27" s="129">
        <f>SUM('Aspirantes plan'!AR64:AR71)</f>
        <v>7524</v>
      </c>
      <c r="AS27" s="130">
        <f>SUM('Aspirantes plan'!AS64:AS71)</f>
        <v>18614</v>
      </c>
      <c r="AT27" s="110">
        <f>SUM(AR27:AS27)</f>
        <v>26138</v>
      </c>
      <c r="AU27" s="129">
        <f>SUM('Aspirantes plan'!AU64:AU71)</f>
        <v>7551</v>
      </c>
      <c r="AV27" s="130">
        <f>SUM('Aspirantes plan'!AV64:AV71)</f>
        <v>19552</v>
      </c>
      <c r="AW27" s="110">
        <f>SUM(AU27:AV27)</f>
        <v>27103</v>
      </c>
      <c r="AX27" s="129">
        <f>SUM('Aspirantes plan'!AX64:AX71)</f>
        <v>9151</v>
      </c>
      <c r="AY27" s="130">
        <f>SUM('Aspirantes plan'!AY64:AY71)</f>
        <v>14180</v>
      </c>
      <c r="AZ27" s="110">
        <f>SUM(AX27:AY27)</f>
        <v>23331</v>
      </c>
      <c r="BA27" s="129">
        <f>SUM('Aspirantes plan'!BA64:BA71)</f>
        <v>9244</v>
      </c>
      <c r="BB27" s="130">
        <f>SUM('Aspirantes plan'!BB64:BB71)</f>
        <v>13861</v>
      </c>
      <c r="BC27" s="110">
        <f>SUM(BA27:BB27)</f>
        <v>23105</v>
      </c>
      <c r="BD27" s="129">
        <f>SUM('Aspirantes plan'!BD64:BD71)</f>
        <v>11783</v>
      </c>
      <c r="BE27" s="130">
        <f>SUM('Aspirantes plan'!BE64:BE71)</f>
        <v>12516</v>
      </c>
      <c r="BF27" s="110">
        <f>SUM(BD27:BE27)</f>
        <v>24299</v>
      </c>
      <c r="BG27" s="129">
        <f>SUM('Aspirantes plan'!BG64:BG71)</f>
        <v>13285</v>
      </c>
      <c r="BH27" s="130">
        <f>SUM('Aspirantes plan'!BH64:BH71)</f>
        <v>15453</v>
      </c>
      <c r="BI27" s="110">
        <f>SUM(BG27:BH27)</f>
        <v>28738</v>
      </c>
    </row>
    <row r="28" spans="1:61" s="161" customFormat="1" ht="15" customHeight="1" x14ac:dyDescent="0.25">
      <c r="A28" s="154" t="s">
        <v>68</v>
      </c>
      <c r="B28" s="129">
        <v>1274</v>
      </c>
      <c r="C28" s="130">
        <v>2892</v>
      </c>
      <c r="D28" s="155">
        <v>4166</v>
      </c>
      <c r="E28" s="129">
        <v>1272</v>
      </c>
      <c r="F28" s="130">
        <v>3013</v>
      </c>
      <c r="G28" s="155">
        <v>4285</v>
      </c>
      <c r="H28" s="129">
        <v>1377</v>
      </c>
      <c r="I28" s="130">
        <v>2968</v>
      </c>
      <c r="J28" s="156">
        <v>4345</v>
      </c>
      <c r="K28" s="130">
        <v>1469</v>
      </c>
      <c r="L28" s="130">
        <v>2805</v>
      </c>
      <c r="M28" s="110">
        <v>4274</v>
      </c>
      <c r="N28" s="130">
        <v>1523</v>
      </c>
      <c r="O28" s="130">
        <v>3318</v>
      </c>
      <c r="P28" s="110">
        <v>4841</v>
      </c>
      <c r="Q28" s="130">
        <v>1996</v>
      </c>
      <c r="R28" s="130">
        <v>3591</v>
      </c>
      <c r="S28" s="110">
        <v>5587</v>
      </c>
      <c r="T28" s="129">
        <v>2024</v>
      </c>
      <c r="U28" s="130">
        <v>3932</v>
      </c>
      <c r="V28" s="110">
        <v>5956</v>
      </c>
      <c r="W28" s="129">
        <v>2205</v>
      </c>
      <c r="X28" s="130">
        <v>4528</v>
      </c>
      <c r="Y28" s="110">
        <f>SUM(W28:X28)</f>
        <v>6733</v>
      </c>
      <c r="Z28" s="129">
        <v>2499</v>
      </c>
      <c r="AA28" s="130">
        <v>4456</v>
      </c>
      <c r="AB28" s="110">
        <f>SUM(Z28:AA28)</f>
        <v>6955</v>
      </c>
      <c r="AC28" s="129">
        <f>SUM('Aspirantes plan'!AC73:AC76)</f>
        <v>2570</v>
      </c>
      <c r="AD28" s="130">
        <f>SUM('Aspirantes plan'!AD73:AD76)</f>
        <v>5107</v>
      </c>
      <c r="AE28" s="110">
        <f>SUM(AC28:AD28)</f>
        <v>7677</v>
      </c>
      <c r="AF28" s="129">
        <f>SUM('Aspirantes plan'!AF73:AF76)</f>
        <v>2401</v>
      </c>
      <c r="AG28" s="130">
        <f>SUM('Aspirantes plan'!AG73:AG76)</f>
        <v>4865</v>
      </c>
      <c r="AH28" s="110">
        <f>SUM(AF28:AG28)</f>
        <v>7266</v>
      </c>
      <c r="AI28" s="129">
        <f>SUM('Aspirantes plan'!AI73:AI76)</f>
        <v>1904</v>
      </c>
      <c r="AJ28" s="130">
        <f>SUM('Aspirantes plan'!AJ73:AJ76)</f>
        <v>4561</v>
      </c>
      <c r="AK28" s="155">
        <f>SUM(AI28:AJ28)</f>
        <v>6465</v>
      </c>
      <c r="AL28" s="129">
        <f>SUM('Aspirantes plan'!AL73:AL76)</f>
        <v>2054</v>
      </c>
      <c r="AM28" s="130">
        <f>SUM('Aspirantes plan'!AM73:AM76)</f>
        <v>4627</v>
      </c>
      <c r="AN28" s="110">
        <f>SUM(AL28:AM28)</f>
        <v>6681</v>
      </c>
      <c r="AO28" s="129">
        <f>SUM('Aspirantes plan'!AO73:AO76)</f>
        <v>2025</v>
      </c>
      <c r="AP28" s="130">
        <f>SUM('Aspirantes plan'!AP73:AP76)</f>
        <v>4660</v>
      </c>
      <c r="AQ28" s="110">
        <f>SUM(AO28:AP28)</f>
        <v>6685</v>
      </c>
      <c r="AR28" s="129">
        <f>SUM('Aspirantes plan'!AR73:AR76)</f>
        <v>1897</v>
      </c>
      <c r="AS28" s="130">
        <f>SUM('Aspirantes plan'!AS73:AS76)</f>
        <v>4261</v>
      </c>
      <c r="AT28" s="110">
        <f>SUM(AR28:AS28)</f>
        <v>6158</v>
      </c>
      <c r="AU28" s="129">
        <f>SUM('Aspirantes plan'!AU73:AU76)</f>
        <v>1924</v>
      </c>
      <c r="AV28" s="130">
        <f>SUM('Aspirantes plan'!AV73:AV76)</f>
        <v>4442</v>
      </c>
      <c r="AW28" s="110">
        <f>SUM(AU28:AV28)</f>
        <v>6366</v>
      </c>
      <c r="AX28" s="129">
        <f>SUM('Aspirantes plan'!AX73:AX76)</f>
        <v>2323</v>
      </c>
      <c r="AY28" s="130">
        <f>SUM('Aspirantes plan'!AY73:AY76)</f>
        <v>3694</v>
      </c>
      <c r="AZ28" s="110">
        <f>SUM(AX28:AY28)</f>
        <v>6017</v>
      </c>
      <c r="BA28" s="129">
        <f>SUM('Aspirantes plan'!BA73:BA76)</f>
        <v>2126</v>
      </c>
      <c r="BB28" s="130">
        <f>SUM('Aspirantes plan'!BB73:BB76)</f>
        <v>3148</v>
      </c>
      <c r="BC28" s="110">
        <f>SUM(BA28:BB28)</f>
        <v>5274</v>
      </c>
      <c r="BD28" s="129">
        <f>SUM('Aspirantes plan'!BD73:BD76)</f>
        <v>2627</v>
      </c>
      <c r="BE28" s="130">
        <f>SUM('Aspirantes plan'!BE73:BE76)</f>
        <v>2874</v>
      </c>
      <c r="BF28" s="110">
        <f>SUM(BD28:BE28)</f>
        <v>5501</v>
      </c>
      <c r="BG28" s="129">
        <f>SUM('Aspirantes plan'!BG73:BG76)</f>
        <v>2760</v>
      </c>
      <c r="BH28" s="130">
        <f>SUM('Aspirantes plan'!BH73:BH76)</f>
        <v>3268</v>
      </c>
      <c r="BI28" s="110">
        <f>SUM(BG28:BH28)</f>
        <v>6028</v>
      </c>
    </row>
    <row r="29" spans="1:61" s="161" customFormat="1" ht="15" customHeight="1" x14ac:dyDescent="0.25">
      <c r="A29" s="188" t="s">
        <v>137</v>
      </c>
      <c r="B29" s="189">
        <v>7601</v>
      </c>
      <c r="C29" s="190">
        <v>17106</v>
      </c>
      <c r="D29" s="190">
        <v>24707</v>
      </c>
      <c r="E29" s="189">
        <v>7656</v>
      </c>
      <c r="F29" s="190">
        <v>17630</v>
      </c>
      <c r="G29" s="190">
        <v>25286</v>
      </c>
      <c r="H29" s="189">
        <v>8788</v>
      </c>
      <c r="I29" s="190">
        <v>18763</v>
      </c>
      <c r="J29" s="191">
        <v>27551</v>
      </c>
      <c r="K29" s="190">
        <v>9077</v>
      </c>
      <c r="L29" s="190">
        <v>17120</v>
      </c>
      <c r="M29" s="191">
        <v>26197</v>
      </c>
      <c r="N29" s="190">
        <v>8893</v>
      </c>
      <c r="O29" s="190">
        <v>18677</v>
      </c>
      <c r="P29" s="191">
        <v>27570</v>
      </c>
      <c r="Q29" s="190">
        <v>10564</v>
      </c>
      <c r="R29" s="190">
        <v>19585</v>
      </c>
      <c r="S29" s="191">
        <v>30149</v>
      </c>
      <c r="T29" s="189">
        <v>11099</v>
      </c>
      <c r="U29" s="190">
        <v>21029</v>
      </c>
      <c r="V29" s="191">
        <v>32128</v>
      </c>
      <c r="W29" s="189">
        <f>SUM(W26:W28)</f>
        <v>11275</v>
      </c>
      <c r="X29" s="190">
        <v>23440</v>
      </c>
      <c r="Y29" s="191">
        <f>SUM(W29:X29)</f>
        <v>34715</v>
      </c>
      <c r="Z29" s="189">
        <f>SUM(Z26:Z28)</f>
        <v>13016</v>
      </c>
      <c r="AA29" s="190">
        <v>23503</v>
      </c>
      <c r="AB29" s="191">
        <f>SUM(Z29:AA29)</f>
        <v>36519</v>
      </c>
      <c r="AC29" s="189">
        <f t="shared" ref="AC29:BC29" si="12">SUM(AC26:AC28)</f>
        <v>13482</v>
      </c>
      <c r="AD29" s="190">
        <f t="shared" si="12"/>
        <v>26783</v>
      </c>
      <c r="AE29" s="191">
        <f t="shared" si="12"/>
        <v>40265</v>
      </c>
      <c r="AF29" s="189">
        <f t="shared" si="12"/>
        <v>12798</v>
      </c>
      <c r="AG29" s="190">
        <f t="shared" si="12"/>
        <v>27865</v>
      </c>
      <c r="AH29" s="191">
        <f t="shared" si="12"/>
        <v>40663</v>
      </c>
      <c r="AI29" s="189">
        <f t="shared" si="12"/>
        <v>11391</v>
      </c>
      <c r="AJ29" s="190">
        <f t="shared" si="12"/>
        <v>28133</v>
      </c>
      <c r="AK29" s="190">
        <f t="shared" si="12"/>
        <v>39524</v>
      </c>
      <c r="AL29" s="189">
        <f t="shared" si="12"/>
        <v>12777</v>
      </c>
      <c r="AM29" s="190">
        <f t="shared" si="12"/>
        <v>30101</v>
      </c>
      <c r="AN29" s="191">
        <f t="shared" si="12"/>
        <v>42878</v>
      </c>
      <c r="AO29" s="189">
        <f t="shared" si="12"/>
        <v>13238</v>
      </c>
      <c r="AP29" s="190">
        <f t="shared" si="12"/>
        <v>29830</v>
      </c>
      <c r="AQ29" s="191">
        <f t="shared" si="12"/>
        <v>43068</v>
      </c>
      <c r="AR29" s="189">
        <f t="shared" si="12"/>
        <v>12843</v>
      </c>
      <c r="AS29" s="190">
        <f t="shared" si="12"/>
        <v>30461</v>
      </c>
      <c r="AT29" s="191">
        <f t="shared" si="12"/>
        <v>43304</v>
      </c>
      <c r="AU29" s="189">
        <f t="shared" si="12"/>
        <v>12745</v>
      </c>
      <c r="AV29" s="190">
        <f t="shared" si="12"/>
        <v>31105</v>
      </c>
      <c r="AW29" s="191">
        <f t="shared" si="12"/>
        <v>43850</v>
      </c>
      <c r="AX29" s="189">
        <f t="shared" si="12"/>
        <v>15157</v>
      </c>
      <c r="AY29" s="190">
        <f t="shared" si="12"/>
        <v>23205</v>
      </c>
      <c r="AZ29" s="191">
        <f t="shared" si="12"/>
        <v>38362</v>
      </c>
      <c r="BA29" s="189">
        <f t="shared" si="12"/>
        <v>14399</v>
      </c>
      <c r="BB29" s="190">
        <f t="shared" si="12"/>
        <v>21424</v>
      </c>
      <c r="BC29" s="191">
        <f t="shared" si="12"/>
        <v>35823</v>
      </c>
      <c r="BD29" s="189">
        <f t="shared" ref="BD29:BF29" si="13">SUM(BD26:BD28)</f>
        <v>18285</v>
      </c>
      <c r="BE29" s="190">
        <f t="shared" si="13"/>
        <v>19174</v>
      </c>
      <c r="BF29" s="191">
        <f t="shared" si="13"/>
        <v>37459</v>
      </c>
      <c r="BG29" s="189">
        <f t="shared" ref="BG29:BI29" si="14">SUM(BG26:BG28)</f>
        <v>20244</v>
      </c>
      <c r="BH29" s="190">
        <f t="shared" si="14"/>
        <v>23438</v>
      </c>
      <c r="BI29" s="191">
        <f t="shared" si="14"/>
        <v>43682</v>
      </c>
    </row>
    <row r="30" spans="1:61" s="38" customFormat="1" ht="15" customHeight="1" x14ac:dyDescent="0.25">
      <c r="A30" s="3"/>
      <c r="B30" s="192"/>
      <c r="C30" s="192"/>
      <c r="D30" s="192"/>
      <c r="E30" s="192"/>
      <c r="F30" s="192"/>
      <c r="G30" s="192"/>
      <c r="H30" s="192"/>
      <c r="I30" s="192"/>
      <c r="J30" s="192"/>
      <c r="K30" s="192"/>
      <c r="L30" s="192"/>
      <c r="M30" s="192"/>
      <c r="N30" s="192"/>
      <c r="O30" s="192"/>
      <c r="P30" s="192"/>
      <c r="Q30" s="192"/>
      <c r="R30" s="192"/>
      <c r="S30" s="192"/>
      <c r="T30" s="192"/>
      <c r="U30" s="192"/>
      <c r="V30" s="192"/>
      <c r="W30" s="192"/>
      <c r="X30" s="192"/>
      <c r="Y30" s="192"/>
      <c r="Z30" s="192"/>
      <c r="AA30" s="192"/>
      <c r="AB30" s="171"/>
      <c r="AC30" s="192"/>
      <c r="AD30" s="192"/>
      <c r="AE30" s="171"/>
      <c r="AF30" s="192"/>
      <c r="AG30" s="192"/>
      <c r="AH30" s="171"/>
      <c r="AI30" s="192"/>
      <c r="AJ30" s="192"/>
      <c r="AK30" s="171"/>
      <c r="AL30" s="193"/>
      <c r="AM30" s="194"/>
      <c r="AN30" s="171"/>
      <c r="AO30" s="192"/>
      <c r="AP30" s="192"/>
      <c r="AQ30" s="171"/>
      <c r="AR30" s="192"/>
      <c r="AS30" s="192"/>
      <c r="AT30" s="171"/>
      <c r="AU30" s="192"/>
      <c r="AV30" s="192"/>
      <c r="AW30" s="171"/>
      <c r="AX30" s="192"/>
      <c r="AY30" s="192"/>
      <c r="AZ30" s="171"/>
      <c r="BA30" s="192"/>
      <c r="BB30" s="192"/>
      <c r="BC30" s="171"/>
      <c r="BD30" s="192"/>
      <c r="BE30" s="192"/>
      <c r="BF30" s="171"/>
      <c r="BG30" s="192"/>
      <c r="BH30" s="192"/>
      <c r="BI30" s="171"/>
    </row>
    <row r="31" spans="1:61" s="38" customFormat="1" ht="15" customHeight="1" x14ac:dyDescent="0.25">
      <c r="A31" s="150" t="s">
        <v>59</v>
      </c>
      <c r="B31" s="151">
        <v>2142</v>
      </c>
      <c r="C31" s="152">
        <v>6232</v>
      </c>
      <c r="D31" s="153">
        <v>8374</v>
      </c>
      <c r="E31" s="151">
        <v>2528</v>
      </c>
      <c r="F31" s="152">
        <v>6915</v>
      </c>
      <c r="G31" s="153">
        <v>9443</v>
      </c>
      <c r="H31" s="151">
        <v>2820</v>
      </c>
      <c r="I31" s="152">
        <v>6888</v>
      </c>
      <c r="J31" s="103">
        <v>9708</v>
      </c>
      <c r="K31" s="152">
        <v>2909</v>
      </c>
      <c r="L31" s="152">
        <v>5898</v>
      </c>
      <c r="M31" s="103">
        <v>8807</v>
      </c>
      <c r="N31" s="152">
        <v>2452</v>
      </c>
      <c r="O31" s="152">
        <v>6197</v>
      </c>
      <c r="P31" s="103">
        <v>8649</v>
      </c>
      <c r="Q31" s="152">
        <v>2875</v>
      </c>
      <c r="R31" s="152">
        <v>6522</v>
      </c>
      <c r="S31" s="103">
        <v>9397</v>
      </c>
      <c r="T31" s="151">
        <v>3060</v>
      </c>
      <c r="U31" s="152">
        <v>7302</v>
      </c>
      <c r="V31" s="103">
        <v>10362</v>
      </c>
      <c r="W31" s="151">
        <f>W6+W16</f>
        <v>2783</v>
      </c>
      <c r="X31" s="152">
        <v>8614</v>
      </c>
      <c r="Y31" s="103">
        <f t="shared" ref="Y31:Y36" si="15">SUM(W31:X31)</f>
        <v>11397</v>
      </c>
      <c r="Z31" s="151">
        <f>SUM(Z6,Z16,Z21)</f>
        <v>3071</v>
      </c>
      <c r="AA31" s="152">
        <f>SUM(AA6,AA16,AA21)</f>
        <v>8259</v>
      </c>
      <c r="AB31" s="103">
        <f>SUM(Z31:AA31)</f>
        <v>11330</v>
      </c>
      <c r="AC31" s="151">
        <f>SUM(AC6,AC16,AC21)</f>
        <v>3136</v>
      </c>
      <c r="AD31" s="152">
        <f>SUM(AD6,AD16,AD21)</f>
        <v>9508</v>
      </c>
      <c r="AE31" s="103">
        <f t="shared" ref="AE31:AE36" si="16">SUM(AC31:AD31)</f>
        <v>12644</v>
      </c>
      <c r="AF31" s="151">
        <f>SUM(AF6,AF16,AF21)</f>
        <v>2851</v>
      </c>
      <c r="AG31" s="152">
        <f>SUM(AG6,AG16,AG21)</f>
        <v>9811</v>
      </c>
      <c r="AH31" s="103">
        <f t="shared" ref="AH31:AH36" si="17">SUM(AF31:AG31)</f>
        <v>12662</v>
      </c>
      <c r="AI31" s="151">
        <f>SUM(AI6,AI16,AI21)</f>
        <v>2625</v>
      </c>
      <c r="AJ31" s="152">
        <f>SUM(AJ6,AJ16,AJ21)</f>
        <v>10171</v>
      </c>
      <c r="AK31" s="153">
        <f t="shared" ref="AK31:AK36" si="18">SUM(AI31:AJ31)</f>
        <v>12796</v>
      </c>
      <c r="AL31" s="151">
        <f>SUM(AL6,AL16,AL21)</f>
        <v>3024</v>
      </c>
      <c r="AM31" s="152">
        <f>SUM(AM6,AM16,AM21)</f>
        <v>11294</v>
      </c>
      <c r="AN31" s="103">
        <f t="shared" ref="AN31:AN36" si="19">SUM(AL31:AM31)</f>
        <v>14318</v>
      </c>
      <c r="AO31" s="151">
        <f>SUM(AO6,AO16,AO21)</f>
        <v>3182</v>
      </c>
      <c r="AP31" s="152">
        <f>SUM(AP6,AP16,AP21)</f>
        <v>11635</v>
      </c>
      <c r="AQ31" s="103">
        <f t="shared" ref="AQ31:AQ36" si="20">SUM(AO31:AP31)</f>
        <v>14817</v>
      </c>
      <c r="AR31" s="151">
        <f>SUM(AR6,AR16,AR21)</f>
        <v>2863</v>
      </c>
      <c r="AS31" s="152">
        <f>SUM(AS6,AS16,AS21)</f>
        <v>11761</v>
      </c>
      <c r="AT31" s="103">
        <f t="shared" ref="AT31:AT36" si="21">SUM(AR31:AS31)</f>
        <v>14624</v>
      </c>
      <c r="AU31" s="151">
        <f>SUM(AU6,AU16,AU21)</f>
        <v>2744</v>
      </c>
      <c r="AV31" s="152">
        <f>SUM(AV6,AV16,AV21)</f>
        <v>13121</v>
      </c>
      <c r="AW31" s="103">
        <f t="shared" ref="AW31:AW36" si="22">SUM(AU31:AV31)</f>
        <v>15865</v>
      </c>
      <c r="AX31" s="151">
        <f>SUM(AX6,AX16,AX21)</f>
        <v>3706</v>
      </c>
      <c r="AY31" s="152">
        <f>SUM(AY6,AY16,AY21)</f>
        <v>9472</v>
      </c>
      <c r="AZ31" s="103">
        <f t="shared" ref="AZ31:AZ36" si="23">SUM(AX31:AY31)</f>
        <v>13178</v>
      </c>
      <c r="BA31" s="151">
        <f>SUM(BA6,BA16,BA21)</f>
        <v>3078</v>
      </c>
      <c r="BB31" s="152">
        <f>SUM(BB6,BB16,BB21)</f>
        <v>7462</v>
      </c>
      <c r="BC31" s="103">
        <f t="shared" ref="BC31:BC36" si="24">SUM(BA31:BB31)</f>
        <v>10540</v>
      </c>
      <c r="BD31" s="151">
        <f>SUM(BD6,BD16,BD21)</f>
        <v>3501</v>
      </c>
      <c r="BE31" s="152">
        <f>SUM(BE6,BE16,BE21)</f>
        <v>6186</v>
      </c>
      <c r="BF31" s="103">
        <f t="shared" ref="BF31:BF36" si="25">SUM(BD31:BE31)</f>
        <v>9687</v>
      </c>
      <c r="BG31" s="151">
        <f>SUM(BG6,BG16,BG21)</f>
        <v>3504</v>
      </c>
      <c r="BH31" s="152">
        <f>SUM(BH6,BH16,BH21)</f>
        <v>7083</v>
      </c>
      <c r="BI31" s="103">
        <f t="shared" ref="BI31:BI36" si="26">SUM(BG31:BH31)</f>
        <v>10587</v>
      </c>
    </row>
    <row r="32" spans="1:61" s="38" customFormat="1" ht="15" customHeight="1" x14ac:dyDescent="0.25">
      <c r="A32" s="154" t="s">
        <v>64</v>
      </c>
      <c r="B32" s="129">
        <v>6809</v>
      </c>
      <c r="C32" s="130">
        <v>17023</v>
      </c>
      <c r="D32" s="155">
        <v>23832</v>
      </c>
      <c r="E32" s="129">
        <v>6530</v>
      </c>
      <c r="F32" s="130">
        <v>16917</v>
      </c>
      <c r="G32" s="155">
        <v>23447</v>
      </c>
      <c r="H32" s="129">
        <v>7288</v>
      </c>
      <c r="I32" s="130">
        <v>18221</v>
      </c>
      <c r="J32" s="110">
        <v>25509</v>
      </c>
      <c r="K32" s="130">
        <v>7478</v>
      </c>
      <c r="L32" s="130">
        <v>16690</v>
      </c>
      <c r="M32" s="110">
        <v>24168</v>
      </c>
      <c r="N32" s="130">
        <v>7305</v>
      </c>
      <c r="O32" s="130">
        <v>17527</v>
      </c>
      <c r="P32" s="110">
        <v>24832</v>
      </c>
      <c r="Q32" s="130">
        <v>8038</v>
      </c>
      <c r="R32" s="130">
        <v>18160</v>
      </c>
      <c r="S32" s="110">
        <v>26198</v>
      </c>
      <c r="T32" s="129">
        <v>8386</v>
      </c>
      <c r="U32" s="130">
        <v>19412</v>
      </c>
      <c r="V32" s="110">
        <v>27798</v>
      </c>
      <c r="W32" s="129">
        <f>SUM(W7,W17,W26,W11,W22)</f>
        <v>8724</v>
      </c>
      <c r="X32" s="130">
        <v>21525</v>
      </c>
      <c r="Y32" s="110">
        <f t="shared" si="15"/>
        <v>30249</v>
      </c>
      <c r="Z32" s="129">
        <f>SUM(Z7,Z17,Z26,Z11,Z22)</f>
        <v>9648</v>
      </c>
      <c r="AA32" s="130">
        <f>SUM(AA7,AA17,AA26,AA11,AA22)</f>
        <v>20993</v>
      </c>
      <c r="AB32" s="110">
        <f>SUM(AB7,AB17,AB26,AB11,AB22)</f>
        <v>30641</v>
      </c>
      <c r="AC32" s="129">
        <f>SUM(AC7,AC11,AC17,AC22,AC26)</f>
        <v>9642</v>
      </c>
      <c r="AD32" s="130">
        <f>SUM(AD7,AD11,AD17,AD22,AD26)</f>
        <v>23601</v>
      </c>
      <c r="AE32" s="110">
        <f t="shared" si="16"/>
        <v>33243</v>
      </c>
      <c r="AF32" s="129">
        <f>SUM(AF7,AF11,AF17,AF22,AF26)</f>
        <v>8830</v>
      </c>
      <c r="AG32" s="130">
        <f>SUM(AG7,AG11,AG17,AG22,AG26)</f>
        <v>23815</v>
      </c>
      <c r="AH32" s="110">
        <f t="shared" si="17"/>
        <v>32645</v>
      </c>
      <c r="AI32" s="129">
        <f>SUM(AI7,AI11,AI17,AI22,AI26)</f>
        <v>7868</v>
      </c>
      <c r="AJ32" s="130">
        <f>SUM(AJ7,AJ11,AJ17,AJ22,AJ26)</f>
        <v>23486</v>
      </c>
      <c r="AK32" s="155">
        <f t="shared" si="18"/>
        <v>31354</v>
      </c>
      <c r="AL32" s="129">
        <f>SUM(AL7,AL11,AL17,AL22,AL26)</f>
        <v>8691</v>
      </c>
      <c r="AM32" s="130">
        <f>SUM(AM7,AM11,AM17,AM22,AM26)</f>
        <v>24468</v>
      </c>
      <c r="AN32" s="110">
        <f t="shared" si="19"/>
        <v>33159</v>
      </c>
      <c r="AO32" s="129">
        <f>SUM(AO7,AO11,AO17,AO22,AO26)</f>
        <v>8691</v>
      </c>
      <c r="AP32" s="130">
        <f>SUM(AP7,AP11,AP17,AP22,AP26)</f>
        <v>24565</v>
      </c>
      <c r="AQ32" s="110">
        <f t="shared" si="20"/>
        <v>33256</v>
      </c>
      <c r="AR32" s="129">
        <f>SUM(AR7,AR11,AR17,AR22,AR26)</f>
        <v>8033</v>
      </c>
      <c r="AS32" s="130">
        <f>SUM(AS7,AS11,AS17,AS22,AS26)</f>
        <v>24175</v>
      </c>
      <c r="AT32" s="110">
        <f t="shared" si="21"/>
        <v>32208</v>
      </c>
      <c r="AU32" s="129">
        <f>SUM(AU7,AU11,AU17,AU22,AU26)</f>
        <v>7695</v>
      </c>
      <c r="AV32" s="130">
        <f>SUM(AV7,AV11,AV17,AV22,AV26)</f>
        <v>24028</v>
      </c>
      <c r="AW32" s="110">
        <f t="shared" si="22"/>
        <v>31723</v>
      </c>
      <c r="AX32" s="129">
        <f>SUM(AX7,AX11,AX17,AX22,AX26)</f>
        <v>9148</v>
      </c>
      <c r="AY32" s="130">
        <f>SUM(AY7,AY11,AY17,AY22,AY26)</f>
        <v>17305</v>
      </c>
      <c r="AZ32" s="110">
        <f t="shared" si="23"/>
        <v>26453</v>
      </c>
      <c r="BA32" s="129">
        <f>SUM(BA7,BA11,BA17,BA22,BA26)</f>
        <v>7744</v>
      </c>
      <c r="BB32" s="130">
        <f>SUM(BB7,BB11,BB17,BB22,BB26)</f>
        <v>14440</v>
      </c>
      <c r="BC32" s="110">
        <f t="shared" si="24"/>
        <v>22184</v>
      </c>
      <c r="BD32" s="129">
        <f>SUM(BD7,BD11,BD17,BD22,BD26)</f>
        <v>9932</v>
      </c>
      <c r="BE32" s="130">
        <f>SUM(BE7,BE11,BE17,BE22,BE26)</f>
        <v>12560</v>
      </c>
      <c r="BF32" s="110">
        <f t="shared" si="25"/>
        <v>22492</v>
      </c>
      <c r="BG32" s="129">
        <f>SUM(BG7,BG11,BG17,BG22,BG26)</f>
        <v>10321</v>
      </c>
      <c r="BH32" s="130">
        <f>SUM(BH7,BH11,BH17,BH22,BH26)</f>
        <v>14384</v>
      </c>
      <c r="BI32" s="110">
        <f t="shared" si="26"/>
        <v>24705</v>
      </c>
    </row>
    <row r="33" spans="1:61" s="38" customFormat="1" ht="15" customHeight="1" x14ac:dyDescent="0.25">
      <c r="A33" s="154" t="s">
        <v>92</v>
      </c>
      <c r="B33" s="129">
        <v>3453</v>
      </c>
      <c r="C33" s="130">
        <v>8373</v>
      </c>
      <c r="D33" s="155">
        <v>11826</v>
      </c>
      <c r="E33" s="129">
        <v>3649</v>
      </c>
      <c r="F33" s="130">
        <v>9115</v>
      </c>
      <c r="G33" s="155">
        <v>12764</v>
      </c>
      <c r="H33" s="129">
        <v>4326</v>
      </c>
      <c r="I33" s="130">
        <v>9854</v>
      </c>
      <c r="J33" s="156">
        <v>14180</v>
      </c>
      <c r="K33" s="130">
        <v>4556</v>
      </c>
      <c r="L33" s="130">
        <v>9158</v>
      </c>
      <c r="M33" s="110">
        <v>13714</v>
      </c>
      <c r="N33" s="130">
        <v>4345</v>
      </c>
      <c r="O33" s="130">
        <v>10038</v>
      </c>
      <c r="P33" s="110">
        <v>14383</v>
      </c>
      <c r="Q33" s="130">
        <v>5306</v>
      </c>
      <c r="R33" s="130">
        <v>10854</v>
      </c>
      <c r="S33" s="110">
        <v>16160</v>
      </c>
      <c r="T33" s="129">
        <v>5574</v>
      </c>
      <c r="U33" s="130">
        <v>11776</v>
      </c>
      <c r="V33" s="110">
        <v>17350</v>
      </c>
      <c r="W33" s="129">
        <f>W18+W27</f>
        <v>5678</v>
      </c>
      <c r="X33" s="130">
        <v>13028</v>
      </c>
      <c r="Y33" s="110">
        <f t="shared" si="15"/>
        <v>18706</v>
      </c>
      <c r="Z33" s="129">
        <f>SUM(Z18,Z27,Z23)</f>
        <v>7007</v>
      </c>
      <c r="AA33" s="130">
        <f>SUM(AA18,AA27,AA23)</f>
        <v>13345</v>
      </c>
      <c r="AB33" s="110">
        <f>SUM(Z33:AA33)</f>
        <v>20352</v>
      </c>
      <c r="AC33" s="129">
        <f>SUM(AC18,AC23,AC27)</f>
        <v>7238</v>
      </c>
      <c r="AD33" s="130">
        <f>SUM(AD18,AD23,AD27)</f>
        <v>15425</v>
      </c>
      <c r="AE33" s="110">
        <f t="shared" si="16"/>
        <v>22663</v>
      </c>
      <c r="AF33" s="129">
        <f>SUM(AF18,AF23,AF27)</f>
        <v>7184</v>
      </c>
      <c r="AG33" s="130">
        <f>SUM(AG18,AG23,AG27)</f>
        <v>17047</v>
      </c>
      <c r="AH33" s="110">
        <f t="shared" si="17"/>
        <v>24231</v>
      </c>
      <c r="AI33" s="129">
        <f>SUM(AI18,AI23,AI27)</f>
        <v>6852</v>
      </c>
      <c r="AJ33" s="130">
        <f>SUM(AJ18,AJ23,AJ27)</f>
        <v>17932</v>
      </c>
      <c r="AK33" s="155">
        <f t="shared" si="18"/>
        <v>24784</v>
      </c>
      <c r="AL33" s="129">
        <f>SUM(AL18,AL23,AL27)</f>
        <v>7890</v>
      </c>
      <c r="AM33" s="130">
        <f>SUM(AM18,AM23,AM27)</f>
        <v>19990</v>
      </c>
      <c r="AN33" s="110">
        <f t="shared" si="19"/>
        <v>27880</v>
      </c>
      <c r="AO33" s="129">
        <f>SUM(AO18,AO23,AO27)</f>
        <v>8482</v>
      </c>
      <c r="AP33" s="130">
        <f>SUM(AP18,AP23,AP27)</f>
        <v>19929</v>
      </c>
      <c r="AQ33" s="110">
        <f t="shared" si="20"/>
        <v>28411</v>
      </c>
      <c r="AR33" s="129">
        <f>SUM(AR18,AR23,AR27)</f>
        <v>8492</v>
      </c>
      <c r="AS33" s="130">
        <f>SUM(AS18,AS23,AS27)</f>
        <v>21287</v>
      </c>
      <c r="AT33" s="110">
        <f t="shared" si="21"/>
        <v>29779</v>
      </c>
      <c r="AU33" s="129">
        <f>SUM(AU18,AU23,AU27)</f>
        <v>8490</v>
      </c>
      <c r="AV33" s="130">
        <f>SUM(AV18,AV23,AV27)</f>
        <v>22806</v>
      </c>
      <c r="AW33" s="110">
        <f t="shared" si="22"/>
        <v>31296</v>
      </c>
      <c r="AX33" s="129">
        <f>SUM(AX18,AX23,AX27)</f>
        <v>10431</v>
      </c>
      <c r="AY33" s="130">
        <f>SUM(AY18,AY23,AY27)</f>
        <v>16837</v>
      </c>
      <c r="AZ33" s="110">
        <f t="shared" si="23"/>
        <v>27268</v>
      </c>
      <c r="BA33" s="129">
        <f>SUM(BA18,BA23,BA27)</f>
        <v>10275</v>
      </c>
      <c r="BB33" s="130">
        <f>SUM(BB18,BB23,BB27)</f>
        <v>15819</v>
      </c>
      <c r="BC33" s="110">
        <f t="shared" si="24"/>
        <v>26094</v>
      </c>
      <c r="BD33" s="129">
        <f>SUM(BD18,BD23,BD27)</f>
        <v>12740</v>
      </c>
      <c r="BE33" s="130">
        <f>SUM(BE18,BE23,BE27)</f>
        <v>14007</v>
      </c>
      <c r="BF33" s="110">
        <f t="shared" si="25"/>
        <v>26747</v>
      </c>
      <c r="BG33" s="129">
        <f>SUM(BG18,BG23,BG27)</f>
        <v>14144</v>
      </c>
      <c r="BH33" s="130">
        <f>SUM(BH18,BH23,BH27)</f>
        <v>17144</v>
      </c>
      <c r="BI33" s="110">
        <f t="shared" si="26"/>
        <v>31288</v>
      </c>
    </row>
    <row r="34" spans="1:61" s="38" customFormat="1" ht="15" customHeight="1" x14ac:dyDescent="0.25">
      <c r="A34" s="154" t="s">
        <v>68</v>
      </c>
      <c r="B34" s="129">
        <v>2701</v>
      </c>
      <c r="C34" s="130">
        <v>6547</v>
      </c>
      <c r="D34" s="155">
        <v>9248</v>
      </c>
      <c r="E34" s="129">
        <v>2791</v>
      </c>
      <c r="F34" s="130">
        <v>6878</v>
      </c>
      <c r="G34" s="155">
        <v>9669</v>
      </c>
      <c r="H34" s="129">
        <v>3012</v>
      </c>
      <c r="I34" s="130">
        <v>7011</v>
      </c>
      <c r="J34" s="110">
        <v>10023</v>
      </c>
      <c r="K34" s="130">
        <v>3181</v>
      </c>
      <c r="L34" s="130">
        <v>6482</v>
      </c>
      <c r="M34" s="110">
        <v>9663</v>
      </c>
      <c r="N34" s="130">
        <v>3297</v>
      </c>
      <c r="O34" s="130">
        <v>7665</v>
      </c>
      <c r="P34" s="110">
        <v>10962</v>
      </c>
      <c r="Q34" s="130">
        <v>4297</v>
      </c>
      <c r="R34" s="130">
        <v>8212</v>
      </c>
      <c r="S34" s="110">
        <v>12509</v>
      </c>
      <c r="T34" s="129">
        <v>4397</v>
      </c>
      <c r="U34" s="130">
        <v>8963</v>
      </c>
      <c r="V34" s="110">
        <v>13360</v>
      </c>
      <c r="W34" s="129">
        <f>W8+W28</f>
        <v>4775</v>
      </c>
      <c r="X34" s="130">
        <v>10326</v>
      </c>
      <c r="Y34" s="110">
        <f t="shared" si="15"/>
        <v>15101</v>
      </c>
      <c r="Z34" s="129">
        <f>SUM(Z8,Z28)</f>
        <v>5424</v>
      </c>
      <c r="AA34" s="130">
        <f>SUM(AA8,AA28)</f>
        <v>9889</v>
      </c>
      <c r="AB34" s="110">
        <f>SUM(Z34:AA34)</f>
        <v>15313</v>
      </c>
      <c r="AC34" s="129">
        <f>SUM(AC8,AC28)</f>
        <v>5469</v>
      </c>
      <c r="AD34" s="130">
        <f>SUM(AD8,AD28)</f>
        <v>11686</v>
      </c>
      <c r="AE34" s="110">
        <f t="shared" si="16"/>
        <v>17155</v>
      </c>
      <c r="AF34" s="129">
        <f>SUM(AF8,AF28)</f>
        <v>5006</v>
      </c>
      <c r="AG34" s="130">
        <f>SUM(AG8,AG28)</f>
        <v>10917</v>
      </c>
      <c r="AH34" s="110">
        <f t="shared" si="17"/>
        <v>15923</v>
      </c>
      <c r="AI34" s="129">
        <f>SUM(AI8,AI28)</f>
        <v>4170</v>
      </c>
      <c r="AJ34" s="130">
        <f>SUM(AJ8,AJ28)</f>
        <v>10280</v>
      </c>
      <c r="AK34" s="155">
        <f t="shared" si="18"/>
        <v>14450</v>
      </c>
      <c r="AL34" s="129">
        <f>SUM(AL8,AL28)</f>
        <v>4352</v>
      </c>
      <c r="AM34" s="130">
        <f>SUM(AM8,AM28)</f>
        <v>10100</v>
      </c>
      <c r="AN34" s="110">
        <f t="shared" si="19"/>
        <v>14452</v>
      </c>
      <c r="AO34" s="129">
        <f>SUM(AO8,AO28)</f>
        <v>4236</v>
      </c>
      <c r="AP34" s="130">
        <f>SUM(AP8,AP28)</f>
        <v>10161</v>
      </c>
      <c r="AQ34" s="110">
        <f t="shared" si="20"/>
        <v>14397</v>
      </c>
      <c r="AR34" s="129">
        <f>SUM(AR8,AR28)</f>
        <v>3984</v>
      </c>
      <c r="AS34" s="130">
        <f>SUM(AS8,AS28)</f>
        <v>9527</v>
      </c>
      <c r="AT34" s="110">
        <f t="shared" si="21"/>
        <v>13511</v>
      </c>
      <c r="AU34" s="129">
        <f>SUM(AU8,AU28)</f>
        <v>4067</v>
      </c>
      <c r="AV34" s="130">
        <f>SUM(AV8,AV28)</f>
        <v>10110</v>
      </c>
      <c r="AW34" s="110">
        <f t="shared" si="22"/>
        <v>14177</v>
      </c>
      <c r="AX34" s="129">
        <f>SUM(AX8,AX28)</f>
        <v>5010</v>
      </c>
      <c r="AY34" s="130">
        <f>SUM(AY8,AY28)</f>
        <v>8280</v>
      </c>
      <c r="AZ34" s="110">
        <f t="shared" si="23"/>
        <v>13290</v>
      </c>
      <c r="BA34" s="129">
        <f>SUM(BA8,BA28)</f>
        <v>5010</v>
      </c>
      <c r="BB34" s="130">
        <f>SUM(BB8,BB28)</f>
        <v>7472</v>
      </c>
      <c r="BC34" s="110">
        <f t="shared" si="24"/>
        <v>12482</v>
      </c>
      <c r="BD34" s="129">
        <f>SUM(BD8,BD28)</f>
        <v>6238</v>
      </c>
      <c r="BE34" s="130">
        <f>SUM(BE8,BE28)</f>
        <v>6808</v>
      </c>
      <c r="BF34" s="110">
        <f t="shared" si="25"/>
        <v>13046</v>
      </c>
      <c r="BG34" s="129">
        <f>SUM(BG8,BG28)</f>
        <v>6341</v>
      </c>
      <c r="BH34" s="130">
        <f>SUM(BH8,BH28)</f>
        <v>7657</v>
      </c>
      <c r="BI34" s="110">
        <f t="shared" si="26"/>
        <v>13998</v>
      </c>
    </row>
    <row r="35" spans="1:61" s="38" customFormat="1" ht="15" customHeight="1" x14ac:dyDescent="0.25">
      <c r="A35" s="154" t="s">
        <v>111</v>
      </c>
      <c r="B35" s="129"/>
      <c r="C35" s="130"/>
      <c r="D35" s="155"/>
      <c r="E35" s="129"/>
      <c r="F35" s="130"/>
      <c r="G35" s="155">
        <v>0</v>
      </c>
      <c r="H35" s="129"/>
      <c r="I35" s="130">
        <v>135</v>
      </c>
      <c r="J35" s="110">
        <v>135</v>
      </c>
      <c r="K35" s="130"/>
      <c r="L35" s="130">
        <v>89</v>
      </c>
      <c r="M35" s="110">
        <v>89</v>
      </c>
      <c r="N35" s="130"/>
      <c r="O35" s="130">
        <v>588</v>
      </c>
      <c r="P35" s="110">
        <v>588</v>
      </c>
      <c r="Q35" s="130"/>
      <c r="R35" s="130">
        <v>685</v>
      </c>
      <c r="S35" s="110">
        <v>685</v>
      </c>
      <c r="T35" s="129"/>
      <c r="U35" s="130">
        <v>879</v>
      </c>
      <c r="V35" s="110">
        <v>879</v>
      </c>
      <c r="W35" s="129"/>
      <c r="X35" s="130">
        <v>1094</v>
      </c>
      <c r="Y35" s="110">
        <f t="shared" si="15"/>
        <v>1094</v>
      </c>
      <c r="Z35" s="129"/>
      <c r="AA35" s="130">
        <f>SUM(AA12)</f>
        <v>1011</v>
      </c>
      <c r="AB35" s="110">
        <f>SUM(Z35:AA35)</f>
        <v>1011</v>
      </c>
      <c r="AC35" s="129">
        <f>SUM(AC12)</f>
        <v>0</v>
      </c>
      <c r="AD35" s="130">
        <f>SUM(AD12)</f>
        <v>1001</v>
      </c>
      <c r="AE35" s="110">
        <f t="shared" si="16"/>
        <v>1001</v>
      </c>
      <c r="AF35" s="129">
        <f>SUM(AF12)</f>
        <v>0</v>
      </c>
      <c r="AG35" s="130">
        <f>SUM(AG12)</f>
        <v>1887</v>
      </c>
      <c r="AH35" s="110">
        <f t="shared" si="17"/>
        <v>1887</v>
      </c>
      <c r="AI35" s="129">
        <f>SUM(AI12)</f>
        <v>0</v>
      </c>
      <c r="AJ35" s="130">
        <f>SUM(AJ12)</f>
        <v>1920</v>
      </c>
      <c r="AK35" s="155">
        <f t="shared" si="18"/>
        <v>1920</v>
      </c>
      <c r="AL35" s="129">
        <f>SUM(AL12)</f>
        <v>0</v>
      </c>
      <c r="AM35" s="130">
        <f>SUM(AM12)</f>
        <v>1926</v>
      </c>
      <c r="AN35" s="110">
        <f t="shared" si="19"/>
        <v>1926</v>
      </c>
      <c r="AO35" s="129">
        <f>SUM(AO12)</f>
        <v>0</v>
      </c>
      <c r="AP35" s="130">
        <f>SUM(AP12)</f>
        <v>1866</v>
      </c>
      <c r="AQ35" s="110">
        <f t="shared" si="20"/>
        <v>1866</v>
      </c>
      <c r="AR35" s="129">
        <f>SUM(AR12)</f>
        <v>0</v>
      </c>
      <c r="AS35" s="130">
        <f>SUM(AS12)</f>
        <v>1892</v>
      </c>
      <c r="AT35" s="110">
        <f t="shared" si="21"/>
        <v>1892</v>
      </c>
      <c r="AU35" s="129">
        <f>SUM(AU12)</f>
        <v>0</v>
      </c>
      <c r="AV35" s="130">
        <f>SUM(AV12)</f>
        <v>1749</v>
      </c>
      <c r="AW35" s="110">
        <f t="shared" si="22"/>
        <v>1749</v>
      </c>
      <c r="AX35" s="129">
        <f>SUM(AX12)</f>
        <v>0</v>
      </c>
      <c r="AY35" s="130">
        <f>SUM(AY12)</f>
        <v>1558</v>
      </c>
      <c r="AZ35" s="110">
        <f t="shared" si="23"/>
        <v>1558</v>
      </c>
      <c r="BA35" s="129">
        <f>SUM(BA12)</f>
        <v>0</v>
      </c>
      <c r="BB35" s="130">
        <f>SUM(BB12)</f>
        <v>1418</v>
      </c>
      <c r="BC35" s="110">
        <f t="shared" si="24"/>
        <v>1418</v>
      </c>
      <c r="BD35" s="129">
        <f>SUM(BD12)</f>
        <v>0</v>
      </c>
      <c r="BE35" s="130">
        <f>SUM(BE12)</f>
        <v>1532</v>
      </c>
      <c r="BF35" s="110">
        <f t="shared" si="25"/>
        <v>1532</v>
      </c>
      <c r="BG35" s="129">
        <f>SUM(BG12)</f>
        <v>0</v>
      </c>
      <c r="BH35" s="130">
        <f>SUM(BH12)</f>
        <v>1527</v>
      </c>
      <c r="BI35" s="110">
        <f t="shared" si="26"/>
        <v>1527</v>
      </c>
    </row>
    <row r="36" spans="1:61" s="38" customFormat="1" ht="15" customHeight="1" x14ac:dyDescent="0.25">
      <c r="A36" s="195" t="s">
        <v>115</v>
      </c>
      <c r="B36" s="196"/>
      <c r="C36" s="197"/>
      <c r="D36" s="198"/>
      <c r="E36" s="196"/>
      <c r="F36" s="197"/>
      <c r="G36" s="198">
        <v>0</v>
      </c>
      <c r="H36" s="196"/>
      <c r="I36" s="197">
        <v>209</v>
      </c>
      <c r="J36" s="199">
        <v>209</v>
      </c>
      <c r="K36" s="197"/>
      <c r="L36" s="197">
        <v>94</v>
      </c>
      <c r="M36" s="117">
        <v>94</v>
      </c>
      <c r="N36" s="197"/>
      <c r="O36" s="197">
        <v>169</v>
      </c>
      <c r="P36" s="117">
        <v>169</v>
      </c>
      <c r="Q36" s="197"/>
      <c r="R36" s="197">
        <v>246</v>
      </c>
      <c r="S36" s="117">
        <v>246</v>
      </c>
      <c r="T36" s="196"/>
      <c r="U36" s="197">
        <v>241</v>
      </c>
      <c r="V36" s="117">
        <v>241</v>
      </c>
      <c r="W36" s="196"/>
      <c r="X36" s="197">
        <v>444</v>
      </c>
      <c r="Y36" s="117">
        <f t="shared" si="15"/>
        <v>444</v>
      </c>
      <c r="Z36" s="196"/>
      <c r="AA36" s="197">
        <f>SUM(AA13)</f>
        <v>380</v>
      </c>
      <c r="AB36" s="117">
        <f>SUM(Z36:AA36)</f>
        <v>380</v>
      </c>
      <c r="AC36" s="196">
        <f>SUM(AC13)</f>
        <v>0</v>
      </c>
      <c r="AD36" s="197">
        <f>SUM(AD13)</f>
        <v>363</v>
      </c>
      <c r="AE36" s="117">
        <f t="shared" si="16"/>
        <v>363</v>
      </c>
      <c r="AF36" s="196">
        <f>SUM(AF13)</f>
        <v>0</v>
      </c>
      <c r="AG36" s="197">
        <f>SUM(AG13)</f>
        <v>770</v>
      </c>
      <c r="AH36" s="117">
        <f t="shared" si="17"/>
        <v>770</v>
      </c>
      <c r="AI36" s="196">
        <f>SUM(AI13)</f>
        <v>0</v>
      </c>
      <c r="AJ36" s="197">
        <f>SUM(AJ13)</f>
        <v>849</v>
      </c>
      <c r="AK36" s="198">
        <f t="shared" si="18"/>
        <v>849</v>
      </c>
      <c r="AL36" s="196">
        <f>SUM(AL13)</f>
        <v>0</v>
      </c>
      <c r="AM36" s="197">
        <f>SUM(AM13)</f>
        <v>955</v>
      </c>
      <c r="AN36" s="117">
        <f t="shared" si="19"/>
        <v>955</v>
      </c>
      <c r="AO36" s="196">
        <f>SUM(AO13)</f>
        <v>0</v>
      </c>
      <c r="AP36" s="197">
        <f>SUM(AP13)</f>
        <v>1005</v>
      </c>
      <c r="AQ36" s="117">
        <f t="shared" si="20"/>
        <v>1005</v>
      </c>
      <c r="AR36" s="196">
        <f>SUM(AR13)</f>
        <v>0</v>
      </c>
      <c r="AS36" s="197">
        <f>SUM(AS13)</f>
        <v>993</v>
      </c>
      <c r="AT36" s="117">
        <f t="shared" si="21"/>
        <v>993</v>
      </c>
      <c r="AU36" s="196">
        <f>SUM(AU13)</f>
        <v>0</v>
      </c>
      <c r="AV36" s="197">
        <f>SUM(AV13)</f>
        <v>1171</v>
      </c>
      <c r="AW36" s="117">
        <f t="shared" si="22"/>
        <v>1171</v>
      </c>
      <c r="AX36" s="196">
        <f>SUM(AX13)</f>
        <v>0</v>
      </c>
      <c r="AY36" s="197">
        <f>SUM(AY13)</f>
        <v>1057</v>
      </c>
      <c r="AZ36" s="117">
        <f t="shared" si="23"/>
        <v>1057</v>
      </c>
      <c r="BA36" s="196">
        <f>SUM(BA13)</f>
        <v>0</v>
      </c>
      <c r="BB36" s="197">
        <f>SUM(BB13)</f>
        <v>1046</v>
      </c>
      <c r="BC36" s="117">
        <f t="shared" si="24"/>
        <v>1046</v>
      </c>
      <c r="BD36" s="196">
        <f>SUM(BD13)</f>
        <v>0</v>
      </c>
      <c r="BE36" s="197">
        <f>SUM(BE13)</f>
        <v>835</v>
      </c>
      <c r="BF36" s="117">
        <f t="shared" si="25"/>
        <v>835</v>
      </c>
      <c r="BG36" s="196">
        <f>SUM(BG13)</f>
        <v>0</v>
      </c>
      <c r="BH36" s="197">
        <f>SUM(BH13)</f>
        <v>854</v>
      </c>
      <c r="BI36" s="117">
        <f t="shared" si="26"/>
        <v>854</v>
      </c>
    </row>
    <row r="37" spans="1:61" s="161" customFormat="1" ht="15.75" customHeight="1" x14ac:dyDescent="0.25">
      <c r="A37" s="200" t="s">
        <v>128</v>
      </c>
      <c r="B37" s="201">
        <f>SUM(B31:B36)</f>
        <v>15105</v>
      </c>
      <c r="C37" s="202">
        <f>SUM(C31:C36)</f>
        <v>38175</v>
      </c>
      <c r="D37" s="202">
        <f>SUM(D31:D36)</f>
        <v>53280</v>
      </c>
      <c r="E37" s="201">
        <f>SUM(E31:E36)</f>
        <v>15498</v>
      </c>
      <c r="F37" s="202">
        <f t="shared" ref="F37:BC37" si="27">SUM(F31:F36)</f>
        <v>39825</v>
      </c>
      <c r="G37" s="202">
        <f t="shared" si="27"/>
        <v>55323</v>
      </c>
      <c r="H37" s="201">
        <f t="shared" si="27"/>
        <v>17446</v>
      </c>
      <c r="I37" s="202">
        <f t="shared" si="27"/>
        <v>42318</v>
      </c>
      <c r="J37" s="202">
        <f t="shared" si="27"/>
        <v>59764</v>
      </c>
      <c r="K37" s="201">
        <f t="shared" si="27"/>
        <v>18124</v>
      </c>
      <c r="L37" s="202">
        <f t="shared" si="27"/>
        <v>38411</v>
      </c>
      <c r="M37" s="202">
        <f t="shared" si="27"/>
        <v>56535</v>
      </c>
      <c r="N37" s="201">
        <f t="shared" si="27"/>
        <v>17399</v>
      </c>
      <c r="O37" s="202">
        <f t="shared" si="27"/>
        <v>42184</v>
      </c>
      <c r="P37" s="202">
        <f t="shared" si="27"/>
        <v>59583</v>
      </c>
      <c r="Q37" s="201">
        <f t="shared" si="27"/>
        <v>20516</v>
      </c>
      <c r="R37" s="202">
        <f t="shared" si="27"/>
        <v>44679</v>
      </c>
      <c r="S37" s="202">
        <f t="shared" si="27"/>
        <v>65195</v>
      </c>
      <c r="T37" s="201">
        <f t="shared" si="27"/>
        <v>21417</v>
      </c>
      <c r="U37" s="202">
        <f t="shared" si="27"/>
        <v>48573</v>
      </c>
      <c r="V37" s="202">
        <f t="shared" si="27"/>
        <v>69990</v>
      </c>
      <c r="W37" s="201">
        <f t="shared" si="27"/>
        <v>21960</v>
      </c>
      <c r="X37" s="202">
        <f t="shared" si="27"/>
        <v>55031</v>
      </c>
      <c r="Y37" s="202">
        <f t="shared" si="27"/>
        <v>76991</v>
      </c>
      <c r="Z37" s="201">
        <f t="shared" si="27"/>
        <v>25150</v>
      </c>
      <c r="AA37" s="202">
        <f t="shared" si="27"/>
        <v>53877</v>
      </c>
      <c r="AB37" s="203">
        <f t="shared" si="27"/>
        <v>79027</v>
      </c>
      <c r="AC37" s="201">
        <f t="shared" si="27"/>
        <v>25485</v>
      </c>
      <c r="AD37" s="202">
        <f t="shared" si="27"/>
        <v>61584</v>
      </c>
      <c r="AE37" s="203">
        <f t="shared" si="27"/>
        <v>87069</v>
      </c>
      <c r="AF37" s="201">
        <f t="shared" si="27"/>
        <v>23871</v>
      </c>
      <c r="AG37" s="202">
        <f t="shared" si="27"/>
        <v>64247</v>
      </c>
      <c r="AH37" s="203">
        <f t="shared" si="27"/>
        <v>88118</v>
      </c>
      <c r="AI37" s="201">
        <f t="shared" si="27"/>
        <v>21515</v>
      </c>
      <c r="AJ37" s="202">
        <f t="shared" si="27"/>
        <v>64638</v>
      </c>
      <c r="AK37" s="202">
        <f t="shared" si="27"/>
        <v>86153</v>
      </c>
      <c r="AL37" s="201">
        <f t="shared" si="27"/>
        <v>23957</v>
      </c>
      <c r="AM37" s="202">
        <f t="shared" si="27"/>
        <v>68733</v>
      </c>
      <c r="AN37" s="203">
        <f t="shared" si="27"/>
        <v>92690</v>
      </c>
      <c r="AO37" s="201">
        <f t="shared" si="27"/>
        <v>24591</v>
      </c>
      <c r="AP37" s="202">
        <f t="shared" si="27"/>
        <v>69161</v>
      </c>
      <c r="AQ37" s="203">
        <f t="shared" si="27"/>
        <v>93752</v>
      </c>
      <c r="AR37" s="201">
        <f t="shared" si="27"/>
        <v>23372</v>
      </c>
      <c r="AS37" s="202">
        <f t="shared" si="27"/>
        <v>69635</v>
      </c>
      <c r="AT37" s="203">
        <f t="shared" si="27"/>
        <v>93007</v>
      </c>
      <c r="AU37" s="201">
        <f t="shared" si="27"/>
        <v>22996</v>
      </c>
      <c r="AV37" s="202">
        <f t="shared" si="27"/>
        <v>72985</v>
      </c>
      <c r="AW37" s="203">
        <f t="shared" si="27"/>
        <v>95981</v>
      </c>
      <c r="AX37" s="201">
        <f t="shared" si="27"/>
        <v>28295</v>
      </c>
      <c r="AY37" s="202">
        <f t="shared" si="27"/>
        <v>54509</v>
      </c>
      <c r="AZ37" s="203">
        <f t="shared" si="27"/>
        <v>82804</v>
      </c>
      <c r="BA37" s="201">
        <f t="shared" si="27"/>
        <v>26107</v>
      </c>
      <c r="BB37" s="202">
        <f t="shared" si="27"/>
        <v>47657</v>
      </c>
      <c r="BC37" s="203">
        <f t="shared" si="27"/>
        <v>73764</v>
      </c>
      <c r="BD37" s="201">
        <f t="shared" ref="BD37:BF37" si="28">SUM(BD31:BD36)</f>
        <v>32411</v>
      </c>
      <c r="BE37" s="202">
        <f t="shared" si="28"/>
        <v>41928</v>
      </c>
      <c r="BF37" s="203">
        <f t="shared" si="28"/>
        <v>74339</v>
      </c>
      <c r="BG37" s="201">
        <f t="shared" ref="BG37:BI37" si="29">SUM(BG31:BG36)</f>
        <v>34310</v>
      </c>
      <c r="BH37" s="202">
        <f t="shared" si="29"/>
        <v>48649</v>
      </c>
      <c r="BI37" s="203">
        <f t="shared" si="29"/>
        <v>82959</v>
      </c>
    </row>
    <row r="38" spans="1:61" ht="13.5" customHeight="1" x14ac:dyDescent="0.25">
      <c r="A38" s="142"/>
      <c r="B38" s="142"/>
      <c r="C38" s="142"/>
      <c r="D38" s="142"/>
    </row>
    <row r="39" spans="1:61" ht="12.75" customHeight="1" x14ac:dyDescent="0.25">
      <c r="A39" s="204"/>
      <c r="B39" s="204"/>
      <c r="C39" s="204"/>
      <c r="D39" s="204"/>
    </row>
    <row r="40" spans="1:61" x14ac:dyDescent="0.25">
      <c r="A40" s="204"/>
      <c r="B40" s="204"/>
      <c r="C40" s="204"/>
      <c r="D40" s="204"/>
    </row>
    <row r="44" spans="1:61" x14ac:dyDescent="0.25">
      <c r="AO44" s="205">
        <v>2003</v>
      </c>
    </row>
    <row r="45" spans="1:61" x14ac:dyDescent="0.25">
      <c r="AO45" s="205">
        <v>2004</v>
      </c>
    </row>
    <row r="46" spans="1:61" x14ac:dyDescent="0.25">
      <c r="R46" s="205"/>
      <c r="AO46" s="205">
        <v>2005</v>
      </c>
    </row>
    <row r="47" spans="1:61" x14ac:dyDescent="0.25">
      <c r="R47" s="205"/>
      <c r="AO47" s="205">
        <v>2006</v>
      </c>
    </row>
    <row r="48" spans="1:61" x14ac:dyDescent="0.25">
      <c r="R48" s="205"/>
      <c r="AO48" s="205">
        <v>2007</v>
      </c>
    </row>
    <row r="49" spans="18:41" x14ac:dyDescent="0.25">
      <c r="R49" s="205"/>
      <c r="AO49" s="205">
        <v>2008</v>
      </c>
    </row>
    <row r="50" spans="18:41" x14ac:dyDescent="0.25">
      <c r="R50" s="205"/>
      <c r="AO50" s="205">
        <v>2009</v>
      </c>
    </row>
    <row r="51" spans="18:41" x14ac:dyDescent="0.25">
      <c r="AO51" s="205">
        <v>2010</v>
      </c>
    </row>
    <row r="52" spans="18:41" x14ac:dyDescent="0.25">
      <c r="AO52" s="205">
        <v>2011</v>
      </c>
    </row>
    <row r="53" spans="18:41" x14ac:dyDescent="0.25">
      <c r="AO53" s="205">
        <v>2012</v>
      </c>
    </row>
    <row r="54" spans="18:41" x14ac:dyDescent="0.25">
      <c r="AO54" s="205">
        <v>2013</v>
      </c>
    </row>
    <row r="55" spans="18:41" x14ac:dyDescent="0.25">
      <c r="AO55" s="205">
        <v>2014</v>
      </c>
    </row>
    <row r="56" spans="18:41" x14ac:dyDescent="0.25">
      <c r="AO56" s="205">
        <v>2015</v>
      </c>
    </row>
    <row r="57" spans="18:41" x14ac:dyDescent="0.25">
      <c r="AN57" s="205" t="s">
        <v>138</v>
      </c>
      <c r="AO57" s="205">
        <v>2016</v>
      </c>
    </row>
    <row r="58" spans="18:41" x14ac:dyDescent="0.25">
      <c r="AN58" s="205" t="s">
        <v>134</v>
      </c>
      <c r="AO58" s="206">
        <v>2017</v>
      </c>
    </row>
    <row r="59" spans="18:41" x14ac:dyDescent="0.25">
      <c r="AN59" s="205" t="s">
        <v>135</v>
      </c>
      <c r="AO59" s="206">
        <v>2018</v>
      </c>
    </row>
    <row r="60" spans="18:41" x14ac:dyDescent="0.25">
      <c r="AN60" s="205" t="s">
        <v>136</v>
      </c>
      <c r="AO60" s="206">
        <v>2019</v>
      </c>
    </row>
    <row r="61" spans="18:41" x14ac:dyDescent="0.25">
      <c r="AN61" s="205" t="s">
        <v>137</v>
      </c>
      <c r="AO61" s="206">
        <v>2020</v>
      </c>
    </row>
    <row r="62" spans="18:41" x14ac:dyDescent="0.25">
      <c r="AO62" s="206">
        <v>2021</v>
      </c>
    </row>
    <row r="63" spans="18:41" x14ac:dyDescent="0.25">
      <c r="AO63" s="206">
        <v>2022</v>
      </c>
    </row>
    <row r="74" spans="22:22" x14ac:dyDescent="0.25">
      <c r="V74" s="207"/>
    </row>
    <row r="75" spans="22:22" x14ac:dyDescent="0.25">
      <c r="V75" s="207"/>
    </row>
  </sheetData>
  <mergeCells count="21">
    <mergeCell ref="AI3:AK3"/>
    <mergeCell ref="AL3:AN3"/>
    <mergeCell ref="AF3:AH3"/>
    <mergeCell ref="A3:A4"/>
    <mergeCell ref="B3:D3"/>
    <mergeCell ref="E3:G3"/>
    <mergeCell ref="H3:J3"/>
    <mergeCell ref="K3:M3"/>
    <mergeCell ref="N3:P3"/>
    <mergeCell ref="Q3:S3"/>
    <mergeCell ref="T3:V3"/>
    <mergeCell ref="W3:Y3"/>
    <mergeCell ref="Z3:AB3"/>
    <mergeCell ref="AC3:AE3"/>
    <mergeCell ref="BG3:BI3"/>
    <mergeCell ref="AO3:AQ3"/>
    <mergeCell ref="AR3:AT3"/>
    <mergeCell ref="AU3:AW3"/>
    <mergeCell ref="AX3:AZ3"/>
    <mergeCell ref="BD3:BF3"/>
    <mergeCell ref="BA3:BC3"/>
  </mergeCells>
  <printOptions horizontalCentered="1" verticalCentered="1"/>
  <pageMargins left="0.15748031496062992" right="0.19685039370078741" top="0.31496062992125984" bottom="0.19685039370078741" header="0" footer="0.31496062992125984"/>
  <pageSetup scale="75" firstPageNumber="3" pageOrder="overThenDown" orientation="landscape" useFirstPageNumber="1" r:id="rId1"/>
  <headerFooter scaleWithDoc="0" alignWithMargins="0">
    <oddFooter>&amp;R&amp;P</oddFooter>
  </headerFooter>
  <rowBreaks count="1" manualBreakCount="1">
    <brk id="39" max="16383" man="1"/>
  </rowBreaks>
  <colBreaks count="2" manualBreakCount="2">
    <brk id="19" max="76" man="1"/>
    <brk id="37" max="76" man="1"/>
  </colBreaks>
  <ignoredErrors>
    <ignoredError sqref="AN31:BC36 BF31:BF36" formula="1"/>
  </ignoredError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  <pageSetUpPr fitToPage="1"/>
  </sheetPr>
  <dimension ref="A1:AG54"/>
  <sheetViews>
    <sheetView showGridLines="0" zoomScaleNormal="100" workbookViewId="0">
      <pane xSplit="3" ySplit="4" topLeftCell="AB29" activePane="bottomRight" state="frozen"/>
      <selection activeCell="Q31" sqref="Q31"/>
      <selection pane="topRight" activeCell="Q31" sqref="Q31"/>
      <selection pane="bottomLeft" activeCell="Q31" sqref="Q31"/>
      <selection pane="bottomRight" sqref="A1:C1"/>
    </sheetView>
  </sheetViews>
  <sheetFormatPr baseColWidth="10" defaultColWidth="11.44140625" defaultRowHeight="14.4" x14ac:dyDescent="0.3"/>
  <cols>
    <col min="1" max="1" width="5.88671875" style="2207" customWidth="1"/>
    <col min="2" max="2" width="71.109375" style="2207" customWidth="1"/>
    <col min="3" max="3" width="19" style="2207" bestFit="1" customWidth="1"/>
    <col min="4" max="4" width="11.5546875" style="2207" customWidth="1"/>
    <col min="5" max="5" width="9.109375" style="2207" customWidth="1"/>
    <col min="6" max="6" width="9.88671875" style="2207" customWidth="1"/>
    <col min="7" max="7" width="11.5546875" style="2207" customWidth="1"/>
    <col min="8" max="8" width="9.109375" style="2207" customWidth="1"/>
    <col min="9" max="9" width="9.88671875" style="2207" customWidth="1"/>
    <col min="10" max="10" width="11.5546875" style="2237" customWidth="1"/>
    <col min="11" max="11" width="9.109375" style="2237" customWidth="1"/>
    <col min="12" max="12" width="9.88671875" style="2207" customWidth="1"/>
    <col min="13" max="13" width="12.109375" style="2207" customWidth="1"/>
    <col min="14" max="14" width="9.109375" style="2207" customWidth="1"/>
    <col min="15" max="15" width="9.88671875" style="2207" customWidth="1"/>
    <col min="16" max="16" width="10.88671875" style="2207" customWidth="1"/>
    <col min="17" max="18" width="11.109375" style="2207" customWidth="1"/>
    <col min="19" max="29" width="11.44140625" style="2207" customWidth="1"/>
    <col min="30" max="16384" width="11.44140625" style="2207"/>
  </cols>
  <sheetData>
    <row r="1" spans="1:32" ht="18" customHeight="1" x14ac:dyDescent="0.3">
      <c r="A1" s="6030" t="s">
        <v>594</v>
      </c>
      <c r="B1" s="6030"/>
      <c r="C1" s="6030"/>
      <c r="G1" s="569"/>
      <c r="J1" s="2207"/>
      <c r="K1" s="2207"/>
    </row>
    <row r="2" spans="1:32" ht="18" x14ac:dyDescent="0.3">
      <c r="A2" s="2191"/>
      <c r="D2" s="2208"/>
      <c r="E2" s="2208"/>
      <c r="F2" s="2208"/>
      <c r="G2" s="2191"/>
      <c r="J2" s="2207"/>
      <c r="K2" s="2207"/>
    </row>
    <row r="3" spans="1:32" ht="16.2" x14ac:dyDescent="0.3">
      <c r="A3" s="6031" t="s">
        <v>595</v>
      </c>
      <c r="B3" s="6031" t="s">
        <v>596</v>
      </c>
      <c r="C3" s="6031" t="s">
        <v>597</v>
      </c>
      <c r="D3" s="6025" t="s">
        <v>598</v>
      </c>
      <c r="E3" s="6025"/>
      <c r="F3" s="6025"/>
      <c r="G3" s="6025" t="s">
        <v>599</v>
      </c>
      <c r="H3" s="6025"/>
      <c r="I3" s="6025"/>
      <c r="J3" s="6025" t="s">
        <v>600</v>
      </c>
      <c r="K3" s="6025"/>
      <c r="L3" s="6025"/>
      <c r="M3" s="6025" t="s">
        <v>601</v>
      </c>
      <c r="N3" s="6025"/>
      <c r="O3" s="6025"/>
      <c r="P3" s="6025" t="s">
        <v>602</v>
      </c>
      <c r="Q3" s="6025"/>
      <c r="R3" s="6025"/>
      <c r="S3" s="6025" t="s">
        <v>603</v>
      </c>
      <c r="T3" s="6025"/>
      <c r="U3" s="6025"/>
      <c r="V3" s="6025" t="s">
        <v>604</v>
      </c>
      <c r="W3" s="6025"/>
      <c r="X3" s="6025"/>
      <c r="Y3" s="6025" t="s">
        <v>1479</v>
      </c>
      <c r="Z3" s="6025"/>
      <c r="AA3" s="6025"/>
      <c r="AB3" s="6025" t="s">
        <v>1702</v>
      </c>
      <c r="AC3" s="6025"/>
      <c r="AD3" s="6025"/>
    </row>
    <row r="4" spans="1:32" ht="24.6" thickBot="1" x14ac:dyDescent="0.35">
      <c r="A4" s="6032"/>
      <c r="B4" s="6032"/>
      <c r="C4" s="6033"/>
      <c r="D4" s="4357" t="s">
        <v>147</v>
      </c>
      <c r="E4" s="4358" t="s">
        <v>148</v>
      </c>
      <c r="F4" s="4359" t="s">
        <v>605</v>
      </c>
      <c r="G4" s="4357" t="s">
        <v>147</v>
      </c>
      <c r="H4" s="4358" t="s">
        <v>148</v>
      </c>
      <c r="I4" s="4359" t="s">
        <v>605</v>
      </c>
      <c r="J4" s="4357" t="s">
        <v>147</v>
      </c>
      <c r="K4" s="4358" t="s">
        <v>148</v>
      </c>
      <c r="L4" s="4359" t="s">
        <v>605</v>
      </c>
      <c r="M4" s="4357" t="s">
        <v>147</v>
      </c>
      <c r="N4" s="4358" t="s">
        <v>148</v>
      </c>
      <c r="O4" s="4359" t="s">
        <v>605</v>
      </c>
      <c r="P4" s="4357" t="s">
        <v>140</v>
      </c>
      <c r="Q4" s="4360" t="s">
        <v>141</v>
      </c>
      <c r="R4" s="4361" t="s">
        <v>48</v>
      </c>
      <c r="S4" s="4357" t="s">
        <v>140</v>
      </c>
      <c r="T4" s="4360" t="s">
        <v>141</v>
      </c>
      <c r="U4" s="4361" t="s">
        <v>48</v>
      </c>
      <c r="V4" s="4357" t="s">
        <v>140</v>
      </c>
      <c r="W4" s="4360" t="s">
        <v>141</v>
      </c>
      <c r="X4" s="4361" t="s">
        <v>48</v>
      </c>
      <c r="Y4" s="4357" t="s">
        <v>140</v>
      </c>
      <c r="Z4" s="4360" t="s">
        <v>141</v>
      </c>
      <c r="AA4" s="2209" t="s">
        <v>48</v>
      </c>
      <c r="AB4" s="4357" t="s">
        <v>140</v>
      </c>
      <c r="AC4" s="4360" t="s">
        <v>141</v>
      </c>
      <c r="AD4" s="2209" t="s">
        <v>48</v>
      </c>
    </row>
    <row r="5" spans="1:32" ht="20.100000000000001" customHeight="1" x14ac:dyDescent="0.3">
      <c r="A5" s="2210"/>
      <c r="B5" s="5078" t="s">
        <v>1478</v>
      </c>
      <c r="C5" s="5079" t="s">
        <v>147</v>
      </c>
      <c r="D5" s="2211">
        <v>12970</v>
      </c>
      <c r="E5" s="2212"/>
      <c r="F5" s="2213"/>
      <c r="G5" s="2214">
        <v>13338</v>
      </c>
      <c r="H5" s="2212"/>
      <c r="I5" s="2215"/>
      <c r="J5" s="2211">
        <v>14114</v>
      </c>
      <c r="K5" s="2212"/>
      <c r="L5" s="2215"/>
      <c r="M5" s="5029">
        <v>15198</v>
      </c>
      <c r="N5" s="5030"/>
      <c r="O5" s="5031"/>
      <c r="P5" s="5032">
        <v>8677</v>
      </c>
      <c r="Q5" s="5029">
        <v>6102</v>
      </c>
      <c r="R5" s="5031">
        <f>SUM(P5:Q5)</f>
        <v>14779</v>
      </c>
      <c r="S5" s="5032">
        <v>5735</v>
      </c>
      <c r="T5" s="5029">
        <v>3672</v>
      </c>
      <c r="U5" s="5031">
        <f>SUM(S5:T5)</f>
        <v>9407</v>
      </c>
      <c r="V5" s="5032">
        <v>625</v>
      </c>
      <c r="W5" s="5029">
        <v>529</v>
      </c>
      <c r="X5" s="5031">
        <f>SUM(V5:W5)</f>
        <v>1154</v>
      </c>
      <c r="Y5" s="6021" t="s">
        <v>1548</v>
      </c>
      <c r="Z5" s="6022"/>
      <c r="AA5" s="6023"/>
      <c r="AB5" s="6021" t="s">
        <v>1548</v>
      </c>
      <c r="AC5" s="6022"/>
      <c r="AD5" s="6023"/>
    </row>
    <row r="6" spans="1:32" ht="20.100000000000001" customHeight="1" x14ac:dyDescent="0.3">
      <c r="A6" s="2216">
        <v>1</v>
      </c>
      <c r="B6" s="2217" t="s">
        <v>606</v>
      </c>
      <c r="C6" s="2218" t="s">
        <v>147</v>
      </c>
      <c r="D6" s="2219">
        <v>2341</v>
      </c>
      <c r="E6" s="2220"/>
      <c r="F6" s="2221"/>
      <c r="G6" s="2222">
        <v>3783</v>
      </c>
      <c r="H6" s="2220"/>
      <c r="I6" s="2223"/>
      <c r="J6" s="2219">
        <v>1511</v>
      </c>
      <c r="K6" s="2220"/>
      <c r="L6" s="2223"/>
      <c r="M6" s="5033">
        <v>138</v>
      </c>
      <c r="N6" s="5034"/>
      <c r="O6" s="5035"/>
      <c r="P6" s="1018">
        <v>1675</v>
      </c>
      <c r="Q6" s="5033">
        <v>953</v>
      </c>
      <c r="R6" s="5035">
        <f t="shared" ref="R6:R25" si="0">SUM(P6:Q6)</f>
        <v>2628</v>
      </c>
      <c r="S6" s="1018">
        <v>1820</v>
      </c>
      <c r="T6" s="5033">
        <v>968</v>
      </c>
      <c r="U6" s="5035">
        <f>SUM(S6:T6)</f>
        <v>2788</v>
      </c>
      <c r="V6" s="1018">
        <v>1258</v>
      </c>
      <c r="W6" s="5033">
        <v>696</v>
      </c>
      <c r="X6" s="5035">
        <f>SUM(V6:W6)</f>
        <v>1954</v>
      </c>
      <c r="Y6" s="1018">
        <v>1459</v>
      </c>
      <c r="Z6" s="5033">
        <v>851</v>
      </c>
      <c r="AA6" s="5035">
        <f>SUM(Y6:Z6)</f>
        <v>2310</v>
      </c>
      <c r="AB6" s="1018">
        <v>1446</v>
      </c>
      <c r="AC6" s="5033">
        <v>754</v>
      </c>
      <c r="AD6" s="5035">
        <f>SUM(AB6:AC6)</f>
        <v>2200</v>
      </c>
      <c r="AF6" s="5557"/>
    </row>
    <row r="7" spans="1:32" ht="20.100000000000001" customHeight="1" x14ac:dyDescent="0.3">
      <c r="A7" s="2216">
        <v>2</v>
      </c>
      <c r="B7" s="2217" t="s">
        <v>1636</v>
      </c>
      <c r="C7" s="2218" t="s">
        <v>147</v>
      </c>
      <c r="D7" s="2219">
        <v>62</v>
      </c>
      <c r="E7" s="2220"/>
      <c r="F7" s="2221"/>
      <c r="G7" s="2222">
        <v>64</v>
      </c>
      <c r="H7" s="2220"/>
      <c r="I7" s="2223"/>
      <c r="J7" s="2219">
        <v>55</v>
      </c>
      <c r="K7" s="2220"/>
      <c r="L7" s="2223"/>
      <c r="M7" s="5033">
        <v>39</v>
      </c>
      <c r="N7" s="5034"/>
      <c r="O7" s="5035"/>
      <c r="P7" s="1018">
        <v>18</v>
      </c>
      <c r="Q7" s="5033">
        <v>7</v>
      </c>
      <c r="R7" s="5035">
        <f t="shared" si="0"/>
        <v>25</v>
      </c>
      <c r="S7" s="1018">
        <v>9</v>
      </c>
      <c r="T7" s="5033">
        <v>5</v>
      </c>
      <c r="U7" s="5035">
        <f t="shared" ref="U7:U26" si="1">SUM(S7:T7)</f>
        <v>14</v>
      </c>
      <c r="V7" s="1018">
        <v>5</v>
      </c>
      <c r="W7" s="5033">
        <v>4</v>
      </c>
      <c r="X7" s="5035">
        <f t="shared" ref="X7:X25" si="2">SUM(V7:W7)</f>
        <v>9</v>
      </c>
      <c r="Y7" s="1018">
        <v>5</v>
      </c>
      <c r="Z7" s="5033">
        <v>3</v>
      </c>
      <c r="AA7" s="5035">
        <f t="shared" ref="AA7:AA25" si="3">SUM(Y7:Z7)</f>
        <v>8</v>
      </c>
      <c r="AB7" s="1018">
        <v>8</v>
      </c>
      <c r="AC7" s="5033">
        <v>5</v>
      </c>
      <c r="AD7" s="5035">
        <f t="shared" ref="AD7:AD13" si="4">SUM(AB7:AC7)</f>
        <v>13</v>
      </c>
      <c r="AF7" s="5557"/>
    </row>
    <row r="8" spans="1:32" ht="20.100000000000001" customHeight="1" x14ac:dyDescent="0.3">
      <c r="A8" s="2216">
        <v>3</v>
      </c>
      <c r="B8" s="2217" t="s">
        <v>1643</v>
      </c>
      <c r="C8" s="2218" t="s">
        <v>147</v>
      </c>
      <c r="D8" s="2219"/>
      <c r="E8" s="2220"/>
      <c r="F8" s="2221"/>
      <c r="G8" s="2222">
        <v>234</v>
      </c>
      <c r="H8" s="2220"/>
      <c r="I8" s="2223"/>
      <c r="J8" s="2219">
        <v>467</v>
      </c>
      <c r="K8" s="2220"/>
      <c r="L8" s="2223"/>
      <c r="M8" s="5033">
        <v>90</v>
      </c>
      <c r="N8" s="5034"/>
      <c r="O8" s="5035"/>
      <c r="P8" s="1018">
        <v>569</v>
      </c>
      <c r="Q8" s="5033">
        <v>351</v>
      </c>
      <c r="R8" s="5035">
        <f t="shared" si="0"/>
        <v>920</v>
      </c>
      <c r="S8" s="1018">
        <v>680</v>
      </c>
      <c r="T8" s="5033">
        <v>474</v>
      </c>
      <c r="U8" s="5035">
        <f t="shared" si="1"/>
        <v>1154</v>
      </c>
      <c r="V8" s="1018">
        <v>484</v>
      </c>
      <c r="W8" s="5033">
        <v>256</v>
      </c>
      <c r="X8" s="5035">
        <f t="shared" si="2"/>
        <v>740</v>
      </c>
      <c r="Y8" s="1018">
        <v>830</v>
      </c>
      <c r="Z8" s="5033">
        <v>508</v>
      </c>
      <c r="AA8" s="5035">
        <f t="shared" si="3"/>
        <v>1338</v>
      </c>
      <c r="AB8" s="5471">
        <v>1058</v>
      </c>
      <c r="AC8" s="5472">
        <v>635</v>
      </c>
      <c r="AD8" s="5473">
        <f t="shared" si="4"/>
        <v>1693</v>
      </c>
      <c r="AF8" s="5557"/>
    </row>
    <row r="9" spans="1:32" ht="20.100000000000001" customHeight="1" x14ac:dyDescent="0.3">
      <c r="A9" s="2216">
        <v>4</v>
      </c>
      <c r="B9" s="2217" t="s">
        <v>1512</v>
      </c>
      <c r="C9" s="2218" t="s">
        <v>147</v>
      </c>
      <c r="D9" s="2219"/>
      <c r="E9" s="2220"/>
      <c r="F9" s="2221"/>
      <c r="G9" s="2222"/>
      <c r="H9" s="2220"/>
      <c r="I9" s="2223"/>
      <c r="J9" s="2219"/>
      <c r="K9" s="2220"/>
      <c r="L9" s="2223"/>
      <c r="M9" s="5033"/>
      <c r="N9" s="5034"/>
      <c r="O9" s="5035"/>
      <c r="P9" s="1018">
        <v>380</v>
      </c>
      <c r="Q9" s="5033">
        <v>243</v>
      </c>
      <c r="R9" s="5035">
        <f t="shared" si="0"/>
        <v>623</v>
      </c>
      <c r="S9" s="1018">
        <v>2883</v>
      </c>
      <c r="T9" s="5033">
        <v>2072</v>
      </c>
      <c r="U9" s="5035">
        <f t="shared" si="1"/>
        <v>4955</v>
      </c>
      <c r="V9" s="1018">
        <v>7146</v>
      </c>
      <c r="W9" s="5033">
        <v>4815</v>
      </c>
      <c r="X9" s="5035">
        <f t="shared" si="2"/>
        <v>11961</v>
      </c>
      <c r="Y9" s="1018">
        <v>9524</v>
      </c>
      <c r="Z9" s="5033">
        <v>6267</v>
      </c>
      <c r="AA9" s="5035">
        <f t="shared" si="3"/>
        <v>15791</v>
      </c>
      <c r="AB9" s="1018">
        <v>8346</v>
      </c>
      <c r="AC9" s="5033">
        <v>5228</v>
      </c>
      <c r="AD9" s="5035">
        <f t="shared" si="4"/>
        <v>13574</v>
      </c>
      <c r="AF9" s="5557"/>
    </row>
    <row r="10" spans="1:32" ht="28.8" x14ac:dyDescent="0.3">
      <c r="A10" s="2216">
        <v>5.0999999999999996</v>
      </c>
      <c r="B10" s="2217" t="s">
        <v>1504</v>
      </c>
      <c r="C10" s="2218" t="s">
        <v>147</v>
      </c>
      <c r="D10" s="2219">
        <v>262</v>
      </c>
      <c r="E10" s="2220"/>
      <c r="F10" s="2221"/>
      <c r="G10" s="2222">
        <v>667</v>
      </c>
      <c r="H10" s="2220"/>
      <c r="I10" s="2223"/>
      <c r="J10" s="2219"/>
      <c r="K10" s="2220"/>
      <c r="L10" s="2223"/>
      <c r="M10" s="5033">
        <v>197</v>
      </c>
      <c r="N10" s="5034"/>
      <c r="O10" s="5035"/>
      <c r="P10" s="1018">
        <v>204</v>
      </c>
      <c r="Q10" s="5033">
        <v>110</v>
      </c>
      <c r="R10" s="5035">
        <f t="shared" si="0"/>
        <v>314</v>
      </c>
      <c r="S10" s="1018">
        <v>242</v>
      </c>
      <c r="T10" s="5033">
        <v>154</v>
      </c>
      <c r="U10" s="5035">
        <f t="shared" si="1"/>
        <v>396</v>
      </c>
      <c r="V10" s="1018">
        <v>572</v>
      </c>
      <c r="W10" s="5033">
        <v>333</v>
      </c>
      <c r="X10" s="5035">
        <f t="shared" si="2"/>
        <v>905</v>
      </c>
      <c r="Y10" s="1018">
        <v>476</v>
      </c>
      <c r="Z10" s="5033">
        <v>268</v>
      </c>
      <c r="AA10" s="5035">
        <f t="shared" si="3"/>
        <v>744</v>
      </c>
      <c r="AB10" s="1018">
        <v>333</v>
      </c>
      <c r="AC10" s="5033">
        <v>183</v>
      </c>
      <c r="AD10" s="5035">
        <f t="shared" si="4"/>
        <v>516</v>
      </c>
      <c r="AF10" s="5557"/>
    </row>
    <row r="11" spans="1:32" ht="28.8" x14ac:dyDescent="0.3">
      <c r="A11" s="4744">
        <v>5.2</v>
      </c>
      <c r="B11" s="4743" t="s">
        <v>1504</v>
      </c>
      <c r="C11" s="4745" t="s">
        <v>148</v>
      </c>
      <c r="D11" s="4761"/>
      <c r="E11" s="4755"/>
      <c r="F11" s="4756"/>
      <c r="G11" s="4757"/>
      <c r="H11" s="4755"/>
      <c r="I11" s="4758"/>
      <c r="J11" s="4761"/>
      <c r="K11" s="4755"/>
      <c r="L11" s="4758"/>
      <c r="M11" s="5036"/>
      <c r="N11" s="5037"/>
      <c r="O11" s="5038"/>
      <c r="P11" s="5039">
        <v>27</v>
      </c>
      <c r="Q11" s="5036">
        <v>30</v>
      </c>
      <c r="R11" s="5038">
        <f t="shared" si="0"/>
        <v>57</v>
      </c>
      <c r="S11" s="5039">
        <v>83</v>
      </c>
      <c r="T11" s="5036">
        <v>60</v>
      </c>
      <c r="U11" s="5038">
        <f t="shared" si="1"/>
        <v>143</v>
      </c>
      <c r="V11" s="5039">
        <v>150</v>
      </c>
      <c r="W11" s="5036">
        <v>111</v>
      </c>
      <c r="X11" s="5038">
        <f t="shared" si="2"/>
        <v>261</v>
      </c>
      <c r="Y11" s="5039">
        <v>85</v>
      </c>
      <c r="Z11" s="5036">
        <v>91</v>
      </c>
      <c r="AA11" s="5038">
        <f t="shared" si="3"/>
        <v>176</v>
      </c>
      <c r="AB11" s="5039">
        <v>21</v>
      </c>
      <c r="AC11" s="5036">
        <v>7</v>
      </c>
      <c r="AD11" s="5038">
        <f t="shared" si="4"/>
        <v>28</v>
      </c>
      <c r="AF11" s="5556"/>
    </row>
    <row r="12" spans="1:32" ht="28.8" x14ac:dyDescent="0.3">
      <c r="A12" s="2216">
        <v>5.3</v>
      </c>
      <c r="B12" s="2217" t="s">
        <v>1481</v>
      </c>
      <c r="C12" s="2218" t="s">
        <v>147</v>
      </c>
      <c r="D12" s="2219"/>
      <c r="E12" s="2220"/>
      <c r="F12" s="2221"/>
      <c r="G12" s="2222"/>
      <c r="H12" s="2220"/>
      <c r="I12" s="2223"/>
      <c r="J12" s="2219"/>
      <c r="K12" s="2220"/>
      <c r="L12" s="2223"/>
      <c r="M12" s="5033"/>
      <c r="N12" s="5034"/>
      <c r="O12" s="5035"/>
      <c r="P12" s="1018"/>
      <c r="Q12" s="5033"/>
      <c r="R12" s="5035">
        <f t="shared" si="0"/>
        <v>0</v>
      </c>
      <c r="S12" s="1018">
        <v>67</v>
      </c>
      <c r="T12" s="5033">
        <v>26</v>
      </c>
      <c r="U12" s="5035">
        <f t="shared" si="1"/>
        <v>93</v>
      </c>
      <c r="V12" s="1018">
        <v>32</v>
      </c>
      <c r="W12" s="5033">
        <v>14</v>
      </c>
      <c r="X12" s="5035">
        <f t="shared" si="2"/>
        <v>46</v>
      </c>
      <c r="Y12" s="1018">
        <v>25</v>
      </c>
      <c r="Z12" s="5033">
        <v>14</v>
      </c>
      <c r="AA12" s="5035">
        <f t="shared" si="3"/>
        <v>39</v>
      </c>
      <c r="AB12" s="1018">
        <v>125</v>
      </c>
      <c r="AC12" s="5033">
        <v>56</v>
      </c>
      <c r="AD12" s="5035">
        <f t="shared" si="4"/>
        <v>181</v>
      </c>
      <c r="AF12" s="5557"/>
    </row>
    <row r="13" spans="1:32" ht="28.8" x14ac:dyDescent="0.3">
      <c r="A13" s="4744">
        <v>5.4</v>
      </c>
      <c r="B13" s="4743" t="s">
        <v>1481</v>
      </c>
      <c r="C13" s="4745" t="s">
        <v>148</v>
      </c>
      <c r="D13" s="4761"/>
      <c r="E13" s="4755"/>
      <c r="F13" s="4756"/>
      <c r="G13" s="4757"/>
      <c r="H13" s="4755"/>
      <c r="I13" s="4758"/>
      <c r="J13" s="4761"/>
      <c r="K13" s="4755"/>
      <c r="L13" s="4758"/>
      <c r="M13" s="5036"/>
      <c r="N13" s="5037"/>
      <c r="O13" s="5038"/>
      <c r="P13" s="5039"/>
      <c r="Q13" s="5036"/>
      <c r="R13" s="5038">
        <f t="shared" si="0"/>
        <v>0</v>
      </c>
      <c r="S13" s="5039">
        <v>30</v>
      </c>
      <c r="T13" s="5036">
        <v>22</v>
      </c>
      <c r="U13" s="5038">
        <f t="shared" si="1"/>
        <v>52</v>
      </c>
      <c r="V13" s="5039">
        <v>17</v>
      </c>
      <c r="W13" s="5036">
        <v>15</v>
      </c>
      <c r="X13" s="5038">
        <f t="shared" si="2"/>
        <v>32</v>
      </c>
      <c r="Y13" s="5039">
        <v>17</v>
      </c>
      <c r="Z13" s="5036">
        <v>12</v>
      </c>
      <c r="AA13" s="5038">
        <f t="shared" si="3"/>
        <v>29</v>
      </c>
      <c r="AB13" s="5039">
        <v>25</v>
      </c>
      <c r="AC13" s="5036">
        <v>11</v>
      </c>
      <c r="AD13" s="5038">
        <f t="shared" si="4"/>
        <v>36</v>
      </c>
      <c r="AF13" s="5557"/>
    </row>
    <row r="14" spans="1:32" ht="20.100000000000001" customHeight="1" x14ac:dyDescent="0.3">
      <c r="A14" s="2216">
        <v>6</v>
      </c>
      <c r="B14" s="2217" t="s">
        <v>1505</v>
      </c>
      <c r="C14" s="2218" t="s">
        <v>147</v>
      </c>
      <c r="D14" s="2219">
        <v>121</v>
      </c>
      <c r="E14" s="2220"/>
      <c r="F14" s="2221"/>
      <c r="G14" s="2222">
        <v>399</v>
      </c>
      <c r="H14" s="2220"/>
      <c r="I14" s="2223"/>
      <c r="J14" s="2219">
        <v>585</v>
      </c>
      <c r="K14" s="2220"/>
      <c r="L14" s="2223"/>
      <c r="M14" s="5033">
        <v>254</v>
      </c>
      <c r="N14" s="5034"/>
      <c r="O14" s="5035"/>
      <c r="P14" s="1018">
        <v>149</v>
      </c>
      <c r="Q14" s="5033">
        <v>107</v>
      </c>
      <c r="R14" s="5035">
        <f t="shared" si="0"/>
        <v>256</v>
      </c>
      <c r="S14" s="1018">
        <v>38</v>
      </c>
      <c r="T14" s="5033">
        <v>21</v>
      </c>
      <c r="U14" s="5035">
        <f t="shared" si="1"/>
        <v>59</v>
      </c>
      <c r="V14" s="1018">
        <v>31</v>
      </c>
      <c r="W14" s="5033">
        <v>19</v>
      </c>
      <c r="X14" s="5035">
        <f t="shared" si="2"/>
        <v>50</v>
      </c>
      <c r="Y14" s="1018"/>
      <c r="Z14" s="5033"/>
      <c r="AA14" s="5035"/>
      <c r="AB14" s="1018">
        <v>25</v>
      </c>
      <c r="AC14" s="5033">
        <v>21</v>
      </c>
      <c r="AD14" s="5035">
        <f>SUM(AB14:AC14)</f>
        <v>46</v>
      </c>
      <c r="AE14" s="5557"/>
      <c r="AF14" s="5557"/>
    </row>
    <row r="15" spans="1:32" ht="20.100000000000001" customHeight="1" x14ac:dyDescent="0.3">
      <c r="A15" s="2216">
        <v>7</v>
      </c>
      <c r="B15" s="2217" t="s">
        <v>1506</v>
      </c>
      <c r="C15" s="2218" t="s">
        <v>147</v>
      </c>
      <c r="D15" s="2219">
        <v>39</v>
      </c>
      <c r="E15" s="2220"/>
      <c r="F15" s="2221"/>
      <c r="G15" s="2222">
        <v>122</v>
      </c>
      <c r="H15" s="2220"/>
      <c r="I15" s="2223"/>
      <c r="J15" s="2224">
        <v>155</v>
      </c>
      <c r="K15" s="2225"/>
      <c r="L15" s="2223"/>
      <c r="M15" s="5040">
        <v>107</v>
      </c>
      <c r="N15" s="5041"/>
      <c r="O15" s="5035"/>
      <c r="P15" s="5042">
        <v>87</v>
      </c>
      <c r="Q15" s="5040">
        <v>46</v>
      </c>
      <c r="R15" s="5035">
        <f t="shared" si="0"/>
        <v>133</v>
      </c>
      <c r="S15" s="5042">
        <v>28</v>
      </c>
      <c r="T15" s="5040">
        <v>10</v>
      </c>
      <c r="U15" s="5035">
        <f t="shared" si="1"/>
        <v>38</v>
      </c>
      <c r="V15" s="5042">
        <v>19</v>
      </c>
      <c r="W15" s="5040">
        <v>17</v>
      </c>
      <c r="X15" s="5035">
        <f t="shared" si="2"/>
        <v>36</v>
      </c>
      <c r="Y15" s="5042"/>
      <c r="Z15" s="5040"/>
      <c r="AA15" s="5035"/>
      <c r="AB15" s="5042">
        <v>18</v>
      </c>
      <c r="AC15" s="5040">
        <v>11</v>
      </c>
      <c r="AD15" s="5035">
        <f>SUM(AB15:AC15)</f>
        <v>29</v>
      </c>
      <c r="AF15" s="5557"/>
    </row>
    <row r="16" spans="1:32" ht="27.75" customHeight="1" x14ac:dyDescent="0.3">
      <c r="A16" s="2216">
        <v>8</v>
      </c>
      <c r="B16" s="2217" t="s">
        <v>607</v>
      </c>
      <c r="C16" s="2218" t="s">
        <v>147</v>
      </c>
      <c r="D16" s="2219">
        <v>40</v>
      </c>
      <c r="E16" s="2220"/>
      <c r="F16" s="2221"/>
      <c r="G16" s="2222">
        <v>58</v>
      </c>
      <c r="H16" s="2220"/>
      <c r="I16" s="2223"/>
      <c r="J16" s="2224">
        <v>61</v>
      </c>
      <c r="K16" s="2225"/>
      <c r="L16" s="2223"/>
      <c r="M16" s="5040">
        <v>52</v>
      </c>
      <c r="N16" s="5041"/>
      <c r="O16" s="5035"/>
      <c r="P16" s="5042">
        <v>19</v>
      </c>
      <c r="Q16" s="5040">
        <v>8</v>
      </c>
      <c r="R16" s="5035">
        <f t="shared" si="0"/>
        <v>27</v>
      </c>
      <c r="S16" s="5042">
        <v>11</v>
      </c>
      <c r="T16" s="5040">
        <v>10</v>
      </c>
      <c r="U16" s="5035">
        <f t="shared" si="1"/>
        <v>21</v>
      </c>
      <c r="V16" s="5042"/>
      <c r="W16" s="5040"/>
      <c r="X16" s="5035">
        <f t="shared" si="2"/>
        <v>0</v>
      </c>
      <c r="Y16" s="5074"/>
      <c r="Z16" s="5075"/>
      <c r="AA16" s="5076"/>
      <c r="AB16" s="1018">
        <v>10</v>
      </c>
      <c r="AC16" s="5033">
        <v>2</v>
      </c>
      <c r="AD16" s="5035">
        <f>SUM(AB16:AC16)</f>
        <v>12</v>
      </c>
      <c r="AF16" s="5557"/>
    </row>
    <row r="17" spans="1:33" ht="20.100000000000001" customHeight="1" x14ac:dyDescent="0.3">
      <c r="A17" s="4744">
        <v>9</v>
      </c>
      <c r="B17" s="4743" t="s">
        <v>1644</v>
      </c>
      <c r="C17" s="4745" t="s">
        <v>148</v>
      </c>
      <c r="D17" s="4755">
        <v>93</v>
      </c>
      <c r="E17" s="4755"/>
      <c r="F17" s="4756"/>
      <c r="G17" s="4757"/>
      <c r="H17" s="4755">
        <v>143</v>
      </c>
      <c r="I17" s="4758"/>
      <c r="J17" s="4759"/>
      <c r="K17" s="4760">
        <v>163</v>
      </c>
      <c r="L17" s="4758"/>
      <c r="M17" s="5043"/>
      <c r="N17" s="5044">
        <v>225</v>
      </c>
      <c r="O17" s="5038"/>
      <c r="P17" s="5045">
        <v>104</v>
      </c>
      <c r="Q17" s="5043">
        <v>114</v>
      </c>
      <c r="R17" s="5038">
        <f t="shared" si="0"/>
        <v>218</v>
      </c>
      <c r="S17" s="5045">
        <v>123</v>
      </c>
      <c r="T17" s="5043">
        <v>129</v>
      </c>
      <c r="U17" s="5038">
        <f t="shared" si="1"/>
        <v>252</v>
      </c>
      <c r="V17" s="5045">
        <v>91</v>
      </c>
      <c r="W17" s="5043">
        <v>87</v>
      </c>
      <c r="X17" s="5038">
        <f t="shared" si="2"/>
        <v>178</v>
      </c>
      <c r="Y17" s="5045">
        <v>101</v>
      </c>
      <c r="Z17" s="5043">
        <v>107</v>
      </c>
      <c r="AA17" s="5038">
        <f t="shared" si="3"/>
        <v>208</v>
      </c>
      <c r="AB17" s="5045">
        <v>97</v>
      </c>
      <c r="AC17" s="5043">
        <v>83</v>
      </c>
      <c r="AD17" s="5038">
        <f t="shared" ref="AD17:AD22" si="5">SUM(AB17:AC17)</f>
        <v>180</v>
      </c>
      <c r="AF17" s="5557"/>
    </row>
    <row r="18" spans="1:33" ht="28.5" customHeight="1" x14ac:dyDescent="0.3">
      <c r="A18" s="4744">
        <v>10</v>
      </c>
      <c r="B18" s="4743" t="s">
        <v>608</v>
      </c>
      <c r="C18" s="4745" t="s">
        <v>148</v>
      </c>
      <c r="D18" s="4755">
        <v>115</v>
      </c>
      <c r="E18" s="4755"/>
      <c r="F18" s="4756"/>
      <c r="G18" s="4757"/>
      <c r="H18" s="4755">
        <v>185</v>
      </c>
      <c r="I18" s="4758"/>
      <c r="J18" s="4759"/>
      <c r="K18" s="4760">
        <v>165</v>
      </c>
      <c r="L18" s="4758"/>
      <c r="M18" s="5043"/>
      <c r="N18" s="5044">
        <v>191</v>
      </c>
      <c r="O18" s="5038"/>
      <c r="P18" s="5045">
        <v>149</v>
      </c>
      <c r="Q18" s="5043">
        <v>104</v>
      </c>
      <c r="R18" s="5038">
        <f t="shared" si="0"/>
        <v>253</v>
      </c>
      <c r="S18" s="5045">
        <v>86</v>
      </c>
      <c r="T18" s="5043">
        <v>81</v>
      </c>
      <c r="U18" s="5038">
        <f t="shared" si="1"/>
        <v>167</v>
      </c>
      <c r="V18" s="5045">
        <v>8</v>
      </c>
      <c r="W18" s="5043">
        <v>8</v>
      </c>
      <c r="X18" s="5038">
        <f t="shared" si="2"/>
        <v>16</v>
      </c>
      <c r="Y18" s="5045"/>
      <c r="Z18" s="5043"/>
      <c r="AA18" s="5038"/>
      <c r="AB18" s="5045">
        <v>72</v>
      </c>
      <c r="AC18" s="5043">
        <v>54</v>
      </c>
      <c r="AD18" s="5038">
        <f t="shared" si="5"/>
        <v>126</v>
      </c>
      <c r="AF18" s="5557"/>
    </row>
    <row r="19" spans="1:33" x14ac:dyDescent="0.3">
      <c r="A19" s="4744">
        <v>11</v>
      </c>
      <c r="B19" s="4743" t="s">
        <v>1507</v>
      </c>
      <c r="C19" s="4745" t="s">
        <v>148</v>
      </c>
      <c r="D19" s="4755">
        <v>8</v>
      </c>
      <c r="E19" s="4755"/>
      <c r="F19" s="4756"/>
      <c r="G19" s="4757"/>
      <c r="H19" s="4755">
        <v>43</v>
      </c>
      <c r="I19" s="4758"/>
      <c r="J19" s="4759"/>
      <c r="K19" s="4760">
        <v>34</v>
      </c>
      <c r="L19" s="4758"/>
      <c r="M19" s="5043"/>
      <c r="N19" s="5044">
        <v>58</v>
      </c>
      <c r="O19" s="5038"/>
      <c r="P19" s="5045">
        <v>37</v>
      </c>
      <c r="Q19" s="5043">
        <v>27</v>
      </c>
      <c r="R19" s="5038">
        <f t="shared" si="0"/>
        <v>64</v>
      </c>
      <c r="S19" s="5045">
        <v>42</v>
      </c>
      <c r="T19" s="5043">
        <v>30</v>
      </c>
      <c r="U19" s="5038">
        <f t="shared" si="1"/>
        <v>72</v>
      </c>
      <c r="V19" s="5045">
        <v>4</v>
      </c>
      <c r="W19" s="5043">
        <v>7</v>
      </c>
      <c r="X19" s="5038">
        <f t="shared" si="2"/>
        <v>11</v>
      </c>
      <c r="Y19" s="5045"/>
      <c r="Z19" s="5043"/>
      <c r="AA19" s="5038"/>
      <c r="AB19" s="5045">
        <v>22</v>
      </c>
      <c r="AC19" s="5043">
        <v>8</v>
      </c>
      <c r="AD19" s="5038">
        <f t="shared" si="5"/>
        <v>30</v>
      </c>
      <c r="AF19" s="5557"/>
    </row>
    <row r="20" spans="1:33" ht="28.8" x14ac:dyDescent="0.3">
      <c r="A20" s="4744">
        <v>12</v>
      </c>
      <c r="B20" s="4743" t="s">
        <v>1508</v>
      </c>
      <c r="C20" s="4745" t="s">
        <v>148</v>
      </c>
      <c r="D20" s="4755">
        <v>3</v>
      </c>
      <c r="E20" s="4755"/>
      <c r="F20" s="4756"/>
      <c r="G20" s="4757"/>
      <c r="H20" s="4755">
        <v>1</v>
      </c>
      <c r="I20" s="4758"/>
      <c r="J20" s="4761"/>
      <c r="K20" s="4755">
        <v>5</v>
      </c>
      <c r="L20" s="4758"/>
      <c r="M20" s="5036"/>
      <c r="N20" s="5037">
        <v>3</v>
      </c>
      <c r="O20" s="5038"/>
      <c r="P20" s="5039"/>
      <c r="Q20" s="5036"/>
      <c r="R20" s="5038">
        <f t="shared" si="0"/>
        <v>0</v>
      </c>
      <c r="S20" s="5039">
        <v>1</v>
      </c>
      <c r="T20" s="5036"/>
      <c r="U20" s="5038">
        <f t="shared" si="1"/>
        <v>1</v>
      </c>
      <c r="V20" s="5039"/>
      <c r="W20" s="5036"/>
      <c r="X20" s="5038">
        <f t="shared" si="2"/>
        <v>0</v>
      </c>
      <c r="Y20" s="5039"/>
      <c r="Z20" s="5036"/>
      <c r="AA20" s="5038"/>
      <c r="AB20" s="5039"/>
      <c r="AC20" s="5036"/>
      <c r="AD20" s="5038"/>
      <c r="AF20" s="5557"/>
    </row>
    <row r="21" spans="1:33" ht="28.8" x14ac:dyDescent="0.3">
      <c r="A21" s="4744">
        <v>13</v>
      </c>
      <c r="B21" s="4743" t="s">
        <v>1509</v>
      </c>
      <c r="C21" s="4745" t="s">
        <v>148</v>
      </c>
      <c r="D21" s="4761"/>
      <c r="E21" s="4755"/>
      <c r="F21" s="4756"/>
      <c r="G21" s="4757"/>
      <c r="H21" s="4755"/>
      <c r="I21" s="4758"/>
      <c r="J21" s="4761"/>
      <c r="K21" s="4755"/>
      <c r="L21" s="4758"/>
      <c r="M21" s="5036"/>
      <c r="N21" s="5037"/>
      <c r="O21" s="5038"/>
      <c r="P21" s="5039"/>
      <c r="Q21" s="5036"/>
      <c r="R21" s="5038"/>
      <c r="S21" s="5039"/>
      <c r="T21" s="5036"/>
      <c r="U21" s="5038"/>
      <c r="V21" s="5039"/>
      <c r="W21" s="5036"/>
      <c r="X21" s="5038"/>
      <c r="Y21" s="5039"/>
      <c r="Z21" s="5036"/>
      <c r="AA21" s="5038"/>
      <c r="AB21" s="5039"/>
      <c r="AC21" s="5036"/>
      <c r="AD21" s="5038"/>
      <c r="AF21" s="5557"/>
    </row>
    <row r="22" spans="1:33" x14ac:dyDescent="0.3">
      <c r="A22" s="4744">
        <v>14</v>
      </c>
      <c r="B22" s="4743" t="s">
        <v>1510</v>
      </c>
      <c r="C22" s="4745" t="s">
        <v>148</v>
      </c>
      <c r="D22" s="4761"/>
      <c r="E22" s="4755"/>
      <c r="F22" s="4756"/>
      <c r="G22" s="4757"/>
      <c r="H22" s="4755"/>
      <c r="I22" s="4758"/>
      <c r="J22" s="4761"/>
      <c r="K22" s="4755"/>
      <c r="L22" s="4758"/>
      <c r="M22" s="5036"/>
      <c r="N22" s="5037"/>
      <c r="O22" s="5038"/>
      <c r="P22" s="5039">
        <v>6</v>
      </c>
      <c r="Q22" s="5036"/>
      <c r="R22" s="5038">
        <f t="shared" si="0"/>
        <v>6</v>
      </c>
      <c r="S22" s="5039">
        <v>1</v>
      </c>
      <c r="T22" s="5036">
        <v>8</v>
      </c>
      <c r="U22" s="5038">
        <f t="shared" si="1"/>
        <v>9</v>
      </c>
      <c r="V22" s="5039">
        <v>2</v>
      </c>
      <c r="W22" s="5036">
        <v>1</v>
      </c>
      <c r="X22" s="5038">
        <f t="shared" si="2"/>
        <v>3</v>
      </c>
      <c r="Y22" s="5039"/>
      <c r="Z22" s="5036"/>
      <c r="AA22" s="5038"/>
      <c r="AB22" s="5039">
        <v>6</v>
      </c>
      <c r="AC22" s="5036">
        <v>3</v>
      </c>
      <c r="AD22" s="5038">
        <f t="shared" si="5"/>
        <v>9</v>
      </c>
      <c r="AF22" s="5557"/>
    </row>
    <row r="23" spans="1:33" x14ac:dyDescent="0.3">
      <c r="A23" s="4746">
        <v>15</v>
      </c>
      <c r="B23" s="4747" t="s">
        <v>1482</v>
      </c>
      <c r="C23" s="4748" t="s">
        <v>147</v>
      </c>
      <c r="D23" s="4749"/>
      <c r="E23" s="4750"/>
      <c r="F23" s="4751"/>
      <c r="G23" s="4752"/>
      <c r="H23" s="4750"/>
      <c r="I23" s="4753"/>
      <c r="J23" s="4754"/>
      <c r="K23" s="4750"/>
      <c r="L23" s="4753"/>
      <c r="M23" s="5046"/>
      <c r="N23" s="5047"/>
      <c r="O23" s="5048"/>
      <c r="P23" s="5049"/>
      <c r="Q23" s="5046"/>
      <c r="R23" s="5048"/>
      <c r="S23" s="5049"/>
      <c r="T23" s="5046"/>
      <c r="U23" s="5048"/>
      <c r="V23" s="5049"/>
      <c r="W23" s="5046"/>
      <c r="X23" s="5048"/>
      <c r="Y23" s="5049">
        <v>28</v>
      </c>
      <c r="Z23" s="5046">
        <v>18</v>
      </c>
      <c r="AA23" s="5048">
        <f>SUM(Y23:Z23)</f>
        <v>46</v>
      </c>
      <c r="AB23" s="5049">
        <v>11</v>
      </c>
      <c r="AC23" s="5046">
        <v>5</v>
      </c>
      <c r="AD23" s="5035">
        <f>SUM(AB23:AC23)</f>
        <v>16</v>
      </c>
      <c r="AF23" s="5557"/>
    </row>
    <row r="24" spans="1:33" ht="20.100000000000001" customHeight="1" x14ac:dyDescent="0.3">
      <c r="A24" s="4364">
        <v>16</v>
      </c>
      <c r="B24" s="4365" t="s">
        <v>609</v>
      </c>
      <c r="C24" s="4371" t="s">
        <v>605</v>
      </c>
      <c r="D24" s="4366">
        <v>18</v>
      </c>
      <c r="E24" s="4367"/>
      <c r="F24" s="4366"/>
      <c r="G24" s="4368"/>
      <c r="H24" s="4367"/>
      <c r="I24" s="4369">
        <v>21</v>
      </c>
      <c r="J24" s="4370"/>
      <c r="K24" s="4367"/>
      <c r="L24" s="4369">
        <v>18</v>
      </c>
      <c r="M24" s="5050"/>
      <c r="N24" s="5051"/>
      <c r="O24" s="5052">
        <v>9</v>
      </c>
      <c r="P24" s="5053">
        <v>7</v>
      </c>
      <c r="Q24" s="5050">
        <v>6</v>
      </c>
      <c r="R24" s="5052">
        <f>SUM(P24:Q24)</f>
        <v>13</v>
      </c>
      <c r="S24" s="5053">
        <v>7</v>
      </c>
      <c r="T24" s="5050">
        <v>6</v>
      </c>
      <c r="U24" s="5052">
        <f t="shared" si="1"/>
        <v>13</v>
      </c>
      <c r="V24" s="5053">
        <v>5</v>
      </c>
      <c r="W24" s="5050">
        <v>3</v>
      </c>
      <c r="X24" s="5052">
        <f t="shared" si="2"/>
        <v>8</v>
      </c>
      <c r="Y24" s="5053"/>
      <c r="Z24" s="5050"/>
      <c r="AA24" s="5052"/>
      <c r="AB24" s="5053"/>
      <c r="AC24" s="5050"/>
      <c r="AD24" s="5052"/>
      <c r="AF24" s="5557"/>
    </row>
    <row r="25" spans="1:33" ht="20.100000000000001" customHeight="1" x14ac:dyDescent="0.3">
      <c r="A25" s="4364">
        <v>17</v>
      </c>
      <c r="B25" s="4365" t="s">
        <v>610</v>
      </c>
      <c r="C25" s="4371" t="s">
        <v>605</v>
      </c>
      <c r="D25" s="4370">
        <v>10</v>
      </c>
      <c r="E25" s="4367"/>
      <c r="F25" s="4366"/>
      <c r="G25" s="4368"/>
      <c r="H25" s="4367"/>
      <c r="I25" s="4369">
        <v>9</v>
      </c>
      <c r="J25" s="4372"/>
      <c r="K25" s="4373"/>
      <c r="L25" s="4369">
        <v>16</v>
      </c>
      <c r="M25" s="5054"/>
      <c r="N25" s="5055"/>
      <c r="O25" s="5052">
        <v>5</v>
      </c>
      <c r="P25" s="5056">
        <v>1</v>
      </c>
      <c r="Q25" s="5054">
        <v>2</v>
      </c>
      <c r="R25" s="5052">
        <f t="shared" si="0"/>
        <v>3</v>
      </c>
      <c r="S25" s="5056">
        <v>5</v>
      </c>
      <c r="T25" s="5054">
        <v>8</v>
      </c>
      <c r="U25" s="5052">
        <f t="shared" si="1"/>
        <v>13</v>
      </c>
      <c r="V25" s="5056">
        <v>4</v>
      </c>
      <c r="W25" s="5054">
        <v>6</v>
      </c>
      <c r="X25" s="5052">
        <f t="shared" si="2"/>
        <v>10</v>
      </c>
      <c r="Y25" s="5056">
        <v>3</v>
      </c>
      <c r="Z25" s="5054">
        <v>6</v>
      </c>
      <c r="AA25" s="5052">
        <f t="shared" si="3"/>
        <v>9</v>
      </c>
      <c r="AB25" s="5056"/>
      <c r="AC25" s="5054">
        <v>5</v>
      </c>
      <c r="AD25" s="5052">
        <f>SUM(AB25:AC25)</f>
        <v>5</v>
      </c>
      <c r="AF25" s="5557"/>
    </row>
    <row r="26" spans="1:33" ht="20.100000000000001" customHeight="1" x14ac:dyDescent="0.3">
      <c r="A26" s="4347">
        <v>18</v>
      </c>
      <c r="B26" s="4348" t="s">
        <v>611</v>
      </c>
      <c r="C26" s="4349" t="s">
        <v>148</v>
      </c>
      <c r="D26" s="4350"/>
      <c r="E26" s="4351"/>
      <c r="F26" s="4352"/>
      <c r="G26" s="4353"/>
      <c r="H26" s="4351"/>
      <c r="I26" s="4354"/>
      <c r="J26" s="4355"/>
      <c r="K26" s="4356"/>
      <c r="L26" s="4354"/>
      <c r="M26" s="5057"/>
      <c r="N26" s="5058"/>
      <c r="O26" s="5059"/>
      <c r="P26" s="5060"/>
      <c r="Q26" s="5057"/>
      <c r="R26" s="5059"/>
      <c r="S26" s="5060">
        <v>211</v>
      </c>
      <c r="T26" s="5057">
        <v>183</v>
      </c>
      <c r="U26" s="5059">
        <f t="shared" si="1"/>
        <v>394</v>
      </c>
      <c r="V26" s="5060">
        <v>334</v>
      </c>
      <c r="W26" s="5057">
        <v>298</v>
      </c>
      <c r="X26" s="5059">
        <f>SUM(V26:W26)</f>
        <v>632</v>
      </c>
      <c r="Y26" s="5060">
        <v>73</v>
      </c>
      <c r="Z26" s="5057">
        <v>83</v>
      </c>
      <c r="AA26" s="5059">
        <f>SUM(Y26:Z26)</f>
        <v>156</v>
      </c>
      <c r="AB26" s="5060"/>
      <c r="AC26" s="5057"/>
      <c r="AD26" s="5059"/>
      <c r="AF26" s="5557"/>
    </row>
    <row r="27" spans="1:33" ht="20.100000000000001" customHeight="1" x14ac:dyDescent="0.3">
      <c r="A27" s="4866">
        <v>19</v>
      </c>
      <c r="B27" s="4867" t="s">
        <v>1514</v>
      </c>
      <c r="C27" s="4349" t="s">
        <v>148</v>
      </c>
      <c r="D27" s="4868"/>
      <c r="E27" s="4869"/>
      <c r="F27" s="4870"/>
      <c r="G27" s="4871"/>
      <c r="H27" s="4869"/>
      <c r="I27" s="4872"/>
      <c r="J27" s="4873"/>
      <c r="K27" s="4874"/>
      <c r="L27" s="4872"/>
      <c r="M27" s="5061"/>
      <c r="N27" s="5062"/>
      <c r="O27" s="5063"/>
      <c r="P27" s="5064"/>
      <c r="Q27" s="5061"/>
      <c r="R27" s="5063"/>
      <c r="S27" s="5064"/>
      <c r="T27" s="5061"/>
      <c r="U27" s="5063"/>
      <c r="V27" s="5064"/>
      <c r="W27" s="5061"/>
      <c r="X27" s="5063"/>
      <c r="Y27" s="5064">
        <v>2</v>
      </c>
      <c r="Z27" s="5061">
        <v>3</v>
      </c>
      <c r="AA27" s="5059">
        <f>SUM(Y27:Z27)</f>
        <v>5</v>
      </c>
      <c r="AB27" s="5064"/>
      <c r="AC27" s="5061"/>
      <c r="AD27" s="5059"/>
      <c r="AF27" s="5557"/>
    </row>
    <row r="28" spans="1:33" ht="20.100000000000001" customHeight="1" x14ac:dyDescent="0.3">
      <c r="A28" s="4866">
        <v>20</v>
      </c>
      <c r="B28" s="4867" t="s">
        <v>1645</v>
      </c>
      <c r="C28" s="4349" t="s">
        <v>148</v>
      </c>
      <c r="D28" s="4868"/>
      <c r="E28" s="4869"/>
      <c r="F28" s="4870"/>
      <c r="G28" s="4871"/>
      <c r="H28" s="4869"/>
      <c r="I28" s="4872"/>
      <c r="J28" s="4873"/>
      <c r="K28" s="4874"/>
      <c r="L28" s="4872"/>
      <c r="M28" s="5061"/>
      <c r="N28" s="5062"/>
      <c r="O28" s="5063"/>
      <c r="P28" s="5064"/>
      <c r="Q28" s="5061"/>
      <c r="R28" s="5063"/>
      <c r="S28" s="5064"/>
      <c r="T28" s="5061"/>
      <c r="U28" s="5063"/>
      <c r="V28" s="5064"/>
      <c r="W28" s="5061"/>
      <c r="X28" s="5063"/>
      <c r="Y28" s="5064">
        <v>92</v>
      </c>
      <c r="Z28" s="5061">
        <v>62</v>
      </c>
      <c r="AA28" s="5059">
        <f>SUM(Y28:Z28)</f>
        <v>154</v>
      </c>
      <c r="AB28" s="5064">
        <v>309</v>
      </c>
      <c r="AC28" s="5061">
        <v>243</v>
      </c>
      <c r="AD28" s="5059">
        <f>SUM(AB28:AC28)</f>
        <v>552</v>
      </c>
      <c r="AF28" s="5557"/>
    </row>
    <row r="29" spans="1:33" ht="30" customHeight="1" x14ac:dyDescent="0.3">
      <c r="A29" s="2226">
        <v>21</v>
      </c>
      <c r="B29" s="2227" t="s">
        <v>1646</v>
      </c>
      <c r="C29" s="2228" t="s">
        <v>147</v>
      </c>
      <c r="D29" s="2229"/>
      <c r="E29" s="2229"/>
      <c r="F29" s="2230"/>
      <c r="G29" s="2231"/>
      <c r="H29" s="2229"/>
      <c r="I29" s="2232"/>
      <c r="J29" s="2233"/>
      <c r="K29" s="2234"/>
      <c r="L29" s="2232"/>
      <c r="M29" s="5065"/>
      <c r="N29" s="5066"/>
      <c r="O29" s="5067"/>
      <c r="P29" s="5068"/>
      <c r="Q29" s="5065"/>
      <c r="R29" s="5067"/>
      <c r="S29" s="5068"/>
      <c r="T29" s="5065"/>
      <c r="U29" s="5067"/>
      <c r="V29" s="5068">
        <v>19</v>
      </c>
      <c r="W29" s="5065">
        <v>13</v>
      </c>
      <c r="X29" s="5067">
        <f>SUM(V29:W29)</f>
        <v>32</v>
      </c>
      <c r="Y29" s="5068">
        <v>40</v>
      </c>
      <c r="Z29" s="5065">
        <v>22</v>
      </c>
      <c r="AA29" s="5067">
        <f>SUM(Y29:Z29)</f>
        <v>62</v>
      </c>
      <c r="AB29" s="5068">
        <v>48</v>
      </c>
      <c r="AC29" s="5065">
        <v>26</v>
      </c>
      <c r="AD29" s="5067">
        <f>SUM(AB29:AC29)</f>
        <v>74</v>
      </c>
      <c r="AF29" s="5557"/>
    </row>
    <row r="30" spans="1:33" x14ac:dyDescent="0.3">
      <c r="C30" s="2235" t="s">
        <v>48</v>
      </c>
      <c r="D30" s="4362">
        <f t="shared" ref="D30:R30" si="6">SUM(D5:D25)</f>
        <v>16082</v>
      </c>
      <c r="E30" s="4363">
        <f t="shared" si="6"/>
        <v>0</v>
      </c>
      <c r="F30" s="4363">
        <f t="shared" si="6"/>
        <v>0</v>
      </c>
      <c r="G30" s="4363">
        <f t="shared" si="6"/>
        <v>18665</v>
      </c>
      <c r="H30" s="4363">
        <f t="shared" si="6"/>
        <v>372</v>
      </c>
      <c r="I30" s="4363">
        <f t="shared" si="6"/>
        <v>30</v>
      </c>
      <c r="J30" s="4363">
        <f t="shared" si="6"/>
        <v>16948</v>
      </c>
      <c r="K30" s="4363">
        <f t="shared" si="6"/>
        <v>367</v>
      </c>
      <c r="L30" s="4363">
        <f t="shared" si="6"/>
        <v>34</v>
      </c>
      <c r="M30" s="5069">
        <f t="shared" si="6"/>
        <v>16075</v>
      </c>
      <c r="N30" s="5069">
        <f t="shared" si="6"/>
        <v>477</v>
      </c>
      <c r="O30" s="5069">
        <f t="shared" si="6"/>
        <v>14</v>
      </c>
      <c r="P30" s="5070">
        <f t="shared" si="6"/>
        <v>12109</v>
      </c>
      <c r="Q30" s="5071">
        <f t="shared" si="6"/>
        <v>8210</v>
      </c>
      <c r="R30" s="5069">
        <f t="shared" si="6"/>
        <v>20319</v>
      </c>
      <c r="S30" s="5070">
        <f>SUM(S5:S26)</f>
        <v>12102</v>
      </c>
      <c r="T30" s="5071">
        <f>SUM(T5:T26)</f>
        <v>7939</v>
      </c>
      <c r="U30" s="5069">
        <f>SUM(U5:U26)</f>
        <v>20041</v>
      </c>
      <c r="V30" s="5070">
        <f t="shared" ref="V30:AD30" si="7">SUM(V5:V29)</f>
        <v>10806</v>
      </c>
      <c r="W30" s="5072">
        <f t="shared" si="7"/>
        <v>7232</v>
      </c>
      <c r="X30" s="5073">
        <f t="shared" si="7"/>
        <v>18038</v>
      </c>
      <c r="Y30" s="5070">
        <f t="shared" si="7"/>
        <v>12760</v>
      </c>
      <c r="Z30" s="5072">
        <f t="shared" si="7"/>
        <v>8315</v>
      </c>
      <c r="AA30" s="5073">
        <f t="shared" si="7"/>
        <v>21075</v>
      </c>
      <c r="AB30" s="5070">
        <f t="shared" si="7"/>
        <v>11980</v>
      </c>
      <c r="AC30" s="5072">
        <f t="shared" si="7"/>
        <v>7340</v>
      </c>
      <c r="AD30" s="5073">
        <f t="shared" si="7"/>
        <v>19320</v>
      </c>
      <c r="AF30" s="5557"/>
      <c r="AG30" s="5456"/>
    </row>
    <row r="31" spans="1:33" x14ac:dyDescent="0.3">
      <c r="B31" s="5644" t="s">
        <v>1647</v>
      </c>
      <c r="C31" s="2235"/>
      <c r="D31" s="6026">
        <f>SUM(D30:F30)</f>
        <v>16082</v>
      </c>
      <c r="E31" s="6026"/>
      <c r="F31" s="6027"/>
      <c r="G31" s="6028">
        <f>SUM(G30:I30)</f>
        <v>19067</v>
      </c>
      <c r="H31" s="6026"/>
      <c r="I31" s="6027"/>
      <c r="J31" s="6028">
        <f>SUM(J30:L30)</f>
        <v>17349</v>
      </c>
      <c r="K31" s="6026"/>
      <c r="L31" s="6027"/>
      <c r="M31" s="6028">
        <f>SUM(M30:O30)</f>
        <v>16566</v>
      </c>
      <c r="N31" s="6026"/>
      <c r="O31" s="6027"/>
    </row>
    <row r="32" spans="1:33" x14ac:dyDescent="0.3">
      <c r="C32" s="2236"/>
      <c r="D32" s="2236"/>
      <c r="E32" s="2236"/>
      <c r="F32" s="2236"/>
      <c r="G32" s="2236"/>
      <c r="H32" s="2236"/>
      <c r="I32" s="2236"/>
    </row>
    <row r="33" spans="1:31" ht="20.100000000000001" customHeight="1" thickBot="1" x14ac:dyDescent="0.35">
      <c r="B33" s="6029" t="s">
        <v>1477</v>
      </c>
      <c r="J33" s="2238"/>
      <c r="K33" s="2238"/>
      <c r="L33" s="2239"/>
      <c r="O33" s="2237"/>
      <c r="P33" s="2240" t="s">
        <v>140</v>
      </c>
      <c r="Q33" s="2240" t="s">
        <v>141</v>
      </c>
      <c r="R33" s="2241" t="s">
        <v>48</v>
      </c>
      <c r="S33" s="2242" t="s">
        <v>140</v>
      </c>
      <c r="T33" s="2240" t="s">
        <v>141</v>
      </c>
      <c r="U33" s="2241" t="s">
        <v>48</v>
      </c>
      <c r="V33" s="2242" t="s">
        <v>140</v>
      </c>
      <c r="W33" s="2240" t="s">
        <v>141</v>
      </c>
      <c r="X33" s="2241" t="s">
        <v>48</v>
      </c>
      <c r="Y33" s="2242" t="s">
        <v>140</v>
      </c>
      <c r="Z33" s="2240" t="s">
        <v>141</v>
      </c>
      <c r="AA33" s="2241" t="s">
        <v>48</v>
      </c>
      <c r="AB33" s="2242" t="s">
        <v>140</v>
      </c>
      <c r="AC33" s="2240" t="s">
        <v>141</v>
      </c>
      <c r="AD33" s="2241" t="s">
        <v>48</v>
      </c>
    </row>
    <row r="34" spans="1:31" ht="20.100000000000001" customHeight="1" x14ac:dyDescent="0.3">
      <c r="B34" s="6029"/>
      <c r="C34" s="2243" t="s">
        <v>147</v>
      </c>
      <c r="P34" s="4770">
        <f>SUM(P5:P10,P12,P14:P16)</f>
        <v>11778</v>
      </c>
      <c r="Q34" s="4770">
        <f>SUM(Q5:Q10,Q12,Q14:Q16)</f>
        <v>7927</v>
      </c>
      <c r="R34" s="4770">
        <f>SUM(P34:Q34)</f>
        <v>19705</v>
      </c>
      <c r="S34" s="5077">
        <f>SUM(S5:S10,S12,S14:S16)</f>
        <v>11513</v>
      </c>
      <c r="T34" s="4770">
        <f>SUM(T5:T10,T12,T14:T16)</f>
        <v>7412</v>
      </c>
      <c r="U34" s="4770">
        <f>SUM(S34:T34)</f>
        <v>18925</v>
      </c>
      <c r="V34" s="5077">
        <f>SUM(V5:V10,V12,V14:V16,V29)</f>
        <v>10191</v>
      </c>
      <c r="W34" s="4770">
        <f>SUM(W5:W10,W12,W14:W16,W29)</f>
        <v>6696</v>
      </c>
      <c r="X34" s="4770">
        <f>SUM(V34:W34)</f>
        <v>16887</v>
      </c>
      <c r="Y34" s="4768">
        <f>SUM(Y5:Y10,Y12,Y14:Y16,Y23,Y29)</f>
        <v>12387</v>
      </c>
      <c r="Z34" s="4769">
        <f>SUM(Z5:Z10,Z12,Z14:Z16,Z23,Z29)</f>
        <v>7951</v>
      </c>
      <c r="AA34" s="4770">
        <f>SUM(Y34:Z34)</f>
        <v>20338</v>
      </c>
      <c r="AB34" s="4768">
        <f>SUM(AB5:AB10,AB12,AB14:AB16,AB23,AB29)</f>
        <v>11428</v>
      </c>
      <c r="AC34" s="4769">
        <f>SUM(AC5:AC10,AC12,AC14:AC16,AC23,AC29)</f>
        <v>6926</v>
      </c>
      <c r="AD34" s="4770">
        <f>SUM(AB34:AC34)</f>
        <v>18354</v>
      </c>
      <c r="AE34" s="2244" t="s">
        <v>147</v>
      </c>
    </row>
    <row r="35" spans="1:31" ht="20.100000000000001" customHeight="1" x14ac:dyDescent="0.3">
      <c r="B35" s="6029"/>
      <c r="C35" s="2243" t="s">
        <v>148</v>
      </c>
      <c r="P35" s="4772">
        <f>SUM(P11,P13,P17:P22)</f>
        <v>323</v>
      </c>
      <c r="Q35" s="4772">
        <f>SUM(Q11,Q13,Q17:Q22)</f>
        <v>275</v>
      </c>
      <c r="R35" s="4772">
        <f>SUM(P35:Q35)</f>
        <v>598</v>
      </c>
      <c r="S35" s="4771">
        <f>SUM(S11,S13,S17:S22,S26)</f>
        <v>577</v>
      </c>
      <c r="T35" s="4772">
        <f>SUM(T11,T13,T17:T22,T26)</f>
        <v>513</v>
      </c>
      <c r="U35" s="4772">
        <f>SUM(S35:T35)</f>
        <v>1090</v>
      </c>
      <c r="V35" s="4771">
        <f>SUM(V11,V13,V17:V22,V26)</f>
        <v>606</v>
      </c>
      <c r="W35" s="4772">
        <f>SUM(W11,W13,W17:W22,W26)</f>
        <v>527</v>
      </c>
      <c r="X35" s="4772">
        <f>SUM(V35:W35)</f>
        <v>1133</v>
      </c>
      <c r="Y35" s="4771">
        <f>SUM(Y11,Y13,Y17:Y22,Y26:Y28)</f>
        <v>370</v>
      </c>
      <c r="Z35" s="4772">
        <f>SUM(Z11,Z13,Z17:Z22,Z26:Z28)</f>
        <v>358</v>
      </c>
      <c r="AA35" s="4772">
        <f>SUM(Y35:Z35)</f>
        <v>728</v>
      </c>
      <c r="AB35" s="4771">
        <f>SUM(AB11,AB13,AB17:AB22,AB26:AB28)</f>
        <v>552</v>
      </c>
      <c r="AC35" s="4772">
        <f>SUM(AC11,AC13,AC17:AC22,AC26:AC28)</f>
        <v>409</v>
      </c>
      <c r="AD35" s="4772">
        <f>SUM(AB35:AC35)</f>
        <v>961</v>
      </c>
      <c r="AE35" s="2244" t="s">
        <v>148</v>
      </c>
    </row>
    <row r="36" spans="1:31" ht="20.100000000000001" customHeight="1" x14ac:dyDescent="0.3">
      <c r="A36" s="4537"/>
      <c r="B36" s="4537"/>
      <c r="C36" s="2243" t="s">
        <v>605</v>
      </c>
      <c r="P36" s="4774">
        <f>SUM(P24:P25)</f>
        <v>8</v>
      </c>
      <c r="Q36" s="4774">
        <f>SUM(Q24:Q25)</f>
        <v>8</v>
      </c>
      <c r="R36" s="4774">
        <f>SUM(P36:Q36)</f>
        <v>16</v>
      </c>
      <c r="S36" s="4773">
        <f>SUM(S24:S25)</f>
        <v>12</v>
      </c>
      <c r="T36" s="4774">
        <f>SUM(T24:T25)</f>
        <v>14</v>
      </c>
      <c r="U36" s="4774">
        <f>SUM(S36:T36)</f>
        <v>26</v>
      </c>
      <c r="V36" s="4773">
        <f>SUM(V24:V25)</f>
        <v>9</v>
      </c>
      <c r="W36" s="4774">
        <f>SUM(W24:W25)</f>
        <v>9</v>
      </c>
      <c r="X36" s="4774">
        <f>SUM(V36:W36)</f>
        <v>18</v>
      </c>
      <c r="Y36" s="4773">
        <f>SUM(Y24:Y25)</f>
        <v>3</v>
      </c>
      <c r="Z36" s="4774">
        <f>SUM(Z24:Z25)</f>
        <v>6</v>
      </c>
      <c r="AA36" s="4774">
        <f>SUM(Y36:Z36)</f>
        <v>9</v>
      </c>
      <c r="AB36" s="4773">
        <f>SUM(AB24:AB25)</f>
        <v>0</v>
      </c>
      <c r="AC36" s="4774">
        <f>SUM(AC24:AC25)</f>
        <v>5</v>
      </c>
      <c r="AD36" s="4774">
        <f>SUM(AB36:AC36)</f>
        <v>5</v>
      </c>
      <c r="AE36" s="2244" t="s">
        <v>605</v>
      </c>
    </row>
    <row r="37" spans="1:31" x14ac:dyDescent="0.3">
      <c r="A37" s="4537"/>
      <c r="B37" s="4537"/>
      <c r="C37" s="2245" t="s">
        <v>48</v>
      </c>
      <c r="P37" s="4776">
        <f t="shared" ref="P37:X37" si="8">SUM(P34:P36)</f>
        <v>12109</v>
      </c>
      <c r="Q37" s="4776">
        <f t="shared" si="8"/>
        <v>8210</v>
      </c>
      <c r="R37" s="4776">
        <f t="shared" si="8"/>
        <v>20319</v>
      </c>
      <c r="S37" s="4775">
        <f t="shared" si="8"/>
        <v>12102</v>
      </c>
      <c r="T37" s="4776">
        <f t="shared" si="8"/>
        <v>7939</v>
      </c>
      <c r="U37" s="4776">
        <f t="shared" si="8"/>
        <v>20041</v>
      </c>
      <c r="V37" s="4775">
        <f t="shared" si="8"/>
        <v>10806</v>
      </c>
      <c r="W37" s="4776">
        <f t="shared" si="8"/>
        <v>7232</v>
      </c>
      <c r="X37" s="4776">
        <f t="shared" si="8"/>
        <v>18038</v>
      </c>
      <c r="Y37" s="4775">
        <f t="shared" ref="Y37:AA37" si="9">SUM(Y34:Y36)</f>
        <v>12760</v>
      </c>
      <c r="Z37" s="4776">
        <f t="shared" si="9"/>
        <v>8315</v>
      </c>
      <c r="AA37" s="4776">
        <f t="shared" si="9"/>
        <v>21075</v>
      </c>
      <c r="AB37" s="4775">
        <f t="shared" ref="AB37:AD37" si="10">SUM(AB34:AB36)</f>
        <v>11980</v>
      </c>
      <c r="AC37" s="4776">
        <f t="shared" si="10"/>
        <v>7340</v>
      </c>
      <c r="AD37" s="4776">
        <f t="shared" si="10"/>
        <v>19320</v>
      </c>
      <c r="AE37" s="2246" t="s">
        <v>48</v>
      </c>
    </row>
    <row r="38" spans="1:31" x14ac:dyDescent="0.3">
      <c r="A38" s="4537"/>
      <c r="AB38" s="5470"/>
      <c r="AC38" s="5470"/>
      <c r="AD38" s="5470"/>
    </row>
    <row r="39" spans="1:31" ht="15" customHeight="1" x14ac:dyDescent="0.3">
      <c r="Y39" s="6020" t="s">
        <v>1498</v>
      </c>
      <c r="Z39" s="6020"/>
      <c r="AA39" s="6020"/>
      <c r="AB39" s="6024" t="s">
        <v>1550</v>
      </c>
      <c r="AC39" s="6024"/>
      <c r="AD39" s="6024"/>
    </row>
    <row r="40" spans="1:31" x14ac:dyDescent="0.3">
      <c r="Y40" s="6020"/>
      <c r="Z40" s="6020"/>
      <c r="AA40" s="6020"/>
      <c r="AB40" s="6024"/>
      <c r="AC40" s="6024"/>
      <c r="AD40" s="6024"/>
    </row>
    <row r="41" spans="1:31" x14ac:dyDescent="0.3">
      <c r="Y41" s="6020"/>
      <c r="Z41" s="6020"/>
      <c r="AA41" s="6020"/>
      <c r="AB41" s="6024"/>
      <c r="AC41" s="6024"/>
      <c r="AD41" s="6024"/>
    </row>
    <row r="42" spans="1:31" x14ac:dyDescent="0.3">
      <c r="Y42" s="6020"/>
      <c r="Z42" s="6020"/>
      <c r="AA42" s="6020"/>
      <c r="AB42" s="6024"/>
      <c r="AC42" s="6024"/>
      <c r="AD42" s="6024"/>
    </row>
    <row r="43" spans="1:31" x14ac:dyDescent="0.3">
      <c r="Y43" s="6020"/>
      <c r="Z43" s="6020"/>
      <c r="AA43" s="6020"/>
      <c r="AB43" s="6024"/>
      <c r="AC43" s="6024"/>
      <c r="AD43" s="6024"/>
    </row>
    <row r="44" spans="1:31" x14ac:dyDescent="0.3">
      <c r="Y44" s="6020"/>
      <c r="Z44" s="6020"/>
      <c r="AA44" s="6020"/>
      <c r="AB44" s="6024"/>
      <c r="AC44" s="6024"/>
      <c r="AD44" s="6024"/>
    </row>
    <row r="45" spans="1:31" x14ac:dyDescent="0.3">
      <c r="Y45" s="6020"/>
      <c r="Z45" s="6020"/>
      <c r="AA45" s="6020"/>
      <c r="AB45" s="6024"/>
      <c r="AC45" s="6024"/>
      <c r="AD45" s="6024"/>
    </row>
    <row r="46" spans="1:31" x14ac:dyDescent="0.3">
      <c r="Y46" s="6020"/>
      <c r="Z46" s="6020"/>
      <c r="AA46" s="6020"/>
      <c r="AB46" s="6024"/>
      <c r="AC46" s="6024"/>
      <c r="AD46" s="6024"/>
    </row>
    <row r="47" spans="1:31" x14ac:dyDescent="0.3">
      <c r="Y47" s="6020"/>
      <c r="Z47" s="6020"/>
      <c r="AA47" s="6020"/>
      <c r="AB47" s="6024"/>
      <c r="AC47" s="6024"/>
      <c r="AD47" s="6024"/>
    </row>
    <row r="48" spans="1:31" ht="15" customHeight="1" x14ac:dyDescent="0.3">
      <c r="Y48" s="6020"/>
      <c r="Z48" s="6020"/>
      <c r="AA48" s="6020"/>
      <c r="AB48" s="6024"/>
      <c r="AC48" s="6024"/>
      <c r="AD48" s="6024"/>
    </row>
    <row r="49" spans="25:30" x14ac:dyDescent="0.3">
      <c r="Y49" s="6020"/>
      <c r="Z49" s="6020"/>
      <c r="AA49" s="6020"/>
      <c r="AB49" s="6024"/>
      <c r="AC49" s="6024"/>
      <c r="AD49" s="6024"/>
    </row>
    <row r="50" spans="25:30" x14ac:dyDescent="0.3">
      <c r="Y50" s="6020"/>
      <c r="Z50" s="6020"/>
      <c r="AA50" s="6020"/>
      <c r="AB50" s="5080"/>
      <c r="AC50" s="5080"/>
      <c r="AD50" s="5080"/>
    </row>
    <row r="51" spans="25:30" x14ac:dyDescent="0.3">
      <c r="Y51" s="6020"/>
      <c r="Z51" s="6020"/>
      <c r="AA51" s="6020"/>
    </row>
    <row r="52" spans="25:30" x14ac:dyDescent="0.3">
      <c r="Y52" s="6020"/>
      <c r="Z52" s="6020"/>
      <c r="AA52" s="6020"/>
    </row>
    <row r="53" spans="25:30" x14ac:dyDescent="0.3">
      <c r="Y53" s="6020"/>
      <c r="Z53" s="6020"/>
      <c r="AA53" s="6020"/>
    </row>
    <row r="54" spans="25:30" x14ac:dyDescent="0.3">
      <c r="Y54" s="6020"/>
      <c r="Z54" s="6020"/>
      <c r="AA54" s="6020"/>
    </row>
  </sheetData>
  <mergeCells count="22">
    <mergeCell ref="A1:C1"/>
    <mergeCell ref="A3:A4"/>
    <mergeCell ref="B3:B4"/>
    <mergeCell ref="C3:C4"/>
    <mergeCell ref="D3:F3"/>
    <mergeCell ref="D31:F31"/>
    <mergeCell ref="G31:I31"/>
    <mergeCell ref="J31:L31"/>
    <mergeCell ref="M31:O31"/>
    <mergeCell ref="B33:B35"/>
    <mergeCell ref="Y39:AA54"/>
    <mergeCell ref="Y5:AA5"/>
    <mergeCell ref="AB39:AD49"/>
    <mergeCell ref="AB3:AD3"/>
    <mergeCell ref="G3:I3"/>
    <mergeCell ref="J3:L3"/>
    <mergeCell ref="M3:O3"/>
    <mergeCell ref="Y3:AA3"/>
    <mergeCell ref="P3:R3"/>
    <mergeCell ref="S3:U3"/>
    <mergeCell ref="V3:X3"/>
    <mergeCell ref="AB5:AD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44" firstPageNumber="89" orientation="landscape" useFirstPageNumber="1" r:id="rId1"/>
  <headerFooter scaleWithDoc="0" alignWithMargins="0">
    <oddFooter>&amp;R&amp;P</oddFooter>
  </headerFooter>
  <colBreaks count="1" manualBreakCount="1">
    <brk id="9" max="32" man="1"/>
  </colBreaks>
  <ignoredErrors>
    <ignoredError sqref="P34:Q36 V34:W36 Y36:Z36 R24:R25 Y35:Z35 AB36:AC36" formulaRange="1"/>
    <ignoredError sqref="R34:U36 AA35 AA36" formula="1" formulaRange="1"/>
    <ignoredError sqref="X34:X36 AA34" formula="1"/>
  </ignoredError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</sheetPr>
  <dimension ref="A1:AY110"/>
  <sheetViews>
    <sheetView showGridLines="0" zoomScaleNormal="100" workbookViewId="0">
      <pane xSplit="2" ySplit="4" topLeftCell="AE5" activePane="bottomRight" state="frozen"/>
      <selection activeCell="Q31" sqref="Q31"/>
      <selection pane="topRight" activeCell="Q31" sqref="Q31"/>
      <selection pane="bottomLeft" activeCell="Q31" sqref="Q31"/>
      <selection pane="bottomRight" activeCell="Q31" sqref="Q31"/>
    </sheetView>
  </sheetViews>
  <sheetFormatPr baseColWidth="10" defaultRowHeight="13.2" x14ac:dyDescent="0.25"/>
  <cols>
    <col min="1" max="1" width="2.44140625" style="946" customWidth="1"/>
    <col min="2" max="2" width="44.88671875" style="946" customWidth="1"/>
    <col min="3" max="6" width="9.88671875" style="1659" customWidth="1"/>
    <col min="7" max="45" width="9.88671875" style="946" customWidth="1"/>
    <col min="46" max="46" width="9.88671875" style="2250" customWidth="1"/>
    <col min="47" max="72" width="9.88671875" style="946" customWidth="1"/>
    <col min="73" max="257" width="11.5546875" style="946"/>
    <col min="258" max="258" width="6.44140625" style="946" customWidth="1"/>
    <col min="259" max="259" width="11.5546875" style="946"/>
    <col min="260" max="260" width="12.88671875" style="946" bestFit="1" customWidth="1"/>
    <col min="261" max="261" width="41.109375" style="946" bestFit="1" customWidth="1"/>
    <col min="262" max="262" width="13.109375" style="946" bestFit="1" customWidth="1"/>
    <col min="263" max="263" width="11.109375" style="946" bestFit="1" customWidth="1"/>
    <col min="264" max="264" width="13.109375" style="946" bestFit="1" customWidth="1"/>
    <col min="265" max="265" width="11.109375" style="946" bestFit="1" customWidth="1"/>
    <col min="266" max="266" width="13.109375" style="946" bestFit="1" customWidth="1"/>
    <col min="267" max="267" width="11.109375" style="946" bestFit="1" customWidth="1"/>
    <col min="268" max="268" width="13" style="946" customWidth="1"/>
    <col min="269" max="269" width="11.5546875" style="946"/>
    <col min="270" max="270" width="13.5546875" style="946" customWidth="1"/>
    <col min="271" max="271" width="11.5546875" style="946"/>
    <col min="272" max="272" width="13.5546875" style="946" customWidth="1"/>
    <col min="273" max="513" width="11.5546875" style="946"/>
    <col min="514" max="514" width="6.44140625" style="946" customWidth="1"/>
    <col min="515" max="515" width="11.5546875" style="946"/>
    <col min="516" max="516" width="12.88671875" style="946" bestFit="1" customWidth="1"/>
    <col min="517" max="517" width="41.109375" style="946" bestFit="1" customWidth="1"/>
    <col min="518" max="518" width="13.109375" style="946" bestFit="1" customWidth="1"/>
    <col min="519" max="519" width="11.109375" style="946" bestFit="1" customWidth="1"/>
    <col min="520" max="520" width="13.109375" style="946" bestFit="1" customWidth="1"/>
    <col min="521" max="521" width="11.109375" style="946" bestFit="1" customWidth="1"/>
    <col min="522" max="522" width="13.109375" style="946" bestFit="1" customWidth="1"/>
    <col min="523" max="523" width="11.109375" style="946" bestFit="1" customWidth="1"/>
    <col min="524" max="524" width="13" style="946" customWidth="1"/>
    <col min="525" max="525" width="11.5546875" style="946"/>
    <col min="526" max="526" width="13.5546875" style="946" customWidth="1"/>
    <col min="527" max="527" width="11.5546875" style="946"/>
    <col min="528" max="528" width="13.5546875" style="946" customWidth="1"/>
    <col min="529" max="769" width="11.5546875" style="946"/>
    <col min="770" max="770" width="6.44140625" style="946" customWidth="1"/>
    <col min="771" max="771" width="11.5546875" style="946"/>
    <col min="772" max="772" width="12.88671875" style="946" bestFit="1" customWidth="1"/>
    <col min="773" max="773" width="41.109375" style="946" bestFit="1" customWidth="1"/>
    <col min="774" max="774" width="13.109375" style="946" bestFit="1" customWidth="1"/>
    <col min="775" max="775" width="11.109375" style="946" bestFit="1" customWidth="1"/>
    <col min="776" max="776" width="13.109375" style="946" bestFit="1" customWidth="1"/>
    <col min="777" max="777" width="11.109375" style="946" bestFit="1" customWidth="1"/>
    <col min="778" max="778" width="13.109375" style="946" bestFit="1" customWidth="1"/>
    <col min="779" max="779" width="11.109375" style="946" bestFit="1" customWidth="1"/>
    <col min="780" max="780" width="13" style="946" customWidth="1"/>
    <col min="781" max="781" width="11.5546875" style="946"/>
    <col min="782" max="782" width="13.5546875" style="946" customWidth="1"/>
    <col min="783" max="783" width="11.5546875" style="946"/>
    <col min="784" max="784" width="13.5546875" style="946" customWidth="1"/>
    <col min="785" max="1025" width="11.5546875" style="946"/>
    <col min="1026" max="1026" width="6.44140625" style="946" customWidth="1"/>
    <col min="1027" max="1027" width="11.5546875" style="946"/>
    <col min="1028" max="1028" width="12.88671875" style="946" bestFit="1" customWidth="1"/>
    <col min="1029" max="1029" width="41.109375" style="946" bestFit="1" customWidth="1"/>
    <col min="1030" max="1030" width="13.109375" style="946" bestFit="1" customWidth="1"/>
    <col min="1031" max="1031" width="11.109375" style="946" bestFit="1" customWidth="1"/>
    <col min="1032" max="1032" width="13.109375" style="946" bestFit="1" customWidth="1"/>
    <col min="1033" max="1033" width="11.109375" style="946" bestFit="1" customWidth="1"/>
    <col min="1034" max="1034" width="13.109375" style="946" bestFit="1" customWidth="1"/>
    <col min="1035" max="1035" width="11.109375" style="946" bestFit="1" customWidth="1"/>
    <col min="1036" max="1036" width="13" style="946" customWidth="1"/>
    <col min="1037" max="1037" width="11.5546875" style="946"/>
    <col min="1038" max="1038" width="13.5546875" style="946" customWidth="1"/>
    <col min="1039" max="1039" width="11.5546875" style="946"/>
    <col min="1040" max="1040" width="13.5546875" style="946" customWidth="1"/>
    <col min="1041" max="1281" width="11.5546875" style="946"/>
    <col min="1282" max="1282" width="6.44140625" style="946" customWidth="1"/>
    <col min="1283" max="1283" width="11.5546875" style="946"/>
    <col min="1284" max="1284" width="12.88671875" style="946" bestFit="1" customWidth="1"/>
    <col min="1285" max="1285" width="41.109375" style="946" bestFit="1" customWidth="1"/>
    <col min="1286" max="1286" width="13.109375" style="946" bestFit="1" customWidth="1"/>
    <col min="1287" max="1287" width="11.109375" style="946" bestFit="1" customWidth="1"/>
    <col min="1288" max="1288" width="13.109375" style="946" bestFit="1" customWidth="1"/>
    <col min="1289" max="1289" width="11.109375" style="946" bestFit="1" customWidth="1"/>
    <col min="1290" max="1290" width="13.109375" style="946" bestFit="1" customWidth="1"/>
    <col min="1291" max="1291" width="11.109375" style="946" bestFit="1" customWidth="1"/>
    <col min="1292" max="1292" width="13" style="946" customWidth="1"/>
    <col min="1293" max="1293" width="11.5546875" style="946"/>
    <col min="1294" max="1294" width="13.5546875" style="946" customWidth="1"/>
    <col min="1295" max="1295" width="11.5546875" style="946"/>
    <col min="1296" max="1296" width="13.5546875" style="946" customWidth="1"/>
    <col min="1297" max="1537" width="11.5546875" style="946"/>
    <col min="1538" max="1538" width="6.44140625" style="946" customWidth="1"/>
    <col min="1539" max="1539" width="11.5546875" style="946"/>
    <col min="1540" max="1540" width="12.88671875" style="946" bestFit="1" customWidth="1"/>
    <col min="1541" max="1541" width="41.109375" style="946" bestFit="1" customWidth="1"/>
    <col min="1542" max="1542" width="13.109375" style="946" bestFit="1" customWidth="1"/>
    <col min="1543" max="1543" width="11.109375" style="946" bestFit="1" customWidth="1"/>
    <col min="1544" max="1544" width="13.109375" style="946" bestFit="1" customWidth="1"/>
    <col min="1545" max="1545" width="11.109375" style="946" bestFit="1" customWidth="1"/>
    <col min="1546" max="1546" width="13.109375" style="946" bestFit="1" customWidth="1"/>
    <col min="1547" max="1547" width="11.109375" style="946" bestFit="1" customWidth="1"/>
    <col min="1548" max="1548" width="13" style="946" customWidth="1"/>
    <col min="1549" max="1549" width="11.5546875" style="946"/>
    <col min="1550" max="1550" width="13.5546875" style="946" customWidth="1"/>
    <col min="1551" max="1551" width="11.5546875" style="946"/>
    <col min="1552" max="1552" width="13.5546875" style="946" customWidth="1"/>
    <col min="1553" max="1793" width="11.5546875" style="946"/>
    <col min="1794" max="1794" width="6.44140625" style="946" customWidth="1"/>
    <col min="1795" max="1795" width="11.5546875" style="946"/>
    <col min="1796" max="1796" width="12.88671875" style="946" bestFit="1" customWidth="1"/>
    <col min="1797" max="1797" width="41.109375" style="946" bestFit="1" customWidth="1"/>
    <col min="1798" max="1798" width="13.109375" style="946" bestFit="1" customWidth="1"/>
    <col min="1799" max="1799" width="11.109375" style="946" bestFit="1" customWidth="1"/>
    <col min="1800" max="1800" width="13.109375" style="946" bestFit="1" customWidth="1"/>
    <col min="1801" max="1801" width="11.109375" style="946" bestFit="1" customWidth="1"/>
    <col min="1802" max="1802" width="13.109375" style="946" bestFit="1" customWidth="1"/>
    <col min="1803" max="1803" width="11.109375" style="946" bestFit="1" customWidth="1"/>
    <col min="1804" max="1804" width="13" style="946" customWidth="1"/>
    <col min="1805" max="1805" width="11.5546875" style="946"/>
    <col min="1806" max="1806" width="13.5546875" style="946" customWidth="1"/>
    <col min="1807" max="1807" width="11.5546875" style="946"/>
    <col min="1808" max="1808" width="13.5546875" style="946" customWidth="1"/>
    <col min="1809" max="2049" width="11.5546875" style="946"/>
    <col min="2050" max="2050" width="6.44140625" style="946" customWidth="1"/>
    <col min="2051" max="2051" width="11.5546875" style="946"/>
    <col min="2052" max="2052" width="12.88671875" style="946" bestFit="1" customWidth="1"/>
    <col min="2053" max="2053" width="41.109375" style="946" bestFit="1" customWidth="1"/>
    <col min="2054" max="2054" width="13.109375" style="946" bestFit="1" customWidth="1"/>
    <col min="2055" max="2055" width="11.109375" style="946" bestFit="1" customWidth="1"/>
    <col min="2056" max="2056" width="13.109375" style="946" bestFit="1" customWidth="1"/>
    <col min="2057" max="2057" width="11.109375" style="946" bestFit="1" customWidth="1"/>
    <col min="2058" max="2058" width="13.109375" style="946" bestFit="1" customWidth="1"/>
    <col min="2059" max="2059" width="11.109375" style="946" bestFit="1" customWidth="1"/>
    <col min="2060" max="2060" width="13" style="946" customWidth="1"/>
    <col min="2061" max="2061" width="11.5546875" style="946"/>
    <col min="2062" max="2062" width="13.5546875" style="946" customWidth="1"/>
    <col min="2063" max="2063" width="11.5546875" style="946"/>
    <col min="2064" max="2064" width="13.5546875" style="946" customWidth="1"/>
    <col min="2065" max="2305" width="11.5546875" style="946"/>
    <col min="2306" max="2306" width="6.44140625" style="946" customWidth="1"/>
    <col min="2307" max="2307" width="11.5546875" style="946"/>
    <col min="2308" max="2308" width="12.88671875" style="946" bestFit="1" customWidth="1"/>
    <col min="2309" max="2309" width="41.109375" style="946" bestFit="1" customWidth="1"/>
    <col min="2310" max="2310" width="13.109375" style="946" bestFit="1" customWidth="1"/>
    <col min="2311" max="2311" width="11.109375" style="946" bestFit="1" customWidth="1"/>
    <col min="2312" max="2312" width="13.109375" style="946" bestFit="1" customWidth="1"/>
    <col min="2313" max="2313" width="11.109375" style="946" bestFit="1" customWidth="1"/>
    <col min="2314" max="2314" width="13.109375" style="946" bestFit="1" customWidth="1"/>
    <col min="2315" max="2315" width="11.109375" style="946" bestFit="1" customWidth="1"/>
    <col min="2316" max="2316" width="13" style="946" customWidth="1"/>
    <col min="2317" max="2317" width="11.5546875" style="946"/>
    <col min="2318" max="2318" width="13.5546875" style="946" customWidth="1"/>
    <col min="2319" max="2319" width="11.5546875" style="946"/>
    <col min="2320" max="2320" width="13.5546875" style="946" customWidth="1"/>
    <col min="2321" max="2561" width="11.5546875" style="946"/>
    <col min="2562" max="2562" width="6.44140625" style="946" customWidth="1"/>
    <col min="2563" max="2563" width="11.5546875" style="946"/>
    <col min="2564" max="2564" width="12.88671875" style="946" bestFit="1" customWidth="1"/>
    <col min="2565" max="2565" width="41.109375" style="946" bestFit="1" customWidth="1"/>
    <col min="2566" max="2566" width="13.109375" style="946" bestFit="1" customWidth="1"/>
    <col min="2567" max="2567" width="11.109375" style="946" bestFit="1" customWidth="1"/>
    <col min="2568" max="2568" width="13.109375" style="946" bestFit="1" customWidth="1"/>
    <col min="2569" max="2569" width="11.109375" style="946" bestFit="1" customWidth="1"/>
    <col min="2570" max="2570" width="13.109375" style="946" bestFit="1" customWidth="1"/>
    <col min="2571" max="2571" width="11.109375" style="946" bestFit="1" customWidth="1"/>
    <col min="2572" max="2572" width="13" style="946" customWidth="1"/>
    <col min="2573" max="2573" width="11.5546875" style="946"/>
    <col min="2574" max="2574" width="13.5546875" style="946" customWidth="1"/>
    <col min="2575" max="2575" width="11.5546875" style="946"/>
    <col min="2576" max="2576" width="13.5546875" style="946" customWidth="1"/>
    <col min="2577" max="2817" width="11.5546875" style="946"/>
    <col min="2818" max="2818" width="6.44140625" style="946" customWidth="1"/>
    <col min="2819" max="2819" width="11.5546875" style="946"/>
    <col min="2820" max="2820" width="12.88671875" style="946" bestFit="1" customWidth="1"/>
    <col min="2821" max="2821" width="41.109375" style="946" bestFit="1" customWidth="1"/>
    <col min="2822" max="2822" width="13.109375" style="946" bestFit="1" customWidth="1"/>
    <col min="2823" max="2823" width="11.109375" style="946" bestFit="1" customWidth="1"/>
    <col min="2824" max="2824" width="13.109375" style="946" bestFit="1" customWidth="1"/>
    <col min="2825" max="2825" width="11.109375" style="946" bestFit="1" customWidth="1"/>
    <col min="2826" max="2826" width="13.109375" style="946" bestFit="1" customWidth="1"/>
    <col min="2827" max="2827" width="11.109375" style="946" bestFit="1" customWidth="1"/>
    <col min="2828" max="2828" width="13" style="946" customWidth="1"/>
    <col min="2829" max="2829" width="11.5546875" style="946"/>
    <col min="2830" max="2830" width="13.5546875" style="946" customWidth="1"/>
    <col min="2831" max="2831" width="11.5546875" style="946"/>
    <col min="2832" max="2832" width="13.5546875" style="946" customWidth="1"/>
    <col min="2833" max="3073" width="11.5546875" style="946"/>
    <col min="3074" max="3074" width="6.44140625" style="946" customWidth="1"/>
    <col min="3075" max="3075" width="11.5546875" style="946"/>
    <col min="3076" max="3076" width="12.88671875" style="946" bestFit="1" customWidth="1"/>
    <col min="3077" max="3077" width="41.109375" style="946" bestFit="1" customWidth="1"/>
    <col min="3078" max="3078" width="13.109375" style="946" bestFit="1" customWidth="1"/>
    <col min="3079" max="3079" width="11.109375" style="946" bestFit="1" customWidth="1"/>
    <col min="3080" max="3080" width="13.109375" style="946" bestFit="1" customWidth="1"/>
    <col min="3081" max="3081" width="11.109375" style="946" bestFit="1" customWidth="1"/>
    <col min="3082" max="3082" width="13.109375" style="946" bestFit="1" customWidth="1"/>
    <col min="3083" max="3083" width="11.109375" style="946" bestFit="1" customWidth="1"/>
    <col min="3084" max="3084" width="13" style="946" customWidth="1"/>
    <col min="3085" max="3085" width="11.5546875" style="946"/>
    <col min="3086" max="3086" width="13.5546875" style="946" customWidth="1"/>
    <col min="3087" max="3087" width="11.5546875" style="946"/>
    <col min="3088" max="3088" width="13.5546875" style="946" customWidth="1"/>
    <col min="3089" max="3329" width="11.5546875" style="946"/>
    <col min="3330" max="3330" width="6.44140625" style="946" customWidth="1"/>
    <col min="3331" max="3331" width="11.5546875" style="946"/>
    <col min="3332" max="3332" width="12.88671875" style="946" bestFit="1" customWidth="1"/>
    <col min="3333" max="3333" width="41.109375" style="946" bestFit="1" customWidth="1"/>
    <col min="3334" max="3334" width="13.109375" style="946" bestFit="1" customWidth="1"/>
    <col min="3335" max="3335" width="11.109375" style="946" bestFit="1" customWidth="1"/>
    <col min="3336" max="3336" width="13.109375" style="946" bestFit="1" customWidth="1"/>
    <col min="3337" max="3337" width="11.109375" style="946" bestFit="1" customWidth="1"/>
    <col min="3338" max="3338" width="13.109375" style="946" bestFit="1" customWidth="1"/>
    <col min="3339" max="3339" width="11.109375" style="946" bestFit="1" customWidth="1"/>
    <col min="3340" max="3340" width="13" style="946" customWidth="1"/>
    <col min="3341" max="3341" width="11.5546875" style="946"/>
    <col min="3342" max="3342" width="13.5546875" style="946" customWidth="1"/>
    <col min="3343" max="3343" width="11.5546875" style="946"/>
    <col min="3344" max="3344" width="13.5546875" style="946" customWidth="1"/>
    <col min="3345" max="3585" width="11.5546875" style="946"/>
    <col min="3586" max="3586" width="6.44140625" style="946" customWidth="1"/>
    <col min="3587" max="3587" width="11.5546875" style="946"/>
    <col min="3588" max="3588" width="12.88671875" style="946" bestFit="1" customWidth="1"/>
    <col min="3589" max="3589" width="41.109375" style="946" bestFit="1" customWidth="1"/>
    <col min="3590" max="3590" width="13.109375" style="946" bestFit="1" customWidth="1"/>
    <col min="3591" max="3591" width="11.109375" style="946" bestFit="1" customWidth="1"/>
    <col min="3592" max="3592" width="13.109375" style="946" bestFit="1" customWidth="1"/>
    <col min="3593" max="3593" width="11.109375" style="946" bestFit="1" customWidth="1"/>
    <col min="3594" max="3594" width="13.109375" style="946" bestFit="1" customWidth="1"/>
    <col min="3595" max="3595" width="11.109375" style="946" bestFit="1" customWidth="1"/>
    <col min="3596" max="3596" width="13" style="946" customWidth="1"/>
    <col min="3597" max="3597" width="11.5546875" style="946"/>
    <col min="3598" max="3598" width="13.5546875" style="946" customWidth="1"/>
    <col min="3599" max="3599" width="11.5546875" style="946"/>
    <col min="3600" max="3600" width="13.5546875" style="946" customWidth="1"/>
    <col min="3601" max="3841" width="11.5546875" style="946"/>
    <col min="3842" max="3842" width="6.44140625" style="946" customWidth="1"/>
    <col min="3843" max="3843" width="11.5546875" style="946"/>
    <col min="3844" max="3844" width="12.88671875" style="946" bestFit="1" customWidth="1"/>
    <col min="3845" max="3845" width="41.109375" style="946" bestFit="1" customWidth="1"/>
    <col min="3846" max="3846" width="13.109375" style="946" bestFit="1" customWidth="1"/>
    <col min="3847" max="3847" width="11.109375" style="946" bestFit="1" customWidth="1"/>
    <col min="3848" max="3848" width="13.109375" style="946" bestFit="1" customWidth="1"/>
    <col min="3849" max="3849" width="11.109375" style="946" bestFit="1" customWidth="1"/>
    <col min="3850" max="3850" width="13.109375" style="946" bestFit="1" customWidth="1"/>
    <col min="3851" max="3851" width="11.109375" style="946" bestFit="1" customWidth="1"/>
    <col min="3852" max="3852" width="13" style="946" customWidth="1"/>
    <col min="3853" max="3853" width="11.5546875" style="946"/>
    <col min="3854" max="3854" width="13.5546875" style="946" customWidth="1"/>
    <col min="3855" max="3855" width="11.5546875" style="946"/>
    <col min="3856" max="3856" width="13.5546875" style="946" customWidth="1"/>
    <col min="3857" max="4097" width="11.5546875" style="946"/>
    <col min="4098" max="4098" width="6.44140625" style="946" customWidth="1"/>
    <col min="4099" max="4099" width="11.5546875" style="946"/>
    <col min="4100" max="4100" width="12.88671875" style="946" bestFit="1" customWidth="1"/>
    <col min="4101" max="4101" width="41.109375" style="946" bestFit="1" customWidth="1"/>
    <col min="4102" max="4102" width="13.109375" style="946" bestFit="1" customWidth="1"/>
    <col min="4103" max="4103" width="11.109375" style="946" bestFit="1" customWidth="1"/>
    <col min="4104" max="4104" width="13.109375" style="946" bestFit="1" customWidth="1"/>
    <col min="4105" max="4105" width="11.109375" style="946" bestFit="1" customWidth="1"/>
    <col min="4106" max="4106" width="13.109375" style="946" bestFit="1" customWidth="1"/>
    <col min="4107" max="4107" width="11.109375" style="946" bestFit="1" customWidth="1"/>
    <col min="4108" max="4108" width="13" style="946" customWidth="1"/>
    <col min="4109" max="4109" width="11.5546875" style="946"/>
    <col min="4110" max="4110" width="13.5546875" style="946" customWidth="1"/>
    <col min="4111" max="4111" width="11.5546875" style="946"/>
    <col min="4112" max="4112" width="13.5546875" style="946" customWidth="1"/>
    <col min="4113" max="4353" width="11.5546875" style="946"/>
    <col min="4354" max="4354" width="6.44140625" style="946" customWidth="1"/>
    <col min="4355" max="4355" width="11.5546875" style="946"/>
    <col min="4356" max="4356" width="12.88671875" style="946" bestFit="1" customWidth="1"/>
    <col min="4357" max="4357" width="41.109375" style="946" bestFit="1" customWidth="1"/>
    <col min="4358" max="4358" width="13.109375" style="946" bestFit="1" customWidth="1"/>
    <col min="4359" max="4359" width="11.109375" style="946" bestFit="1" customWidth="1"/>
    <col min="4360" max="4360" width="13.109375" style="946" bestFit="1" customWidth="1"/>
    <col min="4361" max="4361" width="11.109375" style="946" bestFit="1" customWidth="1"/>
    <col min="4362" max="4362" width="13.109375" style="946" bestFit="1" customWidth="1"/>
    <col min="4363" max="4363" width="11.109375" style="946" bestFit="1" customWidth="1"/>
    <col min="4364" max="4364" width="13" style="946" customWidth="1"/>
    <col min="4365" max="4365" width="11.5546875" style="946"/>
    <col min="4366" max="4366" width="13.5546875" style="946" customWidth="1"/>
    <col min="4367" max="4367" width="11.5546875" style="946"/>
    <col min="4368" max="4368" width="13.5546875" style="946" customWidth="1"/>
    <col min="4369" max="4609" width="11.5546875" style="946"/>
    <col min="4610" max="4610" width="6.44140625" style="946" customWidth="1"/>
    <col min="4611" max="4611" width="11.5546875" style="946"/>
    <col min="4612" max="4612" width="12.88671875" style="946" bestFit="1" customWidth="1"/>
    <col min="4613" max="4613" width="41.109375" style="946" bestFit="1" customWidth="1"/>
    <col min="4614" max="4614" width="13.109375" style="946" bestFit="1" customWidth="1"/>
    <col min="4615" max="4615" width="11.109375" style="946" bestFit="1" customWidth="1"/>
    <col min="4616" max="4616" width="13.109375" style="946" bestFit="1" customWidth="1"/>
    <col min="4617" max="4617" width="11.109375" style="946" bestFit="1" customWidth="1"/>
    <col min="4618" max="4618" width="13.109375" style="946" bestFit="1" customWidth="1"/>
    <col min="4619" max="4619" width="11.109375" style="946" bestFit="1" customWidth="1"/>
    <col min="4620" max="4620" width="13" style="946" customWidth="1"/>
    <col min="4621" max="4621" width="11.5546875" style="946"/>
    <col min="4622" max="4622" width="13.5546875" style="946" customWidth="1"/>
    <col min="4623" max="4623" width="11.5546875" style="946"/>
    <col min="4624" max="4624" width="13.5546875" style="946" customWidth="1"/>
    <col min="4625" max="4865" width="11.5546875" style="946"/>
    <col min="4866" max="4866" width="6.44140625" style="946" customWidth="1"/>
    <col min="4867" max="4867" width="11.5546875" style="946"/>
    <col min="4868" max="4868" width="12.88671875" style="946" bestFit="1" customWidth="1"/>
    <col min="4869" max="4869" width="41.109375" style="946" bestFit="1" customWidth="1"/>
    <col min="4870" max="4870" width="13.109375" style="946" bestFit="1" customWidth="1"/>
    <col min="4871" max="4871" width="11.109375" style="946" bestFit="1" customWidth="1"/>
    <col min="4872" max="4872" width="13.109375" style="946" bestFit="1" customWidth="1"/>
    <col min="4873" max="4873" width="11.109375" style="946" bestFit="1" customWidth="1"/>
    <col min="4874" max="4874" width="13.109375" style="946" bestFit="1" customWidth="1"/>
    <col min="4875" max="4875" width="11.109375" style="946" bestFit="1" customWidth="1"/>
    <col min="4876" max="4876" width="13" style="946" customWidth="1"/>
    <col min="4877" max="4877" width="11.5546875" style="946"/>
    <col min="4878" max="4878" width="13.5546875" style="946" customWidth="1"/>
    <col min="4879" max="4879" width="11.5546875" style="946"/>
    <col min="4880" max="4880" width="13.5546875" style="946" customWidth="1"/>
    <col min="4881" max="5121" width="11.5546875" style="946"/>
    <col min="5122" max="5122" width="6.44140625" style="946" customWidth="1"/>
    <col min="5123" max="5123" width="11.5546875" style="946"/>
    <col min="5124" max="5124" width="12.88671875" style="946" bestFit="1" customWidth="1"/>
    <col min="5125" max="5125" width="41.109375" style="946" bestFit="1" customWidth="1"/>
    <col min="5126" max="5126" width="13.109375" style="946" bestFit="1" customWidth="1"/>
    <col min="5127" max="5127" width="11.109375" style="946" bestFit="1" customWidth="1"/>
    <col min="5128" max="5128" width="13.109375" style="946" bestFit="1" customWidth="1"/>
    <col min="5129" max="5129" width="11.109375" style="946" bestFit="1" customWidth="1"/>
    <col min="5130" max="5130" width="13.109375" style="946" bestFit="1" customWidth="1"/>
    <col min="5131" max="5131" width="11.109375" style="946" bestFit="1" customWidth="1"/>
    <col min="5132" max="5132" width="13" style="946" customWidth="1"/>
    <col min="5133" max="5133" width="11.5546875" style="946"/>
    <col min="5134" max="5134" width="13.5546875" style="946" customWidth="1"/>
    <col min="5135" max="5135" width="11.5546875" style="946"/>
    <col min="5136" max="5136" width="13.5546875" style="946" customWidth="1"/>
    <col min="5137" max="5377" width="11.5546875" style="946"/>
    <col min="5378" max="5378" width="6.44140625" style="946" customWidth="1"/>
    <col min="5379" max="5379" width="11.5546875" style="946"/>
    <col min="5380" max="5380" width="12.88671875" style="946" bestFit="1" customWidth="1"/>
    <col min="5381" max="5381" width="41.109375" style="946" bestFit="1" customWidth="1"/>
    <col min="5382" max="5382" width="13.109375" style="946" bestFit="1" customWidth="1"/>
    <col min="5383" max="5383" width="11.109375" style="946" bestFit="1" customWidth="1"/>
    <col min="5384" max="5384" width="13.109375" style="946" bestFit="1" customWidth="1"/>
    <col min="5385" max="5385" width="11.109375" style="946" bestFit="1" customWidth="1"/>
    <col min="5386" max="5386" width="13.109375" style="946" bestFit="1" customWidth="1"/>
    <col min="5387" max="5387" width="11.109375" style="946" bestFit="1" customWidth="1"/>
    <col min="5388" max="5388" width="13" style="946" customWidth="1"/>
    <col min="5389" max="5389" width="11.5546875" style="946"/>
    <col min="5390" max="5390" width="13.5546875" style="946" customWidth="1"/>
    <col min="5391" max="5391" width="11.5546875" style="946"/>
    <col min="5392" max="5392" width="13.5546875" style="946" customWidth="1"/>
    <col min="5393" max="5633" width="11.5546875" style="946"/>
    <col min="5634" max="5634" width="6.44140625" style="946" customWidth="1"/>
    <col min="5635" max="5635" width="11.5546875" style="946"/>
    <col min="5636" max="5636" width="12.88671875" style="946" bestFit="1" customWidth="1"/>
    <col min="5637" max="5637" width="41.109375" style="946" bestFit="1" customWidth="1"/>
    <col min="5638" max="5638" width="13.109375" style="946" bestFit="1" customWidth="1"/>
    <col min="5639" max="5639" width="11.109375" style="946" bestFit="1" customWidth="1"/>
    <col min="5640" max="5640" width="13.109375" style="946" bestFit="1" customWidth="1"/>
    <col min="5641" max="5641" width="11.109375" style="946" bestFit="1" customWidth="1"/>
    <col min="5642" max="5642" width="13.109375" style="946" bestFit="1" customWidth="1"/>
    <col min="5643" max="5643" width="11.109375" style="946" bestFit="1" customWidth="1"/>
    <col min="5644" max="5644" width="13" style="946" customWidth="1"/>
    <col min="5645" max="5645" width="11.5546875" style="946"/>
    <col min="5646" max="5646" width="13.5546875" style="946" customWidth="1"/>
    <col min="5647" max="5647" width="11.5546875" style="946"/>
    <col min="5648" max="5648" width="13.5546875" style="946" customWidth="1"/>
    <col min="5649" max="5889" width="11.5546875" style="946"/>
    <col min="5890" max="5890" width="6.44140625" style="946" customWidth="1"/>
    <col min="5891" max="5891" width="11.5546875" style="946"/>
    <col min="5892" max="5892" width="12.88671875" style="946" bestFit="1" customWidth="1"/>
    <col min="5893" max="5893" width="41.109375" style="946" bestFit="1" customWidth="1"/>
    <col min="5894" max="5894" width="13.109375" style="946" bestFit="1" customWidth="1"/>
    <col min="5895" max="5895" width="11.109375" style="946" bestFit="1" customWidth="1"/>
    <col min="5896" max="5896" width="13.109375" style="946" bestFit="1" customWidth="1"/>
    <col min="5897" max="5897" width="11.109375" style="946" bestFit="1" customWidth="1"/>
    <col min="5898" max="5898" width="13.109375" style="946" bestFit="1" customWidth="1"/>
    <col min="5899" max="5899" width="11.109375" style="946" bestFit="1" customWidth="1"/>
    <col min="5900" max="5900" width="13" style="946" customWidth="1"/>
    <col min="5901" max="5901" width="11.5546875" style="946"/>
    <col min="5902" max="5902" width="13.5546875" style="946" customWidth="1"/>
    <col min="5903" max="5903" width="11.5546875" style="946"/>
    <col min="5904" max="5904" width="13.5546875" style="946" customWidth="1"/>
    <col min="5905" max="6145" width="11.5546875" style="946"/>
    <col min="6146" max="6146" width="6.44140625" style="946" customWidth="1"/>
    <col min="6147" max="6147" width="11.5546875" style="946"/>
    <col min="6148" max="6148" width="12.88671875" style="946" bestFit="1" customWidth="1"/>
    <col min="6149" max="6149" width="41.109375" style="946" bestFit="1" customWidth="1"/>
    <col min="6150" max="6150" width="13.109375" style="946" bestFit="1" customWidth="1"/>
    <col min="6151" max="6151" width="11.109375" style="946" bestFit="1" customWidth="1"/>
    <col min="6152" max="6152" width="13.109375" style="946" bestFit="1" customWidth="1"/>
    <col min="6153" max="6153" width="11.109375" style="946" bestFit="1" customWidth="1"/>
    <col min="6154" max="6154" width="13.109375" style="946" bestFit="1" customWidth="1"/>
    <col min="6155" max="6155" width="11.109375" style="946" bestFit="1" customWidth="1"/>
    <col min="6156" max="6156" width="13" style="946" customWidth="1"/>
    <col min="6157" max="6157" width="11.5546875" style="946"/>
    <col min="6158" max="6158" width="13.5546875" style="946" customWidth="1"/>
    <col min="6159" max="6159" width="11.5546875" style="946"/>
    <col min="6160" max="6160" width="13.5546875" style="946" customWidth="1"/>
    <col min="6161" max="6401" width="11.5546875" style="946"/>
    <col min="6402" max="6402" width="6.44140625" style="946" customWidth="1"/>
    <col min="6403" max="6403" width="11.5546875" style="946"/>
    <col min="6404" max="6404" width="12.88671875" style="946" bestFit="1" customWidth="1"/>
    <col min="6405" max="6405" width="41.109375" style="946" bestFit="1" customWidth="1"/>
    <col min="6406" max="6406" width="13.109375" style="946" bestFit="1" customWidth="1"/>
    <col min="6407" max="6407" width="11.109375" style="946" bestFit="1" customWidth="1"/>
    <col min="6408" max="6408" width="13.109375" style="946" bestFit="1" customWidth="1"/>
    <col min="6409" max="6409" width="11.109375" style="946" bestFit="1" customWidth="1"/>
    <col min="6410" max="6410" width="13.109375" style="946" bestFit="1" customWidth="1"/>
    <col min="6411" max="6411" width="11.109375" style="946" bestFit="1" customWidth="1"/>
    <col min="6412" max="6412" width="13" style="946" customWidth="1"/>
    <col min="6413" max="6413" width="11.5546875" style="946"/>
    <col min="6414" max="6414" width="13.5546875" style="946" customWidth="1"/>
    <col min="6415" max="6415" width="11.5546875" style="946"/>
    <col min="6416" max="6416" width="13.5546875" style="946" customWidth="1"/>
    <col min="6417" max="6657" width="11.5546875" style="946"/>
    <col min="6658" max="6658" width="6.44140625" style="946" customWidth="1"/>
    <col min="6659" max="6659" width="11.5546875" style="946"/>
    <col min="6660" max="6660" width="12.88671875" style="946" bestFit="1" customWidth="1"/>
    <col min="6661" max="6661" width="41.109375" style="946" bestFit="1" customWidth="1"/>
    <col min="6662" max="6662" width="13.109375" style="946" bestFit="1" customWidth="1"/>
    <col min="6663" max="6663" width="11.109375" style="946" bestFit="1" customWidth="1"/>
    <col min="6664" max="6664" width="13.109375" style="946" bestFit="1" customWidth="1"/>
    <col min="6665" max="6665" width="11.109375" style="946" bestFit="1" customWidth="1"/>
    <col min="6666" max="6666" width="13.109375" style="946" bestFit="1" customWidth="1"/>
    <col min="6667" max="6667" width="11.109375" style="946" bestFit="1" customWidth="1"/>
    <col min="6668" max="6668" width="13" style="946" customWidth="1"/>
    <col min="6669" max="6669" width="11.5546875" style="946"/>
    <col min="6670" max="6670" width="13.5546875" style="946" customWidth="1"/>
    <col min="6671" max="6671" width="11.5546875" style="946"/>
    <col min="6672" max="6672" width="13.5546875" style="946" customWidth="1"/>
    <col min="6673" max="6913" width="11.5546875" style="946"/>
    <col min="6914" max="6914" width="6.44140625" style="946" customWidth="1"/>
    <col min="6915" max="6915" width="11.5546875" style="946"/>
    <col min="6916" max="6916" width="12.88671875" style="946" bestFit="1" customWidth="1"/>
    <col min="6917" max="6917" width="41.109375" style="946" bestFit="1" customWidth="1"/>
    <col min="6918" max="6918" width="13.109375" style="946" bestFit="1" customWidth="1"/>
    <col min="6919" max="6919" width="11.109375" style="946" bestFit="1" customWidth="1"/>
    <col min="6920" max="6920" width="13.109375" style="946" bestFit="1" customWidth="1"/>
    <col min="6921" max="6921" width="11.109375" style="946" bestFit="1" customWidth="1"/>
    <col min="6922" max="6922" width="13.109375" style="946" bestFit="1" customWidth="1"/>
    <col min="6923" max="6923" width="11.109375" style="946" bestFit="1" customWidth="1"/>
    <col min="6924" max="6924" width="13" style="946" customWidth="1"/>
    <col min="6925" max="6925" width="11.5546875" style="946"/>
    <col min="6926" max="6926" width="13.5546875" style="946" customWidth="1"/>
    <col min="6927" max="6927" width="11.5546875" style="946"/>
    <col min="6928" max="6928" width="13.5546875" style="946" customWidth="1"/>
    <col min="6929" max="7169" width="11.5546875" style="946"/>
    <col min="7170" max="7170" width="6.44140625" style="946" customWidth="1"/>
    <col min="7171" max="7171" width="11.5546875" style="946"/>
    <col min="7172" max="7172" width="12.88671875" style="946" bestFit="1" customWidth="1"/>
    <col min="7173" max="7173" width="41.109375" style="946" bestFit="1" customWidth="1"/>
    <col min="7174" max="7174" width="13.109375" style="946" bestFit="1" customWidth="1"/>
    <col min="7175" max="7175" width="11.109375" style="946" bestFit="1" customWidth="1"/>
    <col min="7176" max="7176" width="13.109375" style="946" bestFit="1" customWidth="1"/>
    <col min="7177" max="7177" width="11.109375" style="946" bestFit="1" customWidth="1"/>
    <col min="7178" max="7178" width="13.109375" style="946" bestFit="1" customWidth="1"/>
    <col min="7179" max="7179" width="11.109375" style="946" bestFit="1" customWidth="1"/>
    <col min="7180" max="7180" width="13" style="946" customWidth="1"/>
    <col min="7181" max="7181" width="11.5546875" style="946"/>
    <col min="7182" max="7182" width="13.5546875" style="946" customWidth="1"/>
    <col min="7183" max="7183" width="11.5546875" style="946"/>
    <col min="7184" max="7184" width="13.5546875" style="946" customWidth="1"/>
    <col min="7185" max="7425" width="11.5546875" style="946"/>
    <col min="7426" max="7426" width="6.44140625" style="946" customWidth="1"/>
    <col min="7427" max="7427" width="11.5546875" style="946"/>
    <col min="7428" max="7428" width="12.88671875" style="946" bestFit="1" customWidth="1"/>
    <col min="7429" max="7429" width="41.109375" style="946" bestFit="1" customWidth="1"/>
    <col min="7430" max="7430" width="13.109375" style="946" bestFit="1" customWidth="1"/>
    <col min="7431" max="7431" width="11.109375" style="946" bestFit="1" customWidth="1"/>
    <col min="7432" max="7432" width="13.109375" style="946" bestFit="1" customWidth="1"/>
    <col min="7433" max="7433" width="11.109375" style="946" bestFit="1" customWidth="1"/>
    <col min="7434" max="7434" width="13.109375" style="946" bestFit="1" customWidth="1"/>
    <col min="7435" max="7435" width="11.109375" style="946" bestFit="1" customWidth="1"/>
    <col min="7436" max="7436" width="13" style="946" customWidth="1"/>
    <col min="7437" max="7437" width="11.5546875" style="946"/>
    <col min="7438" max="7438" width="13.5546875" style="946" customWidth="1"/>
    <col min="7439" max="7439" width="11.5546875" style="946"/>
    <col min="7440" max="7440" width="13.5546875" style="946" customWidth="1"/>
    <col min="7441" max="7681" width="11.5546875" style="946"/>
    <col min="7682" max="7682" width="6.44140625" style="946" customWidth="1"/>
    <col min="7683" max="7683" width="11.5546875" style="946"/>
    <col min="7684" max="7684" width="12.88671875" style="946" bestFit="1" customWidth="1"/>
    <col min="7685" max="7685" width="41.109375" style="946" bestFit="1" customWidth="1"/>
    <col min="7686" max="7686" width="13.109375" style="946" bestFit="1" customWidth="1"/>
    <col min="7687" max="7687" width="11.109375" style="946" bestFit="1" customWidth="1"/>
    <col min="7688" max="7688" width="13.109375" style="946" bestFit="1" customWidth="1"/>
    <col min="7689" max="7689" width="11.109375" style="946" bestFit="1" customWidth="1"/>
    <col min="7690" max="7690" width="13.109375" style="946" bestFit="1" customWidth="1"/>
    <col min="7691" max="7691" width="11.109375" style="946" bestFit="1" customWidth="1"/>
    <col min="7692" max="7692" width="13" style="946" customWidth="1"/>
    <col min="7693" max="7693" width="11.5546875" style="946"/>
    <col min="7694" max="7694" width="13.5546875" style="946" customWidth="1"/>
    <col min="7695" max="7695" width="11.5546875" style="946"/>
    <col min="7696" max="7696" width="13.5546875" style="946" customWidth="1"/>
    <col min="7697" max="7937" width="11.5546875" style="946"/>
    <col min="7938" max="7938" width="6.44140625" style="946" customWidth="1"/>
    <col min="7939" max="7939" width="11.5546875" style="946"/>
    <col min="7940" max="7940" width="12.88671875" style="946" bestFit="1" customWidth="1"/>
    <col min="7941" max="7941" width="41.109375" style="946" bestFit="1" customWidth="1"/>
    <col min="7942" max="7942" width="13.109375" style="946" bestFit="1" customWidth="1"/>
    <col min="7943" max="7943" width="11.109375" style="946" bestFit="1" customWidth="1"/>
    <col min="7944" max="7944" width="13.109375" style="946" bestFit="1" customWidth="1"/>
    <col min="7945" max="7945" width="11.109375" style="946" bestFit="1" customWidth="1"/>
    <col min="7946" max="7946" width="13.109375" style="946" bestFit="1" customWidth="1"/>
    <col min="7947" max="7947" width="11.109375" style="946" bestFit="1" customWidth="1"/>
    <col min="7948" max="7948" width="13" style="946" customWidth="1"/>
    <col min="7949" max="7949" width="11.5546875" style="946"/>
    <col min="7950" max="7950" width="13.5546875" style="946" customWidth="1"/>
    <col min="7951" max="7951" width="11.5546875" style="946"/>
    <col min="7952" max="7952" width="13.5546875" style="946" customWidth="1"/>
    <col min="7953" max="8193" width="11.5546875" style="946"/>
    <col min="8194" max="8194" width="6.44140625" style="946" customWidth="1"/>
    <col min="8195" max="8195" width="11.5546875" style="946"/>
    <col min="8196" max="8196" width="12.88671875" style="946" bestFit="1" customWidth="1"/>
    <col min="8197" max="8197" width="41.109375" style="946" bestFit="1" customWidth="1"/>
    <col min="8198" max="8198" width="13.109375" style="946" bestFit="1" customWidth="1"/>
    <col min="8199" max="8199" width="11.109375" style="946" bestFit="1" customWidth="1"/>
    <col min="8200" max="8200" width="13.109375" style="946" bestFit="1" customWidth="1"/>
    <col min="8201" max="8201" width="11.109375" style="946" bestFit="1" customWidth="1"/>
    <col min="8202" max="8202" width="13.109375" style="946" bestFit="1" customWidth="1"/>
    <col min="8203" max="8203" width="11.109375" style="946" bestFit="1" customWidth="1"/>
    <col min="8204" max="8204" width="13" style="946" customWidth="1"/>
    <col min="8205" max="8205" width="11.5546875" style="946"/>
    <col min="8206" max="8206" width="13.5546875" style="946" customWidth="1"/>
    <col min="8207" max="8207" width="11.5546875" style="946"/>
    <col min="8208" max="8208" width="13.5546875" style="946" customWidth="1"/>
    <col min="8209" max="8449" width="11.5546875" style="946"/>
    <col min="8450" max="8450" width="6.44140625" style="946" customWidth="1"/>
    <col min="8451" max="8451" width="11.5546875" style="946"/>
    <col min="8452" max="8452" width="12.88671875" style="946" bestFit="1" customWidth="1"/>
    <col min="8453" max="8453" width="41.109375" style="946" bestFit="1" customWidth="1"/>
    <col min="8454" max="8454" width="13.109375" style="946" bestFit="1" customWidth="1"/>
    <col min="8455" max="8455" width="11.109375" style="946" bestFit="1" customWidth="1"/>
    <col min="8456" max="8456" width="13.109375" style="946" bestFit="1" customWidth="1"/>
    <col min="8457" max="8457" width="11.109375" style="946" bestFit="1" customWidth="1"/>
    <col min="8458" max="8458" width="13.109375" style="946" bestFit="1" customWidth="1"/>
    <col min="8459" max="8459" width="11.109375" style="946" bestFit="1" customWidth="1"/>
    <col min="8460" max="8460" width="13" style="946" customWidth="1"/>
    <col min="8461" max="8461" width="11.5546875" style="946"/>
    <col min="8462" max="8462" width="13.5546875" style="946" customWidth="1"/>
    <col min="8463" max="8463" width="11.5546875" style="946"/>
    <col min="8464" max="8464" width="13.5546875" style="946" customWidth="1"/>
    <col min="8465" max="8705" width="11.5546875" style="946"/>
    <col min="8706" max="8706" width="6.44140625" style="946" customWidth="1"/>
    <col min="8707" max="8707" width="11.5546875" style="946"/>
    <col min="8708" max="8708" width="12.88671875" style="946" bestFit="1" customWidth="1"/>
    <col min="8709" max="8709" width="41.109375" style="946" bestFit="1" customWidth="1"/>
    <col min="8710" max="8710" width="13.109375" style="946" bestFit="1" customWidth="1"/>
    <col min="8711" max="8711" width="11.109375" style="946" bestFit="1" customWidth="1"/>
    <col min="8712" max="8712" width="13.109375" style="946" bestFit="1" customWidth="1"/>
    <col min="8713" max="8713" width="11.109375" style="946" bestFit="1" customWidth="1"/>
    <col min="8714" max="8714" width="13.109375" style="946" bestFit="1" customWidth="1"/>
    <col min="8715" max="8715" width="11.109375" style="946" bestFit="1" customWidth="1"/>
    <col min="8716" max="8716" width="13" style="946" customWidth="1"/>
    <col min="8717" max="8717" width="11.5546875" style="946"/>
    <col min="8718" max="8718" width="13.5546875" style="946" customWidth="1"/>
    <col min="8719" max="8719" width="11.5546875" style="946"/>
    <col min="8720" max="8720" width="13.5546875" style="946" customWidth="1"/>
    <col min="8721" max="8961" width="11.5546875" style="946"/>
    <col min="8962" max="8962" width="6.44140625" style="946" customWidth="1"/>
    <col min="8963" max="8963" width="11.5546875" style="946"/>
    <col min="8964" max="8964" width="12.88671875" style="946" bestFit="1" customWidth="1"/>
    <col min="8965" max="8965" width="41.109375" style="946" bestFit="1" customWidth="1"/>
    <col min="8966" max="8966" width="13.109375" style="946" bestFit="1" customWidth="1"/>
    <col min="8967" max="8967" width="11.109375" style="946" bestFit="1" customWidth="1"/>
    <col min="8968" max="8968" width="13.109375" style="946" bestFit="1" customWidth="1"/>
    <col min="8969" max="8969" width="11.109375" style="946" bestFit="1" customWidth="1"/>
    <col min="8970" max="8970" width="13.109375" style="946" bestFit="1" customWidth="1"/>
    <col min="8971" max="8971" width="11.109375" style="946" bestFit="1" customWidth="1"/>
    <col min="8972" max="8972" width="13" style="946" customWidth="1"/>
    <col min="8973" max="8973" width="11.5546875" style="946"/>
    <col min="8974" max="8974" width="13.5546875" style="946" customWidth="1"/>
    <col min="8975" max="8975" width="11.5546875" style="946"/>
    <col min="8976" max="8976" width="13.5546875" style="946" customWidth="1"/>
    <col min="8977" max="9217" width="11.5546875" style="946"/>
    <col min="9218" max="9218" width="6.44140625" style="946" customWidth="1"/>
    <col min="9219" max="9219" width="11.5546875" style="946"/>
    <col min="9220" max="9220" width="12.88671875" style="946" bestFit="1" customWidth="1"/>
    <col min="9221" max="9221" width="41.109375" style="946" bestFit="1" customWidth="1"/>
    <col min="9222" max="9222" width="13.109375" style="946" bestFit="1" customWidth="1"/>
    <col min="9223" max="9223" width="11.109375" style="946" bestFit="1" customWidth="1"/>
    <col min="9224" max="9224" width="13.109375" style="946" bestFit="1" customWidth="1"/>
    <col min="9225" max="9225" width="11.109375" style="946" bestFit="1" customWidth="1"/>
    <col min="9226" max="9226" width="13.109375" style="946" bestFit="1" customWidth="1"/>
    <col min="9227" max="9227" width="11.109375" style="946" bestFit="1" customWidth="1"/>
    <col min="9228" max="9228" width="13" style="946" customWidth="1"/>
    <col min="9229" max="9229" width="11.5546875" style="946"/>
    <col min="9230" max="9230" width="13.5546875" style="946" customWidth="1"/>
    <col min="9231" max="9231" width="11.5546875" style="946"/>
    <col min="9232" max="9232" width="13.5546875" style="946" customWidth="1"/>
    <col min="9233" max="9473" width="11.5546875" style="946"/>
    <col min="9474" max="9474" width="6.44140625" style="946" customWidth="1"/>
    <col min="9475" max="9475" width="11.5546875" style="946"/>
    <col min="9476" max="9476" width="12.88671875" style="946" bestFit="1" customWidth="1"/>
    <col min="9477" max="9477" width="41.109375" style="946" bestFit="1" customWidth="1"/>
    <col min="9478" max="9478" width="13.109375" style="946" bestFit="1" customWidth="1"/>
    <col min="9479" max="9479" width="11.109375" style="946" bestFit="1" customWidth="1"/>
    <col min="9480" max="9480" width="13.109375" style="946" bestFit="1" customWidth="1"/>
    <col min="9481" max="9481" width="11.109375" style="946" bestFit="1" customWidth="1"/>
    <col min="9482" max="9482" width="13.109375" style="946" bestFit="1" customWidth="1"/>
    <col min="9483" max="9483" width="11.109375" style="946" bestFit="1" customWidth="1"/>
    <col min="9484" max="9484" width="13" style="946" customWidth="1"/>
    <col min="9485" max="9485" width="11.5546875" style="946"/>
    <col min="9486" max="9486" width="13.5546875" style="946" customWidth="1"/>
    <col min="9487" max="9487" width="11.5546875" style="946"/>
    <col min="9488" max="9488" width="13.5546875" style="946" customWidth="1"/>
    <col min="9489" max="9729" width="11.5546875" style="946"/>
    <col min="9730" max="9730" width="6.44140625" style="946" customWidth="1"/>
    <col min="9731" max="9731" width="11.5546875" style="946"/>
    <col min="9732" max="9732" width="12.88671875" style="946" bestFit="1" customWidth="1"/>
    <col min="9733" max="9733" width="41.109375" style="946" bestFit="1" customWidth="1"/>
    <col min="9734" max="9734" width="13.109375" style="946" bestFit="1" customWidth="1"/>
    <col min="9735" max="9735" width="11.109375" style="946" bestFit="1" customWidth="1"/>
    <col min="9736" max="9736" width="13.109375" style="946" bestFit="1" customWidth="1"/>
    <col min="9737" max="9737" width="11.109375" style="946" bestFit="1" customWidth="1"/>
    <col min="9738" max="9738" width="13.109375" style="946" bestFit="1" customWidth="1"/>
    <col min="9739" max="9739" width="11.109375" style="946" bestFit="1" customWidth="1"/>
    <col min="9740" max="9740" width="13" style="946" customWidth="1"/>
    <col min="9741" max="9741" width="11.5546875" style="946"/>
    <col min="9742" max="9742" width="13.5546875" style="946" customWidth="1"/>
    <col min="9743" max="9743" width="11.5546875" style="946"/>
    <col min="9744" max="9744" width="13.5546875" style="946" customWidth="1"/>
    <col min="9745" max="9985" width="11.5546875" style="946"/>
    <col min="9986" max="9986" width="6.44140625" style="946" customWidth="1"/>
    <col min="9987" max="9987" width="11.5546875" style="946"/>
    <col min="9988" max="9988" width="12.88671875" style="946" bestFit="1" customWidth="1"/>
    <col min="9989" max="9989" width="41.109375" style="946" bestFit="1" customWidth="1"/>
    <col min="9990" max="9990" width="13.109375" style="946" bestFit="1" customWidth="1"/>
    <col min="9991" max="9991" width="11.109375" style="946" bestFit="1" customWidth="1"/>
    <col min="9992" max="9992" width="13.109375" style="946" bestFit="1" customWidth="1"/>
    <col min="9993" max="9993" width="11.109375" style="946" bestFit="1" customWidth="1"/>
    <col min="9994" max="9994" width="13.109375" style="946" bestFit="1" customWidth="1"/>
    <col min="9995" max="9995" width="11.109375" style="946" bestFit="1" customWidth="1"/>
    <col min="9996" max="9996" width="13" style="946" customWidth="1"/>
    <col min="9997" max="9997" width="11.5546875" style="946"/>
    <col min="9998" max="9998" width="13.5546875" style="946" customWidth="1"/>
    <col min="9999" max="9999" width="11.5546875" style="946"/>
    <col min="10000" max="10000" width="13.5546875" style="946" customWidth="1"/>
    <col min="10001" max="10241" width="11.5546875" style="946"/>
    <col min="10242" max="10242" width="6.44140625" style="946" customWidth="1"/>
    <col min="10243" max="10243" width="11.5546875" style="946"/>
    <col min="10244" max="10244" width="12.88671875" style="946" bestFit="1" customWidth="1"/>
    <col min="10245" max="10245" width="41.109375" style="946" bestFit="1" customWidth="1"/>
    <col min="10246" max="10246" width="13.109375" style="946" bestFit="1" customWidth="1"/>
    <col min="10247" max="10247" width="11.109375" style="946" bestFit="1" customWidth="1"/>
    <col min="10248" max="10248" width="13.109375" style="946" bestFit="1" customWidth="1"/>
    <col min="10249" max="10249" width="11.109375" style="946" bestFit="1" customWidth="1"/>
    <col min="10250" max="10250" width="13.109375" style="946" bestFit="1" customWidth="1"/>
    <col min="10251" max="10251" width="11.109375" style="946" bestFit="1" customWidth="1"/>
    <col min="10252" max="10252" width="13" style="946" customWidth="1"/>
    <col min="10253" max="10253" width="11.5546875" style="946"/>
    <col min="10254" max="10254" width="13.5546875" style="946" customWidth="1"/>
    <col min="10255" max="10255" width="11.5546875" style="946"/>
    <col min="10256" max="10256" width="13.5546875" style="946" customWidth="1"/>
    <col min="10257" max="10497" width="11.5546875" style="946"/>
    <col min="10498" max="10498" width="6.44140625" style="946" customWidth="1"/>
    <col min="10499" max="10499" width="11.5546875" style="946"/>
    <col min="10500" max="10500" width="12.88671875" style="946" bestFit="1" customWidth="1"/>
    <col min="10501" max="10501" width="41.109375" style="946" bestFit="1" customWidth="1"/>
    <col min="10502" max="10502" width="13.109375" style="946" bestFit="1" customWidth="1"/>
    <col min="10503" max="10503" width="11.109375" style="946" bestFit="1" customWidth="1"/>
    <col min="10504" max="10504" width="13.109375" style="946" bestFit="1" customWidth="1"/>
    <col min="10505" max="10505" width="11.109375" style="946" bestFit="1" customWidth="1"/>
    <col min="10506" max="10506" width="13.109375" style="946" bestFit="1" customWidth="1"/>
    <col min="10507" max="10507" width="11.109375" style="946" bestFit="1" customWidth="1"/>
    <col min="10508" max="10508" width="13" style="946" customWidth="1"/>
    <col min="10509" max="10509" width="11.5546875" style="946"/>
    <col min="10510" max="10510" width="13.5546875" style="946" customWidth="1"/>
    <col min="10511" max="10511" width="11.5546875" style="946"/>
    <col min="10512" max="10512" width="13.5546875" style="946" customWidth="1"/>
    <col min="10513" max="10753" width="11.5546875" style="946"/>
    <col min="10754" max="10754" width="6.44140625" style="946" customWidth="1"/>
    <col min="10755" max="10755" width="11.5546875" style="946"/>
    <col min="10756" max="10756" width="12.88671875" style="946" bestFit="1" customWidth="1"/>
    <col min="10757" max="10757" width="41.109375" style="946" bestFit="1" customWidth="1"/>
    <col min="10758" max="10758" width="13.109375" style="946" bestFit="1" customWidth="1"/>
    <col min="10759" max="10759" width="11.109375" style="946" bestFit="1" customWidth="1"/>
    <col min="10760" max="10760" width="13.109375" style="946" bestFit="1" customWidth="1"/>
    <col min="10761" max="10761" width="11.109375" style="946" bestFit="1" customWidth="1"/>
    <col min="10762" max="10762" width="13.109375" style="946" bestFit="1" customWidth="1"/>
    <col min="10763" max="10763" width="11.109375" style="946" bestFit="1" customWidth="1"/>
    <col min="10764" max="10764" width="13" style="946" customWidth="1"/>
    <col min="10765" max="10765" width="11.5546875" style="946"/>
    <col min="10766" max="10766" width="13.5546875" style="946" customWidth="1"/>
    <col min="10767" max="10767" width="11.5546875" style="946"/>
    <col min="10768" max="10768" width="13.5546875" style="946" customWidth="1"/>
    <col min="10769" max="11009" width="11.5546875" style="946"/>
    <col min="11010" max="11010" width="6.44140625" style="946" customWidth="1"/>
    <col min="11011" max="11011" width="11.5546875" style="946"/>
    <col min="11012" max="11012" width="12.88671875" style="946" bestFit="1" customWidth="1"/>
    <col min="11013" max="11013" width="41.109375" style="946" bestFit="1" customWidth="1"/>
    <col min="11014" max="11014" width="13.109375" style="946" bestFit="1" customWidth="1"/>
    <col min="11015" max="11015" width="11.109375" style="946" bestFit="1" customWidth="1"/>
    <col min="11016" max="11016" width="13.109375" style="946" bestFit="1" customWidth="1"/>
    <col min="11017" max="11017" width="11.109375" style="946" bestFit="1" customWidth="1"/>
    <col min="11018" max="11018" width="13.109375" style="946" bestFit="1" customWidth="1"/>
    <col min="11019" max="11019" width="11.109375" style="946" bestFit="1" customWidth="1"/>
    <col min="11020" max="11020" width="13" style="946" customWidth="1"/>
    <col min="11021" max="11021" width="11.5546875" style="946"/>
    <col min="11022" max="11022" width="13.5546875" style="946" customWidth="1"/>
    <col min="11023" max="11023" width="11.5546875" style="946"/>
    <col min="11024" max="11024" width="13.5546875" style="946" customWidth="1"/>
    <col min="11025" max="11265" width="11.5546875" style="946"/>
    <col min="11266" max="11266" width="6.44140625" style="946" customWidth="1"/>
    <col min="11267" max="11267" width="11.5546875" style="946"/>
    <col min="11268" max="11268" width="12.88671875" style="946" bestFit="1" customWidth="1"/>
    <col min="11269" max="11269" width="41.109375" style="946" bestFit="1" customWidth="1"/>
    <col min="11270" max="11270" width="13.109375" style="946" bestFit="1" customWidth="1"/>
    <col min="11271" max="11271" width="11.109375" style="946" bestFit="1" customWidth="1"/>
    <col min="11272" max="11272" width="13.109375" style="946" bestFit="1" customWidth="1"/>
    <col min="11273" max="11273" width="11.109375" style="946" bestFit="1" customWidth="1"/>
    <col min="11274" max="11274" width="13.109375" style="946" bestFit="1" customWidth="1"/>
    <col min="11275" max="11275" width="11.109375" style="946" bestFit="1" customWidth="1"/>
    <col min="11276" max="11276" width="13" style="946" customWidth="1"/>
    <col min="11277" max="11277" width="11.5546875" style="946"/>
    <col min="11278" max="11278" width="13.5546875" style="946" customWidth="1"/>
    <col min="11279" max="11279" width="11.5546875" style="946"/>
    <col min="11280" max="11280" width="13.5546875" style="946" customWidth="1"/>
    <col min="11281" max="11521" width="11.5546875" style="946"/>
    <col min="11522" max="11522" width="6.44140625" style="946" customWidth="1"/>
    <col min="11523" max="11523" width="11.5546875" style="946"/>
    <col min="11524" max="11524" width="12.88671875" style="946" bestFit="1" customWidth="1"/>
    <col min="11525" max="11525" width="41.109375" style="946" bestFit="1" customWidth="1"/>
    <col min="11526" max="11526" width="13.109375" style="946" bestFit="1" customWidth="1"/>
    <col min="11527" max="11527" width="11.109375" style="946" bestFit="1" customWidth="1"/>
    <col min="11528" max="11528" width="13.109375" style="946" bestFit="1" customWidth="1"/>
    <col min="11529" max="11529" width="11.109375" style="946" bestFit="1" customWidth="1"/>
    <col min="11530" max="11530" width="13.109375" style="946" bestFit="1" customWidth="1"/>
    <col min="11531" max="11531" width="11.109375" style="946" bestFit="1" customWidth="1"/>
    <col min="11532" max="11532" width="13" style="946" customWidth="1"/>
    <col min="11533" max="11533" width="11.5546875" style="946"/>
    <col min="11534" max="11534" width="13.5546875" style="946" customWidth="1"/>
    <col min="11535" max="11535" width="11.5546875" style="946"/>
    <col min="11536" max="11536" width="13.5546875" style="946" customWidth="1"/>
    <col min="11537" max="11777" width="11.5546875" style="946"/>
    <col min="11778" max="11778" width="6.44140625" style="946" customWidth="1"/>
    <col min="11779" max="11779" width="11.5546875" style="946"/>
    <col min="11780" max="11780" width="12.88671875" style="946" bestFit="1" customWidth="1"/>
    <col min="11781" max="11781" width="41.109375" style="946" bestFit="1" customWidth="1"/>
    <col min="11782" max="11782" width="13.109375" style="946" bestFit="1" customWidth="1"/>
    <col min="11783" max="11783" width="11.109375" style="946" bestFit="1" customWidth="1"/>
    <col min="11784" max="11784" width="13.109375" style="946" bestFit="1" customWidth="1"/>
    <col min="11785" max="11785" width="11.109375" style="946" bestFit="1" customWidth="1"/>
    <col min="11786" max="11786" width="13.109375" style="946" bestFit="1" customWidth="1"/>
    <col min="11787" max="11787" width="11.109375" style="946" bestFit="1" customWidth="1"/>
    <col min="11788" max="11788" width="13" style="946" customWidth="1"/>
    <col min="11789" max="11789" width="11.5546875" style="946"/>
    <col min="11790" max="11790" width="13.5546875" style="946" customWidth="1"/>
    <col min="11791" max="11791" width="11.5546875" style="946"/>
    <col min="11792" max="11792" width="13.5546875" style="946" customWidth="1"/>
    <col min="11793" max="12033" width="11.5546875" style="946"/>
    <col min="12034" max="12034" width="6.44140625" style="946" customWidth="1"/>
    <col min="12035" max="12035" width="11.5546875" style="946"/>
    <col min="12036" max="12036" width="12.88671875" style="946" bestFit="1" customWidth="1"/>
    <col min="12037" max="12037" width="41.109375" style="946" bestFit="1" customWidth="1"/>
    <col min="12038" max="12038" width="13.109375" style="946" bestFit="1" customWidth="1"/>
    <col min="12039" max="12039" width="11.109375" style="946" bestFit="1" customWidth="1"/>
    <col min="12040" max="12040" width="13.109375" style="946" bestFit="1" customWidth="1"/>
    <col min="12041" max="12041" width="11.109375" style="946" bestFit="1" customWidth="1"/>
    <col min="12042" max="12042" width="13.109375" style="946" bestFit="1" customWidth="1"/>
    <col min="12043" max="12043" width="11.109375" style="946" bestFit="1" customWidth="1"/>
    <col min="12044" max="12044" width="13" style="946" customWidth="1"/>
    <col min="12045" max="12045" width="11.5546875" style="946"/>
    <col min="12046" max="12046" width="13.5546875" style="946" customWidth="1"/>
    <col min="12047" max="12047" width="11.5546875" style="946"/>
    <col min="12048" max="12048" width="13.5546875" style="946" customWidth="1"/>
    <col min="12049" max="12289" width="11.5546875" style="946"/>
    <col min="12290" max="12290" width="6.44140625" style="946" customWidth="1"/>
    <col min="12291" max="12291" width="11.5546875" style="946"/>
    <col min="12292" max="12292" width="12.88671875" style="946" bestFit="1" customWidth="1"/>
    <col min="12293" max="12293" width="41.109375" style="946" bestFit="1" customWidth="1"/>
    <col min="12294" max="12294" width="13.109375" style="946" bestFit="1" customWidth="1"/>
    <col min="12295" max="12295" width="11.109375" style="946" bestFit="1" customWidth="1"/>
    <col min="12296" max="12296" width="13.109375" style="946" bestFit="1" customWidth="1"/>
    <col min="12297" max="12297" width="11.109375" style="946" bestFit="1" customWidth="1"/>
    <col min="12298" max="12298" width="13.109375" style="946" bestFit="1" customWidth="1"/>
    <col min="12299" max="12299" width="11.109375" style="946" bestFit="1" customWidth="1"/>
    <col min="12300" max="12300" width="13" style="946" customWidth="1"/>
    <col min="12301" max="12301" width="11.5546875" style="946"/>
    <col min="12302" max="12302" width="13.5546875" style="946" customWidth="1"/>
    <col min="12303" max="12303" width="11.5546875" style="946"/>
    <col min="12304" max="12304" width="13.5546875" style="946" customWidth="1"/>
    <col min="12305" max="12545" width="11.5546875" style="946"/>
    <col min="12546" max="12546" width="6.44140625" style="946" customWidth="1"/>
    <col min="12547" max="12547" width="11.5546875" style="946"/>
    <col min="12548" max="12548" width="12.88671875" style="946" bestFit="1" customWidth="1"/>
    <col min="12549" max="12549" width="41.109375" style="946" bestFit="1" customWidth="1"/>
    <col min="12550" max="12550" width="13.109375" style="946" bestFit="1" customWidth="1"/>
    <col min="12551" max="12551" width="11.109375" style="946" bestFit="1" customWidth="1"/>
    <col min="12552" max="12552" width="13.109375" style="946" bestFit="1" customWidth="1"/>
    <col min="12553" max="12553" width="11.109375" style="946" bestFit="1" customWidth="1"/>
    <col min="12554" max="12554" width="13.109375" style="946" bestFit="1" customWidth="1"/>
    <col min="12555" max="12555" width="11.109375" style="946" bestFit="1" customWidth="1"/>
    <col min="12556" max="12556" width="13" style="946" customWidth="1"/>
    <col min="12557" max="12557" width="11.5546875" style="946"/>
    <col min="12558" max="12558" width="13.5546875" style="946" customWidth="1"/>
    <col min="12559" max="12559" width="11.5546875" style="946"/>
    <col min="12560" max="12560" width="13.5546875" style="946" customWidth="1"/>
    <col min="12561" max="12801" width="11.5546875" style="946"/>
    <col min="12802" max="12802" width="6.44140625" style="946" customWidth="1"/>
    <col min="12803" max="12803" width="11.5546875" style="946"/>
    <col min="12804" max="12804" width="12.88671875" style="946" bestFit="1" customWidth="1"/>
    <col min="12805" max="12805" width="41.109375" style="946" bestFit="1" customWidth="1"/>
    <col min="12806" max="12806" width="13.109375" style="946" bestFit="1" customWidth="1"/>
    <col min="12807" max="12807" width="11.109375" style="946" bestFit="1" customWidth="1"/>
    <col min="12808" max="12808" width="13.109375" style="946" bestFit="1" customWidth="1"/>
    <col min="12809" max="12809" width="11.109375" style="946" bestFit="1" customWidth="1"/>
    <col min="12810" max="12810" width="13.109375" style="946" bestFit="1" customWidth="1"/>
    <col min="12811" max="12811" width="11.109375" style="946" bestFit="1" customWidth="1"/>
    <col min="12812" max="12812" width="13" style="946" customWidth="1"/>
    <col min="12813" max="12813" width="11.5546875" style="946"/>
    <col min="12814" max="12814" width="13.5546875" style="946" customWidth="1"/>
    <col min="12815" max="12815" width="11.5546875" style="946"/>
    <col min="12816" max="12816" width="13.5546875" style="946" customWidth="1"/>
    <col min="12817" max="13057" width="11.5546875" style="946"/>
    <col min="13058" max="13058" width="6.44140625" style="946" customWidth="1"/>
    <col min="13059" max="13059" width="11.5546875" style="946"/>
    <col min="13060" max="13060" width="12.88671875" style="946" bestFit="1" customWidth="1"/>
    <col min="13061" max="13061" width="41.109375" style="946" bestFit="1" customWidth="1"/>
    <col min="13062" max="13062" width="13.109375" style="946" bestFit="1" customWidth="1"/>
    <col min="13063" max="13063" width="11.109375" style="946" bestFit="1" customWidth="1"/>
    <col min="13064" max="13064" width="13.109375" style="946" bestFit="1" customWidth="1"/>
    <col min="13065" max="13065" width="11.109375" style="946" bestFit="1" customWidth="1"/>
    <col min="13066" max="13066" width="13.109375" style="946" bestFit="1" customWidth="1"/>
    <col min="13067" max="13067" width="11.109375" style="946" bestFit="1" customWidth="1"/>
    <col min="13068" max="13068" width="13" style="946" customWidth="1"/>
    <col min="13069" max="13069" width="11.5546875" style="946"/>
    <col min="13070" max="13070" width="13.5546875" style="946" customWidth="1"/>
    <col min="13071" max="13071" width="11.5546875" style="946"/>
    <col min="13072" max="13072" width="13.5546875" style="946" customWidth="1"/>
    <col min="13073" max="13313" width="11.5546875" style="946"/>
    <col min="13314" max="13314" width="6.44140625" style="946" customWidth="1"/>
    <col min="13315" max="13315" width="11.5546875" style="946"/>
    <col min="13316" max="13316" width="12.88671875" style="946" bestFit="1" customWidth="1"/>
    <col min="13317" max="13317" width="41.109375" style="946" bestFit="1" customWidth="1"/>
    <col min="13318" max="13318" width="13.109375" style="946" bestFit="1" customWidth="1"/>
    <col min="13319" max="13319" width="11.109375" style="946" bestFit="1" customWidth="1"/>
    <col min="13320" max="13320" width="13.109375" style="946" bestFit="1" customWidth="1"/>
    <col min="13321" max="13321" width="11.109375" style="946" bestFit="1" customWidth="1"/>
    <col min="13322" max="13322" width="13.109375" style="946" bestFit="1" customWidth="1"/>
    <col min="13323" max="13323" width="11.109375" style="946" bestFit="1" customWidth="1"/>
    <col min="13324" max="13324" width="13" style="946" customWidth="1"/>
    <col min="13325" max="13325" width="11.5546875" style="946"/>
    <col min="13326" max="13326" width="13.5546875" style="946" customWidth="1"/>
    <col min="13327" max="13327" width="11.5546875" style="946"/>
    <col min="13328" max="13328" width="13.5546875" style="946" customWidth="1"/>
    <col min="13329" max="13569" width="11.5546875" style="946"/>
    <col min="13570" max="13570" width="6.44140625" style="946" customWidth="1"/>
    <col min="13571" max="13571" width="11.5546875" style="946"/>
    <col min="13572" max="13572" width="12.88671875" style="946" bestFit="1" customWidth="1"/>
    <col min="13573" max="13573" width="41.109375" style="946" bestFit="1" customWidth="1"/>
    <col min="13574" max="13574" width="13.109375" style="946" bestFit="1" customWidth="1"/>
    <col min="13575" max="13575" width="11.109375" style="946" bestFit="1" customWidth="1"/>
    <col min="13576" max="13576" width="13.109375" style="946" bestFit="1" customWidth="1"/>
    <col min="13577" max="13577" width="11.109375" style="946" bestFit="1" customWidth="1"/>
    <col min="13578" max="13578" width="13.109375" style="946" bestFit="1" customWidth="1"/>
    <col min="13579" max="13579" width="11.109375" style="946" bestFit="1" customWidth="1"/>
    <col min="13580" max="13580" width="13" style="946" customWidth="1"/>
    <col min="13581" max="13581" width="11.5546875" style="946"/>
    <col min="13582" max="13582" width="13.5546875" style="946" customWidth="1"/>
    <col min="13583" max="13583" width="11.5546875" style="946"/>
    <col min="13584" max="13584" width="13.5546875" style="946" customWidth="1"/>
    <col min="13585" max="13825" width="11.5546875" style="946"/>
    <col min="13826" max="13826" width="6.44140625" style="946" customWidth="1"/>
    <col min="13827" max="13827" width="11.5546875" style="946"/>
    <col min="13828" max="13828" width="12.88671875" style="946" bestFit="1" customWidth="1"/>
    <col min="13829" max="13829" width="41.109375" style="946" bestFit="1" customWidth="1"/>
    <col min="13830" max="13830" width="13.109375" style="946" bestFit="1" customWidth="1"/>
    <col min="13831" max="13831" width="11.109375" style="946" bestFit="1" customWidth="1"/>
    <col min="13832" max="13832" width="13.109375" style="946" bestFit="1" customWidth="1"/>
    <col min="13833" max="13833" width="11.109375" style="946" bestFit="1" customWidth="1"/>
    <col min="13834" max="13834" width="13.109375" style="946" bestFit="1" customWidth="1"/>
    <col min="13835" max="13835" width="11.109375" style="946" bestFit="1" customWidth="1"/>
    <col min="13836" max="13836" width="13" style="946" customWidth="1"/>
    <col min="13837" max="13837" width="11.5546875" style="946"/>
    <col min="13838" max="13838" width="13.5546875" style="946" customWidth="1"/>
    <col min="13839" max="13839" width="11.5546875" style="946"/>
    <col min="13840" max="13840" width="13.5546875" style="946" customWidth="1"/>
    <col min="13841" max="14081" width="11.5546875" style="946"/>
    <col min="14082" max="14082" width="6.44140625" style="946" customWidth="1"/>
    <col min="14083" max="14083" width="11.5546875" style="946"/>
    <col min="14084" max="14084" width="12.88671875" style="946" bestFit="1" customWidth="1"/>
    <col min="14085" max="14085" width="41.109375" style="946" bestFit="1" customWidth="1"/>
    <col min="14086" max="14086" width="13.109375" style="946" bestFit="1" customWidth="1"/>
    <col min="14087" max="14087" width="11.109375" style="946" bestFit="1" customWidth="1"/>
    <col min="14088" max="14088" width="13.109375" style="946" bestFit="1" customWidth="1"/>
    <col min="14089" max="14089" width="11.109375" style="946" bestFit="1" customWidth="1"/>
    <col min="14090" max="14090" width="13.109375" style="946" bestFit="1" customWidth="1"/>
    <col min="14091" max="14091" width="11.109375" style="946" bestFit="1" customWidth="1"/>
    <col min="14092" max="14092" width="13" style="946" customWidth="1"/>
    <col min="14093" max="14093" width="11.5546875" style="946"/>
    <col min="14094" max="14094" width="13.5546875" style="946" customWidth="1"/>
    <col min="14095" max="14095" width="11.5546875" style="946"/>
    <col min="14096" max="14096" width="13.5546875" style="946" customWidth="1"/>
    <col min="14097" max="14337" width="11.5546875" style="946"/>
    <col min="14338" max="14338" width="6.44140625" style="946" customWidth="1"/>
    <col min="14339" max="14339" width="11.5546875" style="946"/>
    <col min="14340" max="14340" width="12.88671875" style="946" bestFit="1" customWidth="1"/>
    <col min="14341" max="14341" width="41.109375" style="946" bestFit="1" customWidth="1"/>
    <col min="14342" max="14342" width="13.109375" style="946" bestFit="1" customWidth="1"/>
    <col min="14343" max="14343" width="11.109375" style="946" bestFit="1" customWidth="1"/>
    <col min="14344" max="14344" width="13.109375" style="946" bestFit="1" customWidth="1"/>
    <col min="14345" max="14345" width="11.109375" style="946" bestFit="1" customWidth="1"/>
    <col min="14346" max="14346" width="13.109375" style="946" bestFit="1" customWidth="1"/>
    <col min="14347" max="14347" width="11.109375" style="946" bestFit="1" customWidth="1"/>
    <col min="14348" max="14348" width="13" style="946" customWidth="1"/>
    <col min="14349" max="14349" width="11.5546875" style="946"/>
    <col min="14350" max="14350" width="13.5546875" style="946" customWidth="1"/>
    <col min="14351" max="14351" width="11.5546875" style="946"/>
    <col min="14352" max="14352" width="13.5546875" style="946" customWidth="1"/>
    <col min="14353" max="14593" width="11.5546875" style="946"/>
    <col min="14594" max="14594" width="6.44140625" style="946" customWidth="1"/>
    <col min="14595" max="14595" width="11.5546875" style="946"/>
    <col min="14596" max="14596" width="12.88671875" style="946" bestFit="1" customWidth="1"/>
    <col min="14597" max="14597" width="41.109375" style="946" bestFit="1" customWidth="1"/>
    <col min="14598" max="14598" width="13.109375" style="946" bestFit="1" customWidth="1"/>
    <col min="14599" max="14599" width="11.109375" style="946" bestFit="1" customWidth="1"/>
    <col min="14600" max="14600" width="13.109375" style="946" bestFit="1" customWidth="1"/>
    <col min="14601" max="14601" width="11.109375" style="946" bestFit="1" customWidth="1"/>
    <col min="14602" max="14602" width="13.109375" style="946" bestFit="1" customWidth="1"/>
    <col min="14603" max="14603" width="11.109375" style="946" bestFit="1" customWidth="1"/>
    <col min="14604" max="14604" width="13" style="946" customWidth="1"/>
    <col min="14605" max="14605" width="11.5546875" style="946"/>
    <col min="14606" max="14606" width="13.5546875" style="946" customWidth="1"/>
    <col min="14607" max="14607" width="11.5546875" style="946"/>
    <col min="14608" max="14608" width="13.5546875" style="946" customWidth="1"/>
    <col min="14609" max="14849" width="11.5546875" style="946"/>
    <col min="14850" max="14850" width="6.44140625" style="946" customWidth="1"/>
    <col min="14851" max="14851" width="11.5546875" style="946"/>
    <col min="14852" max="14852" width="12.88671875" style="946" bestFit="1" customWidth="1"/>
    <col min="14853" max="14853" width="41.109375" style="946" bestFit="1" customWidth="1"/>
    <col min="14854" max="14854" width="13.109375" style="946" bestFit="1" customWidth="1"/>
    <col min="14855" max="14855" width="11.109375" style="946" bestFit="1" customWidth="1"/>
    <col min="14856" max="14856" width="13.109375" style="946" bestFit="1" customWidth="1"/>
    <col min="14857" max="14857" width="11.109375" style="946" bestFit="1" customWidth="1"/>
    <col min="14858" max="14858" width="13.109375" style="946" bestFit="1" customWidth="1"/>
    <col min="14859" max="14859" width="11.109375" style="946" bestFit="1" customWidth="1"/>
    <col min="14860" max="14860" width="13" style="946" customWidth="1"/>
    <col min="14861" max="14861" width="11.5546875" style="946"/>
    <col min="14862" max="14862" width="13.5546875" style="946" customWidth="1"/>
    <col min="14863" max="14863" width="11.5546875" style="946"/>
    <col min="14864" max="14864" width="13.5546875" style="946" customWidth="1"/>
    <col min="14865" max="15105" width="11.5546875" style="946"/>
    <col min="15106" max="15106" width="6.44140625" style="946" customWidth="1"/>
    <col min="15107" max="15107" width="11.5546875" style="946"/>
    <col min="15108" max="15108" width="12.88671875" style="946" bestFit="1" customWidth="1"/>
    <col min="15109" max="15109" width="41.109375" style="946" bestFit="1" customWidth="1"/>
    <col min="15110" max="15110" width="13.109375" style="946" bestFit="1" customWidth="1"/>
    <col min="15111" max="15111" width="11.109375" style="946" bestFit="1" customWidth="1"/>
    <col min="15112" max="15112" width="13.109375" style="946" bestFit="1" customWidth="1"/>
    <col min="15113" max="15113" width="11.109375" style="946" bestFit="1" customWidth="1"/>
    <col min="15114" max="15114" width="13.109375" style="946" bestFit="1" customWidth="1"/>
    <col min="15115" max="15115" width="11.109375" style="946" bestFit="1" customWidth="1"/>
    <col min="15116" max="15116" width="13" style="946" customWidth="1"/>
    <col min="15117" max="15117" width="11.5546875" style="946"/>
    <col min="15118" max="15118" width="13.5546875" style="946" customWidth="1"/>
    <col min="15119" max="15119" width="11.5546875" style="946"/>
    <col min="15120" max="15120" width="13.5546875" style="946" customWidth="1"/>
    <col min="15121" max="15361" width="11.5546875" style="946"/>
    <col min="15362" max="15362" width="6.44140625" style="946" customWidth="1"/>
    <col min="15363" max="15363" width="11.5546875" style="946"/>
    <col min="15364" max="15364" width="12.88671875" style="946" bestFit="1" customWidth="1"/>
    <col min="15365" max="15365" width="41.109375" style="946" bestFit="1" customWidth="1"/>
    <col min="15366" max="15366" width="13.109375" style="946" bestFit="1" customWidth="1"/>
    <col min="15367" max="15367" width="11.109375" style="946" bestFit="1" customWidth="1"/>
    <col min="15368" max="15368" width="13.109375" style="946" bestFit="1" customWidth="1"/>
    <col min="15369" max="15369" width="11.109375" style="946" bestFit="1" customWidth="1"/>
    <col min="15370" max="15370" width="13.109375" style="946" bestFit="1" customWidth="1"/>
    <col min="15371" max="15371" width="11.109375" style="946" bestFit="1" customWidth="1"/>
    <col min="15372" max="15372" width="13" style="946" customWidth="1"/>
    <col min="15373" max="15373" width="11.5546875" style="946"/>
    <col min="15374" max="15374" width="13.5546875" style="946" customWidth="1"/>
    <col min="15375" max="15375" width="11.5546875" style="946"/>
    <col min="15376" max="15376" width="13.5546875" style="946" customWidth="1"/>
    <col min="15377" max="15617" width="11.5546875" style="946"/>
    <col min="15618" max="15618" width="6.44140625" style="946" customWidth="1"/>
    <col min="15619" max="15619" width="11.5546875" style="946"/>
    <col min="15620" max="15620" width="12.88671875" style="946" bestFit="1" customWidth="1"/>
    <col min="15621" max="15621" width="41.109375" style="946" bestFit="1" customWidth="1"/>
    <col min="15622" max="15622" width="13.109375" style="946" bestFit="1" customWidth="1"/>
    <col min="15623" max="15623" width="11.109375" style="946" bestFit="1" customWidth="1"/>
    <col min="15624" max="15624" width="13.109375" style="946" bestFit="1" customWidth="1"/>
    <col min="15625" max="15625" width="11.109375" style="946" bestFit="1" customWidth="1"/>
    <col min="15626" max="15626" width="13.109375" style="946" bestFit="1" customWidth="1"/>
    <col min="15627" max="15627" width="11.109375" style="946" bestFit="1" customWidth="1"/>
    <col min="15628" max="15628" width="13" style="946" customWidth="1"/>
    <col min="15629" max="15629" width="11.5546875" style="946"/>
    <col min="15630" max="15630" width="13.5546875" style="946" customWidth="1"/>
    <col min="15631" max="15631" width="11.5546875" style="946"/>
    <col min="15632" max="15632" width="13.5546875" style="946" customWidth="1"/>
    <col min="15633" max="15873" width="11.5546875" style="946"/>
    <col min="15874" max="15874" width="6.44140625" style="946" customWidth="1"/>
    <col min="15875" max="15875" width="11.5546875" style="946"/>
    <col min="15876" max="15876" width="12.88671875" style="946" bestFit="1" customWidth="1"/>
    <col min="15877" max="15877" width="41.109375" style="946" bestFit="1" customWidth="1"/>
    <col min="15878" max="15878" width="13.109375" style="946" bestFit="1" customWidth="1"/>
    <col min="15879" max="15879" width="11.109375" style="946" bestFit="1" customWidth="1"/>
    <col min="15880" max="15880" width="13.109375" style="946" bestFit="1" customWidth="1"/>
    <col min="15881" max="15881" width="11.109375" style="946" bestFit="1" customWidth="1"/>
    <col min="15882" max="15882" width="13.109375" style="946" bestFit="1" customWidth="1"/>
    <col min="15883" max="15883" width="11.109375" style="946" bestFit="1" customWidth="1"/>
    <col min="15884" max="15884" width="13" style="946" customWidth="1"/>
    <col min="15885" max="15885" width="11.5546875" style="946"/>
    <col min="15886" max="15886" width="13.5546875" style="946" customWidth="1"/>
    <col min="15887" max="15887" width="11.5546875" style="946"/>
    <col min="15888" max="15888" width="13.5546875" style="946" customWidth="1"/>
    <col min="15889" max="16129" width="11.5546875" style="946"/>
    <col min="16130" max="16130" width="6.44140625" style="946" customWidth="1"/>
    <col min="16131" max="16131" width="11.5546875" style="946"/>
    <col min="16132" max="16132" width="12.88671875" style="946" bestFit="1" customWidth="1"/>
    <col min="16133" max="16133" width="41.109375" style="946" bestFit="1" customWidth="1"/>
    <col min="16134" max="16134" width="13.109375" style="946" bestFit="1" customWidth="1"/>
    <col min="16135" max="16135" width="11.109375" style="946" bestFit="1" customWidth="1"/>
    <col min="16136" max="16136" width="13.109375" style="946" bestFit="1" customWidth="1"/>
    <col min="16137" max="16137" width="11.109375" style="946" bestFit="1" customWidth="1"/>
    <col min="16138" max="16138" width="13.109375" style="946" bestFit="1" customWidth="1"/>
    <col min="16139" max="16139" width="11.109375" style="946" bestFit="1" customWidth="1"/>
    <col min="16140" max="16140" width="13" style="946" customWidth="1"/>
    <col min="16141" max="16141" width="11.5546875" style="946"/>
    <col min="16142" max="16142" width="13.5546875" style="946" customWidth="1"/>
    <col min="16143" max="16143" width="11.5546875" style="946"/>
    <col min="16144" max="16144" width="13.5546875" style="946" customWidth="1"/>
    <col min="16145" max="16384" width="11.5546875" style="946"/>
  </cols>
  <sheetData>
    <row r="1" spans="2:51" s="2249" customFormat="1" ht="15.75" customHeight="1" x14ac:dyDescent="0.3">
      <c r="B1" s="647" t="s">
        <v>1483</v>
      </c>
      <c r="C1" s="2247"/>
      <c r="D1" s="2247"/>
      <c r="E1" s="2247"/>
      <c r="F1" s="2247"/>
      <c r="G1" s="2248"/>
      <c r="H1" s="2248"/>
      <c r="I1" s="2248"/>
      <c r="J1" s="2248"/>
      <c r="K1" s="2248"/>
      <c r="L1" s="2248"/>
      <c r="M1" s="2248"/>
      <c r="N1" s="2248"/>
      <c r="O1" s="2248"/>
      <c r="P1" s="2248"/>
      <c r="Q1" s="2248"/>
      <c r="R1" s="2248"/>
      <c r="AC1" s="6034" t="s">
        <v>612</v>
      </c>
      <c r="AD1" s="6034"/>
      <c r="AJ1" s="4534"/>
      <c r="AK1" s="4534"/>
      <c r="AL1" s="4534"/>
      <c r="AM1" s="4534"/>
      <c r="AN1" s="4534"/>
      <c r="AO1" s="4534"/>
      <c r="AP1" s="4534"/>
      <c r="AQ1" s="4534"/>
      <c r="AR1" s="4534"/>
      <c r="AS1" s="4534"/>
      <c r="AT1" s="2250"/>
    </row>
    <row r="2" spans="2:51" ht="12.75" customHeight="1" x14ac:dyDescent="0.3">
      <c r="AC2" s="6035"/>
      <c r="AD2" s="6035"/>
      <c r="AI2" s="4535"/>
      <c r="AJ2" s="4535"/>
      <c r="AK2" s="4535"/>
      <c r="AL2" s="4535"/>
      <c r="AM2" s="4535"/>
      <c r="AN2" s="4535"/>
      <c r="AO2" s="4535"/>
      <c r="AP2" s="4535"/>
      <c r="AQ2" s="4535"/>
      <c r="AR2" s="4535"/>
      <c r="AS2" s="4535"/>
    </row>
    <row r="3" spans="2:51" ht="15" customHeight="1" x14ac:dyDescent="0.25">
      <c r="B3" s="6036" t="s">
        <v>613</v>
      </c>
      <c r="C3" s="6038">
        <v>2001</v>
      </c>
      <c r="D3" s="6039"/>
      <c r="E3" s="6038">
        <v>2002</v>
      </c>
      <c r="F3" s="6039"/>
      <c r="G3" s="6040">
        <v>2003</v>
      </c>
      <c r="H3" s="6041"/>
      <c r="I3" s="6040">
        <v>2004</v>
      </c>
      <c r="J3" s="6041"/>
      <c r="K3" s="6040">
        <v>2005</v>
      </c>
      <c r="L3" s="6041"/>
      <c r="M3" s="6040">
        <v>2006</v>
      </c>
      <c r="N3" s="6041"/>
      <c r="O3" s="6040">
        <v>2007</v>
      </c>
      <c r="P3" s="6041"/>
      <c r="Q3" s="6040">
        <v>2008</v>
      </c>
      <c r="R3" s="6041"/>
      <c r="S3" s="6040">
        <v>2009</v>
      </c>
      <c r="T3" s="6041"/>
      <c r="U3" s="6040">
        <v>2010</v>
      </c>
      <c r="V3" s="6041"/>
      <c r="W3" s="6040">
        <v>2011</v>
      </c>
      <c r="X3" s="6041"/>
      <c r="Y3" s="6040">
        <v>2012</v>
      </c>
      <c r="Z3" s="6041"/>
      <c r="AA3" s="6040">
        <v>2013</v>
      </c>
      <c r="AB3" s="6041"/>
      <c r="AC3" s="6040">
        <v>2014</v>
      </c>
      <c r="AD3" s="6041"/>
      <c r="AE3" s="6040">
        <v>2015</v>
      </c>
      <c r="AF3" s="6041"/>
      <c r="AG3" s="6040">
        <v>2016</v>
      </c>
      <c r="AH3" s="6041"/>
      <c r="AI3" s="6040">
        <v>2017</v>
      </c>
      <c r="AJ3" s="6041"/>
      <c r="AK3" s="2251">
        <v>2018</v>
      </c>
      <c r="AL3" s="6044" t="s">
        <v>614</v>
      </c>
      <c r="AM3" s="6044"/>
      <c r="AN3" s="6045"/>
      <c r="AO3" s="6044" t="s">
        <v>615</v>
      </c>
      <c r="AP3" s="6044"/>
      <c r="AQ3" s="6045"/>
      <c r="AR3" s="6044" t="s">
        <v>616</v>
      </c>
      <c r="AS3" s="6044"/>
      <c r="AT3" s="6045"/>
    </row>
    <row r="4" spans="2:51" ht="12.75" customHeight="1" x14ac:dyDescent="0.25">
      <c r="B4" s="6037"/>
      <c r="C4" s="2252" t="s">
        <v>617</v>
      </c>
      <c r="D4" s="2253" t="s">
        <v>618</v>
      </c>
      <c r="E4" s="2252" t="s">
        <v>617</v>
      </c>
      <c r="F4" s="2253" t="s">
        <v>618</v>
      </c>
      <c r="G4" s="2252" t="s">
        <v>617</v>
      </c>
      <c r="H4" s="2253" t="s">
        <v>618</v>
      </c>
      <c r="I4" s="2252" t="s">
        <v>617</v>
      </c>
      <c r="J4" s="2253" t="s">
        <v>618</v>
      </c>
      <c r="K4" s="2252" t="s">
        <v>617</v>
      </c>
      <c r="L4" s="2253" t="s">
        <v>618</v>
      </c>
      <c r="M4" s="2252" t="s">
        <v>617</v>
      </c>
      <c r="N4" s="2253" t="s">
        <v>618</v>
      </c>
      <c r="O4" s="2252" t="s">
        <v>617</v>
      </c>
      <c r="P4" s="2253" t="s">
        <v>618</v>
      </c>
      <c r="Q4" s="2252" t="s">
        <v>617</v>
      </c>
      <c r="R4" s="2253" t="s">
        <v>618</v>
      </c>
      <c r="S4" s="2252" t="s">
        <v>617</v>
      </c>
      <c r="T4" s="2253" t="s">
        <v>618</v>
      </c>
      <c r="U4" s="2252" t="s">
        <v>617</v>
      </c>
      <c r="V4" s="2253" t="s">
        <v>618</v>
      </c>
      <c r="W4" s="2252" t="s">
        <v>617</v>
      </c>
      <c r="X4" s="2253" t="s">
        <v>618</v>
      </c>
      <c r="Y4" s="2252" t="s">
        <v>617</v>
      </c>
      <c r="Z4" s="2253" t="s">
        <v>618</v>
      </c>
      <c r="AA4" s="2252" t="s">
        <v>617</v>
      </c>
      <c r="AB4" s="2253" t="s">
        <v>618</v>
      </c>
      <c r="AC4" s="2252" t="s">
        <v>617</v>
      </c>
      <c r="AD4" s="2253" t="s">
        <v>618</v>
      </c>
      <c r="AE4" s="2252" t="s">
        <v>617</v>
      </c>
      <c r="AF4" s="2253" t="s">
        <v>618</v>
      </c>
      <c r="AG4" s="2252" t="s">
        <v>617</v>
      </c>
      <c r="AH4" s="2253" t="s">
        <v>618</v>
      </c>
      <c r="AI4" s="2252" t="s">
        <v>617</v>
      </c>
      <c r="AJ4" s="2253" t="s">
        <v>618</v>
      </c>
      <c r="AK4" s="2254" t="s">
        <v>617</v>
      </c>
      <c r="AL4" s="2255" t="s">
        <v>140</v>
      </c>
      <c r="AM4" s="2256" t="s">
        <v>141</v>
      </c>
      <c r="AN4" s="2257" t="s">
        <v>48</v>
      </c>
      <c r="AO4" s="2255" t="s">
        <v>140</v>
      </c>
      <c r="AP4" s="2256" t="s">
        <v>141</v>
      </c>
      <c r="AQ4" s="2257" t="s">
        <v>48</v>
      </c>
      <c r="AR4" s="2255" t="s">
        <v>140</v>
      </c>
      <c r="AS4" s="2256" t="s">
        <v>141</v>
      </c>
      <c r="AT4" s="2257" t="s">
        <v>48</v>
      </c>
    </row>
    <row r="5" spans="2:51" ht="15" customHeight="1" x14ac:dyDescent="0.3">
      <c r="B5" s="2258" t="s">
        <v>49</v>
      </c>
      <c r="C5" s="2259">
        <v>2</v>
      </c>
      <c r="D5" s="2260">
        <v>2</v>
      </c>
      <c r="E5" s="2259">
        <v>7</v>
      </c>
      <c r="F5" s="2260">
        <v>7</v>
      </c>
      <c r="G5" s="2259">
        <v>7</v>
      </c>
      <c r="H5" s="2260">
        <v>13</v>
      </c>
      <c r="I5" s="2259">
        <v>10</v>
      </c>
      <c r="J5" s="2260">
        <v>17</v>
      </c>
      <c r="K5" s="2259">
        <v>10</v>
      </c>
      <c r="L5" s="2260">
        <v>22</v>
      </c>
      <c r="M5" s="2259">
        <v>16</v>
      </c>
      <c r="N5" s="2260">
        <v>32</v>
      </c>
      <c r="O5" s="2259">
        <v>41</v>
      </c>
      <c r="P5" s="2260">
        <v>59</v>
      </c>
      <c r="Q5" s="2259">
        <v>19</v>
      </c>
      <c r="R5" s="2260">
        <v>62</v>
      </c>
      <c r="S5" s="2259">
        <v>60</v>
      </c>
      <c r="T5" s="2260">
        <v>89</v>
      </c>
      <c r="U5" s="2259">
        <v>84</v>
      </c>
      <c r="V5" s="2260">
        <v>141</v>
      </c>
      <c r="W5" s="2259">
        <v>80</v>
      </c>
      <c r="X5" s="2260">
        <v>182</v>
      </c>
      <c r="Y5" s="2259">
        <v>45</v>
      </c>
      <c r="Z5" s="2260">
        <v>181</v>
      </c>
      <c r="AA5" s="2259">
        <v>57</v>
      </c>
      <c r="AB5" s="2260">
        <v>172</v>
      </c>
      <c r="AC5" s="2259">
        <v>64</v>
      </c>
      <c r="AD5" s="2260">
        <v>185</v>
      </c>
      <c r="AE5" s="2259">
        <v>48</v>
      </c>
      <c r="AF5" s="2260">
        <v>162</v>
      </c>
      <c r="AG5" s="2259">
        <v>51</v>
      </c>
      <c r="AH5" s="2260">
        <v>150</v>
      </c>
      <c r="AI5" s="2259">
        <v>48</v>
      </c>
      <c r="AJ5" s="2260">
        <v>159</v>
      </c>
      <c r="AK5" s="2261">
        <v>56</v>
      </c>
      <c r="AL5" s="2262">
        <v>107</v>
      </c>
      <c r="AM5" s="2262">
        <v>54</v>
      </c>
      <c r="AN5" s="2260">
        <f>SUM(AL5:AM5)</f>
        <v>161</v>
      </c>
      <c r="AO5" s="2262">
        <v>67</v>
      </c>
      <c r="AP5" s="2262">
        <v>33</v>
      </c>
      <c r="AQ5" s="2260">
        <f>SUM(AO5:AP5)</f>
        <v>100</v>
      </c>
      <c r="AR5" s="2262">
        <v>15</v>
      </c>
      <c r="AS5" s="2262">
        <v>3</v>
      </c>
      <c r="AT5" s="2260">
        <f>SUM(AR5:AS5)</f>
        <v>18</v>
      </c>
      <c r="AU5" s="6042" t="s">
        <v>1549</v>
      </c>
      <c r="AV5" s="6043"/>
      <c r="AW5" s="6043"/>
      <c r="AY5" s="4534"/>
    </row>
    <row r="6" spans="2:51" ht="15" customHeight="1" x14ac:dyDescent="0.3">
      <c r="B6" s="2263" t="s">
        <v>50</v>
      </c>
      <c r="C6" s="2264">
        <v>2</v>
      </c>
      <c r="D6" s="2265">
        <v>2</v>
      </c>
      <c r="E6" s="2264">
        <v>8</v>
      </c>
      <c r="F6" s="2265">
        <v>9</v>
      </c>
      <c r="G6" s="2264">
        <v>8</v>
      </c>
      <c r="H6" s="2265">
        <v>15</v>
      </c>
      <c r="I6" s="2264">
        <v>12</v>
      </c>
      <c r="J6" s="2265">
        <v>19</v>
      </c>
      <c r="K6" s="2264">
        <v>12</v>
      </c>
      <c r="L6" s="2265">
        <v>24</v>
      </c>
      <c r="M6" s="2264">
        <v>21</v>
      </c>
      <c r="N6" s="2265">
        <v>37</v>
      </c>
      <c r="O6" s="2264">
        <v>53</v>
      </c>
      <c r="P6" s="2265">
        <v>79</v>
      </c>
      <c r="Q6" s="2264">
        <v>36</v>
      </c>
      <c r="R6" s="2265">
        <v>87</v>
      </c>
      <c r="S6" s="2264">
        <v>39</v>
      </c>
      <c r="T6" s="2265">
        <v>86</v>
      </c>
      <c r="U6" s="2264">
        <v>100</v>
      </c>
      <c r="V6" s="2265">
        <v>147</v>
      </c>
      <c r="W6" s="2264">
        <v>83</v>
      </c>
      <c r="X6" s="2265">
        <v>186</v>
      </c>
      <c r="Y6" s="2264">
        <v>43</v>
      </c>
      <c r="Z6" s="2265">
        <v>174</v>
      </c>
      <c r="AA6" s="2264">
        <v>49</v>
      </c>
      <c r="AB6" s="2265">
        <v>142</v>
      </c>
      <c r="AC6" s="2264">
        <v>53</v>
      </c>
      <c r="AD6" s="2265">
        <v>163</v>
      </c>
      <c r="AE6" s="2264">
        <v>37</v>
      </c>
      <c r="AF6" s="2265">
        <v>146</v>
      </c>
      <c r="AG6" s="2264">
        <v>63</v>
      </c>
      <c r="AH6" s="2265">
        <v>169</v>
      </c>
      <c r="AI6" s="2264">
        <v>57</v>
      </c>
      <c r="AJ6" s="2265">
        <v>176</v>
      </c>
      <c r="AK6" s="2266">
        <v>51</v>
      </c>
      <c r="AL6" s="2267">
        <v>39</v>
      </c>
      <c r="AM6" s="2267">
        <v>120</v>
      </c>
      <c r="AN6" s="2265">
        <f t="shared" ref="AN6:AN69" si="0">SUM(AL6:AM6)</f>
        <v>159</v>
      </c>
      <c r="AO6" s="2267">
        <v>21</v>
      </c>
      <c r="AP6" s="2267">
        <v>69</v>
      </c>
      <c r="AQ6" s="2265">
        <f t="shared" ref="AQ6:AQ14" si="1">SUM(AO6:AP6)</f>
        <v>90</v>
      </c>
      <c r="AR6" s="2267">
        <v>6</v>
      </c>
      <c r="AS6" s="2267">
        <v>8</v>
      </c>
      <c r="AT6" s="2265">
        <f t="shared" ref="AT6:AT14" si="2">SUM(AR6:AS6)</f>
        <v>14</v>
      </c>
      <c r="AU6" s="6042"/>
      <c r="AV6" s="6043"/>
      <c r="AW6" s="6043"/>
      <c r="AY6" s="4534"/>
    </row>
    <row r="7" spans="2:51" ht="15" customHeight="1" x14ac:dyDescent="0.3">
      <c r="B7" s="2263" t="s">
        <v>58</v>
      </c>
      <c r="C7" s="2264">
        <v>0</v>
      </c>
      <c r="D7" s="2265">
        <v>0</v>
      </c>
      <c r="E7" s="2264">
        <v>2</v>
      </c>
      <c r="F7" s="2265">
        <v>0</v>
      </c>
      <c r="G7" s="2264">
        <v>11</v>
      </c>
      <c r="H7" s="2265">
        <v>11</v>
      </c>
      <c r="I7" s="2264">
        <v>36</v>
      </c>
      <c r="J7" s="2265">
        <v>43</v>
      </c>
      <c r="K7" s="2264">
        <v>50</v>
      </c>
      <c r="L7" s="2265">
        <v>81</v>
      </c>
      <c r="M7" s="2264">
        <v>93</v>
      </c>
      <c r="N7" s="2265">
        <v>154</v>
      </c>
      <c r="O7" s="2264">
        <v>104</v>
      </c>
      <c r="P7" s="2265">
        <v>216</v>
      </c>
      <c r="Q7" s="2264">
        <v>52</v>
      </c>
      <c r="R7" s="2265">
        <v>187</v>
      </c>
      <c r="S7" s="2264">
        <v>89</v>
      </c>
      <c r="T7" s="2265">
        <v>181</v>
      </c>
      <c r="U7" s="2264">
        <v>21</v>
      </c>
      <c r="V7" s="2265">
        <v>41</v>
      </c>
      <c r="W7" s="2264">
        <v>44</v>
      </c>
      <c r="X7" s="2265">
        <v>68</v>
      </c>
      <c r="Y7" s="2264">
        <v>46</v>
      </c>
      <c r="Z7" s="2265">
        <v>95</v>
      </c>
      <c r="AA7" s="2264">
        <v>45</v>
      </c>
      <c r="AB7" s="2265">
        <v>103</v>
      </c>
      <c r="AC7" s="2264">
        <v>31</v>
      </c>
      <c r="AD7" s="2265">
        <v>155</v>
      </c>
      <c r="AE7" s="2264">
        <v>42</v>
      </c>
      <c r="AF7" s="2265">
        <v>140</v>
      </c>
      <c r="AG7" s="2264">
        <v>70</v>
      </c>
      <c r="AH7" s="2265">
        <v>167</v>
      </c>
      <c r="AI7" s="2264">
        <v>57</v>
      </c>
      <c r="AJ7" s="2265">
        <v>80</v>
      </c>
      <c r="AK7" s="2266">
        <v>65</v>
      </c>
      <c r="AL7" s="2267">
        <v>30</v>
      </c>
      <c r="AM7" s="2267">
        <v>150</v>
      </c>
      <c r="AN7" s="2265">
        <f t="shared" si="0"/>
        <v>180</v>
      </c>
      <c r="AO7" s="2267">
        <v>14</v>
      </c>
      <c r="AP7" s="2267">
        <v>82</v>
      </c>
      <c r="AQ7" s="2265">
        <f t="shared" si="1"/>
        <v>96</v>
      </c>
      <c r="AR7" s="2267">
        <v>7</v>
      </c>
      <c r="AS7" s="2267">
        <v>15</v>
      </c>
      <c r="AT7" s="2265">
        <f t="shared" si="2"/>
        <v>22</v>
      </c>
      <c r="AU7" s="6042"/>
      <c r="AV7" s="6043"/>
      <c r="AW7" s="6043"/>
      <c r="AY7" s="4534"/>
    </row>
    <row r="8" spans="2:51" ht="15" customHeight="1" x14ac:dyDescent="0.3">
      <c r="B8" s="2263" t="s">
        <v>51</v>
      </c>
      <c r="C8" s="2264">
        <v>5</v>
      </c>
      <c r="D8" s="2265">
        <v>5</v>
      </c>
      <c r="E8" s="2264">
        <v>22</v>
      </c>
      <c r="F8" s="2265">
        <v>24</v>
      </c>
      <c r="G8" s="2264">
        <v>4</v>
      </c>
      <c r="H8" s="2265">
        <v>6</v>
      </c>
      <c r="I8" s="2264">
        <v>14</v>
      </c>
      <c r="J8" s="2265">
        <v>15</v>
      </c>
      <c r="K8" s="2264">
        <v>7</v>
      </c>
      <c r="L8" s="2265">
        <v>18</v>
      </c>
      <c r="M8" s="2264">
        <v>10</v>
      </c>
      <c r="N8" s="2265">
        <v>19</v>
      </c>
      <c r="O8" s="2264">
        <v>33</v>
      </c>
      <c r="P8" s="2265">
        <v>46</v>
      </c>
      <c r="Q8" s="2264">
        <v>11</v>
      </c>
      <c r="R8" s="2265">
        <v>43</v>
      </c>
      <c r="S8" s="2264">
        <v>24</v>
      </c>
      <c r="T8" s="2265">
        <v>43</v>
      </c>
      <c r="U8" s="2264">
        <v>77</v>
      </c>
      <c r="V8" s="2265">
        <v>128</v>
      </c>
      <c r="W8" s="2264">
        <v>59</v>
      </c>
      <c r="X8" s="2265">
        <v>147</v>
      </c>
      <c r="Y8" s="2264">
        <v>38</v>
      </c>
      <c r="Z8" s="2265">
        <v>139</v>
      </c>
      <c r="AA8" s="2264">
        <v>42</v>
      </c>
      <c r="AB8" s="2265">
        <v>127</v>
      </c>
      <c r="AC8" s="2264">
        <v>44</v>
      </c>
      <c r="AD8" s="2265">
        <v>103</v>
      </c>
      <c r="AE8" s="2264">
        <v>41</v>
      </c>
      <c r="AF8" s="2265">
        <v>95</v>
      </c>
      <c r="AG8" s="2264">
        <v>26</v>
      </c>
      <c r="AH8" s="2265">
        <v>80</v>
      </c>
      <c r="AI8" s="2264">
        <v>27</v>
      </c>
      <c r="AJ8" s="2265">
        <v>126</v>
      </c>
      <c r="AK8" s="2266">
        <v>25</v>
      </c>
      <c r="AL8" s="2267">
        <v>8</v>
      </c>
      <c r="AM8" s="2267">
        <v>50</v>
      </c>
      <c r="AN8" s="2265">
        <f t="shared" si="0"/>
        <v>58</v>
      </c>
      <c r="AO8" s="2267">
        <v>4</v>
      </c>
      <c r="AP8" s="2267">
        <v>23</v>
      </c>
      <c r="AQ8" s="2265">
        <f t="shared" si="1"/>
        <v>27</v>
      </c>
      <c r="AR8" s="2267">
        <v>2</v>
      </c>
      <c r="AS8" s="2267">
        <v>13</v>
      </c>
      <c r="AT8" s="2265">
        <f t="shared" si="2"/>
        <v>15</v>
      </c>
      <c r="AU8" s="6042"/>
      <c r="AV8" s="6043"/>
      <c r="AW8" s="6043"/>
      <c r="AY8" s="4534"/>
    </row>
    <row r="9" spans="2:51" ht="15" customHeight="1" x14ac:dyDescent="0.3">
      <c r="B9" s="2263" t="s">
        <v>57</v>
      </c>
      <c r="C9" s="2264">
        <v>0</v>
      </c>
      <c r="D9" s="2265">
        <v>0</v>
      </c>
      <c r="E9" s="2264">
        <v>0</v>
      </c>
      <c r="F9" s="2265">
        <v>0</v>
      </c>
      <c r="G9" s="2264">
        <v>27</v>
      </c>
      <c r="H9" s="2265">
        <v>43</v>
      </c>
      <c r="I9" s="2264">
        <v>29</v>
      </c>
      <c r="J9" s="2265">
        <v>53</v>
      </c>
      <c r="K9" s="2264">
        <v>29</v>
      </c>
      <c r="L9" s="2265">
        <v>60</v>
      </c>
      <c r="M9" s="2264">
        <v>48</v>
      </c>
      <c r="N9" s="2265">
        <v>87</v>
      </c>
      <c r="O9" s="2264">
        <v>88</v>
      </c>
      <c r="P9" s="2265">
        <v>149</v>
      </c>
      <c r="Q9" s="2264">
        <v>27</v>
      </c>
      <c r="R9" s="2265">
        <v>119</v>
      </c>
      <c r="S9" s="2264">
        <v>46</v>
      </c>
      <c r="T9" s="2265">
        <v>93</v>
      </c>
      <c r="U9" s="2264">
        <v>107</v>
      </c>
      <c r="V9" s="2265">
        <v>209</v>
      </c>
      <c r="W9" s="2264">
        <v>85</v>
      </c>
      <c r="X9" s="2265">
        <v>246</v>
      </c>
      <c r="Y9" s="2264">
        <v>42</v>
      </c>
      <c r="Z9" s="2265">
        <v>225</v>
      </c>
      <c r="AA9" s="2264">
        <v>46</v>
      </c>
      <c r="AB9" s="2265">
        <v>177</v>
      </c>
      <c r="AC9" s="2264">
        <v>53</v>
      </c>
      <c r="AD9" s="2265">
        <v>128</v>
      </c>
      <c r="AE9" s="2264">
        <v>29</v>
      </c>
      <c r="AF9" s="2265">
        <v>119</v>
      </c>
      <c r="AG9" s="2264">
        <v>43</v>
      </c>
      <c r="AH9" s="2265">
        <v>122</v>
      </c>
      <c r="AI9" s="2264">
        <v>44</v>
      </c>
      <c r="AJ9" s="2265">
        <v>178</v>
      </c>
      <c r="AK9" s="2266">
        <v>41</v>
      </c>
      <c r="AL9" s="2267">
        <v>24</v>
      </c>
      <c r="AM9" s="2267">
        <v>87</v>
      </c>
      <c r="AN9" s="2265">
        <f t="shared" si="0"/>
        <v>111</v>
      </c>
      <c r="AO9" s="2267">
        <v>16</v>
      </c>
      <c r="AP9" s="2267">
        <v>45</v>
      </c>
      <c r="AQ9" s="2265">
        <f t="shared" si="1"/>
        <v>61</v>
      </c>
      <c r="AR9" s="2267">
        <v>3</v>
      </c>
      <c r="AS9" s="2267">
        <v>21</v>
      </c>
      <c r="AT9" s="2265">
        <f t="shared" si="2"/>
        <v>24</v>
      </c>
      <c r="AU9" s="6042"/>
      <c r="AV9" s="6043"/>
      <c r="AW9" s="6043"/>
      <c r="AY9" s="4534"/>
    </row>
    <row r="10" spans="2:51" ht="15" customHeight="1" x14ac:dyDescent="0.3">
      <c r="B10" s="2263" t="s">
        <v>52</v>
      </c>
      <c r="C10" s="2264">
        <v>4</v>
      </c>
      <c r="D10" s="2265">
        <v>4</v>
      </c>
      <c r="E10" s="2264">
        <v>4</v>
      </c>
      <c r="F10" s="2265">
        <v>8</v>
      </c>
      <c r="G10" s="2264">
        <v>4</v>
      </c>
      <c r="H10" s="2265">
        <v>7</v>
      </c>
      <c r="I10" s="2264">
        <v>13</v>
      </c>
      <c r="J10" s="2265">
        <v>16</v>
      </c>
      <c r="K10" s="2264">
        <v>10</v>
      </c>
      <c r="L10" s="2265">
        <v>21</v>
      </c>
      <c r="M10" s="2264">
        <v>21</v>
      </c>
      <c r="N10" s="2265">
        <v>32</v>
      </c>
      <c r="O10" s="2264">
        <v>19</v>
      </c>
      <c r="P10" s="2265">
        <v>41</v>
      </c>
      <c r="Q10" s="2264">
        <v>18</v>
      </c>
      <c r="R10" s="2265">
        <v>42</v>
      </c>
      <c r="S10" s="2264">
        <v>30</v>
      </c>
      <c r="T10" s="2265">
        <v>58</v>
      </c>
      <c r="U10" s="2264">
        <v>39</v>
      </c>
      <c r="V10" s="2265">
        <v>75</v>
      </c>
      <c r="W10" s="2264">
        <v>58</v>
      </c>
      <c r="X10" s="2265">
        <v>112</v>
      </c>
      <c r="Y10" s="2264">
        <v>34</v>
      </c>
      <c r="Z10" s="2265">
        <v>116</v>
      </c>
      <c r="AA10" s="2264">
        <v>36</v>
      </c>
      <c r="AB10" s="2265">
        <v>95</v>
      </c>
      <c r="AC10" s="2264">
        <v>42</v>
      </c>
      <c r="AD10" s="2265">
        <v>109</v>
      </c>
      <c r="AE10" s="2264">
        <v>35</v>
      </c>
      <c r="AF10" s="2265">
        <v>110</v>
      </c>
      <c r="AG10" s="2264">
        <v>48</v>
      </c>
      <c r="AH10" s="2265">
        <v>117</v>
      </c>
      <c r="AI10" s="2264">
        <v>47</v>
      </c>
      <c r="AJ10" s="2265">
        <v>141</v>
      </c>
      <c r="AK10" s="2266">
        <v>46</v>
      </c>
      <c r="AL10" s="2267">
        <v>42</v>
      </c>
      <c r="AM10" s="2267">
        <v>96</v>
      </c>
      <c r="AN10" s="2265">
        <f t="shared" si="0"/>
        <v>138</v>
      </c>
      <c r="AO10" s="2267">
        <v>27</v>
      </c>
      <c r="AP10" s="2267">
        <v>58</v>
      </c>
      <c r="AQ10" s="2265">
        <f t="shared" si="1"/>
        <v>85</v>
      </c>
      <c r="AR10" s="2267">
        <v>4</v>
      </c>
      <c r="AS10" s="2267">
        <v>8</v>
      </c>
      <c r="AT10" s="2265">
        <f t="shared" si="2"/>
        <v>12</v>
      </c>
      <c r="AU10" s="6042"/>
      <c r="AV10" s="6043"/>
      <c r="AW10" s="6043"/>
      <c r="AY10" s="4534"/>
    </row>
    <row r="11" spans="2:51" ht="15" customHeight="1" x14ac:dyDescent="0.3">
      <c r="B11" s="2263" t="s">
        <v>53</v>
      </c>
      <c r="C11" s="2264">
        <v>4</v>
      </c>
      <c r="D11" s="2265">
        <v>4</v>
      </c>
      <c r="E11" s="2264">
        <v>19</v>
      </c>
      <c r="F11" s="2265">
        <v>21</v>
      </c>
      <c r="G11" s="2264">
        <v>19</v>
      </c>
      <c r="H11" s="2265">
        <v>32</v>
      </c>
      <c r="I11" s="2264">
        <v>38</v>
      </c>
      <c r="J11" s="2265">
        <v>54</v>
      </c>
      <c r="K11" s="2264">
        <v>33</v>
      </c>
      <c r="L11" s="2265">
        <v>71</v>
      </c>
      <c r="M11" s="2264">
        <v>46</v>
      </c>
      <c r="N11" s="2265">
        <v>96</v>
      </c>
      <c r="O11" s="2264">
        <v>100</v>
      </c>
      <c r="P11" s="2265">
        <v>163</v>
      </c>
      <c r="Q11" s="2264">
        <v>38</v>
      </c>
      <c r="R11" s="2265">
        <v>150</v>
      </c>
      <c r="S11" s="2264">
        <v>47</v>
      </c>
      <c r="T11" s="2265">
        <v>99</v>
      </c>
      <c r="U11" s="2264">
        <v>68</v>
      </c>
      <c r="V11" s="2265">
        <v>124</v>
      </c>
      <c r="W11" s="2264">
        <v>80</v>
      </c>
      <c r="X11" s="2265">
        <v>167</v>
      </c>
      <c r="Y11" s="2264">
        <v>42</v>
      </c>
      <c r="Z11" s="2265">
        <v>164</v>
      </c>
      <c r="AA11" s="2264">
        <v>42</v>
      </c>
      <c r="AB11" s="2265">
        <v>148</v>
      </c>
      <c r="AC11" s="2264">
        <v>54</v>
      </c>
      <c r="AD11" s="2265">
        <v>148</v>
      </c>
      <c r="AE11" s="2264">
        <v>48</v>
      </c>
      <c r="AF11" s="2265">
        <v>154</v>
      </c>
      <c r="AG11" s="2264">
        <v>47</v>
      </c>
      <c r="AH11" s="2265">
        <v>143</v>
      </c>
      <c r="AI11" s="2264">
        <v>68</v>
      </c>
      <c r="AJ11" s="2265">
        <v>117</v>
      </c>
      <c r="AK11" s="2266">
        <v>59</v>
      </c>
      <c r="AL11" s="2267">
        <v>78</v>
      </c>
      <c r="AM11" s="2267">
        <v>106</v>
      </c>
      <c r="AN11" s="2265">
        <f t="shared" si="0"/>
        <v>184</v>
      </c>
      <c r="AO11" s="2267">
        <v>51</v>
      </c>
      <c r="AP11" s="2267">
        <v>57</v>
      </c>
      <c r="AQ11" s="2265">
        <f t="shared" si="1"/>
        <v>108</v>
      </c>
      <c r="AR11" s="2267">
        <v>6</v>
      </c>
      <c r="AS11" s="2267">
        <v>9</v>
      </c>
      <c r="AT11" s="2265">
        <f t="shared" si="2"/>
        <v>15</v>
      </c>
      <c r="AU11" s="6042"/>
      <c r="AV11" s="6043"/>
      <c r="AW11" s="6043"/>
      <c r="AY11" s="4534"/>
    </row>
    <row r="12" spans="2:51" ht="15" customHeight="1" x14ac:dyDescent="0.3">
      <c r="B12" s="2263" t="s">
        <v>54</v>
      </c>
      <c r="C12" s="2264">
        <v>2</v>
      </c>
      <c r="D12" s="2265">
        <v>2</v>
      </c>
      <c r="E12" s="2264">
        <v>7</v>
      </c>
      <c r="F12" s="2265">
        <v>8</v>
      </c>
      <c r="G12" s="2264">
        <v>9</v>
      </c>
      <c r="H12" s="2265">
        <v>14</v>
      </c>
      <c r="I12" s="2264">
        <v>15</v>
      </c>
      <c r="J12" s="2265">
        <v>23</v>
      </c>
      <c r="K12" s="2264">
        <v>17</v>
      </c>
      <c r="L12" s="2265">
        <v>34</v>
      </c>
      <c r="M12" s="2264">
        <v>32</v>
      </c>
      <c r="N12" s="2265">
        <v>62</v>
      </c>
      <c r="O12" s="2264">
        <v>63</v>
      </c>
      <c r="P12" s="2265">
        <v>112</v>
      </c>
      <c r="Q12" s="2264">
        <v>24</v>
      </c>
      <c r="R12" s="2265">
        <v>104</v>
      </c>
      <c r="S12" s="2264">
        <v>31</v>
      </c>
      <c r="T12" s="2265">
        <v>74</v>
      </c>
      <c r="U12" s="2264">
        <v>49</v>
      </c>
      <c r="V12" s="2265">
        <v>87</v>
      </c>
      <c r="W12" s="2264">
        <v>53</v>
      </c>
      <c r="X12" s="2265">
        <v>110</v>
      </c>
      <c r="Y12" s="2264">
        <v>34</v>
      </c>
      <c r="Z12" s="2265">
        <v>115</v>
      </c>
      <c r="AA12" s="2264">
        <v>40</v>
      </c>
      <c r="AB12" s="2265">
        <v>116</v>
      </c>
      <c r="AC12" s="2264">
        <v>44</v>
      </c>
      <c r="AD12" s="2265">
        <v>122</v>
      </c>
      <c r="AE12" s="2264">
        <v>36</v>
      </c>
      <c r="AF12" s="2265">
        <v>115</v>
      </c>
      <c r="AG12" s="2264">
        <v>46</v>
      </c>
      <c r="AH12" s="2265">
        <v>117</v>
      </c>
      <c r="AI12" s="2264">
        <v>52</v>
      </c>
      <c r="AJ12" s="2265">
        <v>173</v>
      </c>
      <c r="AK12" s="2266">
        <v>64</v>
      </c>
      <c r="AL12" s="2267">
        <v>12</v>
      </c>
      <c r="AM12" s="2267">
        <v>145</v>
      </c>
      <c r="AN12" s="2265">
        <f t="shared" si="0"/>
        <v>157</v>
      </c>
      <c r="AO12" s="2267">
        <v>9</v>
      </c>
      <c r="AP12" s="2267">
        <v>83</v>
      </c>
      <c r="AQ12" s="2265">
        <f t="shared" si="1"/>
        <v>92</v>
      </c>
      <c r="AR12" s="2267">
        <v>5</v>
      </c>
      <c r="AS12" s="2267">
        <v>20</v>
      </c>
      <c r="AT12" s="2265">
        <f t="shared" si="2"/>
        <v>25</v>
      </c>
      <c r="AU12" s="6042"/>
      <c r="AV12" s="6043"/>
      <c r="AW12" s="6043"/>
      <c r="AY12" s="4534"/>
    </row>
    <row r="13" spans="2:51" ht="15" customHeight="1" x14ac:dyDescent="0.3">
      <c r="B13" s="2263" t="s">
        <v>55</v>
      </c>
      <c r="C13" s="2264">
        <v>1</v>
      </c>
      <c r="D13" s="2265">
        <v>1</v>
      </c>
      <c r="E13" s="2264">
        <v>0</v>
      </c>
      <c r="F13" s="2265">
        <v>1</v>
      </c>
      <c r="G13" s="2264">
        <v>2</v>
      </c>
      <c r="H13" s="2265">
        <v>2</v>
      </c>
      <c r="I13" s="2264">
        <v>2</v>
      </c>
      <c r="J13" s="2265">
        <v>3</v>
      </c>
      <c r="K13" s="2264">
        <v>7</v>
      </c>
      <c r="L13" s="2265">
        <v>10</v>
      </c>
      <c r="M13" s="2264">
        <v>11</v>
      </c>
      <c r="N13" s="2265">
        <v>20</v>
      </c>
      <c r="O13" s="2264">
        <v>12</v>
      </c>
      <c r="P13" s="2265">
        <v>26</v>
      </c>
      <c r="Q13" s="2264">
        <v>7</v>
      </c>
      <c r="R13" s="2265">
        <v>23</v>
      </c>
      <c r="S13" s="2264">
        <v>13</v>
      </c>
      <c r="T13" s="2265">
        <v>23</v>
      </c>
      <c r="U13" s="2264">
        <v>23</v>
      </c>
      <c r="V13" s="2265">
        <v>35</v>
      </c>
      <c r="W13" s="2264">
        <v>36</v>
      </c>
      <c r="X13" s="2265">
        <v>63</v>
      </c>
      <c r="Y13" s="2264">
        <v>32</v>
      </c>
      <c r="Z13" s="2265">
        <v>76</v>
      </c>
      <c r="AA13" s="2264">
        <v>52</v>
      </c>
      <c r="AB13" s="2265">
        <v>95</v>
      </c>
      <c r="AC13" s="2264">
        <v>57</v>
      </c>
      <c r="AD13" s="2265">
        <v>125</v>
      </c>
      <c r="AE13" s="2264">
        <v>44</v>
      </c>
      <c r="AF13" s="2265">
        <v>127</v>
      </c>
      <c r="AG13" s="2264">
        <v>46</v>
      </c>
      <c r="AH13" s="2265">
        <v>124</v>
      </c>
      <c r="AI13" s="2264">
        <v>33</v>
      </c>
      <c r="AJ13" s="2265">
        <v>120</v>
      </c>
      <c r="AK13" s="2266">
        <v>30</v>
      </c>
      <c r="AL13" s="2267">
        <v>27</v>
      </c>
      <c r="AM13" s="2267">
        <v>61</v>
      </c>
      <c r="AN13" s="2265">
        <f t="shared" si="0"/>
        <v>88</v>
      </c>
      <c r="AO13" s="2267">
        <v>15</v>
      </c>
      <c r="AP13" s="2267">
        <v>32</v>
      </c>
      <c r="AQ13" s="2265">
        <f t="shared" si="1"/>
        <v>47</v>
      </c>
      <c r="AR13" s="2267">
        <v>10</v>
      </c>
      <c r="AS13" s="2267">
        <v>17</v>
      </c>
      <c r="AT13" s="2265">
        <f t="shared" si="2"/>
        <v>27</v>
      </c>
      <c r="AU13" s="6042"/>
      <c r="AV13" s="6043"/>
      <c r="AW13" s="6043"/>
      <c r="AY13" s="4534"/>
    </row>
    <row r="14" spans="2:51" ht="15" customHeight="1" x14ac:dyDescent="0.3">
      <c r="B14" s="2263" t="s">
        <v>56</v>
      </c>
      <c r="C14" s="2264">
        <v>3</v>
      </c>
      <c r="D14" s="2265">
        <v>2</v>
      </c>
      <c r="E14" s="2264">
        <v>17</v>
      </c>
      <c r="F14" s="2265">
        <v>17</v>
      </c>
      <c r="G14" s="2264">
        <v>19</v>
      </c>
      <c r="H14" s="2265">
        <v>35</v>
      </c>
      <c r="I14" s="2264">
        <v>28</v>
      </c>
      <c r="J14" s="2265">
        <v>49</v>
      </c>
      <c r="K14" s="2264">
        <v>15</v>
      </c>
      <c r="L14" s="2265">
        <v>47</v>
      </c>
      <c r="M14" s="2264">
        <v>43</v>
      </c>
      <c r="N14" s="2265">
        <v>73</v>
      </c>
      <c r="O14" s="2264">
        <v>55</v>
      </c>
      <c r="P14" s="2265">
        <v>102</v>
      </c>
      <c r="Q14" s="2264">
        <v>39</v>
      </c>
      <c r="R14" s="2265">
        <v>101</v>
      </c>
      <c r="S14" s="2264">
        <v>55</v>
      </c>
      <c r="T14" s="2265">
        <v>107</v>
      </c>
      <c r="U14" s="2264">
        <v>61</v>
      </c>
      <c r="V14" s="2265">
        <v>129</v>
      </c>
      <c r="W14" s="2264">
        <v>58</v>
      </c>
      <c r="X14" s="2265">
        <v>152</v>
      </c>
      <c r="Y14" s="2264">
        <v>56</v>
      </c>
      <c r="Z14" s="2265">
        <v>165</v>
      </c>
      <c r="AA14" s="2264">
        <v>41</v>
      </c>
      <c r="AB14" s="2265">
        <v>143</v>
      </c>
      <c r="AC14" s="2264">
        <v>58</v>
      </c>
      <c r="AD14" s="2265">
        <v>138</v>
      </c>
      <c r="AE14" s="2264">
        <v>37</v>
      </c>
      <c r="AF14" s="2265">
        <v>127</v>
      </c>
      <c r="AG14" s="2264">
        <v>52</v>
      </c>
      <c r="AH14" s="2265">
        <v>143</v>
      </c>
      <c r="AI14" s="2264">
        <v>70</v>
      </c>
      <c r="AJ14" s="2265">
        <v>181</v>
      </c>
      <c r="AK14" s="2266">
        <v>55</v>
      </c>
      <c r="AL14" s="2267">
        <v>102</v>
      </c>
      <c r="AM14" s="2267">
        <v>71</v>
      </c>
      <c r="AN14" s="2265">
        <f t="shared" si="0"/>
        <v>173</v>
      </c>
      <c r="AO14" s="2267">
        <v>69</v>
      </c>
      <c r="AP14" s="2267">
        <v>41</v>
      </c>
      <c r="AQ14" s="2265">
        <f t="shared" si="1"/>
        <v>110</v>
      </c>
      <c r="AR14" s="2267">
        <v>14</v>
      </c>
      <c r="AS14" s="2267">
        <v>7</v>
      </c>
      <c r="AT14" s="2265">
        <f t="shared" si="2"/>
        <v>21</v>
      </c>
      <c r="AU14" s="6042"/>
      <c r="AV14" s="6043"/>
      <c r="AW14" s="6043"/>
      <c r="AY14" s="4534"/>
    </row>
    <row r="15" spans="2:51" ht="15" customHeight="1" x14ac:dyDescent="0.3">
      <c r="B15" s="2268" t="s">
        <v>59</v>
      </c>
      <c r="C15" s="2269">
        <f>SUM(C5:C14)</f>
        <v>23</v>
      </c>
      <c r="D15" s="2270">
        <f t="shared" ref="D15:AT15" si="3">SUM(D5:D14)</f>
        <v>22</v>
      </c>
      <c r="E15" s="2269">
        <f t="shared" si="3"/>
        <v>86</v>
      </c>
      <c r="F15" s="2270">
        <f t="shared" si="3"/>
        <v>95</v>
      </c>
      <c r="G15" s="2269">
        <f t="shared" si="3"/>
        <v>110</v>
      </c>
      <c r="H15" s="2270">
        <f t="shared" si="3"/>
        <v>178</v>
      </c>
      <c r="I15" s="2269">
        <f t="shared" si="3"/>
        <v>197</v>
      </c>
      <c r="J15" s="2270">
        <f t="shared" si="3"/>
        <v>292</v>
      </c>
      <c r="K15" s="2269">
        <f t="shared" si="3"/>
        <v>190</v>
      </c>
      <c r="L15" s="2270">
        <f t="shared" si="3"/>
        <v>388</v>
      </c>
      <c r="M15" s="2269">
        <f t="shared" si="3"/>
        <v>341</v>
      </c>
      <c r="N15" s="2270">
        <f t="shared" si="3"/>
        <v>612</v>
      </c>
      <c r="O15" s="2269">
        <f t="shared" si="3"/>
        <v>568</v>
      </c>
      <c r="P15" s="2270">
        <f t="shared" si="3"/>
        <v>993</v>
      </c>
      <c r="Q15" s="2269">
        <f t="shared" si="3"/>
        <v>271</v>
      </c>
      <c r="R15" s="2270">
        <f t="shared" si="3"/>
        <v>918</v>
      </c>
      <c r="S15" s="2269">
        <f t="shared" si="3"/>
        <v>434</v>
      </c>
      <c r="T15" s="2270">
        <f t="shared" si="3"/>
        <v>853</v>
      </c>
      <c r="U15" s="2269">
        <f t="shared" si="3"/>
        <v>629</v>
      </c>
      <c r="V15" s="2270">
        <f t="shared" si="3"/>
        <v>1116</v>
      </c>
      <c r="W15" s="2269">
        <f t="shared" si="3"/>
        <v>636</v>
      </c>
      <c r="X15" s="2270">
        <f t="shared" si="3"/>
        <v>1433</v>
      </c>
      <c r="Y15" s="2269">
        <f t="shared" si="3"/>
        <v>412</v>
      </c>
      <c r="Z15" s="2270">
        <f t="shared" si="3"/>
        <v>1450</v>
      </c>
      <c r="AA15" s="2269">
        <f t="shared" si="3"/>
        <v>450</v>
      </c>
      <c r="AB15" s="2270">
        <f t="shared" si="3"/>
        <v>1318</v>
      </c>
      <c r="AC15" s="2269">
        <f t="shared" si="3"/>
        <v>500</v>
      </c>
      <c r="AD15" s="2270">
        <f t="shared" si="3"/>
        <v>1376</v>
      </c>
      <c r="AE15" s="2269">
        <f t="shared" si="3"/>
        <v>397</v>
      </c>
      <c r="AF15" s="2270">
        <f t="shared" si="3"/>
        <v>1295</v>
      </c>
      <c r="AG15" s="2269">
        <f t="shared" si="3"/>
        <v>492</v>
      </c>
      <c r="AH15" s="2270">
        <f t="shared" si="3"/>
        <v>1332</v>
      </c>
      <c r="AI15" s="2269">
        <f t="shared" si="3"/>
        <v>503</v>
      </c>
      <c r="AJ15" s="2270">
        <f t="shared" si="3"/>
        <v>1451</v>
      </c>
      <c r="AK15" s="2271">
        <f t="shared" si="3"/>
        <v>492</v>
      </c>
      <c r="AL15" s="2272">
        <f t="shared" si="3"/>
        <v>469</v>
      </c>
      <c r="AM15" s="2273">
        <f t="shared" si="3"/>
        <v>940</v>
      </c>
      <c r="AN15" s="2270">
        <f t="shared" si="3"/>
        <v>1409</v>
      </c>
      <c r="AO15" s="2272">
        <f t="shared" si="3"/>
        <v>293</v>
      </c>
      <c r="AP15" s="2273">
        <f t="shared" si="3"/>
        <v>523</v>
      </c>
      <c r="AQ15" s="2270">
        <f t="shared" si="3"/>
        <v>816</v>
      </c>
      <c r="AR15" s="2272">
        <f t="shared" si="3"/>
        <v>72</v>
      </c>
      <c r="AS15" s="2273">
        <f t="shared" si="3"/>
        <v>121</v>
      </c>
      <c r="AT15" s="2270">
        <f t="shared" si="3"/>
        <v>193</v>
      </c>
      <c r="AV15" s="4536"/>
      <c r="AW15" s="4536"/>
      <c r="AX15" s="4536"/>
    </row>
    <row r="16" spans="2:51" ht="15" customHeight="1" x14ac:dyDescent="0.25">
      <c r="B16" s="2263" t="s">
        <v>60</v>
      </c>
      <c r="C16" s="2264">
        <v>7</v>
      </c>
      <c r="D16" s="2265">
        <v>7</v>
      </c>
      <c r="E16" s="2264">
        <v>31</v>
      </c>
      <c r="F16" s="2265">
        <v>36</v>
      </c>
      <c r="G16" s="2264">
        <v>29</v>
      </c>
      <c r="H16" s="2265">
        <v>64</v>
      </c>
      <c r="I16" s="2264">
        <v>20</v>
      </c>
      <c r="J16" s="2265">
        <v>77</v>
      </c>
      <c r="K16" s="2264">
        <v>38</v>
      </c>
      <c r="L16" s="2265">
        <v>100</v>
      </c>
      <c r="M16" s="2264">
        <v>97</v>
      </c>
      <c r="N16" s="2265">
        <v>161</v>
      </c>
      <c r="O16" s="2264">
        <v>65</v>
      </c>
      <c r="P16" s="2265">
        <v>201</v>
      </c>
      <c r="Q16" s="2264">
        <v>82</v>
      </c>
      <c r="R16" s="2265">
        <v>231</v>
      </c>
      <c r="S16" s="2264">
        <v>132</v>
      </c>
      <c r="T16" s="2265">
        <v>280</v>
      </c>
      <c r="U16" s="2264">
        <v>132</v>
      </c>
      <c r="V16" s="2265">
        <v>335</v>
      </c>
      <c r="W16" s="2264">
        <v>119</v>
      </c>
      <c r="X16" s="2265">
        <v>384</v>
      </c>
      <c r="Y16" s="2264">
        <v>153</v>
      </c>
      <c r="Z16" s="2265">
        <v>443</v>
      </c>
      <c r="AA16" s="2264">
        <v>127</v>
      </c>
      <c r="AB16" s="2265">
        <v>438</v>
      </c>
      <c r="AC16" s="2264">
        <v>141</v>
      </c>
      <c r="AD16" s="2265">
        <v>458</v>
      </c>
      <c r="AE16" s="2264">
        <v>143</v>
      </c>
      <c r="AF16" s="2265">
        <v>474</v>
      </c>
      <c r="AG16" s="2264">
        <v>153</v>
      </c>
      <c r="AH16" s="2265">
        <v>515</v>
      </c>
      <c r="AI16" s="2264">
        <v>156</v>
      </c>
      <c r="AJ16" s="2265">
        <v>534</v>
      </c>
      <c r="AK16" s="2266">
        <v>123</v>
      </c>
      <c r="AL16" s="2267">
        <v>332</v>
      </c>
      <c r="AM16" s="2267">
        <v>161</v>
      </c>
      <c r="AN16" s="2265">
        <f t="shared" si="0"/>
        <v>493</v>
      </c>
      <c r="AO16" s="2267">
        <v>224</v>
      </c>
      <c r="AP16" s="2267">
        <v>90</v>
      </c>
      <c r="AQ16" s="2265">
        <f>SUM(AO16:AP16)</f>
        <v>314</v>
      </c>
      <c r="AR16" s="2267">
        <v>23</v>
      </c>
      <c r="AS16" s="2267">
        <v>8</v>
      </c>
      <c r="AT16" s="2265">
        <f>SUM(AR16:AS16)</f>
        <v>31</v>
      </c>
    </row>
    <row r="17" spans="2:46" ht="15" customHeight="1" x14ac:dyDescent="0.25">
      <c r="B17" s="2263" t="s">
        <v>61</v>
      </c>
      <c r="C17" s="2264">
        <v>5</v>
      </c>
      <c r="D17" s="2265">
        <v>5</v>
      </c>
      <c r="E17" s="2264">
        <v>43</v>
      </c>
      <c r="F17" s="2265">
        <v>47</v>
      </c>
      <c r="G17" s="2264">
        <v>42</v>
      </c>
      <c r="H17" s="2265">
        <v>85</v>
      </c>
      <c r="I17" s="2264">
        <v>49</v>
      </c>
      <c r="J17" s="2265">
        <v>122</v>
      </c>
      <c r="K17" s="2264">
        <v>80</v>
      </c>
      <c r="L17" s="2265">
        <v>181</v>
      </c>
      <c r="M17" s="2264">
        <v>122</v>
      </c>
      <c r="N17" s="2265">
        <v>257</v>
      </c>
      <c r="O17" s="2264">
        <v>92</v>
      </c>
      <c r="P17" s="2265">
        <v>289</v>
      </c>
      <c r="Q17" s="2264">
        <v>117</v>
      </c>
      <c r="R17" s="2265">
        <v>301</v>
      </c>
      <c r="S17" s="2264">
        <v>175</v>
      </c>
      <c r="T17" s="2265">
        <v>395</v>
      </c>
      <c r="U17" s="2264">
        <v>205</v>
      </c>
      <c r="V17" s="2265">
        <v>498</v>
      </c>
      <c r="W17" s="2264">
        <v>224</v>
      </c>
      <c r="X17" s="2265">
        <v>613</v>
      </c>
      <c r="Y17" s="2264">
        <v>207</v>
      </c>
      <c r="Z17" s="2265">
        <v>707</v>
      </c>
      <c r="AA17" s="2264">
        <v>195</v>
      </c>
      <c r="AB17" s="2265">
        <v>718</v>
      </c>
      <c r="AC17" s="2264">
        <v>252</v>
      </c>
      <c r="AD17" s="2265">
        <v>760</v>
      </c>
      <c r="AE17" s="2264">
        <v>208</v>
      </c>
      <c r="AF17" s="2265">
        <v>772</v>
      </c>
      <c r="AG17" s="2264">
        <v>224</v>
      </c>
      <c r="AH17" s="2265">
        <v>807</v>
      </c>
      <c r="AI17" s="2264">
        <v>220</v>
      </c>
      <c r="AJ17" s="2265">
        <v>819</v>
      </c>
      <c r="AK17" s="2266">
        <v>175</v>
      </c>
      <c r="AL17" s="2267">
        <v>497</v>
      </c>
      <c r="AM17" s="2267">
        <v>254</v>
      </c>
      <c r="AN17" s="2265">
        <f t="shared" si="0"/>
        <v>751</v>
      </c>
      <c r="AO17" s="2267">
        <v>332</v>
      </c>
      <c r="AP17" s="2267">
        <v>160</v>
      </c>
      <c r="AQ17" s="2265">
        <f>SUM(AO17:AP17)</f>
        <v>492</v>
      </c>
      <c r="AR17" s="2267">
        <v>32</v>
      </c>
      <c r="AS17" s="2267">
        <v>21</v>
      </c>
      <c r="AT17" s="2265">
        <f>SUM(AR17:AS17)</f>
        <v>53</v>
      </c>
    </row>
    <row r="18" spans="2:46" ht="15" customHeight="1" x14ac:dyDescent="0.25">
      <c r="B18" s="2263" t="s">
        <v>62</v>
      </c>
      <c r="C18" s="2264">
        <v>3</v>
      </c>
      <c r="D18" s="2265">
        <v>3</v>
      </c>
      <c r="E18" s="2264">
        <v>22</v>
      </c>
      <c r="F18" s="2265">
        <v>23</v>
      </c>
      <c r="G18" s="2264">
        <v>28</v>
      </c>
      <c r="H18" s="2265">
        <v>43</v>
      </c>
      <c r="I18" s="2264">
        <v>24</v>
      </c>
      <c r="J18" s="2265">
        <v>59</v>
      </c>
      <c r="K18" s="2264">
        <v>20</v>
      </c>
      <c r="L18" s="2265">
        <v>67</v>
      </c>
      <c r="M18" s="2264">
        <v>37</v>
      </c>
      <c r="N18" s="2265">
        <v>75</v>
      </c>
      <c r="O18" s="2264">
        <v>49</v>
      </c>
      <c r="P18" s="2265">
        <v>108</v>
      </c>
      <c r="Q18" s="2264">
        <v>44</v>
      </c>
      <c r="R18" s="2265">
        <v>117</v>
      </c>
      <c r="S18" s="2264">
        <v>54</v>
      </c>
      <c r="T18" s="2265">
        <v>127</v>
      </c>
      <c r="U18" s="2264">
        <v>71</v>
      </c>
      <c r="V18" s="2265">
        <v>157</v>
      </c>
      <c r="W18" s="2264">
        <v>75</v>
      </c>
      <c r="X18" s="2265">
        <v>184</v>
      </c>
      <c r="Y18" s="2264">
        <v>91</v>
      </c>
      <c r="Z18" s="2265">
        <v>224</v>
      </c>
      <c r="AA18" s="2264">
        <v>93</v>
      </c>
      <c r="AB18" s="2265">
        <v>241</v>
      </c>
      <c r="AC18" s="2264">
        <v>88</v>
      </c>
      <c r="AD18" s="2265">
        <v>259</v>
      </c>
      <c r="AE18" s="2264">
        <v>78</v>
      </c>
      <c r="AF18" s="2265">
        <v>250</v>
      </c>
      <c r="AG18" s="2264">
        <v>91</v>
      </c>
      <c r="AH18" s="2265">
        <v>258</v>
      </c>
      <c r="AI18" s="2264">
        <v>125</v>
      </c>
      <c r="AJ18" s="2265">
        <v>304</v>
      </c>
      <c r="AK18" s="2266">
        <v>102</v>
      </c>
      <c r="AL18" s="2267">
        <v>151</v>
      </c>
      <c r="AM18" s="2267">
        <v>146</v>
      </c>
      <c r="AN18" s="2265">
        <f t="shared" si="0"/>
        <v>297</v>
      </c>
      <c r="AO18" s="2267">
        <v>95</v>
      </c>
      <c r="AP18" s="2267">
        <v>89</v>
      </c>
      <c r="AQ18" s="2265">
        <f>SUM(AO18:AP18)</f>
        <v>184</v>
      </c>
      <c r="AR18" s="2267">
        <v>23</v>
      </c>
      <c r="AS18" s="2267">
        <v>7</v>
      </c>
      <c r="AT18" s="2265">
        <f>SUM(AR18:AS18)</f>
        <v>30</v>
      </c>
    </row>
    <row r="19" spans="2:46" ht="15" customHeight="1" x14ac:dyDescent="0.25">
      <c r="B19" s="2263" t="s">
        <v>63</v>
      </c>
      <c r="C19" s="2264">
        <v>5</v>
      </c>
      <c r="D19" s="2265">
        <v>5</v>
      </c>
      <c r="E19" s="2264">
        <v>20</v>
      </c>
      <c r="F19" s="2265">
        <v>25</v>
      </c>
      <c r="G19" s="2264">
        <v>31</v>
      </c>
      <c r="H19" s="2265">
        <v>51</v>
      </c>
      <c r="I19" s="2264">
        <v>14</v>
      </c>
      <c r="J19" s="2265">
        <v>63</v>
      </c>
      <c r="K19" s="2264">
        <v>40</v>
      </c>
      <c r="L19" s="2265">
        <v>88</v>
      </c>
      <c r="M19" s="2264">
        <v>68</v>
      </c>
      <c r="N19" s="2265">
        <v>138</v>
      </c>
      <c r="O19" s="2264">
        <v>45</v>
      </c>
      <c r="P19" s="2265">
        <v>153</v>
      </c>
      <c r="Q19" s="2264">
        <v>50</v>
      </c>
      <c r="R19" s="2265">
        <v>154</v>
      </c>
      <c r="S19" s="2264">
        <v>102</v>
      </c>
      <c r="T19" s="2265">
        <v>187</v>
      </c>
      <c r="U19" s="2264">
        <v>95</v>
      </c>
      <c r="V19" s="2265">
        <v>224</v>
      </c>
      <c r="W19" s="2264">
        <v>94</v>
      </c>
      <c r="X19" s="2265">
        <v>274</v>
      </c>
      <c r="Y19" s="2264">
        <v>93</v>
      </c>
      <c r="Z19" s="2265">
        <v>298</v>
      </c>
      <c r="AA19" s="2264">
        <v>118</v>
      </c>
      <c r="AB19" s="2265">
        <v>330</v>
      </c>
      <c r="AC19" s="2264">
        <v>127</v>
      </c>
      <c r="AD19" s="2265">
        <v>375</v>
      </c>
      <c r="AE19" s="2264">
        <v>119</v>
      </c>
      <c r="AF19" s="2265">
        <v>395</v>
      </c>
      <c r="AG19" s="2264">
        <v>105</v>
      </c>
      <c r="AH19" s="2265">
        <v>369</v>
      </c>
      <c r="AI19" s="2264">
        <v>100</v>
      </c>
      <c r="AJ19" s="2265">
        <v>366</v>
      </c>
      <c r="AK19" s="2266">
        <v>75</v>
      </c>
      <c r="AL19" s="2267">
        <v>235</v>
      </c>
      <c r="AM19" s="2267">
        <v>93</v>
      </c>
      <c r="AN19" s="2265">
        <f t="shared" si="0"/>
        <v>328</v>
      </c>
      <c r="AO19" s="2267">
        <v>152</v>
      </c>
      <c r="AP19" s="2267">
        <v>53</v>
      </c>
      <c r="AQ19" s="2265">
        <f>SUM(AO19:AP19)</f>
        <v>205</v>
      </c>
      <c r="AR19" s="2267">
        <v>11</v>
      </c>
      <c r="AS19" s="2267">
        <v>6</v>
      </c>
      <c r="AT19" s="2265">
        <f>SUM(AR19:AS19)</f>
        <v>17</v>
      </c>
    </row>
    <row r="20" spans="2:46" ht="15" customHeight="1" x14ac:dyDescent="0.25">
      <c r="B20" s="2268" t="s">
        <v>64</v>
      </c>
      <c r="C20" s="2269">
        <f>SUM(C16:C19)</f>
        <v>20</v>
      </c>
      <c r="D20" s="2270">
        <f t="shared" ref="D20:AT20" si="4">SUM(D16:D19)</f>
        <v>20</v>
      </c>
      <c r="E20" s="2269">
        <f t="shared" si="4"/>
        <v>116</v>
      </c>
      <c r="F20" s="2270">
        <f t="shared" si="4"/>
        <v>131</v>
      </c>
      <c r="G20" s="2269">
        <f t="shared" si="4"/>
        <v>130</v>
      </c>
      <c r="H20" s="2270">
        <f t="shared" si="4"/>
        <v>243</v>
      </c>
      <c r="I20" s="2269">
        <f t="shared" si="4"/>
        <v>107</v>
      </c>
      <c r="J20" s="2270">
        <f t="shared" si="4"/>
        <v>321</v>
      </c>
      <c r="K20" s="2269">
        <f t="shared" si="4"/>
        <v>178</v>
      </c>
      <c r="L20" s="2270">
        <f t="shared" si="4"/>
        <v>436</v>
      </c>
      <c r="M20" s="2269">
        <f t="shared" si="4"/>
        <v>324</v>
      </c>
      <c r="N20" s="2270">
        <f t="shared" si="4"/>
        <v>631</v>
      </c>
      <c r="O20" s="2269">
        <f t="shared" si="4"/>
        <v>251</v>
      </c>
      <c r="P20" s="2270">
        <f t="shared" si="4"/>
        <v>751</v>
      </c>
      <c r="Q20" s="2269">
        <f t="shared" si="4"/>
        <v>293</v>
      </c>
      <c r="R20" s="2270">
        <f t="shared" si="4"/>
        <v>803</v>
      </c>
      <c r="S20" s="2269">
        <f t="shared" si="4"/>
        <v>463</v>
      </c>
      <c r="T20" s="2270">
        <f t="shared" si="4"/>
        <v>989</v>
      </c>
      <c r="U20" s="2269">
        <f t="shared" si="4"/>
        <v>503</v>
      </c>
      <c r="V20" s="2270">
        <f t="shared" si="4"/>
        <v>1214</v>
      </c>
      <c r="W20" s="2269">
        <f t="shared" si="4"/>
        <v>512</v>
      </c>
      <c r="X20" s="2270">
        <f t="shared" si="4"/>
        <v>1455</v>
      </c>
      <c r="Y20" s="2269">
        <f t="shared" si="4"/>
        <v>544</v>
      </c>
      <c r="Z20" s="2270">
        <f t="shared" si="4"/>
        <v>1672</v>
      </c>
      <c r="AA20" s="2269">
        <f t="shared" si="4"/>
        <v>533</v>
      </c>
      <c r="AB20" s="2270">
        <f t="shared" si="4"/>
        <v>1727</v>
      </c>
      <c r="AC20" s="2269">
        <f t="shared" si="4"/>
        <v>608</v>
      </c>
      <c r="AD20" s="2270">
        <f t="shared" si="4"/>
        <v>1852</v>
      </c>
      <c r="AE20" s="2269">
        <f t="shared" si="4"/>
        <v>548</v>
      </c>
      <c r="AF20" s="2270">
        <f t="shared" si="4"/>
        <v>1891</v>
      </c>
      <c r="AG20" s="2269">
        <f t="shared" si="4"/>
        <v>573</v>
      </c>
      <c r="AH20" s="2270">
        <f t="shared" si="4"/>
        <v>1949</v>
      </c>
      <c r="AI20" s="2269">
        <f t="shared" si="4"/>
        <v>601</v>
      </c>
      <c r="AJ20" s="2270">
        <f t="shared" si="4"/>
        <v>2023</v>
      </c>
      <c r="AK20" s="2271">
        <f t="shared" si="4"/>
        <v>475</v>
      </c>
      <c r="AL20" s="2272">
        <f t="shared" si="4"/>
        <v>1215</v>
      </c>
      <c r="AM20" s="2273">
        <f t="shared" si="4"/>
        <v>654</v>
      </c>
      <c r="AN20" s="2270">
        <f t="shared" si="4"/>
        <v>1869</v>
      </c>
      <c r="AO20" s="2272">
        <f t="shared" si="4"/>
        <v>803</v>
      </c>
      <c r="AP20" s="2273">
        <f t="shared" si="4"/>
        <v>392</v>
      </c>
      <c r="AQ20" s="2270">
        <f t="shared" si="4"/>
        <v>1195</v>
      </c>
      <c r="AR20" s="2272">
        <f t="shared" si="4"/>
        <v>89</v>
      </c>
      <c r="AS20" s="2273">
        <f t="shared" si="4"/>
        <v>42</v>
      </c>
      <c r="AT20" s="2270">
        <f t="shared" si="4"/>
        <v>131</v>
      </c>
    </row>
    <row r="21" spans="2:46" ht="15" customHeight="1" x14ac:dyDescent="0.25">
      <c r="B21" s="2263" t="s">
        <v>65</v>
      </c>
      <c r="C21" s="2264">
        <v>2</v>
      </c>
      <c r="D21" s="2265">
        <v>2</v>
      </c>
      <c r="E21" s="2264">
        <v>28</v>
      </c>
      <c r="F21" s="2265">
        <v>30</v>
      </c>
      <c r="G21" s="2264">
        <v>24</v>
      </c>
      <c r="H21" s="2265">
        <v>48</v>
      </c>
      <c r="I21" s="2264">
        <v>42</v>
      </c>
      <c r="J21" s="2265">
        <v>79</v>
      </c>
      <c r="K21" s="2264">
        <v>41</v>
      </c>
      <c r="L21" s="2265">
        <v>100</v>
      </c>
      <c r="M21" s="2264">
        <v>63</v>
      </c>
      <c r="N21" s="2265">
        <v>142</v>
      </c>
      <c r="O21" s="2264">
        <v>86</v>
      </c>
      <c r="P21" s="2265">
        <v>198</v>
      </c>
      <c r="Q21" s="2264">
        <v>80</v>
      </c>
      <c r="R21" s="2265">
        <v>212</v>
      </c>
      <c r="S21" s="2264">
        <v>79</v>
      </c>
      <c r="T21" s="2265">
        <v>216</v>
      </c>
      <c r="U21" s="2264">
        <v>98</v>
      </c>
      <c r="V21" s="2265">
        <v>253</v>
      </c>
      <c r="W21" s="2264">
        <v>73</v>
      </c>
      <c r="X21" s="2265">
        <v>259</v>
      </c>
      <c r="Y21" s="2264">
        <v>67</v>
      </c>
      <c r="Z21" s="2265">
        <v>241</v>
      </c>
      <c r="AA21" s="2264">
        <v>81</v>
      </c>
      <c r="AB21" s="2265">
        <v>248</v>
      </c>
      <c r="AC21" s="2264">
        <v>94</v>
      </c>
      <c r="AD21" s="2265">
        <v>262</v>
      </c>
      <c r="AE21" s="2264">
        <v>87</v>
      </c>
      <c r="AF21" s="2265">
        <v>269</v>
      </c>
      <c r="AG21" s="2264">
        <v>73</v>
      </c>
      <c r="AH21" s="2265">
        <v>260</v>
      </c>
      <c r="AI21" s="2264">
        <v>118</v>
      </c>
      <c r="AJ21" s="2265">
        <v>311</v>
      </c>
      <c r="AK21" s="2266">
        <v>148</v>
      </c>
      <c r="AL21" s="2267">
        <v>173</v>
      </c>
      <c r="AM21" s="2267">
        <v>189</v>
      </c>
      <c r="AN21" s="2265">
        <f t="shared" si="0"/>
        <v>362</v>
      </c>
      <c r="AO21" s="2267">
        <v>129</v>
      </c>
      <c r="AP21" s="2267">
        <v>121</v>
      </c>
      <c r="AQ21" s="2265">
        <f>SUM(AO21:AP21)</f>
        <v>250</v>
      </c>
      <c r="AR21" s="2267">
        <v>8</v>
      </c>
      <c r="AS21" s="2267">
        <v>15</v>
      </c>
      <c r="AT21" s="2265">
        <f>SUM(AR21:AS21)</f>
        <v>23</v>
      </c>
    </row>
    <row r="22" spans="2:46" ht="15" customHeight="1" x14ac:dyDescent="0.25">
      <c r="B22" s="2263" t="s">
        <v>619</v>
      </c>
      <c r="C22" s="2264">
        <v>6</v>
      </c>
      <c r="D22" s="2265">
        <v>5</v>
      </c>
      <c r="E22" s="2264">
        <v>24</v>
      </c>
      <c r="F22" s="2265">
        <v>30</v>
      </c>
      <c r="G22" s="2264">
        <v>30</v>
      </c>
      <c r="H22" s="2265">
        <v>54</v>
      </c>
      <c r="I22" s="2264">
        <v>28</v>
      </c>
      <c r="J22" s="2265">
        <v>75</v>
      </c>
      <c r="K22" s="2264">
        <v>62</v>
      </c>
      <c r="L22" s="2265">
        <v>124</v>
      </c>
      <c r="M22" s="2264">
        <v>75</v>
      </c>
      <c r="N22" s="2265">
        <v>185</v>
      </c>
      <c r="O22" s="2264">
        <v>47</v>
      </c>
      <c r="P22" s="2265">
        <v>191</v>
      </c>
      <c r="Q22" s="2264">
        <v>68</v>
      </c>
      <c r="R22" s="2265">
        <v>196</v>
      </c>
      <c r="S22" s="2264">
        <v>73</v>
      </c>
      <c r="T22" s="2265">
        <v>203</v>
      </c>
      <c r="U22" s="2264">
        <v>72</v>
      </c>
      <c r="V22" s="2265">
        <v>204</v>
      </c>
      <c r="W22" s="2264">
        <v>80</v>
      </c>
      <c r="X22" s="2265">
        <v>239</v>
      </c>
      <c r="Y22" s="2264">
        <v>88</v>
      </c>
      <c r="Z22" s="2265">
        <v>273</v>
      </c>
      <c r="AA22" s="2264">
        <v>92</v>
      </c>
      <c r="AB22" s="2265">
        <v>288</v>
      </c>
      <c r="AC22" s="2264">
        <v>95</v>
      </c>
      <c r="AD22" s="2265">
        <v>308</v>
      </c>
      <c r="AE22" s="2264">
        <v>126</v>
      </c>
      <c r="AF22" s="2265">
        <v>352</v>
      </c>
      <c r="AG22" s="2264">
        <v>129</v>
      </c>
      <c r="AH22" s="2265">
        <v>392</v>
      </c>
      <c r="AI22" s="2264">
        <v>129</v>
      </c>
      <c r="AJ22" s="2265">
        <v>422</v>
      </c>
      <c r="AK22" s="2266">
        <v>114</v>
      </c>
      <c r="AL22" s="2267">
        <v>261</v>
      </c>
      <c r="AM22" s="2267">
        <v>156</v>
      </c>
      <c r="AN22" s="2265">
        <f t="shared" si="0"/>
        <v>417</v>
      </c>
      <c r="AO22" s="2267">
        <v>194</v>
      </c>
      <c r="AP22" s="2267">
        <v>109</v>
      </c>
      <c r="AQ22" s="2265">
        <f>SUM(AO22:AP22)</f>
        <v>303</v>
      </c>
      <c r="AR22" s="2267">
        <v>9</v>
      </c>
      <c r="AS22" s="2267">
        <v>4</v>
      </c>
      <c r="AT22" s="2265">
        <f>SUM(AR22:AS22)</f>
        <v>13</v>
      </c>
    </row>
    <row r="23" spans="2:46" ht="15" customHeight="1" x14ac:dyDescent="0.25">
      <c r="B23" s="2263" t="s">
        <v>67</v>
      </c>
      <c r="C23" s="2264">
        <v>2</v>
      </c>
      <c r="D23" s="2265">
        <v>2</v>
      </c>
      <c r="E23" s="2264">
        <v>14</v>
      </c>
      <c r="F23" s="2265">
        <v>13</v>
      </c>
      <c r="G23" s="2264">
        <v>23</v>
      </c>
      <c r="H23" s="2265">
        <v>35</v>
      </c>
      <c r="I23" s="2264">
        <v>12</v>
      </c>
      <c r="J23" s="2265">
        <v>44</v>
      </c>
      <c r="K23" s="2264">
        <v>19</v>
      </c>
      <c r="L23" s="2265">
        <v>44</v>
      </c>
      <c r="M23" s="2264">
        <v>46</v>
      </c>
      <c r="N23" s="2265">
        <v>75</v>
      </c>
      <c r="O23" s="2264">
        <v>27</v>
      </c>
      <c r="P23" s="2265">
        <v>98</v>
      </c>
      <c r="Q23" s="2264">
        <v>36</v>
      </c>
      <c r="R23" s="2265">
        <v>105</v>
      </c>
      <c r="S23" s="2264">
        <v>51</v>
      </c>
      <c r="T23" s="2265">
        <v>120</v>
      </c>
      <c r="U23" s="2264">
        <v>43</v>
      </c>
      <c r="V23" s="2265">
        <v>128</v>
      </c>
      <c r="W23" s="2264">
        <v>52</v>
      </c>
      <c r="X23" s="2265">
        <v>137</v>
      </c>
      <c r="Y23" s="2264">
        <v>55</v>
      </c>
      <c r="Z23" s="2265">
        <v>152</v>
      </c>
      <c r="AA23" s="2264">
        <v>44</v>
      </c>
      <c r="AB23" s="2265">
        <v>161</v>
      </c>
      <c r="AC23" s="2264">
        <v>55</v>
      </c>
      <c r="AD23" s="2265">
        <v>166</v>
      </c>
      <c r="AE23" s="2264">
        <v>62</v>
      </c>
      <c r="AF23" s="2265">
        <v>187</v>
      </c>
      <c r="AG23" s="2264">
        <v>72</v>
      </c>
      <c r="AH23" s="2265">
        <v>214</v>
      </c>
      <c r="AI23" s="2264">
        <v>77</v>
      </c>
      <c r="AJ23" s="2265">
        <v>232</v>
      </c>
      <c r="AK23" s="2266">
        <v>79</v>
      </c>
      <c r="AL23" s="2267">
        <v>156</v>
      </c>
      <c r="AM23" s="2267">
        <v>100</v>
      </c>
      <c r="AN23" s="2265">
        <f t="shared" si="0"/>
        <v>256</v>
      </c>
      <c r="AO23" s="2267">
        <v>120</v>
      </c>
      <c r="AP23" s="2267">
        <v>68</v>
      </c>
      <c r="AQ23" s="2265">
        <f>SUM(AO23:AP23)</f>
        <v>188</v>
      </c>
      <c r="AR23" s="2267">
        <v>9</v>
      </c>
      <c r="AS23" s="2267">
        <v>6</v>
      </c>
      <c r="AT23" s="2265">
        <f>SUM(AR23:AS23)</f>
        <v>15</v>
      </c>
    </row>
    <row r="24" spans="2:46" ht="15" customHeight="1" x14ac:dyDescent="0.25">
      <c r="B24" s="2274" t="s">
        <v>68</v>
      </c>
      <c r="C24" s="2275">
        <f>SUM(C21:C23)</f>
        <v>10</v>
      </c>
      <c r="D24" s="2276">
        <f t="shared" ref="D24:AT24" si="5">SUM(D21:D23)</f>
        <v>9</v>
      </c>
      <c r="E24" s="2275">
        <f t="shared" si="5"/>
        <v>66</v>
      </c>
      <c r="F24" s="2276">
        <f t="shared" si="5"/>
        <v>73</v>
      </c>
      <c r="G24" s="2275">
        <f t="shared" si="5"/>
        <v>77</v>
      </c>
      <c r="H24" s="2276">
        <f t="shared" si="5"/>
        <v>137</v>
      </c>
      <c r="I24" s="2275">
        <f t="shared" si="5"/>
        <v>82</v>
      </c>
      <c r="J24" s="2276">
        <f t="shared" si="5"/>
        <v>198</v>
      </c>
      <c r="K24" s="2275">
        <f t="shared" si="5"/>
        <v>122</v>
      </c>
      <c r="L24" s="2276">
        <f t="shared" si="5"/>
        <v>268</v>
      </c>
      <c r="M24" s="2275">
        <f t="shared" si="5"/>
        <v>184</v>
      </c>
      <c r="N24" s="2276">
        <f t="shared" si="5"/>
        <v>402</v>
      </c>
      <c r="O24" s="2275">
        <f t="shared" si="5"/>
        <v>160</v>
      </c>
      <c r="P24" s="2276">
        <f t="shared" si="5"/>
        <v>487</v>
      </c>
      <c r="Q24" s="2275">
        <f t="shared" si="5"/>
        <v>184</v>
      </c>
      <c r="R24" s="2276">
        <f t="shared" si="5"/>
        <v>513</v>
      </c>
      <c r="S24" s="2275">
        <f t="shared" si="5"/>
        <v>203</v>
      </c>
      <c r="T24" s="2276">
        <f t="shared" si="5"/>
        <v>539</v>
      </c>
      <c r="U24" s="2275">
        <f t="shared" si="5"/>
        <v>213</v>
      </c>
      <c r="V24" s="2276">
        <f t="shared" si="5"/>
        <v>585</v>
      </c>
      <c r="W24" s="2275">
        <f t="shared" si="5"/>
        <v>205</v>
      </c>
      <c r="X24" s="2276">
        <f t="shared" si="5"/>
        <v>635</v>
      </c>
      <c r="Y24" s="2275">
        <f t="shared" si="5"/>
        <v>210</v>
      </c>
      <c r="Z24" s="2276">
        <f t="shared" si="5"/>
        <v>666</v>
      </c>
      <c r="AA24" s="2275">
        <f t="shared" si="5"/>
        <v>217</v>
      </c>
      <c r="AB24" s="2276">
        <f t="shared" si="5"/>
        <v>697</v>
      </c>
      <c r="AC24" s="2275">
        <f t="shared" si="5"/>
        <v>244</v>
      </c>
      <c r="AD24" s="2276">
        <f t="shared" si="5"/>
        <v>736</v>
      </c>
      <c r="AE24" s="2275">
        <f t="shared" si="5"/>
        <v>275</v>
      </c>
      <c r="AF24" s="2276">
        <f t="shared" si="5"/>
        <v>808</v>
      </c>
      <c r="AG24" s="2275">
        <f t="shared" si="5"/>
        <v>274</v>
      </c>
      <c r="AH24" s="2276">
        <f t="shared" si="5"/>
        <v>866</v>
      </c>
      <c r="AI24" s="2275">
        <f t="shared" si="5"/>
        <v>324</v>
      </c>
      <c r="AJ24" s="2276">
        <f t="shared" si="5"/>
        <v>965</v>
      </c>
      <c r="AK24" s="2277">
        <f t="shared" si="5"/>
        <v>341</v>
      </c>
      <c r="AL24" s="2278">
        <f t="shared" si="5"/>
        <v>590</v>
      </c>
      <c r="AM24" s="2279">
        <f t="shared" si="5"/>
        <v>445</v>
      </c>
      <c r="AN24" s="2276">
        <f t="shared" si="5"/>
        <v>1035</v>
      </c>
      <c r="AO24" s="2278">
        <f t="shared" si="5"/>
        <v>443</v>
      </c>
      <c r="AP24" s="2279">
        <f t="shared" si="5"/>
        <v>298</v>
      </c>
      <c r="AQ24" s="2276">
        <f t="shared" si="5"/>
        <v>741</v>
      </c>
      <c r="AR24" s="2278">
        <f t="shared" si="5"/>
        <v>26</v>
      </c>
      <c r="AS24" s="2279">
        <f t="shared" si="5"/>
        <v>25</v>
      </c>
      <c r="AT24" s="2276">
        <f t="shared" si="5"/>
        <v>51</v>
      </c>
    </row>
    <row r="25" spans="2:46" ht="15" customHeight="1" x14ac:dyDescent="0.25">
      <c r="B25" s="2280" t="s">
        <v>69</v>
      </c>
      <c r="C25" s="2281">
        <f>SUM(C24,C20,C15)</f>
        <v>53</v>
      </c>
      <c r="D25" s="2282">
        <f t="shared" ref="D25:Z25" si="6">SUM(D24,D20,D15)</f>
        <v>51</v>
      </c>
      <c r="E25" s="2281">
        <f t="shared" si="6"/>
        <v>268</v>
      </c>
      <c r="F25" s="2282">
        <f t="shared" si="6"/>
        <v>299</v>
      </c>
      <c r="G25" s="2281">
        <f t="shared" si="6"/>
        <v>317</v>
      </c>
      <c r="H25" s="2282">
        <f t="shared" si="6"/>
        <v>558</v>
      </c>
      <c r="I25" s="2281">
        <f t="shared" si="6"/>
        <v>386</v>
      </c>
      <c r="J25" s="2282">
        <f t="shared" si="6"/>
        <v>811</v>
      </c>
      <c r="K25" s="2281">
        <f t="shared" si="6"/>
        <v>490</v>
      </c>
      <c r="L25" s="2282">
        <f t="shared" si="6"/>
        <v>1092</v>
      </c>
      <c r="M25" s="2281">
        <f t="shared" si="6"/>
        <v>849</v>
      </c>
      <c r="N25" s="2282">
        <f t="shared" si="6"/>
        <v>1645</v>
      </c>
      <c r="O25" s="2281">
        <f t="shared" si="6"/>
        <v>979</v>
      </c>
      <c r="P25" s="2282">
        <f t="shared" si="6"/>
        <v>2231</v>
      </c>
      <c r="Q25" s="2281">
        <f t="shared" si="6"/>
        <v>748</v>
      </c>
      <c r="R25" s="2282">
        <f t="shared" si="6"/>
        <v>2234</v>
      </c>
      <c r="S25" s="2281">
        <f t="shared" si="6"/>
        <v>1100</v>
      </c>
      <c r="T25" s="2282">
        <f t="shared" si="6"/>
        <v>2381</v>
      </c>
      <c r="U25" s="2281">
        <f t="shared" si="6"/>
        <v>1345</v>
      </c>
      <c r="V25" s="2282">
        <f t="shared" si="6"/>
        <v>2915</v>
      </c>
      <c r="W25" s="2281">
        <f t="shared" si="6"/>
        <v>1353</v>
      </c>
      <c r="X25" s="2282">
        <f t="shared" si="6"/>
        <v>3523</v>
      </c>
      <c r="Y25" s="2281">
        <f t="shared" si="6"/>
        <v>1166</v>
      </c>
      <c r="Z25" s="2282">
        <f t="shared" si="6"/>
        <v>3788</v>
      </c>
      <c r="AA25" s="2281">
        <f>SUM(AA24,AA20,AA15)</f>
        <v>1200</v>
      </c>
      <c r="AB25" s="2282">
        <f>SUM(AB24,AB20,AB15)</f>
        <v>3742</v>
      </c>
      <c r="AC25" s="2281">
        <f>SUM(AC15,AC20,AC24)</f>
        <v>1352</v>
      </c>
      <c r="AD25" s="2282">
        <f>SUM(AD24,AD20,AD15)</f>
        <v>3964</v>
      </c>
      <c r="AE25" s="2281">
        <f>SUM(AE15,AE20,AE24)</f>
        <v>1220</v>
      </c>
      <c r="AF25" s="2282">
        <f>SUM(AF24,AF20,AF15)</f>
        <v>3994</v>
      </c>
      <c r="AG25" s="2281">
        <f>SUM(AG15,AG20,AG24)</f>
        <v>1339</v>
      </c>
      <c r="AH25" s="2282">
        <f t="shared" ref="AH25:AT25" si="7">SUM(AH24,AH20,AH15)</f>
        <v>4147</v>
      </c>
      <c r="AI25" s="2281">
        <f t="shared" si="7"/>
        <v>1428</v>
      </c>
      <c r="AJ25" s="2282">
        <f t="shared" si="7"/>
        <v>4439</v>
      </c>
      <c r="AK25" s="2283">
        <f t="shared" si="7"/>
        <v>1308</v>
      </c>
      <c r="AL25" s="2284">
        <f t="shared" si="7"/>
        <v>2274</v>
      </c>
      <c r="AM25" s="2284">
        <f t="shared" si="7"/>
        <v>2039</v>
      </c>
      <c r="AN25" s="2282">
        <f t="shared" si="7"/>
        <v>4313</v>
      </c>
      <c r="AO25" s="2284">
        <f t="shared" si="7"/>
        <v>1539</v>
      </c>
      <c r="AP25" s="2284">
        <f t="shared" si="7"/>
        <v>1213</v>
      </c>
      <c r="AQ25" s="2282">
        <f t="shared" si="7"/>
        <v>2752</v>
      </c>
      <c r="AR25" s="2284">
        <f t="shared" si="7"/>
        <v>187</v>
      </c>
      <c r="AS25" s="2284">
        <f t="shared" si="7"/>
        <v>188</v>
      </c>
      <c r="AT25" s="2282">
        <f t="shared" si="7"/>
        <v>375</v>
      </c>
    </row>
    <row r="26" spans="2:46" ht="15" customHeight="1" x14ac:dyDescent="0.25">
      <c r="B26" s="2285" t="s">
        <v>76</v>
      </c>
      <c r="C26" s="2286">
        <v>6</v>
      </c>
      <c r="D26" s="2287">
        <v>6</v>
      </c>
      <c r="E26" s="2286">
        <v>16</v>
      </c>
      <c r="F26" s="2287">
        <v>21</v>
      </c>
      <c r="G26" s="2286">
        <v>24</v>
      </c>
      <c r="H26" s="2287">
        <v>39</v>
      </c>
      <c r="I26" s="2286">
        <v>27</v>
      </c>
      <c r="J26" s="2287">
        <v>52</v>
      </c>
      <c r="K26" s="2286">
        <v>33</v>
      </c>
      <c r="L26" s="2287">
        <v>68</v>
      </c>
      <c r="M26" s="2286">
        <v>55</v>
      </c>
      <c r="N26" s="2287">
        <v>92</v>
      </c>
      <c r="O26" s="2286">
        <v>43</v>
      </c>
      <c r="P26" s="2287">
        <v>103</v>
      </c>
      <c r="Q26" s="2286">
        <v>37</v>
      </c>
      <c r="R26" s="2287">
        <v>85</v>
      </c>
      <c r="S26" s="2286">
        <v>35</v>
      </c>
      <c r="T26" s="2287">
        <v>80</v>
      </c>
      <c r="U26" s="2286">
        <v>53</v>
      </c>
      <c r="V26" s="2287">
        <v>96</v>
      </c>
      <c r="W26" s="2286">
        <v>74</v>
      </c>
      <c r="X26" s="2287">
        <v>139</v>
      </c>
      <c r="Y26" s="2286">
        <v>49</v>
      </c>
      <c r="Z26" s="2287">
        <v>125</v>
      </c>
      <c r="AA26" s="2286">
        <v>55</v>
      </c>
      <c r="AB26" s="2287">
        <v>111</v>
      </c>
      <c r="AC26" s="2286">
        <v>45</v>
      </c>
      <c r="AD26" s="2287">
        <v>123</v>
      </c>
      <c r="AE26" s="2286">
        <v>30</v>
      </c>
      <c r="AF26" s="2287">
        <v>104</v>
      </c>
      <c r="AG26" s="2286">
        <v>39</v>
      </c>
      <c r="AH26" s="2287">
        <v>88</v>
      </c>
      <c r="AI26" s="2286">
        <v>49</v>
      </c>
      <c r="AJ26" s="2287">
        <v>161</v>
      </c>
      <c r="AK26" s="2288">
        <v>33</v>
      </c>
      <c r="AL26" s="2289">
        <v>22</v>
      </c>
      <c r="AM26" s="2289">
        <v>69</v>
      </c>
      <c r="AN26" s="2287">
        <f t="shared" si="0"/>
        <v>91</v>
      </c>
      <c r="AO26" s="2289">
        <v>10</v>
      </c>
      <c r="AP26" s="2289">
        <v>47</v>
      </c>
      <c r="AQ26" s="2287">
        <f t="shared" ref="AQ26:AQ35" si="8">SUM(AO26:AP26)</f>
        <v>57</v>
      </c>
      <c r="AR26" s="2289">
        <v>3</v>
      </c>
      <c r="AS26" s="2289">
        <v>15</v>
      </c>
      <c r="AT26" s="2287">
        <f t="shared" ref="AT26:AT35" si="9">SUM(AR26:AS26)</f>
        <v>18</v>
      </c>
    </row>
    <row r="27" spans="2:46" ht="15" customHeight="1" x14ac:dyDescent="0.25">
      <c r="B27" s="2263" t="s">
        <v>73</v>
      </c>
      <c r="C27" s="2264">
        <v>0</v>
      </c>
      <c r="D27" s="2265">
        <v>0</v>
      </c>
      <c r="E27" s="2264">
        <v>4</v>
      </c>
      <c r="F27" s="2265">
        <v>3</v>
      </c>
      <c r="G27" s="2264">
        <v>7</v>
      </c>
      <c r="H27" s="2265">
        <v>11</v>
      </c>
      <c r="I27" s="2264">
        <v>4</v>
      </c>
      <c r="J27" s="2265">
        <v>11</v>
      </c>
      <c r="K27" s="2264">
        <v>10</v>
      </c>
      <c r="L27" s="2265">
        <v>18</v>
      </c>
      <c r="M27" s="2264">
        <v>12</v>
      </c>
      <c r="N27" s="2265">
        <v>25</v>
      </c>
      <c r="O27" s="2264">
        <v>13</v>
      </c>
      <c r="P27" s="2265">
        <v>26</v>
      </c>
      <c r="Q27" s="2264">
        <v>15</v>
      </c>
      <c r="R27" s="2265">
        <v>28</v>
      </c>
      <c r="S27" s="2264">
        <v>11</v>
      </c>
      <c r="T27" s="2265">
        <v>25</v>
      </c>
      <c r="U27" s="2264">
        <v>35</v>
      </c>
      <c r="V27" s="2265">
        <v>46</v>
      </c>
      <c r="W27" s="2264">
        <v>37</v>
      </c>
      <c r="X27" s="2265">
        <v>67</v>
      </c>
      <c r="Y27" s="2264">
        <v>42</v>
      </c>
      <c r="Z27" s="2265">
        <v>78</v>
      </c>
      <c r="AA27" s="2264">
        <v>42</v>
      </c>
      <c r="AB27" s="2265">
        <v>92</v>
      </c>
      <c r="AC27" s="2264">
        <v>38</v>
      </c>
      <c r="AD27" s="2265">
        <v>99</v>
      </c>
      <c r="AE27" s="2264">
        <v>32</v>
      </c>
      <c r="AF27" s="2265">
        <v>98</v>
      </c>
      <c r="AG27" s="2264">
        <v>37</v>
      </c>
      <c r="AH27" s="2265">
        <v>91</v>
      </c>
      <c r="AI27" s="2264">
        <v>40</v>
      </c>
      <c r="AJ27" s="2265">
        <v>21</v>
      </c>
      <c r="AK27" s="2266">
        <v>40</v>
      </c>
      <c r="AL27" s="2267">
        <v>20</v>
      </c>
      <c r="AM27" s="2267">
        <v>77</v>
      </c>
      <c r="AN27" s="2265">
        <f t="shared" si="0"/>
        <v>97</v>
      </c>
      <c r="AO27" s="2267">
        <v>13</v>
      </c>
      <c r="AP27" s="2267">
        <v>50</v>
      </c>
      <c r="AQ27" s="2265">
        <f t="shared" si="8"/>
        <v>63</v>
      </c>
      <c r="AR27" s="2267">
        <v>5</v>
      </c>
      <c r="AS27" s="2267">
        <v>8</v>
      </c>
      <c r="AT27" s="2265">
        <f t="shared" si="9"/>
        <v>13</v>
      </c>
    </row>
    <row r="28" spans="2:46" ht="15" customHeight="1" x14ac:dyDescent="0.25">
      <c r="B28" s="2263" t="s">
        <v>70</v>
      </c>
      <c r="C28" s="2264">
        <v>1</v>
      </c>
      <c r="D28" s="2265">
        <v>1</v>
      </c>
      <c r="E28" s="2264">
        <v>10</v>
      </c>
      <c r="F28" s="2265">
        <v>10</v>
      </c>
      <c r="G28" s="2264">
        <v>15</v>
      </c>
      <c r="H28" s="2265">
        <v>22</v>
      </c>
      <c r="I28" s="2264">
        <v>14</v>
      </c>
      <c r="J28" s="2265">
        <v>31</v>
      </c>
      <c r="K28" s="2264">
        <v>18</v>
      </c>
      <c r="L28" s="2265">
        <v>35</v>
      </c>
      <c r="M28" s="2264">
        <v>41</v>
      </c>
      <c r="N28" s="2265">
        <v>56</v>
      </c>
      <c r="O28" s="2264">
        <v>25</v>
      </c>
      <c r="P28" s="2265">
        <v>67</v>
      </c>
      <c r="Q28" s="2264">
        <v>19</v>
      </c>
      <c r="R28" s="2265">
        <v>58</v>
      </c>
      <c r="S28" s="2264">
        <v>25</v>
      </c>
      <c r="T28" s="2265">
        <v>50</v>
      </c>
      <c r="U28" s="2264">
        <v>36</v>
      </c>
      <c r="V28" s="2265">
        <v>67</v>
      </c>
      <c r="W28" s="2264">
        <v>37</v>
      </c>
      <c r="X28" s="2265">
        <v>85</v>
      </c>
      <c r="Y28" s="2264">
        <v>34</v>
      </c>
      <c r="Z28" s="2265">
        <v>78</v>
      </c>
      <c r="AA28" s="2264">
        <v>50</v>
      </c>
      <c r="AB28" s="2265">
        <v>105</v>
      </c>
      <c r="AC28" s="2264">
        <v>54</v>
      </c>
      <c r="AD28" s="2265">
        <v>119</v>
      </c>
      <c r="AE28" s="2264">
        <v>47</v>
      </c>
      <c r="AF28" s="2265">
        <v>136</v>
      </c>
      <c r="AG28" s="2264">
        <v>56</v>
      </c>
      <c r="AH28" s="2265">
        <v>150</v>
      </c>
      <c r="AI28" s="2264">
        <v>53</v>
      </c>
      <c r="AJ28" s="2265">
        <v>142</v>
      </c>
      <c r="AK28" s="2266">
        <v>40</v>
      </c>
      <c r="AL28" s="2267">
        <v>65</v>
      </c>
      <c r="AM28" s="2267">
        <v>71</v>
      </c>
      <c r="AN28" s="2265">
        <f t="shared" si="0"/>
        <v>136</v>
      </c>
      <c r="AO28" s="2267">
        <v>40</v>
      </c>
      <c r="AP28" s="2267">
        <v>49</v>
      </c>
      <c r="AQ28" s="2265">
        <f t="shared" si="8"/>
        <v>89</v>
      </c>
      <c r="AR28" s="2267">
        <v>10</v>
      </c>
      <c r="AS28" s="2267">
        <v>8</v>
      </c>
      <c r="AT28" s="2265">
        <f t="shared" si="9"/>
        <v>18</v>
      </c>
    </row>
    <row r="29" spans="2:46" ht="15" customHeight="1" x14ac:dyDescent="0.25">
      <c r="B29" s="2263" t="s">
        <v>57</v>
      </c>
      <c r="C29" s="2264">
        <v>2</v>
      </c>
      <c r="D29" s="2265">
        <v>2</v>
      </c>
      <c r="E29" s="2264">
        <v>17</v>
      </c>
      <c r="F29" s="2265">
        <v>19</v>
      </c>
      <c r="G29" s="2264">
        <v>16</v>
      </c>
      <c r="H29" s="2265">
        <v>34</v>
      </c>
      <c r="I29" s="2264">
        <v>22</v>
      </c>
      <c r="J29" s="2265">
        <v>44</v>
      </c>
      <c r="K29" s="2264">
        <v>28</v>
      </c>
      <c r="L29" s="2265">
        <v>57</v>
      </c>
      <c r="M29" s="2264">
        <v>48</v>
      </c>
      <c r="N29" s="2265">
        <v>80</v>
      </c>
      <c r="O29" s="2264">
        <v>43</v>
      </c>
      <c r="P29" s="2265">
        <v>95</v>
      </c>
      <c r="Q29" s="2264">
        <v>23</v>
      </c>
      <c r="R29" s="2265">
        <v>79</v>
      </c>
      <c r="S29" s="2264">
        <v>18</v>
      </c>
      <c r="T29" s="2265">
        <v>62</v>
      </c>
      <c r="U29" s="2264">
        <v>37</v>
      </c>
      <c r="V29" s="2265">
        <v>66</v>
      </c>
      <c r="W29" s="2264">
        <v>45</v>
      </c>
      <c r="X29" s="2265">
        <v>83</v>
      </c>
      <c r="Y29" s="2264">
        <v>23</v>
      </c>
      <c r="Z29" s="2265">
        <v>67</v>
      </c>
      <c r="AA29" s="2264">
        <v>51</v>
      </c>
      <c r="AB29" s="2265">
        <v>99</v>
      </c>
      <c r="AC29" s="2264">
        <v>53</v>
      </c>
      <c r="AD29" s="2265">
        <v>119</v>
      </c>
      <c r="AE29" s="2264">
        <v>29</v>
      </c>
      <c r="AF29" s="2265">
        <v>104</v>
      </c>
      <c r="AG29" s="2264">
        <v>26</v>
      </c>
      <c r="AH29" s="2265">
        <v>82</v>
      </c>
      <c r="AI29" s="2264">
        <v>41</v>
      </c>
      <c r="AJ29" s="2265">
        <v>98</v>
      </c>
      <c r="AK29" s="2266">
        <v>21</v>
      </c>
      <c r="AL29" s="2267">
        <v>8</v>
      </c>
      <c r="AM29" s="2267">
        <v>62</v>
      </c>
      <c r="AN29" s="2265">
        <f t="shared" si="0"/>
        <v>70</v>
      </c>
      <c r="AO29" s="2267">
        <v>6</v>
      </c>
      <c r="AP29" s="2267">
        <v>30</v>
      </c>
      <c r="AQ29" s="2265">
        <f t="shared" si="8"/>
        <v>36</v>
      </c>
      <c r="AR29" s="2267">
        <v>3</v>
      </c>
      <c r="AS29" s="2267">
        <v>11</v>
      </c>
      <c r="AT29" s="2265">
        <f t="shared" si="9"/>
        <v>14</v>
      </c>
    </row>
    <row r="30" spans="2:46" ht="15" customHeight="1" x14ac:dyDescent="0.25">
      <c r="B30" s="2263" t="s">
        <v>72</v>
      </c>
      <c r="C30" s="2264">
        <v>1</v>
      </c>
      <c r="D30" s="2265">
        <v>1</v>
      </c>
      <c r="E30" s="2264">
        <v>5</v>
      </c>
      <c r="F30" s="2265">
        <v>5</v>
      </c>
      <c r="G30" s="2264">
        <v>4</v>
      </c>
      <c r="H30" s="2265">
        <v>8</v>
      </c>
      <c r="I30" s="2264">
        <v>9</v>
      </c>
      <c r="J30" s="2265">
        <v>14</v>
      </c>
      <c r="K30" s="2264">
        <v>14</v>
      </c>
      <c r="L30" s="2265">
        <v>23</v>
      </c>
      <c r="M30" s="2264">
        <v>19</v>
      </c>
      <c r="N30" s="2265">
        <v>33</v>
      </c>
      <c r="O30" s="2264">
        <v>15</v>
      </c>
      <c r="P30" s="2265">
        <v>35</v>
      </c>
      <c r="Q30" s="2264">
        <v>19</v>
      </c>
      <c r="R30" s="2265">
        <v>34</v>
      </c>
      <c r="S30" s="2264">
        <v>14</v>
      </c>
      <c r="T30" s="2265">
        <v>36</v>
      </c>
      <c r="U30" s="2264">
        <v>46</v>
      </c>
      <c r="V30" s="2265">
        <v>60</v>
      </c>
      <c r="W30" s="2264">
        <v>54</v>
      </c>
      <c r="X30" s="2265">
        <v>94</v>
      </c>
      <c r="Y30" s="2264">
        <v>43</v>
      </c>
      <c r="Z30" s="2265">
        <v>96</v>
      </c>
      <c r="AA30" s="2264">
        <v>58</v>
      </c>
      <c r="AB30" s="2265">
        <v>126</v>
      </c>
      <c r="AC30" s="2264">
        <v>56</v>
      </c>
      <c r="AD30" s="2265">
        <v>141</v>
      </c>
      <c r="AE30" s="2264">
        <v>25</v>
      </c>
      <c r="AF30" s="2265">
        <v>113</v>
      </c>
      <c r="AG30" s="2264">
        <v>49</v>
      </c>
      <c r="AH30" s="2265">
        <v>108</v>
      </c>
      <c r="AI30" s="2264">
        <v>31</v>
      </c>
      <c r="AJ30" s="2265">
        <v>96</v>
      </c>
      <c r="AK30" s="2266">
        <v>25</v>
      </c>
      <c r="AL30" s="2267">
        <v>20</v>
      </c>
      <c r="AM30" s="2267">
        <v>57</v>
      </c>
      <c r="AN30" s="2265">
        <f t="shared" si="0"/>
        <v>77</v>
      </c>
      <c r="AO30" s="2267">
        <v>14</v>
      </c>
      <c r="AP30" s="2267">
        <v>34</v>
      </c>
      <c r="AQ30" s="2265">
        <f t="shared" si="8"/>
        <v>48</v>
      </c>
      <c r="AR30" s="2267">
        <v>4</v>
      </c>
      <c r="AS30" s="2267">
        <v>9</v>
      </c>
      <c r="AT30" s="2265">
        <f t="shared" si="9"/>
        <v>13</v>
      </c>
    </row>
    <row r="31" spans="2:46" ht="15" customHeight="1" x14ac:dyDescent="0.25">
      <c r="B31" s="2263" t="s">
        <v>71</v>
      </c>
      <c r="C31" s="2264">
        <v>0</v>
      </c>
      <c r="D31" s="2265">
        <v>0</v>
      </c>
      <c r="E31" s="2264">
        <v>1</v>
      </c>
      <c r="F31" s="2265">
        <v>1</v>
      </c>
      <c r="G31" s="2264">
        <v>4</v>
      </c>
      <c r="H31" s="2265">
        <v>4</v>
      </c>
      <c r="I31" s="2264">
        <v>5</v>
      </c>
      <c r="J31" s="2265">
        <v>8</v>
      </c>
      <c r="K31" s="2264">
        <v>5</v>
      </c>
      <c r="L31" s="2265">
        <v>10</v>
      </c>
      <c r="M31" s="2264">
        <v>4</v>
      </c>
      <c r="N31" s="2265">
        <v>11</v>
      </c>
      <c r="O31" s="2264">
        <v>8</v>
      </c>
      <c r="P31" s="2265">
        <v>11</v>
      </c>
      <c r="Q31" s="2264">
        <v>4</v>
      </c>
      <c r="R31" s="2265">
        <v>12</v>
      </c>
      <c r="S31" s="2264">
        <v>2</v>
      </c>
      <c r="T31" s="2265">
        <v>8</v>
      </c>
      <c r="U31" s="2264">
        <v>9</v>
      </c>
      <c r="V31" s="2265">
        <v>12</v>
      </c>
      <c r="W31" s="2264">
        <v>13</v>
      </c>
      <c r="X31" s="2265">
        <v>20</v>
      </c>
      <c r="Y31" s="2264">
        <v>8</v>
      </c>
      <c r="Z31" s="2265">
        <v>20</v>
      </c>
      <c r="AA31" s="2264">
        <v>21</v>
      </c>
      <c r="AB31" s="2265">
        <v>29</v>
      </c>
      <c r="AC31" s="2264">
        <v>18</v>
      </c>
      <c r="AD31" s="2265">
        <v>42</v>
      </c>
      <c r="AE31" s="2264">
        <v>10</v>
      </c>
      <c r="AF31" s="2265">
        <v>36</v>
      </c>
      <c r="AG31" s="2264">
        <v>12</v>
      </c>
      <c r="AH31" s="2265">
        <v>29</v>
      </c>
      <c r="AI31" s="2264">
        <v>7</v>
      </c>
      <c r="AJ31" s="2265">
        <v>92</v>
      </c>
      <c r="AK31" s="2266">
        <v>11</v>
      </c>
      <c r="AL31" s="2267">
        <v>14</v>
      </c>
      <c r="AM31" s="2267">
        <v>9</v>
      </c>
      <c r="AN31" s="2265">
        <f t="shared" si="0"/>
        <v>23</v>
      </c>
      <c r="AO31" s="2267">
        <v>6</v>
      </c>
      <c r="AP31" s="2267">
        <v>6</v>
      </c>
      <c r="AQ31" s="2265">
        <f t="shared" si="8"/>
        <v>12</v>
      </c>
      <c r="AR31" s="2267">
        <v>2</v>
      </c>
      <c r="AS31" s="2267">
        <v>3</v>
      </c>
      <c r="AT31" s="2265">
        <f t="shared" si="9"/>
        <v>5</v>
      </c>
    </row>
    <row r="32" spans="2:46" ht="15" customHeight="1" x14ac:dyDescent="0.25">
      <c r="B32" s="2263" t="s">
        <v>56</v>
      </c>
      <c r="C32" s="2264">
        <v>6</v>
      </c>
      <c r="D32" s="2265">
        <v>6</v>
      </c>
      <c r="E32" s="2264">
        <v>5</v>
      </c>
      <c r="F32" s="2265">
        <v>11</v>
      </c>
      <c r="G32" s="2264">
        <v>7</v>
      </c>
      <c r="H32" s="2265">
        <v>16</v>
      </c>
      <c r="I32" s="2264">
        <v>8</v>
      </c>
      <c r="J32" s="2265">
        <v>19</v>
      </c>
      <c r="K32" s="2264">
        <v>17</v>
      </c>
      <c r="L32" s="2265">
        <v>31</v>
      </c>
      <c r="M32" s="2264">
        <v>31</v>
      </c>
      <c r="N32" s="2265">
        <v>50</v>
      </c>
      <c r="O32" s="2264">
        <v>17</v>
      </c>
      <c r="P32" s="2265">
        <v>54</v>
      </c>
      <c r="Q32" s="2264">
        <v>18</v>
      </c>
      <c r="R32" s="2265">
        <v>49</v>
      </c>
      <c r="S32" s="2264">
        <v>22</v>
      </c>
      <c r="T32" s="2265">
        <v>48</v>
      </c>
      <c r="U32" s="2264">
        <v>51</v>
      </c>
      <c r="V32" s="2265">
        <v>79</v>
      </c>
      <c r="W32" s="2264">
        <v>58</v>
      </c>
      <c r="X32" s="2265">
        <v>119</v>
      </c>
      <c r="Y32" s="2264">
        <v>42</v>
      </c>
      <c r="Z32" s="2265">
        <v>113</v>
      </c>
      <c r="AA32" s="2264">
        <v>62</v>
      </c>
      <c r="AB32" s="2265">
        <v>135</v>
      </c>
      <c r="AC32" s="2264">
        <v>58</v>
      </c>
      <c r="AD32" s="2265">
        <v>146</v>
      </c>
      <c r="AE32" s="2264">
        <v>33</v>
      </c>
      <c r="AF32" s="2265">
        <v>142</v>
      </c>
      <c r="AG32" s="2264">
        <v>59</v>
      </c>
      <c r="AH32" s="2265">
        <v>147</v>
      </c>
      <c r="AI32" s="2264">
        <v>36</v>
      </c>
      <c r="AJ32" s="2265">
        <v>84</v>
      </c>
      <c r="AK32" s="2266">
        <v>38</v>
      </c>
      <c r="AL32" s="2267">
        <v>56</v>
      </c>
      <c r="AM32" s="2267">
        <v>56</v>
      </c>
      <c r="AN32" s="2265">
        <f t="shared" si="0"/>
        <v>112</v>
      </c>
      <c r="AO32" s="2267">
        <v>33</v>
      </c>
      <c r="AP32" s="2267">
        <v>34</v>
      </c>
      <c r="AQ32" s="2265">
        <f t="shared" si="8"/>
        <v>67</v>
      </c>
      <c r="AR32" s="2267">
        <v>9</v>
      </c>
      <c r="AS32" s="2267">
        <v>8</v>
      </c>
      <c r="AT32" s="2265">
        <f t="shared" si="9"/>
        <v>17</v>
      </c>
    </row>
    <row r="33" spans="2:46" ht="15" customHeight="1" x14ac:dyDescent="0.25">
      <c r="B33" s="2263" t="s">
        <v>74</v>
      </c>
      <c r="C33" s="2264">
        <v>2</v>
      </c>
      <c r="D33" s="2265">
        <v>2</v>
      </c>
      <c r="E33" s="2264">
        <v>9</v>
      </c>
      <c r="F33" s="2265">
        <v>9</v>
      </c>
      <c r="G33" s="2264">
        <v>8</v>
      </c>
      <c r="H33" s="2265">
        <v>15</v>
      </c>
      <c r="I33" s="2264">
        <v>17</v>
      </c>
      <c r="J33" s="2265">
        <v>26</v>
      </c>
      <c r="K33" s="2264">
        <v>16</v>
      </c>
      <c r="L33" s="2265">
        <v>34</v>
      </c>
      <c r="M33" s="2264">
        <v>35</v>
      </c>
      <c r="N33" s="2265">
        <v>53</v>
      </c>
      <c r="O33" s="2264">
        <v>21</v>
      </c>
      <c r="P33" s="2265">
        <v>57</v>
      </c>
      <c r="Q33" s="2264">
        <v>33</v>
      </c>
      <c r="R33" s="2265">
        <v>57</v>
      </c>
      <c r="S33" s="2264">
        <v>21</v>
      </c>
      <c r="T33" s="2265">
        <v>51</v>
      </c>
      <c r="U33" s="2264">
        <v>35</v>
      </c>
      <c r="V33" s="2265">
        <v>57</v>
      </c>
      <c r="W33" s="2264">
        <v>21</v>
      </c>
      <c r="X33" s="2265">
        <v>51</v>
      </c>
      <c r="Y33" s="2264">
        <v>16</v>
      </c>
      <c r="Z33" s="2265">
        <v>40</v>
      </c>
      <c r="AA33" s="2264">
        <v>33</v>
      </c>
      <c r="AB33" s="2265">
        <v>55</v>
      </c>
      <c r="AC33" s="2264">
        <v>37</v>
      </c>
      <c r="AD33" s="2265">
        <v>76</v>
      </c>
      <c r="AE33" s="2264">
        <v>38</v>
      </c>
      <c r="AF33" s="2265">
        <v>91</v>
      </c>
      <c r="AG33" s="2264">
        <v>41</v>
      </c>
      <c r="AH33" s="2265">
        <v>95</v>
      </c>
      <c r="AI33" s="2264">
        <v>35</v>
      </c>
      <c r="AJ33" s="2265">
        <v>67</v>
      </c>
      <c r="AK33" s="2266">
        <v>32</v>
      </c>
      <c r="AL33" s="2267">
        <v>34</v>
      </c>
      <c r="AM33" s="2267">
        <v>43</v>
      </c>
      <c r="AN33" s="2265">
        <f t="shared" si="0"/>
        <v>77</v>
      </c>
      <c r="AO33" s="2267">
        <v>19</v>
      </c>
      <c r="AP33" s="2267">
        <v>21</v>
      </c>
      <c r="AQ33" s="2265">
        <f t="shared" si="8"/>
        <v>40</v>
      </c>
      <c r="AR33" s="2267">
        <v>6</v>
      </c>
      <c r="AS33" s="2267">
        <v>11</v>
      </c>
      <c r="AT33" s="2265">
        <f t="shared" si="9"/>
        <v>17</v>
      </c>
    </row>
    <row r="34" spans="2:46" ht="15" customHeight="1" x14ac:dyDescent="0.25">
      <c r="B34" s="2263" t="s">
        <v>75</v>
      </c>
      <c r="C34" s="2264">
        <v>0</v>
      </c>
      <c r="D34" s="2265">
        <v>0</v>
      </c>
      <c r="E34" s="2264">
        <v>3</v>
      </c>
      <c r="F34" s="2265">
        <v>2</v>
      </c>
      <c r="G34" s="2264">
        <v>4</v>
      </c>
      <c r="H34" s="2265">
        <v>4</v>
      </c>
      <c r="I34" s="2264">
        <v>2</v>
      </c>
      <c r="J34" s="2265">
        <v>6</v>
      </c>
      <c r="K34" s="2264">
        <v>3</v>
      </c>
      <c r="L34" s="2265">
        <v>6</v>
      </c>
      <c r="M34" s="2264">
        <v>9</v>
      </c>
      <c r="N34" s="2265">
        <v>12</v>
      </c>
      <c r="O34" s="2264">
        <v>12</v>
      </c>
      <c r="P34" s="2265">
        <v>22</v>
      </c>
      <c r="Q34" s="2264">
        <v>12</v>
      </c>
      <c r="R34" s="2265">
        <v>26</v>
      </c>
      <c r="S34" s="2264">
        <v>16</v>
      </c>
      <c r="T34" s="2265">
        <v>29</v>
      </c>
      <c r="U34" s="2264">
        <v>19</v>
      </c>
      <c r="V34" s="2265">
        <v>37</v>
      </c>
      <c r="W34" s="2264">
        <v>27</v>
      </c>
      <c r="X34" s="2265">
        <v>48</v>
      </c>
      <c r="Y34" s="2264">
        <v>27</v>
      </c>
      <c r="Z34" s="2265">
        <v>52</v>
      </c>
      <c r="AA34" s="2264">
        <v>42</v>
      </c>
      <c r="AB34" s="2265">
        <v>80</v>
      </c>
      <c r="AC34" s="2264">
        <v>32</v>
      </c>
      <c r="AD34" s="2265">
        <v>91</v>
      </c>
      <c r="AE34" s="2264">
        <v>20</v>
      </c>
      <c r="AF34" s="2265">
        <v>70</v>
      </c>
      <c r="AG34" s="2264">
        <v>30</v>
      </c>
      <c r="AH34" s="2265">
        <v>74</v>
      </c>
      <c r="AI34" s="2264">
        <v>24</v>
      </c>
      <c r="AJ34" s="2265">
        <v>99</v>
      </c>
      <c r="AK34" s="2266">
        <v>33</v>
      </c>
      <c r="AL34" s="2267">
        <v>31</v>
      </c>
      <c r="AM34" s="2267">
        <v>42</v>
      </c>
      <c r="AN34" s="2265">
        <f t="shared" si="0"/>
        <v>73</v>
      </c>
      <c r="AO34" s="2267">
        <v>18</v>
      </c>
      <c r="AP34" s="2267">
        <v>25</v>
      </c>
      <c r="AQ34" s="2265">
        <f t="shared" si="8"/>
        <v>43</v>
      </c>
      <c r="AR34" s="2267">
        <v>7</v>
      </c>
      <c r="AS34" s="2267">
        <v>6</v>
      </c>
      <c r="AT34" s="2265">
        <f t="shared" si="9"/>
        <v>13</v>
      </c>
    </row>
    <row r="35" spans="2:46" ht="15" customHeight="1" x14ac:dyDescent="0.25">
      <c r="B35" s="2263" t="s">
        <v>77</v>
      </c>
      <c r="C35" s="2264"/>
      <c r="D35" s="2265"/>
      <c r="E35" s="2264"/>
      <c r="F35" s="2265"/>
      <c r="G35" s="2264"/>
      <c r="H35" s="2265"/>
      <c r="I35" s="2264"/>
      <c r="J35" s="2265"/>
      <c r="K35" s="2264"/>
      <c r="L35" s="2265"/>
      <c r="M35" s="2264"/>
      <c r="N35" s="2265"/>
      <c r="O35" s="2264"/>
      <c r="P35" s="2265"/>
      <c r="Q35" s="2264"/>
      <c r="R35" s="2265"/>
      <c r="S35" s="2264"/>
      <c r="T35" s="2265"/>
      <c r="U35" s="2264"/>
      <c r="V35" s="2265"/>
      <c r="W35" s="2264"/>
      <c r="X35" s="2265"/>
      <c r="Y35" s="2264"/>
      <c r="Z35" s="2265"/>
      <c r="AA35" s="2264"/>
      <c r="AB35" s="2265"/>
      <c r="AC35" s="2264"/>
      <c r="AD35" s="2265"/>
      <c r="AE35" s="2264"/>
      <c r="AF35" s="2265"/>
      <c r="AG35" s="2264">
        <v>6</v>
      </c>
      <c r="AH35" s="2265">
        <v>5</v>
      </c>
      <c r="AI35" s="2264">
        <v>16</v>
      </c>
      <c r="AJ35" s="2265">
        <v>21</v>
      </c>
      <c r="AK35" s="2266">
        <v>10</v>
      </c>
      <c r="AL35" s="2267">
        <v>14</v>
      </c>
      <c r="AM35" s="2267">
        <v>10</v>
      </c>
      <c r="AN35" s="2265">
        <f t="shared" si="0"/>
        <v>24</v>
      </c>
      <c r="AO35" s="2267">
        <v>10</v>
      </c>
      <c r="AP35" s="2267">
        <v>7</v>
      </c>
      <c r="AQ35" s="2265">
        <f t="shared" si="8"/>
        <v>17</v>
      </c>
      <c r="AR35" s="2267">
        <v>2</v>
      </c>
      <c r="AS35" s="2267">
        <v>3</v>
      </c>
      <c r="AT35" s="2265">
        <f t="shared" si="9"/>
        <v>5</v>
      </c>
    </row>
    <row r="36" spans="2:46" ht="15" customHeight="1" x14ac:dyDescent="0.25">
      <c r="B36" s="2268" t="s">
        <v>59</v>
      </c>
      <c r="C36" s="2269">
        <f>SUM(C26:C34)</f>
        <v>18</v>
      </c>
      <c r="D36" s="2270">
        <f t="shared" ref="D36:AF36" si="10">SUM(D26:D34)</f>
        <v>18</v>
      </c>
      <c r="E36" s="2269">
        <f t="shared" si="10"/>
        <v>70</v>
      </c>
      <c r="F36" s="2270">
        <f t="shared" si="10"/>
        <v>81</v>
      </c>
      <c r="G36" s="2269">
        <f t="shared" si="10"/>
        <v>89</v>
      </c>
      <c r="H36" s="2270">
        <f t="shared" si="10"/>
        <v>153</v>
      </c>
      <c r="I36" s="2269">
        <f t="shared" si="10"/>
        <v>108</v>
      </c>
      <c r="J36" s="2270">
        <f t="shared" si="10"/>
        <v>211</v>
      </c>
      <c r="K36" s="2269">
        <f t="shared" si="10"/>
        <v>144</v>
      </c>
      <c r="L36" s="2270">
        <f t="shared" si="10"/>
        <v>282</v>
      </c>
      <c r="M36" s="2269">
        <f t="shared" si="10"/>
        <v>254</v>
      </c>
      <c r="N36" s="2270">
        <f t="shared" si="10"/>
        <v>412</v>
      </c>
      <c r="O36" s="2269">
        <f t="shared" si="10"/>
        <v>197</v>
      </c>
      <c r="P36" s="2270">
        <f t="shared" si="10"/>
        <v>470</v>
      </c>
      <c r="Q36" s="2269">
        <f t="shared" si="10"/>
        <v>180</v>
      </c>
      <c r="R36" s="2270">
        <f t="shared" si="10"/>
        <v>428</v>
      </c>
      <c r="S36" s="2269">
        <f t="shared" si="10"/>
        <v>164</v>
      </c>
      <c r="T36" s="2270">
        <f t="shared" si="10"/>
        <v>389</v>
      </c>
      <c r="U36" s="2269">
        <f t="shared" si="10"/>
        <v>321</v>
      </c>
      <c r="V36" s="2270">
        <f t="shared" si="10"/>
        <v>520</v>
      </c>
      <c r="W36" s="2269">
        <f t="shared" si="10"/>
        <v>366</v>
      </c>
      <c r="X36" s="2270">
        <f t="shared" si="10"/>
        <v>706</v>
      </c>
      <c r="Y36" s="2269">
        <f t="shared" si="10"/>
        <v>284</v>
      </c>
      <c r="Z36" s="2270">
        <f t="shared" si="10"/>
        <v>669</v>
      </c>
      <c r="AA36" s="2269">
        <f t="shared" si="10"/>
        <v>414</v>
      </c>
      <c r="AB36" s="2270">
        <f t="shared" si="10"/>
        <v>832</v>
      </c>
      <c r="AC36" s="2269">
        <f t="shared" si="10"/>
        <v>391</v>
      </c>
      <c r="AD36" s="2270">
        <f t="shared" si="10"/>
        <v>956</v>
      </c>
      <c r="AE36" s="2269">
        <f t="shared" si="10"/>
        <v>264</v>
      </c>
      <c r="AF36" s="2270">
        <f t="shared" si="10"/>
        <v>894</v>
      </c>
      <c r="AG36" s="2269">
        <f t="shared" ref="AG36:AT36" si="11">SUM(AG26:AG35)</f>
        <v>355</v>
      </c>
      <c r="AH36" s="2270">
        <f t="shared" si="11"/>
        <v>869</v>
      </c>
      <c r="AI36" s="2269">
        <f t="shared" si="11"/>
        <v>332</v>
      </c>
      <c r="AJ36" s="2270">
        <f t="shared" si="11"/>
        <v>881</v>
      </c>
      <c r="AK36" s="2271">
        <f t="shared" si="11"/>
        <v>283</v>
      </c>
      <c r="AL36" s="2272">
        <f t="shared" si="11"/>
        <v>284</v>
      </c>
      <c r="AM36" s="2273">
        <f t="shared" si="11"/>
        <v>496</v>
      </c>
      <c r="AN36" s="2270">
        <f t="shared" si="11"/>
        <v>780</v>
      </c>
      <c r="AO36" s="2272">
        <f t="shared" si="11"/>
        <v>169</v>
      </c>
      <c r="AP36" s="2273">
        <f t="shared" si="11"/>
        <v>303</v>
      </c>
      <c r="AQ36" s="2270">
        <f t="shared" si="11"/>
        <v>472</v>
      </c>
      <c r="AR36" s="2272">
        <f t="shared" si="11"/>
        <v>51</v>
      </c>
      <c r="AS36" s="2273">
        <f t="shared" si="11"/>
        <v>82</v>
      </c>
      <c r="AT36" s="2270">
        <f t="shared" si="11"/>
        <v>133</v>
      </c>
    </row>
    <row r="37" spans="2:46" ht="15" customHeight="1" x14ac:dyDescent="0.25">
      <c r="B37" s="2263" t="s">
        <v>60</v>
      </c>
      <c r="C37" s="2264">
        <v>6</v>
      </c>
      <c r="D37" s="2265">
        <v>6</v>
      </c>
      <c r="E37" s="2264">
        <v>23</v>
      </c>
      <c r="F37" s="2265">
        <v>28</v>
      </c>
      <c r="G37" s="2264">
        <v>33</v>
      </c>
      <c r="H37" s="2265">
        <v>56</v>
      </c>
      <c r="I37" s="2264">
        <v>26</v>
      </c>
      <c r="J37" s="2265">
        <v>72</v>
      </c>
      <c r="K37" s="2264">
        <v>23</v>
      </c>
      <c r="L37" s="2265">
        <v>86</v>
      </c>
      <c r="M37" s="2264">
        <v>115</v>
      </c>
      <c r="N37" s="2265">
        <v>171</v>
      </c>
      <c r="O37" s="2264">
        <v>63</v>
      </c>
      <c r="P37" s="2265">
        <v>201</v>
      </c>
      <c r="Q37" s="2264">
        <v>77</v>
      </c>
      <c r="R37" s="2265">
        <v>205</v>
      </c>
      <c r="S37" s="2264">
        <v>134</v>
      </c>
      <c r="T37" s="2265">
        <v>267</v>
      </c>
      <c r="U37" s="2264">
        <v>188</v>
      </c>
      <c r="V37" s="2265">
        <v>398</v>
      </c>
      <c r="W37" s="2264">
        <v>146</v>
      </c>
      <c r="X37" s="2265">
        <v>458</v>
      </c>
      <c r="Y37" s="2264">
        <v>122</v>
      </c>
      <c r="Z37" s="2265">
        <v>476</v>
      </c>
      <c r="AA37" s="2264">
        <v>111</v>
      </c>
      <c r="AB37" s="2265">
        <v>443</v>
      </c>
      <c r="AC37" s="2264">
        <v>133</v>
      </c>
      <c r="AD37" s="2265">
        <v>456</v>
      </c>
      <c r="AE37" s="2264">
        <v>121</v>
      </c>
      <c r="AF37" s="2265">
        <v>463</v>
      </c>
      <c r="AG37" s="2264">
        <v>138</v>
      </c>
      <c r="AH37" s="2265">
        <v>470</v>
      </c>
      <c r="AI37" s="2264">
        <v>155</v>
      </c>
      <c r="AJ37" s="2265">
        <v>503</v>
      </c>
      <c r="AK37" s="2266">
        <v>105</v>
      </c>
      <c r="AL37" s="2267">
        <v>300</v>
      </c>
      <c r="AM37" s="2267">
        <v>168</v>
      </c>
      <c r="AN37" s="2265">
        <f t="shared" si="0"/>
        <v>468</v>
      </c>
      <c r="AO37" s="2267">
        <v>207</v>
      </c>
      <c r="AP37" s="2267">
        <v>103</v>
      </c>
      <c r="AQ37" s="2265">
        <f t="shared" ref="AQ37:AQ47" si="12">SUM(AO37:AP37)</f>
        <v>310</v>
      </c>
      <c r="AR37" s="2267">
        <v>10</v>
      </c>
      <c r="AS37" s="2267">
        <v>7</v>
      </c>
      <c r="AT37" s="2265">
        <f t="shared" ref="AT37:AT47" si="13">SUM(AR37:AS37)</f>
        <v>17</v>
      </c>
    </row>
    <row r="38" spans="2:46" ht="15" customHeight="1" x14ac:dyDescent="0.25">
      <c r="B38" s="2263" t="s">
        <v>78</v>
      </c>
      <c r="C38" s="2264">
        <v>4</v>
      </c>
      <c r="D38" s="2265">
        <v>4</v>
      </c>
      <c r="E38" s="2264">
        <v>8</v>
      </c>
      <c r="F38" s="2265">
        <v>12</v>
      </c>
      <c r="G38" s="2264">
        <v>7</v>
      </c>
      <c r="H38" s="2265">
        <v>18</v>
      </c>
      <c r="I38" s="2264">
        <v>6</v>
      </c>
      <c r="J38" s="2265">
        <v>20</v>
      </c>
      <c r="K38" s="2264">
        <v>9</v>
      </c>
      <c r="L38" s="2265">
        <v>26</v>
      </c>
      <c r="M38" s="2264">
        <v>21</v>
      </c>
      <c r="N38" s="2265">
        <v>37</v>
      </c>
      <c r="O38" s="2264">
        <v>18</v>
      </c>
      <c r="P38" s="2265">
        <v>44</v>
      </c>
      <c r="Q38" s="2264">
        <v>25</v>
      </c>
      <c r="R38" s="2265">
        <v>58</v>
      </c>
      <c r="S38" s="2264">
        <v>31</v>
      </c>
      <c r="T38" s="2265">
        <v>79</v>
      </c>
      <c r="U38" s="2264">
        <v>39</v>
      </c>
      <c r="V38" s="2265">
        <v>98</v>
      </c>
      <c r="W38" s="2264">
        <v>21</v>
      </c>
      <c r="X38" s="2265">
        <v>103</v>
      </c>
      <c r="Y38" s="2264">
        <v>14</v>
      </c>
      <c r="Z38" s="2265">
        <v>87</v>
      </c>
      <c r="AA38" s="2264">
        <v>24</v>
      </c>
      <c r="AB38" s="2265">
        <v>81</v>
      </c>
      <c r="AC38" s="2264">
        <v>32</v>
      </c>
      <c r="AD38" s="2265">
        <v>83</v>
      </c>
      <c r="AE38" s="2264">
        <v>22</v>
      </c>
      <c r="AF38" s="2265">
        <v>76</v>
      </c>
      <c r="AG38" s="2264">
        <v>21</v>
      </c>
      <c r="AH38" s="2265">
        <v>74</v>
      </c>
      <c r="AI38" s="2264">
        <v>24</v>
      </c>
      <c r="AJ38" s="2265">
        <v>70</v>
      </c>
      <c r="AK38" s="2266">
        <v>36</v>
      </c>
      <c r="AL38" s="2267">
        <v>51</v>
      </c>
      <c r="AM38" s="2267">
        <v>26</v>
      </c>
      <c r="AN38" s="2265">
        <f t="shared" si="0"/>
        <v>77</v>
      </c>
      <c r="AO38" s="2267">
        <v>36</v>
      </c>
      <c r="AP38" s="2267">
        <v>15</v>
      </c>
      <c r="AQ38" s="2265">
        <f t="shared" si="12"/>
        <v>51</v>
      </c>
      <c r="AR38" s="2267">
        <v>5</v>
      </c>
      <c r="AS38" s="2267">
        <v>1</v>
      </c>
      <c r="AT38" s="2265">
        <f t="shared" si="13"/>
        <v>6</v>
      </c>
    </row>
    <row r="39" spans="2:46" ht="15" customHeight="1" x14ac:dyDescent="0.25">
      <c r="B39" s="2263" t="s">
        <v>83</v>
      </c>
      <c r="C39" s="2264">
        <v>6</v>
      </c>
      <c r="D39" s="2265">
        <v>6</v>
      </c>
      <c r="E39" s="2264">
        <v>10</v>
      </c>
      <c r="F39" s="2265">
        <v>15</v>
      </c>
      <c r="G39" s="2264">
        <v>12</v>
      </c>
      <c r="H39" s="2265">
        <v>25</v>
      </c>
      <c r="I39" s="2264">
        <v>9</v>
      </c>
      <c r="J39" s="2265">
        <v>31</v>
      </c>
      <c r="K39" s="2264">
        <v>19</v>
      </c>
      <c r="L39" s="2265">
        <v>42</v>
      </c>
      <c r="M39" s="2264">
        <v>32</v>
      </c>
      <c r="N39" s="2265">
        <v>60</v>
      </c>
      <c r="O39" s="2264">
        <v>31</v>
      </c>
      <c r="P39" s="2265">
        <v>82</v>
      </c>
      <c r="Q39" s="2264">
        <v>42</v>
      </c>
      <c r="R39" s="2265">
        <v>102</v>
      </c>
      <c r="S39" s="2264">
        <v>42</v>
      </c>
      <c r="T39" s="2265">
        <v>124</v>
      </c>
      <c r="U39" s="2264">
        <v>66</v>
      </c>
      <c r="V39" s="2265">
        <v>167</v>
      </c>
      <c r="W39" s="2264">
        <v>59</v>
      </c>
      <c r="X39" s="2265">
        <v>173</v>
      </c>
      <c r="Y39" s="2264">
        <v>37</v>
      </c>
      <c r="Z39" s="2265">
        <v>166</v>
      </c>
      <c r="AA39" s="2264">
        <v>55</v>
      </c>
      <c r="AB39" s="2265">
        <v>170</v>
      </c>
      <c r="AC39" s="2264">
        <v>57</v>
      </c>
      <c r="AD39" s="2265">
        <v>178</v>
      </c>
      <c r="AE39" s="2264">
        <v>54</v>
      </c>
      <c r="AF39" s="2265">
        <v>179</v>
      </c>
      <c r="AG39" s="2264">
        <v>56</v>
      </c>
      <c r="AH39" s="2265">
        <v>194</v>
      </c>
      <c r="AI39" s="2264">
        <v>59</v>
      </c>
      <c r="AJ39" s="2265">
        <v>93</v>
      </c>
      <c r="AK39" s="2266">
        <v>49</v>
      </c>
      <c r="AL39" s="2267">
        <v>91</v>
      </c>
      <c r="AM39" s="2267">
        <v>82</v>
      </c>
      <c r="AN39" s="2265">
        <f t="shared" si="0"/>
        <v>173</v>
      </c>
      <c r="AO39" s="2267">
        <v>59</v>
      </c>
      <c r="AP39" s="2267">
        <v>56</v>
      </c>
      <c r="AQ39" s="2265">
        <f t="shared" si="12"/>
        <v>115</v>
      </c>
      <c r="AR39" s="2267">
        <v>8</v>
      </c>
      <c r="AS39" s="2267">
        <v>9</v>
      </c>
      <c r="AT39" s="2265">
        <f t="shared" si="13"/>
        <v>17</v>
      </c>
    </row>
    <row r="40" spans="2:46" ht="15" customHeight="1" x14ac:dyDescent="0.25">
      <c r="B40" s="2263" t="s">
        <v>62</v>
      </c>
      <c r="C40" s="2264">
        <v>3</v>
      </c>
      <c r="D40" s="2265">
        <v>3</v>
      </c>
      <c r="E40" s="2264">
        <v>12</v>
      </c>
      <c r="F40" s="2265">
        <v>13</v>
      </c>
      <c r="G40" s="2264">
        <v>9</v>
      </c>
      <c r="H40" s="2265">
        <v>22</v>
      </c>
      <c r="I40" s="2264">
        <v>7</v>
      </c>
      <c r="J40" s="2265">
        <v>25</v>
      </c>
      <c r="K40" s="2264">
        <v>20</v>
      </c>
      <c r="L40" s="2265">
        <v>37</v>
      </c>
      <c r="M40" s="2264">
        <v>36</v>
      </c>
      <c r="N40" s="2265">
        <v>58</v>
      </c>
      <c r="O40" s="2264">
        <v>24</v>
      </c>
      <c r="P40" s="2265">
        <v>66</v>
      </c>
      <c r="Q40" s="2264">
        <v>33</v>
      </c>
      <c r="R40" s="2265">
        <v>80</v>
      </c>
      <c r="S40" s="2264">
        <v>47</v>
      </c>
      <c r="T40" s="2265">
        <v>101</v>
      </c>
      <c r="U40" s="2264">
        <v>51</v>
      </c>
      <c r="V40" s="2265">
        <v>125</v>
      </c>
      <c r="W40" s="2264">
        <v>49</v>
      </c>
      <c r="X40" s="2265">
        <v>126</v>
      </c>
      <c r="Y40" s="2264">
        <v>48</v>
      </c>
      <c r="Z40" s="2265">
        <v>134</v>
      </c>
      <c r="AA40" s="2264">
        <v>48</v>
      </c>
      <c r="AB40" s="2265">
        <v>132</v>
      </c>
      <c r="AC40" s="2264">
        <v>50</v>
      </c>
      <c r="AD40" s="2265">
        <v>138</v>
      </c>
      <c r="AE40" s="2264">
        <v>54</v>
      </c>
      <c r="AF40" s="2265">
        <v>133</v>
      </c>
      <c r="AG40" s="2264">
        <v>58</v>
      </c>
      <c r="AH40" s="2265">
        <v>144</v>
      </c>
      <c r="AI40" s="2264">
        <v>55</v>
      </c>
      <c r="AJ40" s="2265">
        <v>92</v>
      </c>
      <c r="AK40" s="2266">
        <v>48</v>
      </c>
      <c r="AL40" s="2267">
        <v>87</v>
      </c>
      <c r="AM40" s="2267">
        <v>66</v>
      </c>
      <c r="AN40" s="2265">
        <f t="shared" si="0"/>
        <v>153</v>
      </c>
      <c r="AO40" s="2267">
        <v>56</v>
      </c>
      <c r="AP40" s="2267">
        <v>37</v>
      </c>
      <c r="AQ40" s="2265">
        <f t="shared" si="12"/>
        <v>93</v>
      </c>
      <c r="AR40" s="2267">
        <v>10</v>
      </c>
      <c r="AS40" s="2267">
        <v>15</v>
      </c>
      <c r="AT40" s="2265">
        <f t="shared" si="13"/>
        <v>25</v>
      </c>
    </row>
    <row r="41" spans="2:46" ht="15" customHeight="1" x14ac:dyDescent="0.25">
      <c r="B41" s="2263" t="s">
        <v>80</v>
      </c>
      <c r="C41" s="2264">
        <v>2</v>
      </c>
      <c r="D41" s="2265">
        <v>2</v>
      </c>
      <c r="E41" s="2264">
        <v>10</v>
      </c>
      <c r="F41" s="2265">
        <v>11</v>
      </c>
      <c r="G41" s="2264">
        <v>4</v>
      </c>
      <c r="H41" s="2265">
        <v>15</v>
      </c>
      <c r="I41" s="2264">
        <v>7</v>
      </c>
      <c r="J41" s="2265">
        <v>19</v>
      </c>
      <c r="K41" s="2264">
        <v>13</v>
      </c>
      <c r="L41" s="2265">
        <v>30</v>
      </c>
      <c r="M41" s="2264">
        <v>27</v>
      </c>
      <c r="N41" s="2265">
        <v>49</v>
      </c>
      <c r="O41" s="2264">
        <v>15</v>
      </c>
      <c r="P41" s="2265">
        <v>53</v>
      </c>
      <c r="Q41" s="2264">
        <v>18</v>
      </c>
      <c r="R41" s="2265">
        <v>55</v>
      </c>
      <c r="S41" s="2264">
        <v>31</v>
      </c>
      <c r="T41" s="2265">
        <v>64</v>
      </c>
      <c r="U41" s="2264">
        <v>37</v>
      </c>
      <c r="V41" s="2265">
        <v>85</v>
      </c>
      <c r="W41" s="2264">
        <v>31</v>
      </c>
      <c r="X41" s="2265">
        <v>104</v>
      </c>
      <c r="Y41" s="2264">
        <v>26</v>
      </c>
      <c r="Z41" s="2265">
        <v>87</v>
      </c>
      <c r="AA41" s="2264">
        <v>24</v>
      </c>
      <c r="AB41" s="2265">
        <v>84</v>
      </c>
      <c r="AC41" s="2264">
        <v>32</v>
      </c>
      <c r="AD41" s="2265">
        <v>88</v>
      </c>
      <c r="AE41" s="2264">
        <v>20</v>
      </c>
      <c r="AF41" s="2265">
        <v>82</v>
      </c>
      <c r="AG41" s="2264">
        <v>26</v>
      </c>
      <c r="AH41" s="2265">
        <v>75</v>
      </c>
      <c r="AI41" s="2264">
        <v>41</v>
      </c>
      <c r="AJ41" s="2265">
        <v>162</v>
      </c>
      <c r="AK41" s="2266">
        <v>28</v>
      </c>
      <c r="AL41" s="2267">
        <v>31</v>
      </c>
      <c r="AM41" s="2267">
        <v>51</v>
      </c>
      <c r="AN41" s="2265">
        <f t="shared" si="0"/>
        <v>82</v>
      </c>
      <c r="AO41" s="2267">
        <v>22</v>
      </c>
      <c r="AP41" s="2267">
        <v>26</v>
      </c>
      <c r="AQ41" s="2265">
        <f t="shared" si="12"/>
        <v>48</v>
      </c>
      <c r="AR41" s="2267">
        <v>1</v>
      </c>
      <c r="AS41" s="2267">
        <v>0</v>
      </c>
      <c r="AT41" s="2265">
        <f t="shared" si="13"/>
        <v>1</v>
      </c>
    </row>
    <row r="42" spans="2:46" ht="15" customHeight="1" x14ac:dyDescent="0.25">
      <c r="B42" s="2263" t="s">
        <v>85</v>
      </c>
      <c r="C42" s="2264">
        <v>0</v>
      </c>
      <c r="D42" s="2265">
        <v>0</v>
      </c>
      <c r="E42" s="2264">
        <v>6</v>
      </c>
      <c r="F42" s="2265">
        <v>6</v>
      </c>
      <c r="G42" s="2264">
        <v>8</v>
      </c>
      <c r="H42" s="2265">
        <v>13</v>
      </c>
      <c r="I42" s="2264">
        <v>4</v>
      </c>
      <c r="J42" s="2265">
        <v>16</v>
      </c>
      <c r="K42" s="2264">
        <v>7</v>
      </c>
      <c r="L42" s="2265">
        <v>21</v>
      </c>
      <c r="M42" s="2264">
        <v>13</v>
      </c>
      <c r="N42" s="2265">
        <v>32</v>
      </c>
      <c r="O42" s="2264">
        <v>15</v>
      </c>
      <c r="P42" s="2265">
        <v>35</v>
      </c>
      <c r="Q42" s="2264">
        <v>9</v>
      </c>
      <c r="R42" s="2265">
        <v>38</v>
      </c>
      <c r="S42" s="2264">
        <v>18</v>
      </c>
      <c r="T42" s="2265">
        <v>38</v>
      </c>
      <c r="U42" s="2264">
        <v>14</v>
      </c>
      <c r="V42" s="2265">
        <v>38</v>
      </c>
      <c r="W42" s="2264">
        <v>23</v>
      </c>
      <c r="X42" s="2265">
        <v>45</v>
      </c>
      <c r="Y42" s="2264">
        <v>22</v>
      </c>
      <c r="Z42" s="2265">
        <v>54</v>
      </c>
      <c r="AA42" s="2264">
        <v>23</v>
      </c>
      <c r="AB42" s="2265">
        <v>66</v>
      </c>
      <c r="AC42" s="2264">
        <v>24</v>
      </c>
      <c r="AD42" s="2265">
        <v>74</v>
      </c>
      <c r="AE42" s="2264">
        <v>22</v>
      </c>
      <c r="AF42" s="2265">
        <v>72</v>
      </c>
      <c r="AG42" s="2264">
        <v>33</v>
      </c>
      <c r="AH42" s="2265">
        <v>71</v>
      </c>
      <c r="AI42" s="2264">
        <v>28</v>
      </c>
      <c r="AJ42" s="2265">
        <v>190</v>
      </c>
      <c r="AK42" s="2266">
        <v>17</v>
      </c>
      <c r="AL42" s="2267">
        <v>38</v>
      </c>
      <c r="AM42" s="2267">
        <v>27</v>
      </c>
      <c r="AN42" s="2265">
        <f t="shared" si="0"/>
        <v>65</v>
      </c>
      <c r="AO42" s="2267">
        <v>25</v>
      </c>
      <c r="AP42" s="2267">
        <v>17</v>
      </c>
      <c r="AQ42" s="2265">
        <f t="shared" si="12"/>
        <v>42</v>
      </c>
      <c r="AR42" s="2267">
        <v>3</v>
      </c>
      <c r="AS42" s="2267">
        <v>4</v>
      </c>
      <c r="AT42" s="2265">
        <f t="shared" si="13"/>
        <v>7</v>
      </c>
    </row>
    <row r="43" spans="2:46" ht="15" customHeight="1" x14ac:dyDescent="0.25">
      <c r="B43" s="2263" t="s">
        <v>81</v>
      </c>
      <c r="C43" s="2264">
        <v>3</v>
      </c>
      <c r="D43" s="2265">
        <v>3</v>
      </c>
      <c r="E43" s="2264">
        <v>10</v>
      </c>
      <c r="F43" s="2265">
        <v>12</v>
      </c>
      <c r="G43" s="2264">
        <v>8</v>
      </c>
      <c r="H43" s="2265">
        <v>18</v>
      </c>
      <c r="I43" s="2264">
        <v>13</v>
      </c>
      <c r="J43" s="2265">
        <v>27</v>
      </c>
      <c r="K43" s="2264">
        <v>16</v>
      </c>
      <c r="L43" s="2265">
        <v>40</v>
      </c>
      <c r="M43" s="2264">
        <v>33</v>
      </c>
      <c r="N43" s="2265">
        <v>53</v>
      </c>
      <c r="O43" s="2264">
        <v>22</v>
      </c>
      <c r="P43" s="2265">
        <v>63</v>
      </c>
      <c r="Q43" s="2264">
        <v>14</v>
      </c>
      <c r="R43" s="2265">
        <v>61</v>
      </c>
      <c r="S43" s="2264">
        <v>28</v>
      </c>
      <c r="T43" s="2265">
        <v>69</v>
      </c>
      <c r="U43" s="2264">
        <v>36</v>
      </c>
      <c r="V43" s="2265">
        <v>83</v>
      </c>
      <c r="W43" s="2264">
        <v>36</v>
      </c>
      <c r="X43" s="2265">
        <v>102</v>
      </c>
      <c r="Y43" s="2264">
        <v>28</v>
      </c>
      <c r="Z43" s="2265">
        <v>100</v>
      </c>
      <c r="AA43" s="2264">
        <v>39</v>
      </c>
      <c r="AB43" s="2265">
        <v>102</v>
      </c>
      <c r="AC43" s="2264">
        <v>21</v>
      </c>
      <c r="AD43" s="2265">
        <v>98</v>
      </c>
      <c r="AE43" s="2264">
        <v>48</v>
      </c>
      <c r="AF43" s="2265">
        <v>120</v>
      </c>
      <c r="AG43" s="2264">
        <v>23</v>
      </c>
      <c r="AH43" s="2265">
        <v>102</v>
      </c>
      <c r="AI43" s="2264">
        <v>46</v>
      </c>
      <c r="AJ43" s="2265">
        <v>108</v>
      </c>
      <c r="AK43" s="2266">
        <v>35</v>
      </c>
      <c r="AL43" s="2267">
        <v>45</v>
      </c>
      <c r="AM43" s="2267">
        <v>63</v>
      </c>
      <c r="AN43" s="2265">
        <f t="shared" si="0"/>
        <v>108</v>
      </c>
      <c r="AO43" s="2267">
        <v>29</v>
      </c>
      <c r="AP43" s="2267">
        <v>37</v>
      </c>
      <c r="AQ43" s="2265">
        <f t="shared" si="12"/>
        <v>66</v>
      </c>
      <c r="AR43" s="2267">
        <v>2</v>
      </c>
      <c r="AS43" s="2267">
        <v>7</v>
      </c>
      <c r="AT43" s="2265">
        <f t="shared" si="13"/>
        <v>9</v>
      </c>
    </row>
    <row r="44" spans="2:46" ht="15" customHeight="1" x14ac:dyDescent="0.25">
      <c r="B44" s="2263" t="s">
        <v>79</v>
      </c>
      <c r="C44" s="2264">
        <v>4</v>
      </c>
      <c r="D44" s="2265">
        <v>3</v>
      </c>
      <c r="E44" s="2264">
        <v>9</v>
      </c>
      <c r="F44" s="2265">
        <v>13</v>
      </c>
      <c r="G44" s="2264">
        <v>11</v>
      </c>
      <c r="H44" s="2265">
        <v>19</v>
      </c>
      <c r="I44" s="2264">
        <v>5</v>
      </c>
      <c r="J44" s="2265">
        <v>24</v>
      </c>
      <c r="K44" s="2264">
        <v>13</v>
      </c>
      <c r="L44" s="2265">
        <v>34</v>
      </c>
      <c r="M44" s="2264">
        <v>26</v>
      </c>
      <c r="N44" s="2265">
        <v>48</v>
      </c>
      <c r="O44" s="2264">
        <v>20</v>
      </c>
      <c r="P44" s="2265">
        <v>53</v>
      </c>
      <c r="Q44" s="2264">
        <v>13</v>
      </c>
      <c r="R44" s="2265">
        <v>52</v>
      </c>
      <c r="S44" s="2264">
        <v>16</v>
      </c>
      <c r="T44" s="2265">
        <v>49</v>
      </c>
      <c r="U44" s="2264">
        <v>29</v>
      </c>
      <c r="V44" s="2265">
        <v>68</v>
      </c>
      <c r="W44" s="2264">
        <v>24</v>
      </c>
      <c r="X44" s="2265">
        <v>72</v>
      </c>
      <c r="Y44" s="2264">
        <v>15</v>
      </c>
      <c r="Z44" s="2265">
        <v>62</v>
      </c>
      <c r="AA44" s="2264">
        <v>17</v>
      </c>
      <c r="AB44" s="2265">
        <v>59</v>
      </c>
      <c r="AC44" s="2264">
        <v>20</v>
      </c>
      <c r="AD44" s="2265">
        <v>56</v>
      </c>
      <c r="AE44" s="2264">
        <v>27</v>
      </c>
      <c r="AF44" s="2265">
        <v>68</v>
      </c>
      <c r="AG44" s="2264">
        <v>36</v>
      </c>
      <c r="AH44" s="2265">
        <v>81</v>
      </c>
      <c r="AI44" s="2264">
        <v>28</v>
      </c>
      <c r="AJ44" s="2265">
        <v>61</v>
      </c>
      <c r="AK44" s="2266">
        <v>41</v>
      </c>
      <c r="AL44" s="2267">
        <v>76</v>
      </c>
      <c r="AM44" s="2267">
        <v>27</v>
      </c>
      <c r="AN44" s="2265">
        <f t="shared" si="0"/>
        <v>103</v>
      </c>
      <c r="AO44" s="2267">
        <v>60</v>
      </c>
      <c r="AP44" s="2267">
        <v>22</v>
      </c>
      <c r="AQ44" s="2265">
        <f t="shared" si="12"/>
        <v>82</v>
      </c>
      <c r="AR44" s="2267">
        <v>6</v>
      </c>
      <c r="AS44" s="2267">
        <v>3</v>
      </c>
      <c r="AT44" s="2265">
        <f t="shared" si="13"/>
        <v>9</v>
      </c>
    </row>
    <row r="45" spans="2:46" ht="15" customHeight="1" x14ac:dyDescent="0.25">
      <c r="B45" s="2263" t="s">
        <v>82</v>
      </c>
      <c r="C45" s="2264">
        <v>2</v>
      </c>
      <c r="D45" s="2265">
        <v>2</v>
      </c>
      <c r="E45" s="2264">
        <v>5</v>
      </c>
      <c r="F45" s="2265">
        <v>7</v>
      </c>
      <c r="G45" s="2264">
        <v>6</v>
      </c>
      <c r="H45" s="2265">
        <v>11</v>
      </c>
      <c r="I45" s="2264">
        <v>4</v>
      </c>
      <c r="J45" s="2265">
        <v>13</v>
      </c>
      <c r="K45" s="2264">
        <v>5</v>
      </c>
      <c r="L45" s="2265">
        <v>16</v>
      </c>
      <c r="M45" s="2264">
        <v>14</v>
      </c>
      <c r="N45" s="2265">
        <v>22</v>
      </c>
      <c r="O45" s="2264">
        <v>7</v>
      </c>
      <c r="P45" s="2265">
        <v>24</v>
      </c>
      <c r="Q45" s="2264">
        <v>7</v>
      </c>
      <c r="R45" s="2265">
        <v>24</v>
      </c>
      <c r="S45" s="2264">
        <v>17</v>
      </c>
      <c r="T45" s="2265">
        <v>26</v>
      </c>
      <c r="U45" s="2264">
        <v>28</v>
      </c>
      <c r="V45" s="2265">
        <v>48</v>
      </c>
      <c r="W45" s="2264">
        <v>21</v>
      </c>
      <c r="X45" s="2265">
        <v>56</v>
      </c>
      <c r="Y45" s="2264">
        <v>14</v>
      </c>
      <c r="Z45" s="2265">
        <v>55</v>
      </c>
      <c r="AA45" s="2264">
        <v>14</v>
      </c>
      <c r="AB45" s="2265">
        <v>44</v>
      </c>
      <c r="AC45" s="2264">
        <v>17</v>
      </c>
      <c r="AD45" s="2265">
        <v>44</v>
      </c>
      <c r="AE45" s="2264">
        <v>15</v>
      </c>
      <c r="AF45" s="2265">
        <v>43</v>
      </c>
      <c r="AG45" s="2264">
        <v>29</v>
      </c>
      <c r="AH45" s="2265">
        <v>62</v>
      </c>
      <c r="AI45" s="2264">
        <v>29</v>
      </c>
      <c r="AJ45" s="2265">
        <v>192</v>
      </c>
      <c r="AK45" s="2266">
        <v>25</v>
      </c>
      <c r="AL45" s="2267">
        <v>55</v>
      </c>
      <c r="AM45" s="2267">
        <v>13</v>
      </c>
      <c r="AN45" s="2265">
        <f t="shared" si="0"/>
        <v>68</v>
      </c>
      <c r="AO45" s="2267">
        <v>41</v>
      </c>
      <c r="AP45" s="2267">
        <v>8</v>
      </c>
      <c r="AQ45" s="2265">
        <f t="shared" si="12"/>
        <v>49</v>
      </c>
      <c r="AR45" s="2267">
        <v>5</v>
      </c>
      <c r="AS45" s="2267">
        <v>1</v>
      </c>
      <c r="AT45" s="2265">
        <f t="shared" si="13"/>
        <v>6</v>
      </c>
    </row>
    <row r="46" spans="2:46" ht="15" customHeight="1" x14ac:dyDescent="0.25">
      <c r="B46" s="2263" t="s">
        <v>84</v>
      </c>
      <c r="C46" s="2264">
        <v>4</v>
      </c>
      <c r="D46" s="2265">
        <v>4</v>
      </c>
      <c r="E46" s="2264">
        <v>23</v>
      </c>
      <c r="F46" s="2265">
        <v>26</v>
      </c>
      <c r="G46" s="2264">
        <v>24</v>
      </c>
      <c r="H46" s="2265">
        <v>42</v>
      </c>
      <c r="I46" s="2264">
        <v>27</v>
      </c>
      <c r="J46" s="2265">
        <v>59</v>
      </c>
      <c r="K46" s="2264">
        <v>23</v>
      </c>
      <c r="L46" s="2265">
        <v>75</v>
      </c>
      <c r="M46" s="2264">
        <v>64</v>
      </c>
      <c r="N46" s="2265">
        <v>115</v>
      </c>
      <c r="O46" s="2264">
        <v>52</v>
      </c>
      <c r="P46" s="2265">
        <v>145</v>
      </c>
      <c r="Q46" s="2264">
        <v>84</v>
      </c>
      <c r="R46" s="2265">
        <v>178</v>
      </c>
      <c r="S46" s="2264">
        <v>107</v>
      </c>
      <c r="T46" s="2265">
        <v>228</v>
      </c>
      <c r="U46" s="2264">
        <v>140</v>
      </c>
      <c r="V46" s="2265">
        <v>307</v>
      </c>
      <c r="W46" s="2264">
        <v>105</v>
      </c>
      <c r="X46" s="2265">
        <v>358</v>
      </c>
      <c r="Y46" s="2264">
        <v>80</v>
      </c>
      <c r="Z46" s="2265">
        <v>351</v>
      </c>
      <c r="AA46" s="2264">
        <v>101</v>
      </c>
      <c r="AB46" s="2265">
        <v>332</v>
      </c>
      <c r="AC46" s="2264">
        <v>101</v>
      </c>
      <c r="AD46" s="2265">
        <v>344</v>
      </c>
      <c r="AE46" s="2264">
        <v>106</v>
      </c>
      <c r="AF46" s="2265">
        <v>345</v>
      </c>
      <c r="AG46" s="2264">
        <v>109</v>
      </c>
      <c r="AH46" s="2265">
        <v>370</v>
      </c>
      <c r="AI46" s="2264">
        <v>94</v>
      </c>
      <c r="AJ46" s="2265">
        <v>351</v>
      </c>
      <c r="AK46" s="2266">
        <v>99</v>
      </c>
      <c r="AL46" s="2267">
        <v>277</v>
      </c>
      <c r="AM46" s="2267">
        <v>65</v>
      </c>
      <c r="AN46" s="2265">
        <f t="shared" si="0"/>
        <v>342</v>
      </c>
      <c r="AO46" s="2267">
        <v>194</v>
      </c>
      <c r="AP46" s="2267">
        <v>41</v>
      </c>
      <c r="AQ46" s="2265">
        <f t="shared" si="12"/>
        <v>235</v>
      </c>
      <c r="AR46" s="2267">
        <v>20</v>
      </c>
      <c r="AS46" s="2267">
        <v>6</v>
      </c>
      <c r="AT46" s="2265">
        <f t="shared" si="13"/>
        <v>26</v>
      </c>
    </row>
    <row r="47" spans="2:46" ht="15" customHeight="1" x14ac:dyDescent="0.25">
      <c r="B47" s="2263" t="s">
        <v>63</v>
      </c>
      <c r="C47" s="2264">
        <v>1</v>
      </c>
      <c r="D47" s="2265">
        <v>1</v>
      </c>
      <c r="E47" s="2264">
        <v>13</v>
      </c>
      <c r="F47" s="2265">
        <v>14</v>
      </c>
      <c r="G47" s="2264">
        <v>17</v>
      </c>
      <c r="H47" s="2265">
        <v>28</v>
      </c>
      <c r="I47" s="2264">
        <v>8</v>
      </c>
      <c r="J47" s="2265">
        <v>33</v>
      </c>
      <c r="K47" s="2264">
        <v>18</v>
      </c>
      <c r="L47" s="2265">
        <v>42</v>
      </c>
      <c r="M47" s="2264">
        <v>37</v>
      </c>
      <c r="N47" s="2265">
        <v>65</v>
      </c>
      <c r="O47" s="2264">
        <v>21</v>
      </c>
      <c r="P47" s="2265">
        <v>70</v>
      </c>
      <c r="Q47" s="2264">
        <v>47</v>
      </c>
      <c r="R47" s="2265">
        <v>96</v>
      </c>
      <c r="S47" s="2264">
        <v>57</v>
      </c>
      <c r="T47" s="2265">
        <v>128</v>
      </c>
      <c r="U47" s="2264">
        <v>77</v>
      </c>
      <c r="V47" s="2265">
        <v>167</v>
      </c>
      <c r="W47" s="2264">
        <v>54</v>
      </c>
      <c r="X47" s="2265">
        <v>184</v>
      </c>
      <c r="Y47" s="2264">
        <v>39</v>
      </c>
      <c r="Z47" s="2265">
        <v>166</v>
      </c>
      <c r="AA47" s="2264">
        <v>54</v>
      </c>
      <c r="AB47" s="2265">
        <v>175</v>
      </c>
      <c r="AC47" s="2264">
        <v>58</v>
      </c>
      <c r="AD47" s="2265">
        <v>176</v>
      </c>
      <c r="AE47" s="2264">
        <v>50</v>
      </c>
      <c r="AF47" s="2265">
        <v>183</v>
      </c>
      <c r="AG47" s="2264">
        <v>61</v>
      </c>
      <c r="AH47" s="2265">
        <v>184</v>
      </c>
      <c r="AI47" s="2264">
        <v>56</v>
      </c>
      <c r="AJ47" s="2265">
        <v>76</v>
      </c>
      <c r="AK47" s="2266">
        <v>53</v>
      </c>
      <c r="AL47" s="2267">
        <v>118</v>
      </c>
      <c r="AM47" s="2267">
        <v>62</v>
      </c>
      <c r="AN47" s="2265">
        <f t="shared" si="0"/>
        <v>180</v>
      </c>
      <c r="AO47" s="2267">
        <v>71</v>
      </c>
      <c r="AP47" s="2267">
        <v>36</v>
      </c>
      <c r="AQ47" s="2265">
        <f t="shared" si="12"/>
        <v>107</v>
      </c>
      <c r="AR47" s="2267">
        <v>13</v>
      </c>
      <c r="AS47" s="2267">
        <v>2</v>
      </c>
      <c r="AT47" s="2265">
        <f t="shared" si="13"/>
        <v>15</v>
      </c>
    </row>
    <row r="48" spans="2:46" ht="15" customHeight="1" x14ac:dyDescent="0.25">
      <c r="B48" s="2268" t="s">
        <v>64</v>
      </c>
      <c r="C48" s="2269">
        <f>SUM(C37:C47)</f>
        <v>35</v>
      </c>
      <c r="D48" s="2270">
        <f t="shared" ref="D48:AT48" si="14">SUM(D37:D47)</f>
        <v>34</v>
      </c>
      <c r="E48" s="2269">
        <f t="shared" si="14"/>
        <v>129</v>
      </c>
      <c r="F48" s="2270">
        <f t="shared" si="14"/>
        <v>157</v>
      </c>
      <c r="G48" s="2269">
        <f t="shared" si="14"/>
        <v>139</v>
      </c>
      <c r="H48" s="2270">
        <f t="shared" si="14"/>
        <v>267</v>
      </c>
      <c r="I48" s="2269">
        <f t="shared" si="14"/>
        <v>116</v>
      </c>
      <c r="J48" s="2270">
        <f t="shared" si="14"/>
        <v>339</v>
      </c>
      <c r="K48" s="2269">
        <f t="shared" si="14"/>
        <v>166</v>
      </c>
      <c r="L48" s="2270">
        <f t="shared" si="14"/>
        <v>449</v>
      </c>
      <c r="M48" s="2269">
        <f t="shared" si="14"/>
        <v>418</v>
      </c>
      <c r="N48" s="2270">
        <f t="shared" si="14"/>
        <v>710</v>
      </c>
      <c r="O48" s="2269">
        <f t="shared" si="14"/>
        <v>288</v>
      </c>
      <c r="P48" s="2270">
        <f t="shared" si="14"/>
        <v>836</v>
      </c>
      <c r="Q48" s="2269">
        <f t="shared" si="14"/>
        <v>369</v>
      </c>
      <c r="R48" s="2270">
        <f t="shared" si="14"/>
        <v>949</v>
      </c>
      <c r="S48" s="2269">
        <f t="shared" si="14"/>
        <v>528</v>
      </c>
      <c r="T48" s="2270">
        <f t="shared" si="14"/>
        <v>1173</v>
      </c>
      <c r="U48" s="2269">
        <f t="shared" si="14"/>
        <v>705</v>
      </c>
      <c r="V48" s="2270">
        <f t="shared" si="14"/>
        <v>1584</v>
      </c>
      <c r="W48" s="2269">
        <f t="shared" si="14"/>
        <v>569</v>
      </c>
      <c r="X48" s="2270">
        <f t="shared" si="14"/>
        <v>1781</v>
      </c>
      <c r="Y48" s="2269">
        <f t="shared" si="14"/>
        <v>445</v>
      </c>
      <c r="Z48" s="2270">
        <f t="shared" si="14"/>
        <v>1738</v>
      </c>
      <c r="AA48" s="2269">
        <f t="shared" si="14"/>
        <v>510</v>
      </c>
      <c r="AB48" s="2270">
        <f t="shared" si="14"/>
        <v>1688</v>
      </c>
      <c r="AC48" s="2269">
        <f t="shared" si="14"/>
        <v>545</v>
      </c>
      <c r="AD48" s="2270">
        <f t="shared" si="14"/>
        <v>1735</v>
      </c>
      <c r="AE48" s="2269">
        <f t="shared" si="14"/>
        <v>539</v>
      </c>
      <c r="AF48" s="2270">
        <f t="shared" si="14"/>
        <v>1764</v>
      </c>
      <c r="AG48" s="2269">
        <f t="shared" si="14"/>
        <v>590</v>
      </c>
      <c r="AH48" s="2270">
        <f t="shared" si="14"/>
        <v>1827</v>
      </c>
      <c r="AI48" s="2269">
        <f t="shared" si="14"/>
        <v>615</v>
      </c>
      <c r="AJ48" s="2270">
        <f t="shared" si="14"/>
        <v>1898</v>
      </c>
      <c r="AK48" s="2271">
        <f t="shared" si="14"/>
        <v>536</v>
      </c>
      <c r="AL48" s="2272">
        <f t="shared" si="14"/>
        <v>1169</v>
      </c>
      <c r="AM48" s="2273">
        <f t="shared" si="14"/>
        <v>650</v>
      </c>
      <c r="AN48" s="2270">
        <f t="shared" si="14"/>
        <v>1819</v>
      </c>
      <c r="AO48" s="2272">
        <f t="shared" si="14"/>
        <v>800</v>
      </c>
      <c r="AP48" s="2273">
        <f t="shared" si="14"/>
        <v>398</v>
      </c>
      <c r="AQ48" s="2270">
        <f t="shared" si="14"/>
        <v>1198</v>
      </c>
      <c r="AR48" s="2272">
        <f t="shared" si="14"/>
        <v>83</v>
      </c>
      <c r="AS48" s="2273">
        <f t="shared" si="14"/>
        <v>55</v>
      </c>
      <c r="AT48" s="2270">
        <f t="shared" si="14"/>
        <v>138</v>
      </c>
    </row>
    <row r="49" spans="2:46" ht="15" customHeight="1" x14ac:dyDescent="0.25">
      <c r="B49" s="2263" t="s">
        <v>86</v>
      </c>
      <c r="C49" s="2264">
        <v>1</v>
      </c>
      <c r="D49" s="2265">
        <v>1</v>
      </c>
      <c r="E49" s="2264">
        <v>14</v>
      </c>
      <c r="F49" s="2265">
        <v>13</v>
      </c>
      <c r="G49" s="2264">
        <v>12</v>
      </c>
      <c r="H49" s="2265">
        <v>24</v>
      </c>
      <c r="I49" s="2264">
        <v>18</v>
      </c>
      <c r="J49" s="2265">
        <v>37</v>
      </c>
      <c r="K49" s="2264">
        <v>30</v>
      </c>
      <c r="L49" s="2265">
        <v>51</v>
      </c>
      <c r="M49" s="2264">
        <v>46</v>
      </c>
      <c r="N49" s="2265">
        <v>75</v>
      </c>
      <c r="O49" s="2264">
        <v>33</v>
      </c>
      <c r="P49" s="2265">
        <v>88</v>
      </c>
      <c r="Q49" s="2264">
        <v>34</v>
      </c>
      <c r="R49" s="2265">
        <v>93</v>
      </c>
      <c r="S49" s="2264">
        <v>48</v>
      </c>
      <c r="T49" s="2265">
        <v>103</v>
      </c>
      <c r="U49" s="2264">
        <v>83</v>
      </c>
      <c r="V49" s="2265">
        <v>137</v>
      </c>
      <c r="W49" s="2264">
        <v>72</v>
      </c>
      <c r="X49" s="2265">
        <v>170</v>
      </c>
      <c r="Y49" s="2264">
        <v>60</v>
      </c>
      <c r="Z49" s="2265">
        <v>157</v>
      </c>
      <c r="AA49" s="2264">
        <v>56</v>
      </c>
      <c r="AB49" s="2265">
        <v>159</v>
      </c>
      <c r="AC49" s="2264">
        <v>66</v>
      </c>
      <c r="AD49" s="2265">
        <v>176</v>
      </c>
      <c r="AE49" s="2264">
        <v>66</v>
      </c>
      <c r="AF49" s="2265">
        <v>181</v>
      </c>
      <c r="AG49" s="2264">
        <v>77</v>
      </c>
      <c r="AH49" s="2265">
        <v>186</v>
      </c>
      <c r="AI49" s="2264">
        <v>55</v>
      </c>
      <c r="AJ49" s="2265">
        <v>191</v>
      </c>
      <c r="AK49" s="2266">
        <v>30</v>
      </c>
      <c r="AL49" s="2267">
        <v>108</v>
      </c>
      <c r="AM49" s="2267">
        <v>49</v>
      </c>
      <c r="AN49" s="2265">
        <f t="shared" si="0"/>
        <v>157</v>
      </c>
      <c r="AO49" s="2267">
        <v>69</v>
      </c>
      <c r="AP49" s="2267">
        <v>29</v>
      </c>
      <c r="AQ49" s="2265">
        <f t="shared" ref="AQ49:AQ54" si="15">SUM(AO49:AP49)</f>
        <v>98</v>
      </c>
      <c r="AR49" s="2267">
        <v>14</v>
      </c>
      <c r="AS49" s="2267">
        <v>8</v>
      </c>
      <c r="AT49" s="2265">
        <f t="shared" ref="AT49:AT54" si="16">SUM(AR49:AS49)</f>
        <v>22</v>
      </c>
    </row>
    <row r="50" spans="2:46" ht="15" customHeight="1" x14ac:dyDescent="0.25">
      <c r="B50" s="2263" t="s">
        <v>87</v>
      </c>
      <c r="C50" s="2264">
        <v>0</v>
      </c>
      <c r="D50" s="2265">
        <v>0</v>
      </c>
      <c r="E50" s="2264">
        <v>15</v>
      </c>
      <c r="F50" s="2265">
        <v>15</v>
      </c>
      <c r="G50" s="2264">
        <v>9</v>
      </c>
      <c r="H50" s="2265">
        <v>22</v>
      </c>
      <c r="I50" s="2264">
        <v>17</v>
      </c>
      <c r="J50" s="2265">
        <v>32</v>
      </c>
      <c r="K50" s="2264">
        <v>26</v>
      </c>
      <c r="L50" s="2265">
        <v>49</v>
      </c>
      <c r="M50" s="2264">
        <v>34</v>
      </c>
      <c r="N50" s="2265">
        <v>67</v>
      </c>
      <c r="O50" s="2264">
        <v>28</v>
      </c>
      <c r="P50" s="2265">
        <v>84</v>
      </c>
      <c r="Q50" s="2264">
        <v>20</v>
      </c>
      <c r="R50" s="2265">
        <v>75</v>
      </c>
      <c r="S50" s="2264">
        <v>51</v>
      </c>
      <c r="T50" s="2265">
        <v>80</v>
      </c>
      <c r="U50" s="2264">
        <v>46</v>
      </c>
      <c r="V50" s="2265">
        <v>100</v>
      </c>
      <c r="W50" s="2264">
        <v>55</v>
      </c>
      <c r="X50" s="2265">
        <v>116</v>
      </c>
      <c r="Y50" s="2264">
        <v>50</v>
      </c>
      <c r="Z50" s="2265">
        <v>130</v>
      </c>
      <c r="AA50" s="2264">
        <v>52</v>
      </c>
      <c r="AB50" s="2265">
        <v>139</v>
      </c>
      <c r="AC50" s="2264">
        <v>50</v>
      </c>
      <c r="AD50" s="2265">
        <v>141</v>
      </c>
      <c r="AE50" s="2264">
        <v>44</v>
      </c>
      <c r="AF50" s="2265">
        <v>136</v>
      </c>
      <c r="AG50" s="2264">
        <v>79</v>
      </c>
      <c r="AH50" s="2265">
        <v>169</v>
      </c>
      <c r="AI50" s="2264">
        <v>56</v>
      </c>
      <c r="AJ50" s="2265">
        <v>180</v>
      </c>
      <c r="AK50" s="2266">
        <v>28</v>
      </c>
      <c r="AL50" s="2267">
        <v>91</v>
      </c>
      <c r="AM50" s="2267">
        <v>39</v>
      </c>
      <c r="AN50" s="2265">
        <f t="shared" si="0"/>
        <v>130</v>
      </c>
      <c r="AO50" s="2267">
        <v>47</v>
      </c>
      <c r="AP50" s="2267">
        <v>23</v>
      </c>
      <c r="AQ50" s="2265">
        <f t="shared" si="15"/>
        <v>70</v>
      </c>
      <c r="AR50" s="2267">
        <v>10</v>
      </c>
      <c r="AS50" s="2267">
        <v>9</v>
      </c>
      <c r="AT50" s="2265">
        <f t="shared" si="16"/>
        <v>19</v>
      </c>
    </row>
    <row r="51" spans="2:46" ht="15" customHeight="1" x14ac:dyDescent="0.25">
      <c r="B51" s="2263" t="s">
        <v>88</v>
      </c>
      <c r="C51" s="2264">
        <v>1</v>
      </c>
      <c r="D51" s="2265">
        <v>1</v>
      </c>
      <c r="E51" s="2264">
        <v>5</v>
      </c>
      <c r="F51" s="2265">
        <v>6</v>
      </c>
      <c r="G51" s="2264">
        <v>3</v>
      </c>
      <c r="H51" s="2265">
        <v>8</v>
      </c>
      <c r="I51" s="2264">
        <v>6</v>
      </c>
      <c r="J51" s="2265">
        <v>11</v>
      </c>
      <c r="K51" s="2264">
        <v>9</v>
      </c>
      <c r="L51" s="2265">
        <v>14</v>
      </c>
      <c r="M51" s="2264">
        <v>21</v>
      </c>
      <c r="N51" s="2265">
        <v>32</v>
      </c>
      <c r="O51" s="2264">
        <v>15</v>
      </c>
      <c r="P51" s="2265">
        <v>42</v>
      </c>
      <c r="Q51" s="2264">
        <v>5</v>
      </c>
      <c r="R51" s="2265">
        <v>28</v>
      </c>
      <c r="S51" s="2264">
        <v>12</v>
      </c>
      <c r="T51" s="2265">
        <v>25</v>
      </c>
      <c r="U51" s="2264">
        <v>39</v>
      </c>
      <c r="V51" s="2265">
        <v>52</v>
      </c>
      <c r="W51" s="2264">
        <v>51</v>
      </c>
      <c r="X51" s="2265">
        <v>93</v>
      </c>
      <c r="Y51" s="2264">
        <v>53</v>
      </c>
      <c r="Z51" s="2265">
        <v>118</v>
      </c>
      <c r="AA51" s="2264">
        <v>43</v>
      </c>
      <c r="AB51" s="2265">
        <v>121</v>
      </c>
      <c r="AC51" s="2264">
        <v>53</v>
      </c>
      <c r="AD51" s="2265">
        <v>132</v>
      </c>
      <c r="AE51" s="2264">
        <v>44</v>
      </c>
      <c r="AF51" s="2265">
        <v>135</v>
      </c>
      <c r="AG51" s="2264">
        <v>53</v>
      </c>
      <c r="AH51" s="2265">
        <v>147</v>
      </c>
      <c r="AI51" s="2264">
        <v>41</v>
      </c>
      <c r="AJ51" s="2265">
        <v>144</v>
      </c>
      <c r="AK51" s="2266">
        <v>33</v>
      </c>
      <c r="AL51" s="2267">
        <v>88</v>
      </c>
      <c r="AM51" s="2267">
        <v>37</v>
      </c>
      <c r="AN51" s="2265">
        <f t="shared" si="0"/>
        <v>125</v>
      </c>
      <c r="AO51" s="2267">
        <v>54</v>
      </c>
      <c r="AP51" s="2267">
        <v>21</v>
      </c>
      <c r="AQ51" s="2265">
        <f t="shared" si="15"/>
        <v>75</v>
      </c>
      <c r="AR51" s="2267">
        <v>9</v>
      </c>
      <c r="AS51" s="2267">
        <v>1</v>
      </c>
      <c r="AT51" s="2265">
        <f t="shared" si="16"/>
        <v>10</v>
      </c>
    </row>
    <row r="52" spans="2:46" ht="15" customHeight="1" x14ac:dyDescent="0.25">
      <c r="B52" s="2263" t="s">
        <v>90</v>
      </c>
      <c r="C52" s="2264">
        <v>1</v>
      </c>
      <c r="D52" s="2265">
        <v>1</v>
      </c>
      <c r="E52" s="2264">
        <v>21</v>
      </c>
      <c r="F52" s="2265">
        <v>21</v>
      </c>
      <c r="G52" s="2264">
        <v>24</v>
      </c>
      <c r="H52" s="2265">
        <v>38</v>
      </c>
      <c r="I52" s="2264">
        <v>26</v>
      </c>
      <c r="J52" s="2265">
        <v>59</v>
      </c>
      <c r="K52" s="2264">
        <v>31</v>
      </c>
      <c r="L52" s="2265">
        <v>67</v>
      </c>
      <c r="M52" s="2264">
        <v>59</v>
      </c>
      <c r="N52" s="2265">
        <v>100</v>
      </c>
      <c r="O52" s="2264">
        <v>38</v>
      </c>
      <c r="P52" s="2265">
        <v>111</v>
      </c>
      <c r="Q52" s="2264">
        <v>40</v>
      </c>
      <c r="R52" s="2265">
        <v>101</v>
      </c>
      <c r="S52" s="2264">
        <v>60</v>
      </c>
      <c r="T52" s="2265">
        <v>121</v>
      </c>
      <c r="U52" s="2264">
        <v>98</v>
      </c>
      <c r="V52" s="2265">
        <v>181</v>
      </c>
      <c r="W52" s="2264">
        <v>87</v>
      </c>
      <c r="X52" s="2265">
        <v>206</v>
      </c>
      <c r="Y52" s="2264">
        <v>93</v>
      </c>
      <c r="Z52" s="2265">
        <v>232</v>
      </c>
      <c r="AA52" s="2264">
        <v>79</v>
      </c>
      <c r="AB52" s="2265">
        <v>238</v>
      </c>
      <c r="AC52" s="2264">
        <v>80</v>
      </c>
      <c r="AD52" s="2265">
        <v>225</v>
      </c>
      <c r="AE52" s="2264">
        <v>70</v>
      </c>
      <c r="AF52" s="2265">
        <v>221</v>
      </c>
      <c r="AG52" s="2264">
        <v>109</v>
      </c>
      <c r="AH52" s="2265">
        <v>234</v>
      </c>
      <c r="AI52" s="2264">
        <v>86</v>
      </c>
      <c r="AJ52" s="2265">
        <v>112</v>
      </c>
      <c r="AK52" s="2266">
        <v>62</v>
      </c>
      <c r="AL52" s="2267">
        <v>134</v>
      </c>
      <c r="AM52" s="2267">
        <v>83</v>
      </c>
      <c r="AN52" s="2265">
        <f t="shared" si="0"/>
        <v>217</v>
      </c>
      <c r="AO52" s="2267">
        <v>73</v>
      </c>
      <c r="AP52" s="2267">
        <v>50</v>
      </c>
      <c r="AQ52" s="2265">
        <f t="shared" si="15"/>
        <v>123</v>
      </c>
      <c r="AR52" s="2267">
        <v>26</v>
      </c>
      <c r="AS52" s="2267">
        <v>22</v>
      </c>
      <c r="AT52" s="2265">
        <f t="shared" si="16"/>
        <v>48</v>
      </c>
    </row>
    <row r="53" spans="2:46" ht="15" customHeight="1" x14ac:dyDescent="0.25">
      <c r="B53" s="2263" t="s">
        <v>91</v>
      </c>
      <c r="C53" s="2264">
        <v>2</v>
      </c>
      <c r="D53" s="2265">
        <v>2</v>
      </c>
      <c r="E53" s="2264">
        <v>29</v>
      </c>
      <c r="F53" s="2265">
        <v>28</v>
      </c>
      <c r="G53" s="2264">
        <v>26</v>
      </c>
      <c r="H53" s="2265">
        <v>50</v>
      </c>
      <c r="I53" s="2264">
        <v>49</v>
      </c>
      <c r="J53" s="2265">
        <v>73</v>
      </c>
      <c r="K53" s="2264">
        <v>37</v>
      </c>
      <c r="L53" s="2265">
        <v>85</v>
      </c>
      <c r="M53" s="2264">
        <v>62</v>
      </c>
      <c r="N53" s="2265">
        <v>109</v>
      </c>
      <c r="O53" s="2264">
        <v>53</v>
      </c>
      <c r="P53" s="2265">
        <v>129</v>
      </c>
      <c r="Q53" s="2264">
        <v>35</v>
      </c>
      <c r="R53" s="2265">
        <v>118</v>
      </c>
      <c r="S53" s="2264">
        <v>77</v>
      </c>
      <c r="T53" s="2265">
        <v>136</v>
      </c>
      <c r="U53" s="2264">
        <v>103</v>
      </c>
      <c r="V53" s="2265">
        <v>186</v>
      </c>
      <c r="W53" s="2264">
        <v>96</v>
      </c>
      <c r="X53" s="2265">
        <v>218</v>
      </c>
      <c r="Y53" s="2264">
        <v>91</v>
      </c>
      <c r="Z53" s="2265">
        <v>230</v>
      </c>
      <c r="AA53" s="2264">
        <v>87</v>
      </c>
      <c r="AB53" s="2265">
        <v>233</v>
      </c>
      <c r="AC53" s="2264">
        <v>94</v>
      </c>
      <c r="AD53" s="2265">
        <v>218</v>
      </c>
      <c r="AE53" s="2264">
        <v>80</v>
      </c>
      <c r="AF53" s="2265">
        <v>213</v>
      </c>
      <c r="AG53" s="2264">
        <v>85</v>
      </c>
      <c r="AH53" s="2265">
        <v>201</v>
      </c>
      <c r="AI53" s="2264">
        <v>84</v>
      </c>
      <c r="AJ53" s="2265">
        <v>246</v>
      </c>
      <c r="AK53" s="2266">
        <v>67</v>
      </c>
      <c r="AL53" s="2267">
        <v>148</v>
      </c>
      <c r="AM53" s="2267">
        <v>42</v>
      </c>
      <c r="AN53" s="2265">
        <f t="shared" si="0"/>
        <v>190</v>
      </c>
      <c r="AO53" s="2267">
        <v>88</v>
      </c>
      <c r="AP53" s="2267">
        <v>21</v>
      </c>
      <c r="AQ53" s="2265">
        <f t="shared" si="15"/>
        <v>109</v>
      </c>
      <c r="AR53" s="2267">
        <v>33</v>
      </c>
      <c r="AS53" s="2267">
        <v>9</v>
      </c>
      <c r="AT53" s="2265">
        <f t="shared" si="16"/>
        <v>42</v>
      </c>
    </row>
    <row r="54" spans="2:46" ht="15" customHeight="1" x14ac:dyDescent="0.25">
      <c r="B54" s="2263" t="s">
        <v>89</v>
      </c>
      <c r="C54" s="2264">
        <v>1</v>
      </c>
      <c r="D54" s="2265">
        <v>1</v>
      </c>
      <c r="E54" s="2264">
        <v>3</v>
      </c>
      <c r="F54" s="2265">
        <v>4</v>
      </c>
      <c r="G54" s="2264">
        <v>1</v>
      </c>
      <c r="H54" s="2265">
        <v>3</v>
      </c>
      <c r="I54" s="2264">
        <v>4</v>
      </c>
      <c r="J54" s="2265">
        <v>5</v>
      </c>
      <c r="K54" s="2264">
        <v>5</v>
      </c>
      <c r="L54" s="2265">
        <v>8</v>
      </c>
      <c r="M54" s="2264">
        <v>8</v>
      </c>
      <c r="N54" s="2265">
        <v>10</v>
      </c>
      <c r="O54" s="2264">
        <v>7</v>
      </c>
      <c r="P54" s="2265">
        <v>16</v>
      </c>
      <c r="Q54" s="2264">
        <v>5</v>
      </c>
      <c r="R54" s="2265">
        <v>17</v>
      </c>
      <c r="S54" s="2264">
        <v>7</v>
      </c>
      <c r="T54" s="2265">
        <v>15</v>
      </c>
      <c r="U54" s="2264">
        <v>34</v>
      </c>
      <c r="V54" s="2265">
        <v>41</v>
      </c>
      <c r="W54" s="2264">
        <v>27</v>
      </c>
      <c r="X54" s="2265">
        <v>55</v>
      </c>
      <c r="Y54" s="2264">
        <v>34</v>
      </c>
      <c r="Z54" s="2265">
        <v>59</v>
      </c>
      <c r="AA54" s="2264">
        <v>48</v>
      </c>
      <c r="AB54" s="2265">
        <v>88</v>
      </c>
      <c r="AC54" s="2264">
        <v>40</v>
      </c>
      <c r="AD54" s="2265">
        <v>110</v>
      </c>
      <c r="AE54" s="2264">
        <v>41</v>
      </c>
      <c r="AF54" s="2265">
        <v>119</v>
      </c>
      <c r="AG54" s="2264">
        <v>27</v>
      </c>
      <c r="AH54" s="2265">
        <v>111</v>
      </c>
      <c r="AI54" s="2264">
        <v>26</v>
      </c>
      <c r="AJ54" s="2265">
        <v>205</v>
      </c>
      <c r="AK54" s="2266">
        <v>22</v>
      </c>
      <c r="AL54" s="2267">
        <v>60</v>
      </c>
      <c r="AM54" s="2267">
        <v>35</v>
      </c>
      <c r="AN54" s="2265">
        <f t="shared" si="0"/>
        <v>95</v>
      </c>
      <c r="AO54" s="2267">
        <v>42</v>
      </c>
      <c r="AP54" s="2267">
        <v>13</v>
      </c>
      <c r="AQ54" s="2265">
        <f t="shared" si="15"/>
        <v>55</v>
      </c>
      <c r="AR54" s="2267">
        <v>7</v>
      </c>
      <c r="AS54" s="2267">
        <v>1</v>
      </c>
      <c r="AT54" s="2265">
        <f t="shared" si="16"/>
        <v>8</v>
      </c>
    </row>
    <row r="55" spans="2:46" ht="15" customHeight="1" x14ac:dyDescent="0.25">
      <c r="B55" s="2274" t="s">
        <v>92</v>
      </c>
      <c r="C55" s="2275">
        <f>SUM(C49:C54)</f>
        <v>6</v>
      </c>
      <c r="D55" s="2276">
        <f t="shared" ref="D55:AT55" si="17">SUM(D49:D54)</f>
        <v>6</v>
      </c>
      <c r="E55" s="2275">
        <f t="shared" si="17"/>
        <v>87</v>
      </c>
      <c r="F55" s="2276">
        <f t="shared" si="17"/>
        <v>87</v>
      </c>
      <c r="G55" s="2275">
        <f t="shared" si="17"/>
        <v>75</v>
      </c>
      <c r="H55" s="2276">
        <f t="shared" si="17"/>
        <v>145</v>
      </c>
      <c r="I55" s="2275">
        <f t="shared" si="17"/>
        <v>120</v>
      </c>
      <c r="J55" s="2276">
        <f t="shared" si="17"/>
        <v>217</v>
      </c>
      <c r="K55" s="2275">
        <f t="shared" si="17"/>
        <v>138</v>
      </c>
      <c r="L55" s="2276">
        <f t="shared" si="17"/>
        <v>274</v>
      </c>
      <c r="M55" s="2275">
        <f t="shared" si="17"/>
        <v>230</v>
      </c>
      <c r="N55" s="2276">
        <f t="shared" si="17"/>
        <v>393</v>
      </c>
      <c r="O55" s="2275">
        <f t="shared" si="17"/>
        <v>174</v>
      </c>
      <c r="P55" s="2276">
        <f t="shared" si="17"/>
        <v>470</v>
      </c>
      <c r="Q55" s="2275">
        <f t="shared" si="17"/>
        <v>139</v>
      </c>
      <c r="R55" s="2276">
        <f t="shared" si="17"/>
        <v>432</v>
      </c>
      <c r="S55" s="2275">
        <f t="shared" si="17"/>
        <v>255</v>
      </c>
      <c r="T55" s="2276">
        <f t="shared" si="17"/>
        <v>480</v>
      </c>
      <c r="U55" s="2275">
        <f t="shared" si="17"/>
        <v>403</v>
      </c>
      <c r="V55" s="2276">
        <f t="shared" si="17"/>
        <v>697</v>
      </c>
      <c r="W55" s="2275">
        <f t="shared" si="17"/>
        <v>388</v>
      </c>
      <c r="X55" s="2276">
        <f t="shared" si="17"/>
        <v>858</v>
      </c>
      <c r="Y55" s="2275">
        <f t="shared" si="17"/>
        <v>381</v>
      </c>
      <c r="Z55" s="2276">
        <f t="shared" si="17"/>
        <v>926</v>
      </c>
      <c r="AA55" s="2275">
        <f t="shared" si="17"/>
        <v>365</v>
      </c>
      <c r="AB55" s="2276">
        <f t="shared" si="17"/>
        <v>978</v>
      </c>
      <c r="AC55" s="2275">
        <f t="shared" si="17"/>
        <v>383</v>
      </c>
      <c r="AD55" s="2276">
        <f t="shared" si="17"/>
        <v>1002</v>
      </c>
      <c r="AE55" s="2275">
        <f t="shared" si="17"/>
        <v>345</v>
      </c>
      <c r="AF55" s="2276">
        <f t="shared" si="17"/>
        <v>1005</v>
      </c>
      <c r="AG55" s="2275">
        <f t="shared" si="17"/>
        <v>430</v>
      </c>
      <c r="AH55" s="2276">
        <f t="shared" si="17"/>
        <v>1048</v>
      </c>
      <c r="AI55" s="2275">
        <f t="shared" si="17"/>
        <v>348</v>
      </c>
      <c r="AJ55" s="2276">
        <f t="shared" si="17"/>
        <v>1078</v>
      </c>
      <c r="AK55" s="2277">
        <f t="shared" si="17"/>
        <v>242</v>
      </c>
      <c r="AL55" s="2278">
        <f t="shared" si="17"/>
        <v>629</v>
      </c>
      <c r="AM55" s="2279">
        <f t="shared" si="17"/>
        <v>285</v>
      </c>
      <c r="AN55" s="2276">
        <f t="shared" si="17"/>
        <v>914</v>
      </c>
      <c r="AO55" s="2278">
        <f t="shared" si="17"/>
        <v>373</v>
      </c>
      <c r="AP55" s="2279">
        <f t="shared" si="17"/>
        <v>157</v>
      </c>
      <c r="AQ55" s="2276">
        <f t="shared" si="17"/>
        <v>530</v>
      </c>
      <c r="AR55" s="2278">
        <f t="shared" si="17"/>
        <v>99</v>
      </c>
      <c r="AS55" s="2279">
        <f t="shared" si="17"/>
        <v>50</v>
      </c>
      <c r="AT55" s="2276">
        <f t="shared" si="17"/>
        <v>149</v>
      </c>
    </row>
    <row r="56" spans="2:46" ht="15" customHeight="1" x14ac:dyDescent="0.25">
      <c r="B56" s="2290" t="s">
        <v>93</v>
      </c>
      <c r="C56" s="2291">
        <f>SUM(C55,C48,C36)</f>
        <v>59</v>
      </c>
      <c r="D56" s="2292">
        <f t="shared" ref="D56:AT56" si="18">SUM(D55,D48,D36)</f>
        <v>58</v>
      </c>
      <c r="E56" s="2291">
        <f t="shared" si="18"/>
        <v>286</v>
      </c>
      <c r="F56" s="2292">
        <f t="shared" si="18"/>
        <v>325</v>
      </c>
      <c r="G56" s="2291">
        <f t="shared" si="18"/>
        <v>303</v>
      </c>
      <c r="H56" s="2292">
        <f t="shared" si="18"/>
        <v>565</v>
      </c>
      <c r="I56" s="2291">
        <f t="shared" si="18"/>
        <v>344</v>
      </c>
      <c r="J56" s="2292">
        <f t="shared" si="18"/>
        <v>767</v>
      </c>
      <c r="K56" s="2291">
        <f t="shared" si="18"/>
        <v>448</v>
      </c>
      <c r="L56" s="2292">
        <f t="shared" si="18"/>
        <v>1005</v>
      </c>
      <c r="M56" s="2291">
        <f t="shared" si="18"/>
        <v>902</v>
      </c>
      <c r="N56" s="2292">
        <f t="shared" si="18"/>
        <v>1515</v>
      </c>
      <c r="O56" s="2291">
        <f t="shared" si="18"/>
        <v>659</v>
      </c>
      <c r="P56" s="2292">
        <f t="shared" si="18"/>
        <v>1776</v>
      </c>
      <c r="Q56" s="2291">
        <f t="shared" si="18"/>
        <v>688</v>
      </c>
      <c r="R56" s="2292">
        <f t="shared" si="18"/>
        <v>1809</v>
      </c>
      <c r="S56" s="2291">
        <f t="shared" si="18"/>
        <v>947</v>
      </c>
      <c r="T56" s="2292">
        <f t="shared" si="18"/>
        <v>2042</v>
      </c>
      <c r="U56" s="2291">
        <f t="shared" si="18"/>
        <v>1429</v>
      </c>
      <c r="V56" s="2292">
        <f t="shared" si="18"/>
        <v>2801</v>
      </c>
      <c r="W56" s="2291">
        <f t="shared" si="18"/>
        <v>1323</v>
      </c>
      <c r="X56" s="2292">
        <f t="shared" si="18"/>
        <v>3345</v>
      </c>
      <c r="Y56" s="2291">
        <f t="shared" si="18"/>
        <v>1110</v>
      </c>
      <c r="Z56" s="2292">
        <f t="shared" si="18"/>
        <v>3333</v>
      </c>
      <c r="AA56" s="2291">
        <f t="shared" si="18"/>
        <v>1289</v>
      </c>
      <c r="AB56" s="2292">
        <f t="shared" si="18"/>
        <v>3498</v>
      </c>
      <c r="AC56" s="2291">
        <f t="shared" si="18"/>
        <v>1319</v>
      </c>
      <c r="AD56" s="2292">
        <f t="shared" si="18"/>
        <v>3693</v>
      </c>
      <c r="AE56" s="2291">
        <f t="shared" si="18"/>
        <v>1148</v>
      </c>
      <c r="AF56" s="2292">
        <f t="shared" si="18"/>
        <v>3663</v>
      </c>
      <c r="AG56" s="2291">
        <f t="shared" si="18"/>
        <v>1375</v>
      </c>
      <c r="AH56" s="2292">
        <f t="shared" si="18"/>
        <v>3744</v>
      </c>
      <c r="AI56" s="2291">
        <f t="shared" si="18"/>
        <v>1295</v>
      </c>
      <c r="AJ56" s="2292">
        <f t="shared" si="18"/>
        <v>3857</v>
      </c>
      <c r="AK56" s="2293">
        <f t="shared" si="18"/>
        <v>1061</v>
      </c>
      <c r="AL56" s="2294">
        <f t="shared" si="18"/>
        <v>2082</v>
      </c>
      <c r="AM56" s="2294">
        <f t="shared" si="18"/>
        <v>1431</v>
      </c>
      <c r="AN56" s="2292">
        <f t="shared" si="18"/>
        <v>3513</v>
      </c>
      <c r="AO56" s="2294">
        <f t="shared" si="18"/>
        <v>1342</v>
      </c>
      <c r="AP56" s="2294">
        <f t="shared" si="18"/>
        <v>858</v>
      </c>
      <c r="AQ56" s="2292">
        <f t="shared" si="18"/>
        <v>2200</v>
      </c>
      <c r="AR56" s="2294">
        <f t="shared" si="18"/>
        <v>233</v>
      </c>
      <c r="AS56" s="2294">
        <f t="shared" si="18"/>
        <v>187</v>
      </c>
      <c r="AT56" s="2292">
        <f t="shared" si="18"/>
        <v>420</v>
      </c>
    </row>
    <row r="57" spans="2:46" ht="15" customHeight="1" x14ac:dyDescent="0.25">
      <c r="B57" s="2285" t="s">
        <v>60</v>
      </c>
      <c r="C57" s="2286">
        <v>3</v>
      </c>
      <c r="D57" s="2287">
        <v>3</v>
      </c>
      <c r="E57" s="2286">
        <v>15</v>
      </c>
      <c r="F57" s="2287">
        <v>16</v>
      </c>
      <c r="G57" s="2286">
        <v>20</v>
      </c>
      <c r="H57" s="2287">
        <v>32</v>
      </c>
      <c r="I57" s="2286">
        <v>21</v>
      </c>
      <c r="J57" s="2287">
        <v>49</v>
      </c>
      <c r="K57" s="2286">
        <v>22</v>
      </c>
      <c r="L57" s="2287">
        <v>56</v>
      </c>
      <c r="M57" s="2286">
        <v>64</v>
      </c>
      <c r="N57" s="2287">
        <v>101</v>
      </c>
      <c r="O57" s="2286">
        <v>36</v>
      </c>
      <c r="P57" s="2287">
        <v>122</v>
      </c>
      <c r="Q57" s="2286">
        <v>36</v>
      </c>
      <c r="R57" s="2287">
        <v>124</v>
      </c>
      <c r="S57" s="2286">
        <v>74</v>
      </c>
      <c r="T57" s="2287">
        <v>138</v>
      </c>
      <c r="U57" s="2286">
        <v>82</v>
      </c>
      <c r="V57" s="2287">
        <v>158</v>
      </c>
      <c r="W57" s="2286">
        <v>77</v>
      </c>
      <c r="X57" s="2287">
        <v>195</v>
      </c>
      <c r="Y57" s="2286">
        <v>72</v>
      </c>
      <c r="Z57" s="2287">
        <v>205</v>
      </c>
      <c r="AA57" s="2286">
        <v>86</v>
      </c>
      <c r="AB57" s="2287">
        <v>237</v>
      </c>
      <c r="AC57" s="2286">
        <v>117</v>
      </c>
      <c r="AD57" s="2287">
        <v>257</v>
      </c>
      <c r="AE57" s="2286">
        <v>84</v>
      </c>
      <c r="AF57" s="2287">
        <v>273</v>
      </c>
      <c r="AG57" s="2286">
        <v>111</v>
      </c>
      <c r="AH57" s="2287">
        <v>302</v>
      </c>
      <c r="AI57" s="2286">
        <v>113</v>
      </c>
      <c r="AJ57" s="2287">
        <v>305</v>
      </c>
      <c r="AK57" s="2288">
        <v>99</v>
      </c>
      <c r="AL57" s="2289">
        <v>181</v>
      </c>
      <c r="AM57" s="2289">
        <v>126</v>
      </c>
      <c r="AN57" s="2287">
        <f t="shared" si="0"/>
        <v>307</v>
      </c>
      <c r="AO57" s="2289">
        <v>124</v>
      </c>
      <c r="AP57" s="2289">
        <v>83</v>
      </c>
      <c r="AQ57" s="2287">
        <f t="shared" ref="AQ57:AQ62" si="19">SUM(AO57:AP57)</f>
        <v>207</v>
      </c>
      <c r="AR57" s="2289">
        <v>8</v>
      </c>
      <c r="AS57" s="2289">
        <v>7</v>
      </c>
      <c r="AT57" s="2287">
        <f t="shared" ref="AT57:AT62" si="20">SUM(AR57:AS57)</f>
        <v>15</v>
      </c>
    </row>
    <row r="58" spans="2:46" ht="15" customHeight="1" x14ac:dyDescent="0.25">
      <c r="B58" s="2263" t="s">
        <v>94</v>
      </c>
      <c r="C58" s="2264">
        <v>1</v>
      </c>
      <c r="D58" s="2265">
        <v>1</v>
      </c>
      <c r="E58" s="2264">
        <v>24</v>
      </c>
      <c r="F58" s="2265">
        <v>24</v>
      </c>
      <c r="G58" s="2264">
        <v>21</v>
      </c>
      <c r="H58" s="2265">
        <v>45</v>
      </c>
      <c r="I58" s="2264">
        <v>21</v>
      </c>
      <c r="J58" s="2265">
        <v>57</v>
      </c>
      <c r="K58" s="2264">
        <v>25</v>
      </c>
      <c r="L58" s="2265">
        <v>65</v>
      </c>
      <c r="M58" s="2264">
        <v>88</v>
      </c>
      <c r="N58" s="2265">
        <v>143</v>
      </c>
      <c r="O58" s="2264">
        <v>35</v>
      </c>
      <c r="P58" s="2265">
        <v>156</v>
      </c>
      <c r="Q58" s="2264">
        <v>43</v>
      </c>
      <c r="R58" s="2265">
        <v>160</v>
      </c>
      <c r="S58" s="2264">
        <v>132</v>
      </c>
      <c r="T58" s="2265">
        <v>227</v>
      </c>
      <c r="U58" s="2264">
        <v>118</v>
      </c>
      <c r="V58" s="2265">
        <v>288</v>
      </c>
      <c r="W58" s="2264">
        <v>94</v>
      </c>
      <c r="X58" s="2265">
        <v>322</v>
      </c>
      <c r="Y58" s="2264">
        <v>85</v>
      </c>
      <c r="Z58" s="2265">
        <v>338</v>
      </c>
      <c r="AA58" s="2264">
        <v>79</v>
      </c>
      <c r="AB58" s="2265">
        <v>319</v>
      </c>
      <c r="AC58" s="2264">
        <v>125</v>
      </c>
      <c r="AD58" s="2265">
        <v>342</v>
      </c>
      <c r="AE58" s="2264">
        <v>89</v>
      </c>
      <c r="AF58" s="2265">
        <v>333</v>
      </c>
      <c r="AG58" s="2264">
        <v>108</v>
      </c>
      <c r="AH58" s="2265">
        <v>350</v>
      </c>
      <c r="AI58" s="2264">
        <v>115</v>
      </c>
      <c r="AJ58" s="2265">
        <v>373</v>
      </c>
      <c r="AK58" s="2266">
        <v>98</v>
      </c>
      <c r="AL58" s="2267">
        <v>227</v>
      </c>
      <c r="AM58" s="2267">
        <v>144</v>
      </c>
      <c r="AN58" s="2265">
        <f t="shared" si="0"/>
        <v>371</v>
      </c>
      <c r="AO58" s="2267">
        <v>145</v>
      </c>
      <c r="AP58" s="2267">
        <v>82</v>
      </c>
      <c r="AQ58" s="2265">
        <f t="shared" si="19"/>
        <v>227</v>
      </c>
      <c r="AR58" s="2267">
        <v>2</v>
      </c>
      <c r="AS58" s="2267">
        <v>4</v>
      </c>
      <c r="AT58" s="2265">
        <f t="shared" si="20"/>
        <v>6</v>
      </c>
    </row>
    <row r="59" spans="2:46" ht="15" customHeight="1" x14ac:dyDescent="0.25">
      <c r="B59" s="2263" t="s">
        <v>62</v>
      </c>
      <c r="C59" s="2264">
        <v>3</v>
      </c>
      <c r="D59" s="2265">
        <v>3</v>
      </c>
      <c r="E59" s="2264">
        <v>14</v>
      </c>
      <c r="F59" s="2265">
        <v>17</v>
      </c>
      <c r="G59" s="2264">
        <v>20</v>
      </c>
      <c r="H59" s="2265">
        <v>34</v>
      </c>
      <c r="I59" s="2264">
        <v>15</v>
      </c>
      <c r="J59" s="2265">
        <v>39</v>
      </c>
      <c r="K59" s="2264">
        <v>20</v>
      </c>
      <c r="L59" s="2265">
        <v>47</v>
      </c>
      <c r="M59" s="2264">
        <v>51</v>
      </c>
      <c r="N59" s="2265">
        <v>80</v>
      </c>
      <c r="O59" s="2264">
        <v>51</v>
      </c>
      <c r="P59" s="2265">
        <v>112</v>
      </c>
      <c r="Q59" s="2264">
        <v>24</v>
      </c>
      <c r="R59" s="2265">
        <v>91</v>
      </c>
      <c r="S59" s="2264">
        <v>86</v>
      </c>
      <c r="T59" s="2265">
        <v>135</v>
      </c>
      <c r="U59" s="2264">
        <v>73</v>
      </c>
      <c r="V59" s="2265">
        <v>147</v>
      </c>
      <c r="W59" s="2264">
        <v>72</v>
      </c>
      <c r="X59" s="2265">
        <v>163</v>
      </c>
      <c r="Y59" s="2264">
        <v>67</v>
      </c>
      <c r="Z59" s="2265">
        <v>162</v>
      </c>
      <c r="AA59" s="2264">
        <v>64</v>
      </c>
      <c r="AB59" s="2265">
        <v>139</v>
      </c>
      <c r="AC59" s="2264">
        <v>84</v>
      </c>
      <c r="AD59" s="2265">
        <v>160</v>
      </c>
      <c r="AE59" s="2264">
        <v>55</v>
      </c>
      <c r="AF59" s="2265">
        <v>160</v>
      </c>
      <c r="AG59" s="2264">
        <v>97</v>
      </c>
      <c r="AH59" s="2265">
        <v>182</v>
      </c>
      <c r="AI59" s="2264">
        <v>97</v>
      </c>
      <c r="AJ59" s="2265">
        <v>194</v>
      </c>
      <c r="AK59" s="2266">
        <v>88</v>
      </c>
      <c r="AL59" s="2267">
        <v>88</v>
      </c>
      <c r="AM59" s="2267">
        <v>118</v>
      </c>
      <c r="AN59" s="2265">
        <f t="shared" si="0"/>
        <v>206</v>
      </c>
      <c r="AO59" s="2267">
        <v>56</v>
      </c>
      <c r="AP59" s="2267">
        <v>60</v>
      </c>
      <c r="AQ59" s="2265">
        <f t="shared" si="19"/>
        <v>116</v>
      </c>
      <c r="AR59" s="2267">
        <v>6</v>
      </c>
      <c r="AS59" s="2267">
        <v>10</v>
      </c>
      <c r="AT59" s="2265">
        <f t="shared" si="20"/>
        <v>16</v>
      </c>
    </row>
    <row r="60" spans="2:46" ht="15" customHeight="1" x14ac:dyDescent="0.25">
      <c r="B60" s="2263" t="s">
        <v>96</v>
      </c>
      <c r="C60" s="2264">
        <v>2</v>
      </c>
      <c r="D60" s="2265">
        <v>2</v>
      </c>
      <c r="E60" s="2264">
        <v>5</v>
      </c>
      <c r="F60" s="2265">
        <v>7</v>
      </c>
      <c r="G60" s="2264">
        <v>11</v>
      </c>
      <c r="H60" s="2265">
        <v>18</v>
      </c>
      <c r="I60" s="2264">
        <v>4</v>
      </c>
      <c r="J60" s="2265">
        <v>19</v>
      </c>
      <c r="K60" s="2264">
        <v>12</v>
      </c>
      <c r="L60" s="2265">
        <v>25</v>
      </c>
      <c r="M60" s="2264">
        <v>17</v>
      </c>
      <c r="N60" s="2265">
        <v>33</v>
      </c>
      <c r="O60" s="2264">
        <v>19</v>
      </c>
      <c r="P60" s="2265">
        <v>46</v>
      </c>
      <c r="Q60" s="2264">
        <v>15</v>
      </c>
      <c r="R60" s="2265">
        <v>47</v>
      </c>
      <c r="S60" s="2264">
        <v>31</v>
      </c>
      <c r="T60" s="2265">
        <v>61</v>
      </c>
      <c r="U60" s="2264">
        <v>37</v>
      </c>
      <c r="V60" s="2265">
        <v>77</v>
      </c>
      <c r="W60" s="2264">
        <v>25</v>
      </c>
      <c r="X60" s="2265">
        <v>81</v>
      </c>
      <c r="Y60" s="2264">
        <v>27</v>
      </c>
      <c r="Z60" s="2265">
        <v>89</v>
      </c>
      <c r="AA60" s="2264">
        <v>24</v>
      </c>
      <c r="AB60" s="2265">
        <v>80</v>
      </c>
      <c r="AC60" s="2264">
        <v>44</v>
      </c>
      <c r="AD60" s="2265">
        <v>88</v>
      </c>
      <c r="AE60" s="2264">
        <v>42</v>
      </c>
      <c r="AF60" s="2265">
        <v>106</v>
      </c>
      <c r="AG60" s="2264">
        <v>51</v>
      </c>
      <c r="AH60" s="2265">
        <v>124</v>
      </c>
      <c r="AI60" s="2264">
        <v>59</v>
      </c>
      <c r="AJ60" s="2265">
        <v>623</v>
      </c>
      <c r="AK60" s="2266">
        <v>52</v>
      </c>
      <c r="AL60" s="2267">
        <v>91</v>
      </c>
      <c r="AM60" s="2267">
        <v>75</v>
      </c>
      <c r="AN60" s="2265">
        <f t="shared" si="0"/>
        <v>166</v>
      </c>
      <c r="AO60" s="2267">
        <v>53</v>
      </c>
      <c r="AP60" s="2267">
        <v>42</v>
      </c>
      <c r="AQ60" s="2265">
        <f t="shared" si="19"/>
        <v>95</v>
      </c>
      <c r="AR60" s="2267">
        <v>3</v>
      </c>
      <c r="AS60" s="2267">
        <v>8</v>
      </c>
      <c r="AT60" s="2265">
        <f t="shared" si="20"/>
        <v>11</v>
      </c>
    </row>
    <row r="61" spans="2:46" ht="15" customHeight="1" x14ac:dyDescent="0.25">
      <c r="B61" s="2263" t="s">
        <v>250</v>
      </c>
      <c r="C61" s="2264">
        <v>7</v>
      </c>
      <c r="D61" s="2265">
        <v>6</v>
      </c>
      <c r="E61" s="2264">
        <v>38</v>
      </c>
      <c r="F61" s="2265">
        <v>40</v>
      </c>
      <c r="G61" s="2264">
        <v>23</v>
      </c>
      <c r="H61" s="2265">
        <v>62</v>
      </c>
      <c r="I61" s="2264">
        <v>40</v>
      </c>
      <c r="J61" s="2265">
        <v>91</v>
      </c>
      <c r="K61" s="2264">
        <v>55</v>
      </c>
      <c r="L61" s="2265">
        <v>113</v>
      </c>
      <c r="M61" s="2264">
        <v>129</v>
      </c>
      <c r="N61" s="2265">
        <v>226</v>
      </c>
      <c r="O61" s="2264">
        <v>62</v>
      </c>
      <c r="P61" s="2265">
        <v>256</v>
      </c>
      <c r="Q61" s="2264">
        <v>84</v>
      </c>
      <c r="R61" s="2265">
        <v>279</v>
      </c>
      <c r="S61" s="2264">
        <v>220</v>
      </c>
      <c r="T61" s="2265">
        <v>370</v>
      </c>
      <c r="U61" s="2264">
        <v>189</v>
      </c>
      <c r="V61" s="2265">
        <v>450</v>
      </c>
      <c r="W61" s="2264">
        <v>172</v>
      </c>
      <c r="X61" s="2265">
        <v>545</v>
      </c>
      <c r="Y61" s="2264">
        <v>142</v>
      </c>
      <c r="Z61" s="2265">
        <v>570</v>
      </c>
      <c r="AA61" s="2264">
        <v>148</v>
      </c>
      <c r="AB61" s="2265">
        <v>552</v>
      </c>
      <c r="AC61" s="2264">
        <v>176</v>
      </c>
      <c r="AD61" s="2265">
        <v>549</v>
      </c>
      <c r="AE61" s="2264">
        <v>147</v>
      </c>
      <c r="AF61" s="2265">
        <v>549</v>
      </c>
      <c r="AG61" s="2264">
        <v>197</v>
      </c>
      <c r="AH61" s="2265">
        <v>614</v>
      </c>
      <c r="AI61" s="2264">
        <v>169</v>
      </c>
      <c r="AJ61" s="2265">
        <v>302</v>
      </c>
      <c r="AK61" s="2266">
        <v>149</v>
      </c>
      <c r="AL61" s="2267">
        <v>418</v>
      </c>
      <c r="AM61" s="2267">
        <v>174</v>
      </c>
      <c r="AN61" s="2265">
        <f t="shared" si="0"/>
        <v>592</v>
      </c>
      <c r="AO61" s="2267">
        <v>295</v>
      </c>
      <c r="AP61" s="2267">
        <v>99</v>
      </c>
      <c r="AQ61" s="2265">
        <f t="shared" si="19"/>
        <v>394</v>
      </c>
      <c r="AR61" s="2267">
        <v>15</v>
      </c>
      <c r="AS61" s="2267">
        <v>10</v>
      </c>
      <c r="AT61" s="2265">
        <f t="shared" si="20"/>
        <v>25</v>
      </c>
    </row>
    <row r="62" spans="2:46" ht="15" customHeight="1" x14ac:dyDescent="0.25">
      <c r="B62" s="2263" t="s">
        <v>63</v>
      </c>
      <c r="C62" s="2264">
        <v>3</v>
      </c>
      <c r="D62" s="2265">
        <v>2</v>
      </c>
      <c r="E62" s="2264">
        <v>17</v>
      </c>
      <c r="F62" s="2265">
        <v>18</v>
      </c>
      <c r="G62" s="2264">
        <v>21</v>
      </c>
      <c r="H62" s="2265">
        <v>38</v>
      </c>
      <c r="I62" s="2264">
        <v>22</v>
      </c>
      <c r="J62" s="2265">
        <v>51</v>
      </c>
      <c r="K62" s="2264">
        <v>20</v>
      </c>
      <c r="L62" s="2265">
        <v>62</v>
      </c>
      <c r="M62" s="2264">
        <v>62</v>
      </c>
      <c r="N62" s="2265">
        <v>104</v>
      </c>
      <c r="O62" s="2264">
        <v>37</v>
      </c>
      <c r="P62" s="2265">
        <v>122</v>
      </c>
      <c r="Q62" s="2264">
        <v>38</v>
      </c>
      <c r="R62" s="2265">
        <v>123</v>
      </c>
      <c r="S62" s="2264">
        <v>131</v>
      </c>
      <c r="T62" s="2265">
        <v>205</v>
      </c>
      <c r="U62" s="2264">
        <v>101</v>
      </c>
      <c r="V62" s="2265">
        <v>251</v>
      </c>
      <c r="W62" s="2264">
        <v>80</v>
      </c>
      <c r="X62" s="2265">
        <v>273</v>
      </c>
      <c r="Y62" s="2264">
        <v>83</v>
      </c>
      <c r="Z62" s="2265">
        <v>273</v>
      </c>
      <c r="AA62" s="2264">
        <v>71</v>
      </c>
      <c r="AB62" s="2265">
        <v>270</v>
      </c>
      <c r="AC62" s="2264">
        <v>87</v>
      </c>
      <c r="AD62" s="2265">
        <v>249</v>
      </c>
      <c r="AE62" s="2264">
        <v>103</v>
      </c>
      <c r="AF62" s="2265">
        <v>278</v>
      </c>
      <c r="AG62" s="2264">
        <v>99</v>
      </c>
      <c r="AH62" s="2265">
        <v>269</v>
      </c>
      <c r="AI62" s="2264">
        <v>115</v>
      </c>
      <c r="AJ62" s="2265">
        <v>150</v>
      </c>
      <c r="AK62" s="2266">
        <v>79</v>
      </c>
      <c r="AL62" s="2267">
        <v>179</v>
      </c>
      <c r="AM62" s="2267">
        <v>102</v>
      </c>
      <c r="AN62" s="2265">
        <f t="shared" si="0"/>
        <v>281</v>
      </c>
      <c r="AO62" s="2267">
        <v>117</v>
      </c>
      <c r="AP62" s="2267">
        <v>58</v>
      </c>
      <c r="AQ62" s="2265">
        <f t="shared" si="19"/>
        <v>175</v>
      </c>
      <c r="AR62" s="2267">
        <v>10</v>
      </c>
      <c r="AS62" s="2267">
        <v>5</v>
      </c>
      <c r="AT62" s="2265">
        <f t="shared" si="20"/>
        <v>15</v>
      </c>
    </row>
    <row r="63" spans="2:46" ht="15" customHeight="1" x14ac:dyDescent="0.25">
      <c r="B63" s="2268" t="s">
        <v>64</v>
      </c>
      <c r="C63" s="2269">
        <f>SUM(C57:C62)</f>
        <v>19</v>
      </c>
      <c r="D63" s="2270">
        <f t="shared" ref="D63:AT63" si="21">SUM(D57:D62)</f>
        <v>17</v>
      </c>
      <c r="E63" s="2269">
        <f t="shared" si="21"/>
        <v>113</v>
      </c>
      <c r="F63" s="2270">
        <f t="shared" si="21"/>
        <v>122</v>
      </c>
      <c r="G63" s="2269">
        <f t="shared" si="21"/>
        <v>116</v>
      </c>
      <c r="H63" s="2270">
        <f t="shared" si="21"/>
        <v>229</v>
      </c>
      <c r="I63" s="2269">
        <f t="shared" si="21"/>
        <v>123</v>
      </c>
      <c r="J63" s="2270">
        <f t="shared" si="21"/>
        <v>306</v>
      </c>
      <c r="K63" s="2269">
        <f t="shared" si="21"/>
        <v>154</v>
      </c>
      <c r="L63" s="2270">
        <f t="shared" si="21"/>
        <v>368</v>
      </c>
      <c r="M63" s="2269">
        <f t="shared" si="21"/>
        <v>411</v>
      </c>
      <c r="N63" s="2270">
        <f t="shared" si="21"/>
        <v>687</v>
      </c>
      <c r="O63" s="2269">
        <f t="shared" si="21"/>
        <v>240</v>
      </c>
      <c r="P63" s="2270">
        <f t="shared" si="21"/>
        <v>814</v>
      </c>
      <c r="Q63" s="2269">
        <f t="shared" si="21"/>
        <v>240</v>
      </c>
      <c r="R63" s="2270">
        <f t="shared" si="21"/>
        <v>824</v>
      </c>
      <c r="S63" s="2269">
        <f t="shared" si="21"/>
        <v>674</v>
      </c>
      <c r="T63" s="2270">
        <f t="shared" si="21"/>
        <v>1136</v>
      </c>
      <c r="U63" s="2269">
        <f t="shared" si="21"/>
        <v>600</v>
      </c>
      <c r="V63" s="2270">
        <f t="shared" si="21"/>
        <v>1371</v>
      </c>
      <c r="W63" s="2269">
        <f t="shared" si="21"/>
        <v>520</v>
      </c>
      <c r="X63" s="2270">
        <f t="shared" si="21"/>
        <v>1579</v>
      </c>
      <c r="Y63" s="2269">
        <f t="shared" si="21"/>
        <v>476</v>
      </c>
      <c r="Z63" s="2270">
        <f t="shared" si="21"/>
        <v>1637</v>
      </c>
      <c r="AA63" s="2269">
        <f t="shared" si="21"/>
        <v>472</v>
      </c>
      <c r="AB63" s="2270">
        <f t="shared" si="21"/>
        <v>1597</v>
      </c>
      <c r="AC63" s="2269">
        <f t="shared" si="21"/>
        <v>633</v>
      </c>
      <c r="AD63" s="2270">
        <f t="shared" si="21"/>
        <v>1645</v>
      </c>
      <c r="AE63" s="2269">
        <f t="shared" si="21"/>
        <v>520</v>
      </c>
      <c r="AF63" s="2270">
        <f t="shared" si="21"/>
        <v>1699</v>
      </c>
      <c r="AG63" s="2269">
        <f t="shared" si="21"/>
        <v>663</v>
      </c>
      <c r="AH63" s="2270">
        <f t="shared" si="21"/>
        <v>1841</v>
      </c>
      <c r="AI63" s="2269">
        <f t="shared" si="21"/>
        <v>668</v>
      </c>
      <c r="AJ63" s="2270">
        <f t="shared" si="21"/>
        <v>1947</v>
      </c>
      <c r="AK63" s="2271">
        <f t="shared" si="21"/>
        <v>565</v>
      </c>
      <c r="AL63" s="2272">
        <f t="shared" si="21"/>
        <v>1184</v>
      </c>
      <c r="AM63" s="2273">
        <f t="shared" si="21"/>
        <v>739</v>
      </c>
      <c r="AN63" s="2270">
        <f t="shared" si="21"/>
        <v>1923</v>
      </c>
      <c r="AO63" s="2272">
        <f t="shared" si="21"/>
        <v>790</v>
      </c>
      <c r="AP63" s="2273">
        <f t="shared" si="21"/>
        <v>424</v>
      </c>
      <c r="AQ63" s="2270">
        <f t="shared" si="21"/>
        <v>1214</v>
      </c>
      <c r="AR63" s="2272">
        <f t="shared" si="21"/>
        <v>44</v>
      </c>
      <c r="AS63" s="2273">
        <f t="shared" si="21"/>
        <v>44</v>
      </c>
      <c r="AT63" s="2270">
        <f t="shared" si="21"/>
        <v>88</v>
      </c>
    </row>
    <row r="64" spans="2:46" ht="15" customHeight="1" x14ac:dyDescent="0.25">
      <c r="B64" s="2263" t="s">
        <v>101</v>
      </c>
      <c r="C64" s="2264">
        <v>2</v>
      </c>
      <c r="D64" s="2265">
        <v>2</v>
      </c>
      <c r="E64" s="2264">
        <v>13</v>
      </c>
      <c r="F64" s="2265">
        <v>15</v>
      </c>
      <c r="G64" s="2264">
        <v>18</v>
      </c>
      <c r="H64" s="2265">
        <v>27</v>
      </c>
      <c r="I64" s="2264">
        <v>5</v>
      </c>
      <c r="J64" s="2265">
        <v>28</v>
      </c>
      <c r="K64" s="2264">
        <v>10</v>
      </c>
      <c r="L64" s="2265">
        <v>31</v>
      </c>
      <c r="M64" s="2264">
        <v>37</v>
      </c>
      <c r="N64" s="2265">
        <v>61</v>
      </c>
      <c r="O64" s="2264">
        <v>41</v>
      </c>
      <c r="P64" s="2265">
        <v>79</v>
      </c>
      <c r="Q64" s="2264">
        <v>36</v>
      </c>
      <c r="R64" s="2265">
        <v>86</v>
      </c>
      <c r="S64" s="2264">
        <v>84</v>
      </c>
      <c r="T64" s="2265">
        <v>140</v>
      </c>
      <c r="U64" s="2264">
        <v>94</v>
      </c>
      <c r="V64" s="2265">
        <v>184</v>
      </c>
      <c r="W64" s="2264">
        <v>77</v>
      </c>
      <c r="X64" s="2265">
        <v>205</v>
      </c>
      <c r="Y64" s="2264">
        <v>79</v>
      </c>
      <c r="Z64" s="2265">
        <v>213</v>
      </c>
      <c r="AA64" s="2264">
        <v>85</v>
      </c>
      <c r="AB64" s="2265">
        <v>203</v>
      </c>
      <c r="AC64" s="2264">
        <v>90</v>
      </c>
      <c r="AD64" s="2265">
        <v>227</v>
      </c>
      <c r="AE64" s="2264">
        <v>68</v>
      </c>
      <c r="AF64" s="2265">
        <v>231</v>
      </c>
      <c r="AG64" s="2264">
        <v>89</v>
      </c>
      <c r="AH64" s="2265">
        <v>202</v>
      </c>
      <c r="AI64" s="2264">
        <v>85</v>
      </c>
      <c r="AJ64" s="2265">
        <v>339</v>
      </c>
      <c r="AK64" s="2266">
        <v>98</v>
      </c>
      <c r="AL64" s="2267">
        <v>149</v>
      </c>
      <c r="AM64" s="2267">
        <v>101</v>
      </c>
      <c r="AN64" s="2265">
        <f t="shared" si="0"/>
        <v>250</v>
      </c>
      <c r="AO64" s="2267">
        <v>99</v>
      </c>
      <c r="AP64" s="2267">
        <v>54</v>
      </c>
      <c r="AQ64" s="2265">
        <f t="shared" ref="AQ64:AQ69" si="22">SUM(AO64:AP64)</f>
        <v>153</v>
      </c>
      <c r="AR64" s="2267">
        <v>9</v>
      </c>
      <c r="AS64" s="2267">
        <v>6</v>
      </c>
      <c r="AT64" s="2265">
        <f t="shared" ref="AT64:AT71" si="23">SUM(AR64:AS64)</f>
        <v>15</v>
      </c>
    </row>
    <row r="65" spans="2:46" ht="15" customHeight="1" x14ac:dyDescent="0.25">
      <c r="B65" s="2263" t="s">
        <v>86</v>
      </c>
      <c r="C65" s="2264">
        <v>3</v>
      </c>
      <c r="D65" s="2265">
        <v>3</v>
      </c>
      <c r="E65" s="2264">
        <v>16</v>
      </c>
      <c r="F65" s="2265">
        <v>17</v>
      </c>
      <c r="G65" s="2264">
        <v>22</v>
      </c>
      <c r="H65" s="2265">
        <v>39</v>
      </c>
      <c r="I65" s="2264">
        <v>13</v>
      </c>
      <c r="J65" s="2265">
        <v>44</v>
      </c>
      <c r="K65" s="2264">
        <v>24</v>
      </c>
      <c r="L65" s="2265">
        <v>55</v>
      </c>
      <c r="M65" s="2264">
        <v>75</v>
      </c>
      <c r="N65" s="2265">
        <v>112</v>
      </c>
      <c r="O65" s="2264">
        <v>40</v>
      </c>
      <c r="P65" s="2265">
        <v>139</v>
      </c>
      <c r="Q65" s="2264">
        <v>32</v>
      </c>
      <c r="R65" s="2265">
        <v>123</v>
      </c>
      <c r="S65" s="2264">
        <v>124</v>
      </c>
      <c r="T65" s="2265">
        <v>206</v>
      </c>
      <c r="U65" s="2264">
        <v>95</v>
      </c>
      <c r="V65" s="2265">
        <v>235</v>
      </c>
      <c r="W65" s="2264">
        <v>80</v>
      </c>
      <c r="X65" s="2265">
        <v>248</v>
      </c>
      <c r="Y65" s="2264">
        <v>86</v>
      </c>
      <c r="Z65" s="2265">
        <v>266</v>
      </c>
      <c r="AA65" s="2264">
        <v>81</v>
      </c>
      <c r="AB65" s="2265">
        <v>262</v>
      </c>
      <c r="AC65" s="2264">
        <v>100</v>
      </c>
      <c r="AD65" s="2265">
        <v>279</v>
      </c>
      <c r="AE65" s="2264">
        <v>84</v>
      </c>
      <c r="AF65" s="2265">
        <v>270</v>
      </c>
      <c r="AG65" s="2264">
        <v>112</v>
      </c>
      <c r="AH65" s="2265">
        <v>297</v>
      </c>
      <c r="AI65" s="2264">
        <v>127</v>
      </c>
      <c r="AJ65" s="2265">
        <v>301</v>
      </c>
      <c r="AK65" s="2266">
        <v>87</v>
      </c>
      <c r="AL65" s="2267">
        <v>199</v>
      </c>
      <c r="AM65" s="2267">
        <v>124</v>
      </c>
      <c r="AN65" s="2265">
        <f t="shared" si="0"/>
        <v>323</v>
      </c>
      <c r="AO65" s="2267">
        <v>130</v>
      </c>
      <c r="AP65" s="2267">
        <v>66</v>
      </c>
      <c r="AQ65" s="2265">
        <f t="shared" si="22"/>
        <v>196</v>
      </c>
      <c r="AR65" s="2267">
        <v>11</v>
      </c>
      <c r="AS65" s="2267">
        <v>8</v>
      </c>
      <c r="AT65" s="2265">
        <f t="shared" si="23"/>
        <v>19</v>
      </c>
    </row>
    <row r="66" spans="2:46" ht="15" customHeight="1" x14ac:dyDescent="0.25">
      <c r="B66" s="2263" t="s">
        <v>97</v>
      </c>
      <c r="C66" s="2264">
        <v>2</v>
      </c>
      <c r="D66" s="2265">
        <v>2</v>
      </c>
      <c r="E66" s="2264">
        <v>9</v>
      </c>
      <c r="F66" s="2265">
        <v>9</v>
      </c>
      <c r="G66" s="2264">
        <v>18</v>
      </c>
      <c r="H66" s="2265">
        <v>20</v>
      </c>
      <c r="I66" s="2264">
        <v>8</v>
      </c>
      <c r="J66" s="2265">
        <v>29</v>
      </c>
      <c r="K66" s="2264">
        <v>11</v>
      </c>
      <c r="L66" s="2265">
        <v>36</v>
      </c>
      <c r="M66" s="2264">
        <v>58</v>
      </c>
      <c r="N66" s="2265">
        <v>90</v>
      </c>
      <c r="O66" s="2264">
        <v>26</v>
      </c>
      <c r="P66" s="2265">
        <v>98</v>
      </c>
      <c r="Q66" s="2264">
        <v>37</v>
      </c>
      <c r="R66" s="2265">
        <v>102</v>
      </c>
      <c r="S66" s="2264">
        <v>125</v>
      </c>
      <c r="T66" s="2265">
        <v>190</v>
      </c>
      <c r="U66" s="2264">
        <v>99</v>
      </c>
      <c r="V66" s="2265">
        <v>247</v>
      </c>
      <c r="W66" s="2264">
        <v>71</v>
      </c>
      <c r="X66" s="2265">
        <v>259</v>
      </c>
      <c r="Y66" s="2264">
        <v>59</v>
      </c>
      <c r="Z66" s="2265">
        <v>249</v>
      </c>
      <c r="AA66" s="2264">
        <v>77</v>
      </c>
      <c r="AB66" s="2265">
        <v>240</v>
      </c>
      <c r="AC66" s="2264">
        <v>84</v>
      </c>
      <c r="AD66" s="2265">
        <v>237</v>
      </c>
      <c r="AE66" s="2264">
        <v>69</v>
      </c>
      <c r="AF66" s="2265">
        <v>249</v>
      </c>
      <c r="AG66" s="2264">
        <v>90</v>
      </c>
      <c r="AH66" s="2265">
        <v>287</v>
      </c>
      <c r="AI66" s="2264">
        <v>85</v>
      </c>
      <c r="AJ66" s="2265">
        <v>379</v>
      </c>
      <c r="AK66" s="2266">
        <v>89</v>
      </c>
      <c r="AL66" s="2267">
        <v>251</v>
      </c>
      <c r="AM66" s="2267">
        <v>44</v>
      </c>
      <c r="AN66" s="2265">
        <f t="shared" si="0"/>
        <v>295</v>
      </c>
      <c r="AO66" s="2267">
        <v>155</v>
      </c>
      <c r="AP66" s="2267">
        <v>30</v>
      </c>
      <c r="AQ66" s="2265">
        <f t="shared" si="22"/>
        <v>185</v>
      </c>
      <c r="AR66" s="2267">
        <v>10</v>
      </c>
      <c r="AS66" s="2267">
        <v>2</v>
      </c>
      <c r="AT66" s="2265">
        <f t="shared" si="23"/>
        <v>12</v>
      </c>
    </row>
    <row r="67" spans="2:46" ht="15" customHeight="1" x14ac:dyDescent="0.25">
      <c r="B67" s="2263" t="s">
        <v>98</v>
      </c>
      <c r="C67" s="2264">
        <v>2</v>
      </c>
      <c r="D67" s="2265">
        <v>2</v>
      </c>
      <c r="E67" s="2264">
        <v>21</v>
      </c>
      <c r="F67" s="2265">
        <v>21</v>
      </c>
      <c r="G67" s="2264">
        <v>19</v>
      </c>
      <c r="H67" s="2265">
        <v>38</v>
      </c>
      <c r="I67" s="2264">
        <v>32</v>
      </c>
      <c r="J67" s="2265">
        <v>65</v>
      </c>
      <c r="K67" s="2264">
        <v>23</v>
      </c>
      <c r="L67" s="2265">
        <v>68</v>
      </c>
      <c r="M67" s="2264">
        <v>83</v>
      </c>
      <c r="N67" s="2265">
        <v>124</v>
      </c>
      <c r="O67" s="2264">
        <v>39</v>
      </c>
      <c r="P67" s="2265">
        <v>146</v>
      </c>
      <c r="Q67" s="2264">
        <v>46</v>
      </c>
      <c r="R67" s="2265">
        <v>164</v>
      </c>
      <c r="S67" s="2264">
        <v>135</v>
      </c>
      <c r="T67" s="2265">
        <v>234</v>
      </c>
      <c r="U67" s="2264">
        <v>101</v>
      </c>
      <c r="V67" s="2265">
        <v>266</v>
      </c>
      <c r="W67" s="2264">
        <v>75</v>
      </c>
      <c r="X67" s="2265">
        <v>267</v>
      </c>
      <c r="Y67" s="2264">
        <v>58</v>
      </c>
      <c r="Z67" s="2265">
        <v>250</v>
      </c>
      <c r="AA67" s="2264">
        <v>78</v>
      </c>
      <c r="AB67" s="2265">
        <v>248</v>
      </c>
      <c r="AC67" s="2264">
        <v>119</v>
      </c>
      <c r="AD67" s="2265">
        <v>295</v>
      </c>
      <c r="AE67" s="2264">
        <v>75</v>
      </c>
      <c r="AF67" s="2265">
        <v>291</v>
      </c>
      <c r="AG67" s="2264">
        <v>114</v>
      </c>
      <c r="AH67" s="2265">
        <v>344</v>
      </c>
      <c r="AI67" s="2264">
        <v>117</v>
      </c>
      <c r="AJ67" s="2265">
        <v>497</v>
      </c>
      <c r="AK67" s="2266">
        <v>113</v>
      </c>
      <c r="AL67" s="2267">
        <v>303</v>
      </c>
      <c r="AM67" s="2267">
        <v>86</v>
      </c>
      <c r="AN67" s="2265">
        <f t="shared" si="0"/>
        <v>389</v>
      </c>
      <c r="AO67" s="2267">
        <v>198</v>
      </c>
      <c r="AP67" s="2267">
        <v>64</v>
      </c>
      <c r="AQ67" s="2265">
        <f t="shared" si="22"/>
        <v>262</v>
      </c>
      <c r="AR67" s="2267">
        <v>10</v>
      </c>
      <c r="AS67" s="2267">
        <v>0</v>
      </c>
      <c r="AT67" s="2265">
        <f t="shared" si="23"/>
        <v>10</v>
      </c>
    </row>
    <row r="68" spans="2:46" ht="15" customHeight="1" x14ac:dyDescent="0.25">
      <c r="B68" s="2263" t="s">
        <v>100</v>
      </c>
      <c r="C68" s="2264">
        <v>3</v>
      </c>
      <c r="D68" s="2265">
        <v>3</v>
      </c>
      <c r="E68" s="2264">
        <v>22</v>
      </c>
      <c r="F68" s="2265">
        <v>24</v>
      </c>
      <c r="G68" s="2264">
        <v>24</v>
      </c>
      <c r="H68" s="2265">
        <v>43</v>
      </c>
      <c r="I68" s="2264">
        <v>23</v>
      </c>
      <c r="J68" s="2265">
        <v>62</v>
      </c>
      <c r="K68" s="2264">
        <v>33</v>
      </c>
      <c r="L68" s="2265">
        <v>85</v>
      </c>
      <c r="M68" s="2264">
        <v>79</v>
      </c>
      <c r="N68" s="2265">
        <v>141</v>
      </c>
      <c r="O68" s="2264">
        <v>75</v>
      </c>
      <c r="P68" s="2265">
        <v>183</v>
      </c>
      <c r="Q68" s="2264">
        <v>36</v>
      </c>
      <c r="R68" s="2265">
        <v>167</v>
      </c>
      <c r="S68" s="2264">
        <v>93</v>
      </c>
      <c r="T68" s="2265">
        <v>174</v>
      </c>
      <c r="U68" s="2264">
        <v>122</v>
      </c>
      <c r="V68" s="2265">
        <v>327</v>
      </c>
      <c r="W68" s="2264">
        <v>101</v>
      </c>
      <c r="X68" s="2265">
        <v>354</v>
      </c>
      <c r="Y68" s="2264">
        <v>87</v>
      </c>
      <c r="Z68" s="2265">
        <v>398</v>
      </c>
      <c r="AA68" s="2264">
        <v>83</v>
      </c>
      <c r="AB68" s="2265">
        <v>385</v>
      </c>
      <c r="AC68" s="2264">
        <v>90</v>
      </c>
      <c r="AD68" s="2265">
        <v>248</v>
      </c>
      <c r="AE68" s="2264">
        <v>113</v>
      </c>
      <c r="AF68" s="2265">
        <v>290</v>
      </c>
      <c r="AG68" s="2264">
        <v>121</v>
      </c>
      <c r="AH68" s="2265">
        <v>330</v>
      </c>
      <c r="AI68" s="2264">
        <v>143</v>
      </c>
      <c r="AJ68" s="2265">
        <v>386</v>
      </c>
      <c r="AK68" s="2266">
        <v>128</v>
      </c>
      <c r="AL68" s="2267">
        <v>320</v>
      </c>
      <c r="AM68" s="2267">
        <v>98</v>
      </c>
      <c r="AN68" s="2265">
        <f t="shared" si="0"/>
        <v>418</v>
      </c>
      <c r="AO68" s="2267">
        <v>224</v>
      </c>
      <c r="AP68" s="2267">
        <v>60</v>
      </c>
      <c r="AQ68" s="2265">
        <f t="shared" si="22"/>
        <v>284</v>
      </c>
      <c r="AR68" s="2267">
        <v>8</v>
      </c>
      <c r="AS68" s="2267">
        <v>4</v>
      </c>
      <c r="AT68" s="2265">
        <f t="shared" si="23"/>
        <v>12</v>
      </c>
    </row>
    <row r="69" spans="2:46" ht="15" customHeight="1" x14ac:dyDescent="0.25">
      <c r="B69" s="2263" t="s">
        <v>102</v>
      </c>
      <c r="C69" s="2264">
        <v>1</v>
      </c>
      <c r="D69" s="2265">
        <v>1</v>
      </c>
      <c r="E69" s="2264">
        <v>25</v>
      </c>
      <c r="F69" s="2265">
        <v>24</v>
      </c>
      <c r="G69" s="2264">
        <v>20</v>
      </c>
      <c r="H69" s="2265">
        <v>40</v>
      </c>
      <c r="I69" s="2264">
        <v>25</v>
      </c>
      <c r="J69" s="2265">
        <v>62</v>
      </c>
      <c r="K69" s="2264">
        <v>23</v>
      </c>
      <c r="L69" s="2265">
        <v>77</v>
      </c>
      <c r="M69" s="2264">
        <v>93</v>
      </c>
      <c r="N69" s="2265">
        <v>156</v>
      </c>
      <c r="O69" s="2264">
        <v>31</v>
      </c>
      <c r="P69" s="2265">
        <v>172</v>
      </c>
      <c r="Q69" s="2264">
        <v>53</v>
      </c>
      <c r="R69" s="2265">
        <v>193</v>
      </c>
      <c r="S69" s="2264">
        <v>121</v>
      </c>
      <c r="T69" s="2265">
        <v>263</v>
      </c>
      <c r="U69" s="2264">
        <v>79</v>
      </c>
      <c r="V69" s="2265">
        <v>186</v>
      </c>
      <c r="W69" s="2264">
        <v>90</v>
      </c>
      <c r="X69" s="2265">
        <v>215</v>
      </c>
      <c r="Y69" s="2264">
        <v>70</v>
      </c>
      <c r="Z69" s="2265">
        <v>206</v>
      </c>
      <c r="AA69" s="2264">
        <v>79</v>
      </c>
      <c r="AB69" s="2265">
        <v>206</v>
      </c>
      <c r="AC69" s="2264">
        <v>121</v>
      </c>
      <c r="AD69" s="2265">
        <v>362</v>
      </c>
      <c r="AE69" s="2264">
        <v>92</v>
      </c>
      <c r="AF69" s="2265">
        <v>365</v>
      </c>
      <c r="AG69" s="2264">
        <v>133</v>
      </c>
      <c r="AH69" s="2265">
        <v>397</v>
      </c>
      <c r="AI69" s="2264">
        <v>93</v>
      </c>
      <c r="AJ69" s="2265">
        <v>224</v>
      </c>
      <c r="AK69" s="2266">
        <v>86</v>
      </c>
      <c r="AL69" s="2267">
        <v>221</v>
      </c>
      <c r="AM69" s="2267">
        <v>175</v>
      </c>
      <c r="AN69" s="2265">
        <f t="shared" si="0"/>
        <v>396</v>
      </c>
      <c r="AO69" s="2267">
        <v>164</v>
      </c>
      <c r="AP69" s="2267">
        <v>134</v>
      </c>
      <c r="AQ69" s="2265">
        <f t="shared" si="22"/>
        <v>298</v>
      </c>
      <c r="AR69" s="2267">
        <v>4</v>
      </c>
      <c r="AS69" s="2267">
        <v>9</v>
      </c>
      <c r="AT69" s="2265">
        <f t="shared" si="23"/>
        <v>13</v>
      </c>
    </row>
    <row r="70" spans="2:46" ht="15" customHeight="1" x14ac:dyDescent="0.25">
      <c r="B70" s="2263" t="s">
        <v>103</v>
      </c>
      <c r="C70" s="2264">
        <v>1</v>
      </c>
      <c r="D70" s="2265">
        <v>1</v>
      </c>
      <c r="E70" s="2264">
        <v>13</v>
      </c>
      <c r="F70" s="2265">
        <v>14</v>
      </c>
      <c r="G70" s="2264">
        <v>17</v>
      </c>
      <c r="H70" s="2265">
        <v>27</v>
      </c>
      <c r="I70" s="2264">
        <v>12</v>
      </c>
      <c r="J70" s="2265">
        <v>35</v>
      </c>
      <c r="K70" s="2264">
        <v>13</v>
      </c>
      <c r="L70" s="2265">
        <v>38</v>
      </c>
      <c r="M70" s="2264">
        <v>46</v>
      </c>
      <c r="N70" s="2265">
        <v>76</v>
      </c>
      <c r="O70" s="2264">
        <v>20</v>
      </c>
      <c r="P70" s="2265">
        <v>88</v>
      </c>
      <c r="Q70" s="2264">
        <v>31</v>
      </c>
      <c r="R70" s="2265">
        <v>105</v>
      </c>
      <c r="S70" s="2264">
        <v>63</v>
      </c>
      <c r="T70" s="2265">
        <v>126</v>
      </c>
      <c r="U70" s="2264">
        <v>72</v>
      </c>
      <c r="V70" s="2265">
        <v>142</v>
      </c>
      <c r="W70" s="2264">
        <v>42</v>
      </c>
      <c r="X70" s="2265">
        <v>166</v>
      </c>
      <c r="Y70" s="2264">
        <v>51</v>
      </c>
      <c r="Z70" s="2265">
        <v>177</v>
      </c>
      <c r="AA70" s="2264">
        <v>67</v>
      </c>
      <c r="AB70" s="2265">
        <v>180</v>
      </c>
      <c r="AC70" s="2264">
        <v>82</v>
      </c>
      <c r="AD70" s="2265">
        <v>204</v>
      </c>
      <c r="AE70" s="2264">
        <v>59</v>
      </c>
      <c r="AF70" s="2265">
        <v>220</v>
      </c>
      <c r="AG70" s="2264">
        <v>74</v>
      </c>
      <c r="AH70" s="2265">
        <v>260</v>
      </c>
      <c r="AI70" s="2264">
        <v>87</v>
      </c>
      <c r="AJ70" s="2265">
        <v>403</v>
      </c>
      <c r="AK70" s="2266">
        <v>72</v>
      </c>
      <c r="AL70" s="2267">
        <v>211</v>
      </c>
      <c r="AM70" s="2267">
        <v>47</v>
      </c>
      <c r="AN70" s="2265">
        <f t="shared" ref="AN70:AN104" si="24">SUM(AL70:AM70)</f>
        <v>258</v>
      </c>
      <c r="AO70" s="2267">
        <v>138</v>
      </c>
      <c r="AP70" s="2267">
        <v>26</v>
      </c>
      <c r="AQ70" s="2265">
        <f>SUM(AO70:AP70)</f>
        <v>164</v>
      </c>
      <c r="AR70" s="2267">
        <v>11</v>
      </c>
      <c r="AS70" s="2267">
        <v>0</v>
      </c>
      <c r="AT70" s="2265">
        <f t="shared" si="23"/>
        <v>11</v>
      </c>
    </row>
    <row r="71" spans="2:46" ht="15" customHeight="1" x14ac:dyDescent="0.25">
      <c r="B71" s="2263" t="s">
        <v>99</v>
      </c>
      <c r="C71" s="2264">
        <v>3</v>
      </c>
      <c r="D71" s="2265">
        <v>3</v>
      </c>
      <c r="E71" s="2264">
        <v>29</v>
      </c>
      <c r="F71" s="2265">
        <v>29</v>
      </c>
      <c r="G71" s="2264">
        <v>26</v>
      </c>
      <c r="H71" s="2265">
        <v>51</v>
      </c>
      <c r="I71" s="2264">
        <v>33</v>
      </c>
      <c r="J71" s="2265">
        <v>70</v>
      </c>
      <c r="K71" s="2264">
        <v>39</v>
      </c>
      <c r="L71" s="2265">
        <v>93</v>
      </c>
      <c r="M71" s="2264">
        <v>109</v>
      </c>
      <c r="N71" s="2265">
        <v>175</v>
      </c>
      <c r="O71" s="2264">
        <v>63</v>
      </c>
      <c r="P71" s="2265">
        <v>194</v>
      </c>
      <c r="Q71" s="2264">
        <v>69</v>
      </c>
      <c r="R71" s="2265">
        <v>198</v>
      </c>
      <c r="S71" s="2264">
        <v>123</v>
      </c>
      <c r="T71" s="2265">
        <v>234</v>
      </c>
      <c r="U71" s="2264">
        <v>138</v>
      </c>
      <c r="V71" s="2265">
        <v>280</v>
      </c>
      <c r="W71" s="2264">
        <v>106</v>
      </c>
      <c r="X71" s="2265">
        <v>286</v>
      </c>
      <c r="Y71" s="2264">
        <v>104</v>
      </c>
      <c r="Z71" s="2265">
        <v>312</v>
      </c>
      <c r="AA71" s="2264">
        <v>121</v>
      </c>
      <c r="AB71" s="2265">
        <v>327</v>
      </c>
      <c r="AC71" s="2264">
        <v>166</v>
      </c>
      <c r="AD71" s="2265">
        <v>396</v>
      </c>
      <c r="AE71" s="2264">
        <v>131</v>
      </c>
      <c r="AF71" s="2265">
        <v>421</v>
      </c>
      <c r="AG71" s="2264">
        <v>154</v>
      </c>
      <c r="AH71" s="2265">
        <v>448</v>
      </c>
      <c r="AI71" s="2264">
        <v>182</v>
      </c>
      <c r="AJ71" s="2265">
        <v>283</v>
      </c>
      <c r="AK71" s="2266">
        <v>136</v>
      </c>
      <c r="AL71" s="2267">
        <v>299</v>
      </c>
      <c r="AM71" s="2267">
        <v>153</v>
      </c>
      <c r="AN71" s="2265">
        <f t="shared" si="24"/>
        <v>452</v>
      </c>
      <c r="AO71" s="2267">
        <v>182</v>
      </c>
      <c r="AP71" s="2267">
        <v>92</v>
      </c>
      <c r="AQ71" s="2265">
        <f>SUM(AO71:AP71)</f>
        <v>274</v>
      </c>
      <c r="AR71" s="2267">
        <v>26</v>
      </c>
      <c r="AS71" s="2267">
        <v>10</v>
      </c>
      <c r="AT71" s="2265">
        <f t="shared" si="23"/>
        <v>36</v>
      </c>
    </row>
    <row r="72" spans="2:46" ht="15" customHeight="1" x14ac:dyDescent="0.25">
      <c r="B72" s="2268" t="s">
        <v>92</v>
      </c>
      <c r="C72" s="2269">
        <f>SUM(C64:C71)</f>
        <v>17</v>
      </c>
      <c r="D72" s="2270">
        <f t="shared" ref="D72:AT72" si="25">SUM(D64:D71)</f>
        <v>17</v>
      </c>
      <c r="E72" s="2269">
        <f t="shared" si="25"/>
        <v>148</v>
      </c>
      <c r="F72" s="2270">
        <f t="shared" si="25"/>
        <v>153</v>
      </c>
      <c r="G72" s="2269">
        <f t="shared" si="25"/>
        <v>164</v>
      </c>
      <c r="H72" s="2270">
        <f t="shared" si="25"/>
        <v>285</v>
      </c>
      <c r="I72" s="2269">
        <f t="shared" si="25"/>
        <v>151</v>
      </c>
      <c r="J72" s="2270">
        <f t="shared" si="25"/>
        <v>395</v>
      </c>
      <c r="K72" s="2269">
        <f t="shared" si="25"/>
        <v>176</v>
      </c>
      <c r="L72" s="2270">
        <f t="shared" si="25"/>
        <v>483</v>
      </c>
      <c r="M72" s="2269">
        <f t="shared" si="25"/>
        <v>580</v>
      </c>
      <c r="N72" s="2270">
        <f t="shared" si="25"/>
        <v>935</v>
      </c>
      <c r="O72" s="2269">
        <f t="shared" si="25"/>
        <v>335</v>
      </c>
      <c r="P72" s="2270">
        <f t="shared" si="25"/>
        <v>1099</v>
      </c>
      <c r="Q72" s="2269">
        <f t="shared" si="25"/>
        <v>340</v>
      </c>
      <c r="R72" s="2270">
        <f t="shared" si="25"/>
        <v>1138</v>
      </c>
      <c r="S72" s="2269">
        <f t="shared" si="25"/>
        <v>868</v>
      </c>
      <c r="T72" s="2270">
        <f t="shared" si="25"/>
        <v>1567</v>
      </c>
      <c r="U72" s="2269">
        <f t="shared" si="25"/>
        <v>800</v>
      </c>
      <c r="V72" s="2270">
        <f t="shared" si="25"/>
        <v>1867</v>
      </c>
      <c r="W72" s="2269">
        <f t="shared" si="25"/>
        <v>642</v>
      </c>
      <c r="X72" s="2270">
        <f t="shared" si="25"/>
        <v>2000</v>
      </c>
      <c r="Y72" s="2269">
        <f t="shared" si="25"/>
        <v>594</v>
      </c>
      <c r="Z72" s="2270">
        <f t="shared" si="25"/>
        <v>2071</v>
      </c>
      <c r="AA72" s="2269">
        <f t="shared" si="25"/>
        <v>671</v>
      </c>
      <c r="AB72" s="2270">
        <f t="shared" si="25"/>
        <v>2051</v>
      </c>
      <c r="AC72" s="2269">
        <f t="shared" si="25"/>
        <v>852</v>
      </c>
      <c r="AD72" s="2270">
        <f t="shared" si="25"/>
        <v>2248</v>
      </c>
      <c r="AE72" s="2269">
        <f t="shared" si="25"/>
        <v>691</v>
      </c>
      <c r="AF72" s="2270">
        <f t="shared" si="25"/>
        <v>2337</v>
      </c>
      <c r="AG72" s="2269">
        <f t="shared" si="25"/>
        <v>887</v>
      </c>
      <c r="AH72" s="2270">
        <f t="shared" si="25"/>
        <v>2565</v>
      </c>
      <c r="AI72" s="2269">
        <f t="shared" si="25"/>
        <v>919</v>
      </c>
      <c r="AJ72" s="2270">
        <f t="shared" si="25"/>
        <v>2812</v>
      </c>
      <c r="AK72" s="2271">
        <f t="shared" si="25"/>
        <v>809</v>
      </c>
      <c r="AL72" s="2272">
        <f t="shared" si="25"/>
        <v>1953</v>
      </c>
      <c r="AM72" s="2273">
        <f t="shared" si="25"/>
        <v>828</v>
      </c>
      <c r="AN72" s="2270">
        <f t="shared" si="25"/>
        <v>2781</v>
      </c>
      <c r="AO72" s="2272">
        <f t="shared" si="25"/>
        <v>1290</v>
      </c>
      <c r="AP72" s="2273">
        <f t="shared" si="25"/>
        <v>526</v>
      </c>
      <c r="AQ72" s="2270">
        <f t="shared" si="25"/>
        <v>1816</v>
      </c>
      <c r="AR72" s="2272">
        <f t="shared" si="25"/>
        <v>89</v>
      </c>
      <c r="AS72" s="2273">
        <f t="shared" si="25"/>
        <v>39</v>
      </c>
      <c r="AT72" s="2270">
        <f t="shared" si="25"/>
        <v>128</v>
      </c>
    </row>
    <row r="73" spans="2:46" ht="15" customHeight="1" x14ac:dyDescent="0.25">
      <c r="B73" s="2263" t="s">
        <v>65</v>
      </c>
      <c r="C73" s="2264">
        <v>5</v>
      </c>
      <c r="D73" s="2265">
        <v>5</v>
      </c>
      <c r="E73" s="2264">
        <v>24</v>
      </c>
      <c r="F73" s="2265">
        <v>24</v>
      </c>
      <c r="G73" s="2264">
        <v>23</v>
      </c>
      <c r="H73" s="2265">
        <v>44</v>
      </c>
      <c r="I73" s="2264">
        <v>41</v>
      </c>
      <c r="J73" s="2265">
        <v>77</v>
      </c>
      <c r="K73" s="2264">
        <v>31</v>
      </c>
      <c r="L73" s="2265">
        <v>90</v>
      </c>
      <c r="M73" s="2264">
        <v>109</v>
      </c>
      <c r="N73" s="2265">
        <v>170</v>
      </c>
      <c r="O73" s="2264">
        <v>63</v>
      </c>
      <c r="P73" s="2265">
        <v>193</v>
      </c>
      <c r="Q73" s="2264">
        <v>51</v>
      </c>
      <c r="R73" s="2265">
        <v>169</v>
      </c>
      <c r="S73" s="2264">
        <v>139</v>
      </c>
      <c r="T73" s="2265">
        <v>226</v>
      </c>
      <c r="U73" s="2264">
        <v>142</v>
      </c>
      <c r="V73" s="2265">
        <v>292</v>
      </c>
      <c r="W73" s="2264">
        <v>88</v>
      </c>
      <c r="X73" s="2265">
        <v>284</v>
      </c>
      <c r="Y73" s="2264">
        <v>102</v>
      </c>
      <c r="Z73" s="2265">
        <v>298</v>
      </c>
      <c r="AA73" s="2264">
        <v>97</v>
      </c>
      <c r="AB73" s="2265">
        <v>286</v>
      </c>
      <c r="AC73" s="2264">
        <v>125</v>
      </c>
      <c r="AD73" s="2265">
        <v>316</v>
      </c>
      <c r="AE73" s="2264">
        <v>85</v>
      </c>
      <c r="AF73" s="2265">
        <v>312</v>
      </c>
      <c r="AG73" s="2264">
        <v>121</v>
      </c>
      <c r="AH73" s="2265">
        <v>335</v>
      </c>
      <c r="AI73" s="2264">
        <v>147</v>
      </c>
      <c r="AJ73" s="2265">
        <v>389</v>
      </c>
      <c r="AK73" s="2266">
        <v>121</v>
      </c>
      <c r="AL73" s="2267">
        <v>168</v>
      </c>
      <c r="AM73" s="2267">
        <v>222</v>
      </c>
      <c r="AN73" s="2265">
        <f t="shared" si="24"/>
        <v>390</v>
      </c>
      <c r="AO73" s="2267">
        <v>106</v>
      </c>
      <c r="AP73" s="2267">
        <v>130</v>
      </c>
      <c r="AQ73" s="2265">
        <f>SUM(AO73:AP73)</f>
        <v>236</v>
      </c>
      <c r="AR73" s="2267">
        <v>5</v>
      </c>
      <c r="AS73" s="2267">
        <v>14</v>
      </c>
      <c r="AT73" s="2265">
        <f>SUM(AR73:AS73)</f>
        <v>19</v>
      </c>
    </row>
    <row r="74" spans="2:46" ht="15" customHeight="1" x14ac:dyDescent="0.25">
      <c r="B74" s="2263" t="s">
        <v>619</v>
      </c>
      <c r="C74" s="2264">
        <v>3</v>
      </c>
      <c r="D74" s="2265">
        <v>3</v>
      </c>
      <c r="E74" s="2264">
        <v>12</v>
      </c>
      <c r="F74" s="2265">
        <v>14</v>
      </c>
      <c r="G74" s="2264">
        <v>15</v>
      </c>
      <c r="H74" s="2265">
        <v>27</v>
      </c>
      <c r="I74" s="2264">
        <v>17</v>
      </c>
      <c r="J74" s="2265">
        <v>42</v>
      </c>
      <c r="K74" s="2264">
        <v>13</v>
      </c>
      <c r="L74" s="2265">
        <v>50</v>
      </c>
      <c r="M74" s="2264">
        <v>46</v>
      </c>
      <c r="N74" s="2265">
        <v>81</v>
      </c>
      <c r="O74" s="2264">
        <v>22</v>
      </c>
      <c r="P74" s="2265">
        <v>89</v>
      </c>
      <c r="Q74" s="2264">
        <v>17</v>
      </c>
      <c r="R74" s="2265">
        <v>72</v>
      </c>
      <c r="S74" s="2264">
        <v>66</v>
      </c>
      <c r="T74" s="2265">
        <v>98</v>
      </c>
      <c r="U74" s="2264">
        <v>58</v>
      </c>
      <c r="V74" s="2265">
        <v>126</v>
      </c>
      <c r="W74" s="2264">
        <v>48</v>
      </c>
      <c r="X74" s="2265">
        <v>148</v>
      </c>
      <c r="Y74" s="2264">
        <v>45</v>
      </c>
      <c r="Z74" s="2265">
        <v>165</v>
      </c>
      <c r="AA74" s="2264">
        <v>38</v>
      </c>
      <c r="AB74" s="2265">
        <v>148</v>
      </c>
      <c r="AC74" s="2264">
        <v>51</v>
      </c>
      <c r="AD74" s="2265">
        <v>161</v>
      </c>
      <c r="AE74" s="2264">
        <v>55</v>
      </c>
      <c r="AF74" s="2265">
        <v>172</v>
      </c>
      <c r="AG74" s="2264">
        <v>66</v>
      </c>
      <c r="AH74" s="2265">
        <v>185</v>
      </c>
      <c r="AI74" s="2264">
        <v>63</v>
      </c>
      <c r="AJ74" s="2265">
        <v>199</v>
      </c>
      <c r="AK74" s="2266">
        <v>58</v>
      </c>
      <c r="AL74" s="2267">
        <v>119</v>
      </c>
      <c r="AM74" s="2267">
        <v>88</v>
      </c>
      <c r="AN74" s="2265">
        <f t="shared" si="24"/>
        <v>207</v>
      </c>
      <c r="AO74" s="2267">
        <v>88</v>
      </c>
      <c r="AP74" s="2267">
        <v>52</v>
      </c>
      <c r="AQ74" s="2265">
        <f>SUM(AO74:AP74)</f>
        <v>140</v>
      </c>
      <c r="AR74" s="2267">
        <v>3</v>
      </c>
      <c r="AS74" s="2267">
        <v>3</v>
      </c>
      <c r="AT74" s="2265">
        <f>SUM(AR74:AS74)</f>
        <v>6</v>
      </c>
    </row>
    <row r="75" spans="2:46" ht="15" customHeight="1" x14ac:dyDescent="0.25">
      <c r="B75" s="2263" t="s">
        <v>67</v>
      </c>
      <c r="C75" s="2264">
        <v>2</v>
      </c>
      <c r="D75" s="2265">
        <v>1</v>
      </c>
      <c r="E75" s="2264">
        <v>14</v>
      </c>
      <c r="F75" s="2265">
        <v>16</v>
      </c>
      <c r="G75" s="2264">
        <v>17</v>
      </c>
      <c r="H75" s="2265">
        <v>31</v>
      </c>
      <c r="I75" s="2264">
        <v>10</v>
      </c>
      <c r="J75" s="2265">
        <v>37</v>
      </c>
      <c r="K75" s="2264">
        <v>18</v>
      </c>
      <c r="L75" s="2265">
        <v>46</v>
      </c>
      <c r="M75" s="2264">
        <v>50</v>
      </c>
      <c r="N75" s="2265">
        <v>80</v>
      </c>
      <c r="O75" s="2264">
        <v>25</v>
      </c>
      <c r="P75" s="2265">
        <v>91</v>
      </c>
      <c r="Q75" s="2264">
        <v>12</v>
      </c>
      <c r="R75" s="2265">
        <v>68</v>
      </c>
      <c r="S75" s="2264">
        <v>32</v>
      </c>
      <c r="T75" s="2265">
        <v>67</v>
      </c>
      <c r="U75" s="2264">
        <v>54</v>
      </c>
      <c r="V75" s="2265">
        <v>85</v>
      </c>
      <c r="W75" s="2264">
        <v>38</v>
      </c>
      <c r="X75" s="2265">
        <v>100</v>
      </c>
      <c r="Y75" s="2264">
        <v>32</v>
      </c>
      <c r="Z75" s="2265">
        <v>96</v>
      </c>
      <c r="AA75" s="2264">
        <v>29</v>
      </c>
      <c r="AB75" s="2265">
        <v>89</v>
      </c>
      <c r="AC75" s="2264">
        <v>47</v>
      </c>
      <c r="AD75" s="2265">
        <v>109</v>
      </c>
      <c r="AE75" s="2264">
        <v>36</v>
      </c>
      <c r="AF75" s="2265">
        <v>112</v>
      </c>
      <c r="AG75" s="2264">
        <v>51</v>
      </c>
      <c r="AH75" s="2265">
        <v>143</v>
      </c>
      <c r="AI75" s="2264">
        <v>54</v>
      </c>
      <c r="AJ75" s="2265">
        <v>151</v>
      </c>
      <c r="AK75" s="2266">
        <v>56</v>
      </c>
      <c r="AL75" s="2267">
        <v>81</v>
      </c>
      <c r="AM75" s="2267">
        <v>80</v>
      </c>
      <c r="AN75" s="2265">
        <f t="shared" si="24"/>
        <v>161</v>
      </c>
      <c r="AO75" s="2267">
        <v>42</v>
      </c>
      <c r="AP75" s="2267">
        <v>40</v>
      </c>
      <c r="AQ75" s="2265">
        <f>SUM(AO75:AP75)</f>
        <v>82</v>
      </c>
      <c r="AR75" s="2267">
        <v>2</v>
      </c>
      <c r="AS75" s="2267">
        <v>0</v>
      </c>
      <c r="AT75" s="2265">
        <f>SUM(AR75:AS75)</f>
        <v>2</v>
      </c>
    </row>
    <row r="76" spans="2:46" ht="15" customHeight="1" x14ac:dyDescent="0.25">
      <c r="B76" s="2263" t="s">
        <v>104</v>
      </c>
      <c r="C76" s="2264">
        <v>1</v>
      </c>
      <c r="D76" s="2265">
        <v>1</v>
      </c>
      <c r="E76" s="2264">
        <v>6</v>
      </c>
      <c r="F76" s="2265">
        <v>7</v>
      </c>
      <c r="G76" s="2264">
        <v>13</v>
      </c>
      <c r="H76" s="2265">
        <v>19</v>
      </c>
      <c r="I76" s="2264">
        <v>5</v>
      </c>
      <c r="J76" s="2265">
        <v>20</v>
      </c>
      <c r="K76" s="2264">
        <v>9</v>
      </c>
      <c r="L76" s="2265">
        <v>24</v>
      </c>
      <c r="M76" s="2264">
        <v>35</v>
      </c>
      <c r="N76" s="2265">
        <v>51</v>
      </c>
      <c r="O76" s="2264">
        <v>24</v>
      </c>
      <c r="P76" s="2265">
        <v>68</v>
      </c>
      <c r="Q76" s="2264">
        <v>43</v>
      </c>
      <c r="R76" s="2265">
        <v>88</v>
      </c>
      <c r="S76" s="2264">
        <v>62</v>
      </c>
      <c r="T76" s="2265">
        <v>100</v>
      </c>
      <c r="U76" s="2264">
        <v>69</v>
      </c>
      <c r="V76" s="2265">
        <v>140</v>
      </c>
      <c r="W76" s="2264">
        <v>48</v>
      </c>
      <c r="X76" s="2265">
        <v>140</v>
      </c>
      <c r="Y76" s="2264">
        <v>57</v>
      </c>
      <c r="Z76" s="2265">
        <v>151</v>
      </c>
      <c r="AA76" s="2264">
        <v>53</v>
      </c>
      <c r="AB76" s="2265">
        <v>161</v>
      </c>
      <c r="AC76" s="2264">
        <v>61</v>
      </c>
      <c r="AD76" s="2265">
        <v>165</v>
      </c>
      <c r="AE76" s="2264">
        <v>55</v>
      </c>
      <c r="AF76" s="2265">
        <v>175</v>
      </c>
      <c r="AG76" s="2264">
        <v>67</v>
      </c>
      <c r="AH76" s="2265">
        <v>161</v>
      </c>
      <c r="AI76" s="2264">
        <v>83</v>
      </c>
      <c r="AJ76" s="2265">
        <v>192</v>
      </c>
      <c r="AK76" s="2266">
        <v>58</v>
      </c>
      <c r="AL76" s="2267">
        <v>97</v>
      </c>
      <c r="AM76" s="2267">
        <v>89</v>
      </c>
      <c r="AN76" s="2265">
        <f t="shared" si="24"/>
        <v>186</v>
      </c>
      <c r="AO76" s="2267">
        <v>67</v>
      </c>
      <c r="AP76" s="2267">
        <v>52</v>
      </c>
      <c r="AQ76" s="2265">
        <f>SUM(AO76:AP76)</f>
        <v>119</v>
      </c>
      <c r="AR76" s="2267">
        <v>2</v>
      </c>
      <c r="AS76" s="2267">
        <v>2</v>
      </c>
      <c r="AT76" s="2265">
        <f>SUM(AR76:AS76)</f>
        <v>4</v>
      </c>
    </row>
    <row r="77" spans="2:46" ht="15" customHeight="1" x14ac:dyDescent="0.25">
      <c r="B77" s="2274" t="s">
        <v>68</v>
      </c>
      <c r="C77" s="2275">
        <f>SUM(C73:C76)</f>
        <v>11</v>
      </c>
      <c r="D77" s="2276">
        <f t="shared" ref="D77:AT77" si="26">SUM(D73:D76)</f>
        <v>10</v>
      </c>
      <c r="E77" s="2275">
        <f t="shared" si="26"/>
        <v>56</v>
      </c>
      <c r="F77" s="2276">
        <f t="shared" si="26"/>
        <v>61</v>
      </c>
      <c r="G77" s="2275">
        <f t="shared" si="26"/>
        <v>68</v>
      </c>
      <c r="H77" s="2276">
        <f t="shared" si="26"/>
        <v>121</v>
      </c>
      <c r="I77" s="2275">
        <f t="shared" si="26"/>
        <v>73</v>
      </c>
      <c r="J77" s="2276">
        <f t="shared" si="26"/>
        <v>176</v>
      </c>
      <c r="K77" s="2275">
        <f t="shared" si="26"/>
        <v>71</v>
      </c>
      <c r="L77" s="2276">
        <f t="shared" si="26"/>
        <v>210</v>
      </c>
      <c r="M77" s="2275">
        <f t="shared" si="26"/>
        <v>240</v>
      </c>
      <c r="N77" s="2276">
        <f t="shared" si="26"/>
        <v>382</v>
      </c>
      <c r="O77" s="2275">
        <f t="shared" si="26"/>
        <v>134</v>
      </c>
      <c r="P77" s="2276">
        <f t="shared" si="26"/>
        <v>441</v>
      </c>
      <c r="Q77" s="2275">
        <f t="shared" si="26"/>
        <v>123</v>
      </c>
      <c r="R77" s="2276">
        <f t="shared" si="26"/>
        <v>397</v>
      </c>
      <c r="S77" s="2275">
        <f t="shared" si="26"/>
        <v>299</v>
      </c>
      <c r="T77" s="2276">
        <f t="shared" si="26"/>
        <v>491</v>
      </c>
      <c r="U77" s="2275">
        <f t="shared" si="26"/>
        <v>323</v>
      </c>
      <c r="V77" s="2276">
        <f t="shared" si="26"/>
        <v>643</v>
      </c>
      <c r="W77" s="2275">
        <f t="shared" si="26"/>
        <v>222</v>
      </c>
      <c r="X77" s="2276">
        <f t="shared" si="26"/>
        <v>672</v>
      </c>
      <c r="Y77" s="2275">
        <f t="shared" si="26"/>
        <v>236</v>
      </c>
      <c r="Z77" s="2276">
        <f t="shared" si="26"/>
        <v>710</v>
      </c>
      <c r="AA77" s="2275">
        <f t="shared" si="26"/>
        <v>217</v>
      </c>
      <c r="AB77" s="2276">
        <f t="shared" si="26"/>
        <v>684</v>
      </c>
      <c r="AC77" s="2275">
        <f t="shared" si="26"/>
        <v>284</v>
      </c>
      <c r="AD77" s="2276">
        <f t="shared" si="26"/>
        <v>751</v>
      </c>
      <c r="AE77" s="2275">
        <f t="shared" si="26"/>
        <v>231</v>
      </c>
      <c r="AF77" s="2276">
        <f t="shared" si="26"/>
        <v>771</v>
      </c>
      <c r="AG77" s="2275">
        <f t="shared" si="26"/>
        <v>305</v>
      </c>
      <c r="AH77" s="2276">
        <f t="shared" si="26"/>
        <v>824</v>
      </c>
      <c r="AI77" s="2275">
        <f t="shared" si="26"/>
        <v>347</v>
      </c>
      <c r="AJ77" s="2276">
        <f t="shared" si="26"/>
        <v>931</v>
      </c>
      <c r="AK77" s="2277">
        <f t="shared" si="26"/>
        <v>293</v>
      </c>
      <c r="AL77" s="2278">
        <f t="shared" si="26"/>
        <v>465</v>
      </c>
      <c r="AM77" s="2279">
        <f t="shared" si="26"/>
        <v>479</v>
      </c>
      <c r="AN77" s="2276">
        <f t="shared" si="26"/>
        <v>944</v>
      </c>
      <c r="AO77" s="2278">
        <f t="shared" si="26"/>
        <v>303</v>
      </c>
      <c r="AP77" s="2279">
        <f t="shared" si="26"/>
        <v>274</v>
      </c>
      <c r="AQ77" s="2276">
        <f t="shared" si="26"/>
        <v>577</v>
      </c>
      <c r="AR77" s="2278">
        <f t="shared" si="26"/>
        <v>12</v>
      </c>
      <c r="AS77" s="2279">
        <f t="shared" si="26"/>
        <v>19</v>
      </c>
      <c r="AT77" s="2276">
        <f t="shared" si="26"/>
        <v>31</v>
      </c>
    </row>
    <row r="78" spans="2:46" ht="15" customHeight="1" x14ac:dyDescent="0.25">
      <c r="B78" s="2295" t="s">
        <v>105</v>
      </c>
      <c r="C78" s="2296">
        <f>SUM(C77,C72,C63)</f>
        <v>47</v>
      </c>
      <c r="D78" s="2297">
        <f t="shared" ref="D78:AT78" si="27">SUM(D77,D72,D63)</f>
        <v>44</v>
      </c>
      <c r="E78" s="2296">
        <f t="shared" si="27"/>
        <v>317</v>
      </c>
      <c r="F78" s="2297">
        <f t="shared" si="27"/>
        <v>336</v>
      </c>
      <c r="G78" s="2296">
        <f t="shared" si="27"/>
        <v>348</v>
      </c>
      <c r="H78" s="2297">
        <f t="shared" si="27"/>
        <v>635</v>
      </c>
      <c r="I78" s="2296">
        <f t="shared" si="27"/>
        <v>347</v>
      </c>
      <c r="J78" s="2297">
        <f t="shared" si="27"/>
        <v>877</v>
      </c>
      <c r="K78" s="2296">
        <f t="shared" si="27"/>
        <v>401</v>
      </c>
      <c r="L78" s="2297">
        <f t="shared" si="27"/>
        <v>1061</v>
      </c>
      <c r="M78" s="2296">
        <f t="shared" si="27"/>
        <v>1231</v>
      </c>
      <c r="N78" s="2297">
        <f t="shared" si="27"/>
        <v>2004</v>
      </c>
      <c r="O78" s="2296">
        <f t="shared" si="27"/>
        <v>709</v>
      </c>
      <c r="P78" s="2297">
        <f t="shared" si="27"/>
        <v>2354</v>
      </c>
      <c r="Q78" s="2296">
        <f t="shared" si="27"/>
        <v>703</v>
      </c>
      <c r="R78" s="2297">
        <f t="shared" si="27"/>
        <v>2359</v>
      </c>
      <c r="S78" s="2296">
        <f t="shared" si="27"/>
        <v>1841</v>
      </c>
      <c r="T78" s="2297">
        <f t="shared" si="27"/>
        <v>3194</v>
      </c>
      <c r="U78" s="2296">
        <f t="shared" si="27"/>
        <v>1723</v>
      </c>
      <c r="V78" s="2297">
        <f t="shared" si="27"/>
        <v>3881</v>
      </c>
      <c r="W78" s="2296">
        <f t="shared" si="27"/>
        <v>1384</v>
      </c>
      <c r="X78" s="2297">
        <f t="shared" si="27"/>
        <v>4251</v>
      </c>
      <c r="Y78" s="2296">
        <f t="shared" si="27"/>
        <v>1306</v>
      </c>
      <c r="Z78" s="2297">
        <f t="shared" si="27"/>
        <v>4418</v>
      </c>
      <c r="AA78" s="2296">
        <f t="shared" si="27"/>
        <v>1360</v>
      </c>
      <c r="AB78" s="2297">
        <f t="shared" si="27"/>
        <v>4332</v>
      </c>
      <c r="AC78" s="2296">
        <f t="shared" si="27"/>
        <v>1769</v>
      </c>
      <c r="AD78" s="2297">
        <f t="shared" si="27"/>
        <v>4644</v>
      </c>
      <c r="AE78" s="2296">
        <f t="shared" si="27"/>
        <v>1442</v>
      </c>
      <c r="AF78" s="2297">
        <f t="shared" si="27"/>
        <v>4807</v>
      </c>
      <c r="AG78" s="2296">
        <f t="shared" si="27"/>
        <v>1855</v>
      </c>
      <c r="AH78" s="2297">
        <f t="shared" si="27"/>
        <v>5230</v>
      </c>
      <c r="AI78" s="2296">
        <f t="shared" si="27"/>
        <v>1934</v>
      </c>
      <c r="AJ78" s="2297">
        <f t="shared" si="27"/>
        <v>5690</v>
      </c>
      <c r="AK78" s="2298">
        <f t="shared" si="27"/>
        <v>1667</v>
      </c>
      <c r="AL78" s="2299">
        <f t="shared" si="27"/>
        <v>3602</v>
      </c>
      <c r="AM78" s="2299">
        <f t="shared" si="27"/>
        <v>2046</v>
      </c>
      <c r="AN78" s="2297">
        <f t="shared" si="27"/>
        <v>5648</v>
      </c>
      <c r="AO78" s="2299">
        <f t="shared" si="27"/>
        <v>2383</v>
      </c>
      <c r="AP78" s="2299">
        <f t="shared" si="27"/>
        <v>1224</v>
      </c>
      <c r="AQ78" s="2297">
        <f t="shared" si="27"/>
        <v>3607</v>
      </c>
      <c r="AR78" s="2299">
        <f t="shared" si="27"/>
        <v>145</v>
      </c>
      <c r="AS78" s="2299">
        <f t="shared" si="27"/>
        <v>102</v>
      </c>
      <c r="AT78" s="2297">
        <f t="shared" si="27"/>
        <v>247</v>
      </c>
    </row>
    <row r="79" spans="2:46" ht="15" customHeight="1" x14ac:dyDescent="0.25">
      <c r="B79" s="2285" t="s">
        <v>60</v>
      </c>
      <c r="C79" s="2286"/>
      <c r="D79" s="2287"/>
      <c r="E79" s="2286"/>
      <c r="F79" s="2287"/>
      <c r="G79" s="2286"/>
      <c r="H79" s="2287"/>
      <c r="I79" s="2286"/>
      <c r="J79" s="2287"/>
      <c r="K79" s="2286">
        <v>8</v>
      </c>
      <c r="L79" s="2287">
        <v>8</v>
      </c>
      <c r="M79" s="2286">
        <v>19</v>
      </c>
      <c r="N79" s="2287">
        <v>27</v>
      </c>
      <c r="O79" s="2286">
        <v>22</v>
      </c>
      <c r="P79" s="2287">
        <v>47</v>
      </c>
      <c r="Q79" s="2286">
        <v>19</v>
      </c>
      <c r="R79" s="2287">
        <v>61</v>
      </c>
      <c r="S79" s="2286">
        <v>7</v>
      </c>
      <c r="T79" s="2287">
        <v>60</v>
      </c>
      <c r="U79" s="2286">
        <v>21</v>
      </c>
      <c r="V79" s="2287">
        <v>61</v>
      </c>
      <c r="W79" s="2286">
        <v>16</v>
      </c>
      <c r="X79" s="2287">
        <v>52</v>
      </c>
      <c r="Y79" s="2286">
        <v>14</v>
      </c>
      <c r="Z79" s="2287">
        <v>51</v>
      </c>
      <c r="AA79" s="2286">
        <v>23</v>
      </c>
      <c r="AB79" s="2287">
        <v>58</v>
      </c>
      <c r="AC79" s="2286">
        <v>32</v>
      </c>
      <c r="AD79" s="2287">
        <v>73</v>
      </c>
      <c r="AE79" s="2286">
        <v>41</v>
      </c>
      <c r="AF79" s="2287">
        <v>103</v>
      </c>
      <c r="AG79" s="2286">
        <v>44</v>
      </c>
      <c r="AH79" s="2287">
        <v>123</v>
      </c>
      <c r="AI79" s="2286">
        <v>38</v>
      </c>
      <c r="AJ79" s="2287">
        <v>137</v>
      </c>
      <c r="AK79" s="2288">
        <v>39</v>
      </c>
      <c r="AL79" s="2289">
        <v>83</v>
      </c>
      <c r="AM79" s="2289">
        <v>57</v>
      </c>
      <c r="AN79" s="2287">
        <f t="shared" si="24"/>
        <v>140</v>
      </c>
      <c r="AO79" s="2289">
        <v>54</v>
      </c>
      <c r="AP79" s="2289">
        <v>38</v>
      </c>
      <c r="AQ79" s="2287">
        <f>SUM(AO79:AP79)</f>
        <v>92</v>
      </c>
      <c r="AR79" s="2289">
        <v>6</v>
      </c>
      <c r="AS79" s="2289">
        <v>2</v>
      </c>
      <c r="AT79" s="2287">
        <f>SUM(AR79:AS79)</f>
        <v>8</v>
      </c>
    </row>
    <row r="80" spans="2:46" ht="15" customHeight="1" x14ac:dyDescent="0.25">
      <c r="B80" s="2263" t="s">
        <v>61</v>
      </c>
      <c r="C80" s="2264"/>
      <c r="D80" s="2265"/>
      <c r="E80" s="2264"/>
      <c r="F80" s="2265"/>
      <c r="G80" s="2264"/>
      <c r="H80" s="2265"/>
      <c r="I80" s="2264"/>
      <c r="J80" s="2265"/>
      <c r="K80" s="2264">
        <v>8</v>
      </c>
      <c r="L80" s="2265">
        <v>8</v>
      </c>
      <c r="M80" s="2264">
        <v>19</v>
      </c>
      <c r="N80" s="2265">
        <v>27</v>
      </c>
      <c r="O80" s="2264">
        <v>5</v>
      </c>
      <c r="P80" s="2265">
        <v>31</v>
      </c>
      <c r="Q80" s="2264">
        <v>3</v>
      </c>
      <c r="R80" s="2265">
        <v>24</v>
      </c>
      <c r="S80" s="2264"/>
      <c r="T80" s="2265">
        <v>21</v>
      </c>
      <c r="U80" s="2264"/>
      <c r="V80" s="2265"/>
      <c r="W80" s="2264"/>
      <c r="X80" s="2265"/>
      <c r="Y80" s="2264"/>
      <c r="Z80" s="2265"/>
      <c r="AA80" s="2264"/>
      <c r="AB80" s="2265"/>
      <c r="AC80" s="2264"/>
      <c r="AD80" s="2265"/>
      <c r="AE80" s="2264">
        <v>5</v>
      </c>
      <c r="AF80" s="2265">
        <v>5</v>
      </c>
      <c r="AG80" s="2264">
        <v>17</v>
      </c>
      <c r="AH80" s="2265">
        <v>20</v>
      </c>
      <c r="AI80" s="2264">
        <v>26</v>
      </c>
      <c r="AJ80" s="2265">
        <v>44</v>
      </c>
      <c r="AK80" s="2266">
        <v>26</v>
      </c>
      <c r="AL80" s="2267">
        <v>40</v>
      </c>
      <c r="AM80" s="2267">
        <v>29</v>
      </c>
      <c r="AN80" s="2265">
        <f t="shared" si="24"/>
        <v>69</v>
      </c>
      <c r="AO80" s="2267">
        <v>33</v>
      </c>
      <c r="AP80" s="2267">
        <v>27</v>
      </c>
      <c r="AQ80" s="2265">
        <f>SUM(AO80:AP80)</f>
        <v>60</v>
      </c>
      <c r="AR80" s="2267">
        <v>4</v>
      </c>
      <c r="AS80" s="2267">
        <v>4</v>
      </c>
      <c r="AT80" s="2265">
        <f>SUM(AR80:AS80)</f>
        <v>8</v>
      </c>
    </row>
    <row r="81" spans="2:46" ht="15" customHeight="1" x14ac:dyDescent="0.25">
      <c r="B81" s="2263" t="s">
        <v>107</v>
      </c>
      <c r="C81" s="2264"/>
      <c r="D81" s="2265"/>
      <c r="E81" s="2264"/>
      <c r="F81" s="2265"/>
      <c r="G81" s="2264"/>
      <c r="H81" s="2265"/>
      <c r="I81" s="2264"/>
      <c r="J81" s="2265"/>
      <c r="K81" s="2264"/>
      <c r="L81" s="2265"/>
      <c r="M81" s="2264"/>
      <c r="N81" s="2265"/>
      <c r="O81" s="2264">
        <v>6</v>
      </c>
      <c r="P81" s="2265">
        <v>6</v>
      </c>
      <c r="Q81" s="2264">
        <v>6</v>
      </c>
      <c r="R81" s="2265">
        <v>12</v>
      </c>
      <c r="S81" s="2264">
        <v>7</v>
      </c>
      <c r="T81" s="2265">
        <v>19</v>
      </c>
      <c r="U81" s="2264">
        <v>13</v>
      </c>
      <c r="V81" s="2265">
        <v>26</v>
      </c>
      <c r="W81" s="2264">
        <v>14</v>
      </c>
      <c r="X81" s="2265">
        <v>36</v>
      </c>
      <c r="Y81" s="2264">
        <v>4</v>
      </c>
      <c r="Z81" s="2265">
        <v>29</v>
      </c>
      <c r="AA81" s="2264">
        <v>11</v>
      </c>
      <c r="AB81" s="2265">
        <v>32</v>
      </c>
      <c r="AC81" s="2264">
        <v>31</v>
      </c>
      <c r="AD81" s="2265">
        <v>47</v>
      </c>
      <c r="AE81" s="2264">
        <v>27</v>
      </c>
      <c r="AF81" s="2265">
        <v>64</v>
      </c>
      <c r="AG81" s="2264">
        <v>25</v>
      </c>
      <c r="AH81" s="2265">
        <v>72</v>
      </c>
      <c r="AI81" s="2264">
        <v>38</v>
      </c>
      <c r="AJ81" s="2265">
        <v>120</v>
      </c>
      <c r="AK81" s="2266">
        <v>24</v>
      </c>
      <c r="AL81" s="2267">
        <v>43</v>
      </c>
      <c r="AM81" s="2267">
        <v>30</v>
      </c>
      <c r="AN81" s="2265">
        <f t="shared" si="24"/>
        <v>73</v>
      </c>
      <c r="AO81" s="2267">
        <v>26</v>
      </c>
      <c r="AP81" s="2267">
        <v>17</v>
      </c>
      <c r="AQ81" s="2265">
        <f>SUM(AO81:AP81)</f>
        <v>43</v>
      </c>
      <c r="AR81" s="2267">
        <v>4</v>
      </c>
      <c r="AS81" s="2267">
        <v>2</v>
      </c>
      <c r="AT81" s="2265">
        <f>SUM(AR81:AS81)</f>
        <v>6</v>
      </c>
    </row>
    <row r="82" spans="2:46" ht="15" customHeight="1" x14ac:dyDescent="0.25">
      <c r="B82" s="2263" t="s">
        <v>106</v>
      </c>
      <c r="C82" s="2264"/>
      <c r="D82" s="2265"/>
      <c r="E82" s="2264"/>
      <c r="F82" s="2265"/>
      <c r="G82" s="2264"/>
      <c r="H82" s="2265"/>
      <c r="I82" s="2264"/>
      <c r="J82" s="2265"/>
      <c r="K82" s="2264"/>
      <c r="L82" s="2265"/>
      <c r="M82" s="2264"/>
      <c r="N82" s="2265"/>
      <c r="O82" s="2264">
        <v>3</v>
      </c>
      <c r="P82" s="2265">
        <v>3</v>
      </c>
      <c r="Q82" s="2264">
        <v>7</v>
      </c>
      <c r="R82" s="2265">
        <v>10</v>
      </c>
      <c r="S82" s="2264">
        <v>8</v>
      </c>
      <c r="T82" s="2265">
        <v>16</v>
      </c>
      <c r="U82" s="2264">
        <v>17</v>
      </c>
      <c r="V82" s="2265">
        <v>30</v>
      </c>
      <c r="W82" s="2264">
        <v>12</v>
      </c>
      <c r="X82" s="2265">
        <v>40</v>
      </c>
      <c r="Y82" s="2264">
        <v>9</v>
      </c>
      <c r="Z82" s="2265">
        <v>34</v>
      </c>
      <c r="AA82" s="2264">
        <v>6</v>
      </c>
      <c r="AB82" s="2265">
        <v>28</v>
      </c>
      <c r="AC82" s="2264">
        <v>35</v>
      </c>
      <c r="AD82" s="2265">
        <v>57</v>
      </c>
      <c r="AE82" s="2264">
        <v>38</v>
      </c>
      <c r="AF82" s="2265">
        <v>82</v>
      </c>
      <c r="AG82" s="2264">
        <v>39</v>
      </c>
      <c r="AH82" s="2265">
        <v>104</v>
      </c>
      <c r="AI82" s="2264">
        <v>28</v>
      </c>
      <c r="AJ82" s="2265">
        <v>81</v>
      </c>
      <c r="AK82" s="2266">
        <v>30</v>
      </c>
      <c r="AL82" s="2267">
        <v>66</v>
      </c>
      <c r="AM82" s="2267">
        <v>53</v>
      </c>
      <c r="AN82" s="2265">
        <f t="shared" si="24"/>
        <v>119</v>
      </c>
      <c r="AO82" s="2267">
        <v>48</v>
      </c>
      <c r="AP82" s="2267">
        <v>43</v>
      </c>
      <c r="AQ82" s="2265">
        <f>SUM(AO82:AP82)</f>
        <v>91</v>
      </c>
      <c r="AR82" s="2267">
        <v>1</v>
      </c>
      <c r="AS82" s="2267">
        <v>1</v>
      </c>
      <c r="AT82" s="2265">
        <f>SUM(AR82:AS82)</f>
        <v>2</v>
      </c>
    </row>
    <row r="83" spans="2:46" ht="15" customHeight="1" x14ac:dyDescent="0.25">
      <c r="B83" s="2268" t="s">
        <v>64</v>
      </c>
      <c r="C83" s="2269"/>
      <c r="D83" s="2270"/>
      <c r="E83" s="2269"/>
      <c r="F83" s="2270"/>
      <c r="G83" s="2269"/>
      <c r="H83" s="2270"/>
      <c r="I83" s="2269"/>
      <c r="J83" s="2270"/>
      <c r="K83" s="2269">
        <f>SUM(K79:K82)</f>
        <v>16</v>
      </c>
      <c r="L83" s="2270">
        <f t="shared" ref="L83:AT83" si="28">SUM(L79:L82)</f>
        <v>16</v>
      </c>
      <c r="M83" s="2269">
        <f t="shared" si="28"/>
        <v>38</v>
      </c>
      <c r="N83" s="2270">
        <f t="shared" si="28"/>
        <v>54</v>
      </c>
      <c r="O83" s="2269">
        <f t="shared" si="28"/>
        <v>36</v>
      </c>
      <c r="P83" s="2270">
        <f t="shared" si="28"/>
        <v>87</v>
      </c>
      <c r="Q83" s="2269">
        <f t="shared" si="28"/>
        <v>35</v>
      </c>
      <c r="R83" s="2270">
        <f t="shared" si="28"/>
        <v>107</v>
      </c>
      <c r="S83" s="2269">
        <f t="shared" si="28"/>
        <v>22</v>
      </c>
      <c r="T83" s="2270">
        <f t="shared" si="28"/>
        <v>116</v>
      </c>
      <c r="U83" s="2269">
        <f t="shared" si="28"/>
        <v>51</v>
      </c>
      <c r="V83" s="2270">
        <f t="shared" si="28"/>
        <v>117</v>
      </c>
      <c r="W83" s="2269">
        <f t="shared" si="28"/>
        <v>42</v>
      </c>
      <c r="X83" s="2270">
        <f t="shared" si="28"/>
        <v>128</v>
      </c>
      <c r="Y83" s="2269">
        <f t="shared" si="28"/>
        <v>27</v>
      </c>
      <c r="Z83" s="2270">
        <f t="shared" si="28"/>
        <v>114</v>
      </c>
      <c r="AA83" s="2269">
        <f t="shared" si="28"/>
        <v>40</v>
      </c>
      <c r="AB83" s="2270">
        <f t="shared" si="28"/>
        <v>118</v>
      </c>
      <c r="AC83" s="2269">
        <f t="shared" si="28"/>
        <v>98</v>
      </c>
      <c r="AD83" s="2270">
        <f t="shared" si="28"/>
        <v>177</v>
      </c>
      <c r="AE83" s="2269">
        <f t="shared" si="28"/>
        <v>111</v>
      </c>
      <c r="AF83" s="2270">
        <f t="shared" si="28"/>
        <v>254</v>
      </c>
      <c r="AG83" s="2269">
        <f t="shared" si="28"/>
        <v>125</v>
      </c>
      <c r="AH83" s="2270">
        <f t="shared" si="28"/>
        <v>319</v>
      </c>
      <c r="AI83" s="2269">
        <f t="shared" si="28"/>
        <v>130</v>
      </c>
      <c r="AJ83" s="2270">
        <f t="shared" si="28"/>
        <v>382</v>
      </c>
      <c r="AK83" s="2271">
        <f t="shared" si="28"/>
        <v>119</v>
      </c>
      <c r="AL83" s="2272">
        <f t="shared" si="28"/>
        <v>232</v>
      </c>
      <c r="AM83" s="2273">
        <f t="shared" si="28"/>
        <v>169</v>
      </c>
      <c r="AN83" s="2270">
        <f t="shared" si="28"/>
        <v>401</v>
      </c>
      <c r="AO83" s="2272">
        <f t="shared" si="28"/>
        <v>161</v>
      </c>
      <c r="AP83" s="2273">
        <f t="shared" si="28"/>
        <v>125</v>
      </c>
      <c r="AQ83" s="2270">
        <f t="shared" si="28"/>
        <v>286</v>
      </c>
      <c r="AR83" s="2272">
        <f t="shared" si="28"/>
        <v>15</v>
      </c>
      <c r="AS83" s="2273">
        <f t="shared" si="28"/>
        <v>9</v>
      </c>
      <c r="AT83" s="2270">
        <f t="shared" si="28"/>
        <v>24</v>
      </c>
    </row>
    <row r="84" spans="2:46" ht="15" customHeight="1" x14ac:dyDescent="0.25">
      <c r="B84" s="2263" t="s">
        <v>620</v>
      </c>
      <c r="C84" s="2264"/>
      <c r="D84" s="2265"/>
      <c r="E84" s="2264"/>
      <c r="F84" s="2265"/>
      <c r="G84" s="2264"/>
      <c r="H84" s="2265"/>
      <c r="I84" s="2264"/>
      <c r="J84" s="2265"/>
      <c r="K84" s="2264">
        <v>4</v>
      </c>
      <c r="L84" s="2265">
        <v>4</v>
      </c>
      <c r="M84" s="2264">
        <v>19</v>
      </c>
      <c r="N84" s="2265">
        <v>23</v>
      </c>
      <c r="O84" s="2264">
        <v>11</v>
      </c>
      <c r="P84" s="2265">
        <v>33</v>
      </c>
      <c r="Q84" s="2264">
        <v>14</v>
      </c>
      <c r="R84" s="2265">
        <v>42</v>
      </c>
      <c r="S84" s="2264">
        <v>17</v>
      </c>
      <c r="T84" s="2265">
        <v>58</v>
      </c>
      <c r="U84" s="2264">
        <v>12</v>
      </c>
      <c r="V84" s="2265">
        <v>52</v>
      </c>
      <c r="W84" s="2264">
        <v>13</v>
      </c>
      <c r="X84" s="2265">
        <v>38</v>
      </c>
      <c r="Y84" s="2264">
        <v>17</v>
      </c>
      <c r="Z84" s="2265">
        <v>38</v>
      </c>
      <c r="AA84" s="2264">
        <v>19</v>
      </c>
      <c r="AB84" s="2265">
        <v>66</v>
      </c>
      <c r="AC84" s="2264">
        <v>25</v>
      </c>
      <c r="AD84" s="2265">
        <v>62</v>
      </c>
      <c r="AE84" s="2264">
        <v>21</v>
      </c>
      <c r="AF84" s="2265">
        <v>67</v>
      </c>
      <c r="AG84" s="2264">
        <v>22</v>
      </c>
      <c r="AH84" s="2265">
        <v>77</v>
      </c>
      <c r="AI84" s="2264">
        <v>45</v>
      </c>
      <c r="AJ84" s="2265">
        <v>94</v>
      </c>
      <c r="AK84" s="2266">
        <v>26</v>
      </c>
      <c r="AL84" s="2267">
        <v>60</v>
      </c>
      <c r="AM84" s="2267">
        <v>39</v>
      </c>
      <c r="AN84" s="2265">
        <f t="shared" si="24"/>
        <v>99</v>
      </c>
      <c r="AO84" s="2267">
        <v>36</v>
      </c>
      <c r="AP84" s="2267">
        <v>19</v>
      </c>
      <c r="AQ84" s="2265">
        <f>SUM(AO84:AP84)</f>
        <v>55</v>
      </c>
      <c r="AR84" s="2267">
        <v>3</v>
      </c>
      <c r="AS84" s="2267">
        <v>3</v>
      </c>
      <c r="AT84" s="2265">
        <f>SUM(AR84:AS84)</f>
        <v>6</v>
      </c>
    </row>
    <row r="85" spans="2:46" ht="15" customHeight="1" x14ac:dyDescent="0.25">
      <c r="B85" s="2263" t="s">
        <v>110</v>
      </c>
      <c r="C85" s="2264"/>
      <c r="D85" s="2265"/>
      <c r="E85" s="2264"/>
      <c r="F85" s="2265"/>
      <c r="G85" s="2264"/>
      <c r="H85" s="2265"/>
      <c r="I85" s="2264"/>
      <c r="J85" s="2265"/>
      <c r="K85" s="2264"/>
      <c r="L85" s="2265"/>
      <c r="M85" s="2264"/>
      <c r="N85" s="2265"/>
      <c r="O85" s="2264">
        <v>10</v>
      </c>
      <c r="P85" s="2265">
        <v>10</v>
      </c>
      <c r="Q85" s="2264">
        <v>20</v>
      </c>
      <c r="R85" s="2265">
        <v>29</v>
      </c>
      <c r="S85" s="2264">
        <v>12</v>
      </c>
      <c r="T85" s="2265">
        <v>37</v>
      </c>
      <c r="U85" s="2264">
        <v>15</v>
      </c>
      <c r="V85" s="2265">
        <v>47</v>
      </c>
      <c r="W85" s="2264">
        <v>24</v>
      </c>
      <c r="X85" s="2265">
        <v>69</v>
      </c>
      <c r="Y85" s="2264">
        <v>16</v>
      </c>
      <c r="Z85" s="2265">
        <v>64</v>
      </c>
      <c r="AA85" s="2264">
        <v>25</v>
      </c>
      <c r="AB85" s="2265">
        <v>42</v>
      </c>
      <c r="AC85" s="2264">
        <v>34</v>
      </c>
      <c r="AD85" s="2265">
        <v>92</v>
      </c>
      <c r="AE85" s="2264">
        <v>30</v>
      </c>
      <c r="AF85" s="2265">
        <v>94</v>
      </c>
      <c r="AG85" s="2264">
        <v>58</v>
      </c>
      <c r="AH85" s="2265">
        <v>127</v>
      </c>
      <c r="AI85" s="2264">
        <v>49</v>
      </c>
      <c r="AJ85" s="2265">
        <v>72</v>
      </c>
      <c r="AK85" s="2266">
        <v>54</v>
      </c>
      <c r="AL85" s="2267">
        <v>95</v>
      </c>
      <c r="AM85" s="2267">
        <v>83</v>
      </c>
      <c r="AN85" s="2265">
        <f t="shared" si="24"/>
        <v>178</v>
      </c>
      <c r="AO85" s="2267">
        <v>69</v>
      </c>
      <c r="AP85" s="2267">
        <v>52</v>
      </c>
      <c r="AQ85" s="2265">
        <f>SUM(AO85:AP85)</f>
        <v>121</v>
      </c>
      <c r="AR85" s="2267">
        <v>1</v>
      </c>
      <c r="AS85" s="2267">
        <v>5</v>
      </c>
      <c r="AT85" s="2265">
        <f>SUM(AR85:AS85)</f>
        <v>6</v>
      </c>
    </row>
    <row r="86" spans="2:46" ht="15" customHeight="1" x14ac:dyDescent="0.25">
      <c r="B86" s="2263" t="s">
        <v>109</v>
      </c>
      <c r="C86" s="2264"/>
      <c r="D86" s="2265"/>
      <c r="E86" s="2264"/>
      <c r="F86" s="2265"/>
      <c r="G86" s="2264"/>
      <c r="H86" s="2265"/>
      <c r="I86" s="2264"/>
      <c r="J86" s="2265"/>
      <c r="K86" s="2264"/>
      <c r="L86" s="2265"/>
      <c r="M86" s="2264"/>
      <c r="N86" s="2265"/>
      <c r="O86" s="2264">
        <v>3</v>
      </c>
      <c r="P86" s="2265">
        <v>3</v>
      </c>
      <c r="Q86" s="2264">
        <v>5</v>
      </c>
      <c r="R86" s="2265">
        <v>7</v>
      </c>
      <c r="S86" s="2264">
        <v>5</v>
      </c>
      <c r="T86" s="2265">
        <v>10</v>
      </c>
      <c r="U86" s="2264">
        <v>15</v>
      </c>
      <c r="V86" s="2265">
        <v>22</v>
      </c>
      <c r="W86" s="2264">
        <v>20</v>
      </c>
      <c r="X86" s="2265">
        <v>35</v>
      </c>
      <c r="Y86" s="2264">
        <v>7</v>
      </c>
      <c r="Z86" s="2265">
        <v>28</v>
      </c>
      <c r="AA86" s="2264">
        <v>13</v>
      </c>
      <c r="AB86" s="2265">
        <v>29</v>
      </c>
      <c r="AC86" s="2264">
        <v>17</v>
      </c>
      <c r="AD86" s="2265">
        <v>34</v>
      </c>
      <c r="AE86" s="2264">
        <v>14</v>
      </c>
      <c r="AF86" s="2265">
        <v>32</v>
      </c>
      <c r="AG86" s="2264">
        <v>27</v>
      </c>
      <c r="AH86" s="2265">
        <v>53</v>
      </c>
      <c r="AI86" s="2264">
        <v>28</v>
      </c>
      <c r="AJ86" s="2265">
        <v>149</v>
      </c>
      <c r="AK86" s="2266">
        <v>30</v>
      </c>
      <c r="AL86" s="2267">
        <v>23</v>
      </c>
      <c r="AM86" s="2267">
        <v>52</v>
      </c>
      <c r="AN86" s="2265">
        <f t="shared" si="24"/>
        <v>75</v>
      </c>
      <c r="AO86" s="2267">
        <v>12</v>
      </c>
      <c r="AP86" s="2267">
        <v>30</v>
      </c>
      <c r="AQ86" s="2265">
        <f>SUM(AO86:AP86)</f>
        <v>42</v>
      </c>
      <c r="AR86" s="2267">
        <v>2</v>
      </c>
      <c r="AS86" s="2267">
        <v>3</v>
      </c>
      <c r="AT86" s="2265">
        <f>SUM(AR86:AS86)</f>
        <v>5</v>
      </c>
    </row>
    <row r="87" spans="2:46" ht="15" customHeight="1" x14ac:dyDescent="0.25">
      <c r="B87" s="2268" t="s">
        <v>111</v>
      </c>
      <c r="C87" s="2269"/>
      <c r="D87" s="2270"/>
      <c r="E87" s="2269"/>
      <c r="F87" s="2270"/>
      <c r="G87" s="2269"/>
      <c r="H87" s="2270"/>
      <c r="I87" s="2269"/>
      <c r="J87" s="2270"/>
      <c r="K87" s="2269">
        <f>SUM(K84:K86)</f>
        <v>4</v>
      </c>
      <c r="L87" s="2270">
        <f t="shared" ref="L87:AT87" si="29">SUM(L84:L86)</f>
        <v>4</v>
      </c>
      <c r="M87" s="2269">
        <f t="shared" si="29"/>
        <v>19</v>
      </c>
      <c r="N87" s="2270">
        <f t="shared" si="29"/>
        <v>23</v>
      </c>
      <c r="O87" s="2269">
        <f t="shared" si="29"/>
        <v>24</v>
      </c>
      <c r="P87" s="2270">
        <f t="shared" si="29"/>
        <v>46</v>
      </c>
      <c r="Q87" s="2269">
        <f t="shared" si="29"/>
        <v>39</v>
      </c>
      <c r="R87" s="2270">
        <f t="shared" si="29"/>
        <v>78</v>
      </c>
      <c r="S87" s="2269">
        <f t="shared" si="29"/>
        <v>34</v>
      </c>
      <c r="T87" s="2270">
        <f t="shared" si="29"/>
        <v>105</v>
      </c>
      <c r="U87" s="2269">
        <f t="shared" si="29"/>
        <v>42</v>
      </c>
      <c r="V87" s="2270">
        <f t="shared" si="29"/>
        <v>121</v>
      </c>
      <c r="W87" s="2269">
        <f t="shared" si="29"/>
        <v>57</v>
      </c>
      <c r="X87" s="2270">
        <f t="shared" si="29"/>
        <v>142</v>
      </c>
      <c r="Y87" s="2269">
        <f t="shared" si="29"/>
        <v>40</v>
      </c>
      <c r="Z87" s="2270">
        <f t="shared" si="29"/>
        <v>130</v>
      </c>
      <c r="AA87" s="2269">
        <f t="shared" si="29"/>
        <v>57</v>
      </c>
      <c r="AB87" s="2270">
        <f t="shared" si="29"/>
        <v>137</v>
      </c>
      <c r="AC87" s="2269">
        <f t="shared" si="29"/>
        <v>76</v>
      </c>
      <c r="AD87" s="2270">
        <f t="shared" si="29"/>
        <v>188</v>
      </c>
      <c r="AE87" s="2269">
        <f t="shared" si="29"/>
        <v>65</v>
      </c>
      <c r="AF87" s="2270">
        <f t="shared" si="29"/>
        <v>193</v>
      </c>
      <c r="AG87" s="2269">
        <f t="shared" si="29"/>
        <v>107</v>
      </c>
      <c r="AH87" s="2270">
        <f t="shared" si="29"/>
        <v>257</v>
      </c>
      <c r="AI87" s="2269">
        <f t="shared" si="29"/>
        <v>122</v>
      </c>
      <c r="AJ87" s="2270">
        <f t="shared" si="29"/>
        <v>315</v>
      </c>
      <c r="AK87" s="2271">
        <f t="shared" si="29"/>
        <v>110</v>
      </c>
      <c r="AL87" s="2272">
        <f t="shared" si="29"/>
        <v>178</v>
      </c>
      <c r="AM87" s="2273">
        <f t="shared" si="29"/>
        <v>174</v>
      </c>
      <c r="AN87" s="2270">
        <f t="shared" si="29"/>
        <v>352</v>
      </c>
      <c r="AO87" s="2272">
        <f t="shared" si="29"/>
        <v>117</v>
      </c>
      <c r="AP87" s="2273">
        <f t="shared" si="29"/>
        <v>101</v>
      </c>
      <c r="AQ87" s="2270">
        <f t="shared" si="29"/>
        <v>218</v>
      </c>
      <c r="AR87" s="2272">
        <f t="shared" si="29"/>
        <v>6</v>
      </c>
      <c r="AS87" s="2273">
        <f t="shared" si="29"/>
        <v>11</v>
      </c>
      <c r="AT87" s="2270">
        <f t="shared" si="29"/>
        <v>17</v>
      </c>
    </row>
    <row r="88" spans="2:46" ht="15" customHeight="1" x14ac:dyDescent="0.25">
      <c r="B88" s="2263" t="s">
        <v>58</v>
      </c>
      <c r="C88" s="2264"/>
      <c r="D88" s="2265"/>
      <c r="E88" s="2264"/>
      <c r="F88" s="2265"/>
      <c r="G88" s="2264"/>
      <c r="H88" s="2265"/>
      <c r="I88" s="2264"/>
      <c r="J88" s="2265"/>
      <c r="K88" s="2264">
        <v>6</v>
      </c>
      <c r="L88" s="2265">
        <v>6</v>
      </c>
      <c r="M88" s="2264">
        <v>13</v>
      </c>
      <c r="N88" s="2265">
        <v>19</v>
      </c>
      <c r="O88" s="2264">
        <v>6</v>
      </c>
      <c r="P88" s="2265">
        <v>22</v>
      </c>
      <c r="Q88" s="2264">
        <v>9</v>
      </c>
      <c r="R88" s="2265">
        <v>24</v>
      </c>
      <c r="S88" s="2264">
        <v>8</v>
      </c>
      <c r="T88" s="2265">
        <v>25</v>
      </c>
      <c r="U88" s="2264">
        <v>7</v>
      </c>
      <c r="V88" s="2265">
        <v>20</v>
      </c>
      <c r="W88" s="2264">
        <v>7</v>
      </c>
      <c r="X88" s="2265">
        <v>23</v>
      </c>
      <c r="Y88" s="2264">
        <v>4</v>
      </c>
      <c r="Z88" s="2265">
        <v>18</v>
      </c>
      <c r="AA88" s="2264">
        <v>13</v>
      </c>
      <c r="AB88" s="2265">
        <v>11</v>
      </c>
      <c r="AC88" s="2264">
        <v>31</v>
      </c>
      <c r="AD88" s="2265">
        <v>43</v>
      </c>
      <c r="AE88" s="2264">
        <v>17</v>
      </c>
      <c r="AF88" s="2265">
        <v>46</v>
      </c>
      <c r="AG88" s="2264">
        <v>23</v>
      </c>
      <c r="AH88" s="2265">
        <v>44</v>
      </c>
      <c r="AI88" s="2264">
        <v>24</v>
      </c>
      <c r="AJ88" s="2265">
        <v>59</v>
      </c>
      <c r="AK88" s="2266">
        <v>25</v>
      </c>
      <c r="AL88" s="2267">
        <v>14</v>
      </c>
      <c r="AM88" s="2267">
        <v>45</v>
      </c>
      <c r="AN88" s="2265">
        <f t="shared" si="24"/>
        <v>59</v>
      </c>
      <c r="AO88" s="2267">
        <v>8</v>
      </c>
      <c r="AP88" s="2267">
        <v>30</v>
      </c>
      <c r="AQ88" s="2265">
        <f>SUM(AO88:AP88)</f>
        <v>38</v>
      </c>
      <c r="AR88" s="2267">
        <v>2</v>
      </c>
      <c r="AS88" s="2267">
        <v>5</v>
      </c>
      <c r="AT88" s="2265">
        <f>SUM(AR88:AS88)</f>
        <v>7</v>
      </c>
    </row>
    <row r="89" spans="2:46" ht="15" customHeight="1" x14ac:dyDescent="0.25">
      <c r="B89" s="2263" t="s">
        <v>113</v>
      </c>
      <c r="C89" s="2264"/>
      <c r="D89" s="2265"/>
      <c r="E89" s="2264"/>
      <c r="F89" s="2265"/>
      <c r="G89" s="2264"/>
      <c r="H89" s="2265"/>
      <c r="I89" s="2264"/>
      <c r="J89" s="2265"/>
      <c r="K89" s="2264"/>
      <c r="L89" s="2265"/>
      <c r="M89" s="2264"/>
      <c r="N89" s="2265"/>
      <c r="O89" s="2264"/>
      <c r="P89" s="2265"/>
      <c r="Q89" s="2264">
        <v>1</v>
      </c>
      <c r="R89" s="2265">
        <v>1</v>
      </c>
      <c r="S89" s="2264">
        <v>5</v>
      </c>
      <c r="T89" s="2265">
        <v>6</v>
      </c>
      <c r="U89" s="2264">
        <v>8</v>
      </c>
      <c r="V89" s="2265">
        <v>12</v>
      </c>
      <c r="W89" s="2264">
        <v>6</v>
      </c>
      <c r="X89" s="2265">
        <v>14</v>
      </c>
      <c r="Y89" s="2264">
        <v>5</v>
      </c>
      <c r="Z89" s="2265">
        <v>13</v>
      </c>
      <c r="AA89" s="2264">
        <v>3</v>
      </c>
      <c r="AB89" s="2265">
        <v>28</v>
      </c>
      <c r="AC89" s="2264">
        <v>20</v>
      </c>
      <c r="AD89" s="2265">
        <v>36</v>
      </c>
      <c r="AE89" s="2264">
        <v>20</v>
      </c>
      <c r="AF89" s="2265">
        <v>47</v>
      </c>
      <c r="AG89" s="2264">
        <v>17</v>
      </c>
      <c r="AH89" s="2265">
        <v>38</v>
      </c>
      <c r="AI89" s="2264">
        <v>27</v>
      </c>
      <c r="AJ89" s="2265">
        <v>26</v>
      </c>
      <c r="AK89" s="2266">
        <v>28</v>
      </c>
      <c r="AL89" s="2267">
        <v>37</v>
      </c>
      <c r="AM89" s="2267">
        <v>27</v>
      </c>
      <c r="AN89" s="2265">
        <f t="shared" si="24"/>
        <v>64</v>
      </c>
      <c r="AO89" s="2267">
        <v>26</v>
      </c>
      <c r="AP89" s="2267">
        <v>17</v>
      </c>
      <c r="AQ89" s="2265">
        <f>SUM(AO89:AP89)</f>
        <v>43</v>
      </c>
      <c r="AR89" s="2267">
        <v>5</v>
      </c>
      <c r="AS89" s="2267">
        <v>2</v>
      </c>
      <c r="AT89" s="2265">
        <f>SUM(AR89:AS89)</f>
        <v>7</v>
      </c>
    </row>
    <row r="90" spans="2:46" ht="15" customHeight="1" x14ac:dyDescent="0.25">
      <c r="B90" s="2263" t="s">
        <v>112</v>
      </c>
      <c r="C90" s="2264"/>
      <c r="D90" s="2265"/>
      <c r="E90" s="2264"/>
      <c r="F90" s="2265"/>
      <c r="G90" s="2264"/>
      <c r="H90" s="2265"/>
      <c r="I90" s="2264"/>
      <c r="J90" s="2265"/>
      <c r="K90" s="2264">
        <v>2</v>
      </c>
      <c r="L90" s="2265">
        <v>2</v>
      </c>
      <c r="M90" s="2264">
        <v>1</v>
      </c>
      <c r="N90" s="2265">
        <v>3</v>
      </c>
      <c r="O90" s="2264">
        <v>6</v>
      </c>
      <c r="P90" s="2265">
        <v>7</v>
      </c>
      <c r="Q90" s="2264">
        <v>8</v>
      </c>
      <c r="R90" s="2265">
        <v>15</v>
      </c>
      <c r="S90" s="2264">
        <v>2</v>
      </c>
      <c r="T90" s="2265">
        <v>11</v>
      </c>
      <c r="U90" s="2264">
        <v>3</v>
      </c>
      <c r="V90" s="2265">
        <v>10</v>
      </c>
      <c r="W90" s="2264">
        <v>13</v>
      </c>
      <c r="X90" s="2265">
        <v>18</v>
      </c>
      <c r="Y90" s="2264">
        <v>4</v>
      </c>
      <c r="Z90" s="2265">
        <v>16</v>
      </c>
      <c r="AA90" s="2264">
        <v>7</v>
      </c>
      <c r="AB90" s="2265">
        <v>20</v>
      </c>
      <c r="AC90" s="2264">
        <v>9</v>
      </c>
      <c r="AD90" s="2265">
        <v>18</v>
      </c>
      <c r="AE90" s="2264">
        <v>11</v>
      </c>
      <c r="AF90" s="2265">
        <v>22</v>
      </c>
      <c r="AG90" s="2264">
        <v>7</v>
      </c>
      <c r="AH90" s="2265">
        <v>21</v>
      </c>
      <c r="AI90" s="2264">
        <v>11</v>
      </c>
      <c r="AJ90" s="2265">
        <v>54</v>
      </c>
      <c r="AK90" s="2266">
        <v>10</v>
      </c>
      <c r="AL90" s="2267">
        <v>6</v>
      </c>
      <c r="AM90" s="2267">
        <v>21</v>
      </c>
      <c r="AN90" s="2265">
        <f t="shared" si="24"/>
        <v>27</v>
      </c>
      <c r="AO90" s="2267">
        <v>4</v>
      </c>
      <c r="AP90" s="2267">
        <v>13</v>
      </c>
      <c r="AQ90" s="2265">
        <f>SUM(AO90:AP90)</f>
        <v>17</v>
      </c>
      <c r="AR90" s="2267">
        <v>1</v>
      </c>
      <c r="AS90" s="2267">
        <v>1</v>
      </c>
      <c r="AT90" s="2265">
        <f>SUM(AR90:AS90)</f>
        <v>2</v>
      </c>
    </row>
    <row r="91" spans="2:46" ht="15" customHeight="1" x14ac:dyDescent="0.25">
      <c r="B91" s="2263" t="s">
        <v>621</v>
      </c>
      <c r="C91" s="2264"/>
      <c r="D91" s="2265"/>
      <c r="E91" s="2264"/>
      <c r="F91" s="2265"/>
      <c r="G91" s="2264"/>
      <c r="H91" s="2265"/>
      <c r="I91" s="2264"/>
      <c r="J91" s="2265"/>
      <c r="K91" s="2264"/>
      <c r="L91" s="2265"/>
      <c r="M91" s="2264"/>
      <c r="N91" s="2265"/>
      <c r="O91" s="2264"/>
      <c r="P91" s="2265"/>
      <c r="Q91" s="2264"/>
      <c r="R91" s="2265"/>
      <c r="S91" s="2264"/>
      <c r="T91" s="2265"/>
      <c r="U91" s="2264">
        <v>3</v>
      </c>
      <c r="V91" s="2265">
        <v>3</v>
      </c>
      <c r="W91" s="2264">
        <v>11</v>
      </c>
      <c r="X91" s="2265">
        <v>14</v>
      </c>
      <c r="Y91" s="2264">
        <v>8</v>
      </c>
      <c r="Z91" s="2265">
        <v>20</v>
      </c>
      <c r="AA91" s="2264">
        <v>16</v>
      </c>
      <c r="AB91" s="2265">
        <v>12</v>
      </c>
      <c r="AC91" s="2264">
        <v>21</v>
      </c>
      <c r="AD91" s="2265">
        <v>35</v>
      </c>
      <c r="AE91" s="2264">
        <v>22</v>
      </c>
      <c r="AF91" s="2265">
        <v>52</v>
      </c>
      <c r="AG91" s="2264">
        <v>27</v>
      </c>
      <c r="AH91" s="2265">
        <v>66</v>
      </c>
      <c r="AI91" s="2264">
        <v>36</v>
      </c>
      <c r="AJ91" s="2265">
        <v>86</v>
      </c>
      <c r="AK91" s="2266">
        <v>29</v>
      </c>
      <c r="AL91" s="2267">
        <v>58</v>
      </c>
      <c r="AM91" s="2267">
        <v>36</v>
      </c>
      <c r="AN91" s="2265">
        <f t="shared" si="24"/>
        <v>94</v>
      </c>
      <c r="AO91" s="2267">
        <v>31</v>
      </c>
      <c r="AP91" s="2267">
        <v>26</v>
      </c>
      <c r="AQ91" s="2265">
        <f>SUM(AO91:AP91)</f>
        <v>57</v>
      </c>
      <c r="AR91" s="2267">
        <v>5</v>
      </c>
      <c r="AS91" s="2267">
        <v>6</v>
      </c>
      <c r="AT91" s="2265">
        <f>SUM(AR91:AS91)</f>
        <v>11</v>
      </c>
    </row>
    <row r="92" spans="2:46" ht="15" customHeight="1" x14ac:dyDescent="0.25">
      <c r="B92" s="2274" t="s">
        <v>115</v>
      </c>
      <c r="C92" s="2275"/>
      <c r="D92" s="2276"/>
      <c r="E92" s="2275"/>
      <c r="F92" s="2276"/>
      <c r="G92" s="2275"/>
      <c r="H92" s="2276"/>
      <c r="I92" s="2275"/>
      <c r="J92" s="2276"/>
      <c r="K92" s="2275">
        <f>SUM(K88:K91)</f>
        <v>8</v>
      </c>
      <c r="L92" s="2276">
        <f t="shared" ref="L92:AT92" si="30">SUM(L88:L91)</f>
        <v>8</v>
      </c>
      <c r="M92" s="2275">
        <f t="shared" si="30"/>
        <v>14</v>
      </c>
      <c r="N92" s="2276">
        <f t="shared" si="30"/>
        <v>22</v>
      </c>
      <c r="O92" s="2275">
        <f t="shared" si="30"/>
        <v>12</v>
      </c>
      <c r="P92" s="2276">
        <f t="shared" si="30"/>
        <v>29</v>
      </c>
      <c r="Q92" s="2275">
        <f t="shared" si="30"/>
        <v>18</v>
      </c>
      <c r="R92" s="2276">
        <f t="shared" si="30"/>
        <v>40</v>
      </c>
      <c r="S92" s="2275">
        <f t="shared" si="30"/>
        <v>15</v>
      </c>
      <c r="T92" s="2276">
        <f t="shared" si="30"/>
        <v>42</v>
      </c>
      <c r="U92" s="2275">
        <f t="shared" si="30"/>
        <v>21</v>
      </c>
      <c r="V92" s="2276">
        <f t="shared" si="30"/>
        <v>45</v>
      </c>
      <c r="W92" s="2275">
        <f t="shared" si="30"/>
        <v>37</v>
      </c>
      <c r="X92" s="2276">
        <f t="shared" si="30"/>
        <v>69</v>
      </c>
      <c r="Y92" s="2275">
        <f t="shared" si="30"/>
        <v>21</v>
      </c>
      <c r="Z92" s="2276">
        <f t="shared" si="30"/>
        <v>67</v>
      </c>
      <c r="AA92" s="2275">
        <f t="shared" si="30"/>
        <v>39</v>
      </c>
      <c r="AB92" s="2276">
        <f t="shared" si="30"/>
        <v>71</v>
      </c>
      <c r="AC92" s="2275">
        <f t="shared" si="30"/>
        <v>81</v>
      </c>
      <c r="AD92" s="2276">
        <f t="shared" si="30"/>
        <v>132</v>
      </c>
      <c r="AE92" s="2275">
        <f t="shared" si="30"/>
        <v>70</v>
      </c>
      <c r="AF92" s="2276">
        <f t="shared" si="30"/>
        <v>167</v>
      </c>
      <c r="AG92" s="2275">
        <f t="shared" si="30"/>
        <v>74</v>
      </c>
      <c r="AH92" s="2276">
        <f t="shared" si="30"/>
        <v>169</v>
      </c>
      <c r="AI92" s="2275">
        <f t="shared" si="30"/>
        <v>98</v>
      </c>
      <c r="AJ92" s="2276">
        <f t="shared" si="30"/>
        <v>225</v>
      </c>
      <c r="AK92" s="2277">
        <f t="shared" si="30"/>
        <v>92</v>
      </c>
      <c r="AL92" s="2278">
        <f t="shared" si="30"/>
        <v>115</v>
      </c>
      <c r="AM92" s="2279">
        <f t="shared" si="30"/>
        <v>129</v>
      </c>
      <c r="AN92" s="2276">
        <f t="shared" si="30"/>
        <v>244</v>
      </c>
      <c r="AO92" s="2278">
        <f t="shared" si="30"/>
        <v>69</v>
      </c>
      <c r="AP92" s="2279">
        <f t="shared" si="30"/>
        <v>86</v>
      </c>
      <c r="AQ92" s="2276">
        <f t="shared" si="30"/>
        <v>155</v>
      </c>
      <c r="AR92" s="2278">
        <f t="shared" si="30"/>
        <v>13</v>
      </c>
      <c r="AS92" s="2279">
        <f t="shared" si="30"/>
        <v>14</v>
      </c>
      <c r="AT92" s="2276">
        <f t="shared" si="30"/>
        <v>27</v>
      </c>
    </row>
    <row r="93" spans="2:46" ht="15" customHeight="1" x14ac:dyDescent="0.25">
      <c r="B93" s="2300" t="s">
        <v>116</v>
      </c>
      <c r="C93" s="2301"/>
      <c r="D93" s="2302"/>
      <c r="E93" s="2301"/>
      <c r="F93" s="2302"/>
      <c r="G93" s="2301"/>
      <c r="H93" s="2302"/>
      <c r="I93" s="2301"/>
      <c r="J93" s="2302"/>
      <c r="K93" s="2303">
        <f>SUM(K92,K87,K83)</f>
        <v>28</v>
      </c>
      <c r="L93" s="2304">
        <f t="shared" ref="L93:AT93" si="31">SUM(L92,L87,L83)</f>
        <v>28</v>
      </c>
      <c r="M93" s="2303">
        <f t="shared" si="31"/>
        <v>71</v>
      </c>
      <c r="N93" s="2304">
        <f t="shared" si="31"/>
        <v>99</v>
      </c>
      <c r="O93" s="2303">
        <f t="shared" si="31"/>
        <v>72</v>
      </c>
      <c r="P93" s="2304">
        <f t="shared" si="31"/>
        <v>162</v>
      </c>
      <c r="Q93" s="2303">
        <f t="shared" si="31"/>
        <v>92</v>
      </c>
      <c r="R93" s="2304">
        <f t="shared" si="31"/>
        <v>225</v>
      </c>
      <c r="S93" s="2303">
        <f t="shared" si="31"/>
        <v>71</v>
      </c>
      <c r="T93" s="2304">
        <f t="shared" si="31"/>
        <v>263</v>
      </c>
      <c r="U93" s="2303">
        <f t="shared" si="31"/>
        <v>114</v>
      </c>
      <c r="V93" s="2304">
        <f t="shared" si="31"/>
        <v>283</v>
      </c>
      <c r="W93" s="2303">
        <f t="shared" si="31"/>
        <v>136</v>
      </c>
      <c r="X93" s="2304">
        <f t="shared" si="31"/>
        <v>339</v>
      </c>
      <c r="Y93" s="2303">
        <f t="shared" si="31"/>
        <v>88</v>
      </c>
      <c r="Z93" s="2304">
        <f t="shared" si="31"/>
        <v>311</v>
      </c>
      <c r="AA93" s="2303">
        <f t="shared" si="31"/>
        <v>136</v>
      </c>
      <c r="AB93" s="2304">
        <f t="shared" si="31"/>
        <v>326</v>
      </c>
      <c r="AC93" s="2303">
        <f t="shared" si="31"/>
        <v>255</v>
      </c>
      <c r="AD93" s="2304">
        <f t="shared" si="31"/>
        <v>497</v>
      </c>
      <c r="AE93" s="2303">
        <f t="shared" si="31"/>
        <v>246</v>
      </c>
      <c r="AF93" s="2304">
        <f t="shared" si="31"/>
        <v>614</v>
      </c>
      <c r="AG93" s="2303">
        <f t="shared" si="31"/>
        <v>306</v>
      </c>
      <c r="AH93" s="2304">
        <f t="shared" si="31"/>
        <v>745</v>
      </c>
      <c r="AI93" s="2303">
        <f t="shared" si="31"/>
        <v>350</v>
      </c>
      <c r="AJ93" s="2304">
        <f t="shared" si="31"/>
        <v>922</v>
      </c>
      <c r="AK93" s="2305">
        <f t="shared" si="31"/>
        <v>321</v>
      </c>
      <c r="AL93" s="2306">
        <f t="shared" si="31"/>
        <v>525</v>
      </c>
      <c r="AM93" s="2306">
        <f t="shared" si="31"/>
        <v>472</v>
      </c>
      <c r="AN93" s="2304">
        <f t="shared" si="31"/>
        <v>997</v>
      </c>
      <c r="AO93" s="2306">
        <f t="shared" si="31"/>
        <v>347</v>
      </c>
      <c r="AP93" s="2306">
        <f t="shared" si="31"/>
        <v>312</v>
      </c>
      <c r="AQ93" s="2304">
        <f t="shared" si="31"/>
        <v>659</v>
      </c>
      <c r="AR93" s="2306">
        <f t="shared" si="31"/>
        <v>34</v>
      </c>
      <c r="AS93" s="2306">
        <f t="shared" si="31"/>
        <v>34</v>
      </c>
      <c r="AT93" s="2304">
        <f t="shared" si="31"/>
        <v>68</v>
      </c>
    </row>
    <row r="94" spans="2:46" ht="15" customHeight="1" x14ac:dyDescent="0.25">
      <c r="B94" s="2307" t="s">
        <v>117</v>
      </c>
      <c r="C94" s="2308"/>
      <c r="D94" s="2309"/>
      <c r="E94" s="2308"/>
      <c r="F94" s="2309"/>
      <c r="G94" s="2308"/>
      <c r="H94" s="2309"/>
      <c r="I94" s="2308"/>
      <c r="J94" s="2309"/>
      <c r="K94" s="2308"/>
      <c r="L94" s="2309"/>
      <c r="M94" s="2308"/>
      <c r="N94" s="2309"/>
      <c r="O94" s="2308"/>
      <c r="P94" s="2309"/>
      <c r="Q94" s="2308"/>
      <c r="R94" s="2309"/>
      <c r="S94" s="2308"/>
      <c r="T94" s="2309"/>
      <c r="U94" s="2308"/>
      <c r="V94" s="2309"/>
      <c r="W94" s="2308">
        <v>22</v>
      </c>
      <c r="X94" s="2309">
        <v>22</v>
      </c>
      <c r="Y94" s="2308">
        <v>17</v>
      </c>
      <c r="Z94" s="2309">
        <v>40</v>
      </c>
      <c r="AA94" s="2308">
        <v>18</v>
      </c>
      <c r="AB94" s="2309">
        <v>50</v>
      </c>
      <c r="AC94" s="2308">
        <v>8</v>
      </c>
      <c r="AD94" s="2309">
        <v>45</v>
      </c>
      <c r="AE94" s="2308">
        <v>31</v>
      </c>
      <c r="AF94" s="2309">
        <v>61</v>
      </c>
      <c r="AG94" s="2308">
        <v>14</v>
      </c>
      <c r="AH94" s="2309">
        <v>49</v>
      </c>
      <c r="AI94" s="2308">
        <v>29</v>
      </c>
      <c r="AJ94" s="2309">
        <v>54</v>
      </c>
      <c r="AK94" s="2310">
        <v>9</v>
      </c>
      <c r="AL94" s="2311">
        <v>20</v>
      </c>
      <c r="AM94" s="2311">
        <v>19</v>
      </c>
      <c r="AN94" s="2309">
        <f t="shared" si="24"/>
        <v>39</v>
      </c>
      <c r="AO94" s="2311">
        <v>9</v>
      </c>
      <c r="AP94" s="2311">
        <v>5</v>
      </c>
      <c r="AQ94" s="2309">
        <f>SUM(AO94:AP94)</f>
        <v>14</v>
      </c>
      <c r="AR94" s="2311">
        <v>7</v>
      </c>
      <c r="AS94" s="2311">
        <v>6</v>
      </c>
      <c r="AT94" s="2309">
        <f>SUM(AR94:AS94)</f>
        <v>13</v>
      </c>
    </row>
    <row r="95" spans="2:46" ht="15" customHeight="1" x14ac:dyDescent="0.25">
      <c r="B95" s="2307" t="s">
        <v>118</v>
      </c>
      <c r="C95" s="2308"/>
      <c r="D95" s="2309"/>
      <c r="E95" s="2308"/>
      <c r="F95" s="2309"/>
      <c r="G95" s="2308"/>
      <c r="H95" s="2309"/>
      <c r="I95" s="2308"/>
      <c r="J95" s="2309"/>
      <c r="K95" s="2308"/>
      <c r="L95" s="2309"/>
      <c r="M95" s="2308"/>
      <c r="N95" s="2309"/>
      <c r="O95" s="2308"/>
      <c r="P95" s="2309"/>
      <c r="Q95" s="2308"/>
      <c r="R95" s="2309"/>
      <c r="S95" s="2308"/>
      <c r="T95" s="2309"/>
      <c r="U95" s="2308"/>
      <c r="V95" s="2309"/>
      <c r="W95" s="2308"/>
      <c r="X95" s="2309"/>
      <c r="Y95" s="2308"/>
      <c r="Z95" s="2309"/>
      <c r="AA95" s="2308"/>
      <c r="AB95" s="2309"/>
      <c r="AC95" s="2308"/>
      <c r="AD95" s="2309"/>
      <c r="AE95" s="2308"/>
      <c r="AF95" s="2309"/>
      <c r="AG95" s="2308"/>
      <c r="AH95" s="2309"/>
      <c r="AI95" s="2308">
        <v>18</v>
      </c>
      <c r="AJ95" s="2309">
        <v>17</v>
      </c>
      <c r="AK95" s="2310">
        <v>18</v>
      </c>
      <c r="AL95" s="2311">
        <v>9</v>
      </c>
      <c r="AM95" s="2311">
        <v>24</v>
      </c>
      <c r="AN95" s="2309">
        <f t="shared" si="24"/>
        <v>33</v>
      </c>
      <c r="AO95" s="2311">
        <v>7</v>
      </c>
      <c r="AP95" s="2311">
        <v>14</v>
      </c>
      <c r="AQ95" s="2309">
        <f>SUM(AO95:AP95)</f>
        <v>21</v>
      </c>
      <c r="AR95" s="2311">
        <v>1</v>
      </c>
      <c r="AS95" s="2311">
        <v>2</v>
      </c>
      <c r="AT95" s="2309">
        <f>SUM(AR95:AS95)</f>
        <v>3</v>
      </c>
    </row>
    <row r="96" spans="2:46" ht="15" customHeight="1" x14ac:dyDescent="0.25">
      <c r="B96" s="2307" t="s">
        <v>119</v>
      </c>
      <c r="C96" s="2308"/>
      <c r="D96" s="2309"/>
      <c r="E96" s="2308"/>
      <c r="F96" s="2309"/>
      <c r="G96" s="2308"/>
      <c r="H96" s="2309"/>
      <c r="I96" s="2308"/>
      <c r="J96" s="2309"/>
      <c r="K96" s="2308"/>
      <c r="L96" s="2309"/>
      <c r="M96" s="2308"/>
      <c r="N96" s="2309"/>
      <c r="O96" s="2308"/>
      <c r="P96" s="2309"/>
      <c r="Q96" s="2308"/>
      <c r="R96" s="2309"/>
      <c r="S96" s="2308"/>
      <c r="T96" s="2309"/>
      <c r="U96" s="2308"/>
      <c r="V96" s="2309"/>
      <c r="W96" s="2308"/>
      <c r="X96" s="2309"/>
      <c r="Y96" s="2308"/>
      <c r="Z96" s="2309"/>
      <c r="AA96" s="2308"/>
      <c r="AB96" s="2309"/>
      <c r="AC96" s="2308"/>
      <c r="AD96" s="2309"/>
      <c r="AE96" s="2308"/>
      <c r="AF96" s="2309"/>
      <c r="AG96" s="2308"/>
      <c r="AH96" s="2309"/>
      <c r="AI96" s="2308"/>
      <c r="AJ96" s="2309"/>
      <c r="AK96" s="2310">
        <v>7</v>
      </c>
      <c r="AL96" s="2311"/>
      <c r="AM96" s="2311">
        <v>7</v>
      </c>
      <c r="AN96" s="2309">
        <f t="shared" si="24"/>
        <v>7</v>
      </c>
      <c r="AO96" s="2311"/>
      <c r="AP96" s="2311">
        <v>7</v>
      </c>
      <c r="AQ96" s="2309">
        <f>SUM(AO96:AP96)</f>
        <v>7</v>
      </c>
      <c r="AR96" s="2311">
        <v>0</v>
      </c>
      <c r="AS96" s="2311">
        <v>0</v>
      </c>
      <c r="AT96" s="2309">
        <f>SUM(AR96:AS96)</f>
        <v>0</v>
      </c>
    </row>
    <row r="97" spans="1:46" ht="15" customHeight="1" x14ac:dyDescent="0.25">
      <c r="B97" s="2268" t="s">
        <v>59</v>
      </c>
      <c r="C97" s="2269"/>
      <c r="D97" s="2270"/>
      <c r="E97" s="2269"/>
      <c r="F97" s="2270"/>
      <c r="G97" s="2269"/>
      <c r="H97" s="2270"/>
      <c r="I97" s="2269"/>
      <c r="J97" s="2270"/>
      <c r="K97" s="2269"/>
      <c r="L97" s="2270"/>
      <c r="M97" s="2269"/>
      <c r="N97" s="2270"/>
      <c r="O97" s="2269"/>
      <c r="P97" s="2270"/>
      <c r="Q97" s="2269"/>
      <c r="R97" s="2270"/>
      <c r="S97" s="2269"/>
      <c r="T97" s="2270"/>
      <c r="U97" s="2269"/>
      <c r="V97" s="2270"/>
      <c r="W97" s="2269">
        <f>SUM(W94)</f>
        <v>22</v>
      </c>
      <c r="X97" s="2270">
        <f t="shared" ref="X97:AD97" si="32">SUM(X94)</f>
        <v>22</v>
      </c>
      <c r="Y97" s="2269">
        <f t="shared" si="32"/>
        <v>17</v>
      </c>
      <c r="Z97" s="2270">
        <f t="shared" si="32"/>
        <v>40</v>
      </c>
      <c r="AA97" s="2269">
        <f t="shared" si="32"/>
        <v>18</v>
      </c>
      <c r="AB97" s="2270">
        <f t="shared" si="32"/>
        <v>50</v>
      </c>
      <c r="AC97" s="2269">
        <f t="shared" si="32"/>
        <v>8</v>
      </c>
      <c r="AD97" s="2270">
        <f t="shared" si="32"/>
        <v>45</v>
      </c>
      <c r="AE97" s="2269">
        <f>SUM(AE94)</f>
        <v>31</v>
      </c>
      <c r="AF97" s="2270">
        <f>SUM(AF94)</f>
        <v>61</v>
      </c>
      <c r="AG97" s="2269">
        <f>SUM(AG94)</f>
        <v>14</v>
      </c>
      <c r="AH97" s="2270">
        <f>SUM(AH94)</f>
        <v>49</v>
      </c>
      <c r="AI97" s="2269">
        <f>SUM(AI94:AI95)</f>
        <v>47</v>
      </c>
      <c r="AJ97" s="2270">
        <f>SUM(AJ94:AJ95)</f>
        <v>71</v>
      </c>
      <c r="AK97" s="2271">
        <f t="shared" ref="AK97:AQ97" si="33">SUM(AK94:AK96)</f>
        <v>34</v>
      </c>
      <c r="AL97" s="2272">
        <f t="shared" si="33"/>
        <v>29</v>
      </c>
      <c r="AM97" s="2273">
        <f t="shared" si="33"/>
        <v>50</v>
      </c>
      <c r="AN97" s="2270">
        <f t="shared" si="33"/>
        <v>79</v>
      </c>
      <c r="AO97" s="2272">
        <f t="shared" si="33"/>
        <v>16</v>
      </c>
      <c r="AP97" s="2273">
        <f t="shared" si="33"/>
        <v>26</v>
      </c>
      <c r="AQ97" s="2270">
        <f t="shared" si="33"/>
        <v>42</v>
      </c>
      <c r="AR97" s="2272">
        <f>SUM(AR94:AR96)</f>
        <v>8</v>
      </c>
      <c r="AS97" s="2273">
        <f>SUM(AS94:AS96)</f>
        <v>8</v>
      </c>
      <c r="AT97" s="2270">
        <f>SUM(AT94:AT96)</f>
        <v>16</v>
      </c>
    </row>
    <row r="98" spans="1:46" ht="15" customHeight="1" x14ac:dyDescent="0.25">
      <c r="B98" s="2312" t="s">
        <v>120</v>
      </c>
      <c r="C98" s="2313"/>
      <c r="D98" s="2314"/>
      <c r="E98" s="2313"/>
      <c r="F98" s="2314"/>
      <c r="G98" s="2313"/>
      <c r="H98" s="2314"/>
      <c r="I98" s="2313"/>
      <c r="J98" s="2314"/>
      <c r="K98" s="2313"/>
      <c r="L98" s="2314"/>
      <c r="M98" s="2313"/>
      <c r="N98" s="2314"/>
      <c r="O98" s="2313"/>
      <c r="P98" s="2314"/>
      <c r="Q98" s="2313"/>
      <c r="R98" s="2314"/>
      <c r="S98" s="2313"/>
      <c r="T98" s="2314"/>
      <c r="U98" s="2313"/>
      <c r="V98" s="2314"/>
      <c r="W98" s="2313">
        <v>25</v>
      </c>
      <c r="X98" s="2314">
        <v>25</v>
      </c>
      <c r="Y98" s="2313">
        <v>20</v>
      </c>
      <c r="Z98" s="2314">
        <v>45</v>
      </c>
      <c r="AA98" s="2313">
        <v>19</v>
      </c>
      <c r="AB98" s="2314">
        <v>4</v>
      </c>
      <c r="AC98" s="2313">
        <v>12</v>
      </c>
      <c r="AD98" s="2314">
        <v>65</v>
      </c>
      <c r="AE98" s="2313">
        <v>27</v>
      </c>
      <c r="AF98" s="2314">
        <v>83</v>
      </c>
      <c r="AG98" s="2313">
        <v>37</v>
      </c>
      <c r="AH98" s="2314">
        <v>81</v>
      </c>
      <c r="AI98" s="2313">
        <v>30</v>
      </c>
      <c r="AJ98" s="2314">
        <v>87</v>
      </c>
      <c r="AK98" s="2315">
        <v>18</v>
      </c>
      <c r="AL98" s="2316">
        <v>43</v>
      </c>
      <c r="AM98" s="2316">
        <v>16</v>
      </c>
      <c r="AN98" s="2314">
        <f t="shared" si="24"/>
        <v>59</v>
      </c>
      <c r="AO98" s="2316">
        <v>23</v>
      </c>
      <c r="AP98" s="2316">
        <v>7</v>
      </c>
      <c r="AQ98" s="2314">
        <f>SUM(AO98:AP98)</f>
        <v>30</v>
      </c>
      <c r="AR98" s="2316">
        <v>6</v>
      </c>
      <c r="AS98" s="2316">
        <v>2</v>
      </c>
      <c r="AT98" s="2314">
        <f>SUM(AR98:AS98)</f>
        <v>8</v>
      </c>
    </row>
    <row r="99" spans="1:46" ht="15" customHeight="1" x14ac:dyDescent="0.25">
      <c r="B99" s="2312" t="s">
        <v>121</v>
      </c>
      <c r="C99" s="2313"/>
      <c r="D99" s="2314"/>
      <c r="E99" s="2313"/>
      <c r="F99" s="2314"/>
      <c r="G99" s="2313"/>
      <c r="H99" s="2314"/>
      <c r="I99" s="2313"/>
      <c r="J99" s="2314"/>
      <c r="K99" s="2313"/>
      <c r="L99" s="2314"/>
      <c r="M99" s="2313"/>
      <c r="N99" s="2314"/>
      <c r="O99" s="2313"/>
      <c r="P99" s="2314"/>
      <c r="Q99" s="2313"/>
      <c r="R99" s="2314"/>
      <c r="S99" s="2313"/>
      <c r="T99" s="2314"/>
      <c r="U99" s="2313"/>
      <c r="V99" s="2314"/>
      <c r="W99" s="2313"/>
      <c r="X99" s="2314"/>
      <c r="Y99" s="2313"/>
      <c r="Z99" s="2314"/>
      <c r="AA99" s="2313">
        <v>4</v>
      </c>
      <c r="AB99" s="2314">
        <v>57</v>
      </c>
      <c r="AC99" s="2313">
        <v>9</v>
      </c>
      <c r="AD99" s="2314">
        <v>12</v>
      </c>
      <c r="AE99" s="2313">
        <v>18</v>
      </c>
      <c r="AF99" s="2314">
        <v>27</v>
      </c>
      <c r="AG99" s="2313">
        <v>8</v>
      </c>
      <c r="AH99" s="2314">
        <v>32</v>
      </c>
      <c r="AI99" s="2313">
        <v>11</v>
      </c>
      <c r="AJ99" s="2314">
        <v>36</v>
      </c>
      <c r="AK99" s="2315">
        <v>13</v>
      </c>
      <c r="AL99" s="2316">
        <v>22</v>
      </c>
      <c r="AM99" s="2316">
        <v>19</v>
      </c>
      <c r="AN99" s="2314">
        <f t="shared" si="24"/>
        <v>41</v>
      </c>
      <c r="AO99" s="2316">
        <v>19</v>
      </c>
      <c r="AP99" s="2316">
        <v>11</v>
      </c>
      <c r="AQ99" s="2314">
        <f>SUM(AO99:AP99)</f>
        <v>30</v>
      </c>
      <c r="AR99" s="2316">
        <v>0</v>
      </c>
      <c r="AS99" s="2316">
        <v>2</v>
      </c>
      <c r="AT99" s="2314">
        <f>SUM(AR99:AS99)</f>
        <v>2</v>
      </c>
    </row>
    <row r="100" spans="1:46" ht="15" customHeight="1" x14ac:dyDescent="0.25">
      <c r="B100" s="2312" t="s">
        <v>123</v>
      </c>
      <c r="C100" s="2313"/>
      <c r="D100" s="2314"/>
      <c r="E100" s="2313"/>
      <c r="F100" s="2314"/>
      <c r="G100" s="2313"/>
      <c r="H100" s="2314"/>
      <c r="I100" s="2313"/>
      <c r="J100" s="2314"/>
      <c r="K100" s="2313"/>
      <c r="L100" s="2314"/>
      <c r="M100" s="2313"/>
      <c r="N100" s="2314"/>
      <c r="O100" s="2313"/>
      <c r="P100" s="2314"/>
      <c r="Q100" s="2313"/>
      <c r="R100" s="2314"/>
      <c r="S100" s="2313"/>
      <c r="T100" s="2314"/>
      <c r="U100" s="2313"/>
      <c r="V100" s="2314"/>
      <c r="W100" s="2313"/>
      <c r="X100" s="2314"/>
      <c r="Y100" s="2313"/>
      <c r="Z100" s="2314"/>
      <c r="AA100" s="2313"/>
      <c r="AB100" s="2314"/>
      <c r="AC100" s="2313"/>
      <c r="AD100" s="2314"/>
      <c r="AE100" s="2313"/>
      <c r="AF100" s="2314"/>
      <c r="AG100" s="2313"/>
      <c r="AH100" s="2314"/>
      <c r="AI100" s="2313"/>
      <c r="AJ100" s="2314"/>
      <c r="AK100" s="2315">
        <v>23</v>
      </c>
      <c r="AL100" s="2316">
        <v>17</v>
      </c>
      <c r="AM100" s="2316">
        <v>4</v>
      </c>
      <c r="AN100" s="2314">
        <f t="shared" si="24"/>
        <v>21</v>
      </c>
      <c r="AO100" s="2316">
        <v>14</v>
      </c>
      <c r="AP100" s="2316">
        <v>3</v>
      </c>
      <c r="AQ100" s="2314">
        <f>SUM(AO100:AP100)</f>
        <v>17</v>
      </c>
      <c r="AR100" s="2316">
        <v>1</v>
      </c>
      <c r="AS100" s="2316">
        <v>1</v>
      </c>
      <c r="AT100" s="2314">
        <f>SUM(AR100:AS100)</f>
        <v>2</v>
      </c>
    </row>
    <row r="101" spans="1:46" ht="15" customHeight="1" x14ac:dyDescent="0.25">
      <c r="B101" s="2268" t="s">
        <v>64</v>
      </c>
      <c r="C101" s="2269"/>
      <c r="D101" s="2270"/>
      <c r="E101" s="2269"/>
      <c r="F101" s="2270"/>
      <c r="G101" s="2269"/>
      <c r="H101" s="2270"/>
      <c r="I101" s="2269"/>
      <c r="J101" s="2270"/>
      <c r="K101" s="2269"/>
      <c r="L101" s="2270"/>
      <c r="M101" s="2269"/>
      <c r="N101" s="2270"/>
      <c r="O101" s="2269"/>
      <c r="P101" s="2270"/>
      <c r="Q101" s="2269"/>
      <c r="R101" s="2270"/>
      <c r="S101" s="2269"/>
      <c r="T101" s="2270"/>
      <c r="U101" s="2269"/>
      <c r="V101" s="2270"/>
      <c r="W101" s="2269">
        <f t="shared" ref="W101:AJ101" si="34">SUM(W98:W99)</f>
        <v>25</v>
      </c>
      <c r="X101" s="2270">
        <f t="shared" si="34"/>
        <v>25</v>
      </c>
      <c r="Y101" s="2269">
        <f t="shared" si="34"/>
        <v>20</v>
      </c>
      <c r="Z101" s="2270">
        <f t="shared" si="34"/>
        <v>45</v>
      </c>
      <c r="AA101" s="2269">
        <f t="shared" si="34"/>
        <v>23</v>
      </c>
      <c r="AB101" s="2270">
        <f t="shared" si="34"/>
        <v>61</v>
      </c>
      <c r="AC101" s="2269">
        <f t="shared" si="34"/>
        <v>21</v>
      </c>
      <c r="AD101" s="2270">
        <f t="shared" si="34"/>
        <v>77</v>
      </c>
      <c r="AE101" s="2269">
        <f t="shared" si="34"/>
        <v>45</v>
      </c>
      <c r="AF101" s="2270">
        <f t="shared" si="34"/>
        <v>110</v>
      </c>
      <c r="AG101" s="2269">
        <f t="shared" si="34"/>
        <v>45</v>
      </c>
      <c r="AH101" s="2270">
        <f t="shared" si="34"/>
        <v>113</v>
      </c>
      <c r="AI101" s="2269">
        <f t="shared" si="34"/>
        <v>41</v>
      </c>
      <c r="AJ101" s="2270">
        <f t="shared" si="34"/>
        <v>123</v>
      </c>
      <c r="AK101" s="2271">
        <f t="shared" ref="AK101:AT101" si="35">SUM(AK98:AK100)</f>
        <v>54</v>
      </c>
      <c r="AL101" s="2272">
        <f t="shared" si="35"/>
        <v>82</v>
      </c>
      <c r="AM101" s="2273">
        <f t="shared" si="35"/>
        <v>39</v>
      </c>
      <c r="AN101" s="2270">
        <f t="shared" si="35"/>
        <v>121</v>
      </c>
      <c r="AO101" s="2272">
        <f t="shared" si="35"/>
        <v>56</v>
      </c>
      <c r="AP101" s="2273">
        <f t="shared" si="35"/>
        <v>21</v>
      </c>
      <c r="AQ101" s="2270">
        <f t="shared" si="35"/>
        <v>77</v>
      </c>
      <c r="AR101" s="2272">
        <f t="shared" si="35"/>
        <v>7</v>
      </c>
      <c r="AS101" s="2273">
        <f t="shared" si="35"/>
        <v>5</v>
      </c>
      <c r="AT101" s="2270">
        <f t="shared" si="35"/>
        <v>12</v>
      </c>
    </row>
    <row r="102" spans="1:46" ht="15" customHeight="1" x14ac:dyDescent="0.25">
      <c r="B102" s="2312" t="s">
        <v>124</v>
      </c>
      <c r="C102" s="2313"/>
      <c r="D102" s="2314"/>
      <c r="E102" s="2313"/>
      <c r="F102" s="2314"/>
      <c r="G102" s="2313"/>
      <c r="H102" s="2314"/>
      <c r="I102" s="2313"/>
      <c r="J102" s="2314"/>
      <c r="K102" s="2313"/>
      <c r="L102" s="2314"/>
      <c r="M102" s="2313"/>
      <c r="N102" s="2314"/>
      <c r="O102" s="2313"/>
      <c r="P102" s="2314"/>
      <c r="Q102" s="2313"/>
      <c r="R102" s="2314"/>
      <c r="S102" s="2313"/>
      <c r="T102" s="2314"/>
      <c r="U102" s="2313"/>
      <c r="V102" s="2314"/>
      <c r="W102" s="2313">
        <v>29</v>
      </c>
      <c r="X102" s="2314">
        <v>26</v>
      </c>
      <c r="Y102" s="2313">
        <v>9</v>
      </c>
      <c r="Z102" s="2314">
        <v>28</v>
      </c>
      <c r="AA102" s="2313">
        <v>20</v>
      </c>
      <c r="AB102" s="2314">
        <v>34</v>
      </c>
      <c r="AC102" s="2313">
        <v>22</v>
      </c>
      <c r="AD102" s="2314">
        <v>50</v>
      </c>
      <c r="AE102" s="2313">
        <v>46</v>
      </c>
      <c r="AF102" s="2314">
        <v>89</v>
      </c>
      <c r="AG102" s="2313">
        <v>24</v>
      </c>
      <c r="AH102" s="2314">
        <v>86</v>
      </c>
      <c r="AI102" s="2313">
        <v>32</v>
      </c>
      <c r="AJ102" s="2314">
        <v>82</v>
      </c>
      <c r="AK102" s="2315">
        <v>11</v>
      </c>
      <c r="AL102" s="2316">
        <v>55</v>
      </c>
      <c r="AM102" s="2316">
        <v>15</v>
      </c>
      <c r="AN102" s="2314">
        <f t="shared" si="24"/>
        <v>70</v>
      </c>
      <c r="AO102" s="2316">
        <v>33</v>
      </c>
      <c r="AP102" s="2316">
        <v>10</v>
      </c>
      <c r="AQ102" s="2314">
        <f>SUM(AO102:AP102)</f>
        <v>43</v>
      </c>
      <c r="AR102" s="2316">
        <v>8</v>
      </c>
      <c r="AS102" s="2316">
        <v>4</v>
      </c>
      <c r="AT102" s="2314">
        <f>SUM(AR102:AS102)</f>
        <v>12</v>
      </c>
    </row>
    <row r="103" spans="1:46" ht="15" customHeight="1" x14ac:dyDescent="0.25">
      <c r="B103" s="2317" t="s">
        <v>125</v>
      </c>
      <c r="C103" s="2318"/>
      <c r="D103" s="2319"/>
      <c r="E103" s="2318"/>
      <c r="F103" s="2319"/>
      <c r="G103" s="2318"/>
      <c r="H103" s="2319"/>
      <c r="I103" s="2318"/>
      <c r="J103" s="2319"/>
      <c r="K103" s="2318"/>
      <c r="L103" s="2319"/>
      <c r="M103" s="2318"/>
      <c r="N103" s="2319"/>
      <c r="O103" s="2318"/>
      <c r="P103" s="2319"/>
      <c r="Q103" s="2318"/>
      <c r="R103" s="2319"/>
      <c r="S103" s="2318"/>
      <c r="T103" s="2319"/>
      <c r="U103" s="2318"/>
      <c r="V103" s="2319"/>
      <c r="W103" s="2318"/>
      <c r="X103" s="2319"/>
      <c r="Y103" s="2318"/>
      <c r="Z103" s="2319"/>
      <c r="AA103" s="2318"/>
      <c r="AB103" s="2319"/>
      <c r="AC103" s="2318"/>
      <c r="AD103" s="2319"/>
      <c r="AE103" s="2318"/>
      <c r="AF103" s="2319"/>
      <c r="AG103" s="2318"/>
      <c r="AH103" s="2319"/>
      <c r="AI103" s="2318">
        <v>14</v>
      </c>
      <c r="AJ103" s="2319">
        <v>14</v>
      </c>
      <c r="AK103" s="2320">
        <v>15</v>
      </c>
      <c r="AL103" s="2321">
        <v>18</v>
      </c>
      <c r="AM103" s="2321">
        <v>8</v>
      </c>
      <c r="AN103" s="2319">
        <f t="shared" si="24"/>
        <v>26</v>
      </c>
      <c r="AO103" s="2321">
        <v>10</v>
      </c>
      <c r="AP103" s="2321">
        <v>6</v>
      </c>
      <c r="AQ103" s="2319">
        <f>SUM(AO103:AP103)</f>
        <v>16</v>
      </c>
      <c r="AR103" s="2321">
        <v>2</v>
      </c>
      <c r="AS103" s="2321">
        <v>0</v>
      </c>
      <c r="AT103" s="2319">
        <f>SUM(AR103:AS103)</f>
        <v>2</v>
      </c>
    </row>
    <row r="104" spans="1:46" ht="15" customHeight="1" x14ac:dyDescent="0.25">
      <c r="B104" s="2317" t="s">
        <v>126</v>
      </c>
      <c r="C104" s="2318"/>
      <c r="D104" s="2319"/>
      <c r="E104" s="2318"/>
      <c r="F104" s="2319"/>
      <c r="G104" s="2318"/>
      <c r="H104" s="2319"/>
      <c r="I104" s="2318"/>
      <c r="J104" s="2319"/>
      <c r="K104" s="2318"/>
      <c r="L104" s="2319"/>
      <c r="M104" s="2318"/>
      <c r="N104" s="2319"/>
      <c r="O104" s="2318"/>
      <c r="P104" s="2319"/>
      <c r="Q104" s="2318"/>
      <c r="R104" s="2319"/>
      <c r="S104" s="2318"/>
      <c r="T104" s="2319"/>
      <c r="U104" s="2318"/>
      <c r="V104" s="2319"/>
      <c r="W104" s="2318"/>
      <c r="X104" s="2319"/>
      <c r="Y104" s="2318"/>
      <c r="Z104" s="2319"/>
      <c r="AA104" s="2318"/>
      <c r="AB104" s="2319"/>
      <c r="AC104" s="2318"/>
      <c r="AD104" s="2319"/>
      <c r="AE104" s="2318"/>
      <c r="AF104" s="2319"/>
      <c r="AG104" s="2318"/>
      <c r="AH104" s="2319"/>
      <c r="AI104" s="2318"/>
      <c r="AJ104" s="2319"/>
      <c r="AK104" s="2320">
        <v>12</v>
      </c>
      <c r="AL104" s="2321">
        <v>10</v>
      </c>
      <c r="AM104" s="2321">
        <v>2</v>
      </c>
      <c r="AN104" s="2319">
        <f t="shared" si="24"/>
        <v>12</v>
      </c>
      <c r="AO104" s="2321">
        <v>9</v>
      </c>
      <c r="AP104" s="2321">
        <v>2</v>
      </c>
      <c r="AQ104" s="2319">
        <f>SUM(AO104:AP104)</f>
        <v>11</v>
      </c>
      <c r="AR104" s="2321">
        <v>1</v>
      </c>
      <c r="AS104" s="2321">
        <v>1</v>
      </c>
      <c r="AT104" s="2319">
        <f>SUM(AR104:AS104)</f>
        <v>2</v>
      </c>
    </row>
    <row r="105" spans="1:46" ht="15" customHeight="1" x14ac:dyDescent="0.25">
      <c r="B105" s="2274" t="s">
        <v>92</v>
      </c>
      <c r="C105" s="2275"/>
      <c r="D105" s="2276"/>
      <c r="E105" s="2275"/>
      <c r="F105" s="2276"/>
      <c r="G105" s="2275"/>
      <c r="H105" s="2276"/>
      <c r="I105" s="2275"/>
      <c r="J105" s="2276"/>
      <c r="K105" s="2275"/>
      <c r="L105" s="2276"/>
      <c r="M105" s="2275"/>
      <c r="N105" s="2276"/>
      <c r="O105" s="2275"/>
      <c r="P105" s="2276"/>
      <c r="Q105" s="2275"/>
      <c r="R105" s="2276"/>
      <c r="S105" s="2275"/>
      <c r="T105" s="2276"/>
      <c r="U105" s="2275"/>
      <c r="V105" s="2276"/>
      <c r="W105" s="2275">
        <f>SUM(W102)</f>
        <v>29</v>
      </c>
      <c r="X105" s="2276">
        <f t="shared" ref="X105:AD105" si="36">SUM(X102)</f>
        <v>26</v>
      </c>
      <c r="Y105" s="2275">
        <f t="shared" si="36"/>
        <v>9</v>
      </c>
      <c r="Z105" s="2276">
        <f t="shared" si="36"/>
        <v>28</v>
      </c>
      <c r="AA105" s="2275">
        <f t="shared" si="36"/>
        <v>20</v>
      </c>
      <c r="AB105" s="2276">
        <f t="shared" si="36"/>
        <v>34</v>
      </c>
      <c r="AC105" s="2275">
        <f t="shared" si="36"/>
        <v>22</v>
      </c>
      <c r="AD105" s="2276">
        <f t="shared" si="36"/>
        <v>50</v>
      </c>
      <c r="AE105" s="2275">
        <f>SUM(AE102)</f>
        <v>46</v>
      </c>
      <c r="AF105" s="2276">
        <f>SUM(AF102)</f>
        <v>89</v>
      </c>
      <c r="AG105" s="2275">
        <f>SUM(AG102)</f>
        <v>24</v>
      </c>
      <c r="AH105" s="2276">
        <f>SUM(AH102)</f>
        <v>86</v>
      </c>
      <c r="AI105" s="2275">
        <f>SUM(AI102:AI103)</f>
        <v>46</v>
      </c>
      <c r="AJ105" s="2276">
        <f>SUM(AJ102:AJ103)</f>
        <v>96</v>
      </c>
      <c r="AK105" s="2277">
        <f t="shared" ref="AK105:AT105" si="37">SUM(AK102:AK104)</f>
        <v>38</v>
      </c>
      <c r="AL105" s="2278">
        <f t="shared" si="37"/>
        <v>83</v>
      </c>
      <c r="AM105" s="2279">
        <f t="shared" si="37"/>
        <v>25</v>
      </c>
      <c r="AN105" s="2276">
        <f t="shared" si="37"/>
        <v>108</v>
      </c>
      <c r="AO105" s="2278">
        <f t="shared" si="37"/>
        <v>52</v>
      </c>
      <c r="AP105" s="2279">
        <f t="shared" si="37"/>
        <v>18</v>
      </c>
      <c r="AQ105" s="2276">
        <f t="shared" si="37"/>
        <v>70</v>
      </c>
      <c r="AR105" s="2278">
        <f t="shared" si="37"/>
        <v>11</v>
      </c>
      <c r="AS105" s="2279">
        <f t="shared" si="37"/>
        <v>5</v>
      </c>
      <c r="AT105" s="2276">
        <f t="shared" si="37"/>
        <v>16</v>
      </c>
    </row>
    <row r="106" spans="1:46" ht="15" customHeight="1" x14ac:dyDescent="0.25">
      <c r="B106" s="2322" t="s">
        <v>127</v>
      </c>
      <c r="C106" s="2323"/>
      <c r="D106" s="2324"/>
      <c r="E106" s="2323"/>
      <c r="F106" s="2324"/>
      <c r="G106" s="2323"/>
      <c r="H106" s="2324"/>
      <c r="I106" s="2323"/>
      <c r="J106" s="2324"/>
      <c r="K106" s="2323"/>
      <c r="L106" s="2324"/>
      <c r="M106" s="2323"/>
      <c r="N106" s="2324"/>
      <c r="O106" s="2323"/>
      <c r="P106" s="2324"/>
      <c r="Q106" s="2323"/>
      <c r="R106" s="2324"/>
      <c r="S106" s="2323"/>
      <c r="T106" s="2324"/>
      <c r="U106" s="2323"/>
      <c r="V106" s="2324"/>
      <c r="W106" s="2325">
        <f>SUM(W105,W101,W97)</f>
        <v>76</v>
      </c>
      <c r="X106" s="2326">
        <f t="shared" ref="X106:AD106" si="38">SUM(X105,X101,X97)</f>
        <v>73</v>
      </c>
      <c r="Y106" s="2325">
        <f t="shared" si="38"/>
        <v>46</v>
      </c>
      <c r="Z106" s="2326">
        <f t="shared" si="38"/>
        <v>113</v>
      </c>
      <c r="AA106" s="2325">
        <f t="shared" si="38"/>
        <v>61</v>
      </c>
      <c r="AB106" s="2326">
        <f t="shared" si="38"/>
        <v>145</v>
      </c>
      <c r="AC106" s="2325">
        <f t="shared" si="38"/>
        <v>51</v>
      </c>
      <c r="AD106" s="2326">
        <f t="shared" si="38"/>
        <v>172</v>
      </c>
      <c r="AE106" s="2325">
        <f>SUM(AE105,AE101,AE97)</f>
        <v>122</v>
      </c>
      <c r="AF106" s="2326">
        <f>SUM(AF105,AF101,AF97)</f>
        <v>260</v>
      </c>
      <c r="AG106" s="2325">
        <f>SUM(AG105,AG101,AG97)</f>
        <v>83</v>
      </c>
      <c r="AH106" s="2326">
        <f>SUM(AH105,AH101,AH97)</f>
        <v>248</v>
      </c>
      <c r="AI106" s="2325">
        <f t="shared" ref="AI106:AT106" si="39">SUM(AI97,AI101,AI105)</f>
        <v>134</v>
      </c>
      <c r="AJ106" s="2326">
        <f t="shared" si="39"/>
        <v>290</v>
      </c>
      <c r="AK106" s="2327">
        <f t="shared" si="39"/>
        <v>126</v>
      </c>
      <c r="AL106" s="2328">
        <f t="shared" si="39"/>
        <v>194</v>
      </c>
      <c r="AM106" s="2328">
        <f t="shared" si="39"/>
        <v>114</v>
      </c>
      <c r="AN106" s="2326">
        <f t="shared" si="39"/>
        <v>308</v>
      </c>
      <c r="AO106" s="2328">
        <f t="shared" si="39"/>
        <v>124</v>
      </c>
      <c r="AP106" s="2328">
        <f t="shared" si="39"/>
        <v>65</v>
      </c>
      <c r="AQ106" s="2326">
        <f t="shared" si="39"/>
        <v>189</v>
      </c>
      <c r="AR106" s="2328">
        <f t="shared" si="39"/>
        <v>26</v>
      </c>
      <c r="AS106" s="2328">
        <f t="shared" si="39"/>
        <v>18</v>
      </c>
      <c r="AT106" s="2326">
        <f t="shared" si="39"/>
        <v>44</v>
      </c>
    </row>
    <row r="107" spans="1:46" ht="13.8" x14ac:dyDescent="0.25">
      <c r="B107" s="2329"/>
      <c r="C107" s="739"/>
      <c r="D107" s="739"/>
      <c r="E107" s="739"/>
      <c r="F107" s="739"/>
      <c r="G107" s="2330"/>
      <c r="H107" s="2330"/>
      <c r="I107" s="2330"/>
      <c r="J107" s="2330"/>
      <c r="K107" s="2330"/>
      <c r="L107" s="2330"/>
      <c r="M107" s="2330"/>
      <c r="N107" s="2330"/>
      <c r="O107" s="2330"/>
      <c r="P107" s="2330"/>
      <c r="Q107" s="2330"/>
      <c r="R107" s="2330"/>
      <c r="S107" s="2330"/>
      <c r="T107" s="2330"/>
      <c r="U107" s="2330"/>
      <c r="V107" s="2330"/>
      <c r="W107" s="2330"/>
      <c r="X107" s="2330"/>
      <c r="Y107" s="2330"/>
      <c r="Z107" s="2330"/>
      <c r="AA107" s="2330"/>
      <c r="AB107" s="2330"/>
      <c r="AC107" s="2330"/>
      <c r="AD107" s="2330"/>
      <c r="AE107" s="2330"/>
      <c r="AF107" s="2330"/>
      <c r="AG107" s="2330"/>
      <c r="AH107" s="2330"/>
      <c r="AI107" s="2330"/>
      <c r="AJ107" s="2331"/>
      <c r="AK107" s="2331"/>
      <c r="AL107" s="2331"/>
      <c r="AM107" s="2331"/>
      <c r="AN107" s="2331"/>
      <c r="AO107" s="2331"/>
      <c r="AP107" s="2331"/>
      <c r="AQ107" s="2331"/>
      <c r="AR107" s="2331"/>
      <c r="AS107" s="2331"/>
      <c r="AT107" s="2331"/>
    </row>
    <row r="108" spans="1:46" ht="19.5" customHeight="1" x14ac:dyDescent="0.25">
      <c r="B108" s="2332" t="s">
        <v>128</v>
      </c>
      <c r="C108" s="2333">
        <f t="shared" ref="C108:AQ108" si="40">SUM(C78,C56,C25,C93,C106)</f>
        <v>159</v>
      </c>
      <c r="D108" s="2334">
        <f t="shared" si="40"/>
        <v>153</v>
      </c>
      <c r="E108" s="2333">
        <f t="shared" si="40"/>
        <v>871</v>
      </c>
      <c r="F108" s="2334">
        <f t="shared" si="40"/>
        <v>960</v>
      </c>
      <c r="G108" s="2333">
        <f t="shared" si="40"/>
        <v>968</v>
      </c>
      <c r="H108" s="2334">
        <f t="shared" si="40"/>
        <v>1758</v>
      </c>
      <c r="I108" s="2333">
        <f t="shared" si="40"/>
        <v>1077</v>
      </c>
      <c r="J108" s="2334">
        <f t="shared" si="40"/>
        <v>2455</v>
      </c>
      <c r="K108" s="2333">
        <f t="shared" si="40"/>
        <v>1367</v>
      </c>
      <c r="L108" s="2334">
        <f t="shared" si="40"/>
        <v>3186</v>
      </c>
      <c r="M108" s="2333">
        <f t="shared" si="40"/>
        <v>3053</v>
      </c>
      <c r="N108" s="2334">
        <f t="shared" si="40"/>
        <v>5263</v>
      </c>
      <c r="O108" s="2333">
        <f t="shared" si="40"/>
        <v>2419</v>
      </c>
      <c r="P108" s="2334">
        <f t="shared" si="40"/>
        <v>6523</v>
      </c>
      <c r="Q108" s="2333">
        <f t="shared" si="40"/>
        <v>2231</v>
      </c>
      <c r="R108" s="2334">
        <f t="shared" si="40"/>
        <v>6627</v>
      </c>
      <c r="S108" s="2333">
        <f t="shared" si="40"/>
        <v>3959</v>
      </c>
      <c r="T108" s="2334">
        <f t="shared" si="40"/>
        <v>7880</v>
      </c>
      <c r="U108" s="2333">
        <f t="shared" si="40"/>
        <v>4611</v>
      </c>
      <c r="V108" s="2334">
        <f t="shared" si="40"/>
        <v>9880</v>
      </c>
      <c r="W108" s="2333">
        <f t="shared" si="40"/>
        <v>4272</v>
      </c>
      <c r="X108" s="2334">
        <f t="shared" si="40"/>
        <v>11531</v>
      </c>
      <c r="Y108" s="2333">
        <f t="shared" si="40"/>
        <v>3716</v>
      </c>
      <c r="Z108" s="2334">
        <f t="shared" si="40"/>
        <v>11963</v>
      </c>
      <c r="AA108" s="2333">
        <f t="shared" si="40"/>
        <v>4046</v>
      </c>
      <c r="AB108" s="2334">
        <f t="shared" si="40"/>
        <v>12043</v>
      </c>
      <c r="AC108" s="2333">
        <f t="shared" si="40"/>
        <v>4746</v>
      </c>
      <c r="AD108" s="2334">
        <f t="shared" si="40"/>
        <v>12970</v>
      </c>
      <c r="AE108" s="2333">
        <f t="shared" si="40"/>
        <v>4178</v>
      </c>
      <c r="AF108" s="2334">
        <f t="shared" si="40"/>
        <v>13338</v>
      </c>
      <c r="AG108" s="2333">
        <f t="shared" si="40"/>
        <v>4958</v>
      </c>
      <c r="AH108" s="2334">
        <f t="shared" si="40"/>
        <v>14114</v>
      </c>
      <c r="AI108" s="2333">
        <f t="shared" si="40"/>
        <v>5141</v>
      </c>
      <c r="AJ108" s="2334">
        <f t="shared" si="40"/>
        <v>15198</v>
      </c>
      <c r="AK108" s="2335">
        <f t="shared" si="40"/>
        <v>4483</v>
      </c>
      <c r="AL108" s="2336">
        <f t="shared" si="40"/>
        <v>8677</v>
      </c>
      <c r="AM108" s="2337">
        <f t="shared" si="40"/>
        <v>6102</v>
      </c>
      <c r="AN108" s="2334">
        <f t="shared" si="40"/>
        <v>14779</v>
      </c>
      <c r="AO108" s="2336">
        <f t="shared" si="40"/>
        <v>5735</v>
      </c>
      <c r="AP108" s="2337">
        <f t="shared" si="40"/>
        <v>3672</v>
      </c>
      <c r="AQ108" s="2334">
        <f t="shared" si="40"/>
        <v>9407</v>
      </c>
      <c r="AR108" s="2336">
        <f>SUM(AR78,AR56,AR25,AR93,AR106)</f>
        <v>625</v>
      </c>
      <c r="AS108" s="2337">
        <f>SUM(AS78,AS56,AS25,AS93,AS106)</f>
        <v>529</v>
      </c>
      <c r="AT108" s="2334">
        <f>SUM(AT78,AT56,AT25,AT93,AT106)</f>
        <v>1154</v>
      </c>
    </row>
    <row r="109" spans="1:46" x14ac:dyDescent="0.25">
      <c r="A109" s="2249"/>
      <c r="B109" s="2338"/>
      <c r="C109" s="2339"/>
      <c r="D109" s="2339"/>
      <c r="E109" s="2339"/>
      <c r="F109" s="2339"/>
      <c r="G109" s="2249"/>
      <c r="H109" s="2249"/>
      <c r="I109" s="2249"/>
      <c r="J109" s="2249"/>
      <c r="K109" s="2340"/>
      <c r="L109" s="2340"/>
      <c r="M109" s="2249"/>
    </row>
    <row r="110" spans="1:46" ht="17.399999999999999" x14ac:dyDescent="0.3">
      <c r="B110" s="2341" t="s">
        <v>622</v>
      </c>
      <c r="G110" s="2342"/>
      <c r="H110" s="2342"/>
      <c r="I110" s="2342"/>
      <c r="J110" s="2342"/>
      <c r="K110" s="2342"/>
    </row>
  </sheetData>
  <mergeCells count="23">
    <mergeCell ref="AU5:AW14"/>
    <mergeCell ref="AR3:AT3"/>
    <mergeCell ref="S3:T3"/>
    <mergeCell ref="U3:V3"/>
    <mergeCell ref="W3:X3"/>
    <mergeCell ref="Y3:Z3"/>
    <mergeCell ref="AA3:AB3"/>
    <mergeCell ref="AC3:AD3"/>
    <mergeCell ref="AE3:AF3"/>
    <mergeCell ref="AG3:AH3"/>
    <mergeCell ref="AI3:AJ3"/>
    <mergeCell ref="AL3:AN3"/>
    <mergeCell ref="AO3:AQ3"/>
    <mergeCell ref="AC1:AD2"/>
    <mergeCell ref="B3:B4"/>
    <mergeCell ref="C3:D3"/>
    <mergeCell ref="E3:F3"/>
    <mergeCell ref="G3:H3"/>
    <mergeCell ref="I3:J3"/>
    <mergeCell ref="K3:L3"/>
    <mergeCell ref="M3:N3"/>
    <mergeCell ref="O3:P3"/>
    <mergeCell ref="Q3:R3"/>
  </mergeCells>
  <printOptions horizontalCentered="1"/>
  <pageMargins left="0.70866141732283472" right="0.70866141732283472" top="0.74803149606299213" bottom="0.74803149606299213" header="0.31496062992125984" footer="0.31496062992125984"/>
  <pageSetup scale="60" firstPageNumber="90" pageOrder="overThenDown" orientation="landscape" useFirstPageNumber="1" r:id="rId1"/>
  <headerFooter scaleWithDoc="0" alignWithMargins="0">
    <oddFooter>&amp;R&amp;P</oddFooter>
  </headerFooter>
  <rowBreaks count="1" manualBreakCount="1">
    <brk id="56" max="16383" man="1"/>
  </rowBreaks>
  <colBreaks count="1" manualBreakCount="1">
    <brk id="16" max="1048575" man="1"/>
  </colBreaks>
  <ignoredErrors>
    <ignoredError sqref="AN5:AT14 AN102:AT108" formulaRange="1"/>
    <ignoredError sqref="AN15:AT101" formula="1" formulaRange="1"/>
  </ignoredError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</sheetPr>
  <dimension ref="A1:AX62"/>
  <sheetViews>
    <sheetView showGridLines="0" zoomScaleNormal="100" zoomScaleSheetLayoutView="90" workbookViewId="0">
      <pane xSplit="2" ySplit="5" topLeftCell="AF6" activePane="bottomRight" state="frozen"/>
      <selection activeCell="Q31" sqref="Q31"/>
      <selection pane="topRight" activeCell="Q31" sqref="Q31"/>
      <selection pane="bottomLeft" activeCell="Q31" sqref="Q31"/>
      <selection pane="bottomRight" activeCell="Q31" sqref="Q31"/>
    </sheetView>
  </sheetViews>
  <sheetFormatPr baseColWidth="10" defaultColWidth="11.44140625" defaultRowHeight="13.2" x14ac:dyDescent="0.25"/>
  <cols>
    <col min="1" max="1" width="2.88671875" style="25" customWidth="1"/>
    <col min="2" max="2" width="16.109375" style="25" customWidth="1"/>
    <col min="3" max="46" width="9.88671875" style="25" customWidth="1"/>
    <col min="47" max="257" width="11.44140625" style="25"/>
    <col min="258" max="259" width="1.44140625" style="25" customWidth="1"/>
    <col min="260" max="260" width="24.5546875" style="25" customWidth="1"/>
    <col min="261" max="261" width="15.5546875" style="25" customWidth="1"/>
    <col min="262" max="275" width="10.88671875" style="25" customWidth="1"/>
    <col min="276" max="276" width="3.88671875" style="25" customWidth="1"/>
    <col min="277" max="513" width="11.44140625" style="25"/>
    <col min="514" max="515" width="1.44140625" style="25" customWidth="1"/>
    <col min="516" max="516" width="24.5546875" style="25" customWidth="1"/>
    <col min="517" max="517" width="15.5546875" style="25" customWidth="1"/>
    <col min="518" max="531" width="10.88671875" style="25" customWidth="1"/>
    <col min="532" max="532" width="3.88671875" style="25" customWidth="1"/>
    <col min="533" max="769" width="11.44140625" style="25"/>
    <col min="770" max="771" width="1.44140625" style="25" customWidth="1"/>
    <col min="772" max="772" width="24.5546875" style="25" customWidth="1"/>
    <col min="773" max="773" width="15.5546875" style="25" customWidth="1"/>
    <col min="774" max="787" width="10.88671875" style="25" customWidth="1"/>
    <col min="788" max="788" width="3.88671875" style="25" customWidth="1"/>
    <col min="789" max="1025" width="11.44140625" style="25"/>
    <col min="1026" max="1027" width="1.44140625" style="25" customWidth="1"/>
    <col min="1028" max="1028" width="24.5546875" style="25" customWidth="1"/>
    <col min="1029" max="1029" width="15.5546875" style="25" customWidth="1"/>
    <col min="1030" max="1043" width="10.88671875" style="25" customWidth="1"/>
    <col min="1044" max="1044" width="3.88671875" style="25" customWidth="1"/>
    <col min="1045" max="1281" width="11.44140625" style="25"/>
    <col min="1282" max="1283" width="1.44140625" style="25" customWidth="1"/>
    <col min="1284" max="1284" width="24.5546875" style="25" customWidth="1"/>
    <col min="1285" max="1285" width="15.5546875" style="25" customWidth="1"/>
    <col min="1286" max="1299" width="10.88671875" style="25" customWidth="1"/>
    <col min="1300" max="1300" width="3.88671875" style="25" customWidth="1"/>
    <col min="1301" max="1537" width="11.44140625" style="25"/>
    <col min="1538" max="1539" width="1.44140625" style="25" customWidth="1"/>
    <col min="1540" max="1540" width="24.5546875" style="25" customWidth="1"/>
    <col min="1541" max="1541" width="15.5546875" style="25" customWidth="1"/>
    <col min="1542" max="1555" width="10.88671875" style="25" customWidth="1"/>
    <col min="1556" max="1556" width="3.88671875" style="25" customWidth="1"/>
    <col min="1557" max="1793" width="11.44140625" style="25"/>
    <col min="1794" max="1795" width="1.44140625" style="25" customWidth="1"/>
    <col min="1796" max="1796" width="24.5546875" style="25" customWidth="1"/>
    <col min="1797" max="1797" width="15.5546875" style="25" customWidth="1"/>
    <col min="1798" max="1811" width="10.88671875" style="25" customWidth="1"/>
    <col min="1812" max="1812" width="3.88671875" style="25" customWidth="1"/>
    <col min="1813" max="2049" width="11.44140625" style="25"/>
    <col min="2050" max="2051" width="1.44140625" style="25" customWidth="1"/>
    <col min="2052" max="2052" width="24.5546875" style="25" customWidth="1"/>
    <col min="2053" max="2053" width="15.5546875" style="25" customWidth="1"/>
    <col min="2054" max="2067" width="10.88671875" style="25" customWidth="1"/>
    <col min="2068" max="2068" width="3.88671875" style="25" customWidth="1"/>
    <col min="2069" max="2305" width="11.44140625" style="25"/>
    <col min="2306" max="2307" width="1.44140625" style="25" customWidth="1"/>
    <col min="2308" max="2308" width="24.5546875" style="25" customWidth="1"/>
    <col min="2309" max="2309" width="15.5546875" style="25" customWidth="1"/>
    <col min="2310" max="2323" width="10.88671875" style="25" customWidth="1"/>
    <col min="2324" max="2324" width="3.88671875" style="25" customWidth="1"/>
    <col min="2325" max="2561" width="11.44140625" style="25"/>
    <col min="2562" max="2563" width="1.44140625" style="25" customWidth="1"/>
    <col min="2564" max="2564" width="24.5546875" style="25" customWidth="1"/>
    <col min="2565" max="2565" width="15.5546875" style="25" customWidth="1"/>
    <col min="2566" max="2579" width="10.88671875" style="25" customWidth="1"/>
    <col min="2580" max="2580" width="3.88671875" style="25" customWidth="1"/>
    <col min="2581" max="2817" width="11.44140625" style="25"/>
    <col min="2818" max="2819" width="1.44140625" style="25" customWidth="1"/>
    <col min="2820" max="2820" width="24.5546875" style="25" customWidth="1"/>
    <col min="2821" max="2821" width="15.5546875" style="25" customWidth="1"/>
    <col min="2822" max="2835" width="10.88671875" style="25" customWidth="1"/>
    <col min="2836" max="2836" width="3.88671875" style="25" customWidth="1"/>
    <col min="2837" max="3073" width="11.44140625" style="25"/>
    <col min="3074" max="3075" width="1.44140625" style="25" customWidth="1"/>
    <col min="3076" max="3076" width="24.5546875" style="25" customWidth="1"/>
    <col min="3077" max="3077" width="15.5546875" style="25" customWidth="1"/>
    <col min="3078" max="3091" width="10.88671875" style="25" customWidth="1"/>
    <col min="3092" max="3092" width="3.88671875" style="25" customWidth="1"/>
    <col min="3093" max="3329" width="11.44140625" style="25"/>
    <col min="3330" max="3331" width="1.44140625" style="25" customWidth="1"/>
    <col min="3332" max="3332" width="24.5546875" style="25" customWidth="1"/>
    <col min="3333" max="3333" width="15.5546875" style="25" customWidth="1"/>
    <col min="3334" max="3347" width="10.88671875" style="25" customWidth="1"/>
    <col min="3348" max="3348" width="3.88671875" style="25" customWidth="1"/>
    <col min="3349" max="3585" width="11.44140625" style="25"/>
    <col min="3586" max="3587" width="1.44140625" style="25" customWidth="1"/>
    <col min="3588" max="3588" width="24.5546875" style="25" customWidth="1"/>
    <col min="3589" max="3589" width="15.5546875" style="25" customWidth="1"/>
    <col min="3590" max="3603" width="10.88671875" style="25" customWidth="1"/>
    <col min="3604" max="3604" width="3.88671875" style="25" customWidth="1"/>
    <col min="3605" max="3841" width="11.44140625" style="25"/>
    <col min="3842" max="3843" width="1.44140625" style="25" customWidth="1"/>
    <col min="3844" max="3844" width="24.5546875" style="25" customWidth="1"/>
    <col min="3845" max="3845" width="15.5546875" style="25" customWidth="1"/>
    <col min="3846" max="3859" width="10.88671875" style="25" customWidth="1"/>
    <col min="3860" max="3860" width="3.88671875" style="25" customWidth="1"/>
    <col min="3861" max="4097" width="11.44140625" style="25"/>
    <col min="4098" max="4099" width="1.44140625" style="25" customWidth="1"/>
    <col min="4100" max="4100" width="24.5546875" style="25" customWidth="1"/>
    <col min="4101" max="4101" width="15.5546875" style="25" customWidth="1"/>
    <col min="4102" max="4115" width="10.88671875" style="25" customWidth="1"/>
    <col min="4116" max="4116" width="3.88671875" style="25" customWidth="1"/>
    <col min="4117" max="4353" width="11.44140625" style="25"/>
    <col min="4354" max="4355" width="1.44140625" style="25" customWidth="1"/>
    <col min="4356" max="4356" width="24.5546875" style="25" customWidth="1"/>
    <col min="4357" max="4357" width="15.5546875" style="25" customWidth="1"/>
    <col min="4358" max="4371" width="10.88671875" style="25" customWidth="1"/>
    <col min="4372" max="4372" width="3.88671875" style="25" customWidth="1"/>
    <col min="4373" max="4609" width="11.44140625" style="25"/>
    <col min="4610" max="4611" width="1.44140625" style="25" customWidth="1"/>
    <col min="4612" max="4612" width="24.5546875" style="25" customWidth="1"/>
    <col min="4613" max="4613" width="15.5546875" style="25" customWidth="1"/>
    <col min="4614" max="4627" width="10.88671875" style="25" customWidth="1"/>
    <col min="4628" max="4628" width="3.88671875" style="25" customWidth="1"/>
    <col min="4629" max="4865" width="11.44140625" style="25"/>
    <col min="4866" max="4867" width="1.44140625" style="25" customWidth="1"/>
    <col min="4868" max="4868" width="24.5546875" style="25" customWidth="1"/>
    <col min="4869" max="4869" width="15.5546875" style="25" customWidth="1"/>
    <col min="4870" max="4883" width="10.88671875" style="25" customWidth="1"/>
    <col min="4884" max="4884" width="3.88671875" style="25" customWidth="1"/>
    <col min="4885" max="5121" width="11.44140625" style="25"/>
    <col min="5122" max="5123" width="1.44140625" style="25" customWidth="1"/>
    <col min="5124" max="5124" width="24.5546875" style="25" customWidth="1"/>
    <col min="5125" max="5125" width="15.5546875" style="25" customWidth="1"/>
    <col min="5126" max="5139" width="10.88671875" style="25" customWidth="1"/>
    <col min="5140" max="5140" width="3.88671875" style="25" customWidth="1"/>
    <col min="5141" max="5377" width="11.44140625" style="25"/>
    <col min="5378" max="5379" width="1.44140625" style="25" customWidth="1"/>
    <col min="5380" max="5380" width="24.5546875" style="25" customWidth="1"/>
    <col min="5381" max="5381" width="15.5546875" style="25" customWidth="1"/>
    <col min="5382" max="5395" width="10.88671875" style="25" customWidth="1"/>
    <col min="5396" max="5396" width="3.88671875" style="25" customWidth="1"/>
    <col min="5397" max="5633" width="11.44140625" style="25"/>
    <col min="5634" max="5635" width="1.44140625" style="25" customWidth="1"/>
    <col min="5636" max="5636" width="24.5546875" style="25" customWidth="1"/>
    <col min="5637" max="5637" width="15.5546875" style="25" customWidth="1"/>
    <col min="5638" max="5651" width="10.88671875" style="25" customWidth="1"/>
    <col min="5652" max="5652" width="3.88671875" style="25" customWidth="1"/>
    <col min="5653" max="5889" width="11.44140625" style="25"/>
    <col min="5890" max="5891" width="1.44140625" style="25" customWidth="1"/>
    <col min="5892" max="5892" width="24.5546875" style="25" customWidth="1"/>
    <col min="5893" max="5893" width="15.5546875" style="25" customWidth="1"/>
    <col min="5894" max="5907" width="10.88671875" style="25" customWidth="1"/>
    <col min="5908" max="5908" width="3.88671875" style="25" customWidth="1"/>
    <col min="5909" max="6145" width="11.44140625" style="25"/>
    <col min="6146" max="6147" width="1.44140625" style="25" customWidth="1"/>
    <col min="6148" max="6148" width="24.5546875" style="25" customWidth="1"/>
    <col min="6149" max="6149" width="15.5546875" style="25" customWidth="1"/>
    <col min="6150" max="6163" width="10.88671875" style="25" customWidth="1"/>
    <col min="6164" max="6164" width="3.88671875" style="25" customWidth="1"/>
    <col min="6165" max="6401" width="11.44140625" style="25"/>
    <col min="6402" max="6403" width="1.44140625" style="25" customWidth="1"/>
    <col min="6404" max="6404" width="24.5546875" style="25" customWidth="1"/>
    <col min="6405" max="6405" width="15.5546875" style="25" customWidth="1"/>
    <col min="6406" max="6419" width="10.88671875" style="25" customWidth="1"/>
    <col min="6420" max="6420" width="3.88671875" style="25" customWidth="1"/>
    <col min="6421" max="6657" width="11.44140625" style="25"/>
    <col min="6658" max="6659" width="1.44140625" style="25" customWidth="1"/>
    <col min="6660" max="6660" width="24.5546875" style="25" customWidth="1"/>
    <col min="6661" max="6661" width="15.5546875" style="25" customWidth="1"/>
    <col min="6662" max="6675" width="10.88671875" style="25" customWidth="1"/>
    <col min="6676" max="6676" width="3.88671875" style="25" customWidth="1"/>
    <col min="6677" max="6913" width="11.44140625" style="25"/>
    <col min="6914" max="6915" width="1.44140625" style="25" customWidth="1"/>
    <col min="6916" max="6916" width="24.5546875" style="25" customWidth="1"/>
    <col min="6917" max="6917" width="15.5546875" style="25" customWidth="1"/>
    <col min="6918" max="6931" width="10.88671875" style="25" customWidth="1"/>
    <col min="6932" max="6932" width="3.88671875" style="25" customWidth="1"/>
    <col min="6933" max="7169" width="11.44140625" style="25"/>
    <col min="7170" max="7171" width="1.44140625" style="25" customWidth="1"/>
    <col min="7172" max="7172" width="24.5546875" style="25" customWidth="1"/>
    <col min="7173" max="7173" width="15.5546875" style="25" customWidth="1"/>
    <col min="7174" max="7187" width="10.88671875" style="25" customWidth="1"/>
    <col min="7188" max="7188" width="3.88671875" style="25" customWidth="1"/>
    <col min="7189" max="7425" width="11.44140625" style="25"/>
    <col min="7426" max="7427" width="1.44140625" style="25" customWidth="1"/>
    <col min="7428" max="7428" width="24.5546875" style="25" customWidth="1"/>
    <col min="7429" max="7429" width="15.5546875" style="25" customWidth="1"/>
    <col min="7430" max="7443" width="10.88671875" style="25" customWidth="1"/>
    <col min="7444" max="7444" width="3.88671875" style="25" customWidth="1"/>
    <col min="7445" max="7681" width="11.44140625" style="25"/>
    <col min="7682" max="7683" width="1.44140625" style="25" customWidth="1"/>
    <col min="7684" max="7684" width="24.5546875" style="25" customWidth="1"/>
    <col min="7685" max="7685" width="15.5546875" style="25" customWidth="1"/>
    <col min="7686" max="7699" width="10.88671875" style="25" customWidth="1"/>
    <col min="7700" max="7700" width="3.88671875" style="25" customWidth="1"/>
    <col min="7701" max="7937" width="11.44140625" style="25"/>
    <col min="7938" max="7939" width="1.44140625" style="25" customWidth="1"/>
    <col min="7940" max="7940" width="24.5546875" style="25" customWidth="1"/>
    <col min="7941" max="7941" width="15.5546875" style="25" customWidth="1"/>
    <col min="7942" max="7955" width="10.88671875" style="25" customWidth="1"/>
    <col min="7956" max="7956" width="3.88671875" style="25" customWidth="1"/>
    <col min="7957" max="8193" width="11.44140625" style="25"/>
    <col min="8194" max="8195" width="1.44140625" style="25" customWidth="1"/>
    <col min="8196" max="8196" width="24.5546875" style="25" customWidth="1"/>
    <col min="8197" max="8197" width="15.5546875" style="25" customWidth="1"/>
    <col min="8198" max="8211" width="10.88671875" style="25" customWidth="1"/>
    <col min="8212" max="8212" width="3.88671875" style="25" customWidth="1"/>
    <col min="8213" max="8449" width="11.44140625" style="25"/>
    <col min="8450" max="8451" width="1.44140625" style="25" customWidth="1"/>
    <col min="8452" max="8452" width="24.5546875" style="25" customWidth="1"/>
    <col min="8453" max="8453" width="15.5546875" style="25" customWidth="1"/>
    <col min="8454" max="8467" width="10.88671875" style="25" customWidth="1"/>
    <col min="8468" max="8468" width="3.88671875" style="25" customWidth="1"/>
    <col min="8469" max="8705" width="11.44140625" style="25"/>
    <col min="8706" max="8707" width="1.44140625" style="25" customWidth="1"/>
    <col min="8708" max="8708" width="24.5546875" style="25" customWidth="1"/>
    <col min="8709" max="8709" width="15.5546875" style="25" customWidth="1"/>
    <col min="8710" max="8723" width="10.88671875" style="25" customWidth="1"/>
    <col min="8724" max="8724" width="3.88671875" style="25" customWidth="1"/>
    <col min="8725" max="8961" width="11.44140625" style="25"/>
    <col min="8962" max="8963" width="1.44140625" style="25" customWidth="1"/>
    <col min="8964" max="8964" width="24.5546875" style="25" customWidth="1"/>
    <col min="8965" max="8965" width="15.5546875" style="25" customWidth="1"/>
    <col min="8966" max="8979" width="10.88671875" style="25" customWidth="1"/>
    <col min="8980" max="8980" width="3.88671875" style="25" customWidth="1"/>
    <col min="8981" max="9217" width="11.44140625" style="25"/>
    <col min="9218" max="9219" width="1.44140625" style="25" customWidth="1"/>
    <col min="9220" max="9220" width="24.5546875" style="25" customWidth="1"/>
    <col min="9221" max="9221" width="15.5546875" style="25" customWidth="1"/>
    <col min="9222" max="9235" width="10.88671875" style="25" customWidth="1"/>
    <col min="9236" max="9236" width="3.88671875" style="25" customWidth="1"/>
    <col min="9237" max="9473" width="11.44140625" style="25"/>
    <col min="9474" max="9475" width="1.44140625" style="25" customWidth="1"/>
    <col min="9476" max="9476" width="24.5546875" style="25" customWidth="1"/>
    <col min="9477" max="9477" width="15.5546875" style="25" customWidth="1"/>
    <col min="9478" max="9491" width="10.88671875" style="25" customWidth="1"/>
    <col min="9492" max="9492" width="3.88671875" style="25" customWidth="1"/>
    <col min="9493" max="9729" width="11.44140625" style="25"/>
    <col min="9730" max="9731" width="1.44140625" style="25" customWidth="1"/>
    <col min="9732" max="9732" width="24.5546875" style="25" customWidth="1"/>
    <col min="9733" max="9733" width="15.5546875" style="25" customWidth="1"/>
    <col min="9734" max="9747" width="10.88671875" style="25" customWidth="1"/>
    <col min="9748" max="9748" width="3.88671875" style="25" customWidth="1"/>
    <col min="9749" max="9985" width="11.44140625" style="25"/>
    <col min="9986" max="9987" width="1.44140625" style="25" customWidth="1"/>
    <col min="9988" max="9988" width="24.5546875" style="25" customWidth="1"/>
    <col min="9989" max="9989" width="15.5546875" style="25" customWidth="1"/>
    <col min="9990" max="10003" width="10.88671875" style="25" customWidth="1"/>
    <col min="10004" max="10004" width="3.88671875" style="25" customWidth="1"/>
    <col min="10005" max="10241" width="11.44140625" style="25"/>
    <col min="10242" max="10243" width="1.44140625" style="25" customWidth="1"/>
    <col min="10244" max="10244" width="24.5546875" style="25" customWidth="1"/>
    <col min="10245" max="10245" width="15.5546875" style="25" customWidth="1"/>
    <col min="10246" max="10259" width="10.88671875" style="25" customWidth="1"/>
    <col min="10260" max="10260" width="3.88671875" style="25" customWidth="1"/>
    <col min="10261" max="10497" width="11.44140625" style="25"/>
    <col min="10498" max="10499" width="1.44140625" style="25" customWidth="1"/>
    <col min="10500" max="10500" width="24.5546875" style="25" customWidth="1"/>
    <col min="10501" max="10501" width="15.5546875" style="25" customWidth="1"/>
    <col min="10502" max="10515" width="10.88671875" style="25" customWidth="1"/>
    <col min="10516" max="10516" width="3.88671875" style="25" customWidth="1"/>
    <col min="10517" max="10753" width="11.44140625" style="25"/>
    <col min="10754" max="10755" width="1.44140625" style="25" customWidth="1"/>
    <col min="10756" max="10756" width="24.5546875" style="25" customWidth="1"/>
    <col min="10757" max="10757" width="15.5546875" style="25" customWidth="1"/>
    <col min="10758" max="10771" width="10.88671875" style="25" customWidth="1"/>
    <col min="10772" max="10772" width="3.88671875" style="25" customWidth="1"/>
    <col min="10773" max="11009" width="11.44140625" style="25"/>
    <col min="11010" max="11011" width="1.44140625" style="25" customWidth="1"/>
    <col min="11012" max="11012" width="24.5546875" style="25" customWidth="1"/>
    <col min="11013" max="11013" width="15.5546875" style="25" customWidth="1"/>
    <col min="11014" max="11027" width="10.88671875" style="25" customWidth="1"/>
    <col min="11028" max="11028" width="3.88671875" style="25" customWidth="1"/>
    <col min="11029" max="11265" width="11.44140625" style="25"/>
    <col min="11266" max="11267" width="1.44140625" style="25" customWidth="1"/>
    <col min="11268" max="11268" width="24.5546875" style="25" customWidth="1"/>
    <col min="11269" max="11269" width="15.5546875" style="25" customWidth="1"/>
    <col min="11270" max="11283" width="10.88671875" style="25" customWidth="1"/>
    <col min="11284" max="11284" width="3.88671875" style="25" customWidth="1"/>
    <col min="11285" max="11521" width="11.44140625" style="25"/>
    <col min="11522" max="11523" width="1.44140625" style="25" customWidth="1"/>
    <col min="11524" max="11524" width="24.5546875" style="25" customWidth="1"/>
    <col min="11525" max="11525" width="15.5546875" style="25" customWidth="1"/>
    <col min="11526" max="11539" width="10.88671875" style="25" customWidth="1"/>
    <col min="11540" max="11540" width="3.88671875" style="25" customWidth="1"/>
    <col min="11541" max="11777" width="11.44140625" style="25"/>
    <col min="11778" max="11779" width="1.44140625" style="25" customWidth="1"/>
    <col min="11780" max="11780" width="24.5546875" style="25" customWidth="1"/>
    <col min="11781" max="11781" width="15.5546875" style="25" customWidth="1"/>
    <col min="11782" max="11795" width="10.88671875" style="25" customWidth="1"/>
    <col min="11796" max="11796" width="3.88671875" style="25" customWidth="1"/>
    <col min="11797" max="12033" width="11.44140625" style="25"/>
    <col min="12034" max="12035" width="1.44140625" style="25" customWidth="1"/>
    <col min="12036" max="12036" width="24.5546875" style="25" customWidth="1"/>
    <col min="12037" max="12037" width="15.5546875" style="25" customWidth="1"/>
    <col min="12038" max="12051" width="10.88671875" style="25" customWidth="1"/>
    <col min="12052" max="12052" width="3.88671875" style="25" customWidth="1"/>
    <col min="12053" max="12289" width="11.44140625" style="25"/>
    <col min="12290" max="12291" width="1.44140625" style="25" customWidth="1"/>
    <col min="12292" max="12292" width="24.5546875" style="25" customWidth="1"/>
    <col min="12293" max="12293" width="15.5546875" style="25" customWidth="1"/>
    <col min="12294" max="12307" width="10.88671875" style="25" customWidth="1"/>
    <col min="12308" max="12308" width="3.88671875" style="25" customWidth="1"/>
    <col min="12309" max="12545" width="11.44140625" style="25"/>
    <col min="12546" max="12547" width="1.44140625" style="25" customWidth="1"/>
    <col min="12548" max="12548" width="24.5546875" style="25" customWidth="1"/>
    <col min="12549" max="12549" width="15.5546875" style="25" customWidth="1"/>
    <col min="12550" max="12563" width="10.88671875" style="25" customWidth="1"/>
    <col min="12564" max="12564" width="3.88671875" style="25" customWidth="1"/>
    <col min="12565" max="12801" width="11.44140625" style="25"/>
    <col min="12802" max="12803" width="1.44140625" style="25" customWidth="1"/>
    <col min="12804" max="12804" width="24.5546875" style="25" customWidth="1"/>
    <col min="12805" max="12805" width="15.5546875" style="25" customWidth="1"/>
    <col min="12806" max="12819" width="10.88671875" style="25" customWidth="1"/>
    <col min="12820" max="12820" width="3.88671875" style="25" customWidth="1"/>
    <col min="12821" max="13057" width="11.44140625" style="25"/>
    <col min="13058" max="13059" width="1.44140625" style="25" customWidth="1"/>
    <col min="13060" max="13060" width="24.5546875" style="25" customWidth="1"/>
    <col min="13061" max="13061" width="15.5546875" style="25" customWidth="1"/>
    <col min="13062" max="13075" width="10.88671875" style="25" customWidth="1"/>
    <col min="13076" max="13076" width="3.88671875" style="25" customWidth="1"/>
    <col min="13077" max="13313" width="11.44140625" style="25"/>
    <col min="13314" max="13315" width="1.44140625" style="25" customWidth="1"/>
    <col min="13316" max="13316" width="24.5546875" style="25" customWidth="1"/>
    <col min="13317" max="13317" width="15.5546875" style="25" customWidth="1"/>
    <col min="13318" max="13331" width="10.88671875" style="25" customWidth="1"/>
    <col min="13332" max="13332" width="3.88671875" style="25" customWidth="1"/>
    <col min="13333" max="13569" width="11.44140625" style="25"/>
    <col min="13570" max="13571" width="1.44140625" style="25" customWidth="1"/>
    <col min="13572" max="13572" width="24.5546875" style="25" customWidth="1"/>
    <col min="13573" max="13573" width="15.5546875" style="25" customWidth="1"/>
    <col min="13574" max="13587" width="10.88671875" style="25" customWidth="1"/>
    <col min="13588" max="13588" width="3.88671875" style="25" customWidth="1"/>
    <col min="13589" max="13825" width="11.44140625" style="25"/>
    <col min="13826" max="13827" width="1.44140625" style="25" customWidth="1"/>
    <col min="13828" max="13828" width="24.5546875" style="25" customWidth="1"/>
    <col min="13829" max="13829" width="15.5546875" style="25" customWidth="1"/>
    <col min="13830" max="13843" width="10.88671875" style="25" customWidth="1"/>
    <col min="13844" max="13844" width="3.88671875" style="25" customWidth="1"/>
    <col min="13845" max="14081" width="11.44140625" style="25"/>
    <col min="14082" max="14083" width="1.44140625" style="25" customWidth="1"/>
    <col min="14084" max="14084" width="24.5546875" style="25" customWidth="1"/>
    <col min="14085" max="14085" width="15.5546875" style="25" customWidth="1"/>
    <col min="14086" max="14099" width="10.88671875" style="25" customWidth="1"/>
    <col min="14100" max="14100" width="3.88671875" style="25" customWidth="1"/>
    <col min="14101" max="14337" width="11.44140625" style="25"/>
    <col min="14338" max="14339" width="1.44140625" style="25" customWidth="1"/>
    <col min="14340" max="14340" width="24.5546875" style="25" customWidth="1"/>
    <col min="14341" max="14341" width="15.5546875" style="25" customWidth="1"/>
    <col min="14342" max="14355" width="10.88671875" style="25" customWidth="1"/>
    <col min="14356" max="14356" width="3.88671875" style="25" customWidth="1"/>
    <col min="14357" max="14593" width="11.44140625" style="25"/>
    <col min="14594" max="14595" width="1.44140625" style="25" customWidth="1"/>
    <col min="14596" max="14596" width="24.5546875" style="25" customWidth="1"/>
    <col min="14597" max="14597" width="15.5546875" style="25" customWidth="1"/>
    <col min="14598" max="14611" width="10.88671875" style="25" customWidth="1"/>
    <col min="14612" max="14612" width="3.88671875" style="25" customWidth="1"/>
    <col min="14613" max="14849" width="11.44140625" style="25"/>
    <col min="14850" max="14851" width="1.44140625" style="25" customWidth="1"/>
    <col min="14852" max="14852" width="24.5546875" style="25" customWidth="1"/>
    <col min="14853" max="14853" width="15.5546875" style="25" customWidth="1"/>
    <col min="14854" max="14867" width="10.88671875" style="25" customWidth="1"/>
    <col min="14868" max="14868" width="3.88671875" style="25" customWidth="1"/>
    <col min="14869" max="15105" width="11.44140625" style="25"/>
    <col min="15106" max="15107" width="1.44140625" style="25" customWidth="1"/>
    <col min="15108" max="15108" width="24.5546875" style="25" customWidth="1"/>
    <col min="15109" max="15109" width="15.5546875" style="25" customWidth="1"/>
    <col min="15110" max="15123" width="10.88671875" style="25" customWidth="1"/>
    <col min="15124" max="15124" width="3.88671875" style="25" customWidth="1"/>
    <col min="15125" max="15361" width="11.44140625" style="25"/>
    <col min="15362" max="15363" width="1.44140625" style="25" customWidth="1"/>
    <col min="15364" max="15364" width="24.5546875" style="25" customWidth="1"/>
    <col min="15365" max="15365" width="15.5546875" style="25" customWidth="1"/>
    <col min="15366" max="15379" width="10.88671875" style="25" customWidth="1"/>
    <col min="15380" max="15380" width="3.88671875" style="25" customWidth="1"/>
    <col min="15381" max="15617" width="11.44140625" style="25"/>
    <col min="15618" max="15619" width="1.44140625" style="25" customWidth="1"/>
    <col min="15620" max="15620" width="24.5546875" style="25" customWidth="1"/>
    <col min="15621" max="15621" width="15.5546875" style="25" customWidth="1"/>
    <col min="15622" max="15635" width="10.88671875" style="25" customWidth="1"/>
    <col min="15636" max="15636" width="3.88671875" style="25" customWidth="1"/>
    <col min="15637" max="15873" width="11.44140625" style="25"/>
    <col min="15874" max="15875" width="1.44140625" style="25" customWidth="1"/>
    <col min="15876" max="15876" width="24.5546875" style="25" customWidth="1"/>
    <col min="15877" max="15877" width="15.5546875" style="25" customWidth="1"/>
    <col min="15878" max="15891" width="10.88671875" style="25" customWidth="1"/>
    <col min="15892" max="15892" width="3.88671875" style="25" customWidth="1"/>
    <col min="15893" max="16129" width="11.44140625" style="25"/>
    <col min="16130" max="16131" width="1.44140625" style="25" customWidth="1"/>
    <col min="16132" max="16132" width="24.5546875" style="25" customWidth="1"/>
    <col min="16133" max="16133" width="15.5546875" style="25" customWidth="1"/>
    <col min="16134" max="16147" width="10.88671875" style="25" customWidth="1"/>
    <col min="16148" max="16148" width="3.88671875" style="25" customWidth="1"/>
    <col min="16149" max="16384" width="11.44140625" style="25"/>
  </cols>
  <sheetData>
    <row r="1" spans="1:50" s="2343" customFormat="1" ht="31.2" x14ac:dyDescent="0.25">
      <c r="B1" s="647" t="s">
        <v>1484</v>
      </c>
      <c r="C1" s="2344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</row>
    <row r="2" spans="1:50" s="2343" customFormat="1" ht="17.399999999999999" x14ac:dyDescent="0.25">
      <c r="B2" s="2345"/>
      <c r="C2" s="2346"/>
      <c r="D2" s="2346"/>
      <c r="E2" s="2346"/>
      <c r="F2" s="2346"/>
      <c r="G2" s="2346"/>
      <c r="H2" s="2346"/>
      <c r="I2" s="2346"/>
      <c r="J2" s="2346"/>
      <c r="K2" s="2346"/>
      <c r="L2" s="2346"/>
      <c r="M2" s="2346"/>
      <c r="N2" s="2346"/>
      <c r="O2" s="2346"/>
      <c r="P2" s="2346"/>
      <c r="Q2" s="2346"/>
      <c r="R2" s="2346"/>
      <c r="S2" s="2346"/>
      <c r="T2" s="2346"/>
    </row>
    <row r="3" spans="1:50" ht="15" customHeight="1" x14ac:dyDescent="0.25">
      <c r="A3" s="2343"/>
      <c r="B3" s="5727" t="s">
        <v>132</v>
      </c>
      <c r="C3" s="6046">
        <v>2001</v>
      </c>
      <c r="D3" s="6047"/>
      <c r="E3" s="6048">
        <v>2002</v>
      </c>
      <c r="F3" s="6048"/>
      <c r="G3" s="6049">
        <v>2003</v>
      </c>
      <c r="H3" s="6049"/>
      <c r="I3" s="6046">
        <v>2004</v>
      </c>
      <c r="J3" s="6047"/>
      <c r="K3" s="6049">
        <v>2005</v>
      </c>
      <c r="L3" s="6049"/>
      <c r="M3" s="6046">
        <v>2006</v>
      </c>
      <c r="N3" s="6047"/>
      <c r="O3" s="6046">
        <v>2007</v>
      </c>
      <c r="P3" s="6047"/>
      <c r="Q3" s="6046">
        <v>2008</v>
      </c>
      <c r="R3" s="6047"/>
      <c r="S3" s="6046">
        <v>2009</v>
      </c>
      <c r="T3" s="6047"/>
      <c r="U3" s="6046">
        <v>2010</v>
      </c>
      <c r="V3" s="6047"/>
      <c r="W3" s="6046">
        <v>2011</v>
      </c>
      <c r="X3" s="6047"/>
      <c r="Y3" s="6046">
        <v>2012</v>
      </c>
      <c r="Z3" s="6047"/>
      <c r="AA3" s="6046">
        <v>2013</v>
      </c>
      <c r="AB3" s="6047"/>
      <c r="AC3" s="6046">
        <v>2014</v>
      </c>
      <c r="AD3" s="6047"/>
      <c r="AE3" s="6046">
        <v>2015</v>
      </c>
      <c r="AF3" s="6047"/>
      <c r="AG3" s="6046">
        <v>2016</v>
      </c>
      <c r="AH3" s="6047"/>
      <c r="AI3" s="6046">
        <v>2017</v>
      </c>
      <c r="AJ3" s="6047"/>
      <c r="AK3" s="2251">
        <v>2018</v>
      </c>
      <c r="AL3" s="6044" t="s">
        <v>614</v>
      </c>
      <c r="AM3" s="6044"/>
      <c r="AN3" s="6045"/>
      <c r="AO3" s="6044" t="s">
        <v>615</v>
      </c>
      <c r="AP3" s="6044"/>
      <c r="AQ3" s="6045"/>
      <c r="AR3" s="6044" t="s">
        <v>616</v>
      </c>
      <c r="AS3" s="6044"/>
      <c r="AT3" s="6045"/>
    </row>
    <row r="4" spans="1:50" ht="15" customHeight="1" x14ac:dyDescent="0.25">
      <c r="A4" s="2343"/>
      <c r="B4" s="5728"/>
      <c r="C4" s="2252" t="s">
        <v>617</v>
      </c>
      <c r="D4" s="2253" t="s">
        <v>618</v>
      </c>
      <c r="E4" s="2252" t="s">
        <v>617</v>
      </c>
      <c r="F4" s="2253" t="s">
        <v>618</v>
      </c>
      <c r="G4" s="2252" t="s">
        <v>617</v>
      </c>
      <c r="H4" s="2253" t="s">
        <v>618</v>
      </c>
      <c r="I4" s="2252" t="s">
        <v>617</v>
      </c>
      <c r="J4" s="2253" t="s">
        <v>618</v>
      </c>
      <c r="K4" s="2252" t="s">
        <v>617</v>
      </c>
      <c r="L4" s="2253" t="s">
        <v>618</v>
      </c>
      <c r="M4" s="2252" t="s">
        <v>617</v>
      </c>
      <c r="N4" s="2253" t="s">
        <v>618</v>
      </c>
      <c r="O4" s="2252" t="s">
        <v>617</v>
      </c>
      <c r="P4" s="2253" t="s">
        <v>618</v>
      </c>
      <c r="Q4" s="2252" t="s">
        <v>617</v>
      </c>
      <c r="R4" s="2253" t="s">
        <v>618</v>
      </c>
      <c r="S4" s="2252" t="s">
        <v>617</v>
      </c>
      <c r="T4" s="2253" t="s">
        <v>618</v>
      </c>
      <c r="U4" s="2252" t="s">
        <v>617</v>
      </c>
      <c r="V4" s="2253" t="s">
        <v>618</v>
      </c>
      <c r="W4" s="2252" t="s">
        <v>617</v>
      </c>
      <c r="X4" s="2253" t="s">
        <v>618</v>
      </c>
      <c r="Y4" s="2252" t="s">
        <v>617</v>
      </c>
      <c r="Z4" s="2253" t="s">
        <v>618</v>
      </c>
      <c r="AA4" s="2252" t="s">
        <v>617</v>
      </c>
      <c r="AB4" s="2253" t="s">
        <v>618</v>
      </c>
      <c r="AC4" s="2252" t="s">
        <v>617</v>
      </c>
      <c r="AD4" s="2253" t="s">
        <v>618</v>
      </c>
      <c r="AE4" s="2252" t="s">
        <v>617</v>
      </c>
      <c r="AF4" s="2253" t="s">
        <v>618</v>
      </c>
      <c r="AG4" s="2252" t="s">
        <v>617</v>
      </c>
      <c r="AH4" s="2253" t="s">
        <v>618</v>
      </c>
      <c r="AI4" s="2252" t="s">
        <v>617</v>
      </c>
      <c r="AJ4" s="2253" t="s">
        <v>618</v>
      </c>
      <c r="AK4" s="2254" t="s">
        <v>617</v>
      </c>
      <c r="AL4" s="2347" t="s">
        <v>140</v>
      </c>
      <c r="AM4" s="2347" t="s">
        <v>141</v>
      </c>
      <c r="AN4" s="2257" t="s">
        <v>48</v>
      </c>
      <c r="AO4" s="2347" t="s">
        <v>140</v>
      </c>
      <c r="AP4" s="2347" t="s">
        <v>141</v>
      </c>
      <c r="AQ4" s="2257" t="s">
        <v>48</v>
      </c>
      <c r="AR4" s="2347" t="s">
        <v>140</v>
      </c>
      <c r="AS4" s="2347" t="s">
        <v>141</v>
      </c>
      <c r="AT4" s="2257" t="s">
        <v>48</v>
      </c>
    </row>
    <row r="5" spans="1:50" ht="15" customHeight="1" x14ac:dyDescent="0.25">
      <c r="A5" s="2343"/>
      <c r="B5" s="328"/>
      <c r="C5" s="328"/>
      <c r="D5" s="328"/>
      <c r="E5" s="328"/>
      <c r="F5" s="328"/>
      <c r="G5" s="328"/>
      <c r="H5" s="328"/>
      <c r="I5" s="328"/>
      <c r="J5" s="328"/>
      <c r="K5" s="328"/>
      <c r="L5" s="328"/>
      <c r="M5" s="328"/>
      <c r="N5" s="328"/>
      <c r="O5" s="328"/>
      <c r="P5" s="328"/>
      <c r="Q5" s="328"/>
      <c r="R5" s="328"/>
      <c r="S5" s="328"/>
      <c r="T5" s="328"/>
      <c r="U5" s="328"/>
      <c r="V5" s="328"/>
      <c r="W5" s="328"/>
      <c r="X5" s="328"/>
      <c r="Y5" s="328"/>
      <c r="Z5" s="328"/>
      <c r="AA5" s="328"/>
      <c r="AB5" s="328"/>
      <c r="AC5" s="328"/>
      <c r="AD5" s="328"/>
      <c r="AE5" s="328"/>
      <c r="AF5" s="328"/>
      <c r="AG5" s="328"/>
      <c r="AH5" s="328"/>
      <c r="AI5" s="328"/>
      <c r="AJ5" s="328"/>
      <c r="AK5" s="328"/>
      <c r="AL5" s="328"/>
      <c r="AO5" s="328"/>
      <c r="AR5" s="328"/>
    </row>
    <row r="6" spans="1:50" ht="15" customHeight="1" x14ac:dyDescent="0.25">
      <c r="A6" s="2343"/>
      <c r="B6" s="1334" t="s">
        <v>59</v>
      </c>
      <c r="C6" s="151">
        <v>23</v>
      </c>
      <c r="D6" s="152">
        <v>22</v>
      </c>
      <c r="E6" s="151">
        <v>86</v>
      </c>
      <c r="F6" s="152">
        <v>95</v>
      </c>
      <c r="G6" s="151">
        <v>110</v>
      </c>
      <c r="H6" s="152">
        <v>178</v>
      </c>
      <c r="I6" s="151">
        <v>197</v>
      </c>
      <c r="J6" s="395">
        <v>292</v>
      </c>
      <c r="K6" s="152">
        <v>190</v>
      </c>
      <c r="L6" s="395">
        <v>388</v>
      </c>
      <c r="M6" s="152">
        <v>341</v>
      </c>
      <c r="N6" s="395">
        <v>612</v>
      </c>
      <c r="O6" s="152">
        <v>568</v>
      </c>
      <c r="P6" s="395">
        <v>993</v>
      </c>
      <c r="Q6" s="152">
        <v>271</v>
      </c>
      <c r="R6" s="395">
        <v>918</v>
      </c>
      <c r="S6" s="152">
        <v>434</v>
      </c>
      <c r="T6" s="395">
        <v>853</v>
      </c>
      <c r="U6" s="152">
        <v>629</v>
      </c>
      <c r="V6" s="395">
        <v>1116</v>
      </c>
      <c r="W6" s="152">
        <v>636</v>
      </c>
      <c r="X6" s="395">
        <v>1433</v>
      </c>
      <c r="Y6" s="152">
        <v>412</v>
      </c>
      <c r="Z6" s="395">
        <v>1450</v>
      </c>
      <c r="AA6" s="151">
        <f>+'Manutención plan'!AA15</f>
        <v>450</v>
      </c>
      <c r="AB6" s="395">
        <f>+'Manutención plan'!AB15</f>
        <v>1318</v>
      </c>
      <c r="AC6" s="151">
        <f>+'Manutención plan'!AC15</f>
        <v>500</v>
      </c>
      <c r="AD6" s="395">
        <f>+'Manutención plan'!AD15</f>
        <v>1376</v>
      </c>
      <c r="AE6" s="151">
        <f>+'Manutención plan'!AE15</f>
        <v>397</v>
      </c>
      <c r="AF6" s="395">
        <f>+'Manutención plan'!AF15</f>
        <v>1295</v>
      </c>
      <c r="AG6" s="151">
        <f>+'Manutención plan'!AG15</f>
        <v>492</v>
      </c>
      <c r="AH6" s="395">
        <f>+'Manutención plan'!AH15</f>
        <v>1332</v>
      </c>
      <c r="AI6" s="151">
        <f>+'Manutención plan'!AI15</f>
        <v>503</v>
      </c>
      <c r="AJ6" s="395">
        <f>+'Manutención plan'!AJ15</f>
        <v>1451</v>
      </c>
      <c r="AK6" s="151">
        <f>+'Manutención plan'!AK15</f>
        <v>492</v>
      </c>
      <c r="AL6" s="2348">
        <f>+'Manutención plan'!AL15</f>
        <v>469</v>
      </c>
      <c r="AM6" s="152">
        <f>+'Manutención plan'!AM15</f>
        <v>940</v>
      </c>
      <c r="AN6" s="395">
        <f>SUM(AL6:AM6)</f>
        <v>1409</v>
      </c>
      <c r="AO6" s="2348">
        <f>+'Manutención plan'!AO15</f>
        <v>293</v>
      </c>
      <c r="AP6" s="152">
        <f>+'Manutención plan'!AP15</f>
        <v>523</v>
      </c>
      <c r="AQ6" s="395">
        <f>SUM(AO6:AP6)</f>
        <v>816</v>
      </c>
      <c r="AR6" s="2348">
        <f>+'Manutención plan'!AR15</f>
        <v>72</v>
      </c>
      <c r="AS6" s="152">
        <f>+'Manutención plan'!AS15</f>
        <v>121</v>
      </c>
      <c r="AT6" s="395">
        <f>SUM(AR6:AS6)</f>
        <v>193</v>
      </c>
      <c r="AU6" s="6050" t="s">
        <v>1615</v>
      </c>
      <c r="AV6" s="6050"/>
      <c r="AW6" s="5558"/>
    </row>
    <row r="7" spans="1:50" ht="15" customHeight="1" x14ac:dyDescent="0.25">
      <c r="A7" s="2343"/>
      <c r="B7" s="1336" t="s">
        <v>64</v>
      </c>
      <c r="C7" s="129">
        <v>20</v>
      </c>
      <c r="D7" s="130">
        <v>20</v>
      </c>
      <c r="E7" s="129">
        <v>116</v>
      </c>
      <c r="F7" s="130">
        <v>131</v>
      </c>
      <c r="G7" s="129">
        <v>130</v>
      </c>
      <c r="H7" s="130">
        <v>243</v>
      </c>
      <c r="I7" s="129">
        <v>107</v>
      </c>
      <c r="J7" s="396">
        <v>321</v>
      </c>
      <c r="K7" s="130">
        <v>178</v>
      </c>
      <c r="L7" s="396">
        <v>436</v>
      </c>
      <c r="M7" s="130">
        <v>324</v>
      </c>
      <c r="N7" s="396">
        <v>631</v>
      </c>
      <c r="O7" s="130">
        <v>251</v>
      </c>
      <c r="P7" s="396">
        <v>751</v>
      </c>
      <c r="Q7" s="130">
        <v>293</v>
      </c>
      <c r="R7" s="396">
        <v>803</v>
      </c>
      <c r="S7" s="130">
        <v>463</v>
      </c>
      <c r="T7" s="396">
        <v>989</v>
      </c>
      <c r="U7" s="130">
        <v>503</v>
      </c>
      <c r="V7" s="396">
        <v>1214</v>
      </c>
      <c r="W7" s="130">
        <v>512</v>
      </c>
      <c r="X7" s="396">
        <v>1455</v>
      </c>
      <c r="Y7" s="130">
        <v>544</v>
      </c>
      <c r="Z7" s="396">
        <v>1672</v>
      </c>
      <c r="AA7" s="129">
        <f>+'Manutención plan'!AA20</f>
        <v>533</v>
      </c>
      <c r="AB7" s="396">
        <f>+'Manutención plan'!AB20</f>
        <v>1727</v>
      </c>
      <c r="AC7" s="129">
        <f>+'Manutención plan'!AC20</f>
        <v>608</v>
      </c>
      <c r="AD7" s="396">
        <f>+'Manutención plan'!AD20</f>
        <v>1852</v>
      </c>
      <c r="AE7" s="129">
        <f>+'Manutención plan'!AE20</f>
        <v>548</v>
      </c>
      <c r="AF7" s="396">
        <f>+'Manutención plan'!AF20</f>
        <v>1891</v>
      </c>
      <c r="AG7" s="129">
        <f>+'Manutención plan'!AG20</f>
        <v>573</v>
      </c>
      <c r="AH7" s="396">
        <f>+'Manutención plan'!AH20</f>
        <v>1949</v>
      </c>
      <c r="AI7" s="129">
        <f>+'Manutención plan'!AI20</f>
        <v>601</v>
      </c>
      <c r="AJ7" s="396">
        <f>+'Manutención plan'!AJ20</f>
        <v>2023</v>
      </c>
      <c r="AK7" s="129">
        <f>+'Manutención plan'!AK20</f>
        <v>475</v>
      </c>
      <c r="AL7" s="2349">
        <f>+'Manutención plan'!AL20</f>
        <v>1215</v>
      </c>
      <c r="AM7" s="130">
        <f>+'Manutención plan'!AM20</f>
        <v>654</v>
      </c>
      <c r="AN7" s="396">
        <f>SUM(AL7:AM7)</f>
        <v>1869</v>
      </c>
      <c r="AO7" s="2349">
        <f>+'Manutención plan'!AO20</f>
        <v>803</v>
      </c>
      <c r="AP7" s="130">
        <f>+'Manutención plan'!AP20</f>
        <v>392</v>
      </c>
      <c r="AQ7" s="396">
        <f>SUM(AO7:AP7)</f>
        <v>1195</v>
      </c>
      <c r="AR7" s="2349">
        <f>+'Manutención plan'!AR20</f>
        <v>89</v>
      </c>
      <c r="AS7" s="130">
        <f>+'Manutención plan'!AS20</f>
        <v>42</v>
      </c>
      <c r="AT7" s="396">
        <f>SUM(AR7:AS7)</f>
        <v>131</v>
      </c>
      <c r="AU7" s="6050"/>
      <c r="AV7" s="6050"/>
      <c r="AW7" s="5558"/>
    </row>
    <row r="8" spans="1:50" ht="15" customHeight="1" x14ac:dyDescent="0.25">
      <c r="A8" s="2343"/>
      <c r="B8" s="1336" t="s">
        <v>68</v>
      </c>
      <c r="C8" s="129">
        <v>10</v>
      </c>
      <c r="D8" s="130">
        <v>9</v>
      </c>
      <c r="E8" s="129">
        <v>66</v>
      </c>
      <c r="F8" s="130">
        <v>73</v>
      </c>
      <c r="G8" s="129">
        <v>77</v>
      </c>
      <c r="H8" s="130">
        <v>137</v>
      </c>
      <c r="I8" s="129">
        <v>82</v>
      </c>
      <c r="J8" s="396">
        <v>198</v>
      </c>
      <c r="K8" s="130">
        <v>122</v>
      </c>
      <c r="L8" s="396">
        <v>268</v>
      </c>
      <c r="M8" s="130">
        <v>184</v>
      </c>
      <c r="N8" s="396">
        <v>402</v>
      </c>
      <c r="O8" s="130">
        <v>160</v>
      </c>
      <c r="P8" s="396">
        <v>487</v>
      </c>
      <c r="Q8" s="130">
        <v>184</v>
      </c>
      <c r="R8" s="396">
        <v>513</v>
      </c>
      <c r="S8" s="130">
        <v>203</v>
      </c>
      <c r="T8" s="396">
        <v>539</v>
      </c>
      <c r="U8" s="130">
        <v>213</v>
      </c>
      <c r="V8" s="396">
        <v>585</v>
      </c>
      <c r="W8" s="130">
        <v>205</v>
      </c>
      <c r="X8" s="396">
        <v>635</v>
      </c>
      <c r="Y8" s="130">
        <v>210</v>
      </c>
      <c r="Z8" s="396">
        <v>666</v>
      </c>
      <c r="AA8" s="129">
        <f>+'Manutención plan'!AA24</f>
        <v>217</v>
      </c>
      <c r="AB8" s="396">
        <f>+'Manutención plan'!AB24</f>
        <v>697</v>
      </c>
      <c r="AC8" s="129">
        <f>+'Manutención plan'!AC24</f>
        <v>244</v>
      </c>
      <c r="AD8" s="396">
        <f>+'Manutención plan'!AD24</f>
        <v>736</v>
      </c>
      <c r="AE8" s="129">
        <f>+'Manutención plan'!AE24</f>
        <v>275</v>
      </c>
      <c r="AF8" s="396">
        <f>+'Manutención plan'!AF24</f>
        <v>808</v>
      </c>
      <c r="AG8" s="129">
        <f>+'Manutención plan'!AG24</f>
        <v>274</v>
      </c>
      <c r="AH8" s="396">
        <f>+'Manutención plan'!AH24</f>
        <v>866</v>
      </c>
      <c r="AI8" s="129">
        <f>+'Manutención plan'!AI24</f>
        <v>324</v>
      </c>
      <c r="AJ8" s="396">
        <f>+'Manutención plan'!AJ24</f>
        <v>965</v>
      </c>
      <c r="AK8" s="129">
        <f>+'Manutención plan'!AK24</f>
        <v>341</v>
      </c>
      <c r="AL8" s="2349">
        <f>+'Manutención plan'!AL24</f>
        <v>590</v>
      </c>
      <c r="AM8" s="130">
        <f>+'Manutención plan'!AM24</f>
        <v>445</v>
      </c>
      <c r="AN8" s="396">
        <f>SUM(AL8:AM8)</f>
        <v>1035</v>
      </c>
      <c r="AO8" s="2349">
        <f>+'Manutención plan'!AO24</f>
        <v>443</v>
      </c>
      <c r="AP8" s="130">
        <f>+'Manutención plan'!AP24</f>
        <v>298</v>
      </c>
      <c r="AQ8" s="396">
        <f>SUM(AO8:AP8)</f>
        <v>741</v>
      </c>
      <c r="AR8" s="2349">
        <f>+'Manutención plan'!AR24</f>
        <v>26</v>
      </c>
      <c r="AS8" s="130">
        <f>+'Manutención plan'!AS24</f>
        <v>25</v>
      </c>
      <c r="AT8" s="396">
        <f>SUM(AR8:AS8)</f>
        <v>51</v>
      </c>
      <c r="AU8" s="6050"/>
      <c r="AV8" s="6050"/>
      <c r="AW8" s="5558"/>
    </row>
    <row r="9" spans="1:50" ht="15" customHeight="1" x14ac:dyDescent="0.25">
      <c r="A9" s="2343"/>
      <c r="B9" s="2350" t="s">
        <v>138</v>
      </c>
      <c r="C9" s="158">
        <f>SUM(C6:C8)</f>
        <v>53</v>
      </c>
      <c r="D9" s="159">
        <f>SUM(D6:D8)</f>
        <v>51</v>
      </c>
      <c r="E9" s="158">
        <f>SUM(E6:E8)</f>
        <v>268</v>
      </c>
      <c r="F9" s="159">
        <f>SUM(F6:F8)</f>
        <v>299</v>
      </c>
      <c r="G9" s="158">
        <v>317</v>
      </c>
      <c r="H9" s="159">
        <v>558</v>
      </c>
      <c r="I9" s="158">
        <v>386</v>
      </c>
      <c r="J9" s="160">
        <v>811</v>
      </c>
      <c r="K9" s="159">
        <v>490</v>
      </c>
      <c r="L9" s="160">
        <v>1092</v>
      </c>
      <c r="M9" s="159">
        <v>849</v>
      </c>
      <c r="N9" s="160">
        <v>1645</v>
      </c>
      <c r="O9" s="159">
        <v>979</v>
      </c>
      <c r="P9" s="160">
        <v>2231</v>
      </c>
      <c r="Q9" s="159">
        <v>748</v>
      </c>
      <c r="R9" s="160">
        <v>2234</v>
      </c>
      <c r="S9" s="159">
        <v>1100</v>
      </c>
      <c r="T9" s="160">
        <v>2381</v>
      </c>
      <c r="U9" s="159">
        <f t="shared" ref="U9:AT9" si="0">SUM(U6:U8)</f>
        <v>1345</v>
      </c>
      <c r="V9" s="160">
        <f t="shared" si="0"/>
        <v>2915</v>
      </c>
      <c r="W9" s="159">
        <f t="shared" si="0"/>
        <v>1353</v>
      </c>
      <c r="X9" s="160">
        <f t="shared" si="0"/>
        <v>3523</v>
      </c>
      <c r="Y9" s="159">
        <f t="shared" si="0"/>
        <v>1166</v>
      </c>
      <c r="Z9" s="160">
        <f t="shared" si="0"/>
        <v>3788</v>
      </c>
      <c r="AA9" s="158">
        <f t="shared" si="0"/>
        <v>1200</v>
      </c>
      <c r="AB9" s="160">
        <f t="shared" si="0"/>
        <v>3742</v>
      </c>
      <c r="AC9" s="158">
        <f t="shared" si="0"/>
        <v>1352</v>
      </c>
      <c r="AD9" s="160">
        <f t="shared" si="0"/>
        <v>3964</v>
      </c>
      <c r="AE9" s="158">
        <f t="shared" si="0"/>
        <v>1220</v>
      </c>
      <c r="AF9" s="160">
        <f t="shared" si="0"/>
        <v>3994</v>
      </c>
      <c r="AG9" s="158">
        <f t="shared" si="0"/>
        <v>1339</v>
      </c>
      <c r="AH9" s="160">
        <f t="shared" si="0"/>
        <v>4147</v>
      </c>
      <c r="AI9" s="158">
        <f t="shared" si="0"/>
        <v>1428</v>
      </c>
      <c r="AJ9" s="160">
        <f t="shared" si="0"/>
        <v>4439</v>
      </c>
      <c r="AK9" s="158">
        <f t="shared" si="0"/>
        <v>1308</v>
      </c>
      <c r="AL9" s="2351">
        <f t="shared" si="0"/>
        <v>2274</v>
      </c>
      <c r="AM9" s="159">
        <f t="shared" si="0"/>
        <v>2039</v>
      </c>
      <c r="AN9" s="160">
        <f t="shared" si="0"/>
        <v>4313</v>
      </c>
      <c r="AO9" s="2351">
        <f t="shared" si="0"/>
        <v>1539</v>
      </c>
      <c r="AP9" s="159">
        <f t="shared" si="0"/>
        <v>1213</v>
      </c>
      <c r="AQ9" s="160">
        <f t="shared" si="0"/>
        <v>2752</v>
      </c>
      <c r="AR9" s="2351">
        <f t="shared" si="0"/>
        <v>187</v>
      </c>
      <c r="AS9" s="159">
        <f t="shared" si="0"/>
        <v>188</v>
      </c>
      <c r="AT9" s="160">
        <f t="shared" si="0"/>
        <v>375</v>
      </c>
      <c r="AU9" s="6050"/>
      <c r="AV9" s="6050"/>
      <c r="AW9" s="5558"/>
    </row>
    <row r="10" spans="1:50" ht="15" customHeight="1" x14ac:dyDescent="0.25">
      <c r="A10" s="2343"/>
      <c r="C10" s="1451"/>
      <c r="D10" s="1451"/>
      <c r="E10" s="1451"/>
      <c r="F10" s="1451"/>
      <c r="G10" s="1451"/>
      <c r="H10" s="1451"/>
      <c r="I10" s="1451"/>
      <c r="J10" s="1451"/>
      <c r="K10" s="1451"/>
      <c r="L10" s="1451"/>
      <c r="M10" s="1451"/>
      <c r="N10" s="1451"/>
      <c r="O10" s="1451"/>
      <c r="P10" s="1451"/>
      <c r="Q10" s="1451"/>
      <c r="R10" s="1451"/>
      <c r="S10" s="1451"/>
      <c r="T10" s="1451"/>
      <c r="U10" s="1451"/>
      <c r="V10" s="1451"/>
      <c r="W10" s="1451"/>
      <c r="X10" s="1451"/>
      <c r="Y10" s="1451"/>
      <c r="Z10" s="1451"/>
      <c r="AA10" s="1451"/>
      <c r="AB10" s="1451"/>
      <c r="AC10" s="1451"/>
      <c r="AD10" s="1451"/>
      <c r="AE10" s="1451"/>
      <c r="AF10" s="1451"/>
      <c r="AG10" s="1451"/>
      <c r="AH10" s="1451"/>
      <c r="AI10" s="1451"/>
      <c r="AJ10" s="1451"/>
      <c r="AK10" s="1451"/>
      <c r="AL10" s="1451"/>
      <c r="AM10" s="1451"/>
      <c r="AN10" s="1451"/>
      <c r="AO10" s="1451"/>
      <c r="AP10" s="1451"/>
      <c r="AQ10" s="1451"/>
      <c r="AR10" s="1451"/>
      <c r="AS10" s="1451"/>
      <c r="AT10" s="1451"/>
      <c r="AU10" s="6050"/>
      <c r="AV10" s="6050"/>
      <c r="AW10" s="5558"/>
    </row>
    <row r="11" spans="1:50" ht="15" customHeight="1" x14ac:dyDescent="0.25">
      <c r="A11" s="2343"/>
      <c r="B11" s="1334" t="s">
        <v>64</v>
      </c>
      <c r="C11" s="151"/>
      <c r="D11" s="152"/>
      <c r="E11" s="151"/>
      <c r="F11" s="152"/>
      <c r="G11" s="151"/>
      <c r="H11" s="152"/>
      <c r="I11" s="151"/>
      <c r="J11" s="395"/>
      <c r="K11" s="152">
        <v>16</v>
      </c>
      <c r="L11" s="395">
        <v>16</v>
      </c>
      <c r="M11" s="152">
        <v>38</v>
      </c>
      <c r="N11" s="395">
        <v>54</v>
      </c>
      <c r="O11" s="152">
        <v>36</v>
      </c>
      <c r="P11" s="395">
        <v>87</v>
      </c>
      <c r="Q11" s="152">
        <v>35</v>
      </c>
      <c r="R11" s="395">
        <v>107</v>
      </c>
      <c r="S11" s="152">
        <v>22</v>
      </c>
      <c r="T11" s="395">
        <v>116</v>
      </c>
      <c r="U11" s="152">
        <v>51</v>
      </c>
      <c r="V11" s="395">
        <v>117</v>
      </c>
      <c r="W11" s="152">
        <v>42</v>
      </c>
      <c r="X11" s="395">
        <v>128</v>
      </c>
      <c r="Y11" s="152">
        <v>27</v>
      </c>
      <c r="Z11" s="395">
        <v>114</v>
      </c>
      <c r="AA11" s="151">
        <f>+'Manutención plan'!AA83</f>
        <v>40</v>
      </c>
      <c r="AB11" s="395">
        <f>+'Manutención plan'!AB83</f>
        <v>118</v>
      </c>
      <c r="AC11" s="151">
        <f>+'Manutención plan'!AC83</f>
        <v>98</v>
      </c>
      <c r="AD11" s="395">
        <f>+'Manutención plan'!AD83</f>
        <v>177</v>
      </c>
      <c r="AE11" s="151">
        <f>+'Manutención plan'!AE83</f>
        <v>111</v>
      </c>
      <c r="AF11" s="395">
        <f>+'Manutención plan'!AF83</f>
        <v>254</v>
      </c>
      <c r="AG11" s="151">
        <f>+'Manutención plan'!AG83</f>
        <v>125</v>
      </c>
      <c r="AH11" s="395">
        <f>+'Manutención plan'!AH83</f>
        <v>319</v>
      </c>
      <c r="AI11" s="151">
        <f>+'Manutención plan'!AI83</f>
        <v>130</v>
      </c>
      <c r="AJ11" s="395">
        <f>+'Manutención plan'!AJ83</f>
        <v>382</v>
      </c>
      <c r="AK11" s="151">
        <f>+'Manutención plan'!AK83</f>
        <v>119</v>
      </c>
      <c r="AL11" s="2348">
        <f>+'Manutención plan'!AL83</f>
        <v>232</v>
      </c>
      <c r="AM11" s="152">
        <f>+'Manutención plan'!AM83</f>
        <v>169</v>
      </c>
      <c r="AN11" s="395">
        <f>SUM(AL11:AM11)</f>
        <v>401</v>
      </c>
      <c r="AO11" s="2348">
        <f>+'Manutención plan'!AO83</f>
        <v>161</v>
      </c>
      <c r="AP11" s="152">
        <f>+'Manutención plan'!AP83</f>
        <v>125</v>
      </c>
      <c r="AQ11" s="395">
        <f>SUM(AO11:AP11)</f>
        <v>286</v>
      </c>
      <c r="AR11" s="2348">
        <f>+'Manutención plan'!AR83</f>
        <v>15</v>
      </c>
      <c r="AS11" s="152">
        <f>+'Manutención plan'!AS83</f>
        <v>9</v>
      </c>
      <c r="AT11" s="395">
        <f>SUM(AR11:AS11)</f>
        <v>24</v>
      </c>
      <c r="AU11" s="6050"/>
      <c r="AV11" s="6050"/>
      <c r="AW11" s="5558"/>
    </row>
    <row r="12" spans="1:50" ht="15" customHeight="1" x14ac:dyDescent="0.25">
      <c r="A12" s="2343"/>
      <c r="B12" s="1336" t="s">
        <v>111</v>
      </c>
      <c r="C12" s="129"/>
      <c r="D12" s="130"/>
      <c r="E12" s="129"/>
      <c r="F12" s="130"/>
      <c r="G12" s="129"/>
      <c r="H12" s="130"/>
      <c r="I12" s="129"/>
      <c r="J12" s="396"/>
      <c r="K12" s="130">
        <v>4</v>
      </c>
      <c r="L12" s="396">
        <v>4</v>
      </c>
      <c r="M12" s="130">
        <v>19</v>
      </c>
      <c r="N12" s="396">
        <v>23</v>
      </c>
      <c r="O12" s="130">
        <v>24</v>
      </c>
      <c r="P12" s="396">
        <v>46</v>
      </c>
      <c r="Q12" s="130">
        <v>39</v>
      </c>
      <c r="R12" s="396">
        <v>78</v>
      </c>
      <c r="S12" s="130">
        <v>34</v>
      </c>
      <c r="T12" s="396">
        <v>105</v>
      </c>
      <c r="U12" s="130">
        <v>42</v>
      </c>
      <c r="V12" s="396">
        <v>121</v>
      </c>
      <c r="W12" s="130">
        <v>57</v>
      </c>
      <c r="X12" s="396">
        <v>142</v>
      </c>
      <c r="Y12" s="130">
        <v>40</v>
      </c>
      <c r="Z12" s="396">
        <v>130</v>
      </c>
      <c r="AA12" s="129">
        <f>+'Manutención plan'!AA87</f>
        <v>57</v>
      </c>
      <c r="AB12" s="396">
        <f>+'Manutención plan'!AB87</f>
        <v>137</v>
      </c>
      <c r="AC12" s="129">
        <f>+'Manutención plan'!AC87</f>
        <v>76</v>
      </c>
      <c r="AD12" s="396">
        <f>+'Manutención plan'!AD87</f>
        <v>188</v>
      </c>
      <c r="AE12" s="129">
        <f>+'Manutención plan'!AE87</f>
        <v>65</v>
      </c>
      <c r="AF12" s="396">
        <f>+'Manutención plan'!AF87</f>
        <v>193</v>
      </c>
      <c r="AG12" s="129">
        <f>+'Manutención plan'!AG87</f>
        <v>107</v>
      </c>
      <c r="AH12" s="396">
        <f>+'Manutención plan'!AH87</f>
        <v>257</v>
      </c>
      <c r="AI12" s="129">
        <f>+'Manutención plan'!AI87</f>
        <v>122</v>
      </c>
      <c r="AJ12" s="396">
        <f>+'Manutención plan'!AJ87</f>
        <v>315</v>
      </c>
      <c r="AK12" s="129">
        <f>+'Manutención plan'!AK87</f>
        <v>110</v>
      </c>
      <c r="AL12" s="2349">
        <f>+'Manutención plan'!AL87</f>
        <v>178</v>
      </c>
      <c r="AM12" s="130">
        <f>+'Manutención plan'!AM87</f>
        <v>174</v>
      </c>
      <c r="AN12" s="396">
        <f>SUM(AL12:AM12)</f>
        <v>352</v>
      </c>
      <c r="AO12" s="2349">
        <f>+'Manutención plan'!AO87</f>
        <v>117</v>
      </c>
      <c r="AP12" s="130">
        <f>+'Manutención plan'!AP87</f>
        <v>101</v>
      </c>
      <c r="AQ12" s="396">
        <f>SUM(AO12:AP12)</f>
        <v>218</v>
      </c>
      <c r="AR12" s="2349">
        <f>+'Manutención plan'!AR87</f>
        <v>6</v>
      </c>
      <c r="AS12" s="130">
        <f>+'Manutención plan'!AS87</f>
        <v>11</v>
      </c>
      <c r="AT12" s="396">
        <f>SUM(AR12:AS12)</f>
        <v>17</v>
      </c>
      <c r="AU12" s="6050"/>
      <c r="AV12" s="6050"/>
      <c r="AW12" s="5558"/>
    </row>
    <row r="13" spans="1:50" ht="15" customHeight="1" x14ac:dyDescent="0.25">
      <c r="A13" s="2343"/>
      <c r="B13" s="1336" t="s">
        <v>115</v>
      </c>
      <c r="C13" s="129"/>
      <c r="D13" s="130"/>
      <c r="E13" s="129"/>
      <c r="F13" s="130"/>
      <c r="G13" s="129"/>
      <c r="H13" s="130"/>
      <c r="I13" s="129"/>
      <c r="J13" s="396"/>
      <c r="K13" s="130">
        <v>8</v>
      </c>
      <c r="L13" s="396">
        <v>8</v>
      </c>
      <c r="M13" s="130">
        <v>14</v>
      </c>
      <c r="N13" s="396">
        <v>22</v>
      </c>
      <c r="O13" s="130">
        <v>12</v>
      </c>
      <c r="P13" s="396">
        <v>29</v>
      </c>
      <c r="Q13" s="130">
        <v>18</v>
      </c>
      <c r="R13" s="396">
        <v>40</v>
      </c>
      <c r="S13" s="130">
        <v>15</v>
      </c>
      <c r="T13" s="396">
        <v>42</v>
      </c>
      <c r="U13" s="130">
        <v>21</v>
      </c>
      <c r="V13" s="396">
        <v>45</v>
      </c>
      <c r="W13" s="130">
        <v>37</v>
      </c>
      <c r="X13" s="396">
        <v>69</v>
      </c>
      <c r="Y13" s="130">
        <v>21</v>
      </c>
      <c r="Z13" s="396">
        <v>67</v>
      </c>
      <c r="AA13" s="129">
        <f>+'Manutención plan'!AA92</f>
        <v>39</v>
      </c>
      <c r="AB13" s="396">
        <f>+'Manutención plan'!AB92</f>
        <v>71</v>
      </c>
      <c r="AC13" s="129">
        <f>+'Manutención plan'!AC92</f>
        <v>81</v>
      </c>
      <c r="AD13" s="396">
        <f>+'Manutención plan'!AD92</f>
        <v>132</v>
      </c>
      <c r="AE13" s="129">
        <f>+'Manutención plan'!AE92</f>
        <v>70</v>
      </c>
      <c r="AF13" s="396">
        <f>+'Manutención plan'!AF92</f>
        <v>167</v>
      </c>
      <c r="AG13" s="129">
        <f>+'Manutención plan'!AG92</f>
        <v>74</v>
      </c>
      <c r="AH13" s="396">
        <f>+'Manutención plan'!AH92</f>
        <v>169</v>
      </c>
      <c r="AI13" s="129">
        <f>+'Manutención plan'!AI92</f>
        <v>98</v>
      </c>
      <c r="AJ13" s="396">
        <f>+'Manutención plan'!AJ92</f>
        <v>225</v>
      </c>
      <c r="AK13" s="129">
        <f>+'Manutención plan'!AK92</f>
        <v>92</v>
      </c>
      <c r="AL13" s="2349">
        <f>+'Manutención plan'!AL92</f>
        <v>115</v>
      </c>
      <c r="AM13" s="130">
        <f>+'Manutención plan'!AM92</f>
        <v>129</v>
      </c>
      <c r="AN13" s="396">
        <f>SUM(AL13:AM13)</f>
        <v>244</v>
      </c>
      <c r="AO13" s="2349">
        <f>+'Manutención plan'!AO92</f>
        <v>69</v>
      </c>
      <c r="AP13" s="130">
        <f>+'Manutención plan'!AP92</f>
        <v>86</v>
      </c>
      <c r="AQ13" s="396">
        <f>SUM(AO13:AP13)</f>
        <v>155</v>
      </c>
      <c r="AR13" s="2349">
        <f>+'Manutención plan'!AR92</f>
        <v>13</v>
      </c>
      <c r="AS13" s="130">
        <f>+'Manutención plan'!AS92</f>
        <v>14</v>
      </c>
      <c r="AT13" s="396">
        <f>SUM(AR13:AS13)</f>
        <v>27</v>
      </c>
      <c r="AU13" s="6050"/>
      <c r="AV13" s="6050"/>
      <c r="AW13" s="5558"/>
    </row>
    <row r="14" spans="1:50" ht="15" customHeight="1" x14ac:dyDescent="0.25">
      <c r="A14" s="2343"/>
      <c r="B14" s="2352" t="s">
        <v>134</v>
      </c>
      <c r="C14" s="167"/>
      <c r="D14" s="168"/>
      <c r="E14" s="167"/>
      <c r="F14" s="168"/>
      <c r="G14" s="167"/>
      <c r="H14" s="168"/>
      <c r="I14" s="167"/>
      <c r="J14" s="169"/>
      <c r="K14" s="168">
        <v>28</v>
      </c>
      <c r="L14" s="169">
        <v>28</v>
      </c>
      <c r="M14" s="168">
        <v>71</v>
      </c>
      <c r="N14" s="169">
        <v>99</v>
      </c>
      <c r="O14" s="168">
        <v>72</v>
      </c>
      <c r="P14" s="169">
        <v>162</v>
      </c>
      <c r="Q14" s="168">
        <v>92</v>
      </c>
      <c r="R14" s="169">
        <v>225</v>
      </c>
      <c r="S14" s="168">
        <v>71</v>
      </c>
      <c r="T14" s="169">
        <v>263</v>
      </c>
      <c r="U14" s="168">
        <f t="shared" ref="U14:AT14" si="1">SUM(U11:U13)</f>
        <v>114</v>
      </c>
      <c r="V14" s="169">
        <f t="shared" si="1"/>
        <v>283</v>
      </c>
      <c r="W14" s="168">
        <f t="shared" si="1"/>
        <v>136</v>
      </c>
      <c r="X14" s="169">
        <f t="shared" si="1"/>
        <v>339</v>
      </c>
      <c r="Y14" s="168">
        <f t="shared" si="1"/>
        <v>88</v>
      </c>
      <c r="Z14" s="169">
        <f t="shared" si="1"/>
        <v>311</v>
      </c>
      <c r="AA14" s="167">
        <f t="shared" si="1"/>
        <v>136</v>
      </c>
      <c r="AB14" s="169">
        <f t="shared" si="1"/>
        <v>326</v>
      </c>
      <c r="AC14" s="167">
        <f t="shared" si="1"/>
        <v>255</v>
      </c>
      <c r="AD14" s="169">
        <f t="shared" si="1"/>
        <v>497</v>
      </c>
      <c r="AE14" s="167">
        <f t="shared" si="1"/>
        <v>246</v>
      </c>
      <c r="AF14" s="169">
        <f t="shared" si="1"/>
        <v>614</v>
      </c>
      <c r="AG14" s="167">
        <f t="shared" si="1"/>
        <v>306</v>
      </c>
      <c r="AH14" s="169">
        <f t="shared" si="1"/>
        <v>745</v>
      </c>
      <c r="AI14" s="167">
        <f t="shared" si="1"/>
        <v>350</v>
      </c>
      <c r="AJ14" s="169">
        <f t="shared" si="1"/>
        <v>922</v>
      </c>
      <c r="AK14" s="167">
        <f t="shared" si="1"/>
        <v>321</v>
      </c>
      <c r="AL14" s="2353">
        <f t="shared" si="1"/>
        <v>525</v>
      </c>
      <c r="AM14" s="168">
        <f t="shared" si="1"/>
        <v>472</v>
      </c>
      <c r="AN14" s="169">
        <f t="shared" si="1"/>
        <v>997</v>
      </c>
      <c r="AO14" s="2353">
        <f t="shared" si="1"/>
        <v>347</v>
      </c>
      <c r="AP14" s="168">
        <f t="shared" si="1"/>
        <v>312</v>
      </c>
      <c r="AQ14" s="169">
        <f t="shared" si="1"/>
        <v>659</v>
      </c>
      <c r="AR14" s="2353">
        <f t="shared" si="1"/>
        <v>34</v>
      </c>
      <c r="AS14" s="168">
        <f t="shared" si="1"/>
        <v>34</v>
      </c>
      <c r="AT14" s="169">
        <f t="shared" si="1"/>
        <v>68</v>
      </c>
      <c r="AU14" s="6050"/>
      <c r="AV14" s="6050"/>
      <c r="AW14" s="5558"/>
    </row>
    <row r="15" spans="1:50" ht="15" customHeight="1" x14ac:dyDescent="0.25">
      <c r="A15" s="2343"/>
      <c r="B15" s="2354"/>
      <c r="C15" s="2355"/>
      <c r="D15" s="2355"/>
      <c r="E15" s="2355"/>
      <c r="F15" s="2355"/>
      <c r="G15" s="2355"/>
      <c r="H15" s="2355"/>
      <c r="I15" s="2355"/>
      <c r="J15" s="2355"/>
      <c r="K15" s="2355"/>
      <c r="L15" s="2355"/>
      <c r="M15" s="2355"/>
      <c r="N15" s="2355"/>
      <c r="O15" s="2355"/>
      <c r="P15" s="2355"/>
      <c r="Q15" s="2355"/>
      <c r="R15" s="2355"/>
      <c r="S15" s="2355"/>
      <c r="T15" s="2355"/>
      <c r="U15" s="2355"/>
      <c r="V15" s="2355"/>
      <c r="W15" s="2355"/>
      <c r="X15" s="2355"/>
      <c r="Y15" s="2355"/>
      <c r="Z15" s="2355"/>
      <c r="AA15" s="2355"/>
      <c r="AB15" s="2355"/>
      <c r="AC15" s="2355"/>
      <c r="AD15" s="2355"/>
      <c r="AE15" s="2355"/>
      <c r="AF15" s="2355"/>
      <c r="AG15" s="2355"/>
      <c r="AH15" s="2355"/>
      <c r="AI15" s="1451"/>
      <c r="AJ15" s="1451"/>
      <c r="AK15" s="1451"/>
      <c r="AL15" s="1451"/>
      <c r="AM15" s="1451"/>
      <c r="AN15" s="1451"/>
      <c r="AO15" s="1451"/>
      <c r="AP15" s="1451"/>
      <c r="AQ15" s="1451"/>
      <c r="AR15" s="1451"/>
      <c r="AS15" s="1451"/>
      <c r="AT15" s="1451"/>
      <c r="AU15" s="6050"/>
      <c r="AV15" s="6050"/>
      <c r="AW15" s="4537"/>
      <c r="AX15" s="4537"/>
    </row>
    <row r="16" spans="1:50" ht="15" customHeight="1" x14ac:dyDescent="0.25">
      <c r="A16" s="2343"/>
      <c r="B16" s="1336" t="s">
        <v>59</v>
      </c>
      <c r="C16" s="151">
        <v>18</v>
      </c>
      <c r="D16" s="152">
        <v>18</v>
      </c>
      <c r="E16" s="151">
        <v>70</v>
      </c>
      <c r="F16" s="152">
        <v>81</v>
      </c>
      <c r="G16" s="129">
        <v>89</v>
      </c>
      <c r="H16" s="130">
        <v>153</v>
      </c>
      <c r="I16" s="129">
        <v>108</v>
      </c>
      <c r="J16" s="396">
        <v>211</v>
      </c>
      <c r="K16" s="130">
        <v>144</v>
      </c>
      <c r="L16" s="396">
        <v>282</v>
      </c>
      <c r="M16" s="130">
        <v>254</v>
      </c>
      <c r="N16" s="396">
        <v>412</v>
      </c>
      <c r="O16" s="130">
        <v>197</v>
      </c>
      <c r="P16" s="396">
        <v>470</v>
      </c>
      <c r="Q16" s="130">
        <v>180</v>
      </c>
      <c r="R16" s="396">
        <v>428</v>
      </c>
      <c r="S16" s="130">
        <v>164</v>
      </c>
      <c r="T16" s="396">
        <v>389</v>
      </c>
      <c r="U16" s="130">
        <v>321</v>
      </c>
      <c r="V16" s="396">
        <v>520</v>
      </c>
      <c r="W16" s="130">
        <v>366</v>
      </c>
      <c r="X16" s="396">
        <v>706</v>
      </c>
      <c r="Y16" s="130">
        <v>284</v>
      </c>
      <c r="Z16" s="396">
        <v>669</v>
      </c>
      <c r="AA16" s="151">
        <f>+'Manutención plan'!AA36</f>
        <v>414</v>
      </c>
      <c r="AB16" s="395">
        <f>+'Manutención plan'!AB36</f>
        <v>832</v>
      </c>
      <c r="AC16" s="151">
        <f>+'Manutención plan'!AC36</f>
        <v>391</v>
      </c>
      <c r="AD16" s="395">
        <f>+'Manutención plan'!AD36</f>
        <v>956</v>
      </c>
      <c r="AE16" s="151">
        <f>+'Manutención plan'!AE36</f>
        <v>264</v>
      </c>
      <c r="AF16" s="395">
        <f>+'Manutención plan'!AF36</f>
        <v>894</v>
      </c>
      <c r="AG16" s="151">
        <f>+'Manutención plan'!AG36</f>
        <v>355</v>
      </c>
      <c r="AH16" s="395">
        <f>+'Manutención plan'!AH36</f>
        <v>869</v>
      </c>
      <c r="AI16" s="151">
        <f>+'Manutención plan'!AI36</f>
        <v>332</v>
      </c>
      <c r="AJ16" s="395">
        <f>+'Manutención plan'!AJ36</f>
        <v>881</v>
      </c>
      <c r="AK16" s="151">
        <f>+'Manutención plan'!AK36</f>
        <v>283</v>
      </c>
      <c r="AL16" s="2348">
        <f>+'Manutención plan'!AL36</f>
        <v>284</v>
      </c>
      <c r="AM16" s="152">
        <f>+'Manutención plan'!AM36</f>
        <v>496</v>
      </c>
      <c r="AN16" s="395">
        <f>SUM(AL16:AM16)</f>
        <v>780</v>
      </c>
      <c r="AO16" s="2348">
        <f>+'Manutención plan'!AO36</f>
        <v>169</v>
      </c>
      <c r="AP16" s="152">
        <f>+'Manutención plan'!AP36</f>
        <v>303</v>
      </c>
      <c r="AQ16" s="395">
        <f>SUM(AO16:AP16)</f>
        <v>472</v>
      </c>
      <c r="AR16" s="2348">
        <f>+'Manutención plan'!AR36</f>
        <v>51</v>
      </c>
      <c r="AS16" s="152">
        <f>+'Manutención plan'!AS36</f>
        <v>82</v>
      </c>
      <c r="AT16" s="395">
        <f>SUM(AR16:AS16)</f>
        <v>133</v>
      </c>
      <c r="AV16" s="4537"/>
      <c r="AW16" s="4537"/>
      <c r="AX16" s="4537"/>
    </row>
    <row r="17" spans="1:46" ht="15" customHeight="1" x14ac:dyDescent="0.25">
      <c r="A17" s="2343"/>
      <c r="B17" s="1336" t="s">
        <v>64</v>
      </c>
      <c r="C17" s="129">
        <v>35</v>
      </c>
      <c r="D17" s="130">
        <v>34</v>
      </c>
      <c r="E17" s="129">
        <v>129</v>
      </c>
      <c r="F17" s="130">
        <v>157</v>
      </c>
      <c r="G17" s="129">
        <v>139</v>
      </c>
      <c r="H17" s="130">
        <v>267</v>
      </c>
      <c r="I17" s="129">
        <v>116</v>
      </c>
      <c r="J17" s="396">
        <v>339</v>
      </c>
      <c r="K17" s="130">
        <v>166</v>
      </c>
      <c r="L17" s="396">
        <v>449</v>
      </c>
      <c r="M17" s="130">
        <v>418</v>
      </c>
      <c r="N17" s="396">
        <v>710</v>
      </c>
      <c r="O17" s="130">
        <v>288</v>
      </c>
      <c r="P17" s="396">
        <v>836</v>
      </c>
      <c r="Q17" s="130">
        <v>369</v>
      </c>
      <c r="R17" s="396">
        <v>949</v>
      </c>
      <c r="S17" s="130">
        <v>528</v>
      </c>
      <c r="T17" s="396">
        <v>1173</v>
      </c>
      <c r="U17" s="130">
        <v>705</v>
      </c>
      <c r="V17" s="396">
        <v>1584</v>
      </c>
      <c r="W17" s="130">
        <v>569</v>
      </c>
      <c r="X17" s="396">
        <v>1781</v>
      </c>
      <c r="Y17" s="130">
        <v>445</v>
      </c>
      <c r="Z17" s="396">
        <v>1738</v>
      </c>
      <c r="AA17" s="129">
        <f>+'Manutención plan'!AA48</f>
        <v>510</v>
      </c>
      <c r="AB17" s="396">
        <f>+'Manutención plan'!AB48</f>
        <v>1688</v>
      </c>
      <c r="AC17" s="129">
        <f>+'Manutención plan'!AC48</f>
        <v>545</v>
      </c>
      <c r="AD17" s="396">
        <f>+'Manutención plan'!AD48</f>
        <v>1735</v>
      </c>
      <c r="AE17" s="129">
        <f>+'Manutención plan'!AE48</f>
        <v>539</v>
      </c>
      <c r="AF17" s="396">
        <f>+'Manutención plan'!AF48</f>
        <v>1764</v>
      </c>
      <c r="AG17" s="129">
        <f>+'Manutención plan'!AG48</f>
        <v>590</v>
      </c>
      <c r="AH17" s="396">
        <f>+'Manutención plan'!AH48</f>
        <v>1827</v>
      </c>
      <c r="AI17" s="129">
        <f>+'Manutención plan'!AI48</f>
        <v>615</v>
      </c>
      <c r="AJ17" s="396">
        <f>+'Manutención plan'!AJ48</f>
        <v>1898</v>
      </c>
      <c r="AK17" s="129">
        <f>+'Manutención plan'!AK48</f>
        <v>536</v>
      </c>
      <c r="AL17" s="2349">
        <f>+'Manutención plan'!AL48</f>
        <v>1169</v>
      </c>
      <c r="AM17" s="130">
        <f>+'Manutención plan'!AM48</f>
        <v>650</v>
      </c>
      <c r="AN17" s="396">
        <f>SUM(AL17:AM17)</f>
        <v>1819</v>
      </c>
      <c r="AO17" s="2349">
        <f>+'Manutención plan'!AO48</f>
        <v>800</v>
      </c>
      <c r="AP17" s="130">
        <f>+'Manutención plan'!AP48</f>
        <v>398</v>
      </c>
      <c r="AQ17" s="396">
        <f>SUM(AO17:AP17)</f>
        <v>1198</v>
      </c>
      <c r="AR17" s="2349">
        <f>+'Manutención plan'!AR48</f>
        <v>83</v>
      </c>
      <c r="AS17" s="130">
        <f>+'Manutención plan'!AS48</f>
        <v>55</v>
      </c>
      <c r="AT17" s="396">
        <f>SUM(AR17:AS17)</f>
        <v>138</v>
      </c>
    </row>
    <row r="18" spans="1:46" ht="15" customHeight="1" x14ac:dyDescent="0.25">
      <c r="A18" s="2343"/>
      <c r="B18" s="1336" t="s">
        <v>92</v>
      </c>
      <c r="C18" s="129">
        <v>6</v>
      </c>
      <c r="D18" s="130">
        <v>6</v>
      </c>
      <c r="E18" s="129">
        <v>87</v>
      </c>
      <c r="F18" s="130">
        <v>87</v>
      </c>
      <c r="G18" s="129">
        <v>75</v>
      </c>
      <c r="H18" s="130">
        <v>145</v>
      </c>
      <c r="I18" s="129">
        <v>120</v>
      </c>
      <c r="J18" s="396">
        <v>217</v>
      </c>
      <c r="K18" s="130">
        <v>138</v>
      </c>
      <c r="L18" s="396">
        <v>274</v>
      </c>
      <c r="M18" s="130">
        <v>230</v>
      </c>
      <c r="N18" s="396">
        <v>393</v>
      </c>
      <c r="O18" s="130">
        <v>174</v>
      </c>
      <c r="P18" s="396">
        <v>470</v>
      </c>
      <c r="Q18" s="130">
        <v>139</v>
      </c>
      <c r="R18" s="396">
        <v>432</v>
      </c>
      <c r="S18" s="130">
        <v>255</v>
      </c>
      <c r="T18" s="396">
        <v>480</v>
      </c>
      <c r="U18" s="130">
        <v>403</v>
      </c>
      <c r="V18" s="396">
        <v>697</v>
      </c>
      <c r="W18" s="130">
        <v>388</v>
      </c>
      <c r="X18" s="396">
        <v>858</v>
      </c>
      <c r="Y18" s="130">
        <v>381</v>
      </c>
      <c r="Z18" s="396">
        <v>926</v>
      </c>
      <c r="AA18" s="129">
        <f>+'Manutención plan'!AA55</f>
        <v>365</v>
      </c>
      <c r="AB18" s="396">
        <f>+'Manutención plan'!AB55</f>
        <v>978</v>
      </c>
      <c r="AC18" s="129">
        <f>+'Manutención plan'!AC55</f>
        <v>383</v>
      </c>
      <c r="AD18" s="396">
        <f>+'Manutención plan'!AD55</f>
        <v>1002</v>
      </c>
      <c r="AE18" s="129">
        <f>+'Manutención plan'!AE55</f>
        <v>345</v>
      </c>
      <c r="AF18" s="396">
        <f>+'Manutención plan'!AF55</f>
        <v>1005</v>
      </c>
      <c r="AG18" s="129">
        <f>+'Manutención plan'!AG55</f>
        <v>430</v>
      </c>
      <c r="AH18" s="396">
        <f>+'Manutención plan'!AH55</f>
        <v>1048</v>
      </c>
      <c r="AI18" s="129">
        <f>+'Manutención plan'!AI55</f>
        <v>348</v>
      </c>
      <c r="AJ18" s="396">
        <f>+'Manutención plan'!AJ55</f>
        <v>1078</v>
      </c>
      <c r="AK18" s="129">
        <f>+'Manutención plan'!AK55</f>
        <v>242</v>
      </c>
      <c r="AL18" s="2349">
        <f>+'Manutención plan'!AL55</f>
        <v>629</v>
      </c>
      <c r="AM18" s="130">
        <f>+'Manutención plan'!AM55</f>
        <v>285</v>
      </c>
      <c r="AN18" s="396">
        <f>SUM(AL18:AM18)</f>
        <v>914</v>
      </c>
      <c r="AO18" s="2349">
        <f>+'Manutención plan'!AO55</f>
        <v>373</v>
      </c>
      <c r="AP18" s="130">
        <f>+'Manutención plan'!AP55</f>
        <v>157</v>
      </c>
      <c r="AQ18" s="396">
        <f>SUM(AO18:AP18)</f>
        <v>530</v>
      </c>
      <c r="AR18" s="2349">
        <f>+'Manutención plan'!AR55</f>
        <v>99</v>
      </c>
      <c r="AS18" s="130">
        <f>+'Manutención plan'!AS55</f>
        <v>50</v>
      </c>
      <c r="AT18" s="396">
        <f>SUM(AR18:AS18)</f>
        <v>149</v>
      </c>
    </row>
    <row r="19" spans="1:46" ht="15" customHeight="1" x14ac:dyDescent="0.25">
      <c r="A19" s="2343"/>
      <c r="B19" s="2356" t="s">
        <v>135</v>
      </c>
      <c r="C19" s="175">
        <f>SUM(C16:C18)</f>
        <v>59</v>
      </c>
      <c r="D19" s="176">
        <f>SUM(D16:D18)</f>
        <v>58</v>
      </c>
      <c r="E19" s="175">
        <f>SUM(E16:E18)</f>
        <v>286</v>
      </c>
      <c r="F19" s="176">
        <f>SUM(F16:F18)</f>
        <v>325</v>
      </c>
      <c r="G19" s="175">
        <v>303</v>
      </c>
      <c r="H19" s="176">
        <v>565</v>
      </c>
      <c r="I19" s="175">
        <v>344</v>
      </c>
      <c r="J19" s="177">
        <v>767</v>
      </c>
      <c r="K19" s="176">
        <v>448</v>
      </c>
      <c r="L19" s="177">
        <v>1005</v>
      </c>
      <c r="M19" s="176">
        <v>902</v>
      </c>
      <c r="N19" s="177">
        <v>1515</v>
      </c>
      <c r="O19" s="176">
        <v>659</v>
      </c>
      <c r="P19" s="177">
        <v>1776</v>
      </c>
      <c r="Q19" s="176">
        <v>688</v>
      </c>
      <c r="R19" s="177">
        <v>1809</v>
      </c>
      <c r="S19" s="176">
        <v>947</v>
      </c>
      <c r="T19" s="177">
        <v>2042</v>
      </c>
      <c r="U19" s="176">
        <f t="shared" ref="U19:AT19" si="2">SUM(U16:U18)</f>
        <v>1429</v>
      </c>
      <c r="V19" s="177">
        <f t="shared" si="2"/>
        <v>2801</v>
      </c>
      <c r="W19" s="176">
        <f t="shared" si="2"/>
        <v>1323</v>
      </c>
      <c r="X19" s="177">
        <f t="shared" si="2"/>
        <v>3345</v>
      </c>
      <c r="Y19" s="176">
        <f t="shared" si="2"/>
        <v>1110</v>
      </c>
      <c r="Z19" s="177">
        <f t="shared" si="2"/>
        <v>3333</v>
      </c>
      <c r="AA19" s="175">
        <f t="shared" si="2"/>
        <v>1289</v>
      </c>
      <c r="AB19" s="177">
        <f t="shared" si="2"/>
        <v>3498</v>
      </c>
      <c r="AC19" s="175">
        <f t="shared" si="2"/>
        <v>1319</v>
      </c>
      <c r="AD19" s="177">
        <f t="shared" si="2"/>
        <v>3693</v>
      </c>
      <c r="AE19" s="175">
        <f t="shared" si="2"/>
        <v>1148</v>
      </c>
      <c r="AF19" s="177">
        <f t="shared" si="2"/>
        <v>3663</v>
      </c>
      <c r="AG19" s="175">
        <f t="shared" si="2"/>
        <v>1375</v>
      </c>
      <c r="AH19" s="177">
        <f t="shared" si="2"/>
        <v>3744</v>
      </c>
      <c r="AI19" s="175">
        <f t="shared" si="2"/>
        <v>1295</v>
      </c>
      <c r="AJ19" s="177">
        <f t="shared" si="2"/>
        <v>3857</v>
      </c>
      <c r="AK19" s="175">
        <f t="shared" si="2"/>
        <v>1061</v>
      </c>
      <c r="AL19" s="2357">
        <f t="shared" si="2"/>
        <v>2082</v>
      </c>
      <c r="AM19" s="176">
        <f t="shared" si="2"/>
        <v>1431</v>
      </c>
      <c r="AN19" s="177">
        <f t="shared" si="2"/>
        <v>3513</v>
      </c>
      <c r="AO19" s="2357">
        <f t="shared" si="2"/>
        <v>1342</v>
      </c>
      <c r="AP19" s="176">
        <f t="shared" si="2"/>
        <v>858</v>
      </c>
      <c r="AQ19" s="177">
        <f t="shared" si="2"/>
        <v>2200</v>
      </c>
      <c r="AR19" s="2357">
        <f t="shared" si="2"/>
        <v>233</v>
      </c>
      <c r="AS19" s="176">
        <f t="shared" si="2"/>
        <v>187</v>
      </c>
      <c r="AT19" s="177">
        <f t="shared" si="2"/>
        <v>420</v>
      </c>
    </row>
    <row r="20" spans="1:46" ht="15" customHeight="1" x14ac:dyDescent="0.25">
      <c r="A20" s="2343"/>
      <c r="B20" s="2354"/>
      <c r="C20" s="2355"/>
      <c r="D20" s="2355"/>
      <c r="E20" s="2355"/>
      <c r="F20" s="2355"/>
      <c r="G20" s="2355"/>
      <c r="H20" s="2355"/>
      <c r="I20" s="2355"/>
      <c r="J20" s="2355"/>
      <c r="K20" s="2355"/>
      <c r="L20" s="2355"/>
      <c r="M20" s="2355"/>
      <c r="N20" s="2355"/>
      <c r="O20" s="2355"/>
      <c r="P20" s="2355"/>
      <c r="Q20" s="2355"/>
      <c r="R20" s="2355"/>
      <c r="S20" s="2355"/>
      <c r="T20" s="2355"/>
      <c r="U20" s="2355"/>
      <c r="V20" s="2355"/>
      <c r="W20" s="2355"/>
      <c r="X20" s="2355"/>
      <c r="Y20" s="2355"/>
      <c r="Z20" s="2355"/>
      <c r="AA20" s="2355"/>
      <c r="AB20" s="2355"/>
      <c r="AC20" s="2355"/>
      <c r="AD20" s="2355"/>
      <c r="AE20" s="2355"/>
      <c r="AF20" s="2355"/>
      <c r="AG20" s="2355"/>
      <c r="AH20" s="2355"/>
      <c r="AI20" s="2355"/>
      <c r="AJ20" s="1451"/>
      <c r="AK20" s="1451"/>
      <c r="AL20" s="1451"/>
      <c r="AM20" s="1451"/>
      <c r="AN20" s="1451"/>
      <c r="AO20" s="1451"/>
      <c r="AP20" s="1451"/>
      <c r="AQ20" s="1451"/>
      <c r="AR20" s="1451"/>
      <c r="AS20" s="1451"/>
      <c r="AT20" s="1451"/>
    </row>
    <row r="21" spans="1:46" ht="15" customHeight="1" x14ac:dyDescent="0.25">
      <c r="A21" s="2343"/>
      <c r="B21" s="1334" t="s">
        <v>59</v>
      </c>
      <c r="C21" s="151"/>
      <c r="D21" s="152"/>
      <c r="E21" s="151"/>
      <c r="F21" s="152"/>
      <c r="G21" s="151"/>
      <c r="H21" s="152"/>
      <c r="I21" s="151"/>
      <c r="J21" s="395"/>
      <c r="K21" s="152"/>
      <c r="L21" s="395"/>
      <c r="M21" s="152"/>
      <c r="N21" s="395"/>
      <c r="O21" s="152"/>
      <c r="P21" s="395"/>
      <c r="Q21" s="152"/>
      <c r="R21" s="395"/>
      <c r="S21" s="152"/>
      <c r="T21" s="395"/>
      <c r="U21" s="152"/>
      <c r="V21" s="395"/>
      <c r="W21" s="130">
        <f>SUM('Manutención plan'!W97)</f>
        <v>22</v>
      </c>
      <c r="X21" s="396">
        <f>SUM('Manutención plan'!X97)</f>
        <v>22</v>
      </c>
      <c r="Y21" s="130">
        <f>SUM('Manutención plan'!Y97)</f>
        <v>17</v>
      </c>
      <c r="Z21" s="396">
        <f>SUM('Manutención plan'!Z97)</f>
        <v>40</v>
      </c>
      <c r="AA21" s="151">
        <f>SUM('Manutención plan'!AA97)</f>
        <v>18</v>
      </c>
      <c r="AB21" s="395">
        <f>SUM('Manutención plan'!AB97)</f>
        <v>50</v>
      </c>
      <c r="AC21" s="151">
        <f>SUM('Manutención plan'!AC97)</f>
        <v>8</v>
      </c>
      <c r="AD21" s="395">
        <f>SUM('Manutención plan'!AD97)</f>
        <v>45</v>
      </c>
      <c r="AE21" s="151">
        <f>SUM('Manutención plan'!AE97)</f>
        <v>31</v>
      </c>
      <c r="AF21" s="395">
        <f>SUM('Manutención plan'!AF97)</f>
        <v>61</v>
      </c>
      <c r="AG21" s="151">
        <f>SUM('Manutención plan'!AG97)</f>
        <v>14</v>
      </c>
      <c r="AH21" s="395">
        <f>SUM('Manutención plan'!AH97)</f>
        <v>49</v>
      </c>
      <c r="AI21" s="151">
        <f>SUM('Manutención plan'!AI97)</f>
        <v>47</v>
      </c>
      <c r="AJ21" s="395">
        <f>SUM('Manutención plan'!AJ97)</f>
        <v>71</v>
      </c>
      <c r="AK21" s="151">
        <f>SUM('Manutención plan'!AK97)</f>
        <v>34</v>
      </c>
      <c r="AL21" s="2348">
        <f>+'Manutención plan'!AL97</f>
        <v>29</v>
      </c>
      <c r="AM21" s="152">
        <f>+'Manutención plan'!AM97</f>
        <v>50</v>
      </c>
      <c r="AN21" s="395">
        <f>SUM(AL21:AM21)</f>
        <v>79</v>
      </c>
      <c r="AO21" s="2348">
        <f>+'Manutención plan'!AO97</f>
        <v>16</v>
      </c>
      <c r="AP21" s="152">
        <f>+'Manutención plan'!AP97</f>
        <v>26</v>
      </c>
      <c r="AQ21" s="395">
        <f>SUM(AO21:AP21)</f>
        <v>42</v>
      </c>
      <c r="AR21" s="2348">
        <f>+'Manutención plan'!AR97</f>
        <v>8</v>
      </c>
      <c r="AS21" s="152">
        <f>+'Manutención plan'!AS97</f>
        <v>8</v>
      </c>
      <c r="AT21" s="395">
        <f>SUM(AR21:AS21)</f>
        <v>16</v>
      </c>
    </row>
    <row r="22" spans="1:46" ht="15" customHeight="1" x14ac:dyDescent="0.25">
      <c r="A22" s="2343"/>
      <c r="B22" s="1336" t="s">
        <v>64</v>
      </c>
      <c r="C22" s="129"/>
      <c r="D22" s="130"/>
      <c r="E22" s="129"/>
      <c r="F22" s="130"/>
      <c r="G22" s="129"/>
      <c r="H22" s="130"/>
      <c r="I22" s="129"/>
      <c r="J22" s="396"/>
      <c r="K22" s="130"/>
      <c r="L22" s="396"/>
      <c r="M22" s="130"/>
      <c r="N22" s="396"/>
      <c r="O22" s="130"/>
      <c r="P22" s="396"/>
      <c r="Q22" s="130"/>
      <c r="R22" s="396"/>
      <c r="S22" s="130"/>
      <c r="T22" s="396"/>
      <c r="U22" s="130"/>
      <c r="V22" s="396"/>
      <c r="W22" s="130">
        <f>SUM('Manutención plan'!W101)</f>
        <v>25</v>
      </c>
      <c r="X22" s="396">
        <f>SUM('Manutención plan'!X101)</f>
        <v>25</v>
      </c>
      <c r="Y22" s="130">
        <f>SUM('Manutención plan'!Y101)</f>
        <v>20</v>
      </c>
      <c r="Z22" s="396">
        <f>SUM('Manutención plan'!Z101)</f>
        <v>45</v>
      </c>
      <c r="AA22" s="129">
        <f>SUM('Manutención plan'!AA101)</f>
        <v>23</v>
      </c>
      <c r="AB22" s="396">
        <f>SUM('Manutención plan'!AB101)</f>
        <v>61</v>
      </c>
      <c r="AC22" s="129">
        <f>SUM('Manutención plan'!AC101)</f>
        <v>21</v>
      </c>
      <c r="AD22" s="396">
        <f>SUM('Manutención plan'!AD101)</f>
        <v>77</v>
      </c>
      <c r="AE22" s="129">
        <f>SUM('Manutención plan'!AE101)</f>
        <v>45</v>
      </c>
      <c r="AF22" s="396">
        <f>SUM('Manutención plan'!AF101)</f>
        <v>110</v>
      </c>
      <c r="AG22" s="129">
        <f>SUM('Manutención plan'!AG101)</f>
        <v>45</v>
      </c>
      <c r="AH22" s="396">
        <f>SUM('Manutención plan'!AH101)</f>
        <v>113</v>
      </c>
      <c r="AI22" s="129">
        <f>SUM('Manutención plan'!AI101)</f>
        <v>41</v>
      </c>
      <c r="AJ22" s="396">
        <f>SUM('Manutención plan'!AJ101)</f>
        <v>123</v>
      </c>
      <c r="AK22" s="129">
        <f>SUM('Manutención plan'!AK101)</f>
        <v>54</v>
      </c>
      <c r="AL22" s="2349">
        <f>+'Manutención plan'!AL101</f>
        <v>82</v>
      </c>
      <c r="AM22" s="130">
        <f>+'Manutención plan'!AM101</f>
        <v>39</v>
      </c>
      <c r="AN22" s="396">
        <f>SUM(AL22:AM22)</f>
        <v>121</v>
      </c>
      <c r="AO22" s="2349">
        <f>+'Manutención plan'!AO101</f>
        <v>56</v>
      </c>
      <c r="AP22" s="130">
        <f>+'Manutención plan'!AP101</f>
        <v>21</v>
      </c>
      <c r="AQ22" s="396">
        <f>SUM(AO22:AP22)</f>
        <v>77</v>
      </c>
      <c r="AR22" s="2349">
        <f>+'Manutención plan'!AR101</f>
        <v>7</v>
      </c>
      <c r="AS22" s="130">
        <f>+'Manutención plan'!AS101</f>
        <v>5</v>
      </c>
      <c r="AT22" s="396">
        <f>SUM(AR22:AS22)</f>
        <v>12</v>
      </c>
    </row>
    <row r="23" spans="1:46" ht="15" customHeight="1" x14ac:dyDescent="0.25">
      <c r="A23" s="2343"/>
      <c r="B23" s="1336" t="s">
        <v>92</v>
      </c>
      <c r="C23" s="129"/>
      <c r="D23" s="130"/>
      <c r="E23" s="129"/>
      <c r="F23" s="130"/>
      <c r="G23" s="129"/>
      <c r="H23" s="130"/>
      <c r="I23" s="129"/>
      <c r="J23" s="396"/>
      <c r="K23" s="130"/>
      <c r="L23" s="396"/>
      <c r="M23" s="130"/>
      <c r="N23" s="396"/>
      <c r="O23" s="130"/>
      <c r="P23" s="396"/>
      <c r="Q23" s="130"/>
      <c r="R23" s="396"/>
      <c r="S23" s="130"/>
      <c r="T23" s="396"/>
      <c r="U23" s="130"/>
      <c r="V23" s="396"/>
      <c r="W23" s="130">
        <f>SUM('Manutención plan'!W105)</f>
        <v>29</v>
      </c>
      <c r="X23" s="396">
        <f>SUM('Manutención plan'!X105)</f>
        <v>26</v>
      </c>
      <c r="Y23" s="130">
        <f>SUM('Manutención plan'!Y105)</f>
        <v>9</v>
      </c>
      <c r="Z23" s="396">
        <f>SUM('Manutención plan'!Z105)</f>
        <v>28</v>
      </c>
      <c r="AA23" s="129">
        <f>SUM('Manutención plan'!AA105)</f>
        <v>20</v>
      </c>
      <c r="AB23" s="396">
        <f>SUM('Manutención plan'!AB105)</f>
        <v>34</v>
      </c>
      <c r="AC23" s="129">
        <f>SUM('Manutención plan'!AC105)</f>
        <v>22</v>
      </c>
      <c r="AD23" s="396">
        <f>SUM('Manutención plan'!AD105)</f>
        <v>50</v>
      </c>
      <c r="AE23" s="129">
        <f>SUM('Manutención plan'!AE105)</f>
        <v>46</v>
      </c>
      <c r="AF23" s="396">
        <f>SUM('Manutención plan'!AF105)</f>
        <v>89</v>
      </c>
      <c r="AG23" s="129">
        <f>SUM('Manutención plan'!AG105)</f>
        <v>24</v>
      </c>
      <c r="AH23" s="396">
        <f>SUM('Manutención plan'!AH105)</f>
        <v>86</v>
      </c>
      <c r="AI23" s="129">
        <f>SUM('Manutención plan'!AI105)</f>
        <v>46</v>
      </c>
      <c r="AJ23" s="396">
        <f>SUM('Manutención plan'!AJ105)</f>
        <v>96</v>
      </c>
      <c r="AK23" s="129">
        <f>SUM('Manutención plan'!AK105)</f>
        <v>38</v>
      </c>
      <c r="AL23" s="2349">
        <f>+'Manutención plan'!AL105</f>
        <v>83</v>
      </c>
      <c r="AM23" s="130">
        <f>+'Manutención plan'!AM105</f>
        <v>25</v>
      </c>
      <c r="AN23" s="396">
        <f>SUM(AL23:AM23)</f>
        <v>108</v>
      </c>
      <c r="AO23" s="2349">
        <f>+'Manutención plan'!AO105</f>
        <v>52</v>
      </c>
      <c r="AP23" s="130">
        <f>+'Manutención plan'!AP105</f>
        <v>18</v>
      </c>
      <c r="AQ23" s="396">
        <f>SUM(AO23:AP23)</f>
        <v>70</v>
      </c>
      <c r="AR23" s="2349">
        <f>+'Manutención plan'!AR105</f>
        <v>11</v>
      </c>
      <c r="AS23" s="130">
        <f>+'Manutención plan'!AS105</f>
        <v>5</v>
      </c>
      <c r="AT23" s="396">
        <f>SUM(AR23:AS23)</f>
        <v>16</v>
      </c>
    </row>
    <row r="24" spans="1:46" ht="15" customHeight="1" x14ac:dyDescent="0.25">
      <c r="A24" s="2343"/>
      <c r="B24" s="2358" t="s">
        <v>136</v>
      </c>
      <c r="C24" s="182"/>
      <c r="D24" s="183"/>
      <c r="E24" s="182"/>
      <c r="F24" s="183"/>
      <c r="G24" s="182"/>
      <c r="H24" s="183"/>
      <c r="I24" s="182"/>
      <c r="J24" s="184"/>
      <c r="K24" s="183"/>
      <c r="L24" s="184"/>
      <c r="M24" s="183"/>
      <c r="N24" s="184"/>
      <c r="O24" s="183"/>
      <c r="P24" s="184"/>
      <c r="Q24" s="183"/>
      <c r="R24" s="184"/>
      <c r="S24" s="183"/>
      <c r="T24" s="184"/>
      <c r="U24" s="183"/>
      <c r="V24" s="184"/>
      <c r="W24" s="183">
        <f>SUM(W21:W23)</f>
        <v>76</v>
      </c>
      <c r="X24" s="184">
        <f t="shared" ref="X24:AT24" si="3">SUM(X21:X23)</f>
        <v>73</v>
      </c>
      <c r="Y24" s="183">
        <f t="shared" si="3"/>
        <v>46</v>
      </c>
      <c r="Z24" s="184">
        <f t="shared" si="3"/>
        <v>113</v>
      </c>
      <c r="AA24" s="182">
        <f t="shared" si="3"/>
        <v>61</v>
      </c>
      <c r="AB24" s="184">
        <f t="shared" si="3"/>
        <v>145</v>
      </c>
      <c r="AC24" s="182">
        <f t="shared" si="3"/>
        <v>51</v>
      </c>
      <c r="AD24" s="184">
        <f t="shared" si="3"/>
        <v>172</v>
      </c>
      <c r="AE24" s="182">
        <f t="shared" si="3"/>
        <v>122</v>
      </c>
      <c r="AF24" s="184">
        <f t="shared" si="3"/>
        <v>260</v>
      </c>
      <c r="AG24" s="182">
        <f t="shared" si="3"/>
        <v>83</v>
      </c>
      <c r="AH24" s="184">
        <f t="shared" si="3"/>
        <v>248</v>
      </c>
      <c r="AI24" s="182">
        <f t="shared" si="3"/>
        <v>134</v>
      </c>
      <c r="AJ24" s="184">
        <f t="shared" si="3"/>
        <v>290</v>
      </c>
      <c r="AK24" s="182">
        <f t="shared" si="3"/>
        <v>126</v>
      </c>
      <c r="AL24" s="2359">
        <f t="shared" si="3"/>
        <v>194</v>
      </c>
      <c r="AM24" s="183">
        <f t="shared" si="3"/>
        <v>114</v>
      </c>
      <c r="AN24" s="184">
        <f t="shared" si="3"/>
        <v>308</v>
      </c>
      <c r="AO24" s="2359">
        <f t="shared" si="3"/>
        <v>124</v>
      </c>
      <c r="AP24" s="183">
        <f t="shared" si="3"/>
        <v>65</v>
      </c>
      <c r="AQ24" s="184">
        <f t="shared" si="3"/>
        <v>189</v>
      </c>
      <c r="AR24" s="2359">
        <f t="shared" si="3"/>
        <v>26</v>
      </c>
      <c r="AS24" s="183">
        <f t="shared" si="3"/>
        <v>18</v>
      </c>
      <c r="AT24" s="184">
        <f t="shared" si="3"/>
        <v>44</v>
      </c>
    </row>
    <row r="25" spans="1:46" ht="15" customHeight="1" x14ac:dyDescent="0.25">
      <c r="A25" s="2343"/>
      <c r="C25" s="1451"/>
      <c r="D25" s="1451"/>
      <c r="E25" s="1451"/>
      <c r="F25" s="1451"/>
      <c r="G25" s="1451"/>
      <c r="H25" s="1451"/>
      <c r="I25" s="1451"/>
      <c r="J25" s="1451"/>
      <c r="K25" s="1451"/>
      <c r="L25" s="1451"/>
      <c r="M25" s="1451"/>
      <c r="N25" s="1451"/>
      <c r="O25" s="1451"/>
      <c r="P25" s="1451"/>
      <c r="Q25" s="1451"/>
      <c r="R25" s="1451"/>
      <c r="S25" s="1451"/>
      <c r="T25" s="1451"/>
      <c r="U25" s="1451"/>
      <c r="V25" s="1451"/>
      <c r="W25" s="1451"/>
      <c r="X25" s="1451"/>
      <c r="Y25" s="1451"/>
      <c r="Z25" s="1451"/>
      <c r="AA25" s="1451"/>
      <c r="AB25" s="1451"/>
      <c r="AC25" s="1451"/>
      <c r="AD25" s="1451"/>
      <c r="AE25" s="1451"/>
      <c r="AF25" s="1451"/>
      <c r="AG25" s="1451"/>
      <c r="AH25" s="1451"/>
      <c r="AI25" s="1451"/>
      <c r="AJ25" s="1451"/>
      <c r="AK25" s="1451"/>
      <c r="AL25" s="1451"/>
      <c r="AM25" s="1451"/>
      <c r="AN25" s="1451"/>
      <c r="AO25" s="1451"/>
      <c r="AP25" s="1451"/>
      <c r="AQ25" s="1451"/>
      <c r="AR25" s="1451"/>
      <c r="AS25" s="1451"/>
      <c r="AT25" s="1451"/>
    </row>
    <row r="26" spans="1:46" ht="15" customHeight="1" x14ac:dyDescent="0.25">
      <c r="A26" s="2343"/>
      <c r="B26" s="1334" t="s">
        <v>64</v>
      </c>
      <c r="C26" s="151">
        <v>19</v>
      </c>
      <c r="D26" s="152">
        <v>17</v>
      </c>
      <c r="E26" s="151">
        <v>113</v>
      </c>
      <c r="F26" s="152">
        <v>122</v>
      </c>
      <c r="G26" s="151">
        <v>116</v>
      </c>
      <c r="H26" s="152">
        <v>229</v>
      </c>
      <c r="I26" s="151">
        <v>123</v>
      </c>
      <c r="J26" s="395">
        <v>306</v>
      </c>
      <c r="K26" s="152">
        <v>154</v>
      </c>
      <c r="L26" s="395">
        <v>368</v>
      </c>
      <c r="M26" s="152">
        <v>411</v>
      </c>
      <c r="N26" s="395">
        <v>687</v>
      </c>
      <c r="O26" s="152">
        <v>240</v>
      </c>
      <c r="P26" s="395">
        <v>814</v>
      </c>
      <c r="Q26" s="152">
        <v>240</v>
      </c>
      <c r="R26" s="395">
        <v>824</v>
      </c>
      <c r="S26" s="152">
        <v>674</v>
      </c>
      <c r="T26" s="395">
        <v>1136</v>
      </c>
      <c r="U26" s="152">
        <v>600</v>
      </c>
      <c r="V26" s="395">
        <v>1371</v>
      </c>
      <c r="W26" s="152">
        <v>520</v>
      </c>
      <c r="X26" s="395">
        <v>1579</v>
      </c>
      <c r="Y26" s="152">
        <v>476</v>
      </c>
      <c r="Z26" s="395">
        <v>1637</v>
      </c>
      <c r="AA26" s="151">
        <f>+'Manutención plan'!AA63</f>
        <v>472</v>
      </c>
      <c r="AB26" s="395">
        <f>+'Manutención plan'!AB63</f>
        <v>1597</v>
      </c>
      <c r="AC26" s="151">
        <f>+'Manutención plan'!AC63</f>
        <v>633</v>
      </c>
      <c r="AD26" s="395">
        <f>+'Manutención plan'!AD63</f>
        <v>1645</v>
      </c>
      <c r="AE26" s="151">
        <f>+'Manutención plan'!AE63</f>
        <v>520</v>
      </c>
      <c r="AF26" s="395">
        <f>+'Manutención plan'!AF63</f>
        <v>1699</v>
      </c>
      <c r="AG26" s="151">
        <f>+'Manutención plan'!AG63</f>
        <v>663</v>
      </c>
      <c r="AH26" s="395">
        <f>+'Manutención plan'!AH63</f>
        <v>1841</v>
      </c>
      <c r="AI26" s="151">
        <f>+'Manutención plan'!AI63</f>
        <v>668</v>
      </c>
      <c r="AJ26" s="395">
        <f>+'Manutención plan'!AJ63</f>
        <v>1947</v>
      </c>
      <c r="AK26" s="151">
        <f>+'Manutención plan'!AK63</f>
        <v>565</v>
      </c>
      <c r="AL26" s="2348">
        <f>+'Manutención plan'!AL63</f>
        <v>1184</v>
      </c>
      <c r="AM26" s="152">
        <f>+'Manutención plan'!AM63</f>
        <v>739</v>
      </c>
      <c r="AN26" s="395">
        <f>SUM(AL26:AM26)</f>
        <v>1923</v>
      </c>
      <c r="AO26" s="2348">
        <f>+'Manutención plan'!AO63</f>
        <v>790</v>
      </c>
      <c r="AP26" s="152">
        <f>+'Manutención plan'!AP63</f>
        <v>424</v>
      </c>
      <c r="AQ26" s="395">
        <f>SUM(AO26:AP26)</f>
        <v>1214</v>
      </c>
      <c r="AR26" s="2348">
        <f>+'Manutención plan'!AR63</f>
        <v>44</v>
      </c>
      <c r="AS26" s="152">
        <f>+'Manutención plan'!AS63</f>
        <v>44</v>
      </c>
      <c r="AT26" s="395">
        <f>SUM(AR26:AS26)</f>
        <v>88</v>
      </c>
    </row>
    <row r="27" spans="1:46" ht="15" customHeight="1" x14ac:dyDescent="0.25">
      <c r="A27" s="2343"/>
      <c r="B27" s="1336" t="s">
        <v>92</v>
      </c>
      <c r="C27" s="129">
        <v>17</v>
      </c>
      <c r="D27" s="130">
        <v>17</v>
      </c>
      <c r="E27" s="129">
        <v>148</v>
      </c>
      <c r="F27" s="130">
        <v>153</v>
      </c>
      <c r="G27" s="129">
        <v>164</v>
      </c>
      <c r="H27" s="130">
        <v>285</v>
      </c>
      <c r="I27" s="129">
        <v>151</v>
      </c>
      <c r="J27" s="396">
        <v>395</v>
      </c>
      <c r="K27" s="130">
        <v>176</v>
      </c>
      <c r="L27" s="396">
        <v>483</v>
      </c>
      <c r="M27" s="130">
        <v>580</v>
      </c>
      <c r="N27" s="396">
        <v>935</v>
      </c>
      <c r="O27" s="130">
        <v>335</v>
      </c>
      <c r="P27" s="396">
        <v>1099</v>
      </c>
      <c r="Q27" s="130">
        <v>340</v>
      </c>
      <c r="R27" s="396">
        <v>1138</v>
      </c>
      <c r="S27" s="130">
        <v>868</v>
      </c>
      <c r="T27" s="396">
        <v>1567</v>
      </c>
      <c r="U27" s="130">
        <v>800</v>
      </c>
      <c r="V27" s="396">
        <v>1867</v>
      </c>
      <c r="W27" s="130">
        <v>642</v>
      </c>
      <c r="X27" s="396">
        <v>2000</v>
      </c>
      <c r="Y27" s="130">
        <v>594</v>
      </c>
      <c r="Z27" s="396">
        <v>2071</v>
      </c>
      <c r="AA27" s="129">
        <f>+'Manutención plan'!AA72</f>
        <v>671</v>
      </c>
      <c r="AB27" s="396">
        <f>+'Manutención plan'!AB72</f>
        <v>2051</v>
      </c>
      <c r="AC27" s="129">
        <f>+'Manutención plan'!AC72</f>
        <v>852</v>
      </c>
      <c r="AD27" s="396">
        <f>+'Manutención plan'!AD72</f>
        <v>2248</v>
      </c>
      <c r="AE27" s="129">
        <f>+'Manutención plan'!AE72</f>
        <v>691</v>
      </c>
      <c r="AF27" s="396">
        <f>+'Manutención plan'!AF72</f>
        <v>2337</v>
      </c>
      <c r="AG27" s="129">
        <f>+'Manutención plan'!AG72</f>
        <v>887</v>
      </c>
      <c r="AH27" s="396">
        <f>+'Manutención plan'!AH72</f>
        <v>2565</v>
      </c>
      <c r="AI27" s="129">
        <f>+'Manutención plan'!AI72</f>
        <v>919</v>
      </c>
      <c r="AJ27" s="396">
        <f>+'Manutención plan'!AJ72</f>
        <v>2812</v>
      </c>
      <c r="AK27" s="129">
        <f>+'Manutención plan'!AK72</f>
        <v>809</v>
      </c>
      <c r="AL27" s="2349">
        <f>+'Manutención plan'!AL72</f>
        <v>1953</v>
      </c>
      <c r="AM27" s="130">
        <f>+'Manutención plan'!AM72</f>
        <v>828</v>
      </c>
      <c r="AN27" s="396">
        <f>SUM(AL27:AM27)</f>
        <v>2781</v>
      </c>
      <c r="AO27" s="2349">
        <f>+'Manutención plan'!AO72</f>
        <v>1290</v>
      </c>
      <c r="AP27" s="130">
        <f>+'Manutención plan'!AP72</f>
        <v>526</v>
      </c>
      <c r="AQ27" s="396">
        <f>SUM(AO27:AP27)</f>
        <v>1816</v>
      </c>
      <c r="AR27" s="2349">
        <f>+'Manutención plan'!AR72</f>
        <v>89</v>
      </c>
      <c r="AS27" s="130">
        <f>+'Manutención plan'!AS72</f>
        <v>39</v>
      </c>
      <c r="AT27" s="396">
        <f>SUM(AR27:AS27)</f>
        <v>128</v>
      </c>
    </row>
    <row r="28" spans="1:46" ht="15" customHeight="1" x14ac:dyDescent="0.25">
      <c r="A28" s="2343"/>
      <c r="B28" s="1336" t="s">
        <v>68</v>
      </c>
      <c r="C28" s="129">
        <v>11</v>
      </c>
      <c r="D28" s="130">
        <v>10</v>
      </c>
      <c r="E28" s="129">
        <v>56</v>
      </c>
      <c r="F28" s="130">
        <v>61</v>
      </c>
      <c r="G28" s="129">
        <v>68</v>
      </c>
      <c r="H28" s="130">
        <v>121</v>
      </c>
      <c r="I28" s="129">
        <v>73</v>
      </c>
      <c r="J28" s="396">
        <v>176</v>
      </c>
      <c r="K28" s="130">
        <v>71</v>
      </c>
      <c r="L28" s="396">
        <v>210</v>
      </c>
      <c r="M28" s="130">
        <v>240</v>
      </c>
      <c r="N28" s="396">
        <v>382</v>
      </c>
      <c r="O28" s="130">
        <v>134</v>
      </c>
      <c r="P28" s="396">
        <v>441</v>
      </c>
      <c r="Q28" s="130">
        <v>123</v>
      </c>
      <c r="R28" s="396">
        <v>397</v>
      </c>
      <c r="S28" s="130">
        <v>299</v>
      </c>
      <c r="T28" s="396">
        <v>491</v>
      </c>
      <c r="U28" s="130">
        <v>323</v>
      </c>
      <c r="V28" s="396">
        <v>643</v>
      </c>
      <c r="W28" s="130">
        <v>222</v>
      </c>
      <c r="X28" s="396">
        <v>672</v>
      </c>
      <c r="Y28" s="130">
        <v>236</v>
      </c>
      <c r="Z28" s="396">
        <v>710</v>
      </c>
      <c r="AA28" s="129">
        <f>+'Manutención plan'!AA77</f>
        <v>217</v>
      </c>
      <c r="AB28" s="396">
        <f>+'Manutención plan'!AB77</f>
        <v>684</v>
      </c>
      <c r="AC28" s="129">
        <f>+'Manutención plan'!AC77</f>
        <v>284</v>
      </c>
      <c r="AD28" s="396">
        <f>+'Manutención plan'!AD77</f>
        <v>751</v>
      </c>
      <c r="AE28" s="129">
        <f>+'Manutención plan'!AE77</f>
        <v>231</v>
      </c>
      <c r="AF28" s="396">
        <f>+'Manutención plan'!AF77</f>
        <v>771</v>
      </c>
      <c r="AG28" s="129">
        <f>+'Manutención plan'!AG77</f>
        <v>305</v>
      </c>
      <c r="AH28" s="396">
        <f>+'Manutención plan'!AH77</f>
        <v>824</v>
      </c>
      <c r="AI28" s="129">
        <f>+'Manutención plan'!AI77</f>
        <v>347</v>
      </c>
      <c r="AJ28" s="396">
        <f>+'Manutención plan'!AJ77</f>
        <v>931</v>
      </c>
      <c r="AK28" s="129">
        <f>+'Manutención plan'!AK77</f>
        <v>293</v>
      </c>
      <c r="AL28" s="2349">
        <f>+'Manutención plan'!AL77</f>
        <v>465</v>
      </c>
      <c r="AM28" s="130">
        <f>+'Manutención plan'!AM77</f>
        <v>479</v>
      </c>
      <c r="AN28" s="396">
        <f>SUM(AL28:AM28)</f>
        <v>944</v>
      </c>
      <c r="AO28" s="2349">
        <f>+'Manutención plan'!AO77</f>
        <v>303</v>
      </c>
      <c r="AP28" s="130">
        <f>+'Manutención plan'!AP77</f>
        <v>274</v>
      </c>
      <c r="AQ28" s="396">
        <f>SUM(AO28:AP28)</f>
        <v>577</v>
      </c>
      <c r="AR28" s="2349">
        <f>+'Manutención plan'!AR77</f>
        <v>12</v>
      </c>
      <c r="AS28" s="130">
        <f>+'Manutención plan'!AS77</f>
        <v>19</v>
      </c>
      <c r="AT28" s="396">
        <f>SUM(AR28:AS28)</f>
        <v>31</v>
      </c>
    </row>
    <row r="29" spans="1:46" ht="15" customHeight="1" x14ac:dyDescent="0.25">
      <c r="A29" s="2343"/>
      <c r="B29" s="2360" t="s">
        <v>137</v>
      </c>
      <c r="C29" s="189">
        <f>SUM(C26:C28)</f>
        <v>47</v>
      </c>
      <c r="D29" s="190">
        <f>SUM(D26:D28)</f>
        <v>44</v>
      </c>
      <c r="E29" s="189">
        <f>SUM(E26:E28)</f>
        <v>317</v>
      </c>
      <c r="F29" s="190">
        <f>SUM(F26:F28)</f>
        <v>336</v>
      </c>
      <c r="G29" s="189">
        <v>348</v>
      </c>
      <c r="H29" s="190">
        <v>635</v>
      </c>
      <c r="I29" s="189">
        <v>347</v>
      </c>
      <c r="J29" s="191">
        <v>877</v>
      </c>
      <c r="K29" s="190">
        <v>401</v>
      </c>
      <c r="L29" s="191">
        <v>1061</v>
      </c>
      <c r="M29" s="190">
        <v>1231</v>
      </c>
      <c r="N29" s="191">
        <v>2004</v>
      </c>
      <c r="O29" s="190">
        <v>709</v>
      </c>
      <c r="P29" s="191">
        <v>2354</v>
      </c>
      <c r="Q29" s="190">
        <v>703</v>
      </c>
      <c r="R29" s="191">
        <v>2359</v>
      </c>
      <c r="S29" s="190">
        <v>1841</v>
      </c>
      <c r="T29" s="191">
        <v>3194</v>
      </c>
      <c r="U29" s="190">
        <f t="shared" ref="U29:AT29" si="4">SUM(U26:U28)</f>
        <v>1723</v>
      </c>
      <c r="V29" s="191">
        <f t="shared" si="4"/>
        <v>3881</v>
      </c>
      <c r="W29" s="190">
        <f t="shared" si="4"/>
        <v>1384</v>
      </c>
      <c r="X29" s="191">
        <f t="shared" si="4"/>
        <v>4251</v>
      </c>
      <c r="Y29" s="190">
        <f t="shared" si="4"/>
        <v>1306</v>
      </c>
      <c r="Z29" s="191">
        <f t="shared" si="4"/>
        <v>4418</v>
      </c>
      <c r="AA29" s="189">
        <f t="shared" si="4"/>
        <v>1360</v>
      </c>
      <c r="AB29" s="191">
        <f t="shared" si="4"/>
        <v>4332</v>
      </c>
      <c r="AC29" s="189">
        <f t="shared" si="4"/>
        <v>1769</v>
      </c>
      <c r="AD29" s="191">
        <f t="shared" si="4"/>
        <v>4644</v>
      </c>
      <c r="AE29" s="189">
        <f t="shared" si="4"/>
        <v>1442</v>
      </c>
      <c r="AF29" s="191">
        <f t="shared" si="4"/>
        <v>4807</v>
      </c>
      <c r="AG29" s="189">
        <f t="shared" si="4"/>
        <v>1855</v>
      </c>
      <c r="AH29" s="191">
        <f t="shared" si="4"/>
        <v>5230</v>
      </c>
      <c r="AI29" s="189">
        <f t="shared" si="4"/>
        <v>1934</v>
      </c>
      <c r="AJ29" s="191">
        <f t="shared" si="4"/>
        <v>5690</v>
      </c>
      <c r="AK29" s="189">
        <f t="shared" si="4"/>
        <v>1667</v>
      </c>
      <c r="AL29" s="2361">
        <f t="shared" si="4"/>
        <v>3602</v>
      </c>
      <c r="AM29" s="190">
        <f t="shared" si="4"/>
        <v>2046</v>
      </c>
      <c r="AN29" s="191">
        <f t="shared" si="4"/>
        <v>5648</v>
      </c>
      <c r="AO29" s="2361">
        <f t="shared" si="4"/>
        <v>2383</v>
      </c>
      <c r="AP29" s="190">
        <f t="shared" si="4"/>
        <v>1224</v>
      </c>
      <c r="AQ29" s="191">
        <f t="shared" si="4"/>
        <v>3607</v>
      </c>
      <c r="AR29" s="2361">
        <f t="shared" si="4"/>
        <v>145</v>
      </c>
      <c r="AS29" s="190">
        <f t="shared" si="4"/>
        <v>102</v>
      </c>
      <c r="AT29" s="191">
        <f t="shared" si="4"/>
        <v>247</v>
      </c>
    </row>
    <row r="30" spans="1:46" ht="15" customHeight="1" x14ac:dyDescent="0.25">
      <c r="A30" s="2343"/>
      <c r="C30" s="1451"/>
      <c r="D30" s="1451"/>
      <c r="E30" s="1451"/>
      <c r="F30" s="1451"/>
      <c r="G30" s="1451"/>
      <c r="H30" s="1451"/>
      <c r="I30" s="1451"/>
      <c r="J30" s="1451"/>
      <c r="K30" s="1451"/>
      <c r="L30" s="1451"/>
      <c r="M30" s="1451"/>
      <c r="N30" s="1451"/>
      <c r="O30" s="1451"/>
      <c r="P30" s="1451"/>
      <c r="Q30" s="1451"/>
      <c r="R30" s="1451"/>
      <c r="S30" s="1451"/>
      <c r="T30" s="1451"/>
      <c r="U30" s="1451"/>
      <c r="V30" s="1451"/>
      <c r="W30" s="1451"/>
      <c r="X30" s="1451"/>
      <c r="Y30" s="1451"/>
      <c r="Z30" s="1451"/>
      <c r="AA30" s="1451"/>
      <c r="AB30" s="1451"/>
      <c r="AC30" s="1451"/>
      <c r="AD30" s="1451"/>
      <c r="AE30" s="1451"/>
      <c r="AF30" s="1451"/>
      <c r="AG30" s="1451"/>
      <c r="AH30" s="1451"/>
      <c r="AI30" s="1451"/>
      <c r="AJ30" s="1451"/>
      <c r="AK30" s="1451"/>
      <c r="AL30" s="1451"/>
      <c r="AM30" s="1451"/>
      <c r="AN30" s="1451"/>
      <c r="AO30" s="1451"/>
      <c r="AP30" s="1451"/>
      <c r="AQ30" s="1451"/>
      <c r="AR30" s="1451"/>
      <c r="AS30" s="1451"/>
      <c r="AT30" s="1451"/>
    </row>
    <row r="31" spans="1:46" ht="15" customHeight="1" x14ac:dyDescent="0.25">
      <c r="A31" s="2343"/>
      <c r="B31" s="1334" t="s">
        <v>59</v>
      </c>
      <c r="C31" s="151">
        <f>SUM(C6,C16)</f>
        <v>41</v>
      </c>
      <c r="D31" s="152">
        <f>SUM(D6,D16)</f>
        <v>40</v>
      </c>
      <c r="E31" s="151">
        <f>SUM(E6,E16)</f>
        <v>156</v>
      </c>
      <c r="F31" s="152">
        <f>SUM(F6,F16)</f>
        <v>176</v>
      </c>
      <c r="G31" s="151">
        <v>199</v>
      </c>
      <c r="H31" s="152">
        <v>331</v>
      </c>
      <c r="I31" s="151">
        <v>305</v>
      </c>
      <c r="J31" s="395">
        <v>503</v>
      </c>
      <c r="K31" s="152">
        <v>334</v>
      </c>
      <c r="L31" s="395">
        <v>670</v>
      </c>
      <c r="M31" s="152">
        <v>595</v>
      </c>
      <c r="N31" s="395">
        <v>1024</v>
      </c>
      <c r="O31" s="152">
        <v>765</v>
      </c>
      <c r="P31" s="395">
        <v>1463</v>
      </c>
      <c r="Q31" s="152">
        <v>451</v>
      </c>
      <c r="R31" s="395">
        <v>1346</v>
      </c>
      <c r="S31" s="152">
        <v>598</v>
      </c>
      <c r="T31" s="395">
        <v>1242</v>
      </c>
      <c r="U31" s="151">
        <f>SUM(U6,U16)</f>
        <v>950</v>
      </c>
      <c r="V31" s="395">
        <f>SUM(V6,V16)</f>
        <v>1636</v>
      </c>
      <c r="W31" s="151">
        <f t="shared" ref="W31:AT31" si="5">SUM(W6,W16,W21)</f>
        <v>1024</v>
      </c>
      <c r="X31" s="395">
        <f t="shared" si="5"/>
        <v>2161</v>
      </c>
      <c r="Y31" s="151">
        <f t="shared" si="5"/>
        <v>713</v>
      </c>
      <c r="Z31" s="395">
        <f t="shared" si="5"/>
        <v>2159</v>
      </c>
      <c r="AA31" s="151">
        <f t="shared" si="5"/>
        <v>882</v>
      </c>
      <c r="AB31" s="395">
        <f t="shared" si="5"/>
        <v>2200</v>
      </c>
      <c r="AC31" s="151">
        <f t="shared" si="5"/>
        <v>899</v>
      </c>
      <c r="AD31" s="395">
        <f t="shared" si="5"/>
        <v>2377</v>
      </c>
      <c r="AE31" s="151">
        <f t="shared" si="5"/>
        <v>692</v>
      </c>
      <c r="AF31" s="395">
        <f t="shared" si="5"/>
        <v>2250</v>
      </c>
      <c r="AG31" s="151">
        <f t="shared" si="5"/>
        <v>861</v>
      </c>
      <c r="AH31" s="395">
        <f t="shared" si="5"/>
        <v>2250</v>
      </c>
      <c r="AI31" s="151">
        <f t="shared" si="5"/>
        <v>882</v>
      </c>
      <c r="AJ31" s="395">
        <f t="shared" si="5"/>
        <v>2403</v>
      </c>
      <c r="AK31" s="151">
        <f t="shared" si="5"/>
        <v>809</v>
      </c>
      <c r="AL31" s="152">
        <f t="shared" si="5"/>
        <v>782</v>
      </c>
      <c r="AM31" s="152">
        <f t="shared" si="5"/>
        <v>1486</v>
      </c>
      <c r="AN31" s="395">
        <f t="shared" si="5"/>
        <v>2268</v>
      </c>
      <c r="AO31" s="152">
        <f t="shared" si="5"/>
        <v>478</v>
      </c>
      <c r="AP31" s="152">
        <f t="shared" si="5"/>
        <v>852</v>
      </c>
      <c r="AQ31" s="395">
        <f t="shared" si="5"/>
        <v>1330</v>
      </c>
      <c r="AR31" s="152">
        <f t="shared" si="5"/>
        <v>131</v>
      </c>
      <c r="AS31" s="152">
        <f t="shared" si="5"/>
        <v>211</v>
      </c>
      <c r="AT31" s="395">
        <f t="shared" si="5"/>
        <v>342</v>
      </c>
    </row>
    <row r="32" spans="1:46" ht="15" customHeight="1" x14ac:dyDescent="0.25">
      <c r="A32" s="2343"/>
      <c r="B32" s="1336" t="s">
        <v>64</v>
      </c>
      <c r="C32" s="129">
        <f>SUM(C7,C17,C26)</f>
        <v>74</v>
      </c>
      <c r="D32" s="130">
        <f>SUM(D7,D17,D26)</f>
        <v>71</v>
      </c>
      <c r="E32" s="129">
        <f>SUM(E7,E17,E26)</f>
        <v>358</v>
      </c>
      <c r="F32" s="130">
        <f>SUM(F7,F17,F26)</f>
        <v>410</v>
      </c>
      <c r="G32" s="129">
        <v>385</v>
      </c>
      <c r="H32" s="130">
        <v>739</v>
      </c>
      <c r="I32" s="129">
        <v>346</v>
      </c>
      <c r="J32" s="396">
        <v>966</v>
      </c>
      <c r="K32" s="130">
        <v>514</v>
      </c>
      <c r="L32" s="396">
        <v>1269</v>
      </c>
      <c r="M32" s="130">
        <v>1191</v>
      </c>
      <c r="N32" s="396">
        <v>2082</v>
      </c>
      <c r="O32" s="130">
        <v>815</v>
      </c>
      <c r="P32" s="396">
        <v>2488</v>
      </c>
      <c r="Q32" s="130">
        <v>937</v>
      </c>
      <c r="R32" s="396">
        <v>2683</v>
      </c>
      <c r="S32" s="130">
        <v>1687</v>
      </c>
      <c r="T32" s="396">
        <v>3414</v>
      </c>
      <c r="U32" s="129">
        <f>SUM(U7,U11,U17,U26)</f>
        <v>1859</v>
      </c>
      <c r="V32" s="396">
        <f>SUM(V7,V11,V17,V26)</f>
        <v>4286</v>
      </c>
      <c r="W32" s="129">
        <f t="shared" ref="W32:AT32" si="6">SUM(W7,W11,W17,W26,W22)</f>
        <v>1668</v>
      </c>
      <c r="X32" s="396">
        <f t="shared" si="6"/>
        <v>4968</v>
      </c>
      <c r="Y32" s="129">
        <f t="shared" si="6"/>
        <v>1512</v>
      </c>
      <c r="Z32" s="396">
        <f t="shared" si="6"/>
        <v>5206</v>
      </c>
      <c r="AA32" s="129">
        <f t="shared" si="6"/>
        <v>1578</v>
      </c>
      <c r="AB32" s="396">
        <f t="shared" si="6"/>
        <v>5191</v>
      </c>
      <c r="AC32" s="129">
        <f t="shared" si="6"/>
        <v>1905</v>
      </c>
      <c r="AD32" s="396">
        <f t="shared" si="6"/>
        <v>5486</v>
      </c>
      <c r="AE32" s="129">
        <f t="shared" si="6"/>
        <v>1763</v>
      </c>
      <c r="AF32" s="396">
        <f t="shared" si="6"/>
        <v>5718</v>
      </c>
      <c r="AG32" s="129">
        <f t="shared" si="6"/>
        <v>1996</v>
      </c>
      <c r="AH32" s="396">
        <f t="shared" si="6"/>
        <v>6049</v>
      </c>
      <c r="AI32" s="129">
        <f t="shared" si="6"/>
        <v>2055</v>
      </c>
      <c r="AJ32" s="396">
        <f t="shared" si="6"/>
        <v>6373</v>
      </c>
      <c r="AK32" s="129">
        <f t="shared" si="6"/>
        <v>1749</v>
      </c>
      <c r="AL32" s="130">
        <f t="shared" si="6"/>
        <v>3882</v>
      </c>
      <c r="AM32" s="130">
        <f t="shared" si="6"/>
        <v>2251</v>
      </c>
      <c r="AN32" s="396">
        <f t="shared" si="6"/>
        <v>6133</v>
      </c>
      <c r="AO32" s="130">
        <f t="shared" si="6"/>
        <v>2610</v>
      </c>
      <c r="AP32" s="130">
        <f t="shared" si="6"/>
        <v>1360</v>
      </c>
      <c r="AQ32" s="396">
        <f t="shared" si="6"/>
        <v>3970</v>
      </c>
      <c r="AR32" s="130">
        <f t="shared" si="6"/>
        <v>238</v>
      </c>
      <c r="AS32" s="130">
        <f t="shared" si="6"/>
        <v>155</v>
      </c>
      <c r="AT32" s="396">
        <f t="shared" si="6"/>
        <v>393</v>
      </c>
    </row>
    <row r="33" spans="1:46" ht="15" customHeight="1" x14ac:dyDescent="0.25">
      <c r="A33" s="2343"/>
      <c r="B33" s="1336" t="s">
        <v>92</v>
      </c>
      <c r="C33" s="129">
        <f>SUM(C18,C27)</f>
        <v>23</v>
      </c>
      <c r="D33" s="130">
        <f>SUM(D18,D27)</f>
        <v>23</v>
      </c>
      <c r="E33" s="129">
        <f>SUM(E18,E27)</f>
        <v>235</v>
      </c>
      <c r="F33" s="130">
        <f>SUM(F18,F27)</f>
        <v>240</v>
      </c>
      <c r="G33" s="129">
        <v>239</v>
      </c>
      <c r="H33" s="130">
        <v>430</v>
      </c>
      <c r="I33" s="129">
        <v>271</v>
      </c>
      <c r="J33" s="396">
        <v>612</v>
      </c>
      <c r="K33" s="130">
        <v>314</v>
      </c>
      <c r="L33" s="396">
        <v>757</v>
      </c>
      <c r="M33" s="130">
        <v>810</v>
      </c>
      <c r="N33" s="396">
        <v>1328</v>
      </c>
      <c r="O33" s="130">
        <v>509</v>
      </c>
      <c r="P33" s="396">
        <v>1569</v>
      </c>
      <c r="Q33" s="130">
        <v>479</v>
      </c>
      <c r="R33" s="396">
        <v>1570</v>
      </c>
      <c r="S33" s="130">
        <v>1123</v>
      </c>
      <c r="T33" s="396">
        <v>2047</v>
      </c>
      <c r="U33" s="129">
        <f>SUM(U18,U27)</f>
        <v>1203</v>
      </c>
      <c r="V33" s="396">
        <f>SUM(V18,V27)</f>
        <v>2564</v>
      </c>
      <c r="W33" s="129">
        <f t="shared" ref="W33:AT33" si="7">SUM(W18,W27,W23)</f>
        <v>1059</v>
      </c>
      <c r="X33" s="396">
        <f t="shared" si="7"/>
        <v>2884</v>
      </c>
      <c r="Y33" s="129">
        <f t="shared" si="7"/>
        <v>984</v>
      </c>
      <c r="Z33" s="396">
        <f t="shared" si="7"/>
        <v>3025</v>
      </c>
      <c r="AA33" s="129">
        <f t="shared" si="7"/>
        <v>1056</v>
      </c>
      <c r="AB33" s="396">
        <f t="shared" si="7"/>
        <v>3063</v>
      </c>
      <c r="AC33" s="129">
        <f t="shared" si="7"/>
        <v>1257</v>
      </c>
      <c r="AD33" s="396">
        <f t="shared" si="7"/>
        <v>3300</v>
      </c>
      <c r="AE33" s="129">
        <f t="shared" si="7"/>
        <v>1082</v>
      </c>
      <c r="AF33" s="396">
        <f t="shared" si="7"/>
        <v>3431</v>
      </c>
      <c r="AG33" s="129">
        <f t="shared" si="7"/>
        <v>1341</v>
      </c>
      <c r="AH33" s="396">
        <f t="shared" si="7"/>
        <v>3699</v>
      </c>
      <c r="AI33" s="129">
        <f t="shared" si="7"/>
        <v>1313</v>
      </c>
      <c r="AJ33" s="396">
        <f t="shared" si="7"/>
        <v>3986</v>
      </c>
      <c r="AK33" s="129">
        <f t="shared" si="7"/>
        <v>1089</v>
      </c>
      <c r="AL33" s="130">
        <f t="shared" si="7"/>
        <v>2665</v>
      </c>
      <c r="AM33" s="130">
        <f t="shared" si="7"/>
        <v>1138</v>
      </c>
      <c r="AN33" s="396">
        <f t="shared" si="7"/>
        <v>3803</v>
      </c>
      <c r="AO33" s="130">
        <f t="shared" si="7"/>
        <v>1715</v>
      </c>
      <c r="AP33" s="130">
        <f t="shared" si="7"/>
        <v>701</v>
      </c>
      <c r="AQ33" s="396">
        <f t="shared" si="7"/>
        <v>2416</v>
      </c>
      <c r="AR33" s="130">
        <f t="shared" si="7"/>
        <v>199</v>
      </c>
      <c r="AS33" s="130">
        <f t="shared" si="7"/>
        <v>94</v>
      </c>
      <c r="AT33" s="396">
        <f t="shared" si="7"/>
        <v>293</v>
      </c>
    </row>
    <row r="34" spans="1:46" ht="15" customHeight="1" x14ac:dyDescent="0.25">
      <c r="A34" s="2343"/>
      <c r="B34" s="1336" t="s">
        <v>68</v>
      </c>
      <c r="C34" s="129">
        <f>SUM(C8,C28)</f>
        <v>21</v>
      </c>
      <c r="D34" s="130">
        <f>SUM(D8,D28)</f>
        <v>19</v>
      </c>
      <c r="E34" s="129">
        <f>SUM(E8,E28)</f>
        <v>122</v>
      </c>
      <c r="F34" s="130">
        <f>SUM(F8,F28)</f>
        <v>134</v>
      </c>
      <c r="G34" s="129">
        <v>145</v>
      </c>
      <c r="H34" s="130">
        <v>258</v>
      </c>
      <c r="I34" s="129">
        <v>155</v>
      </c>
      <c r="J34" s="396">
        <v>374</v>
      </c>
      <c r="K34" s="130">
        <v>193</v>
      </c>
      <c r="L34" s="396">
        <v>478</v>
      </c>
      <c r="M34" s="130">
        <v>424</v>
      </c>
      <c r="N34" s="396">
        <v>784</v>
      </c>
      <c r="O34" s="130">
        <v>294</v>
      </c>
      <c r="P34" s="396">
        <v>928</v>
      </c>
      <c r="Q34" s="130">
        <v>307</v>
      </c>
      <c r="R34" s="396">
        <v>910</v>
      </c>
      <c r="S34" s="130">
        <v>502</v>
      </c>
      <c r="T34" s="396">
        <v>1030</v>
      </c>
      <c r="U34" s="129">
        <f t="shared" ref="U34:AT34" si="8">SUM(U8,U28)</f>
        <v>536</v>
      </c>
      <c r="V34" s="396">
        <f t="shared" si="8"/>
        <v>1228</v>
      </c>
      <c r="W34" s="129">
        <f t="shared" si="8"/>
        <v>427</v>
      </c>
      <c r="X34" s="396">
        <f t="shared" si="8"/>
        <v>1307</v>
      </c>
      <c r="Y34" s="129">
        <f t="shared" si="8"/>
        <v>446</v>
      </c>
      <c r="Z34" s="396">
        <f t="shared" si="8"/>
        <v>1376</v>
      </c>
      <c r="AA34" s="129">
        <f t="shared" si="8"/>
        <v>434</v>
      </c>
      <c r="AB34" s="396">
        <f t="shared" si="8"/>
        <v>1381</v>
      </c>
      <c r="AC34" s="129">
        <f t="shared" si="8"/>
        <v>528</v>
      </c>
      <c r="AD34" s="396">
        <f t="shared" si="8"/>
        <v>1487</v>
      </c>
      <c r="AE34" s="129">
        <f t="shared" si="8"/>
        <v>506</v>
      </c>
      <c r="AF34" s="396">
        <f t="shared" si="8"/>
        <v>1579</v>
      </c>
      <c r="AG34" s="129">
        <f t="shared" si="8"/>
        <v>579</v>
      </c>
      <c r="AH34" s="396">
        <f t="shared" si="8"/>
        <v>1690</v>
      </c>
      <c r="AI34" s="129">
        <f t="shared" si="8"/>
        <v>671</v>
      </c>
      <c r="AJ34" s="396">
        <f t="shared" si="8"/>
        <v>1896</v>
      </c>
      <c r="AK34" s="129">
        <f t="shared" si="8"/>
        <v>634</v>
      </c>
      <c r="AL34" s="130">
        <f t="shared" si="8"/>
        <v>1055</v>
      </c>
      <c r="AM34" s="130">
        <f t="shared" si="8"/>
        <v>924</v>
      </c>
      <c r="AN34" s="396">
        <f t="shared" si="8"/>
        <v>1979</v>
      </c>
      <c r="AO34" s="130">
        <f t="shared" si="8"/>
        <v>746</v>
      </c>
      <c r="AP34" s="130">
        <f t="shared" si="8"/>
        <v>572</v>
      </c>
      <c r="AQ34" s="396">
        <f t="shared" si="8"/>
        <v>1318</v>
      </c>
      <c r="AR34" s="130">
        <f t="shared" si="8"/>
        <v>38</v>
      </c>
      <c r="AS34" s="130">
        <f t="shared" si="8"/>
        <v>44</v>
      </c>
      <c r="AT34" s="396">
        <f t="shared" si="8"/>
        <v>82</v>
      </c>
    </row>
    <row r="35" spans="1:46" ht="15" customHeight="1" x14ac:dyDescent="0.25">
      <c r="A35" s="2343"/>
      <c r="B35" s="1336" t="s">
        <v>111</v>
      </c>
      <c r="C35" s="129"/>
      <c r="D35" s="130"/>
      <c r="E35" s="129"/>
      <c r="F35" s="130"/>
      <c r="G35" s="129"/>
      <c r="H35" s="130"/>
      <c r="I35" s="129"/>
      <c r="J35" s="396"/>
      <c r="K35" s="130">
        <v>4</v>
      </c>
      <c r="L35" s="396">
        <v>4</v>
      </c>
      <c r="M35" s="130">
        <v>19</v>
      </c>
      <c r="N35" s="396">
        <v>23</v>
      </c>
      <c r="O35" s="130">
        <v>24</v>
      </c>
      <c r="P35" s="396">
        <v>46</v>
      </c>
      <c r="Q35" s="130">
        <v>39</v>
      </c>
      <c r="R35" s="396">
        <v>78</v>
      </c>
      <c r="S35" s="130">
        <v>34</v>
      </c>
      <c r="T35" s="396">
        <v>105</v>
      </c>
      <c r="U35" s="129">
        <f t="shared" ref="U35:Z36" si="9">SUM(U12)</f>
        <v>42</v>
      </c>
      <c r="V35" s="396">
        <f t="shared" si="9"/>
        <v>121</v>
      </c>
      <c r="W35" s="129">
        <f t="shared" si="9"/>
        <v>57</v>
      </c>
      <c r="X35" s="396">
        <f t="shared" si="9"/>
        <v>142</v>
      </c>
      <c r="Y35" s="129">
        <f t="shared" si="9"/>
        <v>40</v>
      </c>
      <c r="Z35" s="396">
        <f t="shared" si="9"/>
        <v>130</v>
      </c>
      <c r="AA35" s="129">
        <f t="shared" ref="AA35:AT36" si="10">SUM(AA12)</f>
        <v>57</v>
      </c>
      <c r="AB35" s="396">
        <f t="shared" si="10"/>
        <v>137</v>
      </c>
      <c r="AC35" s="129">
        <f t="shared" si="10"/>
        <v>76</v>
      </c>
      <c r="AD35" s="396">
        <f t="shared" si="10"/>
        <v>188</v>
      </c>
      <c r="AE35" s="129">
        <f t="shared" si="10"/>
        <v>65</v>
      </c>
      <c r="AF35" s="396">
        <f t="shared" si="10"/>
        <v>193</v>
      </c>
      <c r="AG35" s="129">
        <f t="shared" si="10"/>
        <v>107</v>
      </c>
      <c r="AH35" s="396">
        <f t="shared" si="10"/>
        <v>257</v>
      </c>
      <c r="AI35" s="129">
        <f t="shared" si="10"/>
        <v>122</v>
      </c>
      <c r="AJ35" s="396">
        <f t="shared" si="10"/>
        <v>315</v>
      </c>
      <c r="AK35" s="129">
        <f t="shared" si="10"/>
        <v>110</v>
      </c>
      <c r="AL35" s="130">
        <f t="shared" si="10"/>
        <v>178</v>
      </c>
      <c r="AM35" s="130">
        <f t="shared" si="10"/>
        <v>174</v>
      </c>
      <c r="AN35" s="396">
        <f t="shared" si="10"/>
        <v>352</v>
      </c>
      <c r="AO35" s="130">
        <f t="shared" si="10"/>
        <v>117</v>
      </c>
      <c r="AP35" s="130">
        <f t="shared" si="10"/>
        <v>101</v>
      </c>
      <c r="AQ35" s="396">
        <f t="shared" si="10"/>
        <v>218</v>
      </c>
      <c r="AR35" s="130">
        <f t="shared" si="10"/>
        <v>6</v>
      </c>
      <c r="AS35" s="130">
        <f t="shared" si="10"/>
        <v>11</v>
      </c>
      <c r="AT35" s="396">
        <f t="shared" si="10"/>
        <v>17</v>
      </c>
    </row>
    <row r="36" spans="1:46" ht="15" customHeight="1" x14ac:dyDescent="0.25">
      <c r="A36" s="2343"/>
      <c r="B36" s="1514" t="s">
        <v>115</v>
      </c>
      <c r="C36" s="628"/>
      <c r="D36" s="1678"/>
      <c r="E36" s="628"/>
      <c r="F36" s="1678"/>
      <c r="G36" s="628"/>
      <c r="H36" s="1678"/>
      <c r="I36" s="628"/>
      <c r="J36" s="2362"/>
      <c r="K36" s="1678">
        <v>8</v>
      </c>
      <c r="L36" s="2362">
        <v>8</v>
      </c>
      <c r="M36" s="1678">
        <v>14</v>
      </c>
      <c r="N36" s="2362">
        <v>22</v>
      </c>
      <c r="O36" s="1678">
        <v>12</v>
      </c>
      <c r="P36" s="2362">
        <v>29</v>
      </c>
      <c r="Q36" s="1678">
        <v>18</v>
      </c>
      <c r="R36" s="2362">
        <v>40</v>
      </c>
      <c r="S36" s="1678">
        <v>15</v>
      </c>
      <c r="T36" s="2362">
        <v>42</v>
      </c>
      <c r="U36" s="628">
        <f t="shared" si="9"/>
        <v>21</v>
      </c>
      <c r="V36" s="2362">
        <f t="shared" si="9"/>
        <v>45</v>
      </c>
      <c r="W36" s="628">
        <f t="shared" si="9"/>
        <v>37</v>
      </c>
      <c r="X36" s="2362">
        <f t="shared" si="9"/>
        <v>69</v>
      </c>
      <c r="Y36" s="628">
        <f t="shared" si="9"/>
        <v>21</v>
      </c>
      <c r="Z36" s="2362">
        <f t="shared" si="9"/>
        <v>67</v>
      </c>
      <c r="AA36" s="628">
        <f t="shared" si="10"/>
        <v>39</v>
      </c>
      <c r="AB36" s="2362">
        <f t="shared" si="10"/>
        <v>71</v>
      </c>
      <c r="AC36" s="628">
        <f t="shared" si="10"/>
        <v>81</v>
      </c>
      <c r="AD36" s="2362">
        <f t="shared" si="10"/>
        <v>132</v>
      </c>
      <c r="AE36" s="628">
        <f t="shared" si="10"/>
        <v>70</v>
      </c>
      <c r="AF36" s="2362">
        <f t="shared" si="10"/>
        <v>167</v>
      </c>
      <c r="AG36" s="628">
        <f t="shared" si="10"/>
        <v>74</v>
      </c>
      <c r="AH36" s="2362">
        <f t="shared" si="10"/>
        <v>169</v>
      </c>
      <c r="AI36" s="628">
        <f t="shared" si="10"/>
        <v>98</v>
      </c>
      <c r="AJ36" s="2362">
        <f t="shared" si="10"/>
        <v>225</v>
      </c>
      <c r="AK36" s="628">
        <f t="shared" si="10"/>
        <v>92</v>
      </c>
      <c r="AL36" s="1678">
        <f t="shared" si="10"/>
        <v>115</v>
      </c>
      <c r="AM36" s="1678">
        <f t="shared" si="10"/>
        <v>129</v>
      </c>
      <c r="AN36" s="2362">
        <f t="shared" si="10"/>
        <v>244</v>
      </c>
      <c r="AO36" s="1678">
        <f t="shared" si="10"/>
        <v>69</v>
      </c>
      <c r="AP36" s="1678">
        <f t="shared" si="10"/>
        <v>86</v>
      </c>
      <c r="AQ36" s="2362">
        <f t="shared" si="10"/>
        <v>155</v>
      </c>
      <c r="AR36" s="1678">
        <f t="shared" si="10"/>
        <v>13</v>
      </c>
      <c r="AS36" s="1678">
        <f t="shared" si="10"/>
        <v>14</v>
      </c>
      <c r="AT36" s="2362">
        <f t="shared" si="10"/>
        <v>27</v>
      </c>
    </row>
    <row r="37" spans="1:46" ht="15" customHeight="1" x14ac:dyDescent="0.25">
      <c r="A37" s="2343"/>
      <c r="B37" s="2363" t="s">
        <v>431</v>
      </c>
      <c r="C37" s="630">
        <f>SUM(C31:C36)</f>
        <v>159</v>
      </c>
      <c r="D37" s="1664">
        <f>SUM(D31:D36)</f>
        <v>153</v>
      </c>
      <c r="E37" s="630">
        <f>SUM(E31:E36)</f>
        <v>871</v>
      </c>
      <c r="F37" s="1664">
        <f>SUM(F31:F36)</f>
        <v>960</v>
      </c>
      <c r="G37" s="630">
        <v>968</v>
      </c>
      <c r="H37" s="1664">
        <v>1758</v>
      </c>
      <c r="I37" s="630">
        <v>1077</v>
      </c>
      <c r="J37" s="1665">
        <v>2455</v>
      </c>
      <c r="K37" s="1664">
        <v>1367</v>
      </c>
      <c r="L37" s="1665">
        <v>3186</v>
      </c>
      <c r="M37" s="1664">
        <v>3053</v>
      </c>
      <c r="N37" s="1665">
        <v>5263</v>
      </c>
      <c r="O37" s="1664">
        <v>2419</v>
      </c>
      <c r="P37" s="1665">
        <v>6523</v>
      </c>
      <c r="Q37" s="1664">
        <v>2231</v>
      </c>
      <c r="R37" s="1665">
        <v>6627</v>
      </c>
      <c r="S37" s="1664">
        <v>3959</v>
      </c>
      <c r="T37" s="1665">
        <v>7880</v>
      </c>
      <c r="U37" s="1664">
        <f t="shared" ref="U37:AA37" si="11">SUM(U31:U36)</f>
        <v>4611</v>
      </c>
      <c r="V37" s="1665">
        <f t="shared" si="11"/>
        <v>9880</v>
      </c>
      <c r="W37" s="1664">
        <f t="shared" si="11"/>
        <v>4272</v>
      </c>
      <c r="X37" s="1665">
        <f t="shared" si="11"/>
        <v>11531</v>
      </c>
      <c r="Y37" s="1664">
        <f t="shared" si="11"/>
        <v>3716</v>
      </c>
      <c r="Z37" s="1665">
        <f t="shared" si="11"/>
        <v>11963</v>
      </c>
      <c r="AA37" s="1664">
        <f t="shared" si="11"/>
        <v>4046</v>
      </c>
      <c r="AB37" s="1665">
        <v>12043</v>
      </c>
      <c r="AC37" s="1664">
        <f t="shared" ref="AC37:AT37" si="12">SUM(AC31:AC36)</f>
        <v>4746</v>
      </c>
      <c r="AD37" s="1665">
        <f t="shared" si="12"/>
        <v>12970</v>
      </c>
      <c r="AE37" s="1664">
        <f t="shared" si="12"/>
        <v>4178</v>
      </c>
      <c r="AF37" s="1665">
        <f t="shared" si="12"/>
        <v>13338</v>
      </c>
      <c r="AG37" s="1664">
        <f t="shared" si="12"/>
        <v>4958</v>
      </c>
      <c r="AH37" s="1665">
        <f t="shared" si="12"/>
        <v>14114</v>
      </c>
      <c r="AI37" s="1664">
        <f t="shared" si="12"/>
        <v>5141</v>
      </c>
      <c r="AJ37" s="1665">
        <f t="shared" si="12"/>
        <v>15198</v>
      </c>
      <c r="AK37" s="1664">
        <f t="shared" si="12"/>
        <v>4483</v>
      </c>
      <c r="AL37" s="2364">
        <f t="shared" si="12"/>
        <v>8677</v>
      </c>
      <c r="AM37" s="1664">
        <f t="shared" si="12"/>
        <v>6102</v>
      </c>
      <c r="AN37" s="1665">
        <f t="shared" si="12"/>
        <v>14779</v>
      </c>
      <c r="AO37" s="2364">
        <f t="shared" si="12"/>
        <v>5735</v>
      </c>
      <c r="AP37" s="1664">
        <f t="shared" si="12"/>
        <v>3672</v>
      </c>
      <c r="AQ37" s="1665">
        <f t="shared" si="12"/>
        <v>9407</v>
      </c>
      <c r="AR37" s="2364">
        <f t="shared" si="12"/>
        <v>625</v>
      </c>
      <c r="AS37" s="1664">
        <f t="shared" si="12"/>
        <v>529</v>
      </c>
      <c r="AT37" s="1665">
        <f t="shared" si="12"/>
        <v>1154</v>
      </c>
    </row>
    <row r="38" spans="1:46" ht="17.399999999999999" x14ac:dyDescent="0.25">
      <c r="A38" s="2343"/>
      <c r="B38" s="393" t="s">
        <v>623</v>
      </c>
      <c r="C38" s="372"/>
      <c r="D38" s="372"/>
      <c r="E38" s="372"/>
      <c r="F38" s="372"/>
      <c r="G38" s="372"/>
      <c r="H38" s="372"/>
      <c r="I38" s="372"/>
      <c r="J38" s="372"/>
    </row>
    <row r="39" spans="1:46" ht="17.399999999999999" x14ac:dyDescent="0.25">
      <c r="A39" s="2343"/>
    </row>
    <row r="40" spans="1:46" ht="17.399999999999999" x14ac:dyDescent="0.25">
      <c r="A40" s="2343"/>
    </row>
    <row r="43" spans="1:46" x14ac:dyDescent="0.25">
      <c r="R43" s="206">
        <v>2001</v>
      </c>
    </row>
    <row r="44" spans="1:46" x14ac:dyDescent="0.25">
      <c r="R44" s="206">
        <v>2002</v>
      </c>
    </row>
    <row r="45" spans="1:46" x14ac:dyDescent="0.25">
      <c r="R45" s="206">
        <v>2003</v>
      </c>
    </row>
    <row r="46" spans="1:46" x14ac:dyDescent="0.25">
      <c r="R46" s="206">
        <v>2004</v>
      </c>
    </row>
    <row r="47" spans="1:46" x14ac:dyDescent="0.25">
      <c r="R47" s="206">
        <v>2005</v>
      </c>
    </row>
    <row r="48" spans="1:46" x14ac:dyDescent="0.25">
      <c r="R48" s="206">
        <v>2006</v>
      </c>
    </row>
    <row r="49" spans="18:18" x14ac:dyDescent="0.25">
      <c r="R49" s="206">
        <v>2007</v>
      </c>
    </row>
    <row r="50" spans="18:18" x14ac:dyDescent="0.25">
      <c r="R50" s="206">
        <v>2008</v>
      </c>
    </row>
    <row r="51" spans="18:18" x14ac:dyDescent="0.25">
      <c r="R51" s="206">
        <v>2009</v>
      </c>
    </row>
    <row r="52" spans="18:18" x14ac:dyDescent="0.25">
      <c r="R52" s="206">
        <v>2010</v>
      </c>
    </row>
    <row r="53" spans="18:18" x14ac:dyDescent="0.25">
      <c r="R53" s="206">
        <v>2011</v>
      </c>
    </row>
    <row r="54" spans="18:18" x14ac:dyDescent="0.25">
      <c r="R54" s="206">
        <v>2012</v>
      </c>
    </row>
    <row r="55" spans="18:18" x14ac:dyDescent="0.25">
      <c r="R55" s="206">
        <v>2013</v>
      </c>
    </row>
    <row r="56" spans="18:18" x14ac:dyDescent="0.25">
      <c r="R56" s="206">
        <v>2014</v>
      </c>
    </row>
    <row r="57" spans="18:18" x14ac:dyDescent="0.25">
      <c r="R57" s="206">
        <v>2015</v>
      </c>
    </row>
    <row r="58" spans="18:18" x14ac:dyDescent="0.25">
      <c r="R58" s="206">
        <v>2016</v>
      </c>
    </row>
    <row r="59" spans="18:18" x14ac:dyDescent="0.25">
      <c r="R59" s="206">
        <v>2017</v>
      </c>
    </row>
    <row r="60" spans="18:18" x14ac:dyDescent="0.25">
      <c r="R60" s="206">
        <v>2018</v>
      </c>
    </row>
    <row r="61" spans="18:18" x14ac:dyDescent="0.25">
      <c r="R61" s="206">
        <v>2019</v>
      </c>
    </row>
    <row r="62" spans="18:18" x14ac:dyDescent="0.25">
      <c r="R62" s="206">
        <v>2020</v>
      </c>
    </row>
  </sheetData>
  <mergeCells count="22">
    <mergeCell ref="AU6:AV15"/>
    <mergeCell ref="AL3:AN3"/>
    <mergeCell ref="AO3:AQ3"/>
    <mergeCell ref="AR3:AT3"/>
    <mergeCell ref="Y3:Z3"/>
    <mergeCell ref="AA3:AB3"/>
    <mergeCell ref="AC3:AD3"/>
    <mergeCell ref="AE3:AF3"/>
    <mergeCell ref="AG3:AH3"/>
    <mergeCell ref="AI3:AJ3"/>
    <mergeCell ref="W3:X3"/>
    <mergeCell ref="B3:B4"/>
    <mergeCell ref="C3:D3"/>
    <mergeCell ref="E3:F3"/>
    <mergeCell ref="G3:H3"/>
    <mergeCell ref="I3:J3"/>
    <mergeCell ref="K3:L3"/>
    <mergeCell ref="M3:N3"/>
    <mergeCell ref="O3:P3"/>
    <mergeCell ref="Q3:R3"/>
    <mergeCell ref="S3:T3"/>
    <mergeCell ref="U3:V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72" firstPageNumber="92" pageOrder="overThenDown" orientation="landscape" useFirstPageNumber="1" r:id="rId1"/>
  <headerFooter scaleWithDoc="0" alignWithMargins="0">
    <oddFooter>&amp;R&amp;P</oddFooter>
  </headerFooter>
  <rowBreaks count="2" manualBreakCount="2">
    <brk id="38" max="29" man="1"/>
    <brk id="38" min="34" max="47" man="1"/>
  </rowBreaks>
  <colBreaks count="1" manualBreakCount="1">
    <brk id="18" max="67" man="1"/>
  </col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</sheetPr>
  <dimension ref="B1:Z272"/>
  <sheetViews>
    <sheetView showGridLines="0" zoomScaleNormal="100" workbookViewId="0">
      <pane xSplit="2" ySplit="4" topLeftCell="M80" activePane="bottomRight" state="frozen"/>
      <selection activeCell="Q31" sqref="Q31"/>
      <selection pane="topRight" activeCell="Q31" sqref="Q31"/>
      <selection pane="bottomLeft" activeCell="Q31" sqref="Q31"/>
      <selection pane="bottomRight" activeCell="Q31" sqref="Q31"/>
    </sheetView>
  </sheetViews>
  <sheetFormatPr baseColWidth="10" defaultColWidth="5.88671875" defaultRowHeight="9.6" x14ac:dyDescent="0.2"/>
  <cols>
    <col min="1" max="1" width="2.88671875" style="2366" customWidth="1"/>
    <col min="2" max="2" width="45.44140625" style="2366" bestFit="1" customWidth="1"/>
    <col min="3" max="7" width="10.88671875" style="2366" customWidth="1"/>
    <col min="8" max="8" width="10.88671875" style="2367" customWidth="1"/>
    <col min="9" max="10" width="10.88671875" style="2366" customWidth="1"/>
    <col min="11" max="88" width="9.88671875" style="2366" customWidth="1"/>
    <col min="89" max="16384" width="5.88671875" style="2366"/>
  </cols>
  <sheetData>
    <row r="1" spans="2:26" ht="24" customHeight="1" x14ac:dyDescent="0.2">
      <c r="B1" s="2365" t="s">
        <v>1492</v>
      </c>
    </row>
    <row r="2" spans="2:26" ht="12" customHeight="1" x14ac:dyDescent="0.2"/>
    <row r="3" spans="2:26" ht="15" customHeight="1" x14ac:dyDescent="0.2">
      <c r="B3" s="6052" t="s">
        <v>624</v>
      </c>
      <c r="C3" s="6040">
        <v>2014</v>
      </c>
      <c r="D3" s="6041"/>
      <c r="E3" s="6040">
        <v>2015</v>
      </c>
      <c r="F3" s="6041"/>
      <c r="G3" s="6040">
        <v>2016</v>
      </c>
      <c r="H3" s="6041"/>
      <c r="I3" s="6040">
        <v>2017</v>
      </c>
      <c r="J3" s="6041"/>
      <c r="K3" s="2251">
        <v>2018</v>
      </c>
      <c r="L3" s="6044">
        <v>2018</v>
      </c>
      <c r="M3" s="6044"/>
      <c r="N3" s="6051"/>
      <c r="O3" s="6044">
        <v>2019</v>
      </c>
      <c r="P3" s="6044"/>
      <c r="Q3" s="6051"/>
      <c r="R3" s="6044">
        <v>2020</v>
      </c>
      <c r="S3" s="6044"/>
      <c r="T3" s="6051"/>
      <c r="U3" s="6044">
        <v>2021</v>
      </c>
      <c r="V3" s="6044"/>
      <c r="W3" s="6051"/>
      <c r="X3" s="6044">
        <v>2022</v>
      </c>
      <c r="Y3" s="6044"/>
      <c r="Z3" s="6051"/>
    </row>
    <row r="4" spans="2:26" ht="12.75" customHeight="1" x14ac:dyDescent="0.2">
      <c r="B4" s="6053"/>
      <c r="C4" s="2252" t="s">
        <v>617</v>
      </c>
      <c r="D4" s="2253" t="s">
        <v>618</v>
      </c>
      <c r="E4" s="2252" t="s">
        <v>617</v>
      </c>
      <c r="F4" s="2253" t="s">
        <v>618</v>
      </c>
      <c r="G4" s="2252" t="s">
        <v>617</v>
      </c>
      <c r="H4" s="2253" t="s">
        <v>618</v>
      </c>
      <c r="I4" s="2252" t="s">
        <v>617</v>
      </c>
      <c r="J4" s="2253" t="s">
        <v>618</v>
      </c>
      <c r="K4" s="2254" t="s">
        <v>617</v>
      </c>
      <c r="L4" s="2254" t="s">
        <v>140</v>
      </c>
      <c r="M4" s="2257" t="s">
        <v>141</v>
      </c>
      <c r="N4" s="2368" t="s">
        <v>48</v>
      </c>
      <c r="O4" s="2254" t="s">
        <v>140</v>
      </c>
      <c r="P4" s="2257" t="s">
        <v>141</v>
      </c>
      <c r="Q4" s="2368" t="s">
        <v>48</v>
      </c>
      <c r="R4" s="2254" t="s">
        <v>140</v>
      </c>
      <c r="S4" s="2257" t="s">
        <v>141</v>
      </c>
      <c r="T4" s="2368" t="s">
        <v>48</v>
      </c>
      <c r="U4" s="2254" t="s">
        <v>140</v>
      </c>
      <c r="V4" s="2257" t="s">
        <v>141</v>
      </c>
      <c r="W4" s="2368" t="s">
        <v>48</v>
      </c>
      <c r="X4" s="2254" t="s">
        <v>140</v>
      </c>
      <c r="Y4" s="2257" t="s">
        <v>141</v>
      </c>
      <c r="Z4" s="2368" t="s">
        <v>48</v>
      </c>
    </row>
    <row r="5" spans="2:26" ht="15" customHeight="1" x14ac:dyDescent="0.2">
      <c r="B5" s="2369" t="s">
        <v>49</v>
      </c>
      <c r="C5" s="151">
        <v>38</v>
      </c>
      <c r="D5" s="395">
        <v>38</v>
      </c>
      <c r="E5" s="151">
        <v>15</v>
      </c>
      <c r="F5" s="395">
        <v>53</v>
      </c>
      <c r="G5" s="151">
        <v>6</v>
      </c>
      <c r="H5" s="395">
        <v>15</v>
      </c>
      <c r="I5" s="151">
        <v>3</v>
      </c>
      <c r="J5" s="395">
        <v>3</v>
      </c>
      <c r="K5" s="2261">
        <v>29</v>
      </c>
      <c r="L5" s="2262">
        <v>19</v>
      </c>
      <c r="M5" s="2262">
        <v>7</v>
      </c>
      <c r="N5" s="2260">
        <f>SUM(L5:M5)</f>
        <v>26</v>
      </c>
      <c r="O5" s="2262">
        <v>19</v>
      </c>
      <c r="P5" s="2262">
        <v>8</v>
      </c>
      <c r="Q5" s="2260">
        <f>SUM(O5:P5)</f>
        <v>27</v>
      </c>
      <c r="R5" s="2262">
        <v>17</v>
      </c>
      <c r="S5" s="2262">
        <v>4</v>
      </c>
      <c r="T5" s="2260">
        <f>SUM(R5:S5)</f>
        <v>21</v>
      </c>
      <c r="U5" s="2262">
        <v>12</v>
      </c>
      <c r="V5" s="2262">
        <v>2</v>
      </c>
      <c r="W5" s="2260">
        <f>SUM(U5:V5)</f>
        <v>14</v>
      </c>
      <c r="X5" s="2262">
        <v>9</v>
      </c>
      <c r="Y5" s="2262">
        <v>3</v>
      </c>
      <c r="Z5" s="2260">
        <f>SUM(X5:Y5)</f>
        <v>12</v>
      </c>
    </row>
    <row r="6" spans="2:26" ht="15" customHeight="1" x14ac:dyDescent="0.2">
      <c r="B6" s="2370" t="s">
        <v>50</v>
      </c>
      <c r="C6" s="129">
        <v>30</v>
      </c>
      <c r="D6" s="396">
        <v>29</v>
      </c>
      <c r="E6" s="129">
        <v>9</v>
      </c>
      <c r="F6" s="396">
        <v>39</v>
      </c>
      <c r="G6" s="129">
        <v>2</v>
      </c>
      <c r="H6" s="396">
        <v>10</v>
      </c>
      <c r="I6" s="129"/>
      <c r="J6" s="396"/>
      <c r="K6" s="2266">
        <v>18</v>
      </c>
      <c r="L6" s="2267">
        <v>3</v>
      </c>
      <c r="M6" s="2267">
        <v>12</v>
      </c>
      <c r="N6" s="2265">
        <f t="shared" ref="N6:N69" si="0">SUM(L6:M6)</f>
        <v>15</v>
      </c>
      <c r="O6" s="2267">
        <v>2</v>
      </c>
      <c r="P6" s="2267">
        <v>12</v>
      </c>
      <c r="Q6" s="2265">
        <f t="shared" ref="Q6:Q14" si="1">SUM(O6:P6)</f>
        <v>14</v>
      </c>
      <c r="R6" s="2267">
        <v>3</v>
      </c>
      <c r="S6" s="2267">
        <v>20</v>
      </c>
      <c r="T6" s="2265">
        <f t="shared" ref="T6:T14" si="2">SUM(R6:S6)</f>
        <v>23</v>
      </c>
      <c r="U6" s="2267">
        <v>7</v>
      </c>
      <c r="V6" s="2267">
        <v>15</v>
      </c>
      <c r="W6" s="2265">
        <f t="shared" ref="W6:W14" si="3">SUM(U6:V6)</f>
        <v>22</v>
      </c>
      <c r="X6" s="2267">
        <v>3</v>
      </c>
      <c r="Y6" s="2267">
        <v>7</v>
      </c>
      <c r="Z6" s="2265">
        <f t="shared" ref="Z6:Z14" si="4">SUM(X6:Y6)</f>
        <v>10</v>
      </c>
    </row>
    <row r="7" spans="2:26" ht="15" customHeight="1" x14ac:dyDescent="0.2">
      <c r="B7" s="2370" t="s">
        <v>58</v>
      </c>
      <c r="C7" s="129">
        <v>4</v>
      </c>
      <c r="D7" s="396">
        <v>4</v>
      </c>
      <c r="E7" s="129">
        <v>1</v>
      </c>
      <c r="F7" s="396">
        <v>5</v>
      </c>
      <c r="G7" s="129">
        <v>2</v>
      </c>
      <c r="H7" s="396">
        <v>11</v>
      </c>
      <c r="I7" s="129">
        <v>1</v>
      </c>
      <c r="J7" s="396">
        <v>1</v>
      </c>
      <c r="K7" s="2266">
        <v>28</v>
      </c>
      <c r="L7" s="2267">
        <v>8</v>
      </c>
      <c r="M7" s="2267">
        <v>20</v>
      </c>
      <c r="N7" s="2265">
        <f t="shared" si="0"/>
        <v>28</v>
      </c>
      <c r="O7" s="2267">
        <v>6</v>
      </c>
      <c r="P7" s="2267">
        <v>16</v>
      </c>
      <c r="Q7" s="2265">
        <f t="shared" si="1"/>
        <v>22</v>
      </c>
      <c r="R7" s="2267">
        <v>5</v>
      </c>
      <c r="S7" s="2267">
        <v>12</v>
      </c>
      <c r="T7" s="2265">
        <f t="shared" si="2"/>
        <v>17</v>
      </c>
      <c r="U7" s="2267">
        <v>4</v>
      </c>
      <c r="V7" s="2267">
        <v>26</v>
      </c>
      <c r="W7" s="2265">
        <f t="shared" si="3"/>
        <v>30</v>
      </c>
      <c r="X7" s="2267"/>
      <c r="Y7" s="2267">
        <v>25</v>
      </c>
      <c r="Z7" s="2265">
        <f t="shared" si="4"/>
        <v>25</v>
      </c>
    </row>
    <row r="8" spans="2:26" ht="15" customHeight="1" x14ac:dyDescent="0.2">
      <c r="B8" s="2370" t="s">
        <v>51</v>
      </c>
      <c r="C8" s="129">
        <v>14</v>
      </c>
      <c r="D8" s="396">
        <v>14</v>
      </c>
      <c r="E8" s="129">
        <v>6</v>
      </c>
      <c r="F8" s="396">
        <v>20</v>
      </c>
      <c r="G8" s="129">
        <v>2</v>
      </c>
      <c r="H8" s="396">
        <v>2</v>
      </c>
      <c r="I8" s="129">
        <v>1</v>
      </c>
      <c r="J8" s="396">
        <v>1</v>
      </c>
      <c r="K8" s="2266">
        <v>3</v>
      </c>
      <c r="L8" s="2267">
        <v>1</v>
      </c>
      <c r="M8" s="2267">
        <v>2</v>
      </c>
      <c r="N8" s="2265">
        <f t="shared" si="0"/>
        <v>3</v>
      </c>
      <c r="O8" s="2267"/>
      <c r="P8" s="2267">
        <v>1</v>
      </c>
      <c r="Q8" s="2265">
        <f t="shared" si="1"/>
        <v>1</v>
      </c>
      <c r="R8" s="2267"/>
      <c r="S8" s="2267">
        <v>2</v>
      </c>
      <c r="T8" s="2265">
        <f t="shared" si="2"/>
        <v>2</v>
      </c>
      <c r="U8" s="2267">
        <v>0</v>
      </c>
      <c r="V8" s="2267">
        <v>3</v>
      </c>
      <c r="W8" s="2265">
        <f t="shared" si="3"/>
        <v>3</v>
      </c>
      <c r="X8" s="2267"/>
      <c r="Y8" s="2267">
        <v>3</v>
      </c>
      <c r="Z8" s="2265">
        <f t="shared" si="4"/>
        <v>3</v>
      </c>
    </row>
    <row r="9" spans="2:26" ht="15" customHeight="1" x14ac:dyDescent="0.2">
      <c r="B9" s="2370" t="s">
        <v>57</v>
      </c>
      <c r="C9" s="129">
        <v>29</v>
      </c>
      <c r="D9" s="396">
        <v>29</v>
      </c>
      <c r="E9" s="129">
        <v>11</v>
      </c>
      <c r="F9" s="396">
        <v>40</v>
      </c>
      <c r="G9" s="129">
        <v>7</v>
      </c>
      <c r="H9" s="396">
        <v>11</v>
      </c>
      <c r="I9" s="129"/>
      <c r="J9" s="396"/>
      <c r="K9" s="2266">
        <v>13</v>
      </c>
      <c r="L9" s="2267">
        <v>3</v>
      </c>
      <c r="M9" s="2267">
        <v>10</v>
      </c>
      <c r="N9" s="2265">
        <f t="shared" si="0"/>
        <v>13</v>
      </c>
      <c r="O9" s="2267">
        <v>4</v>
      </c>
      <c r="P9" s="2267">
        <v>12</v>
      </c>
      <c r="Q9" s="2265">
        <f t="shared" si="1"/>
        <v>16</v>
      </c>
      <c r="R9" s="2267">
        <v>5</v>
      </c>
      <c r="S9" s="2267">
        <v>14</v>
      </c>
      <c r="T9" s="2265">
        <f t="shared" si="2"/>
        <v>19</v>
      </c>
      <c r="U9" s="2267">
        <v>1</v>
      </c>
      <c r="V9" s="2267">
        <v>5</v>
      </c>
      <c r="W9" s="2265">
        <f t="shared" si="3"/>
        <v>6</v>
      </c>
      <c r="X9" s="2267">
        <v>1</v>
      </c>
      <c r="Y9" s="2267">
        <v>4</v>
      </c>
      <c r="Z9" s="2265">
        <f t="shared" si="4"/>
        <v>5</v>
      </c>
    </row>
    <row r="10" spans="2:26" ht="15" customHeight="1" x14ac:dyDescent="0.2">
      <c r="B10" s="2370" t="s">
        <v>52</v>
      </c>
      <c r="C10" s="129">
        <v>10</v>
      </c>
      <c r="D10" s="396">
        <v>10</v>
      </c>
      <c r="E10" s="129">
        <v>8</v>
      </c>
      <c r="F10" s="396">
        <v>18</v>
      </c>
      <c r="G10" s="129"/>
      <c r="H10" s="396">
        <v>7</v>
      </c>
      <c r="I10" s="129"/>
      <c r="J10" s="396"/>
      <c r="K10" s="2266">
        <v>24</v>
      </c>
      <c r="L10" s="2267">
        <v>6</v>
      </c>
      <c r="M10" s="2267">
        <v>16</v>
      </c>
      <c r="N10" s="2265">
        <f t="shared" si="0"/>
        <v>22</v>
      </c>
      <c r="O10" s="2267">
        <v>5</v>
      </c>
      <c r="P10" s="2267">
        <v>19</v>
      </c>
      <c r="Q10" s="2265">
        <f t="shared" si="1"/>
        <v>24</v>
      </c>
      <c r="R10" s="2267">
        <v>4</v>
      </c>
      <c r="S10" s="2267">
        <v>17</v>
      </c>
      <c r="T10" s="2265">
        <f t="shared" si="2"/>
        <v>21</v>
      </c>
      <c r="U10" s="2267">
        <v>3</v>
      </c>
      <c r="V10" s="2267">
        <v>7</v>
      </c>
      <c r="W10" s="2265">
        <f t="shared" si="3"/>
        <v>10</v>
      </c>
      <c r="X10" s="2267">
        <v>1</v>
      </c>
      <c r="Y10" s="2267">
        <v>14</v>
      </c>
      <c r="Z10" s="2265">
        <f t="shared" si="4"/>
        <v>15</v>
      </c>
    </row>
    <row r="11" spans="2:26" ht="15" customHeight="1" x14ac:dyDescent="0.2">
      <c r="B11" s="2370" t="s">
        <v>53</v>
      </c>
      <c r="C11" s="129">
        <v>24</v>
      </c>
      <c r="D11" s="396">
        <v>24</v>
      </c>
      <c r="E11" s="129">
        <v>11</v>
      </c>
      <c r="F11" s="396">
        <v>35</v>
      </c>
      <c r="G11" s="129">
        <v>4</v>
      </c>
      <c r="H11" s="396">
        <v>9</v>
      </c>
      <c r="I11" s="129">
        <v>1</v>
      </c>
      <c r="J11" s="396">
        <v>1</v>
      </c>
      <c r="K11" s="2266">
        <v>24</v>
      </c>
      <c r="L11" s="2267">
        <v>16</v>
      </c>
      <c r="M11" s="2267">
        <v>7</v>
      </c>
      <c r="N11" s="2265">
        <f t="shared" si="0"/>
        <v>23</v>
      </c>
      <c r="O11" s="2267">
        <v>15</v>
      </c>
      <c r="P11" s="2267">
        <v>16</v>
      </c>
      <c r="Q11" s="2265">
        <f t="shared" si="1"/>
        <v>31</v>
      </c>
      <c r="R11" s="2267">
        <v>15</v>
      </c>
      <c r="S11" s="2267">
        <v>16</v>
      </c>
      <c r="T11" s="2265">
        <f t="shared" si="2"/>
        <v>31</v>
      </c>
      <c r="U11" s="2267">
        <v>10</v>
      </c>
      <c r="V11" s="2267">
        <v>14</v>
      </c>
      <c r="W11" s="2265">
        <f t="shared" si="3"/>
        <v>24</v>
      </c>
      <c r="X11" s="2267">
        <v>13</v>
      </c>
      <c r="Y11" s="2267">
        <v>11</v>
      </c>
      <c r="Z11" s="2265">
        <f t="shared" si="4"/>
        <v>24</v>
      </c>
    </row>
    <row r="12" spans="2:26" ht="15" customHeight="1" x14ac:dyDescent="0.2">
      <c r="B12" s="2370" t="s">
        <v>54</v>
      </c>
      <c r="C12" s="129">
        <v>14</v>
      </c>
      <c r="D12" s="396">
        <v>14</v>
      </c>
      <c r="E12" s="129">
        <v>7</v>
      </c>
      <c r="F12" s="396">
        <v>21</v>
      </c>
      <c r="G12" s="129">
        <v>3</v>
      </c>
      <c r="H12" s="396">
        <v>6</v>
      </c>
      <c r="I12" s="129">
        <v>1</v>
      </c>
      <c r="J12" s="396">
        <v>1</v>
      </c>
      <c r="K12" s="2266">
        <v>24</v>
      </c>
      <c r="L12" s="2267">
        <v>3</v>
      </c>
      <c r="M12" s="2267">
        <v>21</v>
      </c>
      <c r="N12" s="2265">
        <f t="shared" si="0"/>
        <v>24</v>
      </c>
      <c r="O12" s="2267">
        <v>4</v>
      </c>
      <c r="P12" s="2267">
        <v>17</v>
      </c>
      <c r="Q12" s="2265">
        <f t="shared" si="1"/>
        <v>21</v>
      </c>
      <c r="R12" s="2267">
        <v>2</v>
      </c>
      <c r="S12" s="2267">
        <v>15</v>
      </c>
      <c r="T12" s="2265">
        <f t="shared" si="2"/>
        <v>17</v>
      </c>
      <c r="U12" s="2267">
        <v>3</v>
      </c>
      <c r="V12" s="2267">
        <v>10</v>
      </c>
      <c r="W12" s="2265">
        <f t="shared" si="3"/>
        <v>13</v>
      </c>
      <c r="X12" s="2267">
        <v>3</v>
      </c>
      <c r="Y12" s="2267">
        <v>13</v>
      </c>
      <c r="Z12" s="2265">
        <f t="shared" si="4"/>
        <v>16</v>
      </c>
    </row>
    <row r="13" spans="2:26" ht="15" customHeight="1" x14ac:dyDescent="0.2">
      <c r="B13" s="2370" t="s">
        <v>55</v>
      </c>
      <c r="C13" s="129">
        <v>3</v>
      </c>
      <c r="D13" s="396">
        <v>3</v>
      </c>
      <c r="E13" s="129">
        <v>5</v>
      </c>
      <c r="F13" s="396">
        <v>8</v>
      </c>
      <c r="G13" s="129">
        <v>1</v>
      </c>
      <c r="H13" s="396">
        <v>6</v>
      </c>
      <c r="I13" s="129">
        <v>1</v>
      </c>
      <c r="J13" s="396">
        <v>1</v>
      </c>
      <c r="K13" s="2266">
        <v>14</v>
      </c>
      <c r="L13" s="2267">
        <v>5</v>
      </c>
      <c r="M13" s="2267">
        <v>9</v>
      </c>
      <c r="N13" s="2265">
        <f t="shared" si="0"/>
        <v>14</v>
      </c>
      <c r="O13" s="2267">
        <v>2</v>
      </c>
      <c r="P13" s="2267">
        <v>7</v>
      </c>
      <c r="Q13" s="2265">
        <f t="shared" si="1"/>
        <v>9</v>
      </c>
      <c r="R13" s="2267"/>
      <c r="S13" s="2267">
        <v>7</v>
      </c>
      <c r="T13" s="2265">
        <f t="shared" si="2"/>
        <v>7</v>
      </c>
      <c r="U13" s="2267">
        <v>1</v>
      </c>
      <c r="V13" s="2267">
        <v>4</v>
      </c>
      <c r="W13" s="2265">
        <f t="shared" si="3"/>
        <v>5</v>
      </c>
      <c r="X13" s="2267">
        <v>0</v>
      </c>
      <c r="Y13" s="2267">
        <v>2</v>
      </c>
      <c r="Z13" s="2265">
        <f t="shared" si="4"/>
        <v>2</v>
      </c>
    </row>
    <row r="14" spans="2:26" ht="15" customHeight="1" x14ac:dyDescent="0.2">
      <c r="B14" s="2370" t="s">
        <v>56</v>
      </c>
      <c r="C14" s="129">
        <v>20</v>
      </c>
      <c r="D14" s="396">
        <v>18</v>
      </c>
      <c r="E14" s="129">
        <v>10</v>
      </c>
      <c r="F14" s="396">
        <v>30</v>
      </c>
      <c r="G14" s="129">
        <v>7</v>
      </c>
      <c r="H14" s="396">
        <v>14</v>
      </c>
      <c r="I14" s="129">
        <v>2</v>
      </c>
      <c r="J14" s="396">
        <v>2</v>
      </c>
      <c r="K14" s="2266">
        <v>25</v>
      </c>
      <c r="L14" s="2267">
        <v>14</v>
      </c>
      <c r="M14" s="2267">
        <v>11</v>
      </c>
      <c r="N14" s="2265">
        <f t="shared" si="0"/>
        <v>25</v>
      </c>
      <c r="O14" s="2267">
        <v>19</v>
      </c>
      <c r="P14" s="2267">
        <v>9</v>
      </c>
      <c r="Q14" s="2265">
        <f t="shared" si="1"/>
        <v>28</v>
      </c>
      <c r="R14" s="2267">
        <v>19</v>
      </c>
      <c r="S14" s="2267">
        <v>4</v>
      </c>
      <c r="T14" s="2265">
        <f t="shared" si="2"/>
        <v>23</v>
      </c>
      <c r="U14" s="2267">
        <v>11</v>
      </c>
      <c r="V14" s="2267">
        <v>15</v>
      </c>
      <c r="W14" s="2265">
        <f t="shared" si="3"/>
        <v>26</v>
      </c>
      <c r="X14" s="2267">
        <v>11</v>
      </c>
      <c r="Y14" s="2267">
        <v>9</v>
      </c>
      <c r="Z14" s="2265">
        <f t="shared" si="4"/>
        <v>20</v>
      </c>
    </row>
    <row r="15" spans="2:26" ht="15" customHeight="1" x14ac:dyDescent="0.2">
      <c r="B15" s="2371" t="s">
        <v>59</v>
      </c>
      <c r="C15" s="2372">
        <f t="shared" ref="C15:T15" si="5">SUM(C5:C14)</f>
        <v>186</v>
      </c>
      <c r="D15" s="2373">
        <f t="shared" si="5"/>
        <v>183</v>
      </c>
      <c r="E15" s="2372">
        <f t="shared" si="5"/>
        <v>83</v>
      </c>
      <c r="F15" s="2373">
        <f t="shared" si="5"/>
        <v>269</v>
      </c>
      <c r="G15" s="2372">
        <f t="shared" si="5"/>
        <v>34</v>
      </c>
      <c r="H15" s="2373">
        <f t="shared" si="5"/>
        <v>91</v>
      </c>
      <c r="I15" s="2372">
        <f t="shared" si="5"/>
        <v>10</v>
      </c>
      <c r="J15" s="2373">
        <f t="shared" si="5"/>
        <v>10</v>
      </c>
      <c r="K15" s="2271">
        <f t="shared" si="5"/>
        <v>202</v>
      </c>
      <c r="L15" s="2272">
        <f t="shared" si="5"/>
        <v>78</v>
      </c>
      <c r="M15" s="2273">
        <f t="shared" si="5"/>
        <v>115</v>
      </c>
      <c r="N15" s="2270">
        <f t="shared" si="5"/>
        <v>193</v>
      </c>
      <c r="O15" s="2272">
        <f t="shared" si="5"/>
        <v>76</v>
      </c>
      <c r="P15" s="2273">
        <f t="shared" si="5"/>
        <v>117</v>
      </c>
      <c r="Q15" s="2270">
        <f t="shared" si="5"/>
        <v>193</v>
      </c>
      <c r="R15" s="2272">
        <f t="shared" si="5"/>
        <v>70</v>
      </c>
      <c r="S15" s="2273">
        <f t="shared" si="5"/>
        <v>111</v>
      </c>
      <c r="T15" s="2270">
        <f t="shared" si="5"/>
        <v>181</v>
      </c>
      <c r="U15" s="2272">
        <f>SUM(U5:U14)</f>
        <v>52</v>
      </c>
      <c r="V15" s="2273">
        <f>SUM(V5:V14)</f>
        <v>101</v>
      </c>
      <c r="W15" s="2270">
        <f t="shared" ref="W15" si="6">SUM(W5:W14)</f>
        <v>153</v>
      </c>
      <c r="X15" s="2272">
        <f>SUM(X5:X14)</f>
        <v>41</v>
      </c>
      <c r="Y15" s="2273">
        <f>SUM(Y5:Y14)</f>
        <v>91</v>
      </c>
      <c r="Z15" s="2270">
        <f t="shared" ref="Z15" si="7">SUM(Z5:Z14)</f>
        <v>132</v>
      </c>
    </row>
    <row r="16" spans="2:26" ht="15" customHeight="1" x14ac:dyDescent="0.2">
      <c r="B16" s="2370" t="s">
        <v>60</v>
      </c>
      <c r="C16" s="129">
        <v>106</v>
      </c>
      <c r="D16" s="396">
        <v>104</v>
      </c>
      <c r="E16" s="129">
        <v>62</v>
      </c>
      <c r="F16" s="396">
        <v>166</v>
      </c>
      <c r="G16" s="129">
        <v>26</v>
      </c>
      <c r="H16" s="396">
        <v>75</v>
      </c>
      <c r="I16" s="129">
        <v>2</v>
      </c>
      <c r="J16" s="396">
        <v>2</v>
      </c>
      <c r="K16" s="2266">
        <v>100</v>
      </c>
      <c r="L16" s="2267">
        <v>67</v>
      </c>
      <c r="M16" s="2267">
        <v>31</v>
      </c>
      <c r="N16" s="2265">
        <f t="shared" si="0"/>
        <v>98</v>
      </c>
      <c r="O16" s="2267">
        <v>85</v>
      </c>
      <c r="P16" s="2267">
        <v>39</v>
      </c>
      <c r="Q16" s="2265">
        <f>SUM(O16:P16)</f>
        <v>124</v>
      </c>
      <c r="R16" s="2267">
        <v>52</v>
      </c>
      <c r="S16" s="2267">
        <v>29</v>
      </c>
      <c r="T16" s="2265">
        <f>SUM(R16:S16)</f>
        <v>81</v>
      </c>
      <c r="U16" s="2267">
        <v>44</v>
      </c>
      <c r="V16" s="2267">
        <v>17</v>
      </c>
      <c r="W16" s="2265">
        <f>SUM(U16:V16)</f>
        <v>61</v>
      </c>
      <c r="X16" s="2267">
        <v>47</v>
      </c>
      <c r="Y16" s="2267">
        <v>17</v>
      </c>
      <c r="Z16" s="2265">
        <f>SUM(X16:Y16)</f>
        <v>64</v>
      </c>
    </row>
    <row r="17" spans="2:26" ht="15" customHeight="1" x14ac:dyDescent="0.2">
      <c r="B17" s="2370" t="s">
        <v>61</v>
      </c>
      <c r="C17" s="129">
        <v>182</v>
      </c>
      <c r="D17" s="396">
        <v>182</v>
      </c>
      <c r="E17" s="129">
        <v>135</v>
      </c>
      <c r="F17" s="396">
        <v>317</v>
      </c>
      <c r="G17" s="129">
        <v>19</v>
      </c>
      <c r="H17" s="396">
        <v>136</v>
      </c>
      <c r="I17" s="129">
        <v>1</v>
      </c>
      <c r="J17" s="396">
        <v>1</v>
      </c>
      <c r="K17" s="2266">
        <v>188</v>
      </c>
      <c r="L17" s="2267">
        <v>127</v>
      </c>
      <c r="M17" s="2267">
        <v>56</v>
      </c>
      <c r="N17" s="2265">
        <f t="shared" si="0"/>
        <v>183</v>
      </c>
      <c r="O17" s="2267">
        <v>138</v>
      </c>
      <c r="P17" s="2267">
        <v>58</v>
      </c>
      <c r="Q17" s="2265">
        <f>SUM(O17:P17)</f>
        <v>196</v>
      </c>
      <c r="R17" s="2267">
        <v>93</v>
      </c>
      <c r="S17" s="2267">
        <v>35</v>
      </c>
      <c r="T17" s="2265">
        <f>SUM(R17:S17)</f>
        <v>128</v>
      </c>
      <c r="U17" s="2267">
        <v>65</v>
      </c>
      <c r="V17" s="2267">
        <v>24</v>
      </c>
      <c r="W17" s="2265">
        <f>SUM(U17:V17)</f>
        <v>89</v>
      </c>
      <c r="X17" s="2267">
        <v>79</v>
      </c>
      <c r="Y17" s="2267">
        <v>27</v>
      </c>
      <c r="Z17" s="2265">
        <f>SUM(X17:Y17)</f>
        <v>106</v>
      </c>
    </row>
    <row r="18" spans="2:26" ht="15" customHeight="1" x14ac:dyDescent="0.2">
      <c r="B18" s="2370" t="s">
        <v>62</v>
      </c>
      <c r="C18" s="129">
        <v>37</v>
      </c>
      <c r="D18" s="396">
        <v>37</v>
      </c>
      <c r="E18" s="129">
        <v>18</v>
      </c>
      <c r="F18" s="396">
        <v>55</v>
      </c>
      <c r="G18" s="129">
        <v>3</v>
      </c>
      <c r="H18" s="396">
        <v>12</v>
      </c>
      <c r="I18" s="129"/>
      <c r="J18" s="396"/>
      <c r="K18" s="2266">
        <v>33</v>
      </c>
      <c r="L18" s="2267">
        <v>17</v>
      </c>
      <c r="M18" s="2267">
        <v>14</v>
      </c>
      <c r="N18" s="2265">
        <f t="shared" si="0"/>
        <v>31</v>
      </c>
      <c r="O18" s="2267">
        <v>18</v>
      </c>
      <c r="P18" s="2267">
        <v>17</v>
      </c>
      <c r="Q18" s="2265">
        <f>SUM(O18:P18)</f>
        <v>35</v>
      </c>
      <c r="R18" s="2267">
        <v>8</v>
      </c>
      <c r="S18" s="2267">
        <v>12</v>
      </c>
      <c r="T18" s="2265">
        <f>SUM(R18:S18)</f>
        <v>20</v>
      </c>
      <c r="U18" s="2267">
        <v>24</v>
      </c>
      <c r="V18" s="2267">
        <v>19</v>
      </c>
      <c r="W18" s="2265">
        <f>SUM(U18:V18)</f>
        <v>43</v>
      </c>
      <c r="X18" s="2267">
        <v>30</v>
      </c>
      <c r="Y18" s="2267">
        <v>18</v>
      </c>
      <c r="Z18" s="2265">
        <f>SUM(X18:Y18)</f>
        <v>48</v>
      </c>
    </row>
    <row r="19" spans="2:26" ht="15" customHeight="1" x14ac:dyDescent="0.2">
      <c r="B19" s="2370" t="s">
        <v>63</v>
      </c>
      <c r="C19" s="129">
        <v>50</v>
      </c>
      <c r="D19" s="396">
        <v>50</v>
      </c>
      <c r="E19" s="129">
        <v>45</v>
      </c>
      <c r="F19" s="396">
        <v>95</v>
      </c>
      <c r="G19" s="129">
        <v>7</v>
      </c>
      <c r="H19" s="396">
        <v>41</v>
      </c>
      <c r="I19" s="129">
        <v>1</v>
      </c>
      <c r="J19" s="396">
        <v>1</v>
      </c>
      <c r="K19" s="2266">
        <v>85</v>
      </c>
      <c r="L19" s="2267">
        <v>59</v>
      </c>
      <c r="M19" s="2267">
        <v>22</v>
      </c>
      <c r="N19" s="2265">
        <f t="shared" si="0"/>
        <v>81</v>
      </c>
      <c r="O19" s="2267">
        <v>55</v>
      </c>
      <c r="P19" s="2267">
        <v>19</v>
      </c>
      <c r="Q19" s="2265">
        <f>SUM(O19:P19)</f>
        <v>74</v>
      </c>
      <c r="R19" s="2267">
        <v>38</v>
      </c>
      <c r="S19" s="2267">
        <v>5</v>
      </c>
      <c r="T19" s="2265">
        <f>SUM(R19:S19)</f>
        <v>43</v>
      </c>
      <c r="U19" s="2267">
        <v>21</v>
      </c>
      <c r="V19" s="2267">
        <v>7</v>
      </c>
      <c r="W19" s="2265">
        <f>SUM(U19:V19)</f>
        <v>28</v>
      </c>
      <c r="X19" s="2267">
        <v>27</v>
      </c>
      <c r="Y19" s="2267">
        <v>3</v>
      </c>
      <c r="Z19" s="2265">
        <f>SUM(X19:Y19)</f>
        <v>30</v>
      </c>
    </row>
    <row r="20" spans="2:26" ht="15" customHeight="1" x14ac:dyDescent="0.2">
      <c r="B20" s="2371" t="s">
        <v>64</v>
      </c>
      <c r="C20" s="2372">
        <f t="shared" ref="C20:T20" si="8">SUM(C16:C19)</f>
        <v>375</v>
      </c>
      <c r="D20" s="2373">
        <f t="shared" si="8"/>
        <v>373</v>
      </c>
      <c r="E20" s="2372">
        <f t="shared" si="8"/>
        <v>260</v>
      </c>
      <c r="F20" s="2373">
        <f t="shared" si="8"/>
        <v>633</v>
      </c>
      <c r="G20" s="2372">
        <f t="shared" si="8"/>
        <v>55</v>
      </c>
      <c r="H20" s="2373">
        <f t="shared" si="8"/>
        <v>264</v>
      </c>
      <c r="I20" s="2372">
        <f t="shared" si="8"/>
        <v>4</v>
      </c>
      <c r="J20" s="2373">
        <f t="shared" si="8"/>
        <v>4</v>
      </c>
      <c r="K20" s="2271">
        <f t="shared" si="8"/>
        <v>406</v>
      </c>
      <c r="L20" s="2272">
        <f t="shared" si="8"/>
        <v>270</v>
      </c>
      <c r="M20" s="2273">
        <f t="shared" si="8"/>
        <v>123</v>
      </c>
      <c r="N20" s="2270">
        <f t="shared" si="8"/>
        <v>393</v>
      </c>
      <c r="O20" s="2272">
        <f t="shared" si="8"/>
        <v>296</v>
      </c>
      <c r="P20" s="2273">
        <f t="shared" si="8"/>
        <v>133</v>
      </c>
      <c r="Q20" s="2270">
        <f t="shared" si="8"/>
        <v>429</v>
      </c>
      <c r="R20" s="2272">
        <f t="shared" si="8"/>
        <v>191</v>
      </c>
      <c r="S20" s="2273">
        <f t="shared" si="8"/>
        <v>81</v>
      </c>
      <c r="T20" s="2270">
        <f t="shared" si="8"/>
        <v>272</v>
      </c>
      <c r="U20" s="2272">
        <f>SUM(U16:U19)</f>
        <v>154</v>
      </c>
      <c r="V20" s="2273">
        <f>SUM(V16:V19)</f>
        <v>67</v>
      </c>
      <c r="W20" s="2270">
        <f t="shared" ref="W20" si="9">SUM(W16:W19)</f>
        <v>221</v>
      </c>
      <c r="X20" s="2272">
        <f>SUM(X16:X19)</f>
        <v>183</v>
      </c>
      <c r="Y20" s="2273">
        <f>SUM(Y16:Y19)</f>
        <v>65</v>
      </c>
      <c r="Z20" s="2270">
        <f t="shared" ref="Z20" si="10">SUM(Z16:Z19)</f>
        <v>248</v>
      </c>
    </row>
    <row r="21" spans="2:26" ht="15" customHeight="1" x14ac:dyDescent="0.2">
      <c r="B21" s="2370" t="s">
        <v>65</v>
      </c>
      <c r="C21" s="129">
        <v>51</v>
      </c>
      <c r="D21" s="396">
        <v>48</v>
      </c>
      <c r="E21" s="129">
        <v>25</v>
      </c>
      <c r="F21" s="396">
        <v>76</v>
      </c>
      <c r="G21" s="129">
        <v>10</v>
      </c>
      <c r="H21" s="396">
        <v>28</v>
      </c>
      <c r="I21" s="129">
        <v>1</v>
      </c>
      <c r="J21" s="396">
        <v>1</v>
      </c>
      <c r="K21" s="2266">
        <v>56</v>
      </c>
      <c r="L21" s="2267">
        <v>33</v>
      </c>
      <c r="M21" s="2267">
        <v>19</v>
      </c>
      <c r="N21" s="2265">
        <f t="shared" si="0"/>
        <v>52</v>
      </c>
      <c r="O21" s="2267">
        <v>37</v>
      </c>
      <c r="P21" s="2267">
        <v>18</v>
      </c>
      <c r="Q21" s="2265">
        <f>SUM(O21:P21)</f>
        <v>55</v>
      </c>
      <c r="R21" s="2267">
        <v>15</v>
      </c>
      <c r="S21" s="2267">
        <v>9</v>
      </c>
      <c r="T21" s="2265">
        <f>SUM(R21:S21)</f>
        <v>24</v>
      </c>
      <c r="U21" s="2267">
        <v>32</v>
      </c>
      <c r="V21" s="2267">
        <v>18</v>
      </c>
      <c r="W21" s="2265">
        <f>SUM(U21:V21)</f>
        <v>50</v>
      </c>
      <c r="X21" s="2267">
        <v>40</v>
      </c>
      <c r="Y21" s="2267">
        <v>37</v>
      </c>
      <c r="Z21" s="2265">
        <f>SUM(X21:Y21)</f>
        <v>77</v>
      </c>
    </row>
    <row r="22" spans="2:26" ht="15" customHeight="1" x14ac:dyDescent="0.2">
      <c r="B22" s="2370" t="s">
        <v>619</v>
      </c>
      <c r="C22" s="129">
        <v>96</v>
      </c>
      <c r="D22" s="396">
        <v>92</v>
      </c>
      <c r="E22" s="129">
        <v>47</v>
      </c>
      <c r="F22" s="396">
        <v>143</v>
      </c>
      <c r="G22" s="129">
        <v>6</v>
      </c>
      <c r="H22" s="396">
        <v>50</v>
      </c>
      <c r="I22" s="129">
        <v>12</v>
      </c>
      <c r="J22" s="396">
        <v>12</v>
      </c>
      <c r="K22" s="2266">
        <v>168</v>
      </c>
      <c r="L22" s="2267">
        <v>115</v>
      </c>
      <c r="M22" s="2267">
        <v>48</v>
      </c>
      <c r="N22" s="2265">
        <f t="shared" si="0"/>
        <v>163</v>
      </c>
      <c r="O22" s="2267">
        <v>103</v>
      </c>
      <c r="P22" s="2267">
        <v>46</v>
      </c>
      <c r="Q22" s="2265">
        <f>SUM(O22:P22)</f>
        <v>149</v>
      </c>
      <c r="R22" s="2267">
        <v>78</v>
      </c>
      <c r="S22" s="2267">
        <v>34</v>
      </c>
      <c r="T22" s="2265">
        <f>SUM(R22:S22)</f>
        <v>112</v>
      </c>
      <c r="U22" s="2267">
        <v>58</v>
      </c>
      <c r="V22" s="2267">
        <v>27</v>
      </c>
      <c r="W22" s="2265">
        <f>SUM(U22:V22)</f>
        <v>85</v>
      </c>
      <c r="X22" s="2267">
        <v>67</v>
      </c>
      <c r="Y22" s="2267">
        <v>24</v>
      </c>
      <c r="Z22" s="2265">
        <f>SUM(X22:Y22)</f>
        <v>91</v>
      </c>
    </row>
    <row r="23" spans="2:26" ht="15" customHeight="1" x14ac:dyDescent="0.2">
      <c r="B23" s="2370" t="s">
        <v>67</v>
      </c>
      <c r="C23" s="129">
        <v>32</v>
      </c>
      <c r="D23" s="396">
        <v>31</v>
      </c>
      <c r="E23" s="129">
        <v>29</v>
      </c>
      <c r="F23" s="396">
        <v>61</v>
      </c>
      <c r="G23" s="129">
        <v>12</v>
      </c>
      <c r="H23" s="396">
        <v>39</v>
      </c>
      <c r="I23" s="129">
        <v>5</v>
      </c>
      <c r="J23" s="396">
        <v>5</v>
      </c>
      <c r="K23" s="2266">
        <v>102</v>
      </c>
      <c r="L23" s="2267">
        <v>53</v>
      </c>
      <c r="M23" s="2267">
        <v>45</v>
      </c>
      <c r="N23" s="2265">
        <f t="shared" si="0"/>
        <v>98</v>
      </c>
      <c r="O23" s="2267">
        <v>38</v>
      </c>
      <c r="P23" s="2267">
        <v>35</v>
      </c>
      <c r="Q23" s="2265">
        <f>SUM(O23:P23)</f>
        <v>73</v>
      </c>
      <c r="R23" s="2267">
        <v>43</v>
      </c>
      <c r="S23" s="2267">
        <v>27</v>
      </c>
      <c r="T23" s="2265">
        <f>SUM(R23:S23)</f>
        <v>70</v>
      </c>
      <c r="U23" s="2267">
        <v>41</v>
      </c>
      <c r="V23" s="2267">
        <v>13</v>
      </c>
      <c r="W23" s="2265">
        <f>SUM(U23:V23)</f>
        <v>54</v>
      </c>
      <c r="X23" s="2267">
        <v>42</v>
      </c>
      <c r="Y23" s="2267">
        <v>11</v>
      </c>
      <c r="Z23" s="2265">
        <f>SUM(X23:Y23)</f>
        <v>53</v>
      </c>
    </row>
    <row r="24" spans="2:26" ht="15" customHeight="1" x14ac:dyDescent="0.2">
      <c r="B24" s="2374" t="s">
        <v>68</v>
      </c>
      <c r="C24" s="2375">
        <f t="shared" ref="C24:T24" si="11">SUM(C21:C23)</f>
        <v>179</v>
      </c>
      <c r="D24" s="2376">
        <f t="shared" si="11"/>
        <v>171</v>
      </c>
      <c r="E24" s="2375">
        <f t="shared" si="11"/>
        <v>101</v>
      </c>
      <c r="F24" s="2376">
        <f t="shared" si="11"/>
        <v>280</v>
      </c>
      <c r="G24" s="2375">
        <f t="shared" si="11"/>
        <v>28</v>
      </c>
      <c r="H24" s="2376">
        <f t="shared" si="11"/>
        <v>117</v>
      </c>
      <c r="I24" s="2375">
        <f t="shared" si="11"/>
        <v>18</v>
      </c>
      <c r="J24" s="2376">
        <f t="shared" si="11"/>
        <v>18</v>
      </c>
      <c r="K24" s="2271">
        <f t="shared" si="11"/>
        <v>326</v>
      </c>
      <c r="L24" s="2272">
        <f t="shared" si="11"/>
        <v>201</v>
      </c>
      <c r="M24" s="2273">
        <f t="shared" si="11"/>
        <v>112</v>
      </c>
      <c r="N24" s="2270">
        <f t="shared" si="11"/>
        <v>313</v>
      </c>
      <c r="O24" s="2272">
        <f t="shared" si="11"/>
        <v>178</v>
      </c>
      <c r="P24" s="2273">
        <f t="shared" si="11"/>
        <v>99</v>
      </c>
      <c r="Q24" s="2270">
        <f t="shared" si="11"/>
        <v>277</v>
      </c>
      <c r="R24" s="2272">
        <f t="shared" si="11"/>
        <v>136</v>
      </c>
      <c r="S24" s="2273">
        <f t="shared" si="11"/>
        <v>70</v>
      </c>
      <c r="T24" s="2270">
        <f t="shared" si="11"/>
        <v>206</v>
      </c>
      <c r="U24" s="2272">
        <f t="shared" ref="U24:W24" si="12">SUM(U21:U23)</f>
        <v>131</v>
      </c>
      <c r="V24" s="2273">
        <f t="shared" si="12"/>
        <v>58</v>
      </c>
      <c r="W24" s="2270">
        <f t="shared" si="12"/>
        <v>189</v>
      </c>
      <c r="X24" s="2272">
        <f t="shared" ref="X24:Z24" si="13">SUM(X21:X23)</f>
        <v>149</v>
      </c>
      <c r="Y24" s="2273">
        <f t="shared" si="13"/>
        <v>72</v>
      </c>
      <c r="Z24" s="2270">
        <f t="shared" si="13"/>
        <v>221</v>
      </c>
    </row>
    <row r="25" spans="2:26" ht="15" customHeight="1" x14ac:dyDescent="0.2">
      <c r="B25" s="2377" t="s">
        <v>69</v>
      </c>
      <c r="C25" s="1414">
        <f t="shared" ref="C25:T25" si="14">SUM(C24,C20,C15)</f>
        <v>740</v>
      </c>
      <c r="D25" s="1416">
        <f t="shared" si="14"/>
        <v>727</v>
      </c>
      <c r="E25" s="1414">
        <f t="shared" si="14"/>
        <v>444</v>
      </c>
      <c r="F25" s="1416">
        <f t="shared" si="14"/>
        <v>1182</v>
      </c>
      <c r="G25" s="1414">
        <f t="shared" si="14"/>
        <v>117</v>
      </c>
      <c r="H25" s="1416">
        <f t="shared" si="14"/>
        <v>472</v>
      </c>
      <c r="I25" s="1414">
        <f t="shared" si="14"/>
        <v>32</v>
      </c>
      <c r="J25" s="1416">
        <f t="shared" si="14"/>
        <v>32</v>
      </c>
      <c r="K25" s="2378">
        <f t="shared" si="14"/>
        <v>934</v>
      </c>
      <c r="L25" s="2379">
        <f t="shared" si="14"/>
        <v>549</v>
      </c>
      <c r="M25" s="2379">
        <f t="shared" si="14"/>
        <v>350</v>
      </c>
      <c r="N25" s="2380">
        <f t="shared" si="14"/>
        <v>899</v>
      </c>
      <c r="O25" s="2379">
        <f t="shared" si="14"/>
        <v>550</v>
      </c>
      <c r="P25" s="2379">
        <f t="shared" si="14"/>
        <v>349</v>
      </c>
      <c r="Q25" s="2380">
        <f t="shared" si="14"/>
        <v>899</v>
      </c>
      <c r="R25" s="2379">
        <f t="shared" si="14"/>
        <v>397</v>
      </c>
      <c r="S25" s="2379">
        <f t="shared" si="14"/>
        <v>262</v>
      </c>
      <c r="T25" s="2380">
        <f t="shared" si="14"/>
        <v>659</v>
      </c>
      <c r="U25" s="2379">
        <f t="shared" ref="U25:W25" si="15">SUM(U24,U20,U15)</f>
        <v>337</v>
      </c>
      <c r="V25" s="2379">
        <f t="shared" si="15"/>
        <v>226</v>
      </c>
      <c r="W25" s="2380">
        <f t="shared" si="15"/>
        <v>563</v>
      </c>
      <c r="X25" s="2379">
        <f t="shared" ref="X25:Z25" si="16">SUM(X24,X20,X15)</f>
        <v>373</v>
      </c>
      <c r="Y25" s="2379">
        <f t="shared" si="16"/>
        <v>228</v>
      </c>
      <c r="Z25" s="2380">
        <f t="shared" si="16"/>
        <v>601</v>
      </c>
    </row>
    <row r="26" spans="2:26" ht="15" customHeight="1" x14ac:dyDescent="0.2">
      <c r="B26" s="2370" t="s">
        <v>77</v>
      </c>
      <c r="C26" s="129"/>
      <c r="D26" s="396"/>
      <c r="E26" s="129"/>
      <c r="F26" s="396"/>
      <c r="G26" s="129"/>
      <c r="H26" s="396"/>
      <c r="I26" s="129"/>
      <c r="J26" s="396"/>
      <c r="K26" s="2266"/>
      <c r="L26" s="2267"/>
      <c r="M26" s="2267"/>
      <c r="N26" s="2265"/>
      <c r="O26" s="2267"/>
      <c r="P26" s="2267"/>
      <c r="Q26" s="2265"/>
      <c r="R26" s="2267"/>
      <c r="S26" s="2267"/>
      <c r="T26" s="2265"/>
      <c r="U26" s="2267">
        <v>0</v>
      </c>
      <c r="V26" s="2267">
        <v>1</v>
      </c>
      <c r="W26" s="2265">
        <f t="shared" ref="W26:W35" si="17">SUM(U26:V26)</f>
        <v>1</v>
      </c>
      <c r="X26" s="2267"/>
      <c r="Y26" s="2267">
        <v>1</v>
      </c>
      <c r="Z26" s="2265">
        <f t="shared" ref="Z26:Z35" si="18">SUM(X26:Y26)</f>
        <v>1</v>
      </c>
    </row>
    <row r="27" spans="2:26" ht="15" customHeight="1" x14ac:dyDescent="0.2">
      <c r="B27" s="2370" t="s">
        <v>76</v>
      </c>
      <c r="C27" s="129">
        <v>6</v>
      </c>
      <c r="D27" s="396">
        <v>6</v>
      </c>
      <c r="E27" s="129">
        <v>2</v>
      </c>
      <c r="F27" s="396">
        <v>8</v>
      </c>
      <c r="G27" s="129">
        <v>0</v>
      </c>
      <c r="H27" s="396">
        <v>1</v>
      </c>
      <c r="I27" s="129"/>
      <c r="J27" s="396"/>
      <c r="K27" s="2266">
        <v>3</v>
      </c>
      <c r="L27" s="2267">
        <v>1</v>
      </c>
      <c r="M27" s="2267">
        <v>2</v>
      </c>
      <c r="N27" s="2265">
        <f t="shared" si="0"/>
        <v>3</v>
      </c>
      <c r="O27" s="2267">
        <v>1</v>
      </c>
      <c r="P27" s="2267">
        <v>2</v>
      </c>
      <c r="Q27" s="2265">
        <f t="shared" ref="Q27:Q35" si="19">SUM(O27:P27)</f>
        <v>3</v>
      </c>
      <c r="R27" s="2267">
        <v>1</v>
      </c>
      <c r="S27" s="2267">
        <v>4</v>
      </c>
      <c r="T27" s="2265">
        <f t="shared" ref="T27:T35" si="20">SUM(R27:S27)</f>
        <v>5</v>
      </c>
      <c r="U27" s="2267">
        <v>1</v>
      </c>
      <c r="V27" s="2267">
        <v>6</v>
      </c>
      <c r="W27" s="2265">
        <f t="shared" si="17"/>
        <v>7</v>
      </c>
      <c r="X27" s="2267"/>
      <c r="Y27" s="2267">
        <v>4</v>
      </c>
      <c r="Z27" s="2265">
        <f t="shared" si="18"/>
        <v>4</v>
      </c>
    </row>
    <row r="28" spans="2:26" ht="15" customHeight="1" x14ac:dyDescent="0.2">
      <c r="B28" s="2370" t="s">
        <v>73</v>
      </c>
      <c r="C28" s="129">
        <v>5</v>
      </c>
      <c r="D28" s="396">
        <v>5</v>
      </c>
      <c r="E28" s="129">
        <v>7</v>
      </c>
      <c r="F28" s="396">
        <v>12</v>
      </c>
      <c r="G28" s="129">
        <v>4</v>
      </c>
      <c r="H28" s="396">
        <v>11</v>
      </c>
      <c r="I28" s="129">
        <v>1</v>
      </c>
      <c r="J28" s="396">
        <v>1</v>
      </c>
      <c r="K28" s="2266">
        <v>13</v>
      </c>
      <c r="L28" s="2267">
        <v>4</v>
      </c>
      <c r="M28" s="2267">
        <v>7</v>
      </c>
      <c r="N28" s="2265">
        <f t="shared" si="0"/>
        <v>11</v>
      </c>
      <c r="O28" s="2267"/>
      <c r="P28" s="2267">
        <v>3</v>
      </c>
      <c r="Q28" s="2265">
        <f t="shared" si="19"/>
        <v>3</v>
      </c>
      <c r="R28" s="2267">
        <v>1</v>
      </c>
      <c r="S28" s="2267">
        <v>5</v>
      </c>
      <c r="T28" s="2265">
        <f t="shared" si="20"/>
        <v>6</v>
      </c>
      <c r="U28" s="2267">
        <v>4</v>
      </c>
      <c r="V28" s="2267">
        <v>12</v>
      </c>
      <c r="W28" s="2265">
        <f t="shared" si="17"/>
        <v>16</v>
      </c>
      <c r="X28" s="2267">
        <v>3</v>
      </c>
      <c r="Y28" s="2267">
        <v>13</v>
      </c>
      <c r="Z28" s="2265">
        <f t="shared" si="18"/>
        <v>16</v>
      </c>
    </row>
    <row r="29" spans="2:26" ht="15" customHeight="1" x14ac:dyDescent="0.2">
      <c r="B29" s="2370" t="s">
        <v>70</v>
      </c>
      <c r="C29" s="129">
        <v>2</v>
      </c>
      <c r="D29" s="396">
        <v>2</v>
      </c>
      <c r="E29" s="129">
        <v>3</v>
      </c>
      <c r="F29" s="396">
        <v>5</v>
      </c>
      <c r="G29" s="129">
        <v>3</v>
      </c>
      <c r="H29" s="396">
        <v>6</v>
      </c>
      <c r="I29" s="129">
        <v>1</v>
      </c>
      <c r="J29" s="396">
        <v>1</v>
      </c>
      <c r="K29" s="2266">
        <v>16</v>
      </c>
      <c r="L29" s="2267">
        <v>7</v>
      </c>
      <c r="M29" s="2267">
        <v>9</v>
      </c>
      <c r="N29" s="2265">
        <f t="shared" si="0"/>
        <v>16</v>
      </c>
      <c r="O29" s="2267">
        <v>6</v>
      </c>
      <c r="P29" s="2267">
        <v>10</v>
      </c>
      <c r="Q29" s="2265">
        <f t="shared" si="19"/>
        <v>16</v>
      </c>
      <c r="R29" s="2267">
        <v>9</v>
      </c>
      <c r="S29" s="2267">
        <v>5</v>
      </c>
      <c r="T29" s="2265">
        <f t="shared" si="20"/>
        <v>14</v>
      </c>
      <c r="U29" s="2267">
        <v>5</v>
      </c>
      <c r="V29" s="2267">
        <v>4</v>
      </c>
      <c r="W29" s="2265">
        <f t="shared" si="17"/>
        <v>9</v>
      </c>
      <c r="X29" s="2267">
        <v>4</v>
      </c>
      <c r="Y29" s="2267">
        <v>3</v>
      </c>
      <c r="Z29" s="2265">
        <f t="shared" si="18"/>
        <v>7</v>
      </c>
    </row>
    <row r="30" spans="2:26" ht="15" customHeight="1" x14ac:dyDescent="0.2">
      <c r="B30" s="2370" t="s">
        <v>57</v>
      </c>
      <c r="C30" s="129">
        <v>11</v>
      </c>
      <c r="D30" s="396">
        <v>11</v>
      </c>
      <c r="E30" s="129">
        <v>2</v>
      </c>
      <c r="F30" s="396">
        <v>13</v>
      </c>
      <c r="G30" s="129">
        <v>0</v>
      </c>
      <c r="H30" s="396">
        <v>1</v>
      </c>
      <c r="I30" s="129"/>
      <c r="J30" s="396"/>
      <c r="K30" s="2266">
        <v>3</v>
      </c>
      <c r="L30" s="2267">
        <v>1</v>
      </c>
      <c r="M30" s="2267">
        <v>2</v>
      </c>
      <c r="N30" s="2265">
        <f t="shared" si="0"/>
        <v>3</v>
      </c>
      <c r="O30" s="2267"/>
      <c r="P30" s="2267">
        <v>2</v>
      </c>
      <c r="Q30" s="2265">
        <f t="shared" si="19"/>
        <v>2</v>
      </c>
      <c r="R30" s="2267">
        <v>1</v>
      </c>
      <c r="S30" s="2267"/>
      <c r="T30" s="2265">
        <f t="shared" si="20"/>
        <v>1</v>
      </c>
      <c r="U30" s="2267">
        <v>0</v>
      </c>
      <c r="V30" s="2267">
        <v>3</v>
      </c>
      <c r="W30" s="2265">
        <f t="shared" si="17"/>
        <v>3</v>
      </c>
      <c r="X30" s="2267"/>
      <c r="Y30" s="2267"/>
      <c r="Z30" s="2265">
        <f t="shared" si="18"/>
        <v>0</v>
      </c>
    </row>
    <row r="31" spans="2:26" ht="15" customHeight="1" x14ac:dyDescent="0.2">
      <c r="B31" s="2370" t="s">
        <v>72</v>
      </c>
      <c r="C31" s="129">
        <v>11</v>
      </c>
      <c r="D31" s="396">
        <v>11</v>
      </c>
      <c r="E31" s="129">
        <v>6</v>
      </c>
      <c r="F31" s="396">
        <v>17</v>
      </c>
      <c r="G31" s="129">
        <v>1</v>
      </c>
      <c r="H31" s="396">
        <v>5</v>
      </c>
      <c r="I31" s="129"/>
      <c r="J31" s="396"/>
      <c r="K31" s="2266">
        <v>6</v>
      </c>
      <c r="L31" s="2267">
        <v>1</v>
      </c>
      <c r="M31" s="2267">
        <v>5</v>
      </c>
      <c r="N31" s="2265">
        <f t="shared" si="0"/>
        <v>6</v>
      </c>
      <c r="O31" s="2267">
        <v>4</v>
      </c>
      <c r="P31" s="2267">
        <v>6</v>
      </c>
      <c r="Q31" s="2265">
        <f t="shared" si="19"/>
        <v>10</v>
      </c>
      <c r="R31" s="2267">
        <v>3</v>
      </c>
      <c r="S31" s="2267">
        <v>6</v>
      </c>
      <c r="T31" s="2265">
        <f t="shared" si="20"/>
        <v>9</v>
      </c>
      <c r="U31" s="2267">
        <v>2</v>
      </c>
      <c r="V31" s="2267">
        <v>3</v>
      </c>
      <c r="W31" s="2265">
        <f t="shared" si="17"/>
        <v>5</v>
      </c>
      <c r="X31" s="2267">
        <v>1</v>
      </c>
      <c r="Y31" s="2267">
        <v>2</v>
      </c>
      <c r="Z31" s="2265">
        <f t="shared" si="18"/>
        <v>3</v>
      </c>
    </row>
    <row r="32" spans="2:26" ht="15" customHeight="1" x14ac:dyDescent="0.2">
      <c r="B32" s="2370" t="s">
        <v>71</v>
      </c>
      <c r="C32" s="129">
        <v>1</v>
      </c>
      <c r="D32" s="396">
        <v>1</v>
      </c>
      <c r="E32" s="129">
        <v>2</v>
      </c>
      <c r="F32" s="396">
        <v>3</v>
      </c>
      <c r="G32" s="129">
        <v>0</v>
      </c>
      <c r="H32" s="396">
        <v>2</v>
      </c>
      <c r="I32" s="129"/>
      <c r="J32" s="396"/>
      <c r="K32" s="2266">
        <v>1</v>
      </c>
      <c r="L32" s="2267">
        <v>1</v>
      </c>
      <c r="M32" s="2267">
        <v>0</v>
      </c>
      <c r="N32" s="2265">
        <f t="shared" si="0"/>
        <v>1</v>
      </c>
      <c r="O32" s="2267">
        <v>2</v>
      </c>
      <c r="P32" s="2267"/>
      <c r="Q32" s="2265">
        <f t="shared" si="19"/>
        <v>2</v>
      </c>
      <c r="R32" s="2267">
        <v>2</v>
      </c>
      <c r="S32" s="2267"/>
      <c r="T32" s="2265">
        <f t="shared" si="20"/>
        <v>2</v>
      </c>
      <c r="U32" s="2267">
        <v>0</v>
      </c>
      <c r="V32" s="2267">
        <v>0</v>
      </c>
      <c r="W32" s="2265">
        <f t="shared" si="17"/>
        <v>0</v>
      </c>
      <c r="X32" s="2267"/>
      <c r="Y32" s="2267">
        <v>1</v>
      </c>
      <c r="Z32" s="2265">
        <f t="shared" si="18"/>
        <v>1</v>
      </c>
    </row>
    <row r="33" spans="2:26" ht="15" customHeight="1" x14ac:dyDescent="0.2">
      <c r="B33" s="2370" t="s">
        <v>56</v>
      </c>
      <c r="C33" s="129">
        <v>10</v>
      </c>
      <c r="D33" s="396">
        <v>10</v>
      </c>
      <c r="E33" s="129">
        <v>3</v>
      </c>
      <c r="F33" s="396">
        <v>13</v>
      </c>
      <c r="G33" s="129">
        <v>1</v>
      </c>
      <c r="H33" s="396">
        <v>3</v>
      </c>
      <c r="I33" s="129">
        <v>1</v>
      </c>
      <c r="J33" s="396">
        <v>1</v>
      </c>
      <c r="K33" s="2266">
        <v>14</v>
      </c>
      <c r="L33" s="2267">
        <v>5</v>
      </c>
      <c r="M33" s="2267">
        <v>8</v>
      </c>
      <c r="N33" s="2265">
        <f t="shared" si="0"/>
        <v>13</v>
      </c>
      <c r="O33" s="2267">
        <v>6</v>
      </c>
      <c r="P33" s="2267">
        <v>5</v>
      </c>
      <c r="Q33" s="2265">
        <f t="shared" si="19"/>
        <v>11</v>
      </c>
      <c r="R33" s="2267">
        <v>11</v>
      </c>
      <c r="S33" s="2267">
        <v>4</v>
      </c>
      <c r="T33" s="2265">
        <f t="shared" si="20"/>
        <v>15</v>
      </c>
      <c r="U33" s="2267">
        <v>2</v>
      </c>
      <c r="V33" s="2267">
        <v>3</v>
      </c>
      <c r="W33" s="2265">
        <f t="shared" si="17"/>
        <v>5</v>
      </c>
      <c r="X33" s="2267"/>
      <c r="Y33" s="2267">
        <v>2</v>
      </c>
      <c r="Z33" s="2265">
        <f t="shared" si="18"/>
        <v>2</v>
      </c>
    </row>
    <row r="34" spans="2:26" ht="15" customHeight="1" x14ac:dyDescent="0.2">
      <c r="B34" s="2370" t="s">
        <v>74</v>
      </c>
      <c r="C34" s="129">
        <v>3</v>
      </c>
      <c r="D34" s="396">
        <v>3</v>
      </c>
      <c r="E34" s="129">
        <v>1</v>
      </c>
      <c r="F34" s="396">
        <v>4</v>
      </c>
      <c r="G34" s="129">
        <v>1</v>
      </c>
      <c r="H34" s="396">
        <v>1</v>
      </c>
      <c r="I34" s="129"/>
      <c r="J34" s="396"/>
      <c r="K34" s="2266">
        <v>2</v>
      </c>
      <c r="L34" s="2267">
        <v>1</v>
      </c>
      <c r="M34" s="2267">
        <v>1</v>
      </c>
      <c r="N34" s="2265">
        <f t="shared" si="0"/>
        <v>2</v>
      </c>
      <c r="O34" s="2267">
        <v>1</v>
      </c>
      <c r="P34" s="2267"/>
      <c r="Q34" s="2265">
        <f t="shared" si="19"/>
        <v>1</v>
      </c>
      <c r="R34" s="2267">
        <v>1</v>
      </c>
      <c r="S34" s="2267">
        <v>1</v>
      </c>
      <c r="T34" s="2265">
        <f t="shared" si="20"/>
        <v>2</v>
      </c>
      <c r="U34" s="2267">
        <v>3</v>
      </c>
      <c r="V34" s="2267">
        <v>2</v>
      </c>
      <c r="W34" s="2265">
        <f t="shared" si="17"/>
        <v>5</v>
      </c>
      <c r="X34" s="2267">
        <v>1</v>
      </c>
      <c r="Y34" s="2267">
        <v>1</v>
      </c>
      <c r="Z34" s="2265">
        <f t="shared" si="18"/>
        <v>2</v>
      </c>
    </row>
    <row r="35" spans="2:26" ht="15" customHeight="1" x14ac:dyDescent="0.2">
      <c r="B35" s="2370" t="s">
        <v>75</v>
      </c>
      <c r="C35" s="129">
        <v>3</v>
      </c>
      <c r="D35" s="396">
        <v>3</v>
      </c>
      <c r="E35" s="129">
        <v>3</v>
      </c>
      <c r="F35" s="396">
        <v>6</v>
      </c>
      <c r="G35" s="129">
        <v>2</v>
      </c>
      <c r="H35" s="396">
        <v>5</v>
      </c>
      <c r="I35" s="129"/>
      <c r="J35" s="396"/>
      <c r="K35" s="2266">
        <v>2</v>
      </c>
      <c r="L35" s="2267">
        <v>1</v>
      </c>
      <c r="M35" s="2267">
        <v>1</v>
      </c>
      <c r="N35" s="2265">
        <f t="shared" si="0"/>
        <v>2</v>
      </c>
      <c r="O35" s="2267"/>
      <c r="P35" s="2267">
        <v>1</v>
      </c>
      <c r="Q35" s="2265">
        <f t="shared" si="19"/>
        <v>1</v>
      </c>
      <c r="R35" s="2267"/>
      <c r="S35" s="2267">
        <v>5</v>
      </c>
      <c r="T35" s="2265">
        <f t="shared" si="20"/>
        <v>5</v>
      </c>
      <c r="U35" s="2267">
        <v>5</v>
      </c>
      <c r="V35" s="2267">
        <v>4</v>
      </c>
      <c r="W35" s="2265">
        <f t="shared" si="17"/>
        <v>9</v>
      </c>
      <c r="X35" s="2267"/>
      <c r="Y35" s="2267">
        <v>3</v>
      </c>
      <c r="Z35" s="2265">
        <f t="shared" si="18"/>
        <v>3</v>
      </c>
    </row>
    <row r="36" spans="2:26" ht="15" customHeight="1" x14ac:dyDescent="0.2">
      <c r="B36" s="2371" t="s">
        <v>59</v>
      </c>
      <c r="C36" s="2372">
        <f t="shared" ref="C36:H36" si="21">SUM(C27:C35)</f>
        <v>52</v>
      </c>
      <c r="D36" s="2373">
        <f t="shared" si="21"/>
        <v>52</v>
      </c>
      <c r="E36" s="2372">
        <f t="shared" si="21"/>
        <v>29</v>
      </c>
      <c r="F36" s="2373">
        <f t="shared" si="21"/>
        <v>81</v>
      </c>
      <c r="G36" s="2372">
        <f t="shared" si="21"/>
        <v>12</v>
      </c>
      <c r="H36" s="2373">
        <f t="shared" si="21"/>
        <v>35</v>
      </c>
      <c r="I36" s="2372">
        <f>SUM(I27:I35)</f>
        <v>3</v>
      </c>
      <c r="J36" s="2373">
        <f>SUM(J27:J35)</f>
        <v>3</v>
      </c>
      <c r="K36" s="2271">
        <f t="shared" ref="K36:Q36" si="22">SUM(K27:K35)</f>
        <v>60</v>
      </c>
      <c r="L36" s="2272">
        <f t="shared" si="22"/>
        <v>22</v>
      </c>
      <c r="M36" s="2273">
        <f t="shared" si="22"/>
        <v>35</v>
      </c>
      <c r="N36" s="2270">
        <f t="shared" si="22"/>
        <v>57</v>
      </c>
      <c r="O36" s="2272">
        <f t="shared" si="22"/>
        <v>20</v>
      </c>
      <c r="P36" s="2273">
        <f t="shared" si="22"/>
        <v>29</v>
      </c>
      <c r="Q36" s="2270">
        <f t="shared" si="22"/>
        <v>49</v>
      </c>
      <c r="R36" s="2272">
        <f>SUM(R27:R35)</f>
        <v>29</v>
      </c>
      <c r="S36" s="2273">
        <f>SUM(S27:S35)</f>
        <v>30</v>
      </c>
      <c r="T36" s="2270">
        <f>SUM(T27:T35)</f>
        <v>59</v>
      </c>
      <c r="U36" s="2272">
        <f t="shared" ref="U36:Z36" si="23">SUM(U26:U35)</f>
        <v>22</v>
      </c>
      <c r="V36" s="2273">
        <f t="shared" si="23"/>
        <v>38</v>
      </c>
      <c r="W36" s="2270">
        <f t="shared" si="23"/>
        <v>60</v>
      </c>
      <c r="X36" s="2272">
        <f t="shared" si="23"/>
        <v>9</v>
      </c>
      <c r="Y36" s="2273">
        <f t="shared" si="23"/>
        <v>30</v>
      </c>
      <c r="Z36" s="2270">
        <f t="shared" si="23"/>
        <v>39</v>
      </c>
    </row>
    <row r="37" spans="2:26" ht="15" customHeight="1" x14ac:dyDescent="0.2">
      <c r="B37" s="2370" t="s">
        <v>60</v>
      </c>
      <c r="C37" s="129">
        <v>100</v>
      </c>
      <c r="D37" s="396">
        <v>99</v>
      </c>
      <c r="E37" s="129">
        <v>78</v>
      </c>
      <c r="F37" s="396">
        <v>178</v>
      </c>
      <c r="G37" s="129">
        <v>6</v>
      </c>
      <c r="H37" s="396">
        <v>73</v>
      </c>
      <c r="I37" s="129">
        <v>1</v>
      </c>
      <c r="J37" s="396">
        <v>1</v>
      </c>
      <c r="K37" s="2266">
        <v>79</v>
      </c>
      <c r="L37" s="2267">
        <v>51</v>
      </c>
      <c r="M37" s="2267">
        <v>25</v>
      </c>
      <c r="N37" s="2265">
        <f t="shared" si="0"/>
        <v>76</v>
      </c>
      <c r="O37" s="2267">
        <v>67</v>
      </c>
      <c r="P37" s="2267">
        <v>33</v>
      </c>
      <c r="Q37" s="2265">
        <f t="shared" ref="Q37:Q47" si="24">SUM(O37:P37)</f>
        <v>100</v>
      </c>
      <c r="R37" s="2267">
        <v>43</v>
      </c>
      <c r="S37" s="2267">
        <v>28</v>
      </c>
      <c r="T37" s="2265">
        <f t="shared" ref="T37:T47" si="25">SUM(R37:S37)</f>
        <v>71</v>
      </c>
      <c r="U37" s="2267">
        <v>59</v>
      </c>
      <c r="V37" s="2267">
        <v>23</v>
      </c>
      <c r="W37" s="2265">
        <f t="shared" ref="W37:W47" si="26">SUM(U37:V37)</f>
        <v>82</v>
      </c>
      <c r="X37" s="2267">
        <v>50</v>
      </c>
      <c r="Y37" s="2267">
        <v>20</v>
      </c>
      <c r="Z37" s="2265">
        <f t="shared" ref="Z37:Z47" si="27">SUM(X37:Y37)</f>
        <v>70</v>
      </c>
    </row>
    <row r="38" spans="2:26" ht="15" customHeight="1" x14ac:dyDescent="0.2">
      <c r="B38" s="2370" t="s">
        <v>78</v>
      </c>
      <c r="C38" s="129">
        <v>13</v>
      </c>
      <c r="D38" s="396">
        <v>13</v>
      </c>
      <c r="E38" s="129">
        <v>15</v>
      </c>
      <c r="F38" s="396">
        <v>28</v>
      </c>
      <c r="G38" s="129">
        <v>1</v>
      </c>
      <c r="H38" s="396">
        <v>12</v>
      </c>
      <c r="I38" s="129">
        <v>1</v>
      </c>
      <c r="J38" s="396">
        <v>1</v>
      </c>
      <c r="K38" s="2266">
        <v>8</v>
      </c>
      <c r="L38" s="2267">
        <v>4</v>
      </c>
      <c r="M38" s="2267">
        <v>3</v>
      </c>
      <c r="N38" s="2265">
        <f t="shared" si="0"/>
        <v>7</v>
      </c>
      <c r="O38" s="2267">
        <v>3</v>
      </c>
      <c r="P38" s="2267">
        <v>1</v>
      </c>
      <c r="Q38" s="2265">
        <f t="shared" si="24"/>
        <v>4</v>
      </c>
      <c r="R38" s="2267">
        <v>3</v>
      </c>
      <c r="S38" s="2267">
        <v>1</v>
      </c>
      <c r="T38" s="2265">
        <f t="shared" si="25"/>
        <v>4</v>
      </c>
      <c r="U38" s="2267">
        <v>15</v>
      </c>
      <c r="V38" s="2267">
        <v>4</v>
      </c>
      <c r="W38" s="2265">
        <f t="shared" si="26"/>
        <v>19</v>
      </c>
      <c r="X38" s="2267">
        <v>7</v>
      </c>
      <c r="Y38" s="2267">
        <v>4</v>
      </c>
      <c r="Z38" s="2265">
        <f t="shared" si="27"/>
        <v>11</v>
      </c>
    </row>
    <row r="39" spans="2:26" ht="15" customHeight="1" x14ac:dyDescent="0.2">
      <c r="B39" s="2370" t="s">
        <v>83</v>
      </c>
      <c r="C39" s="129">
        <v>38</v>
      </c>
      <c r="D39" s="396">
        <v>37</v>
      </c>
      <c r="E39" s="129">
        <v>34</v>
      </c>
      <c r="F39" s="396">
        <v>72</v>
      </c>
      <c r="G39" s="129">
        <v>7</v>
      </c>
      <c r="H39" s="396">
        <v>34</v>
      </c>
      <c r="I39" s="129">
        <v>2</v>
      </c>
      <c r="J39" s="396">
        <v>2</v>
      </c>
      <c r="K39" s="2266">
        <v>40</v>
      </c>
      <c r="L39" s="2267">
        <v>22</v>
      </c>
      <c r="M39" s="2267">
        <v>16</v>
      </c>
      <c r="N39" s="2265">
        <f t="shared" si="0"/>
        <v>38</v>
      </c>
      <c r="O39" s="2267">
        <v>23</v>
      </c>
      <c r="P39" s="2267">
        <v>19</v>
      </c>
      <c r="Q39" s="2265">
        <f t="shared" si="24"/>
        <v>42</v>
      </c>
      <c r="R39" s="2267">
        <v>16</v>
      </c>
      <c r="S39" s="2267">
        <v>13</v>
      </c>
      <c r="T39" s="2265">
        <f t="shared" si="25"/>
        <v>29</v>
      </c>
      <c r="U39" s="2267">
        <v>19</v>
      </c>
      <c r="V39" s="2267">
        <v>22</v>
      </c>
      <c r="W39" s="2265">
        <f t="shared" si="26"/>
        <v>41</v>
      </c>
      <c r="X39" s="2267">
        <v>9</v>
      </c>
      <c r="Y39" s="2267">
        <v>16</v>
      </c>
      <c r="Z39" s="2265">
        <f t="shared" si="27"/>
        <v>25</v>
      </c>
    </row>
    <row r="40" spans="2:26" ht="15" customHeight="1" x14ac:dyDescent="0.2">
      <c r="B40" s="2370" t="s">
        <v>62</v>
      </c>
      <c r="C40" s="129">
        <v>21</v>
      </c>
      <c r="D40" s="396">
        <v>21</v>
      </c>
      <c r="E40" s="129">
        <v>9</v>
      </c>
      <c r="F40" s="396">
        <v>30</v>
      </c>
      <c r="G40" s="129">
        <v>0</v>
      </c>
      <c r="H40" s="396">
        <v>5</v>
      </c>
      <c r="I40" s="129"/>
      <c r="J40" s="396"/>
      <c r="K40" s="2266">
        <v>21</v>
      </c>
      <c r="L40" s="2267">
        <v>9</v>
      </c>
      <c r="M40" s="2267">
        <v>9</v>
      </c>
      <c r="N40" s="2265">
        <f t="shared" si="0"/>
        <v>18</v>
      </c>
      <c r="O40" s="2267">
        <v>11</v>
      </c>
      <c r="P40" s="2267">
        <v>6</v>
      </c>
      <c r="Q40" s="2265">
        <f t="shared" si="24"/>
        <v>17</v>
      </c>
      <c r="R40" s="2267">
        <v>7</v>
      </c>
      <c r="S40" s="2267">
        <v>4</v>
      </c>
      <c r="T40" s="2265">
        <f t="shared" si="25"/>
        <v>11</v>
      </c>
      <c r="U40" s="2267">
        <v>8</v>
      </c>
      <c r="V40" s="2267">
        <v>9</v>
      </c>
      <c r="W40" s="2265">
        <f t="shared" si="26"/>
        <v>17</v>
      </c>
      <c r="X40" s="2267">
        <v>9</v>
      </c>
      <c r="Y40" s="2267">
        <v>3</v>
      </c>
      <c r="Z40" s="2265">
        <f t="shared" si="27"/>
        <v>12</v>
      </c>
    </row>
    <row r="41" spans="2:26" ht="15" customHeight="1" x14ac:dyDescent="0.2">
      <c r="B41" s="2370" t="s">
        <v>80</v>
      </c>
      <c r="C41" s="129">
        <v>18</v>
      </c>
      <c r="D41" s="396">
        <v>18</v>
      </c>
      <c r="E41" s="129">
        <v>8</v>
      </c>
      <c r="F41" s="396">
        <v>26</v>
      </c>
      <c r="G41" s="129">
        <v>0</v>
      </c>
      <c r="H41" s="396">
        <v>5</v>
      </c>
      <c r="I41" s="129">
        <v>1</v>
      </c>
      <c r="J41" s="396">
        <v>1</v>
      </c>
      <c r="K41" s="2266">
        <v>5</v>
      </c>
      <c r="L41" s="2267">
        <v>0</v>
      </c>
      <c r="M41" s="2267">
        <v>5</v>
      </c>
      <c r="N41" s="2265">
        <f t="shared" si="0"/>
        <v>5</v>
      </c>
      <c r="O41" s="2267">
        <v>4</v>
      </c>
      <c r="P41" s="2267">
        <v>4</v>
      </c>
      <c r="Q41" s="2265">
        <f t="shared" si="24"/>
        <v>8</v>
      </c>
      <c r="R41" s="2267">
        <v>4</v>
      </c>
      <c r="S41" s="2267">
        <v>2</v>
      </c>
      <c r="T41" s="2265">
        <f t="shared" si="25"/>
        <v>6</v>
      </c>
      <c r="U41" s="2267">
        <v>5</v>
      </c>
      <c r="V41" s="2267">
        <v>10</v>
      </c>
      <c r="W41" s="2265">
        <f t="shared" si="26"/>
        <v>15</v>
      </c>
      <c r="X41" s="2267">
        <v>5</v>
      </c>
      <c r="Y41" s="2267">
        <v>5</v>
      </c>
      <c r="Z41" s="2265">
        <f t="shared" si="27"/>
        <v>10</v>
      </c>
    </row>
    <row r="42" spans="2:26" ht="15" customHeight="1" x14ac:dyDescent="0.2">
      <c r="B42" s="2370" t="s">
        <v>85</v>
      </c>
      <c r="C42" s="129">
        <v>6</v>
      </c>
      <c r="D42" s="396">
        <v>6</v>
      </c>
      <c r="E42" s="129">
        <v>4</v>
      </c>
      <c r="F42" s="396">
        <v>10</v>
      </c>
      <c r="G42" s="129">
        <v>0</v>
      </c>
      <c r="H42" s="396">
        <v>2</v>
      </c>
      <c r="I42" s="129"/>
      <c r="J42" s="396"/>
      <c r="K42" s="2266">
        <v>4</v>
      </c>
      <c r="L42" s="2267">
        <v>1</v>
      </c>
      <c r="M42" s="2267">
        <v>2</v>
      </c>
      <c r="N42" s="2265">
        <f t="shared" si="0"/>
        <v>3</v>
      </c>
      <c r="O42" s="2267">
        <v>1</v>
      </c>
      <c r="P42" s="2267"/>
      <c r="Q42" s="2265">
        <f t="shared" si="24"/>
        <v>1</v>
      </c>
      <c r="R42" s="2267">
        <v>1</v>
      </c>
      <c r="S42" s="2267">
        <v>1</v>
      </c>
      <c r="T42" s="2265">
        <f t="shared" si="25"/>
        <v>2</v>
      </c>
      <c r="U42" s="2267">
        <v>0</v>
      </c>
      <c r="V42" s="2267">
        <v>2</v>
      </c>
      <c r="W42" s="2265">
        <f t="shared" si="26"/>
        <v>2</v>
      </c>
      <c r="X42" s="2267">
        <v>1</v>
      </c>
      <c r="Y42" s="2267"/>
      <c r="Z42" s="2265">
        <f t="shared" si="27"/>
        <v>1</v>
      </c>
    </row>
    <row r="43" spans="2:26" ht="15" customHeight="1" x14ac:dyDescent="0.2">
      <c r="B43" s="2370" t="s">
        <v>81</v>
      </c>
      <c r="C43" s="129">
        <v>22</v>
      </c>
      <c r="D43" s="396">
        <v>22</v>
      </c>
      <c r="E43" s="129">
        <v>11</v>
      </c>
      <c r="F43" s="396">
        <v>33</v>
      </c>
      <c r="G43" s="129">
        <v>1</v>
      </c>
      <c r="H43" s="396">
        <v>11</v>
      </c>
      <c r="I43" s="129">
        <v>2</v>
      </c>
      <c r="J43" s="396">
        <v>2</v>
      </c>
      <c r="K43" s="2266">
        <v>9</v>
      </c>
      <c r="L43" s="2267">
        <v>4</v>
      </c>
      <c r="M43" s="2267">
        <v>5</v>
      </c>
      <c r="N43" s="2265">
        <f t="shared" si="0"/>
        <v>9</v>
      </c>
      <c r="O43" s="2267">
        <v>6</v>
      </c>
      <c r="P43" s="2267">
        <v>5</v>
      </c>
      <c r="Q43" s="2265">
        <f t="shared" si="24"/>
        <v>11</v>
      </c>
      <c r="R43" s="2267">
        <v>2</v>
      </c>
      <c r="S43" s="2267">
        <v>2</v>
      </c>
      <c r="T43" s="2265">
        <f t="shared" si="25"/>
        <v>4</v>
      </c>
      <c r="U43" s="2267">
        <v>6</v>
      </c>
      <c r="V43" s="2267">
        <v>12</v>
      </c>
      <c r="W43" s="2265">
        <f t="shared" si="26"/>
        <v>18</v>
      </c>
      <c r="X43" s="2267">
        <v>5</v>
      </c>
      <c r="Y43" s="2267">
        <v>3</v>
      </c>
      <c r="Z43" s="2265">
        <f t="shared" si="27"/>
        <v>8</v>
      </c>
    </row>
    <row r="44" spans="2:26" ht="15" customHeight="1" x14ac:dyDescent="0.2">
      <c r="B44" s="2370" t="s">
        <v>79</v>
      </c>
      <c r="C44" s="129">
        <v>12</v>
      </c>
      <c r="D44" s="396">
        <v>12</v>
      </c>
      <c r="E44" s="129">
        <v>4</v>
      </c>
      <c r="F44" s="396">
        <v>16</v>
      </c>
      <c r="G44" s="129">
        <v>0</v>
      </c>
      <c r="H44" s="396">
        <v>3</v>
      </c>
      <c r="I44" s="129">
        <v>3</v>
      </c>
      <c r="J44" s="396">
        <v>3</v>
      </c>
      <c r="K44" s="2266">
        <v>32</v>
      </c>
      <c r="L44" s="2267">
        <v>20</v>
      </c>
      <c r="M44" s="2267">
        <v>10</v>
      </c>
      <c r="N44" s="2265">
        <f t="shared" si="0"/>
        <v>30</v>
      </c>
      <c r="O44" s="2267">
        <v>15</v>
      </c>
      <c r="P44" s="2267">
        <v>9</v>
      </c>
      <c r="Q44" s="2265">
        <f t="shared" si="24"/>
        <v>24</v>
      </c>
      <c r="R44" s="2267">
        <v>8</v>
      </c>
      <c r="S44" s="2267">
        <v>7</v>
      </c>
      <c r="T44" s="2265">
        <f t="shared" si="25"/>
        <v>15</v>
      </c>
      <c r="U44" s="2267">
        <v>26</v>
      </c>
      <c r="V44" s="2267">
        <v>6</v>
      </c>
      <c r="W44" s="2265">
        <f t="shared" si="26"/>
        <v>32</v>
      </c>
      <c r="X44" s="2267">
        <v>15</v>
      </c>
      <c r="Y44" s="2267">
        <v>5</v>
      </c>
      <c r="Z44" s="2265">
        <f t="shared" si="27"/>
        <v>20</v>
      </c>
    </row>
    <row r="45" spans="2:26" ht="15" customHeight="1" x14ac:dyDescent="0.2">
      <c r="B45" s="2370" t="s">
        <v>82</v>
      </c>
      <c r="C45" s="129">
        <v>7</v>
      </c>
      <c r="D45" s="396">
        <v>7</v>
      </c>
      <c r="E45" s="129">
        <v>8</v>
      </c>
      <c r="F45" s="396">
        <v>15</v>
      </c>
      <c r="G45" s="129">
        <v>1</v>
      </c>
      <c r="H45" s="396">
        <v>8</v>
      </c>
      <c r="I45" s="129">
        <v>1</v>
      </c>
      <c r="J45" s="396">
        <v>1</v>
      </c>
      <c r="K45" s="2266">
        <v>12</v>
      </c>
      <c r="L45" s="2267">
        <v>6</v>
      </c>
      <c r="M45" s="2267">
        <v>4</v>
      </c>
      <c r="N45" s="2265">
        <f t="shared" si="0"/>
        <v>10</v>
      </c>
      <c r="O45" s="2267">
        <v>1</v>
      </c>
      <c r="P45" s="2267">
        <v>1</v>
      </c>
      <c r="Q45" s="2265">
        <f t="shared" si="24"/>
        <v>2</v>
      </c>
      <c r="R45" s="2267">
        <v>5</v>
      </c>
      <c r="S45" s="2267">
        <v>2</v>
      </c>
      <c r="T45" s="2265">
        <f t="shared" si="25"/>
        <v>7</v>
      </c>
      <c r="U45" s="2267">
        <v>11</v>
      </c>
      <c r="V45" s="2267">
        <v>4</v>
      </c>
      <c r="W45" s="2265">
        <f t="shared" si="26"/>
        <v>15</v>
      </c>
      <c r="X45" s="2267">
        <v>4</v>
      </c>
      <c r="Y45" s="2267">
        <v>2</v>
      </c>
      <c r="Z45" s="2265">
        <f t="shared" si="27"/>
        <v>6</v>
      </c>
    </row>
    <row r="46" spans="2:26" ht="15" customHeight="1" x14ac:dyDescent="0.2">
      <c r="B46" s="2370" t="s">
        <v>84</v>
      </c>
      <c r="C46" s="129">
        <v>39</v>
      </c>
      <c r="D46" s="396">
        <v>39</v>
      </c>
      <c r="E46" s="129">
        <v>32</v>
      </c>
      <c r="F46" s="396">
        <v>71</v>
      </c>
      <c r="G46" s="129">
        <v>2</v>
      </c>
      <c r="H46" s="396">
        <v>33</v>
      </c>
      <c r="I46" s="129">
        <v>1</v>
      </c>
      <c r="J46" s="396">
        <v>1</v>
      </c>
      <c r="K46" s="2266">
        <v>97</v>
      </c>
      <c r="L46" s="2267">
        <v>85</v>
      </c>
      <c r="M46" s="2267">
        <v>12</v>
      </c>
      <c r="N46" s="2265">
        <f t="shared" si="0"/>
        <v>97</v>
      </c>
      <c r="O46" s="2267">
        <v>94</v>
      </c>
      <c r="P46" s="2267">
        <v>14</v>
      </c>
      <c r="Q46" s="2265">
        <f t="shared" si="24"/>
        <v>108</v>
      </c>
      <c r="R46" s="2267">
        <v>47</v>
      </c>
      <c r="S46" s="2267">
        <v>10</v>
      </c>
      <c r="T46" s="2265">
        <f t="shared" si="25"/>
        <v>57</v>
      </c>
      <c r="U46" s="2267">
        <v>20</v>
      </c>
      <c r="V46" s="2267">
        <v>7</v>
      </c>
      <c r="W46" s="2265">
        <f t="shared" si="26"/>
        <v>27</v>
      </c>
      <c r="X46" s="2267">
        <v>13</v>
      </c>
      <c r="Y46" s="2267">
        <v>2</v>
      </c>
      <c r="Z46" s="2265">
        <f t="shared" si="27"/>
        <v>15</v>
      </c>
    </row>
    <row r="47" spans="2:26" ht="15" customHeight="1" x14ac:dyDescent="0.2">
      <c r="B47" s="2370" t="s">
        <v>63</v>
      </c>
      <c r="C47" s="129">
        <v>32</v>
      </c>
      <c r="D47" s="396">
        <v>32</v>
      </c>
      <c r="E47" s="129">
        <v>14</v>
      </c>
      <c r="F47" s="396">
        <v>46</v>
      </c>
      <c r="G47" s="129">
        <v>4</v>
      </c>
      <c r="H47" s="396">
        <v>17</v>
      </c>
      <c r="I47" s="129"/>
      <c r="J47" s="396"/>
      <c r="K47" s="2266">
        <v>23</v>
      </c>
      <c r="L47" s="2267">
        <v>16</v>
      </c>
      <c r="M47" s="2267">
        <v>7</v>
      </c>
      <c r="N47" s="2265">
        <f t="shared" si="0"/>
        <v>23</v>
      </c>
      <c r="O47" s="2267">
        <v>17</v>
      </c>
      <c r="P47" s="2267">
        <v>8</v>
      </c>
      <c r="Q47" s="2265">
        <f t="shared" si="24"/>
        <v>25</v>
      </c>
      <c r="R47" s="2267">
        <v>11</v>
      </c>
      <c r="S47" s="2267">
        <v>4</v>
      </c>
      <c r="T47" s="2265">
        <f t="shared" si="25"/>
        <v>15</v>
      </c>
      <c r="U47" s="2267">
        <v>6</v>
      </c>
      <c r="V47" s="2267">
        <v>2</v>
      </c>
      <c r="W47" s="2265">
        <f t="shared" si="26"/>
        <v>8</v>
      </c>
      <c r="X47" s="2267">
        <v>3</v>
      </c>
      <c r="Y47" s="2267">
        <v>2</v>
      </c>
      <c r="Z47" s="2265">
        <f t="shared" si="27"/>
        <v>5</v>
      </c>
    </row>
    <row r="48" spans="2:26" ht="15" customHeight="1" x14ac:dyDescent="0.2">
      <c r="B48" s="2371" t="s">
        <v>64</v>
      </c>
      <c r="C48" s="2372">
        <f t="shared" ref="C48:T48" si="28">SUM(C37:C47)</f>
        <v>308</v>
      </c>
      <c r="D48" s="2373">
        <f t="shared" si="28"/>
        <v>306</v>
      </c>
      <c r="E48" s="2372">
        <f t="shared" si="28"/>
        <v>217</v>
      </c>
      <c r="F48" s="2373">
        <f t="shared" si="28"/>
        <v>525</v>
      </c>
      <c r="G48" s="2372">
        <f t="shared" si="28"/>
        <v>22</v>
      </c>
      <c r="H48" s="2373">
        <f t="shared" si="28"/>
        <v>203</v>
      </c>
      <c r="I48" s="2372">
        <f t="shared" si="28"/>
        <v>12</v>
      </c>
      <c r="J48" s="2373">
        <f t="shared" si="28"/>
        <v>12</v>
      </c>
      <c r="K48" s="2271">
        <f t="shared" si="28"/>
        <v>330</v>
      </c>
      <c r="L48" s="2272">
        <f t="shared" si="28"/>
        <v>218</v>
      </c>
      <c r="M48" s="2273">
        <f t="shared" si="28"/>
        <v>98</v>
      </c>
      <c r="N48" s="2270">
        <f t="shared" si="28"/>
        <v>316</v>
      </c>
      <c r="O48" s="2272">
        <f t="shared" si="28"/>
        <v>242</v>
      </c>
      <c r="P48" s="2273">
        <f t="shared" si="28"/>
        <v>100</v>
      </c>
      <c r="Q48" s="2270">
        <f t="shared" si="28"/>
        <v>342</v>
      </c>
      <c r="R48" s="2272">
        <f t="shared" si="28"/>
        <v>147</v>
      </c>
      <c r="S48" s="2273">
        <f t="shared" si="28"/>
        <v>74</v>
      </c>
      <c r="T48" s="2270">
        <f t="shared" si="28"/>
        <v>221</v>
      </c>
      <c r="U48" s="2272">
        <f>SUM(U37:U47)</f>
        <v>175</v>
      </c>
      <c r="V48" s="2273">
        <f>SUM(V37:V47)</f>
        <v>101</v>
      </c>
      <c r="W48" s="2270">
        <f t="shared" ref="W48" si="29">SUM(W37:W47)</f>
        <v>276</v>
      </c>
      <c r="X48" s="2272">
        <f>SUM(X37:X47)</f>
        <v>121</v>
      </c>
      <c r="Y48" s="2273">
        <f>SUM(Y37:Y47)</f>
        <v>62</v>
      </c>
      <c r="Z48" s="2270">
        <f t="shared" ref="Z48" si="30">SUM(Z37:Z47)</f>
        <v>183</v>
      </c>
    </row>
    <row r="49" spans="2:26" ht="15" customHeight="1" x14ac:dyDescent="0.2">
      <c r="B49" s="2370" t="s">
        <v>86</v>
      </c>
      <c r="C49" s="129">
        <v>39</v>
      </c>
      <c r="D49" s="396">
        <v>39</v>
      </c>
      <c r="E49" s="129">
        <v>10</v>
      </c>
      <c r="F49" s="396">
        <v>49</v>
      </c>
      <c r="G49" s="129">
        <v>0</v>
      </c>
      <c r="H49" s="396">
        <v>9</v>
      </c>
      <c r="I49" s="129">
        <v>2</v>
      </c>
      <c r="J49" s="396">
        <v>2</v>
      </c>
      <c r="K49" s="2266">
        <v>21</v>
      </c>
      <c r="L49" s="2267">
        <v>13</v>
      </c>
      <c r="M49" s="2267">
        <v>8</v>
      </c>
      <c r="N49" s="2265">
        <f t="shared" si="0"/>
        <v>21</v>
      </c>
      <c r="O49" s="2267">
        <v>24</v>
      </c>
      <c r="P49" s="2267">
        <v>10</v>
      </c>
      <c r="Q49" s="2265">
        <f t="shared" ref="Q49:Q54" si="31">SUM(O49:P49)</f>
        <v>34</v>
      </c>
      <c r="R49" s="2267">
        <v>18</v>
      </c>
      <c r="S49" s="2267">
        <v>10</v>
      </c>
      <c r="T49" s="2265">
        <f t="shared" ref="T49:T54" si="32">SUM(R49:S49)</f>
        <v>28</v>
      </c>
      <c r="U49" s="2267">
        <v>15</v>
      </c>
      <c r="V49" s="2267">
        <v>11</v>
      </c>
      <c r="W49" s="2265">
        <f t="shared" ref="W49:W54" si="33">SUM(U49:V49)</f>
        <v>26</v>
      </c>
      <c r="X49" s="2267">
        <v>3</v>
      </c>
      <c r="Y49" s="2267">
        <v>8</v>
      </c>
      <c r="Z49" s="2265">
        <f t="shared" ref="Z49:Z54" si="34">SUM(X49:Y49)</f>
        <v>11</v>
      </c>
    </row>
    <row r="50" spans="2:26" ht="15" customHeight="1" x14ac:dyDescent="0.2">
      <c r="B50" s="2370" t="s">
        <v>87</v>
      </c>
      <c r="C50" s="129">
        <v>18</v>
      </c>
      <c r="D50" s="396">
        <v>18</v>
      </c>
      <c r="E50" s="129">
        <v>18</v>
      </c>
      <c r="F50" s="396">
        <v>36</v>
      </c>
      <c r="G50" s="129">
        <v>3</v>
      </c>
      <c r="H50" s="396">
        <v>12</v>
      </c>
      <c r="I50" s="129"/>
      <c r="J50" s="396"/>
      <c r="K50" s="2266">
        <v>21</v>
      </c>
      <c r="L50" s="2267">
        <v>15</v>
      </c>
      <c r="M50" s="2267">
        <v>6</v>
      </c>
      <c r="N50" s="2265">
        <f t="shared" si="0"/>
        <v>21</v>
      </c>
      <c r="O50" s="2267">
        <v>17</v>
      </c>
      <c r="P50" s="2267">
        <v>9</v>
      </c>
      <c r="Q50" s="2265">
        <f t="shared" si="31"/>
        <v>26</v>
      </c>
      <c r="R50" s="2267">
        <v>11</v>
      </c>
      <c r="S50" s="2267">
        <v>3</v>
      </c>
      <c r="T50" s="2265">
        <f t="shared" si="32"/>
        <v>14</v>
      </c>
      <c r="U50" s="2267">
        <v>18</v>
      </c>
      <c r="V50" s="2267">
        <v>8</v>
      </c>
      <c r="W50" s="2265">
        <f t="shared" si="33"/>
        <v>26</v>
      </c>
      <c r="X50" s="2267">
        <v>7</v>
      </c>
      <c r="Y50" s="2267">
        <v>4</v>
      </c>
      <c r="Z50" s="2265">
        <f t="shared" si="34"/>
        <v>11</v>
      </c>
    </row>
    <row r="51" spans="2:26" ht="15" customHeight="1" x14ac:dyDescent="0.2">
      <c r="B51" s="2370" t="s">
        <v>88</v>
      </c>
      <c r="C51" s="129">
        <v>1</v>
      </c>
      <c r="D51" s="396">
        <v>1</v>
      </c>
      <c r="E51" s="129">
        <v>6</v>
      </c>
      <c r="F51" s="396">
        <v>7</v>
      </c>
      <c r="G51" s="129">
        <v>5</v>
      </c>
      <c r="H51" s="396">
        <v>9</v>
      </c>
      <c r="I51" s="129"/>
      <c r="J51" s="396"/>
      <c r="K51" s="2266">
        <v>26</v>
      </c>
      <c r="L51" s="2267">
        <v>19</v>
      </c>
      <c r="M51" s="2267">
        <v>6</v>
      </c>
      <c r="N51" s="2265">
        <f t="shared" si="0"/>
        <v>25</v>
      </c>
      <c r="O51" s="2267">
        <v>11</v>
      </c>
      <c r="P51" s="2267">
        <v>3</v>
      </c>
      <c r="Q51" s="2265">
        <f t="shared" si="31"/>
        <v>14</v>
      </c>
      <c r="R51" s="2267">
        <v>6</v>
      </c>
      <c r="S51" s="2267">
        <v>3</v>
      </c>
      <c r="T51" s="2265">
        <f t="shared" si="32"/>
        <v>9</v>
      </c>
      <c r="U51" s="2267">
        <v>10</v>
      </c>
      <c r="V51" s="2267">
        <v>4</v>
      </c>
      <c r="W51" s="2265">
        <f t="shared" si="33"/>
        <v>14</v>
      </c>
      <c r="X51" s="2267">
        <v>6</v>
      </c>
      <c r="Y51" s="2267">
        <v>2</v>
      </c>
      <c r="Z51" s="2265">
        <f t="shared" si="34"/>
        <v>8</v>
      </c>
    </row>
    <row r="52" spans="2:26" ht="15" customHeight="1" x14ac:dyDescent="0.2">
      <c r="B52" s="2370" t="s">
        <v>90</v>
      </c>
      <c r="C52" s="129">
        <v>36</v>
      </c>
      <c r="D52" s="396">
        <v>35</v>
      </c>
      <c r="E52" s="129">
        <v>10</v>
      </c>
      <c r="F52" s="396">
        <v>46</v>
      </c>
      <c r="G52" s="129">
        <v>1</v>
      </c>
      <c r="H52" s="396">
        <v>7</v>
      </c>
      <c r="I52" s="129"/>
      <c r="J52" s="396"/>
      <c r="K52" s="2266">
        <v>20</v>
      </c>
      <c r="L52" s="2267">
        <v>12</v>
      </c>
      <c r="M52" s="2267">
        <v>7</v>
      </c>
      <c r="N52" s="2265">
        <f t="shared" si="0"/>
        <v>19</v>
      </c>
      <c r="O52" s="2267">
        <v>12</v>
      </c>
      <c r="P52" s="2267">
        <v>6</v>
      </c>
      <c r="Q52" s="2265">
        <f t="shared" si="31"/>
        <v>18</v>
      </c>
      <c r="R52" s="2267">
        <v>6</v>
      </c>
      <c r="S52" s="2267">
        <v>1</v>
      </c>
      <c r="T52" s="2265">
        <f t="shared" si="32"/>
        <v>7</v>
      </c>
      <c r="U52" s="2267">
        <v>9</v>
      </c>
      <c r="V52" s="2267">
        <v>13</v>
      </c>
      <c r="W52" s="2265">
        <f t="shared" si="33"/>
        <v>22</v>
      </c>
      <c r="X52" s="2267">
        <v>7</v>
      </c>
      <c r="Y52" s="2267">
        <v>3</v>
      </c>
      <c r="Z52" s="2265">
        <f t="shared" si="34"/>
        <v>10</v>
      </c>
    </row>
    <row r="53" spans="2:26" ht="15" customHeight="1" x14ac:dyDescent="0.2">
      <c r="B53" s="2370" t="s">
        <v>91</v>
      </c>
      <c r="C53" s="129">
        <v>19</v>
      </c>
      <c r="D53" s="396">
        <v>19</v>
      </c>
      <c r="E53" s="129">
        <v>4</v>
      </c>
      <c r="F53" s="396">
        <v>23</v>
      </c>
      <c r="G53" s="129">
        <v>1</v>
      </c>
      <c r="H53" s="396">
        <v>3</v>
      </c>
      <c r="I53" s="129">
        <v>1</v>
      </c>
      <c r="J53" s="396">
        <v>1</v>
      </c>
      <c r="K53" s="2266">
        <v>14</v>
      </c>
      <c r="L53" s="2267">
        <v>10</v>
      </c>
      <c r="M53" s="2267">
        <v>4</v>
      </c>
      <c r="N53" s="2265">
        <f t="shared" si="0"/>
        <v>14</v>
      </c>
      <c r="O53" s="2267">
        <v>12</v>
      </c>
      <c r="P53" s="2267">
        <v>3</v>
      </c>
      <c r="Q53" s="2265">
        <f t="shared" si="31"/>
        <v>15</v>
      </c>
      <c r="R53" s="2267">
        <v>3</v>
      </c>
      <c r="S53" s="2267">
        <v>2</v>
      </c>
      <c r="T53" s="2265">
        <f t="shared" si="32"/>
        <v>5</v>
      </c>
      <c r="U53" s="2267">
        <v>9</v>
      </c>
      <c r="V53" s="2267">
        <v>4</v>
      </c>
      <c r="W53" s="2265">
        <f t="shared" si="33"/>
        <v>13</v>
      </c>
      <c r="X53" s="2267">
        <v>7</v>
      </c>
      <c r="Y53" s="2267">
        <v>2</v>
      </c>
      <c r="Z53" s="2265">
        <f t="shared" si="34"/>
        <v>9</v>
      </c>
    </row>
    <row r="54" spans="2:26" ht="15" customHeight="1" x14ac:dyDescent="0.2">
      <c r="B54" s="2370" t="s">
        <v>89</v>
      </c>
      <c r="C54" s="129">
        <v>3</v>
      </c>
      <c r="D54" s="396">
        <v>3</v>
      </c>
      <c r="E54" s="129">
        <v>9</v>
      </c>
      <c r="F54" s="396">
        <v>12</v>
      </c>
      <c r="G54" s="129">
        <v>0</v>
      </c>
      <c r="H54" s="396">
        <v>9</v>
      </c>
      <c r="I54" s="129"/>
      <c r="J54" s="396"/>
      <c r="K54" s="2266">
        <v>27</v>
      </c>
      <c r="L54" s="2267">
        <v>19</v>
      </c>
      <c r="M54" s="2267">
        <v>8</v>
      </c>
      <c r="N54" s="2265">
        <f t="shared" si="0"/>
        <v>27</v>
      </c>
      <c r="O54" s="2267">
        <v>12</v>
      </c>
      <c r="P54" s="2267">
        <v>3</v>
      </c>
      <c r="Q54" s="2265">
        <f t="shared" si="31"/>
        <v>15</v>
      </c>
      <c r="R54" s="2267">
        <v>8</v>
      </c>
      <c r="S54" s="2267">
        <v>1</v>
      </c>
      <c r="T54" s="2265">
        <f t="shared" si="32"/>
        <v>9</v>
      </c>
      <c r="U54" s="2267">
        <v>8</v>
      </c>
      <c r="V54" s="2267">
        <v>2</v>
      </c>
      <c r="W54" s="2265">
        <f t="shared" si="33"/>
        <v>10</v>
      </c>
      <c r="X54" s="2267">
        <v>2</v>
      </c>
      <c r="Y54" s="2267">
        <v>5</v>
      </c>
      <c r="Z54" s="2265">
        <f t="shared" si="34"/>
        <v>7</v>
      </c>
    </row>
    <row r="55" spans="2:26" ht="15" customHeight="1" x14ac:dyDescent="0.2">
      <c r="B55" s="2374" t="s">
        <v>92</v>
      </c>
      <c r="C55" s="2375">
        <f t="shared" ref="C55:T55" si="35">SUM(C49:C54)</f>
        <v>116</v>
      </c>
      <c r="D55" s="2376">
        <f t="shared" si="35"/>
        <v>115</v>
      </c>
      <c r="E55" s="2375">
        <f t="shared" si="35"/>
        <v>57</v>
      </c>
      <c r="F55" s="2376">
        <f t="shared" si="35"/>
        <v>173</v>
      </c>
      <c r="G55" s="2375">
        <f t="shared" si="35"/>
        <v>10</v>
      </c>
      <c r="H55" s="2376">
        <f t="shared" si="35"/>
        <v>49</v>
      </c>
      <c r="I55" s="2375">
        <f t="shared" si="35"/>
        <v>3</v>
      </c>
      <c r="J55" s="2376">
        <f t="shared" si="35"/>
        <v>3</v>
      </c>
      <c r="K55" s="2271">
        <f t="shared" si="35"/>
        <v>129</v>
      </c>
      <c r="L55" s="2272">
        <f t="shared" si="35"/>
        <v>88</v>
      </c>
      <c r="M55" s="2273">
        <f t="shared" si="35"/>
        <v>39</v>
      </c>
      <c r="N55" s="2270">
        <f t="shared" si="35"/>
        <v>127</v>
      </c>
      <c r="O55" s="2272">
        <f t="shared" si="35"/>
        <v>88</v>
      </c>
      <c r="P55" s="2273">
        <f t="shared" si="35"/>
        <v>34</v>
      </c>
      <c r="Q55" s="2270">
        <f t="shared" si="35"/>
        <v>122</v>
      </c>
      <c r="R55" s="2272">
        <f t="shared" si="35"/>
        <v>52</v>
      </c>
      <c r="S55" s="2273">
        <f t="shared" si="35"/>
        <v>20</v>
      </c>
      <c r="T55" s="2270">
        <f t="shared" si="35"/>
        <v>72</v>
      </c>
      <c r="U55" s="2272">
        <f>SUM(U49:U54)</f>
        <v>69</v>
      </c>
      <c r="V55" s="2273">
        <f>SUM(V49:V54)</f>
        <v>42</v>
      </c>
      <c r="W55" s="2270">
        <f t="shared" ref="W55" si="36">SUM(W49:W54)</f>
        <v>111</v>
      </c>
      <c r="X55" s="2272">
        <f>SUM(X49:X54)</f>
        <v>32</v>
      </c>
      <c r="Y55" s="2273">
        <f>SUM(Y49:Y54)</f>
        <v>24</v>
      </c>
      <c r="Z55" s="2270">
        <f t="shared" ref="Z55" si="37">SUM(Z49:Z54)</f>
        <v>56</v>
      </c>
    </row>
    <row r="56" spans="2:26" ht="15" customHeight="1" x14ac:dyDescent="0.2">
      <c r="B56" s="2382" t="s">
        <v>93</v>
      </c>
      <c r="C56" s="1429">
        <f t="shared" ref="C56:T56" si="38">SUM(C55,C48,C36)</f>
        <v>476</v>
      </c>
      <c r="D56" s="1431">
        <f t="shared" si="38"/>
        <v>473</v>
      </c>
      <c r="E56" s="1429">
        <f t="shared" si="38"/>
        <v>303</v>
      </c>
      <c r="F56" s="1431">
        <f t="shared" si="38"/>
        <v>779</v>
      </c>
      <c r="G56" s="1429">
        <f t="shared" si="38"/>
        <v>44</v>
      </c>
      <c r="H56" s="1431">
        <f t="shared" si="38"/>
        <v>287</v>
      </c>
      <c r="I56" s="1429">
        <f t="shared" si="38"/>
        <v>18</v>
      </c>
      <c r="J56" s="1431">
        <f t="shared" si="38"/>
        <v>18</v>
      </c>
      <c r="K56" s="2383">
        <f t="shared" si="38"/>
        <v>519</v>
      </c>
      <c r="L56" s="2384">
        <f t="shared" si="38"/>
        <v>328</v>
      </c>
      <c r="M56" s="2384">
        <f t="shared" si="38"/>
        <v>172</v>
      </c>
      <c r="N56" s="2385">
        <f t="shared" si="38"/>
        <v>500</v>
      </c>
      <c r="O56" s="2384">
        <f t="shared" si="38"/>
        <v>350</v>
      </c>
      <c r="P56" s="2384">
        <f t="shared" si="38"/>
        <v>163</v>
      </c>
      <c r="Q56" s="2385">
        <f t="shared" si="38"/>
        <v>513</v>
      </c>
      <c r="R56" s="2384">
        <f t="shared" si="38"/>
        <v>228</v>
      </c>
      <c r="S56" s="2384">
        <f t="shared" si="38"/>
        <v>124</v>
      </c>
      <c r="T56" s="2385">
        <f t="shared" si="38"/>
        <v>352</v>
      </c>
      <c r="U56" s="2384">
        <f t="shared" ref="U56:W56" si="39">SUM(U55,U48,U36)</f>
        <v>266</v>
      </c>
      <c r="V56" s="2384">
        <f t="shared" si="39"/>
        <v>181</v>
      </c>
      <c r="W56" s="2385">
        <f t="shared" si="39"/>
        <v>447</v>
      </c>
      <c r="X56" s="2384">
        <f t="shared" ref="X56:Z56" si="40">SUM(X55,X48,X36)</f>
        <v>162</v>
      </c>
      <c r="Y56" s="2384">
        <f t="shared" si="40"/>
        <v>116</v>
      </c>
      <c r="Z56" s="2385">
        <f t="shared" si="40"/>
        <v>278</v>
      </c>
    </row>
    <row r="57" spans="2:26" ht="15" customHeight="1" x14ac:dyDescent="0.2">
      <c r="B57" s="2381" t="s">
        <v>60</v>
      </c>
      <c r="C57" s="1398">
        <v>40</v>
      </c>
      <c r="D57" s="1400">
        <v>40</v>
      </c>
      <c r="E57" s="1398">
        <v>24</v>
      </c>
      <c r="F57" s="1400">
        <v>64</v>
      </c>
      <c r="G57" s="1398">
        <v>5</v>
      </c>
      <c r="H57" s="1400">
        <v>27</v>
      </c>
      <c r="I57" s="1398"/>
      <c r="J57" s="1400"/>
      <c r="K57" s="2288">
        <v>30</v>
      </c>
      <c r="L57" s="2289">
        <v>13</v>
      </c>
      <c r="M57" s="2289">
        <v>15</v>
      </c>
      <c r="N57" s="2287">
        <f t="shared" si="0"/>
        <v>28</v>
      </c>
      <c r="O57" s="2289">
        <v>29</v>
      </c>
      <c r="P57" s="2289">
        <v>17</v>
      </c>
      <c r="Q57" s="2287">
        <f t="shared" ref="Q57:Q62" si="41">SUM(O57:P57)</f>
        <v>46</v>
      </c>
      <c r="R57" s="2289">
        <v>11</v>
      </c>
      <c r="S57" s="2289">
        <v>8</v>
      </c>
      <c r="T57" s="2287">
        <f t="shared" ref="T57:T62" si="42">SUM(R57:S57)</f>
        <v>19</v>
      </c>
      <c r="U57" s="2289">
        <v>21</v>
      </c>
      <c r="V57" s="2289">
        <v>14</v>
      </c>
      <c r="W57" s="2287">
        <f t="shared" ref="W57:W62" si="43">SUM(U57:V57)</f>
        <v>35</v>
      </c>
      <c r="X57" s="2289">
        <v>23</v>
      </c>
      <c r="Y57" s="2289">
        <v>25</v>
      </c>
      <c r="Z57" s="2287">
        <f t="shared" ref="Z57:Z62" si="44">SUM(X57:Y57)</f>
        <v>48</v>
      </c>
    </row>
    <row r="58" spans="2:26" ht="15" customHeight="1" x14ac:dyDescent="0.2">
      <c r="B58" s="2370" t="s">
        <v>94</v>
      </c>
      <c r="C58" s="129">
        <v>101</v>
      </c>
      <c r="D58" s="396">
        <v>100</v>
      </c>
      <c r="E58" s="129">
        <v>68</v>
      </c>
      <c r="F58" s="396">
        <v>169</v>
      </c>
      <c r="G58" s="129">
        <v>16</v>
      </c>
      <c r="H58" s="396">
        <v>76</v>
      </c>
      <c r="I58" s="129">
        <v>6</v>
      </c>
      <c r="J58" s="396">
        <v>6</v>
      </c>
      <c r="K58" s="2266">
        <v>62</v>
      </c>
      <c r="L58" s="2267">
        <v>42</v>
      </c>
      <c r="M58" s="2267">
        <v>19</v>
      </c>
      <c r="N58" s="2265">
        <f t="shared" si="0"/>
        <v>61</v>
      </c>
      <c r="O58" s="2267">
        <v>62</v>
      </c>
      <c r="P58" s="2267">
        <v>22</v>
      </c>
      <c r="Q58" s="2265">
        <f t="shared" si="41"/>
        <v>84</v>
      </c>
      <c r="R58" s="2267">
        <v>37</v>
      </c>
      <c r="S58" s="2267">
        <v>14</v>
      </c>
      <c r="T58" s="2265">
        <f t="shared" si="42"/>
        <v>51</v>
      </c>
      <c r="U58" s="2267">
        <v>51</v>
      </c>
      <c r="V58" s="2267">
        <v>27</v>
      </c>
      <c r="W58" s="2265">
        <f t="shared" si="43"/>
        <v>78</v>
      </c>
      <c r="X58" s="2267">
        <v>80</v>
      </c>
      <c r="Y58" s="2267">
        <v>36</v>
      </c>
      <c r="Z58" s="2265">
        <f t="shared" si="44"/>
        <v>116</v>
      </c>
    </row>
    <row r="59" spans="2:26" ht="15" customHeight="1" x14ac:dyDescent="0.2">
      <c r="B59" s="2370" t="s">
        <v>62</v>
      </c>
      <c r="C59" s="129">
        <v>17</v>
      </c>
      <c r="D59" s="396">
        <v>17</v>
      </c>
      <c r="E59" s="129">
        <v>14</v>
      </c>
      <c r="F59" s="396">
        <v>31</v>
      </c>
      <c r="G59" s="129">
        <v>2</v>
      </c>
      <c r="H59" s="396">
        <v>10</v>
      </c>
      <c r="I59" s="129"/>
      <c r="J59" s="396"/>
      <c r="K59" s="2266">
        <v>17</v>
      </c>
      <c r="L59" s="2267">
        <v>9</v>
      </c>
      <c r="M59" s="2267">
        <v>7</v>
      </c>
      <c r="N59" s="2265">
        <f t="shared" si="0"/>
        <v>16</v>
      </c>
      <c r="O59" s="2267">
        <v>11</v>
      </c>
      <c r="P59" s="2267">
        <v>12</v>
      </c>
      <c r="Q59" s="2265">
        <f t="shared" si="41"/>
        <v>23</v>
      </c>
      <c r="R59" s="2267">
        <v>9</v>
      </c>
      <c r="S59" s="2267">
        <v>7</v>
      </c>
      <c r="T59" s="2265">
        <f t="shared" si="42"/>
        <v>16</v>
      </c>
      <c r="U59" s="2267">
        <v>17</v>
      </c>
      <c r="V59" s="2267">
        <v>22</v>
      </c>
      <c r="W59" s="2265">
        <f t="shared" si="43"/>
        <v>39</v>
      </c>
      <c r="X59" s="2267">
        <v>21</v>
      </c>
      <c r="Y59" s="2267">
        <v>20</v>
      </c>
      <c r="Z59" s="2265">
        <f t="shared" si="44"/>
        <v>41</v>
      </c>
    </row>
    <row r="60" spans="2:26" ht="15" customHeight="1" x14ac:dyDescent="0.2">
      <c r="B60" s="2370" t="s">
        <v>96</v>
      </c>
      <c r="C60" s="129">
        <v>15</v>
      </c>
      <c r="D60" s="396">
        <v>15</v>
      </c>
      <c r="E60" s="129">
        <v>13</v>
      </c>
      <c r="F60" s="396">
        <v>28</v>
      </c>
      <c r="G60" s="129">
        <v>1</v>
      </c>
      <c r="H60" s="396">
        <v>13</v>
      </c>
      <c r="I60" s="129">
        <v>1</v>
      </c>
      <c r="J60" s="396">
        <v>1</v>
      </c>
      <c r="K60" s="2266">
        <v>26</v>
      </c>
      <c r="L60" s="2267">
        <v>17</v>
      </c>
      <c r="M60" s="2267">
        <v>9</v>
      </c>
      <c r="N60" s="2265">
        <f t="shared" si="0"/>
        <v>26</v>
      </c>
      <c r="O60" s="2267">
        <v>20</v>
      </c>
      <c r="P60" s="2267">
        <v>9</v>
      </c>
      <c r="Q60" s="2265">
        <f t="shared" si="41"/>
        <v>29</v>
      </c>
      <c r="R60" s="2267">
        <v>12</v>
      </c>
      <c r="S60" s="2267">
        <v>5</v>
      </c>
      <c r="T60" s="2265">
        <f t="shared" si="42"/>
        <v>17</v>
      </c>
      <c r="U60" s="2267">
        <v>10</v>
      </c>
      <c r="V60" s="2267">
        <v>9</v>
      </c>
      <c r="W60" s="2265">
        <f t="shared" si="43"/>
        <v>19</v>
      </c>
      <c r="X60" s="2267">
        <v>15</v>
      </c>
      <c r="Y60" s="2267">
        <v>8</v>
      </c>
      <c r="Z60" s="2265">
        <f t="shared" si="44"/>
        <v>23</v>
      </c>
    </row>
    <row r="61" spans="2:26" ht="15" customHeight="1" x14ac:dyDescent="0.2">
      <c r="B61" s="2370" t="s">
        <v>250</v>
      </c>
      <c r="C61" s="129">
        <v>186</v>
      </c>
      <c r="D61" s="396">
        <v>186</v>
      </c>
      <c r="E61" s="129">
        <v>107</v>
      </c>
      <c r="F61" s="396">
        <v>293</v>
      </c>
      <c r="G61" s="129">
        <v>11</v>
      </c>
      <c r="H61" s="396">
        <v>108</v>
      </c>
      <c r="I61" s="129">
        <v>19</v>
      </c>
      <c r="J61" s="396">
        <v>19</v>
      </c>
      <c r="K61" s="2266">
        <v>216</v>
      </c>
      <c r="L61" s="2267">
        <v>153</v>
      </c>
      <c r="M61" s="2267">
        <v>55</v>
      </c>
      <c r="N61" s="2265">
        <f t="shared" si="0"/>
        <v>208</v>
      </c>
      <c r="O61" s="2267">
        <v>162</v>
      </c>
      <c r="P61" s="2267">
        <v>53</v>
      </c>
      <c r="Q61" s="2265">
        <f t="shared" si="41"/>
        <v>215</v>
      </c>
      <c r="R61" s="2267">
        <v>104</v>
      </c>
      <c r="S61" s="2267">
        <v>33</v>
      </c>
      <c r="T61" s="2265">
        <f t="shared" si="42"/>
        <v>137</v>
      </c>
      <c r="U61" s="2267">
        <v>102</v>
      </c>
      <c r="V61" s="2267">
        <v>42</v>
      </c>
      <c r="W61" s="2265">
        <f t="shared" si="43"/>
        <v>144</v>
      </c>
      <c r="X61" s="2267">
        <v>127</v>
      </c>
      <c r="Y61" s="2267">
        <v>42</v>
      </c>
      <c r="Z61" s="2265">
        <f t="shared" si="44"/>
        <v>169</v>
      </c>
    </row>
    <row r="62" spans="2:26" ht="15" customHeight="1" x14ac:dyDescent="0.2">
      <c r="B62" s="2370" t="s">
        <v>63</v>
      </c>
      <c r="C62" s="129">
        <v>58</v>
      </c>
      <c r="D62" s="396">
        <v>56</v>
      </c>
      <c r="E62" s="129">
        <v>32</v>
      </c>
      <c r="F62" s="396">
        <v>90</v>
      </c>
      <c r="G62" s="129">
        <v>9</v>
      </c>
      <c r="H62" s="396">
        <v>39</v>
      </c>
      <c r="I62" s="129">
        <v>3</v>
      </c>
      <c r="J62" s="396">
        <v>3</v>
      </c>
      <c r="K62" s="2266">
        <v>30</v>
      </c>
      <c r="L62" s="2267">
        <v>12</v>
      </c>
      <c r="M62" s="2267">
        <v>15</v>
      </c>
      <c r="N62" s="2265">
        <f t="shared" si="0"/>
        <v>27</v>
      </c>
      <c r="O62" s="2267">
        <v>21</v>
      </c>
      <c r="P62" s="2267">
        <v>21</v>
      </c>
      <c r="Q62" s="2265">
        <f t="shared" si="41"/>
        <v>42</v>
      </c>
      <c r="R62" s="2267">
        <v>24</v>
      </c>
      <c r="S62" s="2267">
        <v>10</v>
      </c>
      <c r="T62" s="2265">
        <f t="shared" si="42"/>
        <v>34</v>
      </c>
      <c r="U62" s="2267">
        <v>20</v>
      </c>
      <c r="V62" s="2267">
        <v>16</v>
      </c>
      <c r="W62" s="2265">
        <f t="shared" si="43"/>
        <v>36</v>
      </c>
      <c r="X62" s="2267">
        <v>27</v>
      </c>
      <c r="Y62" s="2267">
        <v>17</v>
      </c>
      <c r="Z62" s="2265">
        <f t="shared" si="44"/>
        <v>44</v>
      </c>
    </row>
    <row r="63" spans="2:26" ht="15" customHeight="1" x14ac:dyDescent="0.2">
      <c r="B63" s="2371" t="s">
        <v>64</v>
      </c>
      <c r="C63" s="2372">
        <f t="shared" ref="C63:T63" si="45">SUM(C57:C62)</f>
        <v>417</v>
      </c>
      <c r="D63" s="2373">
        <f t="shared" si="45"/>
        <v>414</v>
      </c>
      <c r="E63" s="2372">
        <f t="shared" si="45"/>
        <v>258</v>
      </c>
      <c r="F63" s="2373">
        <f t="shared" si="45"/>
        <v>675</v>
      </c>
      <c r="G63" s="2372">
        <f t="shared" si="45"/>
        <v>44</v>
      </c>
      <c r="H63" s="2373">
        <f t="shared" si="45"/>
        <v>273</v>
      </c>
      <c r="I63" s="2372">
        <f t="shared" si="45"/>
        <v>29</v>
      </c>
      <c r="J63" s="2373">
        <f t="shared" si="45"/>
        <v>29</v>
      </c>
      <c r="K63" s="2271">
        <f t="shared" si="45"/>
        <v>381</v>
      </c>
      <c r="L63" s="2272">
        <f t="shared" si="45"/>
        <v>246</v>
      </c>
      <c r="M63" s="2273">
        <f t="shared" si="45"/>
        <v>120</v>
      </c>
      <c r="N63" s="2270">
        <f t="shared" si="45"/>
        <v>366</v>
      </c>
      <c r="O63" s="2272">
        <f t="shared" si="45"/>
        <v>305</v>
      </c>
      <c r="P63" s="2273">
        <f t="shared" si="45"/>
        <v>134</v>
      </c>
      <c r="Q63" s="2270">
        <f t="shared" si="45"/>
        <v>439</v>
      </c>
      <c r="R63" s="2272">
        <f t="shared" si="45"/>
        <v>197</v>
      </c>
      <c r="S63" s="2273">
        <f t="shared" si="45"/>
        <v>77</v>
      </c>
      <c r="T63" s="2270">
        <f t="shared" si="45"/>
        <v>274</v>
      </c>
      <c r="U63" s="2272">
        <f>SUM(U57:U62)</f>
        <v>221</v>
      </c>
      <c r="V63" s="2273">
        <f>SUM(V57:V62)</f>
        <v>130</v>
      </c>
      <c r="W63" s="2270">
        <f t="shared" ref="W63" si="46">SUM(W57:W62)</f>
        <v>351</v>
      </c>
      <c r="X63" s="2272">
        <f>SUM(X57:X62)</f>
        <v>293</v>
      </c>
      <c r="Y63" s="2273">
        <f>SUM(Y57:Y62)</f>
        <v>148</v>
      </c>
      <c r="Z63" s="2270">
        <f t="shared" ref="Z63" si="47">SUM(Z57:Z62)</f>
        <v>441</v>
      </c>
    </row>
    <row r="64" spans="2:26" ht="15" customHeight="1" x14ac:dyDescent="0.2">
      <c r="B64" s="2370" t="s">
        <v>101</v>
      </c>
      <c r="C64" s="129">
        <v>28</v>
      </c>
      <c r="D64" s="396">
        <v>27</v>
      </c>
      <c r="E64" s="129">
        <v>26</v>
      </c>
      <c r="F64" s="396">
        <v>54</v>
      </c>
      <c r="G64" s="129">
        <v>8</v>
      </c>
      <c r="H64" s="396">
        <v>28</v>
      </c>
      <c r="I64" s="129">
        <v>1</v>
      </c>
      <c r="J64" s="396">
        <v>1</v>
      </c>
      <c r="K64" s="2266">
        <v>35</v>
      </c>
      <c r="L64" s="2267">
        <v>22</v>
      </c>
      <c r="M64" s="2267">
        <v>12</v>
      </c>
      <c r="N64" s="2265">
        <f t="shared" si="0"/>
        <v>34</v>
      </c>
      <c r="O64" s="2267">
        <v>25</v>
      </c>
      <c r="P64" s="2267">
        <v>15</v>
      </c>
      <c r="Q64" s="2265">
        <f t="shared" ref="Q64:Q69" si="48">SUM(O64:P64)</f>
        <v>40</v>
      </c>
      <c r="R64" s="2267">
        <v>15</v>
      </c>
      <c r="S64" s="2267">
        <v>8</v>
      </c>
      <c r="T64" s="2265">
        <f t="shared" ref="T64:T71" si="49">SUM(R64:S64)</f>
        <v>23</v>
      </c>
      <c r="U64" s="2267">
        <v>18</v>
      </c>
      <c r="V64" s="2267">
        <v>5</v>
      </c>
      <c r="W64" s="2265">
        <f t="shared" ref="W64:W71" si="50">SUM(U64:V64)</f>
        <v>23</v>
      </c>
      <c r="X64" s="2267">
        <v>13</v>
      </c>
      <c r="Y64" s="2267">
        <v>7</v>
      </c>
      <c r="Z64" s="2265">
        <f t="shared" ref="Z64:Z71" si="51">SUM(X64:Y64)</f>
        <v>20</v>
      </c>
    </row>
    <row r="65" spans="2:26" ht="15" customHeight="1" x14ac:dyDescent="0.2">
      <c r="B65" s="2370" t="s">
        <v>86</v>
      </c>
      <c r="C65" s="129">
        <v>60</v>
      </c>
      <c r="D65" s="396">
        <v>59</v>
      </c>
      <c r="E65" s="129">
        <v>31</v>
      </c>
      <c r="F65" s="396">
        <v>91</v>
      </c>
      <c r="G65" s="129">
        <v>12</v>
      </c>
      <c r="H65" s="396">
        <v>41</v>
      </c>
      <c r="I65" s="129">
        <v>5</v>
      </c>
      <c r="J65" s="396">
        <v>5</v>
      </c>
      <c r="K65" s="2266">
        <v>52</v>
      </c>
      <c r="L65" s="2267">
        <v>26</v>
      </c>
      <c r="M65" s="2267">
        <v>25</v>
      </c>
      <c r="N65" s="2265">
        <f t="shared" si="0"/>
        <v>51</v>
      </c>
      <c r="O65" s="2267">
        <v>20</v>
      </c>
      <c r="P65" s="2267">
        <v>14</v>
      </c>
      <c r="Q65" s="2265">
        <f t="shared" si="48"/>
        <v>34</v>
      </c>
      <c r="R65" s="2267">
        <v>25</v>
      </c>
      <c r="S65" s="2267">
        <v>10</v>
      </c>
      <c r="T65" s="2265">
        <f t="shared" si="49"/>
        <v>35</v>
      </c>
      <c r="U65" s="2267">
        <v>37</v>
      </c>
      <c r="V65" s="2267">
        <v>17</v>
      </c>
      <c r="W65" s="2265">
        <f t="shared" si="50"/>
        <v>54</v>
      </c>
      <c r="X65" s="2267">
        <v>36</v>
      </c>
      <c r="Y65" s="2267">
        <v>16</v>
      </c>
      <c r="Z65" s="2265">
        <f t="shared" si="51"/>
        <v>52</v>
      </c>
    </row>
    <row r="66" spans="2:26" ht="15" customHeight="1" x14ac:dyDescent="0.2">
      <c r="B66" s="2370" t="s">
        <v>97</v>
      </c>
      <c r="C66" s="129">
        <v>64</v>
      </c>
      <c r="D66" s="396">
        <v>64</v>
      </c>
      <c r="E66" s="129">
        <v>26</v>
      </c>
      <c r="F66" s="396">
        <v>90</v>
      </c>
      <c r="G66" s="129">
        <v>12</v>
      </c>
      <c r="H66" s="396">
        <v>36</v>
      </c>
      <c r="I66" s="129">
        <v>1</v>
      </c>
      <c r="J66" s="396">
        <v>1</v>
      </c>
      <c r="K66" s="2266">
        <v>64</v>
      </c>
      <c r="L66" s="2267">
        <v>59</v>
      </c>
      <c r="M66" s="2267">
        <v>5</v>
      </c>
      <c r="N66" s="2265">
        <f t="shared" si="0"/>
        <v>64</v>
      </c>
      <c r="O66" s="2267">
        <v>77</v>
      </c>
      <c r="P66" s="2267">
        <v>9</v>
      </c>
      <c r="Q66" s="2265">
        <f t="shared" si="48"/>
        <v>86</v>
      </c>
      <c r="R66" s="2267">
        <v>43</v>
      </c>
      <c r="S66" s="2267">
        <v>8</v>
      </c>
      <c r="T66" s="2265">
        <f t="shared" si="49"/>
        <v>51</v>
      </c>
      <c r="U66" s="2267">
        <v>44</v>
      </c>
      <c r="V66" s="2267">
        <v>5</v>
      </c>
      <c r="W66" s="2265">
        <f t="shared" si="50"/>
        <v>49</v>
      </c>
      <c r="X66" s="2267">
        <v>70</v>
      </c>
      <c r="Y66" s="2267">
        <v>12</v>
      </c>
      <c r="Z66" s="2265">
        <f t="shared" si="51"/>
        <v>82</v>
      </c>
    </row>
    <row r="67" spans="2:26" ht="15" customHeight="1" x14ac:dyDescent="0.2">
      <c r="B67" s="2370" t="s">
        <v>98</v>
      </c>
      <c r="C67" s="129">
        <v>47</v>
      </c>
      <c r="D67" s="396">
        <v>47</v>
      </c>
      <c r="E67" s="129">
        <v>52</v>
      </c>
      <c r="F67" s="396">
        <v>99</v>
      </c>
      <c r="G67" s="129">
        <v>9</v>
      </c>
      <c r="H67" s="396">
        <v>59</v>
      </c>
      <c r="I67" s="129">
        <v>4</v>
      </c>
      <c r="J67" s="396">
        <v>4</v>
      </c>
      <c r="K67" s="2266">
        <v>77</v>
      </c>
      <c r="L67" s="2267">
        <v>52</v>
      </c>
      <c r="M67" s="2267">
        <v>23</v>
      </c>
      <c r="N67" s="2265">
        <f t="shared" si="0"/>
        <v>75</v>
      </c>
      <c r="O67" s="2267">
        <v>63</v>
      </c>
      <c r="P67" s="2267">
        <v>22</v>
      </c>
      <c r="Q67" s="2265">
        <f t="shared" si="48"/>
        <v>85</v>
      </c>
      <c r="R67" s="2267">
        <v>47</v>
      </c>
      <c r="S67" s="2267">
        <v>14</v>
      </c>
      <c r="T67" s="2265">
        <f t="shared" si="49"/>
        <v>61</v>
      </c>
      <c r="U67" s="2267">
        <v>60</v>
      </c>
      <c r="V67" s="2267">
        <v>16</v>
      </c>
      <c r="W67" s="2265">
        <f t="shared" si="50"/>
        <v>76</v>
      </c>
      <c r="X67" s="2267">
        <v>44</v>
      </c>
      <c r="Y67" s="2267">
        <v>16</v>
      </c>
      <c r="Z67" s="2265">
        <f t="shared" si="51"/>
        <v>60</v>
      </c>
    </row>
    <row r="68" spans="2:26" ht="15" customHeight="1" x14ac:dyDescent="0.2">
      <c r="B68" s="2370" t="s">
        <v>100</v>
      </c>
      <c r="C68" s="129">
        <v>57</v>
      </c>
      <c r="D68" s="396">
        <v>54</v>
      </c>
      <c r="E68" s="129">
        <v>51</v>
      </c>
      <c r="F68" s="396">
        <v>107</v>
      </c>
      <c r="G68" s="129">
        <v>7</v>
      </c>
      <c r="H68" s="396">
        <v>25</v>
      </c>
      <c r="I68" s="129">
        <v>2</v>
      </c>
      <c r="J68" s="396">
        <v>2</v>
      </c>
      <c r="K68" s="2266">
        <v>49</v>
      </c>
      <c r="L68" s="2267">
        <v>38</v>
      </c>
      <c r="M68" s="2267">
        <v>9</v>
      </c>
      <c r="N68" s="2265">
        <f t="shared" si="0"/>
        <v>47</v>
      </c>
      <c r="O68" s="2267">
        <v>38</v>
      </c>
      <c r="P68" s="2267">
        <v>12</v>
      </c>
      <c r="Q68" s="2265">
        <f t="shared" si="48"/>
        <v>50</v>
      </c>
      <c r="R68" s="2267">
        <v>24</v>
      </c>
      <c r="S68" s="2267">
        <v>8</v>
      </c>
      <c r="T68" s="2265">
        <f t="shared" si="49"/>
        <v>32</v>
      </c>
      <c r="U68" s="2267">
        <v>38</v>
      </c>
      <c r="V68" s="2267">
        <v>12</v>
      </c>
      <c r="W68" s="2265">
        <f t="shared" si="50"/>
        <v>50</v>
      </c>
      <c r="X68" s="2267">
        <v>43</v>
      </c>
      <c r="Y68" s="2267">
        <v>8</v>
      </c>
      <c r="Z68" s="2265">
        <f t="shared" si="51"/>
        <v>51</v>
      </c>
    </row>
    <row r="69" spans="2:26" ht="15" customHeight="1" x14ac:dyDescent="0.2">
      <c r="B69" s="2370" t="s">
        <v>102</v>
      </c>
      <c r="C69" s="129">
        <v>26</v>
      </c>
      <c r="D69" s="396">
        <v>26</v>
      </c>
      <c r="E69" s="129">
        <v>18</v>
      </c>
      <c r="F69" s="396">
        <v>44</v>
      </c>
      <c r="G69" s="129">
        <v>9</v>
      </c>
      <c r="H69" s="396">
        <v>51</v>
      </c>
      <c r="I69" s="129">
        <v>3</v>
      </c>
      <c r="J69" s="396">
        <v>3</v>
      </c>
      <c r="K69" s="2266">
        <v>142</v>
      </c>
      <c r="L69" s="2267">
        <v>85</v>
      </c>
      <c r="M69" s="2267">
        <v>53</v>
      </c>
      <c r="N69" s="2265">
        <f t="shared" si="0"/>
        <v>138</v>
      </c>
      <c r="O69" s="2267">
        <v>77</v>
      </c>
      <c r="P69" s="2267">
        <v>57</v>
      </c>
      <c r="Q69" s="2265">
        <f t="shared" si="48"/>
        <v>134</v>
      </c>
      <c r="R69" s="2267">
        <v>40</v>
      </c>
      <c r="S69" s="2267">
        <v>32</v>
      </c>
      <c r="T69" s="2265">
        <f t="shared" si="49"/>
        <v>72</v>
      </c>
      <c r="U69" s="2267">
        <v>60</v>
      </c>
      <c r="V69" s="2267">
        <v>50</v>
      </c>
      <c r="W69" s="2265">
        <f t="shared" si="50"/>
        <v>110</v>
      </c>
      <c r="X69" s="2267">
        <v>24</v>
      </c>
      <c r="Y69" s="2267">
        <v>10</v>
      </c>
      <c r="Z69" s="2265">
        <f t="shared" si="51"/>
        <v>34</v>
      </c>
    </row>
    <row r="70" spans="2:26" ht="15" customHeight="1" x14ac:dyDescent="0.2">
      <c r="B70" s="2370" t="s">
        <v>103</v>
      </c>
      <c r="C70" s="129">
        <v>58</v>
      </c>
      <c r="D70" s="396">
        <v>58</v>
      </c>
      <c r="E70" s="129">
        <v>24</v>
      </c>
      <c r="F70" s="396">
        <v>82</v>
      </c>
      <c r="G70" s="129">
        <v>8</v>
      </c>
      <c r="H70" s="396">
        <v>30</v>
      </c>
      <c r="I70" s="129">
        <v>2</v>
      </c>
      <c r="J70" s="396">
        <v>2</v>
      </c>
      <c r="K70" s="2266">
        <v>52</v>
      </c>
      <c r="L70" s="2267">
        <v>45</v>
      </c>
      <c r="M70" s="2267">
        <v>7</v>
      </c>
      <c r="N70" s="2265">
        <f t="shared" ref="N70:N104" si="52">SUM(L70:M70)</f>
        <v>52</v>
      </c>
      <c r="O70" s="2267">
        <v>60</v>
      </c>
      <c r="P70" s="2267">
        <v>6</v>
      </c>
      <c r="Q70" s="2265">
        <f>SUM(O70:P70)</f>
        <v>66</v>
      </c>
      <c r="R70" s="2267">
        <v>29</v>
      </c>
      <c r="S70" s="2267">
        <v>4</v>
      </c>
      <c r="T70" s="2265">
        <f t="shared" si="49"/>
        <v>33</v>
      </c>
      <c r="U70" s="2267">
        <v>47</v>
      </c>
      <c r="V70" s="2267">
        <v>5</v>
      </c>
      <c r="W70" s="2265">
        <f t="shared" si="50"/>
        <v>52</v>
      </c>
      <c r="X70" s="2267">
        <v>58</v>
      </c>
      <c r="Y70" s="2267">
        <v>7</v>
      </c>
      <c r="Z70" s="2265">
        <f t="shared" si="51"/>
        <v>65</v>
      </c>
    </row>
    <row r="71" spans="2:26" ht="15" customHeight="1" x14ac:dyDescent="0.2">
      <c r="B71" s="2370" t="s">
        <v>99</v>
      </c>
      <c r="C71" s="129">
        <v>52</v>
      </c>
      <c r="D71" s="396">
        <v>52</v>
      </c>
      <c r="E71" s="129">
        <v>22</v>
      </c>
      <c r="F71" s="396">
        <v>74</v>
      </c>
      <c r="G71" s="129">
        <v>10</v>
      </c>
      <c r="H71" s="396">
        <v>26</v>
      </c>
      <c r="I71" s="129">
        <v>3</v>
      </c>
      <c r="J71" s="396">
        <v>3</v>
      </c>
      <c r="K71" s="2266">
        <v>58</v>
      </c>
      <c r="L71" s="2267">
        <v>36</v>
      </c>
      <c r="M71" s="2267">
        <v>19</v>
      </c>
      <c r="N71" s="2265">
        <f t="shared" si="52"/>
        <v>55</v>
      </c>
      <c r="O71" s="2267">
        <v>32</v>
      </c>
      <c r="P71" s="2267">
        <v>17</v>
      </c>
      <c r="Q71" s="2265">
        <f>SUM(O71:P71)</f>
        <v>49</v>
      </c>
      <c r="R71" s="2267">
        <v>17</v>
      </c>
      <c r="S71" s="2267">
        <v>14</v>
      </c>
      <c r="T71" s="2265">
        <f t="shared" si="49"/>
        <v>31</v>
      </c>
      <c r="U71" s="2267">
        <v>47</v>
      </c>
      <c r="V71" s="2267">
        <v>28</v>
      </c>
      <c r="W71" s="2265">
        <f t="shared" si="50"/>
        <v>75</v>
      </c>
      <c r="X71" s="2267">
        <v>44</v>
      </c>
      <c r="Y71" s="2267">
        <v>32</v>
      </c>
      <c r="Z71" s="2265">
        <f t="shared" si="51"/>
        <v>76</v>
      </c>
    </row>
    <row r="72" spans="2:26" ht="15" customHeight="1" x14ac:dyDescent="0.2">
      <c r="B72" s="2371" t="s">
        <v>92</v>
      </c>
      <c r="C72" s="2372">
        <f t="shared" ref="C72:T72" si="53">SUM(C64:C71)</f>
        <v>392</v>
      </c>
      <c r="D72" s="2373">
        <f t="shared" si="53"/>
        <v>387</v>
      </c>
      <c r="E72" s="2372">
        <f t="shared" si="53"/>
        <v>250</v>
      </c>
      <c r="F72" s="2373">
        <f t="shared" si="53"/>
        <v>641</v>
      </c>
      <c r="G72" s="2372">
        <f t="shared" si="53"/>
        <v>75</v>
      </c>
      <c r="H72" s="2373">
        <f t="shared" si="53"/>
        <v>296</v>
      </c>
      <c r="I72" s="2372">
        <f t="shared" si="53"/>
        <v>21</v>
      </c>
      <c r="J72" s="2373">
        <f t="shared" si="53"/>
        <v>21</v>
      </c>
      <c r="K72" s="2271">
        <f t="shared" si="53"/>
        <v>529</v>
      </c>
      <c r="L72" s="2272">
        <f t="shared" si="53"/>
        <v>363</v>
      </c>
      <c r="M72" s="2273">
        <f t="shared" si="53"/>
        <v>153</v>
      </c>
      <c r="N72" s="2270">
        <f t="shared" si="53"/>
        <v>516</v>
      </c>
      <c r="O72" s="2272">
        <f t="shared" si="53"/>
        <v>392</v>
      </c>
      <c r="P72" s="2273">
        <f t="shared" si="53"/>
        <v>152</v>
      </c>
      <c r="Q72" s="2270">
        <f t="shared" si="53"/>
        <v>544</v>
      </c>
      <c r="R72" s="2272">
        <f t="shared" si="53"/>
        <v>240</v>
      </c>
      <c r="S72" s="2273">
        <f t="shared" si="53"/>
        <v>98</v>
      </c>
      <c r="T72" s="2270">
        <f t="shared" si="53"/>
        <v>338</v>
      </c>
      <c r="U72" s="2272">
        <f>SUM(U64:U71)</f>
        <v>351</v>
      </c>
      <c r="V72" s="2273">
        <f>SUM(V64:V71)</f>
        <v>138</v>
      </c>
      <c r="W72" s="2270">
        <f t="shared" ref="W72" si="54">SUM(W64:W71)</f>
        <v>489</v>
      </c>
      <c r="X72" s="2272">
        <f>SUM(X64:X71)</f>
        <v>332</v>
      </c>
      <c r="Y72" s="2273">
        <f>SUM(Y64:Y71)</f>
        <v>108</v>
      </c>
      <c r="Z72" s="2270">
        <f t="shared" ref="Z72" si="55">SUM(Z64:Z71)</f>
        <v>440</v>
      </c>
    </row>
    <row r="73" spans="2:26" ht="15" customHeight="1" x14ac:dyDescent="0.2">
      <c r="B73" s="2370" t="s">
        <v>65</v>
      </c>
      <c r="C73" s="129">
        <v>97</v>
      </c>
      <c r="D73" s="396">
        <v>95</v>
      </c>
      <c r="E73" s="129">
        <v>32</v>
      </c>
      <c r="F73" s="396">
        <v>129</v>
      </c>
      <c r="G73" s="129">
        <v>11</v>
      </c>
      <c r="H73" s="396">
        <v>39</v>
      </c>
      <c r="I73" s="129">
        <v>6</v>
      </c>
      <c r="J73" s="396">
        <v>6</v>
      </c>
      <c r="K73" s="2266">
        <v>65</v>
      </c>
      <c r="L73" s="2267">
        <v>27</v>
      </c>
      <c r="M73" s="2267">
        <v>35</v>
      </c>
      <c r="N73" s="2265">
        <f t="shared" si="52"/>
        <v>62</v>
      </c>
      <c r="O73" s="2267">
        <v>26</v>
      </c>
      <c r="P73" s="2267">
        <v>35</v>
      </c>
      <c r="Q73" s="2265">
        <f>SUM(O73:P73)</f>
        <v>61</v>
      </c>
      <c r="R73" s="2267">
        <v>18</v>
      </c>
      <c r="S73" s="2267">
        <v>21</v>
      </c>
      <c r="T73" s="2265">
        <f>SUM(R73:S73)</f>
        <v>39</v>
      </c>
      <c r="U73" s="2267">
        <v>51</v>
      </c>
      <c r="V73" s="2267">
        <v>44</v>
      </c>
      <c r="W73" s="2265">
        <f>SUM(U73:V73)</f>
        <v>95</v>
      </c>
      <c r="X73" s="2267">
        <v>57</v>
      </c>
      <c r="Y73" s="2267">
        <v>46</v>
      </c>
      <c r="Z73" s="2265">
        <f>SUM(X73:Y73)</f>
        <v>103</v>
      </c>
    </row>
    <row r="74" spans="2:26" ht="15" customHeight="1" x14ac:dyDescent="0.2">
      <c r="B74" s="2370" t="s">
        <v>619</v>
      </c>
      <c r="C74" s="129">
        <v>58</v>
      </c>
      <c r="D74" s="396">
        <v>56</v>
      </c>
      <c r="E74" s="129">
        <v>45</v>
      </c>
      <c r="F74" s="396">
        <v>103</v>
      </c>
      <c r="G74" s="129">
        <v>5</v>
      </c>
      <c r="H74" s="396">
        <v>42</v>
      </c>
      <c r="I74" s="129">
        <v>7</v>
      </c>
      <c r="J74" s="396">
        <v>7</v>
      </c>
      <c r="K74" s="2266">
        <v>63</v>
      </c>
      <c r="L74" s="2267">
        <v>33</v>
      </c>
      <c r="M74" s="2267">
        <v>25</v>
      </c>
      <c r="N74" s="2265">
        <f t="shared" si="52"/>
        <v>58</v>
      </c>
      <c r="O74" s="2267">
        <v>41</v>
      </c>
      <c r="P74" s="2267">
        <v>31</v>
      </c>
      <c r="Q74" s="2265">
        <f>SUM(O74:P74)</f>
        <v>72</v>
      </c>
      <c r="R74" s="2267">
        <v>31</v>
      </c>
      <c r="S74" s="2267">
        <v>16</v>
      </c>
      <c r="T74" s="2265">
        <f>SUM(R74:S74)</f>
        <v>47</v>
      </c>
      <c r="U74" s="2267">
        <v>29</v>
      </c>
      <c r="V74" s="2267">
        <v>15</v>
      </c>
      <c r="W74" s="2265">
        <f>SUM(U74:V74)</f>
        <v>44</v>
      </c>
      <c r="X74" s="2267">
        <v>33</v>
      </c>
      <c r="Y74" s="2267">
        <v>14</v>
      </c>
      <c r="Z74" s="2265">
        <f>SUM(X74:Y74)</f>
        <v>47</v>
      </c>
    </row>
    <row r="75" spans="2:26" ht="15" customHeight="1" x14ac:dyDescent="0.2">
      <c r="B75" s="2370" t="s">
        <v>67</v>
      </c>
      <c r="C75" s="129">
        <v>28</v>
      </c>
      <c r="D75" s="396">
        <v>28</v>
      </c>
      <c r="E75" s="129">
        <v>18</v>
      </c>
      <c r="F75" s="396">
        <v>46</v>
      </c>
      <c r="G75" s="129">
        <v>8</v>
      </c>
      <c r="H75" s="396">
        <v>26</v>
      </c>
      <c r="I75" s="129">
        <v>8</v>
      </c>
      <c r="J75" s="396">
        <v>8</v>
      </c>
      <c r="K75" s="2266">
        <v>52</v>
      </c>
      <c r="L75" s="2267">
        <v>21</v>
      </c>
      <c r="M75" s="2267">
        <v>25</v>
      </c>
      <c r="N75" s="2265">
        <f t="shared" si="52"/>
        <v>46</v>
      </c>
      <c r="O75" s="2267">
        <v>18</v>
      </c>
      <c r="P75" s="2267">
        <v>19</v>
      </c>
      <c r="Q75" s="2265">
        <f>SUM(O75:P75)</f>
        <v>37</v>
      </c>
      <c r="R75" s="2267">
        <v>10</v>
      </c>
      <c r="S75" s="2267">
        <v>12</v>
      </c>
      <c r="T75" s="2265">
        <f>SUM(R75:S75)</f>
        <v>22</v>
      </c>
      <c r="U75" s="2267">
        <v>28</v>
      </c>
      <c r="V75" s="2267">
        <v>11</v>
      </c>
      <c r="W75" s="2265">
        <f>SUM(U75:V75)</f>
        <v>39</v>
      </c>
      <c r="X75" s="2267">
        <v>24</v>
      </c>
      <c r="Y75" s="2267">
        <v>11</v>
      </c>
      <c r="Z75" s="2265">
        <f>SUM(X75:Y75)</f>
        <v>35</v>
      </c>
    </row>
    <row r="76" spans="2:26" ht="15" customHeight="1" x14ac:dyDescent="0.2">
      <c r="B76" s="2370" t="s">
        <v>104</v>
      </c>
      <c r="C76" s="129">
        <v>36</v>
      </c>
      <c r="D76" s="396">
        <v>36</v>
      </c>
      <c r="E76" s="129">
        <v>15</v>
      </c>
      <c r="F76" s="396">
        <v>51</v>
      </c>
      <c r="G76" s="129">
        <v>0</v>
      </c>
      <c r="H76" s="396">
        <v>15</v>
      </c>
      <c r="I76" s="129">
        <v>8</v>
      </c>
      <c r="J76" s="396">
        <v>7</v>
      </c>
      <c r="K76" s="2266">
        <v>31</v>
      </c>
      <c r="L76" s="2267">
        <v>16</v>
      </c>
      <c r="M76" s="2267">
        <v>13</v>
      </c>
      <c r="N76" s="2265">
        <f t="shared" si="52"/>
        <v>29</v>
      </c>
      <c r="O76" s="2267">
        <v>19</v>
      </c>
      <c r="P76" s="2267">
        <v>17</v>
      </c>
      <c r="Q76" s="2265">
        <f>SUM(O76:P76)</f>
        <v>36</v>
      </c>
      <c r="R76" s="2267">
        <v>16</v>
      </c>
      <c r="S76" s="2267">
        <v>10</v>
      </c>
      <c r="T76" s="2265">
        <f>SUM(R76:S76)</f>
        <v>26</v>
      </c>
      <c r="U76" s="2267">
        <v>18</v>
      </c>
      <c r="V76" s="2267">
        <v>12</v>
      </c>
      <c r="W76" s="2265">
        <f>SUM(U76:V76)</f>
        <v>30</v>
      </c>
      <c r="X76" s="2267">
        <v>18</v>
      </c>
      <c r="Y76" s="2267">
        <v>15</v>
      </c>
      <c r="Z76" s="2265">
        <f>SUM(X76:Y76)</f>
        <v>33</v>
      </c>
    </row>
    <row r="77" spans="2:26" ht="15" customHeight="1" x14ac:dyDescent="0.2">
      <c r="B77" s="2374" t="s">
        <v>68</v>
      </c>
      <c r="C77" s="2375">
        <f t="shared" ref="C77:T77" si="56">SUM(C73:C76)</f>
        <v>219</v>
      </c>
      <c r="D77" s="2376">
        <f t="shared" si="56"/>
        <v>215</v>
      </c>
      <c r="E77" s="2375">
        <f t="shared" si="56"/>
        <v>110</v>
      </c>
      <c r="F77" s="2376">
        <f t="shared" si="56"/>
        <v>329</v>
      </c>
      <c r="G77" s="2375">
        <f t="shared" si="56"/>
        <v>24</v>
      </c>
      <c r="H77" s="2376">
        <f t="shared" si="56"/>
        <v>122</v>
      </c>
      <c r="I77" s="2375">
        <f t="shared" si="56"/>
        <v>29</v>
      </c>
      <c r="J77" s="2376">
        <f t="shared" si="56"/>
        <v>28</v>
      </c>
      <c r="K77" s="2271">
        <f t="shared" si="56"/>
        <v>211</v>
      </c>
      <c r="L77" s="2272">
        <f t="shared" si="56"/>
        <v>97</v>
      </c>
      <c r="M77" s="2273">
        <f t="shared" si="56"/>
        <v>98</v>
      </c>
      <c r="N77" s="2270">
        <f t="shared" si="56"/>
        <v>195</v>
      </c>
      <c r="O77" s="2272">
        <f t="shared" si="56"/>
        <v>104</v>
      </c>
      <c r="P77" s="2273">
        <f t="shared" si="56"/>
        <v>102</v>
      </c>
      <c r="Q77" s="2270">
        <f t="shared" si="56"/>
        <v>206</v>
      </c>
      <c r="R77" s="2272">
        <f t="shared" si="56"/>
        <v>75</v>
      </c>
      <c r="S77" s="2273">
        <f t="shared" si="56"/>
        <v>59</v>
      </c>
      <c r="T77" s="2270">
        <f t="shared" si="56"/>
        <v>134</v>
      </c>
      <c r="U77" s="2272">
        <f>SUM(U73:U76)</f>
        <v>126</v>
      </c>
      <c r="V77" s="2273">
        <f>SUM(V73:V76)</f>
        <v>82</v>
      </c>
      <c r="W77" s="2270">
        <f t="shared" ref="W77" si="57">SUM(W73:W76)</f>
        <v>208</v>
      </c>
      <c r="X77" s="2272">
        <f>SUM(X73:X76)</f>
        <v>132</v>
      </c>
      <c r="Y77" s="2273">
        <f>SUM(Y73:Y76)</f>
        <v>86</v>
      </c>
      <c r="Z77" s="2270">
        <f t="shared" ref="Z77" si="58">SUM(Z73:Z76)</f>
        <v>218</v>
      </c>
    </row>
    <row r="78" spans="2:26" ht="15" customHeight="1" x14ac:dyDescent="0.2">
      <c r="B78" s="2386" t="s">
        <v>105</v>
      </c>
      <c r="C78" s="1441">
        <f t="shared" ref="C78:T78" si="59">SUM(C77,C72,C63)</f>
        <v>1028</v>
      </c>
      <c r="D78" s="1443">
        <f t="shared" si="59"/>
        <v>1016</v>
      </c>
      <c r="E78" s="1441">
        <f t="shared" si="59"/>
        <v>618</v>
      </c>
      <c r="F78" s="1443">
        <f t="shared" si="59"/>
        <v>1645</v>
      </c>
      <c r="G78" s="1441">
        <f t="shared" si="59"/>
        <v>143</v>
      </c>
      <c r="H78" s="1443">
        <f t="shared" si="59"/>
        <v>691</v>
      </c>
      <c r="I78" s="1441">
        <f t="shared" si="59"/>
        <v>79</v>
      </c>
      <c r="J78" s="1443">
        <f t="shared" si="59"/>
        <v>78</v>
      </c>
      <c r="K78" s="2387">
        <f t="shared" si="59"/>
        <v>1121</v>
      </c>
      <c r="L78" s="2388">
        <f t="shared" si="59"/>
        <v>706</v>
      </c>
      <c r="M78" s="2388">
        <f t="shared" si="59"/>
        <v>371</v>
      </c>
      <c r="N78" s="2389">
        <f t="shared" si="59"/>
        <v>1077</v>
      </c>
      <c r="O78" s="2388">
        <f t="shared" si="59"/>
        <v>801</v>
      </c>
      <c r="P78" s="2388">
        <f t="shared" si="59"/>
        <v>388</v>
      </c>
      <c r="Q78" s="2389">
        <f t="shared" si="59"/>
        <v>1189</v>
      </c>
      <c r="R78" s="2388">
        <f t="shared" si="59"/>
        <v>512</v>
      </c>
      <c r="S78" s="2388">
        <f t="shared" si="59"/>
        <v>234</v>
      </c>
      <c r="T78" s="2389">
        <f t="shared" si="59"/>
        <v>746</v>
      </c>
      <c r="U78" s="2388">
        <f t="shared" ref="U78:W78" si="60">SUM(U77,U72,U63)</f>
        <v>698</v>
      </c>
      <c r="V78" s="2388">
        <f t="shared" si="60"/>
        <v>350</v>
      </c>
      <c r="W78" s="2389">
        <f t="shared" si="60"/>
        <v>1048</v>
      </c>
      <c r="X78" s="2388">
        <f t="shared" ref="X78:Z78" si="61">SUM(X77,X72,X63)</f>
        <v>757</v>
      </c>
      <c r="Y78" s="2388">
        <f t="shared" si="61"/>
        <v>342</v>
      </c>
      <c r="Z78" s="2389">
        <f t="shared" si="61"/>
        <v>1099</v>
      </c>
    </row>
    <row r="79" spans="2:26" ht="15" customHeight="1" x14ac:dyDescent="0.2">
      <c r="B79" s="2390" t="s">
        <v>60</v>
      </c>
      <c r="C79" s="129">
        <v>18</v>
      </c>
      <c r="D79" s="396">
        <v>18</v>
      </c>
      <c r="E79" s="129">
        <v>3</v>
      </c>
      <c r="F79" s="396">
        <v>21</v>
      </c>
      <c r="G79" s="129">
        <v>13</v>
      </c>
      <c r="H79" s="396">
        <v>13</v>
      </c>
      <c r="I79" s="129">
        <v>1</v>
      </c>
      <c r="J79" s="396">
        <v>1</v>
      </c>
      <c r="K79" s="2288">
        <v>2</v>
      </c>
      <c r="L79" s="2289">
        <v>1</v>
      </c>
      <c r="M79" s="2289">
        <v>1</v>
      </c>
      <c r="N79" s="2287">
        <f t="shared" si="52"/>
        <v>2</v>
      </c>
      <c r="O79" s="2289">
        <v>12</v>
      </c>
      <c r="P79" s="2289">
        <v>8</v>
      </c>
      <c r="Q79" s="2287">
        <f>SUM(O79:P79)</f>
        <v>20</v>
      </c>
      <c r="R79" s="2289">
        <v>8</v>
      </c>
      <c r="S79" s="2289">
        <v>5</v>
      </c>
      <c r="T79" s="2287">
        <f>SUM(R79:S79)</f>
        <v>13</v>
      </c>
      <c r="U79" s="2289">
        <v>15</v>
      </c>
      <c r="V79" s="2289">
        <v>8</v>
      </c>
      <c r="W79" s="2287">
        <f>SUM(U79:V79)</f>
        <v>23</v>
      </c>
      <c r="X79" s="2289">
        <v>22</v>
      </c>
      <c r="Y79" s="2289">
        <v>9</v>
      </c>
      <c r="Z79" s="2287">
        <f>SUM(X79:Y79)</f>
        <v>31</v>
      </c>
    </row>
    <row r="80" spans="2:26" ht="15" customHeight="1" x14ac:dyDescent="0.2">
      <c r="B80" s="2390" t="s">
        <v>61</v>
      </c>
      <c r="C80" s="129"/>
      <c r="D80" s="396"/>
      <c r="E80" s="129"/>
      <c r="F80" s="396"/>
      <c r="G80" s="129"/>
      <c r="H80" s="396"/>
      <c r="I80" s="129"/>
      <c r="J80" s="396"/>
      <c r="K80" s="2288">
        <v>15</v>
      </c>
      <c r="L80" s="2289">
        <v>10</v>
      </c>
      <c r="M80" s="2289">
        <v>4</v>
      </c>
      <c r="N80" s="2265">
        <f t="shared" si="52"/>
        <v>14</v>
      </c>
      <c r="O80" s="2289">
        <v>14</v>
      </c>
      <c r="P80" s="2289">
        <v>7</v>
      </c>
      <c r="Q80" s="2265">
        <f>SUM(O80:P80)</f>
        <v>21</v>
      </c>
      <c r="R80" s="2289">
        <v>14</v>
      </c>
      <c r="S80" s="2289">
        <v>7</v>
      </c>
      <c r="T80" s="2265">
        <f>SUM(R80:S80)</f>
        <v>21</v>
      </c>
      <c r="U80" s="2289">
        <v>12</v>
      </c>
      <c r="V80" s="2289">
        <v>7</v>
      </c>
      <c r="W80" s="2265">
        <f>SUM(U80:V80)</f>
        <v>19</v>
      </c>
      <c r="X80" s="2289">
        <v>11</v>
      </c>
      <c r="Y80" s="2289">
        <v>3</v>
      </c>
      <c r="Z80" s="2265">
        <f>SUM(X80:Y80)</f>
        <v>14</v>
      </c>
    </row>
    <row r="81" spans="2:26" ht="15" customHeight="1" x14ac:dyDescent="0.2">
      <c r="B81" s="2390" t="s">
        <v>107</v>
      </c>
      <c r="C81" s="129">
        <v>1</v>
      </c>
      <c r="D81" s="396">
        <v>1</v>
      </c>
      <c r="E81" s="129">
        <v>4</v>
      </c>
      <c r="F81" s="396">
        <v>5</v>
      </c>
      <c r="G81" s="129">
        <v>3</v>
      </c>
      <c r="H81" s="396">
        <v>5</v>
      </c>
      <c r="I81" s="129"/>
      <c r="J81" s="396"/>
      <c r="K81" s="2266">
        <v>5</v>
      </c>
      <c r="L81" s="2267">
        <v>2</v>
      </c>
      <c r="M81" s="2267">
        <v>3</v>
      </c>
      <c r="N81" s="2265">
        <f t="shared" si="52"/>
        <v>5</v>
      </c>
      <c r="O81" s="2267">
        <v>5</v>
      </c>
      <c r="P81" s="2267">
        <v>5</v>
      </c>
      <c r="Q81" s="2265">
        <f>SUM(O81:P81)</f>
        <v>10</v>
      </c>
      <c r="R81" s="2267">
        <v>2</v>
      </c>
      <c r="S81" s="2267">
        <v>2</v>
      </c>
      <c r="T81" s="2265">
        <f>SUM(R81:S81)</f>
        <v>4</v>
      </c>
      <c r="U81" s="2267">
        <v>9</v>
      </c>
      <c r="V81" s="2267">
        <v>3</v>
      </c>
      <c r="W81" s="2265">
        <f>SUM(U81:V81)</f>
        <v>12</v>
      </c>
      <c r="X81" s="2267">
        <v>2</v>
      </c>
      <c r="Y81" s="2267">
        <v>2</v>
      </c>
      <c r="Z81" s="2265">
        <f>SUM(X81:Y81)</f>
        <v>4</v>
      </c>
    </row>
    <row r="82" spans="2:26" ht="15" customHeight="1" x14ac:dyDescent="0.2">
      <c r="B82" s="2390" t="s">
        <v>106</v>
      </c>
      <c r="C82" s="129">
        <v>8</v>
      </c>
      <c r="D82" s="396">
        <v>8</v>
      </c>
      <c r="E82" s="129">
        <v>1</v>
      </c>
      <c r="F82" s="396">
        <v>9</v>
      </c>
      <c r="G82" s="129"/>
      <c r="H82" s="396">
        <v>1</v>
      </c>
      <c r="I82" s="129">
        <v>1</v>
      </c>
      <c r="J82" s="396">
        <v>1</v>
      </c>
      <c r="K82" s="2266">
        <v>21</v>
      </c>
      <c r="L82" s="2267">
        <v>12</v>
      </c>
      <c r="M82" s="2267">
        <v>9</v>
      </c>
      <c r="N82" s="2265">
        <f t="shared" si="52"/>
        <v>21</v>
      </c>
      <c r="O82" s="2267">
        <v>14</v>
      </c>
      <c r="P82" s="2267">
        <v>6</v>
      </c>
      <c r="Q82" s="2265">
        <f>SUM(O82:P82)</f>
        <v>20</v>
      </c>
      <c r="R82" s="2267">
        <v>12</v>
      </c>
      <c r="S82" s="2267">
        <v>8</v>
      </c>
      <c r="T82" s="2265">
        <f>SUM(R82:S82)</f>
        <v>20</v>
      </c>
      <c r="U82" s="2267">
        <v>9</v>
      </c>
      <c r="V82" s="2267">
        <v>5</v>
      </c>
      <c r="W82" s="2265">
        <f>SUM(U82:V82)</f>
        <v>14</v>
      </c>
      <c r="X82" s="2267">
        <v>11</v>
      </c>
      <c r="Y82" s="2267">
        <v>4</v>
      </c>
      <c r="Z82" s="2265">
        <f>SUM(X82:Y82)</f>
        <v>15</v>
      </c>
    </row>
    <row r="83" spans="2:26" ht="15" customHeight="1" x14ac:dyDescent="0.2">
      <c r="B83" s="2374" t="s">
        <v>64</v>
      </c>
      <c r="C83" s="2375">
        <f t="shared" ref="C83:H83" si="62">SUM(C79:C82)</f>
        <v>27</v>
      </c>
      <c r="D83" s="2376">
        <f t="shared" si="62"/>
        <v>27</v>
      </c>
      <c r="E83" s="2375">
        <f t="shared" si="62"/>
        <v>8</v>
      </c>
      <c r="F83" s="2376">
        <f t="shared" si="62"/>
        <v>35</v>
      </c>
      <c r="G83" s="2375">
        <f t="shared" si="62"/>
        <v>16</v>
      </c>
      <c r="H83" s="2376">
        <f t="shared" si="62"/>
        <v>19</v>
      </c>
      <c r="I83" s="2375">
        <f>SUM(I79:I82)</f>
        <v>2</v>
      </c>
      <c r="J83" s="2376">
        <f>SUM(J79:J82)</f>
        <v>2</v>
      </c>
      <c r="K83" s="2271">
        <f t="shared" ref="K83:Q83" si="63">SUM(K79:K82)</f>
        <v>43</v>
      </c>
      <c r="L83" s="2272">
        <f t="shared" si="63"/>
        <v>25</v>
      </c>
      <c r="M83" s="2273">
        <f t="shared" si="63"/>
        <v>17</v>
      </c>
      <c r="N83" s="2270">
        <f t="shared" si="63"/>
        <v>42</v>
      </c>
      <c r="O83" s="2272">
        <f t="shared" si="63"/>
        <v>45</v>
      </c>
      <c r="P83" s="2273">
        <f t="shared" si="63"/>
        <v>26</v>
      </c>
      <c r="Q83" s="2270">
        <f t="shared" si="63"/>
        <v>71</v>
      </c>
      <c r="R83" s="2272">
        <f t="shared" ref="R83:W83" si="64">SUM(R79:R82)</f>
        <v>36</v>
      </c>
      <c r="S83" s="2273">
        <f t="shared" si="64"/>
        <v>22</v>
      </c>
      <c r="T83" s="2270">
        <f t="shared" si="64"/>
        <v>58</v>
      </c>
      <c r="U83" s="2272">
        <f t="shared" si="64"/>
        <v>45</v>
      </c>
      <c r="V83" s="2273">
        <f t="shared" si="64"/>
        <v>23</v>
      </c>
      <c r="W83" s="2270">
        <f t="shared" si="64"/>
        <v>68</v>
      </c>
      <c r="X83" s="2272">
        <f t="shared" ref="X83:Z83" si="65">SUM(X79:X82)</f>
        <v>46</v>
      </c>
      <c r="Y83" s="2273">
        <f t="shared" si="65"/>
        <v>18</v>
      </c>
      <c r="Z83" s="2270">
        <f t="shared" si="65"/>
        <v>64</v>
      </c>
    </row>
    <row r="84" spans="2:26" ht="15" customHeight="1" x14ac:dyDescent="0.2">
      <c r="B84" s="2391" t="s">
        <v>620</v>
      </c>
      <c r="C84" s="1398">
        <v>24</v>
      </c>
      <c r="D84" s="1400">
        <v>23</v>
      </c>
      <c r="E84" s="1398">
        <v>13</v>
      </c>
      <c r="F84" s="1400">
        <v>37</v>
      </c>
      <c r="G84" s="1398">
        <v>4</v>
      </c>
      <c r="H84" s="1400">
        <v>9</v>
      </c>
      <c r="I84" s="1398">
        <v>1</v>
      </c>
      <c r="J84" s="1400">
        <v>1</v>
      </c>
      <c r="K84" s="2266">
        <v>18</v>
      </c>
      <c r="L84" s="2267">
        <v>12</v>
      </c>
      <c r="M84" s="2267">
        <v>5</v>
      </c>
      <c r="N84" s="2265">
        <f t="shared" si="52"/>
        <v>17</v>
      </c>
      <c r="O84" s="2267">
        <v>9</v>
      </c>
      <c r="P84" s="2267">
        <v>6</v>
      </c>
      <c r="Q84" s="2265">
        <f t="shared" ref="Q84:Q91" si="66">SUM(O84:P84)</f>
        <v>15</v>
      </c>
      <c r="R84" s="2267">
        <v>13</v>
      </c>
      <c r="S84" s="2267">
        <v>4</v>
      </c>
      <c r="T84" s="2265">
        <f t="shared" ref="T84:T91" si="67">SUM(R84:S84)</f>
        <v>17</v>
      </c>
      <c r="U84" s="2267">
        <v>16</v>
      </c>
      <c r="V84" s="2267">
        <v>8</v>
      </c>
      <c r="W84" s="2265">
        <f t="shared" ref="W84:W91" si="68">SUM(U84:V84)</f>
        <v>24</v>
      </c>
      <c r="X84" s="2267">
        <v>11</v>
      </c>
      <c r="Y84" s="2267">
        <v>8</v>
      </c>
      <c r="Z84" s="2265">
        <f t="shared" ref="Z84:Z91" si="69">SUM(X84:Y84)</f>
        <v>19</v>
      </c>
    </row>
    <row r="85" spans="2:26" ht="15" customHeight="1" x14ac:dyDescent="0.2">
      <c r="B85" s="2390" t="s">
        <v>110</v>
      </c>
      <c r="C85" s="129">
        <v>12</v>
      </c>
      <c r="D85" s="396">
        <v>12</v>
      </c>
      <c r="E85" s="129">
        <v>9</v>
      </c>
      <c r="F85" s="396">
        <v>21</v>
      </c>
      <c r="G85" s="129">
        <v>4</v>
      </c>
      <c r="H85" s="396">
        <v>9</v>
      </c>
      <c r="I85" s="129">
        <v>1</v>
      </c>
      <c r="J85" s="396">
        <v>1</v>
      </c>
      <c r="K85" s="2266">
        <v>48</v>
      </c>
      <c r="L85" s="2267">
        <v>26</v>
      </c>
      <c r="M85" s="2267">
        <v>22</v>
      </c>
      <c r="N85" s="2265">
        <f t="shared" si="52"/>
        <v>48</v>
      </c>
      <c r="O85" s="2267">
        <v>32</v>
      </c>
      <c r="P85" s="2267">
        <v>17</v>
      </c>
      <c r="Q85" s="2265">
        <f t="shared" si="66"/>
        <v>49</v>
      </c>
      <c r="R85" s="2267">
        <v>27</v>
      </c>
      <c r="S85" s="2267">
        <v>23</v>
      </c>
      <c r="T85" s="2265">
        <f t="shared" si="67"/>
        <v>50</v>
      </c>
      <c r="U85" s="2267">
        <v>28</v>
      </c>
      <c r="V85" s="2267">
        <v>22</v>
      </c>
      <c r="W85" s="2265">
        <f t="shared" si="68"/>
        <v>50</v>
      </c>
      <c r="X85" s="2267">
        <v>29</v>
      </c>
      <c r="Y85" s="2267">
        <v>11</v>
      </c>
      <c r="Z85" s="2265">
        <f t="shared" si="69"/>
        <v>40</v>
      </c>
    </row>
    <row r="86" spans="2:26" ht="15" customHeight="1" x14ac:dyDescent="0.2">
      <c r="B86" s="2390" t="s">
        <v>109</v>
      </c>
      <c r="C86" s="129">
        <v>2</v>
      </c>
      <c r="D86" s="396">
        <v>2</v>
      </c>
      <c r="E86" s="129">
        <v>0</v>
      </c>
      <c r="F86" s="396">
        <v>2</v>
      </c>
      <c r="G86" s="129"/>
      <c r="H86" s="396"/>
      <c r="I86" s="129"/>
      <c r="J86" s="396"/>
      <c r="K86" s="2266">
        <v>2</v>
      </c>
      <c r="L86" s="2267">
        <v>2</v>
      </c>
      <c r="M86" s="2267"/>
      <c r="N86" s="2265">
        <f t="shared" si="52"/>
        <v>2</v>
      </c>
      <c r="O86" s="2267">
        <v>2</v>
      </c>
      <c r="P86" s="2267"/>
      <c r="Q86" s="2265">
        <f t="shared" si="66"/>
        <v>2</v>
      </c>
      <c r="R86" s="2267">
        <v>5</v>
      </c>
      <c r="S86" s="2267">
        <v>6</v>
      </c>
      <c r="T86" s="2265">
        <f t="shared" si="67"/>
        <v>11</v>
      </c>
      <c r="U86" s="2267">
        <v>3</v>
      </c>
      <c r="V86" s="2267">
        <v>5</v>
      </c>
      <c r="W86" s="2265">
        <f t="shared" si="68"/>
        <v>8</v>
      </c>
      <c r="X86" s="2267">
        <v>2</v>
      </c>
      <c r="Y86" s="2267">
        <v>3</v>
      </c>
      <c r="Z86" s="2265">
        <f t="shared" si="69"/>
        <v>5</v>
      </c>
    </row>
    <row r="87" spans="2:26" ht="15" customHeight="1" x14ac:dyDescent="0.2">
      <c r="B87" s="2374" t="s">
        <v>111</v>
      </c>
      <c r="C87" s="2375">
        <f t="shared" ref="C87:H87" si="70">SUM(C84:C86)</f>
        <v>38</v>
      </c>
      <c r="D87" s="2376">
        <f t="shared" si="70"/>
        <v>37</v>
      </c>
      <c r="E87" s="2375">
        <f t="shared" si="70"/>
        <v>22</v>
      </c>
      <c r="F87" s="2376">
        <f t="shared" si="70"/>
        <v>60</v>
      </c>
      <c r="G87" s="2375">
        <f t="shared" si="70"/>
        <v>8</v>
      </c>
      <c r="H87" s="2376">
        <f t="shared" si="70"/>
        <v>18</v>
      </c>
      <c r="I87" s="2375">
        <f>SUM(I84:I86)</f>
        <v>2</v>
      </c>
      <c r="J87" s="2376">
        <f>SUM(J84:J86)</f>
        <v>2</v>
      </c>
      <c r="K87" s="2271">
        <f>SUM(K84:K86)</f>
        <v>68</v>
      </c>
      <c r="L87" s="2272">
        <f>SUM(L84:L86)</f>
        <v>40</v>
      </c>
      <c r="M87" s="2273">
        <f>SUM(M84:M86)</f>
        <v>27</v>
      </c>
      <c r="N87" s="2270">
        <f t="shared" si="52"/>
        <v>67</v>
      </c>
      <c r="O87" s="2272">
        <f>SUM(O84:O86)</f>
        <v>43</v>
      </c>
      <c r="P87" s="2273">
        <f>SUM(P84:P86)</f>
        <v>23</v>
      </c>
      <c r="Q87" s="2270">
        <f t="shared" si="66"/>
        <v>66</v>
      </c>
      <c r="R87" s="2272">
        <f>SUM(R84:R86)</f>
        <v>45</v>
      </c>
      <c r="S87" s="2273">
        <f>SUM(S84:S86)</f>
        <v>33</v>
      </c>
      <c r="T87" s="2270">
        <f t="shared" si="67"/>
        <v>78</v>
      </c>
      <c r="U87" s="2272">
        <f>SUM(U84:U86)</f>
        <v>47</v>
      </c>
      <c r="V87" s="2273">
        <f>SUM(V84:V86)</f>
        <v>35</v>
      </c>
      <c r="W87" s="2270">
        <f t="shared" si="68"/>
        <v>82</v>
      </c>
      <c r="X87" s="2272">
        <f>SUM(X84:X86)</f>
        <v>42</v>
      </c>
      <c r="Y87" s="2273">
        <f>SUM(Y84:Y86)</f>
        <v>22</v>
      </c>
      <c r="Z87" s="2270">
        <f t="shared" si="69"/>
        <v>64</v>
      </c>
    </row>
    <row r="88" spans="2:26" ht="15" customHeight="1" x14ac:dyDescent="0.2">
      <c r="B88" s="2390" t="s">
        <v>58</v>
      </c>
      <c r="C88" s="129"/>
      <c r="D88" s="396"/>
      <c r="E88" s="129">
        <v>1</v>
      </c>
      <c r="F88" s="396">
        <v>1</v>
      </c>
      <c r="G88" s="129"/>
      <c r="H88" s="396">
        <v>1</v>
      </c>
      <c r="I88" s="129"/>
      <c r="J88" s="396"/>
      <c r="K88" s="2266">
        <v>1</v>
      </c>
      <c r="L88" s="2267"/>
      <c r="M88" s="2267"/>
      <c r="N88" s="2265">
        <f t="shared" si="52"/>
        <v>0</v>
      </c>
      <c r="O88" s="2267"/>
      <c r="P88" s="2267"/>
      <c r="Q88" s="2265">
        <f t="shared" si="66"/>
        <v>0</v>
      </c>
      <c r="R88" s="2267"/>
      <c r="S88" s="2267">
        <v>3</v>
      </c>
      <c r="T88" s="2265">
        <f t="shared" si="67"/>
        <v>3</v>
      </c>
      <c r="U88" s="2267"/>
      <c r="V88" s="2267">
        <v>7</v>
      </c>
      <c r="W88" s="2265">
        <f t="shared" si="68"/>
        <v>7</v>
      </c>
      <c r="X88" s="2267">
        <v>1</v>
      </c>
      <c r="Y88" s="2267">
        <v>3</v>
      </c>
      <c r="Z88" s="2265">
        <f t="shared" si="69"/>
        <v>4</v>
      </c>
    </row>
    <row r="89" spans="2:26" ht="15" customHeight="1" x14ac:dyDescent="0.2">
      <c r="B89" s="2390" t="s">
        <v>113</v>
      </c>
      <c r="C89" s="129">
        <v>6</v>
      </c>
      <c r="D89" s="396">
        <v>6</v>
      </c>
      <c r="E89" s="129">
        <v>4</v>
      </c>
      <c r="F89" s="396">
        <v>10</v>
      </c>
      <c r="G89" s="129"/>
      <c r="H89" s="396"/>
      <c r="I89" s="129">
        <v>1</v>
      </c>
      <c r="J89" s="396">
        <v>1</v>
      </c>
      <c r="K89" s="2266">
        <v>2</v>
      </c>
      <c r="L89" s="2267">
        <v>1</v>
      </c>
      <c r="M89" s="2267"/>
      <c r="N89" s="2265">
        <f t="shared" si="52"/>
        <v>1</v>
      </c>
      <c r="O89" s="2267">
        <v>1</v>
      </c>
      <c r="P89" s="2267">
        <v>2</v>
      </c>
      <c r="Q89" s="2265">
        <f t="shared" si="66"/>
        <v>3</v>
      </c>
      <c r="R89" s="2267">
        <v>2</v>
      </c>
      <c r="S89" s="2267">
        <v>3</v>
      </c>
      <c r="T89" s="2265">
        <f t="shared" si="67"/>
        <v>5</v>
      </c>
      <c r="U89" s="2267">
        <v>6</v>
      </c>
      <c r="V89" s="2267">
        <v>2</v>
      </c>
      <c r="W89" s="2265">
        <f t="shared" si="68"/>
        <v>8</v>
      </c>
      <c r="X89" s="2267">
        <v>5</v>
      </c>
      <c r="Y89" s="2267">
        <v>2</v>
      </c>
      <c r="Z89" s="2265">
        <f t="shared" si="69"/>
        <v>7</v>
      </c>
    </row>
    <row r="90" spans="2:26" ht="15" customHeight="1" x14ac:dyDescent="0.2">
      <c r="B90" s="2390" t="s">
        <v>112</v>
      </c>
      <c r="C90" s="129"/>
      <c r="D90" s="396"/>
      <c r="E90" s="129">
        <v>2</v>
      </c>
      <c r="F90" s="396">
        <v>2</v>
      </c>
      <c r="G90" s="129"/>
      <c r="H90" s="396"/>
      <c r="I90" s="129">
        <v>2</v>
      </c>
      <c r="J90" s="396">
        <v>2</v>
      </c>
      <c r="K90" s="2266">
        <v>2</v>
      </c>
      <c r="L90" s="2267">
        <v>0</v>
      </c>
      <c r="M90" s="2267">
        <v>2</v>
      </c>
      <c r="N90" s="2265">
        <f t="shared" si="52"/>
        <v>2</v>
      </c>
      <c r="O90" s="2267"/>
      <c r="P90" s="2267"/>
      <c r="Q90" s="2265">
        <f t="shared" si="66"/>
        <v>0</v>
      </c>
      <c r="R90" s="2267"/>
      <c r="S90" s="2267"/>
      <c r="T90" s="2265">
        <f t="shared" si="67"/>
        <v>0</v>
      </c>
      <c r="U90" s="2267">
        <v>1</v>
      </c>
      <c r="V90" s="2267">
        <v>4</v>
      </c>
      <c r="W90" s="2265">
        <f t="shared" si="68"/>
        <v>5</v>
      </c>
      <c r="X90" s="2267"/>
      <c r="Y90" s="2267">
        <v>2</v>
      </c>
      <c r="Z90" s="2265">
        <f t="shared" si="69"/>
        <v>2</v>
      </c>
    </row>
    <row r="91" spans="2:26" ht="15" customHeight="1" x14ac:dyDescent="0.2">
      <c r="B91" s="2390" t="s">
        <v>621</v>
      </c>
      <c r="C91" s="129">
        <v>3</v>
      </c>
      <c r="D91" s="396">
        <v>3</v>
      </c>
      <c r="E91" s="129">
        <v>0</v>
      </c>
      <c r="F91" s="396">
        <v>3</v>
      </c>
      <c r="G91" s="129">
        <v>1</v>
      </c>
      <c r="H91" s="396">
        <v>4</v>
      </c>
      <c r="I91" s="129">
        <v>1</v>
      </c>
      <c r="J91" s="396">
        <v>1</v>
      </c>
      <c r="K91" s="2266">
        <v>21</v>
      </c>
      <c r="L91" s="2267">
        <v>13</v>
      </c>
      <c r="M91" s="2267">
        <v>8</v>
      </c>
      <c r="N91" s="2265">
        <f t="shared" si="52"/>
        <v>21</v>
      </c>
      <c r="O91" s="2267">
        <v>10</v>
      </c>
      <c r="P91" s="2267">
        <v>8</v>
      </c>
      <c r="Q91" s="2265">
        <f t="shared" si="66"/>
        <v>18</v>
      </c>
      <c r="R91" s="2267">
        <v>13</v>
      </c>
      <c r="S91" s="2267">
        <v>7</v>
      </c>
      <c r="T91" s="2265">
        <f t="shared" si="67"/>
        <v>20</v>
      </c>
      <c r="U91" s="2267">
        <v>16</v>
      </c>
      <c r="V91" s="2267">
        <v>10</v>
      </c>
      <c r="W91" s="2265">
        <f t="shared" si="68"/>
        <v>26</v>
      </c>
      <c r="X91" s="2267">
        <v>17</v>
      </c>
      <c r="Y91" s="2267">
        <v>13</v>
      </c>
      <c r="Z91" s="2265">
        <f t="shared" si="69"/>
        <v>30</v>
      </c>
    </row>
    <row r="92" spans="2:26" ht="15" customHeight="1" x14ac:dyDescent="0.2">
      <c r="B92" s="2374" t="s">
        <v>115</v>
      </c>
      <c r="C92" s="2375">
        <f t="shared" ref="C92:H92" si="71">SUM(C88:C91)</f>
        <v>9</v>
      </c>
      <c r="D92" s="2376">
        <f t="shared" si="71"/>
        <v>9</v>
      </c>
      <c r="E92" s="2375">
        <f t="shared" si="71"/>
        <v>7</v>
      </c>
      <c r="F92" s="2376">
        <f t="shared" si="71"/>
        <v>16</v>
      </c>
      <c r="G92" s="2375">
        <f t="shared" si="71"/>
        <v>1</v>
      </c>
      <c r="H92" s="2376">
        <f t="shared" si="71"/>
        <v>5</v>
      </c>
      <c r="I92" s="2375">
        <f>SUM(I88:I91)</f>
        <v>4</v>
      </c>
      <c r="J92" s="2376">
        <f>SUM(J88:J91)</f>
        <v>4</v>
      </c>
      <c r="K92" s="2271">
        <f>SUM(K88:K91)</f>
        <v>26</v>
      </c>
      <c r="L92" s="2272">
        <f t="shared" ref="L92:Q92" si="72">SUM(L89:L91)</f>
        <v>14</v>
      </c>
      <c r="M92" s="2273">
        <f t="shared" si="72"/>
        <v>10</v>
      </c>
      <c r="N92" s="2270">
        <f t="shared" si="72"/>
        <v>24</v>
      </c>
      <c r="O92" s="2272">
        <f t="shared" si="72"/>
        <v>11</v>
      </c>
      <c r="P92" s="2273">
        <f t="shared" si="72"/>
        <v>10</v>
      </c>
      <c r="Q92" s="2270">
        <f t="shared" si="72"/>
        <v>21</v>
      </c>
      <c r="R92" s="2272">
        <f t="shared" ref="R92:W92" si="73">SUM(R88:R91)</f>
        <v>15</v>
      </c>
      <c r="S92" s="2273">
        <f t="shared" si="73"/>
        <v>13</v>
      </c>
      <c r="T92" s="2270">
        <f t="shared" si="73"/>
        <v>28</v>
      </c>
      <c r="U92" s="2272">
        <f t="shared" si="73"/>
        <v>23</v>
      </c>
      <c r="V92" s="2273">
        <f t="shared" si="73"/>
        <v>23</v>
      </c>
      <c r="W92" s="2270">
        <f t="shared" si="73"/>
        <v>46</v>
      </c>
      <c r="X92" s="2272">
        <f t="shared" ref="X92:Z92" si="74">SUM(X88:X91)</f>
        <v>23</v>
      </c>
      <c r="Y92" s="2273">
        <f t="shared" si="74"/>
        <v>20</v>
      </c>
      <c r="Z92" s="2270">
        <f t="shared" si="74"/>
        <v>43</v>
      </c>
    </row>
    <row r="93" spans="2:26" ht="15" customHeight="1" x14ac:dyDescent="0.2">
      <c r="B93" s="2392" t="s">
        <v>116</v>
      </c>
      <c r="C93" s="2393">
        <f t="shared" ref="C93:H93" si="75">SUM(C92,C87,C83)</f>
        <v>74</v>
      </c>
      <c r="D93" s="1423">
        <f t="shared" si="75"/>
        <v>73</v>
      </c>
      <c r="E93" s="2393">
        <f t="shared" si="75"/>
        <v>37</v>
      </c>
      <c r="F93" s="1423">
        <f t="shared" si="75"/>
        <v>111</v>
      </c>
      <c r="G93" s="2393">
        <f t="shared" si="75"/>
        <v>25</v>
      </c>
      <c r="H93" s="1423">
        <f t="shared" si="75"/>
        <v>42</v>
      </c>
      <c r="I93" s="2393">
        <f>SUM(I92,I87,I83)</f>
        <v>8</v>
      </c>
      <c r="J93" s="1423">
        <f>SUM(J92,J87,J83)</f>
        <v>8</v>
      </c>
      <c r="K93" s="2394">
        <f t="shared" ref="K93:Q93" si="76">SUM(K83,K87,K92)</f>
        <v>137</v>
      </c>
      <c r="L93" s="2395">
        <f t="shared" si="76"/>
        <v>79</v>
      </c>
      <c r="M93" s="2395">
        <f t="shared" si="76"/>
        <v>54</v>
      </c>
      <c r="N93" s="2396">
        <f t="shared" si="76"/>
        <v>133</v>
      </c>
      <c r="O93" s="2395">
        <f t="shared" si="76"/>
        <v>99</v>
      </c>
      <c r="P93" s="2395">
        <f t="shared" si="76"/>
        <v>59</v>
      </c>
      <c r="Q93" s="2396">
        <f t="shared" si="76"/>
        <v>158</v>
      </c>
      <c r="R93" s="2395">
        <f t="shared" ref="R93:W93" si="77">SUM(R83,R87,R92)</f>
        <v>96</v>
      </c>
      <c r="S93" s="2395">
        <f t="shared" si="77"/>
        <v>68</v>
      </c>
      <c r="T93" s="2396">
        <f t="shared" si="77"/>
        <v>164</v>
      </c>
      <c r="U93" s="2395">
        <f t="shared" si="77"/>
        <v>115</v>
      </c>
      <c r="V93" s="2395">
        <f t="shared" si="77"/>
        <v>81</v>
      </c>
      <c r="W93" s="2396">
        <f t="shared" si="77"/>
        <v>196</v>
      </c>
      <c r="X93" s="2395">
        <f t="shared" ref="X93:Z93" si="78">SUM(X83,X87,X92)</f>
        <v>111</v>
      </c>
      <c r="Y93" s="2395">
        <f t="shared" si="78"/>
        <v>60</v>
      </c>
      <c r="Z93" s="2396">
        <f t="shared" si="78"/>
        <v>171</v>
      </c>
    </row>
    <row r="94" spans="2:26" ht="15" customHeight="1" x14ac:dyDescent="0.2">
      <c r="B94" s="2307" t="s">
        <v>117</v>
      </c>
      <c r="C94" s="1398">
        <v>17</v>
      </c>
      <c r="D94" s="1400">
        <v>17</v>
      </c>
      <c r="E94" s="1398">
        <v>5</v>
      </c>
      <c r="F94" s="1400">
        <v>22</v>
      </c>
      <c r="G94" s="1398">
        <v>1</v>
      </c>
      <c r="H94" s="1400">
        <v>3</v>
      </c>
      <c r="I94" s="1398"/>
      <c r="J94" s="1400"/>
      <c r="K94" s="2310"/>
      <c r="L94" s="2311"/>
      <c r="M94" s="2311"/>
      <c r="N94" s="2309">
        <f t="shared" si="52"/>
        <v>0</v>
      </c>
      <c r="O94" s="2311">
        <v>2</v>
      </c>
      <c r="P94" s="2311"/>
      <c r="Q94" s="2309">
        <f>SUM(O94:P94)</f>
        <v>2</v>
      </c>
      <c r="R94" s="2311">
        <v>2</v>
      </c>
      <c r="S94" s="2311"/>
      <c r="T94" s="2309">
        <f>SUM(R94:S94)</f>
        <v>2</v>
      </c>
      <c r="U94" s="2311">
        <v>3</v>
      </c>
      <c r="V94" s="2311"/>
      <c r="W94" s="2309">
        <f>SUM(U94:V94)</f>
        <v>3</v>
      </c>
      <c r="X94" s="2311"/>
      <c r="Y94" s="2311"/>
      <c r="Z94" s="2309">
        <f>SUM(X94:Y94)</f>
        <v>0</v>
      </c>
    </row>
    <row r="95" spans="2:26" ht="15" customHeight="1" x14ac:dyDescent="0.2">
      <c r="B95" s="2307" t="s">
        <v>118</v>
      </c>
      <c r="C95" s="385"/>
      <c r="D95" s="1404"/>
      <c r="E95" s="385"/>
      <c r="F95" s="1404"/>
      <c r="G95" s="385"/>
      <c r="H95" s="1404"/>
      <c r="I95" s="385"/>
      <c r="J95" s="1404"/>
      <c r="K95" s="2310"/>
      <c r="L95" s="2311"/>
      <c r="M95" s="2311"/>
      <c r="N95" s="2309">
        <f t="shared" si="52"/>
        <v>0</v>
      </c>
      <c r="O95" s="2311"/>
      <c r="P95" s="2311"/>
      <c r="Q95" s="2309">
        <f>SUM(O95:P95)</f>
        <v>0</v>
      </c>
      <c r="R95" s="2311"/>
      <c r="S95" s="2311"/>
      <c r="T95" s="2309">
        <f>SUM(R95:S95)</f>
        <v>0</v>
      </c>
      <c r="U95" s="2311">
        <v>1</v>
      </c>
      <c r="V95" s="2311"/>
      <c r="W95" s="2309">
        <f>SUM(U95:V95)</f>
        <v>1</v>
      </c>
      <c r="X95" s="2311"/>
      <c r="Y95" s="2311"/>
      <c r="Z95" s="2309">
        <f>SUM(X95:Y95)</f>
        <v>0</v>
      </c>
    </row>
    <row r="96" spans="2:26" ht="15" customHeight="1" x14ac:dyDescent="0.2">
      <c r="B96" s="2307" t="s">
        <v>119</v>
      </c>
      <c r="C96" s="385"/>
      <c r="D96" s="1404"/>
      <c r="E96" s="385"/>
      <c r="F96" s="1404"/>
      <c r="G96" s="385"/>
      <c r="H96" s="1404"/>
      <c r="I96" s="385"/>
      <c r="J96" s="1404"/>
      <c r="K96" s="2310"/>
      <c r="L96" s="2311"/>
      <c r="M96" s="2311"/>
      <c r="N96" s="2309">
        <f t="shared" si="52"/>
        <v>0</v>
      </c>
      <c r="O96" s="2311"/>
      <c r="P96" s="2311"/>
      <c r="Q96" s="2309">
        <f>SUM(O96:P96)</f>
        <v>0</v>
      </c>
      <c r="R96" s="2311"/>
      <c r="S96" s="2311"/>
      <c r="T96" s="2309">
        <f>SUM(R96:S96)</f>
        <v>0</v>
      </c>
      <c r="U96" s="2311"/>
      <c r="V96" s="2311">
        <v>1</v>
      </c>
      <c r="W96" s="2309">
        <f>SUM(U96:V96)</f>
        <v>1</v>
      </c>
      <c r="X96" s="2311"/>
      <c r="Y96" s="2311"/>
      <c r="Z96" s="2309">
        <f>SUM(X96:Y96)</f>
        <v>0</v>
      </c>
    </row>
    <row r="97" spans="2:26" ht="15" customHeight="1" x14ac:dyDescent="0.2">
      <c r="B97" s="2268" t="s">
        <v>59</v>
      </c>
      <c r="C97" s="2375">
        <f t="shared" ref="C97:H97" si="79">SUM(C94)</f>
        <v>17</v>
      </c>
      <c r="D97" s="2376">
        <f t="shared" si="79"/>
        <v>17</v>
      </c>
      <c r="E97" s="2375">
        <f t="shared" si="79"/>
        <v>5</v>
      </c>
      <c r="F97" s="2376">
        <f t="shared" si="79"/>
        <v>22</v>
      </c>
      <c r="G97" s="2375">
        <f t="shared" si="79"/>
        <v>1</v>
      </c>
      <c r="H97" s="2376">
        <f t="shared" si="79"/>
        <v>3</v>
      </c>
      <c r="I97" s="2375">
        <f t="shared" ref="I97:Q97" si="80">SUM(I94:I95)</f>
        <v>0</v>
      </c>
      <c r="J97" s="2376">
        <f t="shared" si="80"/>
        <v>0</v>
      </c>
      <c r="K97" s="2271">
        <f t="shared" si="80"/>
        <v>0</v>
      </c>
      <c r="L97" s="2272">
        <f t="shared" si="80"/>
        <v>0</v>
      </c>
      <c r="M97" s="2273">
        <f t="shared" si="80"/>
        <v>0</v>
      </c>
      <c r="N97" s="2270">
        <f t="shared" si="80"/>
        <v>0</v>
      </c>
      <c r="O97" s="2272">
        <f t="shared" si="80"/>
        <v>2</v>
      </c>
      <c r="P97" s="2273">
        <f t="shared" si="80"/>
        <v>0</v>
      </c>
      <c r="Q97" s="2270">
        <f t="shared" si="80"/>
        <v>2</v>
      </c>
      <c r="R97" s="2272">
        <f>SUM(R94:R96)</f>
        <v>2</v>
      </c>
      <c r="S97" s="2273">
        <f>SUM(S94:S96)</f>
        <v>0</v>
      </c>
      <c r="T97" s="2270">
        <f>SUM(T94:T95)</f>
        <v>2</v>
      </c>
      <c r="U97" s="2272">
        <f t="shared" ref="U97:Z97" si="81">SUM(U94:U96)</f>
        <v>4</v>
      </c>
      <c r="V97" s="2273">
        <f t="shared" si="81"/>
        <v>1</v>
      </c>
      <c r="W97" s="2270">
        <f t="shared" si="81"/>
        <v>5</v>
      </c>
      <c r="X97" s="2272">
        <f t="shared" si="81"/>
        <v>0</v>
      </c>
      <c r="Y97" s="2273">
        <f t="shared" si="81"/>
        <v>0</v>
      </c>
      <c r="Z97" s="2270">
        <f t="shared" si="81"/>
        <v>0</v>
      </c>
    </row>
    <row r="98" spans="2:26" ht="15" customHeight="1" x14ac:dyDescent="0.2">
      <c r="B98" s="2312" t="s">
        <v>120</v>
      </c>
      <c r="C98" s="129">
        <v>30</v>
      </c>
      <c r="D98" s="396">
        <v>30</v>
      </c>
      <c r="E98" s="129">
        <v>6</v>
      </c>
      <c r="F98" s="396">
        <v>36</v>
      </c>
      <c r="G98" s="129">
        <v>7</v>
      </c>
      <c r="H98" s="396">
        <v>12</v>
      </c>
      <c r="I98" s="129"/>
      <c r="J98" s="396"/>
      <c r="K98" s="2315">
        <v>4</v>
      </c>
      <c r="L98" s="2316">
        <v>4</v>
      </c>
      <c r="M98" s="2316"/>
      <c r="N98" s="2314">
        <f t="shared" si="52"/>
        <v>4</v>
      </c>
      <c r="O98" s="2316">
        <v>6</v>
      </c>
      <c r="P98" s="2316">
        <v>2</v>
      </c>
      <c r="Q98" s="2314">
        <f>SUM(O98:P98)</f>
        <v>8</v>
      </c>
      <c r="R98" s="2316">
        <v>4</v>
      </c>
      <c r="S98" s="2316">
        <v>2</v>
      </c>
      <c r="T98" s="2314">
        <f>SUM(R98:S98)</f>
        <v>6</v>
      </c>
      <c r="U98" s="2316">
        <v>10</v>
      </c>
      <c r="V98" s="2316">
        <v>6</v>
      </c>
      <c r="W98" s="2314">
        <f>SUM(U98:V98)</f>
        <v>16</v>
      </c>
      <c r="X98" s="2316">
        <v>11</v>
      </c>
      <c r="Y98" s="2316">
        <v>4</v>
      </c>
      <c r="Z98" s="2314">
        <f>SUM(X98:Y98)</f>
        <v>15</v>
      </c>
    </row>
    <row r="99" spans="2:26" ht="15" customHeight="1" x14ac:dyDescent="0.2">
      <c r="B99" s="2312" t="s">
        <v>121</v>
      </c>
      <c r="C99" s="129"/>
      <c r="D99" s="396"/>
      <c r="E99" s="129"/>
      <c r="F99" s="396"/>
      <c r="G99" s="129"/>
      <c r="H99" s="396"/>
      <c r="I99" s="129"/>
      <c r="J99" s="396"/>
      <c r="K99" s="2315">
        <v>10</v>
      </c>
      <c r="L99" s="2316">
        <v>6</v>
      </c>
      <c r="M99" s="2316">
        <v>4</v>
      </c>
      <c r="N99" s="2314">
        <f t="shared" si="52"/>
        <v>10</v>
      </c>
      <c r="O99" s="2316">
        <v>2</v>
      </c>
      <c r="P99" s="2316">
        <v>4</v>
      </c>
      <c r="Q99" s="2314">
        <f>SUM(O99:P99)</f>
        <v>6</v>
      </c>
      <c r="R99" s="2316">
        <v>9</v>
      </c>
      <c r="S99" s="2316">
        <v>2</v>
      </c>
      <c r="T99" s="2314">
        <f>SUM(R99:S99)</f>
        <v>11</v>
      </c>
      <c r="U99" s="2316">
        <v>3</v>
      </c>
      <c r="V99" s="2316">
        <v>2</v>
      </c>
      <c r="W99" s="2314">
        <f>SUM(U99:V99)</f>
        <v>5</v>
      </c>
      <c r="X99" s="2316"/>
      <c r="Y99" s="2316">
        <v>2</v>
      </c>
      <c r="Z99" s="2314">
        <f>SUM(X99:Y99)</f>
        <v>2</v>
      </c>
    </row>
    <row r="100" spans="2:26" ht="15" customHeight="1" x14ac:dyDescent="0.2">
      <c r="B100" s="2312" t="s">
        <v>123</v>
      </c>
      <c r="C100" s="196"/>
      <c r="D100" s="397"/>
      <c r="E100" s="196"/>
      <c r="F100" s="397"/>
      <c r="G100" s="196"/>
      <c r="H100" s="397"/>
      <c r="I100" s="196"/>
      <c r="J100" s="397"/>
      <c r="K100" s="2315"/>
      <c r="L100" s="2316"/>
      <c r="M100" s="2316"/>
      <c r="N100" s="2314">
        <f t="shared" si="52"/>
        <v>0</v>
      </c>
      <c r="O100" s="2316"/>
      <c r="P100" s="2316"/>
      <c r="Q100" s="2314">
        <f>SUM(O100:P100)</f>
        <v>0</v>
      </c>
      <c r="R100" s="2316"/>
      <c r="S100" s="2316"/>
      <c r="T100" s="2314">
        <f>SUM(R100:S100)</f>
        <v>0</v>
      </c>
      <c r="U100" s="2316">
        <v>4</v>
      </c>
      <c r="V100" s="2316">
        <v>1</v>
      </c>
      <c r="W100" s="2314">
        <f>SUM(U100:V100)</f>
        <v>5</v>
      </c>
      <c r="X100" s="2316">
        <v>9</v>
      </c>
      <c r="Y100" s="2316">
        <v>1</v>
      </c>
      <c r="Z100" s="2314">
        <f>SUM(X100:Y100)</f>
        <v>10</v>
      </c>
    </row>
    <row r="101" spans="2:26" ht="15" customHeight="1" x14ac:dyDescent="0.2">
      <c r="B101" s="2268" t="s">
        <v>64</v>
      </c>
      <c r="C101" s="2375">
        <f t="shared" ref="C101:Q101" si="82">SUM(C98:C99)</f>
        <v>30</v>
      </c>
      <c r="D101" s="2376">
        <f t="shared" si="82"/>
        <v>30</v>
      </c>
      <c r="E101" s="2375">
        <f t="shared" si="82"/>
        <v>6</v>
      </c>
      <c r="F101" s="2376">
        <f t="shared" si="82"/>
        <v>36</v>
      </c>
      <c r="G101" s="2375">
        <f t="shared" si="82"/>
        <v>7</v>
      </c>
      <c r="H101" s="2376">
        <f t="shared" si="82"/>
        <v>12</v>
      </c>
      <c r="I101" s="2375">
        <f t="shared" si="82"/>
        <v>0</v>
      </c>
      <c r="J101" s="2376">
        <f t="shared" si="82"/>
        <v>0</v>
      </c>
      <c r="K101" s="2271">
        <f t="shared" si="82"/>
        <v>14</v>
      </c>
      <c r="L101" s="2272">
        <f t="shared" si="82"/>
        <v>10</v>
      </c>
      <c r="M101" s="2273">
        <f t="shared" si="82"/>
        <v>4</v>
      </c>
      <c r="N101" s="2270">
        <f t="shared" si="82"/>
        <v>14</v>
      </c>
      <c r="O101" s="2272">
        <f t="shared" si="82"/>
        <v>8</v>
      </c>
      <c r="P101" s="2273">
        <f t="shared" si="82"/>
        <v>6</v>
      </c>
      <c r="Q101" s="2270">
        <f t="shared" si="82"/>
        <v>14</v>
      </c>
      <c r="R101" s="2272">
        <f>SUM(R98:R100)</f>
        <v>13</v>
      </c>
      <c r="S101" s="2273">
        <f>SUM(S98:S100)</f>
        <v>4</v>
      </c>
      <c r="T101" s="2270">
        <f>SUM(T98:T99)</f>
        <v>17</v>
      </c>
      <c r="U101" s="2272">
        <f t="shared" ref="U101:Z101" si="83">SUM(U98:U100)</f>
        <v>17</v>
      </c>
      <c r="V101" s="2273">
        <f t="shared" si="83"/>
        <v>9</v>
      </c>
      <c r="W101" s="2270">
        <f t="shared" si="83"/>
        <v>26</v>
      </c>
      <c r="X101" s="2272">
        <f t="shared" si="83"/>
        <v>20</v>
      </c>
      <c r="Y101" s="2273">
        <f t="shared" si="83"/>
        <v>7</v>
      </c>
      <c r="Z101" s="2270">
        <f t="shared" si="83"/>
        <v>27</v>
      </c>
    </row>
    <row r="102" spans="2:26" ht="15" customHeight="1" x14ac:dyDescent="0.2">
      <c r="B102" s="2312" t="s">
        <v>124</v>
      </c>
      <c r="C102" s="129">
        <v>6</v>
      </c>
      <c r="D102" s="396">
        <v>5</v>
      </c>
      <c r="E102" s="129">
        <v>2</v>
      </c>
      <c r="F102" s="396">
        <v>8</v>
      </c>
      <c r="G102" s="129">
        <v>4</v>
      </c>
      <c r="H102" s="396">
        <v>4</v>
      </c>
      <c r="I102" s="129">
        <v>2</v>
      </c>
      <c r="J102" s="396">
        <v>2</v>
      </c>
      <c r="K102" s="2315">
        <v>6</v>
      </c>
      <c r="L102" s="2316">
        <v>3</v>
      </c>
      <c r="M102" s="2316">
        <v>2</v>
      </c>
      <c r="N102" s="2314">
        <f t="shared" si="52"/>
        <v>5</v>
      </c>
      <c r="O102" s="2316">
        <v>10</v>
      </c>
      <c r="P102" s="2316">
        <v>3</v>
      </c>
      <c r="Q102" s="2314">
        <f>SUM(O102:P102)</f>
        <v>13</v>
      </c>
      <c r="R102" s="2316">
        <v>10</v>
      </c>
      <c r="S102" s="2316">
        <v>4</v>
      </c>
      <c r="T102" s="2314">
        <f>SUM(R102:S102)</f>
        <v>14</v>
      </c>
      <c r="U102" s="2316">
        <v>9</v>
      </c>
      <c r="V102" s="2316">
        <v>1</v>
      </c>
      <c r="W102" s="2314">
        <f>SUM(U102:V102)</f>
        <v>10</v>
      </c>
      <c r="X102" s="2316">
        <v>7</v>
      </c>
      <c r="Y102" s="2316">
        <v>1</v>
      </c>
      <c r="Z102" s="2314">
        <f>SUM(X102:Y102)</f>
        <v>8</v>
      </c>
    </row>
    <row r="103" spans="2:26" ht="15" customHeight="1" x14ac:dyDescent="0.2">
      <c r="B103" s="2317" t="s">
        <v>125</v>
      </c>
      <c r="C103" s="196"/>
      <c r="D103" s="397"/>
      <c r="E103" s="196"/>
      <c r="F103" s="397"/>
      <c r="G103" s="196"/>
      <c r="H103" s="397"/>
      <c r="I103" s="196"/>
      <c r="J103" s="397"/>
      <c r="K103" s="2320"/>
      <c r="L103" s="2321"/>
      <c r="M103" s="2321"/>
      <c r="N103" s="2319">
        <f t="shared" si="52"/>
        <v>0</v>
      </c>
      <c r="O103" s="2321"/>
      <c r="P103" s="2321"/>
      <c r="Q103" s="2319">
        <f>SUM(O103:P103)</f>
        <v>0</v>
      </c>
      <c r="R103" s="2321"/>
      <c r="S103" s="2321"/>
      <c r="T103" s="2319">
        <f>SUM(R103:S103)</f>
        <v>0</v>
      </c>
      <c r="U103" s="2321">
        <v>9</v>
      </c>
      <c r="V103" s="2321">
        <v>2</v>
      </c>
      <c r="W103" s="2319">
        <f>SUM(U103:V103)</f>
        <v>11</v>
      </c>
      <c r="X103" s="2321">
        <v>7</v>
      </c>
      <c r="Y103" s="2321"/>
      <c r="Z103" s="2319">
        <f>SUM(X103:Y103)</f>
        <v>7</v>
      </c>
    </row>
    <row r="104" spans="2:26" ht="15" customHeight="1" x14ac:dyDescent="0.2">
      <c r="B104" s="2317" t="s">
        <v>126</v>
      </c>
      <c r="C104" s="196"/>
      <c r="D104" s="397"/>
      <c r="E104" s="196"/>
      <c r="F104" s="397"/>
      <c r="G104" s="196"/>
      <c r="H104" s="397"/>
      <c r="I104" s="196"/>
      <c r="J104" s="397"/>
      <c r="K104" s="2320"/>
      <c r="L104" s="2321"/>
      <c r="M104" s="2321"/>
      <c r="N104" s="2319">
        <f t="shared" si="52"/>
        <v>0</v>
      </c>
      <c r="O104" s="2321"/>
      <c r="P104" s="2321"/>
      <c r="Q104" s="2319">
        <f>SUM(O104:P104)</f>
        <v>0</v>
      </c>
      <c r="R104" s="2321"/>
      <c r="S104" s="2321"/>
      <c r="T104" s="2319">
        <f>SUM(R104:S104)</f>
        <v>0</v>
      </c>
      <c r="U104" s="2321">
        <v>4</v>
      </c>
      <c r="V104" s="2321"/>
      <c r="W104" s="2319">
        <f>SUM(U104:V104)</f>
        <v>4</v>
      </c>
      <c r="X104" s="2321">
        <v>9</v>
      </c>
      <c r="Y104" s="2321"/>
      <c r="Z104" s="2319">
        <f>SUM(X104:Y104)</f>
        <v>9</v>
      </c>
    </row>
    <row r="105" spans="2:26" ht="14.4" x14ac:dyDescent="0.2">
      <c r="B105" s="2397" t="s">
        <v>48</v>
      </c>
      <c r="C105" s="2375">
        <f t="shared" ref="C105:H105" si="84">SUM(C102)</f>
        <v>6</v>
      </c>
      <c r="D105" s="2376">
        <f t="shared" si="84"/>
        <v>5</v>
      </c>
      <c r="E105" s="2375">
        <f t="shared" si="84"/>
        <v>2</v>
      </c>
      <c r="F105" s="2376">
        <f t="shared" si="84"/>
        <v>8</v>
      </c>
      <c r="G105" s="2375">
        <f t="shared" si="84"/>
        <v>4</v>
      </c>
      <c r="H105" s="2376">
        <f t="shared" si="84"/>
        <v>4</v>
      </c>
      <c r="I105" s="2375">
        <f t="shared" ref="I105:T105" si="85">SUM(I102:I103)</f>
        <v>2</v>
      </c>
      <c r="J105" s="2376">
        <f t="shared" si="85"/>
        <v>2</v>
      </c>
      <c r="K105" s="2271">
        <f t="shared" si="85"/>
        <v>6</v>
      </c>
      <c r="L105" s="2272">
        <f t="shared" si="85"/>
        <v>3</v>
      </c>
      <c r="M105" s="2273">
        <f t="shared" si="85"/>
        <v>2</v>
      </c>
      <c r="N105" s="2270">
        <f t="shared" si="85"/>
        <v>5</v>
      </c>
      <c r="O105" s="2272">
        <f t="shared" si="85"/>
        <v>10</v>
      </c>
      <c r="P105" s="2273">
        <f t="shared" si="85"/>
        <v>3</v>
      </c>
      <c r="Q105" s="2270">
        <f t="shared" si="85"/>
        <v>13</v>
      </c>
      <c r="R105" s="2272">
        <f t="shared" si="85"/>
        <v>10</v>
      </c>
      <c r="S105" s="2273">
        <f t="shared" si="85"/>
        <v>4</v>
      </c>
      <c r="T105" s="2270">
        <f t="shared" si="85"/>
        <v>14</v>
      </c>
      <c r="U105" s="2272">
        <f t="shared" ref="U105:Z105" si="86">SUM(U102:U104)</f>
        <v>22</v>
      </c>
      <c r="V105" s="2273">
        <f t="shared" si="86"/>
        <v>3</v>
      </c>
      <c r="W105" s="2270">
        <f t="shared" si="86"/>
        <v>25</v>
      </c>
      <c r="X105" s="2272">
        <f t="shared" si="86"/>
        <v>23</v>
      </c>
      <c r="Y105" s="2273">
        <f t="shared" si="86"/>
        <v>1</v>
      </c>
      <c r="Z105" s="2270">
        <f t="shared" si="86"/>
        <v>24</v>
      </c>
    </row>
    <row r="106" spans="2:26" ht="15" customHeight="1" x14ac:dyDescent="0.2">
      <c r="B106" s="2398" t="s">
        <v>127</v>
      </c>
      <c r="C106" s="1435">
        <f t="shared" ref="C106:H106" si="87">SUM(C105,C101,C97)</f>
        <v>53</v>
      </c>
      <c r="D106" s="1437">
        <f t="shared" si="87"/>
        <v>52</v>
      </c>
      <c r="E106" s="1435">
        <f t="shared" si="87"/>
        <v>13</v>
      </c>
      <c r="F106" s="1437">
        <f t="shared" si="87"/>
        <v>66</v>
      </c>
      <c r="G106" s="1435">
        <f t="shared" si="87"/>
        <v>12</v>
      </c>
      <c r="H106" s="1437">
        <f t="shared" si="87"/>
        <v>19</v>
      </c>
      <c r="I106" s="1435">
        <f>SUM(I105,I101,I97)</f>
        <v>2</v>
      </c>
      <c r="J106" s="1437">
        <f>SUM(J105,J101,J97)</f>
        <v>2</v>
      </c>
      <c r="K106" s="2399">
        <f t="shared" ref="K106:T106" si="88">SUM(K97,K101,K105)</f>
        <v>20</v>
      </c>
      <c r="L106" s="2400">
        <f t="shared" si="88"/>
        <v>13</v>
      </c>
      <c r="M106" s="2400">
        <f t="shared" si="88"/>
        <v>6</v>
      </c>
      <c r="N106" s="2401">
        <f t="shared" si="88"/>
        <v>19</v>
      </c>
      <c r="O106" s="2400">
        <f t="shared" si="88"/>
        <v>20</v>
      </c>
      <c r="P106" s="2400">
        <f t="shared" si="88"/>
        <v>9</v>
      </c>
      <c r="Q106" s="2401">
        <f t="shared" si="88"/>
        <v>29</v>
      </c>
      <c r="R106" s="2400">
        <f t="shared" si="88"/>
        <v>25</v>
      </c>
      <c r="S106" s="2400">
        <f t="shared" si="88"/>
        <v>8</v>
      </c>
      <c r="T106" s="2401">
        <f t="shared" si="88"/>
        <v>33</v>
      </c>
      <c r="U106" s="2400">
        <f t="shared" ref="U106:W106" si="89">SUM(U97,U101,U105)</f>
        <v>43</v>
      </c>
      <c r="V106" s="2400">
        <f t="shared" si="89"/>
        <v>13</v>
      </c>
      <c r="W106" s="2401">
        <f t="shared" si="89"/>
        <v>56</v>
      </c>
      <c r="X106" s="2400">
        <f t="shared" ref="X106:Z106" si="90">SUM(X97,X101,X105)</f>
        <v>43</v>
      </c>
      <c r="Y106" s="2400">
        <f t="shared" si="90"/>
        <v>8</v>
      </c>
      <c r="Z106" s="2401">
        <f t="shared" si="90"/>
        <v>51</v>
      </c>
    </row>
    <row r="107" spans="2:26" ht="15" customHeight="1" x14ac:dyDescent="0.2">
      <c r="C107" s="2402"/>
      <c r="D107" s="2402"/>
      <c r="E107" s="2402"/>
      <c r="F107" s="2402"/>
      <c r="G107" s="2402"/>
      <c r="H107" s="2402"/>
      <c r="I107" s="2402"/>
      <c r="J107" s="2402"/>
      <c r="K107" s="2402"/>
      <c r="L107" s="2402"/>
      <c r="M107" s="2402"/>
      <c r="N107" s="2402"/>
      <c r="O107" s="2402"/>
      <c r="P107" s="2402"/>
      <c r="Q107" s="2402"/>
      <c r="R107" s="2402"/>
      <c r="S107" s="2402"/>
      <c r="T107" s="2402"/>
      <c r="U107" s="2402"/>
      <c r="V107" s="2402"/>
      <c r="W107" s="2402"/>
      <c r="X107" s="2402"/>
      <c r="Y107" s="2402"/>
      <c r="Z107" s="2402"/>
    </row>
    <row r="108" spans="2:26" ht="15" customHeight="1" x14ac:dyDescent="0.2">
      <c r="B108" s="1383" t="s">
        <v>431</v>
      </c>
      <c r="C108" s="398">
        <f t="shared" ref="C108:H108" si="91">SUM(C106,C93,C78,C56,C25)</f>
        <v>2371</v>
      </c>
      <c r="D108" s="400">
        <f t="shared" si="91"/>
        <v>2341</v>
      </c>
      <c r="E108" s="398">
        <f t="shared" si="91"/>
        <v>1415</v>
      </c>
      <c r="F108" s="400">
        <f t="shared" si="91"/>
        <v>3783</v>
      </c>
      <c r="G108" s="398">
        <f t="shared" si="91"/>
        <v>341</v>
      </c>
      <c r="H108" s="400">
        <f t="shared" si="91"/>
        <v>1511</v>
      </c>
      <c r="I108" s="398">
        <f>SUM(I106,I93,I78,I56,I25)</f>
        <v>139</v>
      </c>
      <c r="J108" s="400">
        <f>SUM(J106,J93,J78,J56,J25)</f>
        <v>138</v>
      </c>
      <c r="K108" s="2335">
        <f t="shared" ref="K108:Q108" si="92">SUM(K78,K56,K25,K93,K106)</f>
        <v>2731</v>
      </c>
      <c r="L108" s="2336">
        <f t="shared" si="92"/>
        <v>1675</v>
      </c>
      <c r="M108" s="2337">
        <f t="shared" si="92"/>
        <v>953</v>
      </c>
      <c r="N108" s="2334">
        <f t="shared" si="92"/>
        <v>2628</v>
      </c>
      <c r="O108" s="2336">
        <f t="shared" si="92"/>
        <v>1820</v>
      </c>
      <c r="P108" s="2337">
        <f t="shared" si="92"/>
        <v>968</v>
      </c>
      <c r="Q108" s="2334">
        <f t="shared" si="92"/>
        <v>2788</v>
      </c>
      <c r="R108" s="2336">
        <f t="shared" ref="R108:W108" si="93">SUM(R78,R56,R25,R93,R106)</f>
        <v>1258</v>
      </c>
      <c r="S108" s="2337">
        <f t="shared" si="93"/>
        <v>696</v>
      </c>
      <c r="T108" s="2334">
        <f t="shared" si="93"/>
        <v>1954</v>
      </c>
      <c r="U108" s="2336">
        <f t="shared" si="93"/>
        <v>1459</v>
      </c>
      <c r="V108" s="2337">
        <f t="shared" si="93"/>
        <v>851</v>
      </c>
      <c r="W108" s="2334">
        <f t="shared" si="93"/>
        <v>2310</v>
      </c>
      <c r="X108" s="2336">
        <f t="shared" ref="X108:Z108" si="94">SUM(X78,X56,X25,X93,X106)</f>
        <v>1446</v>
      </c>
      <c r="Y108" s="2337">
        <f t="shared" si="94"/>
        <v>754</v>
      </c>
      <c r="Z108" s="2334">
        <f t="shared" si="94"/>
        <v>2200</v>
      </c>
    </row>
    <row r="109" spans="2:26" ht="15" customHeight="1" x14ac:dyDescent="0.25">
      <c r="B109" s="2341" t="s">
        <v>622</v>
      </c>
      <c r="H109" s="2366"/>
    </row>
    <row r="110" spans="2:26" ht="15" customHeight="1" x14ac:dyDescent="0.2">
      <c r="H110" s="2366"/>
    </row>
    <row r="111" spans="2:26" ht="15" customHeight="1" x14ac:dyDescent="0.2">
      <c r="H111" s="2366"/>
    </row>
    <row r="112" spans="2:26" ht="15" customHeight="1" x14ac:dyDescent="0.2">
      <c r="H112" s="2366"/>
    </row>
    <row r="113" spans="8:8" ht="15" customHeight="1" x14ac:dyDescent="0.2">
      <c r="H113" s="2366"/>
    </row>
    <row r="114" spans="8:8" ht="15" customHeight="1" x14ac:dyDescent="0.2">
      <c r="H114" s="2366"/>
    </row>
    <row r="115" spans="8:8" ht="15" customHeight="1" x14ac:dyDescent="0.2">
      <c r="H115" s="2366"/>
    </row>
    <row r="116" spans="8:8" ht="15" customHeight="1" x14ac:dyDescent="0.2">
      <c r="H116" s="2366"/>
    </row>
    <row r="117" spans="8:8" ht="15" customHeight="1" x14ac:dyDescent="0.2">
      <c r="H117" s="2366"/>
    </row>
    <row r="118" spans="8:8" ht="15" customHeight="1" x14ac:dyDescent="0.2"/>
    <row r="119" spans="8:8" ht="15" customHeight="1" x14ac:dyDescent="0.2"/>
    <row r="120" spans="8:8" ht="15" customHeight="1" x14ac:dyDescent="0.2"/>
    <row r="121" spans="8:8" ht="15" customHeight="1" x14ac:dyDescent="0.2"/>
    <row r="122" spans="8:8" ht="15" customHeight="1" x14ac:dyDescent="0.2"/>
    <row r="123" spans="8:8" ht="15" customHeight="1" x14ac:dyDescent="0.2"/>
    <row r="124" spans="8:8" ht="15" customHeight="1" x14ac:dyDescent="0.2"/>
    <row r="125" spans="8:8" ht="15" customHeight="1" x14ac:dyDescent="0.2"/>
    <row r="126" spans="8:8" ht="15" customHeight="1" x14ac:dyDescent="0.2"/>
    <row r="127" spans="8:8" ht="15" customHeight="1" x14ac:dyDescent="0.2"/>
    <row r="128" spans="8:8" ht="15" customHeight="1" x14ac:dyDescent="0.2"/>
    <row r="129" ht="15" customHeight="1" x14ac:dyDescent="0.2"/>
    <row r="130" ht="15" customHeight="1" x14ac:dyDescent="0.2"/>
    <row r="131" ht="15" customHeight="1" x14ac:dyDescent="0.2"/>
    <row r="132" ht="15" customHeight="1" x14ac:dyDescent="0.2"/>
    <row r="133" ht="15" customHeight="1" x14ac:dyDescent="0.2"/>
    <row r="134" ht="15" customHeight="1" x14ac:dyDescent="0.2"/>
    <row r="135" ht="15" customHeight="1" x14ac:dyDescent="0.2"/>
    <row r="136" ht="15" customHeight="1" x14ac:dyDescent="0.2"/>
    <row r="137" ht="15" customHeight="1" x14ac:dyDescent="0.2"/>
    <row r="138" ht="15" customHeight="1" x14ac:dyDescent="0.2"/>
    <row r="139" ht="15" customHeight="1" x14ac:dyDescent="0.2"/>
    <row r="140" ht="15" customHeight="1" x14ac:dyDescent="0.2"/>
    <row r="141" ht="15" customHeight="1" x14ac:dyDescent="0.2"/>
    <row r="142" ht="15" customHeight="1" x14ac:dyDescent="0.2"/>
    <row r="143" ht="15" customHeight="1" x14ac:dyDescent="0.2"/>
    <row r="144" ht="15" customHeight="1" x14ac:dyDescent="0.2"/>
    <row r="145" ht="15" customHeight="1" x14ac:dyDescent="0.2"/>
    <row r="146" ht="15" customHeight="1" x14ac:dyDescent="0.2"/>
    <row r="147" ht="15" customHeight="1" x14ac:dyDescent="0.2"/>
    <row r="148" ht="15" customHeight="1" x14ac:dyDescent="0.2"/>
    <row r="149" ht="15" customHeight="1" x14ac:dyDescent="0.2"/>
    <row r="150" ht="15" customHeight="1" x14ac:dyDescent="0.2"/>
    <row r="151" ht="15" customHeight="1" x14ac:dyDescent="0.2"/>
    <row r="152" ht="15" customHeight="1" x14ac:dyDescent="0.2"/>
    <row r="153" ht="15" customHeight="1" x14ac:dyDescent="0.2"/>
    <row r="154" ht="15" customHeight="1" x14ac:dyDescent="0.2"/>
    <row r="155" ht="15" customHeight="1" x14ac:dyDescent="0.2"/>
    <row r="156" ht="15" customHeight="1" x14ac:dyDescent="0.2"/>
    <row r="157" ht="15" customHeight="1" x14ac:dyDescent="0.2"/>
    <row r="158" ht="15" customHeight="1" x14ac:dyDescent="0.2"/>
    <row r="159" ht="15" customHeight="1" x14ac:dyDescent="0.2"/>
    <row r="160" ht="15" customHeight="1" x14ac:dyDescent="0.2"/>
    <row r="161" ht="15" customHeight="1" x14ac:dyDescent="0.2"/>
    <row r="162" ht="15" customHeight="1" x14ac:dyDescent="0.2"/>
    <row r="163" ht="15" customHeight="1" x14ac:dyDescent="0.2"/>
    <row r="164" ht="15" customHeight="1" x14ac:dyDescent="0.2"/>
    <row r="165" ht="15" customHeight="1" x14ac:dyDescent="0.2"/>
    <row r="166" ht="15" customHeight="1" x14ac:dyDescent="0.2"/>
    <row r="167" ht="15" customHeight="1" x14ac:dyDescent="0.2"/>
    <row r="168" ht="15" customHeight="1" x14ac:dyDescent="0.2"/>
    <row r="169" ht="15" customHeight="1" x14ac:dyDescent="0.2"/>
    <row r="170" ht="15" customHeight="1" x14ac:dyDescent="0.2"/>
    <row r="171" ht="15" customHeight="1" x14ac:dyDescent="0.2"/>
    <row r="172" ht="15" customHeight="1" x14ac:dyDescent="0.2"/>
    <row r="173" ht="15" customHeight="1" x14ac:dyDescent="0.2"/>
    <row r="174" ht="15" customHeight="1" x14ac:dyDescent="0.2"/>
    <row r="175" ht="15" customHeight="1" x14ac:dyDescent="0.2"/>
    <row r="176" ht="15" customHeight="1" x14ac:dyDescent="0.2"/>
    <row r="177" ht="15" customHeight="1" x14ac:dyDescent="0.2"/>
    <row r="178" ht="15" customHeight="1" x14ac:dyDescent="0.2"/>
    <row r="179" ht="15" customHeight="1" x14ac:dyDescent="0.2"/>
    <row r="180" ht="15" customHeight="1" x14ac:dyDescent="0.2"/>
    <row r="181" ht="15" customHeight="1" x14ac:dyDescent="0.2"/>
    <row r="182" ht="15" customHeight="1" x14ac:dyDescent="0.2"/>
    <row r="183" ht="15" customHeight="1" x14ac:dyDescent="0.2"/>
    <row r="184" ht="15" customHeight="1" x14ac:dyDescent="0.2"/>
    <row r="185" ht="15" customHeight="1" x14ac:dyDescent="0.2"/>
    <row r="186" ht="15" customHeight="1" x14ac:dyDescent="0.2"/>
    <row r="187" ht="15" customHeight="1" x14ac:dyDescent="0.2"/>
    <row r="188" ht="15" customHeight="1" x14ac:dyDescent="0.2"/>
    <row r="189" ht="15" customHeight="1" x14ac:dyDescent="0.2"/>
    <row r="190" ht="15" customHeight="1" x14ac:dyDescent="0.2"/>
    <row r="191" ht="15" customHeight="1" x14ac:dyDescent="0.2"/>
    <row r="192" ht="15" customHeight="1" x14ac:dyDescent="0.2"/>
    <row r="193" ht="15" customHeight="1" x14ac:dyDescent="0.2"/>
    <row r="194" ht="15" customHeight="1" x14ac:dyDescent="0.2"/>
    <row r="195" ht="15" customHeight="1" x14ac:dyDescent="0.2"/>
    <row r="196" ht="15" customHeight="1" x14ac:dyDescent="0.2"/>
    <row r="197" ht="15" customHeight="1" x14ac:dyDescent="0.2"/>
    <row r="198" ht="15" customHeight="1" x14ac:dyDescent="0.2"/>
    <row r="199" ht="15" customHeight="1" x14ac:dyDescent="0.2"/>
    <row r="200" ht="15" customHeight="1" x14ac:dyDescent="0.2"/>
    <row r="201" ht="15" customHeight="1" x14ac:dyDescent="0.2"/>
    <row r="202" ht="15" customHeight="1" x14ac:dyDescent="0.2"/>
    <row r="203" ht="15" customHeight="1" x14ac:dyDescent="0.2"/>
    <row r="204" ht="15" customHeight="1" x14ac:dyDescent="0.2"/>
    <row r="205" ht="15" customHeight="1" x14ac:dyDescent="0.2"/>
    <row r="206" ht="15" customHeight="1" x14ac:dyDescent="0.2"/>
    <row r="207" ht="15" customHeight="1" x14ac:dyDescent="0.2"/>
    <row r="208" ht="15" customHeight="1" x14ac:dyDescent="0.2"/>
    <row r="209" ht="15" customHeight="1" x14ac:dyDescent="0.2"/>
    <row r="210" ht="15" customHeight="1" x14ac:dyDescent="0.2"/>
    <row r="211" ht="15" customHeight="1" x14ac:dyDescent="0.2"/>
    <row r="212" ht="15" customHeight="1" x14ac:dyDescent="0.2"/>
    <row r="213" ht="15" customHeight="1" x14ac:dyDescent="0.2"/>
    <row r="214" ht="15" customHeight="1" x14ac:dyDescent="0.2"/>
    <row r="215" ht="15" customHeight="1" x14ac:dyDescent="0.2"/>
    <row r="216" ht="15" customHeight="1" x14ac:dyDescent="0.2"/>
    <row r="217" ht="15" customHeight="1" x14ac:dyDescent="0.2"/>
    <row r="218" ht="15" customHeight="1" x14ac:dyDescent="0.2"/>
    <row r="219" ht="15" customHeight="1" x14ac:dyDescent="0.2"/>
    <row r="220" ht="15" customHeight="1" x14ac:dyDescent="0.2"/>
    <row r="221" ht="15" customHeight="1" x14ac:dyDescent="0.2"/>
    <row r="222" ht="15" customHeight="1" x14ac:dyDescent="0.2"/>
    <row r="223" ht="15" customHeight="1" x14ac:dyDescent="0.2"/>
    <row r="224" ht="15" customHeight="1" x14ac:dyDescent="0.2"/>
    <row r="225" ht="15" customHeight="1" x14ac:dyDescent="0.2"/>
    <row r="226" ht="15" customHeight="1" x14ac:dyDescent="0.2"/>
    <row r="227" ht="15" customHeight="1" x14ac:dyDescent="0.2"/>
    <row r="228" ht="15" customHeight="1" x14ac:dyDescent="0.2"/>
    <row r="229" ht="15" customHeight="1" x14ac:dyDescent="0.2"/>
    <row r="230" ht="15" customHeight="1" x14ac:dyDescent="0.2"/>
    <row r="231" ht="15" customHeight="1" x14ac:dyDescent="0.2"/>
    <row r="232" ht="15" customHeight="1" x14ac:dyDescent="0.2"/>
    <row r="233" ht="15" customHeight="1" x14ac:dyDescent="0.2"/>
    <row r="234" ht="15" customHeight="1" x14ac:dyDescent="0.2"/>
    <row r="235" ht="15" customHeight="1" x14ac:dyDescent="0.2"/>
    <row r="236" ht="15" customHeight="1" x14ac:dyDescent="0.2"/>
    <row r="237" ht="15" customHeight="1" x14ac:dyDescent="0.2"/>
    <row r="238" ht="15" customHeight="1" x14ac:dyDescent="0.2"/>
    <row r="239" ht="15" customHeight="1" x14ac:dyDescent="0.2"/>
    <row r="240" ht="15" customHeight="1" x14ac:dyDescent="0.2"/>
    <row r="241" ht="15" customHeight="1" x14ac:dyDescent="0.2"/>
    <row r="242" ht="15" customHeight="1" x14ac:dyDescent="0.2"/>
    <row r="243" ht="15" customHeight="1" x14ac:dyDescent="0.2"/>
    <row r="244" ht="15" customHeight="1" x14ac:dyDescent="0.2"/>
    <row r="245" ht="15" customHeight="1" x14ac:dyDescent="0.2"/>
    <row r="246" ht="15" customHeight="1" x14ac:dyDescent="0.2"/>
    <row r="247" ht="15" customHeight="1" x14ac:dyDescent="0.2"/>
    <row r="248" ht="15" customHeight="1" x14ac:dyDescent="0.2"/>
    <row r="249" ht="15" customHeight="1" x14ac:dyDescent="0.2"/>
    <row r="250" ht="15" customHeight="1" x14ac:dyDescent="0.2"/>
    <row r="251" ht="15" customHeight="1" x14ac:dyDescent="0.2"/>
    <row r="252" ht="15" customHeight="1" x14ac:dyDescent="0.2"/>
    <row r="253" ht="15" customHeight="1" x14ac:dyDescent="0.2"/>
    <row r="254" ht="15" customHeight="1" x14ac:dyDescent="0.2"/>
    <row r="255" ht="15" customHeight="1" x14ac:dyDescent="0.2"/>
    <row r="256" ht="15" customHeight="1" x14ac:dyDescent="0.2"/>
    <row r="257" ht="15" customHeight="1" x14ac:dyDescent="0.2"/>
    <row r="258" ht="15" customHeight="1" x14ac:dyDescent="0.2"/>
    <row r="259" ht="15" customHeight="1" x14ac:dyDescent="0.2"/>
    <row r="260" ht="15" customHeight="1" x14ac:dyDescent="0.2"/>
    <row r="261" ht="15" customHeight="1" x14ac:dyDescent="0.2"/>
    <row r="262" ht="15" customHeight="1" x14ac:dyDescent="0.2"/>
    <row r="263" ht="15" customHeight="1" x14ac:dyDescent="0.2"/>
    <row r="264" ht="15" customHeight="1" x14ac:dyDescent="0.2"/>
    <row r="265" ht="15" customHeight="1" x14ac:dyDescent="0.2"/>
    <row r="266" ht="15" customHeight="1" x14ac:dyDescent="0.2"/>
    <row r="267" ht="15" customHeight="1" x14ac:dyDescent="0.2"/>
    <row r="268" ht="15" customHeight="1" x14ac:dyDescent="0.2"/>
    <row r="269" ht="15" customHeight="1" x14ac:dyDescent="0.2"/>
    <row r="270" ht="15" customHeight="1" x14ac:dyDescent="0.2"/>
    <row r="271" ht="15" customHeight="1" x14ac:dyDescent="0.2"/>
    <row r="272" ht="15" customHeight="1" x14ac:dyDescent="0.2"/>
  </sheetData>
  <mergeCells count="10">
    <mergeCell ref="X3:Z3"/>
    <mergeCell ref="U3:W3"/>
    <mergeCell ref="O3:Q3"/>
    <mergeCell ref="R3:T3"/>
    <mergeCell ref="B3:B4"/>
    <mergeCell ref="C3:D3"/>
    <mergeCell ref="E3:F3"/>
    <mergeCell ref="G3:H3"/>
    <mergeCell ref="I3:J3"/>
    <mergeCell ref="L3:N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58" firstPageNumber="94" orientation="landscape" useFirstPageNumber="1" r:id="rId1"/>
  <headerFooter scaleWithDoc="0" alignWithMargins="0">
    <oddFooter>&amp;R&amp;P</oddFooter>
  </headerFooter>
  <rowBreaks count="1" manualBreakCount="1">
    <brk id="56" max="16383" man="1"/>
  </rowBreaks>
  <ignoredErrors>
    <ignoredError sqref="N5:W14" formulaRange="1"/>
    <ignoredError sqref="N15:W108" formula="1" formulaRange="1"/>
    <ignoredError sqref="Z15 Z63:Z72 Z83" formula="1"/>
  </ignoredError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</sheetPr>
  <dimension ref="B1:AC83"/>
  <sheetViews>
    <sheetView showGridLines="0" zoomScaleNormal="100" workbookViewId="0">
      <pane xSplit="2" ySplit="4" topLeftCell="R5" activePane="bottomRight" state="frozen"/>
      <selection activeCell="Q31" sqref="Q31"/>
      <selection pane="topRight" activeCell="Q31" sqref="Q31"/>
      <selection pane="bottomLeft" activeCell="Q31" sqref="Q31"/>
      <selection pane="bottomRight" activeCell="K13" sqref="K13"/>
    </sheetView>
  </sheetViews>
  <sheetFormatPr baseColWidth="10" defaultColWidth="11.44140625" defaultRowHeight="13.2" x14ac:dyDescent="0.25"/>
  <cols>
    <col min="1" max="1" width="2.88671875" style="25" customWidth="1"/>
    <col min="2" max="2" width="36.88671875" style="25" bestFit="1" customWidth="1"/>
    <col min="3" max="3" width="8.5546875" style="25" customWidth="1"/>
    <col min="4" max="4" width="9.44140625" style="25" customWidth="1"/>
    <col min="5" max="5" width="7.88671875" style="25" customWidth="1"/>
    <col min="6" max="6" width="8.5546875" style="25" customWidth="1"/>
    <col min="7" max="7" width="9.44140625" style="25" customWidth="1"/>
    <col min="8" max="8" width="7.88671875" style="25" customWidth="1"/>
    <col min="9" max="9" width="8.5546875" style="25" customWidth="1"/>
    <col min="10" max="10" width="9.44140625" style="25" customWidth="1"/>
    <col min="11" max="11" width="7.88671875" style="25" customWidth="1"/>
    <col min="12" max="13" width="9.44140625" style="25" customWidth="1"/>
    <col min="14" max="14" width="7.88671875" style="25" customWidth="1"/>
    <col min="15" max="16" width="9.44140625" style="25" customWidth="1"/>
    <col min="17" max="17" width="7.88671875" style="25" customWidth="1"/>
    <col min="18" max="19" width="9.44140625" style="25" customWidth="1"/>
    <col min="20" max="20" width="7.88671875" style="25" customWidth="1"/>
    <col min="21" max="21" width="8.44140625" style="25" customWidth="1"/>
    <col min="22" max="22" width="9.44140625" style="25" customWidth="1"/>
    <col min="23" max="23" width="9.88671875" style="25" customWidth="1"/>
    <col min="24" max="24" width="8.44140625" style="25" customWidth="1"/>
    <col min="25" max="25" width="9.6640625" style="25" customWidth="1"/>
    <col min="26" max="26" width="9.88671875" style="25" customWidth="1"/>
    <col min="27" max="27" width="8.5546875" style="25" bestFit="1" customWidth="1"/>
    <col min="28" max="28" width="9.44140625" style="25" bestFit="1" customWidth="1"/>
    <col min="29" max="16384" width="11.44140625" style="25"/>
  </cols>
  <sheetData>
    <row r="1" spans="2:29" ht="54" x14ac:dyDescent="0.25">
      <c r="B1" s="4764" t="s">
        <v>1487</v>
      </c>
    </row>
    <row r="2" spans="2:29" x14ac:dyDescent="0.25">
      <c r="B2" s="1450"/>
    </row>
    <row r="3" spans="2:29" ht="13.5" customHeight="1" x14ac:dyDescent="0.25">
      <c r="B3" s="6052" t="s">
        <v>624</v>
      </c>
      <c r="C3" s="6054">
        <v>2014</v>
      </c>
      <c r="D3" s="6055"/>
      <c r="E3" s="5741"/>
      <c r="F3" s="6054">
        <v>2015</v>
      </c>
      <c r="G3" s="6055"/>
      <c r="H3" s="5741"/>
      <c r="I3" s="6054">
        <v>2016</v>
      </c>
      <c r="J3" s="6055"/>
      <c r="K3" s="5741"/>
      <c r="L3" s="6054">
        <v>2017</v>
      </c>
      <c r="M3" s="6055"/>
      <c r="N3" s="5741"/>
      <c r="O3" s="6054">
        <v>2018</v>
      </c>
      <c r="P3" s="6055"/>
      <c r="Q3" s="5741"/>
      <c r="R3" s="6054">
        <v>2019</v>
      </c>
      <c r="S3" s="6055"/>
      <c r="T3" s="5741"/>
      <c r="U3" s="6054">
        <v>2020</v>
      </c>
      <c r="V3" s="6055"/>
      <c r="W3" s="5741"/>
      <c r="X3" s="6054">
        <v>2021</v>
      </c>
      <c r="Y3" s="6055"/>
      <c r="Z3" s="5741"/>
      <c r="AA3" s="6054">
        <v>2022</v>
      </c>
      <c r="AB3" s="6055"/>
      <c r="AC3" s="5741"/>
    </row>
    <row r="4" spans="2:29" ht="27.6" x14ac:dyDescent="0.25">
      <c r="B4" s="6053"/>
      <c r="C4" s="2403" t="s">
        <v>140</v>
      </c>
      <c r="D4" s="2403" t="s">
        <v>141</v>
      </c>
      <c r="E4" s="2404" t="s">
        <v>48</v>
      </c>
      <c r="F4" s="2403" t="s">
        <v>140</v>
      </c>
      <c r="G4" s="2405" t="s">
        <v>141</v>
      </c>
      <c r="H4" s="2404" t="s">
        <v>48</v>
      </c>
      <c r="I4" s="2403" t="s">
        <v>140</v>
      </c>
      <c r="J4" s="2405" t="s">
        <v>141</v>
      </c>
      <c r="K4" s="2404" t="s">
        <v>48</v>
      </c>
      <c r="L4" s="2403" t="s">
        <v>140</v>
      </c>
      <c r="M4" s="2405" t="s">
        <v>141</v>
      </c>
      <c r="N4" s="2404" t="s">
        <v>48</v>
      </c>
      <c r="O4" s="2403" t="s">
        <v>140</v>
      </c>
      <c r="P4" s="2405" t="s">
        <v>141</v>
      </c>
      <c r="Q4" s="2404" t="s">
        <v>48</v>
      </c>
      <c r="R4" s="2403" t="s">
        <v>140</v>
      </c>
      <c r="S4" s="2405" t="s">
        <v>141</v>
      </c>
      <c r="T4" s="2404" t="s">
        <v>48</v>
      </c>
      <c r="U4" s="2403" t="s">
        <v>140</v>
      </c>
      <c r="V4" s="2405" t="s">
        <v>141</v>
      </c>
      <c r="W4" s="2404" t="s">
        <v>48</v>
      </c>
      <c r="X4" s="2403" t="s">
        <v>140</v>
      </c>
      <c r="Y4" s="2405" t="s">
        <v>141</v>
      </c>
      <c r="Z4" s="2404" t="s">
        <v>48</v>
      </c>
      <c r="AA4" s="2403" t="s">
        <v>140</v>
      </c>
      <c r="AB4" s="2405" t="s">
        <v>141</v>
      </c>
      <c r="AC4" s="2404" t="s">
        <v>48</v>
      </c>
    </row>
    <row r="5" spans="2:29" ht="15" customHeight="1" x14ac:dyDescent="0.25">
      <c r="B5" s="5645" t="s">
        <v>49</v>
      </c>
      <c r="C5" s="2407"/>
      <c r="D5" s="2408"/>
      <c r="E5" s="2409"/>
      <c r="F5" s="2407"/>
      <c r="G5" s="2408"/>
      <c r="H5" s="2409"/>
      <c r="I5" s="2407">
        <v>1</v>
      </c>
      <c r="J5" s="2408"/>
      <c r="K5" s="2410">
        <f t="shared" ref="K5:K11" si="0">SUM(I5:J5)</f>
        <v>1</v>
      </c>
      <c r="L5" s="2407">
        <v>1</v>
      </c>
      <c r="M5" s="2408"/>
      <c r="N5" s="2410">
        <f t="shared" ref="N5:N11" si="1">SUM(L5:M5)</f>
        <v>1</v>
      </c>
      <c r="O5" s="2407"/>
      <c r="P5" s="2408"/>
      <c r="Q5" s="2410"/>
      <c r="R5" s="2407"/>
      <c r="S5" s="2408"/>
      <c r="T5" s="2410"/>
      <c r="U5" s="2407"/>
      <c r="V5" s="2408"/>
      <c r="W5" s="2410"/>
      <c r="X5" s="2407"/>
      <c r="Y5" s="2408"/>
      <c r="Z5" s="2410"/>
      <c r="AA5" s="2407"/>
      <c r="AB5" s="2408"/>
      <c r="AC5" s="2410"/>
    </row>
    <row r="6" spans="2:29" ht="15" customHeight="1" x14ac:dyDescent="0.25">
      <c r="B6" s="2411" t="s">
        <v>50</v>
      </c>
      <c r="C6" s="2412">
        <v>2</v>
      </c>
      <c r="D6" s="2413">
        <v>1</v>
      </c>
      <c r="E6" s="2410">
        <f>SUM(C6:D6)</f>
        <v>3</v>
      </c>
      <c r="F6" s="2412">
        <v>2</v>
      </c>
      <c r="G6" s="2413">
        <v>1</v>
      </c>
      <c r="H6" s="2410">
        <f>SUM(F6:G6)</f>
        <v>3</v>
      </c>
      <c r="I6" s="2412">
        <v>1</v>
      </c>
      <c r="J6" s="2413">
        <v>2</v>
      </c>
      <c r="K6" s="2410">
        <f t="shared" si="0"/>
        <v>3</v>
      </c>
      <c r="L6" s="2412"/>
      <c r="M6" s="2413">
        <v>2</v>
      </c>
      <c r="N6" s="2410">
        <f t="shared" si="1"/>
        <v>2</v>
      </c>
      <c r="O6" s="2412"/>
      <c r="P6" s="2413">
        <v>2</v>
      </c>
      <c r="Q6" s="2410">
        <f>SUM(O6:P6)</f>
        <v>2</v>
      </c>
      <c r="R6" s="2412"/>
      <c r="S6" s="2413">
        <v>1</v>
      </c>
      <c r="T6" s="2410">
        <f>SUM(R6:S6)</f>
        <v>1</v>
      </c>
      <c r="U6" s="2412"/>
      <c r="V6" s="2413">
        <v>1</v>
      </c>
      <c r="W6" s="2410">
        <f>SUM(U6:V6)</f>
        <v>1</v>
      </c>
      <c r="X6" s="2412"/>
      <c r="Y6" s="2413">
        <v>1</v>
      </c>
      <c r="Z6" s="2410">
        <f>SUM(X6:Y6)</f>
        <v>1</v>
      </c>
      <c r="AA6" s="2412"/>
      <c r="AB6" s="2413"/>
      <c r="AC6" s="2410"/>
    </row>
    <row r="7" spans="2:29" ht="15" customHeight="1" x14ac:dyDescent="0.3">
      <c r="B7" s="5646" t="s">
        <v>51</v>
      </c>
      <c r="C7" s="2407"/>
      <c r="D7" s="2408"/>
      <c r="E7" s="2410">
        <f t="shared" ref="E7:E63" si="2">SUM(C7:D7)</f>
        <v>0</v>
      </c>
      <c r="F7" s="2407"/>
      <c r="G7" s="2408">
        <v>1</v>
      </c>
      <c r="H7" s="2410">
        <f t="shared" ref="H7:H72" si="3">SUM(F7:G7)</f>
        <v>1</v>
      </c>
      <c r="I7" s="2407">
        <v>0</v>
      </c>
      <c r="J7" s="2408">
        <v>1</v>
      </c>
      <c r="K7" s="2410">
        <f t="shared" si="0"/>
        <v>1</v>
      </c>
      <c r="L7" s="2407"/>
      <c r="M7" s="2408"/>
      <c r="N7" s="2410">
        <f t="shared" si="1"/>
        <v>0</v>
      </c>
      <c r="O7" s="2407"/>
      <c r="P7" s="2408"/>
      <c r="Q7" s="2410"/>
      <c r="R7" s="2407"/>
      <c r="S7" s="2408"/>
      <c r="T7" s="2410"/>
      <c r="U7" s="2407"/>
      <c r="V7" s="2408"/>
      <c r="W7" s="2410"/>
      <c r="X7" s="2407"/>
      <c r="Y7" s="2408"/>
      <c r="Z7" s="2410"/>
      <c r="AA7" s="2407"/>
      <c r="AB7" s="2408"/>
      <c r="AC7" s="2410"/>
    </row>
    <row r="8" spans="2:29" ht="15" customHeight="1" x14ac:dyDescent="0.25">
      <c r="B8" s="2411" t="s">
        <v>53</v>
      </c>
      <c r="C8" s="2412"/>
      <c r="D8" s="2413">
        <v>1</v>
      </c>
      <c r="E8" s="2410">
        <f t="shared" si="2"/>
        <v>1</v>
      </c>
      <c r="F8" s="2412"/>
      <c r="G8" s="2413">
        <v>1</v>
      </c>
      <c r="H8" s="2410">
        <f t="shared" si="3"/>
        <v>1</v>
      </c>
      <c r="I8" s="2412">
        <v>0</v>
      </c>
      <c r="J8" s="2413">
        <v>1</v>
      </c>
      <c r="K8" s="2410">
        <f t="shared" si="0"/>
        <v>1</v>
      </c>
      <c r="L8" s="2412"/>
      <c r="M8" s="2413">
        <v>1</v>
      </c>
      <c r="N8" s="2410">
        <f t="shared" si="1"/>
        <v>1</v>
      </c>
      <c r="O8" s="2412"/>
      <c r="P8" s="2413"/>
      <c r="Q8" s="2410"/>
      <c r="R8" s="2412"/>
      <c r="S8" s="2413"/>
      <c r="T8" s="2410"/>
      <c r="U8" s="2412"/>
      <c r="V8" s="2413"/>
      <c r="W8" s="2410"/>
      <c r="X8" s="2412"/>
      <c r="Y8" s="2413"/>
      <c r="Z8" s="2410"/>
      <c r="AA8" s="2412"/>
      <c r="AB8" s="2413"/>
      <c r="AC8" s="2410"/>
    </row>
    <row r="9" spans="2:29" ht="15" customHeight="1" x14ac:dyDescent="0.25">
      <c r="B9" s="2411" t="s">
        <v>52</v>
      </c>
      <c r="C9" s="2412"/>
      <c r="D9" s="2413">
        <v>2</v>
      </c>
      <c r="E9" s="2410">
        <f t="shared" si="2"/>
        <v>2</v>
      </c>
      <c r="F9" s="2412"/>
      <c r="G9" s="2413">
        <v>1</v>
      </c>
      <c r="H9" s="2410">
        <f t="shared" si="3"/>
        <v>1</v>
      </c>
      <c r="I9" s="2412"/>
      <c r="J9" s="2413"/>
      <c r="K9" s="2410">
        <f t="shared" si="0"/>
        <v>0</v>
      </c>
      <c r="L9" s="2412"/>
      <c r="M9" s="2413"/>
      <c r="N9" s="2410">
        <f t="shared" si="1"/>
        <v>0</v>
      </c>
      <c r="O9" s="2412"/>
      <c r="P9" s="2413"/>
      <c r="Q9" s="2410"/>
      <c r="R9" s="2412"/>
      <c r="S9" s="2413"/>
      <c r="T9" s="2410"/>
      <c r="U9" s="2412"/>
      <c r="V9" s="2413"/>
      <c r="W9" s="2410"/>
      <c r="X9" s="2412"/>
      <c r="Y9" s="2413"/>
      <c r="Z9" s="2410"/>
      <c r="AA9" s="2412"/>
      <c r="AB9" s="2413"/>
      <c r="AC9" s="2410"/>
    </row>
    <row r="10" spans="2:29" ht="15" customHeight="1" x14ac:dyDescent="0.25">
      <c r="B10" s="2411" t="s">
        <v>55</v>
      </c>
      <c r="C10" s="2412">
        <v>1</v>
      </c>
      <c r="D10" s="2413"/>
      <c r="E10" s="2410">
        <f t="shared" si="2"/>
        <v>1</v>
      </c>
      <c r="F10" s="2412"/>
      <c r="G10" s="2413"/>
      <c r="H10" s="2410">
        <f t="shared" si="3"/>
        <v>0</v>
      </c>
      <c r="I10" s="2412"/>
      <c r="J10" s="2413"/>
      <c r="K10" s="2410">
        <f t="shared" si="0"/>
        <v>0</v>
      </c>
      <c r="L10" s="2412"/>
      <c r="M10" s="2413"/>
      <c r="N10" s="2410">
        <f t="shared" si="1"/>
        <v>0</v>
      </c>
      <c r="O10" s="2412"/>
      <c r="P10" s="2413"/>
      <c r="Q10" s="2410"/>
      <c r="R10" s="2412"/>
      <c r="S10" s="2413"/>
      <c r="T10" s="2410"/>
      <c r="U10" s="2412"/>
      <c r="V10" s="2413"/>
      <c r="W10" s="2410"/>
      <c r="X10" s="2412"/>
      <c r="Y10" s="2413"/>
      <c r="Z10" s="2410"/>
      <c r="AA10" s="2412"/>
      <c r="AB10" s="2413"/>
      <c r="AC10" s="2410"/>
    </row>
    <row r="11" spans="2:29" ht="15" customHeight="1" x14ac:dyDescent="0.25">
      <c r="B11" s="2411" t="s">
        <v>56</v>
      </c>
      <c r="C11" s="2412">
        <v>1</v>
      </c>
      <c r="D11" s="2413">
        <v>1</v>
      </c>
      <c r="E11" s="2410">
        <f t="shared" si="2"/>
        <v>2</v>
      </c>
      <c r="F11" s="2412">
        <v>1</v>
      </c>
      <c r="G11" s="2413">
        <v>1</v>
      </c>
      <c r="H11" s="2410">
        <f t="shared" si="3"/>
        <v>2</v>
      </c>
      <c r="I11" s="2412"/>
      <c r="J11" s="2413">
        <v>1</v>
      </c>
      <c r="K11" s="2410">
        <f t="shared" si="0"/>
        <v>1</v>
      </c>
      <c r="L11" s="2412"/>
      <c r="M11" s="2413">
        <v>1</v>
      </c>
      <c r="N11" s="2410">
        <f t="shared" si="1"/>
        <v>1</v>
      </c>
      <c r="O11" s="2412"/>
      <c r="P11" s="2413"/>
      <c r="Q11" s="2410"/>
      <c r="R11" s="2412"/>
      <c r="S11" s="2413"/>
      <c r="T11" s="2410"/>
      <c r="U11" s="2412"/>
      <c r="V11" s="2413"/>
      <c r="W11" s="2410"/>
      <c r="X11" s="2412"/>
      <c r="Y11" s="2413"/>
      <c r="Z11" s="2410"/>
      <c r="AA11" s="2412"/>
      <c r="AB11" s="2413"/>
      <c r="AC11" s="2410"/>
    </row>
    <row r="12" spans="2:29" ht="15" customHeight="1" x14ac:dyDescent="0.25">
      <c r="B12" s="2414" t="s">
        <v>59</v>
      </c>
      <c r="C12" s="2415">
        <f t="shared" ref="C12:H12" si="4">SUM(C6:C11)</f>
        <v>4</v>
      </c>
      <c r="D12" s="2416">
        <f t="shared" si="4"/>
        <v>5</v>
      </c>
      <c r="E12" s="2417">
        <f t="shared" si="4"/>
        <v>9</v>
      </c>
      <c r="F12" s="2415">
        <f t="shared" si="4"/>
        <v>3</v>
      </c>
      <c r="G12" s="2416">
        <f t="shared" si="4"/>
        <v>5</v>
      </c>
      <c r="H12" s="2417">
        <f t="shared" si="4"/>
        <v>8</v>
      </c>
      <c r="I12" s="2415">
        <f t="shared" ref="I12:W12" si="5">SUM(I5:I11)</f>
        <v>2</v>
      </c>
      <c r="J12" s="2416">
        <f t="shared" si="5"/>
        <v>5</v>
      </c>
      <c r="K12" s="2417">
        <f t="shared" si="5"/>
        <v>7</v>
      </c>
      <c r="L12" s="2415">
        <f t="shared" si="5"/>
        <v>1</v>
      </c>
      <c r="M12" s="2416">
        <f t="shared" si="5"/>
        <v>4</v>
      </c>
      <c r="N12" s="2417">
        <f t="shared" si="5"/>
        <v>5</v>
      </c>
      <c r="O12" s="2415">
        <f t="shared" si="5"/>
        <v>0</v>
      </c>
      <c r="P12" s="2416">
        <f t="shared" si="5"/>
        <v>2</v>
      </c>
      <c r="Q12" s="2417">
        <f t="shared" si="5"/>
        <v>2</v>
      </c>
      <c r="R12" s="2415">
        <f t="shared" si="5"/>
        <v>0</v>
      </c>
      <c r="S12" s="2416">
        <f t="shared" si="5"/>
        <v>1</v>
      </c>
      <c r="T12" s="2417">
        <f t="shared" si="5"/>
        <v>1</v>
      </c>
      <c r="U12" s="2415">
        <f t="shared" si="5"/>
        <v>0</v>
      </c>
      <c r="V12" s="2416">
        <f t="shared" si="5"/>
        <v>1</v>
      </c>
      <c r="W12" s="2417">
        <f t="shared" si="5"/>
        <v>1</v>
      </c>
      <c r="X12" s="2415">
        <f t="shared" ref="X12:Z12" si="6">SUM(X5:X11)</f>
        <v>0</v>
      </c>
      <c r="Y12" s="2416">
        <f t="shared" si="6"/>
        <v>1</v>
      </c>
      <c r="Z12" s="2417">
        <f t="shared" si="6"/>
        <v>1</v>
      </c>
      <c r="AA12" s="2415">
        <f t="shared" ref="AA12:AC12" si="7">SUM(AA5:AA11)</f>
        <v>0</v>
      </c>
      <c r="AB12" s="2416">
        <f t="shared" si="7"/>
        <v>0</v>
      </c>
      <c r="AC12" s="2417">
        <f t="shared" si="7"/>
        <v>0</v>
      </c>
    </row>
    <row r="13" spans="2:29" ht="15" customHeight="1" x14ac:dyDescent="0.25">
      <c r="B13" s="2411" t="s">
        <v>60</v>
      </c>
      <c r="C13" s="2412">
        <v>1</v>
      </c>
      <c r="D13" s="2413">
        <v>1</v>
      </c>
      <c r="E13" s="2410">
        <f t="shared" si="2"/>
        <v>2</v>
      </c>
      <c r="F13" s="2412">
        <v>1</v>
      </c>
      <c r="G13" s="2413">
        <v>1</v>
      </c>
      <c r="H13" s="2410">
        <f t="shared" si="3"/>
        <v>2</v>
      </c>
      <c r="I13" s="2412">
        <v>2</v>
      </c>
      <c r="J13" s="2413">
        <v>2</v>
      </c>
      <c r="K13" s="2410">
        <f>SUM(I13:J13)</f>
        <v>4</v>
      </c>
      <c r="L13" s="2412">
        <v>2</v>
      </c>
      <c r="M13" s="2413">
        <v>1</v>
      </c>
      <c r="N13" s="2410">
        <f>SUM(L13:M13)</f>
        <v>3</v>
      </c>
      <c r="O13" s="2412">
        <v>2</v>
      </c>
      <c r="P13" s="2413">
        <v>1</v>
      </c>
      <c r="Q13" s="2410">
        <f>SUM(O13:P13)</f>
        <v>3</v>
      </c>
      <c r="R13" s="2412"/>
      <c r="S13" s="2413"/>
      <c r="T13" s="2410"/>
      <c r="U13" s="2412"/>
      <c r="V13" s="2413"/>
      <c r="W13" s="2410"/>
      <c r="X13" s="2412"/>
      <c r="Y13" s="2413"/>
      <c r="Z13" s="2410"/>
      <c r="AA13" s="2412"/>
      <c r="AB13" s="2413"/>
      <c r="AC13" s="2410"/>
    </row>
    <row r="14" spans="2:29" ht="15" customHeight="1" x14ac:dyDescent="0.25">
      <c r="B14" s="2411" t="s">
        <v>61</v>
      </c>
      <c r="C14" s="2412">
        <v>6</v>
      </c>
      <c r="D14" s="2413">
        <v>1</v>
      </c>
      <c r="E14" s="2410">
        <f t="shared" si="2"/>
        <v>7</v>
      </c>
      <c r="F14" s="2412">
        <v>5</v>
      </c>
      <c r="G14" s="2413">
        <v>2</v>
      </c>
      <c r="H14" s="2410">
        <f t="shared" si="3"/>
        <v>7</v>
      </c>
      <c r="I14" s="2412">
        <v>3</v>
      </c>
      <c r="J14" s="2413">
        <v>1</v>
      </c>
      <c r="K14" s="2410">
        <f>SUM(I14:J14)</f>
        <v>4</v>
      </c>
      <c r="L14" s="2412">
        <v>3</v>
      </c>
      <c r="M14" s="2413"/>
      <c r="N14" s="2410">
        <f>SUM(L14:M14)</f>
        <v>3</v>
      </c>
      <c r="O14" s="2412">
        <v>3</v>
      </c>
      <c r="P14" s="2413"/>
      <c r="Q14" s="2410">
        <f>SUM(O14:P14)</f>
        <v>3</v>
      </c>
      <c r="R14" s="2412">
        <v>1</v>
      </c>
      <c r="S14" s="2413"/>
      <c r="T14" s="2410">
        <f>SUM(R14:S14)</f>
        <v>1</v>
      </c>
      <c r="U14" s="2412"/>
      <c r="V14" s="2413"/>
      <c r="W14" s="2410"/>
      <c r="X14" s="2412"/>
      <c r="Y14" s="2413"/>
      <c r="Z14" s="2410"/>
      <c r="AA14" s="2412"/>
      <c r="AB14" s="2413"/>
      <c r="AC14" s="2410"/>
    </row>
    <row r="15" spans="2:29" ht="15" customHeight="1" x14ac:dyDescent="0.25">
      <c r="B15" s="2411" t="s">
        <v>62</v>
      </c>
      <c r="C15" s="2412">
        <v>1</v>
      </c>
      <c r="D15" s="2413"/>
      <c r="E15" s="2410">
        <f t="shared" si="2"/>
        <v>1</v>
      </c>
      <c r="F15" s="2412"/>
      <c r="G15" s="2413"/>
      <c r="H15" s="2410">
        <f t="shared" si="3"/>
        <v>0</v>
      </c>
      <c r="I15" s="2412"/>
      <c r="J15" s="2413"/>
      <c r="K15" s="2410">
        <f>SUM(I15:J15)</f>
        <v>0</v>
      </c>
      <c r="L15" s="2412"/>
      <c r="M15" s="2413"/>
      <c r="N15" s="2410">
        <f>SUM(L15:M15)</f>
        <v>0</v>
      </c>
      <c r="O15" s="2412"/>
      <c r="P15" s="2413"/>
      <c r="Q15" s="2410"/>
      <c r="R15" s="2412"/>
      <c r="S15" s="2413"/>
      <c r="T15" s="2410"/>
      <c r="U15" s="2412"/>
      <c r="V15" s="2413"/>
      <c r="W15" s="2410"/>
      <c r="X15" s="2412"/>
      <c r="Y15" s="2413"/>
      <c r="Z15" s="2410"/>
      <c r="AA15" s="2412"/>
      <c r="AB15" s="2413"/>
      <c r="AC15" s="2410"/>
    </row>
    <row r="16" spans="2:29" ht="15" customHeight="1" x14ac:dyDescent="0.25">
      <c r="B16" s="2411" t="s">
        <v>63</v>
      </c>
      <c r="C16" s="2412">
        <v>1</v>
      </c>
      <c r="D16" s="2413">
        <v>1</v>
      </c>
      <c r="E16" s="2410">
        <f t="shared" si="2"/>
        <v>2</v>
      </c>
      <c r="F16" s="2412">
        <v>1</v>
      </c>
      <c r="G16" s="2413">
        <v>1</v>
      </c>
      <c r="H16" s="2410">
        <f t="shared" si="3"/>
        <v>2</v>
      </c>
      <c r="I16" s="2412"/>
      <c r="J16" s="2413">
        <v>2</v>
      </c>
      <c r="K16" s="2410">
        <f>SUM(I16:J16)</f>
        <v>2</v>
      </c>
      <c r="L16" s="2412"/>
      <c r="M16" s="2413">
        <v>1</v>
      </c>
      <c r="N16" s="2410">
        <f>SUM(L16:M16)</f>
        <v>1</v>
      </c>
      <c r="O16" s="2412"/>
      <c r="P16" s="2413"/>
      <c r="Q16" s="2410"/>
      <c r="R16" s="2412"/>
      <c r="S16" s="2413"/>
      <c r="T16" s="2410"/>
      <c r="U16" s="2412"/>
      <c r="V16" s="2413"/>
      <c r="W16" s="2410"/>
      <c r="X16" s="2412"/>
      <c r="Y16" s="2413"/>
      <c r="Z16" s="2410"/>
      <c r="AA16" s="2412"/>
      <c r="AB16" s="2413"/>
      <c r="AC16" s="2410"/>
    </row>
    <row r="17" spans="2:29" ht="15" customHeight="1" x14ac:dyDescent="0.25">
      <c r="B17" s="2418" t="s">
        <v>64</v>
      </c>
      <c r="C17" s="2419">
        <f t="shared" ref="C17:W17" si="8">SUM(C13:C16)</f>
        <v>9</v>
      </c>
      <c r="D17" s="2420">
        <f t="shared" si="8"/>
        <v>3</v>
      </c>
      <c r="E17" s="2421">
        <f t="shared" si="8"/>
        <v>12</v>
      </c>
      <c r="F17" s="2419">
        <f t="shared" si="8"/>
        <v>7</v>
      </c>
      <c r="G17" s="2420">
        <f t="shared" si="8"/>
        <v>4</v>
      </c>
      <c r="H17" s="2421">
        <f t="shared" si="8"/>
        <v>11</v>
      </c>
      <c r="I17" s="2419">
        <f t="shared" si="8"/>
        <v>5</v>
      </c>
      <c r="J17" s="2420">
        <f t="shared" si="8"/>
        <v>5</v>
      </c>
      <c r="K17" s="2421">
        <f t="shared" si="8"/>
        <v>10</v>
      </c>
      <c r="L17" s="2419">
        <f t="shared" si="8"/>
        <v>5</v>
      </c>
      <c r="M17" s="2420">
        <f t="shared" si="8"/>
        <v>2</v>
      </c>
      <c r="N17" s="2421">
        <f t="shared" si="8"/>
        <v>7</v>
      </c>
      <c r="O17" s="2419">
        <f t="shared" si="8"/>
        <v>5</v>
      </c>
      <c r="P17" s="2420">
        <f t="shared" si="8"/>
        <v>1</v>
      </c>
      <c r="Q17" s="2421">
        <f t="shared" si="8"/>
        <v>6</v>
      </c>
      <c r="R17" s="2419">
        <f t="shared" si="8"/>
        <v>1</v>
      </c>
      <c r="S17" s="2420">
        <f t="shared" si="8"/>
        <v>0</v>
      </c>
      <c r="T17" s="2421">
        <f t="shared" si="8"/>
        <v>1</v>
      </c>
      <c r="U17" s="2419">
        <f t="shared" si="8"/>
        <v>0</v>
      </c>
      <c r="V17" s="2420">
        <f t="shared" si="8"/>
        <v>0</v>
      </c>
      <c r="W17" s="2421">
        <f t="shared" si="8"/>
        <v>0</v>
      </c>
      <c r="X17" s="2419">
        <f t="shared" ref="X17:Z17" si="9">SUM(X13:X16)</f>
        <v>0</v>
      </c>
      <c r="Y17" s="2420">
        <f t="shared" si="9"/>
        <v>0</v>
      </c>
      <c r="Z17" s="2421">
        <f t="shared" si="9"/>
        <v>0</v>
      </c>
      <c r="AA17" s="2419">
        <f t="shared" ref="AA17:AC17" si="10">SUM(AA13:AA16)</f>
        <v>0</v>
      </c>
      <c r="AB17" s="2420">
        <f t="shared" si="10"/>
        <v>0</v>
      </c>
      <c r="AC17" s="2421">
        <f t="shared" si="10"/>
        <v>0</v>
      </c>
    </row>
    <row r="18" spans="2:29" ht="15" customHeight="1" x14ac:dyDescent="0.25">
      <c r="B18" s="2411" t="s">
        <v>66</v>
      </c>
      <c r="C18" s="2412"/>
      <c r="D18" s="2413"/>
      <c r="E18" s="2410"/>
      <c r="F18" s="2412"/>
      <c r="G18" s="2413"/>
      <c r="H18" s="2410"/>
      <c r="I18" s="2412">
        <v>1</v>
      </c>
      <c r="J18" s="2413"/>
      <c r="K18" s="2410">
        <f>SUM(I18:J18)</f>
        <v>1</v>
      </c>
      <c r="L18" s="2412">
        <v>1</v>
      </c>
      <c r="M18" s="2413"/>
      <c r="N18" s="2410">
        <f>SUM(L18:M18)</f>
        <v>1</v>
      </c>
      <c r="O18" s="2412">
        <v>1</v>
      </c>
      <c r="P18" s="2413"/>
      <c r="Q18" s="2410">
        <f>SUM(O18:P18)</f>
        <v>1</v>
      </c>
      <c r="R18" s="2412">
        <v>1</v>
      </c>
      <c r="S18" s="2413"/>
      <c r="T18" s="2410">
        <f>SUM(R18:S18)</f>
        <v>1</v>
      </c>
      <c r="U18" s="2412"/>
      <c r="V18" s="2413"/>
      <c r="W18" s="2410">
        <f>SUM(U18:V18)</f>
        <v>0</v>
      </c>
      <c r="X18" s="2412"/>
      <c r="Y18" s="2413"/>
      <c r="Z18" s="2410">
        <f>SUM(X18:Y18)</f>
        <v>0</v>
      </c>
      <c r="AA18" s="2412"/>
      <c r="AB18" s="2413"/>
      <c r="AC18" s="2410"/>
    </row>
    <row r="19" spans="2:29" ht="15" customHeight="1" x14ac:dyDescent="0.25">
      <c r="B19" s="5351" t="s">
        <v>67</v>
      </c>
      <c r="C19" s="5352"/>
      <c r="D19" s="5353"/>
      <c r="E19" s="5354"/>
      <c r="F19" s="5352"/>
      <c r="G19" s="5353"/>
      <c r="H19" s="5354"/>
      <c r="I19" s="5352"/>
      <c r="J19" s="5353"/>
      <c r="K19" s="5354"/>
      <c r="L19" s="5352"/>
      <c r="M19" s="5353"/>
      <c r="N19" s="5354"/>
      <c r="O19" s="5352"/>
      <c r="P19" s="5353"/>
      <c r="Q19" s="5354"/>
      <c r="R19" s="5352"/>
      <c r="S19" s="5353"/>
      <c r="T19" s="5354"/>
      <c r="U19" s="5352"/>
      <c r="V19" s="5353"/>
      <c r="W19" s="5354"/>
      <c r="X19" s="5352"/>
      <c r="Y19" s="5353"/>
      <c r="Z19" s="5354"/>
      <c r="AA19" s="5352"/>
      <c r="AB19" s="5353">
        <v>1</v>
      </c>
      <c r="AC19" s="2410">
        <f>SUM(AA19:AB19)</f>
        <v>1</v>
      </c>
    </row>
    <row r="20" spans="2:29" ht="15" customHeight="1" x14ac:dyDescent="0.25">
      <c r="B20" s="2422" t="s">
        <v>68</v>
      </c>
      <c r="C20" s="2423"/>
      <c r="D20" s="2424"/>
      <c r="E20" s="2425"/>
      <c r="F20" s="2423"/>
      <c r="G20" s="2424"/>
      <c r="H20" s="2425"/>
      <c r="I20" s="2423">
        <f t="shared" ref="I20:N20" si="11">SUM(I18)</f>
        <v>1</v>
      </c>
      <c r="J20" s="2424">
        <f t="shared" si="11"/>
        <v>0</v>
      </c>
      <c r="K20" s="2425">
        <f t="shared" si="11"/>
        <v>1</v>
      </c>
      <c r="L20" s="2423">
        <f t="shared" si="11"/>
        <v>1</v>
      </c>
      <c r="M20" s="2424">
        <f t="shared" si="11"/>
        <v>0</v>
      </c>
      <c r="N20" s="2425">
        <f t="shared" si="11"/>
        <v>1</v>
      </c>
      <c r="O20" s="2423">
        <f t="shared" ref="O20:W20" si="12">SUM(O18)</f>
        <v>1</v>
      </c>
      <c r="P20" s="2424">
        <f t="shared" si="12"/>
        <v>0</v>
      </c>
      <c r="Q20" s="2425">
        <f t="shared" si="12"/>
        <v>1</v>
      </c>
      <c r="R20" s="2423">
        <f t="shared" si="12"/>
        <v>1</v>
      </c>
      <c r="S20" s="2424">
        <f t="shared" si="12"/>
        <v>0</v>
      </c>
      <c r="T20" s="2425">
        <f t="shared" si="12"/>
        <v>1</v>
      </c>
      <c r="U20" s="2423">
        <f t="shared" si="12"/>
        <v>0</v>
      </c>
      <c r="V20" s="2424">
        <f t="shared" si="12"/>
        <v>0</v>
      </c>
      <c r="W20" s="2425">
        <f t="shared" si="12"/>
        <v>0</v>
      </c>
      <c r="X20" s="2423">
        <f t="shared" ref="X20:Z20" si="13">SUM(X18)</f>
        <v>0</v>
      </c>
      <c r="Y20" s="2424">
        <f t="shared" si="13"/>
        <v>0</v>
      </c>
      <c r="Z20" s="2425">
        <f t="shared" si="13"/>
        <v>0</v>
      </c>
      <c r="AA20" s="2423">
        <f>SUM(AA18:AA19)</f>
        <v>0</v>
      </c>
      <c r="AB20" s="2424">
        <f>SUM(AB18:AB19)</f>
        <v>1</v>
      </c>
      <c r="AC20" s="2425">
        <f>SUM(AC18:AC19)</f>
        <v>1</v>
      </c>
    </row>
    <row r="21" spans="2:29" ht="15" customHeight="1" x14ac:dyDescent="0.25">
      <c r="B21" s="5647" t="s">
        <v>69</v>
      </c>
      <c r="C21" s="2427">
        <f t="shared" ref="C21:H21" si="14">SUM(C17,C12)</f>
        <v>13</v>
      </c>
      <c r="D21" s="2428">
        <f t="shared" si="14"/>
        <v>8</v>
      </c>
      <c r="E21" s="2429">
        <f t="shared" si="14"/>
        <v>21</v>
      </c>
      <c r="F21" s="2427">
        <f t="shared" si="14"/>
        <v>10</v>
      </c>
      <c r="G21" s="2428">
        <f t="shared" si="14"/>
        <v>9</v>
      </c>
      <c r="H21" s="2429">
        <f t="shared" si="14"/>
        <v>19</v>
      </c>
      <c r="I21" s="2427">
        <f>SUM(I20,I17,I12)</f>
        <v>8</v>
      </c>
      <c r="J21" s="2428">
        <f>SUM(J20,J17,J12)</f>
        <v>10</v>
      </c>
      <c r="K21" s="2429">
        <f>SUM(K12,K17,K20)</f>
        <v>18</v>
      </c>
      <c r="L21" s="2427">
        <f>SUM(L20,L17,L12)</f>
        <v>7</v>
      </c>
      <c r="M21" s="2428">
        <f>SUM(M20,M17,M12)</f>
        <v>6</v>
      </c>
      <c r="N21" s="2429">
        <f>SUM(N12,N17,N20)</f>
        <v>13</v>
      </c>
      <c r="O21" s="2427">
        <f>SUM(O20,O17,O12)</f>
        <v>6</v>
      </c>
      <c r="P21" s="2428">
        <f>SUM(P20,P17,P12)</f>
        <v>3</v>
      </c>
      <c r="Q21" s="2429">
        <f>SUM(Q12,Q17,Q20)</f>
        <v>9</v>
      </c>
      <c r="R21" s="2427">
        <f>SUM(R20,R17,R12)</f>
        <v>2</v>
      </c>
      <c r="S21" s="2428">
        <f>SUM(S20,S17,S12)</f>
        <v>1</v>
      </c>
      <c r="T21" s="2429">
        <f>SUM(T12,T17,T20)</f>
        <v>3</v>
      </c>
      <c r="U21" s="2427">
        <f>SUM(U20,U17,U12)</f>
        <v>0</v>
      </c>
      <c r="V21" s="2428">
        <f>SUM(V20,V17,V12)</f>
        <v>1</v>
      </c>
      <c r="W21" s="2429">
        <f>SUM(W12,W17,W20)</f>
        <v>1</v>
      </c>
      <c r="X21" s="2427">
        <f>SUM(X20,X17,X12)</f>
        <v>0</v>
      </c>
      <c r="Y21" s="2428">
        <f>SUM(Y20,Y17,Y12)</f>
        <v>1</v>
      </c>
      <c r="Z21" s="2429">
        <f>SUM(Z12,Z17,Z20)</f>
        <v>1</v>
      </c>
      <c r="AA21" s="2427">
        <f>SUM(AA20,AA17,AA12)</f>
        <v>0</v>
      </c>
      <c r="AB21" s="2428">
        <f>SUM(AB20,AB17,AB12)</f>
        <v>1</v>
      </c>
      <c r="AC21" s="2429">
        <f>SUM(AC12,AC17,AC20)</f>
        <v>1</v>
      </c>
    </row>
    <row r="22" spans="2:29" ht="14.25" customHeight="1" x14ac:dyDescent="0.25">
      <c r="B22" s="2430" t="s">
        <v>76</v>
      </c>
      <c r="C22" s="2407">
        <v>1</v>
      </c>
      <c r="D22" s="2408"/>
      <c r="E22" s="2409">
        <f t="shared" si="2"/>
        <v>1</v>
      </c>
      <c r="F22" s="2407"/>
      <c r="G22" s="2408"/>
      <c r="H22" s="2409">
        <f t="shared" si="3"/>
        <v>0</v>
      </c>
      <c r="I22" s="2407"/>
      <c r="J22" s="2408"/>
      <c r="K22" s="2409">
        <f>SUM(I22:J22)</f>
        <v>0</v>
      </c>
      <c r="L22" s="2407"/>
      <c r="M22" s="2408"/>
      <c r="N22" s="2409">
        <f>SUM(L22:M22)</f>
        <v>0</v>
      </c>
      <c r="O22" s="2407"/>
      <c r="P22" s="2408"/>
      <c r="Q22" s="2409"/>
      <c r="R22" s="2407"/>
      <c r="S22" s="2408"/>
      <c r="T22" s="2409"/>
      <c r="U22" s="2407"/>
      <c r="V22" s="2408"/>
      <c r="W22" s="2409"/>
      <c r="X22" s="2407"/>
      <c r="Y22" s="2408"/>
      <c r="Z22" s="2409"/>
      <c r="AA22" s="2407"/>
      <c r="AB22" s="2408"/>
      <c r="AC22" s="2409"/>
    </row>
    <row r="23" spans="2:29" ht="15" customHeight="1" x14ac:dyDescent="0.25">
      <c r="B23" s="2430" t="s">
        <v>70</v>
      </c>
      <c r="C23" s="2407"/>
      <c r="D23" s="2408"/>
      <c r="E23" s="2409"/>
      <c r="F23" s="2407"/>
      <c r="G23" s="2408"/>
      <c r="H23" s="2409"/>
      <c r="I23" s="2407"/>
      <c r="J23" s="2408"/>
      <c r="K23" s="2409"/>
      <c r="L23" s="2407"/>
      <c r="M23" s="2408"/>
      <c r="N23" s="2409"/>
      <c r="O23" s="2407"/>
      <c r="P23" s="2408">
        <v>1</v>
      </c>
      <c r="Q23" s="2410">
        <f>SUM(O23:P23)</f>
        <v>1</v>
      </c>
      <c r="R23" s="2407"/>
      <c r="S23" s="2408">
        <v>1</v>
      </c>
      <c r="T23" s="2410">
        <f>SUM(R23:S23)</f>
        <v>1</v>
      </c>
      <c r="U23" s="2407"/>
      <c r="V23" s="2408">
        <v>1</v>
      </c>
      <c r="W23" s="2410">
        <f>SUM(U23:V23)</f>
        <v>1</v>
      </c>
      <c r="X23" s="2407"/>
      <c r="Y23" s="2408">
        <v>1</v>
      </c>
      <c r="Z23" s="2410">
        <f>SUM(X23:Y23)</f>
        <v>1</v>
      </c>
      <c r="AA23" s="2407"/>
      <c r="AB23" s="2408">
        <v>1</v>
      </c>
      <c r="AC23" s="2410">
        <f>SUM(AA23:AB23)</f>
        <v>1</v>
      </c>
    </row>
    <row r="24" spans="2:29" ht="15" customHeight="1" x14ac:dyDescent="0.25">
      <c r="B24" s="2411" t="s">
        <v>57</v>
      </c>
      <c r="C24" s="2412"/>
      <c r="D24" s="2413">
        <v>1</v>
      </c>
      <c r="E24" s="2410">
        <f t="shared" si="2"/>
        <v>1</v>
      </c>
      <c r="F24" s="2412"/>
      <c r="G24" s="2413">
        <v>1</v>
      </c>
      <c r="H24" s="2410">
        <f t="shared" si="3"/>
        <v>1</v>
      </c>
      <c r="I24" s="2412"/>
      <c r="J24" s="2413">
        <v>1</v>
      </c>
      <c r="K24" s="2410">
        <f>SUM(I24:J24)</f>
        <v>1</v>
      </c>
      <c r="L24" s="2412"/>
      <c r="M24" s="2413"/>
      <c r="N24" s="2410">
        <f>SUM(L24:M24)</f>
        <v>0</v>
      </c>
      <c r="O24" s="2412"/>
      <c r="P24" s="2413"/>
      <c r="Q24" s="2410"/>
      <c r="R24" s="2412"/>
      <c r="S24" s="2413"/>
      <c r="T24" s="2410"/>
      <c r="U24" s="2412"/>
      <c r="V24" s="2413"/>
      <c r="W24" s="2410"/>
      <c r="X24" s="2412"/>
      <c r="Y24" s="2413"/>
      <c r="Z24" s="2410"/>
      <c r="AA24" s="2412"/>
      <c r="AB24" s="2413"/>
      <c r="AC24" s="2410"/>
    </row>
    <row r="25" spans="2:29" ht="15" customHeight="1" x14ac:dyDescent="0.25">
      <c r="B25" s="2411" t="s">
        <v>72</v>
      </c>
      <c r="C25" s="2412"/>
      <c r="D25" s="2413">
        <v>2</v>
      </c>
      <c r="E25" s="2410">
        <f t="shared" si="2"/>
        <v>2</v>
      </c>
      <c r="F25" s="2412"/>
      <c r="G25" s="2413"/>
      <c r="H25" s="2410">
        <f t="shared" si="3"/>
        <v>0</v>
      </c>
      <c r="I25" s="2412"/>
      <c r="J25" s="2413"/>
      <c r="K25" s="2410">
        <f>SUM(I25:J25)</f>
        <v>0</v>
      </c>
      <c r="L25" s="2412"/>
      <c r="M25" s="2413"/>
      <c r="N25" s="2410">
        <f>SUM(L25:M25)</f>
        <v>0</v>
      </c>
      <c r="O25" s="2412"/>
      <c r="P25" s="2413"/>
      <c r="Q25" s="2410"/>
      <c r="R25" s="2412"/>
      <c r="S25" s="2413"/>
      <c r="T25" s="2410"/>
      <c r="U25" s="2412"/>
      <c r="V25" s="2413"/>
      <c r="W25" s="2410"/>
      <c r="X25" s="2412"/>
      <c r="Y25" s="2413"/>
      <c r="Z25" s="2410"/>
      <c r="AA25" s="2412"/>
      <c r="AB25" s="2413"/>
      <c r="AC25" s="2410"/>
    </row>
    <row r="26" spans="2:29" ht="15" customHeight="1" x14ac:dyDescent="0.25">
      <c r="B26" s="2411" t="s">
        <v>56</v>
      </c>
      <c r="C26" s="2412"/>
      <c r="D26" s="2413">
        <v>1</v>
      </c>
      <c r="E26" s="2410">
        <f t="shared" si="2"/>
        <v>1</v>
      </c>
      <c r="F26" s="2412"/>
      <c r="G26" s="2413">
        <v>1</v>
      </c>
      <c r="H26" s="2410">
        <f t="shared" si="3"/>
        <v>1</v>
      </c>
      <c r="I26" s="2412"/>
      <c r="J26" s="2413">
        <v>1</v>
      </c>
      <c r="K26" s="2410">
        <f>SUM(I26:J26)</f>
        <v>1</v>
      </c>
      <c r="L26" s="2412"/>
      <c r="M26" s="2413"/>
      <c r="N26" s="2410">
        <f>SUM(L26:M26)</f>
        <v>0</v>
      </c>
      <c r="O26" s="2412"/>
      <c r="P26" s="2413"/>
      <c r="Q26" s="2410"/>
      <c r="R26" s="2412"/>
      <c r="S26" s="2413"/>
      <c r="T26" s="2410"/>
      <c r="U26" s="2412"/>
      <c r="V26" s="2413"/>
      <c r="W26" s="2410"/>
      <c r="X26" s="2412"/>
      <c r="Y26" s="2413"/>
      <c r="Z26" s="2410"/>
      <c r="AA26" s="2412"/>
      <c r="AB26" s="2413"/>
      <c r="AC26" s="2410"/>
    </row>
    <row r="27" spans="2:29" ht="15" customHeight="1" x14ac:dyDescent="0.25">
      <c r="B27" s="2411" t="s">
        <v>74</v>
      </c>
      <c r="C27" s="2412">
        <v>1</v>
      </c>
      <c r="D27" s="2413">
        <v>1</v>
      </c>
      <c r="E27" s="2410">
        <f t="shared" si="2"/>
        <v>2</v>
      </c>
      <c r="F27" s="2412">
        <v>1</v>
      </c>
      <c r="G27" s="2413"/>
      <c r="H27" s="2410">
        <f t="shared" si="3"/>
        <v>1</v>
      </c>
      <c r="I27" s="2412"/>
      <c r="J27" s="2413"/>
      <c r="K27" s="2410">
        <f>SUM(I27:J27)</f>
        <v>0</v>
      </c>
      <c r="L27" s="2412"/>
      <c r="M27" s="2413"/>
      <c r="N27" s="2410">
        <f>SUM(L27:M27)</f>
        <v>0</v>
      </c>
      <c r="O27" s="2412"/>
      <c r="P27" s="2413"/>
      <c r="Q27" s="2410"/>
      <c r="R27" s="2412"/>
      <c r="S27" s="2413"/>
      <c r="T27" s="2410"/>
      <c r="U27" s="2412"/>
      <c r="V27" s="2413"/>
      <c r="W27" s="2410"/>
      <c r="X27" s="2412"/>
      <c r="Y27" s="2413"/>
      <c r="Z27" s="2410"/>
      <c r="AA27" s="2412"/>
      <c r="AB27" s="2413"/>
      <c r="AC27" s="2410"/>
    </row>
    <row r="28" spans="2:29" ht="15" customHeight="1" x14ac:dyDescent="0.25">
      <c r="B28" s="2414" t="s">
        <v>59</v>
      </c>
      <c r="C28" s="2415">
        <f t="shared" ref="C28:W28" si="15">SUM(C22:C27)</f>
        <v>2</v>
      </c>
      <c r="D28" s="2416">
        <f t="shared" si="15"/>
        <v>5</v>
      </c>
      <c r="E28" s="2417">
        <f t="shared" si="15"/>
        <v>7</v>
      </c>
      <c r="F28" s="2415">
        <f t="shared" si="15"/>
        <v>1</v>
      </c>
      <c r="G28" s="2416">
        <f t="shared" si="15"/>
        <v>2</v>
      </c>
      <c r="H28" s="2417">
        <f t="shared" si="15"/>
        <v>3</v>
      </c>
      <c r="I28" s="2415">
        <f t="shared" si="15"/>
        <v>0</v>
      </c>
      <c r="J28" s="2416">
        <f t="shared" si="15"/>
        <v>2</v>
      </c>
      <c r="K28" s="2417">
        <f t="shared" si="15"/>
        <v>2</v>
      </c>
      <c r="L28" s="2415">
        <f t="shared" si="15"/>
        <v>0</v>
      </c>
      <c r="M28" s="2416">
        <f t="shared" si="15"/>
        <v>0</v>
      </c>
      <c r="N28" s="2417">
        <f t="shared" si="15"/>
        <v>0</v>
      </c>
      <c r="O28" s="2415">
        <f t="shared" si="15"/>
        <v>0</v>
      </c>
      <c r="P28" s="2416">
        <f t="shared" si="15"/>
        <v>1</v>
      </c>
      <c r="Q28" s="2417">
        <f t="shared" si="15"/>
        <v>1</v>
      </c>
      <c r="R28" s="2415">
        <f t="shared" si="15"/>
        <v>0</v>
      </c>
      <c r="S28" s="2416">
        <f t="shared" si="15"/>
        <v>1</v>
      </c>
      <c r="T28" s="2417">
        <f t="shared" si="15"/>
        <v>1</v>
      </c>
      <c r="U28" s="2415">
        <f t="shared" si="15"/>
        <v>0</v>
      </c>
      <c r="V28" s="2416">
        <f t="shared" si="15"/>
        <v>1</v>
      </c>
      <c r="W28" s="2417">
        <f t="shared" si="15"/>
        <v>1</v>
      </c>
      <c r="X28" s="2415">
        <f t="shared" ref="X28:Z28" si="16">SUM(X22:X27)</f>
        <v>0</v>
      </c>
      <c r="Y28" s="2416">
        <f t="shared" si="16"/>
        <v>1</v>
      </c>
      <c r="Z28" s="2417">
        <f t="shared" si="16"/>
        <v>1</v>
      </c>
      <c r="AA28" s="2415">
        <f t="shared" ref="AA28:AC28" si="17">SUM(AA22:AA27)</f>
        <v>0</v>
      </c>
      <c r="AB28" s="2416">
        <f t="shared" si="17"/>
        <v>1</v>
      </c>
      <c r="AC28" s="2417">
        <f t="shared" si="17"/>
        <v>1</v>
      </c>
    </row>
    <row r="29" spans="2:29" ht="15" customHeight="1" x14ac:dyDescent="0.25">
      <c r="B29" s="2411" t="s">
        <v>60</v>
      </c>
      <c r="C29" s="2412">
        <v>1</v>
      </c>
      <c r="D29" s="2413"/>
      <c r="E29" s="2410">
        <f t="shared" ref="E29:E36" si="18">SUM(C29:D29)</f>
        <v>1</v>
      </c>
      <c r="F29" s="2412">
        <v>2</v>
      </c>
      <c r="G29" s="2413"/>
      <c r="H29" s="2410">
        <f t="shared" si="3"/>
        <v>2</v>
      </c>
      <c r="I29" s="2412">
        <v>1</v>
      </c>
      <c r="J29" s="2413"/>
      <c r="K29" s="2410">
        <f t="shared" ref="K29:K36" si="19">SUM(I29:J29)</f>
        <v>1</v>
      </c>
      <c r="L29" s="2412">
        <v>1</v>
      </c>
      <c r="M29" s="2413"/>
      <c r="N29" s="2410">
        <f t="shared" ref="N29:N36" si="20">SUM(L29:M29)</f>
        <v>1</v>
      </c>
      <c r="O29" s="2412">
        <v>1</v>
      </c>
      <c r="P29" s="2413"/>
      <c r="Q29" s="2410">
        <f t="shared" ref="Q29:Q36" si="21">SUM(O29:P29)</f>
        <v>1</v>
      </c>
      <c r="R29" s="2412">
        <v>1</v>
      </c>
      <c r="S29" s="2413"/>
      <c r="T29" s="2410">
        <f>SUM(R29:S29)</f>
        <v>1</v>
      </c>
      <c r="U29" s="2412">
        <v>1</v>
      </c>
      <c r="V29" s="2413"/>
      <c r="W29" s="2410">
        <f>SUM(U29:V29)</f>
        <v>1</v>
      </c>
      <c r="X29" s="2412">
        <v>1</v>
      </c>
      <c r="Y29" s="2413"/>
      <c r="Z29" s="2410">
        <f>SUM(X29:Y29)</f>
        <v>1</v>
      </c>
      <c r="AA29" s="2412">
        <v>2</v>
      </c>
      <c r="AB29" s="2413"/>
      <c r="AC29" s="2410">
        <f>SUM(AA29:AB29)</f>
        <v>2</v>
      </c>
    </row>
    <row r="30" spans="2:29" ht="15" customHeight="1" x14ac:dyDescent="0.25">
      <c r="B30" s="2411" t="s">
        <v>78</v>
      </c>
      <c r="C30" s="2412"/>
      <c r="D30" s="2413"/>
      <c r="E30" s="2410">
        <f t="shared" si="18"/>
        <v>0</v>
      </c>
      <c r="F30" s="2412">
        <v>1</v>
      </c>
      <c r="G30" s="2413"/>
      <c r="H30" s="2410">
        <f t="shared" si="3"/>
        <v>1</v>
      </c>
      <c r="I30" s="2412">
        <v>1</v>
      </c>
      <c r="J30" s="2413"/>
      <c r="K30" s="2410">
        <f t="shared" si="19"/>
        <v>1</v>
      </c>
      <c r="L30" s="2412">
        <v>1</v>
      </c>
      <c r="M30" s="2413"/>
      <c r="N30" s="2410">
        <f t="shared" si="20"/>
        <v>1</v>
      </c>
      <c r="O30" s="2412"/>
      <c r="P30" s="2413"/>
      <c r="Q30" s="2410"/>
      <c r="R30" s="2412"/>
      <c r="S30" s="2413"/>
      <c r="T30" s="2410"/>
      <c r="U30" s="2412"/>
      <c r="V30" s="2413"/>
      <c r="W30" s="2410"/>
      <c r="X30" s="2412">
        <v>1</v>
      </c>
      <c r="Y30" s="2413"/>
      <c r="Z30" s="2410">
        <f>SUM(X30:Y30)</f>
        <v>1</v>
      </c>
      <c r="AA30" s="2412"/>
      <c r="AB30" s="2413"/>
      <c r="AC30" s="2410"/>
    </row>
    <row r="31" spans="2:29" ht="15" customHeight="1" x14ac:dyDescent="0.25">
      <c r="B31" s="2411" t="s">
        <v>83</v>
      </c>
      <c r="C31" s="2412"/>
      <c r="D31" s="2413"/>
      <c r="E31" s="2410"/>
      <c r="F31" s="2412"/>
      <c r="G31" s="2413"/>
      <c r="H31" s="2410"/>
      <c r="I31" s="2412"/>
      <c r="J31" s="2413"/>
      <c r="K31" s="2410"/>
      <c r="L31" s="2412"/>
      <c r="M31" s="2413"/>
      <c r="N31" s="2410"/>
      <c r="O31" s="2412"/>
      <c r="P31" s="2413"/>
      <c r="Q31" s="2410"/>
      <c r="R31" s="2412"/>
      <c r="S31" s="2413"/>
      <c r="T31" s="2410"/>
      <c r="U31" s="2412"/>
      <c r="V31" s="2413"/>
      <c r="W31" s="2410"/>
      <c r="X31" s="2412"/>
      <c r="Y31" s="2413"/>
      <c r="Z31" s="2410"/>
      <c r="AA31" s="2412"/>
      <c r="AB31" s="2413">
        <v>1</v>
      </c>
      <c r="AC31" s="2410">
        <f>SUM(AA31:AB31)</f>
        <v>1</v>
      </c>
    </row>
    <row r="32" spans="2:29" ht="15" customHeight="1" x14ac:dyDescent="0.25">
      <c r="B32" s="2411" t="s">
        <v>62</v>
      </c>
      <c r="C32" s="2412">
        <v>1</v>
      </c>
      <c r="D32" s="2413"/>
      <c r="E32" s="2410">
        <f t="shared" si="18"/>
        <v>1</v>
      </c>
      <c r="F32" s="2412">
        <v>1</v>
      </c>
      <c r="G32" s="2413"/>
      <c r="H32" s="2410">
        <f t="shared" si="3"/>
        <v>1</v>
      </c>
      <c r="I32" s="2412"/>
      <c r="J32" s="2413"/>
      <c r="K32" s="2410">
        <f t="shared" si="19"/>
        <v>0</v>
      </c>
      <c r="L32" s="2412"/>
      <c r="M32" s="2413"/>
      <c r="N32" s="2410">
        <f t="shared" si="20"/>
        <v>0</v>
      </c>
      <c r="O32" s="2412"/>
      <c r="P32" s="2413"/>
      <c r="Q32" s="2410"/>
      <c r="R32" s="2412"/>
      <c r="S32" s="2413"/>
      <c r="T32" s="2410"/>
      <c r="U32" s="2412"/>
      <c r="V32" s="2413"/>
      <c r="W32" s="2410"/>
      <c r="X32" s="2412"/>
      <c r="Y32" s="2413"/>
      <c r="Z32" s="2410"/>
      <c r="AA32" s="2412"/>
      <c r="AB32" s="2413"/>
      <c r="AC32" s="2410"/>
    </row>
    <row r="33" spans="2:29" ht="15" customHeight="1" x14ac:dyDescent="0.25">
      <c r="B33" s="2411" t="s">
        <v>81</v>
      </c>
      <c r="C33" s="2412"/>
      <c r="D33" s="2413">
        <v>1</v>
      </c>
      <c r="E33" s="2410">
        <f t="shared" si="18"/>
        <v>1</v>
      </c>
      <c r="F33" s="2412"/>
      <c r="G33" s="2413">
        <v>1</v>
      </c>
      <c r="H33" s="2410">
        <f t="shared" si="3"/>
        <v>1</v>
      </c>
      <c r="I33" s="2412"/>
      <c r="J33" s="2413">
        <v>1</v>
      </c>
      <c r="K33" s="2410">
        <f t="shared" si="19"/>
        <v>1</v>
      </c>
      <c r="L33" s="2412"/>
      <c r="M33" s="2413">
        <v>1</v>
      </c>
      <c r="N33" s="2410">
        <f t="shared" si="20"/>
        <v>1</v>
      </c>
      <c r="O33" s="2412"/>
      <c r="P33" s="2413">
        <v>1</v>
      </c>
      <c r="Q33" s="2410">
        <f t="shared" si="21"/>
        <v>1</v>
      </c>
      <c r="R33" s="2412"/>
      <c r="S33" s="2413"/>
      <c r="T33" s="2410"/>
      <c r="U33" s="2412"/>
      <c r="V33" s="2413"/>
      <c r="W33" s="2410"/>
      <c r="X33" s="2412"/>
      <c r="Y33" s="2413"/>
      <c r="Z33" s="2410"/>
      <c r="AA33" s="2412"/>
      <c r="AB33" s="2413"/>
      <c r="AC33" s="2410"/>
    </row>
    <row r="34" spans="2:29" ht="15" customHeight="1" x14ac:dyDescent="0.25">
      <c r="B34" s="2411" t="s">
        <v>79</v>
      </c>
      <c r="C34" s="2412"/>
      <c r="D34" s="2413"/>
      <c r="E34" s="2410"/>
      <c r="F34" s="2412"/>
      <c r="G34" s="2413"/>
      <c r="H34" s="2410"/>
      <c r="I34" s="2412"/>
      <c r="J34" s="2413"/>
      <c r="K34" s="2410"/>
      <c r="L34" s="2412"/>
      <c r="M34" s="2413"/>
      <c r="N34" s="2410">
        <f t="shared" si="20"/>
        <v>0</v>
      </c>
      <c r="O34" s="2412">
        <v>1</v>
      </c>
      <c r="P34" s="2413"/>
      <c r="Q34" s="2410">
        <f t="shared" si="21"/>
        <v>1</v>
      </c>
      <c r="R34" s="2412"/>
      <c r="S34" s="2413"/>
      <c r="T34" s="2410"/>
      <c r="U34" s="2412"/>
      <c r="V34" s="2413"/>
      <c r="W34" s="2410"/>
      <c r="X34" s="2412"/>
      <c r="Y34" s="2413"/>
      <c r="Z34" s="2410"/>
      <c r="AA34" s="2412"/>
      <c r="AB34" s="2413"/>
      <c r="AC34" s="2410"/>
    </row>
    <row r="35" spans="2:29" ht="15" customHeight="1" x14ac:dyDescent="0.25">
      <c r="B35" s="2411" t="s">
        <v>82</v>
      </c>
      <c r="C35" s="2412">
        <v>1</v>
      </c>
      <c r="D35" s="2413"/>
      <c r="E35" s="2410">
        <f t="shared" si="18"/>
        <v>1</v>
      </c>
      <c r="F35" s="2412">
        <v>1</v>
      </c>
      <c r="G35" s="2413"/>
      <c r="H35" s="2410">
        <f t="shared" si="3"/>
        <v>1</v>
      </c>
      <c r="I35" s="2412">
        <v>1</v>
      </c>
      <c r="J35" s="2413"/>
      <c r="K35" s="2410">
        <f t="shared" si="19"/>
        <v>1</v>
      </c>
      <c r="L35" s="2412">
        <v>1</v>
      </c>
      <c r="M35" s="2413"/>
      <c r="N35" s="2410">
        <f t="shared" si="20"/>
        <v>1</v>
      </c>
      <c r="O35" s="2412"/>
      <c r="P35" s="2413"/>
      <c r="Q35" s="2410"/>
      <c r="R35" s="2412"/>
      <c r="S35" s="2413"/>
      <c r="T35" s="2410"/>
      <c r="U35" s="2412"/>
      <c r="V35" s="2413"/>
      <c r="W35" s="2410"/>
      <c r="X35" s="2412"/>
      <c r="Y35" s="2413"/>
      <c r="Z35" s="2410"/>
      <c r="AA35" s="2412"/>
      <c r="AB35" s="2413"/>
      <c r="AC35" s="2410"/>
    </row>
    <row r="36" spans="2:29" ht="15" customHeight="1" x14ac:dyDescent="0.25">
      <c r="B36" s="2411" t="s">
        <v>84</v>
      </c>
      <c r="C36" s="2412"/>
      <c r="D36" s="2413">
        <v>1</v>
      </c>
      <c r="E36" s="2410">
        <f t="shared" si="18"/>
        <v>1</v>
      </c>
      <c r="F36" s="2412"/>
      <c r="G36" s="2413">
        <v>1</v>
      </c>
      <c r="H36" s="2410">
        <f t="shared" si="3"/>
        <v>1</v>
      </c>
      <c r="I36" s="2412"/>
      <c r="J36" s="2413">
        <v>1</v>
      </c>
      <c r="K36" s="2410">
        <f t="shared" si="19"/>
        <v>1</v>
      </c>
      <c r="L36" s="2412"/>
      <c r="M36" s="2413">
        <v>1</v>
      </c>
      <c r="N36" s="2410">
        <f t="shared" si="20"/>
        <v>1</v>
      </c>
      <c r="O36" s="2412"/>
      <c r="P36" s="2413">
        <v>1</v>
      </c>
      <c r="Q36" s="2410">
        <f t="shared" si="21"/>
        <v>1</v>
      </c>
      <c r="R36" s="2412"/>
      <c r="S36" s="2413"/>
      <c r="T36" s="2410"/>
      <c r="U36" s="2412"/>
      <c r="V36" s="2413"/>
      <c r="W36" s="2410"/>
      <c r="X36" s="2412"/>
      <c r="Y36" s="2413"/>
      <c r="Z36" s="2410"/>
      <c r="AA36" s="2412">
        <v>1</v>
      </c>
      <c r="AB36" s="2413"/>
      <c r="AC36" s="2410">
        <f t="shared" ref="AC36" si="22">SUM(AA36:AB36)</f>
        <v>1</v>
      </c>
    </row>
    <row r="37" spans="2:29" ht="15" customHeight="1" x14ac:dyDescent="0.25">
      <c r="B37" s="2414" t="s">
        <v>64</v>
      </c>
      <c r="C37" s="2415">
        <f t="shared" ref="C37:W37" si="23">SUM(C29:C36)</f>
        <v>3</v>
      </c>
      <c r="D37" s="2416">
        <f t="shared" si="23"/>
        <v>2</v>
      </c>
      <c r="E37" s="2417">
        <f t="shared" si="23"/>
        <v>5</v>
      </c>
      <c r="F37" s="2415">
        <f t="shared" si="23"/>
        <v>5</v>
      </c>
      <c r="G37" s="2416">
        <f t="shared" si="23"/>
        <v>2</v>
      </c>
      <c r="H37" s="2417">
        <f t="shared" si="23"/>
        <v>7</v>
      </c>
      <c r="I37" s="2415">
        <f t="shared" si="23"/>
        <v>3</v>
      </c>
      <c r="J37" s="2416">
        <f t="shared" si="23"/>
        <v>2</v>
      </c>
      <c r="K37" s="2417">
        <f t="shared" si="23"/>
        <v>5</v>
      </c>
      <c r="L37" s="2415">
        <f t="shared" si="23"/>
        <v>3</v>
      </c>
      <c r="M37" s="2416">
        <f t="shared" si="23"/>
        <v>2</v>
      </c>
      <c r="N37" s="2417">
        <f t="shared" si="23"/>
        <v>5</v>
      </c>
      <c r="O37" s="2415">
        <f t="shared" si="23"/>
        <v>2</v>
      </c>
      <c r="P37" s="2416">
        <f t="shared" si="23"/>
        <v>2</v>
      </c>
      <c r="Q37" s="2417">
        <f t="shared" si="23"/>
        <v>4</v>
      </c>
      <c r="R37" s="2415">
        <f t="shared" si="23"/>
        <v>1</v>
      </c>
      <c r="S37" s="2416">
        <f t="shared" si="23"/>
        <v>0</v>
      </c>
      <c r="T37" s="2417">
        <f t="shared" si="23"/>
        <v>1</v>
      </c>
      <c r="U37" s="2415">
        <f t="shared" si="23"/>
        <v>1</v>
      </c>
      <c r="V37" s="2416">
        <f t="shared" si="23"/>
        <v>0</v>
      </c>
      <c r="W37" s="2417">
        <f t="shared" si="23"/>
        <v>1</v>
      </c>
      <c r="X37" s="2415">
        <f t="shared" ref="X37:Z37" si="24">SUM(X29:X36)</f>
        <v>2</v>
      </c>
      <c r="Y37" s="2416">
        <f t="shared" si="24"/>
        <v>0</v>
      </c>
      <c r="Z37" s="2417">
        <f t="shared" si="24"/>
        <v>2</v>
      </c>
      <c r="AA37" s="2415">
        <f t="shared" ref="AA37:AC37" si="25">SUM(AA29:AA36)</f>
        <v>3</v>
      </c>
      <c r="AB37" s="2416">
        <f t="shared" si="25"/>
        <v>1</v>
      </c>
      <c r="AC37" s="2417">
        <f t="shared" si="25"/>
        <v>4</v>
      </c>
    </row>
    <row r="38" spans="2:29" ht="15" customHeight="1" x14ac:dyDescent="0.25">
      <c r="B38" s="2411" t="s">
        <v>86</v>
      </c>
      <c r="C38" s="2412">
        <v>1</v>
      </c>
      <c r="D38" s="2413"/>
      <c r="E38" s="2410">
        <f t="shared" si="2"/>
        <v>1</v>
      </c>
      <c r="F38" s="2412">
        <v>1</v>
      </c>
      <c r="G38" s="2413"/>
      <c r="H38" s="2410">
        <f t="shared" si="3"/>
        <v>1</v>
      </c>
      <c r="I38" s="2412"/>
      <c r="J38" s="2413"/>
      <c r="K38" s="2410">
        <f>SUM(I38:J38)</f>
        <v>0</v>
      </c>
      <c r="L38" s="2412"/>
      <c r="M38" s="2413"/>
      <c r="N38" s="2410">
        <f>SUM(L38:M38)</f>
        <v>0</v>
      </c>
      <c r="O38" s="2412"/>
      <c r="P38" s="2413"/>
      <c r="Q38" s="2410"/>
      <c r="R38" s="2412"/>
      <c r="S38" s="2413"/>
      <c r="T38" s="2410"/>
      <c r="U38" s="2412"/>
      <c r="V38" s="2413"/>
      <c r="W38" s="2410"/>
      <c r="X38" s="2412"/>
      <c r="Y38" s="2413"/>
      <c r="Z38" s="2410"/>
      <c r="AA38" s="2412"/>
      <c r="AB38" s="2413"/>
      <c r="AC38" s="2410"/>
    </row>
    <row r="39" spans="2:29" ht="15" customHeight="1" x14ac:dyDescent="0.25">
      <c r="B39" s="2411" t="s">
        <v>88</v>
      </c>
      <c r="C39" s="2412">
        <v>2</v>
      </c>
      <c r="D39" s="2413"/>
      <c r="E39" s="2410">
        <f t="shared" si="2"/>
        <v>2</v>
      </c>
      <c r="F39" s="2412">
        <v>2</v>
      </c>
      <c r="G39" s="2413"/>
      <c r="H39" s="2410">
        <f t="shared" si="3"/>
        <v>2</v>
      </c>
      <c r="I39" s="2412">
        <v>1</v>
      </c>
      <c r="J39" s="2413"/>
      <c r="K39" s="2410">
        <f>SUM(I39:J39)</f>
        <v>1</v>
      </c>
      <c r="L39" s="2412">
        <v>1</v>
      </c>
      <c r="M39" s="2413"/>
      <c r="N39" s="2410">
        <f>SUM(L39:M39)</f>
        <v>1</v>
      </c>
      <c r="O39" s="2412"/>
      <c r="P39" s="2413"/>
      <c r="Q39" s="2410"/>
      <c r="R39" s="2412"/>
      <c r="S39" s="2413"/>
      <c r="T39" s="2410"/>
      <c r="U39" s="2412"/>
      <c r="V39" s="2413"/>
      <c r="W39" s="2410"/>
      <c r="X39" s="2412"/>
      <c r="Y39" s="2413"/>
      <c r="Z39" s="2410"/>
      <c r="AA39" s="2412"/>
      <c r="AB39" s="2413"/>
      <c r="AC39" s="2410"/>
    </row>
    <row r="40" spans="2:29" ht="15" customHeight="1" x14ac:dyDescent="0.25">
      <c r="B40" s="2411" t="s">
        <v>90</v>
      </c>
      <c r="C40" s="2412"/>
      <c r="D40" s="2413"/>
      <c r="E40" s="2410"/>
      <c r="F40" s="2412"/>
      <c r="G40" s="2413"/>
      <c r="H40" s="2410"/>
      <c r="I40" s="2412"/>
      <c r="J40" s="2413"/>
      <c r="K40" s="2410"/>
      <c r="L40" s="2412"/>
      <c r="M40" s="2413"/>
      <c r="N40" s="2410"/>
      <c r="O40" s="2412"/>
      <c r="P40" s="2413"/>
      <c r="Q40" s="2410"/>
      <c r="R40" s="2412">
        <v>1</v>
      </c>
      <c r="S40" s="2413"/>
      <c r="T40" s="2410">
        <f>SUM(R40:S40)</f>
        <v>1</v>
      </c>
      <c r="U40" s="2412">
        <v>1</v>
      </c>
      <c r="V40" s="2413"/>
      <c r="W40" s="2410">
        <f>SUM(U40:V40)</f>
        <v>1</v>
      </c>
      <c r="X40" s="2412"/>
      <c r="Y40" s="2413"/>
      <c r="Z40" s="2410"/>
      <c r="AA40" s="2412"/>
      <c r="AB40" s="2413"/>
      <c r="AC40" s="2410"/>
    </row>
    <row r="41" spans="2:29" ht="15" customHeight="1" x14ac:dyDescent="0.25">
      <c r="B41" s="2411" t="s">
        <v>91</v>
      </c>
      <c r="C41" s="2412">
        <v>1</v>
      </c>
      <c r="D41" s="2413"/>
      <c r="E41" s="2410">
        <f t="shared" si="2"/>
        <v>1</v>
      </c>
      <c r="F41" s="2412">
        <v>1</v>
      </c>
      <c r="G41" s="2413"/>
      <c r="H41" s="2410">
        <f t="shared" si="3"/>
        <v>1</v>
      </c>
      <c r="I41" s="2412">
        <v>1</v>
      </c>
      <c r="J41" s="2413"/>
      <c r="K41" s="2410">
        <f>SUM(I41:J41)</f>
        <v>1</v>
      </c>
      <c r="L41" s="2412">
        <v>1</v>
      </c>
      <c r="M41" s="2413"/>
      <c r="N41" s="2410">
        <f>SUM(L41:M41)</f>
        <v>1</v>
      </c>
      <c r="O41" s="2412">
        <v>1</v>
      </c>
      <c r="P41" s="2413"/>
      <c r="Q41" s="2410">
        <f>SUM(O41:P41)</f>
        <v>1</v>
      </c>
      <c r="R41" s="2412"/>
      <c r="S41" s="2413"/>
      <c r="T41" s="2410"/>
      <c r="U41" s="2412"/>
      <c r="V41" s="2413"/>
      <c r="W41" s="2410"/>
      <c r="X41" s="2412"/>
      <c r="Y41" s="2413"/>
      <c r="Z41" s="2410"/>
      <c r="AA41" s="2412"/>
      <c r="AB41" s="2413"/>
      <c r="AC41" s="2410"/>
    </row>
    <row r="42" spans="2:29" ht="15" customHeight="1" x14ac:dyDescent="0.25">
      <c r="B42" s="2411" t="s">
        <v>89</v>
      </c>
      <c r="C42" s="2412">
        <v>1</v>
      </c>
      <c r="D42" s="2413"/>
      <c r="E42" s="2410">
        <f t="shared" si="2"/>
        <v>1</v>
      </c>
      <c r="F42" s="2412"/>
      <c r="G42" s="2413"/>
      <c r="H42" s="2410">
        <f t="shared" si="3"/>
        <v>0</v>
      </c>
      <c r="I42" s="2412"/>
      <c r="J42" s="2413"/>
      <c r="K42" s="2410">
        <f>SUM(I42:J42)</f>
        <v>0</v>
      </c>
      <c r="L42" s="2412"/>
      <c r="M42" s="2413"/>
      <c r="N42" s="2410">
        <f>SUM(L42:M42)</f>
        <v>0</v>
      </c>
      <c r="O42" s="2412"/>
      <c r="P42" s="2413"/>
      <c r="Q42" s="2410"/>
      <c r="R42" s="2412"/>
      <c r="S42" s="2413"/>
      <c r="T42" s="2410"/>
      <c r="U42" s="2412"/>
      <c r="V42" s="2413"/>
      <c r="W42" s="2410"/>
      <c r="X42" s="2412"/>
      <c r="Y42" s="2413"/>
      <c r="Z42" s="2410"/>
      <c r="AA42" s="2412"/>
      <c r="AB42" s="2413"/>
      <c r="AC42" s="2410"/>
    </row>
    <row r="43" spans="2:29" ht="15" customHeight="1" x14ac:dyDescent="0.25">
      <c r="B43" s="2414" t="s">
        <v>92</v>
      </c>
      <c r="C43" s="2415">
        <f t="shared" ref="C43:W43" si="26">SUM(C38:C42)</f>
        <v>5</v>
      </c>
      <c r="D43" s="2416">
        <f t="shared" si="26"/>
        <v>0</v>
      </c>
      <c r="E43" s="2417">
        <f t="shared" si="26"/>
        <v>5</v>
      </c>
      <c r="F43" s="2415">
        <f t="shared" si="26"/>
        <v>4</v>
      </c>
      <c r="G43" s="2416">
        <f t="shared" si="26"/>
        <v>0</v>
      </c>
      <c r="H43" s="2417">
        <f t="shared" si="26"/>
        <v>4</v>
      </c>
      <c r="I43" s="2415">
        <f t="shared" si="26"/>
        <v>2</v>
      </c>
      <c r="J43" s="2416">
        <f t="shared" si="26"/>
        <v>0</v>
      </c>
      <c r="K43" s="2417">
        <f t="shared" si="26"/>
        <v>2</v>
      </c>
      <c r="L43" s="2415">
        <f t="shared" si="26"/>
        <v>2</v>
      </c>
      <c r="M43" s="2416">
        <f t="shared" si="26"/>
        <v>0</v>
      </c>
      <c r="N43" s="2417">
        <f t="shared" si="26"/>
        <v>2</v>
      </c>
      <c r="O43" s="2415">
        <f t="shared" si="26"/>
        <v>1</v>
      </c>
      <c r="P43" s="2416">
        <f t="shared" si="26"/>
        <v>0</v>
      </c>
      <c r="Q43" s="2417">
        <f t="shared" si="26"/>
        <v>1</v>
      </c>
      <c r="R43" s="2415">
        <f t="shared" si="26"/>
        <v>1</v>
      </c>
      <c r="S43" s="2416">
        <f t="shared" si="26"/>
        <v>0</v>
      </c>
      <c r="T43" s="2417">
        <f t="shared" si="26"/>
        <v>1</v>
      </c>
      <c r="U43" s="2415">
        <f t="shared" si="26"/>
        <v>1</v>
      </c>
      <c r="V43" s="2416">
        <f t="shared" si="26"/>
        <v>0</v>
      </c>
      <c r="W43" s="2417">
        <f t="shared" si="26"/>
        <v>1</v>
      </c>
      <c r="X43" s="2415">
        <f t="shared" ref="X43:Z43" si="27">SUM(X38:X42)</f>
        <v>0</v>
      </c>
      <c r="Y43" s="2416">
        <f t="shared" si="27"/>
        <v>0</v>
      </c>
      <c r="Z43" s="2417">
        <f t="shared" si="27"/>
        <v>0</v>
      </c>
      <c r="AA43" s="2415">
        <f t="shared" ref="AA43:AC43" si="28">SUM(AA38:AA42)</f>
        <v>0</v>
      </c>
      <c r="AB43" s="2416">
        <f t="shared" si="28"/>
        <v>0</v>
      </c>
      <c r="AC43" s="2417">
        <f t="shared" si="28"/>
        <v>0</v>
      </c>
    </row>
    <row r="44" spans="2:29" ht="15" customHeight="1" x14ac:dyDescent="0.25">
      <c r="B44" s="5648" t="s">
        <v>93</v>
      </c>
      <c r="C44" s="2432">
        <f t="shared" ref="C44:W44" si="29">SUM(C43,C37,C28)</f>
        <v>10</v>
      </c>
      <c r="D44" s="2433">
        <f t="shared" si="29"/>
        <v>7</v>
      </c>
      <c r="E44" s="2434">
        <f t="shared" si="29"/>
        <v>17</v>
      </c>
      <c r="F44" s="2432">
        <f t="shared" si="29"/>
        <v>10</v>
      </c>
      <c r="G44" s="2433">
        <f t="shared" si="29"/>
        <v>4</v>
      </c>
      <c r="H44" s="2434">
        <f t="shared" si="29"/>
        <v>14</v>
      </c>
      <c r="I44" s="2432">
        <f t="shared" si="29"/>
        <v>5</v>
      </c>
      <c r="J44" s="2433">
        <f t="shared" si="29"/>
        <v>4</v>
      </c>
      <c r="K44" s="2434">
        <f t="shared" si="29"/>
        <v>9</v>
      </c>
      <c r="L44" s="2432">
        <f t="shared" si="29"/>
        <v>5</v>
      </c>
      <c r="M44" s="2433">
        <f t="shared" si="29"/>
        <v>2</v>
      </c>
      <c r="N44" s="2434">
        <f t="shared" si="29"/>
        <v>7</v>
      </c>
      <c r="O44" s="2432">
        <f t="shared" si="29"/>
        <v>3</v>
      </c>
      <c r="P44" s="2433">
        <f t="shared" si="29"/>
        <v>3</v>
      </c>
      <c r="Q44" s="2434">
        <f t="shared" si="29"/>
        <v>6</v>
      </c>
      <c r="R44" s="2432">
        <f t="shared" si="29"/>
        <v>2</v>
      </c>
      <c r="S44" s="2433">
        <f t="shared" si="29"/>
        <v>1</v>
      </c>
      <c r="T44" s="2434">
        <f t="shared" si="29"/>
        <v>3</v>
      </c>
      <c r="U44" s="2432">
        <f t="shared" si="29"/>
        <v>2</v>
      </c>
      <c r="V44" s="2433">
        <f t="shared" si="29"/>
        <v>1</v>
      </c>
      <c r="W44" s="2434">
        <f t="shared" si="29"/>
        <v>3</v>
      </c>
      <c r="X44" s="2432">
        <f t="shared" ref="X44:Z44" si="30">SUM(X43,X37,X28)</f>
        <v>2</v>
      </c>
      <c r="Y44" s="2433">
        <f t="shared" si="30"/>
        <v>1</v>
      </c>
      <c r="Z44" s="2434">
        <f t="shared" si="30"/>
        <v>3</v>
      </c>
      <c r="AA44" s="2432">
        <f t="shared" ref="AA44:AC44" si="31">SUM(AA43,AA37,AA28)</f>
        <v>3</v>
      </c>
      <c r="AB44" s="2433">
        <f t="shared" si="31"/>
        <v>2</v>
      </c>
      <c r="AC44" s="2434">
        <f t="shared" si="31"/>
        <v>5</v>
      </c>
    </row>
    <row r="45" spans="2:29" ht="15" customHeight="1" x14ac:dyDescent="0.25">
      <c r="B45" s="2411" t="s">
        <v>60</v>
      </c>
      <c r="C45" s="2412">
        <v>1</v>
      </c>
      <c r="D45" s="2413"/>
      <c r="E45" s="2410">
        <f t="shared" si="2"/>
        <v>1</v>
      </c>
      <c r="F45" s="2407">
        <v>1</v>
      </c>
      <c r="G45" s="2408"/>
      <c r="H45" s="2410">
        <f t="shared" si="3"/>
        <v>1</v>
      </c>
      <c r="I45" s="2407">
        <v>1</v>
      </c>
      <c r="J45" s="2408"/>
      <c r="K45" s="2410">
        <f>SUM(I45:J45)</f>
        <v>1</v>
      </c>
      <c r="L45" s="2407"/>
      <c r="M45" s="2408"/>
      <c r="N45" s="2410">
        <f>SUM(L45:M45)</f>
        <v>0</v>
      </c>
      <c r="O45" s="2407"/>
      <c r="P45" s="2408"/>
      <c r="Q45" s="2410"/>
      <c r="R45" s="2407"/>
      <c r="S45" s="2408">
        <v>1</v>
      </c>
      <c r="T45" s="2410">
        <f>SUM(R45:S45)</f>
        <v>1</v>
      </c>
      <c r="U45" s="2407"/>
      <c r="V45" s="2408">
        <v>1</v>
      </c>
      <c r="W45" s="2410">
        <f>SUM(U45:V45)</f>
        <v>1</v>
      </c>
      <c r="X45" s="2407"/>
      <c r="Y45" s="2408">
        <v>1</v>
      </c>
      <c r="Z45" s="2410">
        <f>SUM(X45:Y45)</f>
        <v>1</v>
      </c>
      <c r="AA45" s="2407"/>
      <c r="AB45" s="2408"/>
      <c r="AC45" s="2410"/>
    </row>
    <row r="46" spans="2:29" ht="15" customHeight="1" x14ac:dyDescent="0.25">
      <c r="B46" s="2411" t="s">
        <v>62</v>
      </c>
      <c r="C46" s="2412">
        <v>1</v>
      </c>
      <c r="D46" s="2413">
        <v>1</v>
      </c>
      <c r="E46" s="2410">
        <f t="shared" si="2"/>
        <v>2</v>
      </c>
      <c r="F46" s="2412">
        <v>1</v>
      </c>
      <c r="G46" s="2413">
        <v>2</v>
      </c>
      <c r="H46" s="2410">
        <f t="shared" si="3"/>
        <v>3</v>
      </c>
      <c r="I46" s="2412"/>
      <c r="J46" s="2413">
        <v>1</v>
      </c>
      <c r="K46" s="2410">
        <f>SUM(I46:J46)</f>
        <v>1</v>
      </c>
      <c r="L46" s="2412"/>
      <c r="M46" s="2413"/>
      <c r="N46" s="2410">
        <f>SUM(L46:M46)</f>
        <v>0</v>
      </c>
      <c r="O46" s="2412"/>
      <c r="P46" s="2413"/>
      <c r="Q46" s="2410"/>
      <c r="R46" s="2412"/>
      <c r="S46" s="2413"/>
      <c r="T46" s="2410"/>
      <c r="U46" s="2412"/>
      <c r="V46" s="2413"/>
      <c r="W46" s="2410"/>
      <c r="X46" s="2412"/>
      <c r="Y46" s="2413"/>
      <c r="Z46" s="2410"/>
      <c r="AA46" s="2412"/>
      <c r="AB46" s="2413"/>
      <c r="AC46" s="2410"/>
    </row>
    <row r="47" spans="2:29" ht="15" customHeight="1" x14ac:dyDescent="0.25">
      <c r="B47" s="2411" t="s">
        <v>96</v>
      </c>
      <c r="C47" s="2412">
        <v>1</v>
      </c>
      <c r="D47" s="2413"/>
      <c r="E47" s="2410">
        <f t="shared" si="2"/>
        <v>1</v>
      </c>
      <c r="F47" s="2412">
        <v>1</v>
      </c>
      <c r="G47" s="2413"/>
      <c r="H47" s="2410">
        <f t="shared" si="3"/>
        <v>1</v>
      </c>
      <c r="I47" s="2412">
        <v>1</v>
      </c>
      <c r="J47" s="2413"/>
      <c r="K47" s="2410">
        <f>SUM(I47:J47)</f>
        <v>1</v>
      </c>
      <c r="L47" s="2412">
        <v>1</v>
      </c>
      <c r="M47" s="2413"/>
      <c r="N47" s="2410">
        <f>SUM(L47:M47)</f>
        <v>1</v>
      </c>
      <c r="O47" s="2412">
        <v>1</v>
      </c>
      <c r="P47" s="2413"/>
      <c r="Q47" s="2410">
        <f>SUM(O47:P47)</f>
        <v>1</v>
      </c>
      <c r="R47" s="2412"/>
      <c r="S47" s="2413"/>
      <c r="T47" s="2410"/>
      <c r="U47" s="2412"/>
      <c r="V47" s="2413"/>
      <c r="W47" s="2410"/>
      <c r="X47" s="2412"/>
      <c r="Y47" s="2413"/>
      <c r="Z47" s="2410"/>
      <c r="AA47" s="2412"/>
      <c r="AB47" s="2413"/>
      <c r="AC47" s="2410"/>
    </row>
    <row r="48" spans="2:29" ht="15" customHeight="1" x14ac:dyDescent="0.25">
      <c r="B48" s="2411" t="s">
        <v>250</v>
      </c>
      <c r="C48" s="2412">
        <v>3</v>
      </c>
      <c r="D48" s="2413"/>
      <c r="E48" s="2410">
        <f t="shared" si="2"/>
        <v>3</v>
      </c>
      <c r="F48" s="2412">
        <v>3</v>
      </c>
      <c r="G48" s="2413"/>
      <c r="H48" s="2410">
        <f t="shared" si="3"/>
        <v>3</v>
      </c>
      <c r="I48" s="2412">
        <v>2</v>
      </c>
      <c r="J48" s="2413"/>
      <c r="K48" s="2410">
        <f>SUM(I48:J48)</f>
        <v>2</v>
      </c>
      <c r="L48" s="2412">
        <v>2</v>
      </c>
      <c r="M48" s="2413"/>
      <c r="N48" s="2410">
        <f>SUM(L48:M48)</f>
        <v>2</v>
      </c>
      <c r="O48" s="2412">
        <v>1</v>
      </c>
      <c r="P48" s="2413"/>
      <c r="Q48" s="2410">
        <f>SUM(O48:P48)</f>
        <v>1</v>
      </c>
      <c r="R48" s="2412">
        <v>1</v>
      </c>
      <c r="S48" s="2413">
        <v>1</v>
      </c>
      <c r="T48" s="2410">
        <f>SUM(R48:S48)</f>
        <v>2</v>
      </c>
      <c r="U48" s="2412"/>
      <c r="V48" s="2413">
        <v>1</v>
      </c>
      <c r="W48" s="2410">
        <f>SUM(U48:V48)</f>
        <v>1</v>
      </c>
      <c r="X48" s="2412">
        <v>1</v>
      </c>
      <c r="Y48" s="2413"/>
      <c r="Z48" s="2410">
        <f>SUM(X48:Y48)</f>
        <v>1</v>
      </c>
      <c r="AA48" s="2412">
        <v>1</v>
      </c>
      <c r="AB48" s="2413"/>
      <c r="AC48" s="2410">
        <f>SUM(AA48:AB48)</f>
        <v>1</v>
      </c>
    </row>
    <row r="49" spans="2:29" ht="15" customHeight="1" x14ac:dyDescent="0.25">
      <c r="B49" s="2411" t="s">
        <v>63</v>
      </c>
      <c r="C49" s="2412"/>
      <c r="D49" s="2413"/>
      <c r="E49" s="2410"/>
      <c r="F49" s="2412"/>
      <c r="G49" s="2413"/>
      <c r="H49" s="2410"/>
      <c r="I49" s="2412"/>
      <c r="J49" s="2413"/>
      <c r="K49" s="2410"/>
      <c r="L49" s="2412"/>
      <c r="M49" s="2413"/>
      <c r="N49" s="2410"/>
      <c r="O49" s="2412"/>
      <c r="P49" s="2413"/>
      <c r="Q49" s="2410"/>
      <c r="R49" s="2412">
        <v>1</v>
      </c>
      <c r="S49" s="2413"/>
      <c r="T49" s="2410">
        <f>SUM(R49:S49)</f>
        <v>1</v>
      </c>
      <c r="U49" s="2412">
        <v>1</v>
      </c>
      <c r="V49" s="2413"/>
      <c r="W49" s="2410">
        <f>SUM(U49:V49)</f>
        <v>1</v>
      </c>
      <c r="X49" s="2412"/>
      <c r="Y49" s="2413"/>
      <c r="Z49" s="2410"/>
      <c r="AA49" s="2412"/>
      <c r="AB49" s="2413"/>
      <c r="AC49" s="2410"/>
    </row>
    <row r="50" spans="2:29" ht="15" customHeight="1" x14ac:dyDescent="0.25">
      <c r="B50" s="2414" t="s">
        <v>64</v>
      </c>
      <c r="C50" s="2415">
        <f t="shared" ref="C50:Q50" si="32">SUM(C45:C48)</f>
        <v>6</v>
      </c>
      <c r="D50" s="2416">
        <f t="shared" si="32"/>
        <v>1</v>
      </c>
      <c r="E50" s="2417">
        <f t="shared" si="32"/>
        <v>7</v>
      </c>
      <c r="F50" s="2415">
        <f t="shared" si="32"/>
        <v>6</v>
      </c>
      <c r="G50" s="2416">
        <f t="shared" si="32"/>
        <v>2</v>
      </c>
      <c r="H50" s="2417">
        <f t="shared" si="32"/>
        <v>8</v>
      </c>
      <c r="I50" s="2415">
        <f t="shared" si="32"/>
        <v>4</v>
      </c>
      <c r="J50" s="2416">
        <f t="shared" si="32"/>
        <v>1</v>
      </c>
      <c r="K50" s="2417">
        <f t="shared" si="32"/>
        <v>5</v>
      </c>
      <c r="L50" s="2415">
        <f t="shared" si="32"/>
        <v>3</v>
      </c>
      <c r="M50" s="2416">
        <f t="shared" si="32"/>
        <v>0</v>
      </c>
      <c r="N50" s="2417">
        <f t="shared" si="32"/>
        <v>3</v>
      </c>
      <c r="O50" s="2415">
        <f t="shared" si="32"/>
        <v>2</v>
      </c>
      <c r="P50" s="2416">
        <f t="shared" si="32"/>
        <v>0</v>
      </c>
      <c r="Q50" s="2417">
        <f t="shared" si="32"/>
        <v>2</v>
      </c>
      <c r="R50" s="2415">
        <f t="shared" ref="R50:W50" si="33">SUM(R45:R49)</f>
        <v>2</v>
      </c>
      <c r="S50" s="2416">
        <f t="shared" si="33"/>
        <v>2</v>
      </c>
      <c r="T50" s="2417">
        <f t="shared" si="33"/>
        <v>4</v>
      </c>
      <c r="U50" s="2415">
        <f t="shared" si="33"/>
        <v>1</v>
      </c>
      <c r="V50" s="2416">
        <f t="shared" si="33"/>
        <v>2</v>
      </c>
      <c r="W50" s="2417">
        <f t="shared" si="33"/>
        <v>3</v>
      </c>
      <c r="X50" s="2415">
        <f t="shared" ref="X50:Z50" si="34">SUM(X45:X49)</f>
        <v>1</v>
      </c>
      <c r="Y50" s="2416">
        <f t="shared" si="34"/>
        <v>1</v>
      </c>
      <c r="Z50" s="2417">
        <f t="shared" si="34"/>
        <v>2</v>
      </c>
      <c r="AA50" s="2415">
        <f t="shared" ref="AA50:AC50" si="35">SUM(AA45:AA49)</f>
        <v>1</v>
      </c>
      <c r="AB50" s="2416">
        <f t="shared" si="35"/>
        <v>0</v>
      </c>
      <c r="AC50" s="2417">
        <f t="shared" si="35"/>
        <v>1</v>
      </c>
    </row>
    <row r="51" spans="2:29" ht="15" customHeight="1" x14ac:dyDescent="0.25">
      <c r="B51" s="2411" t="s">
        <v>101</v>
      </c>
      <c r="C51" s="2412">
        <v>4</v>
      </c>
      <c r="D51" s="2413">
        <v>1</v>
      </c>
      <c r="E51" s="2410">
        <f t="shared" si="2"/>
        <v>5</v>
      </c>
      <c r="F51" s="2412">
        <v>3</v>
      </c>
      <c r="G51" s="2413">
        <v>1</v>
      </c>
      <c r="H51" s="2410">
        <f t="shared" si="3"/>
        <v>4</v>
      </c>
      <c r="I51" s="2412">
        <v>4</v>
      </c>
      <c r="J51" s="2413">
        <v>1</v>
      </c>
      <c r="K51" s="2410">
        <f t="shared" ref="K51:K57" si="36">SUM(I51:J51)</f>
        <v>5</v>
      </c>
      <c r="L51" s="2412">
        <v>3</v>
      </c>
      <c r="M51" s="2413"/>
      <c r="N51" s="2410">
        <f t="shared" ref="N51:N57" si="37">SUM(L51:M51)</f>
        <v>3</v>
      </c>
      <c r="O51" s="2412"/>
      <c r="P51" s="2413"/>
      <c r="Q51" s="2410"/>
      <c r="R51" s="2412"/>
      <c r="S51" s="2413"/>
      <c r="T51" s="2410"/>
      <c r="U51" s="2412"/>
      <c r="V51" s="2413"/>
      <c r="W51" s="2410"/>
      <c r="X51" s="2412"/>
      <c r="Y51" s="2413"/>
      <c r="Z51" s="2410"/>
      <c r="AA51" s="2412"/>
      <c r="AB51" s="2413"/>
      <c r="AC51" s="2410"/>
    </row>
    <row r="52" spans="2:29" ht="15" customHeight="1" x14ac:dyDescent="0.25">
      <c r="B52" s="2411" t="s">
        <v>86</v>
      </c>
      <c r="C52" s="2412"/>
      <c r="D52" s="2413"/>
      <c r="E52" s="2410">
        <f t="shared" si="2"/>
        <v>0</v>
      </c>
      <c r="F52" s="2412"/>
      <c r="G52" s="2413">
        <v>1</v>
      </c>
      <c r="H52" s="2410">
        <f t="shared" si="3"/>
        <v>1</v>
      </c>
      <c r="I52" s="2412"/>
      <c r="J52" s="2413">
        <v>1</v>
      </c>
      <c r="K52" s="2410">
        <f t="shared" si="36"/>
        <v>1</v>
      </c>
      <c r="L52" s="2412"/>
      <c r="M52" s="2413">
        <v>1</v>
      </c>
      <c r="N52" s="2410">
        <f t="shared" si="37"/>
        <v>1</v>
      </c>
      <c r="O52" s="2412"/>
      <c r="P52" s="2413">
        <v>1</v>
      </c>
      <c r="Q52" s="2410">
        <f>SUM(O52:P52)</f>
        <v>1</v>
      </c>
      <c r="R52" s="2412"/>
      <c r="S52" s="2413">
        <v>1</v>
      </c>
      <c r="T52" s="2410">
        <f>SUM(R52:S52)</f>
        <v>1</v>
      </c>
      <c r="U52" s="2412"/>
      <c r="V52" s="2413"/>
      <c r="W52" s="2410"/>
      <c r="X52" s="2412"/>
      <c r="Y52" s="2413"/>
      <c r="Z52" s="2410"/>
      <c r="AA52" s="2412">
        <v>1</v>
      </c>
      <c r="AB52" s="2413"/>
      <c r="AC52" s="2410">
        <f t="shared" ref="AC52" si="38">SUM(AA52:AB52)</f>
        <v>1</v>
      </c>
    </row>
    <row r="53" spans="2:29" ht="15" customHeight="1" x14ac:dyDescent="0.25">
      <c r="B53" s="2411" t="s">
        <v>97</v>
      </c>
      <c r="C53" s="2412">
        <v>1</v>
      </c>
      <c r="D53" s="2413"/>
      <c r="E53" s="2410">
        <f t="shared" si="2"/>
        <v>1</v>
      </c>
      <c r="F53" s="2412">
        <v>1</v>
      </c>
      <c r="G53" s="2413"/>
      <c r="H53" s="2410">
        <f t="shared" si="3"/>
        <v>1</v>
      </c>
      <c r="I53" s="2412">
        <v>3</v>
      </c>
      <c r="J53" s="2413"/>
      <c r="K53" s="2410">
        <f t="shared" si="36"/>
        <v>3</v>
      </c>
      <c r="L53" s="2412">
        <v>2</v>
      </c>
      <c r="M53" s="2413"/>
      <c r="N53" s="2410">
        <f t="shared" si="37"/>
        <v>2</v>
      </c>
      <c r="O53" s="2412">
        <v>1</v>
      </c>
      <c r="P53" s="2413"/>
      <c r="Q53" s="2410">
        <f>SUM(O53:P53)</f>
        <v>1</v>
      </c>
      <c r="R53" s="2412">
        <v>1</v>
      </c>
      <c r="S53" s="2413"/>
      <c r="T53" s="2410">
        <f>SUM(R53:S53)</f>
        <v>1</v>
      </c>
      <c r="U53" s="2412">
        <v>1</v>
      </c>
      <c r="V53" s="2413"/>
      <c r="W53" s="2410">
        <f>SUM(U53:V53)</f>
        <v>1</v>
      </c>
      <c r="X53" s="2412"/>
      <c r="Y53" s="2413"/>
      <c r="Z53" s="2410"/>
      <c r="AA53" s="2412"/>
      <c r="AB53" s="2413"/>
      <c r="AC53" s="2410"/>
    </row>
    <row r="54" spans="2:29" ht="15" customHeight="1" x14ac:dyDescent="0.25">
      <c r="B54" s="2411" t="s">
        <v>98</v>
      </c>
      <c r="C54" s="2412">
        <v>1</v>
      </c>
      <c r="D54" s="2413"/>
      <c r="E54" s="2410">
        <f t="shared" si="2"/>
        <v>1</v>
      </c>
      <c r="F54" s="2412">
        <v>1</v>
      </c>
      <c r="G54" s="2413">
        <v>1</v>
      </c>
      <c r="H54" s="2410">
        <f t="shared" si="3"/>
        <v>2</v>
      </c>
      <c r="I54" s="2412"/>
      <c r="J54" s="2413">
        <v>1</v>
      </c>
      <c r="K54" s="2410">
        <f t="shared" si="36"/>
        <v>1</v>
      </c>
      <c r="L54" s="2412">
        <v>1</v>
      </c>
      <c r="M54" s="2413"/>
      <c r="N54" s="2410">
        <f t="shared" si="37"/>
        <v>1</v>
      </c>
      <c r="O54" s="2412">
        <v>1</v>
      </c>
      <c r="P54" s="2413"/>
      <c r="Q54" s="2410">
        <f>SUM(O54:P54)</f>
        <v>1</v>
      </c>
      <c r="R54" s="2412"/>
      <c r="S54" s="2413"/>
      <c r="T54" s="2410"/>
      <c r="U54" s="2412"/>
      <c r="V54" s="2413"/>
      <c r="W54" s="2410"/>
      <c r="X54" s="2412"/>
      <c r="Y54" s="2413"/>
      <c r="Z54" s="2410"/>
      <c r="AA54" s="2412"/>
      <c r="AB54" s="2413"/>
      <c r="AC54" s="2410"/>
    </row>
    <row r="55" spans="2:29" ht="15" customHeight="1" x14ac:dyDescent="0.25">
      <c r="B55" s="2411" t="s">
        <v>102</v>
      </c>
      <c r="C55" s="2412"/>
      <c r="D55" s="2413">
        <v>1</v>
      </c>
      <c r="E55" s="2410">
        <f t="shared" si="2"/>
        <v>1</v>
      </c>
      <c r="F55" s="2412"/>
      <c r="G55" s="2413">
        <v>1</v>
      </c>
      <c r="H55" s="2410">
        <f t="shared" si="3"/>
        <v>1</v>
      </c>
      <c r="I55" s="2412"/>
      <c r="J55" s="2413">
        <v>1</v>
      </c>
      <c r="K55" s="2410">
        <f t="shared" si="36"/>
        <v>1</v>
      </c>
      <c r="L55" s="2412"/>
      <c r="M55" s="2413">
        <v>1</v>
      </c>
      <c r="N55" s="2410">
        <f t="shared" si="37"/>
        <v>1</v>
      </c>
      <c r="O55" s="2412"/>
      <c r="P55" s="2413"/>
      <c r="Q55" s="2410"/>
      <c r="R55" s="2412"/>
      <c r="S55" s="2413"/>
      <c r="T55" s="2410"/>
      <c r="U55" s="2412"/>
      <c r="V55" s="2413"/>
      <c r="W55" s="2410"/>
      <c r="X55" s="2412"/>
      <c r="Y55" s="2413"/>
      <c r="Z55" s="2410"/>
      <c r="AA55" s="2412"/>
      <c r="AB55" s="2413"/>
      <c r="AC55" s="2410"/>
    </row>
    <row r="56" spans="2:29" ht="15" customHeight="1" x14ac:dyDescent="0.25">
      <c r="B56" s="2411" t="s">
        <v>100</v>
      </c>
      <c r="C56" s="2412"/>
      <c r="D56" s="2413"/>
      <c r="E56" s="2410">
        <f t="shared" si="2"/>
        <v>0</v>
      </c>
      <c r="F56" s="2412">
        <v>1</v>
      </c>
      <c r="G56" s="2413"/>
      <c r="H56" s="2410">
        <f t="shared" si="3"/>
        <v>1</v>
      </c>
      <c r="I56" s="2412">
        <v>1</v>
      </c>
      <c r="J56" s="2413"/>
      <c r="K56" s="2410">
        <f t="shared" si="36"/>
        <v>1</v>
      </c>
      <c r="L56" s="2412">
        <v>1</v>
      </c>
      <c r="M56" s="2413"/>
      <c r="N56" s="2410">
        <f t="shared" si="37"/>
        <v>1</v>
      </c>
      <c r="O56" s="2412">
        <v>1</v>
      </c>
      <c r="P56" s="2413"/>
      <c r="Q56" s="2410">
        <f>SUM(O56:P56)</f>
        <v>1</v>
      </c>
      <c r="R56" s="2412"/>
      <c r="S56" s="2413"/>
      <c r="T56" s="2410"/>
      <c r="U56" s="2412"/>
      <c r="V56" s="2413"/>
      <c r="W56" s="2410"/>
      <c r="X56" s="2412"/>
      <c r="Y56" s="2413"/>
      <c r="Z56" s="2410"/>
      <c r="AA56" s="2412"/>
      <c r="AB56" s="2413"/>
      <c r="AC56" s="2410"/>
    </row>
    <row r="57" spans="2:29" ht="15" customHeight="1" x14ac:dyDescent="0.25">
      <c r="B57" s="2411" t="s">
        <v>103</v>
      </c>
      <c r="C57" s="2412"/>
      <c r="D57" s="2413"/>
      <c r="E57" s="2410">
        <f t="shared" si="2"/>
        <v>0</v>
      </c>
      <c r="F57" s="2412">
        <v>1</v>
      </c>
      <c r="G57" s="2413"/>
      <c r="H57" s="2410">
        <f t="shared" si="3"/>
        <v>1</v>
      </c>
      <c r="I57" s="2412">
        <v>1</v>
      </c>
      <c r="J57" s="2413"/>
      <c r="K57" s="2410">
        <f t="shared" si="36"/>
        <v>1</v>
      </c>
      <c r="L57" s="2412">
        <v>1</v>
      </c>
      <c r="M57" s="2413"/>
      <c r="N57" s="2410">
        <f t="shared" si="37"/>
        <v>1</v>
      </c>
      <c r="O57" s="2412"/>
      <c r="P57" s="2413"/>
      <c r="Q57" s="2410"/>
      <c r="R57" s="2412"/>
      <c r="S57" s="2413"/>
      <c r="T57" s="2410"/>
      <c r="U57" s="2412"/>
      <c r="V57" s="2413"/>
      <c r="W57" s="2410"/>
      <c r="X57" s="2412"/>
      <c r="Y57" s="2413"/>
      <c r="Z57" s="2410"/>
      <c r="AA57" s="2412"/>
      <c r="AB57" s="2413"/>
      <c r="AC57" s="2410"/>
    </row>
    <row r="58" spans="2:29" ht="15" customHeight="1" x14ac:dyDescent="0.25">
      <c r="B58" s="2411" t="s">
        <v>99</v>
      </c>
      <c r="C58" s="2412"/>
      <c r="D58" s="2413"/>
      <c r="E58" s="2410"/>
      <c r="F58" s="2412"/>
      <c r="G58" s="2413"/>
      <c r="H58" s="2410"/>
      <c r="I58" s="2412"/>
      <c r="J58" s="2413"/>
      <c r="K58" s="2410"/>
      <c r="L58" s="2412"/>
      <c r="M58" s="2413"/>
      <c r="N58" s="2410"/>
      <c r="O58" s="2412"/>
      <c r="P58" s="2413"/>
      <c r="Q58" s="2410"/>
      <c r="R58" s="2412">
        <v>1</v>
      </c>
      <c r="S58" s="2413"/>
      <c r="T58" s="2410">
        <f>SUM(R58:S58)</f>
        <v>1</v>
      </c>
      <c r="U58" s="2412">
        <v>1</v>
      </c>
      <c r="V58" s="2413"/>
      <c r="W58" s="2410">
        <f>SUM(U58:V58)</f>
        <v>1</v>
      </c>
      <c r="X58" s="2412">
        <v>1</v>
      </c>
      <c r="Y58" s="2413"/>
      <c r="Z58" s="2410">
        <f>SUM(X58:Y58)</f>
        <v>1</v>
      </c>
      <c r="AA58" s="2412">
        <v>1</v>
      </c>
      <c r="AB58" s="2413"/>
      <c r="AC58" s="2410">
        <f>SUM(AA58:AB58)</f>
        <v>1</v>
      </c>
    </row>
    <row r="59" spans="2:29" ht="15" customHeight="1" x14ac:dyDescent="0.25">
      <c r="B59" s="2414" t="s">
        <v>92</v>
      </c>
      <c r="C59" s="2415">
        <f t="shared" ref="C59:Q59" si="39">SUM(C51:C57)</f>
        <v>6</v>
      </c>
      <c r="D59" s="2416">
        <f t="shared" si="39"/>
        <v>2</v>
      </c>
      <c r="E59" s="2417">
        <f t="shared" si="39"/>
        <v>8</v>
      </c>
      <c r="F59" s="2415">
        <f t="shared" si="39"/>
        <v>7</v>
      </c>
      <c r="G59" s="2416">
        <f t="shared" si="39"/>
        <v>4</v>
      </c>
      <c r="H59" s="2417">
        <f t="shared" si="39"/>
        <v>11</v>
      </c>
      <c r="I59" s="2415">
        <f t="shared" si="39"/>
        <v>9</v>
      </c>
      <c r="J59" s="2416">
        <f t="shared" si="39"/>
        <v>4</v>
      </c>
      <c r="K59" s="2417">
        <f t="shared" si="39"/>
        <v>13</v>
      </c>
      <c r="L59" s="2415">
        <f t="shared" si="39"/>
        <v>8</v>
      </c>
      <c r="M59" s="2416">
        <f t="shared" si="39"/>
        <v>2</v>
      </c>
      <c r="N59" s="2417">
        <f t="shared" si="39"/>
        <v>10</v>
      </c>
      <c r="O59" s="2415">
        <f t="shared" si="39"/>
        <v>3</v>
      </c>
      <c r="P59" s="2416">
        <f t="shared" si="39"/>
        <v>1</v>
      </c>
      <c r="Q59" s="2417">
        <f t="shared" si="39"/>
        <v>4</v>
      </c>
      <c r="R59" s="2415">
        <f t="shared" ref="R59:W59" si="40">SUM(R51:R58)</f>
        <v>2</v>
      </c>
      <c r="S59" s="2416">
        <f t="shared" si="40"/>
        <v>1</v>
      </c>
      <c r="T59" s="2417">
        <f t="shared" si="40"/>
        <v>3</v>
      </c>
      <c r="U59" s="2415">
        <f t="shared" si="40"/>
        <v>2</v>
      </c>
      <c r="V59" s="2416">
        <f t="shared" si="40"/>
        <v>0</v>
      </c>
      <c r="W59" s="2417">
        <f t="shared" si="40"/>
        <v>2</v>
      </c>
      <c r="X59" s="2415">
        <f t="shared" ref="X59:Z59" si="41">SUM(X51:X58)</f>
        <v>1</v>
      </c>
      <c r="Y59" s="2416">
        <f t="shared" si="41"/>
        <v>0</v>
      </c>
      <c r="Z59" s="2417">
        <f t="shared" si="41"/>
        <v>1</v>
      </c>
      <c r="AA59" s="2415">
        <f t="shared" ref="AA59:AC59" si="42">SUM(AA51:AA58)</f>
        <v>2</v>
      </c>
      <c r="AB59" s="2416">
        <f t="shared" si="42"/>
        <v>0</v>
      </c>
      <c r="AC59" s="2417">
        <f t="shared" si="42"/>
        <v>2</v>
      </c>
    </row>
    <row r="60" spans="2:29" ht="15" customHeight="1" x14ac:dyDescent="0.25">
      <c r="B60" s="2411" t="s">
        <v>65</v>
      </c>
      <c r="C60" s="2412"/>
      <c r="D60" s="2413">
        <v>1</v>
      </c>
      <c r="E60" s="2410">
        <f t="shared" si="2"/>
        <v>1</v>
      </c>
      <c r="F60" s="2412"/>
      <c r="G60" s="2413">
        <v>1</v>
      </c>
      <c r="H60" s="2410">
        <f t="shared" si="3"/>
        <v>1</v>
      </c>
      <c r="I60" s="2412">
        <v>1</v>
      </c>
      <c r="J60" s="2413"/>
      <c r="K60" s="2410">
        <f>SUM(I60:J60)</f>
        <v>1</v>
      </c>
      <c r="L60" s="2412">
        <v>1</v>
      </c>
      <c r="M60" s="2413"/>
      <c r="N60" s="2410">
        <f>SUM(L60:M60)</f>
        <v>1</v>
      </c>
      <c r="O60" s="2412">
        <v>1</v>
      </c>
      <c r="P60" s="2413"/>
      <c r="Q60" s="2410">
        <f>SUM(O60:P60)</f>
        <v>1</v>
      </c>
      <c r="R60" s="2412"/>
      <c r="S60" s="2413"/>
      <c r="T60" s="2410"/>
      <c r="U60" s="2412"/>
      <c r="V60" s="2413"/>
      <c r="W60" s="2410"/>
      <c r="X60" s="2412"/>
      <c r="Y60" s="2413"/>
      <c r="Z60" s="2410"/>
      <c r="AA60" s="2412"/>
      <c r="AB60" s="2413"/>
      <c r="AC60" s="2410"/>
    </row>
    <row r="61" spans="2:29" ht="15" customHeight="1" x14ac:dyDescent="0.25">
      <c r="B61" s="2411" t="s">
        <v>1590</v>
      </c>
      <c r="C61" s="2412">
        <v>1</v>
      </c>
      <c r="D61" s="2413"/>
      <c r="E61" s="2410">
        <f t="shared" si="2"/>
        <v>1</v>
      </c>
      <c r="F61" s="2412">
        <v>2</v>
      </c>
      <c r="G61" s="2413"/>
      <c r="H61" s="2410">
        <f t="shared" si="3"/>
        <v>2</v>
      </c>
      <c r="I61" s="2412">
        <v>2</v>
      </c>
      <c r="J61" s="2413"/>
      <c r="K61" s="2410">
        <f>SUM(I61:J61)</f>
        <v>2</v>
      </c>
      <c r="L61" s="2412">
        <v>1</v>
      </c>
      <c r="M61" s="2413"/>
      <c r="N61" s="2410">
        <f>SUM(L61:M61)</f>
        <v>1</v>
      </c>
      <c r="O61" s="2412">
        <v>1</v>
      </c>
      <c r="P61" s="2413"/>
      <c r="Q61" s="2410">
        <f>SUM(O61:P61)</f>
        <v>1</v>
      </c>
      <c r="R61" s="2412">
        <v>1</v>
      </c>
      <c r="S61" s="2413"/>
      <c r="T61" s="2410">
        <f>SUM(R61:S61)</f>
        <v>1</v>
      </c>
      <c r="U61" s="2412"/>
      <c r="V61" s="2413"/>
      <c r="W61" s="2410"/>
      <c r="X61" s="2412"/>
      <c r="Y61" s="2413"/>
      <c r="Z61" s="2410"/>
      <c r="AA61" s="2412"/>
      <c r="AB61" s="2413"/>
      <c r="AC61" s="2410"/>
    </row>
    <row r="62" spans="2:29" ht="15" customHeight="1" x14ac:dyDescent="0.25">
      <c r="B62" s="2411" t="s">
        <v>67</v>
      </c>
      <c r="C62" s="2412">
        <v>1</v>
      </c>
      <c r="D62" s="2413"/>
      <c r="E62" s="2410">
        <f t="shared" si="2"/>
        <v>1</v>
      </c>
      <c r="F62" s="2412">
        <v>1</v>
      </c>
      <c r="G62" s="2413"/>
      <c r="H62" s="2410">
        <f t="shared" si="3"/>
        <v>1</v>
      </c>
      <c r="I62" s="2412">
        <v>1</v>
      </c>
      <c r="J62" s="2413"/>
      <c r="K62" s="2410">
        <f>SUM(I62:J62)</f>
        <v>1</v>
      </c>
      <c r="L62" s="2412">
        <v>1</v>
      </c>
      <c r="M62" s="2413"/>
      <c r="N62" s="2410">
        <f>SUM(L62:M62)</f>
        <v>1</v>
      </c>
      <c r="O62" s="2412"/>
      <c r="P62" s="2413"/>
      <c r="Q62" s="2410"/>
      <c r="R62" s="2412"/>
      <c r="S62" s="2413"/>
      <c r="T62" s="2410"/>
      <c r="U62" s="2412"/>
      <c r="V62" s="2413"/>
      <c r="W62" s="2410"/>
      <c r="X62" s="2412"/>
      <c r="Y62" s="2413"/>
      <c r="Z62" s="2410"/>
      <c r="AA62" s="2412"/>
      <c r="AB62" s="2413"/>
      <c r="AC62" s="2410"/>
    </row>
    <row r="63" spans="2:29" ht="15" customHeight="1" x14ac:dyDescent="0.25">
      <c r="B63" s="2411" t="s">
        <v>104</v>
      </c>
      <c r="C63" s="2435"/>
      <c r="D63" s="2413"/>
      <c r="E63" s="2410">
        <f t="shared" si="2"/>
        <v>0</v>
      </c>
      <c r="F63" s="2435"/>
      <c r="G63" s="2436">
        <v>1</v>
      </c>
      <c r="H63" s="2410">
        <f t="shared" si="3"/>
        <v>1</v>
      </c>
      <c r="I63" s="2435"/>
      <c r="J63" s="2436"/>
      <c r="K63" s="2410">
        <f>SUM(I63:J63)</f>
        <v>0</v>
      </c>
      <c r="L63" s="2435"/>
      <c r="M63" s="2436"/>
      <c r="N63" s="2410">
        <f>SUM(L63:M63)</f>
        <v>0</v>
      </c>
      <c r="O63" s="2435"/>
      <c r="P63" s="2436"/>
      <c r="Q63" s="2410"/>
      <c r="R63" s="2435"/>
      <c r="S63" s="2436"/>
      <c r="T63" s="2410"/>
      <c r="U63" s="2435"/>
      <c r="V63" s="2436"/>
      <c r="W63" s="2410"/>
      <c r="X63" s="2435">
        <v>1</v>
      </c>
      <c r="Y63" s="2436"/>
      <c r="Z63" s="2410">
        <f>SUM(X63:Y63)</f>
        <v>1</v>
      </c>
      <c r="AA63" s="2435">
        <v>1</v>
      </c>
      <c r="AB63" s="2436"/>
      <c r="AC63" s="2410">
        <f>SUM(AA63:AB63)</f>
        <v>1</v>
      </c>
    </row>
    <row r="64" spans="2:29" ht="15" customHeight="1" x14ac:dyDescent="0.25">
      <c r="B64" s="2418" t="s">
        <v>68</v>
      </c>
      <c r="C64" s="2419">
        <f t="shared" ref="C64:W64" si="43">SUM(C60:C63)</f>
        <v>2</v>
      </c>
      <c r="D64" s="2420">
        <f t="shared" si="43"/>
        <v>1</v>
      </c>
      <c r="E64" s="2421">
        <f t="shared" si="43"/>
        <v>3</v>
      </c>
      <c r="F64" s="2419">
        <f t="shared" si="43"/>
        <v>3</v>
      </c>
      <c r="G64" s="2420">
        <f t="shared" si="43"/>
        <v>2</v>
      </c>
      <c r="H64" s="2421">
        <f t="shared" si="43"/>
        <v>5</v>
      </c>
      <c r="I64" s="2419">
        <f t="shared" si="43"/>
        <v>4</v>
      </c>
      <c r="J64" s="2420">
        <f t="shared" si="43"/>
        <v>0</v>
      </c>
      <c r="K64" s="2421">
        <f t="shared" si="43"/>
        <v>4</v>
      </c>
      <c r="L64" s="2419">
        <f t="shared" si="43"/>
        <v>3</v>
      </c>
      <c r="M64" s="2420">
        <f t="shared" si="43"/>
        <v>0</v>
      </c>
      <c r="N64" s="2421">
        <f t="shared" si="43"/>
        <v>3</v>
      </c>
      <c r="O64" s="2419">
        <f t="shared" si="43"/>
        <v>2</v>
      </c>
      <c r="P64" s="2420">
        <f t="shared" si="43"/>
        <v>0</v>
      </c>
      <c r="Q64" s="2421">
        <f t="shared" si="43"/>
        <v>2</v>
      </c>
      <c r="R64" s="2419">
        <f t="shared" si="43"/>
        <v>1</v>
      </c>
      <c r="S64" s="2420">
        <f t="shared" si="43"/>
        <v>0</v>
      </c>
      <c r="T64" s="2421">
        <f t="shared" si="43"/>
        <v>1</v>
      </c>
      <c r="U64" s="2419">
        <f t="shared" si="43"/>
        <v>0</v>
      </c>
      <c r="V64" s="2420">
        <f t="shared" si="43"/>
        <v>0</v>
      </c>
      <c r="W64" s="2421">
        <f t="shared" si="43"/>
        <v>0</v>
      </c>
      <c r="X64" s="2419">
        <f t="shared" ref="X64:Z64" si="44">SUM(X60:X63)</f>
        <v>1</v>
      </c>
      <c r="Y64" s="2420">
        <f t="shared" si="44"/>
        <v>0</v>
      </c>
      <c r="Z64" s="2421">
        <f t="shared" si="44"/>
        <v>1</v>
      </c>
      <c r="AA64" s="2419">
        <f t="shared" ref="AA64:AC64" si="45">SUM(AA60:AA63)</f>
        <v>1</v>
      </c>
      <c r="AB64" s="2420">
        <f t="shared" si="45"/>
        <v>0</v>
      </c>
      <c r="AC64" s="2421">
        <f t="shared" si="45"/>
        <v>1</v>
      </c>
    </row>
    <row r="65" spans="2:29" ht="15" customHeight="1" x14ac:dyDescent="0.25">
      <c r="B65" s="5649" t="s">
        <v>105</v>
      </c>
      <c r="C65" s="2438">
        <f t="shared" ref="C65:W65" si="46">SUM(C64,C59,C50)</f>
        <v>14</v>
      </c>
      <c r="D65" s="2439">
        <f t="shared" si="46"/>
        <v>4</v>
      </c>
      <c r="E65" s="2440">
        <f t="shared" si="46"/>
        <v>18</v>
      </c>
      <c r="F65" s="2438">
        <f t="shared" si="46"/>
        <v>16</v>
      </c>
      <c r="G65" s="2439">
        <f t="shared" si="46"/>
        <v>8</v>
      </c>
      <c r="H65" s="2440">
        <f t="shared" si="46"/>
        <v>24</v>
      </c>
      <c r="I65" s="2438">
        <f t="shared" si="46"/>
        <v>17</v>
      </c>
      <c r="J65" s="2439">
        <f t="shared" si="46"/>
        <v>5</v>
      </c>
      <c r="K65" s="2440">
        <f t="shared" si="46"/>
        <v>22</v>
      </c>
      <c r="L65" s="2438">
        <f t="shared" si="46"/>
        <v>14</v>
      </c>
      <c r="M65" s="2439">
        <f t="shared" si="46"/>
        <v>2</v>
      </c>
      <c r="N65" s="2440">
        <f t="shared" si="46"/>
        <v>16</v>
      </c>
      <c r="O65" s="2438">
        <f t="shared" si="46"/>
        <v>7</v>
      </c>
      <c r="P65" s="2439">
        <f t="shared" si="46"/>
        <v>1</v>
      </c>
      <c r="Q65" s="2440">
        <f t="shared" si="46"/>
        <v>8</v>
      </c>
      <c r="R65" s="2438">
        <f t="shared" si="46"/>
        <v>5</v>
      </c>
      <c r="S65" s="2439">
        <f t="shared" si="46"/>
        <v>3</v>
      </c>
      <c r="T65" s="2440">
        <f t="shared" si="46"/>
        <v>8</v>
      </c>
      <c r="U65" s="2438">
        <f t="shared" si="46"/>
        <v>3</v>
      </c>
      <c r="V65" s="2439">
        <f t="shared" si="46"/>
        <v>2</v>
      </c>
      <c r="W65" s="2440">
        <f t="shared" si="46"/>
        <v>5</v>
      </c>
      <c r="X65" s="2438">
        <f t="shared" ref="X65:Z65" si="47">SUM(X64,X59,X50)</f>
        <v>3</v>
      </c>
      <c r="Y65" s="2439">
        <f t="shared" si="47"/>
        <v>1</v>
      </c>
      <c r="Z65" s="2440">
        <f t="shared" si="47"/>
        <v>4</v>
      </c>
      <c r="AA65" s="2438">
        <f t="shared" ref="AA65:AC65" si="48">SUM(AA64,AA59,AA50)</f>
        <v>4</v>
      </c>
      <c r="AB65" s="2439">
        <f t="shared" si="48"/>
        <v>0</v>
      </c>
      <c r="AC65" s="2440">
        <f t="shared" si="48"/>
        <v>4</v>
      </c>
    </row>
    <row r="66" spans="2:29" ht="15" customHeight="1" x14ac:dyDescent="0.25">
      <c r="B66" s="2441" t="s">
        <v>60</v>
      </c>
      <c r="C66" s="2412">
        <v>0</v>
      </c>
      <c r="D66" s="2413">
        <v>1</v>
      </c>
      <c r="E66" s="2410">
        <f>SUM(C66:D66)</f>
        <v>1</v>
      </c>
      <c r="F66" s="2412"/>
      <c r="G66" s="2413"/>
      <c r="H66" s="2410">
        <f t="shared" si="3"/>
        <v>0</v>
      </c>
      <c r="I66" s="2412"/>
      <c r="J66" s="2413"/>
      <c r="K66" s="2410">
        <f>SUM(I66:J66)</f>
        <v>0</v>
      </c>
      <c r="L66" s="2412"/>
      <c r="M66" s="2413"/>
      <c r="N66" s="2410">
        <f>SUM(L66:M66)</f>
        <v>0</v>
      </c>
      <c r="O66" s="2412"/>
      <c r="P66" s="2413"/>
      <c r="Q66" s="2410"/>
      <c r="R66" s="2412"/>
      <c r="S66" s="2413"/>
      <c r="T66" s="2410"/>
      <c r="U66" s="2412"/>
      <c r="V66" s="2413"/>
      <c r="W66" s="2410"/>
      <c r="X66" s="2412"/>
      <c r="Y66" s="2413"/>
      <c r="Z66" s="2410"/>
      <c r="AA66" s="2412"/>
      <c r="AB66" s="2413"/>
      <c r="AC66" s="2410"/>
    </row>
    <row r="67" spans="2:29" ht="15" customHeight="1" x14ac:dyDescent="0.25">
      <c r="B67" s="2441" t="s">
        <v>106</v>
      </c>
      <c r="C67" s="2412">
        <v>1</v>
      </c>
      <c r="D67" s="2413">
        <v>0</v>
      </c>
      <c r="E67" s="2410">
        <f>SUM(C67:D67)</f>
        <v>1</v>
      </c>
      <c r="F67" s="2412">
        <v>1</v>
      </c>
      <c r="G67" s="2413"/>
      <c r="H67" s="2410">
        <f t="shared" si="3"/>
        <v>1</v>
      </c>
      <c r="I67" s="2412">
        <v>1</v>
      </c>
      <c r="J67" s="2413"/>
      <c r="K67" s="2410">
        <f>SUM(I67:J67)</f>
        <v>1</v>
      </c>
      <c r="L67" s="2412">
        <v>1</v>
      </c>
      <c r="M67" s="2413"/>
      <c r="N67" s="2410">
        <f>SUM(L67:M67)</f>
        <v>1</v>
      </c>
      <c r="O67" s="2412">
        <v>1</v>
      </c>
      <c r="P67" s="2413"/>
      <c r="Q67" s="2410">
        <f>SUM(O67:P67)</f>
        <v>1</v>
      </c>
      <c r="R67" s="2412"/>
      <c r="S67" s="2413"/>
      <c r="T67" s="2410"/>
      <c r="U67" s="2412"/>
      <c r="V67" s="2413"/>
      <c r="W67" s="2410"/>
      <c r="X67" s="2412"/>
      <c r="Y67" s="2413"/>
      <c r="Z67" s="2410"/>
      <c r="AA67" s="2412"/>
      <c r="AB67" s="2413"/>
      <c r="AC67" s="2410"/>
    </row>
    <row r="68" spans="2:29" ht="15" customHeight="1" x14ac:dyDescent="0.25">
      <c r="B68" s="2418" t="s">
        <v>64</v>
      </c>
      <c r="C68" s="2419">
        <f t="shared" ref="C68:W68" si="49">SUM(C66:C67)</f>
        <v>1</v>
      </c>
      <c r="D68" s="2420">
        <f t="shared" si="49"/>
        <v>1</v>
      </c>
      <c r="E68" s="2421">
        <f t="shared" si="49"/>
        <v>2</v>
      </c>
      <c r="F68" s="2419">
        <f t="shared" si="49"/>
        <v>1</v>
      </c>
      <c r="G68" s="2420">
        <f t="shared" si="49"/>
        <v>0</v>
      </c>
      <c r="H68" s="2421">
        <f t="shared" si="49"/>
        <v>1</v>
      </c>
      <c r="I68" s="2419">
        <f t="shared" si="49"/>
        <v>1</v>
      </c>
      <c r="J68" s="2420">
        <f t="shared" si="49"/>
        <v>0</v>
      </c>
      <c r="K68" s="2421">
        <f t="shared" si="49"/>
        <v>1</v>
      </c>
      <c r="L68" s="2419">
        <f t="shared" si="49"/>
        <v>1</v>
      </c>
      <c r="M68" s="2420">
        <f t="shared" si="49"/>
        <v>0</v>
      </c>
      <c r="N68" s="2421">
        <f t="shared" si="49"/>
        <v>1</v>
      </c>
      <c r="O68" s="2419">
        <f t="shared" si="49"/>
        <v>1</v>
      </c>
      <c r="P68" s="2420">
        <f t="shared" si="49"/>
        <v>0</v>
      </c>
      <c r="Q68" s="2421">
        <f t="shared" si="49"/>
        <v>1</v>
      </c>
      <c r="R68" s="2419">
        <f t="shared" si="49"/>
        <v>0</v>
      </c>
      <c r="S68" s="2420">
        <f t="shared" si="49"/>
        <v>0</v>
      </c>
      <c r="T68" s="2421">
        <f t="shared" si="49"/>
        <v>0</v>
      </c>
      <c r="U68" s="2419">
        <f t="shared" si="49"/>
        <v>0</v>
      </c>
      <c r="V68" s="2420">
        <f t="shared" si="49"/>
        <v>0</v>
      </c>
      <c r="W68" s="2421">
        <f t="shared" si="49"/>
        <v>0</v>
      </c>
      <c r="X68" s="2419">
        <f t="shared" ref="X68:Z68" si="50">SUM(X66:X67)</f>
        <v>0</v>
      </c>
      <c r="Y68" s="2420">
        <f t="shared" si="50"/>
        <v>0</v>
      </c>
      <c r="Z68" s="2421">
        <f t="shared" si="50"/>
        <v>0</v>
      </c>
      <c r="AA68" s="2419">
        <f t="shared" ref="AA68:AC68" si="51">SUM(AA66:AA67)</f>
        <v>0</v>
      </c>
      <c r="AB68" s="2420">
        <f t="shared" si="51"/>
        <v>0</v>
      </c>
      <c r="AC68" s="2421">
        <f t="shared" si="51"/>
        <v>0</v>
      </c>
    </row>
    <row r="69" spans="2:29" ht="15" customHeight="1" x14ac:dyDescent="0.25">
      <c r="B69" s="2441" t="s">
        <v>108</v>
      </c>
      <c r="C69" s="2412"/>
      <c r="D69" s="2413"/>
      <c r="E69" s="2410"/>
      <c r="F69" s="2412"/>
      <c r="G69" s="2413"/>
      <c r="H69" s="2410"/>
      <c r="I69" s="2412"/>
      <c r="J69" s="2413"/>
      <c r="K69" s="2410"/>
      <c r="L69" s="2412"/>
      <c r="M69" s="2413"/>
      <c r="N69" s="2410"/>
      <c r="O69" s="2412"/>
      <c r="P69" s="2413"/>
      <c r="Q69" s="2410"/>
      <c r="R69" s="2412"/>
      <c r="S69" s="2413"/>
      <c r="T69" s="2410"/>
      <c r="U69" s="2412"/>
      <c r="V69" s="2413"/>
      <c r="W69" s="2410"/>
      <c r="X69" s="2412"/>
      <c r="Y69" s="2413"/>
      <c r="Z69" s="2410"/>
      <c r="AA69" s="2412">
        <v>1</v>
      </c>
      <c r="AB69" s="2413"/>
      <c r="AC69" s="2410">
        <f>SUM(AA69:AB69)</f>
        <v>1</v>
      </c>
    </row>
    <row r="70" spans="2:29" ht="15" customHeight="1" x14ac:dyDescent="0.25">
      <c r="B70" s="2422" t="s">
        <v>111</v>
      </c>
      <c r="C70" s="2423"/>
      <c r="D70" s="2424"/>
      <c r="E70" s="2425"/>
      <c r="F70" s="2423"/>
      <c r="G70" s="2424"/>
      <c r="H70" s="2425"/>
      <c r="I70" s="2423"/>
      <c r="J70" s="2424"/>
      <c r="K70" s="2425"/>
      <c r="L70" s="2423"/>
      <c r="M70" s="2424"/>
      <c r="N70" s="2425"/>
      <c r="O70" s="2423"/>
      <c r="P70" s="2424"/>
      <c r="Q70" s="2425"/>
      <c r="R70" s="2423"/>
      <c r="S70" s="2424"/>
      <c r="T70" s="2425"/>
      <c r="U70" s="2423"/>
      <c r="V70" s="2424"/>
      <c r="W70" s="2425"/>
      <c r="X70" s="2423"/>
      <c r="Y70" s="2424"/>
      <c r="Z70" s="2425"/>
      <c r="AA70" s="2423">
        <f>SUM(AA69)</f>
        <v>1</v>
      </c>
      <c r="AB70" s="2424"/>
      <c r="AC70" s="2425">
        <f>SUM(AC69)</f>
        <v>1</v>
      </c>
    </row>
    <row r="71" spans="2:29" ht="15" customHeight="1" x14ac:dyDescent="0.25">
      <c r="B71" s="2442" t="s">
        <v>113</v>
      </c>
      <c r="C71" s="2407">
        <v>1</v>
      </c>
      <c r="D71" s="2408">
        <v>2</v>
      </c>
      <c r="E71" s="2409">
        <f>SUM(C71:D71)</f>
        <v>3</v>
      </c>
      <c r="F71" s="2407">
        <v>2</v>
      </c>
      <c r="G71" s="2408">
        <v>2</v>
      </c>
      <c r="H71" s="2409">
        <f t="shared" si="3"/>
        <v>4</v>
      </c>
      <c r="I71" s="2407">
        <v>2</v>
      </c>
      <c r="J71" s="2408">
        <v>2</v>
      </c>
      <c r="K71" s="2409">
        <f>SUM(I71:J71)</f>
        <v>4</v>
      </c>
      <c r="L71" s="2407">
        <v>1</v>
      </c>
      <c r="M71" s="2408">
        <v>1</v>
      </c>
      <c r="N71" s="2409">
        <f>SUM(L71:M71)</f>
        <v>2</v>
      </c>
      <c r="O71" s="2407">
        <v>1</v>
      </c>
      <c r="P71" s="2408"/>
      <c r="Q71" s="2409">
        <f>SUM(O71:P71)</f>
        <v>1</v>
      </c>
      <c r="R71" s="2407"/>
      <c r="S71" s="2408"/>
      <c r="T71" s="2409">
        <f>SUM(R71:S71)</f>
        <v>0</v>
      </c>
      <c r="U71" s="2407"/>
      <c r="V71" s="2408"/>
      <c r="W71" s="2409"/>
      <c r="X71" s="2407"/>
      <c r="Y71" s="2408"/>
      <c r="Z71" s="2409"/>
      <c r="AA71" s="2407"/>
      <c r="AB71" s="2408"/>
      <c r="AC71" s="2409"/>
    </row>
    <row r="72" spans="2:29" ht="15" customHeight="1" x14ac:dyDescent="0.25">
      <c r="B72" s="2441" t="s">
        <v>114</v>
      </c>
      <c r="C72" s="2412">
        <v>1</v>
      </c>
      <c r="D72" s="2413">
        <v>0</v>
      </c>
      <c r="E72" s="2410">
        <f>SUM(C72:D72)</f>
        <v>1</v>
      </c>
      <c r="F72" s="2412">
        <v>1</v>
      </c>
      <c r="G72" s="2413"/>
      <c r="H72" s="2410">
        <f t="shared" si="3"/>
        <v>1</v>
      </c>
      <c r="I72" s="2412"/>
      <c r="J72" s="2413"/>
      <c r="K72" s="2410">
        <f>SUM(I72:J72)</f>
        <v>0</v>
      </c>
      <c r="L72" s="2412"/>
      <c r="M72" s="2413"/>
      <c r="N72" s="2410">
        <f>SUM(L72:M72)</f>
        <v>0</v>
      </c>
      <c r="O72" s="2412"/>
      <c r="P72" s="2413"/>
      <c r="Q72" s="2410"/>
      <c r="R72" s="2412"/>
      <c r="S72" s="2413"/>
      <c r="T72" s="2410"/>
      <c r="U72" s="2412"/>
      <c r="V72" s="2413"/>
      <c r="W72" s="2410"/>
      <c r="X72" s="2412"/>
      <c r="Y72" s="2413"/>
      <c r="Z72" s="2410"/>
      <c r="AA72" s="2412"/>
      <c r="AB72" s="2413"/>
      <c r="AC72" s="2410"/>
    </row>
    <row r="73" spans="2:29" ht="14.4" x14ac:dyDescent="0.25">
      <c r="B73" s="2418" t="s">
        <v>115</v>
      </c>
      <c r="C73" s="2419">
        <f t="shared" ref="C73:W73" si="52">SUM(C71:C72)</f>
        <v>2</v>
      </c>
      <c r="D73" s="2420">
        <f t="shared" si="52"/>
        <v>2</v>
      </c>
      <c r="E73" s="2421">
        <f t="shared" si="52"/>
        <v>4</v>
      </c>
      <c r="F73" s="2419">
        <f t="shared" si="52"/>
        <v>3</v>
      </c>
      <c r="G73" s="2420">
        <f t="shared" si="52"/>
        <v>2</v>
      </c>
      <c r="H73" s="2421">
        <f t="shared" si="52"/>
        <v>5</v>
      </c>
      <c r="I73" s="2419">
        <f t="shared" si="52"/>
        <v>2</v>
      </c>
      <c r="J73" s="2420">
        <f t="shared" si="52"/>
        <v>2</v>
      </c>
      <c r="K73" s="2421">
        <f t="shared" si="52"/>
        <v>4</v>
      </c>
      <c r="L73" s="2419">
        <f t="shared" si="52"/>
        <v>1</v>
      </c>
      <c r="M73" s="2420">
        <f t="shared" si="52"/>
        <v>1</v>
      </c>
      <c r="N73" s="2421">
        <f t="shared" si="52"/>
        <v>2</v>
      </c>
      <c r="O73" s="2419">
        <f t="shared" si="52"/>
        <v>1</v>
      </c>
      <c r="P73" s="2420">
        <f t="shared" si="52"/>
        <v>0</v>
      </c>
      <c r="Q73" s="2421">
        <f t="shared" si="52"/>
        <v>1</v>
      </c>
      <c r="R73" s="2419">
        <f t="shared" si="52"/>
        <v>0</v>
      </c>
      <c r="S73" s="2420">
        <f t="shared" si="52"/>
        <v>0</v>
      </c>
      <c r="T73" s="2421">
        <f t="shared" si="52"/>
        <v>0</v>
      </c>
      <c r="U73" s="2419">
        <f t="shared" si="52"/>
        <v>0</v>
      </c>
      <c r="V73" s="2420">
        <f t="shared" si="52"/>
        <v>0</v>
      </c>
      <c r="W73" s="2421">
        <f t="shared" si="52"/>
        <v>0</v>
      </c>
      <c r="X73" s="2419">
        <f t="shared" ref="X73:Z73" si="53">SUM(X71:X72)</f>
        <v>0</v>
      </c>
      <c r="Y73" s="2420">
        <f t="shared" si="53"/>
        <v>0</v>
      </c>
      <c r="Z73" s="2421">
        <f t="shared" si="53"/>
        <v>0</v>
      </c>
      <c r="AA73" s="2419">
        <f t="shared" ref="AA73:AC73" si="54">SUM(AA71:AA72)</f>
        <v>0</v>
      </c>
      <c r="AB73" s="2420">
        <f t="shared" si="54"/>
        <v>0</v>
      </c>
      <c r="AC73" s="2421">
        <f t="shared" si="54"/>
        <v>0</v>
      </c>
    </row>
    <row r="74" spans="2:29" ht="14.4" x14ac:dyDescent="0.25">
      <c r="B74" s="5650" t="s">
        <v>116</v>
      </c>
      <c r="C74" s="2444">
        <f t="shared" ref="C74:W74" si="55">SUM(C73,C68)</f>
        <v>3</v>
      </c>
      <c r="D74" s="2445">
        <f t="shared" si="55"/>
        <v>3</v>
      </c>
      <c r="E74" s="2446">
        <f t="shared" si="55"/>
        <v>6</v>
      </c>
      <c r="F74" s="2444">
        <f t="shared" si="55"/>
        <v>4</v>
      </c>
      <c r="G74" s="2445">
        <f t="shared" si="55"/>
        <v>2</v>
      </c>
      <c r="H74" s="2446">
        <f t="shared" si="55"/>
        <v>6</v>
      </c>
      <c r="I74" s="2444">
        <f t="shared" si="55"/>
        <v>3</v>
      </c>
      <c r="J74" s="2445">
        <f t="shared" si="55"/>
        <v>2</v>
      </c>
      <c r="K74" s="2446">
        <f t="shared" si="55"/>
        <v>5</v>
      </c>
      <c r="L74" s="2444">
        <f t="shared" si="55"/>
        <v>2</v>
      </c>
      <c r="M74" s="2445">
        <f t="shared" si="55"/>
        <v>1</v>
      </c>
      <c r="N74" s="2446">
        <f t="shared" si="55"/>
        <v>3</v>
      </c>
      <c r="O74" s="2444">
        <f t="shared" si="55"/>
        <v>2</v>
      </c>
      <c r="P74" s="2445">
        <f t="shared" si="55"/>
        <v>0</v>
      </c>
      <c r="Q74" s="2446">
        <f t="shared" si="55"/>
        <v>2</v>
      </c>
      <c r="R74" s="2444">
        <f t="shared" si="55"/>
        <v>0</v>
      </c>
      <c r="S74" s="2445">
        <f t="shared" si="55"/>
        <v>0</v>
      </c>
      <c r="T74" s="2446">
        <f t="shared" si="55"/>
        <v>0</v>
      </c>
      <c r="U74" s="2444">
        <f t="shared" si="55"/>
        <v>0</v>
      </c>
      <c r="V74" s="2445">
        <f t="shared" si="55"/>
        <v>0</v>
      </c>
      <c r="W74" s="2446">
        <f t="shared" si="55"/>
        <v>0</v>
      </c>
      <c r="X74" s="2444">
        <f t="shared" ref="X74:Z74" si="56">SUM(X73,X68)</f>
        <v>0</v>
      </c>
      <c r="Y74" s="2445">
        <f t="shared" si="56"/>
        <v>0</v>
      </c>
      <c r="Z74" s="2446">
        <f t="shared" si="56"/>
        <v>0</v>
      </c>
      <c r="AA74" s="2444">
        <f>SUM(AA68,AA70,AA73)</f>
        <v>1</v>
      </c>
      <c r="AB74" s="2445">
        <f>SUM(AB68,AB70,AB73)</f>
        <v>0</v>
      </c>
      <c r="AC74" s="2446">
        <f>SUM(AC68,AC70,AC73)</f>
        <v>1</v>
      </c>
    </row>
    <row r="75" spans="2:29" ht="14.4" x14ac:dyDescent="0.25">
      <c r="B75" s="2442" t="s">
        <v>123</v>
      </c>
      <c r="C75" s="2407"/>
      <c r="D75" s="2408"/>
      <c r="E75" s="2409"/>
      <c r="F75" s="2407"/>
      <c r="G75" s="2408"/>
      <c r="H75" s="2409"/>
      <c r="I75" s="2407"/>
      <c r="J75" s="2408"/>
      <c r="K75" s="2409"/>
      <c r="L75" s="2407"/>
      <c r="M75" s="2408"/>
      <c r="N75" s="2409"/>
      <c r="O75" s="2407"/>
      <c r="P75" s="2408"/>
      <c r="Q75" s="2409"/>
      <c r="R75" s="2407"/>
      <c r="S75" s="2408"/>
      <c r="T75" s="2409"/>
      <c r="U75" s="2407"/>
      <c r="V75" s="2408"/>
      <c r="W75" s="2409"/>
      <c r="X75" s="2407"/>
      <c r="Y75" s="2408"/>
      <c r="Z75" s="2409"/>
      <c r="AA75" s="2407"/>
      <c r="AB75" s="2408">
        <v>1</v>
      </c>
      <c r="AC75" s="2409">
        <f>SUM(AA75:AB75)</f>
        <v>1</v>
      </c>
    </row>
    <row r="76" spans="2:29" ht="14.4" x14ac:dyDescent="0.25">
      <c r="B76" s="2441" t="s">
        <v>1648</v>
      </c>
      <c r="C76" s="2412"/>
      <c r="D76" s="2413"/>
      <c r="E76" s="2410"/>
      <c r="F76" s="2412"/>
      <c r="G76" s="2413"/>
      <c r="H76" s="2410"/>
      <c r="I76" s="2412"/>
      <c r="J76" s="2413"/>
      <c r="K76" s="2410"/>
      <c r="L76" s="2412"/>
      <c r="M76" s="2413"/>
      <c r="N76" s="2410"/>
      <c r="O76" s="2412"/>
      <c r="P76" s="2413"/>
      <c r="Q76" s="2410"/>
      <c r="R76" s="2412"/>
      <c r="S76" s="2413"/>
      <c r="T76" s="2410"/>
      <c r="U76" s="2412"/>
      <c r="V76" s="2413"/>
      <c r="W76" s="2410"/>
      <c r="X76" s="2412"/>
      <c r="Y76" s="2413"/>
      <c r="Z76" s="2410"/>
      <c r="AA76" s="2412"/>
      <c r="AB76" s="2413">
        <v>1</v>
      </c>
      <c r="AC76" s="2410">
        <f>SUM(AA76:AB76)</f>
        <v>1</v>
      </c>
    </row>
    <row r="77" spans="2:29" ht="14.4" x14ac:dyDescent="0.25">
      <c r="B77" s="2414" t="s">
        <v>64</v>
      </c>
      <c r="C77" s="2415"/>
      <c r="D77" s="2416"/>
      <c r="E77" s="2417"/>
      <c r="F77" s="2415"/>
      <c r="G77" s="2416"/>
      <c r="H77" s="2417"/>
      <c r="I77" s="2415"/>
      <c r="J77" s="2416"/>
      <c r="K77" s="2417"/>
      <c r="L77" s="2415"/>
      <c r="M77" s="2416"/>
      <c r="N77" s="2417"/>
      <c r="O77" s="2415"/>
      <c r="P77" s="2416"/>
      <c r="Q77" s="2417"/>
      <c r="R77" s="2415"/>
      <c r="S77" s="2416"/>
      <c r="T77" s="2417"/>
      <c r="U77" s="2415"/>
      <c r="V77" s="2416"/>
      <c r="W77" s="2417"/>
      <c r="X77" s="2415"/>
      <c r="Y77" s="2416"/>
      <c r="Z77" s="2417"/>
      <c r="AA77" s="2415"/>
      <c r="AB77" s="2416">
        <f>SUM(AB75:AB76)</f>
        <v>2</v>
      </c>
      <c r="AC77" s="2417">
        <f>SUM(AC75:AC76)</f>
        <v>2</v>
      </c>
    </row>
    <row r="78" spans="2:29" ht="14.4" x14ac:dyDescent="0.25">
      <c r="B78" s="2411" t="s">
        <v>1649</v>
      </c>
      <c r="C78" s="2412"/>
      <c r="D78" s="2413"/>
      <c r="E78" s="2410"/>
      <c r="F78" s="2412"/>
      <c r="G78" s="2413">
        <v>1</v>
      </c>
      <c r="H78" s="2410">
        <f>SUM(F78:G78)</f>
        <v>1</v>
      </c>
      <c r="I78" s="2412"/>
      <c r="J78" s="2413">
        <v>1</v>
      </c>
      <c r="K78" s="2410">
        <f>SUM(I78:J78)</f>
        <v>1</v>
      </c>
      <c r="L78" s="2412"/>
      <c r="M78" s="2413"/>
      <c r="N78" s="2410">
        <f>SUM(L78:M78)</f>
        <v>0</v>
      </c>
      <c r="O78" s="2412"/>
      <c r="P78" s="2413"/>
      <c r="Q78" s="2410"/>
      <c r="R78" s="2412"/>
      <c r="S78" s="2413"/>
      <c r="T78" s="2410"/>
      <c r="U78" s="2412"/>
      <c r="V78" s="2413"/>
      <c r="W78" s="2410"/>
      <c r="X78" s="2412"/>
      <c r="Y78" s="2413"/>
      <c r="Z78" s="2410"/>
      <c r="AA78" s="2412"/>
      <c r="AB78" s="2413"/>
      <c r="AC78" s="2410"/>
    </row>
    <row r="79" spans="2:29" ht="14.4" x14ac:dyDescent="0.25">
      <c r="B79" s="2414" t="s">
        <v>92</v>
      </c>
      <c r="C79" s="2415"/>
      <c r="D79" s="2416"/>
      <c r="E79" s="2417"/>
      <c r="F79" s="2415">
        <f t="shared" ref="F79:K80" si="57">SUM(F78)</f>
        <v>0</v>
      </c>
      <c r="G79" s="2416">
        <f t="shared" si="57"/>
        <v>1</v>
      </c>
      <c r="H79" s="2417">
        <f t="shared" si="57"/>
        <v>1</v>
      </c>
      <c r="I79" s="2415">
        <f t="shared" si="57"/>
        <v>0</v>
      </c>
      <c r="J79" s="2416">
        <f t="shared" si="57"/>
        <v>1</v>
      </c>
      <c r="K79" s="2417">
        <f t="shared" si="57"/>
        <v>1</v>
      </c>
      <c r="L79" s="2415">
        <f t="shared" ref="L79:W80" si="58">SUM(L78)</f>
        <v>0</v>
      </c>
      <c r="M79" s="2416">
        <f t="shared" si="58"/>
        <v>0</v>
      </c>
      <c r="N79" s="2417">
        <f t="shared" si="58"/>
        <v>0</v>
      </c>
      <c r="O79" s="2415">
        <f t="shared" si="58"/>
        <v>0</v>
      </c>
      <c r="P79" s="2416">
        <f t="shared" si="58"/>
        <v>0</v>
      </c>
      <c r="Q79" s="2417">
        <f t="shared" si="58"/>
        <v>0</v>
      </c>
      <c r="R79" s="2415">
        <f t="shared" si="58"/>
        <v>0</v>
      </c>
      <c r="S79" s="2416">
        <f t="shared" si="58"/>
        <v>0</v>
      </c>
      <c r="T79" s="2417">
        <f t="shared" si="58"/>
        <v>0</v>
      </c>
      <c r="U79" s="2415">
        <f t="shared" si="58"/>
        <v>0</v>
      </c>
      <c r="V79" s="2416">
        <f t="shared" si="58"/>
        <v>0</v>
      </c>
      <c r="W79" s="2417">
        <f t="shared" si="58"/>
        <v>0</v>
      </c>
      <c r="X79" s="2415">
        <f t="shared" ref="X79:Z79" si="59">SUM(X78)</f>
        <v>0</v>
      </c>
      <c r="Y79" s="2416">
        <f t="shared" si="59"/>
        <v>0</v>
      </c>
      <c r="Z79" s="2417">
        <f t="shared" si="59"/>
        <v>0</v>
      </c>
      <c r="AA79" s="2415">
        <f t="shared" ref="AA79:AC79" si="60">SUM(AA78)</f>
        <v>0</v>
      </c>
      <c r="AB79" s="2416">
        <f t="shared" si="60"/>
        <v>0</v>
      </c>
      <c r="AC79" s="2417">
        <f t="shared" si="60"/>
        <v>0</v>
      </c>
    </row>
    <row r="80" spans="2:29" ht="14.4" x14ac:dyDescent="0.25">
      <c r="B80" s="5651" t="s">
        <v>127</v>
      </c>
      <c r="C80" s="2447"/>
      <c r="D80" s="2448"/>
      <c r="E80" s="2448"/>
      <c r="F80" s="2449">
        <f t="shared" si="57"/>
        <v>0</v>
      </c>
      <c r="G80" s="2448">
        <f t="shared" si="57"/>
        <v>1</v>
      </c>
      <c r="H80" s="2448">
        <f t="shared" si="57"/>
        <v>1</v>
      </c>
      <c r="I80" s="2449">
        <f t="shared" si="57"/>
        <v>0</v>
      </c>
      <c r="J80" s="2448">
        <f t="shared" si="57"/>
        <v>1</v>
      </c>
      <c r="K80" s="2448">
        <f t="shared" si="57"/>
        <v>1</v>
      </c>
      <c r="L80" s="2449">
        <f t="shared" si="58"/>
        <v>0</v>
      </c>
      <c r="M80" s="2448">
        <f t="shared" si="58"/>
        <v>0</v>
      </c>
      <c r="N80" s="2448">
        <f t="shared" si="58"/>
        <v>0</v>
      </c>
      <c r="O80" s="2449">
        <f t="shared" si="58"/>
        <v>0</v>
      </c>
      <c r="P80" s="2448">
        <f t="shared" si="58"/>
        <v>0</v>
      </c>
      <c r="Q80" s="2448">
        <f t="shared" si="58"/>
        <v>0</v>
      </c>
      <c r="R80" s="2449">
        <f t="shared" si="58"/>
        <v>0</v>
      </c>
      <c r="S80" s="2448">
        <f t="shared" si="58"/>
        <v>0</v>
      </c>
      <c r="T80" s="2448">
        <f t="shared" si="58"/>
        <v>0</v>
      </c>
      <c r="U80" s="2449">
        <f t="shared" si="58"/>
        <v>0</v>
      </c>
      <c r="V80" s="2448">
        <f t="shared" si="58"/>
        <v>0</v>
      </c>
      <c r="W80" s="2448">
        <f t="shared" si="58"/>
        <v>0</v>
      </c>
      <c r="X80" s="2449">
        <f t="shared" ref="X80:Z80" si="61">SUM(X79)</f>
        <v>0</v>
      </c>
      <c r="Y80" s="2448">
        <f t="shared" si="61"/>
        <v>0</v>
      </c>
      <c r="Z80" s="2448">
        <f t="shared" si="61"/>
        <v>0</v>
      </c>
      <c r="AA80" s="2449">
        <f t="shared" ref="AA80" si="62">SUM(AA79)</f>
        <v>0</v>
      </c>
      <c r="AB80" s="2448">
        <f>SUM(AB77,AB79)</f>
        <v>2</v>
      </c>
      <c r="AC80" s="2448">
        <f>SUM(AC77,AC79)</f>
        <v>2</v>
      </c>
    </row>
    <row r="82" spans="2:29" ht="14.4" x14ac:dyDescent="0.25">
      <c r="B82" s="136" t="s">
        <v>431</v>
      </c>
      <c r="C82" s="2450">
        <f t="shared" ref="C82:W82" si="63">SUM(C80,C74,C65,C44,C21)</f>
        <v>40</v>
      </c>
      <c r="D82" s="2451">
        <f t="shared" si="63"/>
        <v>22</v>
      </c>
      <c r="E82" s="2452">
        <f t="shared" si="63"/>
        <v>62</v>
      </c>
      <c r="F82" s="2450">
        <f t="shared" si="63"/>
        <v>40</v>
      </c>
      <c r="G82" s="2451">
        <f t="shared" si="63"/>
        <v>24</v>
      </c>
      <c r="H82" s="2452">
        <f t="shared" si="63"/>
        <v>64</v>
      </c>
      <c r="I82" s="2450">
        <f t="shared" si="63"/>
        <v>33</v>
      </c>
      <c r="J82" s="2451">
        <f t="shared" si="63"/>
        <v>22</v>
      </c>
      <c r="K82" s="2452">
        <f t="shared" si="63"/>
        <v>55</v>
      </c>
      <c r="L82" s="2450">
        <f t="shared" si="63"/>
        <v>28</v>
      </c>
      <c r="M82" s="2451">
        <f t="shared" si="63"/>
        <v>11</v>
      </c>
      <c r="N82" s="2452">
        <f t="shared" si="63"/>
        <v>39</v>
      </c>
      <c r="O82" s="2450">
        <f t="shared" si="63"/>
        <v>18</v>
      </c>
      <c r="P82" s="2451">
        <f t="shared" si="63"/>
        <v>7</v>
      </c>
      <c r="Q82" s="2452">
        <f t="shared" si="63"/>
        <v>25</v>
      </c>
      <c r="R82" s="2450">
        <f t="shared" si="63"/>
        <v>9</v>
      </c>
      <c r="S82" s="2451">
        <f t="shared" si="63"/>
        <v>5</v>
      </c>
      <c r="T82" s="2452">
        <f t="shared" si="63"/>
        <v>14</v>
      </c>
      <c r="U82" s="2450">
        <f t="shared" si="63"/>
        <v>5</v>
      </c>
      <c r="V82" s="2451">
        <f t="shared" si="63"/>
        <v>4</v>
      </c>
      <c r="W82" s="2452">
        <f t="shared" si="63"/>
        <v>9</v>
      </c>
      <c r="X82" s="2450">
        <f t="shared" ref="X82:Z82" si="64">SUM(X80,X74,X65,X44,X21)</f>
        <v>5</v>
      </c>
      <c r="Y82" s="2451">
        <f t="shared" si="64"/>
        <v>3</v>
      </c>
      <c r="Z82" s="2452">
        <f t="shared" si="64"/>
        <v>8</v>
      </c>
      <c r="AA82" s="2450">
        <f t="shared" ref="AA82:AC82" si="65">SUM(AA80,AA74,AA65,AA44,AA21)</f>
        <v>8</v>
      </c>
      <c r="AB82" s="2451">
        <f t="shared" si="65"/>
        <v>5</v>
      </c>
      <c r="AC82" s="2452">
        <f t="shared" si="65"/>
        <v>13</v>
      </c>
    </row>
    <row r="83" spans="2:29" x14ac:dyDescent="0.25">
      <c r="B83" s="2341" t="s">
        <v>622</v>
      </c>
    </row>
  </sheetData>
  <mergeCells count="10">
    <mergeCell ref="AA3:AC3"/>
    <mergeCell ref="X3:Z3"/>
    <mergeCell ref="R3:T3"/>
    <mergeCell ref="U3:W3"/>
    <mergeCell ref="B3:B4"/>
    <mergeCell ref="C3:E3"/>
    <mergeCell ref="F3:H3"/>
    <mergeCell ref="I3:K3"/>
    <mergeCell ref="L3:N3"/>
    <mergeCell ref="O3:Q3"/>
  </mergeCells>
  <printOptions horizontalCentered="1" verticalCentered="1"/>
  <pageMargins left="0.70866141732283472" right="0.70866141732283472" top="0.35433070866141736" bottom="0.35433070866141736" header="0.31496062992125984" footer="0.31496062992125984"/>
  <pageSetup scale="45" firstPageNumber="96" orientation="landscape" useFirstPageNumber="1" r:id="rId1"/>
  <headerFooter scaleWithDoc="0" alignWithMargins="0">
    <oddFooter>&amp;R&amp;P</oddFooter>
  </headerFooter>
  <ignoredErrors>
    <ignoredError sqref="E32:Z39 E41:Z48 E40:Y40 E50:Z52 E49:Y49 E78:Z82 E53:Y53 E12:Z18 E54:Z68 E20:Z30 E71:Z74" formula="1"/>
  </ignoredError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</sheetPr>
  <dimension ref="A1:AL108"/>
  <sheetViews>
    <sheetView showGridLines="0" zoomScaleNormal="100" workbookViewId="0">
      <pane xSplit="2" ySplit="5" topLeftCell="AE102" activePane="bottomRight" state="frozen"/>
      <selection activeCell="Q31" sqref="Q31"/>
      <selection pane="topRight" activeCell="Q31" sqref="Q31"/>
      <selection pane="bottomLeft" activeCell="Q31" sqref="Q31"/>
      <selection pane="bottomRight" activeCell="AP123" sqref="AP123"/>
    </sheetView>
  </sheetViews>
  <sheetFormatPr baseColWidth="10" defaultRowHeight="14.4" x14ac:dyDescent="0.3"/>
  <cols>
    <col min="1" max="1" width="2.88671875" customWidth="1"/>
    <col min="2" max="2" width="48.6640625" bestFit="1" customWidth="1"/>
    <col min="3" max="4" width="9.44140625" style="558" customWidth="1"/>
    <col min="5" max="5" width="7.88671875" style="558" customWidth="1"/>
    <col min="6" max="7" width="9.44140625" style="558" customWidth="1"/>
    <col min="8" max="8" width="7.88671875" customWidth="1"/>
    <col min="9" max="9" width="8.5546875" customWidth="1"/>
    <col min="10" max="10" width="9.44140625" customWidth="1"/>
    <col min="11" max="11" width="7.88671875" customWidth="1"/>
    <col min="12" max="12" width="8.5546875" customWidth="1"/>
    <col min="13" max="13" width="9.44140625" customWidth="1"/>
    <col min="14" max="14" width="7.88671875" customWidth="1"/>
    <col min="15" max="15" width="8.5546875" customWidth="1"/>
    <col min="16" max="16" width="9.44140625" customWidth="1"/>
    <col min="17" max="17" width="7.88671875" customWidth="1"/>
    <col min="18" max="18" width="8.5546875" customWidth="1"/>
    <col min="19" max="19" width="9.44140625" customWidth="1"/>
    <col min="20" max="20" width="7.88671875" customWidth="1"/>
    <col min="21" max="21" width="8.5546875" customWidth="1"/>
    <col min="22" max="22" width="9.44140625" customWidth="1"/>
    <col min="23" max="23" width="7.88671875" customWidth="1"/>
    <col min="24" max="24" width="8.5546875" customWidth="1"/>
    <col min="25" max="25" width="9.44140625" customWidth="1"/>
    <col min="26" max="26" width="7.88671875" customWidth="1"/>
    <col min="27" max="27" width="8.5546875" customWidth="1"/>
    <col min="28" max="28" width="9.44140625" customWidth="1"/>
    <col min="29" max="29" width="7.88671875" customWidth="1"/>
    <col min="30" max="35" width="9.88671875" customWidth="1"/>
    <col min="36" max="36" width="8.5546875" bestFit="1" customWidth="1"/>
    <col min="37" max="37" width="9.44140625" bestFit="1" customWidth="1"/>
  </cols>
  <sheetData>
    <row r="1" spans="1:38" ht="18" x14ac:dyDescent="0.3">
      <c r="B1" s="2453" t="s">
        <v>1493</v>
      </c>
    </row>
    <row r="3" spans="1:38" ht="15" customHeight="1" x14ac:dyDescent="0.25">
      <c r="A3" s="2453"/>
      <c r="B3" s="2453"/>
      <c r="C3" s="6061">
        <v>2015</v>
      </c>
      <c r="D3" s="6062"/>
      <c r="E3" s="6062"/>
      <c r="F3" s="6062"/>
      <c r="G3" s="6062"/>
      <c r="H3" s="6063"/>
      <c r="I3" s="6061">
        <v>2016</v>
      </c>
      <c r="J3" s="6062"/>
      <c r="K3" s="6062"/>
      <c r="L3" s="6062"/>
      <c r="M3" s="6062"/>
      <c r="N3" s="6063"/>
      <c r="O3" s="6061">
        <v>2017</v>
      </c>
      <c r="P3" s="6062"/>
      <c r="Q3" s="6062"/>
      <c r="R3" s="6062"/>
      <c r="S3" s="6062"/>
      <c r="T3" s="6063"/>
      <c r="U3" s="6061">
        <v>2018</v>
      </c>
      <c r="V3" s="6062"/>
      <c r="W3" s="6062"/>
      <c r="X3" s="6062"/>
      <c r="Y3" s="6062"/>
      <c r="Z3" s="6063"/>
    </row>
    <row r="4" spans="1:38" x14ac:dyDescent="0.25">
      <c r="B4" s="6052" t="s">
        <v>624</v>
      </c>
      <c r="C4" s="6058" t="s">
        <v>617</v>
      </c>
      <c r="D4" s="6059"/>
      <c r="E4" s="6059"/>
      <c r="F4" s="6059" t="s">
        <v>618</v>
      </c>
      <c r="G4" s="6059"/>
      <c r="H4" s="6060"/>
      <c r="I4" s="6058" t="s">
        <v>617</v>
      </c>
      <c r="J4" s="6059"/>
      <c r="K4" s="6059"/>
      <c r="L4" s="6059" t="s">
        <v>618</v>
      </c>
      <c r="M4" s="6059"/>
      <c r="N4" s="6060"/>
      <c r="O4" s="6058" t="s">
        <v>617</v>
      </c>
      <c r="P4" s="6059"/>
      <c r="Q4" s="6059"/>
      <c r="R4" s="6059" t="s">
        <v>618</v>
      </c>
      <c r="S4" s="6059"/>
      <c r="T4" s="6060"/>
      <c r="U4" s="6058" t="s">
        <v>617</v>
      </c>
      <c r="V4" s="6059"/>
      <c r="W4" s="6059"/>
      <c r="X4" s="6059" t="s">
        <v>618</v>
      </c>
      <c r="Y4" s="6059"/>
      <c r="Z4" s="6060"/>
      <c r="AA4" s="6059">
        <v>2019</v>
      </c>
      <c r="AB4" s="6059"/>
      <c r="AC4" s="6060"/>
      <c r="AD4" s="6059">
        <v>2020</v>
      </c>
      <c r="AE4" s="6059"/>
      <c r="AF4" s="6060"/>
      <c r="AG4" s="6059">
        <v>2021</v>
      </c>
      <c r="AH4" s="6059"/>
      <c r="AI4" s="6060"/>
      <c r="AJ4" s="6059" t="s">
        <v>1599</v>
      </c>
      <c r="AK4" s="6059"/>
      <c r="AL4" s="6060"/>
    </row>
    <row r="5" spans="1:38" ht="15" customHeight="1" x14ac:dyDescent="0.25">
      <c r="B5" s="6053"/>
      <c r="C5" s="2454" t="s">
        <v>140</v>
      </c>
      <c r="D5" s="2454" t="s">
        <v>141</v>
      </c>
      <c r="E5" s="2455" t="s">
        <v>48</v>
      </c>
      <c r="F5" s="2454" t="s">
        <v>140</v>
      </c>
      <c r="G5" s="2454" t="s">
        <v>141</v>
      </c>
      <c r="H5" s="2455" t="s">
        <v>48</v>
      </c>
      <c r="I5" s="2454" t="s">
        <v>140</v>
      </c>
      <c r="J5" s="2454" t="s">
        <v>141</v>
      </c>
      <c r="K5" s="2455" t="s">
        <v>48</v>
      </c>
      <c r="L5" s="2454" t="s">
        <v>140</v>
      </c>
      <c r="M5" s="2454" t="s">
        <v>141</v>
      </c>
      <c r="N5" s="2455" t="s">
        <v>48</v>
      </c>
      <c r="O5" s="2454" t="s">
        <v>140</v>
      </c>
      <c r="P5" s="2454" t="s">
        <v>141</v>
      </c>
      <c r="Q5" s="2455" t="s">
        <v>48</v>
      </c>
      <c r="R5" s="2454" t="s">
        <v>140</v>
      </c>
      <c r="S5" s="2454" t="s">
        <v>141</v>
      </c>
      <c r="T5" s="2455" t="s">
        <v>48</v>
      </c>
      <c r="U5" s="2454" t="s">
        <v>140</v>
      </c>
      <c r="V5" s="2454" t="s">
        <v>141</v>
      </c>
      <c r="W5" s="2455" t="s">
        <v>48</v>
      </c>
      <c r="X5" s="2454" t="s">
        <v>140</v>
      </c>
      <c r="Y5" s="2454" t="s">
        <v>141</v>
      </c>
      <c r="Z5" s="2455" t="s">
        <v>48</v>
      </c>
      <c r="AA5" s="2454" t="s">
        <v>140</v>
      </c>
      <c r="AB5" s="2454" t="s">
        <v>141</v>
      </c>
      <c r="AC5" s="2455" t="s">
        <v>48</v>
      </c>
      <c r="AD5" s="2454" t="s">
        <v>140</v>
      </c>
      <c r="AE5" s="2454" t="s">
        <v>141</v>
      </c>
      <c r="AF5" s="2455" t="s">
        <v>48</v>
      </c>
      <c r="AG5" s="2454" t="s">
        <v>140</v>
      </c>
      <c r="AH5" s="2454" t="s">
        <v>141</v>
      </c>
      <c r="AI5" s="2455" t="s">
        <v>48</v>
      </c>
      <c r="AJ5" s="2454" t="s">
        <v>140</v>
      </c>
      <c r="AK5" s="2454" t="s">
        <v>141</v>
      </c>
      <c r="AL5" s="2455" t="s">
        <v>48</v>
      </c>
    </row>
    <row r="6" spans="1:38" x14ac:dyDescent="0.25">
      <c r="B6" s="5652" t="s">
        <v>49</v>
      </c>
      <c r="C6" s="2456">
        <v>1</v>
      </c>
      <c r="D6" s="2457">
        <v>1</v>
      </c>
      <c r="E6" s="2458">
        <f>SUM(C6:D6)</f>
        <v>2</v>
      </c>
      <c r="F6" s="2456">
        <v>1</v>
      </c>
      <c r="G6" s="2457">
        <v>1</v>
      </c>
      <c r="H6" s="2458">
        <f>SUM(F6:G6)</f>
        <v>2</v>
      </c>
      <c r="I6" s="2456">
        <v>5</v>
      </c>
      <c r="J6" s="2457">
        <v>1</v>
      </c>
      <c r="K6" s="2458">
        <f>SUM(I6:J6)</f>
        <v>6</v>
      </c>
      <c r="L6" s="2456">
        <v>4</v>
      </c>
      <c r="M6" s="2457">
        <v>1</v>
      </c>
      <c r="N6" s="2458">
        <f>SUM(L6:M6)</f>
        <v>5</v>
      </c>
      <c r="O6" s="2456">
        <v>1</v>
      </c>
      <c r="P6" s="2457"/>
      <c r="Q6" s="2458">
        <f>SUM(O6:P6)</f>
        <v>1</v>
      </c>
      <c r="R6" s="2456">
        <v>1</v>
      </c>
      <c r="S6" s="2457"/>
      <c r="T6" s="2458">
        <f>SUM(R6:S6)</f>
        <v>1</v>
      </c>
      <c r="U6" s="2456">
        <v>3</v>
      </c>
      <c r="V6" s="2459">
        <v>1</v>
      </c>
      <c r="W6" s="2460">
        <f>SUM(U6:V6)</f>
        <v>4</v>
      </c>
      <c r="X6" s="2456">
        <v>2</v>
      </c>
      <c r="Y6" s="2461">
        <v>1</v>
      </c>
      <c r="Z6" s="2457">
        <f>SUM(X6:Y6)</f>
        <v>3</v>
      </c>
      <c r="AA6" s="2456">
        <v>11</v>
      </c>
      <c r="AB6" s="2461">
        <v>6</v>
      </c>
      <c r="AC6" s="2457">
        <f>SUM(AA6:AB6)</f>
        <v>17</v>
      </c>
      <c r="AD6" s="2456">
        <v>3</v>
      </c>
      <c r="AE6" s="2461"/>
      <c r="AF6" s="2457">
        <f>SUM(AD6:AE6)</f>
        <v>3</v>
      </c>
      <c r="AG6" s="2456">
        <v>7</v>
      </c>
      <c r="AH6" s="2461">
        <v>1</v>
      </c>
      <c r="AI6" s="2457">
        <f>SUM(AG6:AH6)</f>
        <v>8</v>
      </c>
      <c r="AJ6" s="2456">
        <v>11</v>
      </c>
      <c r="AK6" s="2461">
        <v>3</v>
      </c>
      <c r="AL6" s="2457">
        <f>SUM(AJ6:AK6)</f>
        <v>14</v>
      </c>
    </row>
    <row r="7" spans="1:38" x14ac:dyDescent="0.25">
      <c r="B7" s="2370" t="s">
        <v>50</v>
      </c>
      <c r="C7" s="2462"/>
      <c r="D7" s="2463"/>
      <c r="E7" s="2464">
        <f t="shared" ref="E7:E70" si="0">SUM(C7:D7)</f>
        <v>0</v>
      </c>
      <c r="F7" s="2462"/>
      <c r="G7" s="2463"/>
      <c r="H7" s="2464"/>
      <c r="I7" s="2462">
        <v>1</v>
      </c>
      <c r="J7" s="2463">
        <v>1</v>
      </c>
      <c r="K7" s="2464">
        <f t="shared" ref="K7:K70" si="1">SUM(I7:J7)</f>
        <v>2</v>
      </c>
      <c r="L7" s="2462">
        <v>1</v>
      </c>
      <c r="M7" s="2463">
        <v>1</v>
      </c>
      <c r="N7" s="2464">
        <f t="shared" ref="N7:N70" si="2">SUM(L7:M7)</f>
        <v>2</v>
      </c>
      <c r="O7" s="2462">
        <v>1</v>
      </c>
      <c r="P7" s="2463"/>
      <c r="Q7" s="2464">
        <f t="shared" ref="Q7:Q70" si="3">SUM(O7:P7)</f>
        <v>1</v>
      </c>
      <c r="R7" s="2462">
        <v>1</v>
      </c>
      <c r="S7" s="2463"/>
      <c r="T7" s="2464">
        <f>SUM(R7:S7)</f>
        <v>1</v>
      </c>
      <c r="U7" s="2462"/>
      <c r="V7" s="2465">
        <v>4</v>
      </c>
      <c r="W7" s="2466">
        <f t="shared" ref="W7:W70" si="4">SUM(U7:V7)</f>
        <v>4</v>
      </c>
      <c r="X7" s="2462">
        <v>0</v>
      </c>
      <c r="Y7" s="2467">
        <v>4</v>
      </c>
      <c r="Z7" s="2463">
        <f t="shared" ref="Z7:Z70" si="5">SUM(X7:Y7)</f>
        <v>4</v>
      </c>
      <c r="AA7" s="2462">
        <v>1</v>
      </c>
      <c r="AB7" s="2467">
        <v>6</v>
      </c>
      <c r="AC7" s="2463">
        <f>SUM(AA7:AB7)</f>
        <v>7</v>
      </c>
      <c r="AD7" s="2462"/>
      <c r="AE7" s="2467">
        <v>6</v>
      </c>
      <c r="AF7" s="2463">
        <f t="shared" ref="AF7:AF70" si="6">SUM(AD7:AE7)</f>
        <v>6</v>
      </c>
      <c r="AG7" s="2462">
        <v>4</v>
      </c>
      <c r="AH7" s="2467">
        <v>13</v>
      </c>
      <c r="AI7" s="2463">
        <f t="shared" ref="AI7:AI70" si="7">SUM(AG7:AH7)</f>
        <v>17</v>
      </c>
      <c r="AJ7" s="2462">
        <v>5</v>
      </c>
      <c r="AK7" s="2467">
        <v>4</v>
      </c>
      <c r="AL7" s="2463">
        <f t="shared" ref="AL7:AL31" si="8">SUM(AJ7:AK7)</f>
        <v>9</v>
      </c>
    </row>
    <row r="8" spans="1:38" x14ac:dyDescent="0.25">
      <c r="B8" s="2370" t="s">
        <v>51</v>
      </c>
      <c r="C8" s="2462"/>
      <c r="D8" s="2463"/>
      <c r="E8" s="2464">
        <f t="shared" si="0"/>
        <v>0</v>
      </c>
      <c r="F8" s="2462"/>
      <c r="G8" s="2463"/>
      <c r="H8" s="2464"/>
      <c r="I8" s="2462"/>
      <c r="J8" s="2463"/>
      <c r="K8" s="2464">
        <f t="shared" si="1"/>
        <v>0</v>
      </c>
      <c r="L8" s="2462"/>
      <c r="M8" s="2463"/>
      <c r="N8" s="2464"/>
      <c r="O8" s="2462"/>
      <c r="P8" s="2463"/>
      <c r="Q8" s="2464">
        <f t="shared" si="3"/>
        <v>0</v>
      </c>
      <c r="R8" s="2462"/>
      <c r="S8" s="2463"/>
      <c r="T8" s="2464"/>
      <c r="U8" s="2462"/>
      <c r="V8" s="2465"/>
      <c r="W8" s="2466">
        <f t="shared" si="4"/>
        <v>0</v>
      </c>
      <c r="X8" s="2462"/>
      <c r="Y8" s="2467"/>
      <c r="Z8" s="2463"/>
      <c r="AA8" s="2462"/>
      <c r="AB8" s="2467">
        <v>2</v>
      </c>
      <c r="AC8" s="2463">
        <f>SUM(AA8:AB8)</f>
        <v>2</v>
      </c>
      <c r="AD8" s="2462"/>
      <c r="AE8" s="2467">
        <v>1</v>
      </c>
      <c r="AF8" s="2463">
        <f t="shared" si="6"/>
        <v>1</v>
      </c>
      <c r="AG8" s="2462">
        <v>0</v>
      </c>
      <c r="AH8" s="2467">
        <v>1</v>
      </c>
      <c r="AI8" s="2463">
        <f t="shared" si="7"/>
        <v>1</v>
      </c>
      <c r="AJ8" s="2462">
        <v>1</v>
      </c>
      <c r="AK8" s="2467">
        <v>3</v>
      </c>
      <c r="AL8" s="2463">
        <f t="shared" si="8"/>
        <v>4</v>
      </c>
    </row>
    <row r="9" spans="1:38" x14ac:dyDescent="0.25">
      <c r="B9" s="2370" t="s">
        <v>57</v>
      </c>
      <c r="C9" s="2462"/>
      <c r="D9" s="2463"/>
      <c r="E9" s="2464">
        <f t="shared" si="0"/>
        <v>0</v>
      </c>
      <c r="F9" s="2462"/>
      <c r="G9" s="2463"/>
      <c r="H9" s="2464"/>
      <c r="I9" s="2462"/>
      <c r="J9" s="2463">
        <v>3</v>
      </c>
      <c r="K9" s="2464">
        <f t="shared" si="1"/>
        <v>3</v>
      </c>
      <c r="L9" s="2462"/>
      <c r="M9" s="2463">
        <v>3</v>
      </c>
      <c r="N9" s="2464">
        <f t="shared" si="2"/>
        <v>3</v>
      </c>
      <c r="O9" s="2462"/>
      <c r="P9" s="2463"/>
      <c r="Q9" s="2464">
        <f t="shared" si="3"/>
        <v>0</v>
      </c>
      <c r="R9" s="2462"/>
      <c r="S9" s="2463"/>
      <c r="T9" s="2464"/>
      <c r="U9" s="2462">
        <v>1</v>
      </c>
      <c r="V9" s="2465">
        <v>3</v>
      </c>
      <c r="W9" s="2466">
        <f t="shared" si="4"/>
        <v>4</v>
      </c>
      <c r="X9" s="2462">
        <v>1</v>
      </c>
      <c r="Y9" s="2467">
        <v>3</v>
      </c>
      <c r="Z9" s="2463">
        <f t="shared" si="5"/>
        <v>4</v>
      </c>
      <c r="AA9" s="2462">
        <v>2</v>
      </c>
      <c r="AB9" s="2467">
        <v>7</v>
      </c>
      <c r="AC9" s="2463">
        <f t="shared" ref="AC9:AC31" si="9">SUM(AA9:AB9)</f>
        <v>9</v>
      </c>
      <c r="AD9" s="2462"/>
      <c r="AE9" s="2467">
        <v>3</v>
      </c>
      <c r="AF9" s="2463">
        <f t="shared" si="6"/>
        <v>3</v>
      </c>
      <c r="AG9" s="2462">
        <v>5</v>
      </c>
      <c r="AH9" s="2467">
        <v>5</v>
      </c>
      <c r="AI9" s="2463">
        <f t="shared" si="7"/>
        <v>10</v>
      </c>
      <c r="AJ9" s="2462">
        <v>1</v>
      </c>
      <c r="AK9" s="2467">
        <v>3</v>
      </c>
      <c r="AL9" s="2463">
        <f t="shared" si="8"/>
        <v>4</v>
      </c>
    </row>
    <row r="10" spans="1:38" x14ac:dyDescent="0.25">
      <c r="B10" s="2370" t="s">
        <v>58</v>
      </c>
      <c r="C10" s="2462"/>
      <c r="D10" s="2463">
        <v>1</v>
      </c>
      <c r="E10" s="2464">
        <f t="shared" si="0"/>
        <v>1</v>
      </c>
      <c r="F10" s="2462"/>
      <c r="G10" s="2463">
        <v>1</v>
      </c>
      <c r="H10" s="2464">
        <f t="shared" ref="H10:H73" si="10">SUM(F10:G10)</f>
        <v>1</v>
      </c>
      <c r="I10" s="2462">
        <v>2</v>
      </c>
      <c r="J10" s="2463">
        <v>2</v>
      </c>
      <c r="K10" s="2464">
        <f t="shared" si="1"/>
        <v>4</v>
      </c>
      <c r="L10" s="2462">
        <v>2</v>
      </c>
      <c r="M10" s="2463">
        <v>2</v>
      </c>
      <c r="N10" s="2464">
        <f t="shared" si="2"/>
        <v>4</v>
      </c>
      <c r="O10" s="2462"/>
      <c r="P10" s="2463"/>
      <c r="Q10" s="2464">
        <f t="shared" si="3"/>
        <v>0</v>
      </c>
      <c r="R10" s="2462"/>
      <c r="S10" s="2463"/>
      <c r="T10" s="2464"/>
      <c r="U10" s="2462"/>
      <c r="V10" s="2465">
        <v>2</v>
      </c>
      <c r="W10" s="2466">
        <f t="shared" si="4"/>
        <v>2</v>
      </c>
      <c r="X10" s="2462">
        <v>0</v>
      </c>
      <c r="Y10" s="2467">
        <v>2</v>
      </c>
      <c r="Z10" s="2463">
        <f t="shared" si="5"/>
        <v>2</v>
      </c>
      <c r="AA10" s="2462">
        <v>1</v>
      </c>
      <c r="AB10" s="2467">
        <v>8</v>
      </c>
      <c r="AC10" s="2463">
        <f t="shared" si="9"/>
        <v>9</v>
      </c>
      <c r="AD10" s="2462">
        <v>1</v>
      </c>
      <c r="AE10" s="2467">
        <v>4</v>
      </c>
      <c r="AF10" s="2463">
        <f t="shared" si="6"/>
        <v>5</v>
      </c>
      <c r="AG10" s="2462">
        <v>4</v>
      </c>
      <c r="AH10" s="2467">
        <v>13</v>
      </c>
      <c r="AI10" s="2463">
        <f t="shared" si="7"/>
        <v>17</v>
      </c>
      <c r="AJ10" s="2462">
        <v>2</v>
      </c>
      <c r="AK10" s="2467">
        <v>23</v>
      </c>
      <c r="AL10" s="2463">
        <f t="shared" si="8"/>
        <v>25</v>
      </c>
    </row>
    <row r="11" spans="1:38" x14ac:dyDescent="0.25">
      <c r="B11" s="2370" t="s">
        <v>52</v>
      </c>
      <c r="C11" s="2462"/>
      <c r="D11" s="2463"/>
      <c r="E11" s="2464">
        <f t="shared" si="0"/>
        <v>0</v>
      </c>
      <c r="F11" s="2462"/>
      <c r="G11" s="2463"/>
      <c r="H11" s="2464"/>
      <c r="I11" s="2462"/>
      <c r="J11" s="2463">
        <v>3</v>
      </c>
      <c r="K11" s="2464">
        <f t="shared" si="1"/>
        <v>3</v>
      </c>
      <c r="L11" s="2462"/>
      <c r="M11" s="2463">
        <v>3</v>
      </c>
      <c r="N11" s="2464">
        <f t="shared" si="2"/>
        <v>3</v>
      </c>
      <c r="O11" s="2462"/>
      <c r="P11" s="2463"/>
      <c r="Q11" s="2464">
        <f t="shared" si="3"/>
        <v>0</v>
      </c>
      <c r="R11" s="2462"/>
      <c r="S11" s="2463"/>
      <c r="T11" s="2464"/>
      <c r="U11" s="2462">
        <v>3</v>
      </c>
      <c r="V11" s="2465">
        <v>3</v>
      </c>
      <c r="W11" s="2466">
        <f t="shared" si="4"/>
        <v>6</v>
      </c>
      <c r="X11" s="2462">
        <v>3</v>
      </c>
      <c r="Y11" s="2467">
        <v>3</v>
      </c>
      <c r="Z11" s="2463">
        <f t="shared" si="5"/>
        <v>6</v>
      </c>
      <c r="AA11" s="2462">
        <v>2</v>
      </c>
      <c r="AB11" s="2467">
        <v>9</v>
      </c>
      <c r="AC11" s="2463">
        <f t="shared" si="9"/>
        <v>11</v>
      </c>
      <c r="AD11" s="2462"/>
      <c r="AE11" s="2467">
        <v>2</v>
      </c>
      <c r="AF11" s="2463">
        <f t="shared" si="6"/>
        <v>2</v>
      </c>
      <c r="AG11" s="2462">
        <v>4</v>
      </c>
      <c r="AH11" s="2467">
        <v>8</v>
      </c>
      <c r="AI11" s="2463">
        <f t="shared" si="7"/>
        <v>12</v>
      </c>
      <c r="AJ11" s="2462">
        <v>2</v>
      </c>
      <c r="AK11" s="2467">
        <v>8</v>
      </c>
      <c r="AL11" s="2463">
        <f t="shared" si="8"/>
        <v>10</v>
      </c>
    </row>
    <row r="12" spans="1:38" x14ac:dyDescent="0.25">
      <c r="B12" s="2370" t="s">
        <v>53</v>
      </c>
      <c r="C12" s="2462"/>
      <c r="D12" s="2463"/>
      <c r="E12" s="2464">
        <f t="shared" si="0"/>
        <v>0</v>
      </c>
      <c r="F12" s="2462"/>
      <c r="G12" s="2463"/>
      <c r="H12" s="2464"/>
      <c r="I12" s="2462">
        <v>2</v>
      </c>
      <c r="J12" s="2463"/>
      <c r="K12" s="2464">
        <f t="shared" si="1"/>
        <v>2</v>
      </c>
      <c r="L12" s="2462">
        <v>2</v>
      </c>
      <c r="M12" s="2463"/>
      <c r="N12" s="2464">
        <f t="shared" si="2"/>
        <v>2</v>
      </c>
      <c r="O12" s="2462"/>
      <c r="P12" s="2463"/>
      <c r="Q12" s="2464">
        <f t="shared" si="3"/>
        <v>0</v>
      </c>
      <c r="R12" s="2462"/>
      <c r="S12" s="2463"/>
      <c r="T12" s="2464"/>
      <c r="U12" s="2462">
        <v>7</v>
      </c>
      <c r="V12" s="2465">
        <v>2</v>
      </c>
      <c r="W12" s="2466">
        <f t="shared" si="4"/>
        <v>9</v>
      </c>
      <c r="X12" s="2462">
        <v>7</v>
      </c>
      <c r="Y12" s="2467">
        <v>2</v>
      </c>
      <c r="Z12" s="2463">
        <f t="shared" si="5"/>
        <v>9</v>
      </c>
      <c r="AA12" s="2462">
        <v>4</v>
      </c>
      <c r="AB12" s="2467">
        <v>12</v>
      </c>
      <c r="AC12" s="2463">
        <f t="shared" si="9"/>
        <v>16</v>
      </c>
      <c r="AD12" s="2462">
        <v>1</v>
      </c>
      <c r="AE12" s="2467">
        <v>3</v>
      </c>
      <c r="AF12" s="2463">
        <f t="shared" si="6"/>
        <v>4</v>
      </c>
      <c r="AG12" s="2462">
        <v>4</v>
      </c>
      <c r="AH12" s="2467">
        <v>9</v>
      </c>
      <c r="AI12" s="2463">
        <f t="shared" si="7"/>
        <v>13</v>
      </c>
      <c r="AJ12" s="2462">
        <v>15</v>
      </c>
      <c r="AK12" s="2467">
        <v>16</v>
      </c>
      <c r="AL12" s="2463">
        <f t="shared" si="8"/>
        <v>31</v>
      </c>
    </row>
    <row r="13" spans="1:38" x14ac:dyDescent="0.25">
      <c r="B13" s="2370" t="s">
        <v>54</v>
      </c>
      <c r="C13" s="2462"/>
      <c r="D13" s="2463">
        <v>1</v>
      </c>
      <c r="E13" s="2464">
        <f t="shared" si="0"/>
        <v>1</v>
      </c>
      <c r="F13" s="2462"/>
      <c r="G13" s="2463">
        <v>1</v>
      </c>
      <c r="H13" s="2464">
        <f t="shared" si="10"/>
        <v>1</v>
      </c>
      <c r="I13" s="2462"/>
      <c r="J13" s="2463">
        <v>2</v>
      </c>
      <c r="K13" s="2464">
        <f t="shared" si="1"/>
        <v>2</v>
      </c>
      <c r="L13" s="2462"/>
      <c r="M13" s="2463">
        <v>2</v>
      </c>
      <c r="N13" s="2464">
        <f t="shared" si="2"/>
        <v>2</v>
      </c>
      <c r="O13" s="2462"/>
      <c r="P13" s="2463"/>
      <c r="Q13" s="2464">
        <f t="shared" si="3"/>
        <v>0</v>
      </c>
      <c r="R13" s="2462"/>
      <c r="S13" s="2463"/>
      <c r="T13" s="2464"/>
      <c r="U13" s="2462"/>
      <c r="V13" s="2465">
        <v>7</v>
      </c>
      <c r="W13" s="2466">
        <f t="shared" si="4"/>
        <v>7</v>
      </c>
      <c r="X13" s="2462">
        <v>0</v>
      </c>
      <c r="Y13" s="2467">
        <v>6</v>
      </c>
      <c r="Z13" s="2463">
        <f t="shared" si="5"/>
        <v>6</v>
      </c>
      <c r="AA13" s="2462">
        <v>1</v>
      </c>
      <c r="AB13" s="2467">
        <v>8</v>
      </c>
      <c r="AC13" s="2463">
        <f t="shared" si="9"/>
        <v>9</v>
      </c>
      <c r="AD13" s="2462"/>
      <c r="AE13" s="2467">
        <v>4</v>
      </c>
      <c r="AF13" s="2463">
        <f t="shared" si="6"/>
        <v>4</v>
      </c>
      <c r="AG13" s="2462">
        <v>1</v>
      </c>
      <c r="AH13" s="2467">
        <v>8</v>
      </c>
      <c r="AI13" s="2463">
        <f t="shared" si="7"/>
        <v>9</v>
      </c>
      <c r="AJ13" s="2462">
        <v>2</v>
      </c>
      <c r="AK13" s="2467">
        <v>8</v>
      </c>
      <c r="AL13" s="2463">
        <f t="shared" si="8"/>
        <v>10</v>
      </c>
    </row>
    <row r="14" spans="1:38" x14ac:dyDescent="0.25">
      <c r="B14" s="2370" t="s">
        <v>55</v>
      </c>
      <c r="C14" s="2462"/>
      <c r="D14" s="2463"/>
      <c r="E14" s="2464">
        <f t="shared" si="0"/>
        <v>0</v>
      </c>
      <c r="F14" s="2462"/>
      <c r="G14" s="2463"/>
      <c r="H14" s="2464"/>
      <c r="I14" s="2462"/>
      <c r="J14" s="2463">
        <v>1</v>
      </c>
      <c r="K14" s="2464">
        <f t="shared" si="1"/>
        <v>1</v>
      </c>
      <c r="L14" s="2462"/>
      <c r="M14" s="2463">
        <v>1</v>
      </c>
      <c r="N14" s="2464">
        <f t="shared" si="2"/>
        <v>1</v>
      </c>
      <c r="O14" s="2462"/>
      <c r="P14" s="2463"/>
      <c r="Q14" s="2464">
        <f t="shared" si="3"/>
        <v>0</v>
      </c>
      <c r="R14" s="2462"/>
      <c r="S14" s="2463"/>
      <c r="T14" s="2464"/>
      <c r="U14" s="2462"/>
      <c r="V14" s="2465"/>
      <c r="W14" s="2466">
        <f t="shared" si="4"/>
        <v>0</v>
      </c>
      <c r="X14" s="2462"/>
      <c r="Y14" s="2467"/>
      <c r="Z14" s="2463"/>
      <c r="AA14" s="2462">
        <v>1</v>
      </c>
      <c r="AB14" s="2467">
        <v>7</v>
      </c>
      <c r="AC14" s="2463">
        <f t="shared" si="9"/>
        <v>8</v>
      </c>
      <c r="AD14" s="2462">
        <v>1</v>
      </c>
      <c r="AE14" s="2467">
        <v>5</v>
      </c>
      <c r="AF14" s="2463">
        <f t="shared" si="6"/>
        <v>6</v>
      </c>
      <c r="AG14" s="2462">
        <v>2</v>
      </c>
      <c r="AH14" s="2467">
        <v>3</v>
      </c>
      <c r="AI14" s="2463">
        <f t="shared" si="7"/>
        <v>5</v>
      </c>
      <c r="AJ14" s="2462">
        <v>2</v>
      </c>
      <c r="AK14" s="2467">
        <v>4</v>
      </c>
      <c r="AL14" s="2463">
        <f t="shared" si="8"/>
        <v>6</v>
      </c>
    </row>
    <row r="15" spans="1:38" x14ac:dyDescent="0.25">
      <c r="B15" s="2370" t="s">
        <v>56</v>
      </c>
      <c r="C15" s="2462">
        <v>1</v>
      </c>
      <c r="D15" s="2463"/>
      <c r="E15" s="2464">
        <f t="shared" si="0"/>
        <v>1</v>
      </c>
      <c r="F15" s="2462">
        <v>1</v>
      </c>
      <c r="G15" s="2463"/>
      <c r="H15" s="2464">
        <f t="shared" si="10"/>
        <v>1</v>
      </c>
      <c r="I15" s="2462"/>
      <c r="J15" s="2463">
        <v>1</v>
      </c>
      <c r="K15" s="2464">
        <f t="shared" si="1"/>
        <v>1</v>
      </c>
      <c r="L15" s="2462"/>
      <c r="M15" s="2463">
        <v>1</v>
      </c>
      <c r="N15" s="2464">
        <f t="shared" si="2"/>
        <v>1</v>
      </c>
      <c r="O15" s="2462"/>
      <c r="P15" s="2463"/>
      <c r="Q15" s="2464">
        <f t="shared" si="3"/>
        <v>0</v>
      </c>
      <c r="R15" s="2462"/>
      <c r="S15" s="2463"/>
      <c r="T15" s="2464"/>
      <c r="U15" s="2462">
        <v>2</v>
      </c>
      <c r="V15" s="2465">
        <v>1</v>
      </c>
      <c r="W15" s="2466">
        <f t="shared" si="4"/>
        <v>3</v>
      </c>
      <c r="X15" s="2462">
        <v>2</v>
      </c>
      <c r="Y15" s="2467">
        <v>1</v>
      </c>
      <c r="Z15" s="2463">
        <f t="shared" si="5"/>
        <v>3</v>
      </c>
      <c r="AA15" s="2462">
        <v>8</v>
      </c>
      <c r="AB15" s="2467">
        <v>4</v>
      </c>
      <c r="AC15" s="2463">
        <f t="shared" si="9"/>
        <v>12</v>
      </c>
      <c r="AD15" s="2462">
        <v>3</v>
      </c>
      <c r="AE15" s="2467"/>
      <c r="AF15" s="2463">
        <f t="shared" si="6"/>
        <v>3</v>
      </c>
      <c r="AG15" s="2462">
        <v>7</v>
      </c>
      <c r="AH15" s="2467">
        <v>4</v>
      </c>
      <c r="AI15" s="2463">
        <f t="shared" si="7"/>
        <v>11</v>
      </c>
      <c r="AJ15" s="2462">
        <v>11</v>
      </c>
      <c r="AK15" s="2467">
        <v>11</v>
      </c>
      <c r="AL15" s="2463">
        <f t="shared" si="8"/>
        <v>22</v>
      </c>
    </row>
    <row r="16" spans="1:38" x14ac:dyDescent="0.25">
      <c r="B16" s="2371" t="s">
        <v>59</v>
      </c>
      <c r="C16" s="2468">
        <f>SUM(C6:C15)</f>
        <v>2</v>
      </c>
      <c r="D16" s="2469">
        <f>SUM(D6:D15)</f>
        <v>3</v>
      </c>
      <c r="E16" s="2470">
        <f t="shared" si="0"/>
        <v>5</v>
      </c>
      <c r="F16" s="2468">
        <f>SUM(F6:F15)</f>
        <v>2</v>
      </c>
      <c r="G16" s="2469">
        <f>SUM(G6:G15)</f>
        <v>3</v>
      </c>
      <c r="H16" s="2470">
        <f t="shared" si="10"/>
        <v>5</v>
      </c>
      <c r="I16" s="2468">
        <f>SUM(I6:I15)</f>
        <v>10</v>
      </c>
      <c r="J16" s="2469">
        <f>SUM(J6:J15)</f>
        <v>14</v>
      </c>
      <c r="K16" s="2470">
        <f t="shared" si="1"/>
        <v>24</v>
      </c>
      <c r="L16" s="2468">
        <f>SUM(L6:L15)</f>
        <v>9</v>
      </c>
      <c r="M16" s="2469">
        <f>SUM(M6:M15)</f>
        <v>14</v>
      </c>
      <c r="N16" s="2470">
        <f t="shared" si="2"/>
        <v>23</v>
      </c>
      <c r="O16" s="2468">
        <f>SUM(O6:O15)</f>
        <v>2</v>
      </c>
      <c r="P16" s="2469">
        <f>SUM(P6:P15)</f>
        <v>0</v>
      </c>
      <c r="Q16" s="2470">
        <f t="shared" si="3"/>
        <v>2</v>
      </c>
      <c r="R16" s="2468">
        <f>SUM(R6:R15)</f>
        <v>2</v>
      </c>
      <c r="S16" s="2469">
        <f>SUM(S6:S15)</f>
        <v>0</v>
      </c>
      <c r="T16" s="2470">
        <f>SUM(R16:S16)</f>
        <v>2</v>
      </c>
      <c r="U16" s="2468">
        <f>SUM(U6:U15)</f>
        <v>16</v>
      </c>
      <c r="V16" s="2471">
        <f>SUM(V6:V15)</f>
        <v>23</v>
      </c>
      <c r="W16" s="2472">
        <f t="shared" si="4"/>
        <v>39</v>
      </c>
      <c r="X16" s="2468">
        <f>SUM(X6:X15)</f>
        <v>15</v>
      </c>
      <c r="Y16" s="2473">
        <f>SUM(Y6:Y15)</f>
        <v>22</v>
      </c>
      <c r="Z16" s="2469">
        <f t="shared" si="5"/>
        <v>37</v>
      </c>
      <c r="AA16" s="2468">
        <f>SUM(AA6:AA15)</f>
        <v>31</v>
      </c>
      <c r="AB16" s="2473">
        <f>SUM(AB6:AB15)</f>
        <v>69</v>
      </c>
      <c r="AC16" s="2469">
        <f t="shared" si="9"/>
        <v>100</v>
      </c>
      <c r="AD16" s="2468">
        <f>SUM(AD6:AD15)</f>
        <v>9</v>
      </c>
      <c r="AE16" s="2473">
        <f>SUM(AE6:AE15)</f>
        <v>28</v>
      </c>
      <c r="AF16" s="2469">
        <f t="shared" si="6"/>
        <v>37</v>
      </c>
      <c r="AG16" s="2468">
        <f>SUM(AG6:AG15)</f>
        <v>38</v>
      </c>
      <c r="AH16" s="2473">
        <f>SUM(AH6:AH15)</f>
        <v>65</v>
      </c>
      <c r="AI16" s="2469">
        <f t="shared" si="7"/>
        <v>103</v>
      </c>
      <c r="AJ16" s="2468">
        <f>SUM(AJ6:AJ15)</f>
        <v>52</v>
      </c>
      <c r="AK16" s="2473">
        <f>SUM(AK6:AK15)</f>
        <v>83</v>
      </c>
      <c r="AL16" s="2469">
        <f t="shared" si="8"/>
        <v>135</v>
      </c>
    </row>
    <row r="17" spans="2:38" x14ac:dyDescent="0.25">
      <c r="B17" s="2370" t="s">
        <v>60</v>
      </c>
      <c r="C17" s="2462">
        <v>1</v>
      </c>
      <c r="D17" s="2463">
        <v>4</v>
      </c>
      <c r="E17" s="2464">
        <f t="shared" si="0"/>
        <v>5</v>
      </c>
      <c r="F17" s="2462">
        <v>1</v>
      </c>
      <c r="G17" s="2463">
        <v>4</v>
      </c>
      <c r="H17" s="2464">
        <f t="shared" si="10"/>
        <v>5</v>
      </c>
      <c r="I17" s="2462">
        <v>10</v>
      </c>
      <c r="J17" s="2463">
        <v>4</v>
      </c>
      <c r="K17" s="2464">
        <f t="shared" si="1"/>
        <v>14</v>
      </c>
      <c r="L17" s="2462">
        <v>10</v>
      </c>
      <c r="M17" s="2463">
        <v>4</v>
      </c>
      <c r="N17" s="2464">
        <f t="shared" si="2"/>
        <v>14</v>
      </c>
      <c r="O17" s="2462">
        <v>1</v>
      </c>
      <c r="P17" s="2463"/>
      <c r="Q17" s="2464">
        <f t="shared" si="3"/>
        <v>1</v>
      </c>
      <c r="R17" s="2462">
        <v>1</v>
      </c>
      <c r="S17" s="2463"/>
      <c r="T17" s="2464">
        <f>SUM(R17:S17)</f>
        <v>1</v>
      </c>
      <c r="U17" s="2462">
        <v>33</v>
      </c>
      <c r="V17" s="2465">
        <v>15</v>
      </c>
      <c r="W17" s="2466">
        <f t="shared" si="4"/>
        <v>48</v>
      </c>
      <c r="X17" s="2462">
        <v>32</v>
      </c>
      <c r="Y17" s="2467">
        <v>14</v>
      </c>
      <c r="Z17" s="2463">
        <f t="shared" si="5"/>
        <v>46</v>
      </c>
      <c r="AA17" s="2462">
        <v>33</v>
      </c>
      <c r="AB17" s="2467">
        <v>21</v>
      </c>
      <c r="AC17" s="2463">
        <f t="shared" si="9"/>
        <v>54</v>
      </c>
      <c r="AD17" s="2462">
        <v>27</v>
      </c>
      <c r="AE17" s="2467">
        <v>10</v>
      </c>
      <c r="AF17" s="2463">
        <f t="shared" si="6"/>
        <v>37</v>
      </c>
      <c r="AG17" s="2462">
        <v>41</v>
      </c>
      <c r="AH17" s="2467">
        <v>10</v>
      </c>
      <c r="AI17" s="2463">
        <f t="shared" si="7"/>
        <v>51</v>
      </c>
      <c r="AJ17" s="2462">
        <v>60</v>
      </c>
      <c r="AK17" s="2467">
        <v>17</v>
      </c>
      <c r="AL17" s="2463">
        <f t="shared" si="8"/>
        <v>77</v>
      </c>
    </row>
    <row r="18" spans="2:38" x14ac:dyDescent="0.25">
      <c r="B18" s="2370" t="s">
        <v>61</v>
      </c>
      <c r="C18" s="2462">
        <v>6</v>
      </c>
      <c r="D18" s="2463">
        <v>5</v>
      </c>
      <c r="E18" s="2464">
        <f t="shared" si="0"/>
        <v>11</v>
      </c>
      <c r="F18" s="2462">
        <v>6</v>
      </c>
      <c r="G18" s="2463">
        <v>4</v>
      </c>
      <c r="H18" s="2464">
        <f t="shared" si="10"/>
        <v>10</v>
      </c>
      <c r="I18" s="2462">
        <v>24</v>
      </c>
      <c r="J18" s="2463">
        <v>8</v>
      </c>
      <c r="K18" s="2464">
        <f t="shared" si="1"/>
        <v>32</v>
      </c>
      <c r="L18" s="2462">
        <v>25</v>
      </c>
      <c r="M18" s="2463">
        <v>10</v>
      </c>
      <c r="N18" s="2464">
        <f t="shared" si="2"/>
        <v>35</v>
      </c>
      <c r="O18" s="2462"/>
      <c r="P18" s="2463"/>
      <c r="Q18" s="2464">
        <f t="shared" si="3"/>
        <v>0</v>
      </c>
      <c r="R18" s="2462"/>
      <c r="S18" s="2463"/>
      <c r="T18" s="2464"/>
      <c r="U18" s="2462">
        <v>57</v>
      </c>
      <c r="V18" s="2465">
        <v>24</v>
      </c>
      <c r="W18" s="2466">
        <f t="shared" si="4"/>
        <v>81</v>
      </c>
      <c r="X18" s="2462">
        <v>54</v>
      </c>
      <c r="Y18" s="2467">
        <v>23</v>
      </c>
      <c r="Z18" s="2463">
        <f t="shared" si="5"/>
        <v>77</v>
      </c>
      <c r="AA18" s="2462">
        <v>62</v>
      </c>
      <c r="AB18" s="2467">
        <v>19</v>
      </c>
      <c r="AC18" s="2463">
        <f t="shared" si="9"/>
        <v>81</v>
      </c>
      <c r="AD18" s="2462">
        <v>18</v>
      </c>
      <c r="AE18" s="2467">
        <v>9</v>
      </c>
      <c r="AF18" s="2463">
        <f t="shared" si="6"/>
        <v>27</v>
      </c>
      <c r="AG18" s="2462">
        <v>63</v>
      </c>
      <c r="AH18" s="2467">
        <v>22</v>
      </c>
      <c r="AI18" s="2463">
        <f t="shared" si="7"/>
        <v>85</v>
      </c>
      <c r="AJ18" s="2462">
        <v>92</v>
      </c>
      <c r="AK18" s="2467">
        <v>51</v>
      </c>
      <c r="AL18" s="2463">
        <f t="shared" si="8"/>
        <v>143</v>
      </c>
    </row>
    <row r="19" spans="2:38" x14ac:dyDescent="0.25">
      <c r="B19" s="2370" t="s">
        <v>62</v>
      </c>
      <c r="C19" s="2462">
        <v>2</v>
      </c>
      <c r="D19" s="2463"/>
      <c r="E19" s="2464">
        <f t="shared" si="0"/>
        <v>2</v>
      </c>
      <c r="F19" s="2462">
        <v>2</v>
      </c>
      <c r="G19" s="2463"/>
      <c r="H19" s="2464">
        <f t="shared" si="10"/>
        <v>2</v>
      </c>
      <c r="I19" s="2462">
        <v>1</v>
      </c>
      <c r="J19" s="2463">
        <v>0</v>
      </c>
      <c r="K19" s="2464">
        <f t="shared" si="1"/>
        <v>1</v>
      </c>
      <c r="L19" s="2462">
        <v>1</v>
      </c>
      <c r="M19" s="2463">
        <v>0</v>
      </c>
      <c r="N19" s="2464">
        <f t="shared" si="2"/>
        <v>1</v>
      </c>
      <c r="O19" s="2462"/>
      <c r="P19" s="2463"/>
      <c r="Q19" s="2464">
        <f t="shared" si="3"/>
        <v>0</v>
      </c>
      <c r="R19" s="2462"/>
      <c r="S19" s="2463"/>
      <c r="T19" s="2464"/>
      <c r="U19" s="2462">
        <v>3</v>
      </c>
      <c r="V19" s="2465"/>
      <c r="W19" s="2466">
        <f t="shared" si="4"/>
        <v>3</v>
      </c>
      <c r="X19" s="2462">
        <v>3</v>
      </c>
      <c r="Y19" s="2467">
        <v>0</v>
      </c>
      <c r="Z19" s="2463">
        <f t="shared" si="5"/>
        <v>3</v>
      </c>
      <c r="AA19" s="2462">
        <v>7</v>
      </c>
      <c r="AB19" s="2467">
        <v>8</v>
      </c>
      <c r="AC19" s="2463">
        <f t="shared" si="9"/>
        <v>15</v>
      </c>
      <c r="AD19" s="2462">
        <v>6</v>
      </c>
      <c r="AE19" s="2467">
        <v>5</v>
      </c>
      <c r="AF19" s="2463">
        <f t="shared" si="6"/>
        <v>11</v>
      </c>
      <c r="AG19" s="2462">
        <v>19</v>
      </c>
      <c r="AH19" s="2467">
        <v>14</v>
      </c>
      <c r="AI19" s="2463">
        <f t="shared" si="7"/>
        <v>33</v>
      </c>
      <c r="AJ19" s="2462">
        <v>29</v>
      </c>
      <c r="AK19" s="2467">
        <v>20</v>
      </c>
      <c r="AL19" s="2463">
        <f t="shared" si="8"/>
        <v>49</v>
      </c>
    </row>
    <row r="20" spans="2:38" x14ac:dyDescent="0.25">
      <c r="B20" s="2370" t="s">
        <v>63</v>
      </c>
      <c r="C20" s="2462">
        <v>2</v>
      </c>
      <c r="D20" s="2463"/>
      <c r="E20" s="2464">
        <f t="shared" si="0"/>
        <v>2</v>
      </c>
      <c r="F20" s="2462">
        <v>2</v>
      </c>
      <c r="G20" s="2463"/>
      <c r="H20" s="2464">
        <f t="shared" si="10"/>
        <v>2</v>
      </c>
      <c r="I20" s="2462">
        <v>3</v>
      </c>
      <c r="J20" s="2463">
        <v>1</v>
      </c>
      <c r="K20" s="2464">
        <f t="shared" si="1"/>
        <v>4</v>
      </c>
      <c r="L20" s="2462">
        <v>3</v>
      </c>
      <c r="M20" s="2463">
        <v>1</v>
      </c>
      <c r="N20" s="2464">
        <f t="shared" si="2"/>
        <v>4</v>
      </c>
      <c r="O20" s="2462"/>
      <c r="P20" s="2463"/>
      <c r="Q20" s="2464">
        <f t="shared" si="3"/>
        <v>0</v>
      </c>
      <c r="R20" s="2462"/>
      <c r="S20" s="2463"/>
      <c r="T20" s="2464"/>
      <c r="U20" s="2462">
        <v>13</v>
      </c>
      <c r="V20" s="2465">
        <v>13</v>
      </c>
      <c r="W20" s="2466">
        <f t="shared" si="4"/>
        <v>26</v>
      </c>
      <c r="X20" s="2462">
        <v>13</v>
      </c>
      <c r="Y20" s="2467">
        <v>12</v>
      </c>
      <c r="Z20" s="2463">
        <f t="shared" si="5"/>
        <v>25</v>
      </c>
      <c r="AA20" s="2462">
        <v>16</v>
      </c>
      <c r="AB20" s="2467">
        <v>3</v>
      </c>
      <c r="AC20" s="2463">
        <f t="shared" si="9"/>
        <v>19</v>
      </c>
      <c r="AD20" s="2462">
        <v>13</v>
      </c>
      <c r="AE20" s="2467">
        <v>1</v>
      </c>
      <c r="AF20" s="2463">
        <f t="shared" si="6"/>
        <v>14</v>
      </c>
      <c r="AG20" s="2462">
        <v>10</v>
      </c>
      <c r="AH20" s="2467">
        <v>2</v>
      </c>
      <c r="AI20" s="2463">
        <f t="shared" si="7"/>
        <v>12</v>
      </c>
      <c r="AJ20" s="2462">
        <v>24</v>
      </c>
      <c r="AK20" s="2467">
        <v>5</v>
      </c>
      <c r="AL20" s="2463">
        <f t="shared" si="8"/>
        <v>29</v>
      </c>
    </row>
    <row r="21" spans="2:38" x14ac:dyDescent="0.25">
      <c r="B21" s="2371" t="s">
        <v>64</v>
      </c>
      <c r="C21" s="2468">
        <f>SUM(C17:C20)</f>
        <v>11</v>
      </c>
      <c r="D21" s="2469">
        <f>SUM(D17:D20)</f>
        <v>9</v>
      </c>
      <c r="E21" s="2470">
        <f t="shared" si="0"/>
        <v>20</v>
      </c>
      <c r="F21" s="2468">
        <f>SUM(F17:F20)</f>
        <v>11</v>
      </c>
      <c r="G21" s="2469">
        <f>SUM(G17:G20)</f>
        <v>8</v>
      </c>
      <c r="H21" s="2470">
        <f t="shared" si="10"/>
        <v>19</v>
      </c>
      <c r="I21" s="2468">
        <f>SUM(I17:I20)</f>
        <v>38</v>
      </c>
      <c r="J21" s="2469">
        <f>SUM(J17:J20)</f>
        <v>13</v>
      </c>
      <c r="K21" s="2470">
        <f t="shared" si="1"/>
        <v>51</v>
      </c>
      <c r="L21" s="2468">
        <f>SUM(L17:L20)</f>
        <v>39</v>
      </c>
      <c r="M21" s="2469">
        <f>SUM(M17:M20)</f>
        <v>15</v>
      </c>
      <c r="N21" s="2470">
        <f t="shared" si="2"/>
        <v>54</v>
      </c>
      <c r="O21" s="2468">
        <f>SUM(O17:O20)</f>
        <v>1</v>
      </c>
      <c r="P21" s="2469">
        <f>SUM(P17:P20)</f>
        <v>0</v>
      </c>
      <c r="Q21" s="2470">
        <f t="shared" si="3"/>
        <v>1</v>
      </c>
      <c r="R21" s="2468">
        <f>SUM(R17:R20)</f>
        <v>1</v>
      </c>
      <c r="S21" s="2469">
        <f>SUM(S17:S20)</f>
        <v>0</v>
      </c>
      <c r="T21" s="2470">
        <f>SUM(R21:S21)</f>
        <v>1</v>
      </c>
      <c r="U21" s="2468">
        <f>SUM(U17:U20)</f>
        <v>106</v>
      </c>
      <c r="V21" s="2471">
        <f>SUM(V17:V20)</f>
        <v>52</v>
      </c>
      <c r="W21" s="2472">
        <f t="shared" si="4"/>
        <v>158</v>
      </c>
      <c r="X21" s="2468">
        <f>SUM(X17:X20)</f>
        <v>102</v>
      </c>
      <c r="Y21" s="2473">
        <f>SUM(Y17:Y20)</f>
        <v>49</v>
      </c>
      <c r="Z21" s="2469">
        <f t="shared" si="5"/>
        <v>151</v>
      </c>
      <c r="AA21" s="2468">
        <f>SUM(AA17:AA20)</f>
        <v>118</v>
      </c>
      <c r="AB21" s="2473">
        <f>SUM(AB17:AB20)</f>
        <v>51</v>
      </c>
      <c r="AC21" s="2469">
        <f t="shared" si="9"/>
        <v>169</v>
      </c>
      <c r="AD21" s="2468">
        <f>SUM(AD17:AD20)</f>
        <v>64</v>
      </c>
      <c r="AE21" s="2473">
        <f>SUM(AE17:AE20)</f>
        <v>25</v>
      </c>
      <c r="AF21" s="2469">
        <f t="shared" si="6"/>
        <v>89</v>
      </c>
      <c r="AG21" s="2468">
        <f>SUM(AG17:AG20)</f>
        <v>133</v>
      </c>
      <c r="AH21" s="2473">
        <f>SUM(AH17:AH20)</f>
        <v>48</v>
      </c>
      <c r="AI21" s="2469">
        <f t="shared" si="7"/>
        <v>181</v>
      </c>
      <c r="AJ21" s="2468">
        <f>SUM(AJ17:AJ20)</f>
        <v>205</v>
      </c>
      <c r="AK21" s="2473">
        <f>SUM(AK17:AK20)</f>
        <v>93</v>
      </c>
      <c r="AL21" s="2469">
        <f t="shared" si="8"/>
        <v>298</v>
      </c>
    </row>
    <row r="22" spans="2:38" x14ac:dyDescent="0.25">
      <c r="B22" s="2370" t="s">
        <v>65</v>
      </c>
      <c r="C22" s="2462">
        <v>1</v>
      </c>
      <c r="D22" s="2463"/>
      <c r="E22" s="2464">
        <f t="shared" si="0"/>
        <v>1</v>
      </c>
      <c r="F22" s="2462">
        <v>1</v>
      </c>
      <c r="G22" s="2463"/>
      <c r="H22" s="2464">
        <f t="shared" si="10"/>
        <v>1</v>
      </c>
      <c r="I22" s="2462">
        <v>3</v>
      </c>
      <c r="J22" s="2463">
        <v>2</v>
      </c>
      <c r="K22" s="2464">
        <f t="shared" si="1"/>
        <v>5</v>
      </c>
      <c r="L22" s="2462">
        <v>3</v>
      </c>
      <c r="M22" s="2463">
        <v>2</v>
      </c>
      <c r="N22" s="2464">
        <f t="shared" si="2"/>
        <v>5</v>
      </c>
      <c r="O22" s="2462"/>
      <c r="P22" s="2463"/>
      <c r="Q22" s="2464">
        <f t="shared" si="3"/>
        <v>0</v>
      </c>
      <c r="R22" s="2462"/>
      <c r="S22" s="2463"/>
      <c r="T22" s="2464"/>
      <c r="U22" s="2462">
        <v>9</v>
      </c>
      <c r="V22" s="2465">
        <v>10</v>
      </c>
      <c r="W22" s="2466">
        <f t="shared" si="4"/>
        <v>19</v>
      </c>
      <c r="X22" s="2462">
        <v>9</v>
      </c>
      <c r="Y22" s="2467">
        <v>10</v>
      </c>
      <c r="Z22" s="2463">
        <f t="shared" si="5"/>
        <v>19</v>
      </c>
      <c r="AA22" s="2462">
        <v>17</v>
      </c>
      <c r="AB22" s="2467">
        <v>8</v>
      </c>
      <c r="AC22" s="2463">
        <f t="shared" si="9"/>
        <v>25</v>
      </c>
      <c r="AD22" s="2462">
        <v>2</v>
      </c>
      <c r="AE22" s="2467">
        <v>3</v>
      </c>
      <c r="AF22" s="2463">
        <f t="shared" si="6"/>
        <v>5</v>
      </c>
      <c r="AG22" s="2462">
        <v>8</v>
      </c>
      <c r="AH22" s="2467">
        <v>11</v>
      </c>
      <c r="AI22" s="2463">
        <f t="shared" si="7"/>
        <v>19</v>
      </c>
      <c r="AJ22" s="2462">
        <v>37</v>
      </c>
      <c r="AK22" s="2467">
        <v>19</v>
      </c>
      <c r="AL22" s="2463">
        <f t="shared" si="8"/>
        <v>56</v>
      </c>
    </row>
    <row r="23" spans="2:38" x14ac:dyDescent="0.25">
      <c r="B23" s="2370" t="s">
        <v>1590</v>
      </c>
      <c r="C23" s="2462"/>
      <c r="D23" s="2463">
        <v>2</v>
      </c>
      <c r="E23" s="2464">
        <f t="shared" si="0"/>
        <v>2</v>
      </c>
      <c r="F23" s="2462"/>
      <c r="G23" s="2463">
        <v>1</v>
      </c>
      <c r="H23" s="2464">
        <f t="shared" si="10"/>
        <v>1</v>
      </c>
      <c r="I23" s="2462">
        <v>9</v>
      </c>
      <c r="J23" s="2463">
        <v>8</v>
      </c>
      <c r="K23" s="2464">
        <f t="shared" si="1"/>
        <v>17</v>
      </c>
      <c r="L23" s="2462">
        <v>9</v>
      </c>
      <c r="M23" s="2463">
        <v>8</v>
      </c>
      <c r="N23" s="2464">
        <f t="shared" si="2"/>
        <v>17</v>
      </c>
      <c r="O23" s="2462">
        <v>4</v>
      </c>
      <c r="P23" s="2463"/>
      <c r="Q23" s="2464">
        <f t="shared" si="3"/>
        <v>4</v>
      </c>
      <c r="R23" s="2462">
        <v>4</v>
      </c>
      <c r="S23" s="2463"/>
      <c r="T23" s="2464">
        <f>SUM(R23:S23)</f>
        <v>4</v>
      </c>
      <c r="U23" s="2462">
        <v>13</v>
      </c>
      <c r="V23" s="2465">
        <v>7</v>
      </c>
      <c r="W23" s="2466">
        <f t="shared" si="4"/>
        <v>20</v>
      </c>
      <c r="X23" s="2462">
        <v>13</v>
      </c>
      <c r="Y23" s="2467">
        <v>6</v>
      </c>
      <c r="Z23" s="2463">
        <f t="shared" si="5"/>
        <v>19</v>
      </c>
      <c r="AA23" s="2462">
        <v>32</v>
      </c>
      <c r="AB23" s="2467">
        <v>16</v>
      </c>
      <c r="AC23" s="2463">
        <f t="shared" si="9"/>
        <v>48</v>
      </c>
      <c r="AD23" s="2462">
        <v>28</v>
      </c>
      <c r="AE23" s="2467">
        <v>5</v>
      </c>
      <c r="AF23" s="2463">
        <f t="shared" si="6"/>
        <v>33</v>
      </c>
      <c r="AG23" s="2462">
        <v>30</v>
      </c>
      <c r="AH23" s="2467">
        <v>18</v>
      </c>
      <c r="AI23" s="2463">
        <f t="shared" si="7"/>
        <v>48</v>
      </c>
      <c r="AJ23" s="2462">
        <v>33</v>
      </c>
      <c r="AK23" s="2467">
        <v>8</v>
      </c>
      <c r="AL23" s="2463">
        <f t="shared" si="8"/>
        <v>41</v>
      </c>
    </row>
    <row r="24" spans="2:38" x14ac:dyDescent="0.25">
      <c r="B24" s="2370" t="s">
        <v>67</v>
      </c>
      <c r="C24" s="2462">
        <v>1</v>
      </c>
      <c r="D24" s="2463"/>
      <c r="E24" s="2464">
        <f t="shared" si="0"/>
        <v>1</v>
      </c>
      <c r="F24" s="2462">
        <v>1</v>
      </c>
      <c r="G24" s="2463"/>
      <c r="H24" s="2464">
        <f t="shared" si="10"/>
        <v>1</v>
      </c>
      <c r="I24" s="2462">
        <v>1</v>
      </c>
      <c r="J24" s="2463"/>
      <c r="K24" s="2464">
        <f t="shared" si="1"/>
        <v>1</v>
      </c>
      <c r="L24" s="2462">
        <v>1</v>
      </c>
      <c r="M24" s="2463"/>
      <c r="N24" s="2464">
        <f t="shared" si="2"/>
        <v>1</v>
      </c>
      <c r="O24" s="2462">
        <v>3</v>
      </c>
      <c r="P24" s="2463"/>
      <c r="Q24" s="2464">
        <f t="shared" si="3"/>
        <v>3</v>
      </c>
      <c r="R24" s="2462">
        <v>3</v>
      </c>
      <c r="S24" s="2463"/>
      <c r="T24" s="2464">
        <f>SUM(R24:S24)</f>
        <v>3</v>
      </c>
      <c r="U24" s="2462">
        <v>8</v>
      </c>
      <c r="V24" s="2465">
        <v>5</v>
      </c>
      <c r="W24" s="2466">
        <f t="shared" si="4"/>
        <v>13</v>
      </c>
      <c r="X24" s="2462">
        <v>6</v>
      </c>
      <c r="Y24" s="2467">
        <v>5</v>
      </c>
      <c r="Z24" s="2463">
        <f t="shared" si="5"/>
        <v>11</v>
      </c>
      <c r="AA24" s="2462">
        <v>25</v>
      </c>
      <c r="AB24" s="2467">
        <v>28</v>
      </c>
      <c r="AC24" s="2463">
        <f t="shared" si="9"/>
        <v>53</v>
      </c>
      <c r="AD24" s="2462">
        <v>10</v>
      </c>
      <c r="AE24" s="2467">
        <v>7</v>
      </c>
      <c r="AF24" s="2463">
        <f t="shared" si="6"/>
        <v>17</v>
      </c>
      <c r="AG24" s="2462">
        <v>19</v>
      </c>
      <c r="AH24" s="2467">
        <v>9</v>
      </c>
      <c r="AI24" s="2463">
        <f t="shared" si="7"/>
        <v>28</v>
      </c>
      <c r="AJ24" s="2462">
        <v>24</v>
      </c>
      <c r="AK24" s="2467">
        <v>8</v>
      </c>
      <c r="AL24" s="2463">
        <f t="shared" si="8"/>
        <v>32</v>
      </c>
    </row>
    <row r="25" spans="2:38" x14ac:dyDescent="0.25">
      <c r="B25" s="2374" t="s">
        <v>68</v>
      </c>
      <c r="C25" s="2474">
        <f>SUM(C22:C24)</f>
        <v>2</v>
      </c>
      <c r="D25" s="2475">
        <f>SUM(D22:D24)</f>
        <v>2</v>
      </c>
      <c r="E25" s="2476">
        <f t="shared" si="0"/>
        <v>4</v>
      </c>
      <c r="F25" s="2474">
        <f>SUM(F22:F24)</f>
        <v>2</v>
      </c>
      <c r="G25" s="2475">
        <f>SUM(G22:G24)</f>
        <v>1</v>
      </c>
      <c r="H25" s="2476">
        <f t="shared" si="10"/>
        <v>3</v>
      </c>
      <c r="I25" s="2474">
        <f>SUM(I22:I24)</f>
        <v>13</v>
      </c>
      <c r="J25" s="2475">
        <f>SUM(J22:J24)</f>
        <v>10</v>
      </c>
      <c r="K25" s="2476">
        <f t="shared" si="1"/>
        <v>23</v>
      </c>
      <c r="L25" s="2474">
        <f>SUM(L22:L24)</f>
        <v>13</v>
      </c>
      <c r="M25" s="2475">
        <f>SUM(M22:M24)</f>
        <v>10</v>
      </c>
      <c r="N25" s="2476">
        <f t="shared" si="2"/>
        <v>23</v>
      </c>
      <c r="O25" s="2474">
        <f>SUM(O22:O24)</f>
        <v>7</v>
      </c>
      <c r="P25" s="2475">
        <f>SUM(P22:P24)</f>
        <v>0</v>
      </c>
      <c r="Q25" s="2476">
        <f t="shared" si="3"/>
        <v>7</v>
      </c>
      <c r="R25" s="2474">
        <f>SUM(R22:R24)</f>
        <v>7</v>
      </c>
      <c r="S25" s="2475">
        <f>SUM(S22:S24)</f>
        <v>0</v>
      </c>
      <c r="T25" s="2476">
        <f>SUM(R25:S25)</f>
        <v>7</v>
      </c>
      <c r="U25" s="2474">
        <f>SUM(U22:U24)</f>
        <v>30</v>
      </c>
      <c r="V25" s="2477">
        <f>SUM(V22:V24)</f>
        <v>22</v>
      </c>
      <c r="W25" s="2478">
        <f t="shared" si="4"/>
        <v>52</v>
      </c>
      <c r="X25" s="2474">
        <f>SUM(X22:X24)</f>
        <v>28</v>
      </c>
      <c r="Y25" s="2479">
        <f>SUM(Y22:Y24)</f>
        <v>21</v>
      </c>
      <c r="Z25" s="2475">
        <f t="shared" si="5"/>
        <v>49</v>
      </c>
      <c r="AA25" s="2474">
        <f>SUM(AA22:AA24)</f>
        <v>74</v>
      </c>
      <c r="AB25" s="2479">
        <f>SUM(AB22:AB24)</f>
        <v>52</v>
      </c>
      <c r="AC25" s="2475">
        <f t="shared" si="9"/>
        <v>126</v>
      </c>
      <c r="AD25" s="2474">
        <f>SUM(AD22:AD24)</f>
        <v>40</v>
      </c>
      <c r="AE25" s="2479">
        <f>SUM(AE22:AE24)</f>
        <v>15</v>
      </c>
      <c r="AF25" s="2475">
        <f t="shared" si="6"/>
        <v>55</v>
      </c>
      <c r="AG25" s="2474">
        <f>SUM(AG22:AG24)</f>
        <v>57</v>
      </c>
      <c r="AH25" s="2479">
        <f>SUM(AH22:AH24)</f>
        <v>38</v>
      </c>
      <c r="AI25" s="2475">
        <f t="shared" si="7"/>
        <v>95</v>
      </c>
      <c r="AJ25" s="2474">
        <f>SUM(AJ22:AJ24)</f>
        <v>94</v>
      </c>
      <c r="AK25" s="2479">
        <f>SUM(AK22:AK24)</f>
        <v>35</v>
      </c>
      <c r="AL25" s="2475">
        <f t="shared" si="8"/>
        <v>129</v>
      </c>
    </row>
    <row r="26" spans="2:38" x14ac:dyDescent="0.25">
      <c r="B26" s="5653" t="s">
        <v>69</v>
      </c>
      <c r="C26" s="2480">
        <f>SUM(C25,C21,C16)</f>
        <v>15</v>
      </c>
      <c r="D26" s="2481">
        <f>SUM(D25,D21,D16)</f>
        <v>14</v>
      </c>
      <c r="E26" s="2482">
        <f t="shared" si="0"/>
        <v>29</v>
      </c>
      <c r="F26" s="2480">
        <f>SUM(F25,F21,F16)</f>
        <v>15</v>
      </c>
      <c r="G26" s="2481">
        <f>SUM(G25,G21,G16)</f>
        <v>12</v>
      </c>
      <c r="H26" s="2482">
        <f t="shared" si="10"/>
        <v>27</v>
      </c>
      <c r="I26" s="2480">
        <f>SUM(I25,I21,I16)</f>
        <v>61</v>
      </c>
      <c r="J26" s="2481">
        <f>SUM(J25,J21,J16)</f>
        <v>37</v>
      </c>
      <c r="K26" s="2482">
        <f t="shared" si="1"/>
        <v>98</v>
      </c>
      <c r="L26" s="2480">
        <f>SUM(L25,L21,L16)</f>
        <v>61</v>
      </c>
      <c r="M26" s="2481">
        <f>SUM(M25,M21,M16)</f>
        <v>39</v>
      </c>
      <c r="N26" s="2482">
        <f t="shared" si="2"/>
        <v>100</v>
      </c>
      <c r="O26" s="2480">
        <f>SUM(O25,O21,O16)</f>
        <v>10</v>
      </c>
      <c r="P26" s="2481">
        <f>SUM(P25,P21,P16)</f>
        <v>0</v>
      </c>
      <c r="Q26" s="2482">
        <f t="shared" si="3"/>
        <v>10</v>
      </c>
      <c r="R26" s="2480">
        <f>SUM(R25,R21,R16)</f>
        <v>10</v>
      </c>
      <c r="S26" s="2481">
        <f>SUM(S25,S21,S16)</f>
        <v>0</v>
      </c>
      <c r="T26" s="2482">
        <f>SUM(R26:S26)</f>
        <v>10</v>
      </c>
      <c r="U26" s="2480">
        <f>SUM(U25,U21,U16)</f>
        <v>152</v>
      </c>
      <c r="V26" s="2483">
        <f>SUM(V25,V21,V16)</f>
        <v>97</v>
      </c>
      <c r="W26" s="2484">
        <f t="shared" si="4"/>
        <v>249</v>
      </c>
      <c r="X26" s="2480">
        <f>SUM(X25,X21,X16)</f>
        <v>145</v>
      </c>
      <c r="Y26" s="2485">
        <f>SUM(Y25,Y21,Y16)</f>
        <v>92</v>
      </c>
      <c r="Z26" s="2481">
        <f t="shared" si="5"/>
        <v>237</v>
      </c>
      <c r="AA26" s="2480">
        <f>SUM(AA25,AA21,AA16)</f>
        <v>223</v>
      </c>
      <c r="AB26" s="2485">
        <f>SUM(AB25,AB21,AB16)</f>
        <v>172</v>
      </c>
      <c r="AC26" s="2481">
        <f t="shared" si="9"/>
        <v>395</v>
      </c>
      <c r="AD26" s="2480">
        <f>SUM(AD25,AD21,AD16)</f>
        <v>113</v>
      </c>
      <c r="AE26" s="2485">
        <f>SUM(AE25,AE21,AE16)</f>
        <v>68</v>
      </c>
      <c r="AF26" s="2481">
        <f t="shared" si="6"/>
        <v>181</v>
      </c>
      <c r="AG26" s="2480">
        <f>SUM(AG25,AG21,AG16)</f>
        <v>228</v>
      </c>
      <c r="AH26" s="2485">
        <f>SUM(AH25,AH21,AH16)</f>
        <v>151</v>
      </c>
      <c r="AI26" s="2481">
        <f t="shared" si="7"/>
        <v>379</v>
      </c>
      <c r="AJ26" s="2480">
        <f>SUM(AJ25,AJ21,AJ16)</f>
        <v>351</v>
      </c>
      <c r="AK26" s="2485">
        <f>SUM(AK25,AK21,AK16)</f>
        <v>211</v>
      </c>
      <c r="AL26" s="2481">
        <f t="shared" si="8"/>
        <v>562</v>
      </c>
    </row>
    <row r="27" spans="2:38" x14ac:dyDescent="0.25">
      <c r="B27" s="2381" t="s">
        <v>76</v>
      </c>
      <c r="C27" s="2486"/>
      <c r="D27" s="2487"/>
      <c r="E27" s="2464">
        <f t="shared" si="0"/>
        <v>0</v>
      </c>
      <c r="F27" s="2486"/>
      <c r="G27" s="2487"/>
      <c r="H27" s="2464"/>
      <c r="I27" s="2486"/>
      <c r="J27" s="2487"/>
      <c r="K27" s="2464">
        <f t="shared" si="1"/>
        <v>0</v>
      </c>
      <c r="L27" s="2486"/>
      <c r="M27" s="2487"/>
      <c r="N27" s="2464"/>
      <c r="O27" s="2486"/>
      <c r="P27" s="2487"/>
      <c r="Q27" s="2464">
        <f t="shared" si="3"/>
        <v>0</v>
      </c>
      <c r="R27" s="2486"/>
      <c r="S27" s="2487"/>
      <c r="T27" s="2464"/>
      <c r="U27" s="2486">
        <v>2</v>
      </c>
      <c r="V27" s="2488">
        <v>3</v>
      </c>
      <c r="W27" s="2466">
        <f t="shared" si="4"/>
        <v>5</v>
      </c>
      <c r="X27" s="2486">
        <v>2</v>
      </c>
      <c r="Y27" s="2489">
        <v>3</v>
      </c>
      <c r="Z27" s="2463">
        <f t="shared" si="5"/>
        <v>5</v>
      </c>
      <c r="AA27" s="2486"/>
      <c r="AB27" s="2489">
        <v>3</v>
      </c>
      <c r="AC27" s="2463">
        <f t="shared" si="9"/>
        <v>3</v>
      </c>
      <c r="AD27" s="2486"/>
      <c r="AE27" s="2489">
        <v>4</v>
      </c>
      <c r="AF27" s="2463">
        <f t="shared" si="6"/>
        <v>4</v>
      </c>
      <c r="AG27" s="2486">
        <v>2</v>
      </c>
      <c r="AH27" s="2489">
        <v>6</v>
      </c>
      <c r="AI27" s="2463">
        <f t="shared" si="7"/>
        <v>8</v>
      </c>
      <c r="AJ27" s="2486">
        <v>1</v>
      </c>
      <c r="AK27" s="2489">
        <v>9</v>
      </c>
      <c r="AL27" s="2463">
        <f t="shared" si="8"/>
        <v>10</v>
      </c>
    </row>
    <row r="28" spans="2:38" x14ac:dyDescent="0.25">
      <c r="B28" s="2370" t="s">
        <v>73</v>
      </c>
      <c r="C28" s="2462">
        <v>1</v>
      </c>
      <c r="D28" s="2463"/>
      <c r="E28" s="2464">
        <f t="shared" si="0"/>
        <v>1</v>
      </c>
      <c r="F28" s="2462">
        <v>1</v>
      </c>
      <c r="G28" s="2463"/>
      <c r="H28" s="2464">
        <f t="shared" si="10"/>
        <v>1</v>
      </c>
      <c r="I28" s="2462"/>
      <c r="J28" s="2463"/>
      <c r="K28" s="2464">
        <f t="shared" si="1"/>
        <v>0</v>
      </c>
      <c r="L28" s="2462">
        <v>1</v>
      </c>
      <c r="M28" s="2463"/>
      <c r="N28" s="2464">
        <f t="shared" si="2"/>
        <v>1</v>
      </c>
      <c r="O28" s="2462"/>
      <c r="P28" s="2463"/>
      <c r="Q28" s="2464">
        <f t="shared" si="3"/>
        <v>0</v>
      </c>
      <c r="R28" s="2462"/>
      <c r="S28" s="2463"/>
      <c r="T28" s="2464"/>
      <c r="U28" s="2462">
        <v>1</v>
      </c>
      <c r="V28" s="2465">
        <v>1</v>
      </c>
      <c r="W28" s="2466">
        <f t="shared" si="4"/>
        <v>2</v>
      </c>
      <c r="X28" s="2462">
        <v>1</v>
      </c>
      <c r="Y28" s="2467">
        <v>1</v>
      </c>
      <c r="Z28" s="2463">
        <f t="shared" si="5"/>
        <v>2</v>
      </c>
      <c r="AA28" s="2462">
        <v>1</v>
      </c>
      <c r="AB28" s="2467"/>
      <c r="AC28" s="2463">
        <f t="shared" si="9"/>
        <v>1</v>
      </c>
      <c r="AD28" s="2462">
        <v>2</v>
      </c>
      <c r="AE28" s="2467">
        <v>3</v>
      </c>
      <c r="AF28" s="2463">
        <f t="shared" si="6"/>
        <v>5</v>
      </c>
      <c r="AG28" s="2462">
        <v>2</v>
      </c>
      <c r="AH28" s="2467">
        <v>10</v>
      </c>
      <c r="AI28" s="2463">
        <f t="shared" si="7"/>
        <v>12</v>
      </c>
      <c r="AJ28" s="2462">
        <v>4</v>
      </c>
      <c r="AK28" s="2467">
        <v>11</v>
      </c>
      <c r="AL28" s="2463">
        <f t="shared" si="8"/>
        <v>15</v>
      </c>
    </row>
    <row r="29" spans="2:38" x14ac:dyDescent="0.25">
      <c r="B29" s="2370" t="s">
        <v>70</v>
      </c>
      <c r="C29" s="2462"/>
      <c r="D29" s="2463">
        <v>1</v>
      </c>
      <c r="E29" s="2464">
        <f t="shared" si="0"/>
        <v>1</v>
      </c>
      <c r="F29" s="2462"/>
      <c r="G29" s="2463">
        <v>1</v>
      </c>
      <c r="H29" s="2464">
        <f t="shared" si="10"/>
        <v>1</v>
      </c>
      <c r="I29" s="2462"/>
      <c r="J29" s="2463"/>
      <c r="K29" s="2464">
        <f t="shared" si="1"/>
        <v>0</v>
      </c>
      <c r="L29" s="2462"/>
      <c r="M29" s="2463"/>
      <c r="N29" s="2464"/>
      <c r="O29" s="2462"/>
      <c r="P29" s="2463"/>
      <c r="Q29" s="2464">
        <f t="shared" si="3"/>
        <v>0</v>
      </c>
      <c r="R29" s="2462"/>
      <c r="S29" s="2463"/>
      <c r="T29" s="2464"/>
      <c r="U29" s="2462">
        <v>2</v>
      </c>
      <c r="V29" s="2465">
        <v>2</v>
      </c>
      <c r="W29" s="2466">
        <f t="shared" si="4"/>
        <v>4</v>
      </c>
      <c r="X29" s="2462">
        <v>2</v>
      </c>
      <c r="Y29" s="2467">
        <v>2</v>
      </c>
      <c r="Z29" s="2463">
        <f t="shared" si="5"/>
        <v>4</v>
      </c>
      <c r="AA29" s="2462">
        <v>3</v>
      </c>
      <c r="AB29" s="2467">
        <v>7</v>
      </c>
      <c r="AC29" s="2463">
        <f t="shared" si="9"/>
        <v>10</v>
      </c>
      <c r="AD29" s="2462"/>
      <c r="AE29" s="2467">
        <v>1</v>
      </c>
      <c r="AF29" s="2463">
        <f t="shared" si="6"/>
        <v>1</v>
      </c>
      <c r="AG29" s="2462">
        <v>5</v>
      </c>
      <c r="AH29" s="2467">
        <v>1</v>
      </c>
      <c r="AI29" s="2463">
        <f t="shared" si="7"/>
        <v>6</v>
      </c>
      <c r="AJ29" s="2462">
        <v>7</v>
      </c>
      <c r="AK29" s="2467">
        <v>3</v>
      </c>
      <c r="AL29" s="2463">
        <f t="shared" si="8"/>
        <v>10</v>
      </c>
    </row>
    <row r="30" spans="2:38" x14ac:dyDescent="0.25">
      <c r="B30" s="2370" t="s">
        <v>57</v>
      </c>
      <c r="C30" s="2462"/>
      <c r="D30" s="2463"/>
      <c r="E30" s="2464">
        <f t="shared" si="0"/>
        <v>0</v>
      </c>
      <c r="F30" s="2462"/>
      <c r="G30" s="2463"/>
      <c r="H30" s="2464"/>
      <c r="I30" s="2462"/>
      <c r="J30" s="2463"/>
      <c r="K30" s="2464">
        <f t="shared" si="1"/>
        <v>0</v>
      </c>
      <c r="L30" s="2462"/>
      <c r="M30" s="2463"/>
      <c r="N30" s="2464"/>
      <c r="O30" s="2462"/>
      <c r="P30" s="2463"/>
      <c r="Q30" s="2464">
        <f t="shared" si="3"/>
        <v>0</v>
      </c>
      <c r="R30" s="2462"/>
      <c r="S30" s="2463"/>
      <c r="T30" s="2464"/>
      <c r="U30" s="2462">
        <v>1</v>
      </c>
      <c r="V30" s="2465">
        <v>3</v>
      </c>
      <c r="W30" s="2466">
        <f t="shared" si="4"/>
        <v>4</v>
      </c>
      <c r="X30" s="2462">
        <v>1</v>
      </c>
      <c r="Y30" s="2467">
        <v>3</v>
      </c>
      <c r="Z30" s="2463">
        <f t="shared" si="5"/>
        <v>4</v>
      </c>
      <c r="AA30" s="2462">
        <v>1</v>
      </c>
      <c r="AB30" s="2467">
        <v>6</v>
      </c>
      <c r="AC30" s="2463">
        <f t="shared" si="9"/>
        <v>7</v>
      </c>
      <c r="AD30" s="2462"/>
      <c r="AE30" s="2467"/>
      <c r="AF30" s="2463">
        <f t="shared" si="6"/>
        <v>0</v>
      </c>
      <c r="AG30" s="2462">
        <v>1</v>
      </c>
      <c r="AH30" s="2467">
        <v>6</v>
      </c>
      <c r="AI30" s="2463">
        <f t="shared" si="7"/>
        <v>7</v>
      </c>
      <c r="AJ30" s="2462">
        <v>1</v>
      </c>
      <c r="AK30" s="2467">
        <v>1</v>
      </c>
      <c r="AL30" s="2463">
        <f t="shared" si="8"/>
        <v>2</v>
      </c>
    </row>
    <row r="31" spans="2:38" x14ac:dyDescent="0.25">
      <c r="B31" s="2370" t="s">
        <v>72</v>
      </c>
      <c r="C31" s="2462"/>
      <c r="D31" s="2463"/>
      <c r="E31" s="2464">
        <f t="shared" si="0"/>
        <v>0</v>
      </c>
      <c r="F31" s="2462"/>
      <c r="G31" s="2463"/>
      <c r="H31" s="2464"/>
      <c r="I31" s="2462">
        <v>1</v>
      </c>
      <c r="J31" s="2463">
        <v>1</v>
      </c>
      <c r="K31" s="2464">
        <f t="shared" si="1"/>
        <v>2</v>
      </c>
      <c r="L31" s="2462">
        <v>1</v>
      </c>
      <c r="M31" s="2463">
        <v>1</v>
      </c>
      <c r="N31" s="2464">
        <f t="shared" si="2"/>
        <v>2</v>
      </c>
      <c r="O31" s="2462"/>
      <c r="P31" s="2463"/>
      <c r="Q31" s="2464">
        <f t="shared" si="3"/>
        <v>0</v>
      </c>
      <c r="R31" s="2462"/>
      <c r="S31" s="2463"/>
      <c r="T31" s="2464"/>
      <c r="U31" s="2462">
        <v>0</v>
      </c>
      <c r="V31" s="2465">
        <v>1</v>
      </c>
      <c r="W31" s="2466">
        <f t="shared" si="4"/>
        <v>1</v>
      </c>
      <c r="X31" s="2462">
        <v>0</v>
      </c>
      <c r="Y31" s="2467">
        <v>1</v>
      </c>
      <c r="Z31" s="2463">
        <f t="shared" si="5"/>
        <v>1</v>
      </c>
      <c r="AA31" s="2462">
        <v>1</v>
      </c>
      <c r="AB31" s="2467">
        <v>3</v>
      </c>
      <c r="AC31" s="2463">
        <f t="shared" si="9"/>
        <v>4</v>
      </c>
      <c r="AD31" s="2462"/>
      <c r="AE31" s="2467">
        <v>7</v>
      </c>
      <c r="AF31" s="2463">
        <f t="shared" si="6"/>
        <v>7</v>
      </c>
      <c r="AG31" s="2462">
        <v>2</v>
      </c>
      <c r="AH31" s="2467">
        <v>7</v>
      </c>
      <c r="AI31" s="2463">
        <f t="shared" si="7"/>
        <v>9</v>
      </c>
      <c r="AJ31" s="2462">
        <v>2</v>
      </c>
      <c r="AK31" s="2467">
        <v>1</v>
      </c>
      <c r="AL31" s="2463">
        <f t="shared" si="8"/>
        <v>3</v>
      </c>
    </row>
    <row r="32" spans="2:38" x14ac:dyDescent="0.25">
      <c r="B32" s="2370" t="s">
        <v>71</v>
      </c>
      <c r="C32" s="2462"/>
      <c r="D32" s="2463"/>
      <c r="E32" s="2464">
        <f t="shared" si="0"/>
        <v>0</v>
      </c>
      <c r="F32" s="2462"/>
      <c r="G32" s="2463"/>
      <c r="H32" s="2464"/>
      <c r="I32" s="2462"/>
      <c r="J32" s="2463">
        <v>1</v>
      </c>
      <c r="K32" s="2464">
        <f t="shared" si="1"/>
        <v>1</v>
      </c>
      <c r="L32" s="2462"/>
      <c r="M32" s="2463">
        <v>1</v>
      </c>
      <c r="N32" s="2464">
        <f t="shared" si="2"/>
        <v>1</v>
      </c>
      <c r="O32" s="2462"/>
      <c r="P32" s="2463"/>
      <c r="Q32" s="2464">
        <f t="shared" si="3"/>
        <v>0</v>
      </c>
      <c r="R32" s="2462"/>
      <c r="S32" s="2463"/>
      <c r="T32" s="2464"/>
      <c r="U32" s="2462">
        <v>0</v>
      </c>
      <c r="V32" s="2465">
        <v>0</v>
      </c>
      <c r="W32" s="2466">
        <f t="shared" si="4"/>
        <v>0</v>
      </c>
      <c r="X32" s="2462"/>
      <c r="Y32" s="2467"/>
      <c r="Z32" s="2463"/>
      <c r="AA32" s="2462"/>
      <c r="AB32" s="2467"/>
      <c r="AC32" s="2463"/>
      <c r="AD32" s="2462"/>
      <c r="AE32" s="2467"/>
      <c r="AF32" s="2463"/>
      <c r="AG32" s="2462"/>
      <c r="AH32" s="2467"/>
      <c r="AI32" s="2463"/>
      <c r="AJ32" s="2462"/>
      <c r="AK32" s="2467"/>
      <c r="AL32" s="2463"/>
    </row>
    <row r="33" spans="2:38" x14ac:dyDescent="0.25">
      <c r="B33" s="2370" t="s">
        <v>56</v>
      </c>
      <c r="C33" s="2462"/>
      <c r="D33" s="2463"/>
      <c r="E33" s="2464">
        <f t="shared" si="0"/>
        <v>0</v>
      </c>
      <c r="F33" s="2462"/>
      <c r="G33" s="2463"/>
      <c r="H33" s="2464"/>
      <c r="I33" s="2462"/>
      <c r="J33" s="2463"/>
      <c r="K33" s="2464">
        <f t="shared" si="1"/>
        <v>0</v>
      </c>
      <c r="L33" s="2462"/>
      <c r="M33" s="2463"/>
      <c r="N33" s="2464"/>
      <c r="O33" s="2462"/>
      <c r="P33" s="2463"/>
      <c r="Q33" s="2464">
        <f t="shared" si="3"/>
        <v>0</v>
      </c>
      <c r="R33" s="2462"/>
      <c r="S33" s="2463"/>
      <c r="T33" s="2464"/>
      <c r="U33" s="2462">
        <v>1</v>
      </c>
      <c r="V33" s="2465">
        <v>4</v>
      </c>
      <c r="W33" s="2466">
        <f t="shared" si="4"/>
        <v>5</v>
      </c>
      <c r="X33" s="2462">
        <v>1</v>
      </c>
      <c r="Y33" s="2467">
        <v>4</v>
      </c>
      <c r="Z33" s="2463">
        <f t="shared" si="5"/>
        <v>5</v>
      </c>
      <c r="AA33" s="2462">
        <v>6</v>
      </c>
      <c r="AB33" s="2467">
        <v>2</v>
      </c>
      <c r="AC33" s="2463">
        <f t="shared" ref="AC33:AC82" si="11">SUM(AA33:AB33)</f>
        <v>8</v>
      </c>
      <c r="AD33" s="2462">
        <v>1</v>
      </c>
      <c r="AE33" s="2467">
        <v>1</v>
      </c>
      <c r="AF33" s="2463">
        <f t="shared" si="6"/>
        <v>2</v>
      </c>
      <c r="AG33" s="2462">
        <v>15</v>
      </c>
      <c r="AH33" s="2467">
        <v>8</v>
      </c>
      <c r="AI33" s="2463">
        <f t="shared" si="7"/>
        <v>23</v>
      </c>
      <c r="AJ33" s="2462">
        <v>2</v>
      </c>
      <c r="AK33" s="2467">
        <v>3</v>
      </c>
      <c r="AL33" s="2463">
        <f t="shared" ref="AL33:AL70" si="12">SUM(AJ33:AK33)</f>
        <v>5</v>
      </c>
    </row>
    <row r="34" spans="2:38" x14ac:dyDescent="0.25">
      <c r="B34" s="2370" t="s">
        <v>74</v>
      </c>
      <c r="C34" s="2462"/>
      <c r="D34" s="2463"/>
      <c r="E34" s="2464">
        <f t="shared" si="0"/>
        <v>0</v>
      </c>
      <c r="F34" s="2462"/>
      <c r="G34" s="2463"/>
      <c r="H34" s="2464"/>
      <c r="I34" s="2462">
        <v>1</v>
      </c>
      <c r="J34" s="2463"/>
      <c r="K34" s="2464">
        <f t="shared" si="1"/>
        <v>1</v>
      </c>
      <c r="L34" s="2462">
        <v>1</v>
      </c>
      <c r="M34" s="2463"/>
      <c r="N34" s="2464">
        <f t="shared" si="2"/>
        <v>1</v>
      </c>
      <c r="O34" s="2462"/>
      <c r="P34" s="2463"/>
      <c r="Q34" s="2464">
        <f t="shared" si="3"/>
        <v>0</v>
      </c>
      <c r="R34" s="2462"/>
      <c r="S34" s="2463"/>
      <c r="T34" s="2464"/>
      <c r="U34" s="2462">
        <v>2</v>
      </c>
      <c r="V34" s="2465">
        <v>0</v>
      </c>
      <c r="W34" s="2466">
        <f t="shared" si="4"/>
        <v>2</v>
      </c>
      <c r="X34" s="2462">
        <v>2</v>
      </c>
      <c r="Y34" s="2467">
        <v>0</v>
      </c>
      <c r="Z34" s="2463">
        <f t="shared" si="5"/>
        <v>2</v>
      </c>
      <c r="AA34" s="2462"/>
      <c r="AB34" s="2467"/>
      <c r="AC34" s="2463">
        <f t="shared" si="11"/>
        <v>0</v>
      </c>
      <c r="AD34" s="2462"/>
      <c r="AE34" s="2467">
        <v>1</v>
      </c>
      <c r="AF34" s="2463">
        <f t="shared" si="6"/>
        <v>1</v>
      </c>
      <c r="AG34" s="2462">
        <v>1</v>
      </c>
      <c r="AH34" s="2467">
        <v>1</v>
      </c>
      <c r="AI34" s="2463">
        <f t="shared" si="7"/>
        <v>2</v>
      </c>
      <c r="AJ34" s="2462"/>
      <c r="AK34" s="2467">
        <v>1</v>
      </c>
      <c r="AL34" s="2463">
        <f t="shared" si="12"/>
        <v>1</v>
      </c>
    </row>
    <row r="35" spans="2:38" x14ac:dyDescent="0.25">
      <c r="B35" s="2370" t="s">
        <v>75</v>
      </c>
      <c r="C35" s="2462"/>
      <c r="D35" s="2463"/>
      <c r="E35" s="2464">
        <f t="shared" si="0"/>
        <v>0</v>
      </c>
      <c r="F35" s="2462"/>
      <c r="G35" s="2463"/>
      <c r="H35" s="2464"/>
      <c r="I35" s="2462"/>
      <c r="J35" s="2463"/>
      <c r="K35" s="2464">
        <f t="shared" si="1"/>
        <v>0</v>
      </c>
      <c r="L35" s="2462"/>
      <c r="M35" s="2463"/>
      <c r="N35" s="2464"/>
      <c r="O35" s="2462"/>
      <c r="P35" s="2463"/>
      <c r="Q35" s="2464">
        <f t="shared" si="3"/>
        <v>0</v>
      </c>
      <c r="R35" s="2462"/>
      <c r="S35" s="2463"/>
      <c r="T35" s="2464"/>
      <c r="U35" s="2462">
        <v>1</v>
      </c>
      <c r="V35" s="2465">
        <v>1</v>
      </c>
      <c r="W35" s="2466">
        <f t="shared" si="4"/>
        <v>2</v>
      </c>
      <c r="X35" s="2462">
        <v>1</v>
      </c>
      <c r="Y35" s="2467">
        <v>1</v>
      </c>
      <c r="Z35" s="2463">
        <f t="shared" si="5"/>
        <v>2</v>
      </c>
      <c r="AA35" s="2462"/>
      <c r="AB35" s="2467">
        <v>1</v>
      </c>
      <c r="AC35" s="2463">
        <f t="shared" si="11"/>
        <v>1</v>
      </c>
      <c r="AD35" s="2462"/>
      <c r="AE35" s="2467"/>
      <c r="AF35" s="2463">
        <f t="shared" si="6"/>
        <v>0</v>
      </c>
      <c r="AG35" s="2462">
        <v>1</v>
      </c>
      <c r="AH35" s="2467">
        <v>4</v>
      </c>
      <c r="AI35" s="2463">
        <f t="shared" si="7"/>
        <v>5</v>
      </c>
      <c r="AJ35" s="2462">
        <v>1</v>
      </c>
      <c r="AK35" s="2467">
        <v>1</v>
      </c>
      <c r="AL35" s="2463">
        <f t="shared" si="12"/>
        <v>2</v>
      </c>
    </row>
    <row r="36" spans="2:38" x14ac:dyDescent="0.25">
      <c r="B36" s="2371" t="s">
        <v>59</v>
      </c>
      <c r="C36" s="2468">
        <f>SUM(C27:C35)</f>
        <v>1</v>
      </c>
      <c r="D36" s="2469">
        <f>SUM(D27:D35)</f>
        <v>1</v>
      </c>
      <c r="E36" s="2470">
        <f t="shared" si="0"/>
        <v>2</v>
      </c>
      <c r="F36" s="2468">
        <f>SUM(F27:F35)</f>
        <v>1</v>
      </c>
      <c r="G36" s="2469">
        <f>SUM(G27:G35)</f>
        <v>1</v>
      </c>
      <c r="H36" s="2470">
        <f t="shared" si="10"/>
        <v>2</v>
      </c>
      <c r="I36" s="2468">
        <f>SUM(I27:I35)</f>
        <v>2</v>
      </c>
      <c r="J36" s="2469">
        <f>SUM(J27:J35)</f>
        <v>2</v>
      </c>
      <c r="K36" s="2470">
        <f t="shared" si="1"/>
        <v>4</v>
      </c>
      <c r="L36" s="2468">
        <f>SUM(L27:L35)</f>
        <v>3</v>
      </c>
      <c r="M36" s="2469">
        <f>SUM(M27:M35)</f>
        <v>2</v>
      </c>
      <c r="N36" s="2470">
        <f t="shared" si="2"/>
        <v>5</v>
      </c>
      <c r="O36" s="2468">
        <f>SUM(O27:O35)</f>
        <v>0</v>
      </c>
      <c r="P36" s="2469">
        <f>SUM(P27:P35)</f>
        <v>0</v>
      </c>
      <c r="Q36" s="2470">
        <f t="shared" si="3"/>
        <v>0</v>
      </c>
      <c r="R36" s="2468">
        <f>SUM(R27:R35)</f>
        <v>0</v>
      </c>
      <c r="S36" s="2469">
        <f>SUM(S27:S35)</f>
        <v>0</v>
      </c>
      <c r="T36" s="2470">
        <f>SUM(R36:S36)</f>
        <v>0</v>
      </c>
      <c r="U36" s="2468">
        <f>SUM(U27:U35)</f>
        <v>10</v>
      </c>
      <c r="V36" s="2471">
        <f>SUM(V27:V35)</f>
        <v>15</v>
      </c>
      <c r="W36" s="2472">
        <f t="shared" si="4"/>
        <v>25</v>
      </c>
      <c r="X36" s="2468">
        <f>SUM(X27:X35)</f>
        <v>10</v>
      </c>
      <c r="Y36" s="2473">
        <f>SUM(Y27:Y35)</f>
        <v>15</v>
      </c>
      <c r="Z36" s="2469">
        <f t="shared" si="5"/>
        <v>25</v>
      </c>
      <c r="AA36" s="2468">
        <f>SUM(AA27:AA35)</f>
        <v>12</v>
      </c>
      <c r="AB36" s="2473">
        <f>SUM(AB27:AB35)</f>
        <v>22</v>
      </c>
      <c r="AC36" s="2469">
        <f t="shared" si="11"/>
        <v>34</v>
      </c>
      <c r="AD36" s="2468">
        <f>SUM(AD27:AD35)</f>
        <v>3</v>
      </c>
      <c r="AE36" s="2473">
        <f>SUM(AE27:AE35)</f>
        <v>17</v>
      </c>
      <c r="AF36" s="2469">
        <f t="shared" si="6"/>
        <v>20</v>
      </c>
      <c r="AG36" s="2468">
        <f>SUM(AG27:AG35)</f>
        <v>29</v>
      </c>
      <c r="AH36" s="2473">
        <f>SUM(AH27:AH35)</f>
        <v>43</v>
      </c>
      <c r="AI36" s="2469">
        <f t="shared" si="7"/>
        <v>72</v>
      </c>
      <c r="AJ36" s="2468">
        <f>SUM(AJ27:AJ35)</f>
        <v>18</v>
      </c>
      <c r="AK36" s="2473">
        <f>SUM(AK27:AK35)</f>
        <v>30</v>
      </c>
      <c r="AL36" s="2469">
        <f t="shared" si="12"/>
        <v>48</v>
      </c>
    </row>
    <row r="37" spans="2:38" x14ac:dyDescent="0.25">
      <c r="B37" s="2370" t="s">
        <v>60</v>
      </c>
      <c r="C37" s="2462">
        <v>1</v>
      </c>
      <c r="D37" s="2463"/>
      <c r="E37" s="2464">
        <f t="shared" si="0"/>
        <v>1</v>
      </c>
      <c r="F37" s="2462">
        <v>1</v>
      </c>
      <c r="G37" s="2463"/>
      <c r="H37" s="2464">
        <f t="shared" si="10"/>
        <v>1</v>
      </c>
      <c r="I37" s="2462">
        <v>12</v>
      </c>
      <c r="J37" s="2463">
        <v>4</v>
      </c>
      <c r="K37" s="2464">
        <f t="shared" si="1"/>
        <v>16</v>
      </c>
      <c r="L37" s="2462">
        <v>12</v>
      </c>
      <c r="M37" s="2463">
        <v>4</v>
      </c>
      <c r="N37" s="2464">
        <f t="shared" si="2"/>
        <v>16</v>
      </c>
      <c r="O37" s="2462"/>
      <c r="P37" s="2463"/>
      <c r="Q37" s="2464">
        <f t="shared" si="3"/>
        <v>0</v>
      </c>
      <c r="R37" s="2462"/>
      <c r="S37" s="2463"/>
      <c r="T37" s="2464"/>
      <c r="U37" s="2462">
        <v>23</v>
      </c>
      <c r="V37" s="2465">
        <v>8</v>
      </c>
      <c r="W37" s="2466">
        <f t="shared" si="4"/>
        <v>31</v>
      </c>
      <c r="X37" s="2462">
        <v>22</v>
      </c>
      <c r="Y37" s="2467">
        <v>8</v>
      </c>
      <c r="Z37" s="2463">
        <f t="shared" si="5"/>
        <v>30</v>
      </c>
      <c r="AA37" s="2462">
        <v>27</v>
      </c>
      <c r="AB37" s="2467">
        <v>17</v>
      </c>
      <c r="AC37" s="2463">
        <f t="shared" si="11"/>
        <v>44</v>
      </c>
      <c r="AD37" s="2462">
        <v>28</v>
      </c>
      <c r="AE37" s="2467">
        <v>13</v>
      </c>
      <c r="AF37" s="2463">
        <f t="shared" si="6"/>
        <v>41</v>
      </c>
      <c r="AG37" s="2462">
        <v>40</v>
      </c>
      <c r="AH37" s="2467">
        <v>17</v>
      </c>
      <c r="AI37" s="2463">
        <f t="shared" si="7"/>
        <v>57</v>
      </c>
      <c r="AJ37" s="2462">
        <v>47</v>
      </c>
      <c r="AK37" s="2467">
        <v>19</v>
      </c>
      <c r="AL37" s="2463">
        <f t="shared" si="12"/>
        <v>66</v>
      </c>
    </row>
    <row r="38" spans="2:38" x14ac:dyDescent="0.25">
      <c r="B38" s="2370" t="s">
        <v>78</v>
      </c>
      <c r="C38" s="2462">
        <v>1</v>
      </c>
      <c r="D38" s="2463"/>
      <c r="E38" s="2464">
        <f t="shared" si="0"/>
        <v>1</v>
      </c>
      <c r="F38" s="2462">
        <v>1</v>
      </c>
      <c r="G38" s="2463"/>
      <c r="H38" s="2464">
        <f t="shared" si="10"/>
        <v>1</v>
      </c>
      <c r="I38" s="2462">
        <v>1</v>
      </c>
      <c r="J38" s="2463"/>
      <c r="K38" s="2464">
        <f t="shared" si="1"/>
        <v>1</v>
      </c>
      <c r="L38" s="2462">
        <v>1</v>
      </c>
      <c r="M38" s="2463"/>
      <c r="N38" s="2464">
        <f t="shared" si="2"/>
        <v>1</v>
      </c>
      <c r="O38" s="2462"/>
      <c r="P38" s="2463"/>
      <c r="Q38" s="2464">
        <f t="shared" si="3"/>
        <v>0</v>
      </c>
      <c r="R38" s="2462"/>
      <c r="S38" s="2463"/>
      <c r="T38" s="2464"/>
      <c r="U38" s="2462">
        <v>4</v>
      </c>
      <c r="V38" s="2465">
        <v>0</v>
      </c>
      <c r="W38" s="2466">
        <f t="shared" si="4"/>
        <v>4</v>
      </c>
      <c r="X38" s="2462">
        <v>4</v>
      </c>
      <c r="Y38" s="2467">
        <v>0</v>
      </c>
      <c r="Z38" s="2463">
        <f t="shared" si="5"/>
        <v>4</v>
      </c>
      <c r="AA38" s="2462">
        <v>1</v>
      </c>
      <c r="AB38" s="2467"/>
      <c r="AC38" s="2463">
        <f t="shared" si="11"/>
        <v>1</v>
      </c>
      <c r="AD38" s="2462">
        <v>1</v>
      </c>
      <c r="AE38" s="2467">
        <v>0</v>
      </c>
      <c r="AF38" s="2463">
        <f t="shared" si="6"/>
        <v>1</v>
      </c>
      <c r="AG38" s="2462">
        <v>3</v>
      </c>
      <c r="AH38" s="2467">
        <v>1</v>
      </c>
      <c r="AI38" s="2463">
        <f t="shared" si="7"/>
        <v>4</v>
      </c>
      <c r="AJ38" s="2462">
        <v>3</v>
      </c>
      <c r="AK38" s="2467">
        <v>2</v>
      </c>
      <c r="AL38" s="2463">
        <f t="shared" si="12"/>
        <v>5</v>
      </c>
    </row>
    <row r="39" spans="2:38" x14ac:dyDescent="0.25">
      <c r="B39" s="2370" t="s">
        <v>1650</v>
      </c>
      <c r="C39" s="2462"/>
      <c r="D39" s="2463">
        <v>1</v>
      </c>
      <c r="E39" s="2464">
        <f t="shared" si="0"/>
        <v>1</v>
      </c>
      <c r="F39" s="2462"/>
      <c r="G39" s="2463">
        <v>1</v>
      </c>
      <c r="H39" s="2464">
        <f t="shared" si="10"/>
        <v>1</v>
      </c>
      <c r="I39" s="2462">
        <v>3</v>
      </c>
      <c r="J39" s="2463">
        <v>4</v>
      </c>
      <c r="K39" s="2464">
        <f t="shared" si="1"/>
        <v>7</v>
      </c>
      <c r="L39" s="2462">
        <v>3</v>
      </c>
      <c r="M39" s="2463">
        <v>5</v>
      </c>
      <c r="N39" s="2464">
        <f t="shared" si="2"/>
        <v>8</v>
      </c>
      <c r="O39" s="2462"/>
      <c r="P39" s="2463"/>
      <c r="Q39" s="2464">
        <f t="shared" si="3"/>
        <v>0</v>
      </c>
      <c r="R39" s="2462"/>
      <c r="S39" s="2463"/>
      <c r="T39" s="2464"/>
      <c r="U39" s="2462">
        <v>5</v>
      </c>
      <c r="V39" s="2465">
        <v>5</v>
      </c>
      <c r="W39" s="2466">
        <f t="shared" si="4"/>
        <v>10</v>
      </c>
      <c r="X39" s="2462">
        <v>5</v>
      </c>
      <c r="Y39" s="2467">
        <v>5</v>
      </c>
      <c r="Z39" s="2463">
        <f t="shared" si="5"/>
        <v>10</v>
      </c>
      <c r="AA39" s="2462">
        <v>6</v>
      </c>
      <c r="AB39" s="2467">
        <v>4</v>
      </c>
      <c r="AC39" s="2463">
        <f t="shared" si="11"/>
        <v>10</v>
      </c>
      <c r="AD39" s="2462">
        <v>3</v>
      </c>
      <c r="AE39" s="2467">
        <v>8</v>
      </c>
      <c r="AF39" s="2463">
        <f t="shared" si="6"/>
        <v>11</v>
      </c>
      <c r="AG39" s="2462">
        <v>4</v>
      </c>
      <c r="AH39" s="2467">
        <v>2</v>
      </c>
      <c r="AI39" s="2463">
        <f t="shared" si="7"/>
        <v>6</v>
      </c>
      <c r="AJ39" s="2462">
        <v>5</v>
      </c>
      <c r="AK39" s="2467">
        <v>8</v>
      </c>
      <c r="AL39" s="2463">
        <f t="shared" si="12"/>
        <v>13</v>
      </c>
    </row>
    <row r="40" spans="2:38" x14ac:dyDescent="0.25">
      <c r="B40" s="2370" t="s">
        <v>62</v>
      </c>
      <c r="C40" s="2462">
        <v>5</v>
      </c>
      <c r="D40" s="2463">
        <v>6</v>
      </c>
      <c r="E40" s="2464">
        <f t="shared" si="0"/>
        <v>11</v>
      </c>
      <c r="F40" s="2462">
        <v>5</v>
      </c>
      <c r="G40" s="2463">
        <v>6</v>
      </c>
      <c r="H40" s="2464">
        <f t="shared" si="10"/>
        <v>11</v>
      </c>
      <c r="I40" s="2462">
        <v>2</v>
      </c>
      <c r="J40" s="2463">
        <v>1</v>
      </c>
      <c r="K40" s="2464">
        <f t="shared" si="1"/>
        <v>3</v>
      </c>
      <c r="L40" s="2462">
        <v>4</v>
      </c>
      <c r="M40" s="2463">
        <v>3</v>
      </c>
      <c r="N40" s="2464">
        <f t="shared" si="2"/>
        <v>7</v>
      </c>
      <c r="O40" s="2462"/>
      <c r="P40" s="2463">
        <v>1</v>
      </c>
      <c r="Q40" s="2464">
        <f t="shared" si="3"/>
        <v>1</v>
      </c>
      <c r="R40" s="2462"/>
      <c r="S40" s="2463">
        <v>1</v>
      </c>
      <c r="T40" s="2464">
        <f>SUM(R40:S40)</f>
        <v>1</v>
      </c>
      <c r="U40" s="2462">
        <v>0</v>
      </c>
      <c r="V40" s="2465">
        <v>2</v>
      </c>
      <c r="W40" s="2466">
        <f t="shared" si="4"/>
        <v>2</v>
      </c>
      <c r="X40" s="2462">
        <v>0</v>
      </c>
      <c r="Y40" s="2467">
        <v>2</v>
      </c>
      <c r="Z40" s="2463">
        <f t="shared" si="5"/>
        <v>2</v>
      </c>
      <c r="AA40" s="2462">
        <v>3</v>
      </c>
      <c r="AB40" s="2467">
        <v>1</v>
      </c>
      <c r="AC40" s="2463">
        <f t="shared" si="11"/>
        <v>4</v>
      </c>
      <c r="AD40" s="2462">
        <v>5</v>
      </c>
      <c r="AE40" s="2467">
        <v>1</v>
      </c>
      <c r="AF40" s="2463">
        <f t="shared" si="6"/>
        <v>6</v>
      </c>
      <c r="AG40" s="2462">
        <v>5</v>
      </c>
      <c r="AH40" s="2467">
        <v>6</v>
      </c>
      <c r="AI40" s="2463">
        <f t="shared" si="7"/>
        <v>11</v>
      </c>
      <c r="AJ40" s="2462">
        <v>7</v>
      </c>
      <c r="AK40" s="2467">
        <v>8</v>
      </c>
      <c r="AL40" s="2463">
        <f t="shared" si="12"/>
        <v>15</v>
      </c>
    </row>
    <row r="41" spans="2:38" x14ac:dyDescent="0.25">
      <c r="B41" s="2370" t="s">
        <v>80</v>
      </c>
      <c r="C41" s="2462">
        <v>1</v>
      </c>
      <c r="D41" s="2463"/>
      <c r="E41" s="2464">
        <f t="shared" si="0"/>
        <v>1</v>
      </c>
      <c r="F41" s="2462">
        <v>1</v>
      </c>
      <c r="G41" s="2463"/>
      <c r="H41" s="2464">
        <f t="shared" si="10"/>
        <v>1</v>
      </c>
      <c r="I41" s="2462"/>
      <c r="J41" s="2463">
        <v>1</v>
      </c>
      <c r="K41" s="2464">
        <f t="shared" si="1"/>
        <v>1</v>
      </c>
      <c r="L41" s="2462"/>
      <c r="M41" s="2463">
        <v>1</v>
      </c>
      <c r="N41" s="2464">
        <f t="shared" si="2"/>
        <v>1</v>
      </c>
      <c r="O41" s="2462"/>
      <c r="P41" s="2463">
        <v>1</v>
      </c>
      <c r="Q41" s="2464">
        <f t="shared" si="3"/>
        <v>1</v>
      </c>
      <c r="R41" s="2462"/>
      <c r="S41" s="2463">
        <v>1</v>
      </c>
      <c r="T41" s="2464">
        <f>SUM(R41:S41)</f>
        <v>1</v>
      </c>
      <c r="U41" s="2462">
        <v>0</v>
      </c>
      <c r="V41" s="2465">
        <v>0</v>
      </c>
      <c r="W41" s="2466">
        <f t="shared" si="4"/>
        <v>0</v>
      </c>
      <c r="X41" s="2462"/>
      <c r="Y41" s="2467"/>
      <c r="Z41" s="2463"/>
      <c r="AA41" s="2462">
        <v>1</v>
      </c>
      <c r="AB41" s="2467">
        <v>3</v>
      </c>
      <c r="AC41" s="2463">
        <f t="shared" si="11"/>
        <v>4</v>
      </c>
      <c r="AD41" s="2462"/>
      <c r="AE41" s="2467"/>
      <c r="AF41" s="2463">
        <f t="shared" si="6"/>
        <v>0</v>
      </c>
      <c r="AG41" s="2462">
        <v>2</v>
      </c>
      <c r="AH41" s="2467">
        <v>2</v>
      </c>
      <c r="AI41" s="2463">
        <f t="shared" si="7"/>
        <v>4</v>
      </c>
      <c r="AJ41" s="2462">
        <v>8</v>
      </c>
      <c r="AK41" s="2467">
        <v>9</v>
      </c>
      <c r="AL41" s="2463">
        <f t="shared" si="12"/>
        <v>17</v>
      </c>
    </row>
    <row r="42" spans="2:38" x14ac:dyDescent="0.25">
      <c r="B42" s="2370" t="s">
        <v>85</v>
      </c>
      <c r="C42" s="2462"/>
      <c r="D42" s="2463">
        <v>1</v>
      </c>
      <c r="E42" s="2464">
        <f t="shared" si="0"/>
        <v>1</v>
      </c>
      <c r="F42" s="2462"/>
      <c r="G42" s="2463">
        <v>1</v>
      </c>
      <c r="H42" s="2464">
        <f t="shared" si="10"/>
        <v>1</v>
      </c>
      <c r="I42" s="2462"/>
      <c r="J42" s="2463"/>
      <c r="K42" s="2464">
        <f t="shared" si="1"/>
        <v>0</v>
      </c>
      <c r="L42" s="2462"/>
      <c r="M42" s="2463"/>
      <c r="N42" s="2464"/>
      <c r="O42" s="2462">
        <v>1</v>
      </c>
      <c r="P42" s="2463"/>
      <c r="Q42" s="2464">
        <f t="shared" si="3"/>
        <v>1</v>
      </c>
      <c r="R42" s="2462">
        <v>1</v>
      </c>
      <c r="S42" s="2463"/>
      <c r="T42" s="2464">
        <f>SUM(R42:S42)</f>
        <v>1</v>
      </c>
      <c r="U42" s="2462">
        <v>2</v>
      </c>
      <c r="V42" s="2465">
        <v>0</v>
      </c>
      <c r="W42" s="2466">
        <f t="shared" si="4"/>
        <v>2</v>
      </c>
      <c r="X42" s="2462">
        <v>2</v>
      </c>
      <c r="Y42" s="2467">
        <v>0</v>
      </c>
      <c r="Z42" s="2463">
        <f t="shared" si="5"/>
        <v>2</v>
      </c>
      <c r="AA42" s="2462"/>
      <c r="AB42" s="2467"/>
      <c r="AC42" s="2463">
        <f t="shared" si="11"/>
        <v>0</v>
      </c>
      <c r="AD42" s="2462">
        <v>1</v>
      </c>
      <c r="AE42" s="2467"/>
      <c r="AF42" s="2463">
        <f t="shared" si="6"/>
        <v>1</v>
      </c>
      <c r="AG42" s="2462">
        <v>0</v>
      </c>
      <c r="AH42" s="2467">
        <v>1</v>
      </c>
      <c r="AI42" s="2463">
        <f t="shared" si="7"/>
        <v>1</v>
      </c>
      <c r="AJ42" s="2462">
        <v>1</v>
      </c>
      <c r="AK42" s="2467">
        <v>1</v>
      </c>
      <c r="AL42" s="2463">
        <f t="shared" si="12"/>
        <v>2</v>
      </c>
    </row>
    <row r="43" spans="2:38" x14ac:dyDescent="0.25">
      <c r="B43" s="2370" t="s">
        <v>82</v>
      </c>
      <c r="C43" s="2462"/>
      <c r="D43" s="2463"/>
      <c r="E43" s="2464"/>
      <c r="F43" s="2462"/>
      <c r="G43" s="2463"/>
      <c r="H43" s="2464"/>
      <c r="I43" s="2462"/>
      <c r="J43" s="2463"/>
      <c r="K43" s="2464"/>
      <c r="L43" s="2462"/>
      <c r="M43" s="2463"/>
      <c r="N43" s="2464"/>
      <c r="O43" s="2462">
        <v>1</v>
      </c>
      <c r="P43" s="2463"/>
      <c r="Q43" s="2464">
        <f t="shared" si="3"/>
        <v>1</v>
      </c>
      <c r="R43" s="2462">
        <v>1</v>
      </c>
      <c r="S43" s="2463"/>
      <c r="T43" s="2464">
        <f>SUM(R43:S43)</f>
        <v>1</v>
      </c>
      <c r="U43" s="2462">
        <v>0</v>
      </c>
      <c r="V43" s="2465">
        <v>1</v>
      </c>
      <c r="W43" s="2466">
        <f t="shared" si="4"/>
        <v>1</v>
      </c>
      <c r="X43" s="2462">
        <v>2</v>
      </c>
      <c r="Y43" s="2467"/>
      <c r="Z43" s="2463">
        <f t="shared" si="5"/>
        <v>2</v>
      </c>
      <c r="AA43" s="2462">
        <v>1</v>
      </c>
      <c r="AB43" s="2467"/>
      <c r="AC43" s="2463">
        <f t="shared" si="11"/>
        <v>1</v>
      </c>
      <c r="AD43" s="2462">
        <v>3</v>
      </c>
      <c r="AE43" s="2467"/>
      <c r="AF43" s="2463">
        <f t="shared" si="6"/>
        <v>3</v>
      </c>
      <c r="AG43" s="2462">
        <v>3</v>
      </c>
      <c r="AH43" s="2467">
        <v>0</v>
      </c>
      <c r="AI43" s="2463">
        <f t="shared" si="7"/>
        <v>3</v>
      </c>
      <c r="AJ43" s="2462">
        <v>5</v>
      </c>
      <c r="AK43" s="2467"/>
      <c r="AL43" s="2463">
        <f t="shared" si="12"/>
        <v>5</v>
      </c>
    </row>
    <row r="44" spans="2:38" x14ac:dyDescent="0.25">
      <c r="B44" s="2370" t="s">
        <v>81</v>
      </c>
      <c r="C44" s="2462"/>
      <c r="D44" s="2463"/>
      <c r="E44" s="2464">
        <f t="shared" si="0"/>
        <v>0</v>
      </c>
      <c r="F44" s="2462"/>
      <c r="G44" s="2463"/>
      <c r="H44" s="2464"/>
      <c r="I44" s="2462">
        <v>1</v>
      </c>
      <c r="J44" s="2463"/>
      <c r="K44" s="2464">
        <f t="shared" si="1"/>
        <v>1</v>
      </c>
      <c r="L44" s="2462">
        <v>1</v>
      </c>
      <c r="M44" s="2463"/>
      <c r="N44" s="2464">
        <f t="shared" si="2"/>
        <v>1</v>
      </c>
      <c r="O44" s="2462"/>
      <c r="P44" s="2463"/>
      <c r="Q44" s="2464">
        <f t="shared" si="3"/>
        <v>0</v>
      </c>
      <c r="R44" s="2462"/>
      <c r="S44" s="2463"/>
      <c r="T44" s="2464"/>
      <c r="U44" s="2462">
        <v>4</v>
      </c>
      <c r="V44" s="2465">
        <v>0</v>
      </c>
      <c r="W44" s="2466">
        <f t="shared" si="4"/>
        <v>4</v>
      </c>
      <c r="X44" s="2462"/>
      <c r="Y44" s="2467">
        <v>1</v>
      </c>
      <c r="Z44" s="2463">
        <f t="shared" si="5"/>
        <v>1</v>
      </c>
      <c r="AA44" s="2462">
        <v>2</v>
      </c>
      <c r="AB44" s="2467">
        <v>5</v>
      </c>
      <c r="AC44" s="2463">
        <f t="shared" si="11"/>
        <v>7</v>
      </c>
      <c r="AD44" s="2462">
        <v>1</v>
      </c>
      <c r="AE44" s="2467"/>
      <c r="AF44" s="2463">
        <f t="shared" si="6"/>
        <v>1</v>
      </c>
      <c r="AG44" s="2462">
        <v>1</v>
      </c>
      <c r="AH44" s="2467">
        <v>5</v>
      </c>
      <c r="AI44" s="2463">
        <f t="shared" si="7"/>
        <v>6</v>
      </c>
      <c r="AJ44" s="2462">
        <v>4</v>
      </c>
      <c r="AK44" s="2467">
        <v>4</v>
      </c>
      <c r="AL44" s="2463">
        <f t="shared" si="12"/>
        <v>8</v>
      </c>
    </row>
    <row r="45" spans="2:38" x14ac:dyDescent="0.25">
      <c r="B45" s="2370" t="s">
        <v>79</v>
      </c>
      <c r="C45" s="2462"/>
      <c r="D45" s="2463"/>
      <c r="E45" s="2464">
        <f t="shared" si="0"/>
        <v>0</v>
      </c>
      <c r="F45" s="2462"/>
      <c r="G45" s="2463"/>
      <c r="H45" s="2464"/>
      <c r="I45" s="2462">
        <v>2</v>
      </c>
      <c r="J45" s="2463"/>
      <c r="K45" s="2464">
        <f t="shared" si="1"/>
        <v>2</v>
      </c>
      <c r="L45" s="2462">
        <v>1</v>
      </c>
      <c r="M45" s="2463"/>
      <c r="N45" s="2464">
        <f t="shared" si="2"/>
        <v>1</v>
      </c>
      <c r="O45" s="2462"/>
      <c r="P45" s="2463"/>
      <c r="Q45" s="2464">
        <f t="shared" si="3"/>
        <v>0</v>
      </c>
      <c r="R45" s="2462"/>
      <c r="S45" s="2463"/>
      <c r="T45" s="2464"/>
      <c r="U45" s="2462">
        <v>2</v>
      </c>
      <c r="V45" s="2465">
        <v>0</v>
      </c>
      <c r="W45" s="2466">
        <f t="shared" si="4"/>
        <v>2</v>
      </c>
      <c r="X45" s="2462">
        <v>3</v>
      </c>
      <c r="Y45" s="2467"/>
      <c r="Z45" s="2463">
        <f t="shared" si="5"/>
        <v>3</v>
      </c>
      <c r="AA45" s="2462">
        <v>6</v>
      </c>
      <c r="AB45" s="2467">
        <v>5</v>
      </c>
      <c r="AC45" s="2463">
        <f t="shared" si="11"/>
        <v>11</v>
      </c>
      <c r="AD45" s="2462">
        <v>4</v>
      </c>
      <c r="AE45" s="2467">
        <v>2</v>
      </c>
      <c r="AF45" s="2463">
        <f t="shared" si="6"/>
        <v>6</v>
      </c>
      <c r="AG45" s="2462">
        <v>6</v>
      </c>
      <c r="AH45" s="2467">
        <v>3</v>
      </c>
      <c r="AI45" s="2463">
        <f t="shared" si="7"/>
        <v>9</v>
      </c>
      <c r="AJ45" s="2462">
        <v>6</v>
      </c>
      <c r="AK45" s="2467">
        <v>4</v>
      </c>
      <c r="AL45" s="2463">
        <f t="shared" si="12"/>
        <v>10</v>
      </c>
    </row>
    <row r="46" spans="2:38" x14ac:dyDescent="0.25">
      <c r="B46" s="2370" t="s">
        <v>84</v>
      </c>
      <c r="C46" s="2462">
        <v>3</v>
      </c>
      <c r="D46" s="2463"/>
      <c r="E46" s="2464">
        <f t="shared" si="0"/>
        <v>3</v>
      </c>
      <c r="F46" s="2462">
        <v>3</v>
      </c>
      <c r="G46" s="2463"/>
      <c r="H46" s="2464">
        <f t="shared" si="10"/>
        <v>3</v>
      </c>
      <c r="I46" s="2462">
        <v>23</v>
      </c>
      <c r="J46" s="2463">
        <v>4</v>
      </c>
      <c r="K46" s="2464">
        <f t="shared" si="1"/>
        <v>27</v>
      </c>
      <c r="L46" s="2462">
        <v>25</v>
      </c>
      <c r="M46" s="2463">
        <v>4</v>
      </c>
      <c r="N46" s="2464">
        <f t="shared" si="2"/>
        <v>29</v>
      </c>
      <c r="O46" s="2462">
        <v>1</v>
      </c>
      <c r="P46" s="2463"/>
      <c r="Q46" s="2464">
        <f t="shared" si="3"/>
        <v>1</v>
      </c>
      <c r="R46" s="2462">
        <v>1</v>
      </c>
      <c r="S46" s="2463"/>
      <c r="T46" s="2464">
        <f>SUM(R46:S46)</f>
        <v>1</v>
      </c>
      <c r="U46" s="2462">
        <v>16</v>
      </c>
      <c r="V46" s="2465">
        <v>3</v>
      </c>
      <c r="W46" s="2466">
        <f t="shared" si="4"/>
        <v>19</v>
      </c>
      <c r="X46" s="2462">
        <v>16</v>
      </c>
      <c r="Y46" s="2467">
        <v>3</v>
      </c>
      <c r="Z46" s="2463">
        <f t="shared" si="5"/>
        <v>19</v>
      </c>
      <c r="AA46" s="2462">
        <v>26</v>
      </c>
      <c r="AB46" s="2467">
        <v>4</v>
      </c>
      <c r="AC46" s="2463">
        <f t="shared" si="11"/>
        <v>30</v>
      </c>
      <c r="AD46" s="2462">
        <v>7</v>
      </c>
      <c r="AE46" s="2467"/>
      <c r="AF46" s="2463">
        <f t="shared" si="6"/>
        <v>7</v>
      </c>
      <c r="AG46" s="2462">
        <v>24</v>
      </c>
      <c r="AH46" s="2467">
        <v>6</v>
      </c>
      <c r="AI46" s="2463">
        <f t="shared" si="7"/>
        <v>30</v>
      </c>
      <c r="AJ46" s="2462">
        <v>32</v>
      </c>
      <c r="AK46" s="2467">
        <v>12</v>
      </c>
      <c r="AL46" s="2463">
        <f t="shared" si="12"/>
        <v>44</v>
      </c>
    </row>
    <row r="47" spans="2:38" x14ac:dyDescent="0.25">
      <c r="B47" s="2370" t="s">
        <v>63</v>
      </c>
      <c r="C47" s="2462">
        <v>1</v>
      </c>
      <c r="D47" s="2463">
        <v>1</v>
      </c>
      <c r="E47" s="2464">
        <f t="shared" si="0"/>
        <v>2</v>
      </c>
      <c r="F47" s="2462">
        <v>1</v>
      </c>
      <c r="G47" s="2463">
        <v>1</v>
      </c>
      <c r="H47" s="2464">
        <f t="shared" si="10"/>
        <v>2</v>
      </c>
      <c r="I47" s="2462">
        <v>3</v>
      </c>
      <c r="J47" s="2463">
        <v>4</v>
      </c>
      <c r="K47" s="2464">
        <f t="shared" si="1"/>
        <v>7</v>
      </c>
      <c r="L47" s="2462">
        <v>3</v>
      </c>
      <c r="M47" s="2463">
        <v>5</v>
      </c>
      <c r="N47" s="2464">
        <f t="shared" si="2"/>
        <v>8</v>
      </c>
      <c r="O47" s="2462"/>
      <c r="P47" s="2463"/>
      <c r="Q47" s="2464">
        <f t="shared" si="3"/>
        <v>0</v>
      </c>
      <c r="R47" s="2462"/>
      <c r="S47" s="2463"/>
      <c r="T47" s="2464"/>
      <c r="U47" s="2462">
        <v>10</v>
      </c>
      <c r="V47" s="2465">
        <v>1</v>
      </c>
      <c r="W47" s="2466">
        <f t="shared" si="4"/>
        <v>11</v>
      </c>
      <c r="X47" s="2462">
        <v>10</v>
      </c>
      <c r="Y47" s="2467"/>
      <c r="Z47" s="2463">
        <f t="shared" si="5"/>
        <v>10</v>
      </c>
      <c r="AA47" s="2462">
        <v>7</v>
      </c>
      <c r="AB47" s="2467">
        <v>4</v>
      </c>
      <c r="AC47" s="2463">
        <f t="shared" si="11"/>
        <v>11</v>
      </c>
      <c r="AD47" s="2462">
        <v>6</v>
      </c>
      <c r="AE47" s="2467">
        <v>1</v>
      </c>
      <c r="AF47" s="2463">
        <f t="shared" si="6"/>
        <v>7</v>
      </c>
      <c r="AG47" s="2462">
        <v>8</v>
      </c>
      <c r="AH47" s="2467">
        <v>1</v>
      </c>
      <c r="AI47" s="2463">
        <f t="shared" si="7"/>
        <v>9</v>
      </c>
      <c r="AJ47" s="2462">
        <v>3</v>
      </c>
      <c r="AK47" s="2467">
        <v>2</v>
      </c>
      <c r="AL47" s="2463">
        <f t="shared" si="12"/>
        <v>5</v>
      </c>
    </row>
    <row r="48" spans="2:38" x14ac:dyDescent="0.25">
      <c r="B48" s="2371" t="s">
        <v>64</v>
      </c>
      <c r="C48" s="2468">
        <f>SUM(C37:C47)</f>
        <v>12</v>
      </c>
      <c r="D48" s="2469">
        <f>SUM(D37:D47)</f>
        <v>9</v>
      </c>
      <c r="E48" s="2470">
        <f t="shared" si="0"/>
        <v>21</v>
      </c>
      <c r="F48" s="2468">
        <f>SUM(F37:F47)</f>
        <v>12</v>
      </c>
      <c r="G48" s="2469">
        <f>SUM(G37:G47)</f>
        <v>9</v>
      </c>
      <c r="H48" s="2470">
        <f t="shared" si="10"/>
        <v>21</v>
      </c>
      <c r="I48" s="2468">
        <f>SUM(I37:I47)</f>
        <v>47</v>
      </c>
      <c r="J48" s="2469">
        <f>SUM(J37:J47)</f>
        <v>18</v>
      </c>
      <c r="K48" s="2470">
        <f t="shared" si="1"/>
        <v>65</v>
      </c>
      <c r="L48" s="2468">
        <f>SUM(L37:L47)</f>
        <v>50</v>
      </c>
      <c r="M48" s="2469">
        <f>SUM(M37:M47)</f>
        <v>22</v>
      </c>
      <c r="N48" s="2470">
        <f t="shared" si="2"/>
        <v>72</v>
      </c>
      <c r="O48" s="2468">
        <f>SUM(O37:O47)</f>
        <v>3</v>
      </c>
      <c r="P48" s="2469">
        <f>SUM(P37:P47)</f>
        <v>2</v>
      </c>
      <c r="Q48" s="2470">
        <f t="shared" si="3"/>
        <v>5</v>
      </c>
      <c r="R48" s="2468">
        <f>SUM(R37:R47)</f>
        <v>3</v>
      </c>
      <c r="S48" s="2469">
        <f>SUM(S37:S47)</f>
        <v>2</v>
      </c>
      <c r="T48" s="2470">
        <f>SUM(R48:S48)</f>
        <v>5</v>
      </c>
      <c r="U48" s="2468">
        <f>SUM(U37:U47)</f>
        <v>66</v>
      </c>
      <c r="V48" s="2471">
        <f>SUM(V37:V47)</f>
        <v>20</v>
      </c>
      <c r="W48" s="2472">
        <f t="shared" si="4"/>
        <v>86</v>
      </c>
      <c r="X48" s="2468">
        <f>SUM(X37:X47)</f>
        <v>64</v>
      </c>
      <c r="Y48" s="2473">
        <f>SUM(Y37:Y47)</f>
        <v>19</v>
      </c>
      <c r="Z48" s="2469">
        <f t="shared" si="5"/>
        <v>83</v>
      </c>
      <c r="AA48" s="2468">
        <f>SUM(AA37:AA47)</f>
        <v>80</v>
      </c>
      <c r="AB48" s="2473">
        <f>SUM(AB37:AB47)</f>
        <v>43</v>
      </c>
      <c r="AC48" s="2469">
        <f t="shared" si="11"/>
        <v>123</v>
      </c>
      <c r="AD48" s="2468">
        <f>SUM(AD37:AD47)</f>
        <v>59</v>
      </c>
      <c r="AE48" s="2473">
        <f>SUM(AE37:AE47)</f>
        <v>25</v>
      </c>
      <c r="AF48" s="2469">
        <f t="shared" si="6"/>
        <v>84</v>
      </c>
      <c r="AG48" s="2468">
        <f>SUM(AG37:AG47)</f>
        <v>96</v>
      </c>
      <c r="AH48" s="2473">
        <f>SUM(AH37:AH47)</f>
        <v>44</v>
      </c>
      <c r="AI48" s="2469">
        <f t="shared" si="7"/>
        <v>140</v>
      </c>
      <c r="AJ48" s="2468">
        <f>SUM(AJ37:AJ47)</f>
        <v>121</v>
      </c>
      <c r="AK48" s="2473">
        <f>SUM(AK37:AK47)</f>
        <v>69</v>
      </c>
      <c r="AL48" s="2469">
        <f t="shared" si="12"/>
        <v>190</v>
      </c>
    </row>
    <row r="49" spans="2:38" x14ac:dyDescent="0.25">
      <c r="B49" s="2370" t="s">
        <v>86</v>
      </c>
      <c r="C49" s="2462">
        <v>4</v>
      </c>
      <c r="D49" s="2463"/>
      <c r="E49" s="2464">
        <f t="shared" si="0"/>
        <v>4</v>
      </c>
      <c r="F49" s="2462">
        <v>4</v>
      </c>
      <c r="G49" s="2463"/>
      <c r="H49" s="2464">
        <f t="shared" si="10"/>
        <v>4</v>
      </c>
      <c r="I49" s="2462">
        <v>5</v>
      </c>
      <c r="J49" s="2463"/>
      <c r="K49" s="2464">
        <f t="shared" si="1"/>
        <v>5</v>
      </c>
      <c r="L49" s="2462">
        <v>7</v>
      </c>
      <c r="M49" s="2463"/>
      <c r="N49" s="2464">
        <f t="shared" si="2"/>
        <v>7</v>
      </c>
      <c r="O49" s="2462">
        <v>2</v>
      </c>
      <c r="P49" s="2463">
        <v>1</v>
      </c>
      <c r="Q49" s="2464">
        <f t="shared" si="3"/>
        <v>3</v>
      </c>
      <c r="R49" s="2462">
        <v>2</v>
      </c>
      <c r="S49" s="2463">
        <v>1</v>
      </c>
      <c r="T49" s="2464">
        <f>SUM(R49:S49)</f>
        <v>3</v>
      </c>
      <c r="U49" s="2462">
        <v>8</v>
      </c>
      <c r="V49" s="2465">
        <v>2</v>
      </c>
      <c r="W49" s="2466">
        <f t="shared" si="4"/>
        <v>10</v>
      </c>
      <c r="X49" s="2462">
        <v>8</v>
      </c>
      <c r="Y49" s="2467">
        <v>2</v>
      </c>
      <c r="Z49" s="2463">
        <f t="shared" si="5"/>
        <v>10</v>
      </c>
      <c r="AA49" s="2462">
        <v>6</v>
      </c>
      <c r="AB49" s="2467">
        <v>4</v>
      </c>
      <c r="AC49" s="2463">
        <f t="shared" si="11"/>
        <v>10</v>
      </c>
      <c r="AD49" s="2462">
        <v>2</v>
      </c>
      <c r="AE49" s="2467">
        <v>4</v>
      </c>
      <c r="AF49" s="2463">
        <f t="shared" si="6"/>
        <v>6</v>
      </c>
      <c r="AG49" s="2462">
        <v>14</v>
      </c>
      <c r="AH49" s="2467">
        <v>7</v>
      </c>
      <c r="AI49" s="2463">
        <f t="shared" si="7"/>
        <v>21</v>
      </c>
      <c r="AJ49" s="2462">
        <v>14</v>
      </c>
      <c r="AK49" s="2467">
        <v>4</v>
      </c>
      <c r="AL49" s="2463">
        <f t="shared" si="12"/>
        <v>18</v>
      </c>
    </row>
    <row r="50" spans="2:38" x14ac:dyDescent="0.25">
      <c r="B50" s="2370" t="s">
        <v>87</v>
      </c>
      <c r="C50" s="2462">
        <v>1</v>
      </c>
      <c r="D50" s="2463"/>
      <c r="E50" s="2464">
        <f t="shared" si="0"/>
        <v>1</v>
      </c>
      <c r="F50" s="2462">
        <v>1</v>
      </c>
      <c r="G50" s="2463"/>
      <c r="H50" s="2464">
        <f t="shared" si="10"/>
        <v>1</v>
      </c>
      <c r="I50" s="2462">
        <v>2</v>
      </c>
      <c r="J50" s="2463"/>
      <c r="K50" s="2464">
        <f t="shared" si="1"/>
        <v>2</v>
      </c>
      <c r="L50" s="2462">
        <v>2</v>
      </c>
      <c r="M50" s="2463"/>
      <c r="N50" s="2464">
        <f t="shared" si="2"/>
        <v>2</v>
      </c>
      <c r="O50" s="2462"/>
      <c r="P50" s="2463"/>
      <c r="Q50" s="2464">
        <f t="shared" si="3"/>
        <v>0</v>
      </c>
      <c r="R50" s="2462"/>
      <c r="S50" s="2463"/>
      <c r="T50" s="2464"/>
      <c r="U50" s="2462">
        <v>9</v>
      </c>
      <c r="V50" s="2465">
        <v>3</v>
      </c>
      <c r="W50" s="2466">
        <f t="shared" si="4"/>
        <v>12</v>
      </c>
      <c r="X50" s="2462">
        <v>8</v>
      </c>
      <c r="Y50" s="2467">
        <v>3</v>
      </c>
      <c r="Z50" s="2463">
        <f t="shared" si="5"/>
        <v>11</v>
      </c>
      <c r="AA50" s="2462">
        <v>5</v>
      </c>
      <c r="AB50" s="2467">
        <v>2</v>
      </c>
      <c r="AC50" s="2463">
        <f t="shared" si="11"/>
        <v>7</v>
      </c>
      <c r="AD50" s="2462">
        <v>9</v>
      </c>
      <c r="AE50" s="2467">
        <v>1</v>
      </c>
      <c r="AF50" s="2463">
        <f t="shared" si="6"/>
        <v>10</v>
      </c>
      <c r="AG50" s="2462">
        <v>4</v>
      </c>
      <c r="AH50" s="2467">
        <v>4</v>
      </c>
      <c r="AI50" s="2463">
        <f t="shared" si="7"/>
        <v>8</v>
      </c>
      <c r="AJ50" s="2462">
        <v>4</v>
      </c>
      <c r="AK50" s="2467">
        <v>3</v>
      </c>
      <c r="AL50" s="2463">
        <f t="shared" si="12"/>
        <v>7</v>
      </c>
    </row>
    <row r="51" spans="2:38" x14ac:dyDescent="0.25">
      <c r="B51" s="2370" t="s">
        <v>88</v>
      </c>
      <c r="C51" s="2462">
        <v>1</v>
      </c>
      <c r="D51" s="2463"/>
      <c r="E51" s="2464">
        <f t="shared" si="0"/>
        <v>1</v>
      </c>
      <c r="F51" s="2462">
        <v>1</v>
      </c>
      <c r="G51" s="2463"/>
      <c r="H51" s="2464">
        <f t="shared" si="10"/>
        <v>1</v>
      </c>
      <c r="I51" s="2462"/>
      <c r="J51" s="2463"/>
      <c r="K51" s="2464">
        <f t="shared" si="1"/>
        <v>0</v>
      </c>
      <c r="L51" s="2462"/>
      <c r="M51" s="2463"/>
      <c r="N51" s="2464"/>
      <c r="O51" s="2462"/>
      <c r="P51" s="2463"/>
      <c r="Q51" s="2464">
        <f t="shared" si="3"/>
        <v>0</v>
      </c>
      <c r="R51" s="2462"/>
      <c r="S51" s="2463"/>
      <c r="T51" s="2464"/>
      <c r="U51" s="2462">
        <v>8</v>
      </c>
      <c r="V51" s="2465">
        <v>3</v>
      </c>
      <c r="W51" s="2466">
        <f t="shared" si="4"/>
        <v>11</v>
      </c>
      <c r="X51" s="2462">
        <v>7</v>
      </c>
      <c r="Y51" s="2467">
        <v>3</v>
      </c>
      <c r="Z51" s="2463">
        <f t="shared" si="5"/>
        <v>10</v>
      </c>
      <c r="AA51" s="2462">
        <v>5</v>
      </c>
      <c r="AB51" s="2467"/>
      <c r="AC51" s="2463">
        <f t="shared" si="11"/>
        <v>5</v>
      </c>
      <c r="AD51" s="2462">
        <v>6</v>
      </c>
      <c r="AE51" s="2467">
        <v>1</v>
      </c>
      <c r="AF51" s="2463">
        <f t="shared" si="6"/>
        <v>7</v>
      </c>
      <c r="AG51" s="2462">
        <v>9</v>
      </c>
      <c r="AH51" s="2467">
        <v>3</v>
      </c>
      <c r="AI51" s="2463">
        <f t="shared" si="7"/>
        <v>12</v>
      </c>
      <c r="AJ51" s="2462">
        <v>1</v>
      </c>
      <c r="AK51" s="2467">
        <v>1</v>
      </c>
      <c r="AL51" s="2463">
        <f t="shared" si="12"/>
        <v>2</v>
      </c>
    </row>
    <row r="52" spans="2:38" x14ac:dyDescent="0.25">
      <c r="B52" s="2370" t="s">
        <v>90</v>
      </c>
      <c r="C52" s="2462">
        <v>3</v>
      </c>
      <c r="D52" s="2463">
        <v>1</v>
      </c>
      <c r="E52" s="2464">
        <f t="shared" si="0"/>
        <v>4</v>
      </c>
      <c r="F52" s="2462">
        <v>3</v>
      </c>
      <c r="G52" s="2463">
        <v>1</v>
      </c>
      <c r="H52" s="2464">
        <f t="shared" si="10"/>
        <v>4</v>
      </c>
      <c r="I52" s="2462">
        <v>5</v>
      </c>
      <c r="J52" s="2463">
        <v>1</v>
      </c>
      <c r="K52" s="2464">
        <f t="shared" si="1"/>
        <v>6</v>
      </c>
      <c r="L52" s="2462">
        <v>6</v>
      </c>
      <c r="M52" s="2463">
        <v>2</v>
      </c>
      <c r="N52" s="2464">
        <f t="shared" si="2"/>
        <v>8</v>
      </c>
      <c r="O52" s="2462"/>
      <c r="P52" s="2463"/>
      <c r="Q52" s="2464">
        <f t="shared" si="3"/>
        <v>0</v>
      </c>
      <c r="R52" s="2462"/>
      <c r="S52" s="2463"/>
      <c r="T52" s="2464"/>
      <c r="U52" s="2462">
        <v>4</v>
      </c>
      <c r="V52" s="2465">
        <v>6</v>
      </c>
      <c r="W52" s="2466">
        <f t="shared" si="4"/>
        <v>10</v>
      </c>
      <c r="X52" s="2462">
        <v>4</v>
      </c>
      <c r="Y52" s="2467">
        <v>5</v>
      </c>
      <c r="Z52" s="2463">
        <f t="shared" si="5"/>
        <v>9</v>
      </c>
      <c r="AA52" s="2462">
        <v>6</v>
      </c>
      <c r="AB52" s="2467">
        <v>4</v>
      </c>
      <c r="AC52" s="2463">
        <f t="shared" si="11"/>
        <v>10</v>
      </c>
      <c r="AD52" s="2462">
        <v>2</v>
      </c>
      <c r="AE52" s="2467">
        <v>2</v>
      </c>
      <c r="AF52" s="2463">
        <f t="shared" si="6"/>
        <v>4</v>
      </c>
      <c r="AG52" s="2462">
        <v>12</v>
      </c>
      <c r="AH52" s="2467">
        <v>7</v>
      </c>
      <c r="AI52" s="2463">
        <f t="shared" si="7"/>
        <v>19</v>
      </c>
      <c r="AJ52" s="2462">
        <v>5</v>
      </c>
      <c r="AK52" s="2467">
        <v>4</v>
      </c>
      <c r="AL52" s="2463">
        <f t="shared" si="12"/>
        <v>9</v>
      </c>
    </row>
    <row r="53" spans="2:38" x14ac:dyDescent="0.25">
      <c r="B53" s="2370" t="s">
        <v>91</v>
      </c>
      <c r="C53" s="2462"/>
      <c r="D53" s="2463"/>
      <c r="E53" s="2464">
        <f t="shared" si="0"/>
        <v>0</v>
      </c>
      <c r="F53" s="2462"/>
      <c r="G53" s="2463"/>
      <c r="H53" s="2464"/>
      <c r="I53" s="2462"/>
      <c r="J53" s="2463">
        <v>1</v>
      </c>
      <c r="K53" s="2464">
        <f t="shared" si="1"/>
        <v>1</v>
      </c>
      <c r="L53" s="2462"/>
      <c r="M53" s="2463">
        <v>1</v>
      </c>
      <c r="N53" s="2464">
        <f t="shared" si="2"/>
        <v>1</v>
      </c>
      <c r="O53" s="2462"/>
      <c r="P53" s="2463"/>
      <c r="Q53" s="2464">
        <f t="shared" si="3"/>
        <v>0</v>
      </c>
      <c r="R53" s="2462"/>
      <c r="S53" s="2463"/>
      <c r="T53" s="2464"/>
      <c r="U53" s="2462">
        <v>4</v>
      </c>
      <c r="V53" s="2465">
        <v>2</v>
      </c>
      <c r="W53" s="2466">
        <f t="shared" si="4"/>
        <v>6</v>
      </c>
      <c r="X53" s="2462">
        <v>4</v>
      </c>
      <c r="Y53" s="2467">
        <v>2</v>
      </c>
      <c r="Z53" s="2463">
        <f t="shared" si="5"/>
        <v>6</v>
      </c>
      <c r="AA53" s="2462">
        <v>7</v>
      </c>
      <c r="AB53" s="2467">
        <v>1</v>
      </c>
      <c r="AC53" s="2463">
        <f t="shared" si="11"/>
        <v>8</v>
      </c>
      <c r="AD53" s="2462">
        <v>3</v>
      </c>
      <c r="AE53" s="2467"/>
      <c r="AF53" s="2463">
        <f t="shared" si="6"/>
        <v>3</v>
      </c>
      <c r="AG53" s="2462">
        <v>5</v>
      </c>
      <c r="AH53" s="2467">
        <v>2</v>
      </c>
      <c r="AI53" s="2463">
        <f t="shared" si="7"/>
        <v>7</v>
      </c>
      <c r="AJ53" s="2462">
        <v>8</v>
      </c>
      <c r="AK53" s="2467"/>
      <c r="AL53" s="2463">
        <f t="shared" si="12"/>
        <v>8</v>
      </c>
    </row>
    <row r="54" spans="2:38" x14ac:dyDescent="0.25">
      <c r="B54" s="2370" t="s">
        <v>89</v>
      </c>
      <c r="C54" s="2462"/>
      <c r="D54" s="2463"/>
      <c r="E54" s="2464">
        <f t="shared" si="0"/>
        <v>0</v>
      </c>
      <c r="F54" s="2462"/>
      <c r="G54" s="2463"/>
      <c r="H54" s="2464"/>
      <c r="I54" s="2462"/>
      <c r="J54" s="2463"/>
      <c r="K54" s="2464">
        <f t="shared" si="1"/>
        <v>0</v>
      </c>
      <c r="L54" s="2462"/>
      <c r="M54" s="2463"/>
      <c r="N54" s="2464"/>
      <c r="O54" s="2462"/>
      <c r="P54" s="2463"/>
      <c r="Q54" s="2464">
        <f t="shared" si="3"/>
        <v>0</v>
      </c>
      <c r="R54" s="2462"/>
      <c r="S54" s="2463"/>
      <c r="T54" s="2464"/>
      <c r="U54" s="2462">
        <v>7</v>
      </c>
      <c r="V54" s="2465">
        <v>6</v>
      </c>
      <c r="W54" s="2466">
        <f t="shared" si="4"/>
        <v>13</v>
      </c>
      <c r="X54" s="2462">
        <v>7</v>
      </c>
      <c r="Y54" s="2467">
        <v>6</v>
      </c>
      <c r="Z54" s="2463">
        <f t="shared" si="5"/>
        <v>13</v>
      </c>
      <c r="AA54" s="2462">
        <v>7</v>
      </c>
      <c r="AB54" s="2467">
        <v>5</v>
      </c>
      <c r="AC54" s="2463">
        <f t="shared" si="11"/>
        <v>12</v>
      </c>
      <c r="AD54" s="2462">
        <v>7</v>
      </c>
      <c r="AE54" s="2467">
        <v>2</v>
      </c>
      <c r="AF54" s="2463">
        <f t="shared" si="6"/>
        <v>9</v>
      </c>
      <c r="AG54" s="2462">
        <v>3</v>
      </c>
      <c r="AH54" s="2467">
        <v>0</v>
      </c>
      <c r="AI54" s="2463">
        <f t="shared" si="7"/>
        <v>3</v>
      </c>
      <c r="AJ54" s="2462">
        <v>5</v>
      </c>
      <c r="AK54" s="2467">
        <v>3</v>
      </c>
      <c r="AL54" s="2463">
        <f t="shared" si="12"/>
        <v>8</v>
      </c>
    </row>
    <row r="55" spans="2:38" x14ac:dyDescent="0.25">
      <c r="B55" s="2374" t="s">
        <v>92</v>
      </c>
      <c r="C55" s="2474">
        <f>SUM(C49:C54)</f>
        <v>9</v>
      </c>
      <c r="D55" s="2475">
        <f>SUM(D49:D54)</f>
        <v>1</v>
      </c>
      <c r="E55" s="2476">
        <f t="shared" si="0"/>
        <v>10</v>
      </c>
      <c r="F55" s="2474">
        <f>SUM(F49:F54)</f>
        <v>9</v>
      </c>
      <c r="G55" s="2475">
        <f>SUM(G49:G54)</f>
        <v>1</v>
      </c>
      <c r="H55" s="2476">
        <f t="shared" si="10"/>
        <v>10</v>
      </c>
      <c r="I55" s="2474">
        <f>SUM(I49:I54)</f>
        <v>12</v>
      </c>
      <c r="J55" s="2475">
        <f>SUM(J49:J54)</f>
        <v>2</v>
      </c>
      <c r="K55" s="2476">
        <f t="shared" si="1"/>
        <v>14</v>
      </c>
      <c r="L55" s="2474">
        <f>SUM(L49:L54)</f>
        <v>15</v>
      </c>
      <c r="M55" s="2475">
        <f>SUM(M49:M54)</f>
        <v>3</v>
      </c>
      <c r="N55" s="2476">
        <f t="shared" si="2"/>
        <v>18</v>
      </c>
      <c r="O55" s="2474">
        <f>SUM(O49:O54)</f>
        <v>2</v>
      </c>
      <c r="P55" s="2475">
        <f>SUM(P49:P54)</f>
        <v>1</v>
      </c>
      <c r="Q55" s="2476">
        <f t="shared" si="3"/>
        <v>3</v>
      </c>
      <c r="R55" s="2474">
        <f>SUM(R49:R54)</f>
        <v>2</v>
      </c>
      <c r="S55" s="2475">
        <f>SUM(S49:S54)</f>
        <v>1</v>
      </c>
      <c r="T55" s="2476">
        <f>SUM(R55:S55)</f>
        <v>3</v>
      </c>
      <c r="U55" s="2474">
        <f>SUM(U49:U54)</f>
        <v>40</v>
      </c>
      <c r="V55" s="2477">
        <f>SUM(V49:V54)</f>
        <v>22</v>
      </c>
      <c r="W55" s="2478">
        <f t="shared" si="4"/>
        <v>62</v>
      </c>
      <c r="X55" s="2474">
        <f>SUM(X49:X54)</f>
        <v>38</v>
      </c>
      <c r="Y55" s="2479">
        <f>SUM(Y49:Y54)</f>
        <v>21</v>
      </c>
      <c r="Z55" s="2475">
        <f t="shared" si="5"/>
        <v>59</v>
      </c>
      <c r="AA55" s="2474">
        <f>SUM(AA49:AA54)</f>
        <v>36</v>
      </c>
      <c r="AB55" s="2479">
        <f>SUM(AB49:AB54)</f>
        <v>16</v>
      </c>
      <c r="AC55" s="2475">
        <f t="shared" si="11"/>
        <v>52</v>
      </c>
      <c r="AD55" s="2474">
        <f>SUM(AD49:AD54)</f>
        <v>29</v>
      </c>
      <c r="AE55" s="2479">
        <f>SUM(AE49:AE54)</f>
        <v>10</v>
      </c>
      <c r="AF55" s="2475">
        <f t="shared" si="6"/>
        <v>39</v>
      </c>
      <c r="AG55" s="2474">
        <f>SUM(AG49:AG54)</f>
        <v>47</v>
      </c>
      <c r="AH55" s="2479">
        <f>SUM(AH49:AH54)</f>
        <v>23</v>
      </c>
      <c r="AI55" s="2475">
        <f t="shared" si="7"/>
        <v>70</v>
      </c>
      <c r="AJ55" s="2474">
        <f>SUM(AJ49:AJ54)</f>
        <v>37</v>
      </c>
      <c r="AK55" s="2479">
        <f>SUM(AK49:AK54)</f>
        <v>15</v>
      </c>
      <c r="AL55" s="2475">
        <f t="shared" si="12"/>
        <v>52</v>
      </c>
    </row>
    <row r="56" spans="2:38" x14ac:dyDescent="0.25">
      <c r="B56" s="5654" t="s">
        <v>93</v>
      </c>
      <c r="C56" s="2490">
        <f>C36+C48+C55</f>
        <v>22</v>
      </c>
      <c r="D56" s="2491">
        <f>D36+D48+D55</f>
        <v>11</v>
      </c>
      <c r="E56" s="2492">
        <f t="shared" si="0"/>
        <v>33</v>
      </c>
      <c r="F56" s="2490">
        <f>F36+F48+F55</f>
        <v>22</v>
      </c>
      <c r="G56" s="2491">
        <f>G36+G48+G55</f>
        <v>11</v>
      </c>
      <c r="H56" s="2492">
        <f t="shared" si="10"/>
        <v>33</v>
      </c>
      <c r="I56" s="2490">
        <f>I36+I48+I55</f>
        <v>61</v>
      </c>
      <c r="J56" s="2491">
        <f>J36+J48+J55</f>
        <v>22</v>
      </c>
      <c r="K56" s="2492">
        <f t="shared" si="1"/>
        <v>83</v>
      </c>
      <c r="L56" s="2490">
        <f>L36+L48+L55</f>
        <v>68</v>
      </c>
      <c r="M56" s="2491">
        <f>M36+M48+M55</f>
        <v>27</v>
      </c>
      <c r="N56" s="2492">
        <f t="shared" si="2"/>
        <v>95</v>
      </c>
      <c r="O56" s="2490">
        <f>O36+O48+O55</f>
        <v>5</v>
      </c>
      <c r="P56" s="2491">
        <f>P36+P48+P55</f>
        <v>3</v>
      </c>
      <c r="Q56" s="2492">
        <f t="shared" si="3"/>
        <v>8</v>
      </c>
      <c r="R56" s="2490">
        <f>R36+R48+R55</f>
        <v>5</v>
      </c>
      <c r="S56" s="2491">
        <f>S36+S48+S55</f>
        <v>3</v>
      </c>
      <c r="T56" s="2492">
        <f>SUM(R56:S56)</f>
        <v>8</v>
      </c>
      <c r="U56" s="2490">
        <f>U36+U48+U55</f>
        <v>116</v>
      </c>
      <c r="V56" s="2493">
        <f>V36+V48+V55</f>
        <v>57</v>
      </c>
      <c r="W56" s="2494">
        <f t="shared" si="4"/>
        <v>173</v>
      </c>
      <c r="X56" s="2490">
        <f>X36+X48+X55</f>
        <v>112</v>
      </c>
      <c r="Y56" s="2495">
        <f>Y36+Y48+Y55</f>
        <v>55</v>
      </c>
      <c r="Z56" s="2491">
        <f t="shared" si="5"/>
        <v>167</v>
      </c>
      <c r="AA56" s="2490">
        <f>AA36+AA48+AA55</f>
        <v>128</v>
      </c>
      <c r="AB56" s="2495">
        <f>AB36+AB48+AB55</f>
        <v>81</v>
      </c>
      <c r="AC56" s="2491">
        <f t="shared" si="11"/>
        <v>209</v>
      </c>
      <c r="AD56" s="2490">
        <f>AD36+AD48+AD55</f>
        <v>91</v>
      </c>
      <c r="AE56" s="2495">
        <f>AE36+AE48+AE55</f>
        <v>52</v>
      </c>
      <c r="AF56" s="2491">
        <f t="shared" si="6"/>
        <v>143</v>
      </c>
      <c r="AG56" s="2490">
        <f>AG36+AG48+AG55</f>
        <v>172</v>
      </c>
      <c r="AH56" s="2495">
        <f>AH36+AH48+AH55</f>
        <v>110</v>
      </c>
      <c r="AI56" s="2491">
        <f t="shared" si="7"/>
        <v>282</v>
      </c>
      <c r="AJ56" s="2490">
        <f>AJ36+AJ48+AJ55</f>
        <v>176</v>
      </c>
      <c r="AK56" s="2495">
        <f>AK36+AK48+AK55</f>
        <v>114</v>
      </c>
      <c r="AL56" s="2491">
        <f t="shared" si="12"/>
        <v>290</v>
      </c>
    </row>
    <row r="57" spans="2:38" x14ac:dyDescent="0.25">
      <c r="B57" s="2381" t="s">
        <v>60</v>
      </c>
      <c r="C57" s="2486">
        <v>2</v>
      </c>
      <c r="D57" s="2487"/>
      <c r="E57" s="2496">
        <f t="shared" si="0"/>
        <v>2</v>
      </c>
      <c r="F57" s="2486">
        <v>2</v>
      </c>
      <c r="G57" s="2487"/>
      <c r="H57" s="2496">
        <f t="shared" si="10"/>
        <v>2</v>
      </c>
      <c r="I57" s="2486"/>
      <c r="J57" s="2487"/>
      <c r="K57" s="2496">
        <f t="shared" si="1"/>
        <v>0</v>
      </c>
      <c r="L57" s="2486"/>
      <c r="M57" s="2487"/>
      <c r="N57" s="2496"/>
      <c r="O57" s="2486"/>
      <c r="P57" s="2487"/>
      <c r="Q57" s="2496">
        <f t="shared" si="3"/>
        <v>0</v>
      </c>
      <c r="R57" s="2486"/>
      <c r="S57" s="2487"/>
      <c r="T57" s="2496"/>
      <c r="U57" s="2486">
        <v>7</v>
      </c>
      <c r="V57" s="2488">
        <v>7</v>
      </c>
      <c r="W57" s="2497">
        <f t="shared" si="4"/>
        <v>14</v>
      </c>
      <c r="X57" s="2486">
        <v>7</v>
      </c>
      <c r="Y57" s="2489">
        <v>5</v>
      </c>
      <c r="Z57" s="2487">
        <f t="shared" si="5"/>
        <v>12</v>
      </c>
      <c r="AA57" s="2486">
        <v>17</v>
      </c>
      <c r="AB57" s="2489">
        <v>14</v>
      </c>
      <c r="AC57" s="2487">
        <f t="shared" si="11"/>
        <v>31</v>
      </c>
      <c r="AD57" s="2486">
        <v>17</v>
      </c>
      <c r="AE57" s="2489">
        <v>7</v>
      </c>
      <c r="AF57" s="2487">
        <f t="shared" si="6"/>
        <v>24</v>
      </c>
      <c r="AG57" s="2486">
        <v>26</v>
      </c>
      <c r="AH57" s="2489">
        <v>18</v>
      </c>
      <c r="AI57" s="2487">
        <f t="shared" si="7"/>
        <v>44</v>
      </c>
      <c r="AJ57" s="2486">
        <v>23</v>
      </c>
      <c r="AK57" s="2489">
        <v>19</v>
      </c>
      <c r="AL57" s="2487">
        <f t="shared" si="12"/>
        <v>42</v>
      </c>
    </row>
    <row r="58" spans="2:38" x14ac:dyDescent="0.25">
      <c r="B58" s="2370" t="s">
        <v>94</v>
      </c>
      <c r="C58" s="2462">
        <v>6</v>
      </c>
      <c r="D58" s="2463">
        <v>2</v>
      </c>
      <c r="E58" s="2464">
        <f t="shared" si="0"/>
        <v>8</v>
      </c>
      <c r="F58" s="2462">
        <v>6</v>
      </c>
      <c r="G58" s="2463">
        <v>2</v>
      </c>
      <c r="H58" s="2464">
        <f t="shared" si="10"/>
        <v>8</v>
      </c>
      <c r="I58" s="2462">
        <v>9</v>
      </c>
      <c r="J58" s="2463">
        <v>6</v>
      </c>
      <c r="K58" s="2464">
        <f t="shared" si="1"/>
        <v>15</v>
      </c>
      <c r="L58" s="2462">
        <v>11</v>
      </c>
      <c r="M58" s="2463">
        <v>6</v>
      </c>
      <c r="N58" s="2464">
        <f t="shared" si="2"/>
        <v>17</v>
      </c>
      <c r="O58" s="2462">
        <v>2</v>
      </c>
      <c r="P58" s="2463">
        <v>4</v>
      </c>
      <c r="Q58" s="2464">
        <f t="shared" si="3"/>
        <v>6</v>
      </c>
      <c r="R58" s="2462">
        <v>2</v>
      </c>
      <c r="S58" s="2463">
        <v>4</v>
      </c>
      <c r="T58" s="2464">
        <f>SUM(R58:S58)</f>
        <v>6</v>
      </c>
      <c r="U58" s="2462">
        <v>37</v>
      </c>
      <c r="V58" s="2465">
        <v>20</v>
      </c>
      <c r="W58" s="2466">
        <f t="shared" si="4"/>
        <v>57</v>
      </c>
      <c r="X58" s="2462">
        <v>37</v>
      </c>
      <c r="Y58" s="2467">
        <v>18</v>
      </c>
      <c r="Z58" s="2463">
        <f t="shared" si="5"/>
        <v>55</v>
      </c>
      <c r="AA58" s="2462">
        <v>26</v>
      </c>
      <c r="AB58" s="2467">
        <v>11</v>
      </c>
      <c r="AC58" s="2463">
        <f t="shared" si="11"/>
        <v>37</v>
      </c>
      <c r="AD58" s="2462">
        <v>31</v>
      </c>
      <c r="AE58" s="2467">
        <v>17</v>
      </c>
      <c r="AF58" s="2463">
        <f t="shared" si="6"/>
        <v>48</v>
      </c>
      <c r="AG58" s="2462">
        <v>38</v>
      </c>
      <c r="AH58" s="2467">
        <v>14</v>
      </c>
      <c r="AI58" s="2463">
        <f t="shared" si="7"/>
        <v>52</v>
      </c>
      <c r="AJ58" s="2462">
        <v>50</v>
      </c>
      <c r="AK58" s="2467">
        <v>18</v>
      </c>
      <c r="AL58" s="2463">
        <f t="shared" si="12"/>
        <v>68</v>
      </c>
    </row>
    <row r="59" spans="2:38" x14ac:dyDescent="0.25">
      <c r="B59" s="2370" t="s">
        <v>62</v>
      </c>
      <c r="C59" s="2462"/>
      <c r="D59" s="2463">
        <v>2</v>
      </c>
      <c r="E59" s="2464">
        <f t="shared" si="0"/>
        <v>2</v>
      </c>
      <c r="F59" s="2462"/>
      <c r="G59" s="2463">
        <v>2</v>
      </c>
      <c r="H59" s="2464">
        <f t="shared" si="10"/>
        <v>2</v>
      </c>
      <c r="I59" s="2462">
        <v>1</v>
      </c>
      <c r="J59" s="2463">
        <v>4</v>
      </c>
      <c r="K59" s="2464">
        <f t="shared" si="1"/>
        <v>5</v>
      </c>
      <c r="L59" s="2462">
        <v>1</v>
      </c>
      <c r="M59" s="2463">
        <v>4</v>
      </c>
      <c r="N59" s="2464">
        <f t="shared" si="2"/>
        <v>5</v>
      </c>
      <c r="O59" s="2462">
        <v>1</v>
      </c>
      <c r="P59" s="2463">
        <v>0</v>
      </c>
      <c r="Q59" s="2464">
        <f t="shared" si="3"/>
        <v>1</v>
      </c>
      <c r="R59" s="2462">
        <v>1</v>
      </c>
      <c r="S59" s="2463">
        <v>0</v>
      </c>
      <c r="T59" s="2464">
        <f>SUM(R59:S59)</f>
        <v>1</v>
      </c>
      <c r="U59" s="2462">
        <v>3</v>
      </c>
      <c r="V59" s="2465">
        <v>1</v>
      </c>
      <c r="W59" s="2466">
        <f t="shared" si="4"/>
        <v>4</v>
      </c>
      <c r="X59" s="2462">
        <v>3</v>
      </c>
      <c r="Y59" s="2467">
        <v>1</v>
      </c>
      <c r="Z59" s="2463">
        <f t="shared" si="5"/>
        <v>4</v>
      </c>
      <c r="AA59" s="2462">
        <v>6</v>
      </c>
      <c r="AB59" s="2467">
        <v>5</v>
      </c>
      <c r="AC59" s="2463">
        <f t="shared" si="11"/>
        <v>11</v>
      </c>
      <c r="AD59" s="2462">
        <v>5</v>
      </c>
      <c r="AE59" s="2467">
        <v>4</v>
      </c>
      <c r="AF59" s="2463">
        <f t="shared" si="6"/>
        <v>9</v>
      </c>
      <c r="AG59" s="2462">
        <v>4</v>
      </c>
      <c r="AH59" s="2467">
        <v>9</v>
      </c>
      <c r="AI59" s="2463">
        <f t="shared" si="7"/>
        <v>13</v>
      </c>
      <c r="AJ59" s="2462">
        <v>25</v>
      </c>
      <c r="AK59" s="2467">
        <v>17</v>
      </c>
      <c r="AL59" s="2463">
        <f t="shared" si="12"/>
        <v>42</v>
      </c>
    </row>
    <row r="60" spans="2:38" x14ac:dyDescent="0.25">
      <c r="B60" s="2370" t="s">
        <v>96</v>
      </c>
      <c r="C60" s="2462"/>
      <c r="D60" s="2463">
        <v>1</v>
      </c>
      <c r="E60" s="2464">
        <f t="shared" si="0"/>
        <v>1</v>
      </c>
      <c r="F60" s="2462"/>
      <c r="G60" s="2463">
        <v>1</v>
      </c>
      <c r="H60" s="2464">
        <f t="shared" si="10"/>
        <v>1</v>
      </c>
      <c r="I60" s="2462">
        <v>4</v>
      </c>
      <c r="J60" s="2463">
        <v>1</v>
      </c>
      <c r="K60" s="2464">
        <f t="shared" si="1"/>
        <v>5</v>
      </c>
      <c r="L60" s="2462">
        <v>3</v>
      </c>
      <c r="M60" s="2463">
        <v>1</v>
      </c>
      <c r="N60" s="2464">
        <f t="shared" si="2"/>
        <v>4</v>
      </c>
      <c r="O60" s="2462">
        <v>1</v>
      </c>
      <c r="P60" s="2463">
        <v>0</v>
      </c>
      <c r="Q60" s="2464">
        <f t="shared" si="3"/>
        <v>1</v>
      </c>
      <c r="R60" s="2462">
        <v>1</v>
      </c>
      <c r="S60" s="2463">
        <v>0</v>
      </c>
      <c r="T60" s="2464">
        <f>SUM(R60:S60)</f>
        <v>1</v>
      </c>
      <c r="U60" s="2462">
        <v>10</v>
      </c>
      <c r="V60" s="2465">
        <v>7</v>
      </c>
      <c r="W60" s="2466">
        <f t="shared" si="4"/>
        <v>17</v>
      </c>
      <c r="X60" s="2462">
        <v>10</v>
      </c>
      <c r="Y60" s="2467">
        <v>7</v>
      </c>
      <c r="Z60" s="2463">
        <f t="shared" si="5"/>
        <v>17</v>
      </c>
      <c r="AA60" s="2462">
        <v>6</v>
      </c>
      <c r="AB60" s="2467">
        <v>1</v>
      </c>
      <c r="AC60" s="2463">
        <f t="shared" si="11"/>
        <v>7</v>
      </c>
      <c r="AD60" s="2462">
        <v>11</v>
      </c>
      <c r="AE60" s="2467">
        <v>4</v>
      </c>
      <c r="AF60" s="2463">
        <f t="shared" si="6"/>
        <v>15</v>
      </c>
      <c r="AG60" s="2462">
        <v>8</v>
      </c>
      <c r="AH60" s="2467">
        <v>3</v>
      </c>
      <c r="AI60" s="2463">
        <f t="shared" si="7"/>
        <v>11</v>
      </c>
      <c r="AJ60" s="2462">
        <v>8</v>
      </c>
      <c r="AK60" s="2467">
        <v>6</v>
      </c>
      <c r="AL60" s="2463">
        <f t="shared" si="12"/>
        <v>14</v>
      </c>
    </row>
    <row r="61" spans="2:38" x14ac:dyDescent="0.25">
      <c r="B61" s="2370" t="s">
        <v>250</v>
      </c>
      <c r="C61" s="2462">
        <v>2</v>
      </c>
      <c r="D61" s="2463">
        <v>7</v>
      </c>
      <c r="E61" s="2464">
        <f t="shared" si="0"/>
        <v>9</v>
      </c>
      <c r="F61" s="2462">
        <v>2</v>
      </c>
      <c r="G61" s="2463">
        <v>7</v>
      </c>
      <c r="H61" s="2464">
        <f t="shared" si="10"/>
        <v>9</v>
      </c>
      <c r="I61" s="2462">
        <v>41</v>
      </c>
      <c r="J61" s="2463">
        <v>10</v>
      </c>
      <c r="K61" s="2464">
        <f t="shared" si="1"/>
        <v>51</v>
      </c>
      <c r="L61" s="2462">
        <v>41</v>
      </c>
      <c r="M61" s="2463">
        <v>10</v>
      </c>
      <c r="N61" s="2464">
        <f t="shared" si="2"/>
        <v>51</v>
      </c>
      <c r="O61" s="2462">
        <v>10</v>
      </c>
      <c r="P61" s="2463">
        <v>5</v>
      </c>
      <c r="Q61" s="2464">
        <f t="shared" si="3"/>
        <v>15</v>
      </c>
      <c r="R61" s="2462">
        <v>10</v>
      </c>
      <c r="S61" s="2463">
        <v>5</v>
      </c>
      <c r="T61" s="2464">
        <f>SUM(R61:S61)</f>
        <v>15</v>
      </c>
      <c r="U61" s="2462">
        <v>44</v>
      </c>
      <c r="V61" s="2465">
        <v>15</v>
      </c>
      <c r="W61" s="2466">
        <f t="shared" si="4"/>
        <v>59</v>
      </c>
      <c r="X61" s="2462">
        <v>42</v>
      </c>
      <c r="Y61" s="2467">
        <v>14</v>
      </c>
      <c r="Z61" s="2463">
        <f t="shared" si="5"/>
        <v>56</v>
      </c>
      <c r="AA61" s="2462">
        <v>38</v>
      </c>
      <c r="AB61" s="2467">
        <v>23</v>
      </c>
      <c r="AC61" s="2463">
        <f t="shared" si="11"/>
        <v>61</v>
      </c>
      <c r="AD61" s="2462">
        <v>61</v>
      </c>
      <c r="AE61" s="2467">
        <v>23</v>
      </c>
      <c r="AF61" s="2463">
        <f t="shared" si="6"/>
        <v>84</v>
      </c>
      <c r="AG61" s="2462">
        <v>62</v>
      </c>
      <c r="AH61" s="2467">
        <v>20</v>
      </c>
      <c r="AI61" s="2463">
        <f t="shared" si="7"/>
        <v>82</v>
      </c>
      <c r="AJ61" s="2462">
        <v>93</v>
      </c>
      <c r="AK61" s="2467">
        <v>21</v>
      </c>
      <c r="AL61" s="2463">
        <f t="shared" si="12"/>
        <v>114</v>
      </c>
    </row>
    <row r="62" spans="2:38" x14ac:dyDescent="0.25">
      <c r="B62" s="2370" t="s">
        <v>63</v>
      </c>
      <c r="C62" s="2462">
        <v>3</v>
      </c>
      <c r="D62" s="2463">
        <v>1</v>
      </c>
      <c r="E62" s="2464">
        <f t="shared" si="0"/>
        <v>4</v>
      </c>
      <c r="F62" s="2462">
        <v>3</v>
      </c>
      <c r="G62" s="2463">
        <v>1</v>
      </c>
      <c r="H62" s="2464">
        <f t="shared" si="10"/>
        <v>4</v>
      </c>
      <c r="I62" s="2462">
        <v>6</v>
      </c>
      <c r="J62" s="2463">
        <v>7</v>
      </c>
      <c r="K62" s="2464">
        <f t="shared" si="1"/>
        <v>13</v>
      </c>
      <c r="L62" s="2462">
        <v>6</v>
      </c>
      <c r="M62" s="2463">
        <v>7</v>
      </c>
      <c r="N62" s="2464">
        <f t="shared" si="2"/>
        <v>13</v>
      </c>
      <c r="O62" s="2462"/>
      <c r="P62" s="2463"/>
      <c r="Q62" s="2464">
        <f t="shared" si="3"/>
        <v>0</v>
      </c>
      <c r="R62" s="2462"/>
      <c r="S62" s="2463"/>
      <c r="T62" s="2464"/>
      <c r="U62" s="2462">
        <v>11</v>
      </c>
      <c r="V62" s="2465">
        <v>6</v>
      </c>
      <c r="W62" s="2466">
        <f t="shared" si="4"/>
        <v>17</v>
      </c>
      <c r="X62" s="2462">
        <v>10</v>
      </c>
      <c r="Y62" s="2467">
        <v>6</v>
      </c>
      <c r="Z62" s="2463">
        <f t="shared" si="5"/>
        <v>16</v>
      </c>
      <c r="AA62" s="2462">
        <v>17</v>
      </c>
      <c r="AB62" s="2467">
        <v>13</v>
      </c>
      <c r="AC62" s="2463">
        <f t="shared" si="11"/>
        <v>30</v>
      </c>
      <c r="AD62" s="2462">
        <v>13</v>
      </c>
      <c r="AE62" s="2467">
        <v>7</v>
      </c>
      <c r="AF62" s="2463">
        <f t="shared" si="6"/>
        <v>20</v>
      </c>
      <c r="AG62" s="2462">
        <v>22</v>
      </c>
      <c r="AH62" s="2467">
        <v>4</v>
      </c>
      <c r="AI62" s="2463">
        <f t="shared" si="7"/>
        <v>26</v>
      </c>
      <c r="AJ62" s="2462">
        <v>27</v>
      </c>
      <c r="AK62" s="2467">
        <v>17</v>
      </c>
      <c r="AL62" s="2463">
        <f t="shared" si="12"/>
        <v>44</v>
      </c>
    </row>
    <row r="63" spans="2:38" x14ac:dyDescent="0.25">
      <c r="B63" s="2371" t="s">
        <v>64</v>
      </c>
      <c r="C63" s="2468">
        <f>SUM(C57:C62)</f>
        <v>13</v>
      </c>
      <c r="D63" s="2469">
        <f>SUM(D57:D62)</f>
        <v>13</v>
      </c>
      <c r="E63" s="2470">
        <f t="shared" si="0"/>
        <v>26</v>
      </c>
      <c r="F63" s="2468">
        <f>SUM(F57:F62)</f>
        <v>13</v>
      </c>
      <c r="G63" s="2469">
        <f>SUM(G57:G62)</f>
        <v>13</v>
      </c>
      <c r="H63" s="2470">
        <f t="shared" si="10"/>
        <v>26</v>
      </c>
      <c r="I63" s="2468">
        <f>SUM(I57:I62)</f>
        <v>61</v>
      </c>
      <c r="J63" s="2469">
        <f>SUM(J57:J62)</f>
        <v>28</v>
      </c>
      <c r="K63" s="2470">
        <f t="shared" si="1"/>
        <v>89</v>
      </c>
      <c r="L63" s="2468">
        <f>SUM(L57:L62)</f>
        <v>62</v>
      </c>
      <c r="M63" s="2469">
        <f>SUM(M57:M62)</f>
        <v>28</v>
      </c>
      <c r="N63" s="2470">
        <f t="shared" si="2"/>
        <v>90</v>
      </c>
      <c r="O63" s="2468">
        <f>SUM(O57:O62)</f>
        <v>14</v>
      </c>
      <c r="P63" s="2469">
        <f>SUM(P57:P62)</f>
        <v>9</v>
      </c>
      <c r="Q63" s="2470">
        <f t="shared" si="3"/>
        <v>23</v>
      </c>
      <c r="R63" s="2468">
        <f>SUM(R57:R62)</f>
        <v>14</v>
      </c>
      <c r="S63" s="2469">
        <f>SUM(S57:S62)</f>
        <v>9</v>
      </c>
      <c r="T63" s="2470">
        <f>SUM(R63:S63)</f>
        <v>23</v>
      </c>
      <c r="U63" s="2468">
        <f>SUM(U57:U62)</f>
        <v>112</v>
      </c>
      <c r="V63" s="2471">
        <f>SUM(V57:V62)</f>
        <v>56</v>
      </c>
      <c r="W63" s="2472">
        <f t="shared" si="4"/>
        <v>168</v>
      </c>
      <c r="X63" s="2468">
        <f>SUM(X57:X62)</f>
        <v>109</v>
      </c>
      <c r="Y63" s="2473">
        <f>SUM(Y57:Y62)</f>
        <v>51</v>
      </c>
      <c r="Z63" s="2469">
        <f t="shared" si="5"/>
        <v>160</v>
      </c>
      <c r="AA63" s="2468">
        <f>SUM(AA57:AA62)</f>
        <v>110</v>
      </c>
      <c r="AB63" s="2473">
        <f>SUM(AB57:AB62)</f>
        <v>67</v>
      </c>
      <c r="AC63" s="2469">
        <f t="shared" si="11"/>
        <v>177</v>
      </c>
      <c r="AD63" s="2468">
        <f>SUM(AD57:AD62)</f>
        <v>138</v>
      </c>
      <c r="AE63" s="2473">
        <f>SUM(AE57:AE62)</f>
        <v>62</v>
      </c>
      <c r="AF63" s="2469">
        <f t="shared" si="6"/>
        <v>200</v>
      </c>
      <c r="AG63" s="2468">
        <f>SUM(AG57:AG62)</f>
        <v>160</v>
      </c>
      <c r="AH63" s="2473">
        <f>SUM(AH57:AH62)</f>
        <v>68</v>
      </c>
      <c r="AI63" s="2469">
        <f t="shared" si="7"/>
        <v>228</v>
      </c>
      <c r="AJ63" s="2468">
        <f>SUM(AJ57:AJ62)</f>
        <v>226</v>
      </c>
      <c r="AK63" s="2473">
        <f>SUM(AK57:AK62)</f>
        <v>98</v>
      </c>
      <c r="AL63" s="2469">
        <f t="shared" si="12"/>
        <v>324</v>
      </c>
    </row>
    <row r="64" spans="2:38" x14ac:dyDescent="0.25">
      <c r="B64" s="2370" t="s">
        <v>101</v>
      </c>
      <c r="C64" s="2462"/>
      <c r="D64" s="2463">
        <v>2</v>
      </c>
      <c r="E64" s="2464">
        <f t="shared" si="0"/>
        <v>2</v>
      </c>
      <c r="F64" s="2462"/>
      <c r="G64" s="2463">
        <v>2</v>
      </c>
      <c r="H64" s="2464">
        <f t="shared" si="10"/>
        <v>2</v>
      </c>
      <c r="I64" s="2462">
        <v>1</v>
      </c>
      <c r="J64" s="2463">
        <v>1</v>
      </c>
      <c r="K64" s="2464">
        <f t="shared" si="1"/>
        <v>2</v>
      </c>
      <c r="L64" s="2462">
        <v>1</v>
      </c>
      <c r="M64" s="2463">
        <v>2</v>
      </c>
      <c r="N64" s="2464">
        <f t="shared" si="2"/>
        <v>3</v>
      </c>
      <c r="O64" s="2462">
        <v>2</v>
      </c>
      <c r="P64" s="2463">
        <v>1</v>
      </c>
      <c r="Q64" s="2464">
        <f t="shared" si="3"/>
        <v>3</v>
      </c>
      <c r="R64" s="2462">
        <v>2</v>
      </c>
      <c r="S64" s="2463">
        <v>1</v>
      </c>
      <c r="T64" s="2464">
        <f>SUM(R64:S64)</f>
        <v>3</v>
      </c>
      <c r="U64" s="2462">
        <v>1</v>
      </c>
      <c r="V64" s="2465">
        <v>0</v>
      </c>
      <c r="W64" s="2466">
        <f t="shared" si="4"/>
        <v>1</v>
      </c>
      <c r="X64" s="2462">
        <v>1</v>
      </c>
      <c r="Y64" s="2467">
        <v>0</v>
      </c>
      <c r="Z64" s="2463">
        <f t="shared" si="5"/>
        <v>1</v>
      </c>
      <c r="AA64" s="2462">
        <v>6</v>
      </c>
      <c r="AB64" s="2467">
        <v>4</v>
      </c>
      <c r="AC64" s="2463">
        <f t="shared" si="11"/>
        <v>10</v>
      </c>
      <c r="AD64" s="2462"/>
      <c r="AE64" s="2467">
        <v>1</v>
      </c>
      <c r="AF64" s="2463">
        <f t="shared" si="6"/>
        <v>1</v>
      </c>
      <c r="AG64" s="2462">
        <v>1</v>
      </c>
      <c r="AH64" s="2467">
        <v>0</v>
      </c>
      <c r="AI64" s="2463">
        <f t="shared" si="7"/>
        <v>1</v>
      </c>
      <c r="AJ64" s="2462">
        <v>2</v>
      </c>
      <c r="AK64" s="2467">
        <v>4</v>
      </c>
      <c r="AL64" s="2463">
        <f t="shared" si="12"/>
        <v>6</v>
      </c>
    </row>
    <row r="65" spans="2:38" x14ac:dyDescent="0.25">
      <c r="B65" s="2370" t="s">
        <v>86</v>
      </c>
      <c r="C65" s="2462">
        <v>8</v>
      </c>
      <c r="D65" s="2463">
        <v>2</v>
      </c>
      <c r="E65" s="2464">
        <f t="shared" si="0"/>
        <v>10</v>
      </c>
      <c r="F65" s="2462">
        <v>8</v>
      </c>
      <c r="G65" s="2463">
        <v>2</v>
      </c>
      <c r="H65" s="2464">
        <f t="shared" si="10"/>
        <v>10</v>
      </c>
      <c r="I65" s="2462">
        <v>4</v>
      </c>
      <c r="J65" s="2463">
        <v>1</v>
      </c>
      <c r="K65" s="2464">
        <f t="shared" si="1"/>
        <v>5</v>
      </c>
      <c r="L65" s="2462">
        <v>7</v>
      </c>
      <c r="M65" s="2463">
        <v>2</v>
      </c>
      <c r="N65" s="2464">
        <f t="shared" si="2"/>
        <v>9</v>
      </c>
      <c r="O65" s="2462">
        <v>1</v>
      </c>
      <c r="P65" s="2463">
        <v>1</v>
      </c>
      <c r="Q65" s="2464">
        <f t="shared" si="3"/>
        <v>2</v>
      </c>
      <c r="R65" s="2462">
        <v>1</v>
      </c>
      <c r="S65" s="2463">
        <v>1</v>
      </c>
      <c r="T65" s="2464">
        <f>SUM(R65:S65)</f>
        <v>2</v>
      </c>
      <c r="U65" s="2462">
        <v>14</v>
      </c>
      <c r="V65" s="2465">
        <v>11</v>
      </c>
      <c r="W65" s="2466">
        <f t="shared" si="4"/>
        <v>25</v>
      </c>
      <c r="X65" s="2462">
        <v>14</v>
      </c>
      <c r="Y65" s="2467">
        <v>11</v>
      </c>
      <c r="Z65" s="2463">
        <f t="shared" si="5"/>
        <v>25</v>
      </c>
      <c r="AA65" s="2462">
        <v>10</v>
      </c>
      <c r="AB65" s="2467">
        <v>7</v>
      </c>
      <c r="AC65" s="2463">
        <f t="shared" si="11"/>
        <v>17</v>
      </c>
      <c r="AD65" s="2462">
        <v>2</v>
      </c>
      <c r="AE65" s="2467"/>
      <c r="AF65" s="2463">
        <f t="shared" si="6"/>
        <v>2</v>
      </c>
      <c r="AG65" s="2462">
        <v>10</v>
      </c>
      <c r="AH65" s="2467">
        <v>2</v>
      </c>
      <c r="AI65" s="2463">
        <f t="shared" si="7"/>
        <v>12</v>
      </c>
      <c r="AJ65" s="2462">
        <v>23</v>
      </c>
      <c r="AK65" s="2467">
        <v>7</v>
      </c>
      <c r="AL65" s="2463">
        <f t="shared" si="12"/>
        <v>30</v>
      </c>
    </row>
    <row r="66" spans="2:38" x14ac:dyDescent="0.25">
      <c r="B66" s="2370" t="s">
        <v>97</v>
      </c>
      <c r="C66" s="2462">
        <v>11</v>
      </c>
      <c r="D66" s="2463">
        <v>1</v>
      </c>
      <c r="E66" s="2464">
        <f t="shared" si="0"/>
        <v>12</v>
      </c>
      <c r="F66" s="2462">
        <v>11</v>
      </c>
      <c r="G66" s="2463">
        <v>1</v>
      </c>
      <c r="H66" s="2464">
        <f t="shared" si="10"/>
        <v>12</v>
      </c>
      <c r="I66" s="2462"/>
      <c r="J66" s="2463"/>
      <c r="K66" s="2464">
        <f t="shared" si="1"/>
        <v>0</v>
      </c>
      <c r="L66" s="2462">
        <v>5</v>
      </c>
      <c r="M66" s="2463">
        <v>1</v>
      </c>
      <c r="N66" s="2464">
        <f t="shared" si="2"/>
        <v>6</v>
      </c>
      <c r="O66" s="2462"/>
      <c r="P66" s="2463"/>
      <c r="Q66" s="2464">
        <f t="shared" si="3"/>
        <v>0</v>
      </c>
      <c r="R66" s="2462"/>
      <c r="S66" s="2463"/>
      <c r="T66" s="2464"/>
      <c r="U66" s="2462">
        <v>2</v>
      </c>
      <c r="V66" s="2465">
        <v>0</v>
      </c>
      <c r="W66" s="2466">
        <f t="shared" si="4"/>
        <v>2</v>
      </c>
      <c r="X66" s="2462">
        <v>2</v>
      </c>
      <c r="Y66" s="2467">
        <v>0</v>
      </c>
      <c r="Z66" s="2463">
        <f t="shared" si="5"/>
        <v>2</v>
      </c>
      <c r="AA66" s="2462">
        <v>10</v>
      </c>
      <c r="AB66" s="2467">
        <v>1</v>
      </c>
      <c r="AC66" s="2463">
        <f t="shared" si="11"/>
        <v>11</v>
      </c>
      <c r="AD66" s="2462">
        <v>2</v>
      </c>
      <c r="AE66" s="2467"/>
      <c r="AF66" s="2463">
        <f t="shared" si="6"/>
        <v>2</v>
      </c>
      <c r="AG66" s="2462">
        <v>0</v>
      </c>
      <c r="AH66" s="2467">
        <v>0</v>
      </c>
      <c r="AI66" s="2463">
        <f t="shared" si="7"/>
        <v>0</v>
      </c>
      <c r="AJ66" s="2462"/>
      <c r="AK66" s="2467"/>
      <c r="AL66" s="2463">
        <f t="shared" si="12"/>
        <v>0</v>
      </c>
    </row>
    <row r="67" spans="2:38" x14ac:dyDescent="0.25">
      <c r="B67" s="2370" t="s">
        <v>98</v>
      </c>
      <c r="C67" s="2462">
        <v>6</v>
      </c>
      <c r="D67" s="2463">
        <v>3</v>
      </c>
      <c r="E67" s="2464">
        <f t="shared" si="0"/>
        <v>9</v>
      </c>
      <c r="F67" s="2462">
        <v>6</v>
      </c>
      <c r="G67" s="2463">
        <v>3</v>
      </c>
      <c r="H67" s="2464">
        <f t="shared" si="10"/>
        <v>9</v>
      </c>
      <c r="I67" s="2462">
        <v>6</v>
      </c>
      <c r="J67" s="2463">
        <v>4</v>
      </c>
      <c r="K67" s="2464">
        <f t="shared" si="1"/>
        <v>10</v>
      </c>
      <c r="L67" s="2462">
        <v>12</v>
      </c>
      <c r="M67" s="2463">
        <v>7</v>
      </c>
      <c r="N67" s="2464">
        <f t="shared" si="2"/>
        <v>19</v>
      </c>
      <c r="O67" s="2462"/>
      <c r="P67" s="2463"/>
      <c r="Q67" s="2464">
        <f t="shared" si="3"/>
        <v>0</v>
      </c>
      <c r="R67" s="2462"/>
      <c r="S67" s="2463"/>
      <c r="T67" s="2464"/>
      <c r="U67" s="2462">
        <v>6</v>
      </c>
      <c r="V67" s="2465">
        <v>1</v>
      </c>
      <c r="W67" s="2466">
        <f t="shared" si="4"/>
        <v>7</v>
      </c>
      <c r="X67" s="2462">
        <v>4</v>
      </c>
      <c r="Y67" s="2467">
        <v>1</v>
      </c>
      <c r="Z67" s="2463">
        <f t="shared" si="5"/>
        <v>5</v>
      </c>
      <c r="AA67" s="2462">
        <v>5</v>
      </c>
      <c r="AB67" s="2467">
        <v>1</v>
      </c>
      <c r="AC67" s="2463">
        <f t="shared" si="11"/>
        <v>6</v>
      </c>
      <c r="AD67" s="2462">
        <v>4</v>
      </c>
      <c r="AE67" s="2467"/>
      <c r="AF67" s="2463">
        <f t="shared" si="6"/>
        <v>4</v>
      </c>
      <c r="AG67" s="2462">
        <v>2</v>
      </c>
      <c r="AH67" s="2467">
        <v>1</v>
      </c>
      <c r="AI67" s="2463">
        <f t="shared" si="7"/>
        <v>3</v>
      </c>
      <c r="AJ67" s="2462">
        <v>4</v>
      </c>
      <c r="AK67" s="2467">
        <v>1</v>
      </c>
      <c r="AL67" s="2463">
        <f t="shared" si="12"/>
        <v>5</v>
      </c>
    </row>
    <row r="68" spans="2:38" x14ac:dyDescent="0.25">
      <c r="B68" s="2370" t="s">
        <v>1651</v>
      </c>
      <c r="C68" s="2462">
        <v>13</v>
      </c>
      <c r="D68" s="2463">
        <v>7</v>
      </c>
      <c r="E68" s="2464">
        <f t="shared" si="0"/>
        <v>20</v>
      </c>
      <c r="F68" s="2462">
        <v>13</v>
      </c>
      <c r="G68" s="2463">
        <v>7</v>
      </c>
      <c r="H68" s="2464">
        <f t="shared" si="10"/>
        <v>20</v>
      </c>
      <c r="I68" s="2462"/>
      <c r="J68" s="2463">
        <v>1</v>
      </c>
      <c r="K68" s="2464">
        <f t="shared" si="1"/>
        <v>1</v>
      </c>
      <c r="L68" s="2462">
        <v>4</v>
      </c>
      <c r="M68" s="2463">
        <v>3</v>
      </c>
      <c r="N68" s="2464">
        <f t="shared" si="2"/>
        <v>7</v>
      </c>
      <c r="O68" s="2462"/>
      <c r="P68" s="2463"/>
      <c r="Q68" s="2464">
        <f t="shared" si="3"/>
        <v>0</v>
      </c>
      <c r="R68" s="2462"/>
      <c r="S68" s="2463"/>
      <c r="T68" s="2464"/>
      <c r="U68" s="2462">
        <v>6</v>
      </c>
      <c r="V68" s="2465">
        <v>6</v>
      </c>
      <c r="W68" s="2466">
        <f t="shared" si="4"/>
        <v>12</v>
      </c>
      <c r="X68" s="2462">
        <v>6</v>
      </c>
      <c r="Y68" s="2467">
        <v>6</v>
      </c>
      <c r="Z68" s="2463">
        <f t="shared" si="5"/>
        <v>12</v>
      </c>
      <c r="AA68" s="2462">
        <v>12</v>
      </c>
      <c r="AB68" s="2467">
        <v>12</v>
      </c>
      <c r="AC68" s="2463">
        <f t="shared" si="11"/>
        <v>24</v>
      </c>
      <c r="AD68" s="2462">
        <v>15</v>
      </c>
      <c r="AE68" s="2467">
        <v>7</v>
      </c>
      <c r="AF68" s="2463">
        <f t="shared" si="6"/>
        <v>22</v>
      </c>
      <c r="AG68" s="2462">
        <v>8</v>
      </c>
      <c r="AH68" s="2467">
        <v>9</v>
      </c>
      <c r="AI68" s="2463">
        <f t="shared" si="7"/>
        <v>17</v>
      </c>
      <c r="AJ68" s="2462"/>
      <c r="AK68" s="2467"/>
      <c r="AL68" s="2463">
        <f t="shared" si="12"/>
        <v>0</v>
      </c>
    </row>
    <row r="69" spans="2:38" x14ac:dyDescent="0.25">
      <c r="B69" s="2370" t="s">
        <v>100</v>
      </c>
      <c r="C69" s="2462">
        <v>4</v>
      </c>
      <c r="D69" s="2463">
        <v>3</v>
      </c>
      <c r="E69" s="2464">
        <f t="shared" si="0"/>
        <v>7</v>
      </c>
      <c r="F69" s="2462">
        <v>4</v>
      </c>
      <c r="G69" s="2463">
        <v>3</v>
      </c>
      <c r="H69" s="2464">
        <f t="shared" si="10"/>
        <v>7</v>
      </c>
      <c r="I69" s="2462">
        <v>3</v>
      </c>
      <c r="J69" s="2463"/>
      <c r="K69" s="2464">
        <f t="shared" si="1"/>
        <v>3</v>
      </c>
      <c r="L69" s="2462">
        <v>4</v>
      </c>
      <c r="M69" s="2463">
        <v>1</v>
      </c>
      <c r="N69" s="2464">
        <f t="shared" si="2"/>
        <v>5</v>
      </c>
      <c r="O69" s="2462"/>
      <c r="P69" s="2463"/>
      <c r="Q69" s="2464">
        <f t="shared" si="3"/>
        <v>0</v>
      </c>
      <c r="R69" s="2462"/>
      <c r="S69" s="2463"/>
      <c r="T69" s="2464"/>
      <c r="U69" s="2462">
        <v>2</v>
      </c>
      <c r="V69" s="2465">
        <v>0</v>
      </c>
      <c r="W69" s="2466">
        <f t="shared" si="4"/>
        <v>2</v>
      </c>
      <c r="X69" s="2462">
        <v>2</v>
      </c>
      <c r="Y69" s="2467">
        <v>0</v>
      </c>
      <c r="Z69" s="2463">
        <f t="shared" si="5"/>
        <v>2</v>
      </c>
      <c r="AA69" s="2462">
        <v>7</v>
      </c>
      <c r="AB69" s="2467">
        <v>5</v>
      </c>
      <c r="AC69" s="2463">
        <f t="shared" si="11"/>
        <v>12</v>
      </c>
      <c r="AD69" s="2462">
        <v>7</v>
      </c>
      <c r="AE69" s="2467">
        <v>1</v>
      </c>
      <c r="AF69" s="2463">
        <f t="shared" si="6"/>
        <v>8</v>
      </c>
      <c r="AG69" s="2462">
        <v>9</v>
      </c>
      <c r="AH69" s="2467">
        <v>2</v>
      </c>
      <c r="AI69" s="2463">
        <f t="shared" si="7"/>
        <v>11</v>
      </c>
      <c r="AJ69" s="2462">
        <v>15</v>
      </c>
      <c r="AK69" s="2467">
        <v>4</v>
      </c>
      <c r="AL69" s="2463">
        <f t="shared" si="12"/>
        <v>19</v>
      </c>
    </row>
    <row r="70" spans="2:38" x14ac:dyDescent="0.25">
      <c r="B70" s="2370" t="s">
        <v>103</v>
      </c>
      <c r="C70" s="2462">
        <v>7</v>
      </c>
      <c r="D70" s="2463">
        <v>3</v>
      </c>
      <c r="E70" s="2464">
        <f t="shared" si="0"/>
        <v>10</v>
      </c>
      <c r="F70" s="2462">
        <v>7</v>
      </c>
      <c r="G70" s="2463">
        <v>3</v>
      </c>
      <c r="H70" s="2464">
        <f t="shared" si="10"/>
        <v>10</v>
      </c>
      <c r="I70" s="2462">
        <v>9</v>
      </c>
      <c r="J70" s="2463">
        <v>4</v>
      </c>
      <c r="K70" s="2464">
        <f t="shared" si="1"/>
        <v>13</v>
      </c>
      <c r="L70" s="2462">
        <v>9</v>
      </c>
      <c r="M70" s="2463">
        <v>5</v>
      </c>
      <c r="N70" s="2464">
        <f t="shared" si="2"/>
        <v>14</v>
      </c>
      <c r="O70" s="2462">
        <v>3</v>
      </c>
      <c r="P70" s="2463"/>
      <c r="Q70" s="2464">
        <f t="shared" si="3"/>
        <v>3</v>
      </c>
      <c r="R70" s="2462">
        <v>3</v>
      </c>
      <c r="S70" s="2463"/>
      <c r="T70" s="2464"/>
      <c r="U70" s="2462">
        <v>27</v>
      </c>
      <c r="V70" s="2465">
        <v>4</v>
      </c>
      <c r="W70" s="2466">
        <f t="shared" si="4"/>
        <v>31</v>
      </c>
      <c r="X70" s="2462">
        <v>27</v>
      </c>
      <c r="Y70" s="2467">
        <v>4</v>
      </c>
      <c r="Z70" s="2463">
        <f t="shared" si="5"/>
        <v>31</v>
      </c>
      <c r="AA70" s="2462">
        <v>23</v>
      </c>
      <c r="AB70" s="2467">
        <v>2</v>
      </c>
      <c r="AC70" s="2463">
        <f t="shared" si="11"/>
        <v>25</v>
      </c>
      <c r="AD70" s="2462">
        <v>12</v>
      </c>
      <c r="AE70" s="2467">
        <v>2</v>
      </c>
      <c r="AF70" s="2463">
        <f t="shared" si="6"/>
        <v>14</v>
      </c>
      <c r="AG70" s="2462">
        <v>39</v>
      </c>
      <c r="AH70" s="2467">
        <v>4</v>
      </c>
      <c r="AI70" s="2463">
        <f t="shared" si="7"/>
        <v>43</v>
      </c>
      <c r="AJ70" s="2462">
        <v>8</v>
      </c>
      <c r="AK70" s="2467">
        <v>3</v>
      </c>
      <c r="AL70" s="2463">
        <f t="shared" si="12"/>
        <v>11</v>
      </c>
    </row>
    <row r="71" spans="2:38" x14ac:dyDescent="0.25">
      <c r="B71" s="2370" t="s">
        <v>99</v>
      </c>
      <c r="C71" s="2462">
        <v>4</v>
      </c>
      <c r="D71" s="2463">
        <v>2</v>
      </c>
      <c r="E71" s="2464">
        <f t="shared" ref="E71:E106" si="13">SUM(C71:D71)</f>
        <v>6</v>
      </c>
      <c r="F71" s="2462">
        <v>3</v>
      </c>
      <c r="G71" s="2463">
        <v>2</v>
      </c>
      <c r="H71" s="2464">
        <f t="shared" si="10"/>
        <v>5</v>
      </c>
      <c r="I71" s="2462">
        <v>2</v>
      </c>
      <c r="J71" s="2463">
        <v>1</v>
      </c>
      <c r="K71" s="2464">
        <f t="shared" ref="K71:K82" si="14">SUM(I71:J71)</f>
        <v>3</v>
      </c>
      <c r="L71" s="2462">
        <v>2</v>
      </c>
      <c r="M71" s="2463">
        <v>1</v>
      </c>
      <c r="N71" s="2464">
        <f t="shared" ref="N71:N79" si="15">SUM(L71:M71)</f>
        <v>3</v>
      </c>
      <c r="O71" s="2462"/>
      <c r="P71" s="2463"/>
      <c r="Q71" s="2464">
        <f t="shared" ref="Q71:Q82" si="16">SUM(O71:P71)</f>
        <v>0</v>
      </c>
      <c r="R71" s="2462"/>
      <c r="S71" s="2463"/>
      <c r="T71" s="2464"/>
      <c r="U71" s="2462">
        <v>9</v>
      </c>
      <c r="V71" s="2465">
        <v>4</v>
      </c>
      <c r="W71" s="2466">
        <f t="shared" ref="W71:W82" si="17">SUM(U71:V71)</f>
        <v>13</v>
      </c>
      <c r="X71" s="2462">
        <v>9</v>
      </c>
      <c r="Y71" s="2467">
        <v>4</v>
      </c>
      <c r="Z71" s="2463">
        <f t="shared" ref="Z71:Z82" si="18">SUM(X71:Y71)</f>
        <v>13</v>
      </c>
      <c r="AA71" s="2462">
        <v>14</v>
      </c>
      <c r="AB71" s="2467">
        <v>6</v>
      </c>
      <c r="AC71" s="2463">
        <f t="shared" si="11"/>
        <v>20</v>
      </c>
      <c r="AD71" s="2462">
        <v>10</v>
      </c>
      <c r="AE71" s="2467">
        <v>4</v>
      </c>
      <c r="AF71" s="2463">
        <f t="shared" ref="AF71:AF82" si="19">SUM(AD71:AE71)</f>
        <v>14</v>
      </c>
      <c r="AG71" s="2462">
        <v>25</v>
      </c>
      <c r="AH71" s="2467">
        <v>14</v>
      </c>
      <c r="AI71" s="2463">
        <f t="shared" ref="AI71:AI82" si="20">SUM(AG71:AH71)</f>
        <v>39</v>
      </c>
      <c r="AJ71" s="2462">
        <v>47</v>
      </c>
      <c r="AK71" s="2467">
        <v>28</v>
      </c>
      <c r="AL71" s="2463">
        <f t="shared" ref="AL71:AL82" si="21">SUM(AJ71:AK71)</f>
        <v>75</v>
      </c>
    </row>
    <row r="72" spans="2:38" x14ac:dyDescent="0.25">
      <c r="B72" s="2371" t="s">
        <v>92</v>
      </c>
      <c r="C72" s="2468">
        <f>SUM(C64:C71)</f>
        <v>53</v>
      </c>
      <c r="D72" s="2469">
        <f>SUM(D64:D71)</f>
        <v>23</v>
      </c>
      <c r="E72" s="2470">
        <f t="shared" si="13"/>
        <v>76</v>
      </c>
      <c r="F72" s="2468">
        <f>SUM(F64:F71)</f>
        <v>52</v>
      </c>
      <c r="G72" s="2469">
        <f>SUM(G64:G71)</f>
        <v>23</v>
      </c>
      <c r="H72" s="2470">
        <f t="shared" si="10"/>
        <v>75</v>
      </c>
      <c r="I72" s="2468">
        <f>SUM(I64:I71)</f>
        <v>25</v>
      </c>
      <c r="J72" s="2469">
        <f>SUM(J64:J71)</f>
        <v>12</v>
      </c>
      <c r="K72" s="2470">
        <f t="shared" si="14"/>
        <v>37</v>
      </c>
      <c r="L72" s="2468">
        <f>SUM(L64:L71)</f>
        <v>44</v>
      </c>
      <c r="M72" s="2469">
        <f>SUM(M64:M71)</f>
        <v>22</v>
      </c>
      <c r="N72" s="2470">
        <f t="shared" si="15"/>
        <v>66</v>
      </c>
      <c r="O72" s="2468">
        <f>SUM(O64:O71)</f>
        <v>6</v>
      </c>
      <c r="P72" s="2469">
        <f>SUM(P64:P71)</f>
        <v>2</v>
      </c>
      <c r="Q72" s="2470">
        <f t="shared" si="16"/>
        <v>8</v>
      </c>
      <c r="R72" s="2468">
        <f>SUM(R64:R71)</f>
        <v>6</v>
      </c>
      <c r="S72" s="2469">
        <f>SUM(S64:S71)</f>
        <v>2</v>
      </c>
      <c r="T72" s="2470">
        <f t="shared" ref="T72:T78" si="22">SUM(R72:S72)</f>
        <v>8</v>
      </c>
      <c r="U72" s="2468">
        <f>SUM(U64:U71)</f>
        <v>67</v>
      </c>
      <c r="V72" s="2471">
        <f>SUM(V64:V71)</f>
        <v>26</v>
      </c>
      <c r="W72" s="2472">
        <f t="shared" si="17"/>
        <v>93</v>
      </c>
      <c r="X72" s="2468">
        <f>SUM(X64:X71)</f>
        <v>65</v>
      </c>
      <c r="Y72" s="2473">
        <f>SUM(Y64:Y71)</f>
        <v>26</v>
      </c>
      <c r="Z72" s="2469">
        <f t="shared" si="18"/>
        <v>91</v>
      </c>
      <c r="AA72" s="2468">
        <f>SUM(AA64:AA71)</f>
        <v>87</v>
      </c>
      <c r="AB72" s="2473">
        <f>SUM(AB64:AB71)</f>
        <v>38</v>
      </c>
      <c r="AC72" s="2469">
        <f t="shared" si="11"/>
        <v>125</v>
      </c>
      <c r="AD72" s="2468">
        <f>SUM(AD64:AD71)</f>
        <v>52</v>
      </c>
      <c r="AE72" s="2473">
        <f>SUM(AE64:AE71)</f>
        <v>15</v>
      </c>
      <c r="AF72" s="2469">
        <f t="shared" si="19"/>
        <v>67</v>
      </c>
      <c r="AG72" s="2468">
        <f>SUM(AG64:AG71)</f>
        <v>94</v>
      </c>
      <c r="AH72" s="2473">
        <f>SUM(AH64:AH71)</f>
        <v>32</v>
      </c>
      <c r="AI72" s="2469">
        <f t="shared" si="20"/>
        <v>126</v>
      </c>
      <c r="AJ72" s="2468">
        <f>SUM(AJ64:AJ71)</f>
        <v>99</v>
      </c>
      <c r="AK72" s="2473">
        <f>SUM(AK64:AK71)</f>
        <v>47</v>
      </c>
      <c r="AL72" s="2469">
        <f t="shared" si="21"/>
        <v>146</v>
      </c>
    </row>
    <row r="73" spans="2:38" x14ac:dyDescent="0.25">
      <c r="B73" s="2370" t="s">
        <v>65</v>
      </c>
      <c r="C73" s="2462">
        <v>4</v>
      </c>
      <c r="D73" s="2463">
        <v>3</v>
      </c>
      <c r="E73" s="2464">
        <f t="shared" si="13"/>
        <v>7</v>
      </c>
      <c r="F73" s="2462">
        <v>4</v>
      </c>
      <c r="G73" s="2463">
        <v>3</v>
      </c>
      <c r="H73" s="2464">
        <f t="shared" si="10"/>
        <v>7</v>
      </c>
      <c r="I73" s="2462">
        <v>5</v>
      </c>
      <c r="J73" s="2463">
        <v>9</v>
      </c>
      <c r="K73" s="2464">
        <f t="shared" si="14"/>
        <v>14</v>
      </c>
      <c r="L73" s="2462">
        <v>6</v>
      </c>
      <c r="M73" s="2463">
        <v>10</v>
      </c>
      <c r="N73" s="2464">
        <f t="shared" si="15"/>
        <v>16</v>
      </c>
      <c r="O73" s="2462">
        <v>7</v>
      </c>
      <c r="P73" s="2463">
        <v>5</v>
      </c>
      <c r="Q73" s="2464">
        <f t="shared" si="16"/>
        <v>12</v>
      </c>
      <c r="R73" s="2462">
        <v>7</v>
      </c>
      <c r="S73" s="2463">
        <v>5</v>
      </c>
      <c r="T73" s="2464">
        <f t="shared" si="22"/>
        <v>12</v>
      </c>
      <c r="U73" s="2462">
        <v>40</v>
      </c>
      <c r="V73" s="2465">
        <v>41</v>
      </c>
      <c r="W73" s="2466">
        <f t="shared" si="17"/>
        <v>81</v>
      </c>
      <c r="X73" s="2462">
        <v>36</v>
      </c>
      <c r="Y73" s="2467">
        <v>39</v>
      </c>
      <c r="Z73" s="2463">
        <f t="shared" si="18"/>
        <v>75</v>
      </c>
      <c r="AA73" s="2462">
        <v>19</v>
      </c>
      <c r="AB73" s="2467">
        <v>26</v>
      </c>
      <c r="AC73" s="2463">
        <f t="shared" si="11"/>
        <v>45</v>
      </c>
      <c r="AD73" s="2462">
        <v>14</v>
      </c>
      <c r="AE73" s="2467">
        <v>15</v>
      </c>
      <c r="AF73" s="2463">
        <f t="shared" si="19"/>
        <v>29</v>
      </c>
      <c r="AG73" s="2462">
        <v>36</v>
      </c>
      <c r="AH73" s="2467">
        <v>48</v>
      </c>
      <c r="AI73" s="2463">
        <f t="shared" si="20"/>
        <v>84</v>
      </c>
      <c r="AJ73" s="2462">
        <v>50</v>
      </c>
      <c r="AK73" s="2467">
        <v>46</v>
      </c>
      <c r="AL73" s="2463">
        <f t="shared" si="21"/>
        <v>96</v>
      </c>
    </row>
    <row r="74" spans="2:38" x14ac:dyDescent="0.25">
      <c r="B74" s="2370" t="s">
        <v>1590</v>
      </c>
      <c r="C74" s="2462">
        <v>6</v>
      </c>
      <c r="D74" s="2463">
        <v>1</v>
      </c>
      <c r="E74" s="2464">
        <f t="shared" si="13"/>
        <v>7</v>
      </c>
      <c r="F74" s="2462">
        <v>5</v>
      </c>
      <c r="G74" s="2463">
        <v>1</v>
      </c>
      <c r="H74" s="2464">
        <f t="shared" ref="H74:H106" si="23">SUM(F74:G74)</f>
        <v>6</v>
      </c>
      <c r="I74" s="2462">
        <v>17</v>
      </c>
      <c r="J74" s="2463">
        <v>5</v>
      </c>
      <c r="K74" s="2464">
        <f t="shared" si="14"/>
        <v>22</v>
      </c>
      <c r="L74" s="2462">
        <v>18</v>
      </c>
      <c r="M74" s="2463">
        <v>5</v>
      </c>
      <c r="N74" s="2464">
        <f t="shared" si="15"/>
        <v>23</v>
      </c>
      <c r="O74" s="2462">
        <v>7</v>
      </c>
      <c r="P74" s="2463">
        <v>4</v>
      </c>
      <c r="Q74" s="2464">
        <f t="shared" si="16"/>
        <v>11</v>
      </c>
      <c r="R74" s="2462">
        <v>7</v>
      </c>
      <c r="S74" s="2463">
        <v>4</v>
      </c>
      <c r="T74" s="2464">
        <f t="shared" si="22"/>
        <v>11</v>
      </c>
      <c r="U74" s="2462">
        <v>35</v>
      </c>
      <c r="V74" s="2465">
        <v>32</v>
      </c>
      <c r="W74" s="2466">
        <f t="shared" si="17"/>
        <v>67</v>
      </c>
      <c r="X74" s="2462">
        <v>34</v>
      </c>
      <c r="Y74" s="2467">
        <v>31</v>
      </c>
      <c r="Z74" s="2463">
        <f t="shared" si="18"/>
        <v>65</v>
      </c>
      <c r="AA74" s="2462">
        <v>22</v>
      </c>
      <c r="AB74" s="2467">
        <v>14</v>
      </c>
      <c r="AC74" s="2463">
        <f t="shared" si="11"/>
        <v>36</v>
      </c>
      <c r="AD74" s="2462">
        <v>10</v>
      </c>
      <c r="AE74" s="2467">
        <v>5</v>
      </c>
      <c r="AF74" s="2463">
        <f t="shared" si="19"/>
        <v>15</v>
      </c>
      <c r="AG74" s="2462">
        <v>29</v>
      </c>
      <c r="AH74" s="2467">
        <v>17</v>
      </c>
      <c r="AI74" s="2463">
        <f t="shared" si="20"/>
        <v>46</v>
      </c>
      <c r="AJ74" s="2462">
        <v>13</v>
      </c>
      <c r="AK74" s="2467">
        <v>10</v>
      </c>
      <c r="AL74" s="2463">
        <f t="shared" si="21"/>
        <v>23</v>
      </c>
    </row>
    <row r="75" spans="2:38" x14ac:dyDescent="0.25">
      <c r="B75" s="2370" t="s">
        <v>67</v>
      </c>
      <c r="C75" s="2462">
        <v>4</v>
      </c>
      <c r="D75" s="2463">
        <v>1</v>
      </c>
      <c r="E75" s="2464">
        <f t="shared" si="13"/>
        <v>5</v>
      </c>
      <c r="F75" s="2462">
        <v>4</v>
      </c>
      <c r="G75" s="2463">
        <v>1</v>
      </c>
      <c r="H75" s="2464">
        <f t="shared" si="23"/>
        <v>5</v>
      </c>
      <c r="I75" s="2462">
        <v>5</v>
      </c>
      <c r="J75" s="2463">
        <v>7</v>
      </c>
      <c r="K75" s="2464">
        <f t="shared" si="14"/>
        <v>12</v>
      </c>
      <c r="L75" s="2462">
        <v>6</v>
      </c>
      <c r="M75" s="2463">
        <v>7</v>
      </c>
      <c r="N75" s="2464">
        <f t="shared" si="15"/>
        <v>13</v>
      </c>
      <c r="O75" s="2462">
        <v>5</v>
      </c>
      <c r="P75" s="2463">
        <v>3</v>
      </c>
      <c r="Q75" s="2464">
        <f t="shared" si="16"/>
        <v>8</v>
      </c>
      <c r="R75" s="2462">
        <v>5</v>
      </c>
      <c r="S75" s="2463">
        <v>3</v>
      </c>
      <c r="T75" s="2464">
        <f t="shared" si="22"/>
        <v>8</v>
      </c>
      <c r="U75" s="2462">
        <v>26</v>
      </c>
      <c r="V75" s="2465">
        <v>23</v>
      </c>
      <c r="W75" s="2466">
        <f t="shared" si="17"/>
        <v>49</v>
      </c>
      <c r="X75" s="2462">
        <v>25</v>
      </c>
      <c r="Y75" s="2467">
        <v>21</v>
      </c>
      <c r="Z75" s="2463">
        <f t="shared" si="18"/>
        <v>46</v>
      </c>
      <c r="AA75" s="2462">
        <v>8</v>
      </c>
      <c r="AB75" s="2467">
        <v>9</v>
      </c>
      <c r="AC75" s="2463">
        <f t="shared" si="11"/>
        <v>17</v>
      </c>
      <c r="AD75" s="2462">
        <v>7</v>
      </c>
      <c r="AE75" s="2467">
        <v>5</v>
      </c>
      <c r="AF75" s="2463">
        <f t="shared" si="19"/>
        <v>12</v>
      </c>
      <c r="AG75" s="2462">
        <v>10</v>
      </c>
      <c r="AH75" s="2467">
        <v>8</v>
      </c>
      <c r="AI75" s="2463">
        <f t="shared" si="20"/>
        <v>18</v>
      </c>
      <c r="AJ75" s="2462">
        <v>19</v>
      </c>
      <c r="AK75" s="2467">
        <v>11</v>
      </c>
      <c r="AL75" s="2463">
        <f t="shared" si="21"/>
        <v>30</v>
      </c>
    </row>
    <row r="76" spans="2:38" ht="15" customHeight="1" x14ac:dyDescent="0.25">
      <c r="B76" s="2370" t="s">
        <v>104</v>
      </c>
      <c r="C76" s="2462">
        <v>11</v>
      </c>
      <c r="D76" s="2463">
        <v>4</v>
      </c>
      <c r="E76" s="2464">
        <f t="shared" si="13"/>
        <v>15</v>
      </c>
      <c r="F76" s="2462">
        <v>11</v>
      </c>
      <c r="G76" s="2463">
        <v>3</v>
      </c>
      <c r="H76" s="2464">
        <f t="shared" si="23"/>
        <v>14</v>
      </c>
      <c r="I76" s="2462">
        <v>5</v>
      </c>
      <c r="J76" s="2463">
        <v>4</v>
      </c>
      <c r="K76" s="2464">
        <f t="shared" si="14"/>
        <v>9</v>
      </c>
      <c r="L76" s="2462">
        <v>8</v>
      </c>
      <c r="M76" s="2463">
        <v>4</v>
      </c>
      <c r="N76" s="2464">
        <f t="shared" si="15"/>
        <v>12</v>
      </c>
      <c r="O76" s="2462">
        <v>2</v>
      </c>
      <c r="P76" s="2463">
        <v>3</v>
      </c>
      <c r="Q76" s="2464">
        <f t="shared" si="16"/>
        <v>5</v>
      </c>
      <c r="R76" s="2462">
        <v>2</v>
      </c>
      <c r="S76" s="2463">
        <v>3</v>
      </c>
      <c r="T76" s="2464">
        <f t="shared" si="22"/>
        <v>5</v>
      </c>
      <c r="U76" s="2462">
        <v>15</v>
      </c>
      <c r="V76" s="2465">
        <v>11</v>
      </c>
      <c r="W76" s="2466">
        <f t="shared" si="17"/>
        <v>26</v>
      </c>
      <c r="X76" s="2462">
        <v>15</v>
      </c>
      <c r="Y76" s="2467">
        <v>11</v>
      </c>
      <c r="Z76" s="2463">
        <f t="shared" si="18"/>
        <v>26</v>
      </c>
      <c r="AA76" s="2462">
        <v>6</v>
      </c>
      <c r="AB76" s="2467">
        <v>15</v>
      </c>
      <c r="AC76" s="2463">
        <f t="shared" si="11"/>
        <v>21</v>
      </c>
      <c r="AD76" s="2462">
        <v>10</v>
      </c>
      <c r="AE76" s="2467">
        <v>6</v>
      </c>
      <c r="AF76" s="2463">
        <f t="shared" si="19"/>
        <v>16</v>
      </c>
      <c r="AG76" s="2462">
        <v>22</v>
      </c>
      <c r="AH76" s="2467">
        <v>18</v>
      </c>
      <c r="AI76" s="2463">
        <f t="shared" si="20"/>
        <v>40</v>
      </c>
      <c r="AJ76" s="2462">
        <v>18</v>
      </c>
      <c r="AK76" s="2467">
        <v>21</v>
      </c>
      <c r="AL76" s="2463">
        <f t="shared" si="21"/>
        <v>39</v>
      </c>
    </row>
    <row r="77" spans="2:38" x14ac:dyDescent="0.25">
      <c r="B77" s="2374" t="s">
        <v>68</v>
      </c>
      <c r="C77" s="2474">
        <f>SUM(C73:C76)</f>
        <v>25</v>
      </c>
      <c r="D77" s="2475">
        <f>SUM(D73:D76)</f>
        <v>9</v>
      </c>
      <c r="E77" s="2476">
        <f t="shared" si="13"/>
        <v>34</v>
      </c>
      <c r="F77" s="2474">
        <f>SUM(F73:F76)</f>
        <v>24</v>
      </c>
      <c r="G77" s="2475">
        <f>SUM(G73:G76)</f>
        <v>8</v>
      </c>
      <c r="H77" s="2476">
        <f t="shared" si="23"/>
        <v>32</v>
      </c>
      <c r="I77" s="2474">
        <f>SUM(I73:I76)</f>
        <v>32</v>
      </c>
      <c r="J77" s="2475">
        <f>SUM(J73:J76)</f>
        <v>25</v>
      </c>
      <c r="K77" s="2476">
        <f t="shared" si="14"/>
        <v>57</v>
      </c>
      <c r="L77" s="2474">
        <f>SUM(L73:L76)</f>
        <v>38</v>
      </c>
      <c r="M77" s="2475">
        <f>SUM(M73:M76)</f>
        <v>26</v>
      </c>
      <c r="N77" s="2476">
        <f t="shared" si="15"/>
        <v>64</v>
      </c>
      <c r="O77" s="2474">
        <f>SUM(O73:O76)</f>
        <v>21</v>
      </c>
      <c r="P77" s="2475">
        <f>SUM(P73:P76)</f>
        <v>15</v>
      </c>
      <c r="Q77" s="2476">
        <f t="shared" si="16"/>
        <v>36</v>
      </c>
      <c r="R77" s="2474">
        <f>SUM(R73:R76)</f>
        <v>21</v>
      </c>
      <c r="S77" s="2475">
        <f>SUM(S73:S76)</f>
        <v>15</v>
      </c>
      <c r="T77" s="2476">
        <f t="shared" si="22"/>
        <v>36</v>
      </c>
      <c r="U77" s="2474">
        <f>SUM(U73:U76)</f>
        <v>116</v>
      </c>
      <c r="V77" s="2477">
        <f>SUM(V73:V76)</f>
        <v>107</v>
      </c>
      <c r="W77" s="2478">
        <f t="shared" si="17"/>
        <v>223</v>
      </c>
      <c r="X77" s="2474">
        <f>SUM(X73:X76)</f>
        <v>110</v>
      </c>
      <c r="Y77" s="2479">
        <f>SUM(Y73:Y76)</f>
        <v>102</v>
      </c>
      <c r="Z77" s="2475">
        <f t="shared" si="18"/>
        <v>212</v>
      </c>
      <c r="AA77" s="2474">
        <f>SUM(AA73:AA76)</f>
        <v>55</v>
      </c>
      <c r="AB77" s="2479">
        <f>SUM(AB73:AB76)</f>
        <v>64</v>
      </c>
      <c r="AC77" s="2475">
        <f t="shared" si="11"/>
        <v>119</v>
      </c>
      <c r="AD77" s="2474">
        <f>SUM(AD73:AD76)</f>
        <v>41</v>
      </c>
      <c r="AE77" s="2479">
        <f>SUM(AE73:AE76)</f>
        <v>31</v>
      </c>
      <c r="AF77" s="2475">
        <f t="shared" si="19"/>
        <v>72</v>
      </c>
      <c r="AG77" s="2474">
        <f>SUM(AG73:AG76)</f>
        <v>97</v>
      </c>
      <c r="AH77" s="2479">
        <f>SUM(AH73:AH76)</f>
        <v>91</v>
      </c>
      <c r="AI77" s="2475">
        <f t="shared" si="20"/>
        <v>188</v>
      </c>
      <c r="AJ77" s="2474">
        <f>SUM(AJ73:AJ76)</f>
        <v>100</v>
      </c>
      <c r="AK77" s="2479">
        <f>SUM(AK73:AK76)</f>
        <v>88</v>
      </c>
      <c r="AL77" s="2475">
        <f t="shared" si="21"/>
        <v>188</v>
      </c>
    </row>
    <row r="78" spans="2:38" x14ac:dyDescent="0.25">
      <c r="B78" s="5655" t="s">
        <v>105</v>
      </c>
      <c r="C78" s="2498">
        <f>+C63+C72+C77</f>
        <v>91</v>
      </c>
      <c r="D78" s="2499">
        <f>+D63+D72+D77</f>
        <v>45</v>
      </c>
      <c r="E78" s="2500">
        <f t="shared" si="13"/>
        <v>136</v>
      </c>
      <c r="F78" s="2498">
        <f>+F63+F72+F77</f>
        <v>89</v>
      </c>
      <c r="G78" s="2499">
        <f>+G63+G72+G77</f>
        <v>44</v>
      </c>
      <c r="H78" s="2500">
        <f t="shared" si="23"/>
        <v>133</v>
      </c>
      <c r="I78" s="2498">
        <f>+I63+I72+I77</f>
        <v>118</v>
      </c>
      <c r="J78" s="2499">
        <f>+J63+J72+J77</f>
        <v>65</v>
      </c>
      <c r="K78" s="2500">
        <f t="shared" si="14"/>
        <v>183</v>
      </c>
      <c r="L78" s="2498">
        <f>+L63+L72+L77</f>
        <v>144</v>
      </c>
      <c r="M78" s="2499">
        <f>+M63+M72+M77</f>
        <v>76</v>
      </c>
      <c r="N78" s="2500">
        <f t="shared" si="15"/>
        <v>220</v>
      </c>
      <c r="O78" s="2498">
        <f>+O63+O72+O77</f>
        <v>41</v>
      </c>
      <c r="P78" s="2499">
        <f>+P63+P72+P77</f>
        <v>26</v>
      </c>
      <c r="Q78" s="2500">
        <f t="shared" si="16"/>
        <v>67</v>
      </c>
      <c r="R78" s="2498">
        <f>+R63+R72+R77</f>
        <v>41</v>
      </c>
      <c r="S78" s="2499">
        <f>+S63+S72+S77</f>
        <v>26</v>
      </c>
      <c r="T78" s="2500">
        <f t="shared" si="22"/>
        <v>67</v>
      </c>
      <c r="U78" s="2498">
        <f>+U63+U72+U77</f>
        <v>295</v>
      </c>
      <c r="V78" s="2501">
        <f>+V63+V72+V77</f>
        <v>189</v>
      </c>
      <c r="W78" s="2502">
        <f t="shared" si="17"/>
        <v>484</v>
      </c>
      <c r="X78" s="2498">
        <f>+X63+X72+X77</f>
        <v>284</v>
      </c>
      <c r="Y78" s="2503">
        <f>+Y63+Y72+Y77</f>
        <v>179</v>
      </c>
      <c r="Z78" s="2499">
        <f t="shared" si="18"/>
        <v>463</v>
      </c>
      <c r="AA78" s="2498">
        <f>+AA63+AA72+AA77</f>
        <v>252</v>
      </c>
      <c r="AB78" s="2503">
        <f>+AB63+AB72+AB77</f>
        <v>169</v>
      </c>
      <c r="AC78" s="2499">
        <f t="shared" si="11"/>
        <v>421</v>
      </c>
      <c r="AD78" s="2498">
        <f>+AD63+AD72+AD77</f>
        <v>231</v>
      </c>
      <c r="AE78" s="2503">
        <f>+AE63+AE72+AE77</f>
        <v>108</v>
      </c>
      <c r="AF78" s="2499">
        <f t="shared" si="19"/>
        <v>339</v>
      </c>
      <c r="AG78" s="2498">
        <f>+AG63+AG72+AG77</f>
        <v>351</v>
      </c>
      <c r="AH78" s="2503">
        <f>+AH63+AH72+AH77</f>
        <v>191</v>
      </c>
      <c r="AI78" s="2499">
        <f t="shared" si="20"/>
        <v>542</v>
      </c>
      <c r="AJ78" s="2498">
        <f>+AJ63+AJ72+AJ77</f>
        <v>425</v>
      </c>
      <c r="AK78" s="2503">
        <f>+AK63+AK72+AK77</f>
        <v>233</v>
      </c>
      <c r="AL78" s="2499">
        <f t="shared" si="21"/>
        <v>658</v>
      </c>
    </row>
    <row r="79" spans="2:38" ht="15" customHeight="1" x14ac:dyDescent="0.25">
      <c r="B79" s="2390" t="s">
        <v>60</v>
      </c>
      <c r="C79" s="2462">
        <v>1</v>
      </c>
      <c r="D79" s="2463">
        <v>1</v>
      </c>
      <c r="E79" s="2464">
        <f t="shared" si="13"/>
        <v>2</v>
      </c>
      <c r="F79" s="2462">
        <v>1</v>
      </c>
      <c r="G79" s="2463">
        <v>1</v>
      </c>
      <c r="H79" s="2464">
        <f t="shared" si="23"/>
        <v>2</v>
      </c>
      <c r="I79" s="2462">
        <v>10</v>
      </c>
      <c r="J79" s="2463">
        <v>2</v>
      </c>
      <c r="K79" s="2464">
        <f t="shared" si="14"/>
        <v>12</v>
      </c>
      <c r="L79" s="2462">
        <v>11</v>
      </c>
      <c r="M79" s="2463">
        <v>3</v>
      </c>
      <c r="N79" s="2464">
        <f t="shared" si="15"/>
        <v>14</v>
      </c>
      <c r="O79" s="2462"/>
      <c r="P79" s="2463"/>
      <c r="Q79" s="2464">
        <f t="shared" si="16"/>
        <v>0</v>
      </c>
      <c r="R79" s="2462"/>
      <c r="S79" s="2463"/>
      <c r="T79" s="2464"/>
      <c r="U79" s="2462">
        <v>2</v>
      </c>
      <c r="V79" s="2465">
        <v>0</v>
      </c>
      <c r="W79" s="2466">
        <f t="shared" si="17"/>
        <v>2</v>
      </c>
      <c r="X79" s="2462">
        <v>2</v>
      </c>
      <c r="Y79" s="2467">
        <v>0</v>
      </c>
      <c r="Z79" s="2463">
        <f t="shared" si="18"/>
        <v>2</v>
      </c>
      <c r="AA79" s="2462">
        <v>19</v>
      </c>
      <c r="AB79" s="2467">
        <v>8</v>
      </c>
      <c r="AC79" s="2463">
        <f t="shared" si="11"/>
        <v>27</v>
      </c>
      <c r="AD79" s="2462">
        <v>8</v>
      </c>
      <c r="AE79" s="2467">
        <v>2</v>
      </c>
      <c r="AF79" s="2463">
        <f t="shared" si="19"/>
        <v>10</v>
      </c>
      <c r="AG79" s="2462">
        <v>6</v>
      </c>
      <c r="AH79" s="2467">
        <v>4</v>
      </c>
      <c r="AI79" s="2463">
        <f t="shared" si="20"/>
        <v>10</v>
      </c>
      <c r="AJ79" s="2462">
        <v>11</v>
      </c>
      <c r="AK79" s="2467">
        <v>13</v>
      </c>
      <c r="AL79" s="2463">
        <f t="shared" si="21"/>
        <v>24</v>
      </c>
    </row>
    <row r="80" spans="2:38" ht="15" customHeight="1" x14ac:dyDescent="0.25">
      <c r="B80" s="2390" t="s">
        <v>61</v>
      </c>
      <c r="C80" s="2462"/>
      <c r="D80" s="2463"/>
      <c r="E80" s="2464"/>
      <c r="F80" s="2462"/>
      <c r="G80" s="2463"/>
      <c r="H80" s="2464"/>
      <c r="I80" s="2462"/>
      <c r="J80" s="2463"/>
      <c r="K80" s="2464"/>
      <c r="L80" s="2462"/>
      <c r="M80" s="2463"/>
      <c r="N80" s="2464"/>
      <c r="O80" s="2462"/>
      <c r="P80" s="2463"/>
      <c r="Q80" s="2464"/>
      <c r="R80" s="2462"/>
      <c r="S80" s="2463"/>
      <c r="T80" s="2464"/>
      <c r="U80" s="2462">
        <v>0</v>
      </c>
      <c r="V80" s="2465">
        <v>1</v>
      </c>
      <c r="W80" s="2466"/>
      <c r="X80" s="2462">
        <v>0</v>
      </c>
      <c r="Y80" s="2467">
        <v>1</v>
      </c>
      <c r="Z80" s="2463">
        <f t="shared" si="18"/>
        <v>1</v>
      </c>
      <c r="AA80" s="2462">
        <v>4</v>
      </c>
      <c r="AB80" s="2467">
        <v>4</v>
      </c>
      <c r="AC80" s="2463">
        <f t="shared" si="11"/>
        <v>8</v>
      </c>
      <c r="AD80" s="2462">
        <v>8</v>
      </c>
      <c r="AE80" s="2467">
        <v>7</v>
      </c>
      <c r="AF80" s="2463">
        <f t="shared" si="19"/>
        <v>15</v>
      </c>
      <c r="AG80" s="2462">
        <v>2</v>
      </c>
      <c r="AH80" s="2467">
        <v>6</v>
      </c>
      <c r="AI80" s="2463">
        <f t="shared" si="20"/>
        <v>8</v>
      </c>
      <c r="AJ80" s="2462">
        <v>6</v>
      </c>
      <c r="AK80" s="2467">
        <v>2</v>
      </c>
      <c r="AL80" s="2463">
        <f t="shared" si="21"/>
        <v>8</v>
      </c>
    </row>
    <row r="81" spans="2:38" ht="15" customHeight="1" x14ac:dyDescent="0.25">
      <c r="B81" s="2390" t="s">
        <v>107</v>
      </c>
      <c r="C81" s="2462">
        <v>2</v>
      </c>
      <c r="D81" s="2463">
        <v>1</v>
      </c>
      <c r="E81" s="2464">
        <f t="shared" si="13"/>
        <v>3</v>
      </c>
      <c r="F81" s="2462">
        <v>2</v>
      </c>
      <c r="G81" s="2463">
        <v>1</v>
      </c>
      <c r="H81" s="2464">
        <f t="shared" si="23"/>
        <v>3</v>
      </c>
      <c r="I81" s="2462"/>
      <c r="J81" s="2463"/>
      <c r="K81" s="2464">
        <f t="shared" si="14"/>
        <v>0</v>
      </c>
      <c r="L81" s="2462"/>
      <c r="M81" s="2463"/>
      <c r="N81" s="2464"/>
      <c r="O81" s="2462"/>
      <c r="P81" s="2463"/>
      <c r="Q81" s="2464">
        <f t="shared" si="16"/>
        <v>0</v>
      </c>
      <c r="R81" s="2462"/>
      <c r="S81" s="2463"/>
      <c r="T81" s="2464"/>
      <c r="U81" s="2462">
        <v>4</v>
      </c>
      <c r="V81" s="2465">
        <v>3</v>
      </c>
      <c r="W81" s="2466">
        <f t="shared" si="17"/>
        <v>7</v>
      </c>
      <c r="X81" s="2462">
        <v>4</v>
      </c>
      <c r="Y81" s="2467">
        <v>2</v>
      </c>
      <c r="Z81" s="2463">
        <f t="shared" si="18"/>
        <v>6</v>
      </c>
      <c r="AA81" s="2462">
        <v>6</v>
      </c>
      <c r="AB81" s="2467">
        <v>2</v>
      </c>
      <c r="AC81" s="2463">
        <f t="shared" si="11"/>
        <v>8</v>
      </c>
      <c r="AD81" s="2462">
        <v>2</v>
      </c>
      <c r="AE81" s="2467">
        <v>1</v>
      </c>
      <c r="AF81" s="2463">
        <f t="shared" si="19"/>
        <v>3</v>
      </c>
      <c r="AG81" s="2462">
        <v>0</v>
      </c>
      <c r="AH81" s="2467">
        <v>2</v>
      </c>
      <c r="AI81" s="2463">
        <f t="shared" si="20"/>
        <v>2</v>
      </c>
      <c r="AJ81" s="2462">
        <v>2</v>
      </c>
      <c r="AK81" s="2467">
        <v>1</v>
      </c>
      <c r="AL81" s="2463">
        <f t="shared" si="21"/>
        <v>3</v>
      </c>
    </row>
    <row r="82" spans="2:38" ht="15" customHeight="1" x14ac:dyDescent="0.25">
      <c r="B82" s="2390" t="s">
        <v>106</v>
      </c>
      <c r="C82" s="2462">
        <v>1</v>
      </c>
      <c r="D82" s="2463"/>
      <c r="E82" s="2464">
        <f t="shared" si="13"/>
        <v>1</v>
      </c>
      <c r="F82" s="2462">
        <v>1</v>
      </c>
      <c r="G82" s="2463"/>
      <c r="H82" s="2464">
        <f t="shared" si="23"/>
        <v>1</v>
      </c>
      <c r="I82" s="2462"/>
      <c r="J82" s="2463"/>
      <c r="K82" s="2464">
        <f t="shared" si="14"/>
        <v>0</v>
      </c>
      <c r="L82" s="2462"/>
      <c r="M82" s="2463"/>
      <c r="N82" s="2464"/>
      <c r="O82" s="2462"/>
      <c r="P82" s="2463"/>
      <c r="Q82" s="2464">
        <f t="shared" si="16"/>
        <v>0</v>
      </c>
      <c r="R82" s="2462"/>
      <c r="S82" s="2463"/>
      <c r="T82" s="2464"/>
      <c r="U82" s="2462">
        <v>4</v>
      </c>
      <c r="V82" s="2465">
        <v>2</v>
      </c>
      <c r="W82" s="2466">
        <f t="shared" si="17"/>
        <v>6</v>
      </c>
      <c r="X82" s="2462">
        <v>4</v>
      </c>
      <c r="Y82" s="2467">
        <v>3</v>
      </c>
      <c r="Z82" s="2463">
        <f t="shared" si="18"/>
        <v>7</v>
      </c>
      <c r="AA82" s="2462">
        <v>7</v>
      </c>
      <c r="AB82" s="2467">
        <v>2</v>
      </c>
      <c r="AC82" s="2463">
        <f t="shared" si="11"/>
        <v>9</v>
      </c>
      <c r="AD82" s="2462">
        <v>5</v>
      </c>
      <c r="AE82" s="2467">
        <v>5</v>
      </c>
      <c r="AF82" s="2463">
        <f t="shared" si="19"/>
        <v>10</v>
      </c>
      <c r="AG82" s="2462">
        <v>9</v>
      </c>
      <c r="AH82" s="2467">
        <v>9</v>
      </c>
      <c r="AI82" s="2463">
        <f t="shared" si="20"/>
        <v>18</v>
      </c>
      <c r="AJ82" s="2462">
        <v>6</v>
      </c>
      <c r="AK82" s="2467">
        <v>2</v>
      </c>
      <c r="AL82" s="2463">
        <f t="shared" si="21"/>
        <v>8</v>
      </c>
    </row>
    <row r="83" spans="2:38" x14ac:dyDescent="0.25">
      <c r="B83" s="2374" t="s">
        <v>64</v>
      </c>
      <c r="C83" s="2474">
        <f t="shared" ref="C83:N83" si="24">SUM(C79:C82)</f>
        <v>4</v>
      </c>
      <c r="D83" s="2475">
        <f t="shared" si="24"/>
        <v>2</v>
      </c>
      <c r="E83" s="2476">
        <f t="shared" si="24"/>
        <v>6</v>
      </c>
      <c r="F83" s="2474">
        <f t="shared" si="24"/>
        <v>4</v>
      </c>
      <c r="G83" s="2475">
        <f t="shared" si="24"/>
        <v>2</v>
      </c>
      <c r="H83" s="2476">
        <f t="shared" si="24"/>
        <v>6</v>
      </c>
      <c r="I83" s="2474">
        <f t="shared" si="24"/>
        <v>10</v>
      </c>
      <c r="J83" s="2475">
        <f t="shared" si="24"/>
        <v>2</v>
      </c>
      <c r="K83" s="2476">
        <f t="shared" si="24"/>
        <v>12</v>
      </c>
      <c r="L83" s="2474">
        <f t="shared" si="24"/>
        <v>11</v>
      </c>
      <c r="M83" s="2475">
        <f t="shared" si="24"/>
        <v>3</v>
      </c>
      <c r="N83" s="2476">
        <f t="shared" si="24"/>
        <v>14</v>
      </c>
      <c r="O83" s="2474">
        <f t="shared" ref="O83:Z83" si="25">SUM(O79:O82)</f>
        <v>0</v>
      </c>
      <c r="P83" s="2475">
        <f t="shared" si="25"/>
        <v>0</v>
      </c>
      <c r="Q83" s="2476">
        <f t="shared" si="25"/>
        <v>0</v>
      </c>
      <c r="R83" s="2474">
        <f t="shared" si="25"/>
        <v>0</v>
      </c>
      <c r="S83" s="2475">
        <f t="shared" si="25"/>
        <v>0</v>
      </c>
      <c r="T83" s="2476">
        <f t="shared" si="25"/>
        <v>0</v>
      </c>
      <c r="U83" s="2474">
        <f t="shared" si="25"/>
        <v>10</v>
      </c>
      <c r="V83" s="2477">
        <f t="shared" si="25"/>
        <v>6</v>
      </c>
      <c r="W83" s="2478">
        <f t="shared" si="25"/>
        <v>15</v>
      </c>
      <c r="X83" s="2474">
        <f t="shared" si="25"/>
        <v>10</v>
      </c>
      <c r="Y83" s="2479">
        <f t="shared" si="25"/>
        <v>6</v>
      </c>
      <c r="Z83" s="2475">
        <f t="shared" si="25"/>
        <v>16</v>
      </c>
      <c r="AA83" s="2474">
        <f t="shared" ref="AA83:AI83" si="26">SUM(AA79:AA82)</f>
        <v>36</v>
      </c>
      <c r="AB83" s="2479">
        <f t="shared" si="26"/>
        <v>16</v>
      </c>
      <c r="AC83" s="2475">
        <f t="shared" si="26"/>
        <v>52</v>
      </c>
      <c r="AD83" s="2474">
        <f t="shared" si="26"/>
        <v>23</v>
      </c>
      <c r="AE83" s="2479">
        <f t="shared" si="26"/>
        <v>15</v>
      </c>
      <c r="AF83" s="2475">
        <f t="shared" si="26"/>
        <v>38</v>
      </c>
      <c r="AG83" s="2474">
        <f t="shared" si="26"/>
        <v>17</v>
      </c>
      <c r="AH83" s="2479">
        <f t="shared" si="26"/>
        <v>21</v>
      </c>
      <c r="AI83" s="2475">
        <f t="shared" si="26"/>
        <v>38</v>
      </c>
      <c r="AJ83" s="2474">
        <f t="shared" ref="AJ83:AL83" si="27">SUM(AJ79:AJ82)</f>
        <v>25</v>
      </c>
      <c r="AK83" s="2479">
        <f t="shared" si="27"/>
        <v>18</v>
      </c>
      <c r="AL83" s="2475">
        <f t="shared" si="27"/>
        <v>43</v>
      </c>
    </row>
    <row r="84" spans="2:38" ht="15" customHeight="1" x14ac:dyDescent="0.25">
      <c r="B84" s="2391" t="s">
        <v>110</v>
      </c>
      <c r="C84" s="2486">
        <v>5</v>
      </c>
      <c r="D84" s="2487">
        <v>2</v>
      </c>
      <c r="E84" s="2496">
        <f t="shared" si="13"/>
        <v>7</v>
      </c>
      <c r="F84" s="2486">
        <v>5</v>
      </c>
      <c r="G84" s="2487">
        <v>2</v>
      </c>
      <c r="H84" s="2496">
        <f t="shared" si="23"/>
        <v>7</v>
      </c>
      <c r="I84" s="2486">
        <v>7</v>
      </c>
      <c r="J84" s="2487">
        <v>1</v>
      </c>
      <c r="K84" s="2496">
        <f>SUM(I84:J84)</f>
        <v>8</v>
      </c>
      <c r="L84" s="2486">
        <v>12</v>
      </c>
      <c r="M84" s="2487">
        <v>3</v>
      </c>
      <c r="N84" s="2496">
        <f>SUM(L84:M84)</f>
        <v>15</v>
      </c>
      <c r="O84" s="2486">
        <v>1</v>
      </c>
      <c r="P84" s="2487"/>
      <c r="Q84" s="2496">
        <f>SUM(O84:P84)</f>
        <v>1</v>
      </c>
      <c r="R84" s="2486">
        <v>1</v>
      </c>
      <c r="S84" s="2487"/>
      <c r="T84" s="2496">
        <f>SUM(R84:S84)</f>
        <v>1</v>
      </c>
      <c r="U84" s="2486">
        <v>3</v>
      </c>
      <c r="V84" s="2488">
        <v>7</v>
      </c>
      <c r="W84" s="2497">
        <f>SUM(U84:V84)</f>
        <v>10</v>
      </c>
      <c r="X84" s="2486">
        <v>3</v>
      </c>
      <c r="Y84" s="2489">
        <v>7</v>
      </c>
      <c r="Z84" s="2487">
        <f>SUM(X84:Y84)</f>
        <v>10</v>
      </c>
      <c r="AA84" s="2486">
        <v>17</v>
      </c>
      <c r="AB84" s="2489">
        <v>16</v>
      </c>
      <c r="AC84" s="2487">
        <f>SUM(AA84:AB84)</f>
        <v>33</v>
      </c>
      <c r="AD84" s="2486">
        <v>12</v>
      </c>
      <c r="AE84" s="2489">
        <v>3</v>
      </c>
      <c r="AF84" s="2487">
        <f>SUM(AD84:AE84)</f>
        <v>15</v>
      </c>
      <c r="AG84" s="2486">
        <v>11</v>
      </c>
      <c r="AH84" s="2489">
        <v>6</v>
      </c>
      <c r="AI84" s="2487">
        <f>SUM(AG84:AH84)</f>
        <v>17</v>
      </c>
      <c r="AJ84" s="2486">
        <v>18</v>
      </c>
      <c r="AK84" s="2489">
        <v>14</v>
      </c>
      <c r="AL84" s="2487">
        <f>SUM(AJ84:AK84)</f>
        <v>32</v>
      </c>
    </row>
    <row r="85" spans="2:38" ht="15" customHeight="1" x14ac:dyDescent="0.25">
      <c r="B85" s="2390" t="s">
        <v>108</v>
      </c>
      <c r="C85" s="2462">
        <v>4</v>
      </c>
      <c r="D85" s="2463"/>
      <c r="E85" s="2464">
        <f t="shared" si="13"/>
        <v>4</v>
      </c>
      <c r="F85" s="2462">
        <v>4</v>
      </c>
      <c r="G85" s="2463"/>
      <c r="H85" s="2464">
        <f t="shared" si="23"/>
        <v>4</v>
      </c>
      <c r="I85" s="2462"/>
      <c r="J85" s="2463"/>
      <c r="K85" s="2464">
        <f>SUM(I85:J85)</f>
        <v>0</v>
      </c>
      <c r="L85" s="2462">
        <v>1</v>
      </c>
      <c r="M85" s="2463"/>
      <c r="N85" s="2464">
        <f>SUM(L85:M85)</f>
        <v>1</v>
      </c>
      <c r="O85" s="2462"/>
      <c r="P85" s="2463"/>
      <c r="Q85" s="2464">
        <f>SUM(O85:P85)</f>
        <v>0</v>
      </c>
      <c r="R85" s="2462"/>
      <c r="S85" s="2463"/>
      <c r="T85" s="2464"/>
      <c r="U85" s="2462">
        <v>1</v>
      </c>
      <c r="V85" s="2465">
        <v>3</v>
      </c>
      <c r="W85" s="2466">
        <f>SUM(U85:V85)</f>
        <v>4</v>
      </c>
      <c r="X85" s="2462">
        <v>1</v>
      </c>
      <c r="Y85" s="2467">
        <v>2</v>
      </c>
      <c r="Z85" s="2463">
        <f>SUM(X85:Y85)</f>
        <v>3</v>
      </c>
      <c r="AA85" s="2462">
        <v>6</v>
      </c>
      <c r="AB85" s="2467">
        <v>8</v>
      </c>
      <c r="AC85" s="2463">
        <f>SUM(AA85:AB85)</f>
        <v>14</v>
      </c>
      <c r="AD85" s="2462">
        <v>1</v>
      </c>
      <c r="AE85" s="2467">
        <v>2</v>
      </c>
      <c r="AF85" s="2463">
        <f>SUM(AD85:AE85)</f>
        <v>3</v>
      </c>
      <c r="AG85" s="2462">
        <v>7</v>
      </c>
      <c r="AH85" s="2467">
        <v>1</v>
      </c>
      <c r="AI85" s="2463">
        <f>SUM(AG85:AH85)</f>
        <v>8</v>
      </c>
      <c r="AJ85" s="2462">
        <v>8</v>
      </c>
      <c r="AK85" s="2467">
        <v>6</v>
      </c>
      <c r="AL85" s="2463">
        <f>SUM(AJ85:AK85)</f>
        <v>14</v>
      </c>
    </row>
    <row r="86" spans="2:38" ht="15" customHeight="1" x14ac:dyDescent="0.25">
      <c r="B86" s="2390" t="s">
        <v>109</v>
      </c>
      <c r="C86" s="2462">
        <v>1</v>
      </c>
      <c r="D86" s="2463">
        <v>2</v>
      </c>
      <c r="E86" s="2464">
        <f t="shared" si="13"/>
        <v>3</v>
      </c>
      <c r="F86" s="2462">
        <v>1</v>
      </c>
      <c r="G86" s="2463">
        <v>2</v>
      </c>
      <c r="H86" s="2464">
        <f t="shared" si="23"/>
        <v>3</v>
      </c>
      <c r="I86" s="2462"/>
      <c r="J86" s="2463"/>
      <c r="K86" s="2464">
        <f>SUM(I86:J86)</f>
        <v>0</v>
      </c>
      <c r="L86" s="2462"/>
      <c r="M86" s="2463"/>
      <c r="N86" s="2464"/>
      <c r="O86" s="2462"/>
      <c r="P86" s="2463"/>
      <c r="Q86" s="2464">
        <f>SUM(O86:P86)</f>
        <v>0</v>
      </c>
      <c r="R86" s="2462"/>
      <c r="S86" s="2463"/>
      <c r="T86" s="2464"/>
      <c r="U86" s="2462">
        <v>1</v>
      </c>
      <c r="V86" s="2465">
        <v>1</v>
      </c>
      <c r="W86" s="2466">
        <f>SUM(U86:V86)</f>
        <v>2</v>
      </c>
      <c r="X86" s="2462">
        <v>1</v>
      </c>
      <c r="Y86" s="2467">
        <v>1</v>
      </c>
      <c r="Z86" s="2463">
        <f>SUM(X86:Y86)</f>
        <v>2</v>
      </c>
      <c r="AA86" s="2462"/>
      <c r="AB86" s="2467"/>
      <c r="AC86" s="2463">
        <f>SUM(AA86:AB86)</f>
        <v>0</v>
      </c>
      <c r="AD86" s="2462">
        <v>2</v>
      </c>
      <c r="AE86" s="2467">
        <v>0</v>
      </c>
      <c r="AF86" s="2463">
        <f>SUM(AD86:AE86)</f>
        <v>2</v>
      </c>
      <c r="AG86" s="2462">
        <v>4</v>
      </c>
      <c r="AH86" s="2467">
        <v>3</v>
      </c>
      <c r="AI86" s="2463">
        <f>SUM(AG86:AH86)</f>
        <v>7</v>
      </c>
      <c r="AJ86" s="2462">
        <v>1</v>
      </c>
      <c r="AK86" s="2467">
        <v>6</v>
      </c>
      <c r="AL86" s="2463">
        <f>SUM(AJ86:AK86)</f>
        <v>7</v>
      </c>
    </row>
    <row r="87" spans="2:38" x14ac:dyDescent="0.25">
      <c r="B87" s="2374" t="s">
        <v>111</v>
      </c>
      <c r="C87" s="2474">
        <f t="shared" ref="C87:AF87" si="28">SUM(C84:C86)</f>
        <v>10</v>
      </c>
      <c r="D87" s="2475">
        <f t="shared" si="28"/>
        <v>4</v>
      </c>
      <c r="E87" s="2476">
        <f t="shared" si="28"/>
        <v>14</v>
      </c>
      <c r="F87" s="2474">
        <f t="shared" si="28"/>
        <v>10</v>
      </c>
      <c r="G87" s="2475">
        <f t="shared" si="28"/>
        <v>4</v>
      </c>
      <c r="H87" s="2476">
        <f t="shared" si="28"/>
        <v>14</v>
      </c>
      <c r="I87" s="2474">
        <f t="shared" si="28"/>
        <v>7</v>
      </c>
      <c r="J87" s="2475">
        <f t="shared" si="28"/>
        <v>1</v>
      </c>
      <c r="K87" s="2476">
        <f t="shared" si="28"/>
        <v>8</v>
      </c>
      <c r="L87" s="2474">
        <f t="shared" si="28"/>
        <v>13</v>
      </c>
      <c r="M87" s="2475">
        <f t="shared" si="28"/>
        <v>3</v>
      </c>
      <c r="N87" s="2476">
        <f t="shared" si="28"/>
        <v>16</v>
      </c>
      <c r="O87" s="2474">
        <f t="shared" si="28"/>
        <v>1</v>
      </c>
      <c r="P87" s="2475">
        <f t="shared" si="28"/>
        <v>0</v>
      </c>
      <c r="Q87" s="2476">
        <f t="shared" si="28"/>
        <v>1</v>
      </c>
      <c r="R87" s="2474">
        <f t="shared" si="28"/>
        <v>1</v>
      </c>
      <c r="S87" s="2475">
        <f t="shared" si="28"/>
        <v>0</v>
      </c>
      <c r="T87" s="2476">
        <f t="shared" si="28"/>
        <v>1</v>
      </c>
      <c r="U87" s="2474">
        <f t="shared" si="28"/>
        <v>5</v>
      </c>
      <c r="V87" s="2477">
        <f t="shared" si="28"/>
        <v>11</v>
      </c>
      <c r="W87" s="2478">
        <f t="shared" si="28"/>
        <v>16</v>
      </c>
      <c r="X87" s="2474">
        <f t="shared" si="28"/>
        <v>5</v>
      </c>
      <c r="Y87" s="2479">
        <f t="shared" si="28"/>
        <v>10</v>
      </c>
      <c r="Z87" s="2475">
        <f t="shared" si="28"/>
        <v>15</v>
      </c>
      <c r="AA87" s="2474">
        <f t="shared" si="28"/>
        <v>23</v>
      </c>
      <c r="AB87" s="2479">
        <f t="shared" si="28"/>
        <v>24</v>
      </c>
      <c r="AC87" s="2475">
        <f t="shared" si="28"/>
        <v>47</v>
      </c>
      <c r="AD87" s="2474">
        <f t="shared" si="28"/>
        <v>15</v>
      </c>
      <c r="AE87" s="2479">
        <f>SUM(AE84:AE86)</f>
        <v>5</v>
      </c>
      <c r="AF87" s="2475">
        <f t="shared" si="28"/>
        <v>20</v>
      </c>
      <c r="AG87" s="2474">
        <f>SUM(AG84:AG86)</f>
        <v>22</v>
      </c>
      <c r="AH87" s="2479">
        <f>SUM(AH84:AH86)</f>
        <v>10</v>
      </c>
      <c r="AI87" s="2475">
        <f t="shared" ref="AI87" si="29">SUM(AI84:AI86)</f>
        <v>32</v>
      </c>
      <c r="AJ87" s="2474">
        <f>SUM(AJ84:AJ86)</f>
        <v>27</v>
      </c>
      <c r="AK87" s="2479">
        <f>SUM(AK84:AK86)</f>
        <v>26</v>
      </c>
      <c r="AL87" s="2475">
        <f t="shared" ref="AL87" si="30">SUM(AL84:AL86)</f>
        <v>53</v>
      </c>
    </row>
    <row r="88" spans="2:38" ht="15" customHeight="1" x14ac:dyDescent="0.25">
      <c r="B88" s="2390" t="s">
        <v>113</v>
      </c>
      <c r="C88" s="2462"/>
      <c r="D88" s="2463"/>
      <c r="E88" s="2464"/>
      <c r="F88" s="2462"/>
      <c r="G88" s="2463"/>
      <c r="H88" s="2464"/>
      <c r="I88" s="2462"/>
      <c r="J88" s="2463"/>
      <c r="K88" s="2464"/>
      <c r="L88" s="2462"/>
      <c r="M88" s="2463"/>
      <c r="N88" s="2464"/>
      <c r="O88" s="2462"/>
      <c r="P88" s="2463"/>
      <c r="Q88" s="2464"/>
      <c r="R88" s="2462"/>
      <c r="S88" s="2463"/>
      <c r="T88" s="2464"/>
      <c r="U88" s="2462">
        <v>3</v>
      </c>
      <c r="V88" s="2465">
        <v>2</v>
      </c>
      <c r="W88" s="2466"/>
      <c r="X88" s="2462">
        <v>3</v>
      </c>
      <c r="Y88" s="2467">
        <v>2</v>
      </c>
      <c r="Z88" s="2463">
        <f>SUM(X88:Y88)</f>
        <v>5</v>
      </c>
      <c r="AA88" s="2462">
        <v>2</v>
      </c>
      <c r="AB88" s="2467">
        <v>1</v>
      </c>
      <c r="AC88" s="2463">
        <f>SUM(AA88:AB88)</f>
        <v>3</v>
      </c>
      <c r="AD88" s="2462">
        <v>0</v>
      </c>
      <c r="AE88" s="2467">
        <v>0</v>
      </c>
      <c r="AF88" s="2463">
        <f>SUM(AD88:AE88)</f>
        <v>0</v>
      </c>
      <c r="AG88" s="2462">
        <v>6</v>
      </c>
      <c r="AH88" s="2467">
        <v>5</v>
      </c>
      <c r="AI88" s="2463">
        <f>SUM(AG88:AH88)</f>
        <v>11</v>
      </c>
      <c r="AJ88" s="2462">
        <v>7</v>
      </c>
      <c r="AK88" s="2467">
        <v>5</v>
      </c>
      <c r="AL88" s="2463">
        <f>SUM(AJ88:AK88)</f>
        <v>12</v>
      </c>
    </row>
    <row r="89" spans="2:38" ht="15" customHeight="1" x14ac:dyDescent="0.25">
      <c r="B89" s="2390" t="s">
        <v>114</v>
      </c>
      <c r="C89" s="2462">
        <v>4</v>
      </c>
      <c r="D89" s="2463">
        <v>6</v>
      </c>
      <c r="E89" s="2464">
        <f t="shared" si="13"/>
        <v>10</v>
      </c>
      <c r="F89" s="2462">
        <v>4</v>
      </c>
      <c r="G89" s="2463">
        <v>6</v>
      </c>
      <c r="H89" s="2464">
        <f t="shared" si="23"/>
        <v>10</v>
      </c>
      <c r="I89" s="2462">
        <v>1</v>
      </c>
      <c r="J89" s="2463">
        <v>2</v>
      </c>
      <c r="K89" s="2464">
        <f>SUM(I89:J89)</f>
        <v>3</v>
      </c>
      <c r="L89" s="2462">
        <v>3</v>
      </c>
      <c r="M89" s="2463">
        <v>4</v>
      </c>
      <c r="N89" s="2464">
        <f>SUM(L89:M89)</f>
        <v>7</v>
      </c>
      <c r="O89" s="2462"/>
      <c r="P89" s="2463">
        <v>2</v>
      </c>
      <c r="Q89" s="2464">
        <f>SUM(O89:P89)</f>
        <v>2</v>
      </c>
      <c r="R89" s="2462"/>
      <c r="S89" s="2463">
        <v>2</v>
      </c>
      <c r="T89" s="2464">
        <f>SUM(R89:S89)</f>
        <v>2</v>
      </c>
      <c r="U89" s="2462">
        <v>4</v>
      </c>
      <c r="V89" s="2465">
        <v>2</v>
      </c>
      <c r="W89" s="2466">
        <f>SUM(U89:V89)</f>
        <v>6</v>
      </c>
      <c r="X89" s="2462">
        <v>2</v>
      </c>
      <c r="Y89" s="2467">
        <v>2</v>
      </c>
      <c r="Z89" s="2463">
        <f>SUM(X89:Y89)</f>
        <v>4</v>
      </c>
      <c r="AA89" s="2462">
        <v>9</v>
      </c>
      <c r="AB89" s="2467">
        <v>3</v>
      </c>
      <c r="AC89" s="2463">
        <f>SUM(AA89:AB89)</f>
        <v>12</v>
      </c>
      <c r="AD89" s="2462">
        <v>3</v>
      </c>
      <c r="AE89" s="2467">
        <v>6</v>
      </c>
      <c r="AF89" s="2463">
        <f>SUM(AD89:AE89)</f>
        <v>9</v>
      </c>
      <c r="AG89" s="2462">
        <v>9</v>
      </c>
      <c r="AH89" s="2467">
        <v>2</v>
      </c>
      <c r="AI89" s="2463">
        <f>SUM(AG89:AH89)</f>
        <v>11</v>
      </c>
      <c r="AJ89" s="2462">
        <v>15</v>
      </c>
      <c r="AK89" s="2467">
        <v>11</v>
      </c>
      <c r="AL89" s="2463">
        <f>SUM(AJ89:AK89)</f>
        <v>26</v>
      </c>
    </row>
    <row r="90" spans="2:38" x14ac:dyDescent="0.25">
      <c r="B90" s="2390" t="s">
        <v>112</v>
      </c>
      <c r="C90" s="2462"/>
      <c r="D90" s="2463"/>
      <c r="E90" s="2464"/>
      <c r="F90" s="2462"/>
      <c r="G90" s="2463"/>
      <c r="H90" s="2464"/>
      <c r="I90" s="2462"/>
      <c r="J90" s="2463"/>
      <c r="K90" s="2464"/>
      <c r="L90" s="2462"/>
      <c r="M90" s="2463"/>
      <c r="N90" s="2464"/>
      <c r="O90" s="2462"/>
      <c r="P90" s="2463">
        <v>1</v>
      </c>
      <c r="Q90" s="2464">
        <f>SUM(O90:P90)</f>
        <v>1</v>
      </c>
      <c r="R90" s="2462"/>
      <c r="S90" s="2463">
        <v>1</v>
      </c>
      <c r="T90" s="2464">
        <f>SUM(R90:S90)</f>
        <v>1</v>
      </c>
      <c r="U90" s="2462">
        <v>1</v>
      </c>
      <c r="V90" s="2465">
        <v>0</v>
      </c>
      <c r="W90" s="2466">
        <f>SUM(U90:V90)</f>
        <v>1</v>
      </c>
      <c r="X90" s="2462">
        <v>1</v>
      </c>
      <c r="Y90" s="2467"/>
      <c r="Z90" s="2463">
        <f>SUM(X90:Y90)</f>
        <v>1</v>
      </c>
      <c r="AA90" s="2462"/>
      <c r="AB90" s="2467">
        <v>2</v>
      </c>
      <c r="AC90" s="2463">
        <f>SUM(AA90:AB90)</f>
        <v>2</v>
      </c>
      <c r="AD90" s="2462">
        <v>0</v>
      </c>
      <c r="AE90" s="2467">
        <v>0</v>
      </c>
      <c r="AF90" s="2463">
        <f>SUM(AD90:AE90)</f>
        <v>0</v>
      </c>
      <c r="AG90" s="2462">
        <v>2</v>
      </c>
      <c r="AH90" s="2467">
        <v>2</v>
      </c>
      <c r="AI90" s="2463">
        <f>SUM(AG90:AH90)</f>
        <v>4</v>
      </c>
      <c r="AJ90" s="2462">
        <v>1</v>
      </c>
      <c r="AK90" s="2467">
        <v>1</v>
      </c>
      <c r="AL90" s="2463">
        <f>SUM(AJ90:AK90)</f>
        <v>2</v>
      </c>
    </row>
    <row r="91" spans="2:38" ht="15" customHeight="1" x14ac:dyDescent="0.25">
      <c r="B91" s="2390" t="s">
        <v>58</v>
      </c>
      <c r="C91" s="2462"/>
      <c r="D91" s="2463">
        <v>4</v>
      </c>
      <c r="E91" s="2464">
        <f t="shared" si="13"/>
        <v>4</v>
      </c>
      <c r="F91" s="2462"/>
      <c r="G91" s="2463">
        <v>4</v>
      </c>
      <c r="H91" s="2464">
        <f t="shared" si="23"/>
        <v>4</v>
      </c>
      <c r="I91" s="2462"/>
      <c r="J91" s="2463"/>
      <c r="K91" s="2464">
        <f>SUM(I91:J91)</f>
        <v>0</v>
      </c>
      <c r="L91" s="2462"/>
      <c r="M91" s="2463">
        <v>1</v>
      </c>
      <c r="N91" s="2464">
        <f>SUM(L91:M91)</f>
        <v>1</v>
      </c>
      <c r="O91" s="2462"/>
      <c r="P91" s="2463"/>
      <c r="Q91" s="2464">
        <f>SUM(O91:P91)</f>
        <v>0</v>
      </c>
      <c r="R91" s="2462"/>
      <c r="S91" s="2463"/>
      <c r="T91" s="2464"/>
      <c r="U91" s="2462">
        <v>1</v>
      </c>
      <c r="V91" s="2465">
        <v>1</v>
      </c>
      <c r="W91" s="2466">
        <f>SUM(U91:V91)</f>
        <v>2</v>
      </c>
      <c r="X91" s="2462">
        <v>1</v>
      </c>
      <c r="Y91" s="2467">
        <v>1</v>
      </c>
      <c r="Z91" s="2463">
        <f>SUM(X91:Y91)</f>
        <v>2</v>
      </c>
      <c r="AA91" s="2462"/>
      <c r="AB91" s="2467"/>
      <c r="AC91" s="2463">
        <f>SUM(AA91:AB91)</f>
        <v>0</v>
      </c>
      <c r="AD91" s="2462">
        <v>1</v>
      </c>
      <c r="AE91" s="2467">
        <v>1</v>
      </c>
      <c r="AF91" s="2463">
        <f>SUM(AD91:AE91)</f>
        <v>2</v>
      </c>
      <c r="AG91" s="2462">
        <v>1</v>
      </c>
      <c r="AH91" s="2467">
        <v>5</v>
      </c>
      <c r="AI91" s="2463">
        <f>SUM(AG91:AH91)</f>
        <v>6</v>
      </c>
      <c r="AJ91" s="2462"/>
      <c r="AK91" s="2467">
        <v>2</v>
      </c>
      <c r="AL91" s="2463">
        <f>SUM(AJ91:AK91)</f>
        <v>2</v>
      </c>
    </row>
    <row r="92" spans="2:38" x14ac:dyDescent="0.25">
      <c r="B92" s="2374" t="s">
        <v>115</v>
      </c>
      <c r="C92" s="2474">
        <f t="shared" ref="C92:AF92" si="31">SUM(C88:C91)</f>
        <v>4</v>
      </c>
      <c r="D92" s="2475">
        <f t="shared" si="31"/>
        <v>10</v>
      </c>
      <c r="E92" s="2476">
        <f t="shared" si="31"/>
        <v>14</v>
      </c>
      <c r="F92" s="2474">
        <f t="shared" si="31"/>
        <v>4</v>
      </c>
      <c r="G92" s="2475">
        <f t="shared" si="31"/>
        <v>10</v>
      </c>
      <c r="H92" s="2476">
        <f t="shared" si="31"/>
        <v>14</v>
      </c>
      <c r="I92" s="2474">
        <f t="shared" si="31"/>
        <v>1</v>
      </c>
      <c r="J92" s="2475">
        <f t="shared" si="31"/>
        <v>2</v>
      </c>
      <c r="K92" s="2476">
        <f t="shared" si="31"/>
        <v>3</v>
      </c>
      <c r="L92" s="2474">
        <f t="shared" si="31"/>
        <v>3</v>
      </c>
      <c r="M92" s="2475">
        <f t="shared" si="31"/>
        <v>5</v>
      </c>
      <c r="N92" s="2476">
        <f t="shared" si="31"/>
        <v>8</v>
      </c>
      <c r="O92" s="2474">
        <f t="shared" si="31"/>
        <v>0</v>
      </c>
      <c r="P92" s="2475">
        <f t="shared" si="31"/>
        <v>3</v>
      </c>
      <c r="Q92" s="2476">
        <f t="shared" si="31"/>
        <v>3</v>
      </c>
      <c r="R92" s="2474">
        <f t="shared" si="31"/>
        <v>0</v>
      </c>
      <c r="S92" s="2475">
        <f t="shared" si="31"/>
        <v>3</v>
      </c>
      <c r="T92" s="2476">
        <f t="shared" si="31"/>
        <v>3</v>
      </c>
      <c r="U92" s="2474">
        <f t="shared" si="31"/>
        <v>9</v>
      </c>
      <c r="V92" s="2477">
        <f t="shared" si="31"/>
        <v>5</v>
      </c>
      <c r="W92" s="2478">
        <f t="shared" si="31"/>
        <v>9</v>
      </c>
      <c r="X92" s="2474">
        <f t="shared" si="31"/>
        <v>7</v>
      </c>
      <c r="Y92" s="2479">
        <f t="shared" si="31"/>
        <v>5</v>
      </c>
      <c r="Z92" s="2475">
        <f t="shared" si="31"/>
        <v>12</v>
      </c>
      <c r="AA92" s="2474">
        <f t="shared" si="31"/>
        <v>11</v>
      </c>
      <c r="AB92" s="2479">
        <f t="shared" si="31"/>
        <v>6</v>
      </c>
      <c r="AC92" s="2475">
        <f t="shared" si="31"/>
        <v>17</v>
      </c>
      <c r="AD92" s="2474">
        <f t="shared" si="31"/>
        <v>4</v>
      </c>
      <c r="AE92" s="2479">
        <f t="shared" si="31"/>
        <v>7</v>
      </c>
      <c r="AF92" s="2475">
        <f t="shared" si="31"/>
        <v>11</v>
      </c>
      <c r="AG92" s="2474">
        <f>SUM(AG88:AG91)</f>
        <v>18</v>
      </c>
      <c r="AH92" s="2479">
        <f>SUM(AH88:AH91)</f>
        <v>14</v>
      </c>
      <c r="AI92" s="2475">
        <f t="shared" ref="AI92" si="32">SUM(AI88:AI91)</f>
        <v>32</v>
      </c>
      <c r="AJ92" s="2474">
        <f>SUM(AJ88:AJ91)</f>
        <v>23</v>
      </c>
      <c r="AK92" s="2479">
        <f>SUM(AK88:AK91)</f>
        <v>19</v>
      </c>
      <c r="AL92" s="2475">
        <f t="shared" ref="AL92" si="33">SUM(AL88:AL91)</f>
        <v>42</v>
      </c>
    </row>
    <row r="93" spans="2:38" x14ac:dyDescent="0.25">
      <c r="B93" s="5656" t="s">
        <v>116</v>
      </c>
      <c r="C93" s="2504">
        <f t="shared" ref="C93:AF93" si="34">SUM(C92,C87,C83)</f>
        <v>18</v>
      </c>
      <c r="D93" s="2505">
        <f t="shared" si="34"/>
        <v>16</v>
      </c>
      <c r="E93" s="2506">
        <f t="shared" si="34"/>
        <v>34</v>
      </c>
      <c r="F93" s="2504">
        <f t="shared" si="34"/>
        <v>18</v>
      </c>
      <c r="G93" s="2505">
        <f t="shared" si="34"/>
        <v>16</v>
      </c>
      <c r="H93" s="2506">
        <f t="shared" si="34"/>
        <v>34</v>
      </c>
      <c r="I93" s="2504">
        <f t="shared" si="34"/>
        <v>18</v>
      </c>
      <c r="J93" s="2505">
        <f t="shared" si="34"/>
        <v>5</v>
      </c>
      <c r="K93" s="2506">
        <f t="shared" si="34"/>
        <v>23</v>
      </c>
      <c r="L93" s="2504">
        <f t="shared" si="34"/>
        <v>27</v>
      </c>
      <c r="M93" s="2505">
        <f t="shared" si="34"/>
        <v>11</v>
      </c>
      <c r="N93" s="2506">
        <f t="shared" si="34"/>
        <v>38</v>
      </c>
      <c r="O93" s="2504">
        <f t="shared" si="34"/>
        <v>1</v>
      </c>
      <c r="P93" s="2505">
        <f t="shared" si="34"/>
        <v>3</v>
      </c>
      <c r="Q93" s="2506">
        <f t="shared" si="34"/>
        <v>4</v>
      </c>
      <c r="R93" s="2504">
        <f t="shared" si="34"/>
        <v>1</v>
      </c>
      <c r="S93" s="2505">
        <f t="shared" si="34"/>
        <v>3</v>
      </c>
      <c r="T93" s="2506">
        <f t="shared" si="34"/>
        <v>4</v>
      </c>
      <c r="U93" s="2504">
        <f t="shared" si="34"/>
        <v>24</v>
      </c>
      <c r="V93" s="2507">
        <f t="shared" si="34"/>
        <v>22</v>
      </c>
      <c r="W93" s="2508">
        <f t="shared" si="34"/>
        <v>40</v>
      </c>
      <c r="X93" s="2504">
        <f t="shared" si="34"/>
        <v>22</v>
      </c>
      <c r="Y93" s="2509">
        <f t="shared" si="34"/>
        <v>21</v>
      </c>
      <c r="Z93" s="2505">
        <f t="shared" si="34"/>
        <v>43</v>
      </c>
      <c r="AA93" s="2504">
        <f t="shared" si="34"/>
        <v>70</v>
      </c>
      <c r="AB93" s="2509">
        <f t="shared" si="34"/>
        <v>46</v>
      </c>
      <c r="AC93" s="2505">
        <f t="shared" si="34"/>
        <v>116</v>
      </c>
      <c r="AD93" s="2504">
        <f t="shared" si="34"/>
        <v>42</v>
      </c>
      <c r="AE93" s="2509">
        <f t="shared" si="34"/>
        <v>27</v>
      </c>
      <c r="AF93" s="2505">
        <f t="shared" si="34"/>
        <v>69</v>
      </c>
      <c r="AG93" s="2504">
        <f t="shared" ref="AG93:AI93" si="35">SUM(AG92,AG87,AG83)</f>
        <v>57</v>
      </c>
      <c r="AH93" s="2509">
        <f t="shared" si="35"/>
        <v>45</v>
      </c>
      <c r="AI93" s="2505">
        <f t="shared" si="35"/>
        <v>102</v>
      </c>
      <c r="AJ93" s="2504">
        <f t="shared" ref="AJ93:AL93" si="36">SUM(AJ92,AJ87,AJ83)</f>
        <v>75</v>
      </c>
      <c r="AK93" s="2509">
        <f t="shared" si="36"/>
        <v>63</v>
      </c>
      <c r="AL93" s="2505">
        <f t="shared" si="36"/>
        <v>138</v>
      </c>
    </row>
    <row r="94" spans="2:38" ht="15" customHeight="1" x14ac:dyDescent="0.25">
      <c r="B94" s="2391" t="s">
        <v>117</v>
      </c>
      <c r="C94" s="2486">
        <v>2</v>
      </c>
      <c r="D94" s="2487">
        <v>1</v>
      </c>
      <c r="E94" s="2496">
        <f t="shared" si="13"/>
        <v>3</v>
      </c>
      <c r="F94" s="2486">
        <v>2</v>
      </c>
      <c r="G94" s="2487">
        <v>1</v>
      </c>
      <c r="H94" s="2496">
        <f t="shared" si="23"/>
        <v>3</v>
      </c>
      <c r="I94" s="2486">
        <v>3</v>
      </c>
      <c r="J94" s="2487">
        <v>3</v>
      </c>
      <c r="K94" s="2496">
        <f>SUM(I94:J94)</f>
        <v>6</v>
      </c>
      <c r="L94" s="2486">
        <v>2</v>
      </c>
      <c r="M94" s="2487">
        <v>3</v>
      </c>
      <c r="N94" s="2496">
        <f>SUM(L94:M94)</f>
        <v>5</v>
      </c>
      <c r="O94" s="2486"/>
      <c r="P94" s="2487"/>
      <c r="Q94" s="2496">
        <f>SUM(O94:P94)</f>
        <v>0</v>
      </c>
      <c r="R94" s="2486"/>
      <c r="S94" s="2487"/>
      <c r="T94" s="2496"/>
      <c r="U94" s="2486">
        <v>3</v>
      </c>
      <c r="V94" s="2488">
        <v>1</v>
      </c>
      <c r="W94" s="2497">
        <f>SUM(U94:V94)</f>
        <v>4</v>
      </c>
      <c r="X94" s="2486">
        <v>2</v>
      </c>
      <c r="Y94" s="2489">
        <v>1</v>
      </c>
      <c r="Z94" s="2487">
        <f>SUM(X94:Y94)</f>
        <v>3</v>
      </c>
      <c r="AA94" s="2486">
        <v>1</v>
      </c>
      <c r="AB94" s="2489"/>
      <c r="AC94" s="2487">
        <f>SUM(AA94:AB94)</f>
        <v>1</v>
      </c>
      <c r="AD94" s="2486"/>
      <c r="AE94" s="2489"/>
      <c r="AF94" s="2487">
        <f>SUM(AD94:AE94)</f>
        <v>0</v>
      </c>
      <c r="AG94" s="2486">
        <v>1</v>
      </c>
      <c r="AH94" s="2489"/>
      <c r="AI94" s="2487">
        <f>SUM(AG94:AH94)</f>
        <v>1</v>
      </c>
      <c r="AJ94" s="2486">
        <v>2</v>
      </c>
      <c r="AK94" s="2489"/>
      <c r="AL94" s="2487">
        <f>SUM(AJ94:AK94)</f>
        <v>2</v>
      </c>
    </row>
    <row r="95" spans="2:38" ht="15" customHeight="1" x14ac:dyDescent="0.25">
      <c r="B95" s="2391" t="s">
        <v>118</v>
      </c>
      <c r="C95" s="4658"/>
      <c r="D95" s="4659"/>
      <c r="E95" s="4660"/>
      <c r="F95" s="4658"/>
      <c r="G95" s="4659"/>
      <c r="H95" s="4660"/>
      <c r="I95" s="4658"/>
      <c r="J95" s="4659"/>
      <c r="K95" s="4660"/>
      <c r="L95" s="4658"/>
      <c r="M95" s="4659"/>
      <c r="N95" s="4660"/>
      <c r="O95" s="4658"/>
      <c r="P95" s="4659"/>
      <c r="Q95" s="4660"/>
      <c r="R95" s="4658"/>
      <c r="S95" s="4659"/>
      <c r="T95" s="4660"/>
      <c r="U95" s="4658"/>
      <c r="V95" s="4661"/>
      <c r="W95" s="4662"/>
      <c r="X95" s="4658"/>
      <c r="Y95" s="4663"/>
      <c r="Z95" s="4659"/>
      <c r="AA95" s="4658"/>
      <c r="AB95" s="4663"/>
      <c r="AC95" s="4659"/>
      <c r="AD95" s="4658"/>
      <c r="AE95" s="4663"/>
      <c r="AF95" s="4659"/>
      <c r="AG95" s="4658">
        <v>1</v>
      </c>
      <c r="AH95" s="4663"/>
      <c r="AI95" s="2487">
        <f>SUM(AG95:AH95)</f>
        <v>1</v>
      </c>
      <c r="AJ95" s="4658"/>
      <c r="AK95" s="4663"/>
      <c r="AL95" s="2487">
        <f>SUM(AJ95:AK95)</f>
        <v>0</v>
      </c>
    </row>
    <row r="96" spans="2:38" x14ac:dyDescent="0.25">
      <c r="B96" s="2374" t="s">
        <v>59</v>
      </c>
      <c r="C96" s="2474">
        <f t="shared" ref="C96:N96" si="37">SUM(C94)</f>
        <v>2</v>
      </c>
      <c r="D96" s="2475">
        <f t="shared" si="37"/>
        <v>1</v>
      </c>
      <c r="E96" s="2476">
        <f t="shared" si="37"/>
        <v>3</v>
      </c>
      <c r="F96" s="2474">
        <f t="shared" si="37"/>
        <v>2</v>
      </c>
      <c r="G96" s="2475">
        <f t="shared" si="37"/>
        <v>1</v>
      </c>
      <c r="H96" s="2476">
        <f t="shared" si="37"/>
        <v>3</v>
      </c>
      <c r="I96" s="2474">
        <f t="shared" si="37"/>
        <v>3</v>
      </c>
      <c r="J96" s="2475">
        <f t="shared" si="37"/>
        <v>3</v>
      </c>
      <c r="K96" s="2476">
        <f t="shared" si="37"/>
        <v>6</v>
      </c>
      <c r="L96" s="2474">
        <f t="shared" si="37"/>
        <v>2</v>
      </c>
      <c r="M96" s="2475">
        <f t="shared" si="37"/>
        <v>3</v>
      </c>
      <c r="N96" s="2476">
        <f t="shared" si="37"/>
        <v>5</v>
      </c>
      <c r="O96" s="2474">
        <f t="shared" ref="O96:AF96" si="38">SUM(O94)</f>
        <v>0</v>
      </c>
      <c r="P96" s="2475">
        <f t="shared" si="38"/>
        <v>0</v>
      </c>
      <c r="Q96" s="2476">
        <f t="shared" si="38"/>
        <v>0</v>
      </c>
      <c r="R96" s="2474">
        <f t="shared" si="38"/>
        <v>0</v>
      </c>
      <c r="S96" s="2475">
        <f t="shared" si="38"/>
        <v>0</v>
      </c>
      <c r="T96" s="2476">
        <f t="shared" si="38"/>
        <v>0</v>
      </c>
      <c r="U96" s="2474">
        <f t="shared" si="38"/>
        <v>3</v>
      </c>
      <c r="V96" s="2477">
        <f t="shared" si="38"/>
        <v>1</v>
      </c>
      <c r="W96" s="2478">
        <f t="shared" si="38"/>
        <v>4</v>
      </c>
      <c r="X96" s="2474">
        <f t="shared" si="38"/>
        <v>2</v>
      </c>
      <c r="Y96" s="2479">
        <f t="shared" si="38"/>
        <v>1</v>
      </c>
      <c r="Z96" s="2475">
        <f t="shared" si="38"/>
        <v>3</v>
      </c>
      <c r="AA96" s="2474">
        <f t="shared" si="38"/>
        <v>1</v>
      </c>
      <c r="AB96" s="2479">
        <f t="shared" si="38"/>
        <v>0</v>
      </c>
      <c r="AC96" s="2475">
        <f t="shared" si="38"/>
        <v>1</v>
      </c>
      <c r="AD96" s="2474">
        <f t="shared" si="38"/>
        <v>0</v>
      </c>
      <c r="AE96" s="2479">
        <f t="shared" si="38"/>
        <v>0</v>
      </c>
      <c r="AF96" s="2475">
        <f t="shared" si="38"/>
        <v>0</v>
      </c>
      <c r="AG96" s="2474">
        <v>2</v>
      </c>
      <c r="AH96" s="2479">
        <v>0</v>
      </c>
      <c r="AI96" s="2475">
        <f>SUM(AI94:AI95)</f>
        <v>2</v>
      </c>
      <c r="AJ96" s="2474">
        <f>SUM(AJ94:AJ95)</f>
        <v>2</v>
      </c>
      <c r="AK96" s="2479">
        <f>SUM(AK94:AK95)</f>
        <v>0</v>
      </c>
      <c r="AL96" s="2475">
        <f>SUM(AL94:AL95)</f>
        <v>2</v>
      </c>
    </row>
    <row r="97" spans="2:38" ht="15" customHeight="1" x14ac:dyDescent="0.25">
      <c r="B97" s="2390" t="s">
        <v>121</v>
      </c>
      <c r="C97" s="2462"/>
      <c r="D97" s="2463"/>
      <c r="E97" s="2464"/>
      <c r="F97" s="2462"/>
      <c r="G97" s="2463"/>
      <c r="H97" s="2464"/>
      <c r="I97" s="2462"/>
      <c r="J97" s="2463"/>
      <c r="K97" s="2464"/>
      <c r="L97" s="2462"/>
      <c r="M97" s="2463"/>
      <c r="N97" s="2464"/>
      <c r="O97" s="2462"/>
      <c r="P97" s="2463"/>
      <c r="Q97" s="2464"/>
      <c r="R97" s="2462"/>
      <c r="S97" s="2463"/>
      <c r="T97" s="2464"/>
      <c r="U97" s="2462">
        <v>1</v>
      </c>
      <c r="V97" s="2465">
        <v>2</v>
      </c>
      <c r="W97" s="2466">
        <f>SUM(U97:V97)</f>
        <v>3</v>
      </c>
      <c r="X97" s="2462">
        <v>1</v>
      </c>
      <c r="Y97" s="2467">
        <v>2</v>
      </c>
      <c r="Z97" s="2463">
        <f>SUM(X97:Y97)</f>
        <v>3</v>
      </c>
      <c r="AA97" s="2462"/>
      <c r="AB97" s="2467">
        <v>2</v>
      </c>
      <c r="AC97" s="2463">
        <f>SUM(AA97:AB97)</f>
        <v>2</v>
      </c>
      <c r="AD97" s="2462">
        <v>1</v>
      </c>
      <c r="AE97" s="2467">
        <v>1</v>
      </c>
      <c r="AF97" s="2463">
        <f>SUM(AD97:AE97)</f>
        <v>2</v>
      </c>
      <c r="AG97" s="2462">
        <v>7</v>
      </c>
      <c r="AH97" s="2467">
        <v>5</v>
      </c>
      <c r="AI97" s="2463">
        <f>SUM(AG97:AH97)</f>
        <v>12</v>
      </c>
      <c r="AJ97" s="2462">
        <v>0</v>
      </c>
      <c r="AK97" s="2467">
        <v>1</v>
      </c>
      <c r="AL97" s="2463">
        <f>SUM(AJ97:AK97)</f>
        <v>1</v>
      </c>
    </row>
    <row r="98" spans="2:38" ht="15" customHeight="1" x14ac:dyDescent="0.25">
      <c r="B98" s="2390" t="s">
        <v>123</v>
      </c>
      <c r="C98" s="2462"/>
      <c r="D98" s="2463"/>
      <c r="E98" s="2464"/>
      <c r="F98" s="2462"/>
      <c r="G98" s="2463"/>
      <c r="H98" s="2464"/>
      <c r="I98" s="2462"/>
      <c r="J98" s="2463"/>
      <c r="K98" s="2464"/>
      <c r="L98" s="2462"/>
      <c r="M98" s="2463"/>
      <c r="N98" s="2464"/>
      <c r="O98" s="2462"/>
      <c r="P98" s="2463"/>
      <c r="Q98" s="2464"/>
      <c r="R98" s="2462"/>
      <c r="S98" s="2463"/>
      <c r="T98" s="2464"/>
      <c r="U98" s="2462"/>
      <c r="V98" s="2465"/>
      <c r="W98" s="2466"/>
      <c r="X98" s="2462"/>
      <c r="Y98" s="2467"/>
      <c r="Z98" s="2463"/>
      <c r="AA98" s="2462"/>
      <c r="AB98" s="2467"/>
      <c r="AC98" s="2463"/>
      <c r="AD98" s="2462"/>
      <c r="AE98" s="2467"/>
      <c r="AF98" s="2463"/>
      <c r="AG98" s="2462"/>
      <c r="AH98" s="2467"/>
      <c r="AI98" s="2463"/>
      <c r="AJ98" s="2462">
        <v>8</v>
      </c>
      <c r="AK98" s="2467">
        <v>0</v>
      </c>
      <c r="AL98" s="2463">
        <f>SUM(AJ98:AK98)</f>
        <v>8</v>
      </c>
    </row>
    <row r="99" spans="2:38" ht="15" customHeight="1" x14ac:dyDescent="0.25">
      <c r="B99" s="2390" t="s">
        <v>1648</v>
      </c>
      <c r="C99" s="2462"/>
      <c r="D99" s="2463"/>
      <c r="E99" s="2464"/>
      <c r="F99" s="2462"/>
      <c r="G99" s="2463"/>
      <c r="H99" s="2464"/>
      <c r="I99" s="2462">
        <v>6</v>
      </c>
      <c r="J99" s="2463">
        <v>1</v>
      </c>
      <c r="K99" s="2464">
        <f>SUM(I99:J99)</f>
        <v>7</v>
      </c>
      <c r="L99" s="2462">
        <v>6</v>
      </c>
      <c r="M99" s="2463">
        <v>1</v>
      </c>
      <c r="N99" s="2464">
        <f>SUM(L99:M99)</f>
        <v>7</v>
      </c>
      <c r="O99" s="2462"/>
      <c r="P99" s="2463"/>
      <c r="Q99" s="2464">
        <f>SUM(O99:P99)</f>
        <v>0</v>
      </c>
      <c r="R99" s="2462"/>
      <c r="S99" s="2463"/>
      <c r="T99" s="2464"/>
      <c r="U99" s="2462"/>
      <c r="V99" s="2465"/>
      <c r="W99" s="2466">
        <f>SUM(U99:V99)</f>
        <v>0</v>
      </c>
      <c r="X99" s="2462"/>
      <c r="Y99" s="2467"/>
      <c r="Z99" s="2463"/>
      <c r="AA99" s="2462">
        <v>1</v>
      </c>
      <c r="AB99" s="2467">
        <v>2</v>
      </c>
      <c r="AC99" s="2463">
        <f>SUM(AA99:AB99)</f>
        <v>3</v>
      </c>
      <c r="AD99" s="2462">
        <v>5</v>
      </c>
      <c r="AE99" s="2467"/>
      <c r="AF99" s="2463">
        <f>SUM(AD99:AE99)</f>
        <v>5</v>
      </c>
      <c r="AG99" s="2462">
        <v>5</v>
      </c>
      <c r="AH99" s="2467">
        <v>5</v>
      </c>
      <c r="AI99" s="2463">
        <f>SUM(AG99:AH99)</f>
        <v>10</v>
      </c>
      <c r="AJ99" s="2462">
        <v>12</v>
      </c>
      <c r="AK99" s="2467">
        <v>5</v>
      </c>
      <c r="AL99" s="2463">
        <f>SUM(AJ99:AK99)</f>
        <v>17</v>
      </c>
    </row>
    <row r="100" spans="2:38" ht="15" customHeight="1" x14ac:dyDescent="0.25">
      <c r="B100" s="2374" t="s">
        <v>64</v>
      </c>
      <c r="C100" s="2474">
        <f t="shared" ref="C100:Z100" si="39">SUM(C97:C99)</f>
        <v>0</v>
      </c>
      <c r="D100" s="2475">
        <f t="shared" si="39"/>
        <v>0</v>
      </c>
      <c r="E100" s="2476">
        <f t="shared" si="39"/>
        <v>0</v>
      </c>
      <c r="F100" s="2474">
        <f t="shared" si="39"/>
        <v>0</v>
      </c>
      <c r="G100" s="2475">
        <f t="shared" si="39"/>
        <v>0</v>
      </c>
      <c r="H100" s="2476">
        <f t="shared" si="39"/>
        <v>0</v>
      </c>
      <c r="I100" s="2474">
        <f t="shared" si="39"/>
        <v>6</v>
      </c>
      <c r="J100" s="2475">
        <f t="shared" si="39"/>
        <v>1</v>
      </c>
      <c r="K100" s="2476">
        <f t="shared" si="39"/>
        <v>7</v>
      </c>
      <c r="L100" s="2474">
        <f t="shared" si="39"/>
        <v>6</v>
      </c>
      <c r="M100" s="2475">
        <f t="shared" si="39"/>
        <v>1</v>
      </c>
      <c r="N100" s="2476">
        <f t="shared" si="39"/>
        <v>7</v>
      </c>
      <c r="O100" s="2474">
        <f t="shared" si="39"/>
        <v>0</v>
      </c>
      <c r="P100" s="2475">
        <f t="shared" si="39"/>
        <v>0</v>
      </c>
      <c r="Q100" s="2476">
        <f t="shared" si="39"/>
        <v>0</v>
      </c>
      <c r="R100" s="2474">
        <f t="shared" si="39"/>
        <v>0</v>
      </c>
      <c r="S100" s="2475">
        <f t="shared" si="39"/>
        <v>0</v>
      </c>
      <c r="T100" s="2476">
        <f t="shared" si="39"/>
        <v>0</v>
      </c>
      <c r="U100" s="2474">
        <f t="shared" si="39"/>
        <v>1</v>
      </c>
      <c r="V100" s="2477">
        <f t="shared" si="39"/>
        <v>2</v>
      </c>
      <c r="W100" s="2478">
        <f t="shared" si="39"/>
        <v>3</v>
      </c>
      <c r="X100" s="2474">
        <f t="shared" si="39"/>
        <v>1</v>
      </c>
      <c r="Y100" s="2479">
        <f t="shared" si="39"/>
        <v>2</v>
      </c>
      <c r="Z100" s="2475">
        <f t="shared" si="39"/>
        <v>3</v>
      </c>
      <c r="AA100" s="2474">
        <f>SUM(AA97:AA99)</f>
        <v>1</v>
      </c>
      <c r="AB100" s="2479">
        <f>SUM(AB97:AB99)</f>
        <v>4</v>
      </c>
      <c r="AC100" s="2475">
        <f>SUM(AC97:AC99)</f>
        <v>5</v>
      </c>
      <c r="AD100" s="2474">
        <v>6</v>
      </c>
      <c r="AE100" s="2479">
        <v>1</v>
      </c>
      <c r="AF100" s="2475">
        <f>SUM(AF97:AF99)</f>
        <v>7</v>
      </c>
      <c r="AG100" s="2474">
        <v>12</v>
      </c>
      <c r="AH100" s="2479">
        <v>10</v>
      </c>
      <c r="AI100" s="2475">
        <f>SUM(AI97:AI99)</f>
        <v>22</v>
      </c>
      <c r="AJ100" s="2474">
        <f>SUM(AJ97:AJ99)</f>
        <v>20</v>
      </c>
      <c r="AK100" s="2479">
        <f>SUM(AK97:AK99)</f>
        <v>6</v>
      </c>
      <c r="AL100" s="2475">
        <f>SUM(AL97:AL99)</f>
        <v>26</v>
      </c>
    </row>
    <row r="101" spans="2:38" ht="15" customHeight="1" x14ac:dyDescent="0.25">
      <c r="B101" s="2390" t="s">
        <v>124</v>
      </c>
      <c r="C101" s="2462">
        <v>3</v>
      </c>
      <c r="D101" s="2463">
        <v>1</v>
      </c>
      <c r="E101" s="2464">
        <f t="shared" si="13"/>
        <v>4</v>
      </c>
      <c r="F101" s="2462">
        <v>3</v>
      </c>
      <c r="G101" s="2463">
        <v>1</v>
      </c>
      <c r="H101" s="2464">
        <f t="shared" si="23"/>
        <v>4</v>
      </c>
      <c r="I101" s="2462">
        <v>2</v>
      </c>
      <c r="J101" s="2463">
        <v>1</v>
      </c>
      <c r="K101" s="2464">
        <f>SUM(I101:J101)</f>
        <v>3</v>
      </c>
      <c r="L101" s="2462">
        <v>1</v>
      </c>
      <c r="M101" s="2463">
        <v>1</v>
      </c>
      <c r="N101" s="2464">
        <f>SUM(L101:M101)</f>
        <v>2</v>
      </c>
      <c r="O101" s="2462">
        <v>1</v>
      </c>
      <c r="P101" s="2463"/>
      <c r="Q101" s="2464">
        <f>SUM(O101:P101)</f>
        <v>1</v>
      </c>
      <c r="R101" s="2462">
        <v>1</v>
      </c>
      <c r="S101" s="2463"/>
      <c r="T101" s="2464">
        <f>SUM(R101:S101)</f>
        <v>1</v>
      </c>
      <c r="U101" s="2462">
        <v>3</v>
      </c>
      <c r="V101" s="2465">
        <v>1</v>
      </c>
      <c r="W101" s="2466">
        <f>SUM(U101:V101)</f>
        <v>4</v>
      </c>
      <c r="X101" s="2462">
        <v>3</v>
      </c>
      <c r="Y101" s="2467">
        <v>1</v>
      </c>
      <c r="Z101" s="2463">
        <f>SUM(X101:Y101)</f>
        <v>4</v>
      </c>
      <c r="AA101" s="2462">
        <v>5</v>
      </c>
      <c r="AB101" s="2467">
        <v>2</v>
      </c>
      <c r="AC101" s="2463">
        <f>SUM(AA101:AB101)</f>
        <v>7</v>
      </c>
      <c r="AD101" s="2462">
        <v>1</v>
      </c>
      <c r="AE101" s="2467"/>
      <c r="AF101" s="2463">
        <f>SUM(AD101:AE101)</f>
        <v>1</v>
      </c>
      <c r="AG101" s="2462">
        <v>8</v>
      </c>
      <c r="AH101" s="2467">
        <v>1</v>
      </c>
      <c r="AI101" s="2463">
        <f>SUM(AG101:AH101)</f>
        <v>9</v>
      </c>
      <c r="AJ101" s="2462">
        <v>3</v>
      </c>
      <c r="AK101" s="2467"/>
      <c r="AL101" s="2463">
        <f>SUM(AJ101:AK101)</f>
        <v>3</v>
      </c>
    </row>
    <row r="102" spans="2:38" ht="15" customHeight="1" x14ac:dyDescent="0.25">
      <c r="B102" s="5355" t="s">
        <v>125</v>
      </c>
      <c r="C102" s="4859"/>
      <c r="D102" s="5356"/>
      <c r="E102" s="5357"/>
      <c r="F102" s="4859"/>
      <c r="G102" s="5356"/>
      <c r="H102" s="5357"/>
      <c r="I102" s="4859"/>
      <c r="J102" s="5356"/>
      <c r="K102" s="5357"/>
      <c r="L102" s="4859"/>
      <c r="M102" s="5356"/>
      <c r="N102" s="5357"/>
      <c r="O102" s="4859"/>
      <c r="P102" s="5356"/>
      <c r="Q102" s="5357"/>
      <c r="R102" s="4859"/>
      <c r="S102" s="5356"/>
      <c r="T102" s="5357"/>
      <c r="U102" s="4859"/>
      <c r="V102" s="5358"/>
      <c r="W102" s="5359"/>
      <c r="X102" s="4859"/>
      <c r="Y102" s="4860"/>
      <c r="Z102" s="5356"/>
      <c r="AA102" s="4859"/>
      <c r="AB102" s="4860"/>
      <c r="AC102" s="5356"/>
      <c r="AD102" s="4859"/>
      <c r="AE102" s="4860"/>
      <c r="AF102" s="5356"/>
      <c r="AG102" s="4859"/>
      <c r="AH102" s="4860"/>
      <c r="AI102" s="5356"/>
      <c r="AJ102" s="4859">
        <v>6</v>
      </c>
      <c r="AK102" s="4860">
        <v>8</v>
      </c>
      <c r="AL102" s="2463">
        <f>SUM(AJ102:AK102)</f>
        <v>14</v>
      </c>
    </row>
    <row r="103" spans="2:38" x14ac:dyDescent="0.25">
      <c r="B103" s="2374" t="s">
        <v>92</v>
      </c>
      <c r="C103" s="2474">
        <f t="shared" ref="C103:N103" si="40">SUM(C101)</f>
        <v>3</v>
      </c>
      <c r="D103" s="2475">
        <f t="shared" si="40"/>
        <v>1</v>
      </c>
      <c r="E103" s="2476">
        <f t="shared" si="40"/>
        <v>4</v>
      </c>
      <c r="F103" s="2474">
        <f t="shared" si="40"/>
        <v>3</v>
      </c>
      <c r="G103" s="2475">
        <f t="shared" si="40"/>
        <v>1</v>
      </c>
      <c r="H103" s="2476">
        <f t="shared" si="40"/>
        <v>4</v>
      </c>
      <c r="I103" s="2474">
        <f t="shared" si="40"/>
        <v>2</v>
      </c>
      <c r="J103" s="2475">
        <f t="shared" si="40"/>
        <v>1</v>
      </c>
      <c r="K103" s="2476">
        <f t="shared" si="40"/>
        <v>3</v>
      </c>
      <c r="L103" s="2474">
        <f t="shared" si="40"/>
        <v>1</v>
      </c>
      <c r="M103" s="2475">
        <f t="shared" si="40"/>
        <v>1</v>
      </c>
      <c r="N103" s="2476">
        <f t="shared" si="40"/>
        <v>2</v>
      </c>
      <c r="O103" s="2474">
        <f t="shared" ref="O103:AF103" si="41">SUM(O101)</f>
        <v>1</v>
      </c>
      <c r="P103" s="2475">
        <f t="shared" si="41"/>
        <v>0</v>
      </c>
      <c r="Q103" s="2476">
        <f t="shared" si="41"/>
        <v>1</v>
      </c>
      <c r="R103" s="2474">
        <f t="shared" si="41"/>
        <v>1</v>
      </c>
      <c r="S103" s="2475">
        <f t="shared" si="41"/>
        <v>0</v>
      </c>
      <c r="T103" s="2476">
        <f t="shared" si="41"/>
        <v>1</v>
      </c>
      <c r="U103" s="2474">
        <f t="shared" si="41"/>
        <v>3</v>
      </c>
      <c r="V103" s="2477">
        <f t="shared" si="41"/>
        <v>1</v>
      </c>
      <c r="W103" s="2478">
        <f t="shared" si="41"/>
        <v>4</v>
      </c>
      <c r="X103" s="2474">
        <f t="shared" si="41"/>
        <v>3</v>
      </c>
      <c r="Y103" s="2479">
        <f t="shared" si="41"/>
        <v>1</v>
      </c>
      <c r="Z103" s="2475">
        <f t="shared" si="41"/>
        <v>4</v>
      </c>
      <c r="AA103" s="2474">
        <f t="shared" si="41"/>
        <v>5</v>
      </c>
      <c r="AB103" s="2479">
        <f t="shared" si="41"/>
        <v>2</v>
      </c>
      <c r="AC103" s="2475">
        <f t="shared" si="41"/>
        <v>7</v>
      </c>
      <c r="AD103" s="2474">
        <f t="shared" si="41"/>
        <v>1</v>
      </c>
      <c r="AE103" s="2479">
        <f t="shared" si="41"/>
        <v>0</v>
      </c>
      <c r="AF103" s="2475">
        <f t="shared" si="41"/>
        <v>1</v>
      </c>
      <c r="AG103" s="2474">
        <v>8</v>
      </c>
      <c r="AH103" s="2479">
        <v>1</v>
      </c>
      <c r="AI103" s="2475">
        <f t="shared" ref="AI103" si="42">SUM(AI101)</f>
        <v>9</v>
      </c>
      <c r="AJ103" s="2474">
        <f>SUM(AJ101:AJ102)</f>
        <v>9</v>
      </c>
      <c r="AK103" s="2479">
        <f>SUM(AK102)</f>
        <v>8</v>
      </c>
      <c r="AL103" s="2475">
        <f>SUM(AL101:AL102)</f>
        <v>17</v>
      </c>
    </row>
    <row r="104" spans="2:38" x14ac:dyDescent="0.25">
      <c r="B104" s="5657" t="s">
        <v>127</v>
      </c>
      <c r="C104" s="2510">
        <f t="shared" ref="C104:AF104" si="43">SUM(C103,C100,C96)</f>
        <v>5</v>
      </c>
      <c r="D104" s="2511">
        <f t="shared" si="43"/>
        <v>2</v>
      </c>
      <c r="E104" s="2512">
        <f t="shared" si="43"/>
        <v>7</v>
      </c>
      <c r="F104" s="2510">
        <f t="shared" si="43"/>
        <v>5</v>
      </c>
      <c r="G104" s="2511">
        <f t="shared" si="43"/>
        <v>2</v>
      </c>
      <c r="H104" s="2512">
        <f t="shared" si="43"/>
        <v>7</v>
      </c>
      <c r="I104" s="2510">
        <f t="shared" si="43"/>
        <v>11</v>
      </c>
      <c r="J104" s="2511">
        <f t="shared" si="43"/>
        <v>5</v>
      </c>
      <c r="K104" s="2512">
        <f t="shared" si="43"/>
        <v>16</v>
      </c>
      <c r="L104" s="2510">
        <f t="shared" si="43"/>
        <v>9</v>
      </c>
      <c r="M104" s="2511">
        <f t="shared" si="43"/>
        <v>5</v>
      </c>
      <c r="N104" s="2512">
        <f t="shared" si="43"/>
        <v>14</v>
      </c>
      <c r="O104" s="2510">
        <f t="shared" si="43"/>
        <v>1</v>
      </c>
      <c r="P104" s="2511">
        <f t="shared" si="43"/>
        <v>0</v>
      </c>
      <c r="Q104" s="2512">
        <f t="shared" si="43"/>
        <v>1</v>
      </c>
      <c r="R104" s="2510">
        <f t="shared" si="43"/>
        <v>1</v>
      </c>
      <c r="S104" s="2511">
        <f t="shared" si="43"/>
        <v>0</v>
      </c>
      <c r="T104" s="2512">
        <f t="shared" si="43"/>
        <v>1</v>
      </c>
      <c r="U104" s="2510">
        <f t="shared" si="43"/>
        <v>7</v>
      </c>
      <c r="V104" s="2513">
        <f t="shared" si="43"/>
        <v>4</v>
      </c>
      <c r="W104" s="2514">
        <f t="shared" si="43"/>
        <v>11</v>
      </c>
      <c r="X104" s="2510">
        <f t="shared" si="43"/>
        <v>6</v>
      </c>
      <c r="Y104" s="2515">
        <f t="shared" si="43"/>
        <v>4</v>
      </c>
      <c r="Z104" s="2511">
        <f t="shared" si="43"/>
        <v>10</v>
      </c>
      <c r="AA104" s="2510">
        <f t="shared" si="43"/>
        <v>7</v>
      </c>
      <c r="AB104" s="2515">
        <f t="shared" si="43"/>
        <v>6</v>
      </c>
      <c r="AC104" s="2511">
        <f t="shared" si="43"/>
        <v>13</v>
      </c>
      <c r="AD104" s="2510">
        <f t="shared" si="43"/>
        <v>7</v>
      </c>
      <c r="AE104" s="2515">
        <f t="shared" si="43"/>
        <v>1</v>
      </c>
      <c r="AF104" s="2511">
        <f t="shared" si="43"/>
        <v>8</v>
      </c>
      <c r="AG104" s="2510">
        <f t="shared" ref="AG104:AI104" si="44">SUM(AG103,AG100,AG96)</f>
        <v>22</v>
      </c>
      <c r="AH104" s="2515">
        <f t="shared" si="44"/>
        <v>11</v>
      </c>
      <c r="AI104" s="2511">
        <f t="shared" si="44"/>
        <v>33</v>
      </c>
      <c r="AJ104" s="2510">
        <f t="shared" ref="AJ104:AL104" si="45">SUM(AJ103,AJ100,AJ96)</f>
        <v>31</v>
      </c>
      <c r="AK104" s="2515">
        <f t="shared" si="45"/>
        <v>14</v>
      </c>
      <c r="AL104" s="2511">
        <f t="shared" si="45"/>
        <v>45</v>
      </c>
    </row>
    <row r="105" spans="2:38" ht="13.2" x14ac:dyDescent="0.25">
      <c r="C105"/>
      <c r="D105"/>
      <c r="E105"/>
      <c r="F105"/>
      <c r="G105"/>
    </row>
    <row r="106" spans="2:38" x14ac:dyDescent="0.25">
      <c r="B106" s="1383" t="s">
        <v>431</v>
      </c>
      <c r="C106" s="2516">
        <f>SUM(C104+C93+C78+C56+C26)</f>
        <v>151</v>
      </c>
      <c r="D106" s="2517">
        <f>SUM(D104+D93+D78+D56+D26)</f>
        <v>88</v>
      </c>
      <c r="E106" s="2518">
        <f t="shared" si="13"/>
        <v>239</v>
      </c>
      <c r="F106" s="2516">
        <f>SUM(F104+F93+F78+F56+F26)</f>
        <v>149</v>
      </c>
      <c r="G106" s="2517">
        <f>SUM(G104+G93+G78+G56+G26)</f>
        <v>85</v>
      </c>
      <c r="H106" s="2518">
        <f t="shared" si="23"/>
        <v>234</v>
      </c>
      <c r="I106" s="2516">
        <f>SUM(I104+I93+I78+I56+I26)</f>
        <v>269</v>
      </c>
      <c r="J106" s="2517">
        <f>SUM(J104+J93+J78+J56+J26)</f>
        <v>134</v>
      </c>
      <c r="K106" s="2518">
        <f>SUM(I106:J106)</f>
        <v>403</v>
      </c>
      <c r="L106" s="2516">
        <f>SUM(L104+L93+L78+L56+L26)</f>
        <v>309</v>
      </c>
      <c r="M106" s="2517">
        <f>SUM(M104+M93+M78+M56+M26)</f>
        <v>158</v>
      </c>
      <c r="N106" s="2518">
        <f>SUM(L106:M106)</f>
        <v>467</v>
      </c>
      <c r="O106" s="2516">
        <f>SUM(O104+O93+O78+O56+O26)</f>
        <v>58</v>
      </c>
      <c r="P106" s="2517">
        <f>SUM(P104+P93+P78+P56+P26)</f>
        <v>32</v>
      </c>
      <c r="Q106" s="2518">
        <f>SUM(O106:P106)</f>
        <v>90</v>
      </c>
      <c r="R106" s="2516">
        <f>SUM(R104+R93+R78+R56+R26)</f>
        <v>58</v>
      </c>
      <c r="S106" s="2517">
        <f>SUM(S104+S93+S78+S56+S26)</f>
        <v>32</v>
      </c>
      <c r="T106" s="2518">
        <f>SUM(R106:S106)</f>
        <v>90</v>
      </c>
      <c r="U106" s="2516">
        <f>SUM(U104+U93+U78+U56+U26)</f>
        <v>594</v>
      </c>
      <c r="V106" s="2519">
        <f>SUM(V104+V93+V78+V56+V26)</f>
        <v>369</v>
      </c>
      <c r="W106" s="2520">
        <f>SUM(U106:V106)</f>
        <v>963</v>
      </c>
      <c r="X106" s="2516">
        <f>SUM(X104+X93+X78+X56+X26)</f>
        <v>569</v>
      </c>
      <c r="Y106" s="2521">
        <f>SUM(Y104+Y93+Y78+Y56+Y26)</f>
        <v>351</v>
      </c>
      <c r="Z106" s="2517">
        <f>SUM(X106:Y106)</f>
        <v>920</v>
      </c>
      <c r="AA106" s="2516">
        <f>SUM(AA104+AA93+AA78+AA56+AA26)</f>
        <v>680</v>
      </c>
      <c r="AB106" s="2521">
        <f>SUM(AB104+AB93+AB78+AB56+AB26)</f>
        <v>474</v>
      </c>
      <c r="AC106" s="2517">
        <f>SUM(AA106:AB106)</f>
        <v>1154</v>
      </c>
      <c r="AD106" s="2516">
        <f>SUM(AD104+AD93+AD78+AD56+AD26)</f>
        <v>484</v>
      </c>
      <c r="AE106" s="2521">
        <f>SUM(AE104+AE93+AE78+AE56+AE26)</f>
        <v>256</v>
      </c>
      <c r="AF106" s="2517">
        <f>SUM(AD106:AE106)</f>
        <v>740</v>
      </c>
      <c r="AG106" s="2516">
        <f>SUM(AG104+AG93+AG78+AG56+AG26)</f>
        <v>830</v>
      </c>
      <c r="AH106" s="2521">
        <f>SUM(AH104+AH93+AH78+AH56+AH26)</f>
        <v>508</v>
      </c>
      <c r="AI106" s="2517">
        <f>SUM(AG106:AH106)</f>
        <v>1338</v>
      </c>
      <c r="AJ106" s="2516">
        <f>SUM(AJ104+AJ93+AJ78+AJ56+AJ26)</f>
        <v>1058</v>
      </c>
      <c r="AK106" s="2521">
        <f>SUM(AK104+AK93+AK78+AK56+AK26)</f>
        <v>635</v>
      </c>
      <c r="AL106" s="2517">
        <f>SUM(AJ106:AK106)</f>
        <v>1693</v>
      </c>
    </row>
    <row r="107" spans="2:38" x14ac:dyDescent="0.3">
      <c r="B107" s="2341" t="s">
        <v>622</v>
      </c>
      <c r="AJ107" s="6056" t="s">
        <v>1600</v>
      </c>
      <c r="AK107" s="6056"/>
      <c r="AL107" s="6056"/>
    </row>
    <row r="108" spans="2:38" x14ac:dyDescent="0.3">
      <c r="AJ108" s="6057"/>
      <c r="AK108" s="6057"/>
      <c r="AL108" s="6057"/>
    </row>
  </sheetData>
  <mergeCells count="18">
    <mergeCell ref="C3:H3"/>
    <mergeCell ref="I3:N3"/>
    <mergeCell ref="O3:T3"/>
    <mergeCell ref="U3:Z3"/>
    <mergeCell ref="O4:Q4"/>
    <mergeCell ref="R4:T4"/>
    <mergeCell ref="U4:W4"/>
    <mergeCell ref="X4:Z4"/>
    <mergeCell ref="AJ107:AL108"/>
    <mergeCell ref="B4:B5"/>
    <mergeCell ref="C4:E4"/>
    <mergeCell ref="F4:H4"/>
    <mergeCell ref="I4:K4"/>
    <mergeCell ref="L4:N4"/>
    <mergeCell ref="AJ4:AL4"/>
    <mergeCell ref="AG4:AI4"/>
    <mergeCell ref="AA4:AC4"/>
    <mergeCell ref="AD4:AF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55" firstPageNumber="97" orientation="landscape" useFirstPageNumber="1" r:id="rId1"/>
  <headerFooter scaleWithDoc="0" alignWithMargins="0">
    <oddFooter>&amp;R&amp;P</oddFooter>
  </headerFooter>
  <rowBreaks count="1" manualBreakCount="1">
    <brk id="56" min="20" max="37" man="1"/>
  </rowBreaks>
  <ignoredErrors>
    <ignoredError sqref="E16:AI31 E103:AI106 E87:AD87 AF87:AI87 E84:AI86 E83:AD83 AF83:AI83 E33:AI82 E32:AE32 AL83:AL87 E99:AI101 E88:AI97 AK96:AL103" formula="1"/>
  </ignoredError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</sheetPr>
  <dimension ref="B2:Q110"/>
  <sheetViews>
    <sheetView showGridLines="0" zoomScaleNormal="100" workbookViewId="0">
      <pane xSplit="2" ySplit="5" topLeftCell="F10" activePane="bottomRight" state="frozen"/>
      <selection activeCell="Q31" sqref="Q31"/>
      <selection pane="topRight" activeCell="Q31" sqref="Q31"/>
      <selection pane="bottomLeft" activeCell="Q31" sqref="Q31"/>
      <selection pane="bottomRight" activeCell="R31" sqref="R31"/>
    </sheetView>
  </sheetViews>
  <sheetFormatPr baseColWidth="10" defaultRowHeight="13.2" x14ac:dyDescent="0.25"/>
  <cols>
    <col min="1" max="1" width="1.88671875" customWidth="1"/>
    <col min="2" max="2" width="45.44140625" bestFit="1" customWidth="1"/>
    <col min="3" max="3" width="8.5546875" customWidth="1"/>
    <col min="4" max="4" width="9.44140625" customWidth="1"/>
    <col min="5" max="5" width="8.88671875" customWidth="1"/>
    <col min="6" max="6" width="10.109375" customWidth="1"/>
    <col min="7" max="7" width="9.44140625" customWidth="1"/>
    <col min="8" max="8" width="10.109375" customWidth="1"/>
    <col min="9" max="14" width="9.88671875" customWidth="1"/>
    <col min="15" max="15" width="8.5546875" bestFit="1" customWidth="1"/>
    <col min="16" max="16" width="9.44140625" bestFit="1" customWidth="1"/>
  </cols>
  <sheetData>
    <row r="2" spans="2:17" ht="15.6" x14ac:dyDescent="0.3">
      <c r="B2" s="2777" t="s">
        <v>1511</v>
      </c>
    </row>
    <row r="4" spans="2:17" ht="15" customHeight="1" x14ac:dyDescent="0.25">
      <c r="B4" s="6052" t="s">
        <v>624</v>
      </c>
      <c r="C4" s="6054">
        <v>2018</v>
      </c>
      <c r="D4" s="6055"/>
      <c r="E4" s="5741"/>
      <c r="F4" s="6054">
        <v>2019</v>
      </c>
      <c r="G4" s="6055"/>
      <c r="H4" s="5741"/>
      <c r="I4" s="6054">
        <v>2020</v>
      </c>
      <c r="J4" s="6055"/>
      <c r="K4" s="5741"/>
      <c r="L4" s="6054">
        <v>2021</v>
      </c>
      <c r="M4" s="6055"/>
      <c r="N4" s="5741"/>
      <c r="O4" s="6054">
        <v>2022</v>
      </c>
      <c r="P4" s="6055"/>
      <c r="Q4" s="5741"/>
    </row>
    <row r="5" spans="2:17" ht="12.75" customHeight="1" x14ac:dyDescent="0.25">
      <c r="B5" s="6053"/>
      <c r="C5" s="2403" t="s">
        <v>140</v>
      </c>
      <c r="D5" s="2405" t="s">
        <v>141</v>
      </c>
      <c r="E5" s="2404" t="s">
        <v>48</v>
      </c>
      <c r="F5" s="2403" t="s">
        <v>140</v>
      </c>
      <c r="G5" s="2405" t="s">
        <v>141</v>
      </c>
      <c r="H5" s="2404" t="s">
        <v>48</v>
      </c>
      <c r="I5" s="2403" t="s">
        <v>140</v>
      </c>
      <c r="J5" s="2405" t="s">
        <v>141</v>
      </c>
      <c r="K5" s="2404" t="s">
        <v>48</v>
      </c>
      <c r="L5" s="2403" t="s">
        <v>140</v>
      </c>
      <c r="M5" s="2405" t="s">
        <v>141</v>
      </c>
      <c r="N5" s="2404" t="s">
        <v>48</v>
      </c>
      <c r="O5" s="2403" t="s">
        <v>140</v>
      </c>
      <c r="P5" s="2405" t="s">
        <v>141</v>
      </c>
      <c r="Q5" s="2404" t="s">
        <v>48</v>
      </c>
    </row>
    <row r="6" spans="2:17" ht="14.4" x14ac:dyDescent="0.25">
      <c r="B6" s="2406" t="s">
        <v>49</v>
      </c>
      <c r="C6" s="2522">
        <v>6</v>
      </c>
      <c r="D6" s="2523">
        <v>4</v>
      </c>
      <c r="E6" s="2524">
        <f>SUM(C6:D6)</f>
        <v>10</v>
      </c>
      <c r="F6" s="2522">
        <v>37</v>
      </c>
      <c r="G6" s="2523">
        <v>16</v>
      </c>
      <c r="H6" s="2524">
        <f>SUM(F6:G6)</f>
        <v>53</v>
      </c>
      <c r="I6" s="2522">
        <v>86</v>
      </c>
      <c r="J6" s="2523">
        <v>38</v>
      </c>
      <c r="K6" s="2524">
        <f>SUM(I6:J6)</f>
        <v>124</v>
      </c>
      <c r="L6" s="2522">
        <v>125</v>
      </c>
      <c r="M6" s="2523">
        <v>42</v>
      </c>
      <c r="N6" s="2524">
        <f>SUM(L6:M6)</f>
        <v>167</v>
      </c>
      <c r="O6" s="2522">
        <v>77</v>
      </c>
      <c r="P6" s="2523">
        <v>26</v>
      </c>
      <c r="Q6" s="2524">
        <f>SUM(O6:P6)</f>
        <v>103</v>
      </c>
    </row>
    <row r="7" spans="2:17" ht="14.4" x14ac:dyDescent="0.25">
      <c r="B7" s="2411" t="s">
        <v>50</v>
      </c>
      <c r="C7" s="2525">
        <v>1</v>
      </c>
      <c r="D7" s="2526">
        <v>1</v>
      </c>
      <c r="E7" s="2527">
        <f t="shared" ref="E7:E70" si="0">SUM(C7:D7)</f>
        <v>2</v>
      </c>
      <c r="F7" s="2525">
        <v>12</v>
      </c>
      <c r="G7" s="2526">
        <v>33</v>
      </c>
      <c r="H7" s="2527">
        <f t="shared" ref="H7:H15" si="1">SUM(F7:G7)</f>
        <v>45</v>
      </c>
      <c r="I7" s="2525">
        <v>28</v>
      </c>
      <c r="J7" s="2526">
        <v>95</v>
      </c>
      <c r="K7" s="2527">
        <f t="shared" ref="K7:K15" si="2">SUM(I7:J7)</f>
        <v>123</v>
      </c>
      <c r="L7" s="2525">
        <v>53</v>
      </c>
      <c r="M7" s="2526">
        <v>97</v>
      </c>
      <c r="N7" s="2527">
        <f t="shared" ref="N7:N15" si="3">SUM(L7:M7)</f>
        <v>150</v>
      </c>
      <c r="O7" s="2525">
        <v>37</v>
      </c>
      <c r="P7" s="2526">
        <v>82</v>
      </c>
      <c r="Q7" s="2527">
        <f t="shared" ref="Q7:Q15" si="4">SUM(O7:P7)</f>
        <v>119</v>
      </c>
    </row>
    <row r="8" spans="2:17" ht="14.4" x14ac:dyDescent="0.25">
      <c r="B8" s="2411" t="s">
        <v>156</v>
      </c>
      <c r="C8" s="2525">
        <v>1</v>
      </c>
      <c r="D8" s="2526">
        <v>4</v>
      </c>
      <c r="E8" s="2527">
        <f t="shared" si="0"/>
        <v>5</v>
      </c>
      <c r="F8" s="2525">
        <v>6</v>
      </c>
      <c r="G8" s="2526">
        <v>54</v>
      </c>
      <c r="H8" s="2527">
        <f t="shared" si="1"/>
        <v>60</v>
      </c>
      <c r="I8" s="2525">
        <v>24</v>
      </c>
      <c r="J8" s="2526">
        <v>124</v>
      </c>
      <c r="K8" s="2527">
        <f t="shared" si="2"/>
        <v>148</v>
      </c>
      <c r="L8" s="2525">
        <v>45</v>
      </c>
      <c r="M8" s="2526">
        <v>169</v>
      </c>
      <c r="N8" s="2527">
        <f t="shared" si="3"/>
        <v>214</v>
      </c>
      <c r="O8" s="2525">
        <v>39</v>
      </c>
      <c r="P8" s="2526">
        <v>153</v>
      </c>
      <c r="Q8" s="2527">
        <f t="shared" si="4"/>
        <v>192</v>
      </c>
    </row>
    <row r="9" spans="2:17" ht="14.4" x14ac:dyDescent="0.25">
      <c r="B9" s="2411" t="s">
        <v>51</v>
      </c>
      <c r="C9" s="2525"/>
      <c r="D9" s="2526">
        <v>7</v>
      </c>
      <c r="E9" s="2527">
        <f t="shared" si="0"/>
        <v>7</v>
      </c>
      <c r="F9" s="2525">
        <v>2</v>
      </c>
      <c r="G9" s="2526">
        <v>15</v>
      </c>
      <c r="H9" s="2527">
        <f t="shared" si="1"/>
        <v>17</v>
      </c>
      <c r="I9" s="2525">
        <v>3</v>
      </c>
      <c r="J9" s="2526">
        <v>28</v>
      </c>
      <c r="K9" s="2527">
        <f t="shared" si="2"/>
        <v>31</v>
      </c>
      <c r="L9" s="2525">
        <v>10</v>
      </c>
      <c r="M9" s="2526">
        <v>39</v>
      </c>
      <c r="N9" s="2527">
        <f t="shared" si="3"/>
        <v>49</v>
      </c>
      <c r="O9" s="2525">
        <v>11</v>
      </c>
      <c r="P9" s="2526">
        <v>39</v>
      </c>
      <c r="Q9" s="2527">
        <f t="shared" si="4"/>
        <v>50</v>
      </c>
    </row>
    <row r="10" spans="2:17" ht="14.4" x14ac:dyDescent="0.25">
      <c r="B10" s="2411" t="s">
        <v>57</v>
      </c>
      <c r="C10" s="2525">
        <v>1</v>
      </c>
      <c r="D10" s="2526">
        <v>1</v>
      </c>
      <c r="E10" s="2527">
        <f t="shared" si="0"/>
        <v>2</v>
      </c>
      <c r="F10" s="2525">
        <v>7</v>
      </c>
      <c r="G10" s="2526">
        <v>29</v>
      </c>
      <c r="H10" s="2527">
        <f t="shared" si="1"/>
        <v>36</v>
      </c>
      <c r="I10" s="2525">
        <v>14</v>
      </c>
      <c r="J10" s="2526">
        <v>66</v>
      </c>
      <c r="K10" s="2527">
        <f t="shared" si="2"/>
        <v>80</v>
      </c>
      <c r="L10" s="2525">
        <v>17</v>
      </c>
      <c r="M10" s="2526">
        <v>103</v>
      </c>
      <c r="N10" s="2527">
        <f t="shared" si="3"/>
        <v>120</v>
      </c>
      <c r="O10" s="2525">
        <v>9</v>
      </c>
      <c r="P10" s="2526">
        <v>79</v>
      </c>
      <c r="Q10" s="2527">
        <f t="shared" si="4"/>
        <v>88</v>
      </c>
    </row>
    <row r="11" spans="2:17" ht="14.4" x14ac:dyDescent="0.25">
      <c r="B11" s="2411" t="s">
        <v>52</v>
      </c>
      <c r="C11" s="2525">
        <v>1</v>
      </c>
      <c r="D11" s="2526">
        <v>2</v>
      </c>
      <c r="E11" s="2527">
        <f t="shared" si="0"/>
        <v>3</v>
      </c>
      <c r="F11" s="2525">
        <v>9</v>
      </c>
      <c r="G11" s="2526">
        <v>38</v>
      </c>
      <c r="H11" s="2527">
        <f t="shared" si="1"/>
        <v>47</v>
      </c>
      <c r="I11" s="2525">
        <v>33</v>
      </c>
      <c r="J11" s="2526">
        <v>90</v>
      </c>
      <c r="K11" s="2527">
        <f t="shared" si="2"/>
        <v>123</v>
      </c>
      <c r="L11" s="2525">
        <v>47</v>
      </c>
      <c r="M11" s="2526">
        <v>118</v>
      </c>
      <c r="N11" s="2527">
        <f t="shared" si="3"/>
        <v>165</v>
      </c>
      <c r="O11" s="2525">
        <v>28</v>
      </c>
      <c r="P11" s="2526">
        <v>83</v>
      </c>
      <c r="Q11" s="2527">
        <f t="shared" si="4"/>
        <v>111</v>
      </c>
    </row>
    <row r="12" spans="2:17" ht="14.4" x14ac:dyDescent="0.25">
      <c r="B12" s="2411" t="s">
        <v>53</v>
      </c>
      <c r="C12" s="2525">
        <v>2</v>
      </c>
      <c r="D12" s="2526">
        <v>2</v>
      </c>
      <c r="E12" s="2527">
        <f t="shared" si="0"/>
        <v>4</v>
      </c>
      <c r="F12" s="2525">
        <v>25</v>
      </c>
      <c r="G12" s="2526">
        <v>49</v>
      </c>
      <c r="H12" s="2527">
        <f t="shared" si="1"/>
        <v>74</v>
      </c>
      <c r="I12" s="2525">
        <v>62</v>
      </c>
      <c r="J12" s="2526">
        <v>97</v>
      </c>
      <c r="K12" s="2527">
        <f t="shared" si="2"/>
        <v>159</v>
      </c>
      <c r="L12" s="2525">
        <v>89</v>
      </c>
      <c r="M12" s="2526">
        <v>135</v>
      </c>
      <c r="N12" s="2527">
        <f t="shared" si="3"/>
        <v>224</v>
      </c>
      <c r="O12" s="2525">
        <v>74</v>
      </c>
      <c r="P12" s="2526">
        <v>98</v>
      </c>
      <c r="Q12" s="2527">
        <f t="shared" si="4"/>
        <v>172</v>
      </c>
    </row>
    <row r="13" spans="2:17" ht="14.4" x14ac:dyDescent="0.25">
      <c r="B13" s="2411" t="s">
        <v>54</v>
      </c>
      <c r="C13" s="2525">
        <v>2</v>
      </c>
      <c r="D13" s="2526">
        <v>3</v>
      </c>
      <c r="E13" s="2527">
        <f t="shared" si="0"/>
        <v>5</v>
      </c>
      <c r="F13" s="2525">
        <v>6</v>
      </c>
      <c r="G13" s="2526">
        <v>42</v>
      </c>
      <c r="H13" s="2527">
        <f t="shared" si="1"/>
        <v>48</v>
      </c>
      <c r="I13" s="2525">
        <v>10</v>
      </c>
      <c r="J13" s="2526">
        <v>102</v>
      </c>
      <c r="K13" s="2527">
        <f t="shared" si="2"/>
        <v>112</v>
      </c>
      <c r="L13" s="2525">
        <v>23</v>
      </c>
      <c r="M13" s="2526">
        <v>116</v>
      </c>
      <c r="N13" s="2527">
        <f t="shared" si="3"/>
        <v>139</v>
      </c>
      <c r="O13" s="2525">
        <v>19</v>
      </c>
      <c r="P13" s="2526">
        <v>96</v>
      </c>
      <c r="Q13" s="2527">
        <f t="shared" si="4"/>
        <v>115</v>
      </c>
    </row>
    <row r="14" spans="2:17" ht="14.4" x14ac:dyDescent="0.25">
      <c r="B14" s="2411" t="s">
        <v>55</v>
      </c>
      <c r="C14" s="2525">
        <v>2</v>
      </c>
      <c r="D14" s="2526">
        <v>3</v>
      </c>
      <c r="E14" s="2527">
        <f t="shared" si="0"/>
        <v>5</v>
      </c>
      <c r="F14" s="2525">
        <v>12</v>
      </c>
      <c r="G14" s="2526">
        <v>21</v>
      </c>
      <c r="H14" s="2527">
        <f t="shared" si="1"/>
        <v>33</v>
      </c>
      <c r="I14" s="2525">
        <v>24</v>
      </c>
      <c r="J14" s="2526">
        <v>51</v>
      </c>
      <c r="K14" s="2527">
        <f t="shared" si="2"/>
        <v>75</v>
      </c>
      <c r="L14" s="2525">
        <v>32</v>
      </c>
      <c r="M14" s="2526">
        <v>51</v>
      </c>
      <c r="N14" s="2527">
        <f t="shared" si="3"/>
        <v>83</v>
      </c>
      <c r="O14" s="2525">
        <v>27</v>
      </c>
      <c r="P14" s="2526">
        <v>32</v>
      </c>
      <c r="Q14" s="2527">
        <f t="shared" si="4"/>
        <v>59</v>
      </c>
    </row>
    <row r="15" spans="2:17" ht="14.4" x14ac:dyDescent="0.25">
      <c r="B15" s="2411" t="s">
        <v>56</v>
      </c>
      <c r="C15" s="2525">
        <v>1</v>
      </c>
      <c r="D15" s="2526">
        <v>3</v>
      </c>
      <c r="E15" s="2527">
        <f t="shared" si="0"/>
        <v>4</v>
      </c>
      <c r="F15" s="2525">
        <v>37</v>
      </c>
      <c r="G15" s="2526">
        <v>29</v>
      </c>
      <c r="H15" s="2527">
        <f t="shared" si="1"/>
        <v>66</v>
      </c>
      <c r="I15" s="2525">
        <v>104</v>
      </c>
      <c r="J15" s="2526">
        <v>64</v>
      </c>
      <c r="K15" s="2527">
        <f t="shared" si="2"/>
        <v>168</v>
      </c>
      <c r="L15" s="2525">
        <v>163</v>
      </c>
      <c r="M15" s="2526">
        <v>90</v>
      </c>
      <c r="N15" s="2527">
        <f t="shared" si="3"/>
        <v>253</v>
      </c>
      <c r="O15" s="2525">
        <v>123</v>
      </c>
      <c r="P15" s="2526">
        <v>72</v>
      </c>
      <c r="Q15" s="2527">
        <f t="shared" si="4"/>
        <v>195</v>
      </c>
    </row>
    <row r="16" spans="2:17" ht="14.4" x14ac:dyDescent="0.25">
      <c r="B16" s="2414" t="s">
        <v>59</v>
      </c>
      <c r="C16" s="2528">
        <f t="shared" ref="C16:K16" si="5">SUM(C6:C15)</f>
        <v>17</v>
      </c>
      <c r="D16" s="2529">
        <f t="shared" si="5"/>
        <v>30</v>
      </c>
      <c r="E16" s="2530">
        <f t="shared" si="5"/>
        <v>47</v>
      </c>
      <c r="F16" s="2528">
        <f t="shared" si="5"/>
        <v>153</v>
      </c>
      <c r="G16" s="2529">
        <f t="shared" si="5"/>
        <v>326</v>
      </c>
      <c r="H16" s="2530">
        <f t="shared" si="5"/>
        <v>479</v>
      </c>
      <c r="I16" s="2528">
        <f t="shared" si="5"/>
        <v>388</v>
      </c>
      <c r="J16" s="2529">
        <f t="shared" si="5"/>
        <v>755</v>
      </c>
      <c r="K16" s="2530">
        <f t="shared" si="5"/>
        <v>1143</v>
      </c>
      <c r="L16" s="2528">
        <f>SUM(L6:L15)</f>
        <v>604</v>
      </c>
      <c r="M16" s="2529">
        <f>SUM(M6:M15)</f>
        <v>960</v>
      </c>
      <c r="N16" s="2530">
        <f t="shared" ref="N16" si="6">SUM(N6:N15)</f>
        <v>1564</v>
      </c>
      <c r="O16" s="2528">
        <f>SUM(O6:O15)</f>
        <v>444</v>
      </c>
      <c r="P16" s="2529">
        <f>SUM(P6:P15)</f>
        <v>760</v>
      </c>
      <c r="Q16" s="2530">
        <f t="shared" ref="Q16" si="7">SUM(Q6:Q15)</f>
        <v>1204</v>
      </c>
    </row>
    <row r="17" spans="2:17" ht="14.4" x14ac:dyDescent="0.25">
      <c r="B17" s="2411" t="s">
        <v>60</v>
      </c>
      <c r="C17" s="2525">
        <v>19</v>
      </c>
      <c r="D17" s="2526">
        <v>7</v>
      </c>
      <c r="E17" s="2527">
        <f t="shared" si="0"/>
        <v>26</v>
      </c>
      <c r="F17" s="2525">
        <v>86</v>
      </c>
      <c r="G17" s="2526">
        <v>42</v>
      </c>
      <c r="H17" s="2527">
        <f>SUM(F17:G17)</f>
        <v>128</v>
      </c>
      <c r="I17" s="2525">
        <v>266</v>
      </c>
      <c r="J17" s="2526">
        <v>106</v>
      </c>
      <c r="K17" s="2527">
        <f>SUM(I17:J17)</f>
        <v>372</v>
      </c>
      <c r="L17" s="2525">
        <v>345</v>
      </c>
      <c r="M17" s="2526">
        <v>168</v>
      </c>
      <c r="N17" s="2527">
        <f>SUM(L17:M17)</f>
        <v>513</v>
      </c>
      <c r="O17" s="2525">
        <v>318</v>
      </c>
      <c r="P17" s="2526">
        <v>159</v>
      </c>
      <c r="Q17" s="2527">
        <f>SUM(O17:P17)</f>
        <v>477</v>
      </c>
    </row>
    <row r="18" spans="2:17" ht="14.4" x14ac:dyDescent="0.25">
      <c r="B18" s="2411" t="s">
        <v>61</v>
      </c>
      <c r="C18" s="2525">
        <v>15</v>
      </c>
      <c r="D18" s="2526">
        <v>16</v>
      </c>
      <c r="E18" s="2527">
        <f t="shared" si="0"/>
        <v>31</v>
      </c>
      <c r="F18" s="2525">
        <v>127</v>
      </c>
      <c r="G18" s="2526">
        <v>67</v>
      </c>
      <c r="H18" s="2527">
        <f>SUM(F18:G18)</f>
        <v>194</v>
      </c>
      <c r="I18" s="2525">
        <v>360</v>
      </c>
      <c r="J18" s="2526">
        <v>169</v>
      </c>
      <c r="K18" s="2527">
        <f>SUM(I18:J18)</f>
        <v>529</v>
      </c>
      <c r="L18" s="2525">
        <v>447</v>
      </c>
      <c r="M18" s="2526">
        <v>212</v>
      </c>
      <c r="N18" s="2527">
        <f>SUM(L18:M18)</f>
        <v>659</v>
      </c>
      <c r="O18" s="2525">
        <v>409</v>
      </c>
      <c r="P18" s="2526">
        <v>186</v>
      </c>
      <c r="Q18" s="2527">
        <f>SUM(O18:P18)</f>
        <v>595</v>
      </c>
    </row>
    <row r="19" spans="2:17" ht="14.4" x14ac:dyDescent="0.25">
      <c r="B19" s="2411" t="s">
        <v>62</v>
      </c>
      <c r="C19" s="2525">
        <v>4</v>
      </c>
      <c r="D19" s="2526">
        <v>6</v>
      </c>
      <c r="E19" s="2527">
        <f t="shared" si="0"/>
        <v>10</v>
      </c>
      <c r="F19" s="2525">
        <v>43</v>
      </c>
      <c r="G19" s="2526">
        <v>42</v>
      </c>
      <c r="H19" s="2527">
        <f>SUM(F19:G19)</f>
        <v>85</v>
      </c>
      <c r="I19" s="2525">
        <v>109</v>
      </c>
      <c r="J19" s="2526">
        <v>98</v>
      </c>
      <c r="K19" s="2527">
        <f>SUM(I19:J19)</f>
        <v>207</v>
      </c>
      <c r="L19" s="2525">
        <v>156</v>
      </c>
      <c r="M19" s="2526">
        <v>147</v>
      </c>
      <c r="N19" s="2527">
        <f>SUM(L19:M19)</f>
        <v>303</v>
      </c>
      <c r="O19" s="2525">
        <v>152</v>
      </c>
      <c r="P19" s="2526">
        <v>120</v>
      </c>
      <c r="Q19" s="2527">
        <f>SUM(O19:P19)</f>
        <v>272</v>
      </c>
    </row>
    <row r="20" spans="2:17" ht="14.4" x14ac:dyDescent="0.25">
      <c r="B20" s="2411" t="s">
        <v>63</v>
      </c>
      <c r="C20" s="2525">
        <v>6</v>
      </c>
      <c r="D20" s="2526">
        <v>0</v>
      </c>
      <c r="E20" s="2527">
        <f t="shared" si="0"/>
        <v>6</v>
      </c>
      <c r="F20" s="2525">
        <v>59</v>
      </c>
      <c r="G20" s="2526">
        <v>20</v>
      </c>
      <c r="H20" s="2527">
        <f>SUM(F20:G20)</f>
        <v>79</v>
      </c>
      <c r="I20" s="2525">
        <v>161</v>
      </c>
      <c r="J20" s="2526">
        <v>48</v>
      </c>
      <c r="K20" s="2527">
        <f>SUM(I20:J20)</f>
        <v>209</v>
      </c>
      <c r="L20" s="2525">
        <v>176</v>
      </c>
      <c r="M20" s="2526">
        <v>80</v>
      </c>
      <c r="N20" s="2527">
        <f>SUM(L20:M20)</f>
        <v>256</v>
      </c>
      <c r="O20" s="2525">
        <v>162</v>
      </c>
      <c r="P20" s="2526">
        <v>55</v>
      </c>
      <c r="Q20" s="2527">
        <f>SUM(O20:P20)</f>
        <v>217</v>
      </c>
    </row>
    <row r="21" spans="2:17" ht="14.4" x14ac:dyDescent="0.25">
      <c r="B21" s="2414" t="s">
        <v>64</v>
      </c>
      <c r="C21" s="2528">
        <f t="shared" ref="C21:K21" si="8">SUM(C17:C20)</f>
        <v>44</v>
      </c>
      <c r="D21" s="2529">
        <f t="shared" si="8"/>
        <v>29</v>
      </c>
      <c r="E21" s="2530">
        <f t="shared" si="8"/>
        <v>73</v>
      </c>
      <c r="F21" s="2528">
        <f t="shared" si="8"/>
        <v>315</v>
      </c>
      <c r="G21" s="2529">
        <f t="shared" si="8"/>
        <v>171</v>
      </c>
      <c r="H21" s="2530">
        <f t="shared" si="8"/>
        <v>486</v>
      </c>
      <c r="I21" s="2528">
        <f t="shared" si="8"/>
        <v>896</v>
      </c>
      <c r="J21" s="2529">
        <f t="shared" si="8"/>
        <v>421</v>
      </c>
      <c r="K21" s="2530">
        <f t="shared" si="8"/>
        <v>1317</v>
      </c>
      <c r="L21" s="2528">
        <f>SUM(L17:L20)</f>
        <v>1124</v>
      </c>
      <c r="M21" s="2529">
        <f>SUM(M17:M20)</f>
        <v>607</v>
      </c>
      <c r="N21" s="2530">
        <f t="shared" ref="N21" si="9">SUM(N17:N20)</f>
        <v>1731</v>
      </c>
      <c r="O21" s="2528">
        <f>SUM(O17:O20)</f>
        <v>1041</v>
      </c>
      <c r="P21" s="2529">
        <f>SUM(P17:P20)</f>
        <v>520</v>
      </c>
      <c r="Q21" s="2530">
        <f t="shared" ref="Q21" si="10">SUM(Q17:Q20)</f>
        <v>1561</v>
      </c>
    </row>
    <row r="22" spans="2:17" ht="14.4" x14ac:dyDescent="0.25">
      <c r="B22" s="2411" t="s">
        <v>65</v>
      </c>
      <c r="C22" s="2525">
        <v>4</v>
      </c>
      <c r="D22" s="2526">
        <v>3</v>
      </c>
      <c r="E22" s="2527">
        <f t="shared" si="0"/>
        <v>7</v>
      </c>
      <c r="F22" s="2525">
        <v>46</v>
      </c>
      <c r="G22" s="2526">
        <v>57</v>
      </c>
      <c r="H22" s="2527">
        <f>SUM(F22:G22)</f>
        <v>103</v>
      </c>
      <c r="I22" s="2525">
        <v>152</v>
      </c>
      <c r="J22" s="2526">
        <v>161</v>
      </c>
      <c r="K22" s="2527">
        <f>SUM(I22:J22)</f>
        <v>313</v>
      </c>
      <c r="L22" s="2525">
        <v>245</v>
      </c>
      <c r="M22" s="2526">
        <v>253</v>
      </c>
      <c r="N22" s="2527">
        <f>SUM(L22:M22)</f>
        <v>498</v>
      </c>
      <c r="O22" s="2525">
        <v>222</v>
      </c>
      <c r="P22" s="2526">
        <v>210</v>
      </c>
      <c r="Q22" s="2527">
        <f>SUM(O22:P22)</f>
        <v>432</v>
      </c>
    </row>
    <row r="23" spans="2:17" ht="14.4" x14ac:dyDescent="0.25">
      <c r="B23" s="2411" t="s">
        <v>619</v>
      </c>
      <c r="C23" s="2525">
        <v>4</v>
      </c>
      <c r="D23" s="2526">
        <v>1</v>
      </c>
      <c r="E23" s="2527">
        <f t="shared" si="0"/>
        <v>5</v>
      </c>
      <c r="F23" s="2525">
        <v>65</v>
      </c>
      <c r="G23" s="2526">
        <v>32</v>
      </c>
      <c r="H23" s="2527">
        <f>SUM(F23:G23)</f>
        <v>97</v>
      </c>
      <c r="I23" s="2525">
        <v>218</v>
      </c>
      <c r="J23" s="2526">
        <v>118</v>
      </c>
      <c r="K23" s="2527">
        <f>SUM(I23:J23)</f>
        <v>336</v>
      </c>
      <c r="L23" s="2525">
        <v>304</v>
      </c>
      <c r="M23" s="2526">
        <v>139</v>
      </c>
      <c r="N23" s="2527">
        <f>SUM(L23:M23)</f>
        <v>443</v>
      </c>
      <c r="O23" s="2525">
        <v>280</v>
      </c>
      <c r="P23" s="2526">
        <v>137</v>
      </c>
      <c r="Q23" s="2527">
        <f>SUM(O23:P23)</f>
        <v>417</v>
      </c>
    </row>
    <row r="24" spans="2:17" ht="14.4" x14ac:dyDescent="0.25">
      <c r="B24" s="2411" t="s">
        <v>67</v>
      </c>
      <c r="C24" s="2525">
        <v>6</v>
      </c>
      <c r="D24" s="2526">
        <v>6</v>
      </c>
      <c r="E24" s="2527">
        <f t="shared" si="0"/>
        <v>12</v>
      </c>
      <c r="F24" s="2525">
        <v>49</v>
      </c>
      <c r="G24" s="2526">
        <v>29</v>
      </c>
      <c r="H24" s="2527">
        <f>SUM(F24:G24)</f>
        <v>78</v>
      </c>
      <c r="I24" s="2525">
        <v>149</v>
      </c>
      <c r="J24" s="2526">
        <v>87</v>
      </c>
      <c r="K24" s="2527">
        <f>SUM(I24:J24)</f>
        <v>236</v>
      </c>
      <c r="L24" s="2525">
        <v>175</v>
      </c>
      <c r="M24" s="2526">
        <v>108</v>
      </c>
      <c r="N24" s="2527">
        <f>SUM(L24:M24)</f>
        <v>283</v>
      </c>
      <c r="O24" s="2525">
        <v>145</v>
      </c>
      <c r="P24" s="2526">
        <v>84</v>
      </c>
      <c r="Q24" s="2527">
        <f>SUM(O24:P24)</f>
        <v>229</v>
      </c>
    </row>
    <row r="25" spans="2:17" ht="14.4" x14ac:dyDescent="0.25">
      <c r="B25" s="2418" t="s">
        <v>68</v>
      </c>
      <c r="C25" s="2528">
        <f t="shared" ref="C25:K25" si="11">SUM(C22:C24)</f>
        <v>14</v>
      </c>
      <c r="D25" s="2529">
        <f t="shared" si="11"/>
        <v>10</v>
      </c>
      <c r="E25" s="2530">
        <f t="shared" si="11"/>
        <v>24</v>
      </c>
      <c r="F25" s="2528">
        <f t="shared" si="11"/>
        <v>160</v>
      </c>
      <c r="G25" s="2529">
        <f t="shared" si="11"/>
        <v>118</v>
      </c>
      <c r="H25" s="2530">
        <f t="shared" si="11"/>
        <v>278</v>
      </c>
      <c r="I25" s="2528">
        <f t="shared" si="11"/>
        <v>519</v>
      </c>
      <c r="J25" s="2529">
        <f t="shared" si="11"/>
        <v>366</v>
      </c>
      <c r="K25" s="2530">
        <f t="shared" si="11"/>
        <v>885</v>
      </c>
      <c r="L25" s="2528">
        <f>SUM(L22:L24)</f>
        <v>724</v>
      </c>
      <c r="M25" s="2529">
        <f>SUM(M22:M24)</f>
        <v>500</v>
      </c>
      <c r="N25" s="2530">
        <f t="shared" ref="N25" si="12">SUM(N22:N24)</f>
        <v>1224</v>
      </c>
      <c r="O25" s="2528">
        <f>SUM(O22:O24)</f>
        <v>647</v>
      </c>
      <c r="P25" s="2529">
        <f>SUM(P22:P24)</f>
        <v>431</v>
      </c>
      <c r="Q25" s="2530">
        <f t="shared" ref="Q25" si="13">SUM(Q22:Q24)</f>
        <v>1078</v>
      </c>
    </row>
    <row r="26" spans="2:17" ht="14.4" x14ac:dyDescent="0.25">
      <c r="B26" s="2426" t="s">
        <v>69</v>
      </c>
      <c r="C26" s="2531">
        <f t="shared" ref="C26:K26" si="14">SUM(C25,C21,C16)</f>
        <v>75</v>
      </c>
      <c r="D26" s="2532">
        <f t="shared" si="14"/>
        <v>69</v>
      </c>
      <c r="E26" s="2533">
        <f t="shared" si="14"/>
        <v>144</v>
      </c>
      <c r="F26" s="2531">
        <f t="shared" si="14"/>
        <v>628</v>
      </c>
      <c r="G26" s="2532">
        <f t="shared" si="14"/>
        <v>615</v>
      </c>
      <c r="H26" s="2533">
        <f t="shared" si="14"/>
        <v>1243</v>
      </c>
      <c r="I26" s="2531">
        <f t="shared" si="14"/>
        <v>1803</v>
      </c>
      <c r="J26" s="2532">
        <f t="shared" si="14"/>
        <v>1542</v>
      </c>
      <c r="K26" s="2533">
        <f t="shared" si="14"/>
        <v>3345</v>
      </c>
      <c r="L26" s="2531">
        <f t="shared" ref="L26:N26" si="15">SUM(L25,L21,L16)</f>
        <v>2452</v>
      </c>
      <c r="M26" s="2532">
        <f t="shared" si="15"/>
        <v>2067</v>
      </c>
      <c r="N26" s="2533">
        <f t="shared" si="15"/>
        <v>4519</v>
      </c>
      <c r="O26" s="2531">
        <f t="shared" ref="O26:Q26" si="16">SUM(O25,O21,O16)</f>
        <v>2132</v>
      </c>
      <c r="P26" s="2532">
        <f t="shared" si="16"/>
        <v>1711</v>
      </c>
      <c r="Q26" s="2533">
        <f t="shared" si="16"/>
        <v>3843</v>
      </c>
    </row>
    <row r="27" spans="2:17" ht="14.4" x14ac:dyDescent="0.25">
      <c r="B27" s="2411" t="s">
        <v>77</v>
      </c>
      <c r="C27" s="2525"/>
      <c r="D27" s="2526"/>
      <c r="E27" s="2527"/>
      <c r="F27" s="2525">
        <v>4</v>
      </c>
      <c r="G27" s="2526">
        <v>6</v>
      </c>
      <c r="H27" s="2527">
        <f t="shared" ref="H27:H36" si="17">SUM(F27:G27)</f>
        <v>10</v>
      </c>
      <c r="I27" s="2525">
        <v>17</v>
      </c>
      <c r="J27" s="2526">
        <v>9</v>
      </c>
      <c r="K27" s="2527">
        <f t="shared" ref="K27:K36" si="18">SUM(I27:J27)</f>
        <v>26</v>
      </c>
      <c r="L27" s="2525">
        <v>15</v>
      </c>
      <c r="M27" s="2526">
        <v>7</v>
      </c>
      <c r="N27" s="2527">
        <f t="shared" ref="N27:N36" si="19">SUM(L27:M27)</f>
        <v>22</v>
      </c>
      <c r="O27" s="2525">
        <v>9</v>
      </c>
      <c r="P27" s="2526">
        <v>5</v>
      </c>
      <c r="Q27" s="2527">
        <f t="shared" ref="Q27:Q36" si="20">SUM(O27:P27)</f>
        <v>14</v>
      </c>
    </row>
    <row r="28" spans="2:17" ht="14.4" x14ac:dyDescent="0.25">
      <c r="B28" s="2411" t="s">
        <v>76</v>
      </c>
      <c r="C28" s="2525">
        <v>2</v>
      </c>
      <c r="D28" s="2526">
        <v>3</v>
      </c>
      <c r="E28" s="2527">
        <f t="shared" si="0"/>
        <v>5</v>
      </c>
      <c r="F28" s="2525">
        <v>9</v>
      </c>
      <c r="G28" s="2526">
        <v>35</v>
      </c>
      <c r="H28" s="2527">
        <f t="shared" si="17"/>
        <v>44</v>
      </c>
      <c r="I28" s="2525">
        <v>11</v>
      </c>
      <c r="J28" s="2526">
        <v>64</v>
      </c>
      <c r="K28" s="2527">
        <f t="shared" si="18"/>
        <v>75</v>
      </c>
      <c r="L28" s="2525">
        <v>20</v>
      </c>
      <c r="M28" s="2526">
        <v>85</v>
      </c>
      <c r="N28" s="2527">
        <f t="shared" si="19"/>
        <v>105</v>
      </c>
      <c r="O28" s="2525">
        <v>15</v>
      </c>
      <c r="P28" s="2526">
        <v>63</v>
      </c>
      <c r="Q28" s="2527">
        <f t="shared" si="20"/>
        <v>78</v>
      </c>
    </row>
    <row r="29" spans="2:17" ht="14.4" x14ac:dyDescent="0.25">
      <c r="B29" s="2411" t="s">
        <v>73</v>
      </c>
      <c r="C29" s="2525"/>
      <c r="D29" s="2526">
        <v>3</v>
      </c>
      <c r="E29" s="2527">
        <f t="shared" si="0"/>
        <v>3</v>
      </c>
      <c r="F29" s="2525">
        <v>6</v>
      </c>
      <c r="G29" s="2526">
        <v>22</v>
      </c>
      <c r="H29" s="2527">
        <f t="shared" si="17"/>
        <v>28</v>
      </c>
      <c r="I29" s="2525">
        <v>20</v>
      </c>
      <c r="J29" s="2526">
        <v>68</v>
      </c>
      <c r="K29" s="2527">
        <f t="shared" si="18"/>
        <v>88</v>
      </c>
      <c r="L29" s="2525">
        <v>32</v>
      </c>
      <c r="M29" s="2526">
        <v>98</v>
      </c>
      <c r="N29" s="2527">
        <f t="shared" si="19"/>
        <v>130</v>
      </c>
      <c r="O29" s="2525">
        <v>26</v>
      </c>
      <c r="P29" s="2526">
        <v>67</v>
      </c>
      <c r="Q29" s="2527">
        <f t="shared" si="20"/>
        <v>93</v>
      </c>
    </row>
    <row r="30" spans="2:17" ht="14.4" x14ac:dyDescent="0.25">
      <c r="B30" s="2411" t="s">
        <v>70</v>
      </c>
      <c r="C30" s="2525">
        <v>2</v>
      </c>
      <c r="D30" s="2526">
        <v>4</v>
      </c>
      <c r="E30" s="2527">
        <f t="shared" si="0"/>
        <v>6</v>
      </c>
      <c r="F30" s="2525">
        <v>18</v>
      </c>
      <c r="G30" s="2526">
        <v>27</v>
      </c>
      <c r="H30" s="2527">
        <f t="shared" si="17"/>
        <v>45</v>
      </c>
      <c r="I30" s="2525">
        <v>58</v>
      </c>
      <c r="J30" s="2526">
        <v>71</v>
      </c>
      <c r="K30" s="2527">
        <f t="shared" si="18"/>
        <v>129</v>
      </c>
      <c r="L30" s="2525">
        <v>72</v>
      </c>
      <c r="M30" s="2526">
        <v>79</v>
      </c>
      <c r="N30" s="2527">
        <f t="shared" si="19"/>
        <v>151</v>
      </c>
      <c r="O30" s="2525">
        <v>50</v>
      </c>
      <c r="P30" s="2526">
        <v>56</v>
      </c>
      <c r="Q30" s="2527">
        <f t="shared" si="20"/>
        <v>106</v>
      </c>
    </row>
    <row r="31" spans="2:17" ht="14.4" x14ac:dyDescent="0.25">
      <c r="B31" s="2411" t="s">
        <v>57</v>
      </c>
      <c r="C31" s="2525">
        <v>1</v>
      </c>
      <c r="D31" s="2526">
        <v>7</v>
      </c>
      <c r="E31" s="2527">
        <f t="shared" si="0"/>
        <v>8</v>
      </c>
      <c r="F31" s="2525">
        <v>2</v>
      </c>
      <c r="G31" s="2526">
        <v>29</v>
      </c>
      <c r="H31" s="2527">
        <f t="shared" si="17"/>
        <v>31</v>
      </c>
      <c r="I31" s="2525">
        <v>4</v>
      </c>
      <c r="J31" s="2526">
        <v>49</v>
      </c>
      <c r="K31" s="2527">
        <f t="shared" si="18"/>
        <v>53</v>
      </c>
      <c r="L31" s="2525">
        <v>11</v>
      </c>
      <c r="M31" s="2526">
        <v>47</v>
      </c>
      <c r="N31" s="2527">
        <f t="shared" si="19"/>
        <v>58</v>
      </c>
      <c r="O31" s="2525">
        <v>10</v>
      </c>
      <c r="P31" s="2526">
        <v>29</v>
      </c>
      <c r="Q31" s="2527">
        <f t="shared" si="20"/>
        <v>39</v>
      </c>
    </row>
    <row r="32" spans="2:17" ht="14.4" x14ac:dyDescent="0.25">
      <c r="B32" s="2411" t="s">
        <v>72</v>
      </c>
      <c r="C32" s="2525">
        <v>1</v>
      </c>
      <c r="D32" s="2526">
        <v>5</v>
      </c>
      <c r="E32" s="2527">
        <f t="shared" si="0"/>
        <v>6</v>
      </c>
      <c r="F32" s="2525">
        <v>8</v>
      </c>
      <c r="G32" s="2526">
        <v>16</v>
      </c>
      <c r="H32" s="2527">
        <f t="shared" si="17"/>
        <v>24</v>
      </c>
      <c r="I32" s="2525">
        <v>16</v>
      </c>
      <c r="J32" s="2526">
        <v>40</v>
      </c>
      <c r="K32" s="2527">
        <f t="shared" si="18"/>
        <v>56</v>
      </c>
      <c r="L32" s="2525">
        <v>20</v>
      </c>
      <c r="M32" s="2526">
        <v>37</v>
      </c>
      <c r="N32" s="2527">
        <f t="shared" si="19"/>
        <v>57</v>
      </c>
      <c r="O32" s="2525">
        <v>13</v>
      </c>
      <c r="P32" s="2526">
        <v>21</v>
      </c>
      <c r="Q32" s="2527">
        <f t="shared" si="20"/>
        <v>34</v>
      </c>
    </row>
    <row r="33" spans="2:17" ht="14.4" x14ac:dyDescent="0.25">
      <c r="B33" s="2411" t="s">
        <v>71</v>
      </c>
      <c r="C33" s="2525">
        <v>1</v>
      </c>
      <c r="D33" s="2526">
        <v>1</v>
      </c>
      <c r="E33" s="2527">
        <f t="shared" si="0"/>
        <v>2</v>
      </c>
      <c r="F33" s="2525">
        <v>5</v>
      </c>
      <c r="G33" s="2526">
        <v>2</v>
      </c>
      <c r="H33" s="2527">
        <f t="shared" si="17"/>
        <v>7</v>
      </c>
      <c r="I33" s="2525">
        <v>6</v>
      </c>
      <c r="J33" s="2526">
        <v>10</v>
      </c>
      <c r="K33" s="2527">
        <f t="shared" si="18"/>
        <v>16</v>
      </c>
      <c r="L33" s="2525">
        <v>14</v>
      </c>
      <c r="M33" s="2526">
        <v>13</v>
      </c>
      <c r="N33" s="2527">
        <f t="shared" si="19"/>
        <v>27</v>
      </c>
      <c r="O33" s="2525">
        <v>6</v>
      </c>
      <c r="P33" s="2526">
        <v>5</v>
      </c>
      <c r="Q33" s="2527">
        <f t="shared" si="20"/>
        <v>11</v>
      </c>
    </row>
    <row r="34" spans="2:17" ht="14.4" x14ac:dyDescent="0.25">
      <c r="B34" s="2411" t="s">
        <v>56</v>
      </c>
      <c r="C34" s="2525">
        <v>7</v>
      </c>
      <c r="D34" s="2526">
        <v>5</v>
      </c>
      <c r="E34" s="2527">
        <f t="shared" si="0"/>
        <v>12</v>
      </c>
      <c r="F34" s="2525">
        <v>28</v>
      </c>
      <c r="G34" s="2526">
        <v>23</v>
      </c>
      <c r="H34" s="2527">
        <f t="shared" si="17"/>
        <v>51</v>
      </c>
      <c r="I34" s="2525">
        <v>48</v>
      </c>
      <c r="J34" s="2526">
        <v>43</v>
      </c>
      <c r="K34" s="2527">
        <f t="shared" si="18"/>
        <v>91</v>
      </c>
      <c r="L34" s="2525">
        <v>64</v>
      </c>
      <c r="M34" s="2526">
        <v>60</v>
      </c>
      <c r="N34" s="2527">
        <f t="shared" si="19"/>
        <v>124</v>
      </c>
      <c r="O34" s="2525">
        <v>41</v>
      </c>
      <c r="P34" s="2526">
        <v>43</v>
      </c>
      <c r="Q34" s="2527">
        <f t="shared" si="20"/>
        <v>84</v>
      </c>
    </row>
    <row r="35" spans="2:17" ht="14.4" x14ac:dyDescent="0.25">
      <c r="B35" s="2411" t="s">
        <v>74</v>
      </c>
      <c r="C35" s="2525"/>
      <c r="D35" s="2526"/>
      <c r="E35" s="2527">
        <f t="shared" si="0"/>
        <v>0</v>
      </c>
      <c r="F35" s="2525">
        <v>10</v>
      </c>
      <c r="G35" s="2526">
        <v>22</v>
      </c>
      <c r="H35" s="2527">
        <f t="shared" si="17"/>
        <v>32</v>
      </c>
      <c r="I35" s="2525">
        <v>14</v>
      </c>
      <c r="J35" s="2526">
        <v>35</v>
      </c>
      <c r="K35" s="2527">
        <f t="shared" si="18"/>
        <v>49</v>
      </c>
      <c r="L35" s="2525">
        <v>29</v>
      </c>
      <c r="M35" s="2526">
        <v>35</v>
      </c>
      <c r="N35" s="2527">
        <f t="shared" si="19"/>
        <v>64</v>
      </c>
      <c r="O35" s="2525">
        <v>26</v>
      </c>
      <c r="P35" s="2526">
        <v>20</v>
      </c>
      <c r="Q35" s="2527">
        <f t="shared" si="20"/>
        <v>46</v>
      </c>
    </row>
    <row r="36" spans="2:17" ht="14.4" x14ac:dyDescent="0.25">
      <c r="B36" s="2411" t="s">
        <v>75</v>
      </c>
      <c r="C36" s="2525">
        <v>1</v>
      </c>
      <c r="D36" s="2526">
        <v>1</v>
      </c>
      <c r="E36" s="2527">
        <f t="shared" si="0"/>
        <v>2</v>
      </c>
      <c r="F36" s="2525">
        <v>10</v>
      </c>
      <c r="G36" s="2526">
        <v>7</v>
      </c>
      <c r="H36" s="2527">
        <f t="shared" si="17"/>
        <v>17</v>
      </c>
      <c r="I36" s="2525">
        <v>24</v>
      </c>
      <c r="J36" s="2526">
        <v>30</v>
      </c>
      <c r="K36" s="2527">
        <f t="shared" si="18"/>
        <v>54</v>
      </c>
      <c r="L36" s="2525">
        <v>37</v>
      </c>
      <c r="M36" s="2526">
        <v>40</v>
      </c>
      <c r="N36" s="2527">
        <f t="shared" si="19"/>
        <v>77</v>
      </c>
      <c r="O36" s="2525">
        <v>29</v>
      </c>
      <c r="P36" s="2526">
        <v>30</v>
      </c>
      <c r="Q36" s="2527">
        <f t="shared" si="20"/>
        <v>59</v>
      </c>
    </row>
    <row r="37" spans="2:17" ht="14.4" x14ac:dyDescent="0.25">
      <c r="B37" s="2414" t="s">
        <v>59</v>
      </c>
      <c r="C37" s="2528">
        <f>SUM(C28:C36)</f>
        <v>15</v>
      </c>
      <c r="D37" s="2529">
        <f>SUM(D28:D36)</f>
        <v>29</v>
      </c>
      <c r="E37" s="2530">
        <f>SUM(E28:E36)</f>
        <v>44</v>
      </c>
      <c r="F37" s="2528">
        <f t="shared" ref="F37:K37" si="21">SUM(F27:F36)</f>
        <v>100</v>
      </c>
      <c r="G37" s="2529">
        <f t="shared" si="21"/>
        <v>189</v>
      </c>
      <c r="H37" s="2530">
        <f t="shared" si="21"/>
        <v>289</v>
      </c>
      <c r="I37" s="2528">
        <f t="shared" si="21"/>
        <v>218</v>
      </c>
      <c r="J37" s="2529">
        <f t="shared" si="21"/>
        <v>419</v>
      </c>
      <c r="K37" s="2530">
        <f t="shared" si="21"/>
        <v>637</v>
      </c>
      <c r="L37" s="2528">
        <f>SUM(L27:L36)</f>
        <v>314</v>
      </c>
      <c r="M37" s="2529">
        <f>SUM(M27:M36)</f>
        <v>501</v>
      </c>
      <c r="N37" s="2530">
        <f t="shared" ref="N37" si="22">SUM(N27:N36)</f>
        <v>815</v>
      </c>
      <c r="O37" s="2528">
        <f>SUM(O27:O36)</f>
        <v>225</v>
      </c>
      <c r="P37" s="2529">
        <f>SUM(P27:P36)</f>
        <v>339</v>
      </c>
      <c r="Q37" s="2530">
        <f t="shared" ref="Q37" si="23">SUM(Q27:Q36)</f>
        <v>564</v>
      </c>
    </row>
    <row r="38" spans="2:17" ht="14.4" x14ac:dyDescent="0.25">
      <c r="B38" s="2411" t="s">
        <v>60</v>
      </c>
      <c r="C38" s="2525">
        <v>8</v>
      </c>
      <c r="D38" s="2526">
        <v>5</v>
      </c>
      <c r="E38" s="2527">
        <f t="shared" si="0"/>
        <v>13</v>
      </c>
      <c r="F38" s="2525">
        <v>81</v>
      </c>
      <c r="G38" s="2526">
        <v>50</v>
      </c>
      <c r="H38" s="2527">
        <f t="shared" ref="H38:H48" si="24">SUM(F38:G38)</f>
        <v>131</v>
      </c>
      <c r="I38" s="2525">
        <v>241</v>
      </c>
      <c r="J38" s="2526">
        <v>131</v>
      </c>
      <c r="K38" s="2527">
        <f t="shared" ref="K38:K48" si="25">SUM(I38:J38)</f>
        <v>372</v>
      </c>
      <c r="L38" s="2525">
        <v>290</v>
      </c>
      <c r="M38" s="2526">
        <v>144</v>
      </c>
      <c r="N38" s="2527">
        <f t="shared" ref="N38:N48" si="26">SUM(L38:M38)</f>
        <v>434</v>
      </c>
      <c r="O38" s="2525">
        <v>218</v>
      </c>
      <c r="P38" s="2526">
        <v>123</v>
      </c>
      <c r="Q38" s="2527">
        <f t="shared" ref="Q38:Q48" si="27">SUM(O38:P38)</f>
        <v>341</v>
      </c>
    </row>
    <row r="39" spans="2:17" ht="14.4" x14ac:dyDescent="0.25">
      <c r="B39" s="2411" t="s">
        <v>78</v>
      </c>
      <c r="C39" s="2525">
        <v>2</v>
      </c>
      <c r="D39" s="2526"/>
      <c r="E39" s="2527">
        <f t="shared" si="0"/>
        <v>2</v>
      </c>
      <c r="F39" s="2525">
        <v>14</v>
      </c>
      <c r="G39" s="2526">
        <v>8</v>
      </c>
      <c r="H39" s="2527">
        <f t="shared" si="24"/>
        <v>22</v>
      </c>
      <c r="I39" s="2525">
        <v>38</v>
      </c>
      <c r="J39" s="2526">
        <v>16</v>
      </c>
      <c r="K39" s="2527">
        <f t="shared" si="25"/>
        <v>54</v>
      </c>
      <c r="L39" s="2525">
        <v>53</v>
      </c>
      <c r="M39" s="2526">
        <v>21</v>
      </c>
      <c r="N39" s="2527">
        <f t="shared" si="26"/>
        <v>74</v>
      </c>
      <c r="O39" s="2525">
        <v>37</v>
      </c>
      <c r="P39" s="2526">
        <v>14</v>
      </c>
      <c r="Q39" s="2527">
        <f t="shared" si="27"/>
        <v>51</v>
      </c>
    </row>
    <row r="40" spans="2:17" ht="14.4" x14ac:dyDescent="0.25">
      <c r="B40" s="2411" t="s">
        <v>83</v>
      </c>
      <c r="C40" s="2525">
        <v>5</v>
      </c>
      <c r="D40" s="2526">
        <v>3</v>
      </c>
      <c r="E40" s="2527">
        <f t="shared" si="0"/>
        <v>8</v>
      </c>
      <c r="F40" s="2525">
        <v>29</v>
      </c>
      <c r="G40" s="2526">
        <v>26</v>
      </c>
      <c r="H40" s="2527">
        <f t="shared" si="24"/>
        <v>55</v>
      </c>
      <c r="I40" s="2525">
        <v>78</v>
      </c>
      <c r="J40" s="2526">
        <v>68</v>
      </c>
      <c r="K40" s="2527">
        <f t="shared" si="25"/>
        <v>146</v>
      </c>
      <c r="L40" s="2525">
        <v>82</v>
      </c>
      <c r="M40" s="2526">
        <v>80</v>
      </c>
      <c r="N40" s="2527">
        <f t="shared" si="26"/>
        <v>162</v>
      </c>
      <c r="O40" s="2525">
        <v>61</v>
      </c>
      <c r="P40" s="2526">
        <v>65</v>
      </c>
      <c r="Q40" s="2527">
        <f t="shared" si="27"/>
        <v>126</v>
      </c>
    </row>
    <row r="41" spans="2:17" ht="14.4" x14ac:dyDescent="0.25">
      <c r="B41" s="2411" t="s">
        <v>62</v>
      </c>
      <c r="C41" s="2525">
        <v>3</v>
      </c>
      <c r="D41" s="2526">
        <v>2</v>
      </c>
      <c r="E41" s="2527">
        <f t="shared" si="0"/>
        <v>5</v>
      </c>
      <c r="F41" s="2525">
        <v>27</v>
      </c>
      <c r="G41" s="2526">
        <v>28</v>
      </c>
      <c r="H41" s="2527">
        <f t="shared" si="24"/>
        <v>55</v>
      </c>
      <c r="I41" s="2525">
        <v>63</v>
      </c>
      <c r="J41" s="2526">
        <v>53</v>
      </c>
      <c r="K41" s="2527">
        <f t="shared" si="25"/>
        <v>116</v>
      </c>
      <c r="L41" s="2525">
        <v>76</v>
      </c>
      <c r="M41" s="2526">
        <v>65</v>
      </c>
      <c r="N41" s="2527">
        <f t="shared" si="26"/>
        <v>141</v>
      </c>
      <c r="O41" s="2525">
        <v>65</v>
      </c>
      <c r="P41" s="2526">
        <v>46</v>
      </c>
      <c r="Q41" s="2527">
        <f t="shared" si="27"/>
        <v>111</v>
      </c>
    </row>
    <row r="42" spans="2:17" ht="14.4" x14ac:dyDescent="0.25">
      <c r="B42" s="2411" t="s">
        <v>80</v>
      </c>
      <c r="C42" s="2525"/>
      <c r="D42" s="2526"/>
      <c r="E42" s="2527">
        <f t="shared" si="0"/>
        <v>0</v>
      </c>
      <c r="F42" s="2525">
        <v>14</v>
      </c>
      <c r="G42" s="2526">
        <v>22</v>
      </c>
      <c r="H42" s="2527">
        <f t="shared" si="24"/>
        <v>36</v>
      </c>
      <c r="I42" s="2525">
        <v>28</v>
      </c>
      <c r="J42" s="2526">
        <v>46</v>
      </c>
      <c r="K42" s="2527">
        <f t="shared" si="25"/>
        <v>74</v>
      </c>
      <c r="L42" s="2525">
        <v>34</v>
      </c>
      <c r="M42" s="2526">
        <v>50</v>
      </c>
      <c r="N42" s="2527">
        <f t="shared" si="26"/>
        <v>84</v>
      </c>
      <c r="O42" s="2525">
        <v>26</v>
      </c>
      <c r="P42" s="2526">
        <v>39</v>
      </c>
      <c r="Q42" s="2527">
        <f t="shared" si="27"/>
        <v>65</v>
      </c>
    </row>
    <row r="43" spans="2:17" ht="14.4" x14ac:dyDescent="0.25">
      <c r="B43" s="2411" t="s">
        <v>85</v>
      </c>
      <c r="C43" s="2525">
        <v>2</v>
      </c>
      <c r="D43" s="2526"/>
      <c r="E43" s="2527">
        <f t="shared" si="0"/>
        <v>2</v>
      </c>
      <c r="F43" s="2525">
        <v>9</v>
      </c>
      <c r="G43" s="2526">
        <v>12</v>
      </c>
      <c r="H43" s="2527">
        <f t="shared" si="24"/>
        <v>21</v>
      </c>
      <c r="I43" s="2525">
        <v>28</v>
      </c>
      <c r="J43" s="2526">
        <v>19</v>
      </c>
      <c r="K43" s="2527">
        <f t="shared" si="25"/>
        <v>47</v>
      </c>
      <c r="L43" s="2525">
        <v>25</v>
      </c>
      <c r="M43" s="2526">
        <v>18</v>
      </c>
      <c r="N43" s="2527">
        <f t="shared" si="26"/>
        <v>43</v>
      </c>
      <c r="O43" s="2525">
        <v>10</v>
      </c>
      <c r="P43" s="2526">
        <v>17</v>
      </c>
      <c r="Q43" s="2527">
        <f t="shared" si="27"/>
        <v>27</v>
      </c>
    </row>
    <row r="44" spans="2:17" ht="14.4" x14ac:dyDescent="0.25">
      <c r="B44" s="2411" t="s">
        <v>81</v>
      </c>
      <c r="C44" s="2525">
        <v>0</v>
      </c>
      <c r="D44" s="2526">
        <v>2</v>
      </c>
      <c r="E44" s="2527">
        <f t="shared" si="0"/>
        <v>2</v>
      </c>
      <c r="F44" s="2525">
        <v>15</v>
      </c>
      <c r="G44" s="2526">
        <v>20</v>
      </c>
      <c r="H44" s="2527">
        <f t="shared" si="24"/>
        <v>35</v>
      </c>
      <c r="I44" s="2525">
        <v>35</v>
      </c>
      <c r="J44" s="2526">
        <v>46</v>
      </c>
      <c r="K44" s="2527">
        <f t="shared" si="25"/>
        <v>81</v>
      </c>
      <c r="L44" s="2525">
        <v>46</v>
      </c>
      <c r="M44" s="2526">
        <v>57</v>
      </c>
      <c r="N44" s="2527">
        <f t="shared" si="26"/>
        <v>103</v>
      </c>
      <c r="O44" s="2525">
        <v>33</v>
      </c>
      <c r="P44" s="2526">
        <v>43</v>
      </c>
      <c r="Q44" s="2527">
        <f t="shared" si="27"/>
        <v>76</v>
      </c>
    </row>
    <row r="45" spans="2:17" ht="14.4" x14ac:dyDescent="0.25">
      <c r="B45" s="2411" t="s">
        <v>79</v>
      </c>
      <c r="C45" s="2525">
        <v>2</v>
      </c>
      <c r="D45" s="2526"/>
      <c r="E45" s="2527">
        <f t="shared" si="0"/>
        <v>2</v>
      </c>
      <c r="F45" s="2525">
        <v>33</v>
      </c>
      <c r="G45" s="2526">
        <v>9</v>
      </c>
      <c r="H45" s="2527">
        <f t="shared" si="24"/>
        <v>42</v>
      </c>
      <c r="I45" s="2525">
        <v>75</v>
      </c>
      <c r="J45" s="2526">
        <v>25</v>
      </c>
      <c r="K45" s="2527">
        <f t="shared" si="25"/>
        <v>100</v>
      </c>
      <c r="L45" s="2525">
        <v>87</v>
      </c>
      <c r="M45" s="2526">
        <v>27</v>
      </c>
      <c r="N45" s="2527">
        <f t="shared" si="26"/>
        <v>114</v>
      </c>
      <c r="O45" s="2525">
        <v>63</v>
      </c>
      <c r="P45" s="2526">
        <v>28</v>
      </c>
      <c r="Q45" s="2527">
        <f t="shared" si="27"/>
        <v>91</v>
      </c>
    </row>
    <row r="46" spans="2:17" ht="14.4" x14ac:dyDescent="0.25">
      <c r="B46" s="2411" t="s">
        <v>82</v>
      </c>
      <c r="C46" s="2525">
        <v>3</v>
      </c>
      <c r="D46" s="2526"/>
      <c r="E46" s="2527">
        <f t="shared" si="0"/>
        <v>3</v>
      </c>
      <c r="F46" s="2525">
        <v>23</v>
      </c>
      <c r="G46" s="2526">
        <v>7</v>
      </c>
      <c r="H46" s="2527">
        <f t="shared" si="24"/>
        <v>30</v>
      </c>
      <c r="I46" s="2525">
        <v>49</v>
      </c>
      <c r="J46" s="2526">
        <v>16</v>
      </c>
      <c r="K46" s="2527">
        <f t="shared" si="25"/>
        <v>65</v>
      </c>
      <c r="L46" s="2525">
        <v>61</v>
      </c>
      <c r="M46" s="2526">
        <v>20</v>
      </c>
      <c r="N46" s="2527">
        <f t="shared" si="26"/>
        <v>81</v>
      </c>
      <c r="O46" s="2525">
        <v>39</v>
      </c>
      <c r="P46" s="2526">
        <v>14</v>
      </c>
      <c r="Q46" s="2527">
        <f t="shared" si="27"/>
        <v>53</v>
      </c>
    </row>
    <row r="47" spans="2:17" ht="14.4" x14ac:dyDescent="0.25">
      <c r="B47" s="2411" t="s">
        <v>84</v>
      </c>
      <c r="C47" s="2525">
        <v>9</v>
      </c>
      <c r="D47" s="2526">
        <v>1</v>
      </c>
      <c r="E47" s="2527">
        <f t="shared" si="0"/>
        <v>10</v>
      </c>
      <c r="F47" s="2525">
        <v>69</v>
      </c>
      <c r="G47" s="2526">
        <v>14</v>
      </c>
      <c r="H47" s="2527">
        <f t="shared" si="24"/>
        <v>83</v>
      </c>
      <c r="I47" s="2525">
        <v>177</v>
      </c>
      <c r="J47" s="2526">
        <v>53</v>
      </c>
      <c r="K47" s="2527">
        <f t="shared" si="25"/>
        <v>230</v>
      </c>
      <c r="L47" s="2525">
        <v>210</v>
      </c>
      <c r="M47" s="2526">
        <v>68</v>
      </c>
      <c r="N47" s="2527">
        <f t="shared" si="26"/>
        <v>278</v>
      </c>
      <c r="O47" s="2525">
        <v>184</v>
      </c>
      <c r="P47" s="2526">
        <v>59</v>
      </c>
      <c r="Q47" s="2527">
        <f t="shared" si="27"/>
        <v>243</v>
      </c>
    </row>
    <row r="48" spans="2:17" ht="14.4" x14ac:dyDescent="0.25">
      <c r="B48" s="2411" t="s">
        <v>63</v>
      </c>
      <c r="C48" s="2525">
        <v>6</v>
      </c>
      <c r="D48" s="2526">
        <v>2</v>
      </c>
      <c r="E48" s="2527">
        <f t="shared" si="0"/>
        <v>8</v>
      </c>
      <c r="F48" s="2525">
        <v>35</v>
      </c>
      <c r="G48" s="2526">
        <v>24</v>
      </c>
      <c r="H48" s="2527">
        <f t="shared" si="24"/>
        <v>59</v>
      </c>
      <c r="I48" s="2525">
        <v>75</v>
      </c>
      <c r="J48" s="2526">
        <v>36</v>
      </c>
      <c r="K48" s="2527">
        <f t="shared" si="25"/>
        <v>111</v>
      </c>
      <c r="L48" s="2525">
        <v>80</v>
      </c>
      <c r="M48" s="2526">
        <v>38</v>
      </c>
      <c r="N48" s="2527">
        <f t="shared" si="26"/>
        <v>118</v>
      </c>
      <c r="O48" s="2525">
        <v>57</v>
      </c>
      <c r="P48" s="2526">
        <v>29</v>
      </c>
      <c r="Q48" s="2527">
        <f t="shared" si="27"/>
        <v>86</v>
      </c>
    </row>
    <row r="49" spans="2:17" ht="14.4" x14ac:dyDescent="0.25">
      <c r="B49" s="2414" t="s">
        <v>64</v>
      </c>
      <c r="C49" s="2528">
        <f t="shared" ref="C49:K49" si="28">SUM(C38:C48)</f>
        <v>40</v>
      </c>
      <c r="D49" s="2529">
        <f t="shared" si="28"/>
        <v>15</v>
      </c>
      <c r="E49" s="2530">
        <f t="shared" si="28"/>
        <v>55</v>
      </c>
      <c r="F49" s="2528">
        <f t="shared" si="28"/>
        <v>349</v>
      </c>
      <c r="G49" s="2529">
        <f t="shared" si="28"/>
        <v>220</v>
      </c>
      <c r="H49" s="2530">
        <f t="shared" si="28"/>
        <v>569</v>
      </c>
      <c r="I49" s="2528">
        <f t="shared" si="28"/>
        <v>887</v>
      </c>
      <c r="J49" s="2529">
        <f t="shared" si="28"/>
        <v>509</v>
      </c>
      <c r="K49" s="2530">
        <f t="shared" si="28"/>
        <v>1396</v>
      </c>
      <c r="L49" s="2528">
        <f>SUM(L38:L48)</f>
        <v>1044</v>
      </c>
      <c r="M49" s="2529">
        <f>SUM(M38:M48)</f>
        <v>588</v>
      </c>
      <c r="N49" s="2530">
        <f t="shared" ref="N49" si="29">SUM(N38:N48)</f>
        <v>1632</v>
      </c>
      <c r="O49" s="2528">
        <f>SUM(O38:O48)</f>
        <v>793</v>
      </c>
      <c r="P49" s="2529">
        <f>SUM(P38:P48)</f>
        <v>477</v>
      </c>
      <c r="Q49" s="2530">
        <f t="shared" ref="Q49" si="30">SUM(Q38:Q48)</f>
        <v>1270</v>
      </c>
    </row>
    <row r="50" spans="2:17" ht="14.4" x14ac:dyDescent="0.25">
      <c r="B50" s="2411" t="s">
        <v>86</v>
      </c>
      <c r="C50" s="2525">
        <v>2</v>
      </c>
      <c r="D50" s="2526">
        <v>2</v>
      </c>
      <c r="E50" s="2527">
        <f t="shared" si="0"/>
        <v>4</v>
      </c>
      <c r="F50" s="2525">
        <v>17</v>
      </c>
      <c r="G50" s="2526">
        <v>16</v>
      </c>
      <c r="H50" s="2527">
        <f t="shared" ref="H50:H55" si="31">SUM(F50:G50)</f>
        <v>33</v>
      </c>
      <c r="I50" s="2525">
        <v>59</v>
      </c>
      <c r="J50" s="2526">
        <v>34</v>
      </c>
      <c r="K50" s="2527">
        <f t="shared" ref="K50:K55" si="32">SUM(I50:J50)</f>
        <v>93</v>
      </c>
      <c r="L50" s="2525">
        <v>98</v>
      </c>
      <c r="M50" s="2526">
        <v>48</v>
      </c>
      <c r="N50" s="2527">
        <f t="shared" ref="N50:N55" si="33">SUM(L50:M50)</f>
        <v>146</v>
      </c>
      <c r="O50" s="2525">
        <v>87</v>
      </c>
      <c r="P50" s="2526">
        <v>41</v>
      </c>
      <c r="Q50" s="2527">
        <f t="shared" ref="Q50:Q55" si="34">SUM(O50:P50)</f>
        <v>128</v>
      </c>
    </row>
    <row r="51" spans="2:17" ht="14.4" x14ac:dyDescent="0.25">
      <c r="B51" s="2411" t="s">
        <v>87</v>
      </c>
      <c r="C51" s="2525">
        <v>4</v>
      </c>
      <c r="D51" s="2526">
        <v>1</v>
      </c>
      <c r="E51" s="2527">
        <f t="shared" si="0"/>
        <v>5</v>
      </c>
      <c r="F51" s="2525">
        <v>33</v>
      </c>
      <c r="G51" s="2526">
        <v>24</v>
      </c>
      <c r="H51" s="2527">
        <f t="shared" si="31"/>
        <v>57</v>
      </c>
      <c r="I51" s="2525">
        <v>60</v>
      </c>
      <c r="J51" s="2526">
        <v>26</v>
      </c>
      <c r="K51" s="2527">
        <f t="shared" si="32"/>
        <v>86</v>
      </c>
      <c r="L51" s="2525">
        <v>89</v>
      </c>
      <c r="M51" s="2526">
        <v>49</v>
      </c>
      <c r="N51" s="2527">
        <f t="shared" si="33"/>
        <v>138</v>
      </c>
      <c r="O51" s="2525">
        <v>89</v>
      </c>
      <c r="P51" s="2526">
        <v>43</v>
      </c>
      <c r="Q51" s="2527">
        <f t="shared" si="34"/>
        <v>132</v>
      </c>
    </row>
    <row r="52" spans="2:17" ht="14.4" x14ac:dyDescent="0.25">
      <c r="B52" s="2411" t="s">
        <v>88</v>
      </c>
      <c r="C52" s="2525">
        <v>2</v>
      </c>
      <c r="D52" s="2526">
        <v>1</v>
      </c>
      <c r="E52" s="2527">
        <f t="shared" si="0"/>
        <v>3</v>
      </c>
      <c r="F52" s="2525">
        <v>20</v>
      </c>
      <c r="G52" s="2526">
        <v>4</v>
      </c>
      <c r="H52" s="2527">
        <f t="shared" si="31"/>
        <v>24</v>
      </c>
      <c r="I52" s="2525">
        <v>49</v>
      </c>
      <c r="J52" s="2526">
        <v>12</v>
      </c>
      <c r="K52" s="2527">
        <f t="shared" si="32"/>
        <v>61</v>
      </c>
      <c r="L52" s="2525">
        <v>59</v>
      </c>
      <c r="M52" s="2526">
        <v>20</v>
      </c>
      <c r="N52" s="2527">
        <f t="shared" si="33"/>
        <v>79</v>
      </c>
      <c r="O52" s="2525">
        <v>48</v>
      </c>
      <c r="P52" s="2526">
        <v>23</v>
      </c>
      <c r="Q52" s="2527">
        <f t="shared" si="34"/>
        <v>71</v>
      </c>
    </row>
    <row r="53" spans="2:17" ht="14.4" x14ac:dyDescent="0.25">
      <c r="B53" s="2411" t="s">
        <v>90</v>
      </c>
      <c r="C53" s="2525">
        <v>6</v>
      </c>
      <c r="D53" s="2526">
        <v>6</v>
      </c>
      <c r="E53" s="2527">
        <f t="shared" si="0"/>
        <v>12</v>
      </c>
      <c r="F53" s="2525">
        <v>57</v>
      </c>
      <c r="G53" s="2526">
        <v>22</v>
      </c>
      <c r="H53" s="2527">
        <f t="shared" si="31"/>
        <v>79</v>
      </c>
      <c r="I53" s="2525">
        <v>104</v>
      </c>
      <c r="J53" s="2526">
        <v>51</v>
      </c>
      <c r="K53" s="2527">
        <f t="shared" si="32"/>
        <v>155</v>
      </c>
      <c r="L53" s="2525">
        <v>152</v>
      </c>
      <c r="M53" s="2526">
        <v>65</v>
      </c>
      <c r="N53" s="2527">
        <f t="shared" si="33"/>
        <v>217</v>
      </c>
      <c r="O53" s="2525">
        <v>128</v>
      </c>
      <c r="P53" s="2526">
        <v>44</v>
      </c>
      <c r="Q53" s="2527">
        <f t="shared" si="34"/>
        <v>172</v>
      </c>
    </row>
    <row r="54" spans="2:17" ht="14.4" x14ac:dyDescent="0.25">
      <c r="B54" s="2411" t="s">
        <v>91</v>
      </c>
      <c r="C54" s="2525">
        <v>7</v>
      </c>
      <c r="D54" s="2526">
        <v>2</v>
      </c>
      <c r="E54" s="2527">
        <f t="shared" si="0"/>
        <v>9</v>
      </c>
      <c r="F54" s="2525">
        <v>42</v>
      </c>
      <c r="G54" s="2526">
        <v>19</v>
      </c>
      <c r="H54" s="2527">
        <f t="shared" si="31"/>
        <v>61</v>
      </c>
      <c r="I54" s="2525">
        <v>74</v>
      </c>
      <c r="J54" s="2526">
        <v>31</v>
      </c>
      <c r="K54" s="2527">
        <f t="shared" si="32"/>
        <v>105</v>
      </c>
      <c r="L54" s="2525">
        <v>113</v>
      </c>
      <c r="M54" s="2526">
        <v>40</v>
      </c>
      <c r="N54" s="2527">
        <f t="shared" si="33"/>
        <v>153</v>
      </c>
      <c r="O54" s="2525">
        <v>78</v>
      </c>
      <c r="P54" s="2526">
        <v>32</v>
      </c>
      <c r="Q54" s="2527">
        <f t="shared" si="34"/>
        <v>110</v>
      </c>
    </row>
    <row r="55" spans="2:17" ht="14.4" x14ac:dyDescent="0.25">
      <c r="B55" s="2411" t="s">
        <v>89</v>
      </c>
      <c r="C55" s="2525">
        <v>2</v>
      </c>
      <c r="D55" s="2526"/>
      <c r="E55" s="2527">
        <f t="shared" si="0"/>
        <v>2</v>
      </c>
      <c r="F55" s="2525">
        <v>11</v>
      </c>
      <c r="G55" s="2526">
        <v>13</v>
      </c>
      <c r="H55" s="2527">
        <f t="shared" si="31"/>
        <v>24</v>
      </c>
      <c r="I55" s="2525">
        <v>30</v>
      </c>
      <c r="J55" s="2526">
        <v>21</v>
      </c>
      <c r="K55" s="2527">
        <f t="shared" si="32"/>
        <v>51</v>
      </c>
      <c r="L55" s="2525">
        <v>41</v>
      </c>
      <c r="M55" s="2526">
        <v>28</v>
      </c>
      <c r="N55" s="2527">
        <f t="shared" si="33"/>
        <v>69</v>
      </c>
      <c r="O55" s="2525">
        <v>24</v>
      </c>
      <c r="P55" s="2526">
        <v>19</v>
      </c>
      <c r="Q55" s="2527">
        <f t="shared" si="34"/>
        <v>43</v>
      </c>
    </row>
    <row r="56" spans="2:17" ht="14.4" x14ac:dyDescent="0.25">
      <c r="B56" s="2418" t="s">
        <v>92</v>
      </c>
      <c r="C56" s="2528">
        <f t="shared" ref="C56:K56" si="35">SUM(C50:C55)</f>
        <v>23</v>
      </c>
      <c r="D56" s="2529">
        <f t="shared" si="35"/>
        <v>12</v>
      </c>
      <c r="E56" s="2530">
        <f t="shared" si="35"/>
        <v>35</v>
      </c>
      <c r="F56" s="2528">
        <f t="shared" si="35"/>
        <v>180</v>
      </c>
      <c r="G56" s="2529">
        <f t="shared" si="35"/>
        <v>98</v>
      </c>
      <c r="H56" s="2530">
        <f t="shared" si="35"/>
        <v>278</v>
      </c>
      <c r="I56" s="2528">
        <f t="shared" si="35"/>
        <v>376</v>
      </c>
      <c r="J56" s="2529">
        <f t="shared" si="35"/>
        <v>175</v>
      </c>
      <c r="K56" s="2530">
        <f t="shared" si="35"/>
        <v>551</v>
      </c>
      <c r="L56" s="2528">
        <f>SUM(L50:L55)</f>
        <v>552</v>
      </c>
      <c r="M56" s="2529">
        <f>SUM(M50:M55)</f>
        <v>250</v>
      </c>
      <c r="N56" s="2530">
        <f t="shared" ref="N56" si="36">SUM(N50:N55)</f>
        <v>802</v>
      </c>
      <c r="O56" s="2528">
        <f>SUM(O50:O55)</f>
        <v>454</v>
      </c>
      <c r="P56" s="2529">
        <f>SUM(P50:P55)</f>
        <v>202</v>
      </c>
      <c r="Q56" s="2530">
        <f t="shared" ref="Q56" si="37">SUM(Q50:Q55)</f>
        <v>656</v>
      </c>
    </row>
    <row r="57" spans="2:17" ht="14.4" x14ac:dyDescent="0.25">
      <c r="B57" s="2431" t="s">
        <v>93</v>
      </c>
      <c r="C57" s="2534">
        <f t="shared" ref="C57:K57" si="38">SUM(C56,C49,C37)</f>
        <v>78</v>
      </c>
      <c r="D57" s="2535">
        <f t="shared" si="38"/>
        <v>56</v>
      </c>
      <c r="E57" s="2536">
        <f t="shared" si="38"/>
        <v>134</v>
      </c>
      <c r="F57" s="2534">
        <f t="shared" si="38"/>
        <v>629</v>
      </c>
      <c r="G57" s="2535">
        <f t="shared" si="38"/>
        <v>507</v>
      </c>
      <c r="H57" s="2536">
        <f t="shared" si="38"/>
        <v>1136</v>
      </c>
      <c r="I57" s="2534">
        <f t="shared" si="38"/>
        <v>1481</v>
      </c>
      <c r="J57" s="2535">
        <f t="shared" si="38"/>
        <v>1103</v>
      </c>
      <c r="K57" s="2536">
        <f t="shared" si="38"/>
        <v>2584</v>
      </c>
      <c r="L57" s="2534">
        <f t="shared" ref="L57:N57" si="39">SUM(L56,L49,L37)</f>
        <v>1910</v>
      </c>
      <c r="M57" s="2535">
        <f t="shared" si="39"/>
        <v>1339</v>
      </c>
      <c r="N57" s="2536">
        <f t="shared" si="39"/>
        <v>3249</v>
      </c>
      <c r="O57" s="2534">
        <f t="shared" ref="O57:Q57" si="40">SUM(O56,O49,O37)</f>
        <v>1472</v>
      </c>
      <c r="P57" s="2535">
        <f t="shared" si="40"/>
        <v>1018</v>
      </c>
      <c r="Q57" s="2536">
        <f t="shared" si="40"/>
        <v>2490</v>
      </c>
    </row>
    <row r="58" spans="2:17" ht="14.4" x14ac:dyDescent="0.25">
      <c r="B58" s="2430" t="s">
        <v>60</v>
      </c>
      <c r="C58" s="2537">
        <v>6</v>
      </c>
      <c r="D58" s="2538">
        <v>5</v>
      </c>
      <c r="E58" s="2539">
        <f t="shared" si="0"/>
        <v>11</v>
      </c>
      <c r="F58" s="2537">
        <v>67</v>
      </c>
      <c r="G58" s="2538">
        <v>39</v>
      </c>
      <c r="H58" s="2539">
        <f t="shared" ref="H58:H63" si="41">SUM(F58:G58)</f>
        <v>106</v>
      </c>
      <c r="I58" s="2537">
        <v>169</v>
      </c>
      <c r="J58" s="2538">
        <v>98</v>
      </c>
      <c r="K58" s="2539">
        <f t="shared" ref="K58:K63" si="42">SUM(I58:J58)</f>
        <v>267</v>
      </c>
      <c r="L58" s="2537">
        <v>236</v>
      </c>
      <c r="M58" s="2538">
        <v>160</v>
      </c>
      <c r="N58" s="2539">
        <f t="shared" ref="N58:N63" si="43">SUM(L58:M58)</f>
        <v>396</v>
      </c>
      <c r="O58" s="2537">
        <v>196</v>
      </c>
      <c r="P58" s="2538">
        <v>138</v>
      </c>
      <c r="Q58" s="2539">
        <f t="shared" ref="Q58:Q63" si="44">SUM(O58:P58)</f>
        <v>334</v>
      </c>
    </row>
    <row r="59" spans="2:17" ht="14.4" x14ac:dyDescent="0.25">
      <c r="B59" s="2411" t="s">
        <v>94</v>
      </c>
      <c r="C59" s="2525">
        <v>7</v>
      </c>
      <c r="D59" s="2526">
        <v>4</v>
      </c>
      <c r="E59" s="2527">
        <f t="shared" si="0"/>
        <v>11</v>
      </c>
      <c r="F59" s="2525">
        <v>65</v>
      </c>
      <c r="G59" s="2526">
        <v>52</v>
      </c>
      <c r="H59" s="2527">
        <f t="shared" si="41"/>
        <v>117</v>
      </c>
      <c r="I59" s="2525">
        <v>176</v>
      </c>
      <c r="J59" s="2526">
        <v>121</v>
      </c>
      <c r="K59" s="2527">
        <f t="shared" si="42"/>
        <v>297</v>
      </c>
      <c r="L59" s="2525">
        <v>278</v>
      </c>
      <c r="M59" s="2526">
        <v>185</v>
      </c>
      <c r="N59" s="2527">
        <f t="shared" si="43"/>
        <v>463</v>
      </c>
      <c r="O59" s="2525">
        <v>245</v>
      </c>
      <c r="P59" s="2526">
        <v>172</v>
      </c>
      <c r="Q59" s="2527">
        <f t="shared" si="44"/>
        <v>417</v>
      </c>
    </row>
    <row r="60" spans="2:17" ht="14.4" x14ac:dyDescent="0.25">
      <c r="B60" s="2411" t="s">
        <v>62</v>
      </c>
      <c r="C60" s="2525"/>
      <c r="D60" s="2526">
        <v>6</v>
      </c>
      <c r="E60" s="2527">
        <f t="shared" si="0"/>
        <v>6</v>
      </c>
      <c r="F60" s="2525">
        <v>39</v>
      </c>
      <c r="G60" s="2526">
        <v>63</v>
      </c>
      <c r="H60" s="2527">
        <f t="shared" si="41"/>
        <v>102</v>
      </c>
      <c r="I60" s="2525">
        <v>85</v>
      </c>
      <c r="J60" s="2526">
        <v>113</v>
      </c>
      <c r="K60" s="2527">
        <f t="shared" si="42"/>
        <v>198</v>
      </c>
      <c r="L60" s="2525">
        <v>136</v>
      </c>
      <c r="M60" s="2526">
        <v>149</v>
      </c>
      <c r="N60" s="2527">
        <f t="shared" si="43"/>
        <v>285</v>
      </c>
      <c r="O60" s="2525">
        <v>136</v>
      </c>
      <c r="P60" s="2526">
        <v>119</v>
      </c>
      <c r="Q60" s="2527">
        <f t="shared" si="44"/>
        <v>255</v>
      </c>
    </row>
    <row r="61" spans="2:17" ht="14.4" x14ac:dyDescent="0.25">
      <c r="B61" s="2411" t="s">
        <v>96</v>
      </c>
      <c r="C61" s="2525">
        <v>6</v>
      </c>
      <c r="D61" s="2526">
        <v>4</v>
      </c>
      <c r="E61" s="2527">
        <f t="shared" si="0"/>
        <v>10</v>
      </c>
      <c r="F61" s="2525">
        <v>41</v>
      </c>
      <c r="G61" s="2526">
        <v>27</v>
      </c>
      <c r="H61" s="2527">
        <f t="shared" si="41"/>
        <v>68</v>
      </c>
      <c r="I61" s="2525">
        <v>71</v>
      </c>
      <c r="J61" s="2526">
        <v>58</v>
      </c>
      <c r="K61" s="2527">
        <f t="shared" si="42"/>
        <v>129</v>
      </c>
      <c r="L61" s="2525">
        <v>106</v>
      </c>
      <c r="M61" s="2526">
        <v>84</v>
      </c>
      <c r="N61" s="2527">
        <f t="shared" si="43"/>
        <v>190</v>
      </c>
      <c r="O61" s="2525">
        <v>88</v>
      </c>
      <c r="P61" s="2526">
        <v>74</v>
      </c>
      <c r="Q61" s="2527">
        <f t="shared" si="44"/>
        <v>162</v>
      </c>
    </row>
    <row r="62" spans="2:17" ht="14.4" x14ac:dyDescent="0.25">
      <c r="B62" s="2411" t="s">
        <v>250</v>
      </c>
      <c r="C62" s="2525">
        <v>12</v>
      </c>
      <c r="D62" s="2526">
        <v>4</v>
      </c>
      <c r="E62" s="2527">
        <f t="shared" si="0"/>
        <v>16</v>
      </c>
      <c r="F62" s="2525">
        <v>140</v>
      </c>
      <c r="G62" s="2526">
        <v>65</v>
      </c>
      <c r="H62" s="2527">
        <f t="shared" si="41"/>
        <v>205</v>
      </c>
      <c r="I62" s="2525">
        <v>391</v>
      </c>
      <c r="J62" s="2526">
        <v>139</v>
      </c>
      <c r="K62" s="2527">
        <f t="shared" si="42"/>
        <v>530</v>
      </c>
      <c r="L62" s="2525">
        <v>489</v>
      </c>
      <c r="M62" s="2526">
        <v>173</v>
      </c>
      <c r="N62" s="2527">
        <f t="shared" si="43"/>
        <v>662</v>
      </c>
      <c r="O62" s="2525">
        <v>434</v>
      </c>
      <c r="P62" s="2526">
        <v>158</v>
      </c>
      <c r="Q62" s="2527">
        <f t="shared" si="44"/>
        <v>592</v>
      </c>
    </row>
    <row r="63" spans="2:17" ht="14.4" x14ac:dyDescent="0.25">
      <c r="B63" s="2411" t="s">
        <v>63</v>
      </c>
      <c r="C63" s="2525">
        <v>15</v>
      </c>
      <c r="D63" s="2526">
        <v>5</v>
      </c>
      <c r="E63" s="2527">
        <f t="shared" si="0"/>
        <v>20</v>
      </c>
      <c r="F63" s="2525">
        <v>79</v>
      </c>
      <c r="G63" s="2526">
        <v>44</v>
      </c>
      <c r="H63" s="2527">
        <f t="shared" si="41"/>
        <v>123</v>
      </c>
      <c r="I63" s="2525">
        <v>179</v>
      </c>
      <c r="J63" s="2526">
        <v>75</v>
      </c>
      <c r="K63" s="2527">
        <f t="shared" si="42"/>
        <v>254</v>
      </c>
      <c r="L63" s="2525">
        <v>229</v>
      </c>
      <c r="M63" s="2526">
        <v>104</v>
      </c>
      <c r="N63" s="2527">
        <f t="shared" si="43"/>
        <v>333</v>
      </c>
      <c r="O63" s="2525">
        <v>199</v>
      </c>
      <c r="P63" s="2526">
        <v>79</v>
      </c>
      <c r="Q63" s="2527">
        <f t="shared" si="44"/>
        <v>278</v>
      </c>
    </row>
    <row r="64" spans="2:17" ht="14.4" x14ac:dyDescent="0.25">
      <c r="B64" s="2414" t="s">
        <v>64</v>
      </c>
      <c r="C64" s="2528">
        <f t="shared" ref="C64:K64" si="45">SUM(C58:C63)</f>
        <v>46</v>
      </c>
      <c r="D64" s="2529">
        <f t="shared" si="45"/>
        <v>28</v>
      </c>
      <c r="E64" s="2530">
        <f t="shared" si="45"/>
        <v>74</v>
      </c>
      <c r="F64" s="2528">
        <f t="shared" si="45"/>
        <v>431</v>
      </c>
      <c r="G64" s="2529">
        <f t="shared" si="45"/>
        <v>290</v>
      </c>
      <c r="H64" s="2530">
        <f t="shared" si="45"/>
        <v>721</v>
      </c>
      <c r="I64" s="2528">
        <f t="shared" si="45"/>
        <v>1071</v>
      </c>
      <c r="J64" s="2529">
        <f t="shared" si="45"/>
        <v>604</v>
      </c>
      <c r="K64" s="2530">
        <f t="shared" si="45"/>
        <v>1675</v>
      </c>
      <c r="L64" s="2528">
        <f>SUM(L58:L63)</f>
        <v>1474</v>
      </c>
      <c r="M64" s="2529">
        <f>SUM(M58:M63)</f>
        <v>855</v>
      </c>
      <c r="N64" s="2530">
        <f t="shared" ref="N64" si="46">SUM(N58:N63)</f>
        <v>2329</v>
      </c>
      <c r="O64" s="2528">
        <f>SUM(O58:O63)</f>
        <v>1298</v>
      </c>
      <c r="P64" s="2529">
        <f>SUM(P58:P63)</f>
        <v>740</v>
      </c>
      <c r="Q64" s="2530">
        <f t="shared" ref="Q64" si="47">SUM(Q58:Q63)</f>
        <v>2038</v>
      </c>
    </row>
    <row r="65" spans="2:17" ht="14.4" x14ac:dyDescent="0.25">
      <c r="B65" s="2411" t="s">
        <v>101</v>
      </c>
      <c r="C65" s="2525">
        <v>8</v>
      </c>
      <c r="D65" s="2526"/>
      <c r="E65" s="2527">
        <f t="shared" si="0"/>
        <v>8</v>
      </c>
      <c r="F65" s="2525">
        <v>70</v>
      </c>
      <c r="G65" s="2526">
        <v>47</v>
      </c>
      <c r="H65" s="2527">
        <f t="shared" ref="H65:H70" si="48">SUM(F65:G65)</f>
        <v>117</v>
      </c>
      <c r="I65" s="2525">
        <v>130</v>
      </c>
      <c r="J65" s="2526">
        <v>64</v>
      </c>
      <c r="K65" s="2527">
        <f t="shared" ref="K65:K72" si="49">SUM(I65:J65)</f>
        <v>194</v>
      </c>
      <c r="L65" s="2525">
        <v>166</v>
      </c>
      <c r="M65" s="2526">
        <v>91</v>
      </c>
      <c r="N65" s="2527">
        <f t="shared" ref="N65:N72" si="50">SUM(L65:M65)</f>
        <v>257</v>
      </c>
      <c r="O65" s="2525">
        <v>156</v>
      </c>
      <c r="P65" s="2526">
        <v>76</v>
      </c>
      <c r="Q65" s="2527">
        <f t="shared" ref="Q65:Q72" si="51">SUM(O65:P65)</f>
        <v>232</v>
      </c>
    </row>
    <row r="66" spans="2:17" ht="14.4" x14ac:dyDescent="0.25">
      <c r="B66" s="2411" t="s">
        <v>86</v>
      </c>
      <c r="C66" s="2525">
        <v>11</v>
      </c>
      <c r="D66" s="2526">
        <v>8</v>
      </c>
      <c r="E66" s="2527">
        <f t="shared" si="0"/>
        <v>19</v>
      </c>
      <c r="F66" s="2525">
        <v>81</v>
      </c>
      <c r="G66" s="2526">
        <v>45</v>
      </c>
      <c r="H66" s="2527">
        <f t="shared" si="48"/>
        <v>126</v>
      </c>
      <c r="I66" s="2525">
        <v>168</v>
      </c>
      <c r="J66" s="2526">
        <v>80</v>
      </c>
      <c r="K66" s="2527">
        <f t="shared" si="49"/>
        <v>248</v>
      </c>
      <c r="L66" s="2525">
        <v>257</v>
      </c>
      <c r="M66" s="2526">
        <v>105</v>
      </c>
      <c r="N66" s="2527">
        <f t="shared" si="50"/>
        <v>362</v>
      </c>
      <c r="O66" s="2525">
        <v>237</v>
      </c>
      <c r="P66" s="2526">
        <v>93</v>
      </c>
      <c r="Q66" s="2527">
        <f t="shared" si="51"/>
        <v>330</v>
      </c>
    </row>
    <row r="67" spans="2:17" ht="14.4" x14ac:dyDescent="0.25">
      <c r="B67" s="2411" t="s">
        <v>97</v>
      </c>
      <c r="C67" s="2525">
        <v>14</v>
      </c>
      <c r="D67" s="2526">
        <v>1</v>
      </c>
      <c r="E67" s="2527">
        <f t="shared" si="0"/>
        <v>15</v>
      </c>
      <c r="F67" s="2525">
        <v>103</v>
      </c>
      <c r="G67" s="2526">
        <v>18</v>
      </c>
      <c r="H67" s="2527">
        <f t="shared" si="48"/>
        <v>121</v>
      </c>
      <c r="I67" s="2525">
        <v>216</v>
      </c>
      <c r="J67" s="2526">
        <v>38</v>
      </c>
      <c r="K67" s="2527">
        <f t="shared" si="49"/>
        <v>254</v>
      </c>
      <c r="L67" s="2525">
        <v>256</v>
      </c>
      <c r="M67" s="2526">
        <v>51</v>
      </c>
      <c r="N67" s="2527">
        <f t="shared" si="50"/>
        <v>307</v>
      </c>
      <c r="O67" s="2525">
        <v>252</v>
      </c>
      <c r="P67" s="2526">
        <v>52</v>
      </c>
      <c r="Q67" s="2527">
        <f t="shared" si="51"/>
        <v>304</v>
      </c>
    </row>
    <row r="68" spans="2:17" ht="14.4" x14ac:dyDescent="0.25">
      <c r="B68" s="2411" t="s">
        <v>98</v>
      </c>
      <c r="C68" s="2525">
        <v>17</v>
      </c>
      <c r="D68" s="2526">
        <v>1</v>
      </c>
      <c r="E68" s="2527">
        <f t="shared" si="0"/>
        <v>18</v>
      </c>
      <c r="F68" s="2525">
        <v>121</v>
      </c>
      <c r="G68" s="2526">
        <v>31</v>
      </c>
      <c r="H68" s="2527">
        <f t="shared" si="48"/>
        <v>152</v>
      </c>
      <c r="I68" s="2525">
        <v>261</v>
      </c>
      <c r="J68" s="2526">
        <v>72</v>
      </c>
      <c r="K68" s="2527">
        <f t="shared" si="49"/>
        <v>333</v>
      </c>
      <c r="L68" s="2525">
        <v>291</v>
      </c>
      <c r="M68" s="2526">
        <v>93</v>
      </c>
      <c r="N68" s="2527">
        <f t="shared" si="50"/>
        <v>384</v>
      </c>
      <c r="O68" s="2525">
        <v>286</v>
      </c>
      <c r="P68" s="2526">
        <v>88</v>
      </c>
      <c r="Q68" s="2527">
        <f t="shared" si="51"/>
        <v>374</v>
      </c>
    </row>
    <row r="69" spans="2:17" ht="14.4" x14ac:dyDescent="0.25">
      <c r="B69" s="2411" t="s">
        <v>100</v>
      </c>
      <c r="C69" s="2525">
        <v>11</v>
      </c>
      <c r="D69" s="2526">
        <v>8</v>
      </c>
      <c r="E69" s="2527">
        <f t="shared" si="0"/>
        <v>19</v>
      </c>
      <c r="F69" s="2525">
        <v>126</v>
      </c>
      <c r="G69" s="2526">
        <v>31</v>
      </c>
      <c r="H69" s="2527">
        <f t="shared" si="48"/>
        <v>157</v>
      </c>
      <c r="I69" s="2525">
        <v>312</v>
      </c>
      <c r="J69" s="2526">
        <v>87</v>
      </c>
      <c r="K69" s="2527">
        <f t="shared" si="49"/>
        <v>399</v>
      </c>
      <c r="L69" s="2525">
        <v>426</v>
      </c>
      <c r="M69" s="2526">
        <v>125</v>
      </c>
      <c r="N69" s="2527">
        <f t="shared" si="50"/>
        <v>551</v>
      </c>
      <c r="O69" s="2525">
        <v>398</v>
      </c>
      <c r="P69" s="2526">
        <v>121</v>
      </c>
      <c r="Q69" s="2527">
        <f t="shared" si="51"/>
        <v>519</v>
      </c>
    </row>
    <row r="70" spans="2:17" ht="14.4" x14ac:dyDescent="0.25">
      <c r="B70" s="2411" t="s">
        <v>102</v>
      </c>
      <c r="C70" s="2525">
        <v>29</v>
      </c>
      <c r="D70" s="2526">
        <v>7</v>
      </c>
      <c r="E70" s="2527">
        <f t="shared" si="0"/>
        <v>36</v>
      </c>
      <c r="F70" s="2525">
        <v>86</v>
      </c>
      <c r="G70" s="2526">
        <v>55</v>
      </c>
      <c r="H70" s="2527">
        <f t="shared" si="48"/>
        <v>141</v>
      </c>
      <c r="I70" s="2525">
        <v>199</v>
      </c>
      <c r="J70" s="2526">
        <v>152</v>
      </c>
      <c r="K70" s="2527">
        <f t="shared" si="49"/>
        <v>351</v>
      </c>
      <c r="L70" s="2525">
        <v>269</v>
      </c>
      <c r="M70" s="2526">
        <v>170</v>
      </c>
      <c r="N70" s="2527">
        <f t="shared" si="50"/>
        <v>439</v>
      </c>
      <c r="O70" s="2525">
        <v>280</v>
      </c>
      <c r="P70" s="2526">
        <v>148</v>
      </c>
      <c r="Q70" s="2527">
        <f t="shared" si="51"/>
        <v>428</v>
      </c>
    </row>
    <row r="71" spans="2:17" ht="14.4" x14ac:dyDescent="0.25">
      <c r="B71" s="2411" t="s">
        <v>103</v>
      </c>
      <c r="C71" s="2525">
        <v>10</v>
      </c>
      <c r="D71" s="2526">
        <v>3</v>
      </c>
      <c r="E71" s="2527">
        <f t="shared" ref="E71:E105" si="52">SUM(C71:D71)</f>
        <v>13</v>
      </c>
      <c r="F71" s="2525">
        <v>73</v>
      </c>
      <c r="G71" s="2526">
        <v>20</v>
      </c>
      <c r="H71" s="2527">
        <f>SUM(F71:G71)</f>
        <v>93</v>
      </c>
      <c r="I71" s="2525">
        <v>169</v>
      </c>
      <c r="J71" s="2526">
        <v>48</v>
      </c>
      <c r="K71" s="2527">
        <f t="shared" si="49"/>
        <v>217</v>
      </c>
      <c r="L71" s="2525">
        <v>240</v>
      </c>
      <c r="M71" s="2526">
        <v>52</v>
      </c>
      <c r="N71" s="2527">
        <f t="shared" si="50"/>
        <v>292</v>
      </c>
      <c r="O71" s="2525">
        <v>232</v>
      </c>
      <c r="P71" s="2526">
        <v>50</v>
      </c>
      <c r="Q71" s="2527">
        <f t="shared" si="51"/>
        <v>282</v>
      </c>
    </row>
    <row r="72" spans="2:17" ht="14.4" x14ac:dyDescent="0.25">
      <c r="B72" s="2411" t="s">
        <v>99</v>
      </c>
      <c r="C72" s="2525">
        <v>30</v>
      </c>
      <c r="D72" s="2526">
        <v>12</v>
      </c>
      <c r="E72" s="2527">
        <f t="shared" si="52"/>
        <v>42</v>
      </c>
      <c r="F72" s="2525">
        <v>129</v>
      </c>
      <c r="G72" s="2526">
        <v>72</v>
      </c>
      <c r="H72" s="2527">
        <f>SUM(F72:G72)</f>
        <v>201</v>
      </c>
      <c r="I72" s="2525">
        <v>232</v>
      </c>
      <c r="J72" s="2526">
        <v>138</v>
      </c>
      <c r="K72" s="2527">
        <f t="shared" si="49"/>
        <v>370</v>
      </c>
      <c r="L72" s="2525">
        <v>359</v>
      </c>
      <c r="M72" s="2526">
        <v>188</v>
      </c>
      <c r="N72" s="2527">
        <f t="shared" si="50"/>
        <v>547</v>
      </c>
      <c r="O72" s="2525">
        <v>301</v>
      </c>
      <c r="P72" s="2526">
        <v>149</v>
      </c>
      <c r="Q72" s="2527">
        <f t="shared" si="51"/>
        <v>450</v>
      </c>
    </row>
    <row r="73" spans="2:17" ht="14.4" x14ac:dyDescent="0.25">
      <c r="B73" s="2414" t="s">
        <v>92</v>
      </c>
      <c r="C73" s="2528">
        <f t="shared" ref="C73:K73" si="53">SUM(C65:C72)</f>
        <v>130</v>
      </c>
      <c r="D73" s="2529">
        <f t="shared" si="53"/>
        <v>40</v>
      </c>
      <c r="E73" s="2530">
        <f t="shared" si="53"/>
        <v>170</v>
      </c>
      <c r="F73" s="2528">
        <f t="shared" si="53"/>
        <v>789</v>
      </c>
      <c r="G73" s="2529">
        <f t="shared" si="53"/>
        <v>319</v>
      </c>
      <c r="H73" s="2530">
        <f t="shared" si="53"/>
        <v>1108</v>
      </c>
      <c r="I73" s="2528">
        <f t="shared" si="53"/>
        <v>1687</v>
      </c>
      <c r="J73" s="2529">
        <f t="shared" si="53"/>
        <v>679</v>
      </c>
      <c r="K73" s="2530">
        <f t="shared" si="53"/>
        <v>2366</v>
      </c>
      <c r="L73" s="2528">
        <f>SUM(L65:L72)</f>
        <v>2264</v>
      </c>
      <c r="M73" s="2529">
        <f>SUM(M65:M72)</f>
        <v>875</v>
      </c>
      <c r="N73" s="2530">
        <f t="shared" ref="N73" si="54">SUM(N65:N72)</f>
        <v>3139</v>
      </c>
      <c r="O73" s="2528">
        <f>SUM(O65:O72)</f>
        <v>2142</v>
      </c>
      <c r="P73" s="2529">
        <f>SUM(P65:P72)</f>
        <v>777</v>
      </c>
      <c r="Q73" s="2530">
        <f t="shared" ref="Q73" si="55">SUM(Q65:Q72)</f>
        <v>2919</v>
      </c>
    </row>
    <row r="74" spans="2:17" ht="14.4" x14ac:dyDescent="0.25">
      <c r="B74" s="2411" t="s">
        <v>65</v>
      </c>
      <c r="C74" s="2525">
        <v>6</v>
      </c>
      <c r="D74" s="2526">
        <v>6</v>
      </c>
      <c r="E74" s="2527">
        <f t="shared" si="52"/>
        <v>12</v>
      </c>
      <c r="F74" s="2525">
        <v>64</v>
      </c>
      <c r="G74" s="2526">
        <v>62</v>
      </c>
      <c r="H74" s="2527">
        <f>SUM(F74:G74)</f>
        <v>126</v>
      </c>
      <c r="I74" s="2525">
        <v>161</v>
      </c>
      <c r="J74" s="2526">
        <v>176</v>
      </c>
      <c r="K74" s="2527">
        <f>SUM(I74:J74)</f>
        <v>337</v>
      </c>
      <c r="L74" s="2525">
        <v>233</v>
      </c>
      <c r="M74" s="2526">
        <v>254</v>
      </c>
      <c r="N74" s="2527">
        <f>SUM(L74:M74)</f>
        <v>487</v>
      </c>
      <c r="O74" s="2525">
        <v>204</v>
      </c>
      <c r="P74" s="2526">
        <v>229</v>
      </c>
      <c r="Q74" s="2527">
        <f>SUM(O74:P74)</f>
        <v>433</v>
      </c>
    </row>
    <row r="75" spans="2:17" ht="14.4" x14ac:dyDescent="0.25">
      <c r="B75" s="2411" t="s">
        <v>619</v>
      </c>
      <c r="C75" s="2525"/>
      <c r="D75" s="2526">
        <v>2</v>
      </c>
      <c r="E75" s="2527">
        <f t="shared" si="52"/>
        <v>2</v>
      </c>
      <c r="F75" s="2525">
        <v>40</v>
      </c>
      <c r="G75" s="2526">
        <v>29</v>
      </c>
      <c r="H75" s="2527">
        <f>SUM(F75:G75)</f>
        <v>69</v>
      </c>
      <c r="I75" s="2525">
        <v>117</v>
      </c>
      <c r="J75" s="2526">
        <v>69</v>
      </c>
      <c r="K75" s="2527">
        <f>SUM(I75:J75)</f>
        <v>186</v>
      </c>
      <c r="L75" s="2525">
        <v>149</v>
      </c>
      <c r="M75" s="2526">
        <v>104</v>
      </c>
      <c r="N75" s="2527">
        <f>SUM(L75:M75)</f>
        <v>253</v>
      </c>
      <c r="O75" s="2525">
        <v>142</v>
      </c>
      <c r="P75" s="2526">
        <v>89</v>
      </c>
      <c r="Q75" s="2527">
        <f>SUM(O75:P75)</f>
        <v>231</v>
      </c>
    </row>
    <row r="76" spans="2:17" ht="14.4" x14ac:dyDescent="0.25">
      <c r="B76" s="2411" t="s">
        <v>67</v>
      </c>
      <c r="C76" s="2525">
        <v>4</v>
      </c>
      <c r="D76" s="2526">
        <v>3</v>
      </c>
      <c r="E76" s="2527">
        <f t="shared" si="52"/>
        <v>7</v>
      </c>
      <c r="F76" s="2525">
        <v>23</v>
      </c>
      <c r="G76" s="2526">
        <v>32</v>
      </c>
      <c r="H76" s="2527">
        <f>SUM(F76:G76)</f>
        <v>55</v>
      </c>
      <c r="I76" s="2525">
        <v>54</v>
      </c>
      <c r="J76" s="2526">
        <v>64</v>
      </c>
      <c r="K76" s="2527">
        <f>SUM(I76:J76)</f>
        <v>118</v>
      </c>
      <c r="L76" s="2525">
        <v>103</v>
      </c>
      <c r="M76" s="2526">
        <v>86</v>
      </c>
      <c r="N76" s="2527">
        <f>SUM(L76:M76)</f>
        <v>189</v>
      </c>
      <c r="O76" s="2525">
        <v>88</v>
      </c>
      <c r="P76" s="2526">
        <v>78</v>
      </c>
      <c r="Q76" s="2527">
        <f>SUM(O76:P76)</f>
        <v>166</v>
      </c>
    </row>
    <row r="77" spans="2:17" ht="14.4" x14ac:dyDescent="0.25">
      <c r="B77" s="2411" t="s">
        <v>104</v>
      </c>
      <c r="C77" s="2525">
        <v>5</v>
      </c>
      <c r="D77" s="2526">
        <v>3</v>
      </c>
      <c r="E77" s="2527">
        <f t="shared" si="52"/>
        <v>8</v>
      </c>
      <c r="F77" s="2525">
        <v>36</v>
      </c>
      <c r="G77" s="2526">
        <v>27</v>
      </c>
      <c r="H77" s="2527">
        <f>SUM(F77:G77)</f>
        <v>63</v>
      </c>
      <c r="I77" s="2525">
        <v>85</v>
      </c>
      <c r="J77" s="2526">
        <v>70</v>
      </c>
      <c r="K77" s="2527">
        <f>SUM(I77:J77)</f>
        <v>155</v>
      </c>
      <c r="L77" s="2525">
        <v>90</v>
      </c>
      <c r="M77" s="2526">
        <v>82</v>
      </c>
      <c r="N77" s="2527">
        <f>SUM(L77:M77)</f>
        <v>172</v>
      </c>
      <c r="O77" s="2525">
        <v>81</v>
      </c>
      <c r="P77" s="2526">
        <v>73</v>
      </c>
      <c r="Q77" s="2527">
        <f>SUM(O77:P77)</f>
        <v>154</v>
      </c>
    </row>
    <row r="78" spans="2:17" ht="14.4" x14ac:dyDescent="0.25">
      <c r="B78" s="2418" t="s">
        <v>68</v>
      </c>
      <c r="C78" s="2528">
        <f t="shared" ref="C78:K78" si="56">SUM(C74:C77)</f>
        <v>15</v>
      </c>
      <c r="D78" s="2529">
        <f t="shared" si="56"/>
        <v>14</v>
      </c>
      <c r="E78" s="2530">
        <f t="shared" si="56"/>
        <v>29</v>
      </c>
      <c r="F78" s="2528">
        <f t="shared" si="56"/>
        <v>163</v>
      </c>
      <c r="G78" s="2529">
        <f t="shared" si="56"/>
        <v>150</v>
      </c>
      <c r="H78" s="2530">
        <f t="shared" si="56"/>
        <v>313</v>
      </c>
      <c r="I78" s="2528">
        <f t="shared" si="56"/>
        <v>417</v>
      </c>
      <c r="J78" s="2529">
        <f t="shared" si="56"/>
        <v>379</v>
      </c>
      <c r="K78" s="2530">
        <f t="shared" si="56"/>
        <v>796</v>
      </c>
      <c r="L78" s="2528">
        <f t="shared" ref="L78:N78" si="57">SUM(L74:L77)</f>
        <v>575</v>
      </c>
      <c r="M78" s="2529">
        <f t="shared" si="57"/>
        <v>526</v>
      </c>
      <c r="N78" s="2530">
        <f t="shared" si="57"/>
        <v>1101</v>
      </c>
      <c r="O78" s="2528">
        <f t="shared" ref="O78:Q78" si="58">SUM(O74:O77)</f>
        <v>515</v>
      </c>
      <c r="P78" s="2529">
        <f t="shared" si="58"/>
        <v>469</v>
      </c>
      <c r="Q78" s="2530">
        <f t="shared" si="58"/>
        <v>984</v>
      </c>
    </row>
    <row r="79" spans="2:17" ht="14.4" x14ac:dyDescent="0.25">
      <c r="B79" s="2437" t="s">
        <v>105</v>
      </c>
      <c r="C79" s="2540">
        <f t="shared" ref="C79:K79" si="59">SUM(C78,C73,C64)</f>
        <v>191</v>
      </c>
      <c r="D79" s="2541">
        <f t="shared" si="59"/>
        <v>82</v>
      </c>
      <c r="E79" s="2542">
        <f t="shared" si="59"/>
        <v>273</v>
      </c>
      <c r="F79" s="2540">
        <f t="shared" si="59"/>
        <v>1383</v>
      </c>
      <c r="G79" s="2541">
        <f t="shared" si="59"/>
        <v>759</v>
      </c>
      <c r="H79" s="2542">
        <f t="shared" si="59"/>
        <v>2142</v>
      </c>
      <c r="I79" s="2540">
        <f t="shared" si="59"/>
        <v>3175</v>
      </c>
      <c r="J79" s="2541">
        <f t="shared" si="59"/>
        <v>1662</v>
      </c>
      <c r="K79" s="2542">
        <f t="shared" si="59"/>
        <v>4837</v>
      </c>
      <c r="L79" s="2540">
        <f t="shared" ref="L79:N79" si="60">SUM(L78,L73,L64)</f>
        <v>4313</v>
      </c>
      <c r="M79" s="2541">
        <f t="shared" si="60"/>
        <v>2256</v>
      </c>
      <c r="N79" s="2542">
        <f t="shared" si="60"/>
        <v>6569</v>
      </c>
      <c r="O79" s="2540">
        <f t="shared" ref="O79:Q79" si="61">SUM(O78,O73,O64)</f>
        <v>3955</v>
      </c>
      <c r="P79" s="2541">
        <f t="shared" si="61"/>
        <v>1986</v>
      </c>
      <c r="Q79" s="2542">
        <f t="shared" si="61"/>
        <v>5941</v>
      </c>
    </row>
    <row r="80" spans="2:17" ht="14.4" x14ac:dyDescent="0.25">
      <c r="B80" s="2441" t="s">
        <v>60</v>
      </c>
      <c r="C80" s="2537">
        <v>5</v>
      </c>
      <c r="D80" s="2538">
        <v>2</v>
      </c>
      <c r="E80" s="2539">
        <f t="shared" si="52"/>
        <v>7</v>
      </c>
      <c r="F80" s="2537">
        <v>42</v>
      </c>
      <c r="G80" s="2538">
        <v>19</v>
      </c>
      <c r="H80" s="2539">
        <f>SUM(F80:G80)</f>
        <v>61</v>
      </c>
      <c r="I80" s="2537">
        <v>76</v>
      </c>
      <c r="J80" s="2538">
        <v>49</v>
      </c>
      <c r="K80" s="2539">
        <f>SUM(I80:J80)</f>
        <v>125</v>
      </c>
      <c r="L80" s="2537">
        <v>85</v>
      </c>
      <c r="M80" s="2538">
        <v>63</v>
      </c>
      <c r="N80" s="2539">
        <f>SUM(L80:M80)</f>
        <v>148</v>
      </c>
      <c r="O80" s="2537">
        <v>86</v>
      </c>
      <c r="P80" s="2538">
        <v>58</v>
      </c>
      <c r="Q80" s="2539">
        <f>SUM(O80:P80)</f>
        <v>144</v>
      </c>
    </row>
    <row r="81" spans="2:17" ht="14.4" x14ac:dyDescent="0.25">
      <c r="B81" s="2441" t="s">
        <v>61</v>
      </c>
      <c r="C81" s="2537"/>
      <c r="D81" s="2538"/>
      <c r="E81" s="2527">
        <f t="shared" si="52"/>
        <v>0</v>
      </c>
      <c r="F81" s="2537">
        <v>5</v>
      </c>
      <c r="G81" s="2538">
        <v>7</v>
      </c>
      <c r="H81" s="2527">
        <f>SUM(F81:G81)</f>
        <v>12</v>
      </c>
      <c r="I81" s="2537">
        <v>37</v>
      </c>
      <c r="J81" s="2538">
        <v>27</v>
      </c>
      <c r="K81" s="2527">
        <f>SUM(I81:J81)</f>
        <v>64</v>
      </c>
      <c r="L81" s="2537">
        <v>43</v>
      </c>
      <c r="M81" s="2538">
        <v>27</v>
      </c>
      <c r="N81" s="2527">
        <f>SUM(L81:M81)</f>
        <v>70</v>
      </c>
      <c r="O81" s="2537">
        <v>46</v>
      </c>
      <c r="P81" s="2538">
        <v>21</v>
      </c>
      <c r="Q81" s="2527">
        <f>SUM(O81:P81)</f>
        <v>67</v>
      </c>
    </row>
    <row r="82" spans="2:17" ht="14.4" x14ac:dyDescent="0.25">
      <c r="B82" s="2441" t="s">
        <v>107</v>
      </c>
      <c r="C82" s="2525">
        <v>6</v>
      </c>
      <c r="D82" s="2526">
        <v>5</v>
      </c>
      <c r="E82" s="2527">
        <f t="shared" si="52"/>
        <v>11</v>
      </c>
      <c r="F82" s="2525">
        <v>17</v>
      </c>
      <c r="G82" s="2526">
        <v>8</v>
      </c>
      <c r="H82" s="2527">
        <f>SUM(F82:G82)</f>
        <v>25</v>
      </c>
      <c r="I82" s="2525">
        <v>33</v>
      </c>
      <c r="J82" s="2526">
        <v>19</v>
      </c>
      <c r="K82" s="2527">
        <f>SUM(I82:J82)</f>
        <v>52</v>
      </c>
      <c r="L82" s="2525">
        <v>45</v>
      </c>
      <c r="M82" s="2526">
        <v>12</v>
      </c>
      <c r="N82" s="2527">
        <f>SUM(L82:M82)</f>
        <v>57</v>
      </c>
      <c r="O82" s="2525">
        <v>37</v>
      </c>
      <c r="P82" s="2526">
        <v>11</v>
      </c>
      <c r="Q82" s="2527">
        <f>SUM(O82:P82)</f>
        <v>48</v>
      </c>
    </row>
    <row r="83" spans="2:17" ht="14.4" x14ac:dyDescent="0.25">
      <c r="B83" s="2441" t="s">
        <v>106</v>
      </c>
      <c r="C83" s="2525">
        <v>4</v>
      </c>
      <c r="D83" s="2526">
        <v>5</v>
      </c>
      <c r="E83" s="2527">
        <f t="shared" si="52"/>
        <v>9</v>
      </c>
      <c r="F83" s="2525">
        <v>20</v>
      </c>
      <c r="G83" s="2526">
        <v>22</v>
      </c>
      <c r="H83" s="2527">
        <f>SUM(F83:G83)</f>
        <v>42</v>
      </c>
      <c r="I83" s="2525">
        <v>64</v>
      </c>
      <c r="J83" s="2526">
        <v>54</v>
      </c>
      <c r="K83" s="2527">
        <f>SUM(I83:J83)</f>
        <v>118</v>
      </c>
      <c r="L83" s="2525">
        <v>63</v>
      </c>
      <c r="M83" s="2526">
        <v>50</v>
      </c>
      <c r="N83" s="2527">
        <f>SUM(L83:M83)</f>
        <v>113</v>
      </c>
      <c r="O83" s="2525">
        <v>60</v>
      </c>
      <c r="P83" s="2526">
        <v>32</v>
      </c>
      <c r="Q83" s="2527">
        <f>SUM(O83:P83)</f>
        <v>92</v>
      </c>
    </row>
    <row r="84" spans="2:17" ht="14.4" x14ac:dyDescent="0.25">
      <c r="B84" s="2418" t="s">
        <v>64</v>
      </c>
      <c r="C84" s="2528">
        <f t="shared" ref="C84:H84" si="62">SUM(C80:C83)</f>
        <v>15</v>
      </c>
      <c r="D84" s="2529">
        <f t="shared" si="62"/>
        <v>12</v>
      </c>
      <c r="E84" s="2530">
        <f t="shared" si="62"/>
        <v>27</v>
      </c>
      <c r="F84" s="2528">
        <f t="shared" si="62"/>
        <v>84</v>
      </c>
      <c r="G84" s="2529">
        <f t="shared" si="62"/>
        <v>56</v>
      </c>
      <c r="H84" s="2530">
        <f t="shared" si="62"/>
        <v>140</v>
      </c>
      <c r="I84" s="2528">
        <f t="shared" ref="I84:N84" si="63">SUM(I80:I83)</f>
        <v>210</v>
      </c>
      <c r="J84" s="2529">
        <f t="shared" si="63"/>
        <v>149</v>
      </c>
      <c r="K84" s="2530">
        <f t="shared" si="63"/>
        <v>359</v>
      </c>
      <c r="L84" s="2528">
        <f t="shared" si="63"/>
        <v>236</v>
      </c>
      <c r="M84" s="2529">
        <f t="shared" si="63"/>
        <v>152</v>
      </c>
      <c r="N84" s="2530">
        <f t="shared" si="63"/>
        <v>388</v>
      </c>
      <c r="O84" s="2528">
        <f t="shared" ref="O84:Q84" si="64">SUM(O80:O83)</f>
        <v>229</v>
      </c>
      <c r="P84" s="2529">
        <f t="shared" si="64"/>
        <v>122</v>
      </c>
      <c r="Q84" s="2530">
        <f t="shared" si="64"/>
        <v>351</v>
      </c>
    </row>
    <row r="85" spans="2:17" ht="14.4" x14ac:dyDescent="0.25">
      <c r="B85" s="2442" t="s">
        <v>620</v>
      </c>
      <c r="C85" s="2525">
        <v>2</v>
      </c>
      <c r="D85" s="2526">
        <v>3</v>
      </c>
      <c r="E85" s="2527">
        <f t="shared" si="52"/>
        <v>5</v>
      </c>
      <c r="F85" s="2525">
        <v>20</v>
      </c>
      <c r="G85" s="2526">
        <v>16</v>
      </c>
      <c r="H85" s="2527">
        <f t="shared" ref="H85:H92" si="65">SUM(F85:G85)</f>
        <v>36</v>
      </c>
      <c r="I85" s="2525">
        <v>61</v>
      </c>
      <c r="J85" s="2526">
        <v>24</v>
      </c>
      <c r="K85" s="2527">
        <f t="shared" ref="K85:K92" si="66">SUM(I85:J85)</f>
        <v>85</v>
      </c>
      <c r="L85" s="2525">
        <v>80</v>
      </c>
      <c r="M85" s="2526">
        <v>42</v>
      </c>
      <c r="N85" s="2527">
        <f t="shared" ref="N85:N92" si="67">SUM(L85:M85)</f>
        <v>122</v>
      </c>
      <c r="O85" s="2525">
        <v>71</v>
      </c>
      <c r="P85" s="2526">
        <v>40</v>
      </c>
      <c r="Q85" s="2527">
        <f t="shared" ref="Q85:Q92" si="68">SUM(O85:P85)</f>
        <v>111</v>
      </c>
    </row>
    <row r="86" spans="2:17" ht="14.4" x14ac:dyDescent="0.25">
      <c r="B86" s="2441" t="s">
        <v>110</v>
      </c>
      <c r="C86" s="2525">
        <v>3</v>
      </c>
      <c r="D86" s="2526">
        <v>2</v>
      </c>
      <c r="E86" s="2527">
        <f t="shared" si="52"/>
        <v>5</v>
      </c>
      <c r="F86" s="2525">
        <v>24</v>
      </c>
      <c r="G86" s="2526">
        <v>20</v>
      </c>
      <c r="H86" s="2527">
        <f t="shared" si="65"/>
        <v>44</v>
      </c>
      <c r="I86" s="2525">
        <v>87</v>
      </c>
      <c r="J86" s="2526">
        <v>71</v>
      </c>
      <c r="K86" s="2527">
        <f t="shared" si="66"/>
        <v>158</v>
      </c>
      <c r="L86" s="2525">
        <v>110</v>
      </c>
      <c r="M86" s="2526">
        <v>77</v>
      </c>
      <c r="N86" s="2527">
        <f t="shared" si="67"/>
        <v>187</v>
      </c>
      <c r="O86" s="2525">
        <v>109</v>
      </c>
      <c r="P86" s="2526">
        <v>63</v>
      </c>
      <c r="Q86" s="2527">
        <f t="shared" si="68"/>
        <v>172</v>
      </c>
    </row>
    <row r="87" spans="2:17" ht="14.4" x14ac:dyDescent="0.25">
      <c r="B87" s="2441" t="s">
        <v>109</v>
      </c>
      <c r="C87" s="2525">
        <v>1</v>
      </c>
      <c r="D87" s="2526">
        <v>2</v>
      </c>
      <c r="E87" s="2527">
        <f t="shared" si="52"/>
        <v>3</v>
      </c>
      <c r="F87" s="2525">
        <v>14</v>
      </c>
      <c r="G87" s="2526">
        <v>20</v>
      </c>
      <c r="H87" s="2527">
        <f t="shared" si="65"/>
        <v>34</v>
      </c>
      <c r="I87" s="2525">
        <v>25</v>
      </c>
      <c r="J87" s="2526">
        <v>41</v>
      </c>
      <c r="K87" s="2527">
        <f t="shared" si="66"/>
        <v>66</v>
      </c>
      <c r="L87" s="2525">
        <v>34</v>
      </c>
      <c r="M87" s="2526">
        <v>56</v>
      </c>
      <c r="N87" s="2527">
        <f t="shared" si="67"/>
        <v>90</v>
      </c>
      <c r="O87" s="2525">
        <v>28</v>
      </c>
      <c r="P87" s="2526">
        <v>43</v>
      </c>
      <c r="Q87" s="2527">
        <f t="shared" si="68"/>
        <v>71</v>
      </c>
    </row>
    <row r="88" spans="2:17" ht="14.4" x14ac:dyDescent="0.25">
      <c r="B88" s="2418" t="s">
        <v>111</v>
      </c>
      <c r="C88" s="2528">
        <f>SUM(C85:C87)</f>
        <v>6</v>
      </c>
      <c r="D88" s="2529">
        <f>SUM(D85:D87)</f>
        <v>7</v>
      </c>
      <c r="E88" s="2530">
        <f t="shared" si="52"/>
        <v>13</v>
      </c>
      <c r="F88" s="2528">
        <f>SUM(F85:F87)</f>
        <v>58</v>
      </c>
      <c r="G88" s="2529">
        <f>SUM(G85:G87)</f>
        <v>56</v>
      </c>
      <c r="H88" s="2530">
        <f t="shared" si="65"/>
        <v>114</v>
      </c>
      <c r="I88" s="2528">
        <f>SUM(I85:I87)</f>
        <v>173</v>
      </c>
      <c r="J88" s="2529">
        <f>SUM(J85:J87)</f>
        <v>136</v>
      </c>
      <c r="K88" s="2530">
        <f t="shared" si="66"/>
        <v>309</v>
      </c>
      <c r="L88" s="2528">
        <f>SUM(L85:L87)</f>
        <v>224</v>
      </c>
      <c r="M88" s="2529">
        <f>SUM(M85:M87)</f>
        <v>175</v>
      </c>
      <c r="N88" s="2530">
        <f t="shared" si="67"/>
        <v>399</v>
      </c>
      <c r="O88" s="2528">
        <f>SUM(O85:O87)</f>
        <v>208</v>
      </c>
      <c r="P88" s="2529">
        <f>SUM(P85:P87)</f>
        <v>146</v>
      </c>
      <c r="Q88" s="2530">
        <f t="shared" si="68"/>
        <v>354</v>
      </c>
    </row>
    <row r="89" spans="2:17" ht="14.4" x14ac:dyDescent="0.25">
      <c r="B89" s="2441" t="s">
        <v>58</v>
      </c>
      <c r="C89" s="2525">
        <v>1</v>
      </c>
      <c r="D89" s="2526">
        <v>5</v>
      </c>
      <c r="E89" s="2527">
        <f t="shared" si="52"/>
        <v>6</v>
      </c>
      <c r="F89" s="2525">
        <v>4</v>
      </c>
      <c r="G89" s="2526">
        <v>16</v>
      </c>
      <c r="H89" s="2527">
        <f t="shared" si="65"/>
        <v>20</v>
      </c>
      <c r="I89" s="2525">
        <v>10</v>
      </c>
      <c r="J89" s="2526">
        <v>41</v>
      </c>
      <c r="K89" s="2527">
        <f t="shared" si="66"/>
        <v>51</v>
      </c>
      <c r="L89" s="2525">
        <v>10</v>
      </c>
      <c r="M89" s="2526">
        <v>62</v>
      </c>
      <c r="N89" s="2527">
        <f t="shared" si="67"/>
        <v>72</v>
      </c>
      <c r="O89" s="2525">
        <v>8</v>
      </c>
      <c r="P89" s="2526">
        <v>43</v>
      </c>
      <c r="Q89" s="2527">
        <f t="shared" si="68"/>
        <v>51</v>
      </c>
    </row>
    <row r="90" spans="2:17" ht="14.4" x14ac:dyDescent="0.25">
      <c r="B90" s="2441" t="s">
        <v>113</v>
      </c>
      <c r="C90" s="2525">
        <v>2</v>
      </c>
      <c r="D90" s="2526"/>
      <c r="E90" s="2527">
        <f t="shared" si="52"/>
        <v>2</v>
      </c>
      <c r="F90" s="2525">
        <v>14</v>
      </c>
      <c r="G90" s="2526">
        <v>4</v>
      </c>
      <c r="H90" s="2527">
        <f t="shared" si="65"/>
        <v>18</v>
      </c>
      <c r="I90" s="2525">
        <v>43</v>
      </c>
      <c r="J90" s="2526">
        <v>20</v>
      </c>
      <c r="K90" s="2527">
        <f t="shared" si="66"/>
        <v>63</v>
      </c>
      <c r="L90" s="2525">
        <v>53</v>
      </c>
      <c r="M90" s="2526">
        <v>31</v>
      </c>
      <c r="N90" s="2527">
        <f t="shared" si="67"/>
        <v>84</v>
      </c>
      <c r="O90" s="2525">
        <v>52</v>
      </c>
      <c r="P90" s="2526">
        <v>23</v>
      </c>
      <c r="Q90" s="2527">
        <f t="shared" si="68"/>
        <v>75</v>
      </c>
    </row>
    <row r="91" spans="2:17" ht="14.4" x14ac:dyDescent="0.25">
      <c r="B91" s="2441" t="s">
        <v>112</v>
      </c>
      <c r="C91" s="2525"/>
      <c r="D91" s="2526">
        <v>1</v>
      </c>
      <c r="E91" s="2527">
        <f t="shared" si="52"/>
        <v>1</v>
      </c>
      <c r="F91" s="2525"/>
      <c r="G91" s="2526">
        <v>6</v>
      </c>
      <c r="H91" s="2527">
        <f t="shared" si="65"/>
        <v>6</v>
      </c>
      <c r="I91" s="2525">
        <v>4</v>
      </c>
      <c r="J91" s="2526">
        <v>11</v>
      </c>
      <c r="K91" s="2527">
        <f t="shared" si="66"/>
        <v>15</v>
      </c>
      <c r="L91" s="2525">
        <v>12</v>
      </c>
      <c r="M91" s="2526">
        <v>22</v>
      </c>
      <c r="N91" s="2527">
        <f t="shared" si="67"/>
        <v>34</v>
      </c>
      <c r="O91" s="2525">
        <v>8</v>
      </c>
      <c r="P91" s="2526">
        <v>25</v>
      </c>
      <c r="Q91" s="2527">
        <f t="shared" si="68"/>
        <v>33</v>
      </c>
    </row>
    <row r="92" spans="2:17" ht="14.4" x14ac:dyDescent="0.25">
      <c r="B92" s="2441" t="s">
        <v>621</v>
      </c>
      <c r="C92" s="2525">
        <v>3</v>
      </c>
      <c r="D92" s="2526">
        <v>5</v>
      </c>
      <c r="E92" s="2527">
        <f t="shared" si="52"/>
        <v>8</v>
      </c>
      <c r="F92" s="2525">
        <v>27</v>
      </c>
      <c r="G92" s="2526">
        <v>15</v>
      </c>
      <c r="H92" s="2527">
        <f t="shared" si="65"/>
        <v>42</v>
      </c>
      <c r="I92" s="2525">
        <v>54</v>
      </c>
      <c r="J92" s="2526">
        <v>34</v>
      </c>
      <c r="K92" s="2527">
        <f t="shared" si="66"/>
        <v>88</v>
      </c>
      <c r="L92" s="2525">
        <v>65</v>
      </c>
      <c r="M92" s="2526">
        <v>37</v>
      </c>
      <c r="N92" s="2527">
        <f t="shared" si="67"/>
        <v>102</v>
      </c>
      <c r="O92" s="2525">
        <v>77</v>
      </c>
      <c r="P92" s="2526">
        <v>48</v>
      </c>
      <c r="Q92" s="2527">
        <f t="shared" si="68"/>
        <v>125</v>
      </c>
    </row>
    <row r="93" spans="2:17" ht="14.4" x14ac:dyDescent="0.25">
      <c r="B93" s="2418" t="s">
        <v>115</v>
      </c>
      <c r="C93" s="2528">
        <f t="shared" ref="C93:H93" si="69">SUM(C89:C92)</f>
        <v>6</v>
      </c>
      <c r="D93" s="2529">
        <f t="shared" si="69"/>
        <v>11</v>
      </c>
      <c r="E93" s="2530">
        <f t="shared" si="69"/>
        <v>17</v>
      </c>
      <c r="F93" s="2528">
        <f t="shared" si="69"/>
        <v>45</v>
      </c>
      <c r="G93" s="2529">
        <f t="shared" si="69"/>
        <v>41</v>
      </c>
      <c r="H93" s="2530">
        <f t="shared" si="69"/>
        <v>86</v>
      </c>
      <c r="I93" s="2528">
        <f t="shared" ref="I93:N93" si="70">SUM(I89:I92)</f>
        <v>111</v>
      </c>
      <c r="J93" s="2529">
        <f t="shared" si="70"/>
        <v>106</v>
      </c>
      <c r="K93" s="2530">
        <f t="shared" si="70"/>
        <v>217</v>
      </c>
      <c r="L93" s="2528">
        <f t="shared" si="70"/>
        <v>140</v>
      </c>
      <c r="M93" s="2529">
        <f t="shared" si="70"/>
        <v>152</v>
      </c>
      <c r="N93" s="2530">
        <f t="shared" si="70"/>
        <v>292</v>
      </c>
      <c r="O93" s="2528">
        <f t="shared" ref="O93:Q93" si="71">SUM(O89:O92)</f>
        <v>145</v>
      </c>
      <c r="P93" s="2529">
        <f t="shared" si="71"/>
        <v>139</v>
      </c>
      <c r="Q93" s="2530">
        <f t="shared" si="71"/>
        <v>284</v>
      </c>
    </row>
    <row r="94" spans="2:17" ht="14.4" x14ac:dyDescent="0.25">
      <c r="B94" s="2443" t="s">
        <v>116</v>
      </c>
      <c r="C94" s="2543">
        <f t="shared" ref="C94:H94" si="72">SUM(C84,C88,C93)</f>
        <v>27</v>
      </c>
      <c r="D94" s="2544">
        <f t="shared" si="72"/>
        <v>30</v>
      </c>
      <c r="E94" s="2545">
        <f t="shared" si="72"/>
        <v>57</v>
      </c>
      <c r="F94" s="2543">
        <f t="shared" si="72"/>
        <v>187</v>
      </c>
      <c r="G94" s="2544">
        <f t="shared" si="72"/>
        <v>153</v>
      </c>
      <c r="H94" s="2545">
        <f t="shared" si="72"/>
        <v>340</v>
      </c>
      <c r="I94" s="2543">
        <f t="shared" ref="I94:N94" si="73">SUM(I84,I88,I93)</f>
        <v>494</v>
      </c>
      <c r="J94" s="2544">
        <f t="shared" si="73"/>
        <v>391</v>
      </c>
      <c r="K94" s="2545">
        <f t="shared" si="73"/>
        <v>885</v>
      </c>
      <c r="L94" s="2543">
        <f t="shared" si="73"/>
        <v>600</v>
      </c>
      <c r="M94" s="2544">
        <f t="shared" si="73"/>
        <v>479</v>
      </c>
      <c r="N94" s="2545">
        <f t="shared" si="73"/>
        <v>1079</v>
      </c>
      <c r="O94" s="2543">
        <f t="shared" ref="O94:Q94" si="74">SUM(O84,O88,O93)</f>
        <v>582</v>
      </c>
      <c r="P94" s="2544">
        <f t="shared" si="74"/>
        <v>407</v>
      </c>
      <c r="Q94" s="2545">
        <f t="shared" si="74"/>
        <v>989</v>
      </c>
    </row>
    <row r="95" spans="2:17" ht="14.4" x14ac:dyDescent="0.25">
      <c r="B95" s="2546" t="s">
        <v>117</v>
      </c>
      <c r="C95" s="2547">
        <v>3</v>
      </c>
      <c r="D95" s="2548"/>
      <c r="E95" s="966">
        <f t="shared" si="52"/>
        <v>3</v>
      </c>
      <c r="F95" s="2547">
        <v>4</v>
      </c>
      <c r="G95" s="2548">
        <v>2</v>
      </c>
      <c r="H95" s="966">
        <f>SUM(F95:G95)</f>
        <v>6</v>
      </c>
      <c r="I95" s="2547">
        <v>12</v>
      </c>
      <c r="J95" s="2548">
        <v>15</v>
      </c>
      <c r="K95" s="966">
        <f>SUM(I95:J95)</f>
        <v>27</v>
      </c>
      <c r="L95" s="2547">
        <v>9</v>
      </c>
      <c r="M95" s="2548">
        <v>6</v>
      </c>
      <c r="N95" s="966">
        <f>SUM(L95:M95)</f>
        <v>15</v>
      </c>
      <c r="O95" s="2547">
        <v>4</v>
      </c>
      <c r="P95" s="2548">
        <v>3</v>
      </c>
      <c r="Q95" s="966">
        <f>SUM(O95:P95)</f>
        <v>7</v>
      </c>
    </row>
    <row r="96" spans="2:17" ht="14.4" x14ac:dyDescent="0.25">
      <c r="B96" s="2546" t="s">
        <v>118</v>
      </c>
      <c r="C96" s="2547"/>
      <c r="D96" s="2548"/>
      <c r="E96" s="966">
        <f t="shared" si="52"/>
        <v>0</v>
      </c>
      <c r="F96" s="2547">
        <v>2</v>
      </c>
      <c r="G96" s="2548">
        <v>5</v>
      </c>
      <c r="H96" s="966">
        <f>SUM(F96:G96)</f>
        <v>7</v>
      </c>
      <c r="I96" s="2547">
        <v>6</v>
      </c>
      <c r="J96" s="2548">
        <v>11</v>
      </c>
      <c r="K96" s="966">
        <f>SUM(I96:J96)</f>
        <v>17</v>
      </c>
      <c r="L96" s="2547">
        <v>9</v>
      </c>
      <c r="M96" s="2548">
        <v>18</v>
      </c>
      <c r="N96" s="966">
        <f>SUM(L96:M96)</f>
        <v>27</v>
      </c>
      <c r="O96" s="2547">
        <v>8</v>
      </c>
      <c r="P96" s="2548">
        <v>11</v>
      </c>
      <c r="Q96" s="966">
        <f>SUM(O96:P96)</f>
        <v>19</v>
      </c>
    </row>
    <row r="97" spans="2:17" ht="14.4" x14ac:dyDescent="0.25">
      <c r="B97" s="2546" t="s">
        <v>119</v>
      </c>
      <c r="C97" s="2547"/>
      <c r="D97" s="2548"/>
      <c r="E97" s="966">
        <f t="shared" si="52"/>
        <v>0</v>
      </c>
      <c r="F97" s="2547">
        <v>1</v>
      </c>
      <c r="G97" s="2548">
        <v>6</v>
      </c>
      <c r="H97" s="966">
        <f>SUM(F97:G97)</f>
        <v>7</v>
      </c>
      <c r="I97" s="2547">
        <v>4</v>
      </c>
      <c r="J97" s="2548">
        <v>20</v>
      </c>
      <c r="K97" s="966">
        <f>SUM(I97:J97)</f>
        <v>24</v>
      </c>
      <c r="L97" s="2547">
        <v>6</v>
      </c>
      <c r="M97" s="2548">
        <v>24</v>
      </c>
      <c r="N97" s="966">
        <f>SUM(L97:M97)</f>
        <v>30</v>
      </c>
      <c r="O97" s="2547">
        <v>3</v>
      </c>
      <c r="P97" s="2548">
        <v>23</v>
      </c>
      <c r="Q97" s="966">
        <f>SUM(O97:P97)</f>
        <v>26</v>
      </c>
    </row>
    <row r="98" spans="2:17" ht="14.4" x14ac:dyDescent="0.25">
      <c r="B98" s="2549" t="s">
        <v>59</v>
      </c>
      <c r="C98" s="2528">
        <f>SUM(C95:C96)</f>
        <v>3</v>
      </c>
      <c r="D98" s="2529">
        <f>SUM(D95:D96)</f>
        <v>0</v>
      </c>
      <c r="E98" s="2530">
        <f>SUM(E95:E96)</f>
        <v>3</v>
      </c>
      <c r="F98" s="2528">
        <f t="shared" ref="F98:K98" si="75">SUM(F95:F97)</f>
        <v>7</v>
      </c>
      <c r="G98" s="2529">
        <f t="shared" si="75"/>
        <v>13</v>
      </c>
      <c r="H98" s="2530">
        <f t="shared" si="75"/>
        <v>20</v>
      </c>
      <c r="I98" s="2528">
        <f t="shared" si="75"/>
        <v>22</v>
      </c>
      <c r="J98" s="2529">
        <f t="shared" si="75"/>
        <v>46</v>
      </c>
      <c r="K98" s="2530">
        <f t="shared" si="75"/>
        <v>68</v>
      </c>
      <c r="L98" s="2528">
        <f>SUM(L95:L97)</f>
        <v>24</v>
      </c>
      <c r="M98" s="2529">
        <f>SUM(M95:M97)</f>
        <v>48</v>
      </c>
      <c r="N98" s="2530">
        <f t="shared" ref="N98" si="76">SUM(N95:N97)</f>
        <v>72</v>
      </c>
      <c r="O98" s="2528">
        <f>SUM(O95:O97)</f>
        <v>15</v>
      </c>
      <c r="P98" s="2529">
        <f>SUM(P95:P97)</f>
        <v>37</v>
      </c>
      <c r="Q98" s="2530">
        <f t="shared" ref="Q98" si="77">SUM(Q95:Q97)</f>
        <v>52</v>
      </c>
    </row>
    <row r="99" spans="2:17" ht="14.4" x14ac:dyDescent="0.25">
      <c r="B99" s="2550" t="s">
        <v>120</v>
      </c>
      <c r="C99" s="2551">
        <v>4</v>
      </c>
      <c r="D99" s="974">
        <v>5</v>
      </c>
      <c r="E99" s="956">
        <f t="shared" si="52"/>
        <v>9</v>
      </c>
      <c r="F99" s="2551">
        <v>14</v>
      </c>
      <c r="G99" s="974">
        <v>12</v>
      </c>
      <c r="H99" s="956">
        <f>SUM(F99:G99)</f>
        <v>26</v>
      </c>
      <c r="I99" s="2551">
        <v>34</v>
      </c>
      <c r="J99" s="974">
        <v>16</v>
      </c>
      <c r="K99" s="956">
        <f>SUM(I99:J99)</f>
        <v>50</v>
      </c>
      <c r="L99" s="2551">
        <v>38</v>
      </c>
      <c r="M99" s="974">
        <v>16</v>
      </c>
      <c r="N99" s="956">
        <f>SUM(L99:M99)</f>
        <v>54</v>
      </c>
      <c r="O99" s="2551">
        <v>31</v>
      </c>
      <c r="P99" s="974">
        <v>17</v>
      </c>
      <c r="Q99" s="956">
        <f>SUM(O99:P99)</f>
        <v>48</v>
      </c>
    </row>
    <row r="100" spans="2:17" ht="14.4" x14ac:dyDescent="0.25">
      <c r="B100" s="2550" t="s">
        <v>121</v>
      </c>
      <c r="C100" s="2551"/>
      <c r="D100" s="974"/>
      <c r="E100" s="956">
        <f t="shared" si="52"/>
        <v>0</v>
      </c>
      <c r="F100" s="2551">
        <v>4</v>
      </c>
      <c r="G100" s="974">
        <v>6</v>
      </c>
      <c r="H100" s="956">
        <f>SUM(F100:G100)</f>
        <v>10</v>
      </c>
      <c r="I100" s="2551">
        <v>24</v>
      </c>
      <c r="J100" s="974">
        <v>19</v>
      </c>
      <c r="K100" s="956">
        <f>SUM(I100:J100)</f>
        <v>43</v>
      </c>
      <c r="L100" s="2551">
        <v>21</v>
      </c>
      <c r="M100" s="974">
        <v>17</v>
      </c>
      <c r="N100" s="956">
        <f>SUM(L100:M100)</f>
        <v>38</v>
      </c>
      <c r="O100" s="2551">
        <v>16</v>
      </c>
      <c r="P100" s="974">
        <v>10</v>
      </c>
      <c r="Q100" s="956">
        <f>SUM(O100:P100)</f>
        <v>26</v>
      </c>
    </row>
    <row r="101" spans="2:17" ht="14.4" x14ac:dyDescent="0.25">
      <c r="B101" s="2550" t="s">
        <v>123</v>
      </c>
      <c r="C101" s="2551"/>
      <c r="D101" s="974"/>
      <c r="E101" s="956">
        <f t="shared" si="52"/>
        <v>0</v>
      </c>
      <c r="F101" s="2551">
        <v>3</v>
      </c>
      <c r="G101" s="974">
        <v>2</v>
      </c>
      <c r="H101" s="956">
        <f>SUM(F101:G101)</f>
        <v>5</v>
      </c>
      <c r="I101" s="2551">
        <v>15</v>
      </c>
      <c r="J101" s="974">
        <v>7</v>
      </c>
      <c r="K101" s="956">
        <f>SUM(I101:J101)</f>
        <v>22</v>
      </c>
      <c r="L101" s="2551">
        <v>27</v>
      </c>
      <c r="M101" s="974">
        <v>6</v>
      </c>
      <c r="N101" s="956">
        <f>SUM(L101:M101)</f>
        <v>33</v>
      </c>
      <c r="O101" s="2551">
        <v>26</v>
      </c>
      <c r="P101" s="974">
        <v>8</v>
      </c>
      <c r="Q101" s="956">
        <f>SUM(O101:P101)</f>
        <v>34</v>
      </c>
    </row>
    <row r="102" spans="2:17" ht="14.4" x14ac:dyDescent="0.25">
      <c r="B102" s="2549" t="s">
        <v>64</v>
      </c>
      <c r="C102" s="2528">
        <f>SUM(C99:C100)</f>
        <v>4</v>
      </c>
      <c r="D102" s="2529">
        <f>SUM(D99:D100)</f>
        <v>5</v>
      </c>
      <c r="E102" s="2530">
        <f>SUM(E99:E100)</f>
        <v>9</v>
      </c>
      <c r="F102" s="2528">
        <f t="shared" ref="F102:K102" si="78">SUM(F99:F101)</f>
        <v>21</v>
      </c>
      <c r="G102" s="2529">
        <f t="shared" si="78"/>
        <v>20</v>
      </c>
      <c r="H102" s="2530">
        <f t="shared" si="78"/>
        <v>41</v>
      </c>
      <c r="I102" s="2528">
        <f t="shared" si="78"/>
        <v>73</v>
      </c>
      <c r="J102" s="2529">
        <f t="shared" si="78"/>
        <v>42</v>
      </c>
      <c r="K102" s="2530">
        <f t="shared" si="78"/>
        <v>115</v>
      </c>
      <c r="L102" s="2528">
        <f>SUM(L99:L101)</f>
        <v>86</v>
      </c>
      <c r="M102" s="2529">
        <f>SUM(M99:M101)</f>
        <v>39</v>
      </c>
      <c r="N102" s="2530">
        <f t="shared" ref="N102" si="79">SUM(N99:N101)</f>
        <v>125</v>
      </c>
      <c r="O102" s="2528">
        <f>SUM(O99:O101)</f>
        <v>73</v>
      </c>
      <c r="P102" s="2529">
        <f>SUM(P99:P101)</f>
        <v>35</v>
      </c>
      <c r="Q102" s="2530">
        <f t="shared" ref="Q102" si="80">SUM(Q99:Q101)</f>
        <v>108</v>
      </c>
    </row>
    <row r="103" spans="2:17" ht="14.4" x14ac:dyDescent="0.25">
      <c r="B103" s="2550" t="s">
        <v>124</v>
      </c>
      <c r="C103" s="2551">
        <v>2</v>
      </c>
      <c r="D103" s="974">
        <v>1</v>
      </c>
      <c r="E103" s="956">
        <f t="shared" si="52"/>
        <v>3</v>
      </c>
      <c r="F103" s="2551">
        <v>13</v>
      </c>
      <c r="G103" s="974">
        <v>3</v>
      </c>
      <c r="H103" s="956">
        <f>SUM(F103:G103)</f>
        <v>16</v>
      </c>
      <c r="I103" s="2551">
        <v>38</v>
      </c>
      <c r="J103" s="974">
        <v>13</v>
      </c>
      <c r="K103" s="956">
        <f>SUM(I103:J103)</f>
        <v>51</v>
      </c>
      <c r="L103" s="2551">
        <v>44</v>
      </c>
      <c r="M103" s="974">
        <v>10</v>
      </c>
      <c r="N103" s="956">
        <f>SUM(L103:M103)</f>
        <v>54</v>
      </c>
      <c r="O103" s="2551">
        <v>32</v>
      </c>
      <c r="P103" s="974">
        <v>7</v>
      </c>
      <c r="Q103" s="956">
        <f>SUM(O103:P103)</f>
        <v>39</v>
      </c>
    </row>
    <row r="104" spans="2:17" ht="14.4" x14ac:dyDescent="0.25">
      <c r="B104" s="2552" t="s">
        <v>125</v>
      </c>
      <c r="C104" s="2553"/>
      <c r="D104" s="2554"/>
      <c r="E104" s="2555">
        <f t="shared" si="52"/>
        <v>0</v>
      </c>
      <c r="F104" s="2553">
        <v>8</v>
      </c>
      <c r="G104" s="2554">
        <v>1</v>
      </c>
      <c r="H104" s="2555">
        <f>SUM(F104:G104)</f>
        <v>9</v>
      </c>
      <c r="I104" s="2553">
        <v>31</v>
      </c>
      <c r="J104" s="2554">
        <v>10</v>
      </c>
      <c r="K104" s="2555">
        <f>SUM(I104:J104)</f>
        <v>41</v>
      </c>
      <c r="L104" s="2553">
        <v>49</v>
      </c>
      <c r="M104" s="2554">
        <v>19</v>
      </c>
      <c r="N104" s="2555">
        <f>SUM(L104:M104)</f>
        <v>68</v>
      </c>
      <c r="O104" s="2553">
        <v>39</v>
      </c>
      <c r="P104" s="2554">
        <v>12</v>
      </c>
      <c r="Q104" s="2555">
        <f>SUM(O104:P104)</f>
        <v>51</v>
      </c>
    </row>
    <row r="105" spans="2:17" ht="14.4" x14ac:dyDescent="0.25">
      <c r="B105" s="2552" t="s">
        <v>126</v>
      </c>
      <c r="C105" s="2553"/>
      <c r="D105" s="2554"/>
      <c r="E105" s="2555">
        <f t="shared" si="52"/>
        <v>0</v>
      </c>
      <c r="F105" s="2553">
        <v>7</v>
      </c>
      <c r="G105" s="2554">
        <v>1</v>
      </c>
      <c r="H105" s="2555">
        <f>SUM(F105:G105)</f>
        <v>8</v>
      </c>
      <c r="I105" s="2553">
        <v>29</v>
      </c>
      <c r="J105" s="2554">
        <v>6</v>
      </c>
      <c r="K105" s="2555">
        <f>SUM(I105:J105)</f>
        <v>35</v>
      </c>
      <c r="L105" s="2553">
        <v>46</v>
      </c>
      <c r="M105" s="2554">
        <v>10</v>
      </c>
      <c r="N105" s="2555">
        <f>SUM(L105:M105)</f>
        <v>56</v>
      </c>
      <c r="O105" s="2553">
        <v>46</v>
      </c>
      <c r="P105" s="2554">
        <v>15</v>
      </c>
      <c r="Q105" s="2555">
        <f>SUM(O105:P105)</f>
        <v>61</v>
      </c>
    </row>
    <row r="106" spans="2:17" ht="14.4" x14ac:dyDescent="0.25">
      <c r="B106" s="2556" t="s">
        <v>92</v>
      </c>
      <c r="C106" s="2528">
        <f>SUM(C103:C104)</f>
        <v>2</v>
      </c>
      <c r="D106" s="2529">
        <f>SUM(D103:D104)</f>
        <v>1</v>
      </c>
      <c r="E106" s="2530">
        <f>SUM(E103:E104)</f>
        <v>3</v>
      </c>
      <c r="F106" s="2528">
        <f t="shared" ref="F106:K106" si="81">SUM(F103:F105)</f>
        <v>28</v>
      </c>
      <c r="G106" s="2529">
        <f t="shared" si="81"/>
        <v>5</v>
      </c>
      <c r="H106" s="2530">
        <f t="shared" si="81"/>
        <v>33</v>
      </c>
      <c r="I106" s="2528">
        <f t="shared" si="81"/>
        <v>98</v>
      </c>
      <c r="J106" s="2529">
        <f t="shared" si="81"/>
        <v>29</v>
      </c>
      <c r="K106" s="2530">
        <f t="shared" si="81"/>
        <v>127</v>
      </c>
      <c r="L106" s="2528">
        <f t="shared" ref="L106:N106" si="82">SUM(L103:L105)</f>
        <v>139</v>
      </c>
      <c r="M106" s="2529">
        <f t="shared" si="82"/>
        <v>39</v>
      </c>
      <c r="N106" s="2530">
        <f t="shared" si="82"/>
        <v>178</v>
      </c>
      <c r="O106" s="2528">
        <f>SUM(O103:O105)</f>
        <v>117</v>
      </c>
      <c r="P106" s="2529">
        <f t="shared" ref="P106:Q106" si="83">SUM(P103:P105)</f>
        <v>34</v>
      </c>
      <c r="Q106" s="2530">
        <f t="shared" si="83"/>
        <v>151</v>
      </c>
    </row>
    <row r="107" spans="2:17" ht="14.4" x14ac:dyDescent="0.25">
      <c r="B107" s="2398" t="s">
        <v>127</v>
      </c>
      <c r="C107" s="2557">
        <f>SUM(C98,C102,C106)</f>
        <v>9</v>
      </c>
      <c r="D107" s="2558">
        <f>SUM(D98,D102,D106)</f>
        <v>6</v>
      </c>
      <c r="E107" s="2559">
        <f>SUM(E98,E102,E106)</f>
        <v>15</v>
      </c>
      <c r="F107" s="2557">
        <f>SUM(F106,F102,F98)</f>
        <v>56</v>
      </c>
      <c r="G107" s="2558">
        <f>SUM(G106,G102,G98)</f>
        <v>38</v>
      </c>
      <c r="H107" s="2559">
        <f>SUM(H98,H102,H106)</f>
        <v>94</v>
      </c>
      <c r="I107" s="2557">
        <f>SUM(I106,I102,I98)</f>
        <v>193</v>
      </c>
      <c r="J107" s="2558">
        <f>SUM(J106,J102,J98)</f>
        <v>117</v>
      </c>
      <c r="K107" s="2559">
        <f>SUM(K98,K102,K106)</f>
        <v>310</v>
      </c>
      <c r="L107" s="2557">
        <f>SUM(L106,L102,L98)</f>
        <v>249</v>
      </c>
      <c r="M107" s="2558">
        <f>SUM(M106,M102,M98)</f>
        <v>126</v>
      </c>
      <c r="N107" s="2559">
        <f>SUM(N98,N102,N106)</f>
        <v>375</v>
      </c>
      <c r="O107" s="2557">
        <f>SUM(O106,O102,O98)</f>
        <v>205</v>
      </c>
      <c r="P107" s="2558">
        <f>SUM(P106,P102,P98)</f>
        <v>106</v>
      </c>
      <c r="Q107" s="2559">
        <f>SUM(Q98,Q102,Q106)</f>
        <v>311</v>
      </c>
    </row>
    <row r="108" spans="2:17" x14ac:dyDescent="0.25">
      <c r="C108" s="2193"/>
      <c r="D108" s="2193"/>
      <c r="E108" s="2193"/>
      <c r="F108" s="2193"/>
      <c r="G108" s="2193"/>
      <c r="H108" s="2193"/>
      <c r="I108" s="2193"/>
      <c r="J108" s="2193"/>
      <c r="K108" s="2193"/>
      <c r="L108" s="2193"/>
      <c r="M108" s="2193"/>
      <c r="N108" s="2193"/>
      <c r="O108" s="2193"/>
      <c r="P108" s="2193"/>
      <c r="Q108" s="2193"/>
    </row>
    <row r="109" spans="2:17" ht="14.4" x14ac:dyDescent="0.25">
      <c r="B109" s="1383" t="s">
        <v>431</v>
      </c>
      <c r="C109" s="2560">
        <f t="shared" ref="C109:H109" si="84">SUM(C79,C57,C26,C94,C107)</f>
        <v>380</v>
      </c>
      <c r="D109" s="2561">
        <f t="shared" si="84"/>
        <v>243</v>
      </c>
      <c r="E109" s="2562">
        <f t="shared" si="84"/>
        <v>623</v>
      </c>
      <c r="F109" s="2560">
        <f t="shared" si="84"/>
        <v>2883</v>
      </c>
      <c r="G109" s="2561">
        <f t="shared" si="84"/>
        <v>2072</v>
      </c>
      <c r="H109" s="2562">
        <f t="shared" si="84"/>
        <v>4955</v>
      </c>
      <c r="I109" s="2560">
        <f t="shared" ref="I109:N109" si="85">SUM(I79,I57,I26,I94,I107)</f>
        <v>7146</v>
      </c>
      <c r="J109" s="2561">
        <f t="shared" si="85"/>
        <v>4815</v>
      </c>
      <c r="K109" s="2562">
        <f t="shared" si="85"/>
        <v>11961</v>
      </c>
      <c r="L109" s="2560">
        <f t="shared" si="85"/>
        <v>9524</v>
      </c>
      <c r="M109" s="2561">
        <f t="shared" si="85"/>
        <v>6267</v>
      </c>
      <c r="N109" s="2562">
        <f t="shared" si="85"/>
        <v>15791</v>
      </c>
      <c r="O109" s="2560">
        <f t="shared" ref="O109:Q109" si="86">SUM(O79,O57,O26,O94,O107)</f>
        <v>8346</v>
      </c>
      <c r="P109" s="2561">
        <f t="shared" si="86"/>
        <v>5228</v>
      </c>
      <c r="Q109" s="2562">
        <f t="shared" si="86"/>
        <v>13574</v>
      </c>
    </row>
    <row r="110" spans="2:17" x14ac:dyDescent="0.25">
      <c r="B110" s="2341" t="s">
        <v>622</v>
      </c>
    </row>
  </sheetData>
  <mergeCells count="6">
    <mergeCell ref="O4:Q4"/>
    <mergeCell ref="B4:B5"/>
    <mergeCell ref="C4:E4"/>
    <mergeCell ref="F4:H4"/>
    <mergeCell ref="I4:K4"/>
    <mergeCell ref="L4:N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58" firstPageNumber="99" orientation="landscape" useFirstPageNumber="1" r:id="rId1"/>
  <headerFooter scaleWithDoc="0" alignWithMargins="0">
    <oddFooter>&amp;R&amp;P</oddFooter>
  </headerFooter>
  <rowBreaks count="1" manualBreakCount="1">
    <brk id="57" max="16383" man="1"/>
  </rowBreaks>
  <ignoredErrors>
    <ignoredError sqref="E26:N26 E16:K24 N16:N24 E25:K25 N25 E57:N57 E27:K56 N27:N56 E78:N79 E58:K77 N58:N77 E93:N94 E80:K92 N80:N92 E106:N109 E95:K105 N95:N105 Q16:Q21 Q84 Q64:Q73 Q98:Q102 Q37:Q49" formula="1"/>
  </ignoredError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</sheetPr>
  <dimension ref="A1:Z110"/>
  <sheetViews>
    <sheetView showGridLines="0" zoomScaleNormal="100" workbookViewId="0">
      <pane xSplit="2" ySplit="4" topLeftCell="S13" activePane="bottomRight" state="frozen"/>
      <selection activeCell="Q31" sqref="Q31"/>
      <selection pane="topRight" activeCell="Q31" sqref="Q31"/>
      <selection pane="bottomLeft" activeCell="Q31" sqref="Q31"/>
      <selection pane="bottomRight" activeCell="AE31" sqref="AE31"/>
    </sheetView>
  </sheetViews>
  <sheetFormatPr baseColWidth="10" defaultColWidth="11.44140625" defaultRowHeight="14.4" x14ac:dyDescent="0.25"/>
  <cols>
    <col min="1" max="1" width="2.88671875" style="2563" customWidth="1"/>
    <col min="2" max="2" width="45.44140625" style="2563" bestFit="1" customWidth="1"/>
    <col min="3" max="4" width="10" style="2563" customWidth="1"/>
    <col min="5" max="5" width="7.88671875" style="2563" customWidth="1"/>
    <col min="6" max="7" width="10" style="2563" customWidth="1"/>
    <col min="8" max="8" width="7.88671875" style="2563" customWidth="1"/>
    <col min="9" max="10" width="9.44140625" style="2563" customWidth="1"/>
    <col min="11" max="11" width="7.88671875" style="2563" customWidth="1"/>
    <col min="12" max="12" width="8.5546875" style="2563" customWidth="1"/>
    <col min="13" max="13" width="9.44140625" style="2563" customWidth="1"/>
    <col min="14" max="14" width="7.88671875" style="2563" customWidth="1"/>
    <col min="15" max="15" width="8.5546875" style="2563" customWidth="1"/>
    <col min="16" max="16" width="9.44140625" style="2563" customWidth="1"/>
    <col min="17" max="17" width="7.88671875" style="2563" customWidth="1"/>
    <col min="18" max="18" width="8.5546875" style="2563" customWidth="1"/>
    <col min="19" max="19" width="9" style="2563" customWidth="1"/>
    <col min="20" max="21" width="7.88671875" style="2563" customWidth="1"/>
    <col min="22" max="22" width="9" style="2563" customWidth="1"/>
    <col min="23" max="23" width="7.88671875" style="2563" customWidth="1"/>
    <col min="24" max="24" width="8.5546875" style="2563" bestFit="1" customWidth="1"/>
    <col min="25" max="25" width="9.44140625" style="2563" bestFit="1" customWidth="1"/>
    <col min="26" max="26" width="7.88671875" style="2563" customWidth="1"/>
    <col min="27" max="16384" width="11.44140625" style="2563"/>
  </cols>
  <sheetData>
    <row r="1" spans="1:26" ht="72" x14ac:dyDescent="0.25">
      <c r="B1" s="4688" t="s">
        <v>1587</v>
      </c>
    </row>
    <row r="3" spans="1:26" ht="15" customHeight="1" x14ac:dyDescent="0.25">
      <c r="A3" s="2564"/>
      <c r="B3" s="6052" t="s">
        <v>624</v>
      </c>
      <c r="C3" s="6066">
        <v>2014</v>
      </c>
      <c r="D3" s="6064"/>
      <c r="E3" s="6065"/>
      <c r="F3" s="6066">
        <v>2015</v>
      </c>
      <c r="G3" s="6064"/>
      <c r="H3" s="6065"/>
      <c r="I3" s="6064">
        <v>2017</v>
      </c>
      <c r="J3" s="6064"/>
      <c r="K3" s="6065"/>
      <c r="L3" s="6064">
        <v>2018</v>
      </c>
      <c r="M3" s="6064"/>
      <c r="N3" s="6065"/>
      <c r="O3" s="6064">
        <v>2019</v>
      </c>
      <c r="P3" s="6064"/>
      <c r="Q3" s="6065"/>
      <c r="R3" s="6064">
        <v>2020</v>
      </c>
      <c r="S3" s="6064"/>
      <c r="T3" s="6065"/>
      <c r="U3" s="6064">
        <v>2021</v>
      </c>
      <c r="V3" s="6064"/>
      <c r="W3" s="6065"/>
      <c r="X3" s="6064">
        <v>2022</v>
      </c>
      <c r="Y3" s="6064"/>
      <c r="Z3" s="6065"/>
    </row>
    <row r="4" spans="1:26" x14ac:dyDescent="0.25">
      <c r="A4" s="2564"/>
      <c r="B4" s="6053"/>
      <c r="C4" s="2565" t="s">
        <v>140</v>
      </c>
      <c r="D4" s="2565" t="s">
        <v>141</v>
      </c>
      <c r="E4" s="2566" t="s">
        <v>48</v>
      </c>
      <c r="F4" s="2565" t="s">
        <v>140</v>
      </c>
      <c r="G4" s="2565" t="s">
        <v>141</v>
      </c>
      <c r="H4" s="2566" t="s">
        <v>48</v>
      </c>
      <c r="I4" s="2565" t="s">
        <v>140</v>
      </c>
      <c r="J4" s="2565" t="s">
        <v>141</v>
      </c>
      <c r="K4" s="2566" t="s">
        <v>48</v>
      </c>
      <c r="L4" s="2565" t="s">
        <v>140</v>
      </c>
      <c r="M4" s="2565" t="s">
        <v>141</v>
      </c>
      <c r="N4" s="2566" t="s">
        <v>48</v>
      </c>
      <c r="O4" s="2565" t="s">
        <v>140</v>
      </c>
      <c r="P4" s="2565" t="s">
        <v>141</v>
      </c>
      <c r="Q4" s="2566" t="s">
        <v>48</v>
      </c>
      <c r="R4" s="2565" t="s">
        <v>140</v>
      </c>
      <c r="S4" s="2565" t="s">
        <v>141</v>
      </c>
      <c r="T4" s="2566" t="s">
        <v>48</v>
      </c>
      <c r="U4" s="2565" t="s">
        <v>140</v>
      </c>
      <c r="V4" s="2565" t="s">
        <v>141</v>
      </c>
      <c r="W4" s="2566" t="s">
        <v>48</v>
      </c>
      <c r="X4" s="2565" t="s">
        <v>140</v>
      </c>
      <c r="Y4" s="2565" t="s">
        <v>141</v>
      </c>
      <c r="Z4" s="2566" t="s">
        <v>48</v>
      </c>
    </row>
    <row r="5" spans="1:26" x14ac:dyDescent="0.25">
      <c r="A5" s="2564"/>
      <c r="B5" s="2567" t="s">
        <v>629</v>
      </c>
      <c r="C5" s="2568">
        <v>4</v>
      </c>
      <c r="D5" s="2569">
        <v>3</v>
      </c>
      <c r="E5" s="2570">
        <f>SUM(C5:D5)</f>
        <v>7</v>
      </c>
      <c r="F5" s="2568">
        <v>11</v>
      </c>
      <c r="G5" s="2571">
        <v>5</v>
      </c>
      <c r="H5" s="2570">
        <f>SUM(F5:G5)</f>
        <v>16</v>
      </c>
      <c r="I5" s="2568">
        <v>2</v>
      </c>
      <c r="J5" s="2571">
        <v>3</v>
      </c>
      <c r="K5" s="2570">
        <f>SUM(I5:J5)</f>
        <v>5</v>
      </c>
      <c r="L5" s="2568">
        <v>7</v>
      </c>
      <c r="M5" s="2571">
        <v>1</v>
      </c>
      <c r="N5" s="2570">
        <f>SUM(L5:M5)</f>
        <v>8</v>
      </c>
      <c r="O5" s="2568">
        <v>12</v>
      </c>
      <c r="P5" s="2571">
        <v>3</v>
      </c>
      <c r="Q5" s="2570">
        <f>SUM(O5:P5)</f>
        <v>15</v>
      </c>
      <c r="R5" s="2568">
        <v>14</v>
      </c>
      <c r="S5" s="2571">
        <v>5</v>
      </c>
      <c r="T5" s="2570">
        <f>SUM(R5:S5)</f>
        <v>19</v>
      </c>
      <c r="U5" s="2568">
        <v>16</v>
      </c>
      <c r="V5" s="2571">
        <v>5</v>
      </c>
      <c r="W5" s="2570">
        <f>SUM(U5:V5)</f>
        <v>21</v>
      </c>
      <c r="X5" s="2568"/>
      <c r="Y5" s="2571">
        <v>2</v>
      </c>
      <c r="Z5" s="2570">
        <f>SUM(X5:Y5)</f>
        <v>2</v>
      </c>
    </row>
    <row r="6" spans="1:26" x14ac:dyDescent="0.25">
      <c r="A6" s="2564"/>
      <c r="B6" s="2572" t="s">
        <v>630</v>
      </c>
      <c r="C6" s="2573"/>
      <c r="D6" s="2574">
        <v>3</v>
      </c>
      <c r="E6" s="2575">
        <f t="shared" ref="E6:E14" si="0">SUM(C6:D6)</f>
        <v>3</v>
      </c>
      <c r="F6" s="2573"/>
      <c r="G6" s="2576">
        <v>4</v>
      </c>
      <c r="H6" s="2575">
        <f t="shared" ref="H6:H14" si="1">SUM(F6:G6)</f>
        <v>4</v>
      </c>
      <c r="I6" s="2573">
        <v>1</v>
      </c>
      <c r="J6" s="2576">
        <v>2</v>
      </c>
      <c r="K6" s="2575">
        <f t="shared" ref="K6:K71" si="2">SUM(I6:J6)</f>
        <v>3</v>
      </c>
      <c r="L6" s="2573"/>
      <c r="M6" s="2576">
        <v>3</v>
      </c>
      <c r="N6" s="2575">
        <f t="shared" ref="N6:N71" si="3">SUM(L6:M6)</f>
        <v>3</v>
      </c>
      <c r="O6" s="2573"/>
      <c r="P6" s="2576">
        <v>1</v>
      </c>
      <c r="Q6" s="2575">
        <f t="shared" ref="Q6:Q50" si="4">SUM(O6:P6)</f>
        <v>1</v>
      </c>
      <c r="R6" s="2573">
        <v>4</v>
      </c>
      <c r="S6" s="2576">
        <v>7</v>
      </c>
      <c r="T6" s="2575">
        <f t="shared" ref="T6:T50" si="5">SUM(R6:S6)</f>
        <v>11</v>
      </c>
      <c r="U6" s="2573">
        <v>2</v>
      </c>
      <c r="V6" s="2576">
        <v>2</v>
      </c>
      <c r="W6" s="2575">
        <f t="shared" ref="W6:W50" si="6">SUM(U6:V6)</f>
        <v>4</v>
      </c>
      <c r="X6" s="2573">
        <v>1</v>
      </c>
      <c r="Y6" s="2576">
        <v>6</v>
      </c>
      <c r="Z6" s="2575">
        <f t="shared" ref="Z6:Z33" si="7">SUM(X6:Y6)</f>
        <v>7</v>
      </c>
    </row>
    <row r="7" spans="1:26" ht="15" customHeight="1" x14ac:dyDescent="0.25">
      <c r="A7" s="2564"/>
      <c r="B7" s="2572" t="s">
        <v>631</v>
      </c>
      <c r="C7" s="2573"/>
      <c r="D7" s="2574"/>
      <c r="E7" s="2575">
        <f t="shared" si="0"/>
        <v>0</v>
      </c>
      <c r="F7" s="2573"/>
      <c r="G7" s="2576">
        <v>4</v>
      </c>
      <c r="H7" s="2575">
        <f t="shared" si="1"/>
        <v>4</v>
      </c>
      <c r="I7" s="2573"/>
      <c r="J7" s="2576">
        <v>1</v>
      </c>
      <c r="K7" s="2575">
        <f t="shared" si="2"/>
        <v>1</v>
      </c>
      <c r="L7" s="2573"/>
      <c r="M7" s="2576">
        <v>1</v>
      </c>
      <c r="N7" s="2575">
        <f t="shared" si="3"/>
        <v>1</v>
      </c>
      <c r="O7" s="2573"/>
      <c r="P7" s="2576"/>
      <c r="Q7" s="2575">
        <f t="shared" si="4"/>
        <v>0</v>
      </c>
      <c r="R7" s="2573">
        <v>1</v>
      </c>
      <c r="S7" s="2576"/>
      <c r="T7" s="2575">
        <f t="shared" si="5"/>
        <v>1</v>
      </c>
      <c r="U7" s="2573"/>
      <c r="V7" s="2576">
        <v>2</v>
      </c>
      <c r="W7" s="2575">
        <f t="shared" si="6"/>
        <v>2</v>
      </c>
      <c r="X7" s="2573"/>
      <c r="Y7" s="2576"/>
      <c r="Z7" s="2575">
        <f t="shared" si="7"/>
        <v>0</v>
      </c>
    </row>
    <row r="8" spans="1:26" x14ac:dyDescent="0.25">
      <c r="A8" s="2564"/>
      <c r="B8" s="2572" t="s">
        <v>632</v>
      </c>
      <c r="C8" s="2573"/>
      <c r="D8" s="2574">
        <v>2</v>
      </c>
      <c r="E8" s="2575">
        <f t="shared" si="0"/>
        <v>2</v>
      </c>
      <c r="F8" s="2573">
        <v>3</v>
      </c>
      <c r="G8" s="2576">
        <v>6</v>
      </c>
      <c r="H8" s="2575">
        <f>SUM(F8:G8)</f>
        <v>9</v>
      </c>
      <c r="I8" s="2573"/>
      <c r="J8" s="2576">
        <v>2</v>
      </c>
      <c r="K8" s="2575">
        <f t="shared" si="2"/>
        <v>2</v>
      </c>
      <c r="L8" s="2573"/>
      <c r="M8" s="2576">
        <v>1</v>
      </c>
      <c r="N8" s="2575">
        <f t="shared" si="3"/>
        <v>1</v>
      </c>
      <c r="O8" s="2573">
        <v>2</v>
      </c>
      <c r="P8" s="2576">
        <v>2</v>
      </c>
      <c r="Q8" s="2575">
        <f t="shared" si="4"/>
        <v>4</v>
      </c>
      <c r="R8" s="2573">
        <v>3</v>
      </c>
      <c r="S8" s="2576">
        <v>9</v>
      </c>
      <c r="T8" s="2575">
        <f t="shared" si="5"/>
        <v>12</v>
      </c>
      <c r="U8" s="2573">
        <v>1</v>
      </c>
      <c r="V8" s="2576">
        <v>2</v>
      </c>
      <c r="W8" s="2575">
        <f t="shared" si="6"/>
        <v>3</v>
      </c>
      <c r="X8" s="2573"/>
      <c r="Y8" s="2576">
        <v>2</v>
      </c>
      <c r="Z8" s="2575">
        <f t="shared" si="7"/>
        <v>2</v>
      </c>
    </row>
    <row r="9" spans="1:26" x14ac:dyDescent="0.25">
      <c r="A9" s="2564"/>
      <c r="B9" s="2572" t="s">
        <v>633</v>
      </c>
      <c r="C9" s="2573">
        <v>2</v>
      </c>
      <c r="D9" s="2574">
        <v>3</v>
      </c>
      <c r="E9" s="2575">
        <f t="shared" si="0"/>
        <v>5</v>
      </c>
      <c r="F9" s="2573">
        <v>6</v>
      </c>
      <c r="G9" s="2576">
        <v>8</v>
      </c>
      <c r="H9" s="2575">
        <f t="shared" si="1"/>
        <v>14</v>
      </c>
      <c r="I9" s="2573"/>
      <c r="J9" s="2576">
        <v>1</v>
      </c>
      <c r="K9" s="2575">
        <f t="shared" si="2"/>
        <v>1</v>
      </c>
      <c r="L9" s="2573">
        <v>2</v>
      </c>
      <c r="M9" s="2576">
        <v>3</v>
      </c>
      <c r="N9" s="2575">
        <f t="shared" si="3"/>
        <v>5</v>
      </c>
      <c r="O9" s="2573">
        <v>1</v>
      </c>
      <c r="P9" s="2576">
        <v>1</v>
      </c>
      <c r="Q9" s="2575">
        <f t="shared" si="4"/>
        <v>2</v>
      </c>
      <c r="R9" s="2573">
        <v>3</v>
      </c>
      <c r="S9" s="2576">
        <v>5</v>
      </c>
      <c r="T9" s="2575">
        <f t="shared" si="5"/>
        <v>8</v>
      </c>
      <c r="U9" s="2573">
        <v>0</v>
      </c>
      <c r="V9" s="2576">
        <v>13</v>
      </c>
      <c r="W9" s="2575">
        <f t="shared" si="6"/>
        <v>13</v>
      </c>
      <c r="X9" s="2573">
        <v>1</v>
      </c>
      <c r="Y9" s="2576">
        <v>5</v>
      </c>
      <c r="Z9" s="2575">
        <f t="shared" si="7"/>
        <v>6</v>
      </c>
    </row>
    <row r="10" spans="1:26" x14ac:dyDescent="0.25">
      <c r="A10" s="2564"/>
      <c r="B10" s="2572" t="s">
        <v>634</v>
      </c>
      <c r="C10" s="2573"/>
      <c r="D10" s="2574">
        <v>1</v>
      </c>
      <c r="E10" s="2575">
        <f t="shared" si="0"/>
        <v>1</v>
      </c>
      <c r="F10" s="2573"/>
      <c r="G10" s="2576">
        <v>2</v>
      </c>
      <c r="H10" s="2575">
        <f t="shared" si="1"/>
        <v>2</v>
      </c>
      <c r="I10" s="2573"/>
      <c r="J10" s="2576">
        <v>1</v>
      </c>
      <c r="K10" s="2575">
        <f t="shared" si="2"/>
        <v>1</v>
      </c>
      <c r="L10" s="2573">
        <v>2</v>
      </c>
      <c r="M10" s="2576">
        <v>6</v>
      </c>
      <c r="N10" s="2575">
        <f t="shared" si="3"/>
        <v>8</v>
      </c>
      <c r="O10" s="2573">
        <v>3</v>
      </c>
      <c r="P10" s="2576">
        <v>8</v>
      </c>
      <c r="Q10" s="2575">
        <f t="shared" si="4"/>
        <v>11</v>
      </c>
      <c r="R10" s="2573">
        <v>6</v>
      </c>
      <c r="S10" s="2576">
        <v>11</v>
      </c>
      <c r="T10" s="2575">
        <f t="shared" si="5"/>
        <v>17</v>
      </c>
      <c r="U10" s="2573">
        <v>4</v>
      </c>
      <c r="V10" s="2576">
        <v>13</v>
      </c>
      <c r="W10" s="2575">
        <f t="shared" si="6"/>
        <v>17</v>
      </c>
      <c r="X10" s="2573">
        <v>3</v>
      </c>
      <c r="Y10" s="2576">
        <v>2</v>
      </c>
      <c r="Z10" s="2575">
        <f t="shared" si="7"/>
        <v>5</v>
      </c>
    </row>
    <row r="11" spans="1:26" x14ac:dyDescent="0.25">
      <c r="A11" s="2564"/>
      <c r="B11" s="2572" t="s">
        <v>635</v>
      </c>
      <c r="C11" s="2573">
        <v>1</v>
      </c>
      <c r="D11" s="2574"/>
      <c r="E11" s="2575">
        <f t="shared" si="0"/>
        <v>1</v>
      </c>
      <c r="F11" s="2573">
        <v>10</v>
      </c>
      <c r="G11" s="2576">
        <v>7</v>
      </c>
      <c r="H11" s="2575">
        <f t="shared" si="1"/>
        <v>17</v>
      </c>
      <c r="I11" s="2573">
        <v>7</v>
      </c>
      <c r="J11" s="2576">
        <v>3</v>
      </c>
      <c r="K11" s="2575">
        <f t="shared" si="2"/>
        <v>10</v>
      </c>
      <c r="L11" s="2573">
        <v>1</v>
      </c>
      <c r="M11" s="2576">
        <v>2</v>
      </c>
      <c r="N11" s="2575">
        <f t="shared" si="3"/>
        <v>3</v>
      </c>
      <c r="O11" s="2573">
        <v>1</v>
      </c>
      <c r="P11" s="2576">
        <v>4</v>
      </c>
      <c r="Q11" s="2575">
        <f t="shared" si="4"/>
        <v>5</v>
      </c>
      <c r="R11" s="2573">
        <v>6</v>
      </c>
      <c r="S11" s="2576">
        <v>7</v>
      </c>
      <c r="T11" s="2575">
        <f t="shared" si="5"/>
        <v>13</v>
      </c>
      <c r="U11" s="2573">
        <v>6</v>
      </c>
      <c r="V11" s="2576">
        <v>7</v>
      </c>
      <c r="W11" s="2575">
        <f t="shared" si="6"/>
        <v>13</v>
      </c>
      <c r="X11" s="2573">
        <v>3</v>
      </c>
      <c r="Y11" s="2576">
        <v>8</v>
      </c>
      <c r="Z11" s="2575">
        <f t="shared" si="7"/>
        <v>11</v>
      </c>
    </row>
    <row r="12" spans="1:26" x14ac:dyDescent="0.25">
      <c r="A12" s="2564"/>
      <c r="B12" s="2572" t="s">
        <v>636</v>
      </c>
      <c r="C12" s="2573"/>
      <c r="D12" s="2574">
        <v>2</v>
      </c>
      <c r="E12" s="2575">
        <f t="shared" si="0"/>
        <v>2</v>
      </c>
      <c r="F12" s="2573">
        <v>3</v>
      </c>
      <c r="G12" s="2576">
        <v>4</v>
      </c>
      <c r="H12" s="2575">
        <f t="shared" si="1"/>
        <v>7</v>
      </c>
      <c r="I12" s="2573"/>
      <c r="J12" s="2576">
        <v>3</v>
      </c>
      <c r="K12" s="2575">
        <f t="shared" si="2"/>
        <v>3</v>
      </c>
      <c r="L12" s="2573">
        <v>1</v>
      </c>
      <c r="M12" s="2576">
        <v>6</v>
      </c>
      <c r="N12" s="2575">
        <f t="shared" si="3"/>
        <v>7</v>
      </c>
      <c r="O12" s="2573">
        <v>3</v>
      </c>
      <c r="P12" s="2576">
        <v>6</v>
      </c>
      <c r="Q12" s="2575">
        <f t="shared" si="4"/>
        <v>9</v>
      </c>
      <c r="R12" s="2573">
        <v>2</v>
      </c>
      <c r="S12" s="2576">
        <v>9</v>
      </c>
      <c r="T12" s="2575">
        <f t="shared" si="5"/>
        <v>11</v>
      </c>
      <c r="U12" s="2573"/>
      <c r="V12" s="2576">
        <v>12</v>
      </c>
      <c r="W12" s="2575">
        <f t="shared" si="6"/>
        <v>12</v>
      </c>
      <c r="X12" s="2573"/>
      <c r="Y12" s="2576">
        <v>5</v>
      </c>
      <c r="Z12" s="2575">
        <f t="shared" si="7"/>
        <v>5</v>
      </c>
    </row>
    <row r="13" spans="1:26" x14ac:dyDescent="0.25">
      <c r="A13" s="2564"/>
      <c r="B13" s="2572" t="s">
        <v>637</v>
      </c>
      <c r="C13" s="2573"/>
      <c r="D13" s="2574">
        <v>1</v>
      </c>
      <c r="E13" s="2575">
        <f t="shared" si="0"/>
        <v>1</v>
      </c>
      <c r="F13" s="2573"/>
      <c r="G13" s="2576">
        <v>1</v>
      </c>
      <c r="H13" s="2575">
        <f t="shared" si="1"/>
        <v>1</v>
      </c>
      <c r="I13" s="2573">
        <v>1</v>
      </c>
      <c r="J13" s="2576">
        <v>2</v>
      </c>
      <c r="K13" s="2575">
        <f t="shared" si="2"/>
        <v>3</v>
      </c>
      <c r="L13" s="2573">
        <v>1</v>
      </c>
      <c r="M13" s="2576">
        <v>3</v>
      </c>
      <c r="N13" s="2575">
        <f t="shared" si="3"/>
        <v>4</v>
      </c>
      <c r="O13" s="2573">
        <v>5</v>
      </c>
      <c r="P13" s="2576">
        <v>6</v>
      </c>
      <c r="Q13" s="2575">
        <f t="shared" si="4"/>
        <v>11</v>
      </c>
      <c r="R13" s="2573">
        <v>3</v>
      </c>
      <c r="S13" s="2576">
        <v>7</v>
      </c>
      <c r="T13" s="2575">
        <f t="shared" si="5"/>
        <v>10</v>
      </c>
      <c r="U13" s="2573">
        <v>1</v>
      </c>
      <c r="V13" s="2576">
        <v>2</v>
      </c>
      <c r="W13" s="2575">
        <f t="shared" si="6"/>
        <v>3</v>
      </c>
      <c r="X13" s="2573">
        <v>4</v>
      </c>
      <c r="Y13" s="2576">
        <v>2</v>
      </c>
      <c r="Z13" s="2575">
        <f t="shared" si="7"/>
        <v>6</v>
      </c>
    </row>
    <row r="14" spans="1:26" x14ac:dyDescent="0.25">
      <c r="A14" s="2564"/>
      <c r="B14" s="2572" t="s">
        <v>638</v>
      </c>
      <c r="C14" s="2573"/>
      <c r="D14" s="2574"/>
      <c r="E14" s="2575">
        <f t="shared" si="0"/>
        <v>0</v>
      </c>
      <c r="F14" s="2573">
        <v>1</v>
      </c>
      <c r="G14" s="2576">
        <v>1</v>
      </c>
      <c r="H14" s="2575">
        <f t="shared" si="1"/>
        <v>2</v>
      </c>
      <c r="I14" s="2573">
        <v>1</v>
      </c>
      <c r="J14" s="2576">
        <v>1</v>
      </c>
      <c r="K14" s="2575">
        <f t="shared" si="2"/>
        <v>2</v>
      </c>
      <c r="L14" s="2573">
        <v>3</v>
      </c>
      <c r="M14" s="2576">
        <v>2</v>
      </c>
      <c r="N14" s="2575">
        <f t="shared" si="3"/>
        <v>5</v>
      </c>
      <c r="O14" s="2573">
        <v>7</v>
      </c>
      <c r="P14" s="2576">
        <v>3</v>
      </c>
      <c r="Q14" s="2575">
        <f t="shared" si="4"/>
        <v>10</v>
      </c>
      <c r="R14" s="2573">
        <v>21</v>
      </c>
      <c r="S14" s="2576">
        <v>10</v>
      </c>
      <c r="T14" s="2575">
        <f t="shared" si="5"/>
        <v>31</v>
      </c>
      <c r="U14" s="2573">
        <v>20</v>
      </c>
      <c r="V14" s="2576">
        <v>13</v>
      </c>
      <c r="W14" s="2575">
        <f t="shared" si="6"/>
        <v>33</v>
      </c>
      <c r="X14" s="2573">
        <v>9</v>
      </c>
      <c r="Y14" s="2576">
        <v>6</v>
      </c>
      <c r="Z14" s="2575">
        <f t="shared" si="7"/>
        <v>15</v>
      </c>
    </row>
    <row r="15" spans="1:26" x14ac:dyDescent="0.25">
      <c r="A15" s="2564"/>
      <c r="B15" s="2577" t="s">
        <v>59</v>
      </c>
      <c r="C15" s="2578">
        <f t="shared" ref="C15:I15" si="8">SUM(C5:C14)</f>
        <v>7</v>
      </c>
      <c r="D15" s="2579">
        <f t="shared" si="8"/>
        <v>15</v>
      </c>
      <c r="E15" s="2580">
        <f t="shared" si="8"/>
        <v>22</v>
      </c>
      <c r="F15" s="2578">
        <f t="shared" si="8"/>
        <v>34</v>
      </c>
      <c r="G15" s="2581">
        <f t="shared" si="8"/>
        <v>42</v>
      </c>
      <c r="H15" s="2580">
        <f t="shared" si="8"/>
        <v>76</v>
      </c>
      <c r="I15" s="2578">
        <f t="shared" si="8"/>
        <v>12</v>
      </c>
      <c r="J15" s="2581">
        <f>SUM(J5:J14)</f>
        <v>19</v>
      </c>
      <c r="K15" s="2580">
        <f t="shared" si="2"/>
        <v>31</v>
      </c>
      <c r="L15" s="2578">
        <f>SUM(L5:L14)</f>
        <v>17</v>
      </c>
      <c r="M15" s="2581">
        <f>SUM(M5:M14)</f>
        <v>28</v>
      </c>
      <c r="N15" s="2580">
        <f t="shared" si="3"/>
        <v>45</v>
      </c>
      <c r="O15" s="2578">
        <f>SUM(O5:O14)</f>
        <v>34</v>
      </c>
      <c r="P15" s="2581">
        <f>SUM(P5:P14)</f>
        <v>34</v>
      </c>
      <c r="Q15" s="2580">
        <f t="shared" si="4"/>
        <v>68</v>
      </c>
      <c r="R15" s="2578">
        <f>SUM(R5:R14)</f>
        <v>63</v>
      </c>
      <c r="S15" s="2581">
        <f>SUM(S5:S14)</f>
        <v>70</v>
      </c>
      <c r="T15" s="2580">
        <f t="shared" si="5"/>
        <v>133</v>
      </c>
      <c r="U15" s="2578">
        <f>SUM(U5:U14)</f>
        <v>50</v>
      </c>
      <c r="V15" s="2581">
        <f>SUM(V5:V14)</f>
        <v>71</v>
      </c>
      <c r="W15" s="2580">
        <f t="shared" si="6"/>
        <v>121</v>
      </c>
      <c r="X15" s="2578">
        <f>SUM(X5:X14)</f>
        <v>21</v>
      </c>
      <c r="Y15" s="2581">
        <f>SUM(Y5:Y14)</f>
        <v>38</v>
      </c>
      <c r="Z15" s="2580">
        <f t="shared" si="7"/>
        <v>59</v>
      </c>
    </row>
    <row r="16" spans="1:26" x14ac:dyDescent="0.25">
      <c r="A16" s="2564"/>
      <c r="B16" s="2572" t="s">
        <v>60</v>
      </c>
      <c r="C16" s="2573">
        <v>24</v>
      </c>
      <c r="D16" s="2574">
        <v>9</v>
      </c>
      <c r="E16" s="2575">
        <f>SUM(C16:D16)</f>
        <v>33</v>
      </c>
      <c r="F16" s="2573">
        <v>19</v>
      </c>
      <c r="G16" s="2576">
        <v>4</v>
      </c>
      <c r="H16" s="2575">
        <f>SUM(F16:G16)</f>
        <v>23</v>
      </c>
      <c r="I16" s="2573">
        <v>4</v>
      </c>
      <c r="J16" s="2576">
        <v>1</v>
      </c>
      <c r="K16" s="2575">
        <f t="shared" si="2"/>
        <v>5</v>
      </c>
      <c r="L16" s="2573">
        <v>11</v>
      </c>
      <c r="M16" s="2576">
        <v>1</v>
      </c>
      <c r="N16" s="2575">
        <f t="shared" si="3"/>
        <v>12</v>
      </c>
      <c r="O16" s="2573">
        <v>7</v>
      </c>
      <c r="P16" s="2576">
        <v>2</v>
      </c>
      <c r="Q16" s="2575">
        <f t="shared" si="4"/>
        <v>9</v>
      </c>
      <c r="R16" s="2573">
        <v>12</v>
      </c>
      <c r="S16" s="2576">
        <v>6</v>
      </c>
      <c r="T16" s="2575">
        <f t="shared" si="5"/>
        <v>18</v>
      </c>
      <c r="U16" s="2573">
        <v>12</v>
      </c>
      <c r="V16" s="2576">
        <v>5</v>
      </c>
      <c r="W16" s="2575">
        <f t="shared" si="6"/>
        <v>17</v>
      </c>
      <c r="X16" s="2573">
        <v>18</v>
      </c>
      <c r="Y16" s="2576">
        <v>6</v>
      </c>
      <c r="Z16" s="2575">
        <f t="shared" si="7"/>
        <v>24</v>
      </c>
    </row>
    <row r="17" spans="1:26" x14ac:dyDescent="0.25">
      <c r="A17" s="2564"/>
      <c r="B17" s="2572" t="s">
        <v>61</v>
      </c>
      <c r="C17" s="2573">
        <v>6</v>
      </c>
      <c r="D17" s="2574">
        <v>5</v>
      </c>
      <c r="E17" s="2575">
        <f>SUM(C17:D17)</f>
        <v>11</v>
      </c>
      <c r="F17" s="2573">
        <v>12</v>
      </c>
      <c r="G17" s="2576">
        <v>10</v>
      </c>
      <c r="H17" s="2575">
        <f>SUM(F17:G17)</f>
        <v>22</v>
      </c>
      <c r="I17" s="2573">
        <v>1</v>
      </c>
      <c r="J17" s="2576">
        <v>1</v>
      </c>
      <c r="K17" s="2575">
        <f t="shared" si="2"/>
        <v>2</v>
      </c>
      <c r="L17" s="2573">
        <v>3</v>
      </c>
      <c r="M17" s="2576">
        <v>1</v>
      </c>
      <c r="N17" s="2575">
        <f t="shared" si="3"/>
        <v>4</v>
      </c>
      <c r="O17" s="2573">
        <v>16</v>
      </c>
      <c r="P17" s="2576">
        <v>6</v>
      </c>
      <c r="Q17" s="2575">
        <f t="shared" si="4"/>
        <v>22</v>
      </c>
      <c r="R17" s="2573">
        <v>30</v>
      </c>
      <c r="S17" s="2576">
        <v>9</v>
      </c>
      <c r="T17" s="2575">
        <f t="shared" si="5"/>
        <v>39</v>
      </c>
      <c r="U17" s="2573">
        <v>15</v>
      </c>
      <c r="V17" s="2576">
        <v>4</v>
      </c>
      <c r="W17" s="2575">
        <f t="shared" si="6"/>
        <v>19</v>
      </c>
      <c r="X17" s="2573">
        <v>27</v>
      </c>
      <c r="Y17" s="2576">
        <v>6</v>
      </c>
      <c r="Z17" s="2575">
        <f t="shared" si="7"/>
        <v>33</v>
      </c>
    </row>
    <row r="18" spans="1:26" x14ac:dyDescent="0.25">
      <c r="A18" s="2564"/>
      <c r="B18" s="2572" t="s">
        <v>62</v>
      </c>
      <c r="C18" s="2573">
        <v>3</v>
      </c>
      <c r="D18" s="2574">
        <v>5</v>
      </c>
      <c r="E18" s="2575">
        <f>SUM(C18:D18)</f>
        <v>8</v>
      </c>
      <c r="F18" s="2573">
        <v>6</v>
      </c>
      <c r="G18" s="2576">
        <v>8</v>
      </c>
      <c r="H18" s="2575">
        <f>SUM(F18:G18)</f>
        <v>14</v>
      </c>
      <c r="I18" s="2573"/>
      <c r="J18" s="2576"/>
      <c r="K18" s="2575">
        <f t="shared" si="2"/>
        <v>0</v>
      </c>
      <c r="L18" s="2573">
        <v>1</v>
      </c>
      <c r="M18" s="2576">
        <v>4</v>
      </c>
      <c r="N18" s="2575">
        <f t="shared" si="3"/>
        <v>5</v>
      </c>
      <c r="O18" s="2573">
        <v>5</v>
      </c>
      <c r="P18" s="2576">
        <v>1</v>
      </c>
      <c r="Q18" s="2575">
        <f t="shared" si="4"/>
        <v>6</v>
      </c>
      <c r="R18" s="2573">
        <v>8</v>
      </c>
      <c r="S18" s="2576">
        <v>5</v>
      </c>
      <c r="T18" s="2575">
        <f t="shared" si="5"/>
        <v>13</v>
      </c>
      <c r="U18" s="2573">
        <v>6</v>
      </c>
      <c r="V18" s="2576">
        <v>5</v>
      </c>
      <c r="W18" s="2575">
        <f t="shared" si="6"/>
        <v>11</v>
      </c>
      <c r="X18" s="2573">
        <v>5</v>
      </c>
      <c r="Y18" s="2576">
        <v>9</v>
      </c>
      <c r="Z18" s="2575">
        <f t="shared" si="7"/>
        <v>14</v>
      </c>
    </row>
    <row r="19" spans="1:26" x14ac:dyDescent="0.25">
      <c r="A19" s="2564"/>
      <c r="B19" s="2572" t="s">
        <v>63</v>
      </c>
      <c r="C19" s="2573">
        <v>12</v>
      </c>
      <c r="D19" s="2574">
        <v>8</v>
      </c>
      <c r="E19" s="2575">
        <f>SUM(C19:D19)</f>
        <v>20</v>
      </c>
      <c r="F19" s="2573">
        <v>11</v>
      </c>
      <c r="G19" s="2576">
        <v>4</v>
      </c>
      <c r="H19" s="2575">
        <f>SUM(F19:G19)</f>
        <v>15</v>
      </c>
      <c r="I19" s="2573">
        <v>1</v>
      </c>
      <c r="J19" s="2576">
        <v>1</v>
      </c>
      <c r="K19" s="2575">
        <f t="shared" si="2"/>
        <v>2</v>
      </c>
      <c r="L19" s="2573">
        <v>8</v>
      </c>
      <c r="M19" s="2576">
        <v>2</v>
      </c>
      <c r="N19" s="2575">
        <f t="shared" si="3"/>
        <v>10</v>
      </c>
      <c r="O19" s="2573">
        <v>6</v>
      </c>
      <c r="P19" s="2576">
        <v>5</v>
      </c>
      <c r="Q19" s="2575">
        <f t="shared" si="4"/>
        <v>11</v>
      </c>
      <c r="R19" s="2573">
        <v>11</v>
      </c>
      <c r="S19" s="2576">
        <v>5</v>
      </c>
      <c r="T19" s="2575">
        <f t="shared" si="5"/>
        <v>16</v>
      </c>
      <c r="U19" s="2573">
        <v>6</v>
      </c>
      <c r="V19" s="2576"/>
      <c r="W19" s="2575">
        <f t="shared" si="6"/>
        <v>6</v>
      </c>
      <c r="X19" s="2573">
        <v>2</v>
      </c>
      <c r="Y19" s="2576">
        <v>3</v>
      </c>
      <c r="Z19" s="2575">
        <f t="shared" si="7"/>
        <v>5</v>
      </c>
    </row>
    <row r="20" spans="1:26" s="2564" customFormat="1" x14ac:dyDescent="0.25">
      <c r="B20" s="2577" t="s">
        <v>64</v>
      </c>
      <c r="C20" s="2578">
        <f t="shared" ref="C20:I20" si="9">SUM(C16:C19)</f>
        <v>45</v>
      </c>
      <c r="D20" s="2579">
        <f t="shared" si="9"/>
        <v>27</v>
      </c>
      <c r="E20" s="2580">
        <f t="shared" si="9"/>
        <v>72</v>
      </c>
      <c r="F20" s="2578">
        <f t="shared" si="9"/>
        <v>48</v>
      </c>
      <c r="G20" s="2581">
        <f t="shared" si="9"/>
        <v>26</v>
      </c>
      <c r="H20" s="2580">
        <f t="shared" si="9"/>
        <v>74</v>
      </c>
      <c r="I20" s="2578">
        <f t="shared" si="9"/>
        <v>6</v>
      </c>
      <c r="J20" s="2581">
        <f>SUM(J16:J19)</f>
        <v>3</v>
      </c>
      <c r="K20" s="2580">
        <f t="shared" si="2"/>
        <v>9</v>
      </c>
      <c r="L20" s="2578">
        <f>SUM(L16:L19)</f>
        <v>23</v>
      </c>
      <c r="M20" s="2581">
        <f>SUM(M16:M19)</f>
        <v>8</v>
      </c>
      <c r="N20" s="2580">
        <f t="shared" si="3"/>
        <v>31</v>
      </c>
      <c r="O20" s="2578">
        <f>SUM(O16:O19)</f>
        <v>34</v>
      </c>
      <c r="P20" s="2581">
        <f>SUM(P16:P19)</f>
        <v>14</v>
      </c>
      <c r="Q20" s="2580">
        <f t="shared" si="4"/>
        <v>48</v>
      </c>
      <c r="R20" s="2578">
        <f>SUM(R16:R19)</f>
        <v>61</v>
      </c>
      <c r="S20" s="2581">
        <f>SUM(S16:S19)</f>
        <v>25</v>
      </c>
      <c r="T20" s="2580">
        <f t="shared" si="5"/>
        <v>86</v>
      </c>
      <c r="U20" s="2578">
        <f>SUM(U16:U19)</f>
        <v>39</v>
      </c>
      <c r="V20" s="2581">
        <f>SUM(V16:V19)</f>
        <v>14</v>
      </c>
      <c r="W20" s="2580">
        <f t="shared" si="6"/>
        <v>53</v>
      </c>
      <c r="X20" s="2578">
        <f>SUM(X16:X19)</f>
        <v>52</v>
      </c>
      <c r="Y20" s="2581">
        <f>SUM(Y16:Y19)</f>
        <v>24</v>
      </c>
      <c r="Z20" s="2580">
        <f t="shared" si="7"/>
        <v>76</v>
      </c>
    </row>
    <row r="21" spans="1:26" x14ac:dyDescent="0.25">
      <c r="A21" s="2564"/>
      <c r="B21" s="2572" t="s">
        <v>65</v>
      </c>
      <c r="C21" s="2573">
        <v>3</v>
      </c>
      <c r="D21" s="2574">
        <v>2</v>
      </c>
      <c r="E21" s="2575">
        <f>SUM(C21:D21)</f>
        <v>5</v>
      </c>
      <c r="F21" s="2573">
        <v>11</v>
      </c>
      <c r="G21" s="2576">
        <v>7</v>
      </c>
      <c r="H21" s="2575">
        <f>SUM(F21:G21)</f>
        <v>18</v>
      </c>
      <c r="I21" s="2573">
        <v>1</v>
      </c>
      <c r="J21" s="2576"/>
      <c r="K21" s="2575">
        <f t="shared" si="2"/>
        <v>1</v>
      </c>
      <c r="L21" s="2573">
        <v>5</v>
      </c>
      <c r="M21" s="2576">
        <v>2</v>
      </c>
      <c r="N21" s="2575">
        <f t="shared" si="3"/>
        <v>7</v>
      </c>
      <c r="O21" s="2573">
        <v>4</v>
      </c>
      <c r="P21" s="2576">
        <v>3</v>
      </c>
      <c r="Q21" s="2575">
        <f t="shared" si="4"/>
        <v>7</v>
      </c>
      <c r="R21" s="2573">
        <v>3</v>
      </c>
      <c r="S21" s="2576">
        <v>6</v>
      </c>
      <c r="T21" s="2575">
        <f t="shared" si="5"/>
        <v>9</v>
      </c>
      <c r="U21" s="2573">
        <v>13</v>
      </c>
      <c r="V21" s="2576">
        <v>6</v>
      </c>
      <c r="W21" s="2575">
        <f t="shared" si="6"/>
        <v>19</v>
      </c>
      <c r="X21" s="2573">
        <v>9</v>
      </c>
      <c r="Y21" s="2576">
        <v>9</v>
      </c>
      <c r="Z21" s="2575">
        <f t="shared" si="7"/>
        <v>18</v>
      </c>
    </row>
    <row r="22" spans="1:26" x14ac:dyDescent="0.25">
      <c r="A22" s="2564"/>
      <c r="B22" s="2572" t="s">
        <v>66</v>
      </c>
      <c r="C22" s="2573">
        <v>3</v>
      </c>
      <c r="D22" s="2574">
        <v>1</v>
      </c>
      <c r="E22" s="2575">
        <f>SUM(C22:D22)</f>
        <v>4</v>
      </c>
      <c r="F22" s="2573">
        <v>18</v>
      </c>
      <c r="G22" s="2576">
        <v>7</v>
      </c>
      <c r="H22" s="2575">
        <f>SUM(F22:G22)</f>
        <v>25</v>
      </c>
      <c r="I22" s="2573">
        <v>5</v>
      </c>
      <c r="J22" s="2576">
        <v>4</v>
      </c>
      <c r="K22" s="2575">
        <f t="shared" si="2"/>
        <v>9</v>
      </c>
      <c r="L22" s="2573">
        <v>4</v>
      </c>
      <c r="M22" s="2576">
        <v>2</v>
      </c>
      <c r="N22" s="2575">
        <f t="shared" si="3"/>
        <v>6</v>
      </c>
      <c r="O22" s="2573">
        <v>5</v>
      </c>
      <c r="P22" s="2576">
        <v>3</v>
      </c>
      <c r="Q22" s="2575">
        <f t="shared" si="4"/>
        <v>8</v>
      </c>
      <c r="R22" s="2573">
        <v>23</v>
      </c>
      <c r="S22" s="2576">
        <v>3</v>
      </c>
      <c r="T22" s="2575">
        <f t="shared" si="5"/>
        <v>26</v>
      </c>
      <c r="U22" s="2573">
        <v>23</v>
      </c>
      <c r="V22" s="2576">
        <v>11</v>
      </c>
      <c r="W22" s="2575">
        <f t="shared" si="6"/>
        <v>34</v>
      </c>
      <c r="X22" s="2573">
        <v>5</v>
      </c>
      <c r="Y22" s="2576">
        <v>2</v>
      </c>
      <c r="Z22" s="2575">
        <f t="shared" si="7"/>
        <v>7</v>
      </c>
    </row>
    <row r="23" spans="1:26" x14ac:dyDescent="0.25">
      <c r="A23" s="2564"/>
      <c r="B23" s="2572" t="s">
        <v>67</v>
      </c>
      <c r="C23" s="2573">
        <v>2</v>
      </c>
      <c r="D23" s="2574">
        <v>4</v>
      </c>
      <c r="E23" s="2575">
        <f>SUM(C23:D23)</f>
        <v>6</v>
      </c>
      <c r="F23" s="2573">
        <v>16</v>
      </c>
      <c r="G23" s="2576">
        <v>8</v>
      </c>
      <c r="H23" s="2575">
        <f>SUM(F23:G23)</f>
        <v>24</v>
      </c>
      <c r="I23" s="2573"/>
      <c r="J23" s="2576"/>
      <c r="K23" s="2575">
        <f t="shared" si="2"/>
        <v>0</v>
      </c>
      <c r="L23" s="2573">
        <v>7</v>
      </c>
      <c r="M23" s="2576">
        <v>5</v>
      </c>
      <c r="N23" s="2575">
        <f t="shared" si="3"/>
        <v>12</v>
      </c>
      <c r="O23" s="2573">
        <v>5</v>
      </c>
      <c r="P23" s="2576">
        <v>3</v>
      </c>
      <c r="Q23" s="2575">
        <f t="shared" si="4"/>
        <v>8</v>
      </c>
      <c r="R23" s="2573">
        <v>16</v>
      </c>
      <c r="S23" s="2576">
        <v>5</v>
      </c>
      <c r="T23" s="2575">
        <f t="shared" si="5"/>
        <v>21</v>
      </c>
      <c r="U23" s="2573">
        <v>9</v>
      </c>
      <c r="V23" s="2576">
        <v>5</v>
      </c>
      <c r="W23" s="2575">
        <f t="shared" si="6"/>
        <v>14</v>
      </c>
      <c r="X23" s="2573">
        <v>6</v>
      </c>
      <c r="Y23" s="2576">
        <v>3</v>
      </c>
      <c r="Z23" s="2575">
        <f t="shared" si="7"/>
        <v>9</v>
      </c>
    </row>
    <row r="24" spans="1:26" s="2564" customFormat="1" x14ac:dyDescent="0.25">
      <c r="B24" s="2577" t="s">
        <v>68</v>
      </c>
      <c r="C24" s="2582">
        <f t="shared" ref="C24:H24" si="10">SUM(C21:C23)</f>
        <v>8</v>
      </c>
      <c r="D24" s="2583">
        <f t="shared" si="10"/>
        <v>7</v>
      </c>
      <c r="E24" s="2584">
        <f t="shared" si="10"/>
        <v>15</v>
      </c>
      <c r="F24" s="2582">
        <f t="shared" si="10"/>
        <v>45</v>
      </c>
      <c r="G24" s="2585">
        <f t="shared" si="10"/>
        <v>22</v>
      </c>
      <c r="H24" s="2584">
        <f t="shared" si="10"/>
        <v>67</v>
      </c>
      <c r="I24" s="2582">
        <f>SUM(I21:I23)</f>
        <v>6</v>
      </c>
      <c r="J24" s="2585">
        <f>SUM(J21:J23)</f>
        <v>4</v>
      </c>
      <c r="K24" s="2584">
        <f t="shared" si="2"/>
        <v>10</v>
      </c>
      <c r="L24" s="2582">
        <f>SUM(L21:L23)</f>
        <v>16</v>
      </c>
      <c r="M24" s="2585">
        <f>SUM(M21:M23)</f>
        <v>9</v>
      </c>
      <c r="N24" s="2584">
        <f t="shared" si="3"/>
        <v>25</v>
      </c>
      <c r="O24" s="2582">
        <f>SUM(O21:O23)</f>
        <v>14</v>
      </c>
      <c r="P24" s="2585">
        <f>SUM(P21:P23)</f>
        <v>9</v>
      </c>
      <c r="Q24" s="2584">
        <f t="shared" si="4"/>
        <v>23</v>
      </c>
      <c r="R24" s="2582">
        <f>SUM(R21:R23)</f>
        <v>42</v>
      </c>
      <c r="S24" s="2585">
        <f>SUM(S21:S23)</f>
        <v>14</v>
      </c>
      <c r="T24" s="2584">
        <f t="shared" si="5"/>
        <v>56</v>
      </c>
      <c r="U24" s="2582">
        <f>SUM(U21:U23)</f>
        <v>45</v>
      </c>
      <c r="V24" s="2585">
        <f>SUM(V21:V23)</f>
        <v>22</v>
      </c>
      <c r="W24" s="2584">
        <f t="shared" si="6"/>
        <v>67</v>
      </c>
      <c r="X24" s="2582">
        <f>SUM(X21:X23)</f>
        <v>20</v>
      </c>
      <c r="Y24" s="2585">
        <f>SUM(Y21:Y23)</f>
        <v>14</v>
      </c>
      <c r="Z24" s="2584">
        <f t="shared" si="7"/>
        <v>34</v>
      </c>
    </row>
    <row r="25" spans="1:26" s="2564" customFormat="1" x14ac:dyDescent="0.25">
      <c r="B25" s="2586" t="s">
        <v>69</v>
      </c>
      <c r="C25" s="2586">
        <f t="shared" ref="C25:H25" si="11">C24+C20+C15</f>
        <v>60</v>
      </c>
      <c r="D25" s="2587">
        <f t="shared" si="11"/>
        <v>49</v>
      </c>
      <c r="E25" s="2588">
        <f t="shared" si="11"/>
        <v>109</v>
      </c>
      <c r="F25" s="2586">
        <f t="shared" si="11"/>
        <v>127</v>
      </c>
      <c r="G25" s="2589">
        <f t="shared" si="11"/>
        <v>90</v>
      </c>
      <c r="H25" s="2588">
        <f t="shared" si="11"/>
        <v>217</v>
      </c>
      <c r="I25" s="2586">
        <f>I24+I20+I15</f>
        <v>24</v>
      </c>
      <c r="J25" s="2589">
        <f>J24+J20+J15</f>
        <v>26</v>
      </c>
      <c r="K25" s="2588">
        <f t="shared" si="2"/>
        <v>50</v>
      </c>
      <c r="L25" s="2586">
        <f>L24+L20+L15</f>
        <v>56</v>
      </c>
      <c r="M25" s="2589">
        <f>M24+M20+M15</f>
        <v>45</v>
      </c>
      <c r="N25" s="2588">
        <f t="shared" si="3"/>
        <v>101</v>
      </c>
      <c r="O25" s="2586">
        <f>O24+O20+O15</f>
        <v>82</v>
      </c>
      <c r="P25" s="2589">
        <f>P24+P20+P15</f>
        <v>57</v>
      </c>
      <c r="Q25" s="2588">
        <f t="shared" si="4"/>
        <v>139</v>
      </c>
      <c r="R25" s="2586">
        <f>R24+R20+R15</f>
        <v>166</v>
      </c>
      <c r="S25" s="2589">
        <f>S24+S20+S15</f>
        <v>109</v>
      </c>
      <c r="T25" s="2588">
        <f t="shared" si="5"/>
        <v>275</v>
      </c>
      <c r="U25" s="2586">
        <f>U24+U20+U15</f>
        <v>134</v>
      </c>
      <c r="V25" s="2589">
        <f>V24+V20+V15</f>
        <v>107</v>
      </c>
      <c r="W25" s="2588">
        <f t="shared" si="6"/>
        <v>241</v>
      </c>
      <c r="X25" s="2586">
        <f>X24+X20+X15</f>
        <v>93</v>
      </c>
      <c r="Y25" s="2589">
        <f>Y24+Y20+Y15</f>
        <v>76</v>
      </c>
      <c r="Z25" s="2588">
        <f t="shared" si="7"/>
        <v>169</v>
      </c>
    </row>
    <row r="26" spans="1:26" x14ac:dyDescent="0.25">
      <c r="A26" s="2564"/>
      <c r="B26" s="2590" t="s">
        <v>110</v>
      </c>
      <c r="C26" s="2591">
        <v>13</v>
      </c>
      <c r="D26" s="2592">
        <v>5</v>
      </c>
      <c r="E26" s="2570">
        <f>SUM(C26:D26)</f>
        <v>18</v>
      </c>
      <c r="F26" s="2591">
        <v>23</v>
      </c>
      <c r="G26" s="2571">
        <v>6</v>
      </c>
      <c r="H26" s="2570">
        <f>SUM(F26:G26)</f>
        <v>29</v>
      </c>
      <c r="I26" s="2591">
        <v>5</v>
      </c>
      <c r="J26" s="2571">
        <v>4</v>
      </c>
      <c r="K26" s="2570">
        <f t="shared" si="2"/>
        <v>9</v>
      </c>
      <c r="L26" s="2591">
        <v>4</v>
      </c>
      <c r="M26" s="2571">
        <v>4</v>
      </c>
      <c r="N26" s="2570">
        <f t="shared" si="3"/>
        <v>8</v>
      </c>
      <c r="O26" s="2591"/>
      <c r="P26" s="2571">
        <v>2</v>
      </c>
      <c r="Q26" s="2570">
        <f t="shared" si="4"/>
        <v>2</v>
      </c>
      <c r="R26" s="2591">
        <v>3</v>
      </c>
      <c r="S26" s="2571"/>
      <c r="T26" s="2570">
        <f t="shared" si="5"/>
        <v>3</v>
      </c>
      <c r="U26" s="2591">
        <v>1</v>
      </c>
      <c r="V26" s="2571">
        <v>2</v>
      </c>
      <c r="W26" s="2570">
        <f t="shared" si="6"/>
        <v>3</v>
      </c>
      <c r="X26" s="2591">
        <v>4</v>
      </c>
      <c r="Y26" s="2571">
        <v>6</v>
      </c>
      <c r="Z26" s="2570">
        <f t="shared" si="7"/>
        <v>10</v>
      </c>
    </row>
    <row r="27" spans="1:26" x14ac:dyDescent="0.25">
      <c r="A27" s="2564"/>
      <c r="B27" s="2572" t="s">
        <v>108</v>
      </c>
      <c r="C27" s="2573">
        <v>3</v>
      </c>
      <c r="D27" s="2574">
        <v>3</v>
      </c>
      <c r="E27" s="2575">
        <f>SUM(C27:D27)</f>
        <v>6</v>
      </c>
      <c r="F27" s="2573">
        <v>4</v>
      </c>
      <c r="G27" s="2576">
        <v>4</v>
      </c>
      <c r="H27" s="2575">
        <f>SUM(F27:G27)</f>
        <v>8</v>
      </c>
      <c r="I27" s="2573">
        <v>2</v>
      </c>
      <c r="J27" s="2576">
        <v>1</v>
      </c>
      <c r="K27" s="2575">
        <f t="shared" si="2"/>
        <v>3</v>
      </c>
      <c r="L27" s="2573"/>
      <c r="M27" s="2576"/>
      <c r="N27" s="2575">
        <f t="shared" si="3"/>
        <v>0</v>
      </c>
      <c r="O27" s="2573">
        <v>3</v>
      </c>
      <c r="P27" s="2576">
        <v>2</v>
      </c>
      <c r="Q27" s="2575">
        <f t="shared" si="4"/>
        <v>5</v>
      </c>
      <c r="R27" s="2573">
        <v>4</v>
      </c>
      <c r="S27" s="2576"/>
      <c r="T27" s="2575">
        <f t="shared" si="5"/>
        <v>4</v>
      </c>
      <c r="U27" s="2573">
        <v>1</v>
      </c>
      <c r="V27" s="2576"/>
      <c r="W27" s="2575">
        <f t="shared" si="6"/>
        <v>1</v>
      </c>
      <c r="X27" s="2573">
        <v>4</v>
      </c>
      <c r="Y27" s="2576">
        <v>1</v>
      </c>
      <c r="Z27" s="2575">
        <f t="shared" si="7"/>
        <v>5</v>
      </c>
    </row>
    <row r="28" spans="1:26" x14ac:dyDescent="0.25">
      <c r="A28" s="2564"/>
      <c r="B28" s="2572" t="s">
        <v>109</v>
      </c>
      <c r="C28" s="2573">
        <v>1</v>
      </c>
      <c r="D28" s="2574">
        <v>4</v>
      </c>
      <c r="E28" s="2575">
        <f>SUM(C28:D28)</f>
        <v>5</v>
      </c>
      <c r="F28" s="2573"/>
      <c r="G28" s="2576">
        <v>3</v>
      </c>
      <c r="H28" s="2575">
        <f>SUM(F28:G28)</f>
        <v>3</v>
      </c>
      <c r="I28" s="2573"/>
      <c r="J28" s="2576">
        <v>2</v>
      </c>
      <c r="K28" s="2575">
        <f t="shared" si="2"/>
        <v>2</v>
      </c>
      <c r="L28" s="2573">
        <v>1</v>
      </c>
      <c r="M28" s="2576"/>
      <c r="N28" s="2575">
        <f t="shared" si="3"/>
        <v>1</v>
      </c>
      <c r="O28" s="2573">
        <v>1</v>
      </c>
      <c r="P28" s="2576"/>
      <c r="Q28" s="2575">
        <f t="shared" si="4"/>
        <v>1</v>
      </c>
      <c r="R28" s="2573">
        <v>1</v>
      </c>
      <c r="S28" s="2576">
        <v>1</v>
      </c>
      <c r="T28" s="2575">
        <f t="shared" si="5"/>
        <v>2</v>
      </c>
      <c r="U28" s="2573">
        <v>1</v>
      </c>
      <c r="V28" s="2576">
        <v>1</v>
      </c>
      <c r="W28" s="2575">
        <f t="shared" si="6"/>
        <v>2</v>
      </c>
      <c r="X28" s="2573">
        <v>1</v>
      </c>
      <c r="Y28" s="2576"/>
      <c r="Z28" s="2575">
        <f t="shared" si="7"/>
        <v>1</v>
      </c>
    </row>
    <row r="29" spans="1:26" s="2564" customFormat="1" x14ac:dyDescent="0.25">
      <c r="B29" s="2577" t="s">
        <v>111</v>
      </c>
      <c r="C29" s="2578">
        <f t="shared" ref="C29:I29" si="12">SUM(C26:C28)</f>
        <v>17</v>
      </c>
      <c r="D29" s="2579">
        <f t="shared" si="12"/>
        <v>12</v>
      </c>
      <c r="E29" s="2580">
        <f t="shared" si="12"/>
        <v>29</v>
      </c>
      <c r="F29" s="2578">
        <f t="shared" si="12"/>
        <v>27</v>
      </c>
      <c r="G29" s="2581">
        <f t="shared" si="12"/>
        <v>13</v>
      </c>
      <c r="H29" s="2580">
        <f t="shared" si="12"/>
        <v>40</v>
      </c>
      <c r="I29" s="2578">
        <f t="shared" si="12"/>
        <v>7</v>
      </c>
      <c r="J29" s="2581">
        <f>SUM(J26:J28)</f>
        <v>7</v>
      </c>
      <c r="K29" s="2580">
        <f t="shared" si="2"/>
        <v>14</v>
      </c>
      <c r="L29" s="2578">
        <f>SUM(L26:L28)</f>
        <v>5</v>
      </c>
      <c r="M29" s="2581">
        <f>SUM(M26:M28)</f>
        <v>4</v>
      </c>
      <c r="N29" s="2580">
        <f t="shared" si="3"/>
        <v>9</v>
      </c>
      <c r="O29" s="2578">
        <f>SUM(O26:O28)</f>
        <v>4</v>
      </c>
      <c r="P29" s="2581">
        <f>SUM(P26:P28)</f>
        <v>4</v>
      </c>
      <c r="Q29" s="2580">
        <f t="shared" si="4"/>
        <v>8</v>
      </c>
      <c r="R29" s="2578">
        <f>SUM(R26:R28)</f>
        <v>8</v>
      </c>
      <c r="S29" s="2581">
        <f>SUM(S26:S28)</f>
        <v>1</v>
      </c>
      <c r="T29" s="2580">
        <f t="shared" si="5"/>
        <v>9</v>
      </c>
      <c r="U29" s="2578">
        <f>SUM(U26:U28)</f>
        <v>3</v>
      </c>
      <c r="V29" s="2581">
        <f>SUM(V26:V28)</f>
        <v>3</v>
      </c>
      <c r="W29" s="2580">
        <f t="shared" si="6"/>
        <v>6</v>
      </c>
      <c r="X29" s="2578">
        <f>SUM(X26:X28)</f>
        <v>9</v>
      </c>
      <c r="Y29" s="2581">
        <f>SUM(Y26:Y28)</f>
        <v>7</v>
      </c>
      <c r="Z29" s="2580">
        <f t="shared" si="7"/>
        <v>16</v>
      </c>
    </row>
    <row r="30" spans="1:26" x14ac:dyDescent="0.25">
      <c r="A30" s="2564"/>
      <c r="B30" s="2572" t="s">
        <v>113</v>
      </c>
      <c r="C30" s="2573">
        <v>1</v>
      </c>
      <c r="D30" s="2574">
        <v>0</v>
      </c>
      <c r="E30" s="2575">
        <f>SUM(C30:D30)</f>
        <v>1</v>
      </c>
      <c r="F30" s="2573">
        <v>1</v>
      </c>
      <c r="G30" s="2576">
        <v>1</v>
      </c>
      <c r="H30" s="2575">
        <f>SUM(F30:G30)</f>
        <v>2</v>
      </c>
      <c r="I30" s="2573"/>
      <c r="J30" s="2576"/>
      <c r="K30" s="2575">
        <f t="shared" si="2"/>
        <v>0</v>
      </c>
      <c r="L30" s="2573">
        <v>2</v>
      </c>
      <c r="M30" s="2576">
        <v>1</v>
      </c>
      <c r="N30" s="2575">
        <f t="shared" si="3"/>
        <v>3</v>
      </c>
      <c r="O30" s="2573">
        <v>3</v>
      </c>
      <c r="P30" s="2576">
        <v>2</v>
      </c>
      <c r="Q30" s="2575">
        <f t="shared" si="4"/>
        <v>5</v>
      </c>
      <c r="R30" s="2573">
        <v>5</v>
      </c>
      <c r="S30" s="2576">
        <v>7</v>
      </c>
      <c r="T30" s="2575">
        <f t="shared" si="5"/>
        <v>12</v>
      </c>
      <c r="U30" s="2573">
        <v>5</v>
      </c>
      <c r="V30" s="2576"/>
      <c r="W30" s="2575">
        <f t="shared" si="6"/>
        <v>5</v>
      </c>
      <c r="X30" s="2573">
        <v>3</v>
      </c>
      <c r="Y30" s="2576">
        <v>1</v>
      </c>
      <c r="Z30" s="2575">
        <f t="shared" si="7"/>
        <v>4</v>
      </c>
    </row>
    <row r="31" spans="1:26" x14ac:dyDescent="0.25">
      <c r="A31" s="2564"/>
      <c r="B31" s="2572" t="s">
        <v>114</v>
      </c>
      <c r="C31" s="2573">
        <v>3</v>
      </c>
      <c r="D31" s="2574">
        <v>4</v>
      </c>
      <c r="E31" s="2575">
        <f>SUM(C31:D31)</f>
        <v>7</v>
      </c>
      <c r="F31" s="2573">
        <v>3</v>
      </c>
      <c r="G31" s="2576">
        <v>6</v>
      </c>
      <c r="H31" s="2575">
        <f>SUM(F31:G31)</f>
        <v>9</v>
      </c>
      <c r="I31" s="2573">
        <v>2</v>
      </c>
      <c r="J31" s="2576"/>
      <c r="K31" s="2575">
        <f t="shared" si="2"/>
        <v>2</v>
      </c>
      <c r="L31" s="2573">
        <v>8</v>
      </c>
      <c r="M31" s="2576">
        <v>1</v>
      </c>
      <c r="N31" s="2575">
        <f t="shared" si="3"/>
        <v>9</v>
      </c>
      <c r="O31" s="2573">
        <v>1</v>
      </c>
      <c r="P31" s="2576">
        <v>2</v>
      </c>
      <c r="Q31" s="2575">
        <f t="shared" si="4"/>
        <v>3</v>
      </c>
      <c r="R31" s="2573">
        <v>3</v>
      </c>
      <c r="S31" s="2576">
        <v>1</v>
      </c>
      <c r="T31" s="2575">
        <f t="shared" si="5"/>
        <v>4</v>
      </c>
      <c r="U31" s="2573">
        <v>5</v>
      </c>
      <c r="V31" s="2576">
        <v>2</v>
      </c>
      <c r="W31" s="2575">
        <f t="shared" si="6"/>
        <v>7</v>
      </c>
      <c r="X31" s="2573">
        <v>2</v>
      </c>
      <c r="Y31" s="2576">
        <v>2</v>
      </c>
      <c r="Z31" s="2575">
        <f t="shared" si="7"/>
        <v>4</v>
      </c>
    </row>
    <row r="32" spans="1:26" s="2564" customFormat="1" x14ac:dyDescent="0.25">
      <c r="B32" s="2572" t="s">
        <v>58</v>
      </c>
      <c r="C32" s="2573"/>
      <c r="D32" s="2574">
        <v>3</v>
      </c>
      <c r="E32" s="2575">
        <f>SUM(C32:D32)</f>
        <v>3</v>
      </c>
      <c r="F32" s="2573"/>
      <c r="G32" s="2576"/>
      <c r="H32" s="2575">
        <f>SUM(F32:G32)</f>
        <v>0</v>
      </c>
      <c r="I32" s="2573"/>
      <c r="J32" s="2576">
        <v>2</v>
      </c>
      <c r="K32" s="2575">
        <f t="shared" si="2"/>
        <v>2</v>
      </c>
      <c r="L32" s="2573"/>
      <c r="M32" s="2576"/>
      <c r="N32" s="2575">
        <f t="shared" si="3"/>
        <v>0</v>
      </c>
      <c r="O32" s="2573"/>
      <c r="P32" s="2576">
        <v>3</v>
      </c>
      <c r="Q32" s="2575">
        <f t="shared" si="4"/>
        <v>3</v>
      </c>
      <c r="R32" s="2573"/>
      <c r="S32" s="2576">
        <v>3</v>
      </c>
      <c r="T32" s="2575">
        <f t="shared" si="5"/>
        <v>3</v>
      </c>
      <c r="U32" s="2573"/>
      <c r="V32" s="2576">
        <v>3</v>
      </c>
      <c r="W32" s="2575">
        <f t="shared" si="6"/>
        <v>3</v>
      </c>
      <c r="X32" s="2573"/>
      <c r="Y32" s="2576">
        <v>1</v>
      </c>
      <c r="Z32" s="2575">
        <f t="shared" si="7"/>
        <v>1</v>
      </c>
    </row>
    <row r="33" spans="1:26" x14ac:dyDescent="0.25">
      <c r="A33" s="2564"/>
      <c r="B33" s="2572" t="s">
        <v>112</v>
      </c>
      <c r="C33" s="2573">
        <v>2</v>
      </c>
      <c r="D33" s="2574"/>
      <c r="E33" s="2575">
        <f>SUM(C33:D33)</f>
        <v>2</v>
      </c>
      <c r="F33" s="2573"/>
      <c r="G33" s="2576"/>
      <c r="H33" s="2575">
        <f>SUM(F33:G33)</f>
        <v>0</v>
      </c>
      <c r="I33" s="2573"/>
      <c r="J33" s="2576">
        <v>2</v>
      </c>
      <c r="K33" s="2575">
        <f t="shared" si="2"/>
        <v>2</v>
      </c>
      <c r="L33" s="2573"/>
      <c r="M33" s="2576"/>
      <c r="N33" s="2575">
        <f t="shared" si="3"/>
        <v>0</v>
      </c>
      <c r="O33" s="2573">
        <v>1</v>
      </c>
      <c r="P33" s="2576">
        <v>1</v>
      </c>
      <c r="Q33" s="2575">
        <f t="shared" si="4"/>
        <v>2</v>
      </c>
      <c r="R33" s="2573">
        <v>1</v>
      </c>
      <c r="S33" s="2576">
        <v>6</v>
      </c>
      <c r="T33" s="2575">
        <f t="shared" si="5"/>
        <v>7</v>
      </c>
      <c r="U33" s="2573"/>
      <c r="V33" s="2576"/>
      <c r="W33" s="2575"/>
      <c r="X33" s="2573">
        <v>1</v>
      </c>
      <c r="Y33" s="2576">
        <v>1</v>
      </c>
      <c r="Z33" s="2575">
        <f t="shared" si="7"/>
        <v>2</v>
      </c>
    </row>
    <row r="34" spans="1:26" x14ac:dyDescent="0.25">
      <c r="A34" s="2564"/>
      <c r="B34" s="2577" t="s">
        <v>115</v>
      </c>
      <c r="C34" s="2578">
        <f t="shared" ref="C34:I34" si="13">SUM(C30:C33)</f>
        <v>6</v>
      </c>
      <c r="D34" s="2579">
        <f t="shared" si="13"/>
        <v>7</v>
      </c>
      <c r="E34" s="2580">
        <f t="shared" si="13"/>
        <v>13</v>
      </c>
      <c r="F34" s="2578">
        <f t="shared" si="13"/>
        <v>4</v>
      </c>
      <c r="G34" s="2581">
        <f t="shared" si="13"/>
        <v>7</v>
      </c>
      <c r="H34" s="2580">
        <f t="shared" si="13"/>
        <v>11</v>
      </c>
      <c r="I34" s="2578">
        <f t="shared" si="13"/>
        <v>2</v>
      </c>
      <c r="J34" s="2581">
        <f>SUM(J30:J33)</f>
        <v>4</v>
      </c>
      <c r="K34" s="2580">
        <f t="shared" si="2"/>
        <v>6</v>
      </c>
      <c r="L34" s="2578">
        <f>SUM(L30:L33)</f>
        <v>10</v>
      </c>
      <c r="M34" s="2581">
        <f>SUM(M30:M33)</f>
        <v>2</v>
      </c>
      <c r="N34" s="2580">
        <f t="shared" si="3"/>
        <v>12</v>
      </c>
      <c r="O34" s="2578">
        <f>SUM(O30:O33)</f>
        <v>5</v>
      </c>
      <c r="P34" s="2581">
        <f>SUM(P30:P33)</f>
        <v>8</v>
      </c>
      <c r="Q34" s="2580">
        <f t="shared" si="4"/>
        <v>13</v>
      </c>
      <c r="R34" s="2578">
        <f>SUM(R30:R33)</f>
        <v>9</v>
      </c>
      <c r="S34" s="2581">
        <f>SUM(S30:S33)</f>
        <v>17</v>
      </c>
      <c r="T34" s="2580">
        <f t="shared" si="5"/>
        <v>26</v>
      </c>
      <c r="U34" s="2578">
        <f>SUM(U30:U33)</f>
        <v>10</v>
      </c>
      <c r="V34" s="2581">
        <f>SUM(V30:V33)</f>
        <v>5</v>
      </c>
      <c r="W34" s="2580">
        <f t="shared" si="6"/>
        <v>15</v>
      </c>
      <c r="X34" s="2578">
        <f>SUM(X30:X33)</f>
        <v>6</v>
      </c>
      <c r="Y34" s="2581">
        <f>SUM(Y30:Y33)</f>
        <v>5</v>
      </c>
      <c r="Z34" s="2580">
        <f t="shared" ref="Z34:Z43" si="14">SUM(X34:Y34)</f>
        <v>11</v>
      </c>
    </row>
    <row r="35" spans="1:26" x14ac:dyDescent="0.25">
      <c r="A35" s="2564"/>
      <c r="B35" s="2572" t="s">
        <v>60</v>
      </c>
      <c r="C35" s="2573">
        <v>3</v>
      </c>
      <c r="D35" s="2574">
        <v>3</v>
      </c>
      <c r="E35" s="2575">
        <f>SUM(C35:D35)</f>
        <v>6</v>
      </c>
      <c r="F35" s="2573">
        <v>4</v>
      </c>
      <c r="G35" s="2576">
        <v>2</v>
      </c>
      <c r="H35" s="2575">
        <f>SUM(F35:G35)</f>
        <v>6</v>
      </c>
      <c r="I35" s="2573">
        <v>4</v>
      </c>
      <c r="J35" s="2576"/>
      <c r="K35" s="2575">
        <f t="shared" si="2"/>
        <v>4</v>
      </c>
      <c r="L35" s="2573">
        <v>2</v>
      </c>
      <c r="M35" s="2576"/>
      <c r="N35" s="2575">
        <f t="shared" si="3"/>
        <v>2</v>
      </c>
      <c r="O35" s="2573"/>
      <c r="P35" s="2576">
        <v>1</v>
      </c>
      <c r="Q35" s="2575">
        <f t="shared" si="4"/>
        <v>1</v>
      </c>
      <c r="R35" s="2573">
        <v>9</v>
      </c>
      <c r="S35" s="2576">
        <v>3</v>
      </c>
      <c r="T35" s="2575">
        <f t="shared" si="5"/>
        <v>12</v>
      </c>
      <c r="U35" s="2573">
        <v>5</v>
      </c>
      <c r="V35" s="2576">
        <v>3</v>
      </c>
      <c r="W35" s="2575">
        <f t="shared" si="6"/>
        <v>8</v>
      </c>
      <c r="X35" s="2573">
        <v>1</v>
      </c>
      <c r="Y35" s="2576">
        <v>1</v>
      </c>
      <c r="Z35" s="2575">
        <f t="shared" si="14"/>
        <v>2</v>
      </c>
    </row>
    <row r="36" spans="1:26" s="2564" customFormat="1" x14ac:dyDescent="0.25">
      <c r="B36" s="2572" t="s">
        <v>61</v>
      </c>
      <c r="C36" s="2573"/>
      <c r="D36" s="2574"/>
      <c r="E36" s="2575"/>
      <c r="F36" s="2573"/>
      <c r="G36" s="2576"/>
      <c r="H36" s="2575"/>
      <c r="I36" s="2573"/>
      <c r="J36" s="2576"/>
      <c r="K36" s="2575"/>
      <c r="L36" s="2573"/>
      <c r="M36" s="2576"/>
      <c r="N36" s="2575"/>
      <c r="O36" s="2573">
        <v>1</v>
      </c>
      <c r="P36" s="2576">
        <v>1</v>
      </c>
      <c r="Q36" s="2575">
        <f t="shared" si="4"/>
        <v>2</v>
      </c>
      <c r="R36" s="2573">
        <v>3</v>
      </c>
      <c r="S36" s="2576">
        <v>1</v>
      </c>
      <c r="T36" s="2575">
        <f t="shared" si="5"/>
        <v>4</v>
      </c>
      <c r="U36" s="2573">
        <v>3</v>
      </c>
      <c r="V36" s="2576">
        <v>3</v>
      </c>
      <c r="W36" s="2575">
        <f t="shared" si="6"/>
        <v>6</v>
      </c>
      <c r="X36" s="2573">
        <v>3</v>
      </c>
      <c r="Y36" s="2576"/>
      <c r="Z36" s="2575">
        <f t="shared" si="14"/>
        <v>3</v>
      </c>
    </row>
    <row r="37" spans="1:26" s="2564" customFormat="1" x14ac:dyDescent="0.25">
      <c r="B37" s="2572" t="s">
        <v>107</v>
      </c>
      <c r="C37" s="2573">
        <v>3</v>
      </c>
      <c r="D37" s="2574">
        <v>4</v>
      </c>
      <c r="E37" s="2575">
        <f>SUM(C37:D37)</f>
        <v>7</v>
      </c>
      <c r="F37" s="2573"/>
      <c r="G37" s="2576">
        <v>2</v>
      </c>
      <c r="H37" s="2575">
        <f>SUM(F37:G37)</f>
        <v>2</v>
      </c>
      <c r="I37" s="2573">
        <v>4</v>
      </c>
      <c r="J37" s="2576">
        <v>3</v>
      </c>
      <c r="K37" s="2575">
        <f t="shared" si="2"/>
        <v>7</v>
      </c>
      <c r="L37" s="2573">
        <v>2</v>
      </c>
      <c r="M37" s="2576">
        <v>1</v>
      </c>
      <c r="N37" s="2575">
        <f t="shared" si="3"/>
        <v>3</v>
      </c>
      <c r="O37" s="2573">
        <v>2</v>
      </c>
      <c r="P37" s="2576">
        <v>1</v>
      </c>
      <c r="Q37" s="2575">
        <f t="shared" si="4"/>
        <v>3</v>
      </c>
      <c r="R37" s="2573">
        <v>2</v>
      </c>
      <c r="S37" s="2576"/>
      <c r="T37" s="2575">
        <f t="shared" si="5"/>
        <v>2</v>
      </c>
      <c r="U37" s="2573">
        <v>2</v>
      </c>
      <c r="V37" s="2576"/>
      <c r="W37" s="2575">
        <f t="shared" si="6"/>
        <v>2</v>
      </c>
      <c r="X37" s="2573"/>
      <c r="Y37" s="2576"/>
      <c r="Z37" s="2575">
        <f t="shared" si="14"/>
        <v>0</v>
      </c>
    </row>
    <row r="38" spans="1:26" x14ac:dyDescent="0.25">
      <c r="A38" s="2564"/>
      <c r="B38" s="2572" t="s">
        <v>106</v>
      </c>
      <c r="C38" s="2573">
        <v>3</v>
      </c>
      <c r="D38" s="2574">
        <v>1</v>
      </c>
      <c r="E38" s="2575">
        <f>SUM(C38:D38)</f>
        <v>4</v>
      </c>
      <c r="F38" s="2573">
        <v>5</v>
      </c>
      <c r="G38" s="2576">
        <v>1</v>
      </c>
      <c r="H38" s="2575">
        <f>SUM(F38:G38)</f>
        <v>6</v>
      </c>
      <c r="I38" s="2573">
        <v>1</v>
      </c>
      <c r="J38" s="2576">
        <v>1</v>
      </c>
      <c r="K38" s="2575">
        <f t="shared" si="2"/>
        <v>2</v>
      </c>
      <c r="L38" s="2573">
        <v>4</v>
      </c>
      <c r="M38" s="2576"/>
      <c r="N38" s="2575">
        <f t="shared" si="3"/>
        <v>4</v>
      </c>
      <c r="O38" s="2573">
        <v>4</v>
      </c>
      <c r="P38" s="2576">
        <v>3</v>
      </c>
      <c r="Q38" s="2575">
        <f t="shared" si="4"/>
        <v>7</v>
      </c>
      <c r="R38" s="2573">
        <v>8</v>
      </c>
      <c r="S38" s="2576">
        <v>2</v>
      </c>
      <c r="T38" s="2575">
        <f t="shared" si="5"/>
        <v>10</v>
      </c>
      <c r="U38" s="2573">
        <v>4</v>
      </c>
      <c r="V38" s="2576">
        <v>1</v>
      </c>
      <c r="W38" s="2575">
        <f t="shared" si="6"/>
        <v>5</v>
      </c>
      <c r="X38" s="2573">
        <v>2</v>
      </c>
      <c r="Y38" s="2576"/>
      <c r="Z38" s="2575">
        <f t="shared" si="14"/>
        <v>2</v>
      </c>
    </row>
    <row r="39" spans="1:26" x14ac:dyDescent="0.25">
      <c r="A39" s="2564"/>
      <c r="B39" s="2577" t="s">
        <v>64</v>
      </c>
      <c r="C39" s="2582">
        <f t="shared" ref="C39:J39" si="15">SUM(C35:C38)</f>
        <v>9</v>
      </c>
      <c r="D39" s="2583">
        <f t="shared" si="15"/>
        <v>8</v>
      </c>
      <c r="E39" s="2584">
        <f t="shared" si="15"/>
        <v>17</v>
      </c>
      <c r="F39" s="2582">
        <f t="shared" si="15"/>
        <v>9</v>
      </c>
      <c r="G39" s="2585">
        <f t="shared" si="15"/>
        <v>5</v>
      </c>
      <c r="H39" s="2584">
        <f t="shared" si="15"/>
        <v>14</v>
      </c>
      <c r="I39" s="2582">
        <f t="shared" si="15"/>
        <v>9</v>
      </c>
      <c r="J39" s="2585">
        <f t="shared" si="15"/>
        <v>4</v>
      </c>
      <c r="K39" s="2584">
        <f t="shared" si="2"/>
        <v>13</v>
      </c>
      <c r="L39" s="2582">
        <f>SUM(L35:L38)</f>
        <v>8</v>
      </c>
      <c r="M39" s="2585">
        <f>SUM(M35:M38)</f>
        <v>1</v>
      </c>
      <c r="N39" s="2584">
        <f t="shared" si="3"/>
        <v>9</v>
      </c>
      <c r="O39" s="2582">
        <f>SUM(O35:O38)</f>
        <v>7</v>
      </c>
      <c r="P39" s="2585">
        <f>SUM(P35:P38)</f>
        <v>6</v>
      </c>
      <c r="Q39" s="2584">
        <f t="shared" si="4"/>
        <v>13</v>
      </c>
      <c r="R39" s="2582">
        <f>SUM(R35:R38)</f>
        <v>22</v>
      </c>
      <c r="S39" s="2585">
        <f>SUM(S35:S38)</f>
        <v>6</v>
      </c>
      <c r="T39" s="2584">
        <f t="shared" si="5"/>
        <v>28</v>
      </c>
      <c r="U39" s="2582">
        <f>SUM(U35:U38)</f>
        <v>14</v>
      </c>
      <c r="V39" s="2585">
        <f>SUM(V35:V38)</f>
        <v>7</v>
      </c>
      <c r="W39" s="2584">
        <f t="shared" si="6"/>
        <v>21</v>
      </c>
      <c r="X39" s="2582">
        <f>SUM(X35:X38)</f>
        <v>6</v>
      </c>
      <c r="Y39" s="2585">
        <f>SUM(Y35:Y38)</f>
        <v>1</v>
      </c>
      <c r="Z39" s="2584">
        <f t="shared" si="14"/>
        <v>7</v>
      </c>
    </row>
    <row r="40" spans="1:26" x14ac:dyDescent="0.25">
      <c r="A40" s="2564"/>
      <c r="B40" s="2593" t="s">
        <v>116</v>
      </c>
      <c r="C40" s="2593">
        <f t="shared" ref="C40:J40" si="16">C39+C34+C29</f>
        <v>32</v>
      </c>
      <c r="D40" s="2594">
        <f t="shared" si="16"/>
        <v>27</v>
      </c>
      <c r="E40" s="2595">
        <f t="shared" si="16"/>
        <v>59</v>
      </c>
      <c r="F40" s="2593">
        <f t="shared" si="16"/>
        <v>40</v>
      </c>
      <c r="G40" s="2596">
        <f t="shared" si="16"/>
        <v>25</v>
      </c>
      <c r="H40" s="2595">
        <f t="shared" si="16"/>
        <v>65</v>
      </c>
      <c r="I40" s="2593">
        <f t="shared" si="16"/>
        <v>18</v>
      </c>
      <c r="J40" s="2596">
        <f t="shared" si="16"/>
        <v>15</v>
      </c>
      <c r="K40" s="2595">
        <f t="shared" si="2"/>
        <v>33</v>
      </c>
      <c r="L40" s="2593">
        <f>L39+L34+L29</f>
        <v>23</v>
      </c>
      <c r="M40" s="2596">
        <f>M39+M34+M29</f>
        <v>7</v>
      </c>
      <c r="N40" s="2595">
        <f t="shared" si="3"/>
        <v>30</v>
      </c>
      <c r="O40" s="2593">
        <f>O39+O34+O29</f>
        <v>16</v>
      </c>
      <c r="P40" s="2596">
        <f>P39+P34+P29</f>
        <v>18</v>
      </c>
      <c r="Q40" s="2595">
        <f t="shared" si="4"/>
        <v>34</v>
      </c>
      <c r="R40" s="2593">
        <f>R39+R34+R29</f>
        <v>39</v>
      </c>
      <c r="S40" s="2596">
        <f>S39+S34+S29</f>
        <v>24</v>
      </c>
      <c r="T40" s="2595">
        <f t="shared" si="5"/>
        <v>63</v>
      </c>
      <c r="U40" s="2593">
        <f>U39+U34+U29</f>
        <v>27</v>
      </c>
      <c r="V40" s="2596">
        <f>V39+V34+V29</f>
        <v>15</v>
      </c>
      <c r="W40" s="2595">
        <f t="shared" si="6"/>
        <v>42</v>
      </c>
      <c r="X40" s="2593">
        <f>X39+X34+X29</f>
        <v>21</v>
      </c>
      <c r="Y40" s="2596">
        <f>Y39+Y34+Y29</f>
        <v>13</v>
      </c>
      <c r="Z40" s="2595">
        <f t="shared" si="14"/>
        <v>34</v>
      </c>
    </row>
    <row r="41" spans="1:26" x14ac:dyDescent="0.25">
      <c r="A41" s="2564"/>
      <c r="B41" s="2590" t="s">
        <v>76</v>
      </c>
      <c r="C41" s="2591">
        <v>1</v>
      </c>
      <c r="D41" s="2592"/>
      <c r="E41" s="2570">
        <f t="shared" ref="E41:E49" si="17">SUM(C41:D41)</f>
        <v>1</v>
      </c>
      <c r="F41" s="2591">
        <v>2</v>
      </c>
      <c r="G41" s="2571">
        <v>3</v>
      </c>
      <c r="H41" s="2570">
        <f t="shared" ref="H41:H49" si="18">SUM(F41:G41)</f>
        <v>5</v>
      </c>
      <c r="I41" s="2591"/>
      <c r="J41" s="2571"/>
      <c r="K41" s="2570">
        <f t="shared" si="2"/>
        <v>0</v>
      </c>
      <c r="L41" s="2591">
        <v>1</v>
      </c>
      <c r="M41" s="2571">
        <v>1</v>
      </c>
      <c r="N41" s="2570">
        <f t="shared" si="3"/>
        <v>2</v>
      </c>
      <c r="O41" s="2591"/>
      <c r="P41" s="2571"/>
      <c r="Q41" s="2570">
        <f t="shared" si="4"/>
        <v>0</v>
      </c>
      <c r="R41" s="2591"/>
      <c r="S41" s="2571">
        <v>3</v>
      </c>
      <c r="T41" s="2570">
        <f t="shared" si="5"/>
        <v>3</v>
      </c>
      <c r="U41" s="2591">
        <v>1</v>
      </c>
      <c r="V41" s="2571">
        <v>4</v>
      </c>
      <c r="W41" s="2570">
        <f t="shared" si="6"/>
        <v>5</v>
      </c>
      <c r="X41" s="2591">
        <v>1</v>
      </c>
      <c r="Y41" s="2571">
        <v>2</v>
      </c>
      <c r="Z41" s="2570">
        <f t="shared" si="14"/>
        <v>3</v>
      </c>
    </row>
    <row r="42" spans="1:26" x14ac:dyDescent="0.25">
      <c r="A42" s="2564"/>
      <c r="B42" s="2572" t="s">
        <v>73</v>
      </c>
      <c r="C42" s="2573"/>
      <c r="D42" s="2574">
        <v>1</v>
      </c>
      <c r="E42" s="2575">
        <f t="shared" si="17"/>
        <v>1</v>
      </c>
      <c r="F42" s="2573"/>
      <c r="G42" s="2576">
        <v>4</v>
      </c>
      <c r="H42" s="2575">
        <f t="shared" si="18"/>
        <v>4</v>
      </c>
      <c r="I42" s="2573"/>
      <c r="J42" s="2576"/>
      <c r="K42" s="2575">
        <f t="shared" si="2"/>
        <v>0</v>
      </c>
      <c r="L42" s="2573">
        <v>1</v>
      </c>
      <c r="M42" s="2576">
        <v>1</v>
      </c>
      <c r="N42" s="2575">
        <f t="shared" si="3"/>
        <v>2</v>
      </c>
      <c r="O42" s="2573">
        <v>1</v>
      </c>
      <c r="P42" s="2576">
        <v>3</v>
      </c>
      <c r="Q42" s="2575">
        <f t="shared" si="4"/>
        <v>4</v>
      </c>
      <c r="R42" s="2573">
        <v>1</v>
      </c>
      <c r="S42" s="2576">
        <v>10</v>
      </c>
      <c r="T42" s="2575">
        <f t="shared" si="5"/>
        <v>11</v>
      </c>
      <c r="U42" s="2573">
        <v>4</v>
      </c>
      <c r="V42" s="2576">
        <v>4</v>
      </c>
      <c r="W42" s="2575">
        <f t="shared" si="6"/>
        <v>8</v>
      </c>
      <c r="X42" s="2573">
        <v>1</v>
      </c>
      <c r="Y42" s="2576">
        <v>2</v>
      </c>
      <c r="Z42" s="2575">
        <f t="shared" si="14"/>
        <v>3</v>
      </c>
    </row>
    <row r="43" spans="1:26" x14ac:dyDescent="0.25">
      <c r="A43" s="2564"/>
      <c r="B43" s="2572" t="s">
        <v>639</v>
      </c>
      <c r="C43" s="2573"/>
      <c r="D43" s="2574"/>
      <c r="E43" s="2575">
        <f t="shared" si="17"/>
        <v>0</v>
      </c>
      <c r="F43" s="2573"/>
      <c r="G43" s="2576">
        <v>1</v>
      </c>
      <c r="H43" s="2575">
        <f t="shared" si="18"/>
        <v>1</v>
      </c>
      <c r="I43" s="2573"/>
      <c r="J43" s="2576"/>
      <c r="K43" s="2575">
        <f t="shared" si="2"/>
        <v>0</v>
      </c>
      <c r="L43" s="2573">
        <v>3</v>
      </c>
      <c r="M43" s="2576">
        <v>2</v>
      </c>
      <c r="N43" s="2575">
        <f t="shared" si="3"/>
        <v>5</v>
      </c>
      <c r="O43" s="2573">
        <v>2</v>
      </c>
      <c r="P43" s="2576">
        <v>3</v>
      </c>
      <c r="Q43" s="2575">
        <f t="shared" si="4"/>
        <v>5</v>
      </c>
      <c r="R43" s="2573">
        <v>7</v>
      </c>
      <c r="S43" s="2576">
        <v>4</v>
      </c>
      <c r="T43" s="2575">
        <f t="shared" si="5"/>
        <v>11</v>
      </c>
      <c r="U43" s="2573">
        <v>2</v>
      </c>
      <c r="V43" s="2576">
        <v>1</v>
      </c>
      <c r="W43" s="2575">
        <f t="shared" si="6"/>
        <v>3</v>
      </c>
      <c r="X43" s="2573">
        <v>1</v>
      </c>
      <c r="Y43" s="2576">
        <v>1</v>
      </c>
      <c r="Z43" s="2575">
        <f t="shared" si="14"/>
        <v>2</v>
      </c>
    </row>
    <row r="44" spans="1:26" x14ac:dyDescent="0.25">
      <c r="A44" s="2564"/>
      <c r="B44" s="2572" t="s">
        <v>632</v>
      </c>
      <c r="C44" s="2573"/>
      <c r="D44" s="2574">
        <v>1</v>
      </c>
      <c r="E44" s="2575">
        <f t="shared" si="17"/>
        <v>1</v>
      </c>
      <c r="F44" s="2573"/>
      <c r="G44" s="2576">
        <v>1</v>
      </c>
      <c r="H44" s="2575">
        <f t="shared" si="18"/>
        <v>1</v>
      </c>
      <c r="I44" s="2573"/>
      <c r="J44" s="2576"/>
      <c r="K44" s="2575">
        <f t="shared" si="2"/>
        <v>0</v>
      </c>
      <c r="L44" s="2573"/>
      <c r="M44" s="2576">
        <v>1</v>
      </c>
      <c r="N44" s="2575">
        <f t="shared" si="3"/>
        <v>1</v>
      </c>
      <c r="O44" s="2573">
        <v>1</v>
      </c>
      <c r="P44" s="2576"/>
      <c r="Q44" s="2575">
        <f t="shared" si="4"/>
        <v>1</v>
      </c>
      <c r="R44" s="2573">
        <v>1</v>
      </c>
      <c r="S44" s="2576">
        <v>3</v>
      </c>
      <c r="T44" s="2575">
        <f t="shared" si="5"/>
        <v>4</v>
      </c>
      <c r="U44" s="2573"/>
      <c r="V44" s="2576"/>
      <c r="W44" s="2575"/>
      <c r="X44" s="2573"/>
      <c r="Y44" s="2576"/>
      <c r="Z44" s="2575"/>
    </row>
    <row r="45" spans="1:26" x14ac:dyDescent="0.25">
      <c r="A45" s="2564"/>
      <c r="B45" s="2572" t="s">
        <v>640</v>
      </c>
      <c r="C45" s="2573"/>
      <c r="D45" s="2574">
        <v>3</v>
      </c>
      <c r="E45" s="2575">
        <f t="shared" si="17"/>
        <v>3</v>
      </c>
      <c r="F45" s="2573">
        <v>1</v>
      </c>
      <c r="G45" s="2576">
        <v>3</v>
      </c>
      <c r="H45" s="2575">
        <f t="shared" si="18"/>
        <v>4</v>
      </c>
      <c r="I45" s="2573"/>
      <c r="J45" s="2576"/>
      <c r="K45" s="2575">
        <f t="shared" si="2"/>
        <v>0</v>
      </c>
      <c r="L45" s="2573"/>
      <c r="M45" s="2576">
        <v>3</v>
      </c>
      <c r="N45" s="2575">
        <f t="shared" si="3"/>
        <v>3</v>
      </c>
      <c r="O45" s="2573">
        <v>1</v>
      </c>
      <c r="P45" s="2576">
        <v>3</v>
      </c>
      <c r="Q45" s="2575">
        <f t="shared" si="4"/>
        <v>4</v>
      </c>
      <c r="R45" s="2573">
        <v>1</v>
      </c>
      <c r="S45" s="2576">
        <v>6</v>
      </c>
      <c r="T45" s="2575">
        <f t="shared" si="5"/>
        <v>7</v>
      </c>
      <c r="U45" s="2573"/>
      <c r="V45" s="2576">
        <v>1</v>
      </c>
      <c r="W45" s="2575">
        <f t="shared" si="6"/>
        <v>1</v>
      </c>
      <c r="X45" s="2573"/>
      <c r="Y45" s="2576">
        <v>3</v>
      </c>
      <c r="Z45" s="2575">
        <f t="shared" ref="Z45" si="19">SUM(X45:Y45)</f>
        <v>3</v>
      </c>
    </row>
    <row r="46" spans="1:26" s="2564" customFormat="1" x14ac:dyDescent="0.25">
      <c r="B46" s="2572" t="s">
        <v>641</v>
      </c>
      <c r="C46" s="2573"/>
      <c r="D46" s="2574"/>
      <c r="E46" s="2575">
        <f t="shared" si="17"/>
        <v>0</v>
      </c>
      <c r="F46" s="2573"/>
      <c r="G46" s="2576"/>
      <c r="H46" s="2575">
        <f t="shared" si="18"/>
        <v>0</v>
      </c>
      <c r="I46" s="2573"/>
      <c r="J46" s="2576"/>
      <c r="K46" s="2575">
        <f t="shared" si="2"/>
        <v>0</v>
      </c>
      <c r="L46" s="2573"/>
      <c r="M46" s="2576"/>
      <c r="N46" s="2575">
        <f t="shared" si="3"/>
        <v>0</v>
      </c>
      <c r="O46" s="2573">
        <v>1</v>
      </c>
      <c r="P46" s="2576"/>
      <c r="Q46" s="2575">
        <f t="shared" si="4"/>
        <v>1</v>
      </c>
      <c r="R46" s="2573"/>
      <c r="S46" s="2576"/>
      <c r="T46" s="2575">
        <f t="shared" si="5"/>
        <v>0</v>
      </c>
      <c r="U46" s="2573"/>
      <c r="V46" s="2576"/>
      <c r="W46" s="2575"/>
      <c r="X46" s="2573"/>
      <c r="Y46" s="2576"/>
      <c r="Z46" s="2575"/>
    </row>
    <row r="47" spans="1:26" x14ac:dyDescent="0.25">
      <c r="A47" s="2564"/>
      <c r="B47" s="2572" t="s">
        <v>638</v>
      </c>
      <c r="C47" s="2573">
        <v>3</v>
      </c>
      <c r="D47" s="2574">
        <v>2</v>
      </c>
      <c r="E47" s="2575">
        <f t="shared" si="17"/>
        <v>5</v>
      </c>
      <c r="F47" s="2573">
        <v>3</v>
      </c>
      <c r="G47" s="2576">
        <v>1</v>
      </c>
      <c r="H47" s="2575">
        <f t="shared" si="18"/>
        <v>4</v>
      </c>
      <c r="I47" s="2573">
        <v>1</v>
      </c>
      <c r="J47" s="2576">
        <v>3</v>
      </c>
      <c r="K47" s="2575">
        <f t="shared" si="2"/>
        <v>4</v>
      </c>
      <c r="L47" s="2573">
        <v>2</v>
      </c>
      <c r="M47" s="2576">
        <v>4</v>
      </c>
      <c r="N47" s="2575">
        <f t="shared" si="3"/>
        <v>6</v>
      </c>
      <c r="O47" s="2573">
        <v>6</v>
      </c>
      <c r="P47" s="2576">
        <v>2</v>
      </c>
      <c r="Q47" s="2575">
        <f t="shared" si="4"/>
        <v>8</v>
      </c>
      <c r="R47" s="2573">
        <v>4</v>
      </c>
      <c r="S47" s="2576">
        <v>2</v>
      </c>
      <c r="T47" s="2575">
        <f t="shared" si="5"/>
        <v>6</v>
      </c>
      <c r="U47" s="2573">
        <v>3</v>
      </c>
      <c r="V47" s="2576">
        <v>4</v>
      </c>
      <c r="W47" s="2575">
        <f t="shared" si="6"/>
        <v>7</v>
      </c>
      <c r="X47" s="2573">
        <v>1</v>
      </c>
      <c r="Y47" s="2576">
        <v>3</v>
      </c>
      <c r="Z47" s="2575">
        <f t="shared" ref="Z47:Z50" si="20">SUM(X47:Y47)</f>
        <v>4</v>
      </c>
    </row>
    <row r="48" spans="1:26" x14ac:dyDescent="0.25">
      <c r="A48" s="2564"/>
      <c r="B48" s="2572" t="s">
        <v>74</v>
      </c>
      <c r="C48" s="2573"/>
      <c r="D48" s="2574"/>
      <c r="E48" s="2575">
        <f t="shared" si="17"/>
        <v>0</v>
      </c>
      <c r="F48" s="2573">
        <v>1</v>
      </c>
      <c r="G48" s="2576">
        <v>2</v>
      </c>
      <c r="H48" s="2575">
        <f t="shared" si="18"/>
        <v>3</v>
      </c>
      <c r="I48" s="2573"/>
      <c r="J48" s="2576"/>
      <c r="K48" s="2575">
        <f t="shared" si="2"/>
        <v>0</v>
      </c>
      <c r="L48" s="2573"/>
      <c r="M48" s="2576">
        <v>1</v>
      </c>
      <c r="N48" s="2575">
        <f t="shared" si="3"/>
        <v>1</v>
      </c>
      <c r="O48" s="2573">
        <v>1</v>
      </c>
      <c r="P48" s="2576"/>
      <c r="Q48" s="2575">
        <f t="shared" si="4"/>
        <v>1</v>
      </c>
      <c r="R48" s="2573">
        <v>1</v>
      </c>
      <c r="S48" s="2576">
        <v>2</v>
      </c>
      <c r="T48" s="2575">
        <f t="shared" si="5"/>
        <v>3</v>
      </c>
      <c r="U48" s="2573">
        <v>1</v>
      </c>
      <c r="V48" s="2576">
        <v>1</v>
      </c>
      <c r="W48" s="2575">
        <f t="shared" si="6"/>
        <v>2</v>
      </c>
      <c r="X48" s="2573"/>
      <c r="Y48" s="2576"/>
      <c r="Z48" s="2575">
        <f t="shared" si="20"/>
        <v>0</v>
      </c>
    </row>
    <row r="49" spans="1:26" x14ac:dyDescent="0.25">
      <c r="A49" s="2564"/>
      <c r="B49" s="2572" t="s">
        <v>75</v>
      </c>
      <c r="C49" s="2573"/>
      <c r="D49" s="2574"/>
      <c r="E49" s="2575">
        <f t="shared" si="17"/>
        <v>0</v>
      </c>
      <c r="F49" s="2573">
        <v>3</v>
      </c>
      <c r="G49" s="2576">
        <v>3</v>
      </c>
      <c r="H49" s="2575">
        <f t="shared" si="18"/>
        <v>6</v>
      </c>
      <c r="I49" s="2573"/>
      <c r="J49" s="2576"/>
      <c r="K49" s="2575">
        <f t="shared" si="2"/>
        <v>0</v>
      </c>
      <c r="L49" s="2573">
        <v>2</v>
      </c>
      <c r="M49" s="2576">
        <v>1</v>
      </c>
      <c r="N49" s="2575">
        <f t="shared" si="3"/>
        <v>3</v>
      </c>
      <c r="O49" s="2573">
        <v>1</v>
      </c>
      <c r="P49" s="2576">
        <v>1</v>
      </c>
      <c r="Q49" s="2575">
        <f t="shared" si="4"/>
        <v>2</v>
      </c>
      <c r="R49" s="2573">
        <v>4</v>
      </c>
      <c r="S49" s="2576">
        <v>6</v>
      </c>
      <c r="T49" s="2575">
        <f t="shared" si="5"/>
        <v>10</v>
      </c>
      <c r="U49" s="2573">
        <v>2</v>
      </c>
      <c r="V49" s="2576">
        <v>7</v>
      </c>
      <c r="W49" s="2575">
        <f t="shared" si="6"/>
        <v>9</v>
      </c>
      <c r="X49" s="2573">
        <v>3</v>
      </c>
      <c r="Y49" s="2576">
        <v>1</v>
      </c>
      <c r="Z49" s="2575">
        <f t="shared" si="20"/>
        <v>4</v>
      </c>
    </row>
    <row r="50" spans="1:26" x14ac:dyDescent="0.25">
      <c r="A50" s="2564"/>
      <c r="B50" s="2572" t="s">
        <v>77</v>
      </c>
      <c r="C50" s="2573"/>
      <c r="D50" s="2574"/>
      <c r="E50" s="2575"/>
      <c r="F50" s="2573"/>
      <c r="G50" s="2576"/>
      <c r="H50" s="2575"/>
      <c r="I50" s="2573"/>
      <c r="J50" s="2576"/>
      <c r="K50" s="2575"/>
      <c r="L50" s="2573">
        <v>1</v>
      </c>
      <c r="M50" s="2576"/>
      <c r="N50" s="2575">
        <f t="shared" si="3"/>
        <v>1</v>
      </c>
      <c r="O50" s="2573">
        <v>1</v>
      </c>
      <c r="P50" s="2576"/>
      <c r="Q50" s="2575">
        <f t="shared" si="4"/>
        <v>1</v>
      </c>
      <c r="R50" s="2573">
        <v>1</v>
      </c>
      <c r="S50" s="2576"/>
      <c r="T50" s="2575">
        <f t="shared" si="5"/>
        <v>1</v>
      </c>
      <c r="U50" s="2573"/>
      <c r="V50" s="2576">
        <v>1</v>
      </c>
      <c r="W50" s="2575">
        <f t="shared" si="6"/>
        <v>1</v>
      </c>
      <c r="X50" s="2573"/>
      <c r="Y50" s="2576"/>
      <c r="Z50" s="2575">
        <f t="shared" si="20"/>
        <v>0</v>
      </c>
    </row>
    <row r="51" spans="1:26" x14ac:dyDescent="0.25">
      <c r="A51" s="2564"/>
      <c r="B51" s="2577" t="s">
        <v>59</v>
      </c>
      <c r="C51" s="2578">
        <f t="shared" ref="C51:I51" si="21">SUM(C41:C49)</f>
        <v>4</v>
      </c>
      <c r="D51" s="2579">
        <f t="shared" si="21"/>
        <v>7</v>
      </c>
      <c r="E51" s="2580">
        <f t="shared" si="21"/>
        <v>11</v>
      </c>
      <c r="F51" s="2578">
        <f t="shared" si="21"/>
        <v>10</v>
      </c>
      <c r="G51" s="2581">
        <f t="shared" si="21"/>
        <v>18</v>
      </c>
      <c r="H51" s="2580">
        <f t="shared" si="21"/>
        <v>28</v>
      </c>
      <c r="I51" s="2578">
        <f t="shared" si="21"/>
        <v>1</v>
      </c>
      <c r="J51" s="2581">
        <f>SUM(J41:J49)</f>
        <v>3</v>
      </c>
      <c r="K51" s="2580">
        <f t="shared" si="2"/>
        <v>4</v>
      </c>
      <c r="L51" s="2578">
        <f>SUM(L41:L50)</f>
        <v>10</v>
      </c>
      <c r="M51" s="2581">
        <f>SUM(M41:M50)</f>
        <v>14</v>
      </c>
      <c r="N51" s="2580">
        <f>SUM(N41:O50)</f>
        <v>39</v>
      </c>
      <c r="O51" s="2578">
        <f>SUM(O41:O50)</f>
        <v>15</v>
      </c>
      <c r="P51" s="2581">
        <f>SUM(P41:P50)</f>
        <v>12</v>
      </c>
      <c r="Q51" s="2580">
        <f>SUM(Q40:V49)</f>
        <v>373</v>
      </c>
      <c r="R51" s="2578">
        <f>SUM(R41:R50)</f>
        <v>20</v>
      </c>
      <c r="S51" s="2581">
        <f>SUM(S41:S50)</f>
        <v>36</v>
      </c>
      <c r="T51" s="2580">
        <f>SUM(T40:V49)</f>
        <v>195</v>
      </c>
      <c r="U51" s="2578">
        <f t="shared" ref="U51:Z51" si="22">SUM(U41:U50)</f>
        <v>13</v>
      </c>
      <c r="V51" s="2581">
        <f t="shared" si="22"/>
        <v>23</v>
      </c>
      <c r="W51" s="2580">
        <f t="shared" si="22"/>
        <v>36</v>
      </c>
      <c r="X51" s="2578">
        <f t="shared" si="22"/>
        <v>7</v>
      </c>
      <c r="Y51" s="2581">
        <f t="shared" si="22"/>
        <v>12</v>
      </c>
      <c r="Z51" s="2580">
        <f t="shared" si="22"/>
        <v>19</v>
      </c>
    </row>
    <row r="52" spans="1:26" x14ac:dyDescent="0.25">
      <c r="A52" s="2564"/>
      <c r="B52" s="2572" t="s">
        <v>60</v>
      </c>
      <c r="C52" s="2573">
        <v>3</v>
      </c>
      <c r="D52" s="2574">
        <v>1</v>
      </c>
      <c r="E52" s="2575">
        <f t="shared" ref="E52:E62" si="23">SUM(C52:D52)</f>
        <v>4</v>
      </c>
      <c r="F52" s="2573">
        <v>8</v>
      </c>
      <c r="G52" s="2576">
        <v>6</v>
      </c>
      <c r="H52" s="2575">
        <f t="shared" ref="H52:H62" si="24">SUM(F52:G52)</f>
        <v>14</v>
      </c>
      <c r="I52" s="2573">
        <v>7</v>
      </c>
      <c r="J52" s="2576">
        <v>5</v>
      </c>
      <c r="K52" s="2575">
        <f t="shared" si="2"/>
        <v>12</v>
      </c>
      <c r="L52" s="2573">
        <v>1</v>
      </c>
      <c r="M52" s="2576">
        <v>1</v>
      </c>
      <c r="N52" s="2575">
        <f t="shared" si="3"/>
        <v>2</v>
      </c>
      <c r="O52" s="2573">
        <v>6</v>
      </c>
      <c r="P52" s="2576">
        <v>3</v>
      </c>
      <c r="Q52" s="2575">
        <f t="shared" ref="Q52:Q77" si="25">SUM(O52:P52)</f>
        <v>9</v>
      </c>
      <c r="R52" s="2573">
        <v>19</v>
      </c>
      <c r="S52" s="2576">
        <v>10</v>
      </c>
      <c r="T52" s="2575">
        <f t="shared" ref="T52:T72" si="26">SUM(R52:S52)</f>
        <v>29</v>
      </c>
      <c r="U52" s="2573">
        <v>13</v>
      </c>
      <c r="V52" s="2576">
        <v>1</v>
      </c>
      <c r="W52" s="2575">
        <f t="shared" ref="W52:W72" si="27">SUM(U52:V52)</f>
        <v>14</v>
      </c>
      <c r="X52" s="2573">
        <v>9</v>
      </c>
      <c r="Y52" s="2576">
        <v>5</v>
      </c>
      <c r="Z52" s="2575">
        <f t="shared" ref="Z52:Z72" si="28">SUM(X52:Y52)</f>
        <v>14</v>
      </c>
    </row>
    <row r="53" spans="1:26" x14ac:dyDescent="0.25">
      <c r="A53" s="2564"/>
      <c r="B53" s="2572" t="s">
        <v>78</v>
      </c>
      <c r="C53" s="2573">
        <v>1</v>
      </c>
      <c r="D53" s="2574"/>
      <c r="E53" s="2575">
        <f t="shared" si="23"/>
        <v>1</v>
      </c>
      <c r="F53" s="2573">
        <v>5</v>
      </c>
      <c r="G53" s="2576">
        <v>2</v>
      </c>
      <c r="H53" s="2575">
        <f t="shared" si="24"/>
        <v>7</v>
      </c>
      <c r="I53" s="2573">
        <v>1</v>
      </c>
      <c r="J53" s="2576">
        <v>1</v>
      </c>
      <c r="K53" s="2575">
        <f t="shared" si="2"/>
        <v>2</v>
      </c>
      <c r="L53" s="2573">
        <v>3</v>
      </c>
      <c r="M53" s="2576">
        <v>3</v>
      </c>
      <c r="N53" s="2575">
        <f t="shared" si="3"/>
        <v>6</v>
      </c>
      <c r="O53" s="2573">
        <v>2</v>
      </c>
      <c r="P53" s="2576"/>
      <c r="Q53" s="2575">
        <f t="shared" si="25"/>
        <v>2</v>
      </c>
      <c r="R53" s="2573">
        <v>4</v>
      </c>
      <c r="S53" s="2576">
        <v>1</v>
      </c>
      <c r="T53" s="2575">
        <f t="shared" si="26"/>
        <v>5</v>
      </c>
      <c r="U53" s="2573">
        <v>4</v>
      </c>
      <c r="V53" s="2576"/>
      <c r="W53" s="2575">
        <f t="shared" si="27"/>
        <v>4</v>
      </c>
      <c r="X53" s="2573">
        <v>3</v>
      </c>
      <c r="Y53" s="2576">
        <v>1</v>
      </c>
      <c r="Z53" s="2575">
        <f t="shared" si="28"/>
        <v>4</v>
      </c>
    </row>
    <row r="54" spans="1:26" x14ac:dyDescent="0.25">
      <c r="A54" s="2564"/>
      <c r="B54" s="2572" t="s">
        <v>83</v>
      </c>
      <c r="C54" s="2573">
        <v>1</v>
      </c>
      <c r="D54" s="2574">
        <v>1</v>
      </c>
      <c r="E54" s="2575">
        <f t="shared" si="23"/>
        <v>2</v>
      </c>
      <c r="F54" s="2573">
        <v>3</v>
      </c>
      <c r="G54" s="2576">
        <v>5</v>
      </c>
      <c r="H54" s="2575">
        <f t="shared" si="24"/>
        <v>8</v>
      </c>
      <c r="I54" s="2573">
        <v>2</v>
      </c>
      <c r="J54" s="2576"/>
      <c r="K54" s="2575">
        <f t="shared" si="2"/>
        <v>2</v>
      </c>
      <c r="L54" s="2573">
        <v>2</v>
      </c>
      <c r="M54" s="2576">
        <v>1</v>
      </c>
      <c r="N54" s="2575">
        <f t="shared" si="3"/>
        <v>3</v>
      </c>
      <c r="O54" s="2573">
        <v>1</v>
      </c>
      <c r="P54" s="2576">
        <v>1</v>
      </c>
      <c r="Q54" s="2575">
        <f t="shared" si="25"/>
        <v>2</v>
      </c>
      <c r="R54" s="2573">
        <v>3</v>
      </c>
      <c r="S54" s="2576">
        <v>6</v>
      </c>
      <c r="T54" s="2575">
        <f t="shared" si="26"/>
        <v>9</v>
      </c>
      <c r="U54" s="2573">
        <v>5</v>
      </c>
      <c r="V54" s="2576">
        <v>5</v>
      </c>
      <c r="W54" s="2575">
        <f t="shared" si="27"/>
        <v>10</v>
      </c>
      <c r="X54" s="2573">
        <v>2</v>
      </c>
      <c r="Y54" s="2576">
        <v>3</v>
      </c>
      <c r="Z54" s="2575">
        <f t="shared" si="28"/>
        <v>5</v>
      </c>
    </row>
    <row r="55" spans="1:26" x14ac:dyDescent="0.25">
      <c r="A55" s="2564"/>
      <c r="B55" s="2572" t="s">
        <v>62</v>
      </c>
      <c r="C55" s="2573"/>
      <c r="D55" s="2574"/>
      <c r="E55" s="2575">
        <f t="shared" si="23"/>
        <v>0</v>
      </c>
      <c r="F55" s="2573">
        <v>4</v>
      </c>
      <c r="G55" s="2576">
        <v>3</v>
      </c>
      <c r="H55" s="2575">
        <f t="shared" si="24"/>
        <v>7</v>
      </c>
      <c r="I55" s="2573"/>
      <c r="J55" s="2576"/>
      <c r="K55" s="2575">
        <f t="shared" si="2"/>
        <v>0</v>
      </c>
      <c r="L55" s="2573"/>
      <c r="M55" s="2576"/>
      <c r="N55" s="2575">
        <f t="shared" si="3"/>
        <v>0</v>
      </c>
      <c r="O55" s="2573">
        <v>2</v>
      </c>
      <c r="P55" s="2576"/>
      <c r="Q55" s="2575">
        <f t="shared" si="25"/>
        <v>2</v>
      </c>
      <c r="R55" s="2573">
        <v>1</v>
      </c>
      <c r="S55" s="2576">
        <v>1</v>
      </c>
      <c r="T55" s="2575">
        <f t="shared" si="26"/>
        <v>2</v>
      </c>
      <c r="U55" s="2573">
        <v>1</v>
      </c>
      <c r="V55" s="2576">
        <v>1</v>
      </c>
      <c r="W55" s="2575">
        <f t="shared" si="27"/>
        <v>2</v>
      </c>
      <c r="X55" s="2573">
        <v>5</v>
      </c>
      <c r="Y55" s="2576">
        <v>2</v>
      </c>
      <c r="Z55" s="2575">
        <f t="shared" si="28"/>
        <v>7</v>
      </c>
    </row>
    <row r="56" spans="1:26" x14ac:dyDescent="0.25">
      <c r="A56" s="2564"/>
      <c r="B56" s="2572" t="s">
        <v>80</v>
      </c>
      <c r="C56" s="2573">
        <v>3</v>
      </c>
      <c r="D56" s="2574">
        <v>4</v>
      </c>
      <c r="E56" s="2575">
        <f t="shared" si="23"/>
        <v>7</v>
      </c>
      <c r="F56" s="2573">
        <v>4</v>
      </c>
      <c r="G56" s="2576">
        <v>10</v>
      </c>
      <c r="H56" s="2575">
        <f t="shared" si="24"/>
        <v>14</v>
      </c>
      <c r="I56" s="2573"/>
      <c r="J56" s="2576">
        <v>1</v>
      </c>
      <c r="K56" s="2575">
        <f t="shared" si="2"/>
        <v>1</v>
      </c>
      <c r="L56" s="2573">
        <v>4</v>
      </c>
      <c r="M56" s="2576">
        <v>1</v>
      </c>
      <c r="N56" s="2575">
        <f t="shared" si="3"/>
        <v>5</v>
      </c>
      <c r="O56" s="2573"/>
      <c r="P56" s="2576">
        <v>1</v>
      </c>
      <c r="Q56" s="2575">
        <f t="shared" si="25"/>
        <v>1</v>
      </c>
      <c r="R56" s="2573">
        <v>2</v>
      </c>
      <c r="S56" s="2576">
        <v>1</v>
      </c>
      <c r="T56" s="2575">
        <f t="shared" si="26"/>
        <v>3</v>
      </c>
      <c r="U56" s="2573"/>
      <c r="V56" s="2576">
        <v>5</v>
      </c>
      <c r="W56" s="2575">
        <f t="shared" si="27"/>
        <v>5</v>
      </c>
      <c r="X56" s="2573">
        <v>1</v>
      </c>
      <c r="Y56" s="2576">
        <v>2</v>
      </c>
      <c r="Z56" s="2575">
        <f t="shared" si="28"/>
        <v>3</v>
      </c>
    </row>
    <row r="57" spans="1:26" x14ac:dyDescent="0.25">
      <c r="A57" s="2564"/>
      <c r="B57" s="2572" t="s">
        <v>85</v>
      </c>
      <c r="C57" s="2573"/>
      <c r="D57" s="2574"/>
      <c r="E57" s="2575">
        <f t="shared" si="23"/>
        <v>0</v>
      </c>
      <c r="F57" s="2573">
        <v>2</v>
      </c>
      <c r="G57" s="2576">
        <v>2</v>
      </c>
      <c r="H57" s="2575">
        <f t="shared" si="24"/>
        <v>4</v>
      </c>
      <c r="I57" s="2573">
        <v>1</v>
      </c>
      <c r="J57" s="2576"/>
      <c r="K57" s="2575">
        <f t="shared" si="2"/>
        <v>1</v>
      </c>
      <c r="L57" s="2573"/>
      <c r="M57" s="2576">
        <v>1</v>
      </c>
      <c r="N57" s="2575">
        <f t="shared" si="3"/>
        <v>1</v>
      </c>
      <c r="O57" s="2573">
        <v>1</v>
      </c>
      <c r="P57" s="2576"/>
      <c r="Q57" s="2575">
        <f t="shared" si="25"/>
        <v>1</v>
      </c>
      <c r="R57" s="2573">
        <v>1</v>
      </c>
      <c r="S57" s="2576">
        <v>1</v>
      </c>
      <c r="T57" s="2575">
        <f t="shared" si="26"/>
        <v>2</v>
      </c>
      <c r="U57" s="2573"/>
      <c r="V57" s="2576">
        <v>1</v>
      </c>
      <c r="W57" s="2575">
        <f t="shared" si="27"/>
        <v>1</v>
      </c>
      <c r="X57" s="2573"/>
      <c r="Y57" s="2576"/>
      <c r="Z57" s="2575">
        <f t="shared" si="28"/>
        <v>0</v>
      </c>
    </row>
    <row r="58" spans="1:26" x14ac:dyDescent="0.25">
      <c r="A58" s="2564"/>
      <c r="B58" s="2572" t="s">
        <v>81</v>
      </c>
      <c r="C58" s="2573"/>
      <c r="D58" s="2574"/>
      <c r="E58" s="2575">
        <f t="shared" si="23"/>
        <v>0</v>
      </c>
      <c r="F58" s="2573">
        <v>6</v>
      </c>
      <c r="G58" s="2576">
        <v>3</v>
      </c>
      <c r="H58" s="2575">
        <f t="shared" si="24"/>
        <v>9</v>
      </c>
      <c r="I58" s="2573">
        <v>3</v>
      </c>
      <c r="J58" s="2576"/>
      <c r="K58" s="2575">
        <f t="shared" si="2"/>
        <v>3</v>
      </c>
      <c r="L58" s="2573"/>
      <c r="M58" s="2576"/>
      <c r="N58" s="2575">
        <f t="shared" si="3"/>
        <v>0</v>
      </c>
      <c r="O58" s="2573"/>
      <c r="P58" s="2576"/>
      <c r="Q58" s="2575">
        <f t="shared" si="25"/>
        <v>0</v>
      </c>
      <c r="R58" s="2573">
        <v>1</v>
      </c>
      <c r="S58" s="2576">
        <v>1</v>
      </c>
      <c r="T58" s="2575">
        <f t="shared" si="26"/>
        <v>2</v>
      </c>
      <c r="U58" s="2573">
        <v>2</v>
      </c>
      <c r="V58" s="2576">
        <v>3</v>
      </c>
      <c r="W58" s="2575">
        <f t="shared" si="27"/>
        <v>5</v>
      </c>
      <c r="X58" s="2573">
        <v>1</v>
      </c>
      <c r="Y58" s="2576"/>
      <c r="Z58" s="2575">
        <f t="shared" si="28"/>
        <v>1</v>
      </c>
    </row>
    <row r="59" spans="1:26" s="2564" customFormat="1" x14ac:dyDescent="0.25">
      <c r="B59" s="2572" t="s">
        <v>79</v>
      </c>
      <c r="C59" s="2573"/>
      <c r="D59" s="2574">
        <v>1</v>
      </c>
      <c r="E59" s="2575">
        <f t="shared" si="23"/>
        <v>1</v>
      </c>
      <c r="F59" s="2573">
        <v>6</v>
      </c>
      <c r="G59" s="2576">
        <v>1</v>
      </c>
      <c r="H59" s="2575">
        <f t="shared" si="24"/>
        <v>7</v>
      </c>
      <c r="I59" s="2573">
        <v>1</v>
      </c>
      <c r="J59" s="2576"/>
      <c r="K59" s="2575">
        <f t="shared" si="2"/>
        <v>1</v>
      </c>
      <c r="L59" s="2573">
        <v>6</v>
      </c>
      <c r="M59" s="2576"/>
      <c r="N59" s="2575">
        <f t="shared" si="3"/>
        <v>6</v>
      </c>
      <c r="O59" s="2573">
        <v>3</v>
      </c>
      <c r="P59" s="2576"/>
      <c r="Q59" s="2575">
        <f t="shared" si="25"/>
        <v>3</v>
      </c>
      <c r="R59" s="2573">
        <v>8</v>
      </c>
      <c r="S59" s="2576">
        <v>2</v>
      </c>
      <c r="T59" s="2575">
        <f t="shared" si="26"/>
        <v>10</v>
      </c>
      <c r="U59" s="2573">
        <v>6</v>
      </c>
      <c r="V59" s="2576">
        <v>2</v>
      </c>
      <c r="W59" s="2575">
        <f t="shared" si="27"/>
        <v>8</v>
      </c>
      <c r="X59" s="2573">
        <v>5</v>
      </c>
      <c r="Y59" s="2576">
        <v>1</v>
      </c>
      <c r="Z59" s="2575">
        <f t="shared" si="28"/>
        <v>6</v>
      </c>
    </row>
    <row r="60" spans="1:26" x14ac:dyDescent="0.25">
      <c r="A60" s="2564"/>
      <c r="B60" s="2572" t="s">
        <v>82</v>
      </c>
      <c r="C60" s="2573">
        <v>1</v>
      </c>
      <c r="D60" s="2574"/>
      <c r="E60" s="2575">
        <f t="shared" si="23"/>
        <v>1</v>
      </c>
      <c r="F60" s="2573">
        <v>3</v>
      </c>
      <c r="G60" s="2576">
        <v>2</v>
      </c>
      <c r="H60" s="2575">
        <f t="shared" si="24"/>
        <v>5</v>
      </c>
      <c r="I60" s="2573">
        <v>5</v>
      </c>
      <c r="J60" s="2576"/>
      <c r="K60" s="2575">
        <f t="shared" si="2"/>
        <v>5</v>
      </c>
      <c r="L60" s="2573">
        <v>4</v>
      </c>
      <c r="M60" s="2576">
        <v>2</v>
      </c>
      <c r="N60" s="2575">
        <f t="shared" si="3"/>
        <v>6</v>
      </c>
      <c r="O60" s="2573">
        <v>3</v>
      </c>
      <c r="P60" s="2576">
        <v>1</v>
      </c>
      <c r="Q60" s="2575">
        <f t="shared" si="25"/>
        <v>4</v>
      </c>
      <c r="R60" s="2573">
        <v>2</v>
      </c>
      <c r="S60" s="2576">
        <v>1</v>
      </c>
      <c r="T60" s="2575">
        <f t="shared" si="26"/>
        <v>3</v>
      </c>
      <c r="U60" s="2573">
        <v>4</v>
      </c>
      <c r="V60" s="2576">
        <v>3</v>
      </c>
      <c r="W60" s="2575">
        <f t="shared" si="27"/>
        <v>7</v>
      </c>
      <c r="X60" s="2573">
        <v>2</v>
      </c>
      <c r="Y60" s="2576">
        <v>2</v>
      </c>
      <c r="Z60" s="2575">
        <f t="shared" si="28"/>
        <v>4</v>
      </c>
    </row>
    <row r="61" spans="1:26" x14ac:dyDescent="0.25">
      <c r="A61" s="2564"/>
      <c r="B61" s="2572" t="s">
        <v>84</v>
      </c>
      <c r="C61" s="2573"/>
      <c r="D61" s="2574"/>
      <c r="E61" s="2575">
        <f t="shared" si="23"/>
        <v>0</v>
      </c>
      <c r="F61" s="2573">
        <v>3</v>
      </c>
      <c r="G61" s="2576">
        <v>2</v>
      </c>
      <c r="H61" s="2575">
        <f t="shared" si="24"/>
        <v>5</v>
      </c>
      <c r="I61" s="2573">
        <v>1</v>
      </c>
      <c r="J61" s="2576"/>
      <c r="K61" s="2575">
        <f t="shared" si="2"/>
        <v>1</v>
      </c>
      <c r="L61" s="2573">
        <v>4</v>
      </c>
      <c r="M61" s="2576">
        <v>1</v>
      </c>
      <c r="N61" s="2575">
        <f t="shared" si="3"/>
        <v>5</v>
      </c>
      <c r="O61" s="2573">
        <v>2</v>
      </c>
      <c r="P61" s="2576">
        <v>1</v>
      </c>
      <c r="Q61" s="2575">
        <f t="shared" si="25"/>
        <v>3</v>
      </c>
      <c r="R61" s="2573">
        <v>5</v>
      </c>
      <c r="S61" s="2576">
        <v>1</v>
      </c>
      <c r="T61" s="2575">
        <f t="shared" si="26"/>
        <v>6</v>
      </c>
      <c r="U61" s="2573">
        <v>8</v>
      </c>
      <c r="V61" s="2576">
        <v>2</v>
      </c>
      <c r="W61" s="2575">
        <f t="shared" si="27"/>
        <v>10</v>
      </c>
      <c r="X61" s="2573">
        <v>6</v>
      </c>
      <c r="Y61" s="2576">
        <v>1</v>
      </c>
      <c r="Z61" s="2575">
        <f t="shared" si="28"/>
        <v>7</v>
      </c>
    </row>
    <row r="62" spans="1:26" x14ac:dyDescent="0.25">
      <c r="A62" s="2564"/>
      <c r="B62" s="2572" t="s">
        <v>63</v>
      </c>
      <c r="C62" s="2573">
        <v>1</v>
      </c>
      <c r="D62" s="2574">
        <v>1</v>
      </c>
      <c r="E62" s="2575">
        <f t="shared" si="23"/>
        <v>2</v>
      </c>
      <c r="F62" s="2573">
        <v>3</v>
      </c>
      <c r="G62" s="2576">
        <v>4</v>
      </c>
      <c r="H62" s="2575">
        <f t="shared" si="24"/>
        <v>7</v>
      </c>
      <c r="I62" s="2573">
        <v>1</v>
      </c>
      <c r="J62" s="2576"/>
      <c r="K62" s="2575">
        <f t="shared" si="2"/>
        <v>1</v>
      </c>
      <c r="L62" s="2573">
        <v>1</v>
      </c>
      <c r="M62" s="2576">
        <v>1</v>
      </c>
      <c r="N62" s="2575">
        <f t="shared" si="3"/>
        <v>2</v>
      </c>
      <c r="O62" s="2573">
        <v>1</v>
      </c>
      <c r="P62" s="2576">
        <v>1</v>
      </c>
      <c r="Q62" s="2575">
        <f t="shared" si="25"/>
        <v>2</v>
      </c>
      <c r="R62" s="2573">
        <v>3</v>
      </c>
      <c r="S62" s="2576">
        <v>2</v>
      </c>
      <c r="T62" s="2575">
        <f t="shared" si="26"/>
        <v>5</v>
      </c>
      <c r="U62" s="2573"/>
      <c r="V62" s="2576"/>
      <c r="W62" s="2575">
        <f t="shared" si="27"/>
        <v>0</v>
      </c>
      <c r="X62" s="2573">
        <v>3</v>
      </c>
      <c r="Y62" s="2576"/>
      <c r="Z62" s="2575">
        <f t="shared" si="28"/>
        <v>3</v>
      </c>
    </row>
    <row r="63" spans="1:26" x14ac:dyDescent="0.25">
      <c r="A63" s="2564"/>
      <c r="B63" s="2577" t="s">
        <v>64</v>
      </c>
      <c r="C63" s="2578">
        <f t="shared" ref="C63:I63" si="29">SUM(C52:C62)</f>
        <v>10</v>
      </c>
      <c r="D63" s="2579">
        <f t="shared" si="29"/>
        <v>8</v>
      </c>
      <c r="E63" s="2580">
        <f t="shared" si="29"/>
        <v>18</v>
      </c>
      <c r="F63" s="2578">
        <f t="shared" si="29"/>
        <v>47</v>
      </c>
      <c r="G63" s="2581">
        <f t="shared" si="29"/>
        <v>40</v>
      </c>
      <c r="H63" s="2580">
        <f t="shared" si="29"/>
        <v>87</v>
      </c>
      <c r="I63" s="2578">
        <f t="shared" si="29"/>
        <v>22</v>
      </c>
      <c r="J63" s="2581">
        <f>SUM(J52:J62)</f>
        <v>7</v>
      </c>
      <c r="K63" s="2580">
        <f t="shared" si="2"/>
        <v>29</v>
      </c>
      <c r="L63" s="2578">
        <f>SUM(L52:L62)</f>
        <v>25</v>
      </c>
      <c r="M63" s="2581">
        <f>SUM(M52:M62)</f>
        <v>11</v>
      </c>
      <c r="N63" s="2580">
        <f t="shared" si="3"/>
        <v>36</v>
      </c>
      <c r="O63" s="2578">
        <f>SUM(O52:O62)</f>
        <v>21</v>
      </c>
      <c r="P63" s="2581">
        <f>SUM(P52:P62)</f>
        <v>8</v>
      </c>
      <c r="Q63" s="2580">
        <f t="shared" si="25"/>
        <v>29</v>
      </c>
      <c r="R63" s="2578">
        <f>SUM(R52:R62)</f>
        <v>49</v>
      </c>
      <c r="S63" s="2581">
        <f>SUM(S52:S62)</f>
        <v>27</v>
      </c>
      <c r="T63" s="2580">
        <f t="shared" si="26"/>
        <v>76</v>
      </c>
      <c r="U63" s="2578">
        <f>SUM(U52:U62)</f>
        <v>43</v>
      </c>
      <c r="V63" s="2581">
        <f>SUM(V52:V62)</f>
        <v>23</v>
      </c>
      <c r="W63" s="2580">
        <f t="shared" si="27"/>
        <v>66</v>
      </c>
      <c r="X63" s="2578">
        <f>SUM(X52:X62)</f>
        <v>37</v>
      </c>
      <c r="Y63" s="2581">
        <f>SUM(Y52:Y62)</f>
        <v>17</v>
      </c>
      <c r="Z63" s="2580">
        <f t="shared" si="28"/>
        <v>54</v>
      </c>
    </row>
    <row r="64" spans="1:26" x14ac:dyDescent="0.25">
      <c r="A64" s="2564"/>
      <c r="B64" s="2572" t="s">
        <v>86</v>
      </c>
      <c r="C64" s="2573">
        <v>1</v>
      </c>
      <c r="D64" s="2574"/>
      <c r="E64" s="2575">
        <f t="shared" ref="E64:E69" si="30">SUM(C64:D64)</f>
        <v>1</v>
      </c>
      <c r="F64" s="2573">
        <v>4</v>
      </c>
      <c r="G64" s="2576">
        <v>3</v>
      </c>
      <c r="H64" s="2575">
        <f t="shared" ref="H64:H69" si="31">SUM(F64:G64)</f>
        <v>7</v>
      </c>
      <c r="I64" s="2573">
        <v>2</v>
      </c>
      <c r="J64" s="2576">
        <v>1</v>
      </c>
      <c r="K64" s="2575">
        <f t="shared" si="2"/>
        <v>3</v>
      </c>
      <c r="L64" s="2573">
        <v>2</v>
      </c>
      <c r="M64" s="2576">
        <v>1</v>
      </c>
      <c r="N64" s="2575">
        <f t="shared" si="3"/>
        <v>3</v>
      </c>
      <c r="O64" s="2573">
        <v>3</v>
      </c>
      <c r="P64" s="2576">
        <v>1</v>
      </c>
      <c r="Q64" s="2575">
        <f t="shared" si="25"/>
        <v>4</v>
      </c>
      <c r="R64" s="2573">
        <v>6</v>
      </c>
      <c r="S64" s="2576">
        <v>2</v>
      </c>
      <c r="T64" s="2575">
        <f t="shared" si="26"/>
        <v>8</v>
      </c>
      <c r="U64" s="2573">
        <v>5</v>
      </c>
      <c r="V64" s="2576">
        <v>4</v>
      </c>
      <c r="W64" s="2575">
        <f t="shared" si="27"/>
        <v>9</v>
      </c>
      <c r="X64" s="2573">
        <v>2</v>
      </c>
      <c r="Y64" s="2576">
        <v>2</v>
      </c>
      <c r="Z64" s="2575">
        <f t="shared" si="28"/>
        <v>4</v>
      </c>
    </row>
    <row r="65" spans="1:26" x14ac:dyDescent="0.25">
      <c r="A65" s="2564"/>
      <c r="B65" s="2572" t="s">
        <v>87</v>
      </c>
      <c r="C65" s="2573">
        <v>1</v>
      </c>
      <c r="D65" s="2574">
        <v>2</v>
      </c>
      <c r="E65" s="2575">
        <f t="shared" si="30"/>
        <v>3</v>
      </c>
      <c r="F65" s="2573">
        <v>6</v>
      </c>
      <c r="G65" s="2576">
        <v>1</v>
      </c>
      <c r="H65" s="2575">
        <f t="shared" si="31"/>
        <v>7</v>
      </c>
      <c r="I65" s="2573">
        <v>4</v>
      </c>
      <c r="J65" s="2576">
        <v>1</v>
      </c>
      <c r="K65" s="2575">
        <f t="shared" si="2"/>
        <v>5</v>
      </c>
      <c r="L65" s="2573">
        <v>2</v>
      </c>
      <c r="M65" s="2576">
        <v>3</v>
      </c>
      <c r="N65" s="2575">
        <f t="shared" si="3"/>
        <v>5</v>
      </c>
      <c r="O65" s="2573">
        <v>4</v>
      </c>
      <c r="P65" s="2576">
        <v>2</v>
      </c>
      <c r="Q65" s="2575">
        <f t="shared" si="25"/>
        <v>6</v>
      </c>
      <c r="R65" s="2573">
        <v>12</v>
      </c>
      <c r="S65" s="2576">
        <v>3</v>
      </c>
      <c r="T65" s="2575">
        <f t="shared" si="26"/>
        <v>15</v>
      </c>
      <c r="U65" s="2573">
        <v>9</v>
      </c>
      <c r="V65" s="2576">
        <v>3</v>
      </c>
      <c r="W65" s="2575">
        <f t="shared" si="27"/>
        <v>12</v>
      </c>
      <c r="X65" s="2573">
        <v>7</v>
      </c>
      <c r="Y65" s="2576">
        <v>1</v>
      </c>
      <c r="Z65" s="2575">
        <f t="shared" si="28"/>
        <v>8</v>
      </c>
    </row>
    <row r="66" spans="1:26" s="2564" customFormat="1" x14ac:dyDescent="0.25">
      <c r="B66" s="2572" t="s">
        <v>88</v>
      </c>
      <c r="C66" s="2573"/>
      <c r="D66" s="2574"/>
      <c r="E66" s="2575">
        <f t="shared" si="30"/>
        <v>0</v>
      </c>
      <c r="F66" s="2573">
        <v>1</v>
      </c>
      <c r="G66" s="2576">
        <v>4</v>
      </c>
      <c r="H66" s="2575">
        <f t="shared" si="31"/>
        <v>5</v>
      </c>
      <c r="I66" s="2573"/>
      <c r="J66" s="2576">
        <v>1</v>
      </c>
      <c r="K66" s="2575">
        <f t="shared" si="2"/>
        <v>1</v>
      </c>
      <c r="L66" s="2573">
        <v>2</v>
      </c>
      <c r="M66" s="2576"/>
      <c r="N66" s="2575">
        <f t="shared" si="3"/>
        <v>2</v>
      </c>
      <c r="O66" s="2573">
        <v>3</v>
      </c>
      <c r="P66" s="2576"/>
      <c r="Q66" s="2575">
        <f t="shared" si="25"/>
        <v>3</v>
      </c>
      <c r="R66" s="2573">
        <v>3</v>
      </c>
      <c r="S66" s="2576">
        <v>1</v>
      </c>
      <c r="T66" s="2575">
        <f t="shared" si="26"/>
        <v>4</v>
      </c>
      <c r="U66" s="2573">
        <v>5</v>
      </c>
      <c r="V66" s="2576">
        <v>1</v>
      </c>
      <c r="W66" s="2575">
        <f t="shared" si="27"/>
        <v>6</v>
      </c>
      <c r="X66" s="2573">
        <v>2</v>
      </c>
      <c r="Y66" s="2576"/>
      <c r="Z66" s="2575">
        <f t="shared" si="28"/>
        <v>2</v>
      </c>
    </row>
    <row r="67" spans="1:26" s="2564" customFormat="1" x14ac:dyDescent="0.25">
      <c r="B67" s="2572" t="s">
        <v>180</v>
      </c>
      <c r="C67" s="2573">
        <v>2</v>
      </c>
      <c r="D67" s="2574">
        <v>3</v>
      </c>
      <c r="E67" s="2575">
        <f t="shared" si="30"/>
        <v>5</v>
      </c>
      <c r="F67" s="2573">
        <v>7</v>
      </c>
      <c r="G67" s="2576">
        <v>5</v>
      </c>
      <c r="H67" s="2575">
        <f t="shared" si="31"/>
        <v>12</v>
      </c>
      <c r="I67" s="2573">
        <v>2</v>
      </c>
      <c r="J67" s="2576"/>
      <c r="K67" s="2575">
        <f t="shared" si="2"/>
        <v>2</v>
      </c>
      <c r="L67" s="2573">
        <v>5</v>
      </c>
      <c r="M67" s="2576">
        <v>1</v>
      </c>
      <c r="N67" s="2575">
        <f t="shared" si="3"/>
        <v>6</v>
      </c>
      <c r="O67" s="2573">
        <v>3</v>
      </c>
      <c r="P67" s="2576">
        <v>1</v>
      </c>
      <c r="Q67" s="2575">
        <f t="shared" si="25"/>
        <v>4</v>
      </c>
      <c r="R67" s="2573">
        <v>9</v>
      </c>
      <c r="S67" s="2576">
        <v>5</v>
      </c>
      <c r="T67" s="2575">
        <f t="shared" si="26"/>
        <v>14</v>
      </c>
      <c r="U67" s="2573">
        <v>6</v>
      </c>
      <c r="V67" s="2576">
        <v>3</v>
      </c>
      <c r="W67" s="2575">
        <f t="shared" si="27"/>
        <v>9</v>
      </c>
      <c r="X67" s="2573">
        <v>2</v>
      </c>
      <c r="Y67" s="2576"/>
      <c r="Z67" s="2575">
        <f t="shared" si="28"/>
        <v>2</v>
      </c>
    </row>
    <row r="68" spans="1:26" x14ac:dyDescent="0.25">
      <c r="A68" s="2564"/>
      <c r="B68" s="2572" t="s">
        <v>642</v>
      </c>
      <c r="C68" s="2573">
        <v>1</v>
      </c>
      <c r="D68" s="2574"/>
      <c r="E68" s="2575">
        <f t="shared" si="30"/>
        <v>1</v>
      </c>
      <c r="F68" s="2573">
        <v>3</v>
      </c>
      <c r="G68" s="2576">
        <v>2</v>
      </c>
      <c r="H68" s="2575">
        <f t="shared" si="31"/>
        <v>5</v>
      </c>
      <c r="I68" s="2573"/>
      <c r="J68" s="2576"/>
      <c r="K68" s="2575">
        <f t="shared" si="2"/>
        <v>0</v>
      </c>
      <c r="L68" s="2573"/>
      <c r="M68" s="2576"/>
      <c r="N68" s="2575">
        <f t="shared" si="3"/>
        <v>0</v>
      </c>
      <c r="O68" s="2573">
        <v>1</v>
      </c>
      <c r="P68" s="2576"/>
      <c r="Q68" s="2575">
        <f t="shared" si="25"/>
        <v>1</v>
      </c>
      <c r="R68" s="2573">
        <v>11</v>
      </c>
      <c r="S68" s="2576">
        <v>1</v>
      </c>
      <c r="T68" s="2575">
        <f t="shared" si="26"/>
        <v>12</v>
      </c>
      <c r="U68" s="2573">
        <v>7</v>
      </c>
      <c r="V68" s="2576">
        <v>1</v>
      </c>
      <c r="W68" s="2575">
        <f t="shared" si="27"/>
        <v>8</v>
      </c>
      <c r="X68" s="2573">
        <v>2</v>
      </c>
      <c r="Y68" s="2576"/>
      <c r="Z68" s="2575">
        <f t="shared" si="28"/>
        <v>2</v>
      </c>
    </row>
    <row r="69" spans="1:26" s="2564" customFormat="1" x14ac:dyDescent="0.25">
      <c r="B69" s="2572" t="s">
        <v>89</v>
      </c>
      <c r="C69" s="2573"/>
      <c r="D69" s="2574"/>
      <c r="E69" s="2575">
        <f t="shared" si="30"/>
        <v>0</v>
      </c>
      <c r="F69" s="2573">
        <v>3</v>
      </c>
      <c r="G69" s="2576">
        <v>1</v>
      </c>
      <c r="H69" s="2575">
        <f t="shared" si="31"/>
        <v>4</v>
      </c>
      <c r="I69" s="2573">
        <v>1</v>
      </c>
      <c r="J69" s="2576">
        <v>1</v>
      </c>
      <c r="K69" s="2575">
        <f t="shared" si="2"/>
        <v>2</v>
      </c>
      <c r="L69" s="2573"/>
      <c r="M69" s="2576"/>
      <c r="N69" s="2575">
        <f t="shared" si="3"/>
        <v>0</v>
      </c>
      <c r="O69" s="2573"/>
      <c r="P69" s="2576"/>
      <c r="Q69" s="2575">
        <f t="shared" si="25"/>
        <v>0</v>
      </c>
      <c r="R69" s="2573">
        <v>2</v>
      </c>
      <c r="S69" s="2576"/>
      <c r="T69" s="2575">
        <f t="shared" si="26"/>
        <v>2</v>
      </c>
      <c r="U69" s="2573"/>
      <c r="V69" s="2576">
        <v>2</v>
      </c>
      <c r="W69" s="2575">
        <f t="shared" si="27"/>
        <v>2</v>
      </c>
      <c r="X69" s="2573">
        <v>1</v>
      </c>
      <c r="Y69" s="2576"/>
      <c r="Z69" s="2575">
        <f t="shared" si="28"/>
        <v>1</v>
      </c>
    </row>
    <row r="70" spans="1:26" x14ac:dyDescent="0.25">
      <c r="A70" s="2564"/>
      <c r="B70" s="2597" t="s">
        <v>92</v>
      </c>
      <c r="C70" s="2582">
        <f t="shared" ref="C70:I70" si="32">SUM(C64:C69)</f>
        <v>5</v>
      </c>
      <c r="D70" s="2583">
        <f t="shared" si="32"/>
        <v>5</v>
      </c>
      <c r="E70" s="2584">
        <f t="shared" si="32"/>
        <v>10</v>
      </c>
      <c r="F70" s="2582">
        <f t="shared" si="32"/>
        <v>24</v>
      </c>
      <c r="G70" s="2585">
        <f t="shared" si="32"/>
        <v>16</v>
      </c>
      <c r="H70" s="2584">
        <f t="shared" si="32"/>
        <v>40</v>
      </c>
      <c r="I70" s="2582">
        <f t="shared" si="32"/>
        <v>9</v>
      </c>
      <c r="J70" s="2585">
        <f>SUM(J64:J69)</f>
        <v>4</v>
      </c>
      <c r="K70" s="2584">
        <f t="shared" si="2"/>
        <v>13</v>
      </c>
      <c r="L70" s="2582">
        <f>SUM(L64:L69)</f>
        <v>11</v>
      </c>
      <c r="M70" s="2585">
        <f>SUM(M64:M69)</f>
        <v>5</v>
      </c>
      <c r="N70" s="2584">
        <f t="shared" si="3"/>
        <v>16</v>
      </c>
      <c r="O70" s="2582">
        <f>SUM(O64:O69)</f>
        <v>14</v>
      </c>
      <c r="P70" s="2585">
        <f>SUM(P64:P69)</f>
        <v>4</v>
      </c>
      <c r="Q70" s="2584">
        <f t="shared" si="25"/>
        <v>18</v>
      </c>
      <c r="R70" s="2582">
        <f>SUM(R64:R69)</f>
        <v>43</v>
      </c>
      <c r="S70" s="2585">
        <f>SUM(S64:S69)</f>
        <v>12</v>
      </c>
      <c r="T70" s="2584">
        <f t="shared" si="26"/>
        <v>55</v>
      </c>
      <c r="U70" s="2582">
        <f>SUM(U64:U69)</f>
        <v>32</v>
      </c>
      <c r="V70" s="2585">
        <f>SUM(V64:V69)</f>
        <v>14</v>
      </c>
      <c r="W70" s="2584">
        <f t="shared" si="27"/>
        <v>46</v>
      </c>
      <c r="X70" s="2582">
        <f>SUM(X64:X69)</f>
        <v>16</v>
      </c>
      <c r="Y70" s="2585">
        <f>SUM(Y64:Y69)</f>
        <v>3</v>
      </c>
      <c r="Z70" s="2584">
        <f t="shared" si="28"/>
        <v>19</v>
      </c>
    </row>
    <row r="71" spans="1:26" s="2564" customFormat="1" x14ac:dyDescent="0.25">
      <c r="B71" s="2598" t="s">
        <v>93</v>
      </c>
      <c r="C71" s="2598">
        <f t="shared" ref="C71:H71" si="33">C70+C63+C51</f>
        <v>19</v>
      </c>
      <c r="D71" s="2599">
        <f t="shared" si="33"/>
        <v>20</v>
      </c>
      <c r="E71" s="2600">
        <f t="shared" si="33"/>
        <v>39</v>
      </c>
      <c r="F71" s="2598">
        <f t="shared" si="33"/>
        <v>81</v>
      </c>
      <c r="G71" s="2601">
        <f t="shared" si="33"/>
        <v>74</v>
      </c>
      <c r="H71" s="2600">
        <f t="shared" si="33"/>
        <v>155</v>
      </c>
      <c r="I71" s="2598">
        <f>I70+I63+I51</f>
        <v>32</v>
      </c>
      <c r="J71" s="2601">
        <f>J70+J63+J51</f>
        <v>14</v>
      </c>
      <c r="K71" s="2600">
        <f t="shared" si="2"/>
        <v>46</v>
      </c>
      <c r="L71" s="2598">
        <f>L70+L63+L51</f>
        <v>46</v>
      </c>
      <c r="M71" s="2601">
        <f>M70+M63+M51</f>
        <v>30</v>
      </c>
      <c r="N71" s="2600">
        <f t="shared" si="3"/>
        <v>76</v>
      </c>
      <c r="O71" s="2598">
        <f>O70+O63+O51</f>
        <v>50</v>
      </c>
      <c r="P71" s="2601">
        <f>P70+P63+P51</f>
        <v>24</v>
      </c>
      <c r="Q71" s="2600">
        <f t="shared" si="25"/>
        <v>74</v>
      </c>
      <c r="R71" s="2598">
        <f>R70+R63+R51</f>
        <v>112</v>
      </c>
      <c r="S71" s="2601">
        <f>S70+S63+S51</f>
        <v>75</v>
      </c>
      <c r="T71" s="2600">
        <f t="shared" si="26"/>
        <v>187</v>
      </c>
      <c r="U71" s="2598">
        <f>U70+U63+U51</f>
        <v>88</v>
      </c>
      <c r="V71" s="2601">
        <f>V70+V63+V51</f>
        <v>60</v>
      </c>
      <c r="W71" s="2600">
        <f t="shared" si="27"/>
        <v>148</v>
      </c>
      <c r="X71" s="2598">
        <f>X70+X63+X51</f>
        <v>60</v>
      </c>
      <c r="Y71" s="2601">
        <f>Y70+Y63+Y51</f>
        <v>32</v>
      </c>
      <c r="Z71" s="2600">
        <f t="shared" si="28"/>
        <v>92</v>
      </c>
    </row>
    <row r="72" spans="1:26" x14ac:dyDescent="0.25">
      <c r="A72" s="2564"/>
      <c r="B72" s="2590" t="s">
        <v>124</v>
      </c>
      <c r="C72" s="2591">
        <v>4</v>
      </c>
      <c r="D72" s="2592"/>
      <c r="E72" s="2570">
        <f>SUM(C72:D72)</f>
        <v>4</v>
      </c>
      <c r="F72" s="2591">
        <v>5</v>
      </c>
      <c r="G72" s="2571"/>
      <c r="H72" s="2570">
        <f>SUM(F72:G72)</f>
        <v>5</v>
      </c>
      <c r="I72" s="2591">
        <v>9</v>
      </c>
      <c r="J72" s="2571">
        <v>5</v>
      </c>
      <c r="K72" s="2570">
        <f t="shared" ref="K72:K108" si="34">SUM(I72:J72)</f>
        <v>14</v>
      </c>
      <c r="L72" s="2591">
        <v>11</v>
      </c>
      <c r="M72" s="2571">
        <v>1</v>
      </c>
      <c r="N72" s="2570">
        <f t="shared" ref="N72:N106" si="35">SUM(L72:M72)</f>
        <v>12</v>
      </c>
      <c r="O72" s="2591">
        <v>15</v>
      </c>
      <c r="P72" s="2571">
        <v>2</v>
      </c>
      <c r="Q72" s="2570">
        <f t="shared" si="25"/>
        <v>17</v>
      </c>
      <c r="R72" s="2591">
        <v>12</v>
      </c>
      <c r="S72" s="2571">
        <v>3</v>
      </c>
      <c r="T72" s="2570">
        <f t="shared" si="26"/>
        <v>15</v>
      </c>
      <c r="U72" s="2591">
        <v>8</v>
      </c>
      <c r="V72" s="2571">
        <v>2</v>
      </c>
      <c r="W72" s="2570">
        <f t="shared" si="27"/>
        <v>10</v>
      </c>
      <c r="X72" s="2591">
        <v>1</v>
      </c>
      <c r="Y72" s="2571">
        <v>1</v>
      </c>
      <c r="Z72" s="2570">
        <f t="shared" si="28"/>
        <v>2</v>
      </c>
    </row>
    <row r="73" spans="1:26" x14ac:dyDescent="0.25">
      <c r="A73" s="2564"/>
      <c r="B73" s="2567" t="s">
        <v>125</v>
      </c>
      <c r="C73" s="2568"/>
      <c r="D73" s="2569"/>
      <c r="E73" s="2602"/>
      <c r="F73" s="2568"/>
      <c r="G73" s="2603"/>
      <c r="H73" s="2602"/>
      <c r="I73" s="2568"/>
      <c r="J73" s="2603"/>
      <c r="K73" s="2602"/>
      <c r="L73" s="2568"/>
      <c r="M73" s="2603"/>
      <c r="N73" s="2602"/>
      <c r="O73" s="2568">
        <v>4</v>
      </c>
      <c r="P73" s="2603">
        <v>1</v>
      </c>
      <c r="Q73" s="2602">
        <f>SUM(O73:P73)</f>
        <v>5</v>
      </c>
      <c r="R73" s="2568">
        <v>4</v>
      </c>
      <c r="S73" s="2603"/>
      <c r="T73" s="2602">
        <f>SUM(R73:S73)</f>
        <v>4</v>
      </c>
      <c r="U73" s="2568">
        <v>9</v>
      </c>
      <c r="V73" s="2603">
        <v>1</v>
      </c>
      <c r="W73" s="2602">
        <f>SUM(U73:V73)</f>
        <v>10</v>
      </c>
      <c r="X73" s="2568">
        <v>5</v>
      </c>
      <c r="Y73" s="2603"/>
      <c r="Z73" s="2602">
        <f>SUM(X73:Y73)</f>
        <v>5</v>
      </c>
    </row>
    <row r="74" spans="1:26" x14ac:dyDescent="0.25">
      <c r="A74" s="2564"/>
      <c r="B74" s="2567" t="s">
        <v>126</v>
      </c>
      <c r="C74" s="2568"/>
      <c r="D74" s="2569"/>
      <c r="E74" s="2602"/>
      <c r="F74" s="2568"/>
      <c r="G74" s="2603"/>
      <c r="H74" s="2602"/>
      <c r="I74" s="2568"/>
      <c r="J74" s="2603"/>
      <c r="K74" s="2602"/>
      <c r="L74" s="2568"/>
      <c r="M74" s="2603"/>
      <c r="N74" s="2602"/>
      <c r="O74" s="2568"/>
      <c r="P74" s="2603"/>
      <c r="Q74" s="2602"/>
      <c r="R74" s="2568">
        <v>4</v>
      </c>
      <c r="S74" s="2603">
        <v>1</v>
      </c>
      <c r="T74" s="2602">
        <f>SUM(R74:S74)</f>
        <v>5</v>
      </c>
      <c r="U74" s="2568">
        <v>8</v>
      </c>
      <c r="V74" s="2603">
        <v>2</v>
      </c>
      <c r="W74" s="2602">
        <f>SUM(U74:V74)</f>
        <v>10</v>
      </c>
      <c r="X74" s="2568">
        <v>5</v>
      </c>
      <c r="Y74" s="2603">
        <v>1</v>
      </c>
      <c r="Z74" s="2602">
        <f>SUM(X74:Y74)</f>
        <v>6</v>
      </c>
    </row>
    <row r="75" spans="1:26" x14ac:dyDescent="0.25">
      <c r="A75" s="2564"/>
      <c r="B75" s="2577" t="s">
        <v>92</v>
      </c>
      <c r="C75" s="2578">
        <f t="shared" ref="C75:J75" si="36">C72</f>
        <v>4</v>
      </c>
      <c r="D75" s="2579">
        <f t="shared" si="36"/>
        <v>0</v>
      </c>
      <c r="E75" s="2580">
        <f t="shared" si="36"/>
        <v>4</v>
      </c>
      <c r="F75" s="2578">
        <f t="shared" si="36"/>
        <v>5</v>
      </c>
      <c r="G75" s="2581">
        <f t="shared" si="36"/>
        <v>0</v>
      </c>
      <c r="H75" s="2580">
        <f t="shared" si="36"/>
        <v>5</v>
      </c>
      <c r="I75" s="2578">
        <f t="shared" si="36"/>
        <v>9</v>
      </c>
      <c r="J75" s="2581">
        <f t="shared" si="36"/>
        <v>5</v>
      </c>
      <c r="K75" s="2580">
        <f>SUM(K72)</f>
        <v>14</v>
      </c>
      <c r="L75" s="2578">
        <f>L72</f>
        <v>11</v>
      </c>
      <c r="M75" s="2581">
        <f>M72</f>
        <v>1</v>
      </c>
      <c r="N75" s="2580">
        <f t="shared" si="35"/>
        <v>12</v>
      </c>
      <c r="O75" s="2578">
        <f>SUM(O72:O73)</f>
        <v>19</v>
      </c>
      <c r="P75" s="2581">
        <f>SUM(P72:P73)</f>
        <v>3</v>
      </c>
      <c r="Q75" s="2580">
        <f>SUM(Q72:Q73)</f>
        <v>22</v>
      </c>
      <c r="R75" s="2578">
        <f t="shared" ref="R75:W75" si="37">SUM(R72:R74)</f>
        <v>20</v>
      </c>
      <c r="S75" s="2581">
        <f t="shared" si="37"/>
        <v>4</v>
      </c>
      <c r="T75" s="2580">
        <f t="shared" si="37"/>
        <v>24</v>
      </c>
      <c r="U75" s="2578">
        <f t="shared" si="37"/>
        <v>25</v>
      </c>
      <c r="V75" s="2581">
        <f t="shared" si="37"/>
        <v>5</v>
      </c>
      <c r="W75" s="2580">
        <f t="shared" si="37"/>
        <v>30</v>
      </c>
      <c r="X75" s="2578">
        <f t="shared" ref="X75:Z75" si="38">SUM(X72:X74)</f>
        <v>11</v>
      </c>
      <c r="Y75" s="2581">
        <f t="shared" si="38"/>
        <v>2</v>
      </c>
      <c r="Z75" s="2580">
        <f t="shared" si="38"/>
        <v>13</v>
      </c>
    </row>
    <row r="76" spans="1:26" s="2564" customFormat="1" x14ac:dyDescent="0.25">
      <c r="B76" s="2572" t="s">
        <v>643</v>
      </c>
      <c r="C76" s="2573">
        <v>1</v>
      </c>
      <c r="D76" s="2574">
        <v>1</v>
      </c>
      <c r="E76" s="2575">
        <f>SUM(C76:D76)</f>
        <v>2</v>
      </c>
      <c r="F76" s="2573">
        <v>2</v>
      </c>
      <c r="G76" s="2576"/>
      <c r="H76" s="2575">
        <f>SUM(F76:G76)</f>
        <v>2</v>
      </c>
      <c r="I76" s="2573">
        <v>5</v>
      </c>
      <c r="J76" s="2576"/>
      <c r="K76" s="2575">
        <f t="shared" si="34"/>
        <v>5</v>
      </c>
      <c r="L76" s="2573">
        <v>2</v>
      </c>
      <c r="M76" s="2576">
        <v>3</v>
      </c>
      <c r="N76" s="2575">
        <f t="shared" si="35"/>
        <v>5</v>
      </c>
      <c r="O76" s="2573">
        <v>2</v>
      </c>
      <c r="P76" s="2576">
        <v>2</v>
      </c>
      <c r="Q76" s="2575">
        <f t="shared" si="25"/>
        <v>4</v>
      </c>
      <c r="R76" s="2573">
        <v>6</v>
      </c>
      <c r="S76" s="2576">
        <v>4</v>
      </c>
      <c r="T76" s="2575">
        <f>SUM(R76:S76)</f>
        <v>10</v>
      </c>
      <c r="U76" s="2573">
        <v>4</v>
      </c>
      <c r="V76" s="2576">
        <v>2</v>
      </c>
      <c r="W76" s="2575">
        <f>SUM(U76:V76)</f>
        <v>6</v>
      </c>
      <c r="X76" s="2573"/>
      <c r="Y76" s="2576"/>
      <c r="Z76" s="2575">
        <f>SUM(X76:Y76)</f>
        <v>0</v>
      </c>
    </row>
    <row r="77" spans="1:26" s="2564" customFormat="1" x14ac:dyDescent="0.25">
      <c r="B77" s="2572" t="s">
        <v>118</v>
      </c>
      <c r="C77" s="2573"/>
      <c r="D77" s="2574"/>
      <c r="E77" s="2575"/>
      <c r="F77" s="2573"/>
      <c r="G77" s="2576"/>
      <c r="H77" s="2575"/>
      <c r="I77" s="2573"/>
      <c r="J77" s="2576"/>
      <c r="K77" s="2575"/>
      <c r="L77" s="2573">
        <v>1</v>
      </c>
      <c r="M77" s="2576"/>
      <c r="N77" s="2575">
        <f t="shared" si="35"/>
        <v>1</v>
      </c>
      <c r="O77" s="2573"/>
      <c r="P77" s="2576"/>
      <c r="Q77" s="2575">
        <f t="shared" si="25"/>
        <v>0</v>
      </c>
      <c r="R77" s="2573"/>
      <c r="S77" s="2576">
        <v>3</v>
      </c>
      <c r="T77" s="2575">
        <f>SUM(R77:S77)</f>
        <v>3</v>
      </c>
      <c r="U77" s="2573">
        <v>1</v>
      </c>
      <c r="V77" s="2576">
        <v>2</v>
      </c>
      <c r="W77" s="2575">
        <f>SUM(U77:V77)</f>
        <v>3</v>
      </c>
      <c r="X77" s="2573">
        <v>2</v>
      </c>
      <c r="Y77" s="2576">
        <v>1</v>
      </c>
      <c r="Z77" s="2575">
        <f>SUM(X77:Y77)</f>
        <v>3</v>
      </c>
    </row>
    <row r="78" spans="1:26" s="2564" customFormat="1" x14ac:dyDescent="0.25">
      <c r="B78" s="2572" t="s">
        <v>119</v>
      </c>
      <c r="C78" s="2573"/>
      <c r="D78" s="2574"/>
      <c r="E78" s="2575"/>
      <c r="F78" s="2573"/>
      <c r="G78" s="2576"/>
      <c r="H78" s="2575"/>
      <c r="I78" s="2573"/>
      <c r="J78" s="2576"/>
      <c r="K78" s="2575"/>
      <c r="L78" s="2573"/>
      <c r="M78" s="2576"/>
      <c r="N78" s="2575"/>
      <c r="O78" s="2573"/>
      <c r="P78" s="2576"/>
      <c r="Q78" s="2575"/>
      <c r="R78" s="2573"/>
      <c r="S78" s="2576">
        <v>2</v>
      </c>
      <c r="T78" s="2575">
        <f>SUM(R78:S78)</f>
        <v>2</v>
      </c>
      <c r="U78" s="2573"/>
      <c r="V78" s="2576">
        <v>3</v>
      </c>
      <c r="W78" s="2575">
        <f>SUM(U78:V78)</f>
        <v>3</v>
      </c>
      <c r="X78" s="2573"/>
      <c r="Y78" s="2576"/>
      <c r="Z78" s="2575">
        <f>SUM(X78:Y78)</f>
        <v>0</v>
      </c>
    </row>
    <row r="79" spans="1:26" x14ac:dyDescent="0.25">
      <c r="A79" s="2564"/>
      <c r="B79" s="2577" t="s">
        <v>59</v>
      </c>
      <c r="C79" s="2578">
        <f t="shared" ref="C79:I79" si="39">C76</f>
        <v>1</v>
      </c>
      <c r="D79" s="2579">
        <f t="shared" si="39"/>
        <v>1</v>
      </c>
      <c r="E79" s="2580">
        <f t="shared" si="39"/>
        <v>2</v>
      </c>
      <c r="F79" s="2578">
        <f t="shared" si="39"/>
        <v>2</v>
      </c>
      <c r="G79" s="2581">
        <f t="shared" si="39"/>
        <v>0</v>
      </c>
      <c r="H79" s="2580">
        <f t="shared" si="39"/>
        <v>2</v>
      </c>
      <c r="I79" s="2578">
        <f t="shared" si="39"/>
        <v>5</v>
      </c>
      <c r="J79" s="2581">
        <f>J76</f>
        <v>0</v>
      </c>
      <c r="K79" s="2580">
        <f t="shared" si="34"/>
        <v>5</v>
      </c>
      <c r="L79" s="2578">
        <f t="shared" ref="L79:Q79" si="40">SUM(L76:L77)</f>
        <v>3</v>
      </c>
      <c r="M79" s="2581">
        <f t="shared" si="40"/>
        <v>3</v>
      </c>
      <c r="N79" s="2580">
        <f t="shared" si="40"/>
        <v>6</v>
      </c>
      <c r="O79" s="2578">
        <f t="shared" si="40"/>
        <v>2</v>
      </c>
      <c r="P79" s="2581">
        <f t="shared" si="40"/>
        <v>2</v>
      </c>
      <c r="Q79" s="2580">
        <f t="shared" si="40"/>
        <v>4</v>
      </c>
      <c r="R79" s="2578">
        <f t="shared" ref="R79:W79" si="41">SUM(R76:R78)</f>
        <v>6</v>
      </c>
      <c r="S79" s="2581">
        <f t="shared" si="41"/>
        <v>9</v>
      </c>
      <c r="T79" s="2580">
        <f t="shared" si="41"/>
        <v>15</v>
      </c>
      <c r="U79" s="2578">
        <f t="shared" si="41"/>
        <v>5</v>
      </c>
      <c r="V79" s="2581">
        <f t="shared" si="41"/>
        <v>7</v>
      </c>
      <c r="W79" s="2580">
        <f t="shared" si="41"/>
        <v>12</v>
      </c>
      <c r="X79" s="2578">
        <f t="shared" ref="X79:Z79" si="42">SUM(X76:X78)</f>
        <v>2</v>
      </c>
      <c r="Y79" s="2581">
        <f t="shared" si="42"/>
        <v>1</v>
      </c>
      <c r="Z79" s="2580">
        <f t="shared" si="42"/>
        <v>3</v>
      </c>
    </row>
    <row r="80" spans="1:26" x14ac:dyDescent="0.25">
      <c r="A80" s="2564"/>
      <c r="B80" s="2572" t="s">
        <v>120</v>
      </c>
      <c r="C80" s="2573"/>
      <c r="D80" s="2574">
        <v>1</v>
      </c>
      <c r="E80" s="2575">
        <f>SUM(C80:D80)</f>
        <v>1</v>
      </c>
      <c r="F80" s="2573">
        <v>5</v>
      </c>
      <c r="G80" s="2576">
        <v>2</v>
      </c>
      <c r="H80" s="2575">
        <f>SUM(F80:G80)</f>
        <v>7</v>
      </c>
      <c r="I80" s="2573">
        <v>4</v>
      </c>
      <c r="J80" s="2576"/>
      <c r="K80" s="2575">
        <f t="shared" si="34"/>
        <v>4</v>
      </c>
      <c r="L80" s="2573">
        <v>6</v>
      </c>
      <c r="M80" s="2576">
        <v>2</v>
      </c>
      <c r="N80" s="2575">
        <f t="shared" si="35"/>
        <v>8</v>
      </c>
      <c r="O80" s="2573">
        <v>5</v>
      </c>
      <c r="P80" s="2576">
        <v>6</v>
      </c>
      <c r="Q80" s="2575">
        <f t="shared" ref="Q80:Q106" si="43">SUM(O80:P80)</f>
        <v>11</v>
      </c>
      <c r="R80" s="2573">
        <v>3</v>
      </c>
      <c r="S80" s="2576">
        <v>2</v>
      </c>
      <c r="T80" s="2575">
        <f t="shared" ref="T80:T106" si="44">SUM(R80:S80)</f>
        <v>5</v>
      </c>
      <c r="U80" s="2573">
        <v>7</v>
      </c>
      <c r="V80" s="2576">
        <v>3</v>
      </c>
      <c r="W80" s="2575">
        <f t="shared" ref="W80:W82" si="45">SUM(U80:V80)</f>
        <v>10</v>
      </c>
      <c r="X80" s="2573">
        <v>2</v>
      </c>
      <c r="Y80" s="2576"/>
      <c r="Z80" s="2575">
        <f t="shared" ref="Z80:Z82" si="46">SUM(X80:Y80)</f>
        <v>2</v>
      </c>
    </row>
    <row r="81" spans="1:26" x14ac:dyDescent="0.25">
      <c r="A81" s="2564"/>
      <c r="B81" s="2572" t="s">
        <v>121</v>
      </c>
      <c r="C81" s="2573"/>
      <c r="D81" s="2574"/>
      <c r="E81" s="2575">
        <f>SUM(C81:D81)</f>
        <v>0</v>
      </c>
      <c r="F81" s="2573">
        <v>1</v>
      </c>
      <c r="G81" s="2576">
        <v>1</v>
      </c>
      <c r="H81" s="2575">
        <f>SUM(F81:G81)</f>
        <v>2</v>
      </c>
      <c r="I81" s="2573">
        <v>4</v>
      </c>
      <c r="J81" s="2576">
        <v>4</v>
      </c>
      <c r="K81" s="2575">
        <f t="shared" si="34"/>
        <v>8</v>
      </c>
      <c r="L81" s="2573">
        <v>7</v>
      </c>
      <c r="M81" s="2576">
        <v>1</v>
      </c>
      <c r="N81" s="2575">
        <f t="shared" si="35"/>
        <v>8</v>
      </c>
      <c r="O81" s="2573">
        <v>9</v>
      </c>
      <c r="P81" s="2576">
        <v>4</v>
      </c>
      <c r="Q81" s="2575">
        <f t="shared" si="43"/>
        <v>13</v>
      </c>
      <c r="R81" s="2573">
        <v>2</v>
      </c>
      <c r="S81" s="2576">
        <v>3</v>
      </c>
      <c r="T81" s="2575">
        <f t="shared" si="44"/>
        <v>5</v>
      </c>
      <c r="U81" s="2573">
        <v>2</v>
      </c>
      <c r="V81" s="2576"/>
      <c r="W81" s="2575">
        <f t="shared" si="45"/>
        <v>2</v>
      </c>
      <c r="X81" s="2573">
        <v>1</v>
      </c>
      <c r="Y81" s="2576">
        <v>2</v>
      </c>
      <c r="Z81" s="2575">
        <f t="shared" si="46"/>
        <v>3</v>
      </c>
    </row>
    <row r="82" spans="1:26" x14ac:dyDescent="0.25">
      <c r="A82" s="2564"/>
      <c r="B82" s="2572" t="s">
        <v>123</v>
      </c>
      <c r="C82" s="2604"/>
      <c r="D82" s="2605"/>
      <c r="E82" s="2606"/>
      <c r="F82" s="2573"/>
      <c r="G82" s="2576"/>
      <c r="H82" s="2606"/>
      <c r="I82" s="2573"/>
      <c r="J82" s="2576"/>
      <c r="K82" s="2606"/>
      <c r="L82" s="2573"/>
      <c r="M82" s="2576"/>
      <c r="N82" s="2606"/>
      <c r="O82" s="2573"/>
      <c r="P82" s="2576"/>
      <c r="Q82" s="2606"/>
      <c r="R82" s="2573">
        <v>7</v>
      </c>
      <c r="S82" s="2576">
        <v>2</v>
      </c>
      <c r="T82" s="2575">
        <f t="shared" si="44"/>
        <v>9</v>
      </c>
      <c r="U82" s="2573">
        <v>2</v>
      </c>
      <c r="V82" s="2576"/>
      <c r="W82" s="2575">
        <f t="shared" si="45"/>
        <v>2</v>
      </c>
      <c r="X82" s="2573">
        <v>3</v>
      </c>
      <c r="Y82" s="2576"/>
      <c r="Z82" s="2575">
        <f t="shared" si="46"/>
        <v>3</v>
      </c>
    </row>
    <row r="83" spans="1:26" x14ac:dyDescent="0.25">
      <c r="A83" s="2564"/>
      <c r="B83" s="2577" t="s">
        <v>64</v>
      </c>
      <c r="C83" s="2582">
        <f t="shared" ref="C83:H83" si="47">SUM(C80:C81)</f>
        <v>0</v>
      </c>
      <c r="D83" s="2583">
        <f t="shared" si="47"/>
        <v>1</v>
      </c>
      <c r="E83" s="2584">
        <f t="shared" si="47"/>
        <v>1</v>
      </c>
      <c r="F83" s="2578">
        <f t="shared" si="47"/>
        <v>6</v>
      </c>
      <c r="G83" s="2581">
        <f t="shared" si="47"/>
        <v>3</v>
      </c>
      <c r="H83" s="2584">
        <f t="shared" si="47"/>
        <v>9</v>
      </c>
      <c r="I83" s="2578">
        <f>SUM(I80:I81)</f>
        <v>8</v>
      </c>
      <c r="J83" s="2581">
        <f>SUM(J80:J81)</f>
        <v>4</v>
      </c>
      <c r="K83" s="2584">
        <f t="shared" si="34"/>
        <v>12</v>
      </c>
      <c r="L83" s="2578">
        <f>SUM(L80:L81)</f>
        <v>13</v>
      </c>
      <c r="M83" s="2581">
        <f>SUM(M80:M81)</f>
        <v>3</v>
      </c>
      <c r="N83" s="2584">
        <f t="shared" si="35"/>
        <v>16</v>
      </c>
      <c r="O83" s="2578">
        <f>SUM(O80:O81)</f>
        <v>14</v>
      </c>
      <c r="P83" s="2581">
        <f>SUM(P80:P81)</f>
        <v>10</v>
      </c>
      <c r="Q83" s="2584">
        <f t="shared" si="43"/>
        <v>24</v>
      </c>
      <c r="R83" s="2578">
        <f t="shared" ref="R83:W83" si="48">SUM(R80:R82)</f>
        <v>12</v>
      </c>
      <c r="S83" s="2581">
        <f t="shared" si="48"/>
        <v>7</v>
      </c>
      <c r="T83" s="2584">
        <f t="shared" si="48"/>
        <v>19</v>
      </c>
      <c r="U83" s="2578">
        <f t="shared" si="48"/>
        <v>11</v>
      </c>
      <c r="V83" s="2581">
        <f t="shared" si="48"/>
        <v>3</v>
      </c>
      <c r="W83" s="2584">
        <f t="shared" si="48"/>
        <v>14</v>
      </c>
      <c r="X83" s="2578">
        <f t="shared" ref="X83:Z83" si="49">SUM(X80:X82)</f>
        <v>6</v>
      </c>
      <c r="Y83" s="2581">
        <f t="shared" si="49"/>
        <v>2</v>
      </c>
      <c r="Z83" s="2584">
        <f t="shared" si="49"/>
        <v>8</v>
      </c>
    </row>
    <row r="84" spans="1:26" x14ac:dyDescent="0.25">
      <c r="A84" s="2564"/>
      <c r="B84" s="2607" t="s">
        <v>127</v>
      </c>
      <c r="C84" s="2607">
        <f t="shared" ref="C84:H84" si="50">C83+C79+C75</f>
        <v>5</v>
      </c>
      <c r="D84" s="2608">
        <f t="shared" si="50"/>
        <v>2</v>
      </c>
      <c r="E84" s="2609">
        <f t="shared" si="50"/>
        <v>7</v>
      </c>
      <c r="F84" s="2607">
        <f t="shared" si="50"/>
        <v>13</v>
      </c>
      <c r="G84" s="2610">
        <f t="shared" si="50"/>
        <v>3</v>
      </c>
      <c r="H84" s="2609">
        <f t="shared" si="50"/>
        <v>16</v>
      </c>
      <c r="I84" s="2607">
        <f>I83+I79+I75</f>
        <v>22</v>
      </c>
      <c r="J84" s="2610">
        <f>J83+J79+J75</f>
        <v>9</v>
      </c>
      <c r="K84" s="2609">
        <f t="shared" si="34"/>
        <v>31</v>
      </c>
      <c r="L84" s="2607">
        <f>L83+L79+L75</f>
        <v>27</v>
      </c>
      <c r="M84" s="2610">
        <f>M83+M79+M75</f>
        <v>7</v>
      </c>
      <c r="N84" s="2609">
        <f t="shared" si="35"/>
        <v>34</v>
      </c>
      <c r="O84" s="2607">
        <f>O83+O79+O75</f>
        <v>35</v>
      </c>
      <c r="P84" s="2610">
        <f>P83+P79+P75</f>
        <v>15</v>
      </c>
      <c r="Q84" s="2609">
        <f t="shared" si="43"/>
        <v>50</v>
      </c>
      <c r="R84" s="2607">
        <f>R83+R79+R75</f>
        <v>38</v>
      </c>
      <c r="S84" s="2610">
        <f>S83+S79+S75</f>
        <v>20</v>
      </c>
      <c r="T84" s="2609">
        <f t="shared" si="44"/>
        <v>58</v>
      </c>
      <c r="U84" s="2607">
        <f>U83+U79+U75</f>
        <v>41</v>
      </c>
      <c r="V84" s="2610">
        <f>V83+V79+V75</f>
        <v>15</v>
      </c>
      <c r="W84" s="2609">
        <f t="shared" ref="W84:W106" si="51">SUM(U84:V84)</f>
        <v>56</v>
      </c>
      <c r="X84" s="2607">
        <f>X83+X79+X75</f>
        <v>19</v>
      </c>
      <c r="Y84" s="2610">
        <f>Y83+Y79+Y75</f>
        <v>5</v>
      </c>
      <c r="Z84" s="2609">
        <f t="shared" ref="Z84:Z106" si="52">SUM(X84:Y84)</f>
        <v>24</v>
      </c>
    </row>
    <row r="85" spans="1:26" x14ac:dyDescent="0.25">
      <c r="A85" s="2564"/>
      <c r="B85" s="2567" t="s">
        <v>60</v>
      </c>
      <c r="C85" s="2568"/>
      <c r="D85" s="2569">
        <v>1</v>
      </c>
      <c r="E85" s="2602">
        <f t="shared" ref="E85:E90" si="53">SUM(C85:D85)</f>
        <v>1</v>
      </c>
      <c r="F85" s="2568">
        <v>3</v>
      </c>
      <c r="G85" s="2603">
        <v>3</v>
      </c>
      <c r="H85" s="2602">
        <f t="shared" ref="H85:H90" si="54">SUM(F85:G85)</f>
        <v>6</v>
      </c>
      <c r="I85" s="2568">
        <v>1</v>
      </c>
      <c r="J85" s="2603"/>
      <c r="K85" s="2602">
        <f t="shared" si="34"/>
        <v>1</v>
      </c>
      <c r="L85" s="2568">
        <v>2</v>
      </c>
      <c r="M85" s="2603"/>
      <c r="N85" s="2602">
        <f t="shared" si="35"/>
        <v>2</v>
      </c>
      <c r="O85" s="2568">
        <v>2</v>
      </c>
      <c r="P85" s="2603">
        <v>2</v>
      </c>
      <c r="Q85" s="2602">
        <f t="shared" si="43"/>
        <v>4</v>
      </c>
      <c r="R85" s="2568">
        <v>6</v>
      </c>
      <c r="S85" s="2603">
        <v>4</v>
      </c>
      <c r="T85" s="2602">
        <f t="shared" si="44"/>
        <v>10</v>
      </c>
      <c r="U85" s="2568">
        <v>10</v>
      </c>
      <c r="V85" s="2603">
        <v>2</v>
      </c>
      <c r="W85" s="2602">
        <f t="shared" si="51"/>
        <v>12</v>
      </c>
      <c r="X85" s="2568">
        <v>7</v>
      </c>
      <c r="Y85" s="2603">
        <v>4</v>
      </c>
      <c r="Z85" s="2602">
        <f t="shared" si="52"/>
        <v>11</v>
      </c>
    </row>
    <row r="86" spans="1:26" s="2564" customFormat="1" x14ac:dyDescent="0.25">
      <c r="B86" s="2572" t="s">
        <v>94</v>
      </c>
      <c r="C86" s="2573">
        <v>5</v>
      </c>
      <c r="D86" s="2574">
        <v>3</v>
      </c>
      <c r="E86" s="2575">
        <f t="shared" si="53"/>
        <v>8</v>
      </c>
      <c r="F86" s="2573">
        <v>23</v>
      </c>
      <c r="G86" s="2576">
        <v>11</v>
      </c>
      <c r="H86" s="2575">
        <f t="shared" si="54"/>
        <v>34</v>
      </c>
      <c r="I86" s="2573">
        <v>3</v>
      </c>
      <c r="J86" s="2576">
        <v>1</v>
      </c>
      <c r="K86" s="2575">
        <f t="shared" si="34"/>
        <v>4</v>
      </c>
      <c r="L86" s="2573">
        <v>5</v>
      </c>
      <c r="M86" s="2576">
        <v>3</v>
      </c>
      <c r="N86" s="2575">
        <f t="shared" si="35"/>
        <v>8</v>
      </c>
      <c r="O86" s="2573">
        <v>6</v>
      </c>
      <c r="P86" s="2576">
        <v>1</v>
      </c>
      <c r="Q86" s="2575">
        <f t="shared" si="43"/>
        <v>7</v>
      </c>
      <c r="R86" s="2573">
        <v>29</v>
      </c>
      <c r="S86" s="2576">
        <v>12</v>
      </c>
      <c r="T86" s="2575">
        <f t="shared" si="44"/>
        <v>41</v>
      </c>
      <c r="U86" s="2573">
        <v>10</v>
      </c>
      <c r="V86" s="2576">
        <v>3</v>
      </c>
      <c r="W86" s="2575">
        <f t="shared" si="51"/>
        <v>13</v>
      </c>
      <c r="X86" s="2573">
        <v>4</v>
      </c>
      <c r="Y86" s="2576">
        <v>3</v>
      </c>
      <c r="Z86" s="2575">
        <f t="shared" si="52"/>
        <v>7</v>
      </c>
    </row>
    <row r="87" spans="1:26" x14ac:dyDescent="0.25">
      <c r="A87" s="2564"/>
      <c r="B87" s="2572" t="s">
        <v>62</v>
      </c>
      <c r="C87" s="2573"/>
      <c r="D87" s="2574"/>
      <c r="E87" s="2575">
        <f t="shared" si="53"/>
        <v>0</v>
      </c>
      <c r="F87" s="2573">
        <v>1</v>
      </c>
      <c r="G87" s="2576">
        <v>3</v>
      </c>
      <c r="H87" s="2575">
        <f t="shared" si="54"/>
        <v>4</v>
      </c>
      <c r="I87" s="2573"/>
      <c r="J87" s="2576"/>
      <c r="K87" s="2575">
        <f t="shared" si="34"/>
        <v>0</v>
      </c>
      <c r="L87" s="2573">
        <v>1</v>
      </c>
      <c r="M87" s="2576">
        <v>2</v>
      </c>
      <c r="N87" s="2575">
        <f t="shared" si="35"/>
        <v>3</v>
      </c>
      <c r="O87" s="2573">
        <v>2</v>
      </c>
      <c r="P87" s="2576">
        <v>7</v>
      </c>
      <c r="Q87" s="2575">
        <f t="shared" si="43"/>
        <v>9</v>
      </c>
      <c r="R87" s="2573">
        <v>4</v>
      </c>
      <c r="S87" s="2576">
        <v>7</v>
      </c>
      <c r="T87" s="2575">
        <f t="shared" si="44"/>
        <v>11</v>
      </c>
      <c r="U87" s="2573">
        <v>4</v>
      </c>
      <c r="V87" s="2576">
        <v>1</v>
      </c>
      <c r="W87" s="2575">
        <f t="shared" si="51"/>
        <v>5</v>
      </c>
      <c r="X87" s="2573">
        <v>3</v>
      </c>
      <c r="Y87" s="2576">
        <v>4</v>
      </c>
      <c r="Z87" s="2575">
        <f t="shared" si="52"/>
        <v>7</v>
      </c>
    </row>
    <row r="88" spans="1:26" x14ac:dyDescent="0.25">
      <c r="A88" s="2564"/>
      <c r="B88" s="2572" t="s">
        <v>96</v>
      </c>
      <c r="C88" s="2573">
        <v>1</v>
      </c>
      <c r="D88" s="2574">
        <v>1</v>
      </c>
      <c r="E88" s="2575">
        <f t="shared" si="53"/>
        <v>2</v>
      </c>
      <c r="F88" s="2573">
        <v>3</v>
      </c>
      <c r="G88" s="2576">
        <v>1</v>
      </c>
      <c r="H88" s="2575">
        <f t="shared" si="54"/>
        <v>4</v>
      </c>
      <c r="I88" s="2573"/>
      <c r="J88" s="2576"/>
      <c r="K88" s="2575">
        <f t="shared" si="34"/>
        <v>0</v>
      </c>
      <c r="L88" s="2573">
        <v>1</v>
      </c>
      <c r="M88" s="2576"/>
      <c r="N88" s="2575">
        <f t="shared" si="35"/>
        <v>1</v>
      </c>
      <c r="O88" s="2573">
        <v>1</v>
      </c>
      <c r="P88" s="2576">
        <v>2</v>
      </c>
      <c r="Q88" s="2575">
        <f t="shared" si="43"/>
        <v>3</v>
      </c>
      <c r="R88" s="2573">
        <v>3</v>
      </c>
      <c r="S88" s="2576">
        <v>2</v>
      </c>
      <c r="T88" s="2575">
        <f t="shared" si="44"/>
        <v>5</v>
      </c>
      <c r="U88" s="2573">
        <v>3</v>
      </c>
      <c r="V88" s="2576">
        <v>2</v>
      </c>
      <c r="W88" s="2575">
        <f t="shared" si="51"/>
        <v>5</v>
      </c>
      <c r="X88" s="2573">
        <v>5</v>
      </c>
      <c r="Y88" s="2576">
        <v>1</v>
      </c>
      <c r="Z88" s="2575">
        <f t="shared" si="52"/>
        <v>6</v>
      </c>
    </row>
    <row r="89" spans="1:26" x14ac:dyDescent="0.25">
      <c r="A89" s="2564"/>
      <c r="B89" s="2572" t="s">
        <v>95</v>
      </c>
      <c r="C89" s="2573">
        <v>4</v>
      </c>
      <c r="D89" s="2574">
        <v>3</v>
      </c>
      <c r="E89" s="2575">
        <f t="shared" si="53"/>
        <v>7</v>
      </c>
      <c r="F89" s="2573">
        <v>16</v>
      </c>
      <c r="G89" s="2576">
        <v>9</v>
      </c>
      <c r="H89" s="2575">
        <f t="shared" si="54"/>
        <v>25</v>
      </c>
      <c r="I89" s="2573">
        <v>1</v>
      </c>
      <c r="J89" s="2576">
        <v>1</v>
      </c>
      <c r="K89" s="2575">
        <f t="shared" si="34"/>
        <v>2</v>
      </c>
      <c r="L89" s="2573">
        <v>4</v>
      </c>
      <c r="M89" s="2576">
        <v>2</v>
      </c>
      <c r="N89" s="2575">
        <f t="shared" si="35"/>
        <v>6</v>
      </c>
      <c r="O89" s="2573">
        <v>3</v>
      </c>
      <c r="P89" s="2576">
        <v>3</v>
      </c>
      <c r="Q89" s="2575">
        <f t="shared" si="43"/>
        <v>6</v>
      </c>
      <c r="R89" s="2573">
        <v>25</v>
      </c>
      <c r="S89" s="2576">
        <v>12</v>
      </c>
      <c r="T89" s="2575">
        <f t="shared" si="44"/>
        <v>37</v>
      </c>
      <c r="U89" s="2573">
        <v>19</v>
      </c>
      <c r="V89" s="2576">
        <v>6</v>
      </c>
      <c r="W89" s="2575">
        <f t="shared" si="51"/>
        <v>25</v>
      </c>
      <c r="X89" s="2573">
        <v>18</v>
      </c>
      <c r="Y89" s="2576">
        <v>6</v>
      </c>
      <c r="Z89" s="2575">
        <f t="shared" si="52"/>
        <v>24</v>
      </c>
    </row>
    <row r="90" spans="1:26" x14ac:dyDescent="0.25">
      <c r="A90" s="2564"/>
      <c r="B90" s="2572" t="s">
        <v>63</v>
      </c>
      <c r="C90" s="2573"/>
      <c r="D90" s="2574">
        <v>1</v>
      </c>
      <c r="E90" s="2575">
        <f t="shared" si="53"/>
        <v>1</v>
      </c>
      <c r="F90" s="2573">
        <v>8</v>
      </c>
      <c r="G90" s="2576">
        <v>5</v>
      </c>
      <c r="H90" s="2575">
        <f t="shared" si="54"/>
        <v>13</v>
      </c>
      <c r="I90" s="2573">
        <v>1</v>
      </c>
      <c r="J90" s="2576"/>
      <c r="K90" s="2575">
        <f t="shared" si="34"/>
        <v>1</v>
      </c>
      <c r="L90" s="2573">
        <v>3</v>
      </c>
      <c r="M90" s="2576"/>
      <c r="N90" s="2575">
        <f t="shared" si="35"/>
        <v>3</v>
      </c>
      <c r="O90" s="2573">
        <v>1</v>
      </c>
      <c r="P90" s="2576">
        <v>2</v>
      </c>
      <c r="Q90" s="2575">
        <f t="shared" si="43"/>
        <v>3</v>
      </c>
      <c r="R90" s="2573">
        <v>11</v>
      </c>
      <c r="S90" s="2576">
        <v>7</v>
      </c>
      <c r="T90" s="2575">
        <f t="shared" si="44"/>
        <v>18</v>
      </c>
      <c r="U90" s="2573">
        <v>6</v>
      </c>
      <c r="V90" s="2576">
        <v>3</v>
      </c>
      <c r="W90" s="2575">
        <f t="shared" si="51"/>
        <v>9</v>
      </c>
      <c r="X90" s="2573">
        <v>14</v>
      </c>
      <c r="Y90" s="2576">
        <v>1</v>
      </c>
      <c r="Z90" s="2575">
        <f t="shared" si="52"/>
        <v>15</v>
      </c>
    </row>
    <row r="91" spans="1:26" x14ac:dyDescent="0.25">
      <c r="A91" s="2564"/>
      <c r="B91" s="2577" t="s">
        <v>64</v>
      </c>
      <c r="C91" s="2578">
        <f t="shared" ref="C91:I91" si="55">SUM(C85:C90)</f>
        <v>10</v>
      </c>
      <c r="D91" s="2579">
        <f t="shared" si="55"/>
        <v>9</v>
      </c>
      <c r="E91" s="2580">
        <f t="shared" si="55"/>
        <v>19</v>
      </c>
      <c r="F91" s="2578">
        <f t="shared" si="55"/>
        <v>54</v>
      </c>
      <c r="G91" s="2581">
        <f t="shared" si="55"/>
        <v>32</v>
      </c>
      <c r="H91" s="2580">
        <f t="shared" si="55"/>
        <v>86</v>
      </c>
      <c r="I91" s="2578">
        <f t="shared" si="55"/>
        <v>6</v>
      </c>
      <c r="J91" s="2581">
        <f>SUM(J85:J90)</f>
        <v>2</v>
      </c>
      <c r="K91" s="2580">
        <f t="shared" si="34"/>
        <v>8</v>
      </c>
      <c r="L91" s="2578">
        <f>SUM(L85:L90)</f>
        <v>16</v>
      </c>
      <c r="M91" s="2581">
        <f>SUM(M85:M90)</f>
        <v>7</v>
      </c>
      <c r="N91" s="2580">
        <f t="shared" si="35"/>
        <v>23</v>
      </c>
      <c r="O91" s="2578">
        <f>SUM(O85:O90)</f>
        <v>15</v>
      </c>
      <c r="P91" s="2581">
        <f>SUM(P85:P90)</f>
        <v>17</v>
      </c>
      <c r="Q91" s="2580">
        <f t="shared" si="43"/>
        <v>32</v>
      </c>
      <c r="R91" s="2578">
        <f>SUM(R85:R90)</f>
        <v>78</v>
      </c>
      <c r="S91" s="2581">
        <f>SUM(S85:S90)</f>
        <v>44</v>
      </c>
      <c r="T91" s="2580">
        <f t="shared" si="44"/>
        <v>122</v>
      </c>
      <c r="U91" s="2578">
        <f>SUM(U85:U90)</f>
        <v>52</v>
      </c>
      <c r="V91" s="2581">
        <f>SUM(V85:V90)</f>
        <v>17</v>
      </c>
      <c r="W91" s="2580">
        <f t="shared" si="51"/>
        <v>69</v>
      </c>
      <c r="X91" s="2578">
        <f>SUM(X85:X90)</f>
        <v>51</v>
      </c>
      <c r="Y91" s="2581">
        <f>SUM(Y85:Y90)</f>
        <v>19</v>
      </c>
      <c r="Z91" s="2580">
        <f t="shared" si="52"/>
        <v>70</v>
      </c>
    </row>
    <row r="92" spans="1:26" x14ac:dyDescent="0.25">
      <c r="A92" s="2564"/>
      <c r="B92" s="2572" t="s">
        <v>101</v>
      </c>
      <c r="C92" s="2573">
        <v>4</v>
      </c>
      <c r="D92" s="2574">
        <v>5</v>
      </c>
      <c r="E92" s="2575">
        <f t="shared" ref="E92:E99" si="56">SUM(C92:D92)</f>
        <v>9</v>
      </c>
      <c r="F92" s="2573">
        <v>1</v>
      </c>
      <c r="G92" s="2576"/>
      <c r="H92" s="2575">
        <f t="shared" ref="H92:H99" si="57">SUM(F92:G92)</f>
        <v>1</v>
      </c>
      <c r="I92" s="2573">
        <v>3</v>
      </c>
      <c r="J92" s="2576"/>
      <c r="K92" s="2575">
        <f t="shared" si="34"/>
        <v>3</v>
      </c>
      <c r="L92" s="2573">
        <v>5</v>
      </c>
      <c r="M92" s="2576">
        <v>1</v>
      </c>
      <c r="N92" s="2575">
        <f t="shared" si="35"/>
        <v>6</v>
      </c>
      <c r="O92" s="2573">
        <v>1</v>
      </c>
      <c r="P92" s="2576"/>
      <c r="Q92" s="2575">
        <f t="shared" si="43"/>
        <v>1</v>
      </c>
      <c r="R92" s="2573">
        <v>7</v>
      </c>
      <c r="S92" s="2576">
        <v>4</v>
      </c>
      <c r="T92" s="2575">
        <f t="shared" si="44"/>
        <v>11</v>
      </c>
      <c r="U92" s="2573">
        <v>4</v>
      </c>
      <c r="V92" s="2576"/>
      <c r="W92" s="2575">
        <f t="shared" si="51"/>
        <v>4</v>
      </c>
      <c r="X92" s="2573">
        <v>2</v>
      </c>
      <c r="Y92" s="2576">
        <v>3</v>
      </c>
      <c r="Z92" s="2575">
        <f t="shared" si="52"/>
        <v>5</v>
      </c>
    </row>
    <row r="93" spans="1:26" x14ac:dyDescent="0.25">
      <c r="A93" s="2564"/>
      <c r="B93" s="2572" t="s">
        <v>86</v>
      </c>
      <c r="C93" s="2573">
        <v>3</v>
      </c>
      <c r="D93" s="2574">
        <v>2</v>
      </c>
      <c r="E93" s="2575">
        <f t="shared" si="56"/>
        <v>5</v>
      </c>
      <c r="F93" s="2573">
        <v>8</v>
      </c>
      <c r="G93" s="2576">
        <v>5</v>
      </c>
      <c r="H93" s="2575">
        <f t="shared" si="57"/>
        <v>13</v>
      </c>
      <c r="I93" s="2573"/>
      <c r="J93" s="2576">
        <v>1</v>
      </c>
      <c r="K93" s="2575">
        <f t="shared" si="34"/>
        <v>1</v>
      </c>
      <c r="L93" s="2573">
        <v>3</v>
      </c>
      <c r="M93" s="2576"/>
      <c r="N93" s="2575">
        <f t="shared" si="35"/>
        <v>3</v>
      </c>
      <c r="O93" s="2573">
        <v>7</v>
      </c>
      <c r="P93" s="2576">
        <v>5</v>
      </c>
      <c r="Q93" s="2575">
        <f t="shared" si="43"/>
        <v>12</v>
      </c>
      <c r="R93" s="2573">
        <v>21</v>
      </c>
      <c r="S93" s="2576">
        <v>10</v>
      </c>
      <c r="T93" s="2575">
        <f t="shared" si="44"/>
        <v>31</v>
      </c>
      <c r="U93" s="2573">
        <v>10</v>
      </c>
      <c r="V93" s="2576">
        <v>6</v>
      </c>
      <c r="W93" s="2575">
        <f t="shared" si="51"/>
        <v>16</v>
      </c>
      <c r="X93" s="2573">
        <v>9</v>
      </c>
      <c r="Y93" s="2576">
        <v>5</v>
      </c>
      <c r="Z93" s="2575">
        <f t="shared" si="52"/>
        <v>14</v>
      </c>
    </row>
    <row r="94" spans="1:26" x14ac:dyDescent="0.25">
      <c r="A94" s="2564"/>
      <c r="B94" s="2572" t="s">
        <v>97</v>
      </c>
      <c r="C94" s="2573"/>
      <c r="D94" s="2574"/>
      <c r="E94" s="2575">
        <f t="shared" si="56"/>
        <v>0</v>
      </c>
      <c r="F94" s="2573">
        <v>3</v>
      </c>
      <c r="G94" s="2576"/>
      <c r="H94" s="2575">
        <f t="shared" si="57"/>
        <v>3</v>
      </c>
      <c r="I94" s="2573">
        <v>1</v>
      </c>
      <c r="J94" s="2576">
        <v>1</v>
      </c>
      <c r="K94" s="2575">
        <f t="shared" si="34"/>
        <v>2</v>
      </c>
      <c r="L94" s="2573">
        <v>4</v>
      </c>
      <c r="M94" s="2576">
        <v>2</v>
      </c>
      <c r="N94" s="2575">
        <f t="shared" si="35"/>
        <v>6</v>
      </c>
      <c r="O94" s="2573"/>
      <c r="P94" s="2576"/>
      <c r="Q94" s="2575">
        <f t="shared" si="43"/>
        <v>0</v>
      </c>
      <c r="R94" s="2573">
        <v>7</v>
      </c>
      <c r="S94" s="2576"/>
      <c r="T94" s="2575">
        <f t="shared" si="44"/>
        <v>7</v>
      </c>
      <c r="U94" s="2573">
        <v>7</v>
      </c>
      <c r="V94" s="2576">
        <v>2</v>
      </c>
      <c r="W94" s="2575">
        <f t="shared" si="51"/>
        <v>9</v>
      </c>
      <c r="X94" s="2573">
        <v>11</v>
      </c>
      <c r="Y94" s="2576">
        <v>2</v>
      </c>
      <c r="Z94" s="2575">
        <f t="shared" si="52"/>
        <v>13</v>
      </c>
    </row>
    <row r="95" spans="1:26" s="2564" customFormat="1" x14ac:dyDescent="0.25">
      <c r="B95" s="2572" t="s">
        <v>98</v>
      </c>
      <c r="C95" s="2573">
        <v>1</v>
      </c>
      <c r="D95" s="2574"/>
      <c r="E95" s="2575">
        <f t="shared" si="56"/>
        <v>1</v>
      </c>
      <c r="F95" s="2573">
        <v>3</v>
      </c>
      <c r="G95" s="2576"/>
      <c r="H95" s="2575">
        <f t="shared" si="57"/>
        <v>3</v>
      </c>
      <c r="I95" s="2573"/>
      <c r="J95" s="2576"/>
      <c r="K95" s="2575">
        <f t="shared" si="34"/>
        <v>0</v>
      </c>
      <c r="L95" s="2573">
        <v>5</v>
      </c>
      <c r="M95" s="2576">
        <v>3</v>
      </c>
      <c r="N95" s="2575">
        <f t="shared" si="35"/>
        <v>8</v>
      </c>
      <c r="O95" s="2573">
        <v>4</v>
      </c>
      <c r="P95" s="2576">
        <v>2</v>
      </c>
      <c r="Q95" s="2575">
        <f t="shared" si="43"/>
        <v>6</v>
      </c>
      <c r="R95" s="2573">
        <v>9</v>
      </c>
      <c r="S95" s="2576">
        <v>7</v>
      </c>
      <c r="T95" s="2575">
        <f t="shared" si="44"/>
        <v>16</v>
      </c>
      <c r="U95" s="2573">
        <v>8</v>
      </c>
      <c r="V95" s="2576">
        <v>4</v>
      </c>
      <c r="W95" s="2575">
        <f t="shared" si="51"/>
        <v>12</v>
      </c>
      <c r="X95" s="2573">
        <v>5</v>
      </c>
      <c r="Y95" s="2576">
        <v>1</v>
      </c>
      <c r="Z95" s="2575">
        <f t="shared" si="52"/>
        <v>6</v>
      </c>
    </row>
    <row r="96" spans="1:26" x14ac:dyDescent="0.25">
      <c r="A96" s="2564"/>
      <c r="B96" s="2572" t="s">
        <v>102</v>
      </c>
      <c r="C96" s="2573">
        <v>4</v>
      </c>
      <c r="D96" s="2574">
        <v>2</v>
      </c>
      <c r="E96" s="2575">
        <f t="shared" si="56"/>
        <v>6</v>
      </c>
      <c r="F96" s="2573">
        <v>17</v>
      </c>
      <c r="G96" s="2576">
        <v>12</v>
      </c>
      <c r="H96" s="2575">
        <f t="shared" si="57"/>
        <v>29</v>
      </c>
      <c r="I96" s="2573">
        <v>1</v>
      </c>
      <c r="J96" s="2576">
        <v>1</v>
      </c>
      <c r="K96" s="2575">
        <f t="shared" si="34"/>
        <v>2</v>
      </c>
      <c r="L96" s="2573"/>
      <c r="M96" s="2576"/>
      <c r="N96" s="2575">
        <f t="shared" si="35"/>
        <v>0</v>
      </c>
      <c r="O96" s="2573">
        <v>1</v>
      </c>
      <c r="P96" s="2576">
        <v>1</v>
      </c>
      <c r="Q96" s="2575">
        <f t="shared" si="43"/>
        <v>2</v>
      </c>
      <c r="R96" s="2573">
        <v>22</v>
      </c>
      <c r="S96" s="2576">
        <v>9</v>
      </c>
      <c r="T96" s="2575">
        <f t="shared" si="44"/>
        <v>31</v>
      </c>
      <c r="U96" s="2573">
        <v>13</v>
      </c>
      <c r="V96" s="2576">
        <v>5</v>
      </c>
      <c r="W96" s="2575">
        <f t="shared" si="51"/>
        <v>18</v>
      </c>
      <c r="X96" s="2573">
        <v>15</v>
      </c>
      <c r="Y96" s="2576">
        <v>0</v>
      </c>
      <c r="Z96" s="2575">
        <f t="shared" si="52"/>
        <v>15</v>
      </c>
    </row>
    <row r="97" spans="1:26" x14ac:dyDescent="0.25">
      <c r="A97" s="2564"/>
      <c r="B97" s="2572" t="s">
        <v>100</v>
      </c>
      <c r="C97" s="2573"/>
      <c r="D97" s="2574"/>
      <c r="E97" s="2575">
        <f t="shared" si="56"/>
        <v>0</v>
      </c>
      <c r="F97" s="2573">
        <v>4</v>
      </c>
      <c r="G97" s="2576">
        <v>1</v>
      </c>
      <c r="H97" s="2575">
        <f t="shared" si="57"/>
        <v>5</v>
      </c>
      <c r="I97" s="2573">
        <v>5</v>
      </c>
      <c r="J97" s="2576">
        <v>1</v>
      </c>
      <c r="K97" s="2575">
        <f t="shared" si="34"/>
        <v>6</v>
      </c>
      <c r="L97" s="2573"/>
      <c r="M97" s="2576"/>
      <c r="N97" s="2575">
        <f t="shared" si="35"/>
        <v>0</v>
      </c>
      <c r="O97" s="2573">
        <v>3</v>
      </c>
      <c r="P97" s="2576">
        <v>1</v>
      </c>
      <c r="Q97" s="2575">
        <f t="shared" si="43"/>
        <v>4</v>
      </c>
      <c r="R97" s="2573">
        <v>13</v>
      </c>
      <c r="S97" s="2576">
        <v>4</v>
      </c>
      <c r="T97" s="2575">
        <f t="shared" si="44"/>
        <v>17</v>
      </c>
      <c r="U97" s="2573">
        <v>13</v>
      </c>
      <c r="V97" s="2576">
        <v>5</v>
      </c>
      <c r="W97" s="2575">
        <f t="shared" si="51"/>
        <v>18</v>
      </c>
      <c r="X97" s="2573">
        <v>12</v>
      </c>
      <c r="Y97" s="2576">
        <v>6</v>
      </c>
      <c r="Z97" s="2575">
        <f t="shared" si="52"/>
        <v>18</v>
      </c>
    </row>
    <row r="98" spans="1:26" x14ac:dyDescent="0.25">
      <c r="A98" s="2564"/>
      <c r="B98" s="2572" t="s">
        <v>103</v>
      </c>
      <c r="C98" s="2573">
        <v>1</v>
      </c>
      <c r="D98" s="2574"/>
      <c r="E98" s="2575">
        <f t="shared" si="56"/>
        <v>1</v>
      </c>
      <c r="F98" s="2573">
        <v>13</v>
      </c>
      <c r="G98" s="2576">
        <v>1</v>
      </c>
      <c r="H98" s="2575">
        <f t="shared" si="57"/>
        <v>14</v>
      </c>
      <c r="I98" s="2573">
        <v>4</v>
      </c>
      <c r="J98" s="2576">
        <v>1</v>
      </c>
      <c r="K98" s="2575">
        <f t="shared" si="34"/>
        <v>5</v>
      </c>
      <c r="L98" s="2573">
        <v>6</v>
      </c>
      <c r="M98" s="2576"/>
      <c r="N98" s="2575">
        <f t="shared" si="35"/>
        <v>6</v>
      </c>
      <c r="O98" s="2573">
        <v>7</v>
      </c>
      <c r="P98" s="2576">
        <v>2</v>
      </c>
      <c r="Q98" s="2575">
        <f t="shared" si="43"/>
        <v>9</v>
      </c>
      <c r="R98" s="2573">
        <v>15</v>
      </c>
      <c r="S98" s="2576">
        <v>3</v>
      </c>
      <c r="T98" s="2575">
        <f t="shared" si="44"/>
        <v>18</v>
      </c>
      <c r="U98" s="2573">
        <v>10</v>
      </c>
      <c r="V98" s="2576">
        <v>3</v>
      </c>
      <c r="W98" s="2575">
        <f t="shared" si="51"/>
        <v>13</v>
      </c>
      <c r="X98" s="2573">
        <v>8</v>
      </c>
      <c r="Y98" s="5360">
        <v>1</v>
      </c>
      <c r="Z98" s="2575">
        <f t="shared" si="52"/>
        <v>9</v>
      </c>
    </row>
    <row r="99" spans="1:26" x14ac:dyDescent="0.25">
      <c r="A99" s="2564"/>
      <c r="B99" s="2572" t="s">
        <v>99</v>
      </c>
      <c r="C99" s="2573">
        <v>1</v>
      </c>
      <c r="D99" s="2574"/>
      <c r="E99" s="2575">
        <f t="shared" si="56"/>
        <v>1</v>
      </c>
      <c r="F99" s="2573">
        <v>10</v>
      </c>
      <c r="G99" s="2576">
        <v>8</v>
      </c>
      <c r="H99" s="2575">
        <f t="shared" si="57"/>
        <v>18</v>
      </c>
      <c r="I99" s="2573">
        <v>2</v>
      </c>
      <c r="J99" s="2576"/>
      <c r="K99" s="2575">
        <f t="shared" si="34"/>
        <v>2</v>
      </c>
      <c r="L99" s="2573">
        <v>8</v>
      </c>
      <c r="M99" s="2576">
        <v>1</v>
      </c>
      <c r="N99" s="2575">
        <f t="shared" si="35"/>
        <v>9</v>
      </c>
      <c r="O99" s="2573">
        <v>17</v>
      </c>
      <c r="P99" s="2576">
        <v>6</v>
      </c>
      <c r="Q99" s="2575">
        <f t="shared" si="43"/>
        <v>23</v>
      </c>
      <c r="R99" s="2573">
        <v>14</v>
      </c>
      <c r="S99" s="2576">
        <v>7</v>
      </c>
      <c r="T99" s="2575">
        <f t="shared" si="44"/>
        <v>21</v>
      </c>
      <c r="U99" s="2573">
        <v>15</v>
      </c>
      <c r="V99" s="2576">
        <v>9</v>
      </c>
      <c r="W99" s="2575">
        <f t="shared" si="51"/>
        <v>24</v>
      </c>
      <c r="X99" s="2573">
        <v>18</v>
      </c>
      <c r="Y99" s="2576">
        <v>8</v>
      </c>
      <c r="Z99" s="2575">
        <f t="shared" si="52"/>
        <v>26</v>
      </c>
    </row>
    <row r="100" spans="1:26" s="2564" customFormat="1" x14ac:dyDescent="0.25">
      <c r="B100" s="2577" t="s">
        <v>92</v>
      </c>
      <c r="C100" s="2578">
        <f t="shared" ref="C100:I100" si="58">SUM(C92:C99)</f>
        <v>14</v>
      </c>
      <c r="D100" s="2579">
        <f t="shared" si="58"/>
        <v>9</v>
      </c>
      <c r="E100" s="2580">
        <f t="shared" si="58"/>
        <v>23</v>
      </c>
      <c r="F100" s="2578">
        <f t="shared" si="58"/>
        <v>59</v>
      </c>
      <c r="G100" s="2581">
        <f t="shared" si="58"/>
        <v>27</v>
      </c>
      <c r="H100" s="2580">
        <f t="shared" si="58"/>
        <v>86</v>
      </c>
      <c r="I100" s="2578">
        <f t="shared" si="58"/>
        <v>16</v>
      </c>
      <c r="J100" s="2581">
        <f>SUM(J92:J99)</f>
        <v>5</v>
      </c>
      <c r="K100" s="2580">
        <f t="shared" si="34"/>
        <v>21</v>
      </c>
      <c r="L100" s="2578">
        <f>SUM(L92:L99)</f>
        <v>31</v>
      </c>
      <c r="M100" s="2581">
        <f>SUM(M92:M99)</f>
        <v>7</v>
      </c>
      <c r="N100" s="2580">
        <f t="shared" si="35"/>
        <v>38</v>
      </c>
      <c r="O100" s="2578">
        <f>SUM(O92:O99)</f>
        <v>40</v>
      </c>
      <c r="P100" s="2581">
        <f>SUM(P92:P99)</f>
        <v>17</v>
      </c>
      <c r="Q100" s="2580">
        <f t="shared" si="43"/>
        <v>57</v>
      </c>
      <c r="R100" s="2578">
        <f>SUM(R92:R99)</f>
        <v>108</v>
      </c>
      <c r="S100" s="2581">
        <f>SUM(S92:S99)</f>
        <v>44</v>
      </c>
      <c r="T100" s="2580">
        <f t="shared" si="44"/>
        <v>152</v>
      </c>
      <c r="U100" s="2578">
        <f>SUM(U92:U99)</f>
        <v>80</v>
      </c>
      <c r="V100" s="2581">
        <f>SUM(V92:V99)</f>
        <v>34</v>
      </c>
      <c r="W100" s="2580">
        <f t="shared" si="51"/>
        <v>114</v>
      </c>
      <c r="X100" s="2578">
        <f>SUM(X92:X99)</f>
        <v>80</v>
      </c>
      <c r="Y100" s="2581">
        <f>SUM(Y92:Y99)</f>
        <v>26</v>
      </c>
      <c r="Z100" s="2580">
        <f t="shared" si="52"/>
        <v>106</v>
      </c>
    </row>
    <row r="101" spans="1:26" s="2564" customFormat="1" x14ac:dyDescent="0.25">
      <c r="B101" s="2572" t="s">
        <v>65</v>
      </c>
      <c r="C101" s="2573"/>
      <c r="D101" s="2574">
        <v>2</v>
      </c>
      <c r="E101" s="2575">
        <f>SUM(C101:D101)</f>
        <v>2</v>
      </c>
      <c r="F101" s="2573">
        <v>7</v>
      </c>
      <c r="G101" s="2576">
        <v>3</v>
      </c>
      <c r="H101" s="2575">
        <f>SUM(F101:G101)</f>
        <v>10</v>
      </c>
      <c r="I101" s="2573">
        <v>1</v>
      </c>
      <c r="J101" s="2576">
        <v>2</v>
      </c>
      <c r="K101" s="2575">
        <f t="shared" si="34"/>
        <v>3</v>
      </c>
      <c r="L101" s="2573">
        <v>2</v>
      </c>
      <c r="M101" s="2576">
        <v>4</v>
      </c>
      <c r="N101" s="2575">
        <f t="shared" si="35"/>
        <v>6</v>
      </c>
      <c r="O101" s="2573">
        <v>2</v>
      </c>
      <c r="P101" s="2576">
        <v>2</v>
      </c>
      <c r="Q101" s="2575">
        <f t="shared" si="43"/>
        <v>4</v>
      </c>
      <c r="R101" s="2573">
        <v>18</v>
      </c>
      <c r="S101" s="2576">
        <v>11</v>
      </c>
      <c r="T101" s="2575">
        <f t="shared" si="44"/>
        <v>29</v>
      </c>
      <c r="U101" s="2573">
        <v>20</v>
      </c>
      <c r="V101" s="2576">
        <v>11</v>
      </c>
      <c r="W101" s="2575">
        <f t="shared" si="51"/>
        <v>31</v>
      </c>
      <c r="X101" s="2573">
        <v>3</v>
      </c>
      <c r="Y101" s="2576">
        <v>7</v>
      </c>
      <c r="Z101" s="2575">
        <f t="shared" si="52"/>
        <v>10</v>
      </c>
    </row>
    <row r="102" spans="1:26" s="2564" customFormat="1" x14ac:dyDescent="0.25">
      <c r="B102" s="2572" t="s">
        <v>66</v>
      </c>
      <c r="C102" s="2573"/>
      <c r="D102" s="2574">
        <v>1</v>
      </c>
      <c r="E102" s="2575">
        <f>SUM(C102:D102)</f>
        <v>1</v>
      </c>
      <c r="F102" s="2573">
        <v>7</v>
      </c>
      <c r="G102" s="2576">
        <v>7</v>
      </c>
      <c r="H102" s="2575">
        <f>SUM(F102:G102)</f>
        <v>14</v>
      </c>
      <c r="I102" s="2573">
        <v>3</v>
      </c>
      <c r="J102" s="2576">
        <v>1</v>
      </c>
      <c r="K102" s="2575">
        <f t="shared" si="34"/>
        <v>4</v>
      </c>
      <c r="L102" s="2573">
        <v>3</v>
      </c>
      <c r="M102" s="2576">
        <v>2</v>
      </c>
      <c r="N102" s="2575">
        <f t="shared" si="35"/>
        <v>5</v>
      </c>
      <c r="O102" s="2573">
        <v>1</v>
      </c>
      <c r="P102" s="2576">
        <v>1</v>
      </c>
      <c r="Q102" s="2575">
        <f t="shared" si="43"/>
        <v>2</v>
      </c>
      <c r="R102" s="2573">
        <v>8</v>
      </c>
      <c r="S102" s="2576"/>
      <c r="T102" s="2575">
        <f t="shared" si="44"/>
        <v>8</v>
      </c>
      <c r="U102" s="2573">
        <v>7</v>
      </c>
      <c r="V102" s="2576">
        <v>2</v>
      </c>
      <c r="W102" s="2575">
        <f t="shared" si="51"/>
        <v>9</v>
      </c>
      <c r="X102" s="2573">
        <v>1</v>
      </c>
      <c r="Y102" s="2576">
        <v>3</v>
      </c>
      <c r="Z102" s="2575">
        <f t="shared" si="52"/>
        <v>4</v>
      </c>
    </row>
    <row r="103" spans="1:26" x14ac:dyDescent="0.25">
      <c r="A103" s="2564"/>
      <c r="B103" s="2572" t="s">
        <v>67</v>
      </c>
      <c r="C103" s="2573">
        <v>2</v>
      </c>
      <c r="D103" s="2574">
        <v>1</v>
      </c>
      <c r="E103" s="2575">
        <f>SUM(C103:D103)</f>
        <v>3</v>
      </c>
      <c r="F103" s="2573">
        <v>12</v>
      </c>
      <c r="G103" s="2576">
        <v>3</v>
      </c>
      <c r="H103" s="2575">
        <f>SUM(F103:G103)</f>
        <v>15</v>
      </c>
      <c r="I103" s="2573">
        <v>1</v>
      </c>
      <c r="J103" s="2576"/>
      <c r="K103" s="2575">
        <f t="shared" si="34"/>
        <v>1</v>
      </c>
      <c r="L103" s="2573"/>
      <c r="M103" s="2576"/>
      <c r="N103" s="2575">
        <f t="shared" si="35"/>
        <v>0</v>
      </c>
      <c r="O103" s="2573">
        <v>1</v>
      </c>
      <c r="P103" s="2576">
        <v>3</v>
      </c>
      <c r="Q103" s="2575">
        <f t="shared" si="43"/>
        <v>4</v>
      </c>
      <c r="R103" s="2573">
        <v>5</v>
      </c>
      <c r="S103" s="2576">
        <v>6</v>
      </c>
      <c r="T103" s="2575">
        <f t="shared" si="44"/>
        <v>11</v>
      </c>
      <c r="U103" s="2573">
        <v>17</v>
      </c>
      <c r="V103" s="2576">
        <v>5</v>
      </c>
      <c r="W103" s="2575">
        <f t="shared" si="51"/>
        <v>22</v>
      </c>
      <c r="X103" s="2573">
        <v>3</v>
      </c>
      <c r="Y103" s="2576">
        <v>2</v>
      </c>
      <c r="Z103" s="2575">
        <f t="shared" si="52"/>
        <v>5</v>
      </c>
    </row>
    <row r="104" spans="1:26" x14ac:dyDescent="0.25">
      <c r="A104" s="2564"/>
      <c r="B104" s="2572" t="s">
        <v>104</v>
      </c>
      <c r="C104" s="2573"/>
      <c r="D104" s="2574"/>
      <c r="E104" s="2575">
        <f>SUM(C104:D104)</f>
        <v>0</v>
      </c>
      <c r="F104" s="2573"/>
      <c r="G104" s="2576">
        <v>3</v>
      </c>
      <c r="H104" s="2575">
        <f>SUM(F104:G104)</f>
        <v>3</v>
      </c>
      <c r="I104" s="2573"/>
      <c r="J104" s="2576"/>
      <c r="K104" s="2575">
        <f t="shared" si="34"/>
        <v>0</v>
      </c>
      <c r="L104" s="2573"/>
      <c r="M104" s="2576">
        <v>1</v>
      </c>
      <c r="N104" s="2575">
        <f t="shared" si="35"/>
        <v>1</v>
      </c>
      <c r="O104" s="2573"/>
      <c r="P104" s="2576"/>
      <c r="Q104" s="2575">
        <f t="shared" si="43"/>
        <v>0</v>
      </c>
      <c r="R104" s="2573"/>
      <c r="S104" s="2576"/>
      <c r="T104" s="2575">
        <f t="shared" si="44"/>
        <v>0</v>
      </c>
      <c r="U104" s="2573">
        <v>10</v>
      </c>
      <c r="V104" s="2576">
        <v>2</v>
      </c>
      <c r="W104" s="2575">
        <f t="shared" si="51"/>
        <v>12</v>
      </c>
      <c r="X104" s="2573">
        <v>2</v>
      </c>
      <c r="Y104" s="2576"/>
      <c r="Z104" s="2575">
        <f t="shared" si="52"/>
        <v>2</v>
      </c>
    </row>
    <row r="105" spans="1:26" x14ac:dyDescent="0.25">
      <c r="A105" s="2564"/>
      <c r="B105" s="2577" t="s">
        <v>68</v>
      </c>
      <c r="C105" s="2611">
        <f t="shared" ref="C105:H105" si="59">SUM(C101:C104)</f>
        <v>2</v>
      </c>
      <c r="D105" s="2612">
        <f t="shared" si="59"/>
        <v>4</v>
      </c>
      <c r="E105" s="2613">
        <f t="shared" si="59"/>
        <v>6</v>
      </c>
      <c r="F105" s="2611">
        <f t="shared" si="59"/>
        <v>26</v>
      </c>
      <c r="G105" s="2614">
        <f t="shared" si="59"/>
        <v>16</v>
      </c>
      <c r="H105" s="2613">
        <f t="shared" si="59"/>
        <v>42</v>
      </c>
      <c r="I105" s="2611">
        <f>SUM(I101:I104)</f>
        <v>5</v>
      </c>
      <c r="J105" s="2614">
        <f>SUM(J101:J104)</f>
        <v>3</v>
      </c>
      <c r="K105" s="2613">
        <f t="shared" si="34"/>
        <v>8</v>
      </c>
      <c r="L105" s="2611">
        <f>SUM(L101:L104)</f>
        <v>5</v>
      </c>
      <c r="M105" s="2614">
        <f>SUM(M101:M104)</f>
        <v>7</v>
      </c>
      <c r="N105" s="2613">
        <f t="shared" si="35"/>
        <v>12</v>
      </c>
      <c r="O105" s="2611">
        <f>SUM(O101:O104)</f>
        <v>4</v>
      </c>
      <c r="P105" s="2614">
        <f>SUM(P101:P104)</f>
        <v>6</v>
      </c>
      <c r="Q105" s="2613">
        <f t="shared" si="43"/>
        <v>10</v>
      </c>
      <c r="R105" s="2611">
        <f>SUM(R101:R104)</f>
        <v>31</v>
      </c>
      <c r="S105" s="2614">
        <f>SUM(S101:S104)</f>
        <v>17</v>
      </c>
      <c r="T105" s="2613">
        <f t="shared" si="44"/>
        <v>48</v>
      </c>
      <c r="U105" s="2611">
        <f>SUM(U101:U104)</f>
        <v>54</v>
      </c>
      <c r="V105" s="2614">
        <f>SUM(V101:V104)</f>
        <v>20</v>
      </c>
      <c r="W105" s="2613">
        <f t="shared" si="51"/>
        <v>74</v>
      </c>
      <c r="X105" s="2611">
        <f>SUM(X101:X104)</f>
        <v>9</v>
      </c>
      <c r="Y105" s="2614">
        <f>SUM(Y101:Y104)</f>
        <v>12</v>
      </c>
      <c r="Z105" s="2613">
        <f t="shared" si="52"/>
        <v>21</v>
      </c>
    </row>
    <row r="106" spans="1:26" x14ac:dyDescent="0.25">
      <c r="B106" s="2615" t="s">
        <v>105</v>
      </c>
      <c r="C106" s="2615">
        <f t="shared" ref="C106:H106" si="60">C105+C100+C91</f>
        <v>26</v>
      </c>
      <c r="D106" s="2616">
        <f t="shared" si="60"/>
        <v>22</v>
      </c>
      <c r="E106" s="2617">
        <f t="shared" si="60"/>
        <v>48</v>
      </c>
      <c r="F106" s="2615">
        <f t="shared" si="60"/>
        <v>139</v>
      </c>
      <c r="G106" s="2618">
        <f t="shared" si="60"/>
        <v>75</v>
      </c>
      <c r="H106" s="2617">
        <f t="shared" si="60"/>
        <v>214</v>
      </c>
      <c r="I106" s="2615">
        <f>I105+I100+I91</f>
        <v>27</v>
      </c>
      <c r="J106" s="2618">
        <f>J105+J100+J91</f>
        <v>10</v>
      </c>
      <c r="K106" s="2617">
        <f t="shared" si="34"/>
        <v>37</v>
      </c>
      <c r="L106" s="2615">
        <f>L105+L100+L91</f>
        <v>52</v>
      </c>
      <c r="M106" s="2618">
        <f>M105+M100+M91</f>
        <v>21</v>
      </c>
      <c r="N106" s="2617">
        <f t="shared" si="35"/>
        <v>73</v>
      </c>
      <c r="O106" s="2615">
        <f>O105+O100+O91</f>
        <v>59</v>
      </c>
      <c r="P106" s="2618">
        <f>P105+P100+P91</f>
        <v>40</v>
      </c>
      <c r="Q106" s="2617">
        <f t="shared" si="43"/>
        <v>99</v>
      </c>
      <c r="R106" s="2615">
        <f>R105+R100+R91</f>
        <v>217</v>
      </c>
      <c r="S106" s="2618">
        <f>S105+S100+S91</f>
        <v>105</v>
      </c>
      <c r="T106" s="2617">
        <f t="shared" si="44"/>
        <v>322</v>
      </c>
      <c r="U106" s="2615">
        <f>U105+U100+U91</f>
        <v>186</v>
      </c>
      <c r="V106" s="2618">
        <f>V105+V100+V91</f>
        <v>71</v>
      </c>
      <c r="W106" s="2617">
        <f t="shared" si="51"/>
        <v>257</v>
      </c>
      <c r="X106" s="2615">
        <f>X105+X100+X91</f>
        <v>140</v>
      </c>
      <c r="Y106" s="2618">
        <f>Y105+Y100+Y91</f>
        <v>57</v>
      </c>
      <c r="Z106" s="2617">
        <f t="shared" si="52"/>
        <v>197</v>
      </c>
    </row>
    <row r="107" spans="1:26" x14ac:dyDescent="0.25">
      <c r="B107" s="2564"/>
    </row>
    <row r="108" spans="1:26" x14ac:dyDescent="0.25">
      <c r="B108" s="2619" t="s">
        <v>128</v>
      </c>
      <c r="C108" s="2619">
        <f t="shared" ref="C108:J108" si="61">C106+C84+C71+C40+C25</f>
        <v>142</v>
      </c>
      <c r="D108" s="2620">
        <f t="shared" si="61"/>
        <v>120</v>
      </c>
      <c r="E108" s="2621">
        <f t="shared" si="61"/>
        <v>262</v>
      </c>
      <c r="F108" s="2619">
        <f t="shared" si="61"/>
        <v>400</v>
      </c>
      <c r="G108" s="2622">
        <f t="shared" si="61"/>
        <v>267</v>
      </c>
      <c r="H108" s="2621">
        <f t="shared" si="61"/>
        <v>667</v>
      </c>
      <c r="I108" s="2619">
        <f t="shared" si="61"/>
        <v>123</v>
      </c>
      <c r="J108" s="2622">
        <f t="shared" si="61"/>
        <v>74</v>
      </c>
      <c r="K108" s="2621">
        <f t="shared" si="34"/>
        <v>197</v>
      </c>
      <c r="L108" s="2619">
        <f>L106+L84+L71+L40+L25</f>
        <v>204</v>
      </c>
      <c r="M108" s="2622">
        <f>M106+M84+M71+M40+M25</f>
        <v>110</v>
      </c>
      <c r="N108" s="2621">
        <f>SUM(L108:M108)</f>
        <v>314</v>
      </c>
      <c r="O108" s="2619">
        <f>O106+O84+O71+O40+O25</f>
        <v>242</v>
      </c>
      <c r="P108" s="2622">
        <f>P106+P84+P71+P40+P25</f>
        <v>154</v>
      </c>
      <c r="Q108" s="2621">
        <f>SUM(O108:P108)</f>
        <v>396</v>
      </c>
      <c r="R108" s="2619">
        <f>R106+R84+R71+R40+R25</f>
        <v>572</v>
      </c>
      <c r="S108" s="2622">
        <f>S106+S84+S71+S40+S25</f>
        <v>333</v>
      </c>
      <c r="T108" s="2621">
        <f>SUM(R108:S108)</f>
        <v>905</v>
      </c>
      <c r="U108" s="2619">
        <f>U106+U84+U71+U40+U25</f>
        <v>476</v>
      </c>
      <c r="V108" s="2622">
        <f>V106+V84+V71+V40+V25</f>
        <v>268</v>
      </c>
      <c r="W108" s="2621">
        <f>SUM(U108:V108)</f>
        <v>744</v>
      </c>
      <c r="X108" s="2619">
        <f>X106+X84+X71+X40+X25</f>
        <v>333</v>
      </c>
      <c r="Y108" s="2622">
        <f>Y106+Y84+Y71+Y40+Y25</f>
        <v>183</v>
      </c>
      <c r="Z108" s="2621">
        <f>SUM(X108:Y108)</f>
        <v>516</v>
      </c>
    </row>
    <row r="109" spans="1:26" x14ac:dyDescent="0.25">
      <c r="B109" s="2341" t="s">
        <v>622</v>
      </c>
    </row>
    <row r="110" spans="1:26" x14ac:dyDescent="0.25">
      <c r="F110" s="2623" t="s">
        <v>644</v>
      </c>
    </row>
  </sheetData>
  <mergeCells count="9">
    <mergeCell ref="X3:Z3"/>
    <mergeCell ref="U3:W3"/>
    <mergeCell ref="R3:T3"/>
    <mergeCell ref="B3:B4"/>
    <mergeCell ref="C3:E3"/>
    <mergeCell ref="F3:H3"/>
    <mergeCell ref="I3:K3"/>
    <mergeCell ref="L3:N3"/>
    <mergeCell ref="O3:Q3"/>
  </mergeCells>
  <printOptions horizontalCentered="1" verticalCentered="1"/>
  <pageMargins left="0.74803149606299213" right="0.74803149606299213" top="0.39370078740157483" bottom="0.39370078740157483" header="0.51181102362204722" footer="0.51181102362204722"/>
  <pageSetup scale="46" firstPageNumber="101" orientation="landscape" useFirstPageNumber="1" r:id="rId1"/>
  <headerFooter scaleWithDoc="0" alignWithMargins="0">
    <oddFooter>&amp;R&amp;P</oddFooter>
  </headerFooter>
  <rowBreaks count="1" manualBreakCount="1">
    <brk id="71" max="16383" man="1"/>
  </rowBreaks>
  <ignoredErrors>
    <ignoredError sqref="E15:W32 E45:W45 E44:V44 E47:W52 E46:V46 E34:W43 E33:V33 E58:W68 E56:T57 V56:W57 E54:W55 E53:U53 W53 E70:W91 E69:T69 V69:W69 E93:W108 E92:U92 W92 Z75:Z79" formula="1"/>
  </ignoredError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</sheetPr>
  <dimension ref="C1:XEV123"/>
  <sheetViews>
    <sheetView showGridLines="0" topLeftCell="B1" zoomScaleNormal="100" workbookViewId="0">
      <pane xSplit="3" ySplit="4" topLeftCell="S10" activePane="bottomRight" state="frozen"/>
      <selection activeCell="Q31" sqref="Q31"/>
      <selection pane="topRight" activeCell="Q31" sqref="Q31"/>
      <selection pane="bottomLeft" activeCell="Q31" sqref="Q31"/>
      <selection pane="bottomRight" activeCell="AA31" sqref="AA31"/>
    </sheetView>
  </sheetViews>
  <sheetFormatPr baseColWidth="10" defaultRowHeight="13.2" x14ac:dyDescent="0.25"/>
  <cols>
    <col min="1" max="1" width="2.88671875" customWidth="1"/>
    <col min="2" max="2" width="5.88671875" customWidth="1"/>
    <col min="4" max="4" width="60.44140625" bestFit="1" customWidth="1"/>
    <col min="5" max="5" width="8.5546875" customWidth="1"/>
    <col min="6" max="6" width="9.44140625" customWidth="1"/>
    <col min="7" max="7" width="8.88671875" customWidth="1"/>
    <col min="8" max="8" width="8.5546875" customWidth="1"/>
    <col min="9" max="9" width="9.44140625" customWidth="1"/>
    <col min="10" max="10" width="7.88671875" customWidth="1"/>
    <col min="11" max="11" width="8.5546875" customWidth="1"/>
    <col min="12" max="12" width="9" customWidth="1"/>
    <col min="13" max="13" width="7.88671875" customWidth="1"/>
    <col min="14" max="14" width="9.109375" bestFit="1" customWidth="1"/>
    <col min="15" max="15" width="9.44140625" bestFit="1" customWidth="1"/>
    <col min="16" max="16" width="7.88671875" customWidth="1"/>
    <col min="17" max="17" width="8.5546875" bestFit="1" customWidth="1"/>
    <col min="19" max="19" width="7.88671875" customWidth="1"/>
  </cols>
  <sheetData>
    <row r="1" spans="3:19" ht="56.4" customHeight="1" x14ac:dyDescent="0.35">
      <c r="C1" s="6067" t="s">
        <v>1588</v>
      </c>
      <c r="D1" s="6067"/>
    </row>
    <row r="2" spans="3:19" ht="18" x14ac:dyDescent="0.35">
      <c r="C2" s="2624"/>
    </row>
    <row r="3" spans="3:19" ht="14.4" x14ac:dyDescent="0.25">
      <c r="C3" s="6086" t="s">
        <v>597</v>
      </c>
      <c r="D3" s="6086" t="s">
        <v>624</v>
      </c>
      <c r="E3" s="6078">
        <v>2018</v>
      </c>
      <c r="F3" s="6079"/>
      <c r="G3" s="6080"/>
      <c r="H3" s="6078">
        <v>2019</v>
      </c>
      <c r="I3" s="6079"/>
      <c r="J3" s="6080"/>
      <c r="K3" s="6078">
        <v>2020</v>
      </c>
      <c r="L3" s="6079"/>
      <c r="M3" s="6080"/>
      <c r="N3" s="6078">
        <v>2021</v>
      </c>
      <c r="O3" s="6079"/>
      <c r="P3" s="6080"/>
      <c r="Q3" s="6078">
        <v>2022</v>
      </c>
      <c r="R3" s="6079"/>
      <c r="S3" s="6080"/>
    </row>
    <row r="4" spans="3:19" ht="14.4" x14ac:dyDescent="0.25">
      <c r="C4" s="6087"/>
      <c r="D4" s="6087"/>
      <c r="E4" s="2625" t="s">
        <v>140</v>
      </c>
      <c r="F4" s="2625" t="s">
        <v>141</v>
      </c>
      <c r="G4" s="2626" t="s">
        <v>48</v>
      </c>
      <c r="H4" s="2625" t="s">
        <v>140</v>
      </c>
      <c r="I4" s="2625" t="s">
        <v>141</v>
      </c>
      <c r="J4" s="2626" t="s">
        <v>48</v>
      </c>
      <c r="K4" s="2625" t="s">
        <v>140</v>
      </c>
      <c r="L4" s="2625" t="s">
        <v>141</v>
      </c>
      <c r="M4" s="2626" t="s">
        <v>48</v>
      </c>
      <c r="N4" s="2625" t="s">
        <v>140</v>
      </c>
      <c r="O4" s="2625" t="s">
        <v>141</v>
      </c>
      <c r="P4" s="4674" t="s">
        <v>48</v>
      </c>
      <c r="Q4" s="2625" t="s">
        <v>140</v>
      </c>
      <c r="R4" s="2625" t="s">
        <v>141</v>
      </c>
      <c r="S4" s="5299" t="s">
        <v>48</v>
      </c>
    </row>
    <row r="5" spans="3:19" ht="12.75" customHeight="1" x14ac:dyDescent="0.25">
      <c r="C5" s="6083" t="s">
        <v>517</v>
      </c>
      <c r="D5" s="2627" t="s">
        <v>1474</v>
      </c>
      <c r="E5" s="2628">
        <v>2</v>
      </c>
      <c r="F5" s="2629"/>
      <c r="G5" s="2630">
        <f>SUM(E5:F5)</f>
        <v>2</v>
      </c>
      <c r="H5" s="2628">
        <v>2</v>
      </c>
      <c r="I5" s="2629">
        <v>4</v>
      </c>
      <c r="J5" s="2630">
        <f>SUM(H5:I5)</f>
        <v>6</v>
      </c>
      <c r="K5" s="2628">
        <v>2</v>
      </c>
      <c r="L5" s="2629"/>
      <c r="M5" s="2630">
        <f t="shared" ref="M5:M10" si="0">SUM(K5:L5)</f>
        <v>2</v>
      </c>
      <c r="N5" s="2628">
        <v>1</v>
      </c>
      <c r="O5" s="2629"/>
      <c r="P5" s="2630">
        <f t="shared" ref="P5:P10" si="1">SUM(N5:O5)</f>
        <v>1</v>
      </c>
      <c r="Q5" s="2628"/>
      <c r="R5" s="2629"/>
      <c r="S5" s="2630"/>
    </row>
    <row r="6" spans="3:19" ht="12.75" customHeight="1" x14ac:dyDescent="0.25">
      <c r="C6" s="6084"/>
      <c r="D6" s="2631" t="s">
        <v>1475</v>
      </c>
      <c r="E6" s="2632"/>
      <c r="F6" s="2633">
        <v>2</v>
      </c>
      <c r="G6" s="2634">
        <f>SUM(E6:F6)</f>
        <v>2</v>
      </c>
      <c r="H6" s="2632"/>
      <c r="I6" s="2633"/>
      <c r="J6" s="2634">
        <f>SUM(H6:I6)</f>
        <v>0</v>
      </c>
      <c r="K6" s="2632">
        <v>3</v>
      </c>
      <c r="L6" s="2633">
        <v>3</v>
      </c>
      <c r="M6" s="2634">
        <f t="shared" si="0"/>
        <v>6</v>
      </c>
      <c r="N6" s="4673">
        <v>2</v>
      </c>
      <c r="O6" s="2633">
        <v>4</v>
      </c>
      <c r="P6" s="2634">
        <f t="shared" si="1"/>
        <v>6</v>
      </c>
      <c r="Q6" s="5298"/>
      <c r="R6" s="2633"/>
      <c r="S6" s="2634"/>
    </row>
    <row r="7" spans="3:19" ht="12.75" customHeight="1" x14ac:dyDescent="0.25">
      <c r="C7" s="6084"/>
      <c r="D7" s="2631" t="s">
        <v>315</v>
      </c>
      <c r="E7" s="2632"/>
      <c r="F7" s="2633"/>
      <c r="G7" s="2634"/>
      <c r="H7" s="2632">
        <v>1</v>
      </c>
      <c r="I7" s="2633"/>
      <c r="J7" s="2634">
        <f>SUM(H7:I7)</f>
        <v>1</v>
      </c>
      <c r="K7" s="2632"/>
      <c r="L7" s="2633"/>
      <c r="M7" s="2634">
        <f t="shared" si="0"/>
        <v>0</v>
      </c>
      <c r="N7" s="4673"/>
      <c r="O7" s="2633">
        <v>1</v>
      </c>
      <c r="P7" s="2634">
        <f t="shared" si="1"/>
        <v>1</v>
      </c>
      <c r="Q7" s="5298"/>
      <c r="R7" s="2633"/>
      <c r="S7" s="2634"/>
    </row>
    <row r="8" spans="3:19" ht="12.75" customHeight="1" x14ac:dyDescent="0.25">
      <c r="C8" s="6084"/>
      <c r="D8" s="2631" t="s">
        <v>314</v>
      </c>
      <c r="E8" s="2632"/>
      <c r="F8" s="2633">
        <v>2</v>
      </c>
      <c r="G8" s="2634">
        <f>SUM(E8:F8)</f>
        <v>2</v>
      </c>
      <c r="H8" s="2632"/>
      <c r="I8" s="2633"/>
      <c r="J8" s="2634">
        <f>SUM(H8:I8)</f>
        <v>0</v>
      </c>
      <c r="K8" s="2632"/>
      <c r="L8" s="2633">
        <v>1</v>
      </c>
      <c r="M8" s="2634">
        <f t="shared" si="0"/>
        <v>1</v>
      </c>
      <c r="N8" s="4673"/>
      <c r="O8" s="2633"/>
      <c r="P8" s="2634"/>
      <c r="Q8" s="5298"/>
      <c r="R8" s="2633"/>
      <c r="S8" s="2634"/>
    </row>
    <row r="9" spans="3:19" ht="12.75" customHeight="1" x14ac:dyDescent="0.25">
      <c r="C9" s="6084"/>
      <c r="D9" s="2631" t="s">
        <v>312</v>
      </c>
      <c r="E9" s="2632"/>
      <c r="F9" s="2633">
        <v>1</v>
      </c>
      <c r="G9" s="2634">
        <f>SUM(E9:F9)</f>
        <v>1</v>
      </c>
      <c r="H9" s="2632"/>
      <c r="I9" s="2633">
        <v>2</v>
      </c>
      <c r="J9" s="2634">
        <f>SUM(H9:I9)</f>
        <v>2</v>
      </c>
      <c r="K9" s="2632"/>
      <c r="L9" s="2633">
        <v>1</v>
      </c>
      <c r="M9" s="2634">
        <f t="shared" si="0"/>
        <v>1</v>
      </c>
      <c r="N9" s="4673"/>
      <c r="O9" s="2633"/>
      <c r="P9" s="2634"/>
      <c r="Q9" s="5298"/>
      <c r="R9" s="2633"/>
      <c r="S9" s="2634"/>
    </row>
    <row r="10" spans="3:19" ht="12.75" customHeight="1" x14ac:dyDescent="0.25">
      <c r="C10" s="154" t="s">
        <v>518</v>
      </c>
      <c r="D10" s="4693" t="s">
        <v>1476</v>
      </c>
      <c r="E10" s="2632"/>
      <c r="F10" s="2633"/>
      <c r="G10" s="2634"/>
      <c r="H10" s="2632"/>
      <c r="I10" s="2633"/>
      <c r="J10" s="2634"/>
      <c r="K10" s="2632">
        <v>1</v>
      </c>
      <c r="L10" s="2633">
        <v>1</v>
      </c>
      <c r="M10" s="2634">
        <f t="shared" si="0"/>
        <v>2</v>
      </c>
      <c r="N10" s="4673"/>
      <c r="O10" s="2633">
        <v>1</v>
      </c>
      <c r="P10" s="2634">
        <f t="shared" si="1"/>
        <v>1</v>
      </c>
      <c r="Q10" s="5298"/>
      <c r="R10" s="2633"/>
      <c r="S10" s="2634"/>
    </row>
    <row r="11" spans="3:19" ht="12.75" customHeight="1" x14ac:dyDescent="0.25">
      <c r="C11" s="2635"/>
      <c r="D11" s="2636" t="s">
        <v>59</v>
      </c>
      <c r="E11" s="2635">
        <f t="shared" ref="E11:J11" si="2">SUM(E5:E9)</f>
        <v>2</v>
      </c>
      <c r="F11" s="2637">
        <f t="shared" si="2"/>
        <v>5</v>
      </c>
      <c r="G11" s="2636">
        <f t="shared" si="2"/>
        <v>7</v>
      </c>
      <c r="H11" s="2635">
        <f t="shared" si="2"/>
        <v>3</v>
      </c>
      <c r="I11" s="2637">
        <f t="shared" si="2"/>
        <v>6</v>
      </c>
      <c r="J11" s="2636">
        <f t="shared" si="2"/>
        <v>9</v>
      </c>
      <c r="K11" s="2635">
        <f t="shared" ref="K11:P11" si="3">SUM(K5:K10)</f>
        <v>6</v>
      </c>
      <c r="L11" s="2637">
        <f t="shared" si="3"/>
        <v>6</v>
      </c>
      <c r="M11" s="2636">
        <f t="shared" si="3"/>
        <v>12</v>
      </c>
      <c r="N11" s="2635">
        <f t="shared" si="3"/>
        <v>3</v>
      </c>
      <c r="O11" s="2637">
        <f t="shared" si="3"/>
        <v>6</v>
      </c>
      <c r="P11" s="2636">
        <f t="shared" si="3"/>
        <v>9</v>
      </c>
      <c r="Q11" s="2635">
        <f t="shared" ref="Q11:S11" si="4">SUM(Q5:Q10)</f>
        <v>0</v>
      </c>
      <c r="R11" s="2637">
        <f t="shared" si="4"/>
        <v>0</v>
      </c>
      <c r="S11" s="2636">
        <f t="shared" si="4"/>
        <v>0</v>
      </c>
    </row>
    <row r="12" spans="3:19" ht="12.75" customHeight="1" x14ac:dyDescent="0.25">
      <c r="C12" s="2632" t="s">
        <v>463</v>
      </c>
      <c r="D12" s="2631" t="s">
        <v>457</v>
      </c>
      <c r="E12" s="2632"/>
      <c r="F12" s="2633"/>
      <c r="G12" s="2634"/>
      <c r="H12" s="2632"/>
      <c r="I12" s="2633"/>
      <c r="J12" s="2634"/>
      <c r="K12" s="2632">
        <v>1</v>
      </c>
      <c r="L12" s="2633">
        <v>2</v>
      </c>
      <c r="M12" s="2634">
        <f t="shared" ref="M12:M25" si="5">SUM(K12:L12)</f>
        <v>3</v>
      </c>
      <c r="N12" s="4673">
        <v>1</v>
      </c>
      <c r="O12" s="2633">
        <v>2</v>
      </c>
      <c r="P12" s="2634">
        <f t="shared" ref="P12:P24" si="6">SUM(N12:O12)</f>
        <v>3</v>
      </c>
      <c r="Q12" s="5298">
        <v>3</v>
      </c>
      <c r="R12" s="2633">
        <v>2</v>
      </c>
      <c r="S12" s="2634">
        <f t="shared" ref="S12" si="7">SUM(Q12:R12)</f>
        <v>5</v>
      </c>
    </row>
    <row r="13" spans="3:19" ht="12.75" customHeight="1" x14ac:dyDescent="0.25">
      <c r="C13" s="6068" t="s">
        <v>517</v>
      </c>
      <c r="D13" s="2631" t="s">
        <v>330</v>
      </c>
      <c r="E13" s="2632"/>
      <c r="F13" s="2633">
        <v>1</v>
      </c>
      <c r="G13" s="2634">
        <f>SUM(E13:F13)</f>
        <v>1</v>
      </c>
      <c r="H13" s="2632"/>
      <c r="I13" s="2633"/>
      <c r="J13" s="2634">
        <f t="shared" ref="J13:J25" si="8">SUM(H13:I13)</f>
        <v>0</v>
      </c>
      <c r="K13" s="2632"/>
      <c r="L13" s="2633"/>
      <c r="M13" s="2634">
        <f t="shared" si="5"/>
        <v>0</v>
      </c>
      <c r="N13" s="4673"/>
      <c r="O13" s="2633"/>
      <c r="P13" s="2634"/>
      <c r="Q13" s="5298"/>
      <c r="R13" s="2633"/>
      <c r="S13" s="2634"/>
    </row>
    <row r="14" spans="3:19" ht="12.75" customHeight="1" x14ac:dyDescent="0.25">
      <c r="C14" s="6069"/>
      <c r="D14" s="2631" t="s">
        <v>645</v>
      </c>
      <c r="E14" s="2632"/>
      <c r="F14" s="2633"/>
      <c r="G14" s="2634"/>
      <c r="H14" s="2632">
        <v>2</v>
      </c>
      <c r="I14" s="2633"/>
      <c r="J14" s="2634">
        <f t="shared" si="8"/>
        <v>2</v>
      </c>
      <c r="K14" s="2632"/>
      <c r="L14" s="2633"/>
      <c r="M14" s="2634">
        <f t="shared" si="5"/>
        <v>0</v>
      </c>
      <c r="N14" s="4673">
        <v>2</v>
      </c>
      <c r="O14" s="2633">
        <v>2</v>
      </c>
      <c r="P14" s="2634">
        <f t="shared" si="6"/>
        <v>4</v>
      </c>
      <c r="Q14" s="5298"/>
      <c r="R14" s="2633"/>
      <c r="S14" s="2634"/>
    </row>
    <row r="15" spans="3:19" ht="12.75" customHeight="1" x14ac:dyDescent="0.25">
      <c r="C15" s="6069"/>
      <c r="D15" s="2631" t="s">
        <v>646</v>
      </c>
      <c r="E15" s="2632"/>
      <c r="F15" s="2633"/>
      <c r="G15" s="2634"/>
      <c r="H15" s="2632"/>
      <c r="I15" s="2633"/>
      <c r="J15" s="2634"/>
      <c r="K15" s="2632">
        <v>4</v>
      </c>
      <c r="L15" s="2633">
        <v>3</v>
      </c>
      <c r="M15" s="2634">
        <f t="shared" si="5"/>
        <v>7</v>
      </c>
      <c r="N15" s="4673"/>
      <c r="O15" s="2633"/>
      <c r="P15" s="2634"/>
      <c r="Q15" s="5298"/>
      <c r="R15" s="2633"/>
      <c r="S15" s="2634"/>
    </row>
    <row r="16" spans="3:19" ht="12.75" customHeight="1" x14ac:dyDescent="0.25">
      <c r="C16" s="6069"/>
      <c r="D16" s="2631" t="s">
        <v>647</v>
      </c>
      <c r="E16" s="2632"/>
      <c r="F16" s="2633"/>
      <c r="G16" s="2634"/>
      <c r="H16" s="2632"/>
      <c r="I16" s="2633">
        <v>1</v>
      </c>
      <c r="J16" s="2634">
        <f t="shared" si="8"/>
        <v>1</v>
      </c>
      <c r="K16" s="2632">
        <v>1</v>
      </c>
      <c r="L16" s="2633"/>
      <c r="M16" s="2634">
        <f t="shared" si="5"/>
        <v>1</v>
      </c>
      <c r="N16" s="4673">
        <v>1</v>
      </c>
      <c r="O16" s="2633">
        <v>1</v>
      </c>
      <c r="P16" s="2634">
        <f t="shared" si="6"/>
        <v>2</v>
      </c>
      <c r="Q16" s="5298"/>
      <c r="R16" s="2633"/>
      <c r="S16" s="2634"/>
    </row>
    <row r="17" spans="3:19" ht="12.75" customHeight="1" x14ac:dyDescent="0.25">
      <c r="C17" s="6069"/>
      <c r="D17" s="2631" t="s">
        <v>648</v>
      </c>
      <c r="E17" s="2632"/>
      <c r="F17" s="2633"/>
      <c r="G17" s="2634"/>
      <c r="H17" s="2632"/>
      <c r="I17" s="2633"/>
      <c r="J17" s="2634"/>
      <c r="K17" s="2632"/>
      <c r="L17" s="2633">
        <v>1</v>
      </c>
      <c r="M17" s="2634">
        <f t="shared" si="5"/>
        <v>1</v>
      </c>
      <c r="N17" s="4673"/>
      <c r="O17" s="2633">
        <v>2</v>
      </c>
      <c r="P17" s="2634">
        <f t="shared" si="6"/>
        <v>2</v>
      </c>
      <c r="Q17" s="5298">
        <v>1</v>
      </c>
      <c r="R17" s="2633"/>
      <c r="S17" s="2634">
        <f t="shared" ref="S17" si="9">SUM(Q17:R17)</f>
        <v>1</v>
      </c>
    </row>
    <row r="18" spans="3:19" ht="12.75" customHeight="1" x14ac:dyDescent="0.25">
      <c r="C18" s="6069"/>
      <c r="D18" s="2631" t="s">
        <v>649</v>
      </c>
      <c r="E18" s="2632"/>
      <c r="F18" s="2633"/>
      <c r="G18" s="2634"/>
      <c r="H18" s="2632">
        <v>1</v>
      </c>
      <c r="I18" s="2633">
        <v>1</v>
      </c>
      <c r="J18" s="2634">
        <f t="shared" si="8"/>
        <v>2</v>
      </c>
      <c r="K18" s="2632">
        <v>2</v>
      </c>
      <c r="L18" s="2633">
        <v>1</v>
      </c>
      <c r="M18" s="2634">
        <f t="shared" si="5"/>
        <v>3</v>
      </c>
      <c r="N18" s="4673">
        <v>4</v>
      </c>
      <c r="O18" s="2633">
        <v>5</v>
      </c>
      <c r="P18" s="2634">
        <f t="shared" si="6"/>
        <v>9</v>
      </c>
      <c r="Q18" s="5298"/>
      <c r="R18" s="2633"/>
      <c r="S18" s="2634"/>
    </row>
    <row r="19" spans="3:19" ht="12.75" customHeight="1" x14ac:dyDescent="0.25">
      <c r="C19" s="6069"/>
      <c r="D19" s="2631" t="s">
        <v>650</v>
      </c>
      <c r="E19" s="2632"/>
      <c r="F19" s="2633"/>
      <c r="G19" s="2634"/>
      <c r="H19" s="2632">
        <v>1</v>
      </c>
      <c r="I19" s="2633">
        <v>2</v>
      </c>
      <c r="J19" s="2634">
        <f t="shared" si="8"/>
        <v>3</v>
      </c>
      <c r="K19" s="2632">
        <v>1</v>
      </c>
      <c r="L19" s="2633"/>
      <c r="M19" s="2634">
        <f t="shared" si="5"/>
        <v>1</v>
      </c>
      <c r="N19" s="4673"/>
      <c r="O19" s="2633"/>
      <c r="P19" s="2634"/>
      <c r="Q19" s="5298"/>
      <c r="R19" s="2633"/>
      <c r="S19" s="2634"/>
    </row>
    <row r="20" spans="3:19" ht="12.75" customHeight="1" x14ac:dyDescent="0.25">
      <c r="C20" s="6069"/>
      <c r="D20" s="2631" t="s">
        <v>329</v>
      </c>
      <c r="E20" s="2632">
        <v>1</v>
      </c>
      <c r="F20" s="2633"/>
      <c r="G20" s="2634">
        <f>SUM(E20:F20)</f>
        <v>1</v>
      </c>
      <c r="H20" s="2632">
        <v>1</v>
      </c>
      <c r="I20" s="2633"/>
      <c r="J20" s="2634">
        <f t="shared" si="8"/>
        <v>1</v>
      </c>
      <c r="K20" s="2632">
        <v>2</v>
      </c>
      <c r="L20" s="2633">
        <v>5</v>
      </c>
      <c r="M20" s="2634">
        <f t="shared" si="5"/>
        <v>7</v>
      </c>
      <c r="N20" s="4673">
        <v>1</v>
      </c>
      <c r="O20" s="2633"/>
      <c r="P20" s="2634">
        <f t="shared" si="6"/>
        <v>1</v>
      </c>
      <c r="Q20" s="5298"/>
      <c r="R20" s="2633"/>
      <c r="S20" s="2634"/>
    </row>
    <row r="21" spans="3:19" ht="12.75" customHeight="1" x14ac:dyDescent="0.25">
      <c r="C21" s="6070"/>
      <c r="D21" s="2631" t="s">
        <v>334</v>
      </c>
      <c r="E21" s="2632"/>
      <c r="F21" s="2633"/>
      <c r="G21" s="2634"/>
      <c r="H21" s="2632"/>
      <c r="I21" s="2633"/>
      <c r="J21" s="2634"/>
      <c r="K21" s="2632">
        <v>3</v>
      </c>
      <c r="L21" s="2633">
        <v>1</v>
      </c>
      <c r="M21" s="2634">
        <f t="shared" si="5"/>
        <v>4</v>
      </c>
      <c r="N21" s="4673">
        <v>1</v>
      </c>
      <c r="O21" s="2633"/>
      <c r="P21" s="2634">
        <f t="shared" si="6"/>
        <v>1</v>
      </c>
      <c r="Q21" s="5298"/>
      <c r="R21" s="2633"/>
      <c r="S21" s="2634"/>
    </row>
    <row r="22" spans="3:19" ht="12.75" customHeight="1" x14ac:dyDescent="0.25">
      <c r="C22" s="6068" t="s">
        <v>518</v>
      </c>
      <c r="D22" s="2631" t="s">
        <v>335</v>
      </c>
      <c r="E22" s="4673"/>
      <c r="F22" s="2633"/>
      <c r="G22" s="2634"/>
      <c r="H22" s="4673"/>
      <c r="I22" s="2633"/>
      <c r="J22" s="2634"/>
      <c r="K22" s="4673"/>
      <c r="L22" s="2633"/>
      <c r="M22" s="2634"/>
      <c r="N22" s="4673"/>
      <c r="O22" s="2633">
        <v>1</v>
      </c>
      <c r="P22" s="2634">
        <f t="shared" si="6"/>
        <v>1</v>
      </c>
      <c r="Q22" s="5298"/>
      <c r="R22" s="2633"/>
      <c r="S22" s="2634"/>
    </row>
    <row r="23" spans="3:19" ht="12.75" customHeight="1" x14ac:dyDescent="0.25">
      <c r="C23" s="6069"/>
      <c r="D23" s="2631" t="s">
        <v>651</v>
      </c>
      <c r="E23" s="2632"/>
      <c r="F23" s="2633"/>
      <c r="G23" s="2634"/>
      <c r="H23" s="2632"/>
      <c r="I23" s="2633"/>
      <c r="J23" s="2634"/>
      <c r="K23" s="2632">
        <v>2</v>
      </c>
      <c r="L23" s="2633">
        <v>1</v>
      </c>
      <c r="M23" s="2634">
        <f t="shared" si="5"/>
        <v>3</v>
      </c>
      <c r="N23" s="4673">
        <v>1</v>
      </c>
      <c r="O23" s="2633"/>
      <c r="P23" s="2634">
        <f t="shared" si="6"/>
        <v>1</v>
      </c>
      <c r="Q23" s="5298"/>
      <c r="R23" s="2633"/>
      <c r="S23" s="2634"/>
    </row>
    <row r="24" spans="3:19" ht="12.75" customHeight="1" x14ac:dyDescent="0.25">
      <c r="C24" s="6069"/>
      <c r="D24" s="2631" t="s">
        <v>336</v>
      </c>
      <c r="E24" s="2632"/>
      <c r="F24" s="2633"/>
      <c r="G24" s="2634"/>
      <c r="H24" s="2632">
        <v>3</v>
      </c>
      <c r="I24" s="2633"/>
      <c r="J24" s="2634">
        <f t="shared" si="8"/>
        <v>3</v>
      </c>
      <c r="K24" s="2632">
        <v>4</v>
      </c>
      <c r="L24" s="2633">
        <v>3</v>
      </c>
      <c r="M24" s="2634">
        <f t="shared" si="5"/>
        <v>7</v>
      </c>
      <c r="N24" s="4673"/>
      <c r="O24" s="2633">
        <v>1</v>
      </c>
      <c r="P24" s="2634">
        <f t="shared" si="6"/>
        <v>1</v>
      </c>
      <c r="Q24" s="5298"/>
      <c r="R24" s="2633">
        <v>1</v>
      </c>
      <c r="S24" s="2634">
        <f t="shared" ref="S24" si="10">SUM(Q24:R24)</f>
        <v>1</v>
      </c>
    </row>
    <row r="25" spans="3:19" ht="12.75" customHeight="1" x14ac:dyDescent="0.25">
      <c r="C25" s="6070"/>
      <c r="D25" s="2631" t="s">
        <v>334</v>
      </c>
      <c r="E25" s="2632">
        <v>1</v>
      </c>
      <c r="F25" s="2633"/>
      <c r="G25" s="2634">
        <f>SUM(E25:F25)</f>
        <v>1</v>
      </c>
      <c r="H25" s="2632"/>
      <c r="I25" s="2633"/>
      <c r="J25" s="2634">
        <f t="shared" si="8"/>
        <v>0</v>
      </c>
      <c r="K25" s="2632">
        <v>2</v>
      </c>
      <c r="L25" s="2633">
        <v>1</v>
      </c>
      <c r="M25" s="2634">
        <f t="shared" si="5"/>
        <v>3</v>
      </c>
      <c r="N25" s="4673"/>
      <c r="O25" s="2633"/>
      <c r="P25" s="2634"/>
      <c r="Q25" s="5298"/>
      <c r="R25" s="2633"/>
      <c r="S25" s="2634"/>
    </row>
    <row r="26" spans="3:19" ht="12.75" customHeight="1" x14ac:dyDescent="0.25">
      <c r="C26" s="2635"/>
      <c r="D26" s="2636" t="s">
        <v>64</v>
      </c>
      <c r="E26" s="2635">
        <f t="shared" ref="E26:J26" si="11">SUM(E13:E25)</f>
        <v>2</v>
      </c>
      <c r="F26" s="2637">
        <f t="shared" si="11"/>
        <v>1</v>
      </c>
      <c r="G26" s="2636">
        <f t="shared" si="11"/>
        <v>3</v>
      </c>
      <c r="H26" s="2635">
        <f t="shared" si="11"/>
        <v>8</v>
      </c>
      <c r="I26" s="2637">
        <f t="shared" si="11"/>
        <v>4</v>
      </c>
      <c r="J26" s="2636">
        <f t="shared" si="11"/>
        <v>12</v>
      </c>
      <c r="K26" s="2635">
        <f t="shared" ref="K26:P26" si="12">SUM(K12:K25)</f>
        <v>22</v>
      </c>
      <c r="L26" s="2637">
        <f t="shared" si="12"/>
        <v>18</v>
      </c>
      <c r="M26" s="2636">
        <f t="shared" si="12"/>
        <v>40</v>
      </c>
      <c r="N26" s="2635">
        <f t="shared" si="12"/>
        <v>11</v>
      </c>
      <c r="O26" s="2637">
        <f t="shared" si="12"/>
        <v>14</v>
      </c>
      <c r="P26" s="2636">
        <f t="shared" si="12"/>
        <v>25</v>
      </c>
      <c r="Q26" s="2635">
        <f t="shared" ref="Q26:S26" si="13">SUM(Q12:Q25)</f>
        <v>4</v>
      </c>
      <c r="R26" s="2637">
        <f t="shared" si="13"/>
        <v>3</v>
      </c>
      <c r="S26" s="2636">
        <f t="shared" si="13"/>
        <v>7</v>
      </c>
    </row>
    <row r="27" spans="3:19" ht="12.75" customHeight="1" x14ac:dyDescent="0.25">
      <c r="C27" s="6071" t="s">
        <v>463</v>
      </c>
      <c r="D27" s="2638" t="s">
        <v>338</v>
      </c>
      <c r="E27" s="2639"/>
      <c r="F27" s="2640"/>
      <c r="G27" s="2641"/>
      <c r="H27" s="2639"/>
      <c r="I27" s="2640"/>
      <c r="J27" s="2641"/>
      <c r="K27" s="2639"/>
      <c r="L27" s="2640">
        <v>2</v>
      </c>
      <c r="M27" s="2634">
        <f t="shared" ref="M27:M37" si="14">SUM(K27:L27)</f>
        <v>2</v>
      </c>
      <c r="N27" s="2639"/>
      <c r="O27" s="2640"/>
      <c r="P27" s="2634"/>
      <c r="Q27" s="2639"/>
      <c r="R27" s="2640"/>
      <c r="S27" s="2634"/>
    </row>
    <row r="28" spans="3:19" ht="12.75" customHeight="1" x14ac:dyDescent="0.25">
      <c r="C28" s="6073"/>
      <c r="D28" s="2642" t="s">
        <v>652</v>
      </c>
      <c r="E28" s="2639"/>
      <c r="F28" s="2640"/>
      <c r="G28" s="2641"/>
      <c r="H28" s="2639"/>
      <c r="I28" s="2640"/>
      <c r="J28" s="2641"/>
      <c r="K28" s="2639">
        <v>4</v>
      </c>
      <c r="L28" s="2640"/>
      <c r="M28" s="2634">
        <f t="shared" si="14"/>
        <v>4</v>
      </c>
      <c r="N28" s="2639"/>
      <c r="O28" s="2640"/>
      <c r="P28" s="2634"/>
      <c r="Q28" s="2639"/>
      <c r="R28" s="2640"/>
      <c r="S28" s="2634"/>
    </row>
    <row r="29" spans="3:19" ht="12.75" customHeight="1" x14ac:dyDescent="0.25">
      <c r="C29" s="6068" t="s">
        <v>517</v>
      </c>
      <c r="D29" s="2638" t="s">
        <v>653</v>
      </c>
      <c r="E29" s="2639"/>
      <c r="F29" s="2640"/>
      <c r="G29" s="2641"/>
      <c r="H29" s="2639"/>
      <c r="I29" s="2640"/>
      <c r="J29" s="2641"/>
      <c r="K29" s="2639"/>
      <c r="L29" s="2640">
        <v>2</v>
      </c>
      <c r="M29" s="2634">
        <f t="shared" si="14"/>
        <v>2</v>
      </c>
      <c r="N29" s="2639"/>
      <c r="O29" s="2640"/>
      <c r="P29" s="2634"/>
      <c r="Q29" s="2639"/>
      <c r="R29" s="2640"/>
      <c r="S29" s="2634"/>
    </row>
    <row r="30" spans="3:19" ht="28.8" x14ac:dyDescent="0.25">
      <c r="C30" s="6069"/>
      <c r="D30" s="2643" t="s">
        <v>654</v>
      </c>
      <c r="E30" s="2639"/>
      <c r="F30" s="2640"/>
      <c r="G30" s="2641"/>
      <c r="H30" s="2639"/>
      <c r="I30" s="2640"/>
      <c r="J30" s="2641"/>
      <c r="K30" s="2639"/>
      <c r="L30" s="2640">
        <v>1</v>
      </c>
      <c r="M30" s="2634">
        <f t="shared" si="14"/>
        <v>1</v>
      </c>
      <c r="N30" s="2639"/>
      <c r="O30" s="2640"/>
      <c r="P30" s="2634"/>
      <c r="Q30" s="2639"/>
      <c r="R30" s="2640"/>
      <c r="S30" s="2634"/>
    </row>
    <row r="31" spans="3:19" ht="12.75" customHeight="1" x14ac:dyDescent="0.25">
      <c r="C31" s="6069"/>
      <c r="D31" s="2643" t="s">
        <v>655</v>
      </c>
      <c r="E31" s="2639"/>
      <c r="F31" s="2640"/>
      <c r="G31" s="2641"/>
      <c r="H31" s="2639"/>
      <c r="I31" s="2640"/>
      <c r="J31" s="2641"/>
      <c r="K31" s="2639">
        <v>1</v>
      </c>
      <c r="L31" s="2640">
        <v>3</v>
      </c>
      <c r="M31" s="2634">
        <f t="shared" si="14"/>
        <v>4</v>
      </c>
      <c r="N31" s="2639"/>
      <c r="O31" s="2640"/>
      <c r="P31" s="2634"/>
      <c r="Q31" s="2639"/>
      <c r="R31" s="2640"/>
      <c r="S31" s="2634"/>
    </row>
    <row r="32" spans="3:19" ht="12.75" customHeight="1" x14ac:dyDescent="0.25">
      <c r="C32" s="6069"/>
      <c r="D32" s="2643" t="s">
        <v>656</v>
      </c>
      <c r="E32" s="2639"/>
      <c r="F32" s="2640"/>
      <c r="G32" s="2641"/>
      <c r="H32" s="2639"/>
      <c r="I32" s="2640"/>
      <c r="J32" s="2641"/>
      <c r="K32" s="2639">
        <v>1</v>
      </c>
      <c r="L32" s="2640"/>
      <c r="M32" s="2634">
        <f t="shared" si="14"/>
        <v>1</v>
      </c>
      <c r="N32" s="2639"/>
      <c r="O32" s="2640"/>
      <c r="P32" s="2634"/>
      <c r="Q32" s="2639"/>
      <c r="R32" s="2640"/>
      <c r="S32" s="2634"/>
    </row>
    <row r="33" spans="3:19 16376:16376" ht="14.4" x14ac:dyDescent="0.25">
      <c r="C33" s="6069"/>
      <c r="D33" s="2642" t="s">
        <v>652</v>
      </c>
      <c r="E33" s="2632">
        <v>1</v>
      </c>
      <c r="F33" s="2633">
        <v>1</v>
      </c>
      <c r="G33" s="2634">
        <f>SUM(E33:F33)</f>
        <v>2</v>
      </c>
      <c r="H33" s="2632">
        <v>1</v>
      </c>
      <c r="I33" s="2633"/>
      <c r="J33" s="2634">
        <f>SUM(H33:I33)</f>
        <v>1</v>
      </c>
      <c r="K33" s="2632">
        <v>1</v>
      </c>
      <c r="L33" s="2633">
        <v>1</v>
      </c>
      <c r="M33" s="2634">
        <f t="shared" si="14"/>
        <v>2</v>
      </c>
      <c r="N33" s="4673"/>
      <c r="O33" s="2633"/>
      <c r="P33" s="2634"/>
      <c r="Q33" s="5298"/>
      <c r="R33" s="2633"/>
      <c r="S33" s="2634"/>
    </row>
    <row r="34" spans="3:19 16376:16376" ht="13.5" customHeight="1" x14ac:dyDescent="0.25">
      <c r="C34" s="6068" t="s">
        <v>518</v>
      </c>
      <c r="D34" s="2643" t="s">
        <v>655</v>
      </c>
      <c r="E34" s="2632"/>
      <c r="F34" s="2633"/>
      <c r="G34" s="2634"/>
      <c r="H34" s="2632"/>
      <c r="I34" s="2633">
        <v>1</v>
      </c>
      <c r="J34" s="2634">
        <f>SUM(H34:I34)</f>
        <v>1</v>
      </c>
      <c r="K34" s="2632"/>
      <c r="L34" s="2633">
        <v>3</v>
      </c>
      <c r="M34" s="2634">
        <f t="shared" si="14"/>
        <v>3</v>
      </c>
      <c r="N34" s="4673"/>
      <c r="O34" s="2633">
        <v>1</v>
      </c>
      <c r="P34" s="2634">
        <f t="shared" ref="P34" si="15">SUM(N34:O34)</f>
        <v>1</v>
      </c>
      <c r="Q34" s="5298"/>
      <c r="R34" s="2633"/>
      <c r="S34" s="2634"/>
    </row>
    <row r="35" spans="3:19 16376:16376" ht="13.5" customHeight="1" x14ac:dyDescent="0.25">
      <c r="C35" s="6069"/>
      <c r="D35" s="2643" t="s">
        <v>657</v>
      </c>
      <c r="E35" s="2632"/>
      <c r="F35" s="2633"/>
      <c r="G35" s="2634"/>
      <c r="H35" s="2632"/>
      <c r="I35" s="2633"/>
      <c r="J35" s="2634"/>
      <c r="K35" s="2632"/>
      <c r="L35" s="2633">
        <v>1</v>
      </c>
      <c r="M35" s="2634">
        <f t="shared" si="14"/>
        <v>1</v>
      </c>
      <c r="N35" s="4673"/>
      <c r="O35" s="2633"/>
      <c r="P35" s="2634"/>
      <c r="Q35" s="5298"/>
      <c r="R35" s="2633"/>
      <c r="S35" s="2634"/>
    </row>
    <row r="36" spans="3:19 16376:16376" ht="28.8" x14ac:dyDescent="0.25">
      <c r="C36" s="6069"/>
      <c r="D36" s="2643" t="s">
        <v>658</v>
      </c>
      <c r="E36" s="2632"/>
      <c r="F36" s="2633"/>
      <c r="G36" s="2634"/>
      <c r="H36" s="2632"/>
      <c r="I36" s="2633">
        <v>1</v>
      </c>
      <c r="J36" s="2634">
        <f>SUM(H36:I36)</f>
        <v>1</v>
      </c>
      <c r="K36" s="2632"/>
      <c r="L36" s="2633"/>
      <c r="M36" s="2634">
        <f t="shared" si="14"/>
        <v>0</v>
      </c>
      <c r="N36" s="4673"/>
      <c r="O36" s="2633"/>
      <c r="P36" s="2634"/>
      <c r="Q36" s="5298"/>
      <c r="R36" s="2633"/>
      <c r="S36" s="2634"/>
    </row>
    <row r="37" spans="3:19 16376:16376" ht="14.4" x14ac:dyDescent="0.25">
      <c r="C37" s="6070"/>
      <c r="D37" s="2631" t="s">
        <v>659</v>
      </c>
      <c r="E37" s="2632"/>
      <c r="F37" s="2633">
        <v>1</v>
      </c>
      <c r="G37" s="2634">
        <f>SUM(E37:F37)</f>
        <v>1</v>
      </c>
      <c r="H37" s="2632"/>
      <c r="I37" s="2633"/>
      <c r="J37" s="2634">
        <f>SUM(H37:I37)</f>
        <v>0</v>
      </c>
      <c r="K37" s="2632"/>
      <c r="L37" s="2633"/>
      <c r="M37" s="2634">
        <f t="shared" si="14"/>
        <v>0</v>
      </c>
      <c r="N37" s="4673"/>
      <c r="O37" s="2633"/>
      <c r="P37" s="2634"/>
      <c r="Q37" s="5298"/>
      <c r="R37" s="2633"/>
      <c r="S37" s="2634"/>
    </row>
    <row r="38" spans="3:19 16376:16376" ht="12.75" customHeight="1" x14ac:dyDescent="0.25">
      <c r="C38" s="2635"/>
      <c r="D38" s="2636" t="s">
        <v>68</v>
      </c>
      <c r="E38" s="2635">
        <f t="shared" ref="E38:J38" si="16">SUM(E33:E37)</f>
        <v>1</v>
      </c>
      <c r="F38" s="2637">
        <f t="shared" si="16"/>
        <v>2</v>
      </c>
      <c r="G38" s="2636">
        <f t="shared" si="16"/>
        <v>3</v>
      </c>
      <c r="H38" s="2635">
        <f t="shared" si="16"/>
        <v>1</v>
      </c>
      <c r="I38" s="2637">
        <f t="shared" si="16"/>
        <v>2</v>
      </c>
      <c r="J38" s="2636">
        <f t="shared" si="16"/>
        <v>3</v>
      </c>
      <c r="K38" s="2635">
        <f>SUM(K27:K37)</f>
        <v>7</v>
      </c>
      <c r="L38" s="2637">
        <f>SUM(L27:L37)</f>
        <v>13</v>
      </c>
      <c r="M38" s="2636">
        <f>SUM(M27:M37)</f>
        <v>20</v>
      </c>
      <c r="N38" s="2635">
        <f>SUM(N27:N37)</f>
        <v>0</v>
      </c>
      <c r="O38" s="2637">
        <f>SUM(O27:O37)</f>
        <v>1</v>
      </c>
      <c r="P38" s="2636">
        <f>SUM(P27:P37)</f>
        <v>1</v>
      </c>
      <c r="Q38" s="2635">
        <f>SUM(Q27:Q37)</f>
        <v>0</v>
      </c>
      <c r="R38" s="2637">
        <f>SUM(R27:R37)</f>
        <v>0</v>
      </c>
      <c r="S38" s="2636">
        <f>SUM(S27:S37)</f>
        <v>0</v>
      </c>
    </row>
    <row r="39" spans="3:19 16376:16376" ht="12.75" customHeight="1" x14ac:dyDescent="0.25">
      <c r="C39" s="2644"/>
      <c r="D39" s="2645" t="s">
        <v>347</v>
      </c>
      <c r="E39" s="2646">
        <f>SUM(E38,E26,E11)</f>
        <v>5</v>
      </c>
      <c r="F39" s="2647">
        <f>SUM(F38,F26,F11)</f>
        <v>8</v>
      </c>
      <c r="G39" s="2645">
        <f>SUM(G11,G26,G38)</f>
        <v>13</v>
      </c>
      <c r="H39" s="2646">
        <f>SUM(H38,H26,H11)</f>
        <v>12</v>
      </c>
      <c r="I39" s="2647">
        <f>SUM(I38,I26,I11)</f>
        <v>12</v>
      </c>
      <c r="J39" s="2645">
        <f>SUM(J11,J26,J38)</f>
        <v>24</v>
      </c>
      <c r="K39" s="2646">
        <f>SUM(K38,K26,K11)</f>
        <v>35</v>
      </c>
      <c r="L39" s="2647">
        <f>SUM(L38,L26,L11)</f>
        <v>37</v>
      </c>
      <c r="M39" s="2645">
        <f>SUM(M11,M26,M38)</f>
        <v>72</v>
      </c>
      <c r="N39" s="2646">
        <f>SUM(N38,N26,N11)</f>
        <v>14</v>
      </c>
      <c r="O39" s="2647">
        <f>SUM(O38,O26,O11)</f>
        <v>21</v>
      </c>
      <c r="P39" s="2645">
        <f>SUM(P11,P26,P38)</f>
        <v>35</v>
      </c>
      <c r="Q39" s="2646">
        <f>SUM(Q38,Q26,Q11)</f>
        <v>4</v>
      </c>
      <c r="R39" s="2647">
        <f>SUM(R38,R26,R11)</f>
        <v>3</v>
      </c>
      <c r="S39" s="2645">
        <f>SUM(S11,S26,S38)</f>
        <v>7</v>
      </c>
    </row>
    <row r="40" spans="3:19 16376:16376" ht="12.75" customHeight="1" x14ac:dyDescent="0.25">
      <c r="C40" s="2632" t="s">
        <v>517</v>
      </c>
      <c r="D40" s="2631" t="s">
        <v>348</v>
      </c>
      <c r="E40" s="2632"/>
      <c r="F40" s="2633"/>
      <c r="G40" s="2634"/>
      <c r="H40" s="2632">
        <v>1</v>
      </c>
      <c r="I40" s="2633">
        <v>3</v>
      </c>
      <c r="J40" s="2634">
        <f>SUM(H40:I40)</f>
        <v>4</v>
      </c>
      <c r="K40" s="2632">
        <v>6</v>
      </c>
      <c r="L40" s="2633">
        <v>1</v>
      </c>
      <c r="M40" s="2634">
        <f>SUM(K40:L40)</f>
        <v>7</v>
      </c>
      <c r="N40" s="4673">
        <v>1</v>
      </c>
      <c r="O40" s="2633">
        <v>3</v>
      </c>
      <c r="P40" s="2634">
        <f>SUM(N40:O40)</f>
        <v>4</v>
      </c>
      <c r="Q40" s="5298">
        <v>1</v>
      </c>
      <c r="R40" s="2633"/>
      <c r="S40" s="2634">
        <f>SUM(Q40:R40)</f>
        <v>1</v>
      </c>
    </row>
    <row r="41" spans="3:19 16376:16376" ht="12.75" customHeight="1" x14ac:dyDescent="0.25">
      <c r="C41" s="2632" t="s">
        <v>518</v>
      </c>
      <c r="D41" s="2631" t="s">
        <v>349</v>
      </c>
      <c r="E41" s="2632"/>
      <c r="F41" s="2633"/>
      <c r="G41" s="2634"/>
      <c r="H41" s="2632">
        <v>1</v>
      </c>
      <c r="I41" s="2633">
        <v>1</v>
      </c>
      <c r="J41" s="2634">
        <f>SUM(H41:I41)</f>
        <v>2</v>
      </c>
      <c r="K41" s="2632">
        <v>2</v>
      </c>
      <c r="L41" s="2633">
        <v>4</v>
      </c>
      <c r="M41" s="2634">
        <f>SUM(K41:L41)</f>
        <v>6</v>
      </c>
      <c r="N41" s="4673"/>
      <c r="O41" s="2633">
        <v>4</v>
      </c>
      <c r="P41" s="2634">
        <f>SUM(N41:O41)</f>
        <v>4</v>
      </c>
      <c r="Q41" s="5298">
        <v>1</v>
      </c>
      <c r="R41" s="2633"/>
      <c r="S41" s="2634">
        <f>SUM(Q41:R41)</f>
        <v>1</v>
      </c>
    </row>
    <row r="42" spans="3:19 16376:16376" ht="12.75" customHeight="1" x14ac:dyDescent="0.25">
      <c r="C42" s="2635"/>
      <c r="D42" s="2636" t="s">
        <v>64</v>
      </c>
      <c r="E42" s="2635"/>
      <c r="F42" s="2637"/>
      <c r="G42" s="2636"/>
      <c r="H42" s="2635">
        <f t="shared" ref="H42:M42" si="17">SUM(H40:H41)</f>
        <v>2</v>
      </c>
      <c r="I42" s="2637">
        <f t="shared" si="17"/>
        <v>4</v>
      </c>
      <c r="J42" s="2636">
        <f t="shared" si="17"/>
        <v>6</v>
      </c>
      <c r="K42" s="2635">
        <f t="shared" si="17"/>
        <v>8</v>
      </c>
      <c r="L42" s="2637">
        <f t="shared" si="17"/>
        <v>5</v>
      </c>
      <c r="M42" s="2636">
        <f t="shared" si="17"/>
        <v>13</v>
      </c>
      <c r="N42" s="2635">
        <f t="shared" ref="N42:P42" si="18">SUM(N40:N41)</f>
        <v>1</v>
      </c>
      <c r="O42" s="2637">
        <f t="shared" si="18"/>
        <v>7</v>
      </c>
      <c r="P42" s="2636">
        <f t="shared" si="18"/>
        <v>8</v>
      </c>
      <c r="Q42" s="2635">
        <f t="shared" ref="Q42:S42" si="19">SUM(Q40:Q41)</f>
        <v>2</v>
      </c>
      <c r="R42" s="2637">
        <f t="shared" si="19"/>
        <v>0</v>
      </c>
      <c r="S42" s="2636">
        <f t="shared" si="19"/>
        <v>2</v>
      </c>
    </row>
    <row r="43" spans="3:19 16376:16376" ht="12.75" customHeight="1" x14ac:dyDescent="0.25">
      <c r="C43" s="2648" t="s">
        <v>517</v>
      </c>
      <c r="D43" s="2649" t="s">
        <v>350</v>
      </c>
      <c r="E43" s="2648">
        <v>1</v>
      </c>
      <c r="F43" s="2629">
        <v>2</v>
      </c>
      <c r="G43" s="2630">
        <f>SUM(E43:F43)</f>
        <v>3</v>
      </c>
      <c r="H43" s="2648">
        <v>3</v>
      </c>
      <c r="I43" s="2629">
        <v>1</v>
      </c>
      <c r="J43" s="2630">
        <f>SUM(H43:I43)</f>
        <v>4</v>
      </c>
      <c r="K43" s="2648">
        <v>2</v>
      </c>
      <c r="L43" s="2629"/>
      <c r="M43" s="2630">
        <f>SUM(K43:L43)</f>
        <v>2</v>
      </c>
      <c r="N43" s="4672"/>
      <c r="O43" s="2629"/>
      <c r="P43" s="2630"/>
      <c r="Q43" s="5297"/>
      <c r="R43" s="2629"/>
      <c r="S43" s="2630"/>
      <c r="XEV43">
        <f>SUM(G45)</f>
        <v>2</v>
      </c>
    </row>
    <row r="44" spans="3:19 16376:16376" ht="12.75" customHeight="1" x14ac:dyDescent="0.25">
      <c r="C44" s="2635"/>
      <c r="D44" s="2636" t="s">
        <v>111</v>
      </c>
      <c r="E44" s="2635">
        <f>SUM(E43)</f>
        <v>1</v>
      </c>
      <c r="F44" s="2637">
        <f>SUM(F43)</f>
        <v>2</v>
      </c>
      <c r="G44" s="2636">
        <f>SUM(G43)</f>
        <v>3</v>
      </c>
      <c r="H44" s="2635">
        <f>SUM(H43)</f>
        <v>3</v>
      </c>
      <c r="I44" s="2637">
        <f>SUM(I43)</f>
        <v>1</v>
      </c>
      <c r="J44" s="2636">
        <f>SUM(J43)</f>
        <v>4</v>
      </c>
      <c r="K44" s="2635">
        <f>SUM(K43)</f>
        <v>2</v>
      </c>
      <c r="L44" s="2637">
        <f>SUM(L43)</f>
        <v>0</v>
      </c>
      <c r="M44" s="2636">
        <f>SUM(M43)</f>
        <v>2</v>
      </c>
      <c r="N44" s="2635">
        <f>SUM(N43)</f>
        <v>0</v>
      </c>
      <c r="O44" s="2637">
        <f>SUM(O43)</f>
        <v>0</v>
      </c>
      <c r="P44" s="2636">
        <f>SUM(P43)</f>
        <v>0</v>
      </c>
      <c r="Q44" s="2635">
        <f>SUM(Q43)</f>
        <v>0</v>
      </c>
      <c r="R44" s="2637">
        <f>SUM(R43)</f>
        <v>0</v>
      </c>
      <c r="S44" s="2636">
        <f>SUM(S43)</f>
        <v>0</v>
      </c>
    </row>
    <row r="45" spans="3:19 16376:16376" ht="12.75" customHeight="1" x14ac:dyDescent="0.25">
      <c r="C45" s="2632" t="s">
        <v>517</v>
      </c>
      <c r="D45" s="2631" t="s">
        <v>352</v>
      </c>
      <c r="E45" s="2632"/>
      <c r="F45" s="2633">
        <v>2</v>
      </c>
      <c r="G45" s="2634">
        <f>SUM(E45:F45)</f>
        <v>2</v>
      </c>
      <c r="H45" s="2632"/>
      <c r="I45" s="2633">
        <v>1</v>
      </c>
      <c r="J45" s="2634">
        <f>SUM(H45:I45)</f>
        <v>1</v>
      </c>
      <c r="K45" s="2632"/>
      <c r="L45" s="2633"/>
      <c r="M45" s="2634">
        <f>SUM(K45:L45)</f>
        <v>0</v>
      </c>
      <c r="N45" s="4673">
        <v>1</v>
      </c>
      <c r="O45" s="2633"/>
      <c r="P45" s="2634">
        <f>SUM(N45:O45)</f>
        <v>1</v>
      </c>
      <c r="Q45" s="5298"/>
      <c r="R45" s="2633"/>
      <c r="S45" s="2634"/>
    </row>
    <row r="46" spans="3:19 16376:16376" ht="14.4" x14ac:dyDescent="0.25">
      <c r="C46" s="2632" t="s">
        <v>518</v>
      </c>
      <c r="D46" s="2631" t="s">
        <v>353</v>
      </c>
      <c r="E46" s="2632"/>
      <c r="F46" s="2633">
        <v>1</v>
      </c>
      <c r="G46" s="2634">
        <f>SUM(E46:F46)</f>
        <v>1</v>
      </c>
      <c r="H46" s="2632"/>
      <c r="I46" s="2633">
        <v>1</v>
      </c>
      <c r="J46" s="2634">
        <f>SUM(H46:I46)</f>
        <v>1</v>
      </c>
      <c r="K46" s="2632"/>
      <c r="L46" s="2633">
        <v>2</v>
      </c>
      <c r="M46" s="2634">
        <f>SUM(K46:L46)</f>
        <v>2</v>
      </c>
      <c r="N46" s="4673"/>
      <c r="O46" s="2633"/>
      <c r="P46" s="2634"/>
      <c r="Q46" s="5298"/>
      <c r="R46" s="2633"/>
      <c r="S46" s="2634"/>
    </row>
    <row r="47" spans="3:19 16376:16376" ht="12.75" customHeight="1" x14ac:dyDescent="0.25">
      <c r="C47" s="2635"/>
      <c r="D47" s="2636" t="s">
        <v>115</v>
      </c>
      <c r="E47" s="2635">
        <f>SUM(E45:E46)</f>
        <v>0</v>
      </c>
      <c r="F47" s="2637">
        <f>SUM(F45:F46)</f>
        <v>3</v>
      </c>
      <c r="G47" s="2636">
        <f>SUM(G45:G46)</f>
        <v>3</v>
      </c>
      <c r="H47" s="2635">
        <f>SUM(H45:H46)</f>
        <v>0</v>
      </c>
      <c r="I47" s="2637">
        <f>SUM(I45:I46)</f>
        <v>2</v>
      </c>
      <c r="J47" s="2636">
        <f>SUM(J45:J46)</f>
        <v>2</v>
      </c>
      <c r="K47" s="2635">
        <f>SUM(K45:K46)</f>
        <v>0</v>
      </c>
      <c r="L47" s="2637">
        <f>SUM(L45:L46)</f>
        <v>2</v>
      </c>
      <c r="M47" s="2636">
        <f>SUM(M45:M46)</f>
        <v>2</v>
      </c>
      <c r="N47" s="2635">
        <f>SUM(N45:N46)</f>
        <v>1</v>
      </c>
      <c r="O47" s="2637">
        <f>SUM(O45:O46)</f>
        <v>0</v>
      </c>
      <c r="P47" s="2636">
        <f>SUM(P45:P46)</f>
        <v>1</v>
      </c>
      <c r="Q47" s="2635">
        <f>SUM(Q45:Q46)</f>
        <v>0</v>
      </c>
      <c r="R47" s="2637">
        <f>SUM(R45:R46)</f>
        <v>0</v>
      </c>
      <c r="S47" s="2636">
        <f>SUM(S45:S46)</f>
        <v>0</v>
      </c>
    </row>
    <row r="48" spans="3:19 16376:16376" ht="12.75" customHeight="1" x14ac:dyDescent="0.25">
      <c r="C48" s="2650"/>
      <c r="D48" s="2651" t="s">
        <v>355</v>
      </c>
      <c r="E48" s="2652">
        <f>SUM(E47,E44)</f>
        <v>1</v>
      </c>
      <c r="F48" s="2653">
        <f>SUM(F47,F44)</f>
        <v>5</v>
      </c>
      <c r="G48" s="2651">
        <f>SUM(G47,G44)</f>
        <v>6</v>
      </c>
      <c r="H48" s="2652">
        <f t="shared" ref="H48:M48" si="20">SUM(H47,H44,H42)</f>
        <v>5</v>
      </c>
      <c r="I48" s="2653">
        <f t="shared" si="20"/>
        <v>7</v>
      </c>
      <c r="J48" s="2651">
        <f t="shared" si="20"/>
        <v>12</v>
      </c>
      <c r="K48" s="2652">
        <f t="shared" si="20"/>
        <v>10</v>
      </c>
      <c r="L48" s="2653">
        <f t="shared" si="20"/>
        <v>7</v>
      </c>
      <c r="M48" s="2651">
        <f t="shared" si="20"/>
        <v>17</v>
      </c>
      <c r="N48" s="2652">
        <f t="shared" ref="N48:P48" si="21">SUM(N47,N44,N42)</f>
        <v>2</v>
      </c>
      <c r="O48" s="2653">
        <f t="shared" si="21"/>
        <v>7</v>
      </c>
      <c r="P48" s="2651">
        <f t="shared" si="21"/>
        <v>9</v>
      </c>
      <c r="Q48" s="2652">
        <f t="shared" ref="Q48:S48" si="22">SUM(Q47,Q44,Q42)</f>
        <v>2</v>
      </c>
      <c r="R48" s="2653">
        <f t="shared" si="22"/>
        <v>0</v>
      </c>
      <c r="S48" s="2651">
        <f t="shared" si="22"/>
        <v>2</v>
      </c>
    </row>
    <row r="49" spans="3:19" ht="12.75" customHeight="1" x14ac:dyDescent="0.25">
      <c r="C49" s="6085" t="s">
        <v>517</v>
      </c>
      <c r="D49" s="2649" t="s">
        <v>500</v>
      </c>
      <c r="E49" s="2648">
        <v>1</v>
      </c>
      <c r="F49" s="2629">
        <v>2</v>
      </c>
      <c r="G49" s="2630">
        <f t="shared" ref="G49:G84" si="23">SUM(E49:F49)</f>
        <v>3</v>
      </c>
      <c r="H49" s="2648">
        <v>1</v>
      </c>
      <c r="I49" s="2629">
        <v>3</v>
      </c>
      <c r="J49" s="2630">
        <f t="shared" ref="J49:J61" si="24">SUM(H49:I49)</f>
        <v>4</v>
      </c>
      <c r="K49" s="2648">
        <v>3</v>
      </c>
      <c r="L49" s="2629">
        <v>3</v>
      </c>
      <c r="M49" s="2630">
        <f t="shared" ref="M49:M63" si="25">SUM(K49:L49)</f>
        <v>6</v>
      </c>
      <c r="N49" s="4672">
        <v>1</v>
      </c>
      <c r="O49" s="2629">
        <v>7</v>
      </c>
      <c r="P49" s="2630">
        <f t="shared" ref="P49:P63" si="26">SUM(N49:O49)</f>
        <v>8</v>
      </c>
      <c r="Q49" s="5297"/>
      <c r="R49" s="2629"/>
      <c r="S49" s="2630"/>
    </row>
    <row r="50" spans="3:19" ht="12.75" customHeight="1" x14ac:dyDescent="0.25">
      <c r="C50" s="6085"/>
      <c r="D50" s="2649" t="s">
        <v>504</v>
      </c>
      <c r="E50" s="2648"/>
      <c r="F50" s="2629"/>
      <c r="G50" s="2630"/>
      <c r="H50" s="2648">
        <v>1</v>
      </c>
      <c r="I50" s="2629"/>
      <c r="J50" s="2634">
        <f t="shared" si="24"/>
        <v>1</v>
      </c>
      <c r="K50" s="2648"/>
      <c r="L50" s="2629">
        <v>4</v>
      </c>
      <c r="M50" s="2634">
        <f t="shared" si="25"/>
        <v>4</v>
      </c>
      <c r="N50" s="4672">
        <v>2</v>
      </c>
      <c r="O50" s="2629">
        <v>3</v>
      </c>
      <c r="P50" s="2634">
        <f t="shared" si="26"/>
        <v>5</v>
      </c>
      <c r="Q50" s="5297"/>
      <c r="R50" s="2629"/>
      <c r="S50" s="2634"/>
    </row>
    <row r="51" spans="3:19" ht="12.75" customHeight="1" x14ac:dyDescent="0.25">
      <c r="C51" s="6085"/>
      <c r="D51" s="2631" t="s">
        <v>503</v>
      </c>
      <c r="E51" s="2648"/>
      <c r="F51" s="2629"/>
      <c r="G51" s="2630"/>
      <c r="H51" s="2648">
        <v>4</v>
      </c>
      <c r="I51" s="2629">
        <v>1</v>
      </c>
      <c r="J51" s="2634">
        <f t="shared" si="24"/>
        <v>5</v>
      </c>
      <c r="K51" s="2648">
        <v>2</v>
      </c>
      <c r="L51" s="2629">
        <v>2</v>
      </c>
      <c r="M51" s="2634">
        <f t="shared" si="25"/>
        <v>4</v>
      </c>
      <c r="N51" s="4672">
        <v>1</v>
      </c>
      <c r="O51" s="2629">
        <v>1</v>
      </c>
      <c r="P51" s="2634">
        <f t="shared" si="26"/>
        <v>2</v>
      </c>
      <c r="Q51" s="5297"/>
      <c r="R51" s="2629"/>
      <c r="S51" s="2634"/>
    </row>
    <row r="52" spans="3:19" ht="12.75" customHeight="1" x14ac:dyDescent="0.25">
      <c r="C52" s="6074"/>
      <c r="D52" s="2631" t="s">
        <v>502</v>
      </c>
      <c r="E52" s="2632"/>
      <c r="F52" s="2633">
        <v>1</v>
      </c>
      <c r="G52" s="2634">
        <f t="shared" si="23"/>
        <v>1</v>
      </c>
      <c r="H52" s="2632"/>
      <c r="I52" s="2633"/>
      <c r="J52" s="2634">
        <f t="shared" si="24"/>
        <v>0</v>
      </c>
      <c r="K52" s="2632"/>
      <c r="L52" s="2633">
        <v>1</v>
      </c>
      <c r="M52" s="2634">
        <f t="shared" si="25"/>
        <v>1</v>
      </c>
      <c r="N52" s="4673"/>
      <c r="O52" s="2633"/>
      <c r="P52" s="2634"/>
      <c r="Q52" s="5298"/>
      <c r="R52" s="2633"/>
      <c r="S52" s="2634"/>
    </row>
    <row r="53" spans="3:19" ht="12.75" customHeight="1" x14ac:dyDescent="0.25">
      <c r="C53" s="6074"/>
      <c r="D53" s="2631" t="s">
        <v>660</v>
      </c>
      <c r="E53" s="2632">
        <v>1</v>
      </c>
      <c r="F53" s="2633"/>
      <c r="G53" s="2634">
        <f t="shared" si="23"/>
        <v>1</v>
      </c>
      <c r="H53" s="2632"/>
      <c r="I53" s="2633">
        <v>1</v>
      </c>
      <c r="J53" s="2634">
        <f t="shared" si="24"/>
        <v>1</v>
      </c>
      <c r="K53" s="2632">
        <v>6</v>
      </c>
      <c r="L53" s="2633">
        <v>2</v>
      </c>
      <c r="M53" s="2634">
        <f t="shared" si="25"/>
        <v>8</v>
      </c>
      <c r="N53" s="4673"/>
      <c r="O53" s="2633">
        <v>1</v>
      </c>
      <c r="P53" s="2634">
        <f t="shared" si="26"/>
        <v>1</v>
      </c>
      <c r="Q53" s="5298"/>
      <c r="R53" s="2633"/>
      <c r="S53" s="2634"/>
    </row>
    <row r="54" spans="3:19" ht="12.75" customHeight="1" x14ac:dyDescent="0.25">
      <c r="C54" s="6074"/>
      <c r="D54" s="2631" t="s">
        <v>501</v>
      </c>
      <c r="E54" s="2632">
        <v>1</v>
      </c>
      <c r="F54" s="2633">
        <v>1</v>
      </c>
      <c r="G54" s="2634">
        <f t="shared" si="23"/>
        <v>2</v>
      </c>
      <c r="H54" s="2632"/>
      <c r="I54" s="2633">
        <v>1</v>
      </c>
      <c r="J54" s="2634">
        <f t="shared" si="24"/>
        <v>1</v>
      </c>
      <c r="K54" s="2632">
        <v>2</v>
      </c>
      <c r="L54" s="2633">
        <v>2</v>
      </c>
      <c r="M54" s="2634">
        <f t="shared" si="25"/>
        <v>4</v>
      </c>
      <c r="N54" s="4673">
        <v>3</v>
      </c>
      <c r="O54" s="2633">
        <v>2</v>
      </c>
      <c r="P54" s="2634">
        <f t="shared" si="26"/>
        <v>5</v>
      </c>
      <c r="Q54" s="5298"/>
      <c r="R54" s="2633"/>
      <c r="S54" s="2634"/>
    </row>
    <row r="55" spans="3:19" ht="12.75" customHeight="1" x14ac:dyDescent="0.25">
      <c r="C55" s="6074"/>
      <c r="D55" s="2631" t="s">
        <v>444</v>
      </c>
      <c r="E55" s="2632"/>
      <c r="F55" s="2633"/>
      <c r="G55" s="2634"/>
      <c r="H55" s="2632">
        <v>7</v>
      </c>
      <c r="I55" s="2633">
        <v>6</v>
      </c>
      <c r="J55" s="2634">
        <f t="shared" si="24"/>
        <v>13</v>
      </c>
      <c r="K55" s="2632">
        <v>3</v>
      </c>
      <c r="L55" s="2633"/>
      <c r="M55" s="2634">
        <f t="shared" si="25"/>
        <v>3</v>
      </c>
      <c r="N55" s="4673">
        <v>4</v>
      </c>
      <c r="O55" s="2633">
        <v>5</v>
      </c>
      <c r="P55" s="2634">
        <f t="shared" si="26"/>
        <v>9</v>
      </c>
      <c r="Q55" s="5298"/>
      <c r="R55" s="2633"/>
      <c r="S55" s="2634"/>
    </row>
    <row r="56" spans="3:19" ht="12.75" customHeight="1" x14ac:dyDescent="0.25">
      <c r="C56" s="6074"/>
      <c r="D56" s="2631" t="s">
        <v>661</v>
      </c>
      <c r="E56" s="2632"/>
      <c r="F56" s="2633">
        <v>1</v>
      </c>
      <c r="G56" s="2634">
        <f t="shared" si="23"/>
        <v>1</v>
      </c>
      <c r="H56" s="2632"/>
      <c r="I56" s="2633">
        <v>1</v>
      </c>
      <c r="J56" s="2634">
        <f t="shared" si="24"/>
        <v>1</v>
      </c>
      <c r="K56" s="2632"/>
      <c r="L56" s="2633">
        <v>2</v>
      </c>
      <c r="M56" s="2634">
        <f t="shared" si="25"/>
        <v>2</v>
      </c>
      <c r="N56" s="4673"/>
      <c r="O56" s="2633">
        <v>2</v>
      </c>
      <c r="P56" s="2634">
        <f t="shared" si="26"/>
        <v>2</v>
      </c>
      <c r="Q56" s="5298"/>
      <c r="R56" s="2633"/>
      <c r="S56" s="2634"/>
    </row>
    <row r="57" spans="3:19" ht="12.75" customHeight="1" x14ac:dyDescent="0.25">
      <c r="C57" s="6075" t="s">
        <v>518</v>
      </c>
      <c r="D57" s="2649" t="s">
        <v>692</v>
      </c>
      <c r="E57" s="4673"/>
      <c r="F57" s="2633"/>
      <c r="G57" s="2634"/>
      <c r="H57" s="4673"/>
      <c r="I57" s="2633"/>
      <c r="J57" s="2634"/>
      <c r="K57" s="4673"/>
      <c r="L57" s="2633"/>
      <c r="M57" s="2634"/>
      <c r="N57" s="4673"/>
      <c r="O57" s="2633">
        <v>1</v>
      </c>
      <c r="P57" s="2634">
        <f t="shared" si="26"/>
        <v>1</v>
      </c>
      <c r="Q57" s="5298"/>
      <c r="R57" s="2633"/>
      <c r="S57" s="2634"/>
    </row>
    <row r="58" spans="3:19" ht="12.75" customHeight="1" x14ac:dyDescent="0.25">
      <c r="C58" s="6076"/>
      <c r="D58" s="2631" t="s">
        <v>662</v>
      </c>
      <c r="E58" s="2632"/>
      <c r="F58" s="2633"/>
      <c r="G58" s="2634"/>
      <c r="H58" s="2632"/>
      <c r="I58" s="2633"/>
      <c r="J58" s="2634"/>
      <c r="K58" s="2632">
        <v>1</v>
      </c>
      <c r="L58" s="2633"/>
      <c r="M58" s="2634">
        <f t="shared" si="25"/>
        <v>1</v>
      </c>
      <c r="N58" s="4673">
        <v>1</v>
      </c>
      <c r="O58" s="2633"/>
      <c r="P58" s="2634">
        <f t="shared" si="26"/>
        <v>1</v>
      </c>
      <c r="Q58" s="5298"/>
      <c r="R58" s="2633"/>
      <c r="S58" s="2634"/>
    </row>
    <row r="59" spans="3:19" ht="12.75" customHeight="1" x14ac:dyDescent="0.25">
      <c r="C59" s="6076"/>
      <c r="D59" s="2631" t="s">
        <v>663</v>
      </c>
      <c r="E59" s="2632">
        <v>3</v>
      </c>
      <c r="F59" s="2633">
        <v>2</v>
      </c>
      <c r="G59" s="2634">
        <f t="shared" si="23"/>
        <v>5</v>
      </c>
      <c r="H59" s="2632"/>
      <c r="I59" s="2633">
        <v>1</v>
      </c>
      <c r="J59" s="2634">
        <f t="shared" si="24"/>
        <v>1</v>
      </c>
      <c r="K59" s="2632"/>
      <c r="L59" s="2633">
        <v>1</v>
      </c>
      <c r="M59" s="2634">
        <f t="shared" si="25"/>
        <v>1</v>
      </c>
      <c r="N59" s="4673"/>
      <c r="O59" s="2633"/>
      <c r="P59" s="2634"/>
      <c r="Q59" s="5298"/>
      <c r="R59" s="2633">
        <v>1</v>
      </c>
      <c r="S59" s="2634">
        <f t="shared" ref="S59" si="27">SUM(Q59:R59)</f>
        <v>1</v>
      </c>
    </row>
    <row r="60" spans="3:19" ht="12.75" customHeight="1" x14ac:dyDescent="0.25">
      <c r="C60" s="6076"/>
      <c r="D60" s="2631" t="s">
        <v>664</v>
      </c>
      <c r="E60" s="2632">
        <v>1</v>
      </c>
      <c r="F60" s="2633"/>
      <c r="G60" s="2634">
        <f t="shared" si="23"/>
        <v>1</v>
      </c>
      <c r="H60" s="2632"/>
      <c r="I60" s="2633"/>
      <c r="J60" s="2634">
        <f t="shared" si="24"/>
        <v>0</v>
      </c>
      <c r="K60" s="2632">
        <v>4</v>
      </c>
      <c r="L60" s="2633">
        <v>3</v>
      </c>
      <c r="M60" s="2634">
        <f t="shared" si="25"/>
        <v>7</v>
      </c>
      <c r="N60" s="4673"/>
      <c r="O60" s="2633">
        <v>1</v>
      </c>
      <c r="P60" s="2634">
        <f t="shared" si="26"/>
        <v>1</v>
      </c>
      <c r="Q60" s="5298">
        <v>1</v>
      </c>
      <c r="R60" s="2633"/>
      <c r="S60" s="2634">
        <f t="shared" ref="S60" si="28">SUM(Q60:R60)</f>
        <v>1</v>
      </c>
    </row>
    <row r="61" spans="3:19" ht="12.75" customHeight="1" x14ac:dyDescent="0.25">
      <c r="C61" s="6076"/>
      <c r="D61" s="2631" t="s">
        <v>665</v>
      </c>
      <c r="E61" s="2632"/>
      <c r="F61" s="2633"/>
      <c r="G61" s="2634"/>
      <c r="H61" s="2632">
        <v>1</v>
      </c>
      <c r="I61" s="2633">
        <v>2</v>
      </c>
      <c r="J61" s="2634">
        <f t="shared" si="24"/>
        <v>3</v>
      </c>
      <c r="K61" s="2632">
        <v>1</v>
      </c>
      <c r="L61" s="2633"/>
      <c r="M61" s="2634">
        <f t="shared" si="25"/>
        <v>1</v>
      </c>
      <c r="N61" s="4673"/>
      <c r="O61" s="2633"/>
      <c r="P61" s="2634"/>
      <c r="Q61" s="5298"/>
      <c r="R61" s="2633"/>
      <c r="S61" s="2634"/>
    </row>
    <row r="62" spans="3:19" ht="12.75" customHeight="1" x14ac:dyDescent="0.25">
      <c r="C62" s="6076"/>
      <c r="D62" s="2631" t="s">
        <v>367</v>
      </c>
      <c r="E62" s="4673"/>
      <c r="F62" s="2633"/>
      <c r="G62" s="2634"/>
      <c r="H62" s="4673"/>
      <c r="I62" s="2633"/>
      <c r="J62" s="2634"/>
      <c r="K62" s="4673"/>
      <c r="L62" s="2633"/>
      <c r="M62" s="2634"/>
      <c r="N62" s="4673">
        <v>1</v>
      </c>
      <c r="O62" s="2633">
        <v>1</v>
      </c>
      <c r="P62" s="2634">
        <f t="shared" si="26"/>
        <v>2</v>
      </c>
      <c r="Q62" s="5298"/>
      <c r="R62" s="2633"/>
      <c r="S62" s="2634"/>
    </row>
    <row r="63" spans="3:19" ht="12.75" customHeight="1" x14ac:dyDescent="0.25">
      <c r="C63" s="6077"/>
      <c r="D63" s="2631" t="s">
        <v>666</v>
      </c>
      <c r="E63" s="2632"/>
      <c r="F63" s="2633"/>
      <c r="G63" s="2634"/>
      <c r="H63" s="2632"/>
      <c r="I63" s="2633"/>
      <c r="J63" s="2634"/>
      <c r="K63" s="2632">
        <v>1</v>
      </c>
      <c r="L63" s="2633">
        <v>1</v>
      </c>
      <c r="M63" s="2634">
        <f t="shared" si="25"/>
        <v>2</v>
      </c>
      <c r="N63" s="4673">
        <v>2</v>
      </c>
      <c r="O63" s="2633">
        <v>1</v>
      </c>
      <c r="P63" s="2634">
        <f t="shared" si="26"/>
        <v>3</v>
      </c>
      <c r="Q63" s="5298"/>
      <c r="R63" s="2633"/>
      <c r="S63" s="2634"/>
    </row>
    <row r="64" spans="3:19" ht="12.75" customHeight="1" x14ac:dyDescent="0.25">
      <c r="C64" s="2635"/>
      <c r="D64" s="2636" t="s">
        <v>59</v>
      </c>
      <c r="E64" s="2635">
        <f>SUM(E49:E60)</f>
        <v>7</v>
      </c>
      <c r="F64" s="2637">
        <f>SUM(F49:F60)</f>
        <v>7</v>
      </c>
      <c r="G64" s="2636">
        <f>SUM(G49:G60)</f>
        <v>14</v>
      </c>
      <c r="H64" s="2635">
        <f>SUM(H49:H61)</f>
        <v>14</v>
      </c>
      <c r="I64" s="2637">
        <f>SUM(I49:I61)</f>
        <v>16</v>
      </c>
      <c r="J64" s="2636">
        <f>SUM(J49:J61)</f>
        <v>30</v>
      </c>
      <c r="K64" s="2635">
        <f t="shared" ref="K64:P64" si="29">SUM(K49:K63)</f>
        <v>23</v>
      </c>
      <c r="L64" s="2637">
        <f t="shared" si="29"/>
        <v>21</v>
      </c>
      <c r="M64" s="2636">
        <f t="shared" si="29"/>
        <v>44</v>
      </c>
      <c r="N64" s="2635">
        <f t="shared" si="29"/>
        <v>15</v>
      </c>
      <c r="O64" s="2637">
        <f t="shared" si="29"/>
        <v>25</v>
      </c>
      <c r="P64" s="2636">
        <f t="shared" si="29"/>
        <v>40</v>
      </c>
      <c r="Q64" s="2635">
        <f t="shared" ref="Q64:S64" si="30">SUM(Q49:Q63)</f>
        <v>1</v>
      </c>
      <c r="R64" s="2637">
        <f t="shared" si="30"/>
        <v>1</v>
      </c>
      <c r="S64" s="2636">
        <f t="shared" si="30"/>
        <v>2</v>
      </c>
    </row>
    <row r="65" spans="3:19" ht="12.75" customHeight="1" x14ac:dyDescent="0.25">
      <c r="C65" s="2632" t="s">
        <v>463</v>
      </c>
      <c r="D65" s="2631" t="s">
        <v>370</v>
      </c>
      <c r="E65" s="2632"/>
      <c r="F65" s="2633"/>
      <c r="G65" s="2634"/>
      <c r="H65" s="2632">
        <v>1</v>
      </c>
      <c r="I65" s="2633"/>
      <c r="J65" s="2634">
        <f t="shared" ref="J65:J75" si="31">SUM(H65:I65)</f>
        <v>1</v>
      </c>
      <c r="K65" s="2632"/>
      <c r="L65" s="2633"/>
      <c r="M65" s="2634">
        <f t="shared" ref="M65:M75" si="32">SUM(K65:L65)</f>
        <v>0</v>
      </c>
      <c r="N65" s="4673"/>
      <c r="O65" s="2633"/>
      <c r="P65" s="2634"/>
      <c r="Q65" s="5298"/>
      <c r="R65" s="2633"/>
      <c r="S65" s="2634"/>
    </row>
    <row r="66" spans="3:19" ht="12.75" customHeight="1" x14ac:dyDescent="0.25">
      <c r="C66" s="6068" t="s">
        <v>517</v>
      </c>
      <c r="D66" s="2631" t="s">
        <v>334</v>
      </c>
      <c r="E66" s="2632"/>
      <c r="F66" s="2633"/>
      <c r="G66" s="2634"/>
      <c r="H66" s="2632">
        <v>1</v>
      </c>
      <c r="I66" s="2633"/>
      <c r="J66" s="2634">
        <f t="shared" si="31"/>
        <v>1</v>
      </c>
      <c r="K66" s="2632"/>
      <c r="L66" s="2633">
        <v>1</v>
      </c>
      <c r="M66" s="2634">
        <f t="shared" si="32"/>
        <v>1</v>
      </c>
      <c r="N66" s="4673"/>
      <c r="O66" s="2633"/>
      <c r="P66" s="2634"/>
      <c r="Q66" s="5298"/>
      <c r="R66" s="2633"/>
      <c r="S66" s="2634"/>
    </row>
    <row r="67" spans="3:19" ht="12.75" customHeight="1" x14ac:dyDescent="0.25">
      <c r="C67" s="6069"/>
      <c r="D67" s="2631" t="s">
        <v>374</v>
      </c>
      <c r="E67" s="2632"/>
      <c r="F67" s="2633"/>
      <c r="G67" s="2634"/>
      <c r="H67" s="2632"/>
      <c r="I67" s="2633">
        <v>1</v>
      </c>
      <c r="J67" s="2634">
        <f t="shared" si="31"/>
        <v>1</v>
      </c>
      <c r="K67" s="2632"/>
      <c r="L67" s="2633"/>
      <c r="M67" s="2634">
        <f t="shared" si="32"/>
        <v>0</v>
      </c>
      <c r="N67" s="4673"/>
      <c r="O67" s="2633"/>
      <c r="P67" s="2634"/>
      <c r="Q67" s="5298"/>
      <c r="R67" s="2633"/>
      <c r="S67" s="2634"/>
    </row>
    <row r="68" spans="3:19" ht="12.75" customHeight="1" x14ac:dyDescent="0.25">
      <c r="C68" s="6069"/>
      <c r="D68" s="2631" t="s">
        <v>372</v>
      </c>
      <c r="E68" s="2632">
        <v>1</v>
      </c>
      <c r="F68" s="2633">
        <v>1</v>
      </c>
      <c r="G68" s="2634">
        <f t="shared" si="23"/>
        <v>2</v>
      </c>
      <c r="H68" s="2632"/>
      <c r="I68" s="2633">
        <v>1</v>
      </c>
      <c r="J68" s="2634">
        <f t="shared" si="31"/>
        <v>1</v>
      </c>
      <c r="K68" s="2632">
        <v>6</v>
      </c>
      <c r="L68" s="2633">
        <v>1</v>
      </c>
      <c r="M68" s="2634">
        <f t="shared" si="32"/>
        <v>7</v>
      </c>
      <c r="N68" s="4673"/>
      <c r="O68" s="2633"/>
      <c r="P68" s="2634"/>
      <c r="Q68" s="5298">
        <v>1</v>
      </c>
      <c r="R68" s="2633"/>
      <c r="S68" s="2634">
        <f t="shared" ref="S68:S76" si="33">SUM(Q68:R68)</f>
        <v>1</v>
      </c>
    </row>
    <row r="69" spans="3:19" ht="12.75" customHeight="1" x14ac:dyDescent="0.25">
      <c r="C69" s="6069"/>
      <c r="D69" s="2631" t="s">
        <v>373</v>
      </c>
      <c r="E69" s="2632">
        <v>1</v>
      </c>
      <c r="F69" s="2633"/>
      <c r="G69" s="2634">
        <f t="shared" si="23"/>
        <v>1</v>
      </c>
      <c r="H69" s="2632"/>
      <c r="I69" s="2633"/>
      <c r="J69" s="2634">
        <f t="shared" si="31"/>
        <v>0</v>
      </c>
      <c r="K69" s="2632">
        <v>2</v>
      </c>
      <c r="L69" s="2633">
        <v>2</v>
      </c>
      <c r="M69" s="2634">
        <f t="shared" si="32"/>
        <v>4</v>
      </c>
      <c r="N69" s="4673">
        <v>6</v>
      </c>
      <c r="O69" s="2633">
        <v>7</v>
      </c>
      <c r="P69" s="2634">
        <f t="shared" ref="P69:P74" si="34">SUM(N69:O69)</f>
        <v>13</v>
      </c>
      <c r="Q69" s="5298"/>
      <c r="R69" s="2633"/>
      <c r="S69" s="2634"/>
    </row>
    <row r="70" spans="3:19" ht="12.75" customHeight="1" x14ac:dyDescent="0.25">
      <c r="C70" s="6081" t="s">
        <v>518</v>
      </c>
      <c r="D70" s="2642" t="s">
        <v>376</v>
      </c>
      <c r="E70" s="2632"/>
      <c r="F70" s="2633"/>
      <c r="G70" s="2634"/>
      <c r="H70" s="2632">
        <v>1</v>
      </c>
      <c r="I70" s="2633"/>
      <c r="J70" s="2634">
        <f t="shared" si="31"/>
        <v>1</v>
      </c>
      <c r="K70" s="2632">
        <v>1</v>
      </c>
      <c r="L70" s="2633"/>
      <c r="M70" s="2634">
        <f t="shared" si="32"/>
        <v>1</v>
      </c>
      <c r="N70" s="4673">
        <v>1</v>
      </c>
      <c r="O70" s="2633"/>
      <c r="P70" s="2634">
        <f t="shared" si="34"/>
        <v>1</v>
      </c>
      <c r="Q70" s="5298"/>
      <c r="R70" s="2633"/>
      <c r="S70" s="2634"/>
    </row>
    <row r="71" spans="3:19" ht="12.75" customHeight="1" x14ac:dyDescent="0.25">
      <c r="C71" s="6069"/>
      <c r="D71" s="2642" t="s">
        <v>335</v>
      </c>
      <c r="E71" s="2632"/>
      <c r="F71" s="2633"/>
      <c r="G71" s="2634"/>
      <c r="H71" s="2632">
        <v>1</v>
      </c>
      <c r="I71" s="2633">
        <v>1</v>
      </c>
      <c r="J71" s="2634">
        <f t="shared" si="31"/>
        <v>2</v>
      </c>
      <c r="K71" s="2632"/>
      <c r="L71" s="2633">
        <v>2</v>
      </c>
      <c r="M71" s="2634">
        <f t="shared" si="32"/>
        <v>2</v>
      </c>
      <c r="N71" s="4673">
        <v>2</v>
      </c>
      <c r="O71" s="2633">
        <v>3</v>
      </c>
      <c r="P71" s="2634">
        <f t="shared" si="34"/>
        <v>5</v>
      </c>
      <c r="Q71" s="5298"/>
      <c r="R71" s="2633"/>
      <c r="S71" s="2634"/>
    </row>
    <row r="72" spans="3:19" ht="12.75" customHeight="1" x14ac:dyDescent="0.25">
      <c r="C72" s="6069"/>
      <c r="D72" s="2642" t="s">
        <v>378</v>
      </c>
      <c r="E72" s="2632"/>
      <c r="F72" s="2633"/>
      <c r="G72" s="2634"/>
      <c r="H72" s="2632"/>
      <c r="I72" s="2633">
        <v>1</v>
      </c>
      <c r="J72" s="2634">
        <f t="shared" si="31"/>
        <v>1</v>
      </c>
      <c r="K72" s="2632">
        <v>4</v>
      </c>
      <c r="L72" s="2633">
        <v>4</v>
      </c>
      <c r="M72" s="2634">
        <f t="shared" si="32"/>
        <v>8</v>
      </c>
      <c r="N72" s="4673"/>
      <c r="O72" s="2633">
        <v>2</v>
      </c>
      <c r="P72" s="2634">
        <f t="shared" si="34"/>
        <v>2</v>
      </c>
      <c r="Q72" s="5298"/>
      <c r="R72" s="2633"/>
      <c r="S72" s="2634"/>
    </row>
    <row r="73" spans="3:19" ht="12.75" customHeight="1" x14ac:dyDescent="0.25">
      <c r="C73" s="6069"/>
      <c r="D73" s="2642" t="s">
        <v>379</v>
      </c>
      <c r="E73" s="2632"/>
      <c r="F73" s="2633"/>
      <c r="G73" s="2634"/>
      <c r="H73" s="2632"/>
      <c r="I73" s="2633"/>
      <c r="J73" s="2634"/>
      <c r="K73" s="2632"/>
      <c r="L73" s="2633">
        <v>4</v>
      </c>
      <c r="M73" s="2634">
        <f t="shared" si="32"/>
        <v>4</v>
      </c>
      <c r="N73" s="4673">
        <v>1</v>
      </c>
      <c r="O73" s="2633"/>
      <c r="P73" s="2634">
        <f t="shared" si="34"/>
        <v>1</v>
      </c>
      <c r="Q73" s="5298"/>
      <c r="R73" s="2633"/>
      <c r="S73" s="2634"/>
    </row>
    <row r="74" spans="3:19" ht="12.75" customHeight="1" x14ac:dyDescent="0.25">
      <c r="C74" s="6069"/>
      <c r="D74" s="2642" t="s">
        <v>334</v>
      </c>
      <c r="E74" s="2632"/>
      <c r="F74" s="2633">
        <v>1</v>
      </c>
      <c r="G74" s="2634">
        <f t="shared" si="23"/>
        <v>1</v>
      </c>
      <c r="H74" s="2632"/>
      <c r="I74" s="2633">
        <v>1</v>
      </c>
      <c r="J74" s="2634">
        <f t="shared" si="31"/>
        <v>1</v>
      </c>
      <c r="K74" s="2632">
        <v>1</v>
      </c>
      <c r="L74" s="2633">
        <v>1</v>
      </c>
      <c r="M74" s="2634">
        <f t="shared" si="32"/>
        <v>2</v>
      </c>
      <c r="N74" s="4673"/>
      <c r="O74" s="2633">
        <v>1</v>
      </c>
      <c r="P74" s="2634">
        <f t="shared" si="34"/>
        <v>1</v>
      </c>
      <c r="Q74" s="5298"/>
      <c r="R74" s="2633"/>
      <c r="S74" s="2634"/>
    </row>
    <row r="75" spans="3:19" ht="12.75" customHeight="1" x14ac:dyDescent="0.25">
      <c r="C75" s="6069"/>
      <c r="D75" s="2642" t="s">
        <v>377</v>
      </c>
      <c r="E75" s="2632">
        <v>1</v>
      </c>
      <c r="F75" s="2633"/>
      <c r="G75" s="2634">
        <f t="shared" si="23"/>
        <v>1</v>
      </c>
      <c r="H75" s="2632">
        <v>4</v>
      </c>
      <c r="I75" s="2633">
        <v>2</v>
      </c>
      <c r="J75" s="2634">
        <f t="shared" si="31"/>
        <v>6</v>
      </c>
      <c r="K75" s="2632">
        <v>2</v>
      </c>
      <c r="L75" s="2633"/>
      <c r="M75" s="2634">
        <f t="shared" si="32"/>
        <v>2</v>
      </c>
      <c r="N75" s="4673"/>
      <c r="O75" s="2633"/>
      <c r="P75" s="2634"/>
      <c r="Q75" s="5298"/>
      <c r="R75" s="2633"/>
      <c r="S75" s="2634"/>
    </row>
    <row r="76" spans="3:19" ht="12.75" customHeight="1" x14ac:dyDescent="0.25">
      <c r="C76" s="6082"/>
      <c r="D76" s="2642" t="s">
        <v>380</v>
      </c>
      <c r="E76" s="5298"/>
      <c r="F76" s="2633"/>
      <c r="G76" s="2634"/>
      <c r="H76" s="5298"/>
      <c r="I76" s="2633"/>
      <c r="J76" s="2634"/>
      <c r="K76" s="5298"/>
      <c r="L76" s="2633"/>
      <c r="M76" s="2634"/>
      <c r="N76" s="5298"/>
      <c r="O76" s="2633"/>
      <c r="P76" s="2634"/>
      <c r="Q76" s="5298">
        <v>2</v>
      </c>
      <c r="R76" s="2633"/>
      <c r="S76" s="2634">
        <f t="shared" si="33"/>
        <v>2</v>
      </c>
    </row>
    <row r="77" spans="3:19" ht="12.75" customHeight="1" x14ac:dyDescent="0.25">
      <c r="C77" s="5361"/>
      <c r="D77" s="2636" t="s">
        <v>64</v>
      </c>
      <c r="E77" s="2635">
        <f>SUM(E68:E75)</f>
        <v>3</v>
      </c>
      <c r="F77" s="2637">
        <f>SUM(F68:F75)</f>
        <v>2</v>
      </c>
      <c r="G77" s="2636">
        <f>SUM(G68:G75)</f>
        <v>5</v>
      </c>
      <c r="H77" s="2635">
        <f t="shared" ref="H77:M77" si="35">SUM(H65:H75)</f>
        <v>8</v>
      </c>
      <c r="I77" s="2637">
        <f t="shared" si="35"/>
        <v>7</v>
      </c>
      <c r="J77" s="2636">
        <f t="shared" si="35"/>
        <v>15</v>
      </c>
      <c r="K77" s="2635">
        <f t="shared" si="35"/>
        <v>16</v>
      </c>
      <c r="L77" s="2637">
        <f t="shared" si="35"/>
        <v>15</v>
      </c>
      <c r="M77" s="2636">
        <f t="shared" si="35"/>
        <v>31</v>
      </c>
      <c r="N77" s="2635">
        <f t="shared" ref="N77:P77" si="36">SUM(N65:N75)</f>
        <v>10</v>
      </c>
      <c r="O77" s="2637">
        <f t="shared" si="36"/>
        <v>13</v>
      </c>
      <c r="P77" s="2636">
        <f t="shared" si="36"/>
        <v>23</v>
      </c>
      <c r="Q77" s="2635">
        <f>SUM(Q65:Q76)</f>
        <v>3</v>
      </c>
      <c r="R77" s="2637">
        <f t="shared" ref="R77:S77" si="37">SUM(R65:R76)</f>
        <v>0</v>
      </c>
      <c r="S77" s="2636">
        <f t="shared" si="37"/>
        <v>3</v>
      </c>
    </row>
    <row r="78" spans="3:19" ht="12.75" customHeight="1" x14ac:dyDescent="0.25">
      <c r="C78" s="6074" t="s">
        <v>517</v>
      </c>
      <c r="D78" s="2631" t="s">
        <v>386</v>
      </c>
      <c r="E78" s="2632">
        <v>1</v>
      </c>
      <c r="F78" s="2633"/>
      <c r="G78" s="2634">
        <f t="shared" si="23"/>
        <v>1</v>
      </c>
      <c r="H78" s="2632"/>
      <c r="I78" s="2633"/>
      <c r="J78" s="2634">
        <f t="shared" ref="J78:J84" si="38">SUM(H78:I78)</f>
        <v>0</v>
      </c>
      <c r="K78" s="2632">
        <v>1</v>
      </c>
      <c r="L78" s="2633">
        <v>1</v>
      </c>
      <c r="M78" s="2634">
        <f t="shared" ref="M78:M84" si="39">SUM(K78:L78)</f>
        <v>2</v>
      </c>
      <c r="N78" s="4673"/>
      <c r="O78" s="2633"/>
      <c r="P78" s="2634"/>
      <c r="Q78" s="5298">
        <v>1</v>
      </c>
      <c r="R78" s="2633"/>
      <c r="S78" s="2634">
        <f t="shared" ref="S78:S79" si="40">SUM(Q78:R78)</f>
        <v>1</v>
      </c>
    </row>
    <row r="79" spans="3:19" ht="12.75" customHeight="1" x14ac:dyDescent="0.25">
      <c r="C79" s="6074"/>
      <c r="D79" s="2631" t="s">
        <v>385</v>
      </c>
      <c r="E79" s="2632">
        <v>1</v>
      </c>
      <c r="F79" s="2633"/>
      <c r="G79" s="2634">
        <f t="shared" si="23"/>
        <v>1</v>
      </c>
      <c r="H79" s="2632"/>
      <c r="I79" s="2633"/>
      <c r="J79" s="2634">
        <f t="shared" si="38"/>
        <v>0</v>
      </c>
      <c r="K79" s="2632"/>
      <c r="L79" s="2633"/>
      <c r="M79" s="2634">
        <f t="shared" si="39"/>
        <v>0</v>
      </c>
      <c r="N79" s="4673"/>
      <c r="O79" s="2633"/>
      <c r="P79" s="2634"/>
      <c r="Q79" s="5298">
        <v>2</v>
      </c>
      <c r="R79" s="2633">
        <v>1</v>
      </c>
      <c r="S79" s="2634">
        <f t="shared" si="40"/>
        <v>3</v>
      </c>
    </row>
    <row r="80" spans="3:19" ht="12.75" customHeight="1" x14ac:dyDescent="0.25">
      <c r="C80" s="6074"/>
      <c r="D80" s="2631" t="s">
        <v>507</v>
      </c>
      <c r="E80" s="2632"/>
      <c r="F80" s="2633">
        <v>1</v>
      </c>
      <c r="G80" s="2634">
        <f t="shared" si="23"/>
        <v>1</v>
      </c>
      <c r="H80" s="2632">
        <v>2</v>
      </c>
      <c r="I80" s="2633">
        <v>1</v>
      </c>
      <c r="J80" s="2634">
        <f t="shared" si="38"/>
        <v>3</v>
      </c>
      <c r="K80" s="2632">
        <v>2</v>
      </c>
      <c r="L80" s="2633">
        <v>1</v>
      </c>
      <c r="M80" s="2634">
        <f t="shared" si="39"/>
        <v>3</v>
      </c>
      <c r="N80" s="4673">
        <v>1</v>
      </c>
      <c r="O80" s="2633"/>
      <c r="P80" s="2634">
        <f t="shared" ref="P80:P83" si="41">SUM(N80:O80)</f>
        <v>1</v>
      </c>
      <c r="Q80" s="5298"/>
      <c r="R80" s="2633"/>
      <c r="S80" s="2634"/>
    </row>
    <row r="81" spans="3:19" ht="12.75" customHeight="1" x14ac:dyDescent="0.25">
      <c r="C81" s="6074"/>
      <c r="D81" s="2631" t="s">
        <v>544</v>
      </c>
      <c r="E81" s="2632"/>
      <c r="F81" s="2633">
        <v>2</v>
      </c>
      <c r="G81" s="2634">
        <f t="shared" si="23"/>
        <v>2</v>
      </c>
      <c r="H81" s="2632">
        <v>2</v>
      </c>
      <c r="I81" s="2633"/>
      <c r="J81" s="2634">
        <f t="shared" si="38"/>
        <v>2</v>
      </c>
      <c r="K81" s="2632">
        <v>1</v>
      </c>
      <c r="L81" s="2633"/>
      <c r="M81" s="2634">
        <f t="shared" si="39"/>
        <v>1</v>
      </c>
      <c r="N81" s="4673"/>
      <c r="O81" s="2633"/>
      <c r="P81" s="2634"/>
      <c r="Q81" s="5298"/>
      <c r="R81" s="2633"/>
      <c r="S81" s="2634"/>
    </row>
    <row r="82" spans="3:19" ht="12.75" customHeight="1" x14ac:dyDescent="0.25">
      <c r="C82" s="6075" t="s">
        <v>518</v>
      </c>
      <c r="D82" s="2631" t="s">
        <v>546</v>
      </c>
      <c r="E82" s="2632"/>
      <c r="F82" s="2633"/>
      <c r="G82" s="2634"/>
      <c r="H82" s="2632">
        <v>1</v>
      </c>
      <c r="I82" s="2633">
        <v>1</v>
      </c>
      <c r="J82" s="2634">
        <f t="shared" si="38"/>
        <v>2</v>
      </c>
      <c r="K82" s="2632">
        <v>3</v>
      </c>
      <c r="L82" s="2633"/>
      <c r="M82" s="2634">
        <f t="shared" si="39"/>
        <v>3</v>
      </c>
      <c r="N82" s="4673">
        <v>2</v>
      </c>
      <c r="O82" s="2633"/>
      <c r="P82" s="2634">
        <f t="shared" si="41"/>
        <v>2</v>
      </c>
      <c r="Q82" s="5298">
        <v>1</v>
      </c>
      <c r="R82" s="2633"/>
      <c r="S82" s="2634">
        <f t="shared" ref="S82" si="42">SUM(Q82:R82)</f>
        <v>1</v>
      </c>
    </row>
    <row r="83" spans="3:19" ht="12.75" customHeight="1" x14ac:dyDescent="0.25">
      <c r="C83" s="6076"/>
      <c r="D83" s="2631" t="s">
        <v>545</v>
      </c>
      <c r="E83" s="2632"/>
      <c r="F83" s="2633">
        <v>1</v>
      </c>
      <c r="G83" s="2634">
        <f t="shared" si="23"/>
        <v>1</v>
      </c>
      <c r="H83" s="2632">
        <v>3</v>
      </c>
      <c r="I83" s="2633"/>
      <c r="J83" s="2634">
        <f t="shared" si="38"/>
        <v>3</v>
      </c>
      <c r="K83" s="2632">
        <v>4</v>
      </c>
      <c r="L83" s="2633">
        <v>2</v>
      </c>
      <c r="M83" s="2634">
        <f t="shared" si="39"/>
        <v>6</v>
      </c>
      <c r="N83" s="4673">
        <v>1</v>
      </c>
      <c r="O83" s="2633"/>
      <c r="P83" s="2634">
        <f t="shared" si="41"/>
        <v>1</v>
      </c>
      <c r="Q83" s="5298"/>
      <c r="R83" s="2633"/>
      <c r="S83" s="2634"/>
    </row>
    <row r="84" spans="3:19" ht="14.4" x14ac:dyDescent="0.25">
      <c r="C84" s="6077"/>
      <c r="D84" s="2631" t="s">
        <v>354</v>
      </c>
      <c r="E84" s="2632">
        <v>2</v>
      </c>
      <c r="F84" s="2633"/>
      <c r="G84" s="2634">
        <f t="shared" si="23"/>
        <v>2</v>
      </c>
      <c r="H84" s="2632">
        <v>4</v>
      </c>
      <c r="I84" s="2633">
        <v>1</v>
      </c>
      <c r="J84" s="2634">
        <f t="shared" si="38"/>
        <v>5</v>
      </c>
      <c r="K84" s="2632">
        <v>1</v>
      </c>
      <c r="L84" s="2633">
        <v>1</v>
      </c>
      <c r="M84" s="2634">
        <f t="shared" si="39"/>
        <v>2</v>
      </c>
      <c r="N84" s="4673"/>
      <c r="O84" s="2633"/>
      <c r="P84" s="2634"/>
      <c r="Q84" s="5298"/>
      <c r="R84" s="2633"/>
      <c r="S84" s="2634"/>
    </row>
    <row r="85" spans="3:19" ht="12.75" customHeight="1" x14ac:dyDescent="0.25">
      <c r="C85" s="2635"/>
      <c r="D85" s="2636" t="s">
        <v>92</v>
      </c>
      <c r="E85" s="2635">
        <f t="shared" ref="E85:M85" si="43">SUM(E78:E84)</f>
        <v>4</v>
      </c>
      <c r="F85" s="2637">
        <f t="shared" si="43"/>
        <v>4</v>
      </c>
      <c r="G85" s="2636">
        <f t="shared" si="43"/>
        <v>8</v>
      </c>
      <c r="H85" s="2635">
        <f t="shared" si="43"/>
        <v>12</v>
      </c>
      <c r="I85" s="2637">
        <f t="shared" si="43"/>
        <v>3</v>
      </c>
      <c r="J85" s="2636">
        <f t="shared" si="43"/>
        <v>15</v>
      </c>
      <c r="K85" s="2635">
        <f t="shared" si="43"/>
        <v>12</v>
      </c>
      <c r="L85" s="2637">
        <f t="shared" si="43"/>
        <v>5</v>
      </c>
      <c r="M85" s="2636">
        <f t="shared" si="43"/>
        <v>17</v>
      </c>
      <c r="N85" s="2635">
        <f t="shared" ref="N85:P85" si="44">SUM(N78:N84)</f>
        <v>4</v>
      </c>
      <c r="O85" s="2637">
        <f t="shared" si="44"/>
        <v>0</v>
      </c>
      <c r="P85" s="2636">
        <f t="shared" si="44"/>
        <v>4</v>
      </c>
      <c r="Q85" s="2635">
        <f t="shared" ref="Q85:S85" si="45">SUM(Q78:Q84)</f>
        <v>4</v>
      </c>
      <c r="R85" s="2637">
        <f t="shared" si="45"/>
        <v>1</v>
      </c>
      <c r="S85" s="2636">
        <f t="shared" si="45"/>
        <v>5</v>
      </c>
    </row>
    <row r="86" spans="3:19" ht="12.75" customHeight="1" x14ac:dyDescent="0.25">
      <c r="C86" s="2654"/>
      <c r="D86" s="2655" t="s">
        <v>388</v>
      </c>
      <c r="E86" s="2656">
        <f t="shared" ref="E86:M86" si="46">SUM(E85,E77,E64)</f>
        <v>14</v>
      </c>
      <c r="F86" s="2657">
        <f t="shared" si="46"/>
        <v>13</v>
      </c>
      <c r="G86" s="2655">
        <f t="shared" si="46"/>
        <v>27</v>
      </c>
      <c r="H86" s="2656">
        <f t="shared" si="46"/>
        <v>34</v>
      </c>
      <c r="I86" s="2657">
        <f t="shared" si="46"/>
        <v>26</v>
      </c>
      <c r="J86" s="2655">
        <f t="shared" si="46"/>
        <v>60</v>
      </c>
      <c r="K86" s="2656">
        <f t="shared" si="46"/>
        <v>51</v>
      </c>
      <c r="L86" s="2657">
        <f t="shared" si="46"/>
        <v>41</v>
      </c>
      <c r="M86" s="2655">
        <f t="shared" si="46"/>
        <v>92</v>
      </c>
      <c r="N86" s="2656">
        <f t="shared" ref="N86:P86" si="47">SUM(N85,N77,N64)</f>
        <v>29</v>
      </c>
      <c r="O86" s="2657">
        <f t="shared" si="47"/>
        <v>38</v>
      </c>
      <c r="P86" s="2655">
        <f t="shared" si="47"/>
        <v>67</v>
      </c>
      <c r="Q86" s="2656">
        <f t="shared" ref="Q86:S86" si="48">SUM(Q85,Q77,Q64)</f>
        <v>8</v>
      </c>
      <c r="R86" s="2657">
        <f t="shared" si="48"/>
        <v>2</v>
      </c>
      <c r="S86" s="2655">
        <f t="shared" si="48"/>
        <v>10</v>
      </c>
    </row>
    <row r="87" spans="3:19" ht="12.75" customHeight="1" x14ac:dyDescent="0.25">
      <c r="C87" s="2632" t="s">
        <v>463</v>
      </c>
      <c r="D87" s="2642" t="s">
        <v>391</v>
      </c>
      <c r="E87" s="2632"/>
      <c r="F87" s="2633"/>
      <c r="G87" s="2634"/>
      <c r="H87" s="2632"/>
      <c r="I87" s="2633"/>
      <c r="J87" s="2634"/>
      <c r="K87" s="2632">
        <v>1</v>
      </c>
      <c r="L87" s="2633">
        <v>1</v>
      </c>
      <c r="M87" s="2630">
        <f t="shared" ref="M87:M93" si="49">SUM(K87:L87)</f>
        <v>2</v>
      </c>
      <c r="N87" s="4673"/>
      <c r="O87" s="2633"/>
      <c r="P87" s="2630"/>
      <c r="Q87" s="5298"/>
      <c r="R87" s="2633"/>
      <c r="S87" s="2630"/>
    </row>
    <row r="88" spans="3:19" ht="12.75" customHeight="1" x14ac:dyDescent="0.25">
      <c r="C88" s="6068" t="s">
        <v>517</v>
      </c>
      <c r="D88" s="2631" t="s">
        <v>328</v>
      </c>
      <c r="E88" s="2632"/>
      <c r="F88" s="2633"/>
      <c r="G88" s="2634"/>
      <c r="H88" s="2632">
        <v>1</v>
      </c>
      <c r="I88" s="2633">
        <v>2</v>
      </c>
      <c r="J88" s="2630">
        <f t="shared" ref="J88:J93" si="50">SUM(H88:I88)</f>
        <v>3</v>
      </c>
      <c r="K88" s="2632"/>
      <c r="L88" s="2633">
        <v>4</v>
      </c>
      <c r="M88" s="2630">
        <f t="shared" si="49"/>
        <v>4</v>
      </c>
      <c r="N88" s="4673"/>
      <c r="O88" s="2633"/>
      <c r="P88" s="2630"/>
      <c r="Q88" s="5298"/>
      <c r="R88" s="2633"/>
      <c r="S88" s="2630"/>
    </row>
    <row r="89" spans="3:19" ht="12.75" customHeight="1" x14ac:dyDescent="0.25">
      <c r="C89" s="6069"/>
      <c r="D89" s="2631" t="s">
        <v>398</v>
      </c>
      <c r="E89" s="2632"/>
      <c r="F89" s="2633"/>
      <c r="G89" s="2634"/>
      <c r="H89" s="2632"/>
      <c r="I89" s="2633"/>
      <c r="J89" s="2630"/>
      <c r="K89" s="2632">
        <v>1</v>
      </c>
      <c r="L89" s="2633"/>
      <c r="M89" s="2630">
        <f t="shared" si="49"/>
        <v>1</v>
      </c>
      <c r="N89" s="4673">
        <v>2</v>
      </c>
      <c r="O89" s="2633">
        <v>3</v>
      </c>
      <c r="P89" s="2630">
        <f t="shared" ref="P89:P93" si="51">SUM(N89:O89)</f>
        <v>5</v>
      </c>
      <c r="Q89" s="5298"/>
      <c r="R89" s="2633"/>
      <c r="S89" s="2630"/>
    </row>
    <row r="90" spans="3:19" ht="12.75" customHeight="1" x14ac:dyDescent="0.25">
      <c r="C90" s="6069"/>
      <c r="D90" s="2631" t="s">
        <v>394</v>
      </c>
      <c r="E90" s="2632"/>
      <c r="F90" s="2633"/>
      <c r="G90" s="2634"/>
      <c r="H90" s="2632">
        <v>4</v>
      </c>
      <c r="I90" s="2633"/>
      <c r="J90" s="2630">
        <f t="shared" si="50"/>
        <v>4</v>
      </c>
      <c r="K90" s="2632">
        <v>1</v>
      </c>
      <c r="L90" s="2633">
        <v>1</v>
      </c>
      <c r="M90" s="2630">
        <f t="shared" si="49"/>
        <v>2</v>
      </c>
      <c r="N90" s="4673">
        <v>2</v>
      </c>
      <c r="O90" s="2633">
        <v>3</v>
      </c>
      <c r="P90" s="2630">
        <f t="shared" si="51"/>
        <v>5</v>
      </c>
      <c r="Q90" s="5298"/>
      <c r="R90" s="2633"/>
      <c r="S90" s="2630"/>
    </row>
    <row r="91" spans="3:19" ht="12.75" customHeight="1" x14ac:dyDescent="0.25">
      <c r="C91" s="6069"/>
      <c r="D91" s="2631" t="s">
        <v>395</v>
      </c>
      <c r="E91" s="2632"/>
      <c r="F91" s="2633"/>
      <c r="G91" s="2634"/>
      <c r="H91" s="2632">
        <v>1</v>
      </c>
      <c r="I91" s="2633">
        <v>1</v>
      </c>
      <c r="J91" s="2630">
        <f t="shared" si="50"/>
        <v>2</v>
      </c>
      <c r="K91" s="2632"/>
      <c r="L91" s="2633">
        <v>1</v>
      </c>
      <c r="M91" s="2630">
        <f t="shared" si="49"/>
        <v>1</v>
      </c>
      <c r="N91" s="4673"/>
      <c r="O91" s="2633">
        <v>1</v>
      </c>
      <c r="P91" s="2630">
        <f t="shared" si="51"/>
        <v>1</v>
      </c>
      <c r="Q91" s="5298"/>
      <c r="R91" s="2633"/>
      <c r="S91" s="2630"/>
    </row>
    <row r="92" spans="3:19" ht="12.75" customHeight="1" x14ac:dyDescent="0.25">
      <c r="C92" s="6069"/>
      <c r="D92" s="2631" t="s">
        <v>392</v>
      </c>
      <c r="E92" s="2632"/>
      <c r="F92" s="2633"/>
      <c r="G92" s="2634"/>
      <c r="H92" s="2632">
        <v>3</v>
      </c>
      <c r="I92" s="2633"/>
      <c r="J92" s="2630">
        <f t="shared" si="50"/>
        <v>3</v>
      </c>
      <c r="K92" s="2632">
        <v>2</v>
      </c>
      <c r="L92" s="2633"/>
      <c r="M92" s="2630">
        <f t="shared" si="49"/>
        <v>2</v>
      </c>
      <c r="N92" s="4673">
        <v>3</v>
      </c>
      <c r="O92" s="2633"/>
      <c r="P92" s="2630">
        <f t="shared" si="51"/>
        <v>3</v>
      </c>
      <c r="Q92" s="5298"/>
      <c r="R92" s="2633"/>
      <c r="S92" s="2630"/>
    </row>
    <row r="93" spans="3:19" ht="12.75" customHeight="1" x14ac:dyDescent="0.25">
      <c r="C93" s="6069"/>
      <c r="D93" s="2631" t="s">
        <v>400</v>
      </c>
      <c r="E93" s="2632"/>
      <c r="F93" s="2633"/>
      <c r="G93" s="2634"/>
      <c r="H93" s="2632">
        <v>1</v>
      </c>
      <c r="I93" s="2633">
        <v>1</v>
      </c>
      <c r="J93" s="2630">
        <f t="shared" si="50"/>
        <v>2</v>
      </c>
      <c r="K93" s="2632"/>
      <c r="L93" s="2633"/>
      <c r="M93" s="2630">
        <f t="shared" si="49"/>
        <v>0</v>
      </c>
      <c r="N93" s="4673">
        <v>1</v>
      </c>
      <c r="O93" s="2633"/>
      <c r="P93" s="2630">
        <f t="shared" si="51"/>
        <v>1</v>
      </c>
      <c r="Q93" s="5298">
        <v>2</v>
      </c>
      <c r="R93" s="2633"/>
      <c r="S93" s="2630">
        <f t="shared" ref="S93:S102" si="52">SUM(Q93:R93)</f>
        <v>2</v>
      </c>
    </row>
    <row r="94" spans="3:19" ht="12.75" customHeight="1" x14ac:dyDescent="0.25">
      <c r="C94" s="6069"/>
      <c r="D94" s="2649" t="s">
        <v>397</v>
      </c>
      <c r="E94" s="2648">
        <v>2</v>
      </c>
      <c r="F94" s="2629"/>
      <c r="G94" s="2630">
        <f>SUM(E94:F94)</f>
        <v>2</v>
      </c>
      <c r="H94" s="2648"/>
      <c r="I94" s="2629"/>
      <c r="J94" s="2630">
        <f>SUM(H94:I94)</f>
        <v>0</v>
      </c>
      <c r="K94" s="2648">
        <v>3</v>
      </c>
      <c r="L94" s="2629"/>
      <c r="M94" s="2630">
        <f t="shared" ref="M94:M102" si="53">SUM(K94:L94)</f>
        <v>3</v>
      </c>
      <c r="N94" s="4672">
        <v>1</v>
      </c>
      <c r="O94" s="2629"/>
      <c r="P94" s="2630">
        <f t="shared" ref="P94:P101" si="54">SUM(N94:O94)</f>
        <v>1</v>
      </c>
      <c r="Q94" s="5297"/>
      <c r="R94" s="2629"/>
      <c r="S94" s="2630"/>
    </row>
    <row r="95" spans="3:19" ht="12.75" customHeight="1" x14ac:dyDescent="0.25">
      <c r="C95" s="6069"/>
      <c r="D95" s="2658" t="s">
        <v>396</v>
      </c>
      <c r="E95" s="2648"/>
      <c r="F95" s="2629"/>
      <c r="G95" s="2630"/>
      <c r="H95" s="2648"/>
      <c r="I95" s="2629"/>
      <c r="J95" s="2630"/>
      <c r="K95" s="2648">
        <v>2</v>
      </c>
      <c r="L95" s="2629">
        <v>1</v>
      </c>
      <c r="M95" s="2630">
        <f t="shared" si="53"/>
        <v>3</v>
      </c>
      <c r="N95" s="4672">
        <v>1</v>
      </c>
      <c r="O95" s="2629"/>
      <c r="P95" s="2630">
        <f t="shared" si="54"/>
        <v>1</v>
      </c>
      <c r="Q95" s="5297"/>
      <c r="R95" s="2629"/>
      <c r="S95" s="2630"/>
    </row>
    <row r="96" spans="3:19" ht="12.75" customHeight="1" x14ac:dyDescent="0.25">
      <c r="C96" s="6069"/>
      <c r="D96" s="2658" t="s">
        <v>399</v>
      </c>
      <c r="E96" s="2648"/>
      <c r="F96" s="2629"/>
      <c r="G96" s="2630"/>
      <c r="H96" s="2648"/>
      <c r="I96" s="2629"/>
      <c r="J96" s="2630"/>
      <c r="K96" s="2648">
        <v>1</v>
      </c>
      <c r="L96" s="2629">
        <v>1</v>
      </c>
      <c r="M96" s="2630">
        <f t="shared" si="53"/>
        <v>2</v>
      </c>
      <c r="N96" s="4672">
        <v>2</v>
      </c>
      <c r="O96" s="2629">
        <v>1</v>
      </c>
      <c r="P96" s="2630">
        <f t="shared" si="54"/>
        <v>3</v>
      </c>
      <c r="Q96" s="5297"/>
      <c r="R96" s="2629"/>
      <c r="S96" s="2630"/>
    </row>
    <row r="97" spans="3:19" ht="12.75" customHeight="1" x14ac:dyDescent="0.25">
      <c r="C97" s="6070"/>
      <c r="D97" s="2658" t="s">
        <v>483</v>
      </c>
      <c r="E97" s="2648"/>
      <c r="F97" s="2629"/>
      <c r="G97" s="2630"/>
      <c r="H97" s="2648"/>
      <c r="I97" s="2629"/>
      <c r="J97" s="2630"/>
      <c r="K97" s="2648"/>
      <c r="L97" s="2629">
        <v>1</v>
      </c>
      <c r="M97" s="2630">
        <f t="shared" si="53"/>
        <v>1</v>
      </c>
      <c r="N97" s="4672">
        <v>1</v>
      </c>
      <c r="O97" s="2629"/>
      <c r="P97" s="2630">
        <f t="shared" si="54"/>
        <v>1</v>
      </c>
      <c r="Q97" s="5297"/>
      <c r="R97" s="2629"/>
      <c r="S97" s="2630"/>
    </row>
    <row r="98" spans="3:19" ht="12.75" customHeight="1" x14ac:dyDescent="0.25">
      <c r="C98" s="6068" t="s">
        <v>518</v>
      </c>
      <c r="D98" s="2642" t="s">
        <v>335</v>
      </c>
      <c r="E98" s="2648"/>
      <c r="F98" s="2629"/>
      <c r="G98" s="2630"/>
      <c r="H98" s="2648">
        <v>1</v>
      </c>
      <c r="I98" s="2629">
        <v>1</v>
      </c>
      <c r="J98" s="2630">
        <f>SUM(H98:I98)</f>
        <v>2</v>
      </c>
      <c r="K98" s="2648"/>
      <c r="L98" s="2629">
        <v>1</v>
      </c>
      <c r="M98" s="2630">
        <f t="shared" si="53"/>
        <v>1</v>
      </c>
      <c r="N98" s="4672"/>
      <c r="O98" s="2629">
        <v>4</v>
      </c>
      <c r="P98" s="2630">
        <f t="shared" si="54"/>
        <v>4</v>
      </c>
      <c r="Q98" s="5297"/>
      <c r="R98" s="2629"/>
      <c r="S98" s="2630"/>
    </row>
    <row r="99" spans="3:19" ht="12.75" customHeight="1" x14ac:dyDescent="0.25">
      <c r="C99" s="6069"/>
      <c r="D99" s="2642" t="s">
        <v>402</v>
      </c>
      <c r="E99" s="2648"/>
      <c r="F99" s="2629"/>
      <c r="G99" s="2630"/>
      <c r="H99" s="2648">
        <v>4</v>
      </c>
      <c r="I99" s="2629">
        <v>3</v>
      </c>
      <c r="J99" s="2630">
        <f>SUM(H99:I99)</f>
        <v>7</v>
      </c>
      <c r="K99" s="2648">
        <v>4</v>
      </c>
      <c r="L99" s="2629">
        <v>3</v>
      </c>
      <c r="M99" s="2630">
        <f t="shared" si="53"/>
        <v>7</v>
      </c>
      <c r="N99" s="4672">
        <v>9</v>
      </c>
      <c r="O99" s="2629">
        <v>5</v>
      </c>
      <c r="P99" s="2630">
        <f t="shared" si="54"/>
        <v>14</v>
      </c>
      <c r="Q99" s="5297">
        <v>1</v>
      </c>
      <c r="R99" s="2629"/>
      <c r="S99" s="2630">
        <f t="shared" si="52"/>
        <v>1</v>
      </c>
    </row>
    <row r="100" spans="3:19" ht="12.75" customHeight="1" x14ac:dyDescent="0.25">
      <c r="C100" s="6069"/>
      <c r="D100" s="2642" t="s">
        <v>667</v>
      </c>
      <c r="E100" s="2648"/>
      <c r="F100" s="2629"/>
      <c r="G100" s="2630"/>
      <c r="H100" s="2648"/>
      <c r="I100" s="2629"/>
      <c r="J100" s="2630"/>
      <c r="K100" s="2648">
        <v>1</v>
      </c>
      <c r="L100" s="2629"/>
      <c r="M100" s="2630">
        <f t="shared" si="53"/>
        <v>1</v>
      </c>
      <c r="N100" s="4672">
        <v>1</v>
      </c>
      <c r="O100" s="2629"/>
      <c r="P100" s="2630">
        <f t="shared" si="54"/>
        <v>1</v>
      </c>
      <c r="Q100" s="5297"/>
      <c r="R100" s="2629"/>
      <c r="S100" s="2630"/>
    </row>
    <row r="101" spans="3:19" ht="12.75" customHeight="1" x14ac:dyDescent="0.25">
      <c r="C101" s="6069"/>
      <c r="D101" s="2642" t="s">
        <v>403</v>
      </c>
      <c r="E101" s="4672"/>
      <c r="F101" s="2629"/>
      <c r="G101" s="2630"/>
      <c r="H101" s="4672"/>
      <c r="I101" s="2629"/>
      <c r="J101" s="2630"/>
      <c r="K101" s="4672"/>
      <c r="L101" s="2629"/>
      <c r="M101" s="2630"/>
      <c r="N101" s="4672">
        <v>1</v>
      </c>
      <c r="O101" s="2629"/>
      <c r="P101" s="2630">
        <f t="shared" si="54"/>
        <v>1</v>
      </c>
      <c r="Q101" s="5297"/>
      <c r="R101" s="2629"/>
      <c r="S101" s="2630"/>
    </row>
    <row r="102" spans="3:19" ht="12.75" customHeight="1" x14ac:dyDescent="0.25">
      <c r="C102" s="6070"/>
      <c r="D102" s="2642" t="s">
        <v>378</v>
      </c>
      <c r="E102" s="2648"/>
      <c r="F102" s="2629"/>
      <c r="G102" s="2630"/>
      <c r="H102" s="2648"/>
      <c r="I102" s="2629"/>
      <c r="J102" s="2630"/>
      <c r="K102" s="2648">
        <v>1</v>
      </c>
      <c r="L102" s="2629"/>
      <c r="M102" s="2630">
        <f t="shared" si="53"/>
        <v>1</v>
      </c>
      <c r="N102" s="4672"/>
      <c r="O102" s="2629"/>
      <c r="P102" s="2630"/>
      <c r="Q102" s="5297">
        <v>1</v>
      </c>
      <c r="R102" s="2629"/>
      <c r="S102" s="2630">
        <f t="shared" si="52"/>
        <v>1</v>
      </c>
    </row>
    <row r="103" spans="3:19" ht="12.75" customHeight="1" x14ac:dyDescent="0.25">
      <c r="C103" s="2635"/>
      <c r="D103" s="2636" t="s">
        <v>64</v>
      </c>
      <c r="E103" s="2635">
        <f>SUM(E94)</f>
        <v>2</v>
      </c>
      <c r="F103" s="2637">
        <f>SUM(F94)</f>
        <v>0</v>
      </c>
      <c r="G103" s="2636">
        <f>SUM(G94)</f>
        <v>2</v>
      </c>
      <c r="H103" s="2635">
        <f>SUM(H88:H99)</f>
        <v>15</v>
      </c>
      <c r="I103" s="2637">
        <f>SUM(I88:I99)</f>
        <v>8</v>
      </c>
      <c r="J103" s="2636">
        <f>SUM(J88:J99)</f>
        <v>23</v>
      </c>
      <c r="K103" s="2635">
        <f t="shared" ref="K103:P103" si="55">SUM(K87:K102)</f>
        <v>17</v>
      </c>
      <c r="L103" s="2637">
        <f t="shared" si="55"/>
        <v>14</v>
      </c>
      <c r="M103" s="2636">
        <f t="shared" si="55"/>
        <v>31</v>
      </c>
      <c r="N103" s="2635">
        <f t="shared" si="55"/>
        <v>24</v>
      </c>
      <c r="O103" s="2637">
        <f t="shared" si="55"/>
        <v>17</v>
      </c>
      <c r="P103" s="2636">
        <f t="shared" si="55"/>
        <v>41</v>
      </c>
      <c r="Q103" s="2635">
        <f t="shared" ref="Q103:S103" si="56">SUM(Q87:Q102)</f>
        <v>4</v>
      </c>
      <c r="R103" s="2637">
        <f t="shared" si="56"/>
        <v>0</v>
      </c>
      <c r="S103" s="2636">
        <f t="shared" si="56"/>
        <v>4</v>
      </c>
    </row>
    <row r="104" spans="3:19" ht="12.75" customHeight="1" x14ac:dyDescent="0.25">
      <c r="C104" s="6068" t="s">
        <v>517</v>
      </c>
      <c r="D104" s="2631" t="s">
        <v>413</v>
      </c>
      <c r="E104" s="2632">
        <v>2</v>
      </c>
      <c r="F104" s="2633">
        <v>2</v>
      </c>
      <c r="G104" s="2634">
        <f>SUM(E104:F104)</f>
        <v>4</v>
      </c>
      <c r="H104" s="2632">
        <v>1</v>
      </c>
      <c r="I104" s="2633"/>
      <c r="J104" s="2634">
        <f>SUM(H104:I104)</f>
        <v>1</v>
      </c>
      <c r="K104" s="2632">
        <v>5</v>
      </c>
      <c r="L104" s="2633">
        <v>1</v>
      </c>
      <c r="M104" s="2634">
        <f t="shared" ref="M104:M113" si="57">SUM(K104:L104)</f>
        <v>6</v>
      </c>
      <c r="N104" s="4673">
        <v>1</v>
      </c>
      <c r="O104" s="2633">
        <v>1</v>
      </c>
      <c r="P104" s="2634">
        <f t="shared" ref="P104:P113" si="58">SUM(N104:O104)</f>
        <v>2</v>
      </c>
      <c r="Q104" s="5298"/>
      <c r="R104" s="2633"/>
      <c r="S104" s="2634"/>
    </row>
    <row r="105" spans="3:19" ht="12.75" customHeight="1" x14ac:dyDescent="0.25">
      <c r="C105" s="6069"/>
      <c r="D105" s="2631" t="s">
        <v>414</v>
      </c>
      <c r="E105" s="2632"/>
      <c r="F105" s="2633"/>
      <c r="G105" s="2634"/>
      <c r="H105" s="2632"/>
      <c r="I105" s="2633"/>
      <c r="J105" s="2634"/>
      <c r="K105" s="2632"/>
      <c r="L105" s="2633">
        <v>1</v>
      </c>
      <c r="M105" s="2634">
        <f t="shared" si="57"/>
        <v>1</v>
      </c>
      <c r="N105" s="4673"/>
      <c r="O105" s="2633">
        <v>1</v>
      </c>
      <c r="P105" s="2634">
        <f t="shared" si="58"/>
        <v>1</v>
      </c>
      <c r="Q105" s="5298">
        <v>1</v>
      </c>
      <c r="R105" s="2633"/>
      <c r="S105" s="2634">
        <f t="shared" ref="S105:S107" si="59">SUM(Q105:R105)</f>
        <v>1</v>
      </c>
    </row>
    <row r="106" spans="3:19" ht="12.75" customHeight="1" x14ac:dyDescent="0.25">
      <c r="C106" s="6069"/>
      <c r="D106" s="2631" t="s">
        <v>668</v>
      </c>
      <c r="E106" s="2632"/>
      <c r="F106" s="2633"/>
      <c r="G106" s="2634"/>
      <c r="H106" s="2632">
        <v>2</v>
      </c>
      <c r="I106" s="2633">
        <v>1</v>
      </c>
      <c r="J106" s="2634">
        <f>SUM(H106:I106)</f>
        <v>3</v>
      </c>
      <c r="K106" s="2632"/>
      <c r="L106" s="2633"/>
      <c r="M106" s="2634">
        <f t="shared" si="57"/>
        <v>0</v>
      </c>
      <c r="N106" s="4673">
        <v>1</v>
      </c>
      <c r="O106" s="2633">
        <v>1</v>
      </c>
      <c r="P106" s="2634">
        <f t="shared" si="58"/>
        <v>2</v>
      </c>
      <c r="Q106" s="5298"/>
      <c r="R106" s="2633"/>
      <c r="S106" s="2634"/>
    </row>
    <row r="107" spans="3:19" ht="12.75" customHeight="1" x14ac:dyDescent="0.25">
      <c r="C107" s="6069"/>
      <c r="D107" s="2631" t="s">
        <v>412</v>
      </c>
      <c r="E107" s="2632">
        <v>1</v>
      </c>
      <c r="F107" s="2633">
        <v>1</v>
      </c>
      <c r="G107" s="2634">
        <f>SUM(E107:F107)</f>
        <v>2</v>
      </c>
      <c r="H107" s="2632">
        <v>2</v>
      </c>
      <c r="I107" s="2633">
        <v>1</v>
      </c>
      <c r="J107" s="2634">
        <f>SUM(H107:I107)</f>
        <v>3</v>
      </c>
      <c r="K107" s="2632"/>
      <c r="L107" s="2633"/>
      <c r="M107" s="2634">
        <f t="shared" si="57"/>
        <v>0</v>
      </c>
      <c r="N107" s="4673">
        <v>2</v>
      </c>
      <c r="O107" s="2633">
        <v>2</v>
      </c>
      <c r="P107" s="2634">
        <f t="shared" si="58"/>
        <v>4</v>
      </c>
      <c r="Q107" s="5298">
        <v>1</v>
      </c>
      <c r="R107" s="2633"/>
      <c r="S107" s="2634">
        <f t="shared" si="59"/>
        <v>1</v>
      </c>
    </row>
    <row r="108" spans="3:19" ht="12.6" customHeight="1" x14ac:dyDescent="0.25">
      <c r="C108" s="6069"/>
      <c r="D108" s="2631" t="s">
        <v>415</v>
      </c>
      <c r="E108" s="2632"/>
      <c r="F108" s="2633"/>
      <c r="G108" s="2634"/>
      <c r="H108" s="2632">
        <v>3</v>
      </c>
      <c r="I108" s="2633"/>
      <c r="J108" s="2634">
        <f>SUM(H108:I108)</f>
        <v>3</v>
      </c>
      <c r="K108" s="2632">
        <v>2</v>
      </c>
      <c r="L108" s="2633">
        <v>1</v>
      </c>
      <c r="M108" s="2634">
        <f t="shared" si="57"/>
        <v>3</v>
      </c>
      <c r="N108" s="4673"/>
      <c r="O108" s="2633">
        <v>1</v>
      </c>
      <c r="P108" s="2634">
        <f t="shared" si="58"/>
        <v>1</v>
      </c>
      <c r="Q108" s="5298"/>
      <c r="R108" s="2633"/>
      <c r="S108" s="2634"/>
    </row>
    <row r="109" spans="3:19" ht="12.6" customHeight="1" x14ac:dyDescent="0.25">
      <c r="C109" s="6069"/>
      <c r="D109" s="2631" t="s">
        <v>408</v>
      </c>
      <c r="E109" s="2632"/>
      <c r="F109" s="2633"/>
      <c r="G109" s="2634"/>
      <c r="H109" s="2632"/>
      <c r="I109" s="2633"/>
      <c r="J109" s="2634"/>
      <c r="K109" s="2632">
        <v>4</v>
      </c>
      <c r="L109" s="2633">
        <v>2</v>
      </c>
      <c r="M109" s="2634">
        <f t="shared" si="57"/>
        <v>6</v>
      </c>
      <c r="N109" s="4673"/>
      <c r="O109" s="2633"/>
      <c r="P109" s="2634"/>
      <c r="Q109" s="5298"/>
      <c r="R109" s="2633"/>
      <c r="S109" s="2634"/>
    </row>
    <row r="110" spans="3:19" ht="12.75" customHeight="1" x14ac:dyDescent="0.25">
      <c r="C110" s="6070"/>
      <c r="D110" s="2631" t="s">
        <v>409</v>
      </c>
      <c r="E110" s="2632"/>
      <c r="F110" s="2633"/>
      <c r="G110" s="2634"/>
      <c r="H110" s="2632">
        <v>5</v>
      </c>
      <c r="I110" s="2633">
        <v>1</v>
      </c>
      <c r="J110" s="2634">
        <f>SUM(H110:I110)</f>
        <v>6</v>
      </c>
      <c r="K110" s="2632">
        <v>7</v>
      </c>
      <c r="L110" s="2633"/>
      <c r="M110" s="2634">
        <f t="shared" si="57"/>
        <v>7</v>
      </c>
      <c r="N110" s="4673"/>
      <c r="O110" s="2633"/>
      <c r="P110" s="2634"/>
      <c r="Q110" s="5298"/>
      <c r="R110" s="2633"/>
      <c r="S110" s="2634"/>
    </row>
    <row r="111" spans="3:19" ht="12.75" customHeight="1" x14ac:dyDescent="0.25">
      <c r="C111" s="6068" t="s">
        <v>518</v>
      </c>
      <c r="D111" s="2631" t="s">
        <v>669</v>
      </c>
      <c r="E111" s="2632"/>
      <c r="F111" s="2633"/>
      <c r="G111" s="2634"/>
      <c r="H111" s="2632">
        <v>1</v>
      </c>
      <c r="I111" s="2633"/>
      <c r="J111" s="2634">
        <f>SUM(H111:I111)</f>
        <v>1</v>
      </c>
      <c r="K111" s="2632">
        <v>4</v>
      </c>
      <c r="L111" s="2633">
        <v>2</v>
      </c>
      <c r="M111" s="2634">
        <f t="shared" si="57"/>
        <v>6</v>
      </c>
      <c r="N111" s="4673">
        <v>1</v>
      </c>
      <c r="O111" s="2633"/>
      <c r="P111" s="2634">
        <f t="shared" si="58"/>
        <v>1</v>
      </c>
      <c r="Q111" s="5298"/>
      <c r="R111" s="2633"/>
      <c r="S111" s="2634"/>
    </row>
    <row r="112" spans="3:19" ht="12.75" customHeight="1" x14ac:dyDescent="0.25">
      <c r="C112" s="6069"/>
      <c r="D112" s="2631" t="s">
        <v>417</v>
      </c>
      <c r="E112" s="2632"/>
      <c r="F112" s="2633"/>
      <c r="G112" s="2634"/>
      <c r="H112" s="2632"/>
      <c r="I112" s="2633"/>
      <c r="J112" s="2634"/>
      <c r="K112" s="2632">
        <v>2</v>
      </c>
      <c r="L112" s="2633"/>
      <c r="M112" s="2634">
        <f t="shared" si="57"/>
        <v>2</v>
      </c>
      <c r="N112" s="4673">
        <v>2</v>
      </c>
      <c r="O112" s="2633"/>
      <c r="P112" s="2634">
        <f t="shared" si="58"/>
        <v>2</v>
      </c>
      <c r="Q112" s="5298"/>
      <c r="R112" s="2633"/>
      <c r="S112" s="2634"/>
    </row>
    <row r="113" spans="3:19" ht="12.75" customHeight="1" x14ac:dyDescent="0.25">
      <c r="C113" s="6070"/>
      <c r="D113" s="2631" t="s">
        <v>354</v>
      </c>
      <c r="E113" s="2632">
        <v>2</v>
      </c>
      <c r="F113" s="2633"/>
      <c r="G113" s="2634">
        <f>SUM(E113:F113)</f>
        <v>2</v>
      </c>
      <c r="H113" s="2632">
        <v>2</v>
      </c>
      <c r="I113" s="2633">
        <v>2</v>
      </c>
      <c r="J113" s="2634">
        <f>SUM(H113:I113)</f>
        <v>4</v>
      </c>
      <c r="K113" s="2632">
        <v>3</v>
      </c>
      <c r="L113" s="2633">
        <v>3</v>
      </c>
      <c r="M113" s="2634">
        <f t="shared" si="57"/>
        <v>6</v>
      </c>
      <c r="N113" s="4673">
        <v>2</v>
      </c>
      <c r="O113" s="2633">
        <v>1</v>
      </c>
      <c r="P113" s="2634">
        <f t="shared" si="58"/>
        <v>3</v>
      </c>
      <c r="Q113" s="5298"/>
      <c r="R113" s="2633">
        <v>1</v>
      </c>
      <c r="S113" s="2634">
        <f t="shared" ref="S113" si="60">SUM(Q113:R113)</f>
        <v>1</v>
      </c>
    </row>
    <row r="114" spans="3:19" ht="12.75" customHeight="1" x14ac:dyDescent="0.25">
      <c r="C114" s="2635"/>
      <c r="D114" s="2636" t="s">
        <v>92</v>
      </c>
      <c r="E114" s="2635">
        <f t="shared" ref="E114:M114" si="61">SUM(E104:E113)</f>
        <v>5</v>
      </c>
      <c r="F114" s="2637">
        <f t="shared" si="61"/>
        <v>3</v>
      </c>
      <c r="G114" s="2636">
        <f t="shared" si="61"/>
        <v>8</v>
      </c>
      <c r="H114" s="2635">
        <f t="shared" si="61"/>
        <v>16</v>
      </c>
      <c r="I114" s="2637">
        <f t="shared" si="61"/>
        <v>5</v>
      </c>
      <c r="J114" s="2636">
        <f t="shared" si="61"/>
        <v>21</v>
      </c>
      <c r="K114" s="2635">
        <f t="shared" si="61"/>
        <v>27</v>
      </c>
      <c r="L114" s="2637">
        <f t="shared" si="61"/>
        <v>10</v>
      </c>
      <c r="M114" s="2636">
        <f t="shared" si="61"/>
        <v>37</v>
      </c>
      <c r="N114" s="2635">
        <f t="shared" ref="N114:P114" si="62">SUM(N104:N113)</f>
        <v>9</v>
      </c>
      <c r="O114" s="2637">
        <f t="shared" si="62"/>
        <v>7</v>
      </c>
      <c r="P114" s="2636">
        <f t="shared" si="62"/>
        <v>16</v>
      </c>
      <c r="Q114" s="2635">
        <f t="shared" ref="Q114:S114" si="63">SUM(Q104:Q113)</f>
        <v>2</v>
      </c>
      <c r="R114" s="2637">
        <f t="shared" si="63"/>
        <v>1</v>
      </c>
      <c r="S114" s="2636">
        <f t="shared" si="63"/>
        <v>3</v>
      </c>
    </row>
    <row r="115" spans="3:19" ht="12.75" customHeight="1" x14ac:dyDescent="0.25">
      <c r="C115" s="6071" t="s">
        <v>517</v>
      </c>
      <c r="D115" s="2631" t="s">
        <v>418</v>
      </c>
      <c r="E115" s="2632"/>
      <c r="F115" s="2633"/>
      <c r="G115" s="2634"/>
      <c r="H115" s="2632">
        <v>1</v>
      </c>
      <c r="I115" s="2633">
        <v>2</v>
      </c>
      <c r="J115" s="2634">
        <f>SUM(H115:I115)</f>
        <v>3</v>
      </c>
      <c r="K115" s="2632">
        <v>7</v>
      </c>
      <c r="L115" s="2633">
        <v>1</v>
      </c>
      <c r="M115" s="2634">
        <f>SUM(K115:L115)</f>
        <v>8</v>
      </c>
      <c r="N115" s="4673">
        <v>4</v>
      </c>
      <c r="O115" s="2633">
        <v>1</v>
      </c>
      <c r="P115" s="2634">
        <f>SUM(N115:O115)</f>
        <v>5</v>
      </c>
      <c r="Q115" s="5298">
        <v>1</v>
      </c>
      <c r="R115" s="2633">
        <v>1</v>
      </c>
      <c r="S115" s="2634">
        <f>SUM(Q115:R115)</f>
        <v>2</v>
      </c>
    </row>
    <row r="116" spans="3:19" ht="12.75" customHeight="1" x14ac:dyDescent="0.25">
      <c r="C116" s="6072"/>
      <c r="D116" s="2631" t="s">
        <v>670</v>
      </c>
      <c r="E116" s="2632"/>
      <c r="F116" s="2633"/>
      <c r="G116" s="2634"/>
      <c r="H116" s="2632"/>
      <c r="I116" s="2633"/>
      <c r="J116" s="2634"/>
      <c r="K116" s="2632">
        <v>1</v>
      </c>
      <c r="L116" s="2633"/>
      <c r="M116" s="2634">
        <f>SUM(K116:L116)</f>
        <v>1</v>
      </c>
      <c r="N116" s="4673"/>
      <c r="O116" s="2633"/>
      <c r="P116" s="2634"/>
      <c r="Q116" s="5298"/>
      <c r="R116" s="2633"/>
      <c r="S116" s="2634"/>
    </row>
    <row r="117" spans="3:19" ht="12.75" customHeight="1" x14ac:dyDescent="0.25">
      <c r="C117" s="6073"/>
      <c r="D117" s="2631" t="s">
        <v>419</v>
      </c>
      <c r="E117" s="2632"/>
      <c r="F117" s="2633"/>
      <c r="G117" s="2634"/>
      <c r="H117" s="2632"/>
      <c r="I117" s="2633"/>
      <c r="J117" s="2634"/>
      <c r="K117" s="2632">
        <v>1</v>
      </c>
      <c r="L117" s="2633">
        <v>1</v>
      </c>
      <c r="M117" s="2634">
        <f>SUM(K117:L117)</f>
        <v>2</v>
      </c>
      <c r="N117" s="4673"/>
      <c r="O117" s="2633"/>
      <c r="P117" s="2634"/>
      <c r="Q117" s="5298"/>
      <c r="R117" s="2633"/>
      <c r="S117" s="2634"/>
    </row>
    <row r="118" spans="3:19" ht="14.4" customHeight="1" x14ac:dyDescent="0.25">
      <c r="C118" s="2632" t="s">
        <v>518</v>
      </c>
      <c r="D118" s="2631" t="s">
        <v>421</v>
      </c>
      <c r="E118" s="2632"/>
      <c r="F118" s="2633">
        <v>1</v>
      </c>
      <c r="G118" s="2634">
        <f>SUM(E118:F118)</f>
        <v>1</v>
      </c>
      <c r="H118" s="2632"/>
      <c r="I118" s="2633"/>
      <c r="J118" s="2634">
        <f>SUM(H118:I118)</f>
        <v>0</v>
      </c>
      <c r="K118" s="2632">
        <v>1</v>
      </c>
      <c r="L118" s="2633"/>
      <c r="M118" s="2634">
        <f>SUM(K118:L118)</f>
        <v>1</v>
      </c>
      <c r="N118" s="4673">
        <v>3</v>
      </c>
      <c r="O118" s="2633"/>
      <c r="P118" s="2634">
        <f>SUM(N118:O118)</f>
        <v>3</v>
      </c>
      <c r="Q118" s="5298"/>
      <c r="R118" s="2633"/>
      <c r="S118" s="2634"/>
    </row>
    <row r="119" spans="3:19" ht="14.4" x14ac:dyDescent="0.25">
      <c r="C119" s="2635"/>
      <c r="D119" s="2636" t="s">
        <v>68</v>
      </c>
      <c r="E119" s="2635">
        <f>SUM(E118)</f>
        <v>0</v>
      </c>
      <c r="F119" s="2637">
        <f>SUM(F118)</f>
        <v>1</v>
      </c>
      <c r="G119" s="2636">
        <f>SUM(G118)</f>
        <v>1</v>
      </c>
      <c r="H119" s="2635">
        <f t="shared" ref="H119:M119" si="64">SUM(H115:H118)</f>
        <v>1</v>
      </c>
      <c r="I119" s="2637">
        <f t="shared" si="64"/>
        <v>2</v>
      </c>
      <c r="J119" s="2636">
        <f t="shared" si="64"/>
        <v>3</v>
      </c>
      <c r="K119" s="2635">
        <f t="shared" si="64"/>
        <v>10</v>
      </c>
      <c r="L119" s="2637">
        <f t="shared" si="64"/>
        <v>2</v>
      </c>
      <c r="M119" s="2636">
        <f t="shared" si="64"/>
        <v>12</v>
      </c>
      <c r="N119" s="2635">
        <f t="shared" ref="N119:P119" si="65">SUM(N115:N118)</f>
        <v>7</v>
      </c>
      <c r="O119" s="2637">
        <f t="shared" si="65"/>
        <v>1</v>
      </c>
      <c r="P119" s="2636">
        <f t="shared" si="65"/>
        <v>8</v>
      </c>
      <c r="Q119" s="2635">
        <f t="shared" ref="Q119:S119" si="66">SUM(Q115:Q118)</f>
        <v>1</v>
      </c>
      <c r="R119" s="2637">
        <f t="shared" si="66"/>
        <v>1</v>
      </c>
      <c r="S119" s="2636">
        <f t="shared" si="66"/>
        <v>2</v>
      </c>
    </row>
    <row r="120" spans="3:19" ht="14.4" x14ac:dyDescent="0.25">
      <c r="C120" s="2659"/>
      <c r="D120" s="2660" t="s">
        <v>422</v>
      </c>
      <c r="E120" s="2661">
        <f t="shared" ref="E120:M120" si="67">SUM(E119,E114,E103)</f>
        <v>7</v>
      </c>
      <c r="F120" s="2662">
        <f t="shared" si="67"/>
        <v>4</v>
      </c>
      <c r="G120" s="2660">
        <f t="shared" si="67"/>
        <v>11</v>
      </c>
      <c r="H120" s="2661">
        <f t="shared" si="67"/>
        <v>32</v>
      </c>
      <c r="I120" s="2662">
        <f t="shared" si="67"/>
        <v>15</v>
      </c>
      <c r="J120" s="2660">
        <f t="shared" si="67"/>
        <v>47</v>
      </c>
      <c r="K120" s="2661">
        <f t="shared" si="67"/>
        <v>54</v>
      </c>
      <c r="L120" s="2662">
        <f t="shared" si="67"/>
        <v>26</v>
      </c>
      <c r="M120" s="2660">
        <f t="shared" si="67"/>
        <v>80</v>
      </c>
      <c r="N120" s="2661">
        <f t="shared" ref="N120:P120" si="68">SUM(N119,N114,N103)</f>
        <v>40</v>
      </c>
      <c r="O120" s="2662">
        <f t="shared" si="68"/>
        <v>25</v>
      </c>
      <c r="P120" s="2660">
        <f t="shared" si="68"/>
        <v>65</v>
      </c>
      <c r="Q120" s="2661">
        <f t="shared" ref="Q120:S120" si="69">SUM(Q119,Q114,Q103)</f>
        <v>7</v>
      </c>
      <c r="R120" s="2662">
        <f t="shared" si="69"/>
        <v>2</v>
      </c>
      <c r="S120" s="2660">
        <f t="shared" si="69"/>
        <v>9</v>
      </c>
    </row>
    <row r="121" spans="3:19" ht="14.4" x14ac:dyDescent="0.25">
      <c r="E121" s="2663"/>
      <c r="F121" s="2663"/>
      <c r="G121" s="2663"/>
      <c r="H121" s="2663"/>
      <c r="I121" s="2663"/>
      <c r="J121" s="2663"/>
      <c r="K121" s="2663"/>
      <c r="L121" s="2663"/>
      <c r="M121" s="2663"/>
      <c r="N121" s="2663"/>
      <c r="O121" s="2663"/>
      <c r="P121" s="2663"/>
      <c r="Q121" s="2663"/>
      <c r="R121" s="2663"/>
      <c r="S121" s="2663"/>
    </row>
    <row r="122" spans="3:19" ht="14.4" x14ac:dyDescent="0.25">
      <c r="C122" s="2664"/>
      <c r="D122" s="2665" t="s">
        <v>431</v>
      </c>
      <c r="E122" s="2666">
        <f t="shared" ref="E122:P122" si="70">SUM(E39,E48,E86,E120)</f>
        <v>27</v>
      </c>
      <c r="F122" s="2665">
        <f t="shared" si="70"/>
        <v>30</v>
      </c>
      <c r="G122" s="2667">
        <f t="shared" si="70"/>
        <v>57</v>
      </c>
      <c r="H122" s="2666">
        <f t="shared" si="70"/>
        <v>83</v>
      </c>
      <c r="I122" s="2665">
        <f t="shared" si="70"/>
        <v>60</v>
      </c>
      <c r="J122" s="2667">
        <f t="shared" si="70"/>
        <v>143</v>
      </c>
      <c r="K122" s="2666">
        <f t="shared" si="70"/>
        <v>150</v>
      </c>
      <c r="L122" s="2665">
        <f t="shared" si="70"/>
        <v>111</v>
      </c>
      <c r="M122" s="2667">
        <f t="shared" si="70"/>
        <v>261</v>
      </c>
      <c r="N122" s="4670">
        <f t="shared" si="70"/>
        <v>85</v>
      </c>
      <c r="O122" s="4671">
        <f t="shared" si="70"/>
        <v>91</v>
      </c>
      <c r="P122" s="2667">
        <f t="shared" si="70"/>
        <v>176</v>
      </c>
      <c r="Q122" s="5295">
        <f t="shared" ref="Q122:S122" si="71">SUM(Q39,Q48,Q86,Q120)</f>
        <v>21</v>
      </c>
      <c r="R122" s="5296">
        <f t="shared" si="71"/>
        <v>7</v>
      </c>
      <c r="S122" s="2667">
        <f t="shared" si="71"/>
        <v>28</v>
      </c>
    </row>
    <row r="123" spans="3:19" x14ac:dyDescent="0.25">
      <c r="C123" s="2341" t="s">
        <v>622</v>
      </c>
    </row>
  </sheetData>
  <mergeCells count="25">
    <mergeCell ref="Q3:S3"/>
    <mergeCell ref="C70:C76"/>
    <mergeCell ref="N3:P3"/>
    <mergeCell ref="C22:C25"/>
    <mergeCell ref="C57:C63"/>
    <mergeCell ref="K3:M3"/>
    <mergeCell ref="C5:C9"/>
    <mergeCell ref="C49:C56"/>
    <mergeCell ref="C3:C4"/>
    <mergeCell ref="D3:D4"/>
    <mergeCell ref="E3:G3"/>
    <mergeCell ref="H3:J3"/>
    <mergeCell ref="C13:C21"/>
    <mergeCell ref="C27:C28"/>
    <mergeCell ref="C29:C33"/>
    <mergeCell ref="C34:C37"/>
    <mergeCell ref="C1:D1"/>
    <mergeCell ref="C111:C113"/>
    <mergeCell ref="C115:C117"/>
    <mergeCell ref="C66:C69"/>
    <mergeCell ref="C78:C81"/>
    <mergeCell ref="C82:C84"/>
    <mergeCell ref="C88:C97"/>
    <mergeCell ref="C98:C102"/>
    <mergeCell ref="C104:C11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61" firstPageNumber="103" orientation="landscape" useFirstPageNumber="1" r:id="rId1"/>
  <headerFooter scaleWithDoc="0" alignWithMargins="0">
    <oddFooter>&amp;R&amp;P</oddFooter>
  </headerFooter>
  <rowBreaks count="2" manualBreakCount="2">
    <brk id="48" min="2" max="18" man="1"/>
    <brk id="86" min="2" max="18" man="1"/>
  </rowBreaks>
  <ignoredErrors>
    <ignoredError sqref="P11:P12 N39:P42 F77:M122 F11:M75 P14 P16:P18 P20:P24 P26 N44:P45 N43:O43 N47:P51 N46:O46 N53:P58 N52:O52 N60:P60 N59:O59 N62:P64 N61:O61 N69:P74 N65:O68 N77:P77 N75:O75 N80:P80 N78:O79 N82:P83 N81:O81 N85:P86 N84:O84 N89:P97 N87:O88 N103:P108 N102:O102 N111:P115 N109:O110 N118:P122 N116:O117 N100:N101 P100:P101 N99:P99 O98:P98 S77 S114" formula="1"/>
  </ignoredError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</sheetPr>
  <dimension ref="B1:N100"/>
  <sheetViews>
    <sheetView showGridLines="0" zoomScaleNormal="100" workbookViewId="0">
      <pane xSplit="2" ySplit="4" topLeftCell="C5" activePane="bottomRight" state="frozen"/>
      <selection activeCell="Q31" sqref="Q31"/>
      <selection pane="topRight" activeCell="Q31" sqref="Q31"/>
      <selection pane="bottomLeft" activeCell="Q31" sqref="Q31"/>
      <selection pane="bottomRight" activeCell="Q31" sqref="Q31"/>
    </sheetView>
  </sheetViews>
  <sheetFormatPr baseColWidth="10" defaultColWidth="10.88671875" defaultRowHeight="13.8" x14ac:dyDescent="0.3"/>
  <cols>
    <col min="1" max="1" width="2.88671875" style="997" customWidth="1"/>
    <col min="2" max="2" width="53.88671875" style="997" customWidth="1"/>
    <col min="3" max="3" width="8.5546875" style="4694" customWidth="1"/>
    <col min="4" max="4" width="9.44140625" style="4694" customWidth="1"/>
    <col min="5" max="5" width="7.88671875" style="4694" customWidth="1"/>
    <col min="6" max="6" width="8.5546875" style="997" customWidth="1"/>
    <col min="7" max="7" width="9" style="997" customWidth="1"/>
    <col min="8" max="8" width="7.88671875" style="997" customWidth="1"/>
    <col min="9" max="9" width="8.5546875" style="997" customWidth="1"/>
    <col min="10" max="10" width="9.44140625" style="997" customWidth="1"/>
    <col min="11" max="11" width="7.88671875" style="997" customWidth="1"/>
    <col min="12" max="16384" width="10.88671875" style="997"/>
  </cols>
  <sheetData>
    <row r="1" spans="2:14" ht="54" x14ac:dyDescent="0.35">
      <c r="B1" s="4762" t="s">
        <v>1589</v>
      </c>
    </row>
    <row r="3" spans="2:14" ht="14.4" x14ac:dyDescent="0.3">
      <c r="B3" s="6052" t="s">
        <v>624</v>
      </c>
      <c r="C3" s="6066">
        <v>2019</v>
      </c>
      <c r="D3" s="6064"/>
      <c r="E3" s="6065"/>
      <c r="F3" s="6066">
        <v>2020</v>
      </c>
      <c r="G3" s="6064"/>
      <c r="H3" s="6065"/>
      <c r="I3" s="6066">
        <v>2021</v>
      </c>
      <c r="J3" s="6064"/>
      <c r="K3" s="6065"/>
      <c r="L3" s="6066">
        <v>2022</v>
      </c>
      <c r="M3" s="6064"/>
      <c r="N3" s="6065"/>
    </row>
    <row r="4" spans="2:14" ht="14.4" x14ac:dyDescent="0.3">
      <c r="B4" s="6053"/>
      <c r="C4" s="2565" t="s">
        <v>140</v>
      </c>
      <c r="D4" s="2565" t="s">
        <v>141</v>
      </c>
      <c r="E4" s="2566" t="s">
        <v>48</v>
      </c>
      <c r="F4" s="2565" t="s">
        <v>140</v>
      </c>
      <c r="G4" s="2565" t="s">
        <v>141</v>
      </c>
      <c r="H4" s="2566" t="s">
        <v>48</v>
      </c>
      <c r="I4" s="2565" t="s">
        <v>140</v>
      </c>
      <c r="J4" s="2565" t="s">
        <v>141</v>
      </c>
      <c r="K4" s="2566" t="s">
        <v>48</v>
      </c>
      <c r="L4" s="2565" t="s">
        <v>140</v>
      </c>
      <c r="M4" s="2565" t="s">
        <v>141</v>
      </c>
      <c r="N4" s="2566" t="s">
        <v>48</v>
      </c>
    </row>
    <row r="5" spans="2:14" ht="14.4" x14ac:dyDescent="0.3">
      <c r="B5" s="4695" t="s">
        <v>49</v>
      </c>
      <c r="C5" s="4696">
        <v>5</v>
      </c>
      <c r="D5" s="4697"/>
      <c r="E5" s="4698">
        <v>5</v>
      </c>
      <c r="F5" s="4696">
        <v>1</v>
      </c>
      <c r="G5" s="4697"/>
      <c r="H5" s="4698">
        <f>SUM(F5:G5)</f>
        <v>1</v>
      </c>
      <c r="I5" s="4696"/>
      <c r="J5" s="4697"/>
      <c r="K5" s="4698"/>
      <c r="L5" s="4696"/>
      <c r="M5" s="4697"/>
      <c r="N5" s="2683">
        <f t="shared" ref="N5:N13" si="0">SUM(L5:M5)</f>
        <v>0</v>
      </c>
    </row>
    <row r="6" spans="2:14" ht="14.4" x14ac:dyDescent="0.3">
      <c r="B6" s="5362" t="s">
        <v>50</v>
      </c>
      <c r="C6" s="4702"/>
      <c r="D6" s="4704"/>
      <c r="E6" s="4703"/>
      <c r="F6" s="4702"/>
      <c r="G6" s="4704"/>
      <c r="H6" s="4703"/>
      <c r="I6" s="4702"/>
      <c r="J6" s="4704"/>
      <c r="K6" s="4703"/>
      <c r="L6" s="4702"/>
      <c r="M6" s="4704">
        <v>4</v>
      </c>
      <c r="N6" s="2683">
        <f t="shared" si="0"/>
        <v>4</v>
      </c>
    </row>
    <row r="7" spans="2:14" ht="14.4" x14ac:dyDescent="0.3">
      <c r="B7" s="5362" t="s">
        <v>51</v>
      </c>
      <c r="C7" s="4702"/>
      <c r="D7" s="4704"/>
      <c r="E7" s="4703"/>
      <c r="F7" s="4702"/>
      <c r="G7" s="4704"/>
      <c r="H7" s="4703"/>
      <c r="I7" s="4702"/>
      <c r="J7" s="4704"/>
      <c r="K7" s="4703"/>
      <c r="L7" s="4702"/>
      <c r="M7" s="4704"/>
      <c r="N7" s="2683">
        <f t="shared" si="0"/>
        <v>0</v>
      </c>
    </row>
    <row r="8" spans="2:14" ht="14.4" x14ac:dyDescent="0.3">
      <c r="B8" s="5362" t="s">
        <v>57</v>
      </c>
      <c r="C8" s="4702"/>
      <c r="D8" s="4704"/>
      <c r="E8" s="4703"/>
      <c r="F8" s="4702"/>
      <c r="G8" s="4704"/>
      <c r="H8" s="4703"/>
      <c r="I8" s="4702"/>
      <c r="J8" s="4704"/>
      <c r="K8" s="4703"/>
      <c r="L8" s="4702">
        <v>1</v>
      </c>
      <c r="M8" s="4704">
        <v>1</v>
      </c>
      <c r="N8" s="2683">
        <f t="shared" si="0"/>
        <v>2</v>
      </c>
    </row>
    <row r="9" spans="2:14" ht="14.4" x14ac:dyDescent="0.3">
      <c r="B9" s="5362" t="s">
        <v>58</v>
      </c>
      <c r="C9" s="4702"/>
      <c r="D9" s="4704"/>
      <c r="E9" s="4703"/>
      <c r="F9" s="4702"/>
      <c r="G9" s="4704"/>
      <c r="H9" s="4703"/>
      <c r="I9" s="4702"/>
      <c r="J9" s="4704"/>
      <c r="K9" s="4703"/>
      <c r="L9" s="4702"/>
      <c r="M9" s="4704"/>
      <c r="N9" s="2683">
        <f t="shared" si="0"/>
        <v>0</v>
      </c>
    </row>
    <row r="10" spans="2:14" ht="14.4" x14ac:dyDescent="0.3">
      <c r="B10" s="4699" t="s">
        <v>52</v>
      </c>
      <c r="C10" s="2676">
        <v>1</v>
      </c>
      <c r="D10" s="2676">
        <v>2</v>
      </c>
      <c r="E10" s="2683">
        <v>3</v>
      </c>
      <c r="F10" s="2676"/>
      <c r="G10" s="2676"/>
      <c r="H10" s="2683"/>
      <c r="I10" s="2676">
        <v>1</v>
      </c>
      <c r="J10" s="2676">
        <v>2</v>
      </c>
      <c r="K10" s="2683">
        <f t="shared" ref="K10:K14" si="1">SUM(I10:J10)</f>
        <v>3</v>
      </c>
      <c r="L10" s="2676"/>
      <c r="M10" s="2676">
        <v>3</v>
      </c>
      <c r="N10" s="2683">
        <f t="shared" si="0"/>
        <v>3</v>
      </c>
    </row>
    <row r="11" spans="2:14" ht="14.4" x14ac:dyDescent="0.3">
      <c r="B11" s="4699" t="s">
        <v>53</v>
      </c>
      <c r="C11" s="2676">
        <v>1</v>
      </c>
      <c r="D11" s="2676">
        <v>1</v>
      </c>
      <c r="E11" s="2683">
        <v>2</v>
      </c>
      <c r="F11" s="2676"/>
      <c r="G11" s="2676"/>
      <c r="H11" s="2683"/>
      <c r="I11" s="2676">
        <v>1</v>
      </c>
      <c r="J11" s="2676"/>
      <c r="K11" s="2683">
        <f t="shared" si="1"/>
        <v>1</v>
      </c>
      <c r="L11" s="2676"/>
      <c r="M11" s="2676">
        <v>1</v>
      </c>
      <c r="N11" s="2683">
        <f t="shared" si="0"/>
        <v>1</v>
      </c>
    </row>
    <row r="12" spans="2:14" ht="14.4" x14ac:dyDescent="0.3">
      <c r="B12" s="4699" t="s">
        <v>54</v>
      </c>
      <c r="C12" s="2676">
        <v>1</v>
      </c>
      <c r="D12" s="2675"/>
      <c r="E12" s="2683">
        <v>1</v>
      </c>
      <c r="F12" s="2676"/>
      <c r="G12" s="2675"/>
      <c r="H12" s="2683"/>
      <c r="I12" s="2676"/>
      <c r="J12" s="2675">
        <v>1</v>
      </c>
      <c r="K12" s="2683">
        <f t="shared" si="1"/>
        <v>1</v>
      </c>
      <c r="L12" s="2676">
        <v>1</v>
      </c>
      <c r="M12" s="2675">
        <v>2</v>
      </c>
      <c r="N12" s="2683">
        <f t="shared" si="0"/>
        <v>3</v>
      </c>
    </row>
    <row r="13" spans="2:14" ht="14.4" x14ac:dyDescent="0.3">
      <c r="B13" s="5363" t="s">
        <v>55</v>
      </c>
      <c r="C13" s="2676"/>
      <c r="D13" s="2675"/>
      <c r="E13" s="2683"/>
      <c r="F13" s="2676"/>
      <c r="G13" s="2675"/>
      <c r="H13" s="2683"/>
      <c r="I13" s="2676"/>
      <c r="J13" s="2675"/>
      <c r="K13" s="2683"/>
      <c r="L13" s="2676"/>
      <c r="M13" s="2675">
        <v>1</v>
      </c>
      <c r="N13" s="2683">
        <f t="shared" si="0"/>
        <v>1</v>
      </c>
    </row>
    <row r="14" spans="2:14" ht="14.4" x14ac:dyDescent="0.3">
      <c r="B14" s="4699" t="s">
        <v>56</v>
      </c>
      <c r="C14" s="2676">
        <v>1</v>
      </c>
      <c r="D14" s="2675"/>
      <c r="E14" s="2683">
        <v>1</v>
      </c>
      <c r="F14" s="2676">
        <v>1</v>
      </c>
      <c r="G14" s="2675"/>
      <c r="H14" s="2683">
        <f t="shared" ref="H14:H95" si="2">SUM(F14:G14)</f>
        <v>1</v>
      </c>
      <c r="I14" s="2676"/>
      <c r="J14" s="2675">
        <v>1</v>
      </c>
      <c r="K14" s="2683">
        <f t="shared" si="1"/>
        <v>1</v>
      </c>
      <c r="L14" s="2676">
        <v>2</v>
      </c>
      <c r="M14" s="2675"/>
      <c r="N14" s="2683">
        <f t="shared" ref="N14" si="3">SUM(L14:M14)</f>
        <v>2</v>
      </c>
    </row>
    <row r="15" spans="2:14" ht="14.4" x14ac:dyDescent="0.3">
      <c r="B15" s="4700" t="s">
        <v>59</v>
      </c>
      <c r="C15" s="2684">
        <f t="shared" ref="C15:H15" si="4">SUM(C5:C14)</f>
        <v>9</v>
      </c>
      <c r="D15" s="2684">
        <f t="shared" si="4"/>
        <v>3</v>
      </c>
      <c r="E15" s="2685">
        <f t="shared" si="4"/>
        <v>12</v>
      </c>
      <c r="F15" s="2684">
        <f t="shared" si="4"/>
        <v>2</v>
      </c>
      <c r="G15" s="2684">
        <f t="shared" si="4"/>
        <v>0</v>
      </c>
      <c r="H15" s="2685">
        <f t="shared" si="4"/>
        <v>2</v>
      </c>
      <c r="I15" s="2684">
        <f t="shared" ref="I15:K15" si="5">SUM(I5:I14)</f>
        <v>2</v>
      </c>
      <c r="J15" s="2684">
        <f t="shared" si="5"/>
        <v>4</v>
      </c>
      <c r="K15" s="2685">
        <f t="shared" si="5"/>
        <v>6</v>
      </c>
      <c r="L15" s="2684">
        <f t="shared" ref="L15:N15" si="6">SUM(L5:L14)</f>
        <v>4</v>
      </c>
      <c r="M15" s="2684">
        <f t="shared" si="6"/>
        <v>12</v>
      </c>
      <c r="N15" s="2685">
        <f t="shared" si="6"/>
        <v>16</v>
      </c>
    </row>
    <row r="16" spans="2:14" ht="14.4" x14ac:dyDescent="0.3">
      <c r="B16" s="4699" t="s">
        <v>60</v>
      </c>
      <c r="C16" s="2675"/>
      <c r="D16" s="2676">
        <v>1</v>
      </c>
      <c r="E16" s="2683">
        <v>1</v>
      </c>
      <c r="F16" s="2675">
        <v>2</v>
      </c>
      <c r="G16" s="2676">
        <v>1</v>
      </c>
      <c r="H16" s="2683">
        <f t="shared" si="2"/>
        <v>3</v>
      </c>
      <c r="I16" s="2676">
        <v>1</v>
      </c>
      <c r="J16" s="2676">
        <v>1</v>
      </c>
      <c r="K16" s="2683">
        <f t="shared" ref="K16" si="7">SUM(I16:J16)</f>
        <v>2</v>
      </c>
      <c r="L16" s="2676">
        <v>6</v>
      </c>
      <c r="M16" s="2676">
        <v>2</v>
      </c>
      <c r="N16" s="2683">
        <f t="shared" ref="N16:N19" si="8">SUM(L16:M16)</f>
        <v>8</v>
      </c>
    </row>
    <row r="17" spans="2:14" ht="14.4" x14ac:dyDescent="0.3">
      <c r="B17" s="4699" t="s">
        <v>61</v>
      </c>
      <c r="C17" s="2676">
        <v>4</v>
      </c>
      <c r="D17" s="2676">
        <v>3</v>
      </c>
      <c r="E17" s="2683">
        <v>7</v>
      </c>
      <c r="F17" s="2676"/>
      <c r="G17" s="2676"/>
      <c r="H17" s="2683"/>
      <c r="I17" s="2676"/>
      <c r="J17" s="2676"/>
      <c r="K17" s="2683"/>
      <c r="L17" s="2676">
        <v>7</v>
      </c>
      <c r="M17" s="2676">
        <v>1</v>
      </c>
      <c r="N17" s="2683">
        <f t="shared" si="8"/>
        <v>8</v>
      </c>
    </row>
    <row r="18" spans="2:14" ht="14.4" x14ac:dyDescent="0.3">
      <c r="B18" s="4699" t="s">
        <v>62</v>
      </c>
      <c r="C18" s="2675"/>
      <c r="D18" s="2676">
        <v>1</v>
      </c>
      <c r="E18" s="2683">
        <v>1</v>
      </c>
      <c r="F18" s="2675"/>
      <c r="G18" s="2676"/>
      <c r="H18" s="2683"/>
      <c r="I18" s="2675"/>
      <c r="J18" s="2676"/>
      <c r="K18" s="2683"/>
      <c r="L18" s="2675">
        <v>3</v>
      </c>
      <c r="M18" s="2676">
        <v>2</v>
      </c>
      <c r="N18" s="2683">
        <f t="shared" si="8"/>
        <v>5</v>
      </c>
    </row>
    <row r="19" spans="2:14" ht="14.4" x14ac:dyDescent="0.3">
      <c r="B19" s="4699" t="s">
        <v>63</v>
      </c>
      <c r="C19" s="2676">
        <v>1</v>
      </c>
      <c r="D19" s="2676">
        <v>1</v>
      </c>
      <c r="E19" s="2683">
        <v>2</v>
      </c>
      <c r="F19" s="2676">
        <v>2</v>
      </c>
      <c r="G19" s="2676"/>
      <c r="H19" s="2683">
        <f t="shared" si="2"/>
        <v>2</v>
      </c>
      <c r="I19" s="2676"/>
      <c r="J19" s="2676"/>
      <c r="K19" s="2683"/>
      <c r="L19" s="2676">
        <v>1</v>
      </c>
      <c r="M19" s="2676"/>
      <c r="N19" s="2683">
        <f t="shared" si="8"/>
        <v>1</v>
      </c>
    </row>
    <row r="20" spans="2:14" ht="14.4" x14ac:dyDescent="0.3">
      <c r="B20" s="4700" t="s">
        <v>64</v>
      </c>
      <c r="C20" s="2684">
        <f t="shared" ref="C20:H20" si="9">SUM(C16:C19)</f>
        <v>5</v>
      </c>
      <c r="D20" s="2684">
        <f t="shared" si="9"/>
        <v>6</v>
      </c>
      <c r="E20" s="2685">
        <f t="shared" si="9"/>
        <v>11</v>
      </c>
      <c r="F20" s="2684">
        <f t="shared" si="9"/>
        <v>4</v>
      </c>
      <c r="G20" s="2684">
        <f t="shared" si="9"/>
        <v>1</v>
      </c>
      <c r="H20" s="2685">
        <f t="shared" si="9"/>
        <v>5</v>
      </c>
      <c r="I20" s="2684">
        <f t="shared" ref="I20:K20" si="10">SUM(I16:I19)</f>
        <v>1</v>
      </c>
      <c r="J20" s="2684">
        <f t="shared" si="10"/>
        <v>1</v>
      </c>
      <c r="K20" s="2685">
        <f t="shared" si="10"/>
        <v>2</v>
      </c>
      <c r="L20" s="2684">
        <f t="shared" ref="L20:N20" si="11">SUM(L16:L19)</f>
        <v>17</v>
      </c>
      <c r="M20" s="2684">
        <f t="shared" si="11"/>
        <v>5</v>
      </c>
      <c r="N20" s="2685">
        <f t="shared" si="11"/>
        <v>22</v>
      </c>
    </row>
    <row r="21" spans="2:14" ht="14.4" x14ac:dyDescent="0.3">
      <c r="B21" s="4699" t="s">
        <v>65</v>
      </c>
      <c r="C21" s="2676">
        <v>1</v>
      </c>
      <c r="D21" s="2676">
        <v>1</v>
      </c>
      <c r="E21" s="2683">
        <v>2</v>
      </c>
      <c r="F21" s="2676"/>
      <c r="G21" s="2676"/>
      <c r="H21" s="2683"/>
      <c r="I21" s="2676">
        <v>1</v>
      </c>
      <c r="J21" s="2676"/>
      <c r="K21" s="2683">
        <f t="shared" ref="K21:K23" si="12">SUM(I21:J21)</f>
        <v>1</v>
      </c>
      <c r="L21" s="2676"/>
      <c r="M21" s="2676">
        <v>2</v>
      </c>
      <c r="N21" s="2683">
        <f t="shared" ref="N21" si="13">SUM(L21:M21)</f>
        <v>2</v>
      </c>
    </row>
    <row r="22" spans="2:14" ht="14.4" x14ac:dyDescent="0.3">
      <c r="B22" s="4699" t="s">
        <v>1590</v>
      </c>
      <c r="C22" s="2676">
        <v>7</v>
      </c>
      <c r="D22" s="2676">
        <v>2</v>
      </c>
      <c r="E22" s="2683">
        <v>9</v>
      </c>
      <c r="F22" s="2676">
        <v>1</v>
      </c>
      <c r="G22" s="2676"/>
      <c r="H22" s="2683">
        <f t="shared" si="2"/>
        <v>1</v>
      </c>
      <c r="I22" s="2676"/>
      <c r="J22" s="2676"/>
      <c r="K22" s="2683"/>
      <c r="L22" s="2676">
        <v>5</v>
      </c>
      <c r="M22" s="2676"/>
      <c r="N22" s="2683">
        <f t="shared" ref="N22:N23" si="14">SUM(L22:M22)</f>
        <v>5</v>
      </c>
    </row>
    <row r="23" spans="2:14" ht="14.4" x14ac:dyDescent="0.3">
      <c r="B23" s="4699" t="s">
        <v>67</v>
      </c>
      <c r="C23" s="2676">
        <v>7</v>
      </c>
      <c r="D23" s="2676">
        <v>2</v>
      </c>
      <c r="E23" s="2683">
        <v>9</v>
      </c>
      <c r="F23" s="2676">
        <v>1</v>
      </c>
      <c r="G23" s="2676"/>
      <c r="H23" s="2683">
        <f t="shared" si="2"/>
        <v>1</v>
      </c>
      <c r="I23" s="2676">
        <v>1</v>
      </c>
      <c r="J23" s="2676">
        <v>1</v>
      </c>
      <c r="K23" s="2683">
        <f t="shared" si="12"/>
        <v>2</v>
      </c>
      <c r="L23" s="2676">
        <v>2</v>
      </c>
      <c r="M23" s="2676"/>
      <c r="N23" s="2683">
        <f t="shared" si="14"/>
        <v>2</v>
      </c>
    </row>
    <row r="24" spans="2:14" ht="14.4" x14ac:dyDescent="0.3">
      <c r="B24" s="4701" t="s">
        <v>68</v>
      </c>
      <c r="C24" s="2684">
        <f t="shared" ref="C24:H24" si="15">SUM(C21:C23)</f>
        <v>15</v>
      </c>
      <c r="D24" s="2684">
        <f t="shared" si="15"/>
        <v>5</v>
      </c>
      <c r="E24" s="2685">
        <f t="shared" si="15"/>
        <v>20</v>
      </c>
      <c r="F24" s="2684">
        <f t="shared" si="15"/>
        <v>2</v>
      </c>
      <c r="G24" s="2684">
        <f t="shared" si="15"/>
        <v>0</v>
      </c>
      <c r="H24" s="2685">
        <f t="shared" si="15"/>
        <v>2</v>
      </c>
      <c r="I24" s="2684">
        <f t="shared" ref="I24:K24" si="16">SUM(I21:I23)</f>
        <v>2</v>
      </c>
      <c r="J24" s="2684">
        <f t="shared" si="16"/>
        <v>1</v>
      </c>
      <c r="K24" s="2685">
        <f t="shared" si="16"/>
        <v>3</v>
      </c>
      <c r="L24" s="2684">
        <f t="shared" ref="L24:N24" si="17">SUM(L21:L23)</f>
        <v>7</v>
      </c>
      <c r="M24" s="2684">
        <f t="shared" si="17"/>
        <v>2</v>
      </c>
      <c r="N24" s="2685">
        <f t="shared" si="17"/>
        <v>9</v>
      </c>
    </row>
    <row r="25" spans="2:14" ht="14.4" x14ac:dyDescent="0.3">
      <c r="B25" s="2669" t="s">
        <v>347</v>
      </c>
      <c r="C25" s="2670">
        <f t="shared" ref="C25:H25" si="18">SUM(C24,C20,C15)</f>
        <v>29</v>
      </c>
      <c r="D25" s="2670">
        <f t="shared" si="18"/>
        <v>14</v>
      </c>
      <c r="E25" s="2671">
        <f t="shared" si="18"/>
        <v>43</v>
      </c>
      <c r="F25" s="2670">
        <f t="shared" si="18"/>
        <v>8</v>
      </c>
      <c r="G25" s="2670">
        <f t="shared" si="18"/>
        <v>1</v>
      </c>
      <c r="H25" s="2671">
        <f t="shared" si="18"/>
        <v>9</v>
      </c>
      <c r="I25" s="2670">
        <f t="shared" ref="I25:K25" si="19">SUM(I24,I20,I15)</f>
        <v>5</v>
      </c>
      <c r="J25" s="2670">
        <f t="shared" si="19"/>
        <v>6</v>
      </c>
      <c r="K25" s="2671">
        <f t="shared" si="19"/>
        <v>11</v>
      </c>
      <c r="L25" s="2670">
        <f t="shared" ref="L25:N25" si="20">SUM(L24,L20,L15)</f>
        <v>28</v>
      </c>
      <c r="M25" s="2670">
        <f t="shared" si="20"/>
        <v>19</v>
      </c>
      <c r="N25" s="2671">
        <f t="shared" si="20"/>
        <v>47</v>
      </c>
    </row>
    <row r="26" spans="2:14" ht="14.4" x14ac:dyDescent="0.3">
      <c r="B26" s="4699" t="s">
        <v>110</v>
      </c>
      <c r="C26" s="4702">
        <v>2</v>
      </c>
      <c r="D26" s="4702">
        <v>1</v>
      </c>
      <c r="E26" s="4703">
        <v>3</v>
      </c>
      <c r="F26" s="4702"/>
      <c r="G26" s="4702">
        <v>1</v>
      </c>
      <c r="H26" s="4703">
        <f t="shared" si="2"/>
        <v>1</v>
      </c>
      <c r="I26" s="4702">
        <v>1</v>
      </c>
      <c r="J26" s="4702">
        <v>1</v>
      </c>
      <c r="K26" s="4703">
        <f t="shared" ref="K26" si="21">SUM(I26:J26)</f>
        <v>2</v>
      </c>
      <c r="L26" s="4702">
        <v>1</v>
      </c>
      <c r="M26" s="4702">
        <v>1</v>
      </c>
      <c r="N26" s="4703">
        <f t="shared" ref="N26:N28" si="22">SUM(L26:M26)</f>
        <v>2</v>
      </c>
    </row>
    <row r="27" spans="2:14" ht="14.4" x14ac:dyDescent="0.3">
      <c r="B27" s="4699" t="s">
        <v>108</v>
      </c>
      <c r="C27" s="2676">
        <v>2</v>
      </c>
      <c r="D27" s="2675"/>
      <c r="E27" s="2683">
        <v>2</v>
      </c>
      <c r="F27" s="2676">
        <v>1</v>
      </c>
      <c r="G27" s="2675"/>
      <c r="H27" s="2683">
        <f t="shared" si="2"/>
        <v>1</v>
      </c>
      <c r="I27" s="2676"/>
      <c r="J27" s="2675"/>
      <c r="K27" s="2683"/>
      <c r="L27" s="2676"/>
      <c r="M27" s="2675"/>
      <c r="N27" s="4703">
        <f t="shared" si="22"/>
        <v>0</v>
      </c>
    </row>
    <row r="28" spans="2:14" ht="14.4" x14ac:dyDescent="0.3">
      <c r="B28" s="5364" t="s">
        <v>173</v>
      </c>
      <c r="C28" s="2676"/>
      <c r="D28" s="2675"/>
      <c r="E28" s="2683"/>
      <c r="F28" s="2676"/>
      <c r="G28" s="2675"/>
      <c r="H28" s="2683"/>
      <c r="I28" s="2676"/>
      <c r="J28" s="2675"/>
      <c r="K28" s="2683"/>
      <c r="L28" s="2676"/>
      <c r="M28" s="2675">
        <v>3</v>
      </c>
      <c r="N28" s="4703">
        <f t="shared" si="22"/>
        <v>3</v>
      </c>
    </row>
    <row r="29" spans="2:14" ht="14.4" x14ac:dyDescent="0.3">
      <c r="B29" s="4701" t="s">
        <v>111</v>
      </c>
      <c r="C29" s="2684">
        <f t="shared" ref="C29:H29" si="23">SUM(C26:C27)</f>
        <v>4</v>
      </c>
      <c r="D29" s="2684">
        <f t="shared" si="23"/>
        <v>1</v>
      </c>
      <c r="E29" s="2685">
        <f t="shared" si="23"/>
        <v>5</v>
      </c>
      <c r="F29" s="2684">
        <f t="shared" si="23"/>
        <v>1</v>
      </c>
      <c r="G29" s="2684">
        <f t="shared" si="23"/>
        <v>1</v>
      </c>
      <c r="H29" s="2685">
        <f t="shared" si="23"/>
        <v>2</v>
      </c>
      <c r="I29" s="2684">
        <f t="shared" ref="I29:K29" si="24">SUM(I26:I27)</f>
        <v>1</v>
      </c>
      <c r="J29" s="2684">
        <f t="shared" si="24"/>
        <v>1</v>
      </c>
      <c r="K29" s="2685">
        <f t="shared" si="24"/>
        <v>2</v>
      </c>
      <c r="L29" s="2684">
        <f>SUM(L26:L28)</f>
        <v>1</v>
      </c>
      <c r="M29" s="2684">
        <f>SUM(M26:M28)</f>
        <v>4</v>
      </c>
      <c r="N29" s="2685">
        <f>SUM(N26:N28)</f>
        <v>5</v>
      </c>
    </row>
    <row r="30" spans="2:14" ht="14.4" x14ac:dyDescent="0.3">
      <c r="B30" s="4699" t="s">
        <v>1591</v>
      </c>
      <c r="C30" s="2676">
        <v>1</v>
      </c>
      <c r="D30" s="2676">
        <v>2</v>
      </c>
      <c r="E30" s="2683">
        <v>3</v>
      </c>
      <c r="F30" s="2676">
        <v>2</v>
      </c>
      <c r="G30" s="2676">
        <v>2</v>
      </c>
      <c r="H30" s="2683">
        <f t="shared" si="2"/>
        <v>4</v>
      </c>
      <c r="I30" s="2676">
        <v>2</v>
      </c>
      <c r="J30" s="2676"/>
      <c r="K30" s="2683">
        <f t="shared" ref="K30" si="25">SUM(I30:J30)</f>
        <v>2</v>
      </c>
      <c r="L30" s="2676">
        <v>3</v>
      </c>
      <c r="M30" s="2676">
        <v>2</v>
      </c>
      <c r="N30" s="2683">
        <f t="shared" ref="N30:N32" si="26">SUM(L30:M30)</f>
        <v>5</v>
      </c>
    </row>
    <row r="31" spans="2:14" ht="14.4" x14ac:dyDescent="0.3">
      <c r="B31" s="4699" t="s">
        <v>113</v>
      </c>
      <c r="C31" s="2676">
        <v>1</v>
      </c>
      <c r="D31" s="2676">
        <v>1</v>
      </c>
      <c r="E31" s="2683">
        <v>2</v>
      </c>
      <c r="F31" s="2676"/>
      <c r="G31" s="2676"/>
      <c r="H31" s="2683"/>
      <c r="I31" s="2676"/>
      <c r="J31" s="2676"/>
      <c r="K31" s="2683"/>
      <c r="L31" s="2676">
        <v>2</v>
      </c>
      <c r="M31" s="2676">
        <v>2</v>
      </c>
      <c r="N31" s="2683">
        <f t="shared" si="26"/>
        <v>4</v>
      </c>
    </row>
    <row r="32" spans="2:14" ht="14.4" x14ac:dyDescent="0.3">
      <c r="B32" s="5365" t="s">
        <v>58</v>
      </c>
      <c r="C32" s="2676"/>
      <c r="D32" s="2676"/>
      <c r="E32" s="2683"/>
      <c r="F32" s="2676"/>
      <c r="G32" s="2676">
        <v>1</v>
      </c>
      <c r="H32" s="2683">
        <f t="shared" si="2"/>
        <v>1</v>
      </c>
      <c r="I32" s="2676"/>
      <c r="J32" s="2676"/>
      <c r="K32" s="2683"/>
      <c r="L32" s="2676"/>
      <c r="M32" s="2676"/>
      <c r="N32" s="2683">
        <f t="shared" si="26"/>
        <v>0</v>
      </c>
    </row>
    <row r="33" spans="2:14" ht="14.4" x14ac:dyDescent="0.3">
      <c r="B33" s="4701" t="s">
        <v>115</v>
      </c>
      <c r="C33" s="2684">
        <f>SUM(C30:C31)</f>
        <v>2</v>
      </c>
      <c r="D33" s="2684">
        <f>SUM(D30:D31)</f>
        <v>3</v>
      </c>
      <c r="E33" s="2685">
        <f>SUM(E30:E31)</f>
        <v>5</v>
      </c>
      <c r="F33" s="2684">
        <f t="shared" ref="F33:K33" si="27">SUM(F30:F32)</f>
        <v>2</v>
      </c>
      <c r="G33" s="2684">
        <f t="shared" si="27"/>
        <v>3</v>
      </c>
      <c r="H33" s="2685">
        <f t="shared" si="27"/>
        <v>5</v>
      </c>
      <c r="I33" s="2684">
        <f t="shared" si="27"/>
        <v>2</v>
      </c>
      <c r="J33" s="2684">
        <f t="shared" si="27"/>
        <v>0</v>
      </c>
      <c r="K33" s="2685">
        <f t="shared" si="27"/>
        <v>2</v>
      </c>
      <c r="L33" s="2684">
        <f t="shared" ref="L33:N33" si="28">SUM(L30:L32)</f>
        <v>5</v>
      </c>
      <c r="M33" s="2684">
        <f t="shared" si="28"/>
        <v>4</v>
      </c>
      <c r="N33" s="2685">
        <f t="shared" si="28"/>
        <v>9</v>
      </c>
    </row>
    <row r="34" spans="2:14" ht="14.4" x14ac:dyDescent="0.3">
      <c r="B34" s="4699" t="s">
        <v>60</v>
      </c>
      <c r="C34" s="2675"/>
      <c r="D34" s="2676">
        <v>1</v>
      </c>
      <c r="E34" s="2683">
        <v>1</v>
      </c>
      <c r="F34" s="2675"/>
      <c r="G34" s="2676"/>
      <c r="H34" s="2683"/>
      <c r="I34" s="2675"/>
      <c r="J34" s="2676"/>
      <c r="K34" s="2683"/>
      <c r="L34" s="2675">
        <v>2</v>
      </c>
      <c r="M34" s="2676">
        <v>2</v>
      </c>
      <c r="N34" s="2683">
        <f t="shared" ref="N34:N37" si="29">SUM(L34:M34)</f>
        <v>4</v>
      </c>
    </row>
    <row r="35" spans="2:14" ht="14.4" x14ac:dyDescent="0.3">
      <c r="B35" s="4699" t="s">
        <v>61</v>
      </c>
      <c r="C35" s="2676">
        <v>2</v>
      </c>
      <c r="D35" s="2675"/>
      <c r="E35" s="2683">
        <v>2</v>
      </c>
      <c r="F35" s="2676">
        <v>1</v>
      </c>
      <c r="G35" s="2675">
        <v>1</v>
      </c>
      <c r="H35" s="2683">
        <f t="shared" si="2"/>
        <v>2</v>
      </c>
      <c r="I35" s="2676">
        <v>1</v>
      </c>
      <c r="J35" s="2675">
        <v>1</v>
      </c>
      <c r="K35" s="2683">
        <f t="shared" ref="K35" si="30">SUM(I35:J35)</f>
        <v>2</v>
      </c>
      <c r="L35" s="2676"/>
      <c r="M35" s="2675"/>
      <c r="N35" s="2683">
        <f t="shared" si="29"/>
        <v>0</v>
      </c>
    </row>
    <row r="36" spans="2:14" ht="14.4" x14ac:dyDescent="0.3">
      <c r="B36" s="5363" t="s">
        <v>106</v>
      </c>
      <c r="C36" s="2676"/>
      <c r="D36" s="2675"/>
      <c r="E36" s="2683"/>
      <c r="F36" s="2676"/>
      <c r="G36" s="2675"/>
      <c r="H36" s="2683"/>
      <c r="I36" s="2676"/>
      <c r="J36" s="2675"/>
      <c r="K36" s="2683"/>
      <c r="L36" s="2676">
        <v>1</v>
      </c>
      <c r="M36" s="2675"/>
      <c r="N36" s="2683">
        <f t="shared" si="29"/>
        <v>1</v>
      </c>
    </row>
    <row r="37" spans="2:14" ht="14.4" x14ac:dyDescent="0.3">
      <c r="B37" s="4699" t="s">
        <v>107</v>
      </c>
      <c r="C37" s="2676">
        <v>1</v>
      </c>
      <c r="D37" s="2675"/>
      <c r="E37" s="2683">
        <v>1</v>
      </c>
      <c r="F37" s="2676"/>
      <c r="G37" s="2675"/>
      <c r="H37" s="2683"/>
      <c r="I37" s="2676"/>
      <c r="J37" s="2675"/>
      <c r="K37" s="2683"/>
      <c r="L37" s="2676">
        <v>1</v>
      </c>
      <c r="M37" s="2675"/>
      <c r="N37" s="2683">
        <f t="shared" si="29"/>
        <v>1</v>
      </c>
    </row>
    <row r="38" spans="2:14" ht="14.4" x14ac:dyDescent="0.3">
      <c r="B38" s="4701" t="s">
        <v>64</v>
      </c>
      <c r="C38" s="2684">
        <f t="shared" ref="C38:H38" si="31">SUM(C34:C37)</f>
        <v>3</v>
      </c>
      <c r="D38" s="2684">
        <f t="shared" si="31"/>
        <v>1</v>
      </c>
      <c r="E38" s="2685">
        <f t="shared" si="31"/>
        <v>4</v>
      </c>
      <c r="F38" s="2684">
        <f t="shared" si="31"/>
        <v>1</v>
      </c>
      <c r="G38" s="2684">
        <f t="shared" si="31"/>
        <v>1</v>
      </c>
      <c r="H38" s="2685">
        <f t="shared" si="31"/>
        <v>2</v>
      </c>
      <c r="I38" s="2684">
        <f t="shared" ref="I38:K38" si="32">SUM(I34:I37)</f>
        <v>1</v>
      </c>
      <c r="J38" s="2684">
        <f t="shared" si="32"/>
        <v>1</v>
      </c>
      <c r="K38" s="2685">
        <f t="shared" si="32"/>
        <v>2</v>
      </c>
      <c r="L38" s="2684">
        <f t="shared" ref="L38:N38" si="33">SUM(L34:L37)</f>
        <v>4</v>
      </c>
      <c r="M38" s="2684">
        <f t="shared" si="33"/>
        <v>2</v>
      </c>
      <c r="N38" s="2685">
        <f t="shared" si="33"/>
        <v>6</v>
      </c>
    </row>
    <row r="39" spans="2:14" ht="14.4" x14ac:dyDescent="0.3">
      <c r="B39" s="2672" t="s">
        <v>355</v>
      </c>
      <c r="C39" s="2673">
        <f t="shared" ref="C39:H39" si="34">SUM(C38,C33,C29)</f>
        <v>9</v>
      </c>
      <c r="D39" s="2673">
        <f t="shared" si="34"/>
        <v>5</v>
      </c>
      <c r="E39" s="2674">
        <f t="shared" si="34"/>
        <v>14</v>
      </c>
      <c r="F39" s="2673">
        <f t="shared" si="34"/>
        <v>4</v>
      </c>
      <c r="G39" s="2673">
        <f t="shared" si="34"/>
        <v>5</v>
      </c>
      <c r="H39" s="2674">
        <f t="shared" si="34"/>
        <v>9</v>
      </c>
      <c r="I39" s="2673">
        <f t="shared" ref="I39:K39" si="35">SUM(I38,I33,I29)</f>
        <v>4</v>
      </c>
      <c r="J39" s="2673">
        <f t="shared" si="35"/>
        <v>2</v>
      </c>
      <c r="K39" s="2674">
        <f t="shared" si="35"/>
        <v>6</v>
      </c>
      <c r="L39" s="2673">
        <f t="shared" ref="L39:N39" si="36">SUM(L38,L33,L29)</f>
        <v>10</v>
      </c>
      <c r="M39" s="2673">
        <f t="shared" si="36"/>
        <v>10</v>
      </c>
      <c r="N39" s="2674">
        <f t="shared" si="36"/>
        <v>20</v>
      </c>
    </row>
    <row r="40" spans="2:14" ht="14.4" x14ac:dyDescent="0.3">
      <c r="B40" s="4851" t="s">
        <v>77</v>
      </c>
      <c r="C40" s="2675"/>
      <c r="D40" s="2676"/>
      <c r="E40" s="2683"/>
      <c r="F40" s="2675"/>
      <c r="G40" s="2676"/>
      <c r="H40" s="2683"/>
      <c r="I40" s="4848"/>
      <c r="J40" s="2676"/>
      <c r="K40" s="2683"/>
      <c r="L40" s="4848">
        <v>1</v>
      </c>
      <c r="M40" s="2676"/>
      <c r="N40" s="2683">
        <f t="shared" ref="N40:N48" si="37">SUM(L40:M40)</f>
        <v>1</v>
      </c>
    </row>
    <row r="41" spans="2:14" ht="14.4" x14ac:dyDescent="0.3">
      <c r="B41" s="4851" t="s">
        <v>76</v>
      </c>
      <c r="C41" s="2676"/>
      <c r="D41" s="2675"/>
      <c r="E41" s="2683"/>
      <c r="F41" s="2676"/>
      <c r="G41" s="2675"/>
      <c r="H41" s="2683"/>
      <c r="I41" s="4847"/>
      <c r="J41" s="2675"/>
      <c r="K41" s="2683"/>
      <c r="L41" s="4847"/>
      <c r="M41" s="2675">
        <v>1</v>
      </c>
      <c r="N41" s="2683">
        <f t="shared" si="37"/>
        <v>1</v>
      </c>
    </row>
    <row r="42" spans="2:14" ht="14.4" x14ac:dyDescent="0.3">
      <c r="B42" s="4706" t="s">
        <v>73</v>
      </c>
      <c r="C42" s="2676">
        <v>1</v>
      </c>
      <c r="D42" s="2675"/>
      <c r="E42" s="2683">
        <v>1</v>
      </c>
      <c r="F42" s="2676"/>
      <c r="G42" s="2675">
        <v>1</v>
      </c>
      <c r="H42" s="2683">
        <f t="shared" si="2"/>
        <v>1</v>
      </c>
      <c r="I42" s="4847"/>
      <c r="J42" s="2675"/>
      <c r="K42" s="2683"/>
      <c r="L42" s="4847"/>
      <c r="M42" s="2675">
        <v>1</v>
      </c>
      <c r="N42" s="2683">
        <f t="shared" si="37"/>
        <v>1</v>
      </c>
    </row>
    <row r="43" spans="2:14" ht="14.4" x14ac:dyDescent="0.3">
      <c r="B43" s="4706" t="s">
        <v>70</v>
      </c>
      <c r="C43" s="4702"/>
      <c r="D43" s="4704"/>
      <c r="E43" s="4703"/>
      <c r="F43" s="4702"/>
      <c r="G43" s="4704"/>
      <c r="H43" s="4703"/>
      <c r="I43" s="4847"/>
      <c r="J43" s="4704">
        <v>1</v>
      </c>
      <c r="K43" s="2683">
        <f t="shared" ref="K43:K49" si="38">SUM(I43:J43)</f>
        <v>1</v>
      </c>
      <c r="L43" s="4847">
        <v>1</v>
      </c>
      <c r="M43" s="4704">
        <v>2</v>
      </c>
      <c r="N43" s="2683">
        <f t="shared" ref="N43" si="39">SUM(L43:M43)</f>
        <v>3</v>
      </c>
    </row>
    <row r="44" spans="2:14" ht="14.4" x14ac:dyDescent="0.3">
      <c r="B44" s="5363" t="s">
        <v>57</v>
      </c>
      <c r="C44" s="4702"/>
      <c r="D44" s="4704"/>
      <c r="E44" s="4703"/>
      <c r="F44" s="4702"/>
      <c r="G44" s="4704"/>
      <c r="H44" s="4703"/>
      <c r="I44" s="4847"/>
      <c r="J44" s="4704"/>
      <c r="K44" s="2683"/>
      <c r="L44" s="4847"/>
      <c r="M44" s="4704"/>
      <c r="N44" s="2683">
        <f t="shared" si="37"/>
        <v>0</v>
      </c>
    </row>
    <row r="45" spans="2:14" ht="14.4" x14ac:dyDescent="0.3">
      <c r="B45" s="5363" t="s">
        <v>72</v>
      </c>
      <c r="C45" s="4702"/>
      <c r="D45" s="4704"/>
      <c r="E45" s="4703"/>
      <c r="F45" s="4702"/>
      <c r="G45" s="4704"/>
      <c r="H45" s="4703"/>
      <c r="I45" s="4847"/>
      <c r="J45" s="4704"/>
      <c r="K45" s="2683"/>
      <c r="L45" s="4847"/>
      <c r="M45" s="4704">
        <v>1</v>
      </c>
      <c r="N45" s="2683">
        <f t="shared" si="37"/>
        <v>1</v>
      </c>
    </row>
    <row r="46" spans="2:14" ht="14.4" x14ac:dyDescent="0.3">
      <c r="B46" s="5363" t="s">
        <v>71</v>
      </c>
      <c r="C46" s="4702"/>
      <c r="D46" s="4704"/>
      <c r="E46" s="4703"/>
      <c r="F46" s="4702"/>
      <c r="G46" s="4704"/>
      <c r="H46" s="4703"/>
      <c r="I46" s="4847"/>
      <c r="J46" s="4704"/>
      <c r="K46" s="2683"/>
      <c r="L46" s="4847"/>
      <c r="M46" s="4704"/>
      <c r="N46" s="2683">
        <f t="shared" si="37"/>
        <v>0</v>
      </c>
    </row>
    <row r="47" spans="2:14" ht="14.4" x14ac:dyDescent="0.3">
      <c r="B47" s="4706" t="s">
        <v>56</v>
      </c>
      <c r="C47" s="2676">
        <v>1</v>
      </c>
      <c r="D47" s="2675"/>
      <c r="E47" s="2683">
        <v>1</v>
      </c>
      <c r="F47" s="2676"/>
      <c r="G47" s="2675"/>
      <c r="H47" s="2683"/>
      <c r="I47" s="4847"/>
      <c r="J47" s="2675"/>
      <c r="K47" s="2683"/>
      <c r="L47" s="4847">
        <v>1</v>
      </c>
      <c r="M47" s="2675"/>
      <c r="N47" s="2683">
        <f t="shared" si="37"/>
        <v>1</v>
      </c>
    </row>
    <row r="48" spans="2:14" ht="14.4" x14ac:dyDescent="0.3">
      <c r="B48" s="5363" t="s">
        <v>74</v>
      </c>
      <c r="C48" s="2676"/>
      <c r="D48" s="2675"/>
      <c r="E48" s="2683"/>
      <c r="F48" s="2676"/>
      <c r="G48" s="2675"/>
      <c r="H48" s="2683"/>
      <c r="I48" s="4847"/>
      <c r="J48" s="2675"/>
      <c r="K48" s="2683"/>
      <c r="L48" s="4847"/>
      <c r="M48" s="2675"/>
      <c r="N48" s="2683">
        <f t="shared" si="37"/>
        <v>0</v>
      </c>
    </row>
    <row r="49" spans="2:14" ht="14.4" x14ac:dyDescent="0.3">
      <c r="B49" s="4706" t="s">
        <v>75</v>
      </c>
      <c r="C49" s="2676">
        <v>1</v>
      </c>
      <c r="D49" s="2675"/>
      <c r="E49" s="2683">
        <v>1</v>
      </c>
      <c r="F49" s="2676"/>
      <c r="G49" s="2675"/>
      <c r="H49" s="2683"/>
      <c r="I49" s="4847"/>
      <c r="J49" s="2675">
        <v>1</v>
      </c>
      <c r="K49" s="2683">
        <f t="shared" si="38"/>
        <v>1</v>
      </c>
      <c r="L49" s="4847"/>
      <c r="M49" s="2675"/>
      <c r="N49" s="2683">
        <f t="shared" ref="N49" si="40">SUM(L49:M49)</f>
        <v>0</v>
      </c>
    </row>
    <row r="50" spans="2:14" ht="14.4" x14ac:dyDescent="0.3">
      <c r="B50" s="4701" t="s">
        <v>59</v>
      </c>
      <c r="C50" s="2684">
        <f t="shared" ref="C50:H50" si="41">SUM(C42:C49)</f>
        <v>3</v>
      </c>
      <c r="D50" s="2684">
        <f t="shared" si="41"/>
        <v>0</v>
      </c>
      <c r="E50" s="2685">
        <f t="shared" si="41"/>
        <v>3</v>
      </c>
      <c r="F50" s="2684">
        <f t="shared" si="41"/>
        <v>0</v>
      </c>
      <c r="G50" s="2684">
        <f t="shared" si="41"/>
        <v>1</v>
      </c>
      <c r="H50" s="2685">
        <f t="shared" si="41"/>
        <v>1</v>
      </c>
      <c r="I50" s="4797">
        <f t="shared" ref="I50:K50" si="42">SUM(I42:I49)</f>
        <v>0</v>
      </c>
      <c r="J50" s="2684">
        <f t="shared" si="42"/>
        <v>2</v>
      </c>
      <c r="K50" s="2685">
        <f t="shared" si="42"/>
        <v>2</v>
      </c>
      <c r="L50" s="2684">
        <f>SUM(L40:L49)</f>
        <v>3</v>
      </c>
      <c r="M50" s="2684">
        <f>SUM(M40:M49)</f>
        <v>5</v>
      </c>
      <c r="N50" s="2685">
        <f>SUM(N40:N49)</f>
        <v>8</v>
      </c>
    </row>
    <row r="51" spans="2:14" ht="14.4" x14ac:dyDescent="0.3">
      <c r="B51" s="4851" t="s">
        <v>86</v>
      </c>
      <c r="C51" s="2675"/>
      <c r="D51" s="2676"/>
      <c r="E51" s="2683"/>
      <c r="F51" s="2675">
        <v>1</v>
      </c>
      <c r="G51" s="2676"/>
      <c r="H51" s="2683">
        <f t="shared" si="2"/>
        <v>1</v>
      </c>
      <c r="I51" s="4848">
        <v>1</v>
      </c>
      <c r="J51" s="2676"/>
      <c r="K51" s="2683">
        <f t="shared" ref="K51:K54" si="43">SUM(I51:J51)</f>
        <v>1</v>
      </c>
      <c r="L51" s="4848">
        <v>1</v>
      </c>
      <c r="M51" s="2676">
        <v>1</v>
      </c>
      <c r="N51" s="2683">
        <f t="shared" ref="N51:N56" si="44">SUM(L51:M51)</f>
        <v>2</v>
      </c>
    </row>
    <row r="52" spans="2:14" ht="14.4" x14ac:dyDescent="0.3">
      <c r="B52" s="5366" t="s">
        <v>87</v>
      </c>
      <c r="C52" s="2675"/>
      <c r="D52" s="2676"/>
      <c r="E52" s="2683"/>
      <c r="F52" s="2675"/>
      <c r="G52" s="2676"/>
      <c r="H52" s="2683"/>
      <c r="I52" s="4848"/>
      <c r="J52" s="2676"/>
      <c r="K52" s="2683"/>
      <c r="L52" s="4848"/>
      <c r="M52" s="2676">
        <v>1</v>
      </c>
      <c r="N52" s="2683">
        <f t="shared" si="44"/>
        <v>1</v>
      </c>
    </row>
    <row r="53" spans="2:14" ht="14.4" x14ac:dyDescent="0.3">
      <c r="B53" s="4851" t="s">
        <v>90</v>
      </c>
      <c r="C53" s="2676"/>
      <c r="D53" s="2675"/>
      <c r="E53" s="2683"/>
      <c r="F53" s="2676">
        <v>1</v>
      </c>
      <c r="G53" s="2675"/>
      <c r="H53" s="2683">
        <f t="shared" si="2"/>
        <v>1</v>
      </c>
      <c r="I53" s="4847">
        <v>1</v>
      </c>
      <c r="J53" s="2675">
        <v>1</v>
      </c>
      <c r="K53" s="2683">
        <f t="shared" si="43"/>
        <v>2</v>
      </c>
      <c r="L53" s="4847">
        <v>1</v>
      </c>
      <c r="M53" s="2675"/>
      <c r="N53" s="2683">
        <f t="shared" si="44"/>
        <v>1</v>
      </c>
    </row>
    <row r="54" spans="2:14" ht="14.4" x14ac:dyDescent="0.3">
      <c r="B54" s="4706" t="s">
        <v>88</v>
      </c>
      <c r="C54" s="2676">
        <v>2</v>
      </c>
      <c r="D54" s="2675"/>
      <c r="E54" s="2683">
        <v>2</v>
      </c>
      <c r="F54" s="2676"/>
      <c r="G54" s="2675"/>
      <c r="H54" s="2683"/>
      <c r="I54" s="4847">
        <v>1</v>
      </c>
      <c r="J54" s="2675"/>
      <c r="K54" s="2683">
        <f t="shared" si="43"/>
        <v>1</v>
      </c>
      <c r="L54" s="4847"/>
      <c r="M54" s="2675"/>
      <c r="N54" s="2683">
        <f t="shared" si="44"/>
        <v>0</v>
      </c>
    </row>
    <row r="55" spans="2:14" ht="14.4" x14ac:dyDescent="0.3">
      <c r="B55" s="4706" t="s">
        <v>91</v>
      </c>
      <c r="C55" s="2676">
        <v>1</v>
      </c>
      <c r="D55" s="2675"/>
      <c r="E55" s="2683">
        <v>1</v>
      </c>
      <c r="F55" s="2676"/>
      <c r="G55" s="2675"/>
      <c r="H55" s="2683"/>
      <c r="I55" s="4847"/>
      <c r="J55" s="2675"/>
      <c r="K55" s="2683"/>
      <c r="L55" s="4847">
        <v>5</v>
      </c>
      <c r="M55" s="2675"/>
      <c r="N55" s="2683">
        <f t="shared" si="44"/>
        <v>5</v>
      </c>
    </row>
    <row r="56" spans="2:14" ht="14.4" x14ac:dyDescent="0.3">
      <c r="B56" s="5364" t="s">
        <v>89</v>
      </c>
      <c r="C56" s="2676"/>
      <c r="D56" s="2675"/>
      <c r="E56" s="2683"/>
      <c r="F56" s="2676"/>
      <c r="G56" s="2675"/>
      <c r="H56" s="2683"/>
      <c r="I56" s="4847"/>
      <c r="J56" s="2675"/>
      <c r="K56" s="2683"/>
      <c r="L56" s="4847"/>
      <c r="M56" s="2675">
        <v>1</v>
      </c>
      <c r="N56" s="2683">
        <f t="shared" si="44"/>
        <v>1</v>
      </c>
    </row>
    <row r="57" spans="2:14" ht="14.4" x14ac:dyDescent="0.3">
      <c r="B57" s="4701" t="s">
        <v>92</v>
      </c>
      <c r="C57" s="2684">
        <f>SUM(C54:C55)</f>
        <v>3</v>
      </c>
      <c r="D57" s="2684">
        <f>SUM(D54:D55)</f>
        <v>0</v>
      </c>
      <c r="E57" s="2685">
        <f>SUM(E54:E55)</f>
        <v>3</v>
      </c>
      <c r="F57" s="2684">
        <f t="shared" ref="F57:K57" si="45">SUM(F51:F55)</f>
        <v>2</v>
      </c>
      <c r="G57" s="2684">
        <f t="shared" si="45"/>
        <v>0</v>
      </c>
      <c r="H57" s="2685">
        <f t="shared" si="45"/>
        <v>2</v>
      </c>
      <c r="I57" s="4797">
        <f t="shared" si="45"/>
        <v>3</v>
      </c>
      <c r="J57" s="2684">
        <f t="shared" si="45"/>
        <v>1</v>
      </c>
      <c r="K57" s="2685">
        <f t="shared" si="45"/>
        <v>4</v>
      </c>
      <c r="L57" s="4797">
        <f t="shared" ref="L57" si="46">SUM(L51:L55)</f>
        <v>7</v>
      </c>
      <c r="M57" s="2684">
        <f>SUM(M51:M56)</f>
        <v>3</v>
      </c>
      <c r="N57" s="2685">
        <f>SUM(N51:N56)</f>
        <v>10</v>
      </c>
    </row>
    <row r="58" spans="2:14" ht="14.4" x14ac:dyDescent="0.3">
      <c r="B58" s="4706" t="s">
        <v>60</v>
      </c>
      <c r="C58" s="2675"/>
      <c r="D58" s="2676">
        <v>1</v>
      </c>
      <c r="E58" s="2683">
        <v>1</v>
      </c>
      <c r="F58" s="2675"/>
      <c r="G58" s="2676"/>
      <c r="H58" s="2683"/>
      <c r="I58" s="4848">
        <v>2</v>
      </c>
      <c r="J58" s="2676"/>
      <c r="K58" s="2683">
        <f t="shared" ref="K58:K66" si="47">SUM(I58:J58)</f>
        <v>2</v>
      </c>
      <c r="L58" s="4848">
        <v>5</v>
      </c>
      <c r="M58" s="2676">
        <v>1</v>
      </c>
      <c r="N58" s="2683">
        <f t="shared" ref="N58:N68" si="48">SUM(L58:M58)</f>
        <v>6</v>
      </c>
    </row>
    <row r="59" spans="2:14" ht="14.4" x14ac:dyDescent="0.3">
      <c r="B59" s="4706" t="s">
        <v>78</v>
      </c>
      <c r="C59" s="2675"/>
      <c r="D59" s="2676"/>
      <c r="E59" s="2683"/>
      <c r="F59" s="2675"/>
      <c r="G59" s="2676"/>
      <c r="H59" s="2683"/>
      <c r="I59" s="4848">
        <v>1</v>
      </c>
      <c r="J59" s="2676"/>
      <c r="K59" s="2683">
        <f>SUM(I59:J59)</f>
        <v>1</v>
      </c>
      <c r="L59" s="4848">
        <v>1</v>
      </c>
      <c r="M59" s="2676"/>
      <c r="N59" s="2683">
        <f t="shared" si="48"/>
        <v>1</v>
      </c>
    </row>
    <row r="60" spans="2:14" ht="14.4" x14ac:dyDescent="0.3">
      <c r="B60" s="4706" t="s">
        <v>83</v>
      </c>
      <c r="C60" s="2676">
        <v>1</v>
      </c>
      <c r="D60" s="2676">
        <v>1</v>
      </c>
      <c r="E60" s="2683">
        <v>2</v>
      </c>
      <c r="F60" s="2676"/>
      <c r="G60" s="2676"/>
      <c r="H60" s="2683"/>
      <c r="I60" s="4847"/>
      <c r="J60" s="2676"/>
      <c r="K60" s="2683"/>
      <c r="L60" s="4847">
        <v>2</v>
      </c>
      <c r="M60" s="2676">
        <v>2</v>
      </c>
      <c r="N60" s="2683">
        <f t="shared" si="48"/>
        <v>4</v>
      </c>
    </row>
    <row r="61" spans="2:14" ht="14.4" x14ac:dyDescent="0.3">
      <c r="B61" s="4706" t="s">
        <v>62</v>
      </c>
      <c r="C61" s="2675"/>
      <c r="D61" s="2676">
        <v>1</v>
      </c>
      <c r="E61" s="2683">
        <v>1</v>
      </c>
      <c r="F61" s="2675">
        <v>1</v>
      </c>
      <c r="G61" s="2676"/>
      <c r="H61" s="2683">
        <f t="shared" si="2"/>
        <v>1</v>
      </c>
      <c r="I61" s="4848"/>
      <c r="J61" s="2676"/>
      <c r="K61" s="2683"/>
      <c r="L61" s="4848">
        <v>2</v>
      </c>
      <c r="M61" s="2676"/>
      <c r="N61" s="2683">
        <f t="shared" si="48"/>
        <v>2</v>
      </c>
    </row>
    <row r="62" spans="2:14" ht="14.4" x14ac:dyDescent="0.3">
      <c r="B62" s="4706" t="s">
        <v>80</v>
      </c>
      <c r="C62" s="2675"/>
      <c r="D62" s="2676"/>
      <c r="E62" s="2683"/>
      <c r="F62" s="2675"/>
      <c r="G62" s="2676"/>
      <c r="H62" s="2683"/>
      <c r="I62" s="4848"/>
      <c r="J62" s="2676"/>
      <c r="K62" s="2683"/>
      <c r="L62" s="4848">
        <v>2</v>
      </c>
      <c r="M62" s="2676">
        <v>1</v>
      </c>
      <c r="N62" s="2683">
        <f t="shared" si="48"/>
        <v>3</v>
      </c>
    </row>
    <row r="63" spans="2:14" ht="14.4" x14ac:dyDescent="0.3">
      <c r="B63" s="4706" t="s">
        <v>85</v>
      </c>
      <c r="C63" s="2676"/>
      <c r="D63" s="2676"/>
      <c r="E63" s="2683"/>
      <c r="F63" s="2676"/>
      <c r="G63" s="2676"/>
      <c r="H63" s="2683"/>
      <c r="I63" s="4847"/>
      <c r="J63" s="2676"/>
      <c r="K63" s="2683"/>
      <c r="L63" s="4847"/>
      <c r="M63" s="2676"/>
      <c r="N63" s="2683">
        <f t="shared" si="48"/>
        <v>0</v>
      </c>
    </row>
    <row r="64" spans="2:14" ht="14.4" x14ac:dyDescent="0.3">
      <c r="B64" s="4706" t="s">
        <v>81</v>
      </c>
      <c r="C64" s="2675"/>
      <c r="D64" s="2676"/>
      <c r="E64" s="2683"/>
      <c r="F64" s="2675"/>
      <c r="G64" s="2676"/>
      <c r="H64" s="2683"/>
      <c r="I64" s="4848">
        <v>1</v>
      </c>
      <c r="J64" s="2676"/>
      <c r="K64" s="2683">
        <f t="shared" si="47"/>
        <v>1</v>
      </c>
      <c r="L64" s="4848"/>
      <c r="M64" s="2676"/>
      <c r="N64" s="2683">
        <f t="shared" si="48"/>
        <v>0</v>
      </c>
    </row>
    <row r="65" spans="2:14" ht="14.4" x14ac:dyDescent="0.3">
      <c r="B65" s="5363" t="s">
        <v>79</v>
      </c>
      <c r="C65" s="2675"/>
      <c r="D65" s="2676"/>
      <c r="E65" s="2683"/>
      <c r="F65" s="2675"/>
      <c r="G65" s="2676"/>
      <c r="H65" s="2683"/>
      <c r="I65" s="4848"/>
      <c r="J65" s="2676"/>
      <c r="K65" s="2683"/>
      <c r="L65" s="4848">
        <v>2</v>
      </c>
      <c r="M65" s="2676"/>
      <c r="N65" s="2683">
        <f t="shared" si="48"/>
        <v>2</v>
      </c>
    </row>
    <row r="66" spans="2:14" ht="14.4" x14ac:dyDescent="0.3">
      <c r="B66" s="4706" t="s">
        <v>82</v>
      </c>
      <c r="C66" s="2675"/>
      <c r="D66" s="2676"/>
      <c r="E66" s="2683"/>
      <c r="F66" s="2675"/>
      <c r="G66" s="2676"/>
      <c r="H66" s="2683"/>
      <c r="I66" s="4848"/>
      <c r="J66" s="2676">
        <v>1</v>
      </c>
      <c r="K66" s="2683">
        <f t="shared" si="47"/>
        <v>1</v>
      </c>
      <c r="L66" s="4848">
        <v>1</v>
      </c>
      <c r="M66" s="2676">
        <v>1</v>
      </c>
      <c r="N66" s="2683">
        <f t="shared" si="48"/>
        <v>2</v>
      </c>
    </row>
    <row r="67" spans="2:14" ht="14.4" x14ac:dyDescent="0.3">
      <c r="B67" s="4706" t="s">
        <v>84</v>
      </c>
      <c r="C67" s="2676">
        <v>1</v>
      </c>
      <c r="D67" s="2675"/>
      <c r="E67" s="2683">
        <v>1</v>
      </c>
      <c r="F67" s="2676"/>
      <c r="G67" s="2675"/>
      <c r="H67" s="2683"/>
      <c r="I67" s="4847"/>
      <c r="J67" s="2675"/>
      <c r="K67" s="2683"/>
      <c r="L67" s="4847">
        <v>3</v>
      </c>
      <c r="M67" s="2675"/>
      <c r="N67" s="2683">
        <f t="shared" si="48"/>
        <v>3</v>
      </c>
    </row>
    <row r="68" spans="2:14" ht="14.4" x14ac:dyDescent="0.3">
      <c r="B68" s="5364" t="s">
        <v>63</v>
      </c>
      <c r="C68" s="2676"/>
      <c r="D68" s="2675"/>
      <c r="E68" s="2683"/>
      <c r="F68" s="2676"/>
      <c r="G68" s="2675"/>
      <c r="H68" s="2683"/>
      <c r="I68" s="4847"/>
      <c r="J68" s="2675"/>
      <c r="K68" s="2683"/>
      <c r="L68" s="4847">
        <v>1</v>
      </c>
      <c r="M68" s="2675"/>
      <c r="N68" s="2683">
        <f t="shared" si="48"/>
        <v>1</v>
      </c>
    </row>
    <row r="69" spans="2:14" ht="14.4" x14ac:dyDescent="0.3">
      <c r="B69" s="4701" t="s">
        <v>64</v>
      </c>
      <c r="C69" s="2684">
        <f t="shared" ref="C69:H69" si="49">SUM(C58:C67)</f>
        <v>2</v>
      </c>
      <c r="D69" s="2684">
        <f t="shared" si="49"/>
        <v>3</v>
      </c>
      <c r="E69" s="2685">
        <f t="shared" si="49"/>
        <v>5</v>
      </c>
      <c r="F69" s="2684">
        <f t="shared" si="49"/>
        <v>1</v>
      </c>
      <c r="G69" s="2684">
        <f t="shared" si="49"/>
        <v>0</v>
      </c>
      <c r="H69" s="2685">
        <f t="shared" si="49"/>
        <v>1</v>
      </c>
      <c r="I69" s="4797">
        <f t="shared" ref="I69:K69" si="50">SUM(I58:I67)</f>
        <v>4</v>
      </c>
      <c r="J69" s="2684">
        <f t="shared" si="50"/>
        <v>1</v>
      </c>
      <c r="K69" s="2685">
        <f t="shared" si="50"/>
        <v>5</v>
      </c>
      <c r="L69" s="4797">
        <f>SUM(L58:L68)</f>
        <v>19</v>
      </c>
      <c r="M69" s="2684">
        <f>SUM(M58:M68)</f>
        <v>5</v>
      </c>
      <c r="N69" s="2685">
        <f>SUM(N58:N68)</f>
        <v>24</v>
      </c>
    </row>
    <row r="70" spans="2:14" ht="14.4" x14ac:dyDescent="0.3">
      <c r="B70" s="2677" t="s">
        <v>388</v>
      </c>
      <c r="C70" s="2678">
        <f t="shared" ref="C70:H70" si="51">SUM(C69,C57,C50)</f>
        <v>8</v>
      </c>
      <c r="D70" s="2678">
        <f t="shared" si="51"/>
        <v>3</v>
      </c>
      <c r="E70" s="2679">
        <f t="shared" si="51"/>
        <v>11</v>
      </c>
      <c r="F70" s="2678">
        <f t="shared" si="51"/>
        <v>3</v>
      </c>
      <c r="G70" s="2678">
        <f t="shared" si="51"/>
        <v>1</v>
      </c>
      <c r="H70" s="2679">
        <f t="shared" si="51"/>
        <v>4</v>
      </c>
      <c r="I70" s="4793">
        <f t="shared" ref="I70:K70" si="52">SUM(I69,I57,I50)</f>
        <v>7</v>
      </c>
      <c r="J70" s="2678">
        <f t="shared" si="52"/>
        <v>4</v>
      </c>
      <c r="K70" s="2679">
        <f t="shared" si="52"/>
        <v>11</v>
      </c>
      <c r="L70" s="4793">
        <f t="shared" ref="L70:N70" si="53">SUM(L69,L57,L50)</f>
        <v>29</v>
      </c>
      <c r="M70" s="2678">
        <f t="shared" si="53"/>
        <v>13</v>
      </c>
      <c r="N70" s="2679">
        <f t="shared" si="53"/>
        <v>42</v>
      </c>
    </row>
    <row r="71" spans="2:14" ht="14.4" x14ac:dyDescent="0.3">
      <c r="B71" s="4706" t="s">
        <v>121</v>
      </c>
      <c r="C71" s="4702">
        <v>1</v>
      </c>
      <c r="D71" s="4704"/>
      <c r="E71" s="4703">
        <v>1</v>
      </c>
      <c r="F71" s="4702">
        <v>2</v>
      </c>
      <c r="G71" s="4704">
        <v>1</v>
      </c>
      <c r="H71" s="4703">
        <f t="shared" si="2"/>
        <v>3</v>
      </c>
      <c r="I71" s="4849"/>
      <c r="J71" s="4704"/>
      <c r="K71" s="4703"/>
      <c r="L71" s="4849"/>
      <c r="M71" s="4704"/>
      <c r="N71" s="4703"/>
    </row>
    <row r="72" spans="2:14" ht="14.4" x14ac:dyDescent="0.3">
      <c r="B72" s="4706" t="s">
        <v>120</v>
      </c>
      <c r="C72" s="2676">
        <v>1</v>
      </c>
      <c r="D72" s="2675"/>
      <c r="E72" s="2683">
        <v>1</v>
      </c>
      <c r="F72" s="2676"/>
      <c r="G72" s="2675"/>
      <c r="H72" s="2683"/>
      <c r="I72" s="4847"/>
      <c r="J72" s="2675"/>
      <c r="K72" s="2683"/>
      <c r="L72" s="4847">
        <v>1</v>
      </c>
      <c r="M72" s="2675"/>
      <c r="N72" s="2683">
        <f>SUM(L72:M72)</f>
        <v>1</v>
      </c>
    </row>
    <row r="73" spans="2:14" ht="14.4" x14ac:dyDescent="0.3">
      <c r="B73" s="4701" t="s">
        <v>64</v>
      </c>
      <c r="C73" s="2684">
        <f t="shared" ref="C73:H73" si="54">SUM(C71:C72)</f>
        <v>2</v>
      </c>
      <c r="D73" s="2684">
        <f t="shared" si="54"/>
        <v>0</v>
      </c>
      <c r="E73" s="2685">
        <f t="shared" si="54"/>
        <v>2</v>
      </c>
      <c r="F73" s="2684">
        <f t="shared" si="54"/>
        <v>2</v>
      </c>
      <c r="G73" s="2684">
        <f t="shared" si="54"/>
        <v>1</v>
      </c>
      <c r="H73" s="2685">
        <f t="shared" si="54"/>
        <v>3</v>
      </c>
      <c r="I73" s="4797">
        <f t="shared" ref="I73:K73" si="55">SUM(I71:I72)</f>
        <v>0</v>
      </c>
      <c r="J73" s="2684">
        <f t="shared" si="55"/>
        <v>0</v>
      </c>
      <c r="K73" s="2685">
        <f t="shared" si="55"/>
        <v>0</v>
      </c>
      <c r="L73" s="4797">
        <f t="shared" ref="L73:N73" si="56">SUM(L71:L72)</f>
        <v>1</v>
      </c>
      <c r="M73" s="2684">
        <f t="shared" si="56"/>
        <v>0</v>
      </c>
      <c r="N73" s="2685">
        <f t="shared" si="56"/>
        <v>1</v>
      </c>
    </row>
    <row r="74" spans="2:14" ht="14.4" x14ac:dyDescent="0.3">
      <c r="B74" s="4852" t="s">
        <v>125</v>
      </c>
      <c r="C74" s="2676"/>
      <c r="D74" s="2675"/>
      <c r="E74" s="2683"/>
      <c r="F74" s="2676">
        <v>1</v>
      </c>
      <c r="G74" s="2675"/>
      <c r="H74" s="2683">
        <f>SUM(F74:G74)</f>
        <v>1</v>
      </c>
      <c r="I74" s="4847">
        <v>1</v>
      </c>
      <c r="J74" s="2675">
        <v>1</v>
      </c>
      <c r="K74" s="2683">
        <f>SUM(I74:J74)</f>
        <v>2</v>
      </c>
      <c r="L74" s="4847">
        <v>4</v>
      </c>
      <c r="M74" s="2675"/>
      <c r="N74" s="2683">
        <f>SUM(L74:M74)</f>
        <v>4</v>
      </c>
    </row>
    <row r="75" spans="2:14" ht="14.4" x14ac:dyDescent="0.3">
      <c r="B75" s="4701" t="s">
        <v>92</v>
      </c>
      <c r="C75" s="2684"/>
      <c r="D75" s="2684"/>
      <c r="E75" s="2685"/>
      <c r="F75" s="2684">
        <f t="shared" ref="F75:K75" si="57">SUM(F74)</f>
        <v>1</v>
      </c>
      <c r="G75" s="2684">
        <f t="shared" si="57"/>
        <v>0</v>
      </c>
      <c r="H75" s="2685">
        <f t="shared" si="57"/>
        <v>1</v>
      </c>
      <c r="I75" s="4797">
        <f t="shared" si="57"/>
        <v>1</v>
      </c>
      <c r="J75" s="2684">
        <f t="shared" si="57"/>
        <v>1</v>
      </c>
      <c r="K75" s="2685">
        <f t="shared" si="57"/>
        <v>2</v>
      </c>
      <c r="L75" s="4797">
        <f t="shared" ref="L75:N75" si="58">SUM(L74)</f>
        <v>4</v>
      </c>
      <c r="M75" s="2684">
        <f t="shared" si="58"/>
        <v>0</v>
      </c>
      <c r="N75" s="2685">
        <f t="shared" si="58"/>
        <v>4</v>
      </c>
    </row>
    <row r="76" spans="2:14" ht="14.4" x14ac:dyDescent="0.3">
      <c r="B76" s="2680" t="s">
        <v>389</v>
      </c>
      <c r="C76" s="2681">
        <f>SUM(C73)</f>
        <v>2</v>
      </c>
      <c r="D76" s="2681">
        <f>SUM(D73)</f>
        <v>0</v>
      </c>
      <c r="E76" s="2682">
        <f>SUM(E73)</f>
        <v>2</v>
      </c>
      <c r="F76" s="2681">
        <f t="shared" ref="F76:K76" si="59">SUM(F73,F75)</f>
        <v>3</v>
      </c>
      <c r="G76" s="2681">
        <f t="shared" si="59"/>
        <v>1</v>
      </c>
      <c r="H76" s="2682">
        <f t="shared" si="59"/>
        <v>4</v>
      </c>
      <c r="I76" s="4850">
        <f t="shared" si="59"/>
        <v>1</v>
      </c>
      <c r="J76" s="2681">
        <f t="shared" si="59"/>
        <v>1</v>
      </c>
      <c r="K76" s="2682">
        <f t="shared" si="59"/>
        <v>2</v>
      </c>
      <c r="L76" s="4850">
        <f t="shared" ref="L76:N76" si="60">SUM(L73,L75)</f>
        <v>5</v>
      </c>
      <c r="M76" s="2681">
        <f t="shared" si="60"/>
        <v>0</v>
      </c>
      <c r="N76" s="2682">
        <f t="shared" si="60"/>
        <v>5</v>
      </c>
    </row>
    <row r="77" spans="2:14" ht="14.4" x14ac:dyDescent="0.3">
      <c r="B77" s="4706" t="s">
        <v>101</v>
      </c>
      <c r="C77" s="2676"/>
      <c r="D77" s="2675"/>
      <c r="E77" s="2683"/>
      <c r="F77" s="2676">
        <v>1</v>
      </c>
      <c r="G77" s="2675"/>
      <c r="H77" s="2683">
        <f t="shared" si="2"/>
        <v>1</v>
      </c>
      <c r="I77" s="4847"/>
      <c r="J77" s="2675"/>
      <c r="K77" s="2683"/>
      <c r="L77" s="4847">
        <v>1</v>
      </c>
      <c r="M77" s="2675">
        <v>1</v>
      </c>
      <c r="N77" s="2683">
        <f t="shared" ref="N77:N84" si="61">SUM(L77:M77)</f>
        <v>2</v>
      </c>
    </row>
    <row r="78" spans="2:14" ht="14.4" x14ac:dyDescent="0.3">
      <c r="B78" s="4706" t="s">
        <v>86</v>
      </c>
      <c r="C78" s="2676">
        <v>2</v>
      </c>
      <c r="D78" s="2676"/>
      <c r="E78" s="2683">
        <v>2</v>
      </c>
      <c r="F78" s="2676"/>
      <c r="G78" s="2676">
        <v>1</v>
      </c>
      <c r="H78" s="2683">
        <f t="shared" si="2"/>
        <v>1</v>
      </c>
      <c r="I78" s="4847"/>
      <c r="J78" s="2676">
        <v>1</v>
      </c>
      <c r="K78" s="2683">
        <f t="shared" ref="K78:K84" si="62">SUM(I78:J78)</f>
        <v>1</v>
      </c>
      <c r="L78" s="4847">
        <v>4</v>
      </c>
      <c r="M78" s="2676">
        <v>1</v>
      </c>
      <c r="N78" s="2683">
        <f t="shared" si="61"/>
        <v>5</v>
      </c>
    </row>
    <row r="79" spans="2:14" ht="14.4" x14ac:dyDescent="0.3">
      <c r="B79" s="5363" t="s">
        <v>97</v>
      </c>
      <c r="C79" s="2676"/>
      <c r="D79" s="2676"/>
      <c r="E79" s="2683"/>
      <c r="F79" s="2676"/>
      <c r="G79" s="2676"/>
      <c r="H79" s="2683"/>
      <c r="I79" s="4847"/>
      <c r="J79" s="2676"/>
      <c r="K79" s="2683"/>
      <c r="L79" s="4847">
        <v>5</v>
      </c>
      <c r="M79" s="2676"/>
      <c r="N79" s="2683">
        <f t="shared" si="61"/>
        <v>5</v>
      </c>
    </row>
    <row r="80" spans="2:14" ht="14.4" x14ac:dyDescent="0.3">
      <c r="B80" s="4854" t="s">
        <v>98</v>
      </c>
      <c r="C80" s="2676"/>
      <c r="D80" s="2676"/>
      <c r="E80" s="2683"/>
      <c r="F80" s="2676">
        <v>1</v>
      </c>
      <c r="G80" s="2676"/>
      <c r="H80" s="2683">
        <f>SUM(F80:G80)</f>
        <v>1</v>
      </c>
      <c r="I80" s="4847"/>
      <c r="J80" s="2676"/>
      <c r="K80" s="2683"/>
      <c r="L80" s="4847">
        <v>4</v>
      </c>
      <c r="M80" s="2676"/>
      <c r="N80" s="2683">
        <f t="shared" si="61"/>
        <v>4</v>
      </c>
    </row>
    <row r="81" spans="2:14" ht="14.4" x14ac:dyDescent="0.3">
      <c r="B81" s="4706" t="s">
        <v>102</v>
      </c>
      <c r="C81" s="2676">
        <v>1</v>
      </c>
      <c r="D81" s="2676">
        <v>1</v>
      </c>
      <c r="E81" s="2683">
        <v>2</v>
      </c>
      <c r="F81" s="2676"/>
      <c r="G81" s="2676"/>
      <c r="H81" s="2683"/>
      <c r="I81" s="4847">
        <v>3</v>
      </c>
      <c r="J81" s="2676"/>
      <c r="K81" s="2683">
        <f t="shared" si="62"/>
        <v>3</v>
      </c>
      <c r="L81" s="4847">
        <v>3</v>
      </c>
      <c r="M81" s="2676">
        <v>1</v>
      </c>
      <c r="N81" s="2683">
        <f t="shared" si="61"/>
        <v>4</v>
      </c>
    </row>
    <row r="82" spans="2:14" ht="14.4" x14ac:dyDescent="0.3">
      <c r="B82" s="4853" t="s">
        <v>100</v>
      </c>
      <c r="C82" s="2676"/>
      <c r="D82" s="2676"/>
      <c r="E82" s="2683"/>
      <c r="F82" s="2676"/>
      <c r="G82" s="2676"/>
      <c r="H82" s="2683"/>
      <c r="I82" s="4847">
        <v>1</v>
      </c>
      <c r="J82" s="2676"/>
      <c r="K82" s="2683">
        <f t="shared" si="62"/>
        <v>1</v>
      </c>
      <c r="L82" s="4847">
        <v>5</v>
      </c>
      <c r="M82" s="2676"/>
      <c r="N82" s="2683">
        <f t="shared" si="61"/>
        <v>5</v>
      </c>
    </row>
    <row r="83" spans="2:14" ht="14.4" x14ac:dyDescent="0.3">
      <c r="B83" s="4854" t="s">
        <v>103</v>
      </c>
      <c r="C83" s="2676"/>
      <c r="D83" s="2676"/>
      <c r="E83" s="2683"/>
      <c r="F83" s="2676">
        <v>4</v>
      </c>
      <c r="G83" s="2676"/>
      <c r="H83" s="2683">
        <f t="shared" si="2"/>
        <v>4</v>
      </c>
      <c r="I83" s="4847">
        <v>1</v>
      </c>
      <c r="J83" s="2676"/>
      <c r="K83" s="2683">
        <f t="shared" si="62"/>
        <v>1</v>
      </c>
      <c r="L83" s="4847">
        <v>5</v>
      </c>
      <c r="M83" s="2676"/>
      <c r="N83" s="2683">
        <f t="shared" si="61"/>
        <v>5</v>
      </c>
    </row>
    <row r="84" spans="2:14" ht="14.4" x14ac:dyDescent="0.3">
      <c r="B84" s="4706" t="s">
        <v>99</v>
      </c>
      <c r="C84" s="2676">
        <v>2</v>
      </c>
      <c r="D84" s="2675"/>
      <c r="E84" s="2683">
        <v>2</v>
      </c>
      <c r="F84" s="2676"/>
      <c r="G84" s="2675">
        <v>1</v>
      </c>
      <c r="H84" s="2683">
        <f t="shared" si="2"/>
        <v>1</v>
      </c>
      <c r="I84" s="4847">
        <v>1</v>
      </c>
      <c r="J84" s="2675"/>
      <c r="K84" s="2683">
        <f t="shared" si="62"/>
        <v>1</v>
      </c>
      <c r="L84" s="4847">
        <v>3</v>
      </c>
      <c r="M84" s="2675">
        <v>3</v>
      </c>
      <c r="N84" s="2683">
        <f t="shared" si="61"/>
        <v>6</v>
      </c>
    </row>
    <row r="85" spans="2:14" ht="14.4" x14ac:dyDescent="0.3">
      <c r="B85" s="4701" t="s">
        <v>92</v>
      </c>
      <c r="C85" s="2684">
        <f>SUM(C78:C84)</f>
        <v>5</v>
      </c>
      <c r="D85" s="2684">
        <f>SUM(D78:D84)</f>
        <v>1</v>
      </c>
      <c r="E85" s="2685">
        <f>SUM(E78:E84)</f>
        <v>6</v>
      </c>
      <c r="F85" s="2684">
        <f t="shared" ref="F85:N85" si="63">SUM(F77:F84)</f>
        <v>6</v>
      </c>
      <c r="G85" s="2684">
        <f t="shared" si="63"/>
        <v>2</v>
      </c>
      <c r="H85" s="2685">
        <f t="shared" si="63"/>
        <v>8</v>
      </c>
      <c r="I85" s="4797">
        <f t="shared" si="63"/>
        <v>6</v>
      </c>
      <c r="J85" s="2684">
        <f t="shared" si="63"/>
        <v>1</v>
      </c>
      <c r="K85" s="2685">
        <f t="shared" si="63"/>
        <v>7</v>
      </c>
      <c r="L85" s="4797">
        <f t="shared" si="63"/>
        <v>30</v>
      </c>
      <c r="M85" s="2684">
        <f t="shared" si="63"/>
        <v>6</v>
      </c>
      <c r="N85" s="2685">
        <f t="shared" si="63"/>
        <v>36</v>
      </c>
    </row>
    <row r="86" spans="2:14" ht="14.4" x14ac:dyDescent="0.3">
      <c r="B86" s="4706" t="s">
        <v>60</v>
      </c>
      <c r="C86" s="2676"/>
      <c r="D86" s="2675"/>
      <c r="E86" s="2683"/>
      <c r="F86" s="2676"/>
      <c r="G86" s="2675"/>
      <c r="H86" s="2683"/>
      <c r="I86" s="4847"/>
      <c r="J86" s="2675"/>
      <c r="K86" s="2683"/>
      <c r="L86" s="4847">
        <v>1</v>
      </c>
      <c r="M86" s="2675"/>
      <c r="N86" s="2683">
        <f t="shared" ref="N86:N91" si="64">SUM(L86:M86)</f>
        <v>1</v>
      </c>
    </row>
    <row r="87" spans="2:14" ht="14.4" x14ac:dyDescent="0.3">
      <c r="B87" s="4706" t="s">
        <v>94</v>
      </c>
      <c r="C87" s="2676">
        <v>3</v>
      </c>
      <c r="D87" s="2675"/>
      <c r="E87" s="2683">
        <v>3</v>
      </c>
      <c r="F87" s="2676">
        <v>1</v>
      </c>
      <c r="G87" s="2675">
        <v>1</v>
      </c>
      <c r="H87" s="2683">
        <f t="shared" si="2"/>
        <v>2</v>
      </c>
      <c r="I87" s="4847"/>
      <c r="J87" s="2675"/>
      <c r="K87" s="2683"/>
      <c r="L87" s="4847">
        <v>5</v>
      </c>
      <c r="M87" s="2675">
        <v>3</v>
      </c>
      <c r="N87" s="2683">
        <f t="shared" si="64"/>
        <v>8</v>
      </c>
    </row>
    <row r="88" spans="2:14" ht="14.4" x14ac:dyDescent="0.3">
      <c r="B88" s="4706" t="s">
        <v>62</v>
      </c>
      <c r="C88" s="2676">
        <v>2</v>
      </c>
      <c r="D88" s="2676">
        <v>1</v>
      </c>
      <c r="E88" s="2683">
        <v>3</v>
      </c>
      <c r="F88" s="2676">
        <v>1</v>
      </c>
      <c r="G88" s="2676"/>
      <c r="H88" s="2683">
        <f t="shared" si="2"/>
        <v>1</v>
      </c>
      <c r="I88" s="4847"/>
      <c r="J88" s="2676"/>
      <c r="K88" s="2683"/>
      <c r="L88" s="4847">
        <v>3</v>
      </c>
      <c r="M88" s="2676">
        <v>2</v>
      </c>
      <c r="N88" s="2683">
        <f t="shared" si="64"/>
        <v>5</v>
      </c>
    </row>
    <row r="89" spans="2:14" ht="14.4" x14ac:dyDescent="0.3">
      <c r="B89" s="4854" t="s">
        <v>96</v>
      </c>
      <c r="C89" s="2676"/>
      <c r="D89" s="2676"/>
      <c r="E89" s="2683"/>
      <c r="F89" s="2676">
        <v>2</v>
      </c>
      <c r="G89" s="2676"/>
      <c r="H89" s="2683">
        <f t="shared" si="2"/>
        <v>2</v>
      </c>
      <c r="I89" s="4847">
        <v>1</v>
      </c>
      <c r="J89" s="2676"/>
      <c r="K89" s="2683">
        <f t="shared" ref="K89" si="65">SUM(I89:J89)</f>
        <v>1</v>
      </c>
      <c r="L89" s="4847"/>
      <c r="M89" s="2676"/>
      <c r="N89" s="2683">
        <f t="shared" ref="N89" si="66">SUM(L89:M89)</f>
        <v>0</v>
      </c>
    </row>
    <row r="90" spans="2:14" ht="14.4" x14ac:dyDescent="0.3">
      <c r="B90" s="4706" t="s">
        <v>95</v>
      </c>
      <c r="C90" s="2676">
        <v>3</v>
      </c>
      <c r="D90" s="2675"/>
      <c r="E90" s="2683">
        <v>3</v>
      </c>
      <c r="F90" s="2676">
        <v>2</v>
      </c>
      <c r="G90" s="2675"/>
      <c r="H90" s="2683">
        <f>SUM(F90:G90)</f>
        <v>2</v>
      </c>
      <c r="I90" s="4847"/>
      <c r="J90" s="2675"/>
      <c r="K90" s="2683"/>
      <c r="L90" s="4847">
        <v>8</v>
      </c>
      <c r="M90" s="2675"/>
      <c r="N90" s="2683">
        <f t="shared" si="64"/>
        <v>8</v>
      </c>
    </row>
    <row r="91" spans="2:14" ht="14.4" x14ac:dyDescent="0.3">
      <c r="B91" s="4706" t="s">
        <v>63</v>
      </c>
      <c r="C91" s="2676">
        <v>1</v>
      </c>
      <c r="D91" s="2675"/>
      <c r="E91" s="2683">
        <v>1</v>
      </c>
      <c r="F91" s="2676">
        <v>1</v>
      </c>
      <c r="G91" s="2675"/>
      <c r="H91" s="2683">
        <f t="shared" si="2"/>
        <v>1</v>
      </c>
      <c r="I91" s="4847"/>
      <c r="J91" s="2675"/>
      <c r="K91" s="2683"/>
      <c r="L91" s="4847">
        <v>2</v>
      </c>
      <c r="M91" s="2675">
        <v>1</v>
      </c>
      <c r="N91" s="2683">
        <f t="shared" si="64"/>
        <v>3</v>
      </c>
    </row>
    <row r="92" spans="2:14" ht="14.4" x14ac:dyDescent="0.3">
      <c r="B92" s="4701" t="s">
        <v>64</v>
      </c>
      <c r="C92" s="2684">
        <f t="shared" ref="C92:H92" si="67">SUM(C87:C91)</f>
        <v>9</v>
      </c>
      <c r="D92" s="2684">
        <f t="shared" si="67"/>
        <v>1</v>
      </c>
      <c r="E92" s="2685">
        <f t="shared" si="67"/>
        <v>10</v>
      </c>
      <c r="F92" s="2684">
        <f t="shared" si="67"/>
        <v>7</v>
      </c>
      <c r="G92" s="2684">
        <f t="shared" si="67"/>
        <v>1</v>
      </c>
      <c r="H92" s="2685">
        <f t="shared" si="67"/>
        <v>8</v>
      </c>
      <c r="I92" s="4797">
        <f t="shared" ref="I92:K92" si="68">SUM(I87:I91)</f>
        <v>1</v>
      </c>
      <c r="J92" s="2684">
        <f t="shared" si="68"/>
        <v>0</v>
      </c>
      <c r="K92" s="2685">
        <f t="shared" si="68"/>
        <v>1</v>
      </c>
      <c r="L92" s="4797">
        <f>SUM(L86:L91)</f>
        <v>19</v>
      </c>
      <c r="M92" s="2684">
        <f>SUM(M86:M91)</f>
        <v>6</v>
      </c>
      <c r="N92" s="2685">
        <f>SUM(N86:N91)</f>
        <v>25</v>
      </c>
    </row>
    <row r="93" spans="2:14" ht="14.4" x14ac:dyDescent="0.3">
      <c r="B93" s="4854" t="s">
        <v>65</v>
      </c>
      <c r="C93" s="2676"/>
      <c r="D93" s="2675"/>
      <c r="E93" s="2683"/>
      <c r="F93" s="2676"/>
      <c r="G93" s="2675">
        <v>1</v>
      </c>
      <c r="H93" s="2683">
        <f t="shared" si="2"/>
        <v>1</v>
      </c>
      <c r="I93" s="4847">
        <v>1</v>
      </c>
      <c r="J93" s="2675"/>
      <c r="K93" s="2683">
        <f t="shared" ref="K93" si="69">SUM(I93:J93)</f>
        <v>1</v>
      </c>
      <c r="L93" s="4847">
        <v>2</v>
      </c>
      <c r="M93" s="2675">
        <v>1</v>
      </c>
      <c r="N93" s="2683">
        <f t="shared" ref="N93:N95" si="70">SUM(L93:M93)</f>
        <v>3</v>
      </c>
    </row>
    <row r="94" spans="2:14" ht="14.4" x14ac:dyDescent="0.3">
      <c r="B94" s="4706" t="s">
        <v>1590</v>
      </c>
      <c r="C94" s="2676">
        <v>3</v>
      </c>
      <c r="D94" s="2675">
        <v>1</v>
      </c>
      <c r="E94" s="2683">
        <v>4</v>
      </c>
      <c r="F94" s="2676"/>
      <c r="G94" s="2675"/>
      <c r="H94" s="2683"/>
      <c r="I94" s="4847"/>
      <c r="J94" s="2675"/>
      <c r="K94" s="2683"/>
      <c r="L94" s="4847"/>
      <c r="M94" s="2675">
        <v>1</v>
      </c>
      <c r="N94" s="2683">
        <f t="shared" si="70"/>
        <v>1</v>
      </c>
    </row>
    <row r="95" spans="2:14" ht="14.4" x14ac:dyDescent="0.3">
      <c r="B95" s="4706" t="s">
        <v>67</v>
      </c>
      <c r="C95" s="2676">
        <v>2</v>
      </c>
      <c r="D95" s="2676">
        <v>1</v>
      </c>
      <c r="E95" s="2683">
        <v>3</v>
      </c>
      <c r="F95" s="2676">
        <v>1</v>
      </c>
      <c r="G95" s="2676">
        <v>2</v>
      </c>
      <c r="H95" s="2683">
        <f t="shared" si="2"/>
        <v>3</v>
      </c>
      <c r="I95" s="4847"/>
      <c r="J95" s="2676"/>
      <c r="K95" s="2683"/>
      <c r="L95" s="4847">
        <v>2</v>
      </c>
      <c r="M95" s="2676"/>
      <c r="N95" s="2683">
        <f t="shared" si="70"/>
        <v>2</v>
      </c>
    </row>
    <row r="96" spans="2:14" ht="14.4" x14ac:dyDescent="0.3">
      <c r="B96" s="4701" t="s">
        <v>68</v>
      </c>
      <c r="C96" s="2684">
        <f>SUM(C94:C95)</f>
        <v>5</v>
      </c>
      <c r="D96" s="2684">
        <f>SUM(D94:D95)</f>
        <v>2</v>
      </c>
      <c r="E96" s="2685">
        <f>SUM(E94:E95)</f>
        <v>7</v>
      </c>
      <c r="F96" s="2684">
        <f t="shared" ref="F96:K96" si="71">SUM(F93:F95)</f>
        <v>1</v>
      </c>
      <c r="G96" s="2684">
        <f t="shared" si="71"/>
        <v>3</v>
      </c>
      <c r="H96" s="2685">
        <f t="shared" si="71"/>
        <v>4</v>
      </c>
      <c r="I96" s="4797">
        <f t="shared" si="71"/>
        <v>1</v>
      </c>
      <c r="J96" s="2684">
        <f t="shared" si="71"/>
        <v>0</v>
      </c>
      <c r="K96" s="2685">
        <f t="shared" si="71"/>
        <v>1</v>
      </c>
      <c r="L96" s="4797">
        <f t="shared" ref="L96:N96" si="72">SUM(L93:L95)</f>
        <v>4</v>
      </c>
      <c r="M96" s="2684">
        <f t="shared" si="72"/>
        <v>2</v>
      </c>
      <c r="N96" s="2685">
        <f t="shared" si="72"/>
        <v>6</v>
      </c>
    </row>
    <row r="97" spans="2:14" ht="14.4" x14ac:dyDescent="0.3">
      <c r="B97" s="2686" t="s">
        <v>422</v>
      </c>
      <c r="C97" s="2687">
        <f t="shared" ref="C97:H97" si="73">SUM(C96,C92,C85)</f>
        <v>19</v>
      </c>
      <c r="D97" s="2687">
        <f t="shared" si="73"/>
        <v>4</v>
      </c>
      <c r="E97" s="2688">
        <f t="shared" si="73"/>
        <v>23</v>
      </c>
      <c r="F97" s="2687">
        <f t="shared" si="73"/>
        <v>14</v>
      </c>
      <c r="G97" s="2687">
        <f t="shared" si="73"/>
        <v>6</v>
      </c>
      <c r="H97" s="2688">
        <f t="shared" si="73"/>
        <v>20</v>
      </c>
      <c r="I97" s="4803">
        <f t="shared" ref="I97:K97" si="74">SUM(I96,I92,I85)</f>
        <v>8</v>
      </c>
      <c r="J97" s="2687">
        <f t="shared" si="74"/>
        <v>1</v>
      </c>
      <c r="K97" s="2688">
        <f t="shared" si="74"/>
        <v>9</v>
      </c>
      <c r="L97" s="4803">
        <f t="shared" ref="L97:N97" si="75">SUM(L96,L92,L85)</f>
        <v>53</v>
      </c>
      <c r="M97" s="2687">
        <f t="shared" si="75"/>
        <v>14</v>
      </c>
      <c r="N97" s="2688">
        <f t="shared" si="75"/>
        <v>67</v>
      </c>
    </row>
    <row r="98" spans="2:14" ht="14.4" x14ac:dyDescent="0.3">
      <c r="B98" s="4705"/>
      <c r="C98" s="2689"/>
      <c r="D98" s="2689"/>
      <c r="E98" s="2689"/>
      <c r="F98" s="2689"/>
      <c r="G98" s="2689"/>
      <c r="H98" s="2689"/>
      <c r="I98" s="2689"/>
      <c r="J98" s="2689"/>
      <c r="K98" s="2689"/>
      <c r="L98" s="2689"/>
      <c r="M98" s="2689"/>
      <c r="N98" s="2689"/>
    </row>
    <row r="99" spans="2:14" ht="14.4" x14ac:dyDescent="0.3">
      <c r="B99" s="2690" t="s">
        <v>431</v>
      </c>
      <c r="C99" s="2691">
        <f t="shared" ref="C99:N99" si="76">SUM(C97,C76,C70,C39,C25)</f>
        <v>67</v>
      </c>
      <c r="D99" s="2691">
        <f t="shared" si="76"/>
        <v>26</v>
      </c>
      <c r="E99" s="2692">
        <f t="shared" si="76"/>
        <v>93</v>
      </c>
      <c r="F99" s="2691">
        <f t="shared" si="76"/>
        <v>32</v>
      </c>
      <c r="G99" s="2691">
        <f t="shared" si="76"/>
        <v>14</v>
      </c>
      <c r="H99" s="2692">
        <f t="shared" si="76"/>
        <v>46</v>
      </c>
      <c r="I99" s="2691">
        <f t="shared" si="76"/>
        <v>25</v>
      </c>
      <c r="J99" s="2691">
        <f t="shared" si="76"/>
        <v>14</v>
      </c>
      <c r="K99" s="2692">
        <f t="shared" si="76"/>
        <v>39</v>
      </c>
      <c r="L99" s="2691">
        <f t="shared" si="76"/>
        <v>125</v>
      </c>
      <c r="M99" s="2691">
        <f t="shared" si="76"/>
        <v>56</v>
      </c>
      <c r="N99" s="2692">
        <f t="shared" si="76"/>
        <v>181</v>
      </c>
    </row>
    <row r="100" spans="2:14" x14ac:dyDescent="0.3">
      <c r="B100" s="2341" t="s">
        <v>622</v>
      </c>
    </row>
  </sheetData>
  <mergeCells count="5">
    <mergeCell ref="B3:B4"/>
    <mergeCell ref="C3:E3"/>
    <mergeCell ref="F3:H3"/>
    <mergeCell ref="I3:K3"/>
    <mergeCell ref="L3:N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47" firstPageNumber="106" orientation="landscape" useFirstPageNumber="1" r:id="rId1"/>
  <headerFooter scaleWithDoc="0" alignWithMargins="0">
    <oddFooter>&amp;R&amp;P</oddFooter>
  </headerFooter>
  <rowBreaks count="1" manualBreakCount="1">
    <brk id="70" min="1" max="13" man="1"/>
  </rowBreaks>
  <ignoredErrors>
    <ignoredError sqref="H5 H14" formulaRange="1"/>
    <ignoredError sqref="H16 H19:H20 H29:H30 H35 H32:H33 H42:H43 H53 H57 H61 H69:H71 H73:H78 H95 H22:H27 H38:H39 H50:H51 H66 H64 H87:H93 H82:H85" formula="1" formulaRange="1"/>
    <ignoredError sqref="C15:K15 C96:K99 C60:G61 I16:K16 I20:K21 I17:J19 I23:K26 I22:J22 I29:K30 I27:J27 I33:K33 I31:J32 I35:K35 I34:J34 I38:K39 I37:J37 I43:K43 I42:J42 I53:K54 I47:J47 I57:K58 I55:J55 I66:K66 I60:J61 I69:K70 I67:J67 I73:K76 I71:J72 I77:J77 I81:K85 I89:K89 I87:J88 I92:K93 I90:J91 I94:J95 N15:N20 C16:G27 C29:G35 N33 C37:G39 C42:G43 C47:G47 I49:K51 C49:G51 C53:G55 C57:G58 C64:G64 I64:K64 C66:G67 C69:G78 I78:K78 C87:G95 C81:G85 N43 N50:N57 N73 N92" 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B1:BA58"/>
  <sheetViews>
    <sheetView showGridLines="0" zoomScaleNormal="100" workbookViewId="0">
      <pane xSplit="2" ySplit="5" topLeftCell="AF20" activePane="bottomRight" state="frozen"/>
      <selection activeCell="Q31" sqref="Q31"/>
      <selection pane="topRight" activeCell="Q31" sqref="Q31"/>
      <selection pane="bottomLeft" activeCell="Q31" sqref="Q31"/>
      <selection pane="bottomRight" activeCell="Q31" sqref="Q31"/>
    </sheetView>
  </sheetViews>
  <sheetFormatPr baseColWidth="10" defaultColWidth="11.44140625" defaultRowHeight="14.4" x14ac:dyDescent="0.3"/>
  <cols>
    <col min="1" max="1" width="2.88671875" style="209" customWidth="1"/>
    <col min="2" max="2" width="16.5546875" style="209" customWidth="1"/>
    <col min="3" max="38" width="9.88671875" style="209" customWidth="1"/>
    <col min="39" max="39" width="8.88671875" style="209" bestFit="1" customWidth="1"/>
    <col min="40" max="40" width="9.109375" style="209" bestFit="1" customWidth="1"/>
    <col min="41" max="41" width="8.88671875" style="209" bestFit="1" customWidth="1"/>
    <col min="42" max="42" width="8.88671875" style="209" customWidth="1"/>
    <col min="43" max="43" width="9.109375" style="209" bestFit="1" customWidth="1"/>
    <col min="44" max="44" width="8.88671875" style="209" customWidth="1"/>
    <col min="45" max="47" width="8.5546875" style="209" customWidth="1"/>
    <col min="48" max="64" width="9.88671875" style="209" customWidth="1"/>
    <col min="65" max="16384" width="11.44140625" style="209"/>
  </cols>
  <sheetData>
    <row r="1" spans="2:53" ht="27.6" x14ac:dyDescent="0.3">
      <c r="B1" s="208" t="s">
        <v>139</v>
      </c>
      <c r="D1" s="210"/>
      <c r="AB1" s="38"/>
      <c r="AC1" s="38"/>
    </row>
    <row r="3" spans="2:53" ht="15" customHeight="1" x14ac:dyDescent="0.3">
      <c r="B3" s="5727" t="s">
        <v>132</v>
      </c>
      <c r="C3" s="5729">
        <v>2006</v>
      </c>
      <c r="D3" s="5730"/>
      <c r="E3" s="5731"/>
      <c r="F3" s="5729">
        <v>2007</v>
      </c>
      <c r="G3" s="5730"/>
      <c r="H3" s="5731"/>
      <c r="I3" s="5729">
        <v>2008</v>
      </c>
      <c r="J3" s="5730"/>
      <c r="K3" s="5731"/>
      <c r="L3" s="5729">
        <v>2009</v>
      </c>
      <c r="M3" s="5730"/>
      <c r="N3" s="5731"/>
      <c r="O3" s="5729">
        <v>2010</v>
      </c>
      <c r="P3" s="5730"/>
      <c r="Q3" s="5731"/>
      <c r="R3" s="5729">
        <v>2011</v>
      </c>
      <c r="S3" s="5730"/>
      <c r="T3" s="5731"/>
      <c r="U3" s="5729">
        <v>2012</v>
      </c>
      <c r="V3" s="5730"/>
      <c r="W3" s="5731"/>
      <c r="X3" s="5729">
        <v>2013</v>
      </c>
      <c r="Y3" s="5730"/>
      <c r="Z3" s="5731"/>
      <c r="AA3" s="5729">
        <v>2014</v>
      </c>
      <c r="AB3" s="5730"/>
      <c r="AC3" s="5731"/>
      <c r="AD3" s="5729">
        <v>2015</v>
      </c>
      <c r="AE3" s="5730"/>
      <c r="AF3" s="5731"/>
      <c r="AG3" s="5729">
        <v>2016</v>
      </c>
      <c r="AH3" s="5730"/>
      <c r="AI3" s="5731"/>
      <c r="AJ3" s="5729">
        <v>2017</v>
      </c>
      <c r="AK3" s="5730"/>
      <c r="AL3" s="5731"/>
      <c r="AM3" s="5729">
        <v>2018</v>
      </c>
      <c r="AN3" s="5730"/>
      <c r="AO3" s="5731"/>
      <c r="AP3" s="5729">
        <v>2019</v>
      </c>
      <c r="AQ3" s="5730"/>
      <c r="AR3" s="5731"/>
      <c r="AS3" s="5729">
        <v>2020</v>
      </c>
      <c r="AT3" s="5730"/>
      <c r="AU3" s="5731"/>
      <c r="AV3" s="5729">
        <v>2021</v>
      </c>
      <c r="AW3" s="5730"/>
      <c r="AX3" s="5731"/>
      <c r="AY3" s="5729">
        <v>2022</v>
      </c>
      <c r="AZ3" s="5730"/>
      <c r="BA3" s="5731"/>
    </row>
    <row r="4" spans="2:53" x14ac:dyDescent="0.3">
      <c r="B4" s="5728"/>
      <c r="C4" s="211" t="s">
        <v>140</v>
      </c>
      <c r="D4" s="211" t="s">
        <v>141</v>
      </c>
      <c r="E4" s="212" t="s">
        <v>48</v>
      </c>
      <c r="F4" s="211" t="s">
        <v>140</v>
      </c>
      <c r="G4" s="211" t="s">
        <v>141</v>
      </c>
      <c r="H4" s="212" t="s">
        <v>48</v>
      </c>
      <c r="I4" s="211" t="s">
        <v>140</v>
      </c>
      <c r="J4" s="211" t="s">
        <v>141</v>
      </c>
      <c r="K4" s="212" t="s">
        <v>48</v>
      </c>
      <c r="L4" s="211" t="s">
        <v>140</v>
      </c>
      <c r="M4" s="211" t="s">
        <v>141</v>
      </c>
      <c r="N4" s="212" t="s">
        <v>48</v>
      </c>
      <c r="O4" s="211" t="s">
        <v>140</v>
      </c>
      <c r="P4" s="211" t="s">
        <v>141</v>
      </c>
      <c r="Q4" s="212" t="s">
        <v>48</v>
      </c>
      <c r="R4" s="211" t="s">
        <v>140</v>
      </c>
      <c r="S4" s="211" t="s">
        <v>141</v>
      </c>
      <c r="T4" s="212" t="s">
        <v>48</v>
      </c>
      <c r="U4" s="211" t="s">
        <v>140</v>
      </c>
      <c r="V4" s="211" t="s">
        <v>141</v>
      </c>
      <c r="W4" s="212" t="s">
        <v>48</v>
      </c>
      <c r="X4" s="211" t="s">
        <v>140</v>
      </c>
      <c r="Y4" s="211" t="s">
        <v>141</v>
      </c>
      <c r="Z4" s="212" t="s">
        <v>48</v>
      </c>
      <c r="AA4" s="211" t="s">
        <v>140</v>
      </c>
      <c r="AB4" s="211" t="s">
        <v>141</v>
      </c>
      <c r="AC4" s="212" t="s">
        <v>48</v>
      </c>
      <c r="AD4" s="211" t="s">
        <v>140</v>
      </c>
      <c r="AE4" s="211" t="s">
        <v>141</v>
      </c>
      <c r="AF4" s="212" t="s">
        <v>48</v>
      </c>
      <c r="AG4" s="211" t="s">
        <v>140</v>
      </c>
      <c r="AH4" s="211" t="s">
        <v>141</v>
      </c>
      <c r="AI4" s="212" t="s">
        <v>48</v>
      </c>
      <c r="AJ4" s="211" t="s">
        <v>140</v>
      </c>
      <c r="AK4" s="211" t="s">
        <v>141</v>
      </c>
      <c r="AL4" s="212" t="s">
        <v>48</v>
      </c>
      <c r="AM4" s="211" t="s">
        <v>140</v>
      </c>
      <c r="AN4" s="211" t="s">
        <v>141</v>
      </c>
      <c r="AO4" s="212" t="s">
        <v>48</v>
      </c>
      <c r="AP4" s="211" t="s">
        <v>140</v>
      </c>
      <c r="AQ4" s="211" t="s">
        <v>141</v>
      </c>
      <c r="AR4" s="212" t="s">
        <v>48</v>
      </c>
      <c r="AS4" s="211" t="s">
        <v>140</v>
      </c>
      <c r="AT4" s="211" t="s">
        <v>141</v>
      </c>
      <c r="AU4" s="212" t="s">
        <v>48</v>
      </c>
      <c r="AV4" s="211" t="s">
        <v>140</v>
      </c>
      <c r="AW4" s="211" t="s">
        <v>141</v>
      </c>
      <c r="AX4" s="212" t="s">
        <v>48</v>
      </c>
      <c r="AY4" s="211" t="s">
        <v>140</v>
      </c>
      <c r="AZ4" s="211" t="s">
        <v>141</v>
      </c>
      <c r="BA4" s="212" t="s">
        <v>48</v>
      </c>
    </row>
    <row r="5" spans="2:53" x14ac:dyDescent="0.3">
      <c r="B5" s="149"/>
    </row>
    <row r="6" spans="2:53" x14ac:dyDescent="0.3">
      <c r="B6" s="150" t="s">
        <v>59</v>
      </c>
      <c r="C6" s="213">
        <v>1378</v>
      </c>
      <c r="D6" s="213">
        <v>4420</v>
      </c>
      <c r="E6" s="213">
        <v>5798</v>
      </c>
      <c r="F6" s="214">
        <v>1392</v>
      </c>
      <c r="G6" s="213">
        <v>4404</v>
      </c>
      <c r="H6" s="215">
        <v>5796</v>
      </c>
      <c r="I6" s="214">
        <v>1614</v>
      </c>
      <c r="J6" s="213">
        <v>4730</v>
      </c>
      <c r="K6" s="215">
        <v>6344</v>
      </c>
      <c r="L6" s="216">
        <v>1831</v>
      </c>
      <c r="M6" s="217">
        <v>5162</v>
      </c>
      <c r="N6" s="215">
        <v>6993</v>
      </c>
      <c r="O6" s="216">
        <v>2169</v>
      </c>
      <c r="P6" s="217">
        <v>6124</v>
      </c>
      <c r="Q6" s="215">
        <f>P6+O6</f>
        <v>8293</v>
      </c>
      <c r="R6" s="216">
        <v>2087</v>
      </c>
      <c r="S6" s="217">
        <v>6095</v>
      </c>
      <c r="T6" s="215">
        <f>SUM(R6:S6)</f>
        <v>8182</v>
      </c>
      <c r="U6" s="216">
        <v>2213</v>
      </c>
      <c r="V6" s="217">
        <v>6808</v>
      </c>
      <c r="W6" s="215">
        <f>SUM(U6:V6)</f>
        <v>9021</v>
      </c>
      <c r="X6" s="216">
        <v>2332</v>
      </c>
      <c r="Y6" s="217">
        <v>6617</v>
      </c>
      <c r="Z6" s="215">
        <f>SUM(X6:Y6)</f>
        <v>8949</v>
      </c>
      <c r="AA6" s="216">
        <v>2435</v>
      </c>
      <c r="AB6" s="217">
        <v>6661</v>
      </c>
      <c r="AC6" s="215">
        <f>SUM(AA6:AB6)</f>
        <v>9096</v>
      </c>
      <c r="AD6" s="216">
        <v>2742</v>
      </c>
      <c r="AE6" s="217">
        <v>7366</v>
      </c>
      <c r="AF6" s="215">
        <f>SUM(AD6:AE6)</f>
        <v>10108</v>
      </c>
      <c r="AG6" s="216">
        <v>2827</v>
      </c>
      <c r="AH6" s="217">
        <v>7533</v>
      </c>
      <c r="AI6" s="215">
        <f>SUM(AG6:AH6)</f>
        <v>10360</v>
      </c>
      <c r="AJ6" s="216">
        <v>2790</v>
      </c>
      <c r="AK6" s="217">
        <v>7561</v>
      </c>
      <c r="AL6" s="215">
        <f>SUM(AJ6:AK6)</f>
        <v>10351</v>
      </c>
      <c r="AM6" s="216">
        <v>3143</v>
      </c>
      <c r="AN6" s="217">
        <v>7957</v>
      </c>
      <c r="AO6" s="215">
        <f>SUM(AM6:AN6)</f>
        <v>11100</v>
      </c>
      <c r="AP6" s="216">
        <v>2600</v>
      </c>
      <c r="AQ6" s="217">
        <v>6702</v>
      </c>
      <c r="AR6" s="215">
        <f>SUM(AP6:AQ6)</f>
        <v>9302</v>
      </c>
      <c r="AS6" s="216">
        <v>2182</v>
      </c>
      <c r="AT6" s="217">
        <v>5202</v>
      </c>
      <c r="AU6" s="215">
        <f>SUM(AS6:AT6)</f>
        <v>7384</v>
      </c>
      <c r="AV6" s="216">
        <v>2068</v>
      </c>
      <c r="AW6" s="217">
        <v>5037</v>
      </c>
      <c r="AX6" s="215">
        <f>SUM(AV6:AW6)</f>
        <v>7105</v>
      </c>
      <c r="AY6" s="216">
        <v>2095</v>
      </c>
      <c r="AZ6" s="217">
        <v>5662</v>
      </c>
      <c r="BA6" s="215">
        <f>SUM(AY6:AZ6)</f>
        <v>7757</v>
      </c>
    </row>
    <row r="7" spans="2:53" x14ac:dyDescent="0.3">
      <c r="B7" s="154" t="s">
        <v>64</v>
      </c>
      <c r="C7" s="218">
        <v>5303</v>
      </c>
      <c r="D7" s="218">
        <v>3806</v>
      </c>
      <c r="E7" s="218">
        <v>9109</v>
      </c>
      <c r="F7" s="219">
        <v>5446</v>
      </c>
      <c r="G7" s="218">
        <v>4005</v>
      </c>
      <c r="H7" s="220">
        <v>9451</v>
      </c>
      <c r="I7" s="219">
        <v>5563</v>
      </c>
      <c r="J7" s="218">
        <v>4140</v>
      </c>
      <c r="K7" s="220">
        <v>9703</v>
      </c>
      <c r="L7" s="221">
        <v>5842</v>
      </c>
      <c r="M7" s="222">
        <v>4224</v>
      </c>
      <c r="N7" s="220">
        <v>10066</v>
      </c>
      <c r="O7" s="221">
        <v>6385</v>
      </c>
      <c r="P7" s="222">
        <v>4490</v>
      </c>
      <c r="Q7" s="220">
        <f>P7+O7</f>
        <v>10875</v>
      </c>
      <c r="R7" s="221">
        <v>6342</v>
      </c>
      <c r="S7" s="222">
        <v>4504</v>
      </c>
      <c r="T7" s="220">
        <f>SUM(R7:S7)</f>
        <v>10846</v>
      </c>
      <c r="U7" s="221">
        <v>6761</v>
      </c>
      <c r="V7" s="222">
        <v>4952</v>
      </c>
      <c r="W7" s="220">
        <f>SUM(U7:V7)</f>
        <v>11713</v>
      </c>
      <c r="X7" s="221">
        <v>6580</v>
      </c>
      <c r="Y7" s="222">
        <v>4805</v>
      </c>
      <c r="Z7" s="220">
        <f>SUM(X7:Y7)</f>
        <v>11385</v>
      </c>
      <c r="AA7" s="221">
        <v>6127</v>
      </c>
      <c r="AB7" s="222">
        <v>4625</v>
      </c>
      <c r="AC7" s="220">
        <f>SUM(AA7:AB7)</f>
        <v>10752</v>
      </c>
      <c r="AD7" s="221">
        <v>6565</v>
      </c>
      <c r="AE7" s="222">
        <v>4853</v>
      </c>
      <c r="AF7" s="220">
        <f>SUM(AD7:AE7)</f>
        <v>11418</v>
      </c>
      <c r="AG7" s="221">
        <v>6512</v>
      </c>
      <c r="AH7" s="222">
        <v>4779</v>
      </c>
      <c r="AI7" s="220">
        <f>SUM(AG7:AH7)</f>
        <v>11291</v>
      </c>
      <c r="AJ7" s="221">
        <v>6404</v>
      </c>
      <c r="AK7" s="222">
        <v>4574</v>
      </c>
      <c r="AL7" s="220">
        <f>SUM(AJ7:AK7)</f>
        <v>10978</v>
      </c>
      <c r="AM7" s="221">
        <v>6499</v>
      </c>
      <c r="AN7" s="222">
        <v>4723</v>
      </c>
      <c r="AO7" s="220">
        <f>SUM(AM7:AN7)</f>
        <v>11222</v>
      </c>
      <c r="AP7" s="221">
        <v>5207</v>
      </c>
      <c r="AQ7" s="222">
        <v>3950</v>
      </c>
      <c r="AR7" s="220">
        <f>SUM(AP7:AQ7)</f>
        <v>9157</v>
      </c>
      <c r="AS7" s="221">
        <v>4599</v>
      </c>
      <c r="AT7" s="222">
        <v>3252</v>
      </c>
      <c r="AU7" s="220">
        <f>SUM(AS7:AT7)</f>
        <v>7851</v>
      </c>
      <c r="AV7" s="221">
        <v>4993</v>
      </c>
      <c r="AW7" s="222">
        <v>3525</v>
      </c>
      <c r="AX7" s="220">
        <f>SUM(AV7:AW7)</f>
        <v>8518</v>
      </c>
      <c r="AY7" s="221">
        <v>5260</v>
      </c>
      <c r="AZ7" s="222">
        <v>3697</v>
      </c>
      <c r="BA7" s="220">
        <f>SUM(AY7:AZ7)</f>
        <v>8957</v>
      </c>
    </row>
    <row r="8" spans="2:53" x14ac:dyDescent="0.3">
      <c r="B8" s="154" t="s">
        <v>68</v>
      </c>
      <c r="C8" s="218">
        <v>2566</v>
      </c>
      <c r="D8" s="218">
        <v>2823</v>
      </c>
      <c r="E8" s="218">
        <v>5389</v>
      </c>
      <c r="F8" s="219">
        <v>2930</v>
      </c>
      <c r="G8" s="218">
        <v>3191</v>
      </c>
      <c r="H8" s="220">
        <v>6121</v>
      </c>
      <c r="I8" s="219">
        <v>3279</v>
      </c>
      <c r="J8" s="218">
        <v>3643</v>
      </c>
      <c r="K8" s="218">
        <v>6922</v>
      </c>
      <c r="L8" s="219">
        <v>3728</v>
      </c>
      <c r="M8" s="218">
        <v>3676</v>
      </c>
      <c r="N8" s="220">
        <v>7404</v>
      </c>
      <c r="O8" s="219">
        <v>4183</v>
      </c>
      <c r="P8" s="218">
        <v>4185</v>
      </c>
      <c r="Q8" s="220">
        <f>P8+O8</f>
        <v>8368</v>
      </c>
      <c r="R8" s="219">
        <v>4237</v>
      </c>
      <c r="S8" s="218">
        <v>4121</v>
      </c>
      <c r="T8" s="220">
        <f>SUM(R8:S8)</f>
        <v>8358</v>
      </c>
      <c r="U8" s="219">
        <v>4764</v>
      </c>
      <c r="V8" s="218">
        <v>4714</v>
      </c>
      <c r="W8" s="220">
        <f>SUM(U8:V8)</f>
        <v>9478</v>
      </c>
      <c r="X8" s="219">
        <v>4348</v>
      </c>
      <c r="Y8" s="218">
        <v>4309</v>
      </c>
      <c r="Z8" s="220">
        <f>SUM(X8:Y8)</f>
        <v>8657</v>
      </c>
      <c r="AA8" s="219">
        <v>4094</v>
      </c>
      <c r="AB8" s="218">
        <v>3891</v>
      </c>
      <c r="AC8" s="220">
        <f>SUM(AA8:AB8)</f>
        <v>7985</v>
      </c>
      <c r="AD8" s="219">
        <v>3968</v>
      </c>
      <c r="AE8" s="218">
        <v>3803</v>
      </c>
      <c r="AF8" s="220">
        <f>SUM(AD8:AE8)</f>
        <v>7771</v>
      </c>
      <c r="AG8" s="219">
        <v>3964</v>
      </c>
      <c r="AH8" s="218">
        <v>3748</v>
      </c>
      <c r="AI8" s="220">
        <f>SUM(AG8:AH8)</f>
        <v>7712</v>
      </c>
      <c r="AJ8" s="219">
        <v>3714</v>
      </c>
      <c r="AK8" s="218">
        <v>3639</v>
      </c>
      <c r="AL8" s="220">
        <f>SUM(AJ8:AK8)</f>
        <v>7353</v>
      </c>
      <c r="AM8" s="219">
        <v>4031</v>
      </c>
      <c r="AN8" s="218">
        <v>3780</v>
      </c>
      <c r="AO8" s="220">
        <f>SUM(AM8:AN8)</f>
        <v>7811</v>
      </c>
      <c r="AP8" s="219">
        <v>3680</v>
      </c>
      <c r="AQ8" s="218">
        <v>3593</v>
      </c>
      <c r="AR8" s="220">
        <f>SUM(AP8:AQ8)</f>
        <v>7273</v>
      </c>
      <c r="AS8" s="219">
        <v>3861</v>
      </c>
      <c r="AT8" s="218">
        <v>3347</v>
      </c>
      <c r="AU8" s="220">
        <f>SUM(AS8:AT8)</f>
        <v>7208</v>
      </c>
      <c r="AV8" s="219">
        <v>4116</v>
      </c>
      <c r="AW8" s="218">
        <v>3429</v>
      </c>
      <c r="AX8" s="220">
        <f>SUM(AV8:AW8)</f>
        <v>7545</v>
      </c>
      <c r="AY8" s="219">
        <v>4493</v>
      </c>
      <c r="AZ8" s="218">
        <v>3477</v>
      </c>
      <c r="BA8" s="220">
        <f>SUM(AY8:AZ8)</f>
        <v>7970</v>
      </c>
    </row>
    <row r="9" spans="2:53" x14ac:dyDescent="0.3">
      <c r="B9" s="157" t="s">
        <v>133</v>
      </c>
      <c r="C9" s="223">
        <v>9247</v>
      </c>
      <c r="D9" s="223">
        <v>11049</v>
      </c>
      <c r="E9" s="223">
        <v>20296</v>
      </c>
      <c r="F9" s="224">
        <v>9768</v>
      </c>
      <c r="G9" s="223">
        <v>11600</v>
      </c>
      <c r="H9" s="225">
        <v>21368</v>
      </c>
      <c r="I9" s="224">
        <v>10456</v>
      </c>
      <c r="J9" s="223">
        <v>12513</v>
      </c>
      <c r="K9" s="225">
        <v>22969</v>
      </c>
      <c r="L9" s="226">
        <v>11401</v>
      </c>
      <c r="M9" s="227">
        <v>13062</v>
      </c>
      <c r="N9" s="225">
        <v>24463</v>
      </c>
      <c r="O9" s="226">
        <f>SUM(O6:O8)</f>
        <v>12737</v>
      </c>
      <c r="P9" s="227">
        <f>SUM(P6:P8)</f>
        <v>14799</v>
      </c>
      <c r="Q9" s="225">
        <f>P9+O9</f>
        <v>27536</v>
      </c>
      <c r="R9" s="226">
        <f>SUM(R6:R8)</f>
        <v>12666</v>
      </c>
      <c r="S9" s="227">
        <f>SUM(S6:S8)</f>
        <v>14720</v>
      </c>
      <c r="T9" s="225">
        <f>S9+R9</f>
        <v>27386</v>
      </c>
      <c r="U9" s="226">
        <f>SUM(U6:U8)</f>
        <v>13738</v>
      </c>
      <c r="V9" s="227">
        <f>SUM(V6:V8)</f>
        <v>16474</v>
      </c>
      <c r="W9" s="225">
        <f>V9+U9</f>
        <v>30212</v>
      </c>
      <c r="X9" s="226">
        <f>SUM(X6:X8)</f>
        <v>13260</v>
      </c>
      <c r="Y9" s="227">
        <f>SUM(Y6:Y8)</f>
        <v>15731</v>
      </c>
      <c r="Z9" s="225">
        <f>Y9+X9</f>
        <v>28991</v>
      </c>
      <c r="AA9" s="226">
        <f>SUM(AA6:AA8)</f>
        <v>12656</v>
      </c>
      <c r="AB9" s="227">
        <f>SUM(AB6:AB8)</f>
        <v>15177</v>
      </c>
      <c r="AC9" s="225">
        <f>AB9+AA9</f>
        <v>27833</v>
      </c>
      <c r="AD9" s="226">
        <f>SUM(AD6:AD8)</f>
        <v>13275</v>
      </c>
      <c r="AE9" s="227">
        <f>SUM(AE6:AE8)</f>
        <v>16022</v>
      </c>
      <c r="AF9" s="225">
        <f>AE9+AD9</f>
        <v>29297</v>
      </c>
      <c r="AG9" s="226">
        <f>SUM(AG6:AG8)</f>
        <v>13303</v>
      </c>
      <c r="AH9" s="227">
        <f>SUM(AH6:AH8)</f>
        <v>16060</v>
      </c>
      <c r="AI9" s="225">
        <f>AH9+AG9</f>
        <v>29363</v>
      </c>
      <c r="AJ9" s="226">
        <f>SUM(AJ6:AJ8)</f>
        <v>12908</v>
      </c>
      <c r="AK9" s="227">
        <f>SUM(AK6:AK8)</f>
        <v>15774</v>
      </c>
      <c r="AL9" s="225">
        <f>AK9+AJ9</f>
        <v>28682</v>
      </c>
      <c r="AM9" s="226">
        <f>SUM(AM6:AM8)</f>
        <v>13673</v>
      </c>
      <c r="AN9" s="227">
        <f>SUM(AN6:AN8)</f>
        <v>16460</v>
      </c>
      <c r="AO9" s="225">
        <f>AN9+AM9</f>
        <v>30133</v>
      </c>
      <c r="AP9" s="226">
        <f>SUM(AP6:AP8)</f>
        <v>11487</v>
      </c>
      <c r="AQ9" s="227">
        <f>SUM(AQ6:AQ8)</f>
        <v>14245</v>
      </c>
      <c r="AR9" s="225">
        <f>AQ9+AP9</f>
        <v>25732</v>
      </c>
      <c r="AS9" s="226">
        <f>SUM(AS6:AS8)</f>
        <v>10642</v>
      </c>
      <c r="AT9" s="227">
        <f>SUM(AT6:AT8)</f>
        <v>11801</v>
      </c>
      <c r="AU9" s="225">
        <f>AT9+AS9</f>
        <v>22443</v>
      </c>
      <c r="AV9" s="226">
        <f>SUM(AV6:AV8)</f>
        <v>11177</v>
      </c>
      <c r="AW9" s="227">
        <f>SUM(AW6:AW8)</f>
        <v>11991</v>
      </c>
      <c r="AX9" s="225">
        <f>AW9+AV9</f>
        <v>23168</v>
      </c>
      <c r="AY9" s="226">
        <f>SUM(AY6:AY8)</f>
        <v>11848</v>
      </c>
      <c r="AZ9" s="227">
        <f>SUM(AZ6:AZ8)</f>
        <v>12836</v>
      </c>
      <c r="BA9" s="225">
        <f>AZ9+AY9</f>
        <v>24684</v>
      </c>
    </row>
    <row r="10" spans="2:53" x14ac:dyDescent="0.3">
      <c r="B10" s="162"/>
      <c r="C10" s="228"/>
      <c r="D10" s="228"/>
      <c r="E10" s="228"/>
      <c r="F10" s="228"/>
      <c r="G10" s="228"/>
      <c r="H10" s="228"/>
      <c r="I10" s="228"/>
      <c r="J10" s="228"/>
      <c r="K10" s="228"/>
      <c r="L10" s="228"/>
      <c r="M10" s="228"/>
      <c r="N10" s="228"/>
      <c r="O10" s="228"/>
      <c r="P10" s="228"/>
      <c r="Q10" s="228"/>
      <c r="R10" s="228"/>
      <c r="S10" s="228"/>
      <c r="T10" s="228"/>
      <c r="U10" s="228"/>
      <c r="V10" s="228"/>
      <c r="W10" s="228"/>
      <c r="X10" s="228"/>
      <c r="Y10" s="228"/>
      <c r="Z10" s="228"/>
      <c r="AA10" s="228"/>
      <c r="AB10" s="228"/>
      <c r="AC10" s="228"/>
      <c r="AD10" s="228"/>
      <c r="AE10" s="228"/>
      <c r="AF10" s="228"/>
      <c r="AG10" s="228"/>
      <c r="AH10" s="228"/>
      <c r="AI10" s="228"/>
      <c r="AJ10" s="228"/>
      <c r="AK10" s="228"/>
      <c r="AL10" s="228"/>
      <c r="AM10" s="228"/>
      <c r="AN10" s="228"/>
      <c r="AO10" s="228"/>
      <c r="AP10" s="228"/>
      <c r="AQ10" s="228"/>
      <c r="AR10" s="228"/>
      <c r="AS10" s="228"/>
      <c r="AT10" s="228"/>
      <c r="AU10" s="228"/>
      <c r="AV10" s="228"/>
      <c r="AW10" s="228"/>
      <c r="AX10" s="228"/>
      <c r="AY10" s="228"/>
      <c r="AZ10" s="228"/>
      <c r="BA10" s="228"/>
    </row>
    <row r="11" spans="2:53" x14ac:dyDescent="0.3">
      <c r="B11" s="150" t="s">
        <v>64</v>
      </c>
      <c r="C11" s="213">
        <v>57</v>
      </c>
      <c r="D11" s="213">
        <v>46</v>
      </c>
      <c r="E11" s="213">
        <v>103</v>
      </c>
      <c r="F11" s="214">
        <v>105</v>
      </c>
      <c r="G11" s="213">
        <v>65</v>
      </c>
      <c r="H11" s="215">
        <v>170</v>
      </c>
      <c r="I11" s="214">
        <v>136</v>
      </c>
      <c r="J11" s="213">
        <v>86</v>
      </c>
      <c r="K11" s="215">
        <v>222</v>
      </c>
      <c r="L11" s="216">
        <v>130</v>
      </c>
      <c r="M11" s="217">
        <v>112</v>
      </c>
      <c r="N11" s="215">
        <v>242</v>
      </c>
      <c r="O11" s="216">
        <v>181</v>
      </c>
      <c r="P11" s="217">
        <v>125</v>
      </c>
      <c r="Q11" s="215">
        <f>P11+O11</f>
        <v>306</v>
      </c>
      <c r="R11" s="216">
        <v>178</v>
      </c>
      <c r="S11" s="217">
        <v>143</v>
      </c>
      <c r="T11" s="215">
        <f>SUM(R11:S11)</f>
        <v>321</v>
      </c>
      <c r="U11" s="216">
        <v>191</v>
      </c>
      <c r="V11" s="217">
        <v>143</v>
      </c>
      <c r="W11" s="215">
        <f>SUM(U11:V11)</f>
        <v>334</v>
      </c>
      <c r="X11" s="216">
        <v>375</v>
      </c>
      <c r="Y11" s="217">
        <v>341</v>
      </c>
      <c r="Z11" s="215">
        <f>SUM(X11:Y11)</f>
        <v>716</v>
      </c>
      <c r="AA11" s="216">
        <v>623</v>
      </c>
      <c r="AB11" s="217">
        <v>528</v>
      </c>
      <c r="AC11" s="215">
        <f>SUM(AA11:AB11)</f>
        <v>1151</v>
      </c>
      <c r="AD11" s="216">
        <v>883</v>
      </c>
      <c r="AE11" s="217">
        <v>705</v>
      </c>
      <c r="AF11" s="215">
        <f>SUM(AD11:AE11)</f>
        <v>1588</v>
      </c>
      <c r="AG11" s="216">
        <v>1192</v>
      </c>
      <c r="AH11" s="217">
        <v>850</v>
      </c>
      <c r="AI11" s="215">
        <f>SUM(AG11:AH11)</f>
        <v>2042</v>
      </c>
      <c r="AJ11" s="216">
        <v>1177</v>
      </c>
      <c r="AK11" s="217">
        <v>816</v>
      </c>
      <c r="AL11" s="215">
        <f>SUM(AJ11:AK11)</f>
        <v>1993</v>
      </c>
      <c r="AM11" s="216">
        <v>1179</v>
      </c>
      <c r="AN11" s="217">
        <v>894</v>
      </c>
      <c r="AO11" s="215">
        <f>SUM(AM11:AN11)</f>
        <v>2073</v>
      </c>
      <c r="AP11" s="216">
        <v>1022</v>
      </c>
      <c r="AQ11" s="217">
        <v>847</v>
      </c>
      <c r="AR11" s="215">
        <f>SUM(AP11:AQ11)</f>
        <v>1869</v>
      </c>
      <c r="AS11" s="216">
        <v>968</v>
      </c>
      <c r="AT11" s="217">
        <v>708</v>
      </c>
      <c r="AU11" s="215">
        <f>SUM(AS11:AT11)</f>
        <v>1676</v>
      </c>
      <c r="AV11" s="216">
        <v>983</v>
      </c>
      <c r="AW11" s="217">
        <v>640</v>
      </c>
      <c r="AX11" s="215">
        <f>SUM(AV11:AW11)</f>
        <v>1623</v>
      </c>
      <c r="AY11" s="216">
        <v>700</v>
      </c>
      <c r="AZ11" s="217">
        <v>497</v>
      </c>
      <c r="BA11" s="215">
        <f>SUM(AY11:AZ11)</f>
        <v>1197</v>
      </c>
    </row>
    <row r="12" spans="2:53" x14ac:dyDescent="0.3">
      <c r="B12" s="154" t="s">
        <v>111</v>
      </c>
      <c r="C12" s="229">
        <v>54</v>
      </c>
      <c r="D12" s="229">
        <v>35</v>
      </c>
      <c r="E12" s="229">
        <v>89</v>
      </c>
      <c r="F12" s="230">
        <v>312</v>
      </c>
      <c r="G12" s="229">
        <v>276</v>
      </c>
      <c r="H12" s="231">
        <v>588</v>
      </c>
      <c r="I12" s="230">
        <v>329</v>
      </c>
      <c r="J12" s="229">
        <v>356</v>
      </c>
      <c r="K12" s="231">
        <v>685</v>
      </c>
      <c r="L12" s="221">
        <v>469</v>
      </c>
      <c r="M12" s="222">
        <v>410</v>
      </c>
      <c r="N12" s="220">
        <v>879</v>
      </c>
      <c r="O12" s="221">
        <v>586</v>
      </c>
      <c r="P12" s="222">
        <v>508</v>
      </c>
      <c r="Q12" s="220">
        <f>P12+O12</f>
        <v>1094</v>
      </c>
      <c r="R12" s="221">
        <v>505</v>
      </c>
      <c r="S12" s="222">
        <v>506</v>
      </c>
      <c r="T12" s="220">
        <f>SUM(R12:S12)</f>
        <v>1011</v>
      </c>
      <c r="U12" s="221">
        <v>519</v>
      </c>
      <c r="V12" s="222">
        <v>482</v>
      </c>
      <c r="W12" s="220">
        <f>SUM(U12:V12)</f>
        <v>1001</v>
      </c>
      <c r="X12" s="221">
        <v>996</v>
      </c>
      <c r="Y12" s="222">
        <v>891</v>
      </c>
      <c r="Z12" s="220">
        <f>SUM(X12:Y12)</f>
        <v>1887</v>
      </c>
      <c r="AA12" s="221">
        <v>1008</v>
      </c>
      <c r="AB12" s="222">
        <v>912</v>
      </c>
      <c r="AC12" s="220">
        <f>SUM(AA12:AB12)</f>
        <v>1920</v>
      </c>
      <c r="AD12" s="221">
        <v>1061</v>
      </c>
      <c r="AE12" s="222">
        <v>865</v>
      </c>
      <c r="AF12" s="220">
        <f>SUM(AD12:AE12)</f>
        <v>1926</v>
      </c>
      <c r="AG12" s="221">
        <v>974</v>
      </c>
      <c r="AH12" s="222">
        <v>892</v>
      </c>
      <c r="AI12" s="220">
        <f>SUM(AG12:AH12)</f>
        <v>1866</v>
      </c>
      <c r="AJ12" s="221">
        <v>980</v>
      </c>
      <c r="AK12" s="222">
        <v>912</v>
      </c>
      <c r="AL12" s="220">
        <f>SUM(AJ12:AK12)</f>
        <v>1892</v>
      </c>
      <c r="AM12" s="221">
        <v>953</v>
      </c>
      <c r="AN12" s="222">
        <v>796</v>
      </c>
      <c r="AO12" s="220">
        <f>SUM(AM12:AN12)</f>
        <v>1749</v>
      </c>
      <c r="AP12" s="221">
        <v>849</v>
      </c>
      <c r="AQ12" s="222">
        <v>709</v>
      </c>
      <c r="AR12" s="220">
        <f>SUM(AP12:AQ12)</f>
        <v>1558</v>
      </c>
      <c r="AS12" s="221">
        <v>772</v>
      </c>
      <c r="AT12" s="222">
        <v>646</v>
      </c>
      <c r="AU12" s="220">
        <f>SUM(AS12:AT12)</f>
        <v>1418</v>
      </c>
      <c r="AV12" s="221">
        <v>844</v>
      </c>
      <c r="AW12" s="222">
        <v>688</v>
      </c>
      <c r="AX12" s="220">
        <f>SUM(AV12:AW12)</f>
        <v>1532</v>
      </c>
      <c r="AY12" s="221">
        <v>1136</v>
      </c>
      <c r="AZ12" s="222">
        <v>950</v>
      </c>
      <c r="BA12" s="220">
        <f>SUM(AY12:AZ12)</f>
        <v>2086</v>
      </c>
    </row>
    <row r="13" spans="2:53" x14ac:dyDescent="0.3">
      <c r="B13" s="154" t="s">
        <v>115</v>
      </c>
      <c r="C13" s="218">
        <v>34</v>
      </c>
      <c r="D13" s="218">
        <v>60</v>
      </c>
      <c r="E13" s="218">
        <v>94</v>
      </c>
      <c r="F13" s="219">
        <v>44</v>
      </c>
      <c r="G13" s="218">
        <v>125</v>
      </c>
      <c r="H13" s="220">
        <v>169</v>
      </c>
      <c r="I13" s="219">
        <v>70</v>
      </c>
      <c r="J13" s="218">
        <v>176</v>
      </c>
      <c r="K13" s="220">
        <v>246</v>
      </c>
      <c r="L13" s="232">
        <v>79</v>
      </c>
      <c r="M13" s="233">
        <v>162</v>
      </c>
      <c r="N13" s="220">
        <v>241</v>
      </c>
      <c r="O13" s="232">
        <v>162</v>
      </c>
      <c r="P13" s="233">
        <v>282</v>
      </c>
      <c r="Q13" s="220">
        <f>P13+O13</f>
        <v>444</v>
      </c>
      <c r="R13" s="232">
        <v>138</v>
      </c>
      <c r="S13" s="233">
        <v>242</v>
      </c>
      <c r="T13" s="220">
        <f>SUM(R13:S13)</f>
        <v>380</v>
      </c>
      <c r="U13" s="232">
        <v>122</v>
      </c>
      <c r="V13" s="233">
        <v>241</v>
      </c>
      <c r="W13" s="220">
        <f>SUM(U13:V13)</f>
        <v>363</v>
      </c>
      <c r="X13" s="219">
        <v>307</v>
      </c>
      <c r="Y13" s="218">
        <v>463</v>
      </c>
      <c r="Z13" s="220">
        <f>SUM(X13:Y13)</f>
        <v>770</v>
      </c>
      <c r="AA13" s="219">
        <v>301</v>
      </c>
      <c r="AB13" s="218">
        <v>548</v>
      </c>
      <c r="AC13" s="220">
        <f>SUM(AA13:AB13)</f>
        <v>849</v>
      </c>
      <c r="AD13" s="219">
        <v>368</v>
      </c>
      <c r="AE13" s="218">
        <v>587</v>
      </c>
      <c r="AF13" s="220">
        <f>SUM(AD13:AE13)</f>
        <v>955</v>
      </c>
      <c r="AG13" s="219">
        <v>361</v>
      </c>
      <c r="AH13" s="218">
        <v>644</v>
      </c>
      <c r="AI13" s="220">
        <f>SUM(AG13:AH13)</f>
        <v>1005</v>
      </c>
      <c r="AJ13" s="219">
        <v>395</v>
      </c>
      <c r="AK13" s="218">
        <v>598</v>
      </c>
      <c r="AL13" s="220">
        <f>SUM(AJ13:AK13)</f>
        <v>993</v>
      </c>
      <c r="AM13" s="219">
        <v>467</v>
      </c>
      <c r="AN13" s="218">
        <v>704</v>
      </c>
      <c r="AO13" s="220">
        <f>SUM(AM13:AN13)</f>
        <v>1171</v>
      </c>
      <c r="AP13" s="219">
        <v>454</v>
      </c>
      <c r="AQ13" s="218">
        <v>603</v>
      </c>
      <c r="AR13" s="220">
        <f>SUM(AP13:AQ13)</f>
        <v>1057</v>
      </c>
      <c r="AS13" s="219">
        <v>419</v>
      </c>
      <c r="AT13" s="218">
        <v>627</v>
      </c>
      <c r="AU13" s="220">
        <f>SUM(AS13:AT13)</f>
        <v>1046</v>
      </c>
      <c r="AV13" s="219">
        <v>338</v>
      </c>
      <c r="AW13" s="218">
        <v>497</v>
      </c>
      <c r="AX13" s="220">
        <f>SUM(AV13:AW13)</f>
        <v>835</v>
      </c>
      <c r="AY13" s="219">
        <v>312</v>
      </c>
      <c r="AZ13" s="218">
        <v>542</v>
      </c>
      <c r="BA13" s="220">
        <f>SUM(AY13:AZ13)</f>
        <v>854</v>
      </c>
    </row>
    <row r="14" spans="2:53" x14ac:dyDescent="0.3">
      <c r="B14" s="166" t="s">
        <v>134</v>
      </c>
      <c r="C14" s="234">
        <v>145</v>
      </c>
      <c r="D14" s="234">
        <v>141</v>
      </c>
      <c r="E14" s="234">
        <v>286</v>
      </c>
      <c r="F14" s="235">
        <v>461</v>
      </c>
      <c r="G14" s="234">
        <v>466</v>
      </c>
      <c r="H14" s="236">
        <v>927</v>
      </c>
      <c r="I14" s="235">
        <v>535</v>
      </c>
      <c r="J14" s="234">
        <v>618</v>
      </c>
      <c r="K14" s="236">
        <v>1153</v>
      </c>
      <c r="L14" s="237">
        <v>678</v>
      </c>
      <c r="M14" s="238">
        <v>684</v>
      </c>
      <c r="N14" s="236">
        <v>1362</v>
      </c>
      <c r="O14" s="237">
        <f>SUM(O11:O13)</f>
        <v>929</v>
      </c>
      <c r="P14" s="238">
        <f>SUM(P11:P13)</f>
        <v>915</v>
      </c>
      <c r="Q14" s="236">
        <f>P14+O14</f>
        <v>1844</v>
      </c>
      <c r="R14" s="237">
        <f>SUM(R11:R13)</f>
        <v>821</v>
      </c>
      <c r="S14" s="238">
        <f>SUM(S11:S13)</f>
        <v>891</v>
      </c>
      <c r="T14" s="236">
        <f>S14+R14</f>
        <v>1712</v>
      </c>
      <c r="U14" s="237">
        <f>SUM(U11:U13)</f>
        <v>832</v>
      </c>
      <c r="V14" s="238">
        <f>SUM(V11:V13)</f>
        <v>866</v>
      </c>
      <c r="W14" s="236">
        <f>V14+U14</f>
        <v>1698</v>
      </c>
      <c r="X14" s="237">
        <f>SUM(X11:X13)</f>
        <v>1678</v>
      </c>
      <c r="Y14" s="238">
        <f>SUM(Y11:Y13)</f>
        <v>1695</v>
      </c>
      <c r="Z14" s="236">
        <f>Y14+X14</f>
        <v>3373</v>
      </c>
      <c r="AA14" s="237">
        <f>SUM(AA11:AA13)</f>
        <v>1932</v>
      </c>
      <c r="AB14" s="238">
        <f>SUM(AB11:AB13)</f>
        <v>1988</v>
      </c>
      <c r="AC14" s="236">
        <f>AB14+AA14</f>
        <v>3920</v>
      </c>
      <c r="AD14" s="237">
        <f>SUM(AD11:AD13)</f>
        <v>2312</v>
      </c>
      <c r="AE14" s="238">
        <f>SUM(AE11:AE13)</f>
        <v>2157</v>
      </c>
      <c r="AF14" s="236">
        <f>AE14+AD14</f>
        <v>4469</v>
      </c>
      <c r="AG14" s="237">
        <f>SUM(AG11:AG13)</f>
        <v>2527</v>
      </c>
      <c r="AH14" s="238">
        <f>SUM(AH11:AH13)</f>
        <v>2386</v>
      </c>
      <c r="AI14" s="236">
        <f>AH14+AG14</f>
        <v>4913</v>
      </c>
      <c r="AJ14" s="237">
        <f>SUM(AJ11:AJ13)</f>
        <v>2552</v>
      </c>
      <c r="AK14" s="238">
        <f>SUM(AK11:AK13)</f>
        <v>2326</v>
      </c>
      <c r="AL14" s="236">
        <f>AK14+AJ14</f>
        <v>4878</v>
      </c>
      <c r="AM14" s="237">
        <f>SUM(AM11:AM13)</f>
        <v>2599</v>
      </c>
      <c r="AN14" s="238">
        <f>SUM(AN11:AN13)</f>
        <v>2394</v>
      </c>
      <c r="AO14" s="236">
        <f>AN14+AM14</f>
        <v>4993</v>
      </c>
      <c r="AP14" s="237">
        <f>SUM(AP11:AP13)</f>
        <v>2325</v>
      </c>
      <c r="AQ14" s="238">
        <f>SUM(AQ11:AQ13)</f>
        <v>2159</v>
      </c>
      <c r="AR14" s="236">
        <f>AQ14+AP14</f>
        <v>4484</v>
      </c>
      <c r="AS14" s="237">
        <f>SUM(AS11:AS13)</f>
        <v>2159</v>
      </c>
      <c r="AT14" s="238">
        <f>SUM(AT11:AT13)</f>
        <v>1981</v>
      </c>
      <c r="AU14" s="236">
        <f>AT14+AS14</f>
        <v>4140</v>
      </c>
      <c r="AV14" s="237">
        <f>SUM(AV11:AV13)</f>
        <v>2165</v>
      </c>
      <c r="AW14" s="238">
        <f>SUM(AW11:AW13)</f>
        <v>1825</v>
      </c>
      <c r="AX14" s="236">
        <f>AW14+AV14</f>
        <v>3990</v>
      </c>
      <c r="AY14" s="237">
        <f>SUM(AY11:AY13)</f>
        <v>2148</v>
      </c>
      <c r="AZ14" s="238">
        <f>SUM(AZ11:AZ13)</f>
        <v>1989</v>
      </c>
      <c r="BA14" s="236">
        <f>AZ14+AY14</f>
        <v>4137</v>
      </c>
    </row>
    <row r="15" spans="2:53" x14ac:dyDescent="0.3">
      <c r="B15" s="170"/>
      <c r="C15" s="239"/>
      <c r="D15" s="239"/>
      <c r="E15" s="239"/>
      <c r="F15" s="239"/>
      <c r="G15" s="239"/>
      <c r="H15" s="239"/>
      <c r="I15" s="239"/>
      <c r="J15" s="239"/>
      <c r="K15" s="239"/>
      <c r="L15" s="239"/>
      <c r="M15" s="239"/>
      <c r="N15" s="239"/>
      <c r="O15" s="239"/>
      <c r="P15" s="239"/>
      <c r="Q15" s="239"/>
      <c r="R15" s="239"/>
      <c r="S15" s="239"/>
      <c r="T15" s="239"/>
      <c r="U15" s="239"/>
      <c r="V15" s="239"/>
      <c r="W15" s="239"/>
      <c r="X15" s="239"/>
      <c r="Y15" s="239"/>
      <c r="Z15" s="239"/>
      <c r="AA15" s="239"/>
      <c r="AB15" s="239"/>
      <c r="AC15" s="239"/>
      <c r="AD15" s="239"/>
      <c r="AE15" s="239"/>
      <c r="AF15" s="239"/>
      <c r="AG15" s="239"/>
      <c r="AH15" s="239"/>
      <c r="AI15" s="239"/>
      <c r="AJ15" s="239"/>
      <c r="AK15" s="239"/>
      <c r="AL15" s="239"/>
      <c r="AM15" s="239"/>
      <c r="AN15" s="239"/>
      <c r="AO15" s="239"/>
      <c r="AP15" s="239"/>
      <c r="AQ15" s="239"/>
      <c r="AR15" s="239"/>
      <c r="AS15" s="239"/>
      <c r="AT15" s="239"/>
      <c r="AU15" s="239"/>
      <c r="AV15" s="239"/>
      <c r="AW15" s="239"/>
      <c r="AX15" s="239"/>
      <c r="AY15" s="239"/>
      <c r="AZ15" s="239"/>
      <c r="BA15" s="239"/>
    </row>
    <row r="16" spans="2:53" x14ac:dyDescent="0.3">
      <c r="B16" s="150" t="s">
        <v>59</v>
      </c>
      <c r="C16" s="213">
        <v>869</v>
      </c>
      <c r="D16" s="213">
        <v>2140</v>
      </c>
      <c r="E16" s="213">
        <v>3009</v>
      </c>
      <c r="F16" s="214">
        <v>822</v>
      </c>
      <c r="G16" s="213">
        <v>2031</v>
      </c>
      <c r="H16" s="215">
        <v>2853</v>
      </c>
      <c r="I16" s="214">
        <v>934</v>
      </c>
      <c r="J16" s="213">
        <v>2119</v>
      </c>
      <c r="K16" s="215">
        <v>3053</v>
      </c>
      <c r="L16" s="216">
        <v>1029</v>
      </c>
      <c r="M16" s="217">
        <v>2340</v>
      </c>
      <c r="N16" s="215">
        <v>3369</v>
      </c>
      <c r="O16" s="216">
        <v>950</v>
      </c>
      <c r="P16" s="217">
        <v>2154</v>
      </c>
      <c r="Q16" s="215">
        <f>P16+O16</f>
        <v>3104</v>
      </c>
      <c r="R16" s="216">
        <v>892</v>
      </c>
      <c r="S16" s="217">
        <v>2189</v>
      </c>
      <c r="T16" s="215">
        <f>SUM(R16:S16)</f>
        <v>3081</v>
      </c>
      <c r="U16" s="216">
        <v>1064</v>
      </c>
      <c r="V16" s="217">
        <v>2526</v>
      </c>
      <c r="W16" s="215">
        <f>SUM(U16:V16)</f>
        <v>3590</v>
      </c>
      <c r="X16" s="216">
        <v>1077</v>
      </c>
      <c r="Y16" s="217">
        <v>2576</v>
      </c>
      <c r="Z16" s="215">
        <f>SUM(X16:Y16)</f>
        <v>3653</v>
      </c>
      <c r="AA16" s="216">
        <v>1119</v>
      </c>
      <c r="AB16" s="217">
        <v>2515</v>
      </c>
      <c r="AC16" s="215">
        <f>SUM(AA16:AB16)</f>
        <v>3634</v>
      </c>
      <c r="AD16" s="216">
        <v>1257</v>
      </c>
      <c r="AE16" s="217">
        <v>2874</v>
      </c>
      <c r="AF16" s="215">
        <f>SUM(AD16:AE16)</f>
        <v>4131</v>
      </c>
      <c r="AG16" s="216">
        <v>1369</v>
      </c>
      <c r="AH16" s="217">
        <v>3006</v>
      </c>
      <c r="AI16" s="215">
        <f>SUM(AG16:AH16)</f>
        <v>4375</v>
      </c>
      <c r="AJ16" s="216">
        <v>1203</v>
      </c>
      <c r="AK16" s="217">
        <v>2730</v>
      </c>
      <c r="AL16" s="215">
        <f>SUM(AJ16:AK16)</f>
        <v>3933</v>
      </c>
      <c r="AM16" s="216">
        <v>1342</v>
      </c>
      <c r="AN16" s="217">
        <v>3003</v>
      </c>
      <c r="AO16" s="215">
        <f>SUM(AM16:AN16)</f>
        <v>4345</v>
      </c>
      <c r="AP16" s="216">
        <v>1057</v>
      </c>
      <c r="AQ16" s="217">
        <v>2320</v>
      </c>
      <c r="AR16" s="215">
        <f>SUM(AP16:AQ16)</f>
        <v>3377</v>
      </c>
      <c r="AS16" s="216">
        <v>961</v>
      </c>
      <c r="AT16" s="217">
        <v>1650</v>
      </c>
      <c r="AU16" s="215">
        <f>SUM(AS16:AT16)</f>
        <v>2611</v>
      </c>
      <c r="AV16" s="216">
        <v>718</v>
      </c>
      <c r="AW16" s="217">
        <v>1491</v>
      </c>
      <c r="AX16" s="215">
        <f>SUM(AV16:AW16)</f>
        <v>2209</v>
      </c>
      <c r="AY16" s="216">
        <v>780</v>
      </c>
      <c r="AZ16" s="217">
        <v>1591</v>
      </c>
      <c r="BA16" s="215">
        <f>SUM(AY16:AZ16)</f>
        <v>2371</v>
      </c>
    </row>
    <row r="17" spans="2:53" x14ac:dyDescent="0.3">
      <c r="B17" s="154" t="s">
        <v>64</v>
      </c>
      <c r="C17" s="218">
        <v>3264</v>
      </c>
      <c r="D17" s="218">
        <v>1999</v>
      </c>
      <c r="E17" s="218">
        <v>5263</v>
      </c>
      <c r="F17" s="219">
        <v>3405</v>
      </c>
      <c r="G17" s="218">
        <v>2015</v>
      </c>
      <c r="H17" s="220">
        <v>5420</v>
      </c>
      <c r="I17" s="219">
        <v>3698</v>
      </c>
      <c r="J17" s="218">
        <v>2277</v>
      </c>
      <c r="K17" s="220">
        <v>5975</v>
      </c>
      <c r="L17" s="232">
        <v>3938</v>
      </c>
      <c r="M17" s="233">
        <v>2534</v>
      </c>
      <c r="N17" s="220">
        <v>6472</v>
      </c>
      <c r="O17" s="232">
        <v>4577</v>
      </c>
      <c r="P17" s="233">
        <v>2821</v>
      </c>
      <c r="Q17" s="220">
        <f>P17+O17</f>
        <v>7398</v>
      </c>
      <c r="R17" s="232">
        <v>4562</v>
      </c>
      <c r="S17" s="233">
        <v>2761</v>
      </c>
      <c r="T17" s="220">
        <f>SUM(R17:S17)</f>
        <v>7323</v>
      </c>
      <c r="U17" s="232">
        <v>5055</v>
      </c>
      <c r="V17" s="233">
        <v>3258</v>
      </c>
      <c r="W17" s="220">
        <f>SUM(U17:V17)</f>
        <v>8313</v>
      </c>
      <c r="X17" s="221">
        <v>4952</v>
      </c>
      <c r="Y17" s="222">
        <v>3255</v>
      </c>
      <c r="Z17" s="220">
        <f>SUM(X17:Y17)</f>
        <v>8207</v>
      </c>
      <c r="AA17" s="221">
        <v>4709</v>
      </c>
      <c r="AB17" s="222">
        <v>3127</v>
      </c>
      <c r="AC17" s="220">
        <f>SUM(AA17:AB17)</f>
        <v>7836</v>
      </c>
      <c r="AD17" s="221">
        <v>4925</v>
      </c>
      <c r="AE17" s="222">
        <v>3230</v>
      </c>
      <c r="AF17" s="220">
        <f>SUM(AD17:AE17)</f>
        <v>8155</v>
      </c>
      <c r="AG17" s="221">
        <v>4815</v>
      </c>
      <c r="AH17" s="222">
        <v>3284</v>
      </c>
      <c r="AI17" s="220">
        <f>SUM(AG17:AH17)</f>
        <v>8099</v>
      </c>
      <c r="AJ17" s="221">
        <v>4795</v>
      </c>
      <c r="AK17" s="222">
        <v>3048</v>
      </c>
      <c r="AL17" s="220">
        <f>SUM(AJ17:AK17)</f>
        <v>7843</v>
      </c>
      <c r="AM17" s="221">
        <v>4541</v>
      </c>
      <c r="AN17" s="222">
        <v>3013</v>
      </c>
      <c r="AO17" s="220">
        <f>SUM(AM17:AN17)</f>
        <v>7554</v>
      </c>
      <c r="AP17" s="221">
        <v>3460</v>
      </c>
      <c r="AQ17" s="222">
        <v>2487</v>
      </c>
      <c r="AR17" s="220">
        <f>SUM(AP17:AQ17)</f>
        <v>5947</v>
      </c>
      <c r="AS17" s="221">
        <v>2823</v>
      </c>
      <c r="AT17" s="222">
        <v>1954</v>
      </c>
      <c r="AU17" s="220">
        <f>SUM(AS17:AT17)</f>
        <v>4777</v>
      </c>
      <c r="AV17" s="221">
        <v>2588</v>
      </c>
      <c r="AW17" s="222">
        <v>1660</v>
      </c>
      <c r="AX17" s="220">
        <f>SUM(AV17:AW17)</f>
        <v>4248</v>
      </c>
      <c r="AY17" s="221">
        <v>2678</v>
      </c>
      <c r="AZ17" s="222">
        <v>2002</v>
      </c>
      <c r="BA17" s="220">
        <f>SUM(AY17:AZ17)</f>
        <v>4680</v>
      </c>
    </row>
    <row r="18" spans="2:53" x14ac:dyDescent="0.3">
      <c r="B18" s="154" t="s">
        <v>92</v>
      </c>
      <c r="C18" s="218">
        <v>908</v>
      </c>
      <c r="D18" s="218">
        <v>576</v>
      </c>
      <c r="E18" s="218">
        <v>1484</v>
      </c>
      <c r="F18" s="219">
        <v>910</v>
      </c>
      <c r="G18" s="218">
        <v>535</v>
      </c>
      <c r="H18" s="220">
        <v>1445</v>
      </c>
      <c r="I18" s="219">
        <v>1193</v>
      </c>
      <c r="J18" s="218">
        <v>703</v>
      </c>
      <c r="K18" s="220">
        <v>1896</v>
      </c>
      <c r="L18" s="232">
        <v>1366</v>
      </c>
      <c r="M18" s="233">
        <v>830</v>
      </c>
      <c r="N18" s="220">
        <v>2196</v>
      </c>
      <c r="O18" s="232">
        <v>1436</v>
      </c>
      <c r="P18" s="233">
        <v>958</v>
      </c>
      <c r="Q18" s="220">
        <f>P18+O18</f>
        <v>2394</v>
      </c>
      <c r="R18" s="232">
        <v>1571</v>
      </c>
      <c r="S18" s="233">
        <v>1033</v>
      </c>
      <c r="T18" s="220">
        <f>SUM(R18:S18)</f>
        <v>2604</v>
      </c>
      <c r="U18" s="232">
        <v>1667</v>
      </c>
      <c r="V18" s="233">
        <v>1161</v>
      </c>
      <c r="W18" s="220">
        <f>SUM(U18:V18)</f>
        <v>2828</v>
      </c>
      <c r="X18" s="219">
        <v>1723</v>
      </c>
      <c r="Y18" s="218">
        <v>1107</v>
      </c>
      <c r="Z18" s="220">
        <f>SUM(X18:Y18)</f>
        <v>2830</v>
      </c>
      <c r="AA18" s="219">
        <v>1794</v>
      </c>
      <c r="AB18" s="218">
        <v>1179</v>
      </c>
      <c r="AC18" s="220">
        <f>SUM(AA18:AB18)</f>
        <v>2973</v>
      </c>
      <c r="AD18" s="219">
        <v>1855</v>
      </c>
      <c r="AE18" s="218">
        <v>1260</v>
      </c>
      <c r="AF18" s="220">
        <f>SUM(AD18:AE18)</f>
        <v>3115</v>
      </c>
      <c r="AG18" s="219">
        <v>1948</v>
      </c>
      <c r="AH18" s="218">
        <v>1219</v>
      </c>
      <c r="AI18" s="220">
        <f>SUM(AG18:AH18)</f>
        <v>3167</v>
      </c>
      <c r="AJ18" s="219">
        <v>2015</v>
      </c>
      <c r="AK18" s="218">
        <v>1184</v>
      </c>
      <c r="AL18" s="220">
        <f>SUM(AJ18:AK18)</f>
        <v>3199</v>
      </c>
      <c r="AM18" s="219">
        <v>2049</v>
      </c>
      <c r="AN18" s="218">
        <v>1292</v>
      </c>
      <c r="AO18" s="220">
        <f>SUM(AM18:AN18)</f>
        <v>3341</v>
      </c>
      <c r="AP18" s="219">
        <v>1888</v>
      </c>
      <c r="AQ18" s="218">
        <v>1250</v>
      </c>
      <c r="AR18" s="220">
        <f>SUM(AP18:AQ18)</f>
        <v>3138</v>
      </c>
      <c r="AS18" s="219">
        <v>1387</v>
      </c>
      <c r="AT18" s="218">
        <v>826</v>
      </c>
      <c r="AU18" s="220">
        <f>SUM(AS18:AT18)</f>
        <v>2213</v>
      </c>
      <c r="AV18" s="219">
        <v>1090</v>
      </c>
      <c r="AW18" s="218">
        <v>699</v>
      </c>
      <c r="AX18" s="220">
        <f>SUM(AV18:AW18)</f>
        <v>1789</v>
      </c>
      <c r="AY18" s="219">
        <v>1122</v>
      </c>
      <c r="AZ18" s="218">
        <v>746</v>
      </c>
      <c r="BA18" s="220">
        <f>SUM(AY18:AZ18)</f>
        <v>1868</v>
      </c>
    </row>
    <row r="19" spans="2:53" x14ac:dyDescent="0.3">
      <c r="B19" s="174" t="s">
        <v>135</v>
      </c>
      <c r="C19" s="240">
        <v>5041</v>
      </c>
      <c r="D19" s="240">
        <v>4715</v>
      </c>
      <c r="E19" s="240">
        <v>9756</v>
      </c>
      <c r="F19" s="241">
        <v>5137</v>
      </c>
      <c r="G19" s="240">
        <v>4581</v>
      </c>
      <c r="H19" s="242">
        <v>9718</v>
      </c>
      <c r="I19" s="241">
        <v>5825</v>
      </c>
      <c r="J19" s="240">
        <v>5099</v>
      </c>
      <c r="K19" s="242">
        <v>10924</v>
      </c>
      <c r="L19" s="243">
        <v>6333</v>
      </c>
      <c r="M19" s="244">
        <v>5704</v>
      </c>
      <c r="N19" s="242">
        <v>12037</v>
      </c>
      <c r="O19" s="243">
        <f>SUM(O16:O18)</f>
        <v>6963</v>
      </c>
      <c r="P19" s="244">
        <f>SUM(P16:P18)</f>
        <v>5933</v>
      </c>
      <c r="Q19" s="242">
        <f>P19+O19</f>
        <v>12896</v>
      </c>
      <c r="R19" s="243">
        <f>SUM(R16:R18)</f>
        <v>7025</v>
      </c>
      <c r="S19" s="244">
        <f>SUM(S16:S18)</f>
        <v>5983</v>
      </c>
      <c r="T19" s="242">
        <f>S19+R19</f>
        <v>13008</v>
      </c>
      <c r="U19" s="243">
        <f>SUM(U16:U18)</f>
        <v>7786</v>
      </c>
      <c r="V19" s="244">
        <f>SUM(V16:V18)</f>
        <v>6945</v>
      </c>
      <c r="W19" s="242">
        <f>V19+U19</f>
        <v>14731</v>
      </c>
      <c r="X19" s="243">
        <f>SUM(X16:X18)</f>
        <v>7752</v>
      </c>
      <c r="Y19" s="244">
        <f>SUM(Y16:Y18)</f>
        <v>6938</v>
      </c>
      <c r="Z19" s="242">
        <f>Y19+X19</f>
        <v>14690</v>
      </c>
      <c r="AA19" s="243">
        <f>SUM(AA16:AA18)</f>
        <v>7622</v>
      </c>
      <c r="AB19" s="244">
        <f>SUM(AB16:AB18)</f>
        <v>6821</v>
      </c>
      <c r="AC19" s="242">
        <f>AB19+AA19</f>
        <v>14443</v>
      </c>
      <c r="AD19" s="243">
        <f>SUM(AD16:AD18)</f>
        <v>8037</v>
      </c>
      <c r="AE19" s="244">
        <f>SUM(AE16:AE18)</f>
        <v>7364</v>
      </c>
      <c r="AF19" s="242">
        <f>AE19+AD19</f>
        <v>15401</v>
      </c>
      <c r="AG19" s="243">
        <f>SUM(AG16:AG18)</f>
        <v>8132</v>
      </c>
      <c r="AH19" s="244">
        <f>SUM(AH16:AH18)</f>
        <v>7509</v>
      </c>
      <c r="AI19" s="242">
        <f>AH19+AG19</f>
        <v>15641</v>
      </c>
      <c r="AJ19" s="243">
        <f>SUM(AJ16:AJ18)</f>
        <v>8013</v>
      </c>
      <c r="AK19" s="244">
        <f>SUM(AK16:AK18)</f>
        <v>6962</v>
      </c>
      <c r="AL19" s="242">
        <f>AK19+AJ19</f>
        <v>14975</v>
      </c>
      <c r="AM19" s="243">
        <f>SUM(AM16:AM18)</f>
        <v>7932</v>
      </c>
      <c r="AN19" s="244">
        <f>SUM(AN16:AN18)</f>
        <v>7308</v>
      </c>
      <c r="AO19" s="242">
        <f>AN19+AM19</f>
        <v>15240</v>
      </c>
      <c r="AP19" s="243">
        <f>SUM(AP16:AP18)</f>
        <v>6405</v>
      </c>
      <c r="AQ19" s="244">
        <f>SUM(AQ16:AQ18)</f>
        <v>6057</v>
      </c>
      <c r="AR19" s="242">
        <f>AQ19+AP19</f>
        <v>12462</v>
      </c>
      <c r="AS19" s="243">
        <f>SUM(AS16:AS18)</f>
        <v>5171</v>
      </c>
      <c r="AT19" s="244">
        <f>SUM(AT16:AT18)</f>
        <v>4430</v>
      </c>
      <c r="AU19" s="242">
        <f>AT19+AS19</f>
        <v>9601</v>
      </c>
      <c r="AV19" s="243">
        <f>SUM(AV16:AV18)</f>
        <v>4396</v>
      </c>
      <c r="AW19" s="244">
        <f>SUM(AW16:AW18)</f>
        <v>3850</v>
      </c>
      <c r="AX19" s="242">
        <f>AW19+AV19</f>
        <v>8246</v>
      </c>
      <c r="AY19" s="243">
        <f>SUM(AY16:AY18)</f>
        <v>4580</v>
      </c>
      <c r="AZ19" s="244">
        <f>SUM(AZ16:AZ18)</f>
        <v>4339</v>
      </c>
      <c r="BA19" s="242">
        <f>AZ19+AY19</f>
        <v>8919</v>
      </c>
    </row>
    <row r="20" spans="2:53" x14ac:dyDescent="0.3">
      <c r="B20" s="162"/>
      <c r="C20" s="245"/>
      <c r="D20" s="245"/>
      <c r="E20" s="245"/>
      <c r="F20" s="245"/>
      <c r="G20" s="245"/>
      <c r="H20" s="245"/>
      <c r="I20" s="245"/>
      <c r="J20" s="245"/>
      <c r="K20" s="245"/>
      <c r="L20" s="245"/>
      <c r="M20" s="245"/>
      <c r="N20" s="245"/>
      <c r="O20" s="245"/>
      <c r="P20" s="245"/>
      <c r="Q20" s="245"/>
      <c r="R20" s="245"/>
      <c r="S20" s="245"/>
      <c r="T20" s="245"/>
      <c r="U20" s="245"/>
      <c r="V20" s="245"/>
      <c r="W20" s="245"/>
      <c r="X20" s="245"/>
      <c r="Y20" s="245"/>
      <c r="Z20" s="245"/>
      <c r="AA20" s="245"/>
      <c r="AB20" s="245"/>
      <c r="AC20" s="245"/>
      <c r="AD20" s="245"/>
      <c r="AE20" s="245"/>
      <c r="AF20" s="245"/>
      <c r="AG20" s="245"/>
      <c r="AH20" s="245"/>
      <c r="AI20" s="245"/>
      <c r="AJ20" s="245"/>
      <c r="AK20" s="245"/>
      <c r="AL20" s="245"/>
      <c r="AM20" s="245"/>
      <c r="AN20" s="245"/>
      <c r="AO20" s="245"/>
      <c r="AP20" s="245"/>
      <c r="AQ20" s="245"/>
      <c r="AR20" s="245"/>
      <c r="AS20" s="245"/>
      <c r="AT20" s="245"/>
      <c r="AU20" s="245"/>
      <c r="AV20" s="245"/>
      <c r="AW20" s="245"/>
      <c r="AX20" s="245"/>
      <c r="AY20" s="245"/>
      <c r="AZ20" s="245"/>
      <c r="BA20" s="245"/>
    </row>
    <row r="21" spans="2:53" x14ac:dyDescent="0.3">
      <c r="B21" s="150" t="s">
        <v>59</v>
      </c>
      <c r="C21" s="214"/>
      <c r="D21" s="213"/>
      <c r="E21" s="215"/>
      <c r="F21" s="213"/>
      <c r="G21" s="213"/>
      <c r="H21" s="213"/>
      <c r="I21" s="214"/>
      <c r="J21" s="213"/>
      <c r="K21" s="215"/>
      <c r="L21" s="217"/>
      <c r="M21" s="217"/>
      <c r="N21" s="213"/>
      <c r="O21" s="216"/>
      <c r="P21" s="217"/>
      <c r="Q21" s="215"/>
      <c r="R21" s="216">
        <v>20</v>
      </c>
      <c r="S21" s="217">
        <v>47</v>
      </c>
      <c r="T21" s="215">
        <f>SUM(R21:S21)</f>
        <v>67</v>
      </c>
      <c r="U21" s="216">
        <v>15</v>
      </c>
      <c r="V21" s="217">
        <v>18</v>
      </c>
      <c r="W21" s="215">
        <f>SUM(U21:V21)</f>
        <v>33</v>
      </c>
      <c r="X21" s="216">
        <v>20</v>
      </c>
      <c r="Y21" s="217">
        <v>40</v>
      </c>
      <c r="Z21" s="215">
        <f>SUM(X21:Y21)</f>
        <v>60</v>
      </c>
      <c r="AA21" s="216">
        <v>32</v>
      </c>
      <c r="AB21" s="217">
        <v>34</v>
      </c>
      <c r="AC21" s="215">
        <f>SUM(AA21:AB21)</f>
        <v>66</v>
      </c>
      <c r="AD21" s="216">
        <v>33</v>
      </c>
      <c r="AE21" s="217">
        <v>46</v>
      </c>
      <c r="AF21" s="215">
        <f>SUM(AD21:AE21)</f>
        <v>79</v>
      </c>
      <c r="AG21" s="216">
        <v>17</v>
      </c>
      <c r="AH21" s="217">
        <v>65</v>
      </c>
      <c r="AI21" s="215">
        <f>SUM(AG21:AH21)</f>
        <v>82</v>
      </c>
      <c r="AJ21" s="216">
        <v>103</v>
      </c>
      <c r="AK21" s="217">
        <v>237</v>
      </c>
      <c r="AL21" s="215">
        <f>SUM(AJ21:AK21)</f>
        <v>340</v>
      </c>
      <c r="AM21" s="216">
        <v>103</v>
      </c>
      <c r="AN21" s="217">
        <v>317</v>
      </c>
      <c r="AO21" s="215">
        <f>SUM(AM21:AN21)</f>
        <v>420</v>
      </c>
      <c r="AP21" s="216">
        <v>94</v>
      </c>
      <c r="AQ21" s="217">
        <v>405</v>
      </c>
      <c r="AR21" s="215">
        <f>SUM(AP21:AQ21)</f>
        <v>499</v>
      </c>
      <c r="AS21" s="216">
        <v>127</v>
      </c>
      <c r="AT21" s="217">
        <v>418</v>
      </c>
      <c r="AU21" s="215">
        <f>SUM(AS21:AT21)</f>
        <v>545</v>
      </c>
      <c r="AV21" s="216">
        <v>86</v>
      </c>
      <c r="AW21" s="217">
        <v>287</v>
      </c>
      <c r="AX21" s="215">
        <f>SUM(AV21:AW21)</f>
        <v>373</v>
      </c>
      <c r="AY21" s="216">
        <v>139</v>
      </c>
      <c r="AZ21" s="217">
        <v>363</v>
      </c>
      <c r="BA21" s="215">
        <f>SUM(AY21:AZ21)</f>
        <v>502</v>
      </c>
    </row>
    <row r="22" spans="2:53" x14ac:dyDescent="0.3">
      <c r="B22" s="154" t="s">
        <v>64</v>
      </c>
      <c r="C22" s="219"/>
      <c r="D22" s="218"/>
      <c r="E22" s="220"/>
      <c r="F22" s="218"/>
      <c r="G22" s="218"/>
      <c r="H22" s="218"/>
      <c r="I22" s="219"/>
      <c r="J22" s="218"/>
      <c r="K22" s="220"/>
      <c r="L22" s="233"/>
      <c r="M22" s="233"/>
      <c r="N22" s="218"/>
      <c r="O22" s="232"/>
      <c r="P22" s="233"/>
      <c r="Q22" s="220"/>
      <c r="R22" s="232">
        <v>99</v>
      </c>
      <c r="S22" s="233">
        <v>69</v>
      </c>
      <c r="T22" s="220">
        <f>SUM(R22:S22)</f>
        <v>168</v>
      </c>
      <c r="U22" s="232">
        <v>34</v>
      </c>
      <c r="V22" s="233">
        <v>33</v>
      </c>
      <c r="W22" s="220">
        <f>SUM(U22:V22)</f>
        <v>67</v>
      </c>
      <c r="X22" s="221">
        <v>106</v>
      </c>
      <c r="Y22" s="222">
        <v>88</v>
      </c>
      <c r="Z22" s="220">
        <f>SUM(X22:Y22)</f>
        <v>194</v>
      </c>
      <c r="AA22" s="221">
        <v>150</v>
      </c>
      <c r="AB22" s="222">
        <v>135</v>
      </c>
      <c r="AC22" s="220">
        <f>SUM(AA22:AB22)</f>
        <v>285</v>
      </c>
      <c r="AD22" s="221">
        <v>219</v>
      </c>
      <c r="AE22" s="222">
        <v>176</v>
      </c>
      <c r="AF22" s="220">
        <f>SUM(AD22:AE22)</f>
        <v>395</v>
      </c>
      <c r="AG22" s="221">
        <v>255</v>
      </c>
      <c r="AH22" s="222">
        <v>208</v>
      </c>
      <c r="AI22" s="220">
        <f>SUM(AG22:AH22)</f>
        <v>463</v>
      </c>
      <c r="AJ22" s="221">
        <v>211</v>
      </c>
      <c r="AK22" s="222">
        <v>175</v>
      </c>
      <c r="AL22" s="220">
        <f>SUM(AJ22:AK22)</f>
        <v>386</v>
      </c>
      <c r="AM22" s="221">
        <v>268</v>
      </c>
      <c r="AN22" s="222">
        <v>225</v>
      </c>
      <c r="AO22" s="220">
        <f>SUM(AM22:AN22)</f>
        <v>493</v>
      </c>
      <c r="AP22" s="221">
        <v>238</v>
      </c>
      <c r="AQ22" s="222">
        <v>228</v>
      </c>
      <c r="AR22" s="220">
        <f>SUM(AP22:AQ22)</f>
        <v>466</v>
      </c>
      <c r="AS22" s="221">
        <v>236</v>
      </c>
      <c r="AT22" s="222">
        <v>200</v>
      </c>
      <c r="AU22" s="220">
        <f>SUM(AS22:AT22)</f>
        <v>436</v>
      </c>
      <c r="AV22" s="221">
        <v>236</v>
      </c>
      <c r="AW22" s="222">
        <v>208</v>
      </c>
      <c r="AX22" s="220">
        <f>SUM(AV22:AW22)</f>
        <v>444</v>
      </c>
      <c r="AY22" s="221">
        <v>209</v>
      </c>
      <c r="AZ22" s="222">
        <v>144</v>
      </c>
      <c r="BA22" s="220">
        <f>SUM(AY22:AZ22)</f>
        <v>353</v>
      </c>
    </row>
    <row r="23" spans="2:53" x14ac:dyDescent="0.3">
      <c r="B23" s="154" t="s">
        <v>92</v>
      </c>
      <c r="C23" s="246"/>
      <c r="D23" s="247"/>
      <c r="E23" s="248"/>
      <c r="F23" s="218"/>
      <c r="G23" s="218"/>
      <c r="H23" s="218"/>
      <c r="I23" s="219"/>
      <c r="J23" s="218"/>
      <c r="K23" s="220"/>
      <c r="L23" s="233"/>
      <c r="M23" s="233"/>
      <c r="N23" s="218"/>
      <c r="O23" s="232"/>
      <c r="P23" s="233"/>
      <c r="Q23" s="220"/>
      <c r="R23" s="232">
        <v>107</v>
      </c>
      <c r="S23" s="233">
        <v>60</v>
      </c>
      <c r="T23" s="220">
        <f>SUM(R23:S23)</f>
        <v>167</v>
      </c>
      <c r="U23" s="232">
        <v>39</v>
      </c>
      <c r="V23" s="233">
        <v>24</v>
      </c>
      <c r="W23" s="220">
        <f>SUM(U23:V23)</f>
        <v>63</v>
      </c>
      <c r="X23" s="219">
        <v>100</v>
      </c>
      <c r="Y23" s="218">
        <v>47</v>
      </c>
      <c r="Z23" s="220">
        <f>SUM(X23:Y23)</f>
        <v>147</v>
      </c>
      <c r="AA23" s="219">
        <v>50</v>
      </c>
      <c r="AB23" s="218">
        <v>32</v>
      </c>
      <c r="AC23" s="220">
        <f>SUM(AA23:AB23)</f>
        <v>82</v>
      </c>
      <c r="AD23" s="219">
        <v>113</v>
      </c>
      <c r="AE23" s="218">
        <v>58</v>
      </c>
      <c r="AF23" s="220">
        <f>SUM(AD23:AE23)</f>
        <v>171</v>
      </c>
      <c r="AG23" s="219">
        <v>152</v>
      </c>
      <c r="AH23" s="218">
        <v>70</v>
      </c>
      <c r="AI23" s="220">
        <f>SUM(AG23:AH23)</f>
        <v>222</v>
      </c>
      <c r="AJ23" s="219">
        <v>310</v>
      </c>
      <c r="AK23" s="218">
        <v>132</v>
      </c>
      <c r="AL23" s="220">
        <f>SUM(AJ23:AK23)</f>
        <v>442</v>
      </c>
      <c r="AM23" s="219">
        <v>649</v>
      </c>
      <c r="AN23" s="218">
        <v>203</v>
      </c>
      <c r="AO23" s="220">
        <f>SUM(AM23:AN23)</f>
        <v>852</v>
      </c>
      <c r="AP23" s="219">
        <v>591</v>
      </c>
      <c r="AQ23" s="218">
        <v>208</v>
      </c>
      <c r="AR23" s="220">
        <f>SUM(AP23:AQ23)</f>
        <v>799</v>
      </c>
      <c r="AS23" s="219">
        <v>594</v>
      </c>
      <c r="AT23" s="218">
        <v>182</v>
      </c>
      <c r="AU23" s="220">
        <f>SUM(AS23:AT23)</f>
        <v>776</v>
      </c>
      <c r="AV23" s="219">
        <v>491</v>
      </c>
      <c r="AW23" s="218">
        <v>168</v>
      </c>
      <c r="AX23" s="220">
        <f>SUM(AV23:AW23)</f>
        <v>659</v>
      </c>
      <c r="AY23" s="219">
        <v>491</v>
      </c>
      <c r="AZ23" s="218">
        <v>191</v>
      </c>
      <c r="BA23" s="220">
        <f>SUM(AY23:AZ23)</f>
        <v>682</v>
      </c>
    </row>
    <row r="24" spans="2:53" x14ac:dyDescent="0.3">
      <c r="B24" s="178" t="s">
        <v>136</v>
      </c>
      <c r="C24" s="249"/>
      <c r="D24" s="250"/>
      <c r="E24" s="250"/>
      <c r="F24" s="251"/>
      <c r="G24" s="251"/>
      <c r="H24" s="251"/>
      <c r="I24" s="252"/>
      <c r="J24" s="251"/>
      <c r="K24" s="253"/>
      <c r="L24" s="254"/>
      <c r="M24" s="254"/>
      <c r="N24" s="251"/>
      <c r="O24" s="255"/>
      <c r="P24" s="254"/>
      <c r="Q24" s="253"/>
      <c r="R24" s="255">
        <f>SUM(R21:R23)</f>
        <v>226</v>
      </c>
      <c r="S24" s="254">
        <f>SUM(S21:S23)</f>
        <v>176</v>
      </c>
      <c r="T24" s="253">
        <f>S24+R24</f>
        <v>402</v>
      </c>
      <c r="U24" s="255">
        <f>SUM(U21:U23)</f>
        <v>88</v>
      </c>
      <c r="V24" s="254">
        <f>SUM(V21:V23)</f>
        <v>75</v>
      </c>
      <c r="W24" s="253">
        <f>V24+U24</f>
        <v>163</v>
      </c>
      <c r="X24" s="255">
        <f>SUM(X21:X23)</f>
        <v>226</v>
      </c>
      <c r="Y24" s="254">
        <f>SUM(Y21:Y23)</f>
        <v>175</v>
      </c>
      <c r="Z24" s="253">
        <f>Y24+X24</f>
        <v>401</v>
      </c>
      <c r="AA24" s="255">
        <f>SUM(AA21:AA23)</f>
        <v>232</v>
      </c>
      <c r="AB24" s="254">
        <f>SUM(AB21:AB23)</f>
        <v>201</v>
      </c>
      <c r="AC24" s="253">
        <f>AB24+AA24</f>
        <v>433</v>
      </c>
      <c r="AD24" s="255">
        <f>SUM(AD21:AD23)</f>
        <v>365</v>
      </c>
      <c r="AE24" s="254">
        <f>SUM(AE21:AE23)</f>
        <v>280</v>
      </c>
      <c r="AF24" s="253">
        <f>AE24+AD24</f>
        <v>645</v>
      </c>
      <c r="AG24" s="255">
        <f>SUM(AG21:AG23)</f>
        <v>424</v>
      </c>
      <c r="AH24" s="254">
        <f>SUM(AH21:AH23)</f>
        <v>343</v>
      </c>
      <c r="AI24" s="253">
        <f>AH24+AG24</f>
        <v>767</v>
      </c>
      <c r="AJ24" s="255">
        <f>SUM(AJ21:AJ23)</f>
        <v>624</v>
      </c>
      <c r="AK24" s="254">
        <f>SUM(AK21:AK23)</f>
        <v>544</v>
      </c>
      <c r="AL24" s="253">
        <f>AK24+AJ24</f>
        <v>1168</v>
      </c>
      <c r="AM24" s="255">
        <f>SUM(AM21:AM23)</f>
        <v>1020</v>
      </c>
      <c r="AN24" s="254">
        <f>SUM(AN21:AN23)</f>
        <v>745</v>
      </c>
      <c r="AO24" s="253">
        <f>AN24+AM24</f>
        <v>1765</v>
      </c>
      <c r="AP24" s="255">
        <f>SUM(AP21:AP23)</f>
        <v>923</v>
      </c>
      <c r="AQ24" s="254">
        <f>SUM(AQ21:AQ23)</f>
        <v>841</v>
      </c>
      <c r="AR24" s="253">
        <f>AQ24+AP24</f>
        <v>1764</v>
      </c>
      <c r="AS24" s="255">
        <f>SUM(AS21:AS23)</f>
        <v>957</v>
      </c>
      <c r="AT24" s="254">
        <f>SUM(AT21:AT23)</f>
        <v>800</v>
      </c>
      <c r="AU24" s="253">
        <f>AT24+AS24</f>
        <v>1757</v>
      </c>
      <c r="AV24" s="255">
        <f>SUM(AV21:AV23)</f>
        <v>813</v>
      </c>
      <c r="AW24" s="254">
        <f>SUM(AW21:AW23)</f>
        <v>663</v>
      </c>
      <c r="AX24" s="253">
        <f>AW24+AV24</f>
        <v>1476</v>
      </c>
      <c r="AY24" s="255">
        <f>SUM(AY21:AY23)</f>
        <v>839</v>
      </c>
      <c r="AZ24" s="254">
        <f>SUM(AZ21:AZ23)</f>
        <v>698</v>
      </c>
      <c r="BA24" s="253">
        <f>AZ24+AY24</f>
        <v>1537</v>
      </c>
    </row>
    <row r="25" spans="2:53" x14ac:dyDescent="0.3">
      <c r="B25" s="170"/>
      <c r="C25" s="239"/>
      <c r="D25" s="239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239"/>
      <c r="X25" s="239"/>
      <c r="Y25" s="239"/>
      <c r="Z25" s="239"/>
      <c r="AA25" s="239"/>
      <c r="AB25" s="239"/>
      <c r="AC25" s="239"/>
      <c r="AD25" s="239"/>
      <c r="AE25" s="239"/>
      <c r="AF25" s="239"/>
      <c r="AG25" s="239"/>
      <c r="AH25" s="239"/>
      <c r="AI25" s="239"/>
      <c r="AJ25" s="239"/>
      <c r="AK25" s="239"/>
      <c r="AL25" s="239"/>
      <c r="AM25" s="239"/>
      <c r="AN25" s="239"/>
      <c r="AO25" s="239"/>
      <c r="AP25" s="239"/>
      <c r="AQ25" s="239"/>
      <c r="AR25" s="239"/>
      <c r="AS25" s="239"/>
      <c r="AT25" s="239"/>
      <c r="AU25" s="239"/>
      <c r="AV25" s="239"/>
      <c r="AW25" s="239"/>
      <c r="AX25" s="239"/>
      <c r="AY25" s="239"/>
      <c r="AZ25" s="239"/>
      <c r="BA25" s="239"/>
    </row>
    <row r="26" spans="2:53" x14ac:dyDescent="0.3">
      <c r="B26" s="150" t="s">
        <v>64</v>
      </c>
      <c r="C26" s="213">
        <v>6138</v>
      </c>
      <c r="D26" s="213">
        <v>3555</v>
      </c>
      <c r="E26" s="213">
        <v>9693</v>
      </c>
      <c r="F26" s="214">
        <v>6266</v>
      </c>
      <c r="G26" s="213">
        <v>3525</v>
      </c>
      <c r="H26" s="215">
        <v>9791</v>
      </c>
      <c r="I26" s="214">
        <v>6512</v>
      </c>
      <c r="J26" s="213">
        <v>3786</v>
      </c>
      <c r="K26" s="213">
        <v>10298</v>
      </c>
      <c r="L26" s="216">
        <v>6978</v>
      </c>
      <c r="M26" s="217">
        <v>4040</v>
      </c>
      <c r="N26" s="215">
        <v>11018</v>
      </c>
      <c r="O26" s="216">
        <v>7179</v>
      </c>
      <c r="P26" s="217">
        <v>4491</v>
      </c>
      <c r="Q26" s="215">
        <f>P26+O26</f>
        <v>11670</v>
      </c>
      <c r="R26" s="216">
        <v>7436</v>
      </c>
      <c r="S26" s="217">
        <v>4547</v>
      </c>
      <c r="T26" s="215">
        <f>SUM(R26:S26)</f>
        <v>11983</v>
      </c>
      <c r="U26" s="216">
        <v>7867</v>
      </c>
      <c r="V26" s="217">
        <v>4949</v>
      </c>
      <c r="W26" s="215">
        <f>SUM(U26:V26)</f>
        <v>12816</v>
      </c>
      <c r="X26" s="216">
        <v>7350</v>
      </c>
      <c r="Y26" s="217">
        <v>4793</v>
      </c>
      <c r="Z26" s="215">
        <f>SUM(X26:Y26)</f>
        <v>12143</v>
      </c>
      <c r="AA26" s="216">
        <v>6790</v>
      </c>
      <c r="AB26" s="217">
        <v>4540</v>
      </c>
      <c r="AC26" s="215">
        <f>SUM(AA26:AB26)</f>
        <v>11330</v>
      </c>
      <c r="AD26" s="216">
        <v>6981</v>
      </c>
      <c r="AE26" s="217">
        <v>4622</v>
      </c>
      <c r="AF26" s="215">
        <f>SUM(AD26:AE26)</f>
        <v>11603</v>
      </c>
      <c r="AG26" s="216">
        <v>6947</v>
      </c>
      <c r="AH26" s="217">
        <v>4414</v>
      </c>
      <c r="AI26" s="215">
        <f>SUM(AG26:AH26)</f>
        <v>11361</v>
      </c>
      <c r="AJ26" s="216">
        <v>6616</v>
      </c>
      <c r="AK26" s="217">
        <v>4392</v>
      </c>
      <c r="AL26" s="215">
        <f>SUM(AJ26:AK26)</f>
        <v>11008</v>
      </c>
      <c r="AM26" s="216">
        <v>6043</v>
      </c>
      <c r="AN26" s="217">
        <v>4338</v>
      </c>
      <c r="AO26" s="215">
        <f>SUM(AM26:AN26)</f>
        <v>10381</v>
      </c>
      <c r="AP26" s="216">
        <v>5172</v>
      </c>
      <c r="AQ26" s="217">
        <v>3842</v>
      </c>
      <c r="AR26" s="215">
        <f>SUM(AP26:AQ26)</f>
        <v>9014</v>
      </c>
      <c r="AS26" s="216">
        <v>4407</v>
      </c>
      <c r="AT26" s="217">
        <v>3037</v>
      </c>
      <c r="AU26" s="215">
        <f>SUM(AS26:AT26)</f>
        <v>7444</v>
      </c>
      <c r="AV26" s="216">
        <v>4558</v>
      </c>
      <c r="AW26" s="217">
        <v>3101</v>
      </c>
      <c r="AX26" s="215">
        <f>SUM(AV26:AW26)</f>
        <v>7659</v>
      </c>
      <c r="AY26" s="216">
        <v>5311</v>
      </c>
      <c r="AZ26" s="217">
        <v>3605</v>
      </c>
      <c r="BA26" s="215">
        <f>SUM(AY26:AZ26)</f>
        <v>8916</v>
      </c>
    </row>
    <row r="27" spans="2:53" x14ac:dyDescent="0.3">
      <c r="B27" s="154" t="s">
        <v>92</v>
      </c>
      <c r="C27" s="218">
        <v>8110</v>
      </c>
      <c r="D27" s="218">
        <v>4120</v>
      </c>
      <c r="E27" s="218">
        <v>12230</v>
      </c>
      <c r="F27" s="219">
        <v>8564</v>
      </c>
      <c r="G27" s="218">
        <v>4374</v>
      </c>
      <c r="H27" s="220">
        <v>12938</v>
      </c>
      <c r="I27" s="219">
        <v>9243</v>
      </c>
      <c r="J27" s="218">
        <v>5021</v>
      </c>
      <c r="K27" s="218">
        <v>14264</v>
      </c>
      <c r="L27" s="232">
        <v>9924</v>
      </c>
      <c r="M27" s="233">
        <v>5230</v>
      </c>
      <c r="N27" s="220">
        <v>15154</v>
      </c>
      <c r="O27" s="232">
        <v>10648</v>
      </c>
      <c r="P27" s="233">
        <v>5664</v>
      </c>
      <c r="Q27" s="220">
        <f>P27+O27</f>
        <v>16312</v>
      </c>
      <c r="R27" s="232">
        <v>11297</v>
      </c>
      <c r="S27" s="233">
        <v>6284</v>
      </c>
      <c r="T27" s="220">
        <f>SUM(R27:S27)</f>
        <v>17581</v>
      </c>
      <c r="U27" s="232">
        <v>12796</v>
      </c>
      <c r="V27" s="233">
        <v>6976</v>
      </c>
      <c r="W27" s="220">
        <f>SUM(U27:V27)</f>
        <v>19772</v>
      </c>
      <c r="X27" s="221">
        <v>13761</v>
      </c>
      <c r="Y27" s="222">
        <v>7493</v>
      </c>
      <c r="Z27" s="220">
        <f>SUM(X27:Y27)</f>
        <v>21254</v>
      </c>
      <c r="AA27" s="221">
        <v>14198</v>
      </c>
      <c r="AB27" s="222">
        <v>7531</v>
      </c>
      <c r="AC27" s="220">
        <f>SUM(AA27:AB27)</f>
        <v>21729</v>
      </c>
      <c r="AD27" s="221">
        <v>16298</v>
      </c>
      <c r="AE27" s="222">
        <v>8296</v>
      </c>
      <c r="AF27" s="220">
        <f>SUM(AD27:AE27)</f>
        <v>24594</v>
      </c>
      <c r="AG27" s="221">
        <v>16692</v>
      </c>
      <c r="AH27" s="222">
        <v>8330</v>
      </c>
      <c r="AI27" s="220">
        <f>SUM(AG27:AH27)</f>
        <v>25022</v>
      </c>
      <c r="AJ27" s="221">
        <v>17811</v>
      </c>
      <c r="AK27" s="222">
        <v>8327</v>
      </c>
      <c r="AL27" s="220">
        <f>SUM(AJ27:AK27)</f>
        <v>26138</v>
      </c>
      <c r="AM27" s="221">
        <v>18407</v>
      </c>
      <c r="AN27" s="222">
        <v>8696</v>
      </c>
      <c r="AO27" s="220">
        <f>SUM(AM27:AN27)</f>
        <v>27103</v>
      </c>
      <c r="AP27" s="221">
        <v>15750</v>
      </c>
      <c r="AQ27" s="222">
        <v>7581</v>
      </c>
      <c r="AR27" s="220">
        <f>SUM(AP27:AQ27)</f>
        <v>23331</v>
      </c>
      <c r="AS27" s="221">
        <v>15946</v>
      </c>
      <c r="AT27" s="222">
        <v>7159</v>
      </c>
      <c r="AU27" s="220">
        <f>SUM(AS27:AT27)</f>
        <v>23105</v>
      </c>
      <c r="AV27" s="221">
        <v>16821</v>
      </c>
      <c r="AW27" s="222">
        <v>7478</v>
      </c>
      <c r="AX27" s="220">
        <f>SUM(AV27:AW27)</f>
        <v>24299</v>
      </c>
      <c r="AY27" s="221">
        <v>19567</v>
      </c>
      <c r="AZ27" s="222">
        <v>9171</v>
      </c>
      <c r="BA27" s="220">
        <f>SUM(AY27:AZ27)</f>
        <v>28738</v>
      </c>
    </row>
    <row r="28" spans="2:53" x14ac:dyDescent="0.3">
      <c r="B28" s="154" t="s">
        <v>68</v>
      </c>
      <c r="C28" s="218">
        <v>2016</v>
      </c>
      <c r="D28" s="218">
        <v>2258</v>
      </c>
      <c r="E28" s="218">
        <v>4274</v>
      </c>
      <c r="F28" s="219">
        <v>2124</v>
      </c>
      <c r="G28" s="218">
        <v>2717</v>
      </c>
      <c r="H28" s="220">
        <v>4841</v>
      </c>
      <c r="I28" s="219">
        <v>2576</v>
      </c>
      <c r="J28" s="218">
        <v>3011</v>
      </c>
      <c r="K28" s="218">
        <v>5587</v>
      </c>
      <c r="L28" s="219">
        <v>2739</v>
      </c>
      <c r="M28" s="218">
        <v>3217</v>
      </c>
      <c r="N28" s="220">
        <v>5956</v>
      </c>
      <c r="O28" s="219">
        <v>3121</v>
      </c>
      <c r="P28" s="218">
        <v>3612</v>
      </c>
      <c r="Q28" s="220">
        <f>P28+O28</f>
        <v>6733</v>
      </c>
      <c r="R28" s="219">
        <v>3230</v>
      </c>
      <c r="S28" s="218">
        <v>3725</v>
      </c>
      <c r="T28" s="220">
        <f>SUM(R28:S28)</f>
        <v>6955</v>
      </c>
      <c r="U28" s="219">
        <v>3512</v>
      </c>
      <c r="V28" s="218">
        <v>4165</v>
      </c>
      <c r="W28" s="220">
        <f>SUM(U28:V28)</f>
        <v>7677</v>
      </c>
      <c r="X28" s="219">
        <v>3384</v>
      </c>
      <c r="Y28" s="218">
        <v>3882</v>
      </c>
      <c r="Z28" s="220">
        <f>SUM(X28:Y28)</f>
        <v>7266</v>
      </c>
      <c r="AA28" s="219">
        <v>2929</v>
      </c>
      <c r="AB28" s="218">
        <v>3536</v>
      </c>
      <c r="AC28" s="220">
        <f>SUM(AA28:AB28)</f>
        <v>6465</v>
      </c>
      <c r="AD28" s="219">
        <v>3034</v>
      </c>
      <c r="AE28" s="218">
        <v>3647</v>
      </c>
      <c r="AF28" s="220">
        <f>SUM(AD28:AE28)</f>
        <v>6681</v>
      </c>
      <c r="AG28" s="219">
        <v>3157</v>
      </c>
      <c r="AH28" s="218">
        <v>3528</v>
      </c>
      <c r="AI28" s="220">
        <f>SUM(AG28:AH28)</f>
        <v>6685</v>
      </c>
      <c r="AJ28" s="219">
        <v>2804</v>
      </c>
      <c r="AK28" s="218">
        <v>3354</v>
      </c>
      <c r="AL28" s="220">
        <f>SUM(AJ28:AK28)</f>
        <v>6158</v>
      </c>
      <c r="AM28" s="219">
        <v>2973</v>
      </c>
      <c r="AN28" s="218">
        <v>3393</v>
      </c>
      <c r="AO28" s="220">
        <f>SUM(AM28:AN28)</f>
        <v>6366</v>
      </c>
      <c r="AP28" s="219">
        <v>2712</v>
      </c>
      <c r="AQ28" s="218">
        <v>3305</v>
      </c>
      <c r="AR28" s="220">
        <f>SUM(AP28:AQ28)</f>
        <v>6017</v>
      </c>
      <c r="AS28" s="219">
        <v>2585</v>
      </c>
      <c r="AT28" s="218">
        <v>2689</v>
      </c>
      <c r="AU28" s="220">
        <f>SUM(AS28:AT28)</f>
        <v>5274</v>
      </c>
      <c r="AV28" s="219">
        <v>2788</v>
      </c>
      <c r="AW28" s="218">
        <v>2713</v>
      </c>
      <c r="AX28" s="220">
        <f>SUM(AV28:AW28)</f>
        <v>5501</v>
      </c>
      <c r="AY28" s="219">
        <v>3051</v>
      </c>
      <c r="AZ28" s="218">
        <v>2977</v>
      </c>
      <c r="BA28" s="220">
        <f>SUM(AY28:AZ28)</f>
        <v>6028</v>
      </c>
    </row>
    <row r="29" spans="2:53" x14ac:dyDescent="0.3">
      <c r="B29" s="188" t="s">
        <v>137</v>
      </c>
      <c r="C29" s="256">
        <v>16264</v>
      </c>
      <c r="D29" s="256">
        <v>9933</v>
      </c>
      <c r="E29" s="256">
        <v>26197</v>
      </c>
      <c r="F29" s="257">
        <v>16954</v>
      </c>
      <c r="G29" s="256">
        <v>10616</v>
      </c>
      <c r="H29" s="258">
        <v>27570</v>
      </c>
      <c r="I29" s="257">
        <v>18331</v>
      </c>
      <c r="J29" s="256">
        <v>11818</v>
      </c>
      <c r="K29" s="258">
        <v>30149</v>
      </c>
      <c r="L29" s="259">
        <v>19641</v>
      </c>
      <c r="M29" s="260">
        <v>12487</v>
      </c>
      <c r="N29" s="258">
        <v>32128</v>
      </c>
      <c r="O29" s="259">
        <f>SUM(O26:O28)</f>
        <v>20948</v>
      </c>
      <c r="P29" s="260">
        <f>SUM(P26:P28)</f>
        <v>13767</v>
      </c>
      <c r="Q29" s="258">
        <f>P29+O29</f>
        <v>34715</v>
      </c>
      <c r="R29" s="259">
        <f>SUM(R26:R28)</f>
        <v>21963</v>
      </c>
      <c r="S29" s="260">
        <f>SUM(S26:S28)</f>
        <v>14556</v>
      </c>
      <c r="T29" s="258">
        <f>S29+R29</f>
        <v>36519</v>
      </c>
      <c r="U29" s="259">
        <f>SUM(U26:U28)</f>
        <v>24175</v>
      </c>
      <c r="V29" s="260">
        <f>SUM(V26:V28)</f>
        <v>16090</v>
      </c>
      <c r="W29" s="258">
        <f>V29+U29</f>
        <v>40265</v>
      </c>
      <c r="X29" s="259">
        <f>SUM(X26:X28)</f>
        <v>24495</v>
      </c>
      <c r="Y29" s="260">
        <f>SUM(Y26:Y28)</f>
        <v>16168</v>
      </c>
      <c r="Z29" s="258">
        <f>Y29+X29</f>
        <v>40663</v>
      </c>
      <c r="AA29" s="259">
        <f>SUM(AA26:AA28)</f>
        <v>23917</v>
      </c>
      <c r="AB29" s="260">
        <f>SUM(AB26:AB28)</f>
        <v>15607</v>
      </c>
      <c r="AC29" s="258">
        <f>AB29+AA29</f>
        <v>39524</v>
      </c>
      <c r="AD29" s="259">
        <f>SUM(AD26:AD28)</f>
        <v>26313</v>
      </c>
      <c r="AE29" s="260">
        <f>SUM(AE26:AE28)</f>
        <v>16565</v>
      </c>
      <c r="AF29" s="258">
        <f>AE29+AD29</f>
        <v>42878</v>
      </c>
      <c r="AG29" s="259">
        <f>SUM(AG26:AG28)</f>
        <v>26796</v>
      </c>
      <c r="AH29" s="260">
        <f>SUM(AH26:AH28)</f>
        <v>16272</v>
      </c>
      <c r="AI29" s="258">
        <f>AH29+AG29</f>
        <v>43068</v>
      </c>
      <c r="AJ29" s="259">
        <f>SUM(AJ26:AJ28)</f>
        <v>27231</v>
      </c>
      <c r="AK29" s="260">
        <f>SUM(AK26:AK28)</f>
        <v>16073</v>
      </c>
      <c r="AL29" s="258">
        <f>AK29+AJ29</f>
        <v>43304</v>
      </c>
      <c r="AM29" s="259">
        <f>SUM(AM26:AM28)</f>
        <v>27423</v>
      </c>
      <c r="AN29" s="260">
        <f>SUM(AN26:AN28)</f>
        <v>16427</v>
      </c>
      <c r="AO29" s="258">
        <f>AN29+AM29</f>
        <v>43850</v>
      </c>
      <c r="AP29" s="259">
        <f>SUM(AP26:AP28)</f>
        <v>23634</v>
      </c>
      <c r="AQ29" s="260">
        <f>SUM(AQ26:AQ28)</f>
        <v>14728</v>
      </c>
      <c r="AR29" s="258">
        <f>AQ29+AP29</f>
        <v>38362</v>
      </c>
      <c r="AS29" s="259">
        <f>SUM(AS26:AS28)</f>
        <v>22938</v>
      </c>
      <c r="AT29" s="260">
        <f>SUM(AT26:AT28)</f>
        <v>12885</v>
      </c>
      <c r="AU29" s="258">
        <f>AT29+AS29</f>
        <v>35823</v>
      </c>
      <c r="AV29" s="259">
        <f>SUM(AV26:AV28)</f>
        <v>24167</v>
      </c>
      <c r="AW29" s="260">
        <f>SUM(AW26:AW28)</f>
        <v>13292</v>
      </c>
      <c r="AX29" s="258">
        <f>AW29+AV29</f>
        <v>37459</v>
      </c>
      <c r="AY29" s="259">
        <f>SUM(AY26:AY28)</f>
        <v>27929</v>
      </c>
      <c r="AZ29" s="260">
        <f>SUM(AZ26:AZ28)</f>
        <v>15753</v>
      </c>
      <c r="BA29" s="258">
        <f>AZ29+AY29</f>
        <v>43682</v>
      </c>
    </row>
    <row r="30" spans="2:53" x14ac:dyDescent="0.3">
      <c r="B30" s="3"/>
      <c r="C30" s="239"/>
      <c r="D30" s="239"/>
      <c r="E30" s="239"/>
      <c r="F30" s="239"/>
      <c r="G30" s="239"/>
      <c r="H30" s="239"/>
      <c r="I30" s="239"/>
      <c r="J30" s="239"/>
      <c r="K30" s="239"/>
      <c r="L30" s="239"/>
      <c r="M30" s="239"/>
      <c r="N30" s="239"/>
      <c r="O30" s="239"/>
      <c r="P30" s="239"/>
      <c r="Q30" s="239"/>
      <c r="R30" s="239"/>
      <c r="S30" s="239"/>
      <c r="T30" s="239"/>
      <c r="U30" s="239"/>
      <c r="V30" s="239"/>
      <c r="W30" s="239"/>
      <c r="X30" s="239"/>
      <c r="Y30" s="239"/>
      <c r="Z30" s="239"/>
      <c r="AA30" s="239"/>
      <c r="AB30" s="239"/>
      <c r="AC30" s="239"/>
      <c r="AD30" s="239"/>
      <c r="AE30" s="239"/>
      <c r="AF30" s="239"/>
      <c r="AG30" s="239"/>
      <c r="AH30" s="239"/>
      <c r="AI30" s="239"/>
      <c r="AJ30" s="239"/>
      <c r="AK30" s="239"/>
      <c r="AL30" s="239"/>
      <c r="AM30" s="239"/>
      <c r="AN30" s="239"/>
      <c r="AO30" s="239"/>
      <c r="AP30" s="239"/>
      <c r="AQ30" s="239"/>
      <c r="AR30" s="239"/>
      <c r="AS30" s="239"/>
      <c r="AT30" s="239"/>
      <c r="AU30" s="239"/>
      <c r="AV30" s="239"/>
      <c r="AW30" s="239"/>
      <c r="AX30" s="239"/>
      <c r="AY30" s="239"/>
      <c r="AZ30" s="239"/>
      <c r="BA30" s="239"/>
    </row>
    <row r="31" spans="2:53" x14ac:dyDescent="0.3">
      <c r="B31" s="150" t="s">
        <v>59</v>
      </c>
      <c r="C31" s="214">
        <v>2247</v>
      </c>
      <c r="D31" s="213">
        <v>6560</v>
      </c>
      <c r="E31" s="215">
        <v>8807</v>
      </c>
      <c r="F31" s="213">
        <v>2214</v>
      </c>
      <c r="G31" s="213">
        <v>6435</v>
      </c>
      <c r="H31" s="213">
        <v>8649</v>
      </c>
      <c r="I31" s="214">
        <v>2548</v>
      </c>
      <c r="J31" s="213">
        <v>6849</v>
      </c>
      <c r="K31" s="215">
        <v>9397</v>
      </c>
      <c r="L31" s="216">
        <v>2860</v>
      </c>
      <c r="M31" s="217">
        <v>7502</v>
      </c>
      <c r="N31" s="261">
        <v>10362</v>
      </c>
      <c r="O31" s="216">
        <f>O6+O16</f>
        <v>3119</v>
      </c>
      <c r="P31" s="217">
        <f>P6+P16</f>
        <v>8278</v>
      </c>
      <c r="Q31" s="261">
        <f t="shared" ref="Q31:Q37" si="0">P31+O31</f>
        <v>11397</v>
      </c>
      <c r="R31" s="216">
        <f>SUM(R6,R16,R21)</f>
        <v>2999</v>
      </c>
      <c r="S31" s="217">
        <f>SUM(S6,S16,S21)</f>
        <v>8331</v>
      </c>
      <c r="T31" s="261">
        <f t="shared" ref="T31:T36" si="1">SUM(R31:S31)</f>
        <v>11330</v>
      </c>
      <c r="U31" s="216">
        <f>SUM(U6,U16,U21)</f>
        <v>3292</v>
      </c>
      <c r="V31" s="217">
        <f>SUM(V6,V16,V21)</f>
        <v>9352</v>
      </c>
      <c r="W31" s="261">
        <f t="shared" ref="W31:W36" si="2">SUM(U31:V31)</f>
        <v>12644</v>
      </c>
      <c r="X31" s="216">
        <f>SUM(X6,X16,X21)</f>
        <v>3429</v>
      </c>
      <c r="Y31" s="217">
        <f>SUM(Y6,Y16,Y21)</f>
        <v>9233</v>
      </c>
      <c r="Z31" s="261">
        <f t="shared" ref="Z31:Z36" si="3">SUM(X31:Y31)</f>
        <v>12662</v>
      </c>
      <c r="AA31" s="216">
        <f>SUM(AA6,AA16,AA21)</f>
        <v>3586</v>
      </c>
      <c r="AB31" s="217">
        <f>SUM(AB6,AB16,AB21)</f>
        <v>9210</v>
      </c>
      <c r="AC31" s="261">
        <f t="shared" ref="AC31:AC36" si="4">SUM(AA31:AB31)</f>
        <v>12796</v>
      </c>
      <c r="AD31" s="216">
        <f>SUM(AD6,AD16,AD21)</f>
        <v>4032</v>
      </c>
      <c r="AE31" s="217">
        <f>SUM(AE6,AE16,AE21)</f>
        <v>10286</v>
      </c>
      <c r="AF31" s="261">
        <f t="shared" ref="AF31:AF36" si="5">SUM(AD31:AE31)</f>
        <v>14318</v>
      </c>
      <c r="AG31" s="216">
        <f>SUM(AG6,AG16,AG21)</f>
        <v>4213</v>
      </c>
      <c r="AH31" s="217">
        <f>SUM(AH6,AH16,AH21)</f>
        <v>10604</v>
      </c>
      <c r="AI31" s="261">
        <f t="shared" ref="AI31:AI36" si="6">SUM(AG31:AH31)</f>
        <v>14817</v>
      </c>
      <c r="AJ31" s="216">
        <f>SUM(AJ6,AJ16,AJ21)</f>
        <v>4096</v>
      </c>
      <c r="AK31" s="217">
        <f>SUM(AK6,AK16,AK21)</f>
        <v>10528</v>
      </c>
      <c r="AL31" s="261">
        <f t="shared" ref="AL31:AL36" si="7">SUM(AJ31:AK31)</f>
        <v>14624</v>
      </c>
      <c r="AM31" s="216">
        <f>SUM(AM6,AM16,AM21)</f>
        <v>4588</v>
      </c>
      <c r="AN31" s="217">
        <f>SUM(AN6,AN16,AN21)</f>
        <v>11277</v>
      </c>
      <c r="AO31" s="261">
        <f t="shared" ref="AO31:AO36" si="8">SUM(AM31:AN31)</f>
        <v>15865</v>
      </c>
      <c r="AP31" s="216">
        <f>SUM(AP6,AP16,AP21)</f>
        <v>3751</v>
      </c>
      <c r="AQ31" s="217">
        <f>SUM(AQ6,AQ16,AQ21)</f>
        <v>9427</v>
      </c>
      <c r="AR31" s="261">
        <f t="shared" ref="AR31:AR36" si="9">SUM(AP31:AQ31)</f>
        <v>13178</v>
      </c>
      <c r="AS31" s="216">
        <f>SUM(AS6,AS16,AS21)</f>
        <v>3270</v>
      </c>
      <c r="AT31" s="217">
        <f>SUM(AT6,AT16,AT21)</f>
        <v>7270</v>
      </c>
      <c r="AU31" s="261">
        <f t="shared" ref="AU31:AU36" si="10">SUM(AS31:AT31)</f>
        <v>10540</v>
      </c>
      <c r="AV31" s="216">
        <f>SUM(AV6,AV16,AV21)</f>
        <v>2872</v>
      </c>
      <c r="AW31" s="217">
        <f>SUM(AW6,AW16,AW21)</f>
        <v>6815</v>
      </c>
      <c r="AX31" s="261">
        <f t="shared" ref="AX31:AX36" si="11">SUM(AV31:AW31)</f>
        <v>9687</v>
      </c>
      <c r="AY31" s="216">
        <f>SUM(AY6,AY16,AY21)</f>
        <v>3014</v>
      </c>
      <c r="AZ31" s="217">
        <f>SUM(AZ6,AZ16,AZ21)</f>
        <v>7616</v>
      </c>
      <c r="BA31" s="261">
        <f t="shared" ref="BA31:BA36" si="12">SUM(AY31:AZ31)</f>
        <v>10630</v>
      </c>
    </row>
    <row r="32" spans="2:53" x14ac:dyDescent="0.3">
      <c r="B32" s="154" t="s">
        <v>64</v>
      </c>
      <c r="C32" s="219">
        <v>14762</v>
      </c>
      <c r="D32" s="218">
        <v>9406</v>
      </c>
      <c r="E32" s="220">
        <v>24168</v>
      </c>
      <c r="F32" s="218">
        <v>15222</v>
      </c>
      <c r="G32" s="218">
        <v>9610</v>
      </c>
      <c r="H32" s="218">
        <v>24832</v>
      </c>
      <c r="I32" s="219">
        <v>15909</v>
      </c>
      <c r="J32" s="218">
        <v>10289</v>
      </c>
      <c r="K32" s="220">
        <v>26198</v>
      </c>
      <c r="L32" s="232">
        <v>16888</v>
      </c>
      <c r="M32" s="233">
        <v>10910</v>
      </c>
      <c r="N32" s="262">
        <v>27798</v>
      </c>
      <c r="O32" s="232">
        <f>O7+O11+O17+O26</f>
        <v>18322</v>
      </c>
      <c r="P32" s="233">
        <f>P7+P11+P17+P26</f>
        <v>11927</v>
      </c>
      <c r="Q32" s="262">
        <f t="shared" si="0"/>
        <v>30249</v>
      </c>
      <c r="R32" s="232">
        <f>SUM(R7,R11,R17,R26,R22)</f>
        <v>18617</v>
      </c>
      <c r="S32" s="233">
        <f>SUM(S7,S11,S17,S26,S22)</f>
        <v>12024</v>
      </c>
      <c r="T32" s="262">
        <f t="shared" si="1"/>
        <v>30641</v>
      </c>
      <c r="U32" s="232">
        <f>SUM(U7,U11,U17,U26,U22)</f>
        <v>19908</v>
      </c>
      <c r="V32" s="233">
        <f>SUM(V7,V11,V17,V26,V22)</f>
        <v>13335</v>
      </c>
      <c r="W32" s="262">
        <f t="shared" si="2"/>
        <v>33243</v>
      </c>
      <c r="X32" s="232">
        <f>SUM(X7,X11,X17,X26,X22)</f>
        <v>19363</v>
      </c>
      <c r="Y32" s="233">
        <f>SUM(Y7,Y11,Y17,Y26,Y22)</f>
        <v>13282</v>
      </c>
      <c r="Z32" s="262">
        <f t="shared" si="3"/>
        <v>32645</v>
      </c>
      <c r="AA32" s="232">
        <f>SUM(AA7,AA11,AA17,AA26,AA22)</f>
        <v>18399</v>
      </c>
      <c r="AB32" s="233">
        <f>SUM(AB7,AB11,AB17,AB26,AB22)</f>
        <v>12955</v>
      </c>
      <c r="AC32" s="262">
        <f t="shared" si="4"/>
        <v>31354</v>
      </c>
      <c r="AD32" s="232">
        <f>SUM(AD7,AD11,AD17,AD26,AD22)</f>
        <v>19573</v>
      </c>
      <c r="AE32" s="233">
        <f>SUM(AE7,AE11,AE17,AE26,AE22)</f>
        <v>13586</v>
      </c>
      <c r="AF32" s="262">
        <f t="shared" si="5"/>
        <v>33159</v>
      </c>
      <c r="AG32" s="232">
        <f>SUM(AG7,AG11,AG17,AG26,AG22)</f>
        <v>19721</v>
      </c>
      <c r="AH32" s="233">
        <f>SUM(AH7,AH11,AH17,AH26,AH22)</f>
        <v>13535</v>
      </c>
      <c r="AI32" s="262">
        <f t="shared" si="6"/>
        <v>33256</v>
      </c>
      <c r="AJ32" s="232">
        <f>SUM(AJ7,AJ11,AJ17,AJ26,AJ22)</f>
        <v>19203</v>
      </c>
      <c r="AK32" s="233">
        <f>SUM(AK7,AK11,AK17,AK26,AK22)</f>
        <v>13005</v>
      </c>
      <c r="AL32" s="262">
        <f t="shared" si="7"/>
        <v>32208</v>
      </c>
      <c r="AM32" s="232">
        <f>SUM(AM7,AM11,AM17,AM26,AM22)</f>
        <v>18530</v>
      </c>
      <c r="AN32" s="233">
        <f>SUM(AN7,AN11,AN17,AN26,AN22)</f>
        <v>13193</v>
      </c>
      <c r="AO32" s="262">
        <f t="shared" si="8"/>
        <v>31723</v>
      </c>
      <c r="AP32" s="232">
        <f>SUM(AP7,AP11,AP17,AP26,AP22)</f>
        <v>15099</v>
      </c>
      <c r="AQ32" s="233">
        <f>SUM(AQ7,AQ11,AQ17,AQ26,AQ22)</f>
        <v>11354</v>
      </c>
      <c r="AR32" s="262">
        <f t="shared" si="9"/>
        <v>26453</v>
      </c>
      <c r="AS32" s="232">
        <f>SUM(AS7,AS11,AS17,AS26,AS22)</f>
        <v>13033</v>
      </c>
      <c r="AT32" s="233">
        <f>SUM(AT7,AT11,AT17,AT26,AT22)</f>
        <v>9151</v>
      </c>
      <c r="AU32" s="262">
        <f t="shared" si="10"/>
        <v>22184</v>
      </c>
      <c r="AV32" s="232">
        <f>SUM(AV7,AV11,AV17,AV26,AV22)</f>
        <v>13358</v>
      </c>
      <c r="AW32" s="233">
        <f>SUM(AW7,AW11,AW17,AW26,AW22)</f>
        <v>9134</v>
      </c>
      <c r="AX32" s="262">
        <f t="shared" si="11"/>
        <v>22492</v>
      </c>
      <c r="AY32" s="232">
        <f>SUM(AY7,AY11,AY17,AY26,AY22)</f>
        <v>14158</v>
      </c>
      <c r="AZ32" s="233">
        <f>SUM(AZ7,AZ11,AZ17,AZ26,AZ22)</f>
        <v>9945</v>
      </c>
      <c r="BA32" s="262">
        <f t="shared" si="12"/>
        <v>24103</v>
      </c>
    </row>
    <row r="33" spans="2:53" x14ac:dyDescent="0.3">
      <c r="B33" s="154" t="s">
        <v>92</v>
      </c>
      <c r="C33" s="219">
        <v>9018</v>
      </c>
      <c r="D33" s="218">
        <v>4696</v>
      </c>
      <c r="E33" s="220">
        <v>13714</v>
      </c>
      <c r="F33" s="218">
        <v>9474</v>
      </c>
      <c r="G33" s="218">
        <v>4909</v>
      </c>
      <c r="H33" s="218">
        <v>14383</v>
      </c>
      <c r="I33" s="219">
        <v>10436</v>
      </c>
      <c r="J33" s="218">
        <v>5724</v>
      </c>
      <c r="K33" s="220">
        <v>16160</v>
      </c>
      <c r="L33" s="232">
        <v>11290</v>
      </c>
      <c r="M33" s="233">
        <v>6060</v>
      </c>
      <c r="N33" s="262">
        <v>17350</v>
      </c>
      <c r="O33" s="232">
        <f>O18+O27</f>
        <v>12084</v>
      </c>
      <c r="P33" s="233">
        <f>P18+P27</f>
        <v>6622</v>
      </c>
      <c r="Q33" s="262">
        <f t="shared" si="0"/>
        <v>18706</v>
      </c>
      <c r="R33" s="232">
        <f>SUM(R18,R27,R23)</f>
        <v>12975</v>
      </c>
      <c r="S33" s="233">
        <f>SUM(S18,S27,S23)</f>
        <v>7377</v>
      </c>
      <c r="T33" s="262">
        <f t="shared" si="1"/>
        <v>20352</v>
      </c>
      <c r="U33" s="232">
        <f>SUM(U18,U27,U23)</f>
        <v>14502</v>
      </c>
      <c r="V33" s="233">
        <f>SUM(V18,V27,V23)</f>
        <v>8161</v>
      </c>
      <c r="W33" s="262">
        <f t="shared" si="2"/>
        <v>22663</v>
      </c>
      <c r="X33" s="232">
        <f>SUM(X18,X27,X23)</f>
        <v>15584</v>
      </c>
      <c r="Y33" s="233">
        <f>SUM(Y18,Y27,Y23)</f>
        <v>8647</v>
      </c>
      <c r="Z33" s="262">
        <f t="shared" si="3"/>
        <v>24231</v>
      </c>
      <c r="AA33" s="232">
        <f>SUM(AA18,AA27,AA23)</f>
        <v>16042</v>
      </c>
      <c r="AB33" s="233">
        <f>SUM(AB18,AB27,AB23)</f>
        <v>8742</v>
      </c>
      <c r="AC33" s="262">
        <f t="shared" si="4"/>
        <v>24784</v>
      </c>
      <c r="AD33" s="232">
        <f>SUM(AD18,AD27,AD23)</f>
        <v>18266</v>
      </c>
      <c r="AE33" s="233">
        <f>SUM(AE18,AE27,AE23)</f>
        <v>9614</v>
      </c>
      <c r="AF33" s="262">
        <f t="shared" si="5"/>
        <v>27880</v>
      </c>
      <c r="AG33" s="232">
        <f>SUM(AG18,AG27,AG23)</f>
        <v>18792</v>
      </c>
      <c r="AH33" s="233">
        <f>SUM(AH18,AH27,AH23)</f>
        <v>9619</v>
      </c>
      <c r="AI33" s="262">
        <f t="shared" si="6"/>
        <v>28411</v>
      </c>
      <c r="AJ33" s="232">
        <f>SUM(AJ18,AJ27,AJ23)</f>
        <v>20136</v>
      </c>
      <c r="AK33" s="233">
        <f>SUM(AK18,AK27,AK23)</f>
        <v>9643</v>
      </c>
      <c r="AL33" s="262">
        <f t="shared" si="7"/>
        <v>29779</v>
      </c>
      <c r="AM33" s="232">
        <f>SUM(AM18,AM27,AM23)</f>
        <v>21105</v>
      </c>
      <c r="AN33" s="233">
        <f>SUM(AN18,AN27,AN23)</f>
        <v>10191</v>
      </c>
      <c r="AO33" s="262">
        <f t="shared" si="8"/>
        <v>31296</v>
      </c>
      <c r="AP33" s="232">
        <f>SUM(AP18,AP27,AP23)</f>
        <v>18229</v>
      </c>
      <c r="AQ33" s="233">
        <f>SUM(AQ18,AQ27,AQ23)</f>
        <v>9039</v>
      </c>
      <c r="AR33" s="262">
        <f t="shared" si="9"/>
        <v>27268</v>
      </c>
      <c r="AS33" s="232">
        <f>SUM(AS18,AS27,AS23)</f>
        <v>17927</v>
      </c>
      <c r="AT33" s="233">
        <f>SUM(AT18,AT27,AT23)</f>
        <v>8167</v>
      </c>
      <c r="AU33" s="262">
        <f t="shared" si="10"/>
        <v>26094</v>
      </c>
      <c r="AV33" s="232">
        <f>SUM(AV18,AV27,AV23)</f>
        <v>18402</v>
      </c>
      <c r="AW33" s="233">
        <f>SUM(AW18,AW27,AW23)</f>
        <v>8345</v>
      </c>
      <c r="AX33" s="262">
        <f t="shared" si="11"/>
        <v>26747</v>
      </c>
      <c r="AY33" s="232">
        <f>SUM(AY18,AY27,AY23)</f>
        <v>21180</v>
      </c>
      <c r="AZ33" s="233">
        <f>SUM(AZ18,AZ27,AZ23)</f>
        <v>10108</v>
      </c>
      <c r="BA33" s="262">
        <f t="shared" si="12"/>
        <v>31288</v>
      </c>
    </row>
    <row r="34" spans="2:53" x14ac:dyDescent="0.3">
      <c r="B34" s="154" t="s">
        <v>68</v>
      </c>
      <c r="C34" s="219">
        <v>4582</v>
      </c>
      <c r="D34" s="218">
        <v>5081</v>
      </c>
      <c r="E34" s="220">
        <v>9663</v>
      </c>
      <c r="F34" s="218">
        <v>5054</v>
      </c>
      <c r="G34" s="218">
        <v>5908</v>
      </c>
      <c r="H34" s="218">
        <v>10962</v>
      </c>
      <c r="I34" s="219">
        <v>5855</v>
      </c>
      <c r="J34" s="218">
        <v>6654</v>
      </c>
      <c r="K34" s="220">
        <v>12509</v>
      </c>
      <c r="L34" s="232">
        <v>6467</v>
      </c>
      <c r="M34" s="233">
        <v>6893</v>
      </c>
      <c r="N34" s="262">
        <v>13360</v>
      </c>
      <c r="O34" s="232">
        <f>O8+O28</f>
        <v>7304</v>
      </c>
      <c r="P34" s="233">
        <f>P8+P28</f>
        <v>7797</v>
      </c>
      <c r="Q34" s="262">
        <f t="shared" si="0"/>
        <v>15101</v>
      </c>
      <c r="R34" s="232">
        <f>SUM(R8,R28)</f>
        <v>7467</v>
      </c>
      <c r="S34" s="233">
        <f>SUM(S8,S28)</f>
        <v>7846</v>
      </c>
      <c r="T34" s="262">
        <f t="shared" si="1"/>
        <v>15313</v>
      </c>
      <c r="U34" s="232">
        <f>SUM(U8,U28)</f>
        <v>8276</v>
      </c>
      <c r="V34" s="233">
        <f>SUM(V8,V28)</f>
        <v>8879</v>
      </c>
      <c r="W34" s="262">
        <f t="shared" si="2"/>
        <v>17155</v>
      </c>
      <c r="X34" s="232">
        <f>SUM(X8,X28)</f>
        <v>7732</v>
      </c>
      <c r="Y34" s="233">
        <f>SUM(Y8,Y28)</f>
        <v>8191</v>
      </c>
      <c r="Z34" s="262">
        <f t="shared" si="3"/>
        <v>15923</v>
      </c>
      <c r="AA34" s="232">
        <f>SUM(AA8,AA28)</f>
        <v>7023</v>
      </c>
      <c r="AB34" s="233">
        <f>SUM(AB8,AB28)</f>
        <v>7427</v>
      </c>
      <c r="AC34" s="262">
        <f t="shared" si="4"/>
        <v>14450</v>
      </c>
      <c r="AD34" s="232">
        <f>SUM(AD8,AD28)</f>
        <v>7002</v>
      </c>
      <c r="AE34" s="233">
        <f>SUM(AE8,AE28)</f>
        <v>7450</v>
      </c>
      <c r="AF34" s="262">
        <f t="shared" si="5"/>
        <v>14452</v>
      </c>
      <c r="AG34" s="232">
        <f>SUM(AG8,AG28)</f>
        <v>7121</v>
      </c>
      <c r="AH34" s="233">
        <f>SUM(AH8,AH28)</f>
        <v>7276</v>
      </c>
      <c r="AI34" s="262">
        <f t="shared" si="6"/>
        <v>14397</v>
      </c>
      <c r="AJ34" s="232">
        <f>SUM(AJ8,AJ28)</f>
        <v>6518</v>
      </c>
      <c r="AK34" s="233">
        <f>SUM(AK8,AK28)</f>
        <v>6993</v>
      </c>
      <c r="AL34" s="262">
        <f t="shared" si="7"/>
        <v>13511</v>
      </c>
      <c r="AM34" s="232">
        <f>SUM(AM8,AM28)</f>
        <v>7004</v>
      </c>
      <c r="AN34" s="233">
        <f>SUM(AN8,AN28)</f>
        <v>7173</v>
      </c>
      <c r="AO34" s="262">
        <f t="shared" si="8"/>
        <v>14177</v>
      </c>
      <c r="AP34" s="232">
        <f>SUM(AP8,AP28)</f>
        <v>6392</v>
      </c>
      <c r="AQ34" s="233">
        <f>SUM(AQ8,AQ28)</f>
        <v>6898</v>
      </c>
      <c r="AR34" s="262">
        <f t="shared" si="9"/>
        <v>13290</v>
      </c>
      <c r="AS34" s="232">
        <f>SUM(AS8,AS28)</f>
        <v>6446</v>
      </c>
      <c r="AT34" s="233">
        <f>SUM(AT8,AT28)</f>
        <v>6036</v>
      </c>
      <c r="AU34" s="262">
        <f t="shared" si="10"/>
        <v>12482</v>
      </c>
      <c r="AV34" s="232">
        <f>SUM(AV8,AV28)</f>
        <v>6904</v>
      </c>
      <c r="AW34" s="233">
        <f>SUM(AW8,AW28)</f>
        <v>6142</v>
      </c>
      <c r="AX34" s="262">
        <f t="shared" si="11"/>
        <v>13046</v>
      </c>
      <c r="AY34" s="232">
        <f>SUM(AY8,AY28)</f>
        <v>7544</v>
      </c>
      <c r="AZ34" s="233">
        <f>SUM(AZ8,AZ28)</f>
        <v>6454</v>
      </c>
      <c r="BA34" s="262">
        <f t="shared" si="12"/>
        <v>13998</v>
      </c>
    </row>
    <row r="35" spans="2:53" x14ac:dyDescent="0.3">
      <c r="B35" s="154" t="s">
        <v>111</v>
      </c>
      <c r="C35" s="219">
        <v>54</v>
      </c>
      <c r="D35" s="218">
        <v>35</v>
      </c>
      <c r="E35" s="220">
        <v>89</v>
      </c>
      <c r="F35" s="218">
        <v>312</v>
      </c>
      <c r="G35" s="218">
        <v>276</v>
      </c>
      <c r="H35" s="218">
        <v>588</v>
      </c>
      <c r="I35" s="219">
        <v>329</v>
      </c>
      <c r="J35" s="218">
        <v>356</v>
      </c>
      <c r="K35" s="220">
        <v>685</v>
      </c>
      <c r="L35" s="232">
        <v>469</v>
      </c>
      <c r="M35" s="233">
        <v>410</v>
      </c>
      <c r="N35" s="262">
        <v>879</v>
      </c>
      <c r="O35" s="232">
        <f>O12</f>
        <v>586</v>
      </c>
      <c r="P35" s="233">
        <f>P12</f>
        <v>508</v>
      </c>
      <c r="Q35" s="262">
        <f t="shared" si="0"/>
        <v>1094</v>
      </c>
      <c r="R35" s="232">
        <f>SUM(R12)</f>
        <v>505</v>
      </c>
      <c r="S35" s="233">
        <f>SUM(S12)</f>
        <v>506</v>
      </c>
      <c r="T35" s="262">
        <f t="shared" si="1"/>
        <v>1011</v>
      </c>
      <c r="U35" s="232">
        <f>SUM(U12)</f>
        <v>519</v>
      </c>
      <c r="V35" s="233">
        <f>SUM(V12)</f>
        <v>482</v>
      </c>
      <c r="W35" s="262">
        <f t="shared" si="2"/>
        <v>1001</v>
      </c>
      <c r="X35" s="232">
        <f>SUM(X12)</f>
        <v>996</v>
      </c>
      <c r="Y35" s="233">
        <f>SUM(Y12)</f>
        <v>891</v>
      </c>
      <c r="Z35" s="262">
        <f t="shared" si="3"/>
        <v>1887</v>
      </c>
      <c r="AA35" s="232">
        <f>SUM(AA12)</f>
        <v>1008</v>
      </c>
      <c r="AB35" s="233">
        <f>SUM(AB12)</f>
        <v>912</v>
      </c>
      <c r="AC35" s="262">
        <f t="shared" si="4"/>
        <v>1920</v>
      </c>
      <c r="AD35" s="232">
        <f>SUM(AD12)</f>
        <v>1061</v>
      </c>
      <c r="AE35" s="233">
        <f>SUM(AE12)</f>
        <v>865</v>
      </c>
      <c r="AF35" s="262">
        <f t="shared" si="5"/>
        <v>1926</v>
      </c>
      <c r="AG35" s="232">
        <f>SUM(AG12)</f>
        <v>974</v>
      </c>
      <c r="AH35" s="233">
        <f>SUM(AH12)</f>
        <v>892</v>
      </c>
      <c r="AI35" s="262">
        <f t="shared" si="6"/>
        <v>1866</v>
      </c>
      <c r="AJ35" s="232">
        <f>SUM(AJ12)</f>
        <v>980</v>
      </c>
      <c r="AK35" s="233">
        <f>SUM(AK12)</f>
        <v>912</v>
      </c>
      <c r="AL35" s="262">
        <f t="shared" si="7"/>
        <v>1892</v>
      </c>
      <c r="AM35" s="232">
        <f>SUM(AM12)</f>
        <v>953</v>
      </c>
      <c r="AN35" s="233">
        <f>SUM(AN12)</f>
        <v>796</v>
      </c>
      <c r="AO35" s="262">
        <f t="shared" si="8"/>
        <v>1749</v>
      </c>
      <c r="AP35" s="232">
        <f>SUM(AP12)</f>
        <v>849</v>
      </c>
      <c r="AQ35" s="233">
        <f>SUM(AQ12)</f>
        <v>709</v>
      </c>
      <c r="AR35" s="262">
        <f t="shared" si="9"/>
        <v>1558</v>
      </c>
      <c r="AS35" s="232">
        <f>SUM(AS12)</f>
        <v>772</v>
      </c>
      <c r="AT35" s="233">
        <f>SUM(AT12)</f>
        <v>646</v>
      </c>
      <c r="AU35" s="262">
        <f t="shared" si="10"/>
        <v>1418</v>
      </c>
      <c r="AV35" s="232">
        <f>SUM(AV12)</f>
        <v>844</v>
      </c>
      <c r="AW35" s="233">
        <f>SUM(AW12)</f>
        <v>688</v>
      </c>
      <c r="AX35" s="262">
        <f t="shared" si="11"/>
        <v>1532</v>
      </c>
      <c r="AY35" s="232">
        <f>SUM(AY12)</f>
        <v>1136</v>
      </c>
      <c r="AZ35" s="233">
        <f>SUM(AZ12)</f>
        <v>950</v>
      </c>
      <c r="BA35" s="262">
        <f t="shared" si="12"/>
        <v>2086</v>
      </c>
    </row>
    <row r="36" spans="2:53" x14ac:dyDescent="0.3">
      <c r="B36" s="263" t="s">
        <v>115</v>
      </c>
      <c r="C36" s="264">
        <v>34</v>
      </c>
      <c r="D36" s="265">
        <v>60</v>
      </c>
      <c r="E36" s="266">
        <v>94</v>
      </c>
      <c r="F36" s="264">
        <v>44</v>
      </c>
      <c r="G36" s="265">
        <v>125</v>
      </c>
      <c r="H36" s="266">
        <v>169</v>
      </c>
      <c r="I36" s="264">
        <v>70</v>
      </c>
      <c r="J36" s="265">
        <v>176</v>
      </c>
      <c r="K36" s="266">
        <v>246</v>
      </c>
      <c r="L36" s="264">
        <v>79</v>
      </c>
      <c r="M36" s="265">
        <v>162</v>
      </c>
      <c r="N36" s="266">
        <v>241</v>
      </c>
      <c r="O36" s="264">
        <f>O13</f>
        <v>162</v>
      </c>
      <c r="P36" s="265">
        <f>P13</f>
        <v>282</v>
      </c>
      <c r="Q36" s="266">
        <f t="shared" si="0"/>
        <v>444</v>
      </c>
      <c r="R36" s="264">
        <f>SUM(R13)</f>
        <v>138</v>
      </c>
      <c r="S36" s="265">
        <f>SUM(S13)</f>
        <v>242</v>
      </c>
      <c r="T36" s="266">
        <f t="shared" si="1"/>
        <v>380</v>
      </c>
      <c r="U36" s="264">
        <f>SUM(U13)</f>
        <v>122</v>
      </c>
      <c r="V36" s="265">
        <f>SUM(V13)</f>
        <v>241</v>
      </c>
      <c r="W36" s="266">
        <f t="shared" si="2"/>
        <v>363</v>
      </c>
      <c r="X36" s="264">
        <f>SUM(X13)</f>
        <v>307</v>
      </c>
      <c r="Y36" s="265">
        <f>SUM(Y13)</f>
        <v>463</v>
      </c>
      <c r="Z36" s="266">
        <f t="shared" si="3"/>
        <v>770</v>
      </c>
      <c r="AA36" s="264">
        <f>SUM(AA13)</f>
        <v>301</v>
      </c>
      <c r="AB36" s="265">
        <f>SUM(AB13)</f>
        <v>548</v>
      </c>
      <c r="AC36" s="266">
        <f t="shared" si="4"/>
        <v>849</v>
      </c>
      <c r="AD36" s="264">
        <f>SUM(AD13)</f>
        <v>368</v>
      </c>
      <c r="AE36" s="265">
        <f>SUM(AE13)</f>
        <v>587</v>
      </c>
      <c r="AF36" s="266">
        <f t="shared" si="5"/>
        <v>955</v>
      </c>
      <c r="AG36" s="264">
        <f>SUM(AG13)</f>
        <v>361</v>
      </c>
      <c r="AH36" s="265">
        <f>SUM(AH13)</f>
        <v>644</v>
      </c>
      <c r="AI36" s="266">
        <f t="shared" si="6"/>
        <v>1005</v>
      </c>
      <c r="AJ36" s="264">
        <f>SUM(AJ13)</f>
        <v>395</v>
      </c>
      <c r="AK36" s="265">
        <f>SUM(AK13)</f>
        <v>598</v>
      </c>
      <c r="AL36" s="266">
        <f t="shared" si="7"/>
        <v>993</v>
      </c>
      <c r="AM36" s="264">
        <f>SUM(AM13)</f>
        <v>467</v>
      </c>
      <c r="AN36" s="265">
        <f>SUM(AN13)</f>
        <v>704</v>
      </c>
      <c r="AO36" s="266">
        <f t="shared" si="8"/>
        <v>1171</v>
      </c>
      <c r="AP36" s="264">
        <f>SUM(AP13)</f>
        <v>454</v>
      </c>
      <c r="AQ36" s="265">
        <f>SUM(AQ13)</f>
        <v>603</v>
      </c>
      <c r="AR36" s="266">
        <f t="shared" si="9"/>
        <v>1057</v>
      </c>
      <c r="AS36" s="264">
        <f>SUM(AS13)</f>
        <v>419</v>
      </c>
      <c r="AT36" s="265">
        <f>SUM(AT13)</f>
        <v>627</v>
      </c>
      <c r="AU36" s="266">
        <f t="shared" si="10"/>
        <v>1046</v>
      </c>
      <c r="AV36" s="264">
        <f>SUM(AV13)</f>
        <v>338</v>
      </c>
      <c r="AW36" s="265">
        <f>SUM(AW13)</f>
        <v>497</v>
      </c>
      <c r="AX36" s="266">
        <f t="shared" si="11"/>
        <v>835</v>
      </c>
      <c r="AY36" s="264">
        <f>SUM(AY13)</f>
        <v>312</v>
      </c>
      <c r="AZ36" s="265">
        <f>SUM(AZ13)</f>
        <v>542</v>
      </c>
      <c r="BA36" s="266">
        <f t="shared" si="12"/>
        <v>854</v>
      </c>
    </row>
    <row r="37" spans="2:53" x14ac:dyDescent="0.3">
      <c r="B37" s="267" t="s">
        <v>128</v>
      </c>
      <c r="C37" s="268">
        <v>30697</v>
      </c>
      <c r="D37" s="269">
        <v>25838</v>
      </c>
      <c r="E37" s="270">
        <v>56535</v>
      </c>
      <c r="F37" s="268">
        <v>32320</v>
      </c>
      <c r="G37" s="269">
        <v>27263</v>
      </c>
      <c r="H37" s="270">
        <v>59583</v>
      </c>
      <c r="I37" s="268">
        <v>35147</v>
      </c>
      <c r="J37" s="269">
        <v>30048</v>
      </c>
      <c r="K37" s="270">
        <v>65195</v>
      </c>
      <c r="L37" s="268">
        <v>38053</v>
      </c>
      <c r="M37" s="269">
        <v>31937</v>
      </c>
      <c r="N37" s="270">
        <v>69990</v>
      </c>
      <c r="O37" s="268">
        <f>SUM(O31:O36)</f>
        <v>41577</v>
      </c>
      <c r="P37" s="269">
        <f>SUM(P31:P36)</f>
        <v>35414</v>
      </c>
      <c r="Q37" s="270">
        <f t="shared" si="0"/>
        <v>76991</v>
      </c>
      <c r="R37" s="268">
        <f t="shared" ref="R37:AU37" si="13">SUM(R31:R36)</f>
        <v>42701</v>
      </c>
      <c r="S37" s="269">
        <f t="shared" si="13"/>
        <v>36326</v>
      </c>
      <c r="T37" s="270">
        <f t="shared" si="13"/>
        <v>79027</v>
      </c>
      <c r="U37" s="268">
        <f t="shared" si="13"/>
        <v>46619</v>
      </c>
      <c r="V37" s="269">
        <f t="shared" si="13"/>
        <v>40450</v>
      </c>
      <c r="W37" s="270">
        <f t="shared" si="13"/>
        <v>87069</v>
      </c>
      <c r="X37" s="268">
        <f t="shared" si="13"/>
        <v>47411</v>
      </c>
      <c r="Y37" s="269">
        <f t="shared" si="13"/>
        <v>40707</v>
      </c>
      <c r="Z37" s="270">
        <f t="shared" si="13"/>
        <v>88118</v>
      </c>
      <c r="AA37" s="268">
        <f t="shared" si="13"/>
        <v>46359</v>
      </c>
      <c r="AB37" s="269">
        <f t="shared" si="13"/>
        <v>39794</v>
      </c>
      <c r="AC37" s="270">
        <f t="shared" si="13"/>
        <v>86153</v>
      </c>
      <c r="AD37" s="268">
        <f t="shared" si="13"/>
        <v>50302</v>
      </c>
      <c r="AE37" s="269">
        <f t="shared" si="13"/>
        <v>42388</v>
      </c>
      <c r="AF37" s="270">
        <f t="shared" si="13"/>
        <v>92690</v>
      </c>
      <c r="AG37" s="268">
        <f t="shared" si="13"/>
        <v>51182</v>
      </c>
      <c r="AH37" s="269">
        <f t="shared" si="13"/>
        <v>42570</v>
      </c>
      <c r="AI37" s="270">
        <f t="shared" si="13"/>
        <v>93752</v>
      </c>
      <c r="AJ37" s="268">
        <f t="shared" si="13"/>
        <v>51328</v>
      </c>
      <c r="AK37" s="269">
        <f t="shared" si="13"/>
        <v>41679</v>
      </c>
      <c r="AL37" s="270">
        <f t="shared" si="13"/>
        <v>93007</v>
      </c>
      <c r="AM37" s="268">
        <f t="shared" si="13"/>
        <v>52647</v>
      </c>
      <c r="AN37" s="269">
        <f t="shared" si="13"/>
        <v>43334</v>
      </c>
      <c r="AO37" s="270">
        <f t="shared" si="13"/>
        <v>95981</v>
      </c>
      <c r="AP37" s="268">
        <f t="shared" si="13"/>
        <v>44774</v>
      </c>
      <c r="AQ37" s="269">
        <f t="shared" si="13"/>
        <v>38030</v>
      </c>
      <c r="AR37" s="270">
        <f t="shared" si="13"/>
        <v>82804</v>
      </c>
      <c r="AS37" s="268">
        <f t="shared" si="13"/>
        <v>41867</v>
      </c>
      <c r="AT37" s="269">
        <f t="shared" si="13"/>
        <v>31897</v>
      </c>
      <c r="AU37" s="270">
        <f t="shared" si="13"/>
        <v>73764</v>
      </c>
      <c r="AV37" s="268">
        <f t="shared" ref="AV37:AX37" si="14">SUM(AV31:AV36)</f>
        <v>42718</v>
      </c>
      <c r="AW37" s="269">
        <f t="shared" si="14"/>
        <v>31621</v>
      </c>
      <c r="AX37" s="270">
        <f t="shared" si="14"/>
        <v>74339</v>
      </c>
      <c r="AY37" s="268">
        <f t="shared" ref="AY37:BA37" si="15">SUM(AY31:AY36)</f>
        <v>47344</v>
      </c>
      <c r="AZ37" s="269">
        <f t="shared" si="15"/>
        <v>35615</v>
      </c>
      <c r="BA37" s="270">
        <f t="shared" si="15"/>
        <v>82959</v>
      </c>
    </row>
    <row r="42" spans="2:53" x14ac:dyDescent="0.3">
      <c r="AF42" s="271">
        <v>2006</v>
      </c>
    </row>
    <row r="43" spans="2:53" x14ac:dyDescent="0.3">
      <c r="AF43" s="271">
        <v>2007</v>
      </c>
    </row>
    <row r="44" spans="2:53" x14ac:dyDescent="0.3">
      <c r="AF44" s="271">
        <v>2008</v>
      </c>
    </row>
    <row r="45" spans="2:53" x14ac:dyDescent="0.3">
      <c r="AF45" s="271">
        <v>2009</v>
      </c>
    </row>
    <row r="46" spans="2:53" x14ac:dyDescent="0.3">
      <c r="AF46" s="271">
        <v>2010</v>
      </c>
    </row>
    <row r="47" spans="2:53" x14ac:dyDescent="0.3">
      <c r="AF47" s="271">
        <v>2011</v>
      </c>
    </row>
    <row r="48" spans="2:53" x14ac:dyDescent="0.3">
      <c r="AF48" s="271">
        <v>2012</v>
      </c>
    </row>
    <row r="49" spans="32:32" x14ac:dyDescent="0.3">
      <c r="AF49" s="271">
        <v>2013</v>
      </c>
    </row>
    <row r="50" spans="32:32" x14ac:dyDescent="0.3">
      <c r="AF50" s="271">
        <v>2014</v>
      </c>
    </row>
    <row r="51" spans="32:32" x14ac:dyDescent="0.3">
      <c r="AF51" s="271">
        <v>2015</v>
      </c>
    </row>
    <row r="52" spans="32:32" x14ac:dyDescent="0.3">
      <c r="AF52" s="271">
        <v>2016</v>
      </c>
    </row>
    <row r="53" spans="32:32" x14ac:dyDescent="0.3">
      <c r="AF53" s="271">
        <v>2017</v>
      </c>
    </row>
    <row r="54" spans="32:32" x14ac:dyDescent="0.3">
      <c r="AF54" s="271">
        <v>2018</v>
      </c>
    </row>
    <row r="55" spans="32:32" x14ac:dyDescent="0.3">
      <c r="AF55" s="271">
        <v>2019</v>
      </c>
    </row>
    <row r="56" spans="32:32" x14ac:dyDescent="0.3">
      <c r="AF56" s="271">
        <v>2020</v>
      </c>
    </row>
    <row r="57" spans="32:32" x14ac:dyDescent="0.3">
      <c r="AF57" s="271">
        <v>2021</v>
      </c>
    </row>
    <row r="58" spans="32:32" x14ac:dyDescent="0.3">
      <c r="AF58" s="271">
        <v>2022</v>
      </c>
    </row>
  </sheetData>
  <mergeCells count="18">
    <mergeCell ref="AS3:AU3"/>
    <mergeCell ref="R3:T3"/>
    <mergeCell ref="U3:W3"/>
    <mergeCell ref="X3:Z3"/>
    <mergeCell ref="AY3:BA3"/>
    <mergeCell ref="AA3:AC3"/>
    <mergeCell ref="AD3:AF3"/>
    <mergeCell ref="AG3:AI3"/>
    <mergeCell ref="AV3:AX3"/>
    <mergeCell ref="O3:Q3"/>
    <mergeCell ref="AJ3:AL3"/>
    <mergeCell ref="AM3:AO3"/>
    <mergeCell ref="AP3:AR3"/>
    <mergeCell ref="B3:B4"/>
    <mergeCell ref="C3:E3"/>
    <mergeCell ref="F3:H3"/>
    <mergeCell ref="I3:K3"/>
    <mergeCell ref="L3:N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75" firstPageNumber="5" pageOrder="overThenDown" orientation="landscape" useFirstPageNumber="1" r:id="rId1"/>
  <headerFooter scaleWithDoc="0" alignWithMargins="0">
    <oddFooter>&amp;R&amp;P</oddFooter>
  </headerFooter>
  <rowBreaks count="1" manualBreakCount="1">
    <brk id="38" max="16383" man="1"/>
  </rowBreaks>
  <colBreaks count="1" manualBreakCount="1">
    <brk id="17" max="66" man="1"/>
  </colBreaks>
  <ignoredErrors>
    <ignoredError sqref="T9:AX37" formula="1"/>
  </ignoredError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</sheetPr>
  <dimension ref="B1:N81"/>
  <sheetViews>
    <sheetView showGridLines="0" zoomScaleNormal="100" workbookViewId="0">
      <pane xSplit="2" ySplit="4" topLeftCell="C5" activePane="bottomRight" state="frozen"/>
      <selection activeCell="Q31" sqref="Q31"/>
      <selection pane="topRight" activeCell="Q31" sqref="Q31"/>
      <selection pane="bottomLeft" activeCell="Q31" sqref="Q31"/>
      <selection pane="bottomRight" activeCell="P22" sqref="P22"/>
    </sheetView>
  </sheetViews>
  <sheetFormatPr baseColWidth="10" defaultColWidth="10.88671875" defaultRowHeight="14.4" x14ac:dyDescent="0.3"/>
  <cols>
    <col min="1" max="1" width="2.88671875" style="558" customWidth="1"/>
    <col min="2" max="2" width="64.6640625" style="754" customWidth="1"/>
    <col min="3" max="4" width="10" style="754" customWidth="1"/>
    <col min="5" max="5" width="7.88671875" style="754" customWidth="1"/>
    <col min="6" max="7" width="10" style="558" customWidth="1"/>
    <col min="8" max="8" width="7.88671875" style="558" customWidth="1"/>
    <col min="9" max="10" width="10" style="558" customWidth="1"/>
    <col min="11" max="11" width="7.88671875" style="558" customWidth="1"/>
    <col min="12" max="13" width="10" style="558" bestFit="1" customWidth="1"/>
    <col min="14" max="14" width="7.88671875" style="558" customWidth="1"/>
    <col min="15" max="16384" width="10.88671875" style="558"/>
  </cols>
  <sheetData>
    <row r="1" spans="2:14" ht="36" x14ac:dyDescent="0.35">
      <c r="B1" s="4762" t="s">
        <v>1592</v>
      </c>
    </row>
    <row r="3" spans="2:14" x14ac:dyDescent="0.3">
      <c r="B3" s="6088" t="s">
        <v>624</v>
      </c>
      <c r="C3" s="6089">
        <v>2019</v>
      </c>
      <c r="D3" s="6090"/>
      <c r="E3" s="6091"/>
      <c r="F3" s="6089">
        <v>2020</v>
      </c>
      <c r="G3" s="6090"/>
      <c r="H3" s="6091"/>
      <c r="I3" s="6089">
        <v>2021</v>
      </c>
      <c r="J3" s="6090"/>
      <c r="K3" s="6091"/>
      <c r="L3" s="6089">
        <v>2022</v>
      </c>
      <c r="M3" s="6090"/>
      <c r="N3" s="6091"/>
    </row>
    <row r="4" spans="2:14" x14ac:dyDescent="0.3">
      <c r="B4" s="6053"/>
      <c r="C4" s="4718" t="s">
        <v>140</v>
      </c>
      <c r="D4" s="4718" t="s">
        <v>141</v>
      </c>
      <c r="E4" s="2566" t="s">
        <v>48</v>
      </c>
      <c r="F4" s="4718" t="s">
        <v>140</v>
      </c>
      <c r="G4" s="4718" t="s">
        <v>141</v>
      </c>
      <c r="H4" s="2566" t="s">
        <v>48</v>
      </c>
      <c r="I4" s="4718" t="s">
        <v>140</v>
      </c>
      <c r="J4" s="4718" t="s">
        <v>141</v>
      </c>
      <c r="K4" s="2566" t="s">
        <v>48</v>
      </c>
      <c r="L4" s="4718" t="s">
        <v>140</v>
      </c>
      <c r="M4" s="4718" t="s">
        <v>141</v>
      </c>
      <c r="N4" s="2566" t="s">
        <v>48</v>
      </c>
    </row>
    <row r="5" spans="2:14" x14ac:dyDescent="0.3">
      <c r="B5" s="4789" t="s">
        <v>699</v>
      </c>
      <c r="C5" s="4795"/>
      <c r="D5" s="4805">
        <v>5</v>
      </c>
      <c r="E5" s="4808">
        <v>5</v>
      </c>
      <c r="F5" s="4708">
        <v>1</v>
      </c>
      <c r="G5" s="4707"/>
      <c r="H5" s="4808">
        <f>SUM(F5:G5)</f>
        <v>1</v>
      </c>
      <c r="I5" s="4708"/>
      <c r="J5" s="4707"/>
      <c r="K5" s="5474"/>
      <c r="L5" s="5485">
        <v>1</v>
      </c>
      <c r="M5" s="4707"/>
      <c r="N5" s="4809">
        <f t="shared" ref="N5" si="0">SUM(L5:M5)</f>
        <v>1</v>
      </c>
    </row>
    <row r="6" spans="2:14" x14ac:dyDescent="0.3">
      <c r="B6" s="4711" t="s">
        <v>314</v>
      </c>
      <c r="C6" s="4796">
        <v>2</v>
      </c>
      <c r="D6" s="4710">
        <v>1</v>
      </c>
      <c r="E6" s="4809">
        <v>3</v>
      </c>
      <c r="F6" s="4708"/>
      <c r="G6" s="2697"/>
      <c r="H6" s="4809"/>
      <c r="I6" s="4708"/>
      <c r="J6" s="2697">
        <v>1</v>
      </c>
      <c r="K6" s="5475">
        <f t="shared" ref="K6" si="1">SUM(I6:J6)</f>
        <v>1</v>
      </c>
      <c r="L6" s="4796"/>
      <c r="M6" s="2697"/>
      <c r="N6" s="4809"/>
    </row>
    <row r="7" spans="2:14" x14ac:dyDescent="0.3">
      <c r="B7" s="4711" t="s">
        <v>711</v>
      </c>
      <c r="C7" s="4796"/>
      <c r="D7" s="4710"/>
      <c r="E7" s="4809"/>
      <c r="F7" s="4708">
        <v>1</v>
      </c>
      <c r="G7" s="2697"/>
      <c r="H7" s="4809">
        <f t="shared" ref="H7:H74" si="2">SUM(F7:G7)</f>
        <v>1</v>
      </c>
      <c r="I7" s="4708"/>
      <c r="J7" s="2697"/>
      <c r="K7" s="5475"/>
      <c r="L7" s="4796"/>
      <c r="M7" s="2697"/>
      <c r="N7" s="4809"/>
    </row>
    <row r="8" spans="2:14" x14ac:dyDescent="0.3">
      <c r="B8" s="4709" t="s">
        <v>59</v>
      </c>
      <c r="C8" s="4797">
        <f>SUM(C5:C6)</f>
        <v>2</v>
      </c>
      <c r="D8" s="2684">
        <f>SUM(D5:D6)</f>
        <v>6</v>
      </c>
      <c r="E8" s="4810">
        <f>SUM(E5:E6)</f>
        <v>8</v>
      </c>
      <c r="F8" s="2684">
        <f t="shared" ref="F8:K8" si="3">SUM(F5:F7)</f>
        <v>2</v>
      </c>
      <c r="G8" s="2684">
        <f t="shared" si="3"/>
        <v>0</v>
      </c>
      <c r="H8" s="4810">
        <f t="shared" si="3"/>
        <v>2</v>
      </c>
      <c r="I8" s="2684">
        <f t="shared" si="3"/>
        <v>0</v>
      </c>
      <c r="J8" s="2684">
        <f t="shared" si="3"/>
        <v>1</v>
      </c>
      <c r="K8" s="5476">
        <f t="shared" si="3"/>
        <v>1</v>
      </c>
      <c r="L8" s="4797">
        <f t="shared" ref="L8:N8" si="4">SUM(L5:L7)</f>
        <v>1</v>
      </c>
      <c r="M8" s="2684">
        <f t="shared" si="4"/>
        <v>0</v>
      </c>
      <c r="N8" s="4810">
        <f t="shared" si="4"/>
        <v>1</v>
      </c>
    </row>
    <row r="9" spans="2:14" x14ac:dyDescent="0.3">
      <c r="B9" s="4711" t="s">
        <v>1652</v>
      </c>
      <c r="C9" s="4796">
        <v>1</v>
      </c>
      <c r="D9" s="4710">
        <v>1</v>
      </c>
      <c r="E9" s="4809">
        <v>2</v>
      </c>
      <c r="F9" s="4708"/>
      <c r="G9" s="2697"/>
      <c r="H9" s="4809"/>
      <c r="I9" s="4708"/>
      <c r="J9" s="2697"/>
      <c r="K9" s="5475"/>
      <c r="L9" s="4796">
        <v>1</v>
      </c>
      <c r="M9" s="2697">
        <v>1</v>
      </c>
      <c r="N9" s="4809">
        <f t="shared" ref="N9:N17" si="5">SUM(L9:M9)</f>
        <v>2</v>
      </c>
    </row>
    <row r="10" spans="2:14" x14ac:dyDescent="0.3">
      <c r="B10" s="4711" t="s">
        <v>333</v>
      </c>
      <c r="C10" s="4796"/>
      <c r="D10" s="4710"/>
      <c r="E10" s="4809"/>
      <c r="F10" s="4710"/>
      <c r="G10" s="2697"/>
      <c r="H10" s="4809"/>
      <c r="I10" s="4710"/>
      <c r="J10" s="2697">
        <v>1</v>
      </c>
      <c r="K10" s="5475">
        <f t="shared" ref="K10:K16" si="6">SUM(I10:J10)</f>
        <v>1</v>
      </c>
      <c r="L10" s="4796"/>
      <c r="M10" s="2697"/>
      <c r="N10" s="4809">
        <f t="shared" si="5"/>
        <v>0</v>
      </c>
    </row>
    <row r="11" spans="2:14" x14ac:dyDescent="0.3">
      <c r="B11" s="4711" t="s">
        <v>332</v>
      </c>
      <c r="C11" s="4796"/>
      <c r="D11" s="4710"/>
      <c r="E11" s="4809"/>
      <c r="F11" s="4710"/>
      <c r="G11" s="2697"/>
      <c r="H11" s="4809"/>
      <c r="I11" s="4710">
        <v>1</v>
      </c>
      <c r="J11" s="2697">
        <v>1</v>
      </c>
      <c r="K11" s="5475">
        <f t="shared" si="6"/>
        <v>2</v>
      </c>
      <c r="L11" s="4796"/>
      <c r="M11" s="2697"/>
      <c r="N11" s="4809">
        <f t="shared" si="5"/>
        <v>0</v>
      </c>
    </row>
    <row r="12" spans="2:14" x14ac:dyDescent="0.3">
      <c r="B12" s="4711" t="s">
        <v>331</v>
      </c>
      <c r="C12" s="4796"/>
      <c r="D12" s="4710"/>
      <c r="E12" s="4809"/>
      <c r="F12" s="4710"/>
      <c r="G12" s="2697"/>
      <c r="H12" s="4809"/>
      <c r="I12" s="4710">
        <v>1</v>
      </c>
      <c r="J12" s="2697"/>
      <c r="K12" s="5475">
        <f t="shared" si="6"/>
        <v>1</v>
      </c>
      <c r="L12" s="4796">
        <v>1</v>
      </c>
      <c r="M12" s="2697"/>
      <c r="N12" s="4809">
        <f t="shared" si="5"/>
        <v>1</v>
      </c>
    </row>
    <row r="13" spans="2:14" x14ac:dyDescent="0.3">
      <c r="B13" s="4711" t="s">
        <v>330</v>
      </c>
      <c r="C13" s="4798"/>
      <c r="D13" s="4710">
        <v>1</v>
      </c>
      <c r="E13" s="4809">
        <v>1</v>
      </c>
      <c r="F13" s="2694">
        <v>1</v>
      </c>
      <c r="G13" s="2697">
        <v>1</v>
      </c>
      <c r="H13" s="4809">
        <f t="shared" si="2"/>
        <v>2</v>
      </c>
      <c r="I13" s="2694"/>
      <c r="J13" s="2697"/>
      <c r="K13" s="5475"/>
      <c r="L13" s="4798"/>
      <c r="M13" s="2697"/>
      <c r="N13" s="4809">
        <f t="shared" si="5"/>
        <v>0</v>
      </c>
    </row>
    <row r="14" spans="2:14" x14ac:dyDescent="0.3">
      <c r="B14" s="4711" t="s">
        <v>329</v>
      </c>
      <c r="C14" s="4796">
        <v>1</v>
      </c>
      <c r="D14" s="2694"/>
      <c r="E14" s="4809">
        <v>1</v>
      </c>
      <c r="F14" s="4708">
        <v>1</v>
      </c>
      <c r="G14" s="2694"/>
      <c r="H14" s="4809">
        <f t="shared" si="2"/>
        <v>1</v>
      </c>
      <c r="I14" s="4708"/>
      <c r="J14" s="2694"/>
      <c r="K14" s="5475"/>
      <c r="L14" s="4796"/>
      <c r="M14" s="2694">
        <v>1</v>
      </c>
      <c r="N14" s="4809">
        <f t="shared" si="5"/>
        <v>1</v>
      </c>
    </row>
    <row r="15" spans="2:14" x14ac:dyDescent="0.3">
      <c r="B15" s="4711" t="s">
        <v>1653</v>
      </c>
      <c r="C15" s="4796"/>
      <c r="D15" s="2694"/>
      <c r="E15" s="4809"/>
      <c r="F15" s="4710"/>
      <c r="G15" s="2694"/>
      <c r="H15" s="4809"/>
      <c r="I15" s="4710"/>
      <c r="J15" s="2694"/>
      <c r="K15" s="5475"/>
      <c r="L15" s="4796">
        <v>1</v>
      </c>
      <c r="M15" s="2694"/>
      <c r="N15" s="4809">
        <f t="shared" si="5"/>
        <v>1</v>
      </c>
    </row>
    <row r="16" spans="2:14" x14ac:dyDescent="0.3">
      <c r="B16" s="4711" t="s">
        <v>1654</v>
      </c>
      <c r="C16" s="4796"/>
      <c r="D16" s="2694"/>
      <c r="E16" s="4809"/>
      <c r="F16" s="4710"/>
      <c r="G16" s="2694"/>
      <c r="H16" s="4809"/>
      <c r="I16" s="4710"/>
      <c r="J16" s="2694">
        <v>1</v>
      </c>
      <c r="K16" s="5475">
        <f t="shared" si="6"/>
        <v>1</v>
      </c>
      <c r="L16" s="4796"/>
      <c r="M16" s="2694"/>
      <c r="N16" s="4809">
        <f t="shared" si="5"/>
        <v>0</v>
      </c>
    </row>
    <row r="17" spans="2:14" x14ac:dyDescent="0.3">
      <c r="B17" s="4711" t="s">
        <v>1655</v>
      </c>
      <c r="C17" s="4796"/>
      <c r="D17" s="2694"/>
      <c r="E17" s="4809"/>
      <c r="F17" s="4710"/>
      <c r="G17" s="2694"/>
      <c r="H17" s="4809"/>
      <c r="I17" s="4710"/>
      <c r="J17" s="2694"/>
      <c r="K17" s="5475"/>
      <c r="L17" s="4796"/>
      <c r="M17" s="2694">
        <v>1</v>
      </c>
      <c r="N17" s="4809">
        <f t="shared" si="5"/>
        <v>1</v>
      </c>
    </row>
    <row r="18" spans="2:14" x14ac:dyDescent="0.3">
      <c r="B18" s="4709" t="s">
        <v>64</v>
      </c>
      <c r="C18" s="4797">
        <f t="shared" ref="C18:H18" si="7">SUM(C9:C14)</f>
        <v>2</v>
      </c>
      <c r="D18" s="2684">
        <f t="shared" si="7"/>
        <v>2</v>
      </c>
      <c r="E18" s="4810">
        <f t="shared" si="7"/>
        <v>4</v>
      </c>
      <c r="F18" s="2684">
        <f t="shared" si="7"/>
        <v>2</v>
      </c>
      <c r="G18" s="2684">
        <f t="shared" si="7"/>
        <v>1</v>
      </c>
      <c r="H18" s="4810">
        <f t="shared" si="7"/>
        <v>3</v>
      </c>
      <c r="I18" s="2684">
        <f t="shared" ref="I18" si="8">SUM(I9:I14)</f>
        <v>2</v>
      </c>
      <c r="J18" s="2684">
        <f>SUM(J9:J16)</f>
        <v>3</v>
      </c>
      <c r="K18" s="5476">
        <f>SUM(K9:K16)</f>
        <v>5</v>
      </c>
      <c r="L18" s="4797">
        <f>SUM(L9:L17)</f>
        <v>3</v>
      </c>
      <c r="M18" s="2684">
        <f>SUM(M9:M17)</f>
        <v>3</v>
      </c>
      <c r="N18" s="4810">
        <f>SUM(N9:N17)</f>
        <v>6</v>
      </c>
    </row>
    <row r="19" spans="2:14" x14ac:dyDescent="0.3">
      <c r="B19" s="4711" t="s">
        <v>659</v>
      </c>
      <c r="C19" s="4798"/>
      <c r="D19" s="4710">
        <v>1</v>
      </c>
      <c r="E19" s="4809">
        <v>1</v>
      </c>
      <c r="F19" s="2694"/>
      <c r="G19" s="2697"/>
      <c r="H19" s="4809"/>
      <c r="I19" s="2694"/>
      <c r="J19" s="2697"/>
      <c r="K19" s="5475"/>
      <c r="L19" s="4798"/>
      <c r="M19" s="2697"/>
      <c r="N19" s="4809"/>
    </row>
    <row r="20" spans="2:14" x14ac:dyDescent="0.3">
      <c r="B20" s="4711" t="s">
        <v>1656</v>
      </c>
      <c r="C20" s="4798"/>
      <c r="D20" s="4710">
        <v>1</v>
      </c>
      <c r="E20" s="4809">
        <v>1</v>
      </c>
      <c r="F20" s="2694"/>
      <c r="G20" s="2697"/>
      <c r="H20" s="4809"/>
      <c r="I20" s="2694"/>
      <c r="J20" s="2697"/>
      <c r="K20" s="5475"/>
      <c r="L20" s="4798"/>
      <c r="M20" s="2697"/>
      <c r="N20" s="4809"/>
    </row>
    <row r="21" spans="2:14" x14ac:dyDescent="0.3">
      <c r="B21" s="4711" t="s">
        <v>1657</v>
      </c>
      <c r="C21" s="4796">
        <v>1</v>
      </c>
      <c r="D21" s="2694"/>
      <c r="E21" s="4809">
        <v>1</v>
      </c>
      <c r="F21" s="4708"/>
      <c r="G21" s="2694"/>
      <c r="H21" s="4809"/>
      <c r="I21" s="4708"/>
      <c r="J21" s="2694"/>
      <c r="K21" s="5475"/>
      <c r="L21" s="4796"/>
      <c r="M21" s="2694"/>
      <c r="N21" s="4809"/>
    </row>
    <row r="22" spans="2:14" x14ac:dyDescent="0.3">
      <c r="B22" s="4709" t="s">
        <v>68</v>
      </c>
      <c r="C22" s="4797">
        <f t="shared" ref="C22:H22" si="9">SUM(C19:C21)</f>
        <v>1</v>
      </c>
      <c r="D22" s="2684">
        <f t="shared" si="9"/>
        <v>2</v>
      </c>
      <c r="E22" s="4810">
        <f t="shared" si="9"/>
        <v>3</v>
      </c>
      <c r="F22" s="2684">
        <f t="shared" si="9"/>
        <v>0</v>
      </c>
      <c r="G22" s="2684">
        <f t="shared" si="9"/>
        <v>0</v>
      </c>
      <c r="H22" s="4810">
        <f t="shared" si="9"/>
        <v>0</v>
      </c>
      <c r="I22" s="2684">
        <f t="shared" ref="I22:K22" si="10">SUM(I19:I21)</f>
        <v>0</v>
      </c>
      <c r="J22" s="2684">
        <f t="shared" si="10"/>
        <v>0</v>
      </c>
      <c r="K22" s="5476">
        <f t="shared" si="10"/>
        <v>0</v>
      </c>
      <c r="L22" s="4797">
        <f t="shared" ref="L22:N22" si="11">SUM(L19:L21)</f>
        <v>0</v>
      </c>
      <c r="M22" s="2684">
        <f t="shared" si="11"/>
        <v>0</v>
      </c>
      <c r="N22" s="4810">
        <f t="shared" si="11"/>
        <v>0</v>
      </c>
    </row>
    <row r="23" spans="2:14" x14ac:dyDescent="0.3">
      <c r="B23" s="4790" t="s">
        <v>347</v>
      </c>
      <c r="C23" s="4790">
        <f t="shared" ref="C23:H23" si="12">SUM(C22,C18,C8)</f>
        <v>5</v>
      </c>
      <c r="D23" s="2670">
        <f t="shared" si="12"/>
        <v>10</v>
      </c>
      <c r="E23" s="4811">
        <f t="shared" si="12"/>
        <v>15</v>
      </c>
      <c r="F23" s="2695">
        <f t="shared" si="12"/>
        <v>4</v>
      </c>
      <c r="G23" s="2670">
        <f t="shared" si="12"/>
        <v>1</v>
      </c>
      <c r="H23" s="4811">
        <f t="shared" si="12"/>
        <v>5</v>
      </c>
      <c r="I23" s="2695">
        <f t="shared" ref="I23:K23" si="13">SUM(I22,I18,I8)</f>
        <v>2</v>
      </c>
      <c r="J23" s="2670">
        <f t="shared" si="13"/>
        <v>4</v>
      </c>
      <c r="K23" s="5477">
        <f t="shared" si="13"/>
        <v>6</v>
      </c>
      <c r="L23" s="4790">
        <f t="shared" ref="L23:N23" si="14">SUM(L22,L18,L8)</f>
        <v>4</v>
      </c>
      <c r="M23" s="2670">
        <f t="shared" si="14"/>
        <v>3</v>
      </c>
      <c r="N23" s="4811">
        <f t="shared" si="14"/>
        <v>7</v>
      </c>
    </row>
    <row r="24" spans="2:14" x14ac:dyDescent="0.3">
      <c r="B24" s="4791" t="s">
        <v>350</v>
      </c>
      <c r="C24" s="4799">
        <v>5</v>
      </c>
      <c r="D24" s="4719"/>
      <c r="E24" s="4812">
        <v>5</v>
      </c>
      <c r="F24" s="4712">
        <v>1</v>
      </c>
      <c r="G24" s="4719"/>
      <c r="H24" s="4812">
        <f t="shared" si="2"/>
        <v>1</v>
      </c>
      <c r="I24" s="4712">
        <v>1</v>
      </c>
      <c r="J24" s="4719">
        <v>3</v>
      </c>
      <c r="K24" s="5478">
        <f t="shared" ref="K24" si="15">SUM(I24:J24)</f>
        <v>4</v>
      </c>
      <c r="L24" s="4799">
        <v>1</v>
      </c>
      <c r="M24" s="4719"/>
      <c r="N24" s="4812">
        <f t="shared" ref="N24" si="16">SUM(L24:M24)</f>
        <v>1</v>
      </c>
    </row>
    <row r="25" spans="2:14" x14ac:dyDescent="0.3">
      <c r="B25" s="4709" t="s">
        <v>111</v>
      </c>
      <c r="C25" s="4797">
        <f t="shared" ref="C25:H25" si="17">SUM(C24)</f>
        <v>5</v>
      </c>
      <c r="D25" s="2684">
        <f t="shared" si="17"/>
        <v>0</v>
      </c>
      <c r="E25" s="4810">
        <f t="shared" si="17"/>
        <v>5</v>
      </c>
      <c r="F25" s="2684">
        <f t="shared" si="17"/>
        <v>1</v>
      </c>
      <c r="G25" s="2684">
        <f t="shared" si="17"/>
        <v>0</v>
      </c>
      <c r="H25" s="4810">
        <f t="shared" si="17"/>
        <v>1</v>
      </c>
      <c r="I25" s="2684">
        <f t="shared" ref="I25:K25" si="18">SUM(I24)</f>
        <v>1</v>
      </c>
      <c r="J25" s="2684">
        <f t="shared" si="18"/>
        <v>3</v>
      </c>
      <c r="K25" s="5476">
        <f t="shared" si="18"/>
        <v>4</v>
      </c>
      <c r="L25" s="4797">
        <f t="shared" ref="L25:N25" si="19">SUM(L24)</f>
        <v>1</v>
      </c>
      <c r="M25" s="2684">
        <f t="shared" si="19"/>
        <v>0</v>
      </c>
      <c r="N25" s="4810">
        <f t="shared" si="19"/>
        <v>1</v>
      </c>
    </row>
    <row r="26" spans="2:14" x14ac:dyDescent="0.3">
      <c r="B26" s="4711" t="s">
        <v>351</v>
      </c>
      <c r="C26" s="4796"/>
      <c r="D26" s="2694"/>
      <c r="E26" s="4809"/>
      <c r="F26" s="4708"/>
      <c r="G26" s="2694"/>
      <c r="H26" s="4809"/>
      <c r="I26" s="4708"/>
      <c r="J26" s="2694">
        <v>1</v>
      </c>
      <c r="K26" s="5475">
        <f t="shared" ref="K26" si="20">SUM(I26:J26)</f>
        <v>1</v>
      </c>
      <c r="L26" s="4796"/>
      <c r="M26" s="2694"/>
      <c r="N26" s="4809"/>
    </row>
    <row r="27" spans="2:14" x14ac:dyDescent="0.3">
      <c r="B27" s="4711" t="s">
        <v>352</v>
      </c>
      <c r="C27" s="4796">
        <v>2</v>
      </c>
      <c r="D27" s="2694"/>
      <c r="E27" s="4809">
        <v>2</v>
      </c>
      <c r="F27" s="4708">
        <v>1</v>
      </c>
      <c r="G27" s="2694"/>
      <c r="H27" s="4809">
        <f t="shared" si="2"/>
        <v>1</v>
      </c>
      <c r="I27" s="4708"/>
      <c r="J27" s="2694"/>
      <c r="K27" s="5475"/>
      <c r="L27" s="4796"/>
      <c r="M27" s="2694"/>
      <c r="N27" s="4809"/>
    </row>
    <row r="28" spans="2:14" x14ac:dyDescent="0.3">
      <c r="B28" s="4711" t="s">
        <v>354</v>
      </c>
      <c r="C28" s="4796"/>
      <c r="D28" s="2694"/>
      <c r="E28" s="4809"/>
      <c r="F28" s="2694"/>
      <c r="G28" s="2697">
        <v>1</v>
      </c>
      <c r="H28" s="4809">
        <f t="shared" si="2"/>
        <v>1</v>
      </c>
      <c r="I28" s="2694"/>
      <c r="J28" s="2697"/>
      <c r="K28" s="5475"/>
      <c r="L28" s="4798"/>
      <c r="M28" s="2697"/>
      <c r="N28" s="4809"/>
    </row>
    <row r="29" spans="2:14" x14ac:dyDescent="0.3">
      <c r="B29" s="4709" t="s">
        <v>115</v>
      </c>
      <c r="C29" s="4797">
        <f>SUM(C27)</f>
        <v>2</v>
      </c>
      <c r="D29" s="2684">
        <f>SUM(D27)</f>
        <v>0</v>
      </c>
      <c r="E29" s="4810">
        <f>SUM(E27)</f>
        <v>2</v>
      </c>
      <c r="F29" s="2684">
        <f>SUM(F27:F28)</f>
        <v>1</v>
      </c>
      <c r="G29" s="2684">
        <f>SUM(G27:G28)</f>
        <v>1</v>
      </c>
      <c r="H29" s="4810">
        <f>SUM(H27:H28)</f>
        <v>2</v>
      </c>
      <c r="I29" s="2684">
        <f>SUM(I27:I28)</f>
        <v>0</v>
      </c>
      <c r="J29" s="2684">
        <f>SUM(J26:J28)</f>
        <v>1</v>
      </c>
      <c r="K29" s="5476">
        <f>SUM(K26:K28)</f>
        <v>1</v>
      </c>
      <c r="L29" s="4797">
        <f>SUM(L27:L28)</f>
        <v>0</v>
      </c>
      <c r="M29" s="2684">
        <f>SUM(M26:M28)</f>
        <v>0</v>
      </c>
      <c r="N29" s="4810">
        <f>SUM(N26:N28)</f>
        <v>0</v>
      </c>
    </row>
    <row r="30" spans="2:14" x14ac:dyDescent="0.3">
      <c r="B30" s="4711" t="s">
        <v>348</v>
      </c>
      <c r="C30" s="4796">
        <v>1</v>
      </c>
      <c r="D30" s="2694"/>
      <c r="E30" s="4809">
        <v>1</v>
      </c>
      <c r="F30" s="4708"/>
      <c r="G30" s="2694"/>
      <c r="H30" s="4809"/>
      <c r="I30" s="4708">
        <v>1</v>
      </c>
      <c r="J30" s="2694"/>
      <c r="K30" s="5475">
        <f t="shared" ref="K30" si="21">SUM(I30:J30)</f>
        <v>1</v>
      </c>
      <c r="L30" s="4796"/>
      <c r="M30" s="2694"/>
      <c r="N30" s="4809"/>
    </row>
    <row r="31" spans="2:14" x14ac:dyDescent="0.3">
      <c r="B31" s="4711" t="s">
        <v>349</v>
      </c>
      <c r="C31" s="4796">
        <v>1</v>
      </c>
      <c r="D31" s="2694"/>
      <c r="E31" s="4809">
        <v>1</v>
      </c>
      <c r="F31" s="4708">
        <v>1</v>
      </c>
      <c r="G31" s="2694"/>
      <c r="H31" s="4809">
        <f t="shared" si="2"/>
        <v>1</v>
      </c>
      <c r="I31" s="4708"/>
      <c r="J31" s="2694"/>
      <c r="K31" s="5475"/>
      <c r="L31" s="4796">
        <v>2</v>
      </c>
      <c r="M31" s="2694"/>
      <c r="N31" s="4809">
        <f t="shared" ref="N31" si="22">SUM(L31:M31)</f>
        <v>2</v>
      </c>
    </row>
    <row r="32" spans="2:14" x14ac:dyDescent="0.3">
      <c r="B32" s="4709" t="s">
        <v>64</v>
      </c>
      <c r="C32" s="4797">
        <f t="shared" ref="C32:H32" si="23">SUM(C30:C31)</f>
        <v>2</v>
      </c>
      <c r="D32" s="2684">
        <f t="shared" si="23"/>
        <v>0</v>
      </c>
      <c r="E32" s="4810">
        <f t="shared" si="23"/>
        <v>2</v>
      </c>
      <c r="F32" s="2684">
        <f t="shared" si="23"/>
        <v>1</v>
      </c>
      <c r="G32" s="2684">
        <f t="shared" si="23"/>
        <v>0</v>
      </c>
      <c r="H32" s="4810">
        <f t="shared" si="23"/>
        <v>1</v>
      </c>
      <c r="I32" s="2684">
        <f t="shared" ref="I32:K32" si="24">SUM(I30:I31)</f>
        <v>1</v>
      </c>
      <c r="J32" s="2684">
        <f t="shared" si="24"/>
        <v>0</v>
      </c>
      <c r="K32" s="5476">
        <f t="shared" si="24"/>
        <v>1</v>
      </c>
      <c r="L32" s="4797">
        <f t="shared" ref="L32:N32" si="25">SUM(L30:L31)</f>
        <v>2</v>
      </c>
      <c r="M32" s="2684">
        <f t="shared" si="25"/>
        <v>0</v>
      </c>
      <c r="N32" s="4810">
        <f t="shared" si="25"/>
        <v>2</v>
      </c>
    </row>
    <row r="33" spans="2:14" x14ac:dyDescent="0.3">
      <c r="B33" s="4792" t="s">
        <v>355</v>
      </c>
      <c r="C33" s="4792">
        <f t="shared" ref="C33:H33" si="26">SUM(C32,C29,C25)</f>
        <v>9</v>
      </c>
      <c r="D33" s="2673">
        <f t="shared" si="26"/>
        <v>0</v>
      </c>
      <c r="E33" s="4813">
        <f t="shared" si="26"/>
        <v>9</v>
      </c>
      <c r="F33" s="2696">
        <f t="shared" si="26"/>
        <v>3</v>
      </c>
      <c r="G33" s="2673">
        <f t="shared" si="26"/>
        <v>1</v>
      </c>
      <c r="H33" s="4813">
        <f t="shared" si="26"/>
        <v>4</v>
      </c>
      <c r="I33" s="2696">
        <f t="shared" ref="I33:K33" si="27">SUM(I32,I29,I25)</f>
        <v>2</v>
      </c>
      <c r="J33" s="2673">
        <f t="shared" si="27"/>
        <v>4</v>
      </c>
      <c r="K33" s="5479">
        <f t="shared" si="27"/>
        <v>6</v>
      </c>
      <c r="L33" s="4792">
        <f t="shared" ref="L33:N33" si="28">SUM(L32,L29,L25)</f>
        <v>3</v>
      </c>
      <c r="M33" s="2673">
        <f t="shared" si="28"/>
        <v>0</v>
      </c>
      <c r="N33" s="4813">
        <f t="shared" si="28"/>
        <v>3</v>
      </c>
    </row>
    <row r="34" spans="2:14" x14ac:dyDescent="0.3">
      <c r="B34" s="4711" t="s">
        <v>532</v>
      </c>
      <c r="C34" s="5368"/>
      <c r="D34" s="5369"/>
      <c r="E34" s="5370"/>
      <c r="F34" s="5371"/>
      <c r="G34" s="5369"/>
      <c r="H34" s="5370"/>
      <c r="I34" s="5371"/>
      <c r="J34" s="5369"/>
      <c r="K34" s="5480"/>
      <c r="L34" s="4796"/>
      <c r="M34" s="2697">
        <v>1</v>
      </c>
      <c r="N34" s="4809">
        <f t="shared" ref="N34:N37" si="29">SUM(L34:M34)</f>
        <v>1</v>
      </c>
    </row>
    <row r="35" spans="2:14" x14ac:dyDescent="0.3">
      <c r="B35" s="4711" t="s">
        <v>541</v>
      </c>
      <c r="C35" s="4796"/>
      <c r="D35" s="2694"/>
      <c r="E35" s="4809"/>
      <c r="F35" s="4708"/>
      <c r="G35" s="2694">
        <v>1</v>
      </c>
      <c r="H35" s="4809">
        <f t="shared" si="2"/>
        <v>1</v>
      </c>
      <c r="I35" s="4708"/>
      <c r="J35" s="2694"/>
      <c r="K35" s="5475"/>
      <c r="L35" s="4796"/>
      <c r="M35" s="2694"/>
      <c r="N35" s="4809">
        <f t="shared" si="29"/>
        <v>0</v>
      </c>
    </row>
    <row r="36" spans="2:14" x14ac:dyDescent="0.3">
      <c r="B36" s="4711" t="s">
        <v>540</v>
      </c>
      <c r="C36" s="4796">
        <v>2</v>
      </c>
      <c r="D36" s="4710"/>
      <c r="E36" s="4809">
        <v>2</v>
      </c>
      <c r="F36" s="4708"/>
      <c r="G36" s="2697"/>
      <c r="H36" s="4809"/>
      <c r="I36" s="4708"/>
      <c r="J36" s="2697"/>
      <c r="K36" s="5475"/>
      <c r="L36" s="4796"/>
      <c r="M36" s="2697"/>
      <c r="N36" s="4809">
        <f t="shared" si="29"/>
        <v>0</v>
      </c>
    </row>
    <row r="37" spans="2:14" x14ac:dyDescent="0.3">
      <c r="B37" s="4711" t="s">
        <v>535</v>
      </c>
      <c r="C37" s="4796">
        <v>1</v>
      </c>
      <c r="D37" s="4710">
        <v>2</v>
      </c>
      <c r="E37" s="4809">
        <v>3</v>
      </c>
      <c r="F37" s="4708"/>
      <c r="G37" s="2697">
        <v>1</v>
      </c>
      <c r="H37" s="4809">
        <f t="shared" si="2"/>
        <v>1</v>
      </c>
      <c r="I37" s="4708"/>
      <c r="J37" s="2697"/>
      <c r="K37" s="5475"/>
      <c r="L37" s="4796">
        <v>1</v>
      </c>
      <c r="M37" s="2697"/>
      <c r="N37" s="4809">
        <f t="shared" si="29"/>
        <v>1</v>
      </c>
    </row>
    <row r="38" spans="2:14" x14ac:dyDescent="0.3">
      <c r="B38" s="4722" t="s">
        <v>539</v>
      </c>
      <c r="C38" s="4796"/>
      <c r="D38" s="4710"/>
      <c r="E38" s="4809"/>
      <c r="F38" s="4710"/>
      <c r="G38" s="2697"/>
      <c r="H38" s="4809"/>
      <c r="I38" s="4710"/>
      <c r="J38" s="2697">
        <v>1</v>
      </c>
      <c r="K38" s="5475">
        <f t="shared" ref="K38:K40" si="30">SUM(I38:J38)</f>
        <v>1</v>
      </c>
      <c r="L38" s="4796">
        <v>1</v>
      </c>
      <c r="M38" s="2697">
        <v>1</v>
      </c>
      <c r="N38" s="4809">
        <f t="shared" ref="N38:N41" si="31">SUM(L38:M38)</f>
        <v>2</v>
      </c>
    </row>
    <row r="39" spans="2:14" x14ac:dyDescent="0.3">
      <c r="B39" s="4711" t="s">
        <v>362</v>
      </c>
      <c r="C39" s="4796"/>
      <c r="D39" s="4710"/>
      <c r="E39" s="4809"/>
      <c r="F39" s="4710"/>
      <c r="G39" s="2697"/>
      <c r="H39" s="4809"/>
      <c r="I39" s="4710">
        <v>2</v>
      </c>
      <c r="J39" s="2697"/>
      <c r="K39" s="5475">
        <f t="shared" si="30"/>
        <v>2</v>
      </c>
      <c r="L39" s="4796"/>
      <c r="M39" s="2697">
        <v>1</v>
      </c>
      <c r="N39" s="4809">
        <f t="shared" si="31"/>
        <v>1</v>
      </c>
    </row>
    <row r="40" spans="2:14" x14ac:dyDescent="0.3">
      <c r="B40" s="4711" t="s">
        <v>444</v>
      </c>
      <c r="C40" s="4796"/>
      <c r="D40" s="4710"/>
      <c r="E40" s="4809"/>
      <c r="F40" s="4710">
        <v>1</v>
      </c>
      <c r="G40" s="2697">
        <v>1</v>
      </c>
      <c r="H40" s="4809">
        <f t="shared" si="2"/>
        <v>2</v>
      </c>
      <c r="I40" s="4710">
        <v>2</v>
      </c>
      <c r="J40" s="2697"/>
      <c r="K40" s="5475">
        <f t="shared" si="30"/>
        <v>2</v>
      </c>
      <c r="L40" s="4796"/>
      <c r="M40" s="2697"/>
      <c r="N40" s="4809">
        <f t="shared" si="31"/>
        <v>0</v>
      </c>
    </row>
    <row r="41" spans="2:14" x14ac:dyDescent="0.3">
      <c r="B41" s="4711" t="s">
        <v>531</v>
      </c>
      <c r="C41" s="4798"/>
      <c r="D41" s="4710">
        <v>1</v>
      </c>
      <c r="E41" s="4809">
        <v>1</v>
      </c>
      <c r="F41" s="2694"/>
      <c r="G41" s="2697"/>
      <c r="H41" s="4809"/>
      <c r="I41" s="2694"/>
      <c r="J41" s="2697"/>
      <c r="K41" s="5475"/>
      <c r="L41" s="4798"/>
      <c r="M41" s="2697"/>
      <c r="N41" s="4809">
        <f t="shared" si="31"/>
        <v>0</v>
      </c>
    </row>
    <row r="42" spans="2:14" x14ac:dyDescent="0.3">
      <c r="B42" s="4709" t="s">
        <v>59</v>
      </c>
      <c r="C42" s="4797">
        <f>SUM(C36:C41)</f>
        <v>3</v>
      </c>
      <c r="D42" s="2684">
        <f>SUM(D36:D41)</f>
        <v>3</v>
      </c>
      <c r="E42" s="4810">
        <f>SUM(E36:E41)</f>
        <v>6</v>
      </c>
      <c r="F42" s="2684">
        <f t="shared" ref="F42:K42" si="32">SUM(F35:F41)</f>
        <v>1</v>
      </c>
      <c r="G42" s="2684">
        <f t="shared" si="32"/>
        <v>3</v>
      </c>
      <c r="H42" s="4810">
        <f t="shared" si="32"/>
        <v>4</v>
      </c>
      <c r="I42" s="2684">
        <f t="shared" si="32"/>
        <v>4</v>
      </c>
      <c r="J42" s="2684">
        <f t="shared" si="32"/>
        <v>1</v>
      </c>
      <c r="K42" s="5476">
        <f t="shared" si="32"/>
        <v>5</v>
      </c>
      <c r="L42" s="4797">
        <f>SUM(L34:L41)</f>
        <v>2</v>
      </c>
      <c r="M42" s="2684">
        <f>SUM(M34:M41)</f>
        <v>3</v>
      </c>
      <c r="N42" s="4810">
        <f>SUM(N34:N41)</f>
        <v>5</v>
      </c>
    </row>
    <row r="43" spans="2:14" x14ac:dyDescent="0.3">
      <c r="B43" s="4711" t="s">
        <v>545</v>
      </c>
      <c r="C43" s="4796">
        <v>1</v>
      </c>
      <c r="D43" s="2694"/>
      <c r="E43" s="4809">
        <v>1</v>
      </c>
      <c r="F43" s="4708"/>
      <c r="G43" s="2694"/>
      <c r="H43" s="4809"/>
      <c r="I43" s="4708"/>
      <c r="J43" s="2694"/>
      <c r="K43" s="5475"/>
      <c r="L43" s="4796">
        <v>3</v>
      </c>
      <c r="M43" s="2694"/>
      <c r="N43" s="4809">
        <f t="shared" ref="N43" si="33">SUM(L43:M43)</f>
        <v>3</v>
      </c>
    </row>
    <row r="44" spans="2:14" x14ac:dyDescent="0.3">
      <c r="B44" s="4711" t="s">
        <v>546</v>
      </c>
      <c r="C44" s="4796"/>
      <c r="D44" s="2694"/>
      <c r="E44" s="4809"/>
      <c r="F44" s="4708"/>
      <c r="G44" s="2694">
        <v>1</v>
      </c>
      <c r="H44" s="4809">
        <f t="shared" si="2"/>
        <v>1</v>
      </c>
      <c r="I44" s="4708"/>
      <c r="J44" s="2694"/>
      <c r="K44" s="5475"/>
      <c r="L44" s="4796"/>
      <c r="M44" s="2694"/>
      <c r="N44" s="4809"/>
    </row>
    <row r="45" spans="2:14" x14ac:dyDescent="0.3">
      <c r="B45" s="4711" t="s">
        <v>386</v>
      </c>
      <c r="C45" s="4796"/>
      <c r="D45" s="2694"/>
      <c r="E45" s="4809"/>
      <c r="F45" s="4708">
        <v>1</v>
      </c>
      <c r="G45" s="2694"/>
      <c r="H45" s="4809">
        <f t="shared" si="2"/>
        <v>1</v>
      </c>
      <c r="I45" s="4708">
        <v>1</v>
      </c>
      <c r="J45" s="2694"/>
      <c r="K45" s="5475">
        <f t="shared" ref="K45:K47" si="34">SUM(I45:J45)</f>
        <v>1</v>
      </c>
      <c r="L45" s="4796"/>
      <c r="M45" s="2694"/>
      <c r="N45" s="4809"/>
    </row>
    <row r="46" spans="2:14" x14ac:dyDescent="0.3">
      <c r="B46" s="4711" t="s">
        <v>507</v>
      </c>
      <c r="C46" s="4796">
        <v>1</v>
      </c>
      <c r="D46" s="4710">
        <v>2</v>
      </c>
      <c r="E46" s="4809">
        <v>3</v>
      </c>
      <c r="F46" s="4708">
        <v>1</v>
      </c>
      <c r="G46" s="2697"/>
      <c r="H46" s="4809">
        <f t="shared" si="2"/>
        <v>1</v>
      </c>
      <c r="I46" s="4708"/>
      <c r="J46" s="2697"/>
      <c r="K46" s="5475"/>
      <c r="L46" s="4796"/>
      <c r="M46" s="2697"/>
      <c r="N46" s="4809"/>
    </row>
    <row r="47" spans="2:14" x14ac:dyDescent="0.3">
      <c r="B47" s="4711" t="s">
        <v>544</v>
      </c>
      <c r="C47" s="4796">
        <v>2</v>
      </c>
      <c r="D47" s="2694"/>
      <c r="E47" s="4809">
        <v>2</v>
      </c>
      <c r="F47" s="4708"/>
      <c r="G47" s="2694"/>
      <c r="H47" s="4809"/>
      <c r="I47" s="4708">
        <v>1</v>
      </c>
      <c r="J47" s="2694"/>
      <c r="K47" s="5475">
        <f t="shared" si="34"/>
        <v>1</v>
      </c>
      <c r="L47" s="4796"/>
      <c r="M47" s="2694"/>
      <c r="N47" s="4809"/>
    </row>
    <row r="48" spans="2:14" x14ac:dyDescent="0.3">
      <c r="B48" s="4709" t="s">
        <v>92</v>
      </c>
      <c r="C48" s="4797">
        <f t="shared" ref="C48:H48" si="35">SUM(C43:C47)</f>
        <v>4</v>
      </c>
      <c r="D48" s="2684">
        <f t="shared" si="35"/>
        <v>2</v>
      </c>
      <c r="E48" s="4810">
        <f t="shared" si="35"/>
        <v>6</v>
      </c>
      <c r="F48" s="2684">
        <f t="shared" si="35"/>
        <v>2</v>
      </c>
      <c r="G48" s="2684">
        <f t="shared" si="35"/>
        <v>1</v>
      </c>
      <c r="H48" s="4810">
        <f t="shared" si="35"/>
        <v>3</v>
      </c>
      <c r="I48" s="2684">
        <f t="shared" ref="I48:K48" si="36">SUM(I43:I47)</f>
        <v>2</v>
      </c>
      <c r="J48" s="2684">
        <f t="shared" si="36"/>
        <v>0</v>
      </c>
      <c r="K48" s="5476">
        <f t="shared" si="36"/>
        <v>2</v>
      </c>
      <c r="L48" s="4797">
        <f t="shared" ref="L48:N48" si="37">SUM(L43:L47)</f>
        <v>3</v>
      </c>
      <c r="M48" s="2684">
        <f t="shared" si="37"/>
        <v>0</v>
      </c>
      <c r="N48" s="4810">
        <f t="shared" si="37"/>
        <v>3</v>
      </c>
    </row>
    <row r="49" spans="2:14" x14ac:dyDescent="0.3">
      <c r="B49" s="4711" t="s">
        <v>335</v>
      </c>
      <c r="C49" s="4796">
        <v>1</v>
      </c>
      <c r="D49" s="2694"/>
      <c r="E49" s="4809">
        <v>1</v>
      </c>
      <c r="F49" s="4708"/>
      <c r="G49" s="2694"/>
      <c r="H49" s="4809"/>
      <c r="I49" s="4708"/>
      <c r="J49" s="2694"/>
      <c r="K49" s="5475"/>
      <c r="L49" s="4796">
        <v>2</v>
      </c>
      <c r="M49" s="2694"/>
      <c r="N49" s="4809">
        <f t="shared" ref="N49:N55" si="38">SUM(L49:M49)</f>
        <v>2</v>
      </c>
    </row>
    <row r="50" spans="2:14" x14ac:dyDescent="0.3">
      <c r="B50" s="4711" t="s">
        <v>379</v>
      </c>
      <c r="C50" s="4798"/>
      <c r="D50" s="4710">
        <v>1</v>
      </c>
      <c r="E50" s="4809">
        <v>1</v>
      </c>
      <c r="F50" s="2694">
        <v>1</v>
      </c>
      <c r="G50" s="2697">
        <v>2</v>
      </c>
      <c r="H50" s="4809">
        <f t="shared" si="2"/>
        <v>3</v>
      </c>
      <c r="I50" s="2694"/>
      <c r="J50" s="2697"/>
      <c r="K50" s="5475"/>
      <c r="L50" s="4798"/>
      <c r="M50" s="2697"/>
      <c r="N50" s="4809">
        <f t="shared" si="38"/>
        <v>0</v>
      </c>
    </row>
    <row r="51" spans="2:14" x14ac:dyDescent="0.3">
      <c r="B51" s="4711" t="s">
        <v>378</v>
      </c>
      <c r="C51" s="4796">
        <v>1</v>
      </c>
      <c r="D51" s="2694"/>
      <c r="E51" s="4809">
        <v>1</v>
      </c>
      <c r="F51" s="4708"/>
      <c r="G51" s="2694"/>
      <c r="H51" s="4809"/>
      <c r="I51" s="4708"/>
      <c r="J51" s="2694">
        <v>2</v>
      </c>
      <c r="K51" s="5475">
        <f t="shared" ref="K51" si="39">SUM(I51:J51)</f>
        <v>2</v>
      </c>
      <c r="L51" s="4796"/>
      <c r="M51" s="2694"/>
      <c r="N51" s="4809">
        <f t="shared" si="38"/>
        <v>0</v>
      </c>
    </row>
    <row r="52" spans="2:14" x14ac:dyDescent="0.3">
      <c r="B52" s="4711" t="s">
        <v>1653</v>
      </c>
      <c r="C52" s="4796"/>
      <c r="D52" s="2694"/>
      <c r="E52" s="4809"/>
      <c r="F52" s="4708"/>
      <c r="G52" s="2694"/>
      <c r="H52" s="4809"/>
      <c r="I52" s="4708"/>
      <c r="J52" s="2694"/>
      <c r="K52" s="5475"/>
      <c r="L52" s="4796">
        <v>1</v>
      </c>
      <c r="M52" s="2694">
        <v>1</v>
      </c>
      <c r="N52" s="4809">
        <f t="shared" si="38"/>
        <v>2</v>
      </c>
    </row>
    <row r="53" spans="2:14" x14ac:dyDescent="0.3">
      <c r="B53" s="4711" t="s">
        <v>328</v>
      </c>
      <c r="C53" s="4796"/>
      <c r="D53" s="2694"/>
      <c r="E53" s="4809"/>
      <c r="F53" s="4708"/>
      <c r="G53" s="2694"/>
      <c r="H53" s="4809"/>
      <c r="I53" s="4708"/>
      <c r="J53" s="2694"/>
      <c r="K53" s="5475"/>
      <c r="L53" s="4796">
        <v>1</v>
      </c>
      <c r="M53" s="2694"/>
      <c r="N53" s="4809">
        <f t="shared" si="38"/>
        <v>1</v>
      </c>
    </row>
    <row r="54" spans="2:14" x14ac:dyDescent="0.3">
      <c r="B54" s="4711" t="s">
        <v>374</v>
      </c>
      <c r="C54" s="4796"/>
      <c r="D54" s="2694"/>
      <c r="E54" s="4809"/>
      <c r="F54" s="4708"/>
      <c r="G54" s="2694">
        <v>2</v>
      </c>
      <c r="H54" s="4809">
        <f t="shared" si="2"/>
        <v>2</v>
      </c>
      <c r="I54" s="4708"/>
      <c r="J54" s="2694"/>
      <c r="K54" s="5475"/>
      <c r="L54" s="4796"/>
      <c r="M54" s="2694"/>
      <c r="N54" s="4809">
        <f t="shared" si="38"/>
        <v>0</v>
      </c>
    </row>
    <row r="55" spans="2:14" x14ac:dyDescent="0.3">
      <c r="B55" s="4711" t="s">
        <v>373</v>
      </c>
      <c r="C55" s="4796">
        <v>1</v>
      </c>
      <c r="D55" s="4710">
        <v>1</v>
      </c>
      <c r="E55" s="4809">
        <v>2</v>
      </c>
      <c r="F55" s="4708"/>
      <c r="G55" s="2697"/>
      <c r="H55" s="4809"/>
      <c r="I55" s="4708"/>
      <c r="J55" s="2697"/>
      <c r="K55" s="5475"/>
      <c r="L55" s="4796"/>
      <c r="M55" s="2697"/>
      <c r="N55" s="4809">
        <f t="shared" si="38"/>
        <v>0</v>
      </c>
    </row>
    <row r="56" spans="2:14" x14ac:dyDescent="0.3">
      <c r="B56" s="4709" t="s">
        <v>64</v>
      </c>
      <c r="C56" s="4797">
        <f t="shared" ref="C56:N56" si="40">SUM(C49:C55)</f>
        <v>3</v>
      </c>
      <c r="D56" s="2684">
        <f t="shared" si="40"/>
        <v>2</v>
      </c>
      <c r="E56" s="4810">
        <f t="shared" si="40"/>
        <v>5</v>
      </c>
      <c r="F56" s="2684">
        <f t="shared" si="40"/>
        <v>1</v>
      </c>
      <c r="G56" s="2684">
        <f t="shared" si="40"/>
        <v>4</v>
      </c>
      <c r="H56" s="4810">
        <f t="shared" si="40"/>
        <v>5</v>
      </c>
      <c r="I56" s="2684">
        <f t="shared" si="40"/>
        <v>0</v>
      </c>
      <c r="J56" s="2684">
        <f t="shared" si="40"/>
        <v>2</v>
      </c>
      <c r="K56" s="5476">
        <f t="shared" si="40"/>
        <v>2</v>
      </c>
      <c r="L56" s="4797">
        <f t="shared" si="40"/>
        <v>4</v>
      </c>
      <c r="M56" s="2684">
        <f t="shared" si="40"/>
        <v>1</v>
      </c>
      <c r="N56" s="4810">
        <f t="shared" si="40"/>
        <v>5</v>
      </c>
    </row>
    <row r="57" spans="2:14" x14ac:dyDescent="0.3">
      <c r="B57" s="4793" t="s">
        <v>388</v>
      </c>
      <c r="C57" s="4793">
        <f t="shared" ref="C57:N57" si="41">SUM(C56,C48,C42)</f>
        <v>10</v>
      </c>
      <c r="D57" s="2678">
        <f t="shared" si="41"/>
        <v>7</v>
      </c>
      <c r="E57" s="4814">
        <f t="shared" si="41"/>
        <v>17</v>
      </c>
      <c r="F57" s="2698">
        <f t="shared" si="41"/>
        <v>4</v>
      </c>
      <c r="G57" s="2678">
        <f t="shared" si="41"/>
        <v>8</v>
      </c>
      <c r="H57" s="4814">
        <f t="shared" si="41"/>
        <v>12</v>
      </c>
      <c r="I57" s="2698">
        <f t="shared" si="41"/>
        <v>6</v>
      </c>
      <c r="J57" s="2678">
        <f t="shared" si="41"/>
        <v>3</v>
      </c>
      <c r="K57" s="5481">
        <f t="shared" si="41"/>
        <v>9</v>
      </c>
      <c r="L57" s="4793">
        <f t="shared" si="41"/>
        <v>9</v>
      </c>
      <c r="M57" s="2678">
        <f t="shared" si="41"/>
        <v>4</v>
      </c>
      <c r="N57" s="4814">
        <f t="shared" si="41"/>
        <v>13</v>
      </c>
    </row>
    <row r="58" spans="2:14" x14ac:dyDescent="0.3">
      <c r="B58" s="4791" t="s">
        <v>354</v>
      </c>
      <c r="C58" s="4800"/>
      <c r="D58" s="4806">
        <v>1</v>
      </c>
      <c r="E58" s="4812">
        <v>1</v>
      </c>
      <c r="F58" s="4719"/>
      <c r="G58" s="4713"/>
      <c r="H58" s="4812"/>
      <c r="I58" s="4719">
        <v>1</v>
      </c>
      <c r="J58" s="4713"/>
      <c r="K58" s="5478">
        <f t="shared" ref="K58" si="42">SUM(I58:J58)</f>
        <v>1</v>
      </c>
      <c r="L58" s="4800"/>
      <c r="M58" s="4713">
        <v>1</v>
      </c>
      <c r="N58" s="4812">
        <f t="shared" ref="N58:N64" si="43">SUM(L58:M58)</f>
        <v>1</v>
      </c>
    </row>
    <row r="59" spans="2:14" x14ac:dyDescent="0.3">
      <c r="B59" s="4711" t="s">
        <v>669</v>
      </c>
      <c r="C59" s="4796">
        <v>1</v>
      </c>
      <c r="D59" s="2694"/>
      <c r="E59" s="4809">
        <v>1</v>
      </c>
      <c r="F59" s="4708">
        <v>1</v>
      </c>
      <c r="G59" s="2694"/>
      <c r="H59" s="4809">
        <f t="shared" si="2"/>
        <v>1</v>
      </c>
      <c r="I59" s="4708"/>
      <c r="J59" s="2694"/>
      <c r="K59" s="5475"/>
      <c r="L59" s="4796"/>
      <c r="M59" s="2694"/>
      <c r="N59" s="4812">
        <f t="shared" si="43"/>
        <v>0</v>
      </c>
    </row>
    <row r="60" spans="2:14" x14ac:dyDescent="0.3">
      <c r="B60" s="5372" t="s">
        <v>1658</v>
      </c>
      <c r="C60" s="4796"/>
      <c r="D60" s="2694"/>
      <c r="E60" s="4809"/>
      <c r="F60" s="4710"/>
      <c r="G60" s="2694"/>
      <c r="H60" s="4809"/>
      <c r="I60" s="4710"/>
      <c r="J60" s="2694"/>
      <c r="K60" s="5475"/>
      <c r="L60" s="4796">
        <v>2</v>
      </c>
      <c r="M60" s="2694"/>
      <c r="N60" s="4812">
        <f t="shared" si="43"/>
        <v>2</v>
      </c>
    </row>
    <row r="61" spans="2:14" x14ac:dyDescent="0.3">
      <c r="B61" s="4711" t="s">
        <v>412</v>
      </c>
      <c r="C61" s="4798"/>
      <c r="D61" s="4710">
        <v>1</v>
      </c>
      <c r="E61" s="4809">
        <v>1</v>
      </c>
      <c r="F61" s="2694"/>
      <c r="G61" s="2697">
        <v>1</v>
      </c>
      <c r="H61" s="4809">
        <f t="shared" si="2"/>
        <v>1</v>
      </c>
      <c r="I61" s="2694"/>
      <c r="J61" s="2697"/>
      <c r="K61" s="5475"/>
      <c r="L61" s="4798">
        <v>1</v>
      </c>
      <c r="M61" s="2697"/>
      <c r="N61" s="4812">
        <f t="shared" si="43"/>
        <v>1</v>
      </c>
    </row>
    <row r="62" spans="2:14" x14ac:dyDescent="0.3">
      <c r="B62" s="4711" t="s">
        <v>414</v>
      </c>
      <c r="C62" s="4798"/>
      <c r="D62" s="4710">
        <v>1</v>
      </c>
      <c r="E62" s="4809">
        <v>1</v>
      </c>
      <c r="F62" s="2694"/>
      <c r="G62" s="2697"/>
      <c r="H62" s="4809"/>
      <c r="I62" s="2694"/>
      <c r="J62" s="2697"/>
      <c r="K62" s="5475"/>
      <c r="L62" s="4798"/>
      <c r="M62" s="2697"/>
      <c r="N62" s="4812">
        <f t="shared" si="43"/>
        <v>0</v>
      </c>
    </row>
    <row r="63" spans="2:14" x14ac:dyDescent="0.3">
      <c r="B63" s="4711" t="s">
        <v>415</v>
      </c>
      <c r="C63" s="4796">
        <v>1</v>
      </c>
      <c r="D63" s="2694"/>
      <c r="E63" s="4809">
        <v>1</v>
      </c>
      <c r="F63" s="4708">
        <v>1</v>
      </c>
      <c r="G63" s="2694"/>
      <c r="H63" s="4809">
        <f t="shared" si="2"/>
        <v>1</v>
      </c>
      <c r="I63" s="4708"/>
      <c r="J63" s="2694"/>
      <c r="K63" s="5475"/>
      <c r="L63" s="4796"/>
      <c r="M63" s="2694"/>
      <c r="N63" s="4812">
        <f t="shared" si="43"/>
        <v>0</v>
      </c>
    </row>
    <row r="64" spans="2:14" x14ac:dyDescent="0.3">
      <c r="B64" s="4711" t="s">
        <v>409</v>
      </c>
      <c r="C64" s="4796">
        <v>2</v>
      </c>
      <c r="D64" s="2694"/>
      <c r="E64" s="4809">
        <v>2</v>
      </c>
      <c r="F64" s="4708"/>
      <c r="G64" s="2694">
        <v>1</v>
      </c>
      <c r="H64" s="4809">
        <f t="shared" si="2"/>
        <v>1</v>
      </c>
      <c r="I64" s="4708"/>
      <c r="J64" s="2694"/>
      <c r="K64" s="5475"/>
      <c r="L64" s="4796"/>
      <c r="M64" s="2694"/>
      <c r="N64" s="4812">
        <f t="shared" si="43"/>
        <v>0</v>
      </c>
    </row>
    <row r="65" spans="2:14" x14ac:dyDescent="0.3">
      <c r="B65" s="4709" t="s">
        <v>92</v>
      </c>
      <c r="C65" s="4797">
        <f t="shared" ref="C65:K65" si="44">SUM(C58:C64)</f>
        <v>4</v>
      </c>
      <c r="D65" s="2684">
        <f t="shared" si="44"/>
        <v>3</v>
      </c>
      <c r="E65" s="4810">
        <f t="shared" si="44"/>
        <v>7</v>
      </c>
      <c r="F65" s="2684">
        <f t="shared" si="44"/>
        <v>2</v>
      </c>
      <c r="G65" s="2684">
        <f t="shared" si="44"/>
        <v>2</v>
      </c>
      <c r="H65" s="4810">
        <f t="shared" si="44"/>
        <v>4</v>
      </c>
      <c r="I65" s="2684">
        <f t="shared" si="44"/>
        <v>1</v>
      </c>
      <c r="J65" s="2684">
        <f t="shared" si="44"/>
        <v>0</v>
      </c>
      <c r="K65" s="5476">
        <f t="shared" si="44"/>
        <v>1</v>
      </c>
      <c r="L65" s="4797">
        <f t="shared" ref="L65:N65" si="45">SUM(L58:L64)</f>
        <v>3</v>
      </c>
      <c r="M65" s="2684">
        <f t="shared" si="45"/>
        <v>1</v>
      </c>
      <c r="N65" s="4810">
        <f t="shared" si="45"/>
        <v>4</v>
      </c>
    </row>
    <row r="66" spans="2:14" x14ac:dyDescent="0.3">
      <c r="B66" s="4711" t="s">
        <v>335</v>
      </c>
      <c r="C66" s="4798"/>
      <c r="D66" s="4710">
        <v>1</v>
      </c>
      <c r="E66" s="4809">
        <v>1</v>
      </c>
      <c r="F66" s="2694"/>
      <c r="G66" s="2697"/>
      <c r="H66" s="4809"/>
      <c r="I66" s="2694"/>
      <c r="J66" s="2697"/>
      <c r="K66" s="5475"/>
      <c r="L66" s="4798"/>
      <c r="M66" s="2697"/>
      <c r="N66" s="4809"/>
    </row>
    <row r="67" spans="2:14" x14ac:dyDescent="0.3">
      <c r="B67" s="4711" t="s">
        <v>402</v>
      </c>
      <c r="C67" s="4798"/>
      <c r="D67" s="4710"/>
      <c r="E67" s="4809"/>
      <c r="F67" s="2694">
        <v>2</v>
      </c>
      <c r="G67" s="4710">
        <v>1</v>
      </c>
      <c r="H67" s="4809">
        <f t="shared" si="2"/>
        <v>3</v>
      </c>
      <c r="I67" s="2694"/>
      <c r="J67" s="4710"/>
      <c r="K67" s="5475"/>
      <c r="L67" s="4798">
        <v>1</v>
      </c>
      <c r="M67" s="4710">
        <v>2</v>
      </c>
      <c r="N67" s="4809">
        <f t="shared" ref="N67:N68" si="46">SUM(L67:M67)</f>
        <v>3</v>
      </c>
    </row>
    <row r="68" spans="2:14" x14ac:dyDescent="0.3">
      <c r="B68" s="4711" t="s">
        <v>1655</v>
      </c>
      <c r="C68" s="4798"/>
      <c r="D68" s="4710"/>
      <c r="E68" s="4809"/>
      <c r="F68" s="2694"/>
      <c r="G68" s="4710"/>
      <c r="H68" s="4809"/>
      <c r="I68" s="2694"/>
      <c r="J68" s="4710"/>
      <c r="K68" s="5475"/>
      <c r="L68" s="4798"/>
      <c r="M68" s="4710">
        <v>1</v>
      </c>
      <c r="N68" s="4809">
        <f t="shared" si="46"/>
        <v>1</v>
      </c>
    </row>
    <row r="69" spans="2:14" x14ac:dyDescent="0.3">
      <c r="B69" s="4711" t="s">
        <v>392</v>
      </c>
      <c r="C69" s="4798"/>
      <c r="D69" s="4710"/>
      <c r="E69" s="4809"/>
      <c r="F69" s="2694">
        <v>2</v>
      </c>
      <c r="G69" s="4710"/>
      <c r="H69" s="4809">
        <f t="shared" si="2"/>
        <v>2</v>
      </c>
      <c r="I69" s="2694"/>
      <c r="J69" s="4710"/>
      <c r="K69" s="5475"/>
      <c r="L69" s="4798"/>
      <c r="M69" s="4710"/>
      <c r="N69" s="4809"/>
    </row>
    <row r="70" spans="2:14" ht="13.65" customHeight="1" x14ac:dyDescent="0.3">
      <c r="B70" s="4711" t="s">
        <v>394</v>
      </c>
      <c r="C70" s="4796">
        <v>1</v>
      </c>
      <c r="D70" s="2694"/>
      <c r="E70" s="4809">
        <v>1</v>
      </c>
      <c r="F70" s="4708"/>
      <c r="G70" s="2694"/>
      <c r="H70" s="4809"/>
      <c r="I70" s="4708">
        <v>3</v>
      </c>
      <c r="J70" s="2694"/>
      <c r="K70" s="5475">
        <f t="shared" ref="K70:K72" si="47">SUM(I70:J70)</f>
        <v>3</v>
      </c>
      <c r="L70" s="4796"/>
      <c r="M70" s="2694"/>
      <c r="N70" s="4809"/>
    </row>
    <row r="71" spans="2:14" x14ac:dyDescent="0.3">
      <c r="B71" s="4711" t="s">
        <v>707</v>
      </c>
      <c r="C71" s="4798"/>
      <c r="D71" s="4710">
        <v>1</v>
      </c>
      <c r="E71" s="4809">
        <v>1</v>
      </c>
      <c r="F71" s="2694"/>
      <c r="G71" s="2697">
        <v>1</v>
      </c>
      <c r="H71" s="4809">
        <f t="shared" si="2"/>
        <v>1</v>
      </c>
      <c r="I71" s="2694"/>
      <c r="J71" s="2697"/>
      <c r="K71" s="5475"/>
      <c r="L71" s="4798"/>
      <c r="M71" s="2697"/>
      <c r="N71" s="4809"/>
    </row>
    <row r="72" spans="2:14" x14ac:dyDescent="0.3">
      <c r="B72" s="5372" t="s">
        <v>399</v>
      </c>
      <c r="C72" s="4798"/>
      <c r="D72" s="4710"/>
      <c r="E72" s="4809"/>
      <c r="F72" s="2694"/>
      <c r="G72" s="4710"/>
      <c r="H72" s="4809"/>
      <c r="I72" s="2694">
        <v>2</v>
      </c>
      <c r="J72" s="4710"/>
      <c r="K72" s="5475">
        <f t="shared" si="47"/>
        <v>2</v>
      </c>
      <c r="L72" s="4798"/>
      <c r="M72" s="4710"/>
      <c r="N72" s="4809"/>
    </row>
    <row r="73" spans="2:14" x14ac:dyDescent="0.3">
      <c r="B73" s="4709" t="s">
        <v>64</v>
      </c>
      <c r="C73" s="4797">
        <f t="shared" ref="C73:H73" si="48">SUM(C66:C71)</f>
        <v>1</v>
      </c>
      <c r="D73" s="2684">
        <f t="shared" si="48"/>
        <v>2</v>
      </c>
      <c r="E73" s="4810">
        <f t="shared" si="48"/>
        <v>3</v>
      </c>
      <c r="F73" s="2684">
        <f t="shared" si="48"/>
        <v>4</v>
      </c>
      <c r="G73" s="2684">
        <f t="shared" si="48"/>
        <v>2</v>
      </c>
      <c r="H73" s="4810">
        <f t="shared" si="48"/>
        <v>6</v>
      </c>
      <c r="I73" s="2684">
        <f>SUM(I66:I72)</f>
        <v>5</v>
      </c>
      <c r="J73" s="2684">
        <f t="shared" ref="J73" si="49">SUM(J66:J71)</f>
        <v>0</v>
      </c>
      <c r="K73" s="5476">
        <f>SUM(K66:K72)</f>
        <v>5</v>
      </c>
      <c r="L73" s="4797">
        <f>SUM(L66:L72)</f>
        <v>1</v>
      </c>
      <c r="M73" s="2684">
        <f t="shared" ref="M73" si="50">SUM(M66:M71)</f>
        <v>3</v>
      </c>
      <c r="N73" s="4810">
        <f>SUM(N66:N72)</f>
        <v>4</v>
      </c>
    </row>
    <row r="74" spans="2:14" x14ac:dyDescent="0.3">
      <c r="B74" s="4794" t="s">
        <v>418</v>
      </c>
      <c r="C74" s="4801">
        <v>1</v>
      </c>
      <c r="D74" s="4720"/>
      <c r="E74" s="4815">
        <v>1</v>
      </c>
      <c r="F74" s="4714"/>
      <c r="G74" s="4720">
        <v>1</v>
      </c>
      <c r="H74" s="4815">
        <f t="shared" si="2"/>
        <v>1</v>
      </c>
      <c r="I74" s="4714"/>
      <c r="J74" s="4720"/>
      <c r="K74" s="5482"/>
      <c r="L74" s="4801">
        <v>2</v>
      </c>
      <c r="M74" s="4720"/>
      <c r="N74" s="4816">
        <f t="shared" ref="N74:N76" si="51">SUM(L74:M74)</f>
        <v>2</v>
      </c>
    </row>
    <row r="75" spans="2:14" x14ac:dyDescent="0.3">
      <c r="B75" s="4794" t="s">
        <v>421</v>
      </c>
      <c r="C75" s="4802"/>
      <c r="D75" s="4720"/>
      <c r="E75" s="4816"/>
      <c r="F75" s="4723"/>
      <c r="G75" s="4720"/>
      <c r="H75" s="4816"/>
      <c r="I75" s="4723">
        <v>1</v>
      </c>
      <c r="J75" s="4720">
        <v>1</v>
      </c>
      <c r="K75" s="5483">
        <f t="shared" ref="K75" si="52">SUM(I75:J75)</f>
        <v>2</v>
      </c>
      <c r="L75" s="4802">
        <v>1</v>
      </c>
      <c r="M75" s="4720"/>
      <c r="N75" s="4816">
        <f t="shared" si="51"/>
        <v>1</v>
      </c>
    </row>
    <row r="76" spans="2:14" x14ac:dyDescent="0.3">
      <c r="B76" s="5367" t="s">
        <v>419</v>
      </c>
      <c r="C76" s="4802"/>
      <c r="D76" s="4720"/>
      <c r="E76" s="4816"/>
      <c r="F76" s="4723"/>
      <c r="G76" s="4720"/>
      <c r="H76" s="4816"/>
      <c r="I76" s="4723"/>
      <c r="J76" s="4720"/>
      <c r="K76" s="5483"/>
      <c r="L76" s="4802">
        <v>2</v>
      </c>
      <c r="M76" s="4720"/>
      <c r="N76" s="4816">
        <f t="shared" si="51"/>
        <v>2</v>
      </c>
    </row>
    <row r="77" spans="2:14" x14ac:dyDescent="0.3">
      <c r="B77" s="4715" t="s">
        <v>68</v>
      </c>
      <c r="C77" s="4797">
        <f t="shared" ref="C77:H77" si="53">SUM(C74)</f>
        <v>1</v>
      </c>
      <c r="D77" s="2684">
        <f t="shared" si="53"/>
        <v>0</v>
      </c>
      <c r="E77" s="4810">
        <f t="shared" si="53"/>
        <v>1</v>
      </c>
      <c r="F77" s="2684">
        <f t="shared" si="53"/>
        <v>0</v>
      </c>
      <c r="G77" s="2684">
        <f t="shared" si="53"/>
        <v>1</v>
      </c>
      <c r="H77" s="4810">
        <f t="shared" si="53"/>
        <v>1</v>
      </c>
      <c r="I77" s="2684">
        <f>SUM(I74:I75)</f>
        <v>1</v>
      </c>
      <c r="J77" s="2684">
        <f>SUM(J74:J75)</f>
        <v>1</v>
      </c>
      <c r="K77" s="5476">
        <f>SUM(K74:K75)</f>
        <v>2</v>
      </c>
      <c r="L77" s="4797">
        <f>SUM(L74:L76)</f>
        <v>5</v>
      </c>
      <c r="M77" s="2684">
        <f>SUM(M74:M75)</f>
        <v>0</v>
      </c>
      <c r="N77" s="4810">
        <f>SUM(N74:N76)</f>
        <v>5</v>
      </c>
    </row>
    <row r="78" spans="2:14" x14ac:dyDescent="0.3">
      <c r="B78" s="2945" t="s">
        <v>422</v>
      </c>
      <c r="C78" s="4803">
        <f t="shared" ref="C78:H78" si="54">SUM(C77,C73,C65)</f>
        <v>6</v>
      </c>
      <c r="D78" s="2687">
        <f t="shared" si="54"/>
        <v>5</v>
      </c>
      <c r="E78" s="4817">
        <f t="shared" si="54"/>
        <v>11</v>
      </c>
      <c r="F78" s="2687">
        <f t="shared" si="54"/>
        <v>6</v>
      </c>
      <c r="G78" s="2687">
        <f t="shared" si="54"/>
        <v>5</v>
      </c>
      <c r="H78" s="4817">
        <f t="shared" si="54"/>
        <v>11</v>
      </c>
      <c r="I78" s="2687">
        <f t="shared" ref="I78:K78" si="55">SUM(I77,I73,I65)</f>
        <v>7</v>
      </c>
      <c r="J78" s="2687">
        <f t="shared" si="55"/>
        <v>1</v>
      </c>
      <c r="K78" s="5484">
        <f t="shared" si="55"/>
        <v>8</v>
      </c>
      <c r="L78" s="4803">
        <f t="shared" ref="L78:N78" si="56">SUM(L77,L73,L65)</f>
        <v>9</v>
      </c>
      <c r="M78" s="2687">
        <f t="shared" si="56"/>
        <v>4</v>
      </c>
      <c r="N78" s="4817">
        <f t="shared" si="56"/>
        <v>13</v>
      </c>
    </row>
    <row r="79" spans="2:14" x14ac:dyDescent="0.3">
      <c r="B79" s="4716"/>
      <c r="C79" s="4717"/>
      <c r="D79" s="4721"/>
      <c r="E79" s="4818"/>
      <c r="F79" s="4717"/>
      <c r="G79" s="4721"/>
      <c r="H79" s="4818"/>
      <c r="I79" s="4717"/>
      <c r="J79" s="4721"/>
      <c r="K79" s="4818"/>
      <c r="L79" s="4717"/>
      <c r="M79" s="4721"/>
      <c r="N79" s="4818"/>
    </row>
    <row r="80" spans="2:14" x14ac:dyDescent="0.3">
      <c r="B80" s="3034" t="s">
        <v>431</v>
      </c>
      <c r="C80" s="4804">
        <f t="shared" ref="C80:N80" si="57">SUM(C78,C57,C33,C23)</f>
        <v>30</v>
      </c>
      <c r="D80" s="4807">
        <f t="shared" si="57"/>
        <v>22</v>
      </c>
      <c r="E80" s="4819">
        <f t="shared" si="57"/>
        <v>52</v>
      </c>
      <c r="F80" s="3035">
        <f t="shared" si="57"/>
        <v>17</v>
      </c>
      <c r="G80" s="3035">
        <f t="shared" si="57"/>
        <v>15</v>
      </c>
      <c r="H80" s="4819">
        <f t="shared" si="57"/>
        <v>32</v>
      </c>
      <c r="I80" s="3035">
        <f t="shared" si="57"/>
        <v>17</v>
      </c>
      <c r="J80" s="3035">
        <f t="shared" si="57"/>
        <v>12</v>
      </c>
      <c r="K80" s="4819">
        <f t="shared" si="57"/>
        <v>29</v>
      </c>
      <c r="L80" s="5486">
        <f t="shared" si="57"/>
        <v>25</v>
      </c>
      <c r="M80" s="3035">
        <f t="shared" si="57"/>
        <v>11</v>
      </c>
      <c r="N80" s="4819">
        <f t="shared" si="57"/>
        <v>36</v>
      </c>
    </row>
    <row r="81" spans="2:2" x14ac:dyDescent="0.3">
      <c r="B81" s="2341" t="s">
        <v>622</v>
      </c>
    </row>
  </sheetData>
  <mergeCells count="5">
    <mergeCell ref="B3:B4"/>
    <mergeCell ref="C3:E3"/>
    <mergeCell ref="F3:H3"/>
    <mergeCell ref="I3:K3"/>
    <mergeCell ref="L3:N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41" firstPageNumber="108" orientation="landscape" useFirstPageNumber="1" r:id="rId1"/>
  <headerFooter scaleWithDoc="0" alignWithMargins="0">
    <oddFooter>&amp;R&amp;P</oddFooter>
  </headerFooter>
  <ignoredErrors>
    <ignoredError sqref="H5 H19:H21 H30 H36 H41 H43 H47 H49 H51 H55 H58 H62 H66 H70 H7" formulaRange="1"/>
    <ignoredError sqref="H77:H80 H69 H63:H65 H61 H56:H57 H54 H50 H48 H44:H46 H42 H37:H40 H35 H22:H29 H13:H14 H18 H16 H71:H75 H31:H33 H59 H67" formula="1" formulaRange="1"/>
    <ignoredError sqref="C8:K8 C10:K12 C9:G9 I9:J9 C13:G14 I19:J21 I41:J41 I51:K51 I70:K70 C77:G80 I18:K18 I13:J14 I22:K26 I29:K30 I27:J28 I32:K33 I31:J31 I38:K40 I35:J37 I42:K42 I45:K45 I47:K48 I49:J50 I54:J55 I56:K58 I43:J44 I46:J46 I65:K65 I61:J64 I69:J69 I72:K73 I71:J71 I77:K80 I74:J74 I16:K16 C16:G16 I75:K75 C69:G75 C18:G33 C35:G51 C54:G59 I59:J59 C61:G67 I66:J67" formula="1"/>
  </ignoredError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</sheetPr>
  <dimension ref="B1:AC110"/>
  <sheetViews>
    <sheetView showGridLines="0" zoomScaleNormal="100" zoomScalePageLayoutView="125" workbookViewId="0">
      <pane xSplit="2" ySplit="4" topLeftCell="O5" activePane="bottomRight" state="frozen"/>
      <selection activeCell="Q31" sqref="Q31"/>
      <selection pane="topRight" activeCell="Q31" sqref="Q31"/>
      <selection pane="bottomLeft" activeCell="Q31" sqref="Q31"/>
      <selection pane="bottomRight"/>
    </sheetView>
  </sheetViews>
  <sheetFormatPr baseColWidth="10" defaultColWidth="11.44140625" defaultRowHeight="14.4" x14ac:dyDescent="0.3"/>
  <cols>
    <col min="1" max="1" width="2.88671875" style="2699" customWidth="1"/>
    <col min="2" max="2" width="43.44140625" style="2699" customWidth="1"/>
    <col min="3" max="3" width="8.88671875" style="2699" customWidth="1"/>
    <col min="4" max="4" width="9.109375" style="2699" customWidth="1"/>
    <col min="5" max="5" width="7.88671875" style="2699" customWidth="1"/>
    <col min="6" max="6" width="8.88671875" style="2563" customWidth="1"/>
    <col min="7" max="7" width="8.44140625" style="2563" customWidth="1"/>
    <col min="8" max="8" width="7.88671875" style="2563" customWidth="1"/>
    <col min="9" max="9" width="8.88671875" style="2699" customWidth="1"/>
    <col min="10" max="10" width="8.44140625" style="2699" customWidth="1"/>
    <col min="11" max="11" width="7.88671875" style="2699" customWidth="1"/>
    <col min="12" max="13" width="8.44140625" style="2699" customWidth="1"/>
    <col min="14" max="14" width="7.88671875" style="2699" customWidth="1"/>
    <col min="15" max="15" width="8.88671875" style="2699" customWidth="1"/>
    <col min="16" max="16" width="8.44140625" style="2699" customWidth="1"/>
    <col min="17" max="17" width="7.88671875" style="2699" customWidth="1"/>
    <col min="18" max="18" width="8.88671875" style="2699" customWidth="1"/>
    <col min="19" max="19" width="8.44140625" style="2699" customWidth="1"/>
    <col min="20" max="20" width="7.88671875" style="2699" customWidth="1"/>
    <col min="21" max="21" width="8.88671875" style="2699" customWidth="1"/>
    <col min="22" max="22" width="8.44140625" style="2699" customWidth="1"/>
    <col min="23" max="23" width="7.88671875" style="2699" customWidth="1"/>
    <col min="24" max="24" width="8.88671875" style="2699" customWidth="1"/>
    <col min="25" max="25" width="8.44140625" style="2699" customWidth="1"/>
    <col min="26" max="26" width="7.88671875" style="2699" customWidth="1"/>
    <col min="27" max="27" width="8.88671875" style="2699" bestFit="1" customWidth="1"/>
    <col min="28" max="28" width="8.44140625" style="2699" bestFit="1" customWidth="1"/>
    <col min="29" max="29" width="7.88671875" style="2699" customWidth="1"/>
    <col min="30" max="16384" width="11.44140625" style="2699"/>
  </cols>
  <sheetData>
    <row r="1" spans="2:29" ht="36" x14ac:dyDescent="0.3">
      <c r="B1" s="2758" t="s">
        <v>1502</v>
      </c>
      <c r="F1" s="2700"/>
    </row>
    <row r="2" spans="2:29" ht="14.4" customHeight="1" x14ac:dyDescent="0.3">
      <c r="B2" s="4765"/>
    </row>
    <row r="3" spans="2:29" ht="15" customHeight="1" x14ac:dyDescent="0.3">
      <c r="B3" s="6094" t="s">
        <v>624</v>
      </c>
      <c r="C3" s="6092">
        <v>2014</v>
      </c>
      <c r="D3" s="6092"/>
      <c r="E3" s="6093"/>
      <c r="F3" s="6092">
        <v>2015</v>
      </c>
      <c r="G3" s="6092"/>
      <c r="H3" s="6093"/>
      <c r="I3" s="6092">
        <v>2016</v>
      </c>
      <c r="J3" s="6092"/>
      <c r="K3" s="6093"/>
      <c r="L3" s="6092">
        <v>2017</v>
      </c>
      <c r="M3" s="6093"/>
      <c r="N3" s="6093"/>
      <c r="O3" s="6092">
        <v>2018</v>
      </c>
      <c r="P3" s="6093"/>
      <c r="Q3" s="6093"/>
      <c r="R3" s="6092">
        <v>2019</v>
      </c>
      <c r="S3" s="6093"/>
      <c r="T3" s="6093"/>
      <c r="U3" s="6092">
        <v>2020</v>
      </c>
      <c r="V3" s="6093"/>
      <c r="W3" s="6093"/>
      <c r="X3" s="6092">
        <v>2021</v>
      </c>
      <c r="Y3" s="6093"/>
      <c r="Z3" s="6093"/>
      <c r="AA3" s="6092">
        <v>2022</v>
      </c>
      <c r="AB3" s="6093"/>
      <c r="AC3" s="6093"/>
    </row>
    <row r="4" spans="2:29" x14ac:dyDescent="0.3">
      <c r="B4" s="6087"/>
      <c r="C4" s="2701" t="s">
        <v>140</v>
      </c>
      <c r="D4" s="2701" t="s">
        <v>141</v>
      </c>
      <c r="E4" s="2702" t="s">
        <v>48</v>
      </c>
      <c r="F4" s="2701" t="s">
        <v>140</v>
      </c>
      <c r="G4" s="2701" t="s">
        <v>671</v>
      </c>
      <c r="H4" s="2702" t="s">
        <v>48</v>
      </c>
      <c r="I4" s="2701" t="s">
        <v>140</v>
      </c>
      <c r="J4" s="2701" t="s">
        <v>671</v>
      </c>
      <c r="K4" s="2702" t="s">
        <v>48</v>
      </c>
      <c r="L4" s="2701" t="s">
        <v>140</v>
      </c>
      <c r="M4" s="2701" t="s">
        <v>671</v>
      </c>
      <c r="N4" s="2702" t="s">
        <v>48</v>
      </c>
      <c r="O4" s="2701" t="s">
        <v>140</v>
      </c>
      <c r="P4" s="2701" t="s">
        <v>671</v>
      </c>
      <c r="Q4" s="2702" t="s">
        <v>48</v>
      </c>
      <c r="R4" s="2701" t="s">
        <v>140</v>
      </c>
      <c r="S4" s="2701" t="s">
        <v>671</v>
      </c>
      <c r="T4" s="2702" t="s">
        <v>48</v>
      </c>
      <c r="U4" s="2701" t="s">
        <v>140</v>
      </c>
      <c r="V4" s="2701" t="s">
        <v>671</v>
      </c>
      <c r="W4" s="2702" t="s">
        <v>48</v>
      </c>
      <c r="X4" s="2701" t="s">
        <v>140</v>
      </c>
      <c r="Y4" s="2701" t="s">
        <v>671</v>
      </c>
      <c r="Z4" s="2702" t="s">
        <v>48</v>
      </c>
      <c r="AA4" s="2701" t="s">
        <v>140</v>
      </c>
      <c r="AB4" s="2701" t="s">
        <v>671</v>
      </c>
      <c r="AC4" s="2702" t="s">
        <v>48</v>
      </c>
    </row>
    <row r="5" spans="2:29" x14ac:dyDescent="0.3">
      <c r="B5" s="2567" t="s">
        <v>629</v>
      </c>
      <c r="C5" s="2568">
        <v>2</v>
      </c>
      <c r="D5" s="2569">
        <v>1</v>
      </c>
      <c r="E5" s="2703">
        <f t="shared" ref="E5:E19" si="0">SUM(C5:D5)</f>
        <v>3</v>
      </c>
      <c r="F5" s="2568">
        <v>10</v>
      </c>
      <c r="G5" s="2569">
        <v>4</v>
      </c>
      <c r="H5" s="2703">
        <f t="shared" ref="H5:H19" si="1">SUM(F5:G5)</f>
        <v>14</v>
      </c>
      <c r="I5" s="2568">
        <v>8</v>
      </c>
      <c r="J5" s="2569">
        <v>3</v>
      </c>
      <c r="K5" s="2703">
        <f t="shared" ref="K5:K19" si="2">SUM(I5:J5)</f>
        <v>11</v>
      </c>
      <c r="L5" s="2568">
        <v>3</v>
      </c>
      <c r="M5" s="2569">
        <v>1</v>
      </c>
      <c r="N5" s="2703">
        <f t="shared" ref="N5:N35" si="3">SUM(L5:M5)</f>
        <v>4</v>
      </c>
      <c r="O5" s="2568"/>
      <c r="P5" s="2569">
        <v>3</v>
      </c>
      <c r="Q5" s="2703">
        <f t="shared" ref="Q5:Q41" si="4">SUM(O5:P5)</f>
        <v>3</v>
      </c>
      <c r="R5" s="2568"/>
      <c r="S5" s="2569"/>
      <c r="T5" s="2703"/>
      <c r="U5" s="2568">
        <v>2</v>
      </c>
      <c r="V5" s="2569"/>
      <c r="W5" s="2703">
        <f t="shared" ref="W5:W40" si="5">SUM(U5:V5)</f>
        <v>2</v>
      </c>
      <c r="X5" s="2568"/>
      <c r="Y5" s="2569"/>
      <c r="Z5" s="2703"/>
      <c r="AA5" s="2568"/>
      <c r="AB5" s="2569"/>
      <c r="AC5" s="2703"/>
    </row>
    <row r="6" spans="2:29" x14ac:dyDescent="0.3">
      <c r="B6" s="2572" t="s">
        <v>630</v>
      </c>
      <c r="C6" s="2573"/>
      <c r="D6" s="2574">
        <v>1</v>
      </c>
      <c r="E6" s="2704">
        <f t="shared" si="0"/>
        <v>1</v>
      </c>
      <c r="F6" s="2573">
        <v>1</v>
      </c>
      <c r="G6" s="2574">
        <v>5</v>
      </c>
      <c r="H6" s="2704">
        <f t="shared" si="1"/>
        <v>6</v>
      </c>
      <c r="I6" s="2573">
        <v>5</v>
      </c>
      <c r="J6" s="2574">
        <v>6</v>
      </c>
      <c r="K6" s="2704">
        <f t="shared" si="2"/>
        <v>11</v>
      </c>
      <c r="L6" s="2573"/>
      <c r="M6" s="2574">
        <v>2</v>
      </c>
      <c r="N6" s="2704">
        <f t="shared" si="3"/>
        <v>2</v>
      </c>
      <c r="O6" s="2573"/>
      <c r="P6" s="2574"/>
      <c r="Q6" s="2704"/>
      <c r="R6" s="2573"/>
      <c r="S6" s="2574"/>
      <c r="T6" s="2704"/>
      <c r="U6" s="2573"/>
      <c r="V6" s="2574"/>
      <c r="W6" s="2704"/>
      <c r="X6" s="2573"/>
      <c r="Y6" s="2574"/>
      <c r="Z6" s="2704"/>
      <c r="AA6" s="2573"/>
      <c r="AB6" s="2574"/>
      <c r="AC6" s="2704"/>
    </row>
    <row r="7" spans="2:29" x14ac:dyDescent="0.3">
      <c r="B7" s="2572" t="s">
        <v>631</v>
      </c>
      <c r="C7" s="2573"/>
      <c r="D7" s="2574">
        <v>1</v>
      </c>
      <c r="E7" s="2704">
        <f t="shared" si="0"/>
        <v>1</v>
      </c>
      <c r="F7" s="2573"/>
      <c r="G7" s="2574"/>
      <c r="H7" s="2704"/>
      <c r="I7" s="2573"/>
      <c r="J7" s="2574">
        <v>3</v>
      </c>
      <c r="K7" s="2704">
        <f t="shared" si="2"/>
        <v>3</v>
      </c>
      <c r="L7" s="2573"/>
      <c r="M7" s="2574"/>
      <c r="N7" s="2704"/>
      <c r="O7" s="2573"/>
      <c r="P7" s="2574">
        <v>1</v>
      </c>
      <c r="Q7" s="2704">
        <f t="shared" si="4"/>
        <v>1</v>
      </c>
      <c r="R7" s="2573"/>
      <c r="S7" s="2574"/>
      <c r="T7" s="2704"/>
      <c r="U7" s="2573"/>
      <c r="V7" s="2574"/>
      <c r="W7" s="2704"/>
      <c r="X7" s="2573"/>
      <c r="Y7" s="2574"/>
      <c r="Z7" s="2704"/>
      <c r="AA7" s="2573"/>
      <c r="AB7" s="2574"/>
      <c r="AC7" s="2704"/>
    </row>
    <row r="8" spans="2:29" x14ac:dyDescent="0.3">
      <c r="B8" s="2572" t="s">
        <v>632</v>
      </c>
      <c r="C8" s="2573"/>
      <c r="D8" s="2574">
        <v>2</v>
      </c>
      <c r="E8" s="2704">
        <f t="shared" si="0"/>
        <v>2</v>
      </c>
      <c r="F8" s="2573"/>
      <c r="G8" s="2574">
        <v>5</v>
      </c>
      <c r="H8" s="2704">
        <f t="shared" si="1"/>
        <v>5</v>
      </c>
      <c r="I8" s="2573">
        <v>1</v>
      </c>
      <c r="J8" s="2574">
        <v>2</v>
      </c>
      <c r="K8" s="2704">
        <f t="shared" si="2"/>
        <v>3</v>
      </c>
      <c r="L8" s="2573"/>
      <c r="M8" s="2574">
        <v>1</v>
      </c>
      <c r="N8" s="2704">
        <f t="shared" si="3"/>
        <v>1</v>
      </c>
      <c r="O8" s="2573"/>
      <c r="P8" s="2574"/>
      <c r="Q8" s="2704"/>
      <c r="R8" s="2573"/>
      <c r="S8" s="2574"/>
      <c r="T8" s="2704"/>
      <c r="U8" s="2573"/>
      <c r="V8" s="2574">
        <v>1</v>
      </c>
      <c r="W8" s="2704">
        <f t="shared" si="5"/>
        <v>1</v>
      </c>
      <c r="X8" s="2573"/>
      <c r="Y8" s="2574"/>
      <c r="Z8" s="2704"/>
      <c r="AA8" s="2573"/>
      <c r="AB8" s="2574"/>
      <c r="AC8" s="2704"/>
    </row>
    <row r="9" spans="2:29" x14ac:dyDescent="0.3">
      <c r="B9" s="2572" t="s">
        <v>633</v>
      </c>
      <c r="C9" s="2573"/>
      <c r="D9" s="2574">
        <v>3</v>
      </c>
      <c r="E9" s="2704">
        <f t="shared" si="0"/>
        <v>3</v>
      </c>
      <c r="F9" s="2573"/>
      <c r="G9" s="2574">
        <v>1</v>
      </c>
      <c r="H9" s="2704">
        <f t="shared" si="1"/>
        <v>1</v>
      </c>
      <c r="I9" s="2573">
        <v>3</v>
      </c>
      <c r="J9" s="2574">
        <v>2</v>
      </c>
      <c r="K9" s="2704">
        <f t="shared" si="2"/>
        <v>5</v>
      </c>
      <c r="L9" s="2573">
        <v>2</v>
      </c>
      <c r="M9" s="2574">
        <v>2</v>
      </c>
      <c r="N9" s="2704">
        <f t="shared" si="3"/>
        <v>4</v>
      </c>
      <c r="O9" s="2573">
        <v>1</v>
      </c>
      <c r="P9" s="2574"/>
      <c r="Q9" s="2704">
        <f t="shared" si="4"/>
        <v>1</v>
      </c>
      <c r="R9" s="2573"/>
      <c r="S9" s="2574"/>
      <c r="T9" s="2704"/>
      <c r="U9" s="2573"/>
      <c r="V9" s="2574">
        <v>1</v>
      </c>
      <c r="W9" s="2704">
        <f t="shared" si="5"/>
        <v>1</v>
      </c>
      <c r="X9" s="2573"/>
      <c r="Y9" s="2574"/>
      <c r="Z9" s="2704"/>
      <c r="AA9" s="2573"/>
      <c r="AB9" s="2574"/>
      <c r="AC9" s="2704"/>
    </row>
    <row r="10" spans="2:29" x14ac:dyDescent="0.3">
      <c r="B10" s="2572" t="s">
        <v>634</v>
      </c>
      <c r="C10" s="2573"/>
      <c r="D10" s="2574">
        <v>1</v>
      </c>
      <c r="E10" s="2704">
        <f t="shared" si="0"/>
        <v>1</v>
      </c>
      <c r="F10" s="2573">
        <v>2</v>
      </c>
      <c r="G10" s="2574">
        <v>4</v>
      </c>
      <c r="H10" s="2704">
        <f t="shared" si="1"/>
        <v>6</v>
      </c>
      <c r="I10" s="2573"/>
      <c r="J10" s="2574">
        <v>5</v>
      </c>
      <c r="K10" s="2704">
        <f t="shared" si="2"/>
        <v>5</v>
      </c>
      <c r="L10" s="2573">
        <v>2</v>
      </c>
      <c r="M10" s="2574">
        <v>4</v>
      </c>
      <c r="N10" s="2704">
        <f t="shared" si="3"/>
        <v>6</v>
      </c>
      <c r="O10" s="2573"/>
      <c r="P10" s="2574">
        <v>1</v>
      </c>
      <c r="Q10" s="2704">
        <f t="shared" si="4"/>
        <v>1</v>
      </c>
      <c r="R10" s="2573"/>
      <c r="S10" s="2574"/>
      <c r="T10" s="2704"/>
      <c r="U10" s="2573"/>
      <c r="V10" s="2574">
        <v>1</v>
      </c>
      <c r="W10" s="2704">
        <f t="shared" si="5"/>
        <v>1</v>
      </c>
      <c r="X10" s="2573"/>
      <c r="Y10" s="2574"/>
      <c r="Z10" s="2704"/>
      <c r="AA10" s="2573"/>
      <c r="AB10" s="2574">
        <v>1</v>
      </c>
      <c r="AC10" s="2704">
        <f>SUM(AA10:AB10)</f>
        <v>1</v>
      </c>
    </row>
    <row r="11" spans="2:29" x14ac:dyDescent="0.3">
      <c r="B11" s="2572" t="s">
        <v>635</v>
      </c>
      <c r="C11" s="2573">
        <v>1</v>
      </c>
      <c r="D11" s="2574">
        <v>1</v>
      </c>
      <c r="E11" s="2704">
        <f t="shared" si="0"/>
        <v>2</v>
      </c>
      <c r="F11" s="2573">
        <v>6</v>
      </c>
      <c r="G11" s="2574">
        <v>4</v>
      </c>
      <c r="H11" s="2704">
        <f t="shared" si="1"/>
        <v>10</v>
      </c>
      <c r="I11" s="2573">
        <v>7</v>
      </c>
      <c r="J11" s="2574">
        <v>9</v>
      </c>
      <c r="K11" s="2704">
        <f t="shared" si="2"/>
        <v>16</v>
      </c>
      <c r="L11" s="2573">
        <v>1</v>
      </c>
      <c r="M11" s="2574">
        <v>1</v>
      </c>
      <c r="N11" s="2704">
        <f t="shared" si="3"/>
        <v>2</v>
      </c>
      <c r="O11" s="2573">
        <v>1</v>
      </c>
      <c r="P11" s="2574">
        <v>3</v>
      </c>
      <c r="Q11" s="2704">
        <f t="shared" si="4"/>
        <v>4</v>
      </c>
      <c r="R11" s="2573"/>
      <c r="S11" s="2574"/>
      <c r="T11" s="2704"/>
      <c r="U11" s="2573">
        <v>2</v>
      </c>
      <c r="V11" s="2574"/>
      <c r="W11" s="2704">
        <f t="shared" si="5"/>
        <v>2</v>
      </c>
      <c r="X11" s="2573"/>
      <c r="Y11" s="2574"/>
      <c r="Z11" s="2704"/>
      <c r="AA11" s="2573"/>
      <c r="AB11" s="2574"/>
      <c r="AC11" s="2704"/>
    </row>
    <row r="12" spans="2:29" x14ac:dyDescent="0.3">
      <c r="B12" s="2572" t="s">
        <v>636</v>
      </c>
      <c r="C12" s="2573"/>
      <c r="D12" s="2574">
        <v>1</v>
      </c>
      <c r="E12" s="2704">
        <f t="shared" si="0"/>
        <v>1</v>
      </c>
      <c r="F12" s="2573"/>
      <c r="G12" s="2574">
        <v>6</v>
      </c>
      <c r="H12" s="2704">
        <f t="shared" si="1"/>
        <v>6</v>
      </c>
      <c r="I12" s="2573">
        <v>1</v>
      </c>
      <c r="J12" s="2574">
        <v>10</v>
      </c>
      <c r="K12" s="2704">
        <f t="shared" si="2"/>
        <v>11</v>
      </c>
      <c r="L12" s="2573">
        <v>1</v>
      </c>
      <c r="M12" s="2574">
        <v>4</v>
      </c>
      <c r="N12" s="2704">
        <f t="shared" si="3"/>
        <v>5</v>
      </c>
      <c r="O12" s="2573"/>
      <c r="P12" s="2574">
        <v>1</v>
      </c>
      <c r="Q12" s="2704">
        <f t="shared" si="4"/>
        <v>1</v>
      </c>
      <c r="R12" s="2573"/>
      <c r="S12" s="2574">
        <v>2</v>
      </c>
      <c r="T12" s="2704">
        <f t="shared" ref="T12:T41" si="6">SUM(R12:S12)</f>
        <v>2</v>
      </c>
      <c r="U12" s="2573"/>
      <c r="V12" s="2574">
        <v>1</v>
      </c>
      <c r="W12" s="2704">
        <f t="shared" si="5"/>
        <v>1</v>
      </c>
      <c r="X12" s="2573"/>
      <c r="Y12" s="2574"/>
      <c r="Z12" s="2704"/>
      <c r="AA12" s="2573"/>
      <c r="AB12" s="2574">
        <v>1</v>
      </c>
      <c r="AC12" s="2704">
        <f t="shared" ref="AC12" si="7">SUM(AA12:AB12)</f>
        <v>1</v>
      </c>
    </row>
    <row r="13" spans="2:29" x14ac:dyDescent="0.3">
      <c r="B13" s="2572" t="s">
        <v>637</v>
      </c>
      <c r="C13" s="2573"/>
      <c r="D13" s="2574">
        <v>2</v>
      </c>
      <c r="E13" s="2704">
        <f t="shared" si="0"/>
        <v>2</v>
      </c>
      <c r="F13" s="2573"/>
      <c r="G13" s="2574">
        <v>1</v>
      </c>
      <c r="H13" s="2704">
        <f t="shared" si="1"/>
        <v>1</v>
      </c>
      <c r="I13" s="2573">
        <v>1</v>
      </c>
      <c r="J13" s="2574"/>
      <c r="K13" s="2704">
        <f t="shared" si="2"/>
        <v>1</v>
      </c>
      <c r="L13" s="2573"/>
      <c r="M13" s="2574"/>
      <c r="N13" s="2704"/>
      <c r="O13" s="2573"/>
      <c r="P13" s="2574"/>
      <c r="Q13" s="2704"/>
      <c r="R13" s="2573"/>
      <c r="S13" s="2574"/>
      <c r="T13" s="2704"/>
      <c r="U13" s="2573"/>
      <c r="V13" s="2574"/>
      <c r="W13" s="2704"/>
      <c r="X13" s="2573"/>
      <c r="Y13" s="2574"/>
      <c r="Z13" s="2704"/>
      <c r="AA13" s="2573"/>
      <c r="AB13" s="2574"/>
      <c r="AC13" s="2704"/>
    </row>
    <row r="14" spans="2:29" x14ac:dyDescent="0.3">
      <c r="B14" s="2572" t="s">
        <v>638</v>
      </c>
      <c r="C14" s="2573"/>
      <c r="D14" s="2574">
        <v>2</v>
      </c>
      <c r="E14" s="2704">
        <f t="shared" si="0"/>
        <v>2</v>
      </c>
      <c r="F14" s="2573">
        <v>1</v>
      </c>
      <c r="G14" s="2574"/>
      <c r="H14" s="2704">
        <f t="shared" si="1"/>
        <v>1</v>
      </c>
      <c r="I14" s="2573">
        <v>2</v>
      </c>
      <c r="J14" s="2574">
        <v>1</v>
      </c>
      <c r="K14" s="2704">
        <f t="shared" si="2"/>
        <v>3</v>
      </c>
      <c r="L14" s="2573">
        <v>3</v>
      </c>
      <c r="M14" s="2574">
        <v>3</v>
      </c>
      <c r="N14" s="2704">
        <f t="shared" si="3"/>
        <v>6</v>
      </c>
      <c r="O14" s="2573">
        <v>3</v>
      </c>
      <c r="P14" s="2574">
        <v>1</v>
      </c>
      <c r="Q14" s="2704">
        <f t="shared" si="4"/>
        <v>4</v>
      </c>
      <c r="R14" s="2573"/>
      <c r="S14" s="2574"/>
      <c r="T14" s="2704"/>
      <c r="U14" s="2573"/>
      <c r="V14" s="2574"/>
      <c r="W14" s="2704"/>
      <c r="X14" s="2573"/>
      <c r="Y14" s="2574"/>
      <c r="Z14" s="2704"/>
      <c r="AA14" s="2573"/>
      <c r="AB14" s="2574"/>
      <c r="AC14" s="2704"/>
    </row>
    <row r="15" spans="2:29" x14ac:dyDescent="0.3">
      <c r="B15" s="2577" t="s">
        <v>59</v>
      </c>
      <c r="C15" s="2578">
        <f>SUM(C5:C14)</f>
        <v>3</v>
      </c>
      <c r="D15" s="2705">
        <f>SUM(D5:D14)</f>
        <v>15</v>
      </c>
      <c r="E15" s="2706">
        <f t="shared" si="0"/>
        <v>18</v>
      </c>
      <c r="F15" s="2578">
        <f>SUM(F5:F14)</f>
        <v>20</v>
      </c>
      <c r="G15" s="2705">
        <f>SUM(G5:G14)</f>
        <v>30</v>
      </c>
      <c r="H15" s="2706">
        <f t="shared" si="1"/>
        <v>50</v>
      </c>
      <c r="I15" s="2578">
        <f>SUM(I5:I14)</f>
        <v>28</v>
      </c>
      <c r="J15" s="2705">
        <f>SUM(J5:J14)</f>
        <v>41</v>
      </c>
      <c r="K15" s="2706">
        <f t="shared" si="2"/>
        <v>69</v>
      </c>
      <c r="L15" s="2578">
        <f>SUM(L5:L14)</f>
        <v>12</v>
      </c>
      <c r="M15" s="2705">
        <f>SUM(M5:M14)</f>
        <v>18</v>
      </c>
      <c r="N15" s="2706">
        <f t="shared" si="3"/>
        <v>30</v>
      </c>
      <c r="O15" s="2578">
        <f>SUM(O5:O14)</f>
        <v>5</v>
      </c>
      <c r="P15" s="2705">
        <f>SUM(P5:P14)</f>
        <v>10</v>
      </c>
      <c r="Q15" s="2706">
        <f t="shared" si="4"/>
        <v>15</v>
      </c>
      <c r="R15" s="2578">
        <f>SUM(R5:R14)</f>
        <v>0</v>
      </c>
      <c r="S15" s="2705">
        <f>SUM(S5:S14)</f>
        <v>2</v>
      </c>
      <c r="T15" s="2706">
        <f t="shared" si="6"/>
        <v>2</v>
      </c>
      <c r="U15" s="2578">
        <f>SUM(U5:U14)</f>
        <v>4</v>
      </c>
      <c r="V15" s="2705">
        <f>SUM(V5:V14)</f>
        <v>4</v>
      </c>
      <c r="W15" s="2706">
        <f t="shared" si="5"/>
        <v>8</v>
      </c>
      <c r="X15" s="2578"/>
      <c r="Y15" s="2705"/>
      <c r="Z15" s="2706"/>
      <c r="AA15" s="2578"/>
      <c r="AB15" s="2705">
        <f>SUM(AB5:AB14)</f>
        <v>2</v>
      </c>
      <c r="AC15" s="2706">
        <f>SUM(AC5:AC14)</f>
        <v>2</v>
      </c>
    </row>
    <row r="16" spans="2:29" x14ac:dyDescent="0.3">
      <c r="B16" s="2572" t="s">
        <v>60</v>
      </c>
      <c r="C16" s="2573"/>
      <c r="D16" s="2707">
        <v>1</v>
      </c>
      <c r="E16" s="2704">
        <f t="shared" si="0"/>
        <v>1</v>
      </c>
      <c r="F16" s="2573">
        <v>7</v>
      </c>
      <c r="G16" s="2707">
        <v>6</v>
      </c>
      <c r="H16" s="2704">
        <f t="shared" si="1"/>
        <v>13</v>
      </c>
      <c r="I16" s="2573">
        <v>12</v>
      </c>
      <c r="J16" s="2707">
        <v>3</v>
      </c>
      <c r="K16" s="2704">
        <f t="shared" si="2"/>
        <v>15</v>
      </c>
      <c r="L16" s="2573">
        <v>3</v>
      </c>
      <c r="M16" s="2707">
        <v>2</v>
      </c>
      <c r="N16" s="2704">
        <f t="shared" si="3"/>
        <v>5</v>
      </c>
      <c r="O16" s="2573">
        <v>2</v>
      </c>
      <c r="P16" s="2707">
        <v>2</v>
      </c>
      <c r="Q16" s="2704">
        <f t="shared" si="4"/>
        <v>4</v>
      </c>
      <c r="R16" s="2573"/>
      <c r="S16" s="2707">
        <v>1</v>
      </c>
      <c r="T16" s="2704">
        <f t="shared" si="6"/>
        <v>1</v>
      </c>
      <c r="U16" s="2573"/>
      <c r="V16" s="2707"/>
      <c r="W16" s="2704"/>
      <c r="X16" s="2573"/>
      <c r="Y16" s="2707"/>
      <c r="Z16" s="2704"/>
      <c r="AA16" s="2573"/>
      <c r="AB16" s="2707"/>
      <c r="AC16" s="2704"/>
    </row>
    <row r="17" spans="2:29" x14ac:dyDescent="0.3">
      <c r="B17" s="2572" t="s">
        <v>61</v>
      </c>
      <c r="C17" s="2573">
        <v>1</v>
      </c>
      <c r="D17" s="2707">
        <v>1</v>
      </c>
      <c r="E17" s="2704">
        <f t="shared" si="0"/>
        <v>2</v>
      </c>
      <c r="F17" s="2573">
        <v>13</v>
      </c>
      <c r="G17" s="2707">
        <v>5</v>
      </c>
      <c r="H17" s="2704">
        <f t="shared" si="1"/>
        <v>18</v>
      </c>
      <c r="I17" s="2573">
        <v>8</v>
      </c>
      <c r="J17" s="2707">
        <v>4</v>
      </c>
      <c r="K17" s="2704">
        <f t="shared" si="2"/>
        <v>12</v>
      </c>
      <c r="L17" s="2573">
        <v>8</v>
      </c>
      <c r="M17" s="2707">
        <v>7</v>
      </c>
      <c r="N17" s="2704">
        <f t="shared" si="3"/>
        <v>15</v>
      </c>
      <c r="O17" s="2573">
        <v>3</v>
      </c>
      <c r="P17" s="2707">
        <v>6</v>
      </c>
      <c r="Q17" s="2704">
        <f t="shared" si="4"/>
        <v>9</v>
      </c>
      <c r="R17" s="2573">
        <v>1</v>
      </c>
      <c r="S17" s="2707">
        <v>1</v>
      </c>
      <c r="T17" s="2704">
        <f t="shared" si="6"/>
        <v>2</v>
      </c>
      <c r="U17" s="2573">
        <v>1</v>
      </c>
      <c r="V17" s="2707">
        <v>1</v>
      </c>
      <c r="W17" s="2704">
        <f t="shared" si="5"/>
        <v>2</v>
      </c>
      <c r="X17" s="2573"/>
      <c r="Y17" s="2707"/>
      <c r="Z17" s="2704"/>
      <c r="AA17" s="2573"/>
      <c r="AB17" s="2707"/>
      <c r="AC17" s="2704"/>
    </row>
    <row r="18" spans="2:29" x14ac:dyDescent="0.3">
      <c r="B18" s="2572" t="s">
        <v>62</v>
      </c>
      <c r="C18" s="2573">
        <v>2</v>
      </c>
      <c r="D18" s="2707"/>
      <c r="E18" s="2704">
        <f t="shared" si="0"/>
        <v>2</v>
      </c>
      <c r="F18" s="2573">
        <v>5</v>
      </c>
      <c r="G18" s="2707">
        <v>4</v>
      </c>
      <c r="H18" s="2704">
        <f t="shared" si="1"/>
        <v>9</v>
      </c>
      <c r="I18" s="2573">
        <v>2</v>
      </c>
      <c r="J18" s="2707">
        <v>5</v>
      </c>
      <c r="K18" s="2704">
        <f t="shared" si="2"/>
        <v>7</v>
      </c>
      <c r="L18" s="2573"/>
      <c r="M18" s="2707">
        <v>1</v>
      </c>
      <c r="N18" s="2704">
        <f t="shared" si="3"/>
        <v>1</v>
      </c>
      <c r="O18" s="2573">
        <v>1</v>
      </c>
      <c r="P18" s="2707"/>
      <c r="Q18" s="2704">
        <f t="shared" si="4"/>
        <v>1</v>
      </c>
      <c r="R18" s="2573">
        <v>2</v>
      </c>
      <c r="S18" s="2707"/>
      <c r="T18" s="2704">
        <f t="shared" si="6"/>
        <v>2</v>
      </c>
      <c r="U18" s="2573"/>
      <c r="V18" s="2707"/>
      <c r="W18" s="2704"/>
      <c r="X18" s="2573"/>
      <c r="Y18" s="2707"/>
      <c r="Z18" s="2704"/>
      <c r="AA18" s="2573"/>
      <c r="AB18" s="2707">
        <v>1</v>
      </c>
      <c r="AC18" s="2704">
        <f>SUM(AA18:AB18)</f>
        <v>1</v>
      </c>
    </row>
    <row r="19" spans="2:29" x14ac:dyDescent="0.3">
      <c r="B19" s="2572" t="s">
        <v>63</v>
      </c>
      <c r="C19" s="2573">
        <v>1</v>
      </c>
      <c r="D19" s="2707"/>
      <c r="E19" s="2704">
        <f t="shared" si="0"/>
        <v>1</v>
      </c>
      <c r="F19" s="2573">
        <v>13</v>
      </c>
      <c r="G19" s="2707">
        <v>6</v>
      </c>
      <c r="H19" s="2704">
        <f t="shared" si="1"/>
        <v>19</v>
      </c>
      <c r="I19" s="2573">
        <v>7</v>
      </c>
      <c r="J19" s="2707">
        <v>6</v>
      </c>
      <c r="K19" s="2704">
        <f t="shared" si="2"/>
        <v>13</v>
      </c>
      <c r="L19" s="2573">
        <v>5</v>
      </c>
      <c r="M19" s="2707">
        <v>1</v>
      </c>
      <c r="N19" s="2704">
        <f t="shared" si="3"/>
        <v>6</v>
      </c>
      <c r="O19" s="2573">
        <v>4</v>
      </c>
      <c r="P19" s="2707">
        <v>1</v>
      </c>
      <c r="Q19" s="2704">
        <f t="shared" si="4"/>
        <v>5</v>
      </c>
      <c r="R19" s="2573">
        <v>1</v>
      </c>
      <c r="S19" s="2707"/>
      <c r="T19" s="2704">
        <f t="shared" si="6"/>
        <v>1</v>
      </c>
      <c r="U19" s="2573">
        <v>1</v>
      </c>
      <c r="V19" s="2707"/>
      <c r="W19" s="2704">
        <f t="shared" si="5"/>
        <v>1</v>
      </c>
      <c r="X19" s="2573"/>
      <c r="Y19" s="2707"/>
      <c r="Z19" s="2704"/>
      <c r="AA19" s="2573"/>
      <c r="AB19" s="2707"/>
      <c r="AC19" s="2704"/>
    </row>
    <row r="20" spans="2:29" x14ac:dyDescent="0.3">
      <c r="B20" s="2577" t="s">
        <v>64</v>
      </c>
      <c r="C20" s="2578">
        <f t="shared" ref="C20:H20" si="8">SUM(C16:C19)</f>
        <v>4</v>
      </c>
      <c r="D20" s="2705">
        <f t="shared" si="8"/>
        <v>2</v>
      </c>
      <c r="E20" s="2706">
        <f t="shared" si="8"/>
        <v>6</v>
      </c>
      <c r="F20" s="2578">
        <f t="shared" si="8"/>
        <v>38</v>
      </c>
      <c r="G20" s="2705">
        <f t="shared" si="8"/>
        <v>21</v>
      </c>
      <c r="H20" s="2706">
        <f t="shared" si="8"/>
        <v>59</v>
      </c>
      <c r="I20" s="2578">
        <f>SUM(I16:I19)</f>
        <v>29</v>
      </c>
      <c r="J20" s="2705">
        <f>SUM(J16:J19)</f>
        <v>18</v>
      </c>
      <c r="K20" s="2706">
        <f>SUM(K16:K19)</f>
        <v>47</v>
      </c>
      <c r="L20" s="2578">
        <f>SUM(L16:L19)</f>
        <v>16</v>
      </c>
      <c r="M20" s="2705">
        <f>SUM(M16:M19)</f>
        <v>11</v>
      </c>
      <c r="N20" s="2706">
        <f t="shared" si="3"/>
        <v>27</v>
      </c>
      <c r="O20" s="2578">
        <f>SUM(O16:O19)</f>
        <v>10</v>
      </c>
      <c r="P20" s="2705">
        <f>SUM(P16:P19)</f>
        <v>9</v>
      </c>
      <c r="Q20" s="2706">
        <f t="shared" si="4"/>
        <v>19</v>
      </c>
      <c r="R20" s="2578">
        <f>SUM(R16:R19)</f>
        <v>4</v>
      </c>
      <c r="S20" s="2705">
        <f>SUM(S16:S19)</f>
        <v>2</v>
      </c>
      <c r="T20" s="2706">
        <f t="shared" si="6"/>
        <v>6</v>
      </c>
      <c r="U20" s="2578">
        <f>SUM(U16:U19)</f>
        <v>2</v>
      </c>
      <c r="V20" s="2705">
        <f>SUM(V16:V19)</f>
        <v>1</v>
      </c>
      <c r="W20" s="2706">
        <f t="shared" si="5"/>
        <v>3</v>
      </c>
      <c r="X20" s="2578"/>
      <c r="Y20" s="2705"/>
      <c r="Z20" s="2706"/>
      <c r="AA20" s="2578"/>
      <c r="AB20" s="2705">
        <f>SUM(AB16:AB19)</f>
        <v>1</v>
      </c>
      <c r="AC20" s="2706">
        <f>SUM(AC16:AC19)</f>
        <v>1</v>
      </c>
    </row>
    <row r="21" spans="2:29" x14ac:dyDescent="0.3">
      <c r="B21" s="2572" t="s">
        <v>65</v>
      </c>
      <c r="C21" s="2573">
        <v>0</v>
      </c>
      <c r="D21" s="2707"/>
      <c r="E21" s="2704"/>
      <c r="F21" s="2573">
        <v>6</v>
      </c>
      <c r="G21" s="2707">
        <v>4</v>
      </c>
      <c r="H21" s="2704">
        <f>SUM(F21:G21)</f>
        <v>10</v>
      </c>
      <c r="I21" s="2573">
        <v>14</v>
      </c>
      <c r="J21" s="2707">
        <v>7</v>
      </c>
      <c r="K21" s="2704">
        <f>SUM(I21:J21)</f>
        <v>21</v>
      </c>
      <c r="L21" s="2573">
        <v>4</v>
      </c>
      <c r="M21" s="2707">
        <v>2</v>
      </c>
      <c r="N21" s="2704">
        <f t="shared" si="3"/>
        <v>6</v>
      </c>
      <c r="O21" s="2573">
        <v>4</v>
      </c>
      <c r="P21" s="2707">
        <v>7</v>
      </c>
      <c r="Q21" s="2704">
        <f t="shared" si="4"/>
        <v>11</v>
      </c>
      <c r="R21" s="2573"/>
      <c r="S21" s="2707"/>
      <c r="T21" s="2704"/>
      <c r="U21" s="2573">
        <v>1</v>
      </c>
      <c r="V21" s="2707">
        <v>1</v>
      </c>
      <c r="W21" s="2704">
        <f t="shared" si="5"/>
        <v>2</v>
      </c>
      <c r="X21" s="2573"/>
      <c r="Y21" s="2707"/>
      <c r="Z21" s="2704"/>
      <c r="AA21" s="2573"/>
      <c r="AB21" s="2707"/>
      <c r="AC21" s="2704"/>
    </row>
    <row r="22" spans="2:29" x14ac:dyDescent="0.3">
      <c r="B22" s="2572" t="s">
        <v>66</v>
      </c>
      <c r="C22" s="2573">
        <v>4</v>
      </c>
      <c r="D22" s="2707">
        <v>2</v>
      </c>
      <c r="E22" s="2704">
        <f>SUM(C22:D22)</f>
        <v>6</v>
      </c>
      <c r="F22" s="2573">
        <v>10</v>
      </c>
      <c r="G22" s="2707">
        <v>8</v>
      </c>
      <c r="H22" s="2704">
        <f>SUM(F22:G22)</f>
        <v>18</v>
      </c>
      <c r="I22" s="2573">
        <v>14</v>
      </c>
      <c r="J22" s="2707">
        <v>6</v>
      </c>
      <c r="K22" s="2704">
        <f>SUM(I22:J22)</f>
        <v>20</v>
      </c>
      <c r="L22" s="2573">
        <v>7</v>
      </c>
      <c r="M22" s="2707">
        <v>3</v>
      </c>
      <c r="N22" s="2704">
        <f t="shared" si="3"/>
        <v>10</v>
      </c>
      <c r="O22" s="2573">
        <v>9</v>
      </c>
      <c r="P22" s="2707">
        <v>2</v>
      </c>
      <c r="Q22" s="2704">
        <f t="shared" si="4"/>
        <v>11</v>
      </c>
      <c r="R22" s="2573">
        <v>2</v>
      </c>
      <c r="S22" s="2707"/>
      <c r="T22" s="2704">
        <f t="shared" si="6"/>
        <v>2</v>
      </c>
      <c r="U22" s="2573">
        <v>4</v>
      </c>
      <c r="V22" s="2707"/>
      <c r="W22" s="2704">
        <f t="shared" si="5"/>
        <v>4</v>
      </c>
      <c r="X22" s="2573"/>
      <c r="Y22" s="2707"/>
      <c r="Z22" s="2704"/>
      <c r="AA22" s="2573"/>
      <c r="AB22" s="2707"/>
      <c r="AC22" s="2704"/>
    </row>
    <row r="23" spans="2:29" x14ac:dyDescent="0.3">
      <c r="B23" s="2572" t="s">
        <v>67</v>
      </c>
      <c r="C23" s="2573">
        <v>3</v>
      </c>
      <c r="D23" s="2707">
        <v>3</v>
      </c>
      <c r="E23" s="2704">
        <f>SUM(C23:D23)</f>
        <v>6</v>
      </c>
      <c r="F23" s="2573">
        <v>11</v>
      </c>
      <c r="G23" s="2707">
        <v>7</v>
      </c>
      <c r="H23" s="2704">
        <f>SUM(F23:G23)</f>
        <v>18</v>
      </c>
      <c r="I23" s="2573">
        <v>12</v>
      </c>
      <c r="J23" s="2707">
        <v>7</v>
      </c>
      <c r="K23" s="2704">
        <f>SUM(I23:J23)</f>
        <v>19</v>
      </c>
      <c r="L23" s="2573">
        <v>6</v>
      </c>
      <c r="M23" s="2707">
        <v>5</v>
      </c>
      <c r="N23" s="2704">
        <f t="shared" si="3"/>
        <v>11</v>
      </c>
      <c r="O23" s="2573">
        <v>13</v>
      </c>
      <c r="P23" s="2707">
        <v>3</v>
      </c>
      <c r="Q23" s="2704">
        <f t="shared" si="4"/>
        <v>16</v>
      </c>
      <c r="R23" s="2573">
        <v>3</v>
      </c>
      <c r="S23" s="2707">
        <v>2</v>
      </c>
      <c r="T23" s="2704">
        <f t="shared" si="6"/>
        <v>5</v>
      </c>
      <c r="U23" s="2573">
        <v>4</v>
      </c>
      <c r="V23" s="2707"/>
      <c r="W23" s="2704">
        <f t="shared" si="5"/>
        <v>4</v>
      </c>
      <c r="X23" s="2573"/>
      <c r="Y23" s="2707"/>
      <c r="Z23" s="2704"/>
      <c r="AA23" s="2573"/>
      <c r="AB23" s="2707"/>
      <c r="AC23" s="2704"/>
    </row>
    <row r="24" spans="2:29" x14ac:dyDescent="0.3">
      <c r="B24" s="2577" t="s">
        <v>68</v>
      </c>
      <c r="C24" s="2582">
        <f t="shared" ref="C24:K24" si="9">SUM(C21:C23)</f>
        <v>7</v>
      </c>
      <c r="D24" s="2708">
        <f t="shared" si="9"/>
        <v>5</v>
      </c>
      <c r="E24" s="2709">
        <f t="shared" si="9"/>
        <v>12</v>
      </c>
      <c r="F24" s="2582">
        <f t="shared" si="9"/>
        <v>27</v>
      </c>
      <c r="G24" s="2708">
        <f t="shared" si="9"/>
        <v>19</v>
      </c>
      <c r="H24" s="2709">
        <f t="shared" si="9"/>
        <v>46</v>
      </c>
      <c r="I24" s="2582">
        <f t="shared" si="9"/>
        <v>40</v>
      </c>
      <c r="J24" s="2708">
        <f t="shared" si="9"/>
        <v>20</v>
      </c>
      <c r="K24" s="2709">
        <f t="shared" si="9"/>
        <v>60</v>
      </c>
      <c r="L24" s="2582">
        <f>SUM(L21:L23)</f>
        <v>17</v>
      </c>
      <c r="M24" s="2708">
        <f>SUM(M21:M23)</f>
        <v>10</v>
      </c>
      <c r="N24" s="2709">
        <f t="shared" si="3"/>
        <v>27</v>
      </c>
      <c r="O24" s="2582">
        <f>SUM(O21:O23)</f>
        <v>26</v>
      </c>
      <c r="P24" s="2708">
        <f>SUM(P21:P23)</f>
        <v>12</v>
      </c>
      <c r="Q24" s="2709">
        <f t="shared" si="4"/>
        <v>38</v>
      </c>
      <c r="R24" s="2582">
        <f>SUM(R21:R23)</f>
        <v>5</v>
      </c>
      <c r="S24" s="2708">
        <f>SUM(S21:S23)</f>
        <v>2</v>
      </c>
      <c r="T24" s="2709">
        <f t="shared" si="6"/>
        <v>7</v>
      </c>
      <c r="U24" s="2582">
        <f>SUM(U21:U23)</f>
        <v>9</v>
      </c>
      <c r="V24" s="2708">
        <f>SUM(V21:V23)</f>
        <v>1</v>
      </c>
      <c r="W24" s="2709">
        <f t="shared" si="5"/>
        <v>10</v>
      </c>
      <c r="X24" s="2582"/>
      <c r="Y24" s="2708"/>
      <c r="Z24" s="2709"/>
      <c r="AA24" s="2582"/>
      <c r="AB24" s="2708"/>
      <c r="AC24" s="2709"/>
    </row>
    <row r="25" spans="2:29" x14ac:dyDescent="0.3">
      <c r="B25" s="2710" t="s">
        <v>69</v>
      </c>
      <c r="C25" s="2710">
        <f t="shared" ref="C25:K25" si="10">C24+C20+C15</f>
        <v>14</v>
      </c>
      <c r="D25" s="2711">
        <f t="shared" si="10"/>
        <v>22</v>
      </c>
      <c r="E25" s="2712">
        <f t="shared" si="10"/>
        <v>36</v>
      </c>
      <c r="F25" s="2710">
        <f t="shared" si="10"/>
        <v>85</v>
      </c>
      <c r="G25" s="2711">
        <f t="shared" si="10"/>
        <v>70</v>
      </c>
      <c r="H25" s="2712">
        <f t="shared" si="10"/>
        <v>155</v>
      </c>
      <c r="I25" s="2710">
        <f t="shared" si="10"/>
        <v>97</v>
      </c>
      <c r="J25" s="2711">
        <f t="shared" si="10"/>
        <v>79</v>
      </c>
      <c r="K25" s="2712">
        <f t="shared" si="10"/>
        <v>176</v>
      </c>
      <c r="L25" s="2710">
        <f>L24+L20+L15</f>
        <v>45</v>
      </c>
      <c r="M25" s="2711">
        <f>M24+M20+M15</f>
        <v>39</v>
      </c>
      <c r="N25" s="2712">
        <f t="shared" si="3"/>
        <v>84</v>
      </c>
      <c r="O25" s="2710">
        <f>O24+O20+O15</f>
        <v>41</v>
      </c>
      <c r="P25" s="2711">
        <f>P24+P20+P15</f>
        <v>31</v>
      </c>
      <c r="Q25" s="2712">
        <f t="shared" si="4"/>
        <v>72</v>
      </c>
      <c r="R25" s="2710">
        <f>R24+R20+R15</f>
        <v>9</v>
      </c>
      <c r="S25" s="2711">
        <f>S24+S20+S15</f>
        <v>6</v>
      </c>
      <c r="T25" s="2712">
        <f t="shared" si="6"/>
        <v>15</v>
      </c>
      <c r="U25" s="2710">
        <f>U24+U20+U15</f>
        <v>15</v>
      </c>
      <c r="V25" s="2711">
        <f>V24+V20+V15</f>
        <v>6</v>
      </c>
      <c r="W25" s="2712">
        <f t="shared" si="5"/>
        <v>21</v>
      </c>
      <c r="X25" s="2710"/>
      <c r="Y25" s="2711"/>
      <c r="Z25" s="2712"/>
      <c r="AA25" s="2710"/>
      <c r="AB25" s="2711">
        <f>SUM(AB15,AB20,AB24)</f>
        <v>3</v>
      </c>
      <c r="AC25" s="2712">
        <f>SUM(AC15,AC20,AC24)</f>
        <v>3</v>
      </c>
    </row>
    <row r="26" spans="2:29" x14ac:dyDescent="0.3">
      <c r="B26" s="2713" t="s">
        <v>110</v>
      </c>
      <c r="C26" s="2714">
        <v>3</v>
      </c>
      <c r="D26" s="2715">
        <v>2</v>
      </c>
      <c r="E26" s="2716">
        <f>SUM(C26:D26)</f>
        <v>5</v>
      </c>
      <c r="F26" s="2714">
        <v>10</v>
      </c>
      <c r="G26" s="2715">
        <v>5</v>
      </c>
      <c r="H26" s="2716">
        <f>SUM(F26:G26)</f>
        <v>15</v>
      </c>
      <c r="I26" s="2714">
        <v>18</v>
      </c>
      <c r="J26" s="2715">
        <v>12</v>
      </c>
      <c r="K26" s="2716">
        <f>SUM(I26:J26)</f>
        <v>30</v>
      </c>
      <c r="L26" s="2714">
        <v>10</v>
      </c>
      <c r="M26" s="2715">
        <v>8</v>
      </c>
      <c r="N26" s="2716">
        <f t="shared" si="3"/>
        <v>18</v>
      </c>
      <c r="O26" s="2714">
        <v>16</v>
      </c>
      <c r="P26" s="2715">
        <v>7</v>
      </c>
      <c r="Q26" s="2716">
        <f t="shared" si="4"/>
        <v>23</v>
      </c>
      <c r="R26" s="2714">
        <v>6</v>
      </c>
      <c r="S26" s="2715">
        <v>9</v>
      </c>
      <c r="T26" s="2716">
        <f t="shared" si="6"/>
        <v>15</v>
      </c>
      <c r="U26" s="2714">
        <v>2</v>
      </c>
      <c r="V26" s="2715">
        <v>1</v>
      </c>
      <c r="W26" s="2716">
        <f t="shared" si="5"/>
        <v>3</v>
      </c>
      <c r="X26" s="2714"/>
      <c r="Y26" s="2715"/>
      <c r="Z26" s="2716"/>
      <c r="AA26" s="2714">
        <v>4</v>
      </c>
      <c r="AB26" s="2715">
        <v>4</v>
      </c>
      <c r="AC26" s="2704">
        <f>SUM(AA26:AB26)</f>
        <v>8</v>
      </c>
    </row>
    <row r="27" spans="2:29" x14ac:dyDescent="0.3">
      <c r="B27" s="2572" t="s">
        <v>108</v>
      </c>
      <c r="C27" s="2573">
        <v>7</v>
      </c>
      <c r="D27" s="2707">
        <v>4</v>
      </c>
      <c r="E27" s="2704">
        <f>SUM(C27:D27)</f>
        <v>11</v>
      </c>
      <c r="F27" s="2573">
        <v>3</v>
      </c>
      <c r="G27" s="2707">
        <v>4</v>
      </c>
      <c r="H27" s="2704">
        <f>SUM(F27:G27)</f>
        <v>7</v>
      </c>
      <c r="I27" s="2573">
        <v>5</v>
      </c>
      <c r="J27" s="2707">
        <v>5</v>
      </c>
      <c r="K27" s="2704">
        <f>SUM(I27:J27)</f>
        <v>10</v>
      </c>
      <c r="L27" s="2573">
        <v>3</v>
      </c>
      <c r="M27" s="2707">
        <v>2</v>
      </c>
      <c r="N27" s="2704">
        <f t="shared" si="3"/>
        <v>5</v>
      </c>
      <c r="O27" s="2573">
        <v>5</v>
      </c>
      <c r="P27" s="2707">
        <v>4</v>
      </c>
      <c r="Q27" s="2704">
        <f t="shared" si="4"/>
        <v>9</v>
      </c>
      <c r="R27" s="2573">
        <v>2</v>
      </c>
      <c r="S27" s="2707"/>
      <c r="T27" s="2704">
        <f t="shared" si="6"/>
        <v>2</v>
      </c>
      <c r="U27" s="2573"/>
      <c r="V27" s="2707"/>
      <c r="W27" s="2704"/>
      <c r="X27" s="2573"/>
      <c r="Y27" s="2707"/>
      <c r="Z27" s="2704"/>
      <c r="AA27" s="2573">
        <v>3</v>
      </c>
      <c r="AB27" s="2707">
        <v>1</v>
      </c>
      <c r="AC27" s="2704">
        <f>SUM(AA27:AB27)</f>
        <v>4</v>
      </c>
    </row>
    <row r="28" spans="2:29" x14ac:dyDescent="0.3">
      <c r="B28" s="2572" t="s">
        <v>109</v>
      </c>
      <c r="C28" s="2573">
        <v>1</v>
      </c>
      <c r="D28" s="2707">
        <v>1</v>
      </c>
      <c r="E28" s="2704">
        <f>SUM(C28:D28)</f>
        <v>2</v>
      </c>
      <c r="F28" s="2573"/>
      <c r="G28" s="2707">
        <v>1</v>
      </c>
      <c r="H28" s="2704">
        <f>SUM(F28:G28)</f>
        <v>1</v>
      </c>
      <c r="I28" s="2573">
        <v>2</v>
      </c>
      <c r="J28" s="2707">
        <v>2</v>
      </c>
      <c r="K28" s="2704">
        <f>SUM(I28:J28)</f>
        <v>4</v>
      </c>
      <c r="L28" s="2573"/>
      <c r="M28" s="2707"/>
      <c r="N28" s="2704">
        <f t="shared" si="3"/>
        <v>0</v>
      </c>
      <c r="O28" s="2573"/>
      <c r="P28" s="2707"/>
      <c r="Q28" s="2704"/>
      <c r="R28" s="2573"/>
      <c r="S28" s="2707">
        <v>1</v>
      </c>
      <c r="T28" s="2704">
        <f t="shared" si="6"/>
        <v>1</v>
      </c>
      <c r="U28" s="2573"/>
      <c r="V28" s="2707"/>
      <c r="W28" s="2704"/>
      <c r="X28" s="2573"/>
      <c r="Y28" s="2707"/>
      <c r="Z28" s="2704"/>
      <c r="AA28" s="2573"/>
      <c r="AB28" s="2707"/>
      <c r="AC28" s="2704"/>
    </row>
    <row r="29" spans="2:29" ht="13.65" customHeight="1" x14ac:dyDescent="0.3">
      <c r="B29" s="2577" t="s">
        <v>111</v>
      </c>
      <c r="C29" s="2578">
        <f t="shared" ref="C29:K29" si="11">SUM(C26:C28)</f>
        <v>11</v>
      </c>
      <c r="D29" s="2705">
        <f t="shared" si="11"/>
        <v>7</v>
      </c>
      <c r="E29" s="2706">
        <f t="shared" si="11"/>
        <v>18</v>
      </c>
      <c r="F29" s="2578">
        <f t="shared" si="11"/>
        <v>13</v>
      </c>
      <c r="G29" s="2705">
        <f t="shared" si="11"/>
        <v>10</v>
      </c>
      <c r="H29" s="2706">
        <f t="shared" si="11"/>
        <v>23</v>
      </c>
      <c r="I29" s="2578">
        <f t="shared" si="11"/>
        <v>25</v>
      </c>
      <c r="J29" s="2705">
        <f t="shared" si="11"/>
        <v>19</v>
      </c>
      <c r="K29" s="2706">
        <f t="shared" si="11"/>
        <v>44</v>
      </c>
      <c r="L29" s="2578">
        <f>SUM(L26:L28)</f>
        <v>13</v>
      </c>
      <c r="M29" s="2705">
        <f>SUM(M26:M28)</f>
        <v>10</v>
      </c>
      <c r="N29" s="2706">
        <f t="shared" si="3"/>
        <v>23</v>
      </c>
      <c r="O29" s="2578">
        <f>SUM(O26:O28)</f>
        <v>21</v>
      </c>
      <c r="P29" s="2705">
        <f>SUM(P26:P28)</f>
        <v>11</v>
      </c>
      <c r="Q29" s="2706">
        <f t="shared" si="4"/>
        <v>32</v>
      </c>
      <c r="R29" s="2578">
        <f>SUM(R26:R28)</f>
        <v>8</v>
      </c>
      <c r="S29" s="2705">
        <f>SUM(S26:S28)</f>
        <v>10</v>
      </c>
      <c r="T29" s="2706">
        <f t="shared" si="6"/>
        <v>18</v>
      </c>
      <c r="U29" s="2578">
        <f>SUM(U26:U28)</f>
        <v>2</v>
      </c>
      <c r="V29" s="2705">
        <f>SUM(V26:V28)</f>
        <v>1</v>
      </c>
      <c r="W29" s="2706">
        <f t="shared" si="5"/>
        <v>3</v>
      </c>
      <c r="X29" s="2578"/>
      <c r="Y29" s="2705"/>
      <c r="Z29" s="2706"/>
      <c r="AA29" s="2578">
        <f>SUM(AA26:AA28)</f>
        <v>7</v>
      </c>
      <c r="AB29" s="2705">
        <f>SUM(AB26:AB28)</f>
        <v>5</v>
      </c>
      <c r="AC29" s="2706">
        <f>SUM(AC26:AC27)</f>
        <v>12</v>
      </c>
    </row>
    <row r="30" spans="2:29" x14ac:dyDescent="0.3">
      <c r="B30" s="2572" t="s">
        <v>672</v>
      </c>
      <c r="C30" s="2573">
        <v>3</v>
      </c>
      <c r="D30" s="2707">
        <v>1</v>
      </c>
      <c r="E30" s="2704">
        <f>SUM(C30:D30)</f>
        <v>4</v>
      </c>
      <c r="F30" s="2573">
        <v>1</v>
      </c>
      <c r="G30" s="2707"/>
      <c r="H30" s="2704">
        <f>SUM(F30:G30)</f>
        <v>1</v>
      </c>
      <c r="I30" s="2573">
        <v>1</v>
      </c>
      <c r="J30" s="2707">
        <v>2</v>
      </c>
      <c r="K30" s="2704">
        <f>SUM(I30:J30)</f>
        <v>3</v>
      </c>
      <c r="L30" s="2573">
        <v>1</v>
      </c>
      <c r="M30" s="2707">
        <v>2</v>
      </c>
      <c r="N30" s="2704">
        <f t="shared" si="3"/>
        <v>3</v>
      </c>
      <c r="O30" s="2573">
        <v>2</v>
      </c>
      <c r="P30" s="2707">
        <v>2</v>
      </c>
      <c r="Q30" s="2704">
        <f t="shared" si="4"/>
        <v>4</v>
      </c>
      <c r="R30" s="2573"/>
      <c r="S30" s="2707"/>
      <c r="T30" s="2704"/>
      <c r="U30" s="2573"/>
      <c r="V30" s="2707"/>
      <c r="W30" s="2704"/>
      <c r="X30" s="2573"/>
      <c r="Y30" s="2707"/>
      <c r="Z30" s="2704"/>
      <c r="AA30" s="2573"/>
      <c r="AB30" s="2707"/>
      <c r="AC30" s="2704"/>
    </row>
    <row r="31" spans="2:29" x14ac:dyDescent="0.3">
      <c r="B31" s="2572" t="s">
        <v>114</v>
      </c>
      <c r="C31" s="2573">
        <v>1</v>
      </c>
      <c r="D31" s="2707">
        <v>1</v>
      </c>
      <c r="E31" s="2704">
        <f>SUM(C31:D31)</f>
        <v>2</v>
      </c>
      <c r="F31" s="2573">
        <v>2</v>
      </c>
      <c r="G31" s="2707">
        <v>3</v>
      </c>
      <c r="H31" s="2704">
        <f>SUM(F31:G31)</f>
        <v>5</v>
      </c>
      <c r="I31" s="2573">
        <v>4</v>
      </c>
      <c r="J31" s="2707">
        <v>3</v>
      </c>
      <c r="K31" s="2704">
        <f>SUM(I31:J31)</f>
        <v>7</v>
      </c>
      <c r="L31" s="2573">
        <v>4</v>
      </c>
      <c r="M31" s="2707">
        <v>4</v>
      </c>
      <c r="N31" s="2704">
        <f t="shared" si="3"/>
        <v>8</v>
      </c>
      <c r="O31" s="2573">
        <v>4</v>
      </c>
      <c r="P31" s="2707">
        <v>2</v>
      </c>
      <c r="Q31" s="2704">
        <f t="shared" si="4"/>
        <v>6</v>
      </c>
      <c r="R31" s="2573"/>
      <c r="S31" s="2707"/>
      <c r="T31" s="2704"/>
      <c r="U31" s="2573">
        <v>1</v>
      </c>
      <c r="V31" s="2707">
        <v>1</v>
      </c>
      <c r="W31" s="2704">
        <f t="shared" si="5"/>
        <v>2</v>
      </c>
      <c r="X31" s="2573"/>
      <c r="Y31" s="2707"/>
      <c r="Z31" s="2704"/>
      <c r="AA31" s="2573">
        <v>2</v>
      </c>
      <c r="AB31" s="2707">
        <v>4</v>
      </c>
      <c r="AC31" s="2704">
        <f>SUM(AA31:AB31)</f>
        <v>6</v>
      </c>
    </row>
    <row r="32" spans="2:29" x14ac:dyDescent="0.3">
      <c r="B32" s="2572" t="s">
        <v>633</v>
      </c>
      <c r="C32" s="2573"/>
      <c r="D32" s="2707">
        <v>1</v>
      </c>
      <c r="E32" s="2704">
        <f>SUM(C32:D32)</f>
        <v>1</v>
      </c>
      <c r="F32" s="2573"/>
      <c r="G32" s="2707">
        <v>3</v>
      </c>
      <c r="H32" s="2704">
        <f>SUM(F32:G32)</f>
        <v>3</v>
      </c>
      <c r="I32" s="2573"/>
      <c r="J32" s="2707">
        <v>1</v>
      </c>
      <c r="K32" s="2704">
        <f>SUM(I32:J32)</f>
        <v>1</v>
      </c>
      <c r="L32" s="2573"/>
      <c r="M32" s="2707">
        <v>5</v>
      </c>
      <c r="N32" s="2704">
        <f t="shared" si="3"/>
        <v>5</v>
      </c>
      <c r="O32" s="2573"/>
      <c r="P32" s="2707"/>
      <c r="Q32" s="2704"/>
      <c r="R32" s="2573"/>
      <c r="S32" s="2707">
        <v>1</v>
      </c>
      <c r="T32" s="2704">
        <f t="shared" si="6"/>
        <v>1</v>
      </c>
      <c r="U32" s="2573"/>
      <c r="V32" s="2707"/>
      <c r="W32" s="2704"/>
      <c r="X32" s="2573"/>
      <c r="Y32" s="2707"/>
      <c r="Z32" s="2704"/>
      <c r="AA32" s="2573">
        <v>1</v>
      </c>
      <c r="AB32" s="2707"/>
      <c r="AC32" s="2704">
        <f>SUM(AA32:AB32)</f>
        <v>1</v>
      </c>
    </row>
    <row r="33" spans="2:29" x14ac:dyDescent="0.3">
      <c r="B33" s="2572" t="s">
        <v>112</v>
      </c>
      <c r="C33" s="2573"/>
      <c r="D33" s="2707">
        <v>1</v>
      </c>
      <c r="E33" s="2704">
        <f>SUM(C33:D33)</f>
        <v>1</v>
      </c>
      <c r="F33" s="2573">
        <v>1</v>
      </c>
      <c r="G33" s="2707"/>
      <c r="H33" s="2704">
        <f>SUM(F33:G33)</f>
        <v>1</v>
      </c>
      <c r="I33" s="2573">
        <v>2</v>
      </c>
      <c r="J33" s="2707">
        <v>2</v>
      </c>
      <c r="K33" s="2704">
        <f>SUM(I33:J33)</f>
        <v>4</v>
      </c>
      <c r="L33" s="2573">
        <v>2</v>
      </c>
      <c r="M33" s="2707"/>
      <c r="N33" s="2704">
        <f t="shared" si="3"/>
        <v>2</v>
      </c>
      <c r="O33" s="2573">
        <v>1</v>
      </c>
      <c r="P33" s="2707">
        <v>2</v>
      </c>
      <c r="Q33" s="2704">
        <f t="shared" si="4"/>
        <v>3</v>
      </c>
      <c r="R33" s="2573"/>
      <c r="S33" s="2707"/>
      <c r="T33" s="2704"/>
      <c r="U33" s="2573"/>
      <c r="V33" s="2707"/>
      <c r="W33" s="2704"/>
      <c r="X33" s="2573"/>
      <c r="Y33" s="2707"/>
      <c r="Z33" s="2704"/>
      <c r="AA33" s="2573"/>
      <c r="AB33" s="2707"/>
      <c r="AC33" s="2704"/>
    </row>
    <row r="34" spans="2:29" x14ac:dyDescent="0.3">
      <c r="B34" s="2577" t="s">
        <v>115</v>
      </c>
      <c r="C34" s="2578">
        <f t="shared" ref="C34:K34" si="12">SUM(C30:C33)</f>
        <v>4</v>
      </c>
      <c r="D34" s="2705">
        <f t="shared" si="12"/>
        <v>4</v>
      </c>
      <c r="E34" s="2706">
        <f t="shared" si="12"/>
        <v>8</v>
      </c>
      <c r="F34" s="2578">
        <f t="shared" si="12"/>
        <v>4</v>
      </c>
      <c r="G34" s="2705">
        <f t="shared" si="12"/>
        <v>6</v>
      </c>
      <c r="H34" s="2706">
        <f t="shared" si="12"/>
        <v>10</v>
      </c>
      <c r="I34" s="2578">
        <f t="shared" si="12"/>
        <v>7</v>
      </c>
      <c r="J34" s="2705">
        <f t="shared" si="12"/>
        <v>8</v>
      </c>
      <c r="K34" s="2706">
        <f t="shared" si="12"/>
        <v>15</v>
      </c>
      <c r="L34" s="2578">
        <f>SUM(L30:L33)</f>
        <v>7</v>
      </c>
      <c r="M34" s="2705">
        <f>SUM(M30:M33)</f>
        <v>11</v>
      </c>
      <c r="N34" s="2706">
        <f t="shared" si="3"/>
        <v>18</v>
      </c>
      <c r="O34" s="2578">
        <f>SUM(O30:O33)</f>
        <v>7</v>
      </c>
      <c r="P34" s="2705">
        <f>SUM(P30:P33)</f>
        <v>6</v>
      </c>
      <c r="Q34" s="2706">
        <f t="shared" si="4"/>
        <v>13</v>
      </c>
      <c r="R34" s="2578">
        <f>SUM(R30:R33)</f>
        <v>0</v>
      </c>
      <c r="S34" s="2705">
        <f>SUM(S30:S33)</f>
        <v>1</v>
      </c>
      <c r="T34" s="2706">
        <f t="shared" si="6"/>
        <v>1</v>
      </c>
      <c r="U34" s="2578">
        <f>SUM(U30:U33)</f>
        <v>1</v>
      </c>
      <c r="V34" s="2705">
        <f>SUM(V30:V33)</f>
        <v>1</v>
      </c>
      <c r="W34" s="2706">
        <f t="shared" si="5"/>
        <v>2</v>
      </c>
      <c r="X34" s="2578"/>
      <c r="Y34" s="2705"/>
      <c r="Z34" s="2706"/>
      <c r="AA34" s="2578">
        <f>SUM(AA30:AA33)</f>
        <v>3</v>
      </c>
      <c r="AB34" s="2705">
        <f>SUM(AB30:AB33)</f>
        <v>4</v>
      </c>
      <c r="AC34" s="2706">
        <f>SUM(AC30:AC33)</f>
        <v>7</v>
      </c>
    </row>
    <row r="35" spans="2:29" x14ac:dyDescent="0.3">
      <c r="B35" s="2572" t="s">
        <v>60</v>
      </c>
      <c r="C35" s="2573">
        <v>3</v>
      </c>
      <c r="D35" s="2707">
        <v>1</v>
      </c>
      <c r="E35" s="2704">
        <f>SUM(C35:D35)</f>
        <v>4</v>
      </c>
      <c r="F35" s="2573">
        <v>5</v>
      </c>
      <c r="G35" s="2707">
        <v>2</v>
      </c>
      <c r="H35" s="2704">
        <f>SUM(F35:G35)</f>
        <v>7</v>
      </c>
      <c r="I35" s="2573">
        <v>5</v>
      </c>
      <c r="J35" s="2707">
        <v>3</v>
      </c>
      <c r="K35" s="2704">
        <f>SUM(I35:J35)</f>
        <v>8</v>
      </c>
      <c r="L35" s="2573">
        <v>5</v>
      </c>
      <c r="M35" s="2707">
        <v>3</v>
      </c>
      <c r="N35" s="2704">
        <f t="shared" si="3"/>
        <v>8</v>
      </c>
      <c r="O35" s="2573">
        <v>6</v>
      </c>
      <c r="P35" s="2707">
        <v>2</v>
      </c>
      <c r="Q35" s="2704">
        <f t="shared" si="4"/>
        <v>8</v>
      </c>
      <c r="R35" s="2573">
        <v>1</v>
      </c>
      <c r="S35" s="2707"/>
      <c r="T35" s="2704">
        <f t="shared" si="6"/>
        <v>1</v>
      </c>
      <c r="U35" s="2573"/>
      <c r="V35" s="2707"/>
      <c r="W35" s="2704"/>
      <c r="X35" s="2573"/>
      <c r="Y35" s="2707"/>
      <c r="Z35" s="2704"/>
      <c r="AA35" s="2573">
        <v>1</v>
      </c>
      <c r="AB35" s="2707"/>
      <c r="AC35" s="2704">
        <f>SUM(AA35:AB35)</f>
        <v>1</v>
      </c>
    </row>
    <row r="36" spans="2:29" x14ac:dyDescent="0.3">
      <c r="B36" s="2572" t="s">
        <v>61</v>
      </c>
      <c r="C36" s="2573"/>
      <c r="D36" s="2707"/>
      <c r="E36" s="2704"/>
      <c r="F36" s="2573"/>
      <c r="G36" s="2707"/>
      <c r="H36" s="2704"/>
      <c r="I36" s="2573"/>
      <c r="J36" s="2707"/>
      <c r="K36" s="2704"/>
      <c r="L36" s="2573"/>
      <c r="M36" s="2707"/>
      <c r="N36" s="2704"/>
      <c r="O36" s="2573"/>
      <c r="P36" s="2707">
        <v>1</v>
      </c>
      <c r="Q36" s="2704">
        <f t="shared" si="4"/>
        <v>1</v>
      </c>
      <c r="R36" s="2573"/>
      <c r="S36" s="2707"/>
      <c r="T36" s="2704"/>
      <c r="U36" s="2573"/>
      <c r="V36" s="2707"/>
      <c r="W36" s="2704"/>
      <c r="X36" s="2573"/>
      <c r="Y36" s="2707"/>
      <c r="Z36" s="2704"/>
      <c r="AA36" s="2573">
        <v>2</v>
      </c>
      <c r="AB36" s="2707"/>
      <c r="AC36" s="2704">
        <f t="shared" ref="AC36:AC38" si="13">SUM(AA36:AB36)</f>
        <v>2</v>
      </c>
    </row>
    <row r="37" spans="2:29" x14ac:dyDescent="0.3">
      <c r="B37" s="2572" t="s">
        <v>107</v>
      </c>
      <c r="C37" s="2573">
        <v>1</v>
      </c>
      <c r="D37" s="2707">
        <v>1</v>
      </c>
      <c r="E37" s="2704">
        <f>SUM(C37:D37)</f>
        <v>2</v>
      </c>
      <c r="F37" s="2573">
        <v>1</v>
      </c>
      <c r="G37" s="2707">
        <v>2</v>
      </c>
      <c r="H37" s="2704">
        <f>SUM(F37:G37)</f>
        <v>3</v>
      </c>
      <c r="I37" s="2573">
        <v>2</v>
      </c>
      <c r="J37" s="2707">
        <v>3</v>
      </c>
      <c r="K37" s="2704">
        <f>SUM(I37:J37)</f>
        <v>5</v>
      </c>
      <c r="L37" s="2573">
        <v>1</v>
      </c>
      <c r="M37" s="2707">
        <v>2</v>
      </c>
      <c r="N37" s="2704">
        <f>SUM(L37:M37)</f>
        <v>3</v>
      </c>
      <c r="O37" s="2573">
        <v>1</v>
      </c>
      <c r="P37" s="2707">
        <v>3</v>
      </c>
      <c r="Q37" s="2704">
        <f t="shared" si="4"/>
        <v>4</v>
      </c>
      <c r="R37" s="2573"/>
      <c r="S37" s="2707"/>
      <c r="T37" s="2704"/>
      <c r="U37" s="2573">
        <v>1</v>
      </c>
      <c r="V37" s="2707">
        <v>1</v>
      </c>
      <c r="W37" s="2704">
        <f t="shared" si="5"/>
        <v>2</v>
      </c>
      <c r="X37" s="2573"/>
      <c r="Y37" s="2707"/>
      <c r="Z37" s="2704"/>
      <c r="AA37" s="2573"/>
      <c r="AB37" s="2707"/>
      <c r="AC37" s="2704">
        <f t="shared" si="13"/>
        <v>0</v>
      </c>
    </row>
    <row r="38" spans="2:29" x14ac:dyDescent="0.3">
      <c r="B38" s="2572" t="s">
        <v>106</v>
      </c>
      <c r="C38" s="2573"/>
      <c r="D38" s="2707"/>
      <c r="E38" s="2704"/>
      <c r="F38" s="2573">
        <v>4</v>
      </c>
      <c r="G38" s="2707"/>
      <c r="H38" s="2704">
        <f>SUM(F38:G38)</f>
        <v>4</v>
      </c>
      <c r="I38" s="2573">
        <v>2</v>
      </c>
      <c r="J38" s="2707">
        <v>5</v>
      </c>
      <c r="K38" s="2704">
        <f>SUM(I38:J38)</f>
        <v>7</v>
      </c>
      <c r="L38" s="2573">
        <v>4</v>
      </c>
      <c r="M38" s="2707">
        <v>2</v>
      </c>
      <c r="N38" s="2704">
        <f>SUM(L38:M38)</f>
        <v>6</v>
      </c>
      <c r="O38" s="2573">
        <v>4</v>
      </c>
      <c r="P38" s="2707">
        <v>1</v>
      </c>
      <c r="Q38" s="2704">
        <f t="shared" si="4"/>
        <v>5</v>
      </c>
      <c r="R38" s="2573">
        <v>3</v>
      </c>
      <c r="S38" s="2707"/>
      <c r="T38" s="2704">
        <f t="shared" si="6"/>
        <v>3</v>
      </c>
      <c r="U38" s="2573">
        <v>1</v>
      </c>
      <c r="V38" s="2707">
        <v>2</v>
      </c>
      <c r="W38" s="2704">
        <f t="shared" si="5"/>
        <v>3</v>
      </c>
      <c r="X38" s="2573"/>
      <c r="Y38" s="2707"/>
      <c r="Z38" s="2704"/>
      <c r="AA38" s="2573">
        <v>2</v>
      </c>
      <c r="AB38" s="2707"/>
      <c r="AC38" s="2704">
        <f t="shared" si="13"/>
        <v>2</v>
      </c>
    </row>
    <row r="39" spans="2:29" x14ac:dyDescent="0.3">
      <c r="B39" s="2577" t="s">
        <v>64</v>
      </c>
      <c r="C39" s="2582">
        <f>SUM(C35:C38)</f>
        <v>4</v>
      </c>
      <c r="D39" s="2708">
        <f>SUM(D35:D38)</f>
        <v>2</v>
      </c>
      <c r="E39" s="2709">
        <f>SUM(E35:E38)</f>
        <v>6</v>
      </c>
      <c r="F39" s="2582">
        <f t="shared" ref="F39:K39" si="14">SUM(F35:F38)</f>
        <v>10</v>
      </c>
      <c r="G39" s="2708">
        <f t="shared" si="14"/>
        <v>4</v>
      </c>
      <c r="H39" s="2709">
        <f t="shared" si="14"/>
        <v>14</v>
      </c>
      <c r="I39" s="2582">
        <f t="shared" si="14"/>
        <v>9</v>
      </c>
      <c r="J39" s="2708">
        <f t="shared" si="14"/>
        <v>11</v>
      </c>
      <c r="K39" s="2709">
        <f t="shared" si="14"/>
        <v>20</v>
      </c>
      <c r="L39" s="2582">
        <f>SUM(L35:L38)</f>
        <v>10</v>
      </c>
      <c r="M39" s="2708">
        <f>SUM(M35:M38)</f>
        <v>7</v>
      </c>
      <c r="N39" s="2709">
        <f>SUM(L39:M39)</f>
        <v>17</v>
      </c>
      <c r="O39" s="2582">
        <f>SUM(O35:O38)</f>
        <v>11</v>
      </c>
      <c r="P39" s="2708">
        <f>SUM(P35:P38)</f>
        <v>7</v>
      </c>
      <c r="Q39" s="2709">
        <f t="shared" si="4"/>
        <v>18</v>
      </c>
      <c r="R39" s="2582">
        <f>SUM(R35:R38)</f>
        <v>4</v>
      </c>
      <c r="S39" s="2708">
        <f>SUM(S35:S38)</f>
        <v>0</v>
      </c>
      <c r="T39" s="2709">
        <f t="shared" si="6"/>
        <v>4</v>
      </c>
      <c r="U39" s="2582">
        <f>SUM(U35:U38)</f>
        <v>2</v>
      </c>
      <c r="V39" s="2708">
        <f>SUM(V35:V38)</f>
        <v>3</v>
      </c>
      <c r="W39" s="2709">
        <f t="shared" si="5"/>
        <v>5</v>
      </c>
      <c r="X39" s="2582"/>
      <c r="Y39" s="2708"/>
      <c r="Z39" s="2709"/>
      <c r="AA39" s="2582">
        <f>SUM(AA35:AA38)</f>
        <v>5</v>
      </c>
      <c r="AB39" s="2708"/>
      <c r="AC39" s="2709">
        <f>SUM(AC35:AC38)</f>
        <v>5</v>
      </c>
    </row>
    <row r="40" spans="2:29" x14ac:dyDescent="0.3">
      <c r="B40" s="2717" t="s">
        <v>116</v>
      </c>
      <c r="C40" s="2717">
        <f>C39+C34+C29</f>
        <v>19</v>
      </c>
      <c r="D40" s="2718">
        <f>D39+D34+D29</f>
        <v>13</v>
      </c>
      <c r="E40" s="2719">
        <f>E39+E34+E29</f>
        <v>32</v>
      </c>
      <c r="F40" s="2717">
        <f t="shared" ref="F40:K40" si="15">F39+F34+F29</f>
        <v>27</v>
      </c>
      <c r="G40" s="2718">
        <f t="shared" si="15"/>
        <v>20</v>
      </c>
      <c r="H40" s="2719">
        <f t="shared" si="15"/>
        <v>47</v>
      </c>
      <c r="I40" s="2717">
        <f t="shared" si="15"/>
        <v>41</v>
      </c>
      <c r="J40" s="2718">
        <f t="shared" si="15"/>
        <v>38</v>
      </c>
      <c r="K40" s="2719">
        <f t="shared" si="15"/>
        <v>79</v>
      </c>
      <c r="L40" s="2717">
        <f>L39+L34+L29</f>
        <v>30</v>
      </c>
      <c r="M40" s="2718">
        <f>M39+M34+M29</f>
        <v>28</v>
      </c>
      <c r="N40" s="2719">
        <f>SUM(L40:M40)</f>
        <v>58</v>
      </c>
      <c r="O40" s="2717">
        <f>O39+O34+O29</f>
        <v>39</v>
      </c>
      <c r="P40" s="2718">
        <f>P39+P34+P29</f>
        <v>24</v>
      </c>
      <c r="Q40" s="2719">
        <f t="shared" si="4"/>
        <v>63</v>
      </c>
      <c r="R40" s="2717">
        <f>R39+R34+R29</f>
        <v>12</v>
      </c>
      <c r="S40" s="2718">
        <f>S39+S34+S29</f>
        <v>11</v>
      </c>
      <c r="T40" s="2719">
        <f t="shared" si="6"/>
        <v>23</v>
      </c>
      <c r="U40" s="2717">
        <f>U39+U34+U29</f>
        <v>5</v>
      </c>
      <c r="V40" s="2718">
        <f>V39+V34+V29</f>
        <v>5</v>
      </c>
      <c r="W40" s="2719">
        <f t="shared" si="5"/>
        <v>10</v>
      </c>
      <c r="X40" s="2717"/>
      <c r="Y40" s="2718"/>
      <c r="Z40" s="2719"/>
      <c r="AA40" s="2717">
        <f>SUM(AA29,AA34,AA39)</f>
        <v>15</v>
      </c>
      <c r="AB40" s="2718">
        <f>SUM(AB29,AB34,AB39)</f>
        <v>9</v>
      </c>
      <c r="AC40" s="2719">
        <f>SUM(AC29,AC34,AC39)</f>
        <v>24</v>
      </c>
    </row>
    <row r="41" spans="2:29" x14ac:dyDescent="0.3">
      <c r="B41" s="2713" t="s">
        <v>76</v>
      </c>
      <c r="C41" s="2714"/>
      <c r="D41" s="2715"/>
      <c r="E41" s="2716"/>
      <c r="F41" s="2714"/>
      <c r="G41" s="2715">
        <v>1</v>
      </c>
      <c r="H41" s="2716">
        <f t="shared" ref="H41:H50" si="16">SUM(F41:G41)</f>
        <v>1</v>
      </c>
      <c r="I41" s="2714"/>
      <c r="J41" s="2715"/>
      <c r="K41" s="2716"/>
      <c r="L41" s="2714"/>
      <c r="M41" s="2715">
        <v>1</v>
      </c>
      <c r="N41" s="2716">
        <f>SUM(L41:M41)</f>
        <v>1</v>
      </c>
      <c r="O41" s="2714"/>
      <c r="P41" s="2715">
        <v>1</v>
      </c>
      <c r="Q41" s="2716">
        <f t="shared" si="4"/>
        <v>1</v>
      </c>
      <c r="R41" s="2714"/>
      <c r="S41" s="2715"/>
      <c r="T41" s="2716">
        <f t="shared" si="6"/>
        <v>0</v>
      </c>
      <c r="U41" s="2714"/>
      <c r="V41" s="2715"/>
      <c r="W41" s="2716"/>
      <c r="X41" s="2714"/>
      <c r="Y41" s="2715"/>
      <c r="Z41" s="2716"/>
      <c r="AA41" s="2714"/>
      <c r="AB41" s="2715"/>
      <c r="AC41" s="2716"/>
    </row>
    <row r="42" spans="2:29" x14ac:dyDescent="0.3">
      <c r="B42" s="4689" t="s">
        <v>77</v>
      </c>
      <c r="C42" s="2568"/>
      <c r="D42" s="2726"/>
      <c r="E42" s="2703"/>
      <c r="F42" s="2568"/>
      <c r="G42" s="2726"/>
      <c r="H42" s="2703"/>
      <c r="I42" s="2568"/>
      <c r="J42" s="2726"/>
      <c r="K42" s="2703"/>
      <c r="L42" s="2568"/>
      <c r="M42" s="2726"/>
      <c r="N42" s="2703"/>
      <c r="O42" s="2568"/>
      <c r="P42" s="2726"/>
      <c r="Q42" s="2703"/>
      <c r="R42" s="2568"/>
      <c r="S42" s="2726"/>
      <c r="T42" s="2703"/>
      <c r="U42" s="2568"/>
      <c r="V42" s="2726"/>
      <c r="W42" s="2703"/>
      <c r="X42" s="2568"/>
      <c r="Y42" s="2726"/>
      <c r="Z42" s="2704"/>
      <c r="AA42" s="2568"/>
      <c r="AB42" s="2726"/>
      <c r="AC42" s="2704"/>
    </row>
    <row r="43" spans="2:29" x14ac:dyDescent="0.3">
      <c r="B43" s="2572" t="s">
        <v>73</v>
      </c>
      <c r="C43" s="2573"/>
      <c r="D43" s="2707"/>
      <c r="E43" s="2704"/>
      <c r="F43" s="2573"/>
      <c r="G43" s="2707">
        <v>5</v>
      </c>
      <c r="H43" s="2704">
        <f t="shared" si="16"/>
        <v>5</v>
      </c>
      <c r="I43" s="2573"/>
      <c r="J43" s="2707">
        <v>2</v>
      </c>
      <c r="K43" s="2704">
        <f t="shared" ref="K43:K50" si="17">SUM(I43:J43)</f>
        <v>2</v>
      </c>
      <c r="L43" s="2573"/>
      <c r="M43" s="2707"/>
      <c r="N43" s="2704"/>
      <c r="O43" s="2573"/>
      <c r="P43" s="2707">
        <v>2</v>
      </c>
      <c r="Q43" s="2704">
        <f t="shared" ref="Q43:Q71" si="18">SUM(O43:P43)</f>
        <v>2</v>
      </c>
      <c r="R43" s="2573"/>
      <c r="S43" s="2707">
        <v>1</v>
      </c>
      <c r="T43" s="2704">
        <f t="shared" ref="T43:T71" si="19">SUM(R43:S43)</f>
        <v>1</v>
      </c>
      <c r="U43" s="2573"/>
      <c r="V43" s="2707"/>
      <c r="W43" s="2704"/>
      <c r="X43" s="2573"/>
      <c r="Y43" s="2707"/>
      <c r="Z43" s="2704"/>
      <c r="AA43" s="2573"/>
      <c r="AB43" s="2707">
        <v>1</v>
      </c>
      <c r="AC43" s="2704">
        <f>SUM(AA43:AB43)</f>
        <v>1</v>
      </c>
    </row>
    <row r="44" spans="2:29" x14ac:dyDescent="0.3">
      <c r="B44" s="2572" t="s">
        <v>639</v>
      </c>
      <c r="C44" s="2573"/>
      <c r="D44" s="2707"/>
      <c r="E44" s="2704"/>
      <c r="F44" s="2573">
        <v>2</v>
      </c>
      <c r="G44" s="2707">
        <v>2</v>
      </c>
      <c r="H44" s="2704">
        <f t="shared" si="16"/>
        <v>4</v>
      </c>
      <c r="I44" s="2573">
        <v>5</v>
      </c>
      <c r="J44" s="2707">
        <v>3</v>
      </c>
      <c r="K44" s="2704">
        <f t="shared" si="17"/>
        <v>8</v>
      </c>
      <c r="L44" s="2573">
        <v>1</v>
      </c>
      <c r="M44" s="2707">
        <v>1</v>
      </c>
      <c r="N44" s="2704">
        <f t="shared" ref="N44:N71" si="20">SUM(L44:M44)</f>
        <v>2</v>
      </c>
      <c r="O44" s="2573">
        <v>1</v>
      </c>
      <c r="P44" s="2707">
        <v>1</v>
      </c>
      <c r="Q44" s="2704">
        <f t="shared" si="18"/>
        <v>2</v>
      </c>
      <c r="R44" s="2573"/>
      <c r="S44" s="2707"/>
      <c r="T44" s="2704"/>
      <c r="U44" s="2573"/>
      <c r="V44" s="2707"/>
      <c r="W44" s="2704"/>
      <c r="X44" s="2573"/>
      <c r="Y44" s="2707"/>
      <c r="Z44" s="2704"/>
      <c r="AA44" s="2573"/>
      <c r="AB44" s="2707"/>
      <c r="AC44" s="2704"/>
    </row>
    <row r="45" spans="2:29" x14ac:dyDescent="0.3">
      <c r="B45" s="2572" t="s">
        <v>632</v>
      </c>
      <c r="C45" s="2573"/>
      <c r="D45" s="2707">
        <v>1</v>
      </c>
      <c r="E45" s="2704">
        <f t="shared" ref="E45:E46" si="21">SUM(C45:D45)</f>
        <v>1</v>
      </c>
      <c r="F45" s="2573"/>
      <c r="G45" s="2707"/>
      <c r="H45" s="2704"/>
      <c r="I45" s="2573"/>
      <c r="J45" s="2707"/>
      <c r="K45" s="2704"/>
      <c r="L45" s="2573"/>
      <c r="M45" s="2707"/>
      <c r="N45" s="2704"/>
      <c r="O45" s="2573"/>
      <c r="P45" s="2707"/>
      <c r="Q45" s="2704"/>
      <c r="R45" s="2573"/>
      <c r="S45" s="2707"/>
      <c r="T45" s="2704"/>
      <c r="U45" s="2573"/>
      <c r="V45" s="2707"/>
      <c r="W45" s="2704"/>
      <c r="X45" s="2573"/>
      <c r="Y45" s="2707"/>
      <c r="Z45" s="2704"/>
      <c r="AA45" s="2573"/>
      <c r="AB45" s="2707"/>
      <c r="AC45" s="2704"/>
    </row>
    <row r="46" spans="2:29" x14ac:dyDescent="0.3">
      <c r="B46" s="4690" t="s">
        <v>1473</v>
      </c>
      <c r="C46" s="2573">
        <v>1</v>
      </c>
      <c r="D46" s="2707">
        <v>1</v>
      </c>
      <c r="E46" s="2704">
        <f t="shared" si="21"/>
        <v>2</v>
      </c>
      <c r="F46" s="2573">
        <v>4</v>
      </c>
      <c r="G46" s="2707">
        <v>4</v>
      </c>
      <c r="H46" s="2704">
        <f t="shared" si="16"/>
        <v>8</v>
      </c>
      <c r="I46" s="2573"/>
      <c r="J46" s="2707">
        <v>6</v>
      </c>
      <c r="K46" s="2704">
        <f t="shared" si="17"/>
        <v>6</v>
      </c>
      <c r="L46" s="2573">
        <v>1</v>
      </c>
      <c r="M46" s="2707"/>
      <c r="N46" s="2704">
        <f t="shared" si="20"/>
        <v>1</v>
      </c>
      <c r="O46" s="2573">
        <v>1</v>
      </c>
      <c r="P46" s="2707">
        <v>1</v>
      </c>
      <c r="Q46" s="2704">
        <f t="shared" si="18"/>
        <v>2</v>
      </c>
      <c r="R46" s="2573"/>
      <c r="S46" s="2707"/>
      <c r="T46" s="2704"/>
      <c r="U46" s="2573"/>
      <c r="V46" s="2707"/>
      <c r="W46" s="2704"/>
      <c r="X46" s="2573"/>
      <c r="Y46" s="2707"/>
      <c r="Z46" s="2704"/>
      <c r="AA46" s="2573"/>
      <c r="AB46" s="2707"/>
      <c r="AC46" s="2704"/>
    </row>
    <row r="47" spans="2:29" x14ac:dyDescent="0.3">
      <c r="B47" s="2572" t="s">
        <v>641</v>
      </c>
      <c r="C47" s="2573"/>
      <c r="D47" s="2707"/>
      <c r="E47" s="2704"/>
      <c r="F47" s="2573"/>
      <c r="G47" s="2707"/>
      <c r="H47" s="2704"/>
      <c r="I47" s="2573"/>
      <c r="J47" s="2707"/>
      <c r="K47" s="2704"/>
      <c r="L47" s="2573"/>
      <c r="M47" s="2707"/>
      <c r="N47" s="2704"/>
      <c r="O47" s="2573"/>
      <c r="P47" s="2707"/>
      <c r="Q47" s="2704"/>
      <c r="R47" s="2573">
        <v>1</v>
      </c>
      <c r="S47" s="2707"/>
      <c r="T47" s="2704">
        <f t="shared" si="19"/>
        <v>1</v>
      </c>
      <c r="U47" s="2573"/>
      <c r="V47" s="2707"/>
      <c r="W47" s="2704"/>
      <c r="X47" s="2573"/>
      <c r="Y47" s="2707"/>
      <c r="Z47" s="2704"/>
      <c r="AA47" s="2573"/>
      <c r="AB47" s="2707"/>
      <c r="AC47" s="2704"/>
    </row>
    <row r="48" spans="2:29" x14ac:dyDescent="0.3">
      <c r="B48" s="2572" t="s">
        <v>638</v>
      </c>
      <c r="C48" s="2573"/>
      <c r="D48" s="2707"/>
      <c r="E48" s="2704"/>
      <c r="F48" s="2573"/>
      <c r="G48" s="2707">
        <v>1</v>
      </c>
      <c r="H48" s="2704">
        <f t="shared" si="16"/>
        <v>1</v>
      </c>
      <c r="I48" s="2573">
        <v>1</v>
      </c>
      <c r="J48" s="2707">
        <v>1</v>
      </c>
      <c r="K48" s="2704">
        <f t="shared" si="17"/>
        <v>2</v>
      </c>
      <c r="L48" s="2573">
        <v>1</v>
      </c>
      <c r="M48" s="2707">
        <v>1</v>
      </c>
      <c r="N48" s="2704">
        <f t="shared" si="20"/>
        <v>2</v>
      </c>
      <c r="O48" s="2573">
        <v>1</v>
      </c>
      <c r="P48" s="2707">
        <v>2</v>
      </c>
      <c r="Q48" s="2704">
        <f t="shared" si="18"/>
        <v>3</v>
      </c>
      <c r="R48" s="2573"/>
      <c r="S48" s="2707"/>
      <c r="T48" s="2704"/>
      <c r="U48" s="2573"/>
      <c r="V48" s="2707"/>
      <c r="W48" s="2704"/>
      <c r="X48" s="2573"/>
      <c r="Y48" s="2707"/>
      <c r="Z48" s="2704"/>
      <c r="AA48" s="2573"/>
      <c r="AB48" s="2707"/>
      <c r="AC48" s="2704"/>
    </row>
    <row r="49" spans="2:29" x14ac:dyDescent="0.3">
      <c r="B49" s="2572" t="s">
        <v>74</v>
      </c>
      <c r="C49" s="2573"/>
      <c r="D49" s="2707"/>
      <c r="E49" s="2704"/>
      <c r="F49" s="2573">
        <v>1</v>
      </c>
      <c r="G49" s="2707">
        <v>1</v>
      </c>
      <c r="H49" s="2704">
        <f t="shared" si="16"/>
        <v>2</v>
      </c>
      <c r="I49" s="2573">
        <v>1</v>
      </c>
      <c r="J49" s="2707">
        <v>0</v>
      </c>
      <c r="K49" s="2704">
        <f t="shared" si="17"/>
        <v>1</v>
      </c>
      <c r="L49" s="2573"/>
      <c r="M49" s="2707"/>
      <c r="N49" s="2704"/>
      <c r="O49" s="2573"/>
      <c r="P49" s="2707">
        <v>1</v>
      </c>
      <c r="Q49" s="2704">
        <f t="shared" si="18"/>
        <v>1</v>
      </c>
      <c r="R49" s="2573"/>
      <c r="S49" s="2707"/>
      <c r="T49" s="2704"/>
      <c r="U49" s="2573"/>
      <c r="V49" s="2707"/>
      <c r="W49" s="2704"/>
      <c r="X49" s="2573"/>
      <c r="Y49" s="2707"/>
      <c r="Z49" s="2704"/>
      <c r="AA49" s="2573"/>
      <c r="AB49" s="2707"/>
      <c r="AC49" s="2704"/>
    </row>
    <row r="50" spans="2:29" x14ac:dyDescent="0.3">
      <c r="B50" s="2572" t="s">
        <v>75</v>
      </c>
      <c r="C50" s="2573"/>
      <c r="D50" s="2707"/>
      <c r="E50" s="2704"/>
      <c r="F50" s="2573"/>
      <c r="G50" s="2707">
        <v>3</v>
      </c>
      <c r="H50" s="2704">
        <f t="shared" si="16"/>
        <v>3</v>
      </c>
      <c r="I50" s="2573">
        <v>1</v>
      </c>
      <c r="J50" s="2707">
        <v>3</v>
      </c>
      <c r="K50" s="2704">
        <f t="shared" si="17"/>
        <v>4</v>
      </c>
      <c r="L50" s="2573"/>
      <c r="M50" s="2707"/>
      <c r="N50" s="2704"/>
      <c r="O50" s="2573"/>
      <c r="P50" s="2707"/>
      <c r="Q50" s="2704"/>
      <c r="R50" s="2573"/>
      <c r="S50" s="2707"/>
      <c r="T50" s="2704"/>
      <c r="U50" s="2573"/>
      <c r="V50" s="2707"/>
      <c r="W50" s="2704"/>
      <c r="X50" s="2573"/>
      <c r="Y50" s="2707"/>
      <c r="Z50" s="2704"/>
      <c r="AA50" s="2573"/>
      <c r="AB50" s="2707"/>
      <c r="AC50" s="2704"/>
    </row>
    <row r="51" spans="2:29" x14ac:dyDescent="0.3">
      <c r="B51" s="2577" t="s">
        <v>59</v>
      </c>
      <c r="C51" s="2578">
        <f>SUM(C41:C50)</f>
        <v>1</v>
      </c>
      <c r="D51" s="2705">
        <f>SUM(D41:D50)</f>
        <v>2</v>
      </c>
      <c r="E51" s="2706">
        <f>SUM(E41:E50)</f>
        <v>3</v>
      </c>
      <c r="F51" s="2578">
        <f t="shared" ref="F51:K51" si="22">SUM(F41:F50)</f>
        <v>7</v>
      </c>
      <c r="G51" s="2705">
        <f t="shared" si="22"/>
        <v>17</v>
      </c>
      <c r="H51" s="2706">
        <f t="shared" si="22"/>
        <v>24</v>
      </c>
      <c r="I51" s="2578">
        <f t="shared" si="22"/>
        <v>8</v>
      </c>
      <c r="J51" s="2705">
        <f t="shared" si="22"/>
        <v>15</v>
      </c>
      <c r="K51" s="2706">
        <f t="shared" si="22"/>
        <v>23</v>
      </c>
      <c r="L51" s="2578">
        <f>SUM(L41:L50)</f>
        <v>3</v>
      </c>
      <c r="M51" s="2705">
        <f>SUM(M41:M50)</f>
        <v>3</v>
      </c>
      <c r="N51" s="2706">
        <f t="shared" si="20"/>
        <v>6</v>
      </c>
      <c r="O51" s="2578">
        <f>SUM(O41:O50)</f>
        <v>3</v>
      </c>
      <c r="P51" s="2705">
        <f>SUM(P41:P50)</f>
        <v>8</v>
      </c>
      <c r="Q51" s="2706">
        <f t="shared" si="18"/>
        <v>11</v>
      </c>
      <c r="R51" s="2578">
        <f>SUM(R41:R50)</f>
        <v>1</v>
      </c>
      <c r="S51" s="2705">
        <f>SUM(S41:S50)</f>
        <v>1</v>
      </c>
      <c r="T51" s="2706">
        <f t="shared" si="19"/>
        <v>2</v>
      </c>
      <c r="U51" s="2578">
        <f>SUM(U41:U50)</f>
        <v>0</v>
      </c>
      <c r="V51" s="2705">
        <f>SUM(V41:V50)</f>
        <v>0</v>
      </c>
      <c r="W51" s="2706">
        <f t="shared" ref="W51:W71" si="23">SUM(U51:V51)</f>
        <v>0</v>
      </c>
      <c r="X51" s="2578"/>
      <c r="Y51" s="2705"/>
      <c r="Z51" s="2706"/>
      <c r="AA51" s="2578"/>
      <c r="AB51" s="2705">
        <f>SUM(AB41:AB50)</f>
        <v>1</v>
      </c>
      <c r="AC51" s="2706">
        <f>SUM(AC41:AC50)</f>
        <v>1</v>
      </c>
    </row>
    <row r="52" spans="2:29" x14ac:dyDescent="0.3">
      <c r="B52" s="2572" t="s">
        <v>60</v>
      </c>
      <c r="C52" s="2573"/>
      <c r="D52" s="2707"/>
      <c r="E52" s="2704"/>
      <c r="F52" s="2573">
        <v>3</v>
      </c>
      <c r="G52" s="2707"/>
      <c r="H52" s="2704">
        <f t="shared" ref="H52:H62" si="24">SUM(F52:G52)</f>
        <v>3</v>
      </c>
      <c r="I52" s="2573">
        <v>2</v>
      </c>
      <c r="J52" s="2707">
        <v>3</v>
      </c>
      <c r="K52" s="2704">
        <f t="shared" ref="K52:K61" si="25">SUM(I52:J52)</f>
        <v>5</v>
      </c>
      <c r="L52" s="2573">
        <v>3</v>
      </c>
      <c r="M52" s="2707">
        <v>2</v>
      </c>
      <c r="N52" s="2704">
        <f t="shared" si="20"/>
        <v>5</v>
      </c>
      <c r="O52" s="2573">
        <v>6</v>
      </c>
      <c r="P52" s="2707">
        <v>5</v>
      </c>
      <c r="Q52" s="2704">
        <f t="shared" si="18"/>
        <v>11</v>
      </c>
      <c r="R52" s="2573"/>
      <c r="S52" s="2707"/>
      <c r="T52" s="2704"/>
      <c r="U52" s="2573"/>
      <c r="V52" s="2707"/>
      <c r="W52" s="2704"/>
      <c r="X52" s="2573"/>
      <c r="Y52" s="2707"/>
      <c r="Z52" s="2704"/>
      <c r="AA52" s="2573"/>
      <c r="AB52" s="2707"/>
      <c r="AC52" s="2704"/>
    </row>
    <row r="53" spans="2:29" x14ac:dyDescent="0.3">
      <c r="B53" s="2572" t="s">
        <v>78</v>
      </c>
      <c r="C53" s="2573">
        <v>1</v>
      </c>
      <c r="D53" s="2707"/>
      <c r="E53" s="2704">
        <f t="shared" ref="E53:E62" si="26">SUM(C53:D53)</f>
        <v>1</v>
      </c>
      <c r="F53" s="2573">
        <v>6</v>
      </c>
      <c r="G53" s="2707">
        <v>1</v>
      </c>
      <c r="H53" s="2704">
        <f t="shared" si="24"/>
        <v>7</v>
      </c>
      <c r="I53" s="2573">
        <v>2</v>
      </c>
      <c r="J53" s="2707">
        <v>2</v>
      </c>
      <c r="K53" s="2704">
        <f t="shared" si="25"/>
        <v>4</v>
      </c>
      <c r="L53" s="2573">
        <v>2</v>
      </c>
      <c r="M53" s="2707">
        <v>1</v>
      </c>
      <c r="N53" s="2704">
        <f t="shared" si="20"/>
        <v>3</v>
      </c>
      <c r="O53" s="2573">
        <v>3</v>
      </c>
      <c r="P53" s="2707"/>
      <c r="Q53" s="2704">
        <f t="shared" si="18"/>
        <v>3</v>
      </c>
      <c r="R53" s="2573"/>
      <c r="S53" s="2707"/>
      <c r="T53" s="2704"/>
      <c r="U53" s="2573"/>
      <c r="V53" s="2707"/>
      <c r="W53" s="2704"/>
      <c r="X53" s="2573"/>
      <c r="Y53" s="2707"/>
      <c r="Z53" s="2704"/>
      <c r="AA53" s="2573"/>
      <c r="AB53" s="2707"/>
      <c r="AC53" s="2704"/>
    </row>
    <row r="54" spans="2:29" x14ac:dyDescent="0.3">
      <c r="B54" s="2572" t="s">
        <v>83</v>
      </c>
      <c r="C54" s="2573"/>
      <c r="D54" s="2707">
        <v>1</v>
      </c>
      <c r="E54" s="2704">
        <f t="shared" si="26"/>
        <v>1</v>
      </c>
      <c r="F54" s="2573">
        <v>3</v>
      </c>
      <c r="G54" s="2707">
        <v>1</v>
      </c>
      <c r="H54" s="2704">
        <f t="shared" si="24"/>
        <v>4</v>
      </c>
      <c r="I54" s="2573">
        <v>4</v>
      </c>
      <c r="J54" s="2707">
        <v>5</v>
      </c>
      <c r="K54" s="2704">
        <f t="shared" si="25"/>
        <v>9</v>
      </c>
      <c r="L54" s="2573">
        <v>1</v>
      </c>
      <c r="M54" s="2707"/>
      <c r="N54" s="2704">
        <f t="shared" si="20"/>
        <v>1</v>
      </c>
      <c r="O54" s="2573">
        <v>3</v>
      </c>
      <c r="P54" s="2707"/>
      <c r="Q54" s="2704">
        <f t="shared" si="18"/>
        <v>3</v>
      </c>
      <c r="R54" s="2573">
        <v>1</v>
      </c>
      <c r="S54" s="2707"/>
      <c r="T54" s="2704">
        <f t="shared" si="19"/>
        <v>1</v>
      </c>
      <c r="U54" s="2573"/>
      <c r="V54" s="2707"/>
      <c r="W54" s="2704"/>
      <c r="X54" s="2573"/>
      <c r="Y54" s="2707"/>
      <c r="Z54" s="2704"/>
      <c r="AA54" s="2573"/>
      <c r="AB54" s="2707"/>
      <c r="AC54" s="2704"/>
    </row>
    <row r="55" spans="2:29" x14ac:dyDescent="0.3">
      <c r="B55" s="2572" t="s">
        <v>62</v>
      </c>
      <c r="C55" s="2573"/>
      <c r="D55" s="2707"/>
      <c r="E55" s="2704"/>
      <c r="F55" s="2573">
        <v>1</v>
      </c>
      <c r="G55" s="2707"/>
      <c r="H55" s="2704">
        <f t="shared" si="24"/>
        <v>1</v>
      </c>
      <c r="I55" s="2573"/>
      <c r="J55" s="2707">
        <v>2</v>
      </c>
      <c r="K55" s="2704">
        <f t="shared" si="25"/>
        <v>2</v>
      </c>
      <c r="L55" s="2573">
        <v>1</v>
      </c>
      <c r="M55" s="2707">
        <v>1</v>
      </c>
      <c r="N55" s="2704">
        <f t="shared" si="20"/>
        <v>2</v>
      </c>
      <c r="O55" s="2573"/>
      <c r="P55" s="2707"/>
      <c r="Q55" s="2704"/>
      <c r="R55" s="2573"/>
      <c r="S55" s="2707"/>
      <c r="T55" s="2704"/>
      <c r="U55" s="2573"/>
      <c r="V55" s="2707"/>
      <c r="W55" s="2704"/>
      <c r="X55" s="2573"/>
      <c r="Y55" s="2707"/>
      <c r="Z55" s="2704"/>
      <c r="AA55" s="2573">
        <v>1</v>
      </c>
      <c r="AB55" s="2707"/>
      <c r="AC55" s="2704">
        <f>SUM(AA55:AB55)</f>
        <v>1</v>
      </c>
    </row>
    <row r="56" spans="2:29" x14ac:dyDescent="0.3">
      <c r="B56" s="2572" t="s">
        <v>80</v>
      </c>
      <c r="C56" s="2573"/>
      <c r="D56" s="2707">
        <v>1</v>
      </c>
      <c r="E56" s="2704">
        <f t="shared" si="26"/>
        <v>1</v>
      </c>
      <c r="F56" s="2573">
        <v>1</v>
      </c>
      <c r="G56" s="2707">
        <v>3</v>
      </c>
      <c r="H56" s="2704">
        <f t="shared" si="24"/>
        <v>4</v>
      </c>
      <c r="I56" s="2573">
        <v>3</v>
      </c>
      <c r="J56" s="2707">
        <v>6</v>
      </c>
      <c r="K56" s="2704">
        <f t="shared" si="25"/>
        <v>9</v>
      </c>
      <c r="L56" s="2573"/>
      <c r="M56" s="2707">
        <v>1</v>
      </c>
      <c r="N56" s="2704">
        <f t="shared" si="20"/>
        <v>1</v>
      </c>
      <c r="O56" s="2573">
        <v>2</v>
      </c>
      <c r="P56" s="2707"/>
      <c r="Q56" s="2704">
        <f t="shared" si="18"/>
        <v>2</v>
      </c>
      <c r="R56" s="2573"/>
      <c r="S56" s="2707"/>
      <c r="T56" s="2704"/>
      <c r="U56" s="2573"/>
      <c r="V56" s="2707"/>
      <c r="W56" s="2704"/>
      <c r="X56" s="2573"/>
      <c r="Y56" s="2707"/>
      <c r="Z56" s="2704"/>
      <c r="AA56" s="2573"/>
      <c r="AB56" s="2707"/>
      <c r="AC56" s="2704"/>
    </row>
    <row r="57" spans="2:29" x14ac:dyDescent="0.3">
      <c r="B57" s="2572" t="s">
        <v>85</v>
      </c>
      <c r="C57" s="2573"/>
      <c r="D57" s="2707">
        <v>3</v>
      </c>
      <c r="E57" s="2704">
        <f t="shared" si="26"/>
        <v>3</v>
      </c>
      <c r="F57" s="2573"/>
      <c r="G57" s="2707">
        <v>3</v>
      </c>
      <c r="H57" s="2704">
        <f t="shared" si="24"/>
        <v>3</v>
      </c>
      <c r="I57" s="2573">
        <v>1</v>
      </c>
      <c r="J57" s="2707"/>
      <c r="K57" s="2704">
        <f t="shared" si="25"/>
        <v>1</v>
      </c>
      <c r="L57" s="2573"/>
      <c r="M57" s="2707">
        <v>1</v>
      </c>
      <c r="N57" s="2704">
        <f t="shared" si="20"/>
        <v>1</v>
      </c>
      <c r="O57" s="2573"/>
      <c r="P57" s="2707"/>
      <c r="Q57" s="2704"/>
      <c r="R57" s="2573"/>
      <c r="S57" s="2707"/>
      <c r="T57" s="2704"/>
      <c r="U57" s="2573"/>
      <c r="V57" s="2707"/>
      <c r="W57" s="2704"/>
      <c r="X57" s="2573"/>
      <c r="Y57" s="2707"/>
      <c r="Z57" s="2704"/>
      <c r="AA57" s="2573">
        <v>1</v>
      </c>
      <c r="AB57" s="2707"/>
      <c r="AC57" s="2704">
        <f t="shared" ref="AC57" si="27">SUM(AA57:AB57)</f>
        <v>1</v>
      </c>
    </row>
    <row r="58" spans="2:29" x14ac:dyDescent="0.3">
      <c r="B58" s="2572" t="s">
        <v>81</v>
      </c>
      <c r="C58" s="2573"/>
      <c r="D58" s="2707"/>
      <c r="E58" s="2704"/>
      <c r="F58" s="2573">
        <v>1</v>
      </c>
      <c r="G58" s="2707"/>
      <c r="H58" s="2704">
        <f t="shared" si="24"/>
        <v>1</v>
      </c>
      <c r="I58" s="2573">
        <v>1</v>
      </c>
      <c r="J58" s="2707"/>
      <c r="K58" s="2704">
        <f t="shared" si="25"/>
        <v>1</v>
      </c>
      <c r="L58" s="2573">
        <v>2</v>
      </c>
      <c r="M58" s="2707">
        <v>1</v>
      </c>
      <c r="N58" s="2704">
        <f t="shared" si="20"/>
        <v>3</v>
      </c>
      <c r="O58" s="2573">
        <v>1</v>
      </c>
      <c r="P58" s="2707">
        <v>1</v>
      </c>
      <c r="Q58" s="2704">
        <f t="shared" si="18"/>
        <v>2</v>
      </c>
      <c r="R58" s="2573"/>
      <c r="S58" s="2707"/>
      <c r="T58" s="2704"/>
      <c r="U58" s="2573"/>
      <c r="V58" s="2707"/>
      <c r="W58" s="2704"/>
      <c r="X58" s="2573"/>
      <c r="Y58" s="2707"/>
      <c r="Z58" s="2704"/>
      <c r="AA58" s="2573"/>
      <c r="AB58" s="2707"/>
      <c r="AC58" s="2704"/>
    </row>
    <row r="59" spans="2:29" x14ac:dyDescent="0.3">
      <c r="B59" s="2572" t="s">
        <v>79</v>
      </c>
      <c r="C59" s="2573">
        <v>1</v>
      </c>
      <c r="D59" s="2707"/>
      <c r="E59" s="2704">
        <f t="shared" si="26"/>
        <v>1</v>
      </c>
      <c r="F59" s="2573">
        <v>1</v>
      </c>
      <c r="G59" s="2707">
        <v>1</v>
      </c>
      <c r="H59" s="2704">
        <f t="shared" si="24"/>
        <v>2</v>
      </c>
      <c r="I59" s="2573">
        <v>4</v>
      </c>
      <c r="J59" s="2707">
        <v>3</v>
      </c>
      <c r="K59" s="2704">
        <f t="shared" si="25"/>
        <v>7</v>
      </c>
      <c r="L59" s="2573"/>
      <c r="M59" s="2707"/>
      <c r="N59" s="2704"/>
      <c r="O59" s="2573">
        <v>4</v>
      </c>
      <c r="P59" s="2707"/>
      <c r="Q59" s="2704">
        <f t="shared" si="18"/>
        <v>4</v>
      </c>
      <c r="R59" s="2573"/>
      <c r="S59" s="2707"/>
      <c r="T59" s="2704"/>
      <c r="U59" s="2573"/>
      <c r="V59" s="2707"/>
      <c r="W59" s="2704"/>
      <c r="X59" s="2573"/>
      <c r="Y59" s="2707"/>
      <c r="Z59" s="2704"/>
      <c r="AA59" s="2573"/>
      <c r="AB59" s="2707"/>
      <c r="AC59" s="2704"/>
    </row>
    <row r="60" spans="2:29" x14ac:dyDescent="0.3">
      <c r="B60" s="2572" t="s">
        <v>82</v>
      </c>
      <c r="C60" s="2573">
        <v>2</v>
      </c>
      <c r="D60" s="2707"/>
      <c r="E60" s="2704">
        <f t="shared" si="26"/>
        <v>2</v>
      </c>
      <c r="F60" s="2573">
        <v>2</v>
      </c>
      <c r="G60" s="2707"/>
      <c r="H60" s="2704">
        <f t="shared" si="24"/>
        <v>2</v>
      </c>
      <c r="I60" s="2573"/>
      <c r="J60" s="2707">
        <v>1</v>
      </c>
      <c r="K60" s="2704">
        <f t="shared" si="25"/>
        <v>1</v>
      </c>
      <c r="L60" s="2573"/>
      <c r="M60" s="2707"/>
      <c r="N60" s="2704"/>
      <c r="O60" s="2573">
        <v>1</v>
      </c>
      <c r="P60" s="2707"/>
      <c r="Q60" s="2704">
        <f t="shared" si="18"/>
        <v>1</v>
      </c>
      <c r="R60" s="2573"/>
      <c r="S60" s="2707"/>
      <c r="T60" s="2704"/>
      <c r="U60" s="2573"/>
      <c r="V60" s="2707"/>
      <c r="W60" s="2704"/>
      <c r="X60" s="2573"/>
      <c r="Y60" s="2707"/>
      <c r="Z60" s="2704"/>
      <c r="AA60" s="2573"/>
      <c r="AB60" s="2707"/>
      <c r="AC60" s="2704"/>
    </row>
    <row r="61" spans="2:29" x14ac:dyDescent="0.3">
      <c r="B61" s="2572" t="s">
        <v>84</v>
      </c>
      <c r="C61" s="2573"/>
      <c r="D61" s="2707">
        <v>1</v>
      </c>
      <c r="E61" s="2704">
        <f t="shared" si="26"/>
        <v>1</v>
      </c>
      <c r="F61" s="2573"/>
      <c r="G61" s="2707"/>
      <c r="H61" s="2704"/>
      <c r="I61" s="2573">
        <v>2</v>
      </c>
      <c r="J61" s="2707">
        <v>2</v>
      </c>
      <c r="K61" s="2704">
        <f t="shared" si="25"/>
        <v>4</v>
      </c>
      <c r="L61" s="2573">
        <v>1</v>
      </c>
      <c r="M61" s="2707"/>
      <c r="N61" s="2704">
        <f t="shared" si="20"/>
        <v>1</v>
      </c>
      <c r="O61" s="2573">
        <v>1</v>
      </c>
      <c r="P61" s="2707"/>
      <c r="Q61" s="2704">
        <f t="shared" si="18"/>
        <v>1</v>
      </c>
      <c r="R61" s="2573"/>
      <c r="S61" s="2707"/>
      <c r="T61" s="2704"/>
      <c r="U61" s="2573"/>
      <c r="V61" s="2707"/>
      <c r="W61" s="2704"/>
      <c r="X61" s="2573"/>
      <c r="Y61" s="2707"/>
      <c r="Z61" s="2704"/>
      <c r="AA61" s="2573"/>
      <c r="AB61" s="2707"/>
      <c r="AC61" s="2704"/>
    </row>
    <row r="62" spans="2:29" x14ac:dyDescent="0.3">
      <c r="B62" s="2572" t="s">
        <v>63</v>
      </c>
      <c r="C62" s="2573"/>
      <c r="D62" s="2707">
        <v>1</v>
      </c>
      <c r="E62" s="2704">
        <f t="shared" si="26"/>
        <v>1</v>
      </c>
      <c r="F62" s="2573">
        <v>2</v>
      </c>
      <c r="G62" s="2707"/>
      <c r="H62" s="2704">
        <f t="shared" si="24"/>
        <v>2</v>
      </c>
      <c r="I62" s="2573">
        <v>1</v>
      </c>
      <c r="J62" s="2707"/>
      <c r="K62" s="2704">
        <f>SUM(I62:J62)</f>
        <v>1</v>
      </c>
      <c r="L62" s="2573"/>
      <c r="M62" s="2707"/>
      <c r="N62" s="2704"/>
      <c r="O62" s="2573">
        <v>2</v>
      </c>
      <c r="P62" s="2707">
        <v>1</v>
      </c>
      <c r="Q62" s="2704">
        <f t="shared" si="18"/>
        <v>3</v>
      </c>
      <c r="R62" s="2573"/>
      <c r="S62" s="2707"/>
      <c r="T62" s="2704"/>
      <c r="U62" s="2573"/>
      <c r="V62" s="2707">
        <v>1</v>
      </c>
      <c r="W62" s="2704">
        <f t="shared" si="23"/>
        <v>1</v>
      </c>
      <c r="X62" s="2573"/>
      <c r="Y62" s="2707"/>
      <c r="Z62" s="2704"/>
      <c r="AA62" s="2573"/>
      <c r="AB62" s="2707"/>
      <c r="AC62" s="2704"/>
    </row>
    <row r="63" spans="2:29" x14ac:dyDescent="0.3">
      <c r="B63" s="2577" t="s">
        <v>64</v>
      </c>
      <c r="C63" s="2578">
        <f t="shared" ref="C63:H63" si="28">SUM(C52:C62)</f>
        <v>4</v>
      </c>
      <c r="D63" s="2705">
        <f t="shared" si="28"/>
        <v>7</v>
      </c>
      <c r="E63" s="2706">
        <f t="shared" si="28"/>
        <v>11</v>
      </c>
      <c r="F63" s="2578">
        <f t="shared" si="28"/>
        <v>20</v>
      </c>
      <c r="G63" s="2705">
        <f t="shared" si="28"/>
        <v>9</v>
      </c>
      <c r="H63" s="2706">
        <f t="shared" si="28"/>
        <v>29</v>
      </c>
      <c r="I63" s="2578">
        <f>SUM(I52:I62)</f>
        <v>20</v>
      </c>
      <c r="J63" s="2705">
        <f>SUM(J52:J62)</f>
        <v>24</v>
      </c>
      <c r="K63" s="2706">
        <f>SUM(K52:K62)</f>
        <v>44</v>
      </c>
      <c r="L63" s="2578">
        <f>SUM(L52:L62)</f>
        <v>10</v>
      </c>
      <c r="M63" s="2705">
        <f>SUM(M52:M62)</f>
        <v>7</v>
      </c>
      <c r="N63" s="2706">
        <f t="shared" si="20"/>
        <v>17</v>
      </c>
      <c r="O63" s="2578">
        <f>SUM(O52:O62)</f>
        <v>23</v>
      </c>
      <c r="P63" s="2705">
        <f>SUM(P52:P62)</f>
        <v>7</v>
      </c>
      <c r="Q63" s="2706">
        <f t="shared" si="18"/>
        <v>30</v>
      </c>
      <c r="R63" s="2578">
        <f>SUM(R52:R62)</f>
        <v>1</v>
      </c>
      <c r="S63" s="2705">
        <f>SUM(S52:S62)</f>
        <v>0</v>
      </c>
      <c r="T63" s="2706">
        <f t="shared" si="19"/>
        <v>1</v>
      </c>
      <c r="U63" s="2578">
        <f>SUM(U52:U62)</f>
        <v>0</v>
      </c>
      <c r="V63" s="2705">
        <f>SUM(V52:V62)</f>
        <v>1</v>
      </c>
      <c r="W63" s="2706">
        <f t="shared" si="23"/>
        <v>1</v>
      </c>
      <c r="X63" s="2578"/>
      <c r="Y63" s="2705"/>
      <c r="Z63" s="2706"/>
      <c r="AA63" s="2578">
        <f>SUM(AA52:AA62)</f>
        <v>2</v>
      </c>
      <c r="AB63" s="2705"/>
      <c r="AC63" s="2706">
        <f>SUM(AC52:AC62)</f>
        <v>2</v>
      </c>
    </row>
    <row r="64" spans="2:29" x14ac:dyDescent="0.3">
      <c r="B64" s="2572" t="s">
        <v>86</v>
      </c>
      <c r="C64" s="2573"/>
      <c r="D64" s="2707"/>
      <c r="E64" s="2704"/>
      <c r="F64" s="2573">
        <v>4</v>
      </c>
      <c r="G64" s="2707">
        <v>2</v>
      </c>
      <c r="H64" s="2704">
        <f t="shared" ref="H64:H69" si="29">SUM(F64:G64)</f>
        <v>6</v>
      </c>
      <c r="I64" s="2573">
        <v>5</v>
      </c>
      <c r="J64" s="2707">
        <v>3</v>
      </c>
      <c r="K64" s="2704">
        <f t="shared" ref="K64:K69" si="30">SUM(I64:J64)</f>
        <v>8</v>
      </c>
      <c r="L64" s="2573"/>
      <c r="M64" s="2707"/>
      <c r="N64" s="2704"/>
      <c r="O64" s="2573">
        <v>1</v>
      </c>
      <c r="P64" s="2707"/>
      <c r="Q64" s="2704">
        <f t="shared" si="18"/>
        <v>1</v>
      </c>
      <c r="R64" s="2573"/>
      <c r="S64" s="2707">
        <v>1</v>
      </c>
      <c r="T64" s="2704">
        <f t="shared" si="19"/>
        <v>1</v>
      </c>
      <c r="U64" s="2573"/>
      <c r="V64" s="2707"/>
      <c r="W64" s="2704"/>
      <c r="X64" s="2573"/>
      <c r="Y64" s="2707"/>
      <c r="Z64" s="2704"/>
      <c r="AA64" s="2573"/>
      <c r="AB64" s="2707">
        <v>1</v>
      </c>
      <c r="AC64" s="2704">
        <f>SUM(AA64:AB64)</f>
        <v>1</v>
      </c>
    </row>
    <row r="65" spans="2:29" x14ac:dyDescent="0.3">
      <c r="B65" s="2572" t="s">
        <v>87</v>
      </c>
      <c r="C65" s="2573"/>
      <c r="D65" s="2707"/>
      <c r="E65" s="2704"/>
      <c r="F65" s="2573"/>
      <c r="G65" s="2707">
        <v>1</v>
      </c>
      <c r="H65" s="2704">
        <f t="shared" si="29"/>
        <v>1</v>
      </c>
      <c r="I65" s="2573">
        <v>5</v>
      </c>
      <c r="J65" s="2707">
        <v>3</v>
      </c>
      <c r="K65" s="2704">
        <f t="shared" si="30"/>
        <v>8</v>
      </c>
      <c r="L65" s="2573">
        <v>3</v>
      </c>
      <c r="M65" s="2707">
        <v>1</v>
      </c>
      <c r="N65" s="2704">
        <f t="shared" si="20"/>
        <v>4</v>
      </c>
      <c r="O65" s="2573">
        <v>2</v>
      </c>
      <c r="P65" s="2707">
        <v>1</v>
      </c>
      <c r="Q65" s="2704">
        <f t="shared" si="18"/>
        <v>3</v>
      </c>
      <c r="R65" s="2573"/>
      <c r="S65" s="2707"/>
      <c r="T65" s="2704"/>
      <c r="U65" s="2573"/>
      <c r="V65" s="2707"/>
      <c r="W65" s="2704"/>
      <c r="X65" s="2573"/>
      <c r="Y65" s="2707"/>
      <c r="Z65" s="2704"/>
      <c r="AA65" s="2573"/>
      <c r="AB65" s="2707"/>
      <c r="AC65" s="2704"/>
    </row>
    <row r="66" spans="2:29" x14ac:dyDescent="0.3">
      <c r="B66" s="2572" t="s">
        <v>88</v>
      </c>
      <c r="C66" s="2573"/>
      <c r="D66" s="2707"/>
      <c r="E66" s="2704"/>
      <c r="F66" s="2573">
        <v>2</v>
      </c>
      <c r="G66" s="2707">
        <v>2</v>
      </c>
      <c r="H66" s="2704">
        <f t="shared" si="29"/>
        <v>4</v>
      </c>
      <c r="I66" s="2573">
        <v>1</v>
      </c>
      <c r="J66" s="2707">
        <v>1</v>
      </c>
      <c r="K66" s="2704">
        <f t="shared" si="30"/>
        <v>2</v>
      </c>
      <c r="L66" s="2573">
        <v>1</v>
      </c>
      <c r="M66" s="2707"/>
      <c r="N66" s="2704">
        <f t="shared" si="20"/>
        <v>1</v>
      </c>
      <c r="O66" s="2573"/>
      <c r="P66" s="2707"/>
      <c r="Q66" s="2704"/>
      <c r="R66" s="2573"/>
      <c r="S66" s="2707"/>
      <c r="T66" s="2704"/>
      <c r="U66" s="2573"/>
      <c r="V66" s="2707"/>
      <c r="W66" s="2704"/>
      <c r="X66" s="2573"/>
      <c r="Y66" s="2707"/>
      <c r="Z66" s="2704"/>
      <c r="AA66" s="2573">
        <v>1</v>
      </c>
      <c r="AB66" s="2707"/>
      <c r="AC66" s="2704">
        <f t="shared" ref="AC66" si="31">SUM(AA66:AB66)</f>
        <v>1</v>
      </c>
    </row>
    <row r="67" spans="2:29" x14ac:dyDescent="0.3">
      <c r="B67" s="2572" t="s">
        <v>180</v>
      </c>
      <c r="C67" s="2573"/>
      <c r="D67" s="2707"/>
      <c r="E67" s="2704"/>
      <c r="F67" s="2573">
        <v>1</v>
      </c>
      <c r="G67" s="2707">
        <v>1</v>
      </c>
      <c r="H67" s="2704">
        <f t="shared" si="29"/>
        <v>2</v>
      </c>
      <c r="I67" s="2573">
        <v>2</v>
      </c>
      <c r="J67" s="2707">
        <v>1</v>
      </c>
      <c r="K67" s="2704">
        <f t="shared" si="30"/>
        <v>3</v>
      </c>
      <c r="L67" s="2573">
        <v>1</v>
      </c>
      <c r="M67" s="2707">
        <v>1</v>
      </c>
      <c r="N67" s="2704">
        <f t="shared" si="20"/>
        <v>2</v>
      </c>
      <c r="O67" s="2573">
        <v>1</v>
      </c>
      <c r="P67" s="2707">
        <v>1</v>
      </c>
      <c r="Q67" s="2704">
        <f t="shared" si="18"/>
        <v>2</v>
      </c>
      <c r="R67" s="2573">
        <v>1</v>
      </c>
      <c r="S67" s="2707"/>
      <c r="T67" s="2704">
        <f t="shared" si="19"/>
        <v>1</v>
      </c>
      <c r="U67" s="2573"/>
      <c r="V67" s="2707"/>
      <c r="W67" s="2704"/>
      <c r="X67" s="2573"/>
      <c r="Y67" s="2707"/>
      <c r="Z67" s="2704"/>
      <c r="AA67" s="2573"/>
      <c r="AB67" s="2707"/>
      <c r="AC67" s="2704"/>
    </row>
    <row r="68" spans="2:29" x14ac:dyDescent="0.3">
      <c r="B68" s="2572" t="s">
        <v>642</v>
      </c>
      <c r="C68" s="2573">
        <v>1</v>
      </c>
      <c r="D68" s="2707"/>
      <c r="E68" s="2704">
        <f t="shared" ref="E68" si="32">SUM(C68:D68)</f>
        <v>1</v>
      </c>
      <c r="F68" s="2573">
        <v>1</v>
      </c>
      <c r="G68" s="2707"/>
      <c r="H68" s="2704">
        <f t="shared" si="29"/>
        <v>1</v>
      </c>
      <c r="I68" s="2573">
        <v>3</v>
      </c>
      <c r="J68" s="2707">
        <v>1</v>
      </c>
      <c r="K68" s="2704">
        <f t="shared" si="30"/>
        <v>4</v>
      </c>
      <c r="L68" s="2573"/>
      <c r="M68" s="2707"/>
      <c r="N68" s="2704"/>
      <c r="O68" s="2573">
        <v>2</v>
      </c>
      <c r="P68" s="2707"/>
      <c r="Q68" s="2704">
        <f t="shared" si="18"/>
        <v>2</v>
      </c>
      <c r="R68" s="2573"/>
      <c r="S68" s="2707"/>
      <c r="T68" s="2704"/>
      <c r="U68" s="2573"/>
      <c r="V68" s="2707"/>
      <c r="W68" s="2704"/>
      <c r="X68" s="2573"/>
      <c r="Y68" s="2707"/>
      <c r="Z68" s="2704"/>
      <c r="AA68" s="2573"/>
      <c r="AB68" s="2707"/>
      <c r="AC68" s="2704"/>
    </row>
    <row r="69" spans="2:29" x14ac:dyDescent="0.3">
      <c r="B69" s="2572" t="s">
        <v>89</v>
      </c>
      <c r="C69" s="2573"/>
      <c r="D69" s="2707"/>
      <c r="E69" s="2704"/>
      <c r="F69" s="2573">
        <v>1</v>
      </c>
      <c r="G69" s="2707">
        <v>1</v>
      </c>
      <c r="H69" s="2704">
        <f t="shared" si="29"/>
        <v>2</v>
      </c>
      <c r="I69" s="2573">
        <v>1</v>
      </c>
      <c r="J69" s="2707">
        <v>0</v>
      </c>
      <c r="K69" s="2704">
        <f t="shared" si="30"/>
        <v>1</v>
      </c>
      <c r="L69" s="2573">
        <v>2</v>
      </c>
      <c r="M69" s="2707">
        <v>2</v>
      </c>
      <c r="N69" s="2704">
        <f t="shared" si="20"/>
        <v>4</v>
      </c>
      <c r="O69" s="2573">
        <v>2</v>
      </c>
      <c r="P69" s="2707">
        <v>2</v>
      </c>
      <c r="Q69" s="2704">
        <f t="shared" si="18"/>
        <v>4</v>
      </c>
      <c r="R69" s="2573"/>
      <c r="S69" s="2707"/>
      <c r="T69" s="2704"/>
      <c r="U69" s="2573"/>
      <c r="V69" s="2707"/>
      <c r="W69" s="2704"/>
      <c r="X69" s="2573"/>
      <c r="Y69" s="2707"/>
      <c r="Z69" s="2704"/>
      <c r="AA69" s="2573"/>
      <c r="AB69" s="2707"/>
      <c r="AC69" s="2704"/>
    </row>
    <row r="70" spans="2:29" x14ac:dyDescent="0.3">
      <c r="B70" s="2577" t="s">
        <v>92</v>
      </c>
      <c r="C70" s="2582">
        <f t="shared" ref="C70:K70" si="33">SUM(C64:C69)</f>
        <v>1</v>
      </c>
      <c r="D70" s="2708">
        <f t="shared" si="33"/>
        <v>0</v>
      </c>
      <c r="E70" s="2709">
        <f t="shared" si="33"/>
        <v>1</v>
      </c>
      <c r="F70" s="2582">
        <f t="shared" si="33"/>
        <v>9</v>
      </c>
      <c r="G70" s="2708">
        <f t="shared" si="33"/>
        <v>7</v>
      </c>
      <c r="H70" s="2709">
        <f t="shared" si="33"/>
        <v>16</v>
      </c>
      <c r="I70" s="2582">
        <f t="shared" si="33"/>
        <v>17</v>
      </c>
      <c r="J70" s="2708">
        <f t="shared" si="33"/>
        <v>9</v>
      </c>
      <c r="K70" s="2709">
        <f t="shared" si="33"/>
        <v>26</v>
      </c>
      <c r="L70" s="2582">
        <f>SUM(L64:L69)</f>
        <v>7</v>
      </c>
      <c r="M70" s="2708">
        <f>SUM(M64:M69)</f>
        <v>4</v>
      </c>
      <c r="N70" s="2709">
        <f t="shared" si="20"/>
        <v>11</v>
      </c>
      <c r="O70" s="2582">
        <f>SUM(O64:O69)</f>
        <v>8</v>
      </c>
      <c r="P70" s="2708">
        <f>SUM(P64:P69)</f>
        <v>4</v>
      </c>
      <c r="Q70" s="2709">
        <f t="shared" si="18"/>
        <v>12</v>
      </c>
      <c r="R70" s="2582">
        <f>SUM(R64:R69)</f>
        <v>1</v>
      </c>
      <c r="S70" s="2708">
        <f>SUM(S64:S69)</f>
        <v>1</v>
      </c>
      <c r="T70" s="2709">
        <f t="shared" si="19"/>
        <v>2</v>
      </c>
      <c r="U70" s="2582">
        <f>SUM(U64:U69)</f>
        <v>0</v>
      </c>
      <c r="V70" s="2708">
        <f>SUM(V64:V69)</f>
        <v>0</v>
      </c>
      <c r="W70" s="2709">
        <f t="shared" si="23"/>
        <v>0</v>
      </c>
      <c r="X70" s="2582"/>
      <c r="Y70" s="2708"/>
      <c r="Z70" s="2709"/>
      <c r="AA70" s="2582">
        <f>SUM(AA64:AA69)</f>
        <v>1</v>
      </c>
      <c r="AB70" s="2708">
        <f>SUM(AB64:AB69)</f>
        <v>1</v>
      </c>
      <c r="AC70" s="2709">
        <f>SUM(AC64:AC69)</f>
        <v>2</v>
      </c>
    </row>
    <row r="71" spans="2:29" x14ac:dyDescent="0.3">
      <c r="B71" s="2720" t="s">
        <v>93</v>
      </c>
      <c r="C71" s="2720">
        <f>C70+C63+C51</f>
        <v>6</v>
      </c>
      <c r="D71" s="2721">
        <f>D70+D63+D51</f>
        <v>9</v>
      </c>
      <c r="E71" s="2722">
        <f>E70+E63+E51</f>
        <v>15</v>
      </c>
      <c r="F71" s="2720">
        <f t="shared" ref="F71:K71" si="34">F70+F63+F51</f>
        <v>36</v>
      </c>
      <c r="G71" s="2721">
        <f t="shared" si="34"/>
        <v>33</v>
      </c>
      <c r="H71" s="2722">
        <f t="shared" si="34"/>
        <v>69</v>
      </c>
      <c r="I71" s="2720">
        <f t="shared" si="34"/>
        <v>45</v>
      </c>
      <c r="J71" s="2721">
        <f t="shared" si="34"/>
        <v>48</v>
      </c>
      <c r="K71" s="2722">
        <f t="shared" si="34"/>
        <v>93</v>
      </c>
      <c r="L71" s="2720">
        <f>L70+L63+L51</f>
        <v>20</v>
      </c>
      <c r="M71" s="2721">
        <f>M70+M63+M51</f>
        <v>14</v>
      </c>
      <c r="N71" s="2722">
        <f t="shared" si="20"/>
        <v>34</v>
      </c>
      <c r="O71" s="2720">
        <f>O70+O63+O51</f>
        <v>34</v>
      </c>
      <c r="P71" s="2721">
        <f>P70+P63+P51</f>
        <v>19</v>
      </c>
      <c r="Q71" s="2722">
        <f t="shared" si="18"/>
        <v>53</v>
      </c>
      <c r="R71" s="2720">
        <f>R70+R63+R51</f>
        <v>3</v>
      </c>
      <c r="S71" s="2721">
        <f>S70+S63+S51</f>
        <v>2</v>
      </c>
      <c r="T71" s="2722">
        <f t="shared" si="19"/>
        <v>5</v>
      </c>
      <c r="U71" s="2720">
        <f>U70+U63+U51</f>
        <v>0</v>
      </c>
      <c r="V71" s="2721">
        <f>V70+V63+V51</f>
        <v>1</v>
      </c>
      <c r="W71" s="2722">
        <f t="shared" si="23"/>
        <v>1</v>
      </c>
      <c r="X71" s="2720"/>
      <c r="Y71" s="2721"/>
      <c r="Z71" s="2722"/>
      <c r="AA71" s="2720">
        <f>SUM(AA51,AA63,AA70)</f>
        <v>3</v>
      </c>
      <c r="AB71" s="2721">
        <f>SUM(AB51,AB63,AB70)</f>
        <v>2</v>
      </c>
      <c r="AC71" s="2722">
        <f>SUM(AC51,AC63,AC70)</f>
        <v>5</v>
      </c>
    </row>
    <row r="72" spans="2:29" ht="15" customHeight="1" x14ac:dyDescent="0.3">
      <c r="B72" s="2713" t="s">
        <v>124</v>
      </c>
      <c r="C72" s="2714">
        <v>1</v>
      </c>
      <c r="D72" s="2715"/>
      <c r="E72" s="2716">
        <f>SUM(C72:D72)</f>
        <v>1</v>
      </c>
      <c r="F72" s="2714">
        <v>1</v>
      </c>
      <c r="G72" s="2715">
        <v>4</v>
      </c>
      <c r="H72" s="2716">
        <f>SUM(F72:G72)</f>
        <v>5</v>
      </c>
      <c r="I72" s="2714">
        <v>13</v>
      </c>
      <c r="J72" s="2715">
        <v>2</v>
      </c>
      <c r="K72" s="2716">
        <f>SUM(I72:J72)</f>
        <v>15</v>
      </c>
      <c r="L72" s="2714">
        <v>1</v>
      </c>
      <c r="M72" s="2715">
        <v>1</v>
      </c>
      <c r="N72" s="2716">
        <f t="shared" ref="N72:N108" si="35">SUM(L72:M72)</f>
        <v>2</v>
      </c>
      <c r="O72" s="2714"/>
      <c r="P72" s="2715">
        <v>1</v>
      </c>
      <c r="Q72" s="2716">
        <f t="shared" ref="Q72:Q106" si="36">SUM(O72:P72)</f>
        <v>1</v>
      </c>
      <c r="R72" s="2714"/>
      <c r="S72" s="2715"/>
      <c r="T72" s="2716"/>
      <c r="U72" s="2714"/>
      <c r="V72" s="2715"/>
      <c r="W72" s="2716"/>
      <c r="X72" s="2714"/>
      <c r="Y72" s="2715"/>
      <c r="Z72" s="2704"/>
      <c r="AA72" s="2714"/>
      <c r="AB72" s="2715"/>
      <c r="AC72" s="2704"/>
    </row>
    <row r="73" spans="2:29" ht="15" customHeight="1" x14ac:dyDescent="0.3">
      <c r="B73" s="2567" t="s">
        <v>247</v>
      </c>
      <c r="C73" s="2568"/>
      <c r="D73" s="2726"/>
      <c r="E73" s="2703"/>
      <c r="F73" s="2568"/>
      <c r="G73" s="2726"/>
      <c r="H73" s="2703"/>
      <c r="I73" s="2568"/>
      <c r="J73" s="2726"/>
      <c r="K73" s="2703"/>
      <c r="L73" s="2568"/>
      <c r="M73" s="2726"/>
      <c r="N73" s="2703"/>
      <c r="O73" s="2568"/>
      <c r="P73" s="2726"/>
      <c r="Q73" s="2703"/>
      <c r="R73" s="2568"/>
      <c r="S73" s="2726"/>
      <c r="T73" s="2703"/>
      <c r="U73" s="2568"/>
      <c r="V73" s="2726"/>
      <c r="W73" s="2703"/>
      <c r="X73" s="2568"/>
      <c r="Y73" s="2726"/>
      <c r="Z73" s="2704"/>
      <c r="AA73" s="2568"/>
      <c r="AB73" s="2726"/>
      <c r="AC73" s="2704"/>
    </row>
    <row r="74" spans="2:29" ht="15" customHeight="1" x14ac:dyDescent="0.3">
      <c r="B74" s="2567" t="s">
        <v>125</v>
      </c>
      <c r="C74" s="2568"/>
      <c r="D74" s="2726"/>
      <c r="E74" s="2703"/>
      <c r="F74" s="2568"/>
      <c r="G74" s="2726"/>
      <c r="H74" s="2703"/>
      <c r="I74" s="2568"/>
      <c r="J74" s="2726"/>
      <c r="K74" s="2703"/>
      <c r="L74" s="2568"/>
      <c r="M74" s="2726"/>
      <c r="N74" s="2703"/>
      <c r="O74" s="2568"/>
      <c r="P74" s="2726"/>
      <c r="Q74" s="2703"/>
      <c r="R74" s="2568"/>
      <c r="S74" s="2726"/>
      <c r="T74" s="2703"/>
      <c r="U74" s="2568"/>
      <c r="V74" s="2726"/>
      <c r="W74" s="2703"/>
      <c r="X74" s="2568"/>
      <c r="Y74" s="2726"/>
      <c r="Z74" s="2704"/>
      <c r="AA74" s="2568"/>
      <c r="AB74" s="2726"/>
      <c r="AC74" s="2704"/>
    </row>
    <row r="75" spans="2:29" x14ac:dyDescent="0.3">
      <c r="B75" s="2577" t="s">
        <v>92</v>
      </c>
      <c r="C75" s="2578">
        <f t="shared" ref="C75:K75" si="37">C72</f>
        <v>1</v>
      </c>
      <c r="D75" s="2705">
        <f t="shared" si="37"/>
        <v>0</v>
      </c>
      <c r="E75" s="2706">
        <f t="shared" si="37"/>
        <v>1</v>
      </c>
      <c r="F75" s="2578">
        <f t="shared" si="37"/>
        <v>1</v>
      </c>
      <c r="G75" s="2705">
        <f t="shared" si="37"/>
        <v>4</v>
      </c>
      <c r="H75" s="2706">
        <f t="shared" si="37"/>
        <v>5</v>
      </c>
      <c r="I75" s="2578">
        <f t="shared" si="37"/>
        <v>13</v>
      </c>
      <c r="J75" s="2705">
        <f t="shared" si="37"/>
        <v>2</v>
      </c>
      <c r="K75" s="2706">
        <f t="shared" si="37"/>
        <v>15</v>
      </c>
      <c r="L75" s="2578">
        <f>L72</f>
        <v>1</v>
      </c>
      <c r="M75" s="2705">
        <f>M72</f>
        <v>1</v>
      </c>
      <c r="N75" s="2706">
        <f t="shared" si="35"/>
        <v>2</v>
      </c>
      <c r="O75" s="2578">
        <f>O72</f>
        <v>0</v>
      </c>
      <c r="P75" s="2705">
        <f>P72</f>
        <v>1</v>
      </c>
      <c r="Q75" s="2706">
        <f t="shared" si="36"/>
        <v>1</v>
      </c>
      <c r="R75" s="2578">
        <f>R72</f>
        <v>0</v>
      </c>
      <c r="S75" s="2705">
        <f>S72</f>
        <v>0</v>
      </c>
      <c r="T75" s="2706">
        <f t="shared" ref="T75:T106" si="38">SUM(R75:S75)</f>
        <v>0</v>
      </c>
      <c r="U75" s="2578">
        <f>U72</f>
        <v>0</v>
      </c>
      <c r="V75" s="2705">
        <f>V72</f>
        <v>0</v>
      </c>
      <c r="W75" s="2706">
        <f t="shared" ref="W75:W106" si="39">SUM(U75:V75)</f>
        <v>0</v>
      </c>
      <c r="X75" s="2578"/>
      <c r="Y75" s="2705"/>
      <c r="Z75" s="2706"/>
      <c r="AA75" s="2578"/>
      <c r="AB75" s="2705"/>
      <c r="AC75" s="2706"/>
    </row>
    <row r="76" spans="2:29" x14ac:dyDescent="0.3">
      <c r="B76" s="2572" t="s">
        <v>643</v>
      </c>
      <c r="C76" s="2573">
        <v>1</v>
      </c>
      <c r="D76" s="2707">
        <v>2</v>
      </c>
      <c r="E76" s="2704">
        <f>SUM(C76:D76)</f>
        <v>3</v>
      </c>
      <c r="F76" s="2573"/>
      <c r="G76" s="2707">
        <v>1</v>
      </c>
      <c r="H76" s="2704">
        <f>SUM(F76:G76)</f>
        <v>1</v>
      </c>
      <c r="I76" s="2573"/>
      <c r="J76" s="2707"/>
      <c r="K76" s="2704">
        <f>SUM(I76:J76)</f>
        <v>0</v>
      </c>
      <c r="L76" s="2573"/>
      <c r="M76" s="2707">
        <v>1</v>
      </c>
      <c r="N76" s="2704">
        <f t="shared" si="35"/>
        <v>1</v>
      </c>
      <c r="O76" s="2573"/>
      <c r="P76" s="2707"/>
      <c r="Q76" s="2704"/>
      <c r="R76" s="2573"/>
      <c r="S76" s="2707"/>
      <c r="T76" s="2704"/>
      <c r="U76" s="2573"/>
      <c r="V76" s="2707"/>
      <c r="W76" s="2704"/>
      <c r="X76" s="2573"/>
      <c r="Y76" s="2707"/>
      <c r="Z76" s="2704"/>
      <c r="AA76" s="2573"/>
      <c r="AB76" s="2707"/>
      <c r="AC76" s="2704"/>
    </row>
    <row r="77" spans="2:29" x14ac:dyDescent="0.3">
      <c r="B77" s="2572" t="s">
        <v>118</v>
      </c>
      <c r="C77" s="2573"/>
      <c r="D77" s="2707"/>
      <c r="E77" s="2704"/>
      <c r="F77" s="2573"/>
      <c r="G77" s="2707"/>
      <c r="H77" s="2704"/>
      <c r="I77" s="2573"/>
      <c r="J77" s="2707"/>
      <c r="K77" s="2704"/>
      <c r="L77" s="2573"/>
      <c r="M77" s="2707"/>
      <c r="N77" s="2704"/>
      <c r="O77" s="2573"/>
      <c r="P77" s="2707"/>
      <c r="Q77" s="2704"/>
      <c r="R77" s="2573"/>
      <c r="S77" s="2707"/>
      <c r="T77" s="2704"/>
      <c r="U77" s="2573"/>
      <c r="V77" s="2707"/>
      <c r="W77" s="2704"/>
      <c r="X77" s="2573"/>
      <c r="Y77" s="2707"/>
      <c r="Z77" s="2704"/>
      <c r="AA77" s="2573"/>
      <c r="AB77" s="2707"/>
      <c r="AC77" s="2704"/>
    </row>
    <row r="78" spans="2:29" x14ac:dyDescent="0.3">
      <c r="B78" s="2572" t="s">
        <v>244</v>
      </c>
      <c r="C78" s="2573"/>
      <c r="D78" s="2707"/>
      <c r="E78" s="2704"/>
      <c r="F78" s="2573"/>
      <c r="G78" s="2707"/>
      <c r="H78" s="2704"/>
      <c r="I78" s="2573"/>
      <c r="J78" s="2707"/>
      <c r="K78" s="2704"/>
      <c r="L78" s="2573"/>
      <c r="M78" s="2707"/>
      <c r="N78" s="2704"/>
      <c r="O78" s="2573"/>
      <c r="P78" s="2707"/>
      <c r="Q78" s="2704"/>
      <c r="R78" s="2573"/>
      <c r="S78" s="2707"/>
      <c r="T78" s="2704"/>
      <c r="U78" s="2573"/>
      <c r="V78" s="2707"/>
      <c r="W78" s="2704"/>
      <c r="X78" s="2573"/>
      <c r="Y78" s="2707"/>
      <c r="Z78" s="2704"/>
      <c r="AA78" s="2573"/>
      <c r="AB78" s="2707"/>
      <c r="AC78" s="2704"/>
    </row>
    <row r="79" spans="2:29" x14ac:dyDescent="0.3">
      <c r="B79" s="2577" t="s">
        <v>59</v>
      </c>
      <c r="C79" s="2578">
        <f t="shared" ref="C79:K79" si="40">C76</f>
        <v>1</v>
      </c>
      <c r="D79" s="2705">
        <f t="shared" si="40"/>
        <v>2</v>
      </c>
      <c r="E79" s="2706">
        <f t="shared" si="40"/>
        <v>3</v>
      </c>
      <c r="F79" s="2578">
        <f t="shared" si="40"/>
        <v>0</v>
      </c>
      <c r="G79" s="2705">
        <f t="shared" si="40"/>
        <v>1</v>
      </c>
      <c r="H79" s="2706">
        <f t="shared" si="40"/>
        <v>1</v>
      </c>
      <c r="I79" s="2578">
        <f t="shared" si="40"/>
        <v>0</v>
      </c>
      <c r="J79" s="2705">
        <f t="shared" si="40"/>
        <v>0</v>
      </c>
      <c r="K79" s="2706">
        <f t="shared" si="40"/>
        <v>0</v>
      </c>
      <c r="L79" s="2578">
        <f>L76</f>
        <v>0</v>
      </c>
      <c r="M79" s="2705">
        <f>M76</f>
        <v>1</v>
      </c>
      <c r="N79" s="2706">
        <f t="shared" si="35"/>
        <v>1</v>
      </c>
      <c r="O79" s="2578">
        <f>O76</f>
        <v>0</v>
      </c>
      <c r="P79" s="2705">
        <f>P76</f>
        <v>0</v>
      </c>
      <c r="Q79" s="2706">
        <f t="shared" si="36"/>
        <v>0</v>
      </c>
      <c r="R79" s="2578">
        <f>R76</f>
        <v>0</v>
      </c>
      <c r="S79" s="2705">
        <f>S76</f>
        <v>0</v>
      </c>
      <c r="T79" s="2706">
        <f t="shared" si="38"/>
        <v>0</v>
      </c>
      <c r="U79" s="2578">
        <f>U76</f>
        <v>0</v>
      </c>
      <c r="V79" s="2705">
        <f>V76</f>
        <v>0</v>
      </c>
      <c r="W79" s="2706">
        <f t="shared" si="39"/>
        <v>0</v>
      </c>
      <c r="X79" s="2578"/>
      <c r="Y79" s="2705"/>
      <c r="Z79" s="2706"/>
      <c r="AA79" s="2578"/>
      <c r="AB79" s="2705"/>
      <c r="AC79" s="2706"/>
    </row>
    <row r="80" spans="2:29" x14ac:dyDescent="0.3">
      <c r="B80" s="2572" t="s">
        <v>120</v>
      </c>
      <c r="C80" s="2573"/>
      <c r="D80" s="2707"/>
      <c r="E80" s="2704"/>
      <c r="F80" s="2573">
        <v>3</v>
      </c>
      <c r="G80" s="2707"/>
      <c r="H80" s="2704">
        <f>SUM(F80:G80)</f>
        <v>3</v>
      </c>
      <c r="I80" s="2573">
        <v>6</v>
      </c>
      <c r="J80" s="2707">
        <v>3</v>
      </c>
      <c r="K80" s="2704">
        <f>SUM(I80:J80)</f>
        <v>9</v>
      </c>
      <c r="L80" s="2573"/>
      <c r="M80" s="2707">
        <v>1</v>
      </c>
      <c r="N80" s="2704">
        <f t="shared" si="35"/>
        <v>1</v>
      </c>
      <c r="O80" s="2573"/>
      <c r="P80" s="2707"/>
      <c r="Q80" s="2704"/>
      <c r="R80" s="2573">
        <v>1</v>
      </c>
      <c r="S80" s="2707"/>
      <c r="T80" s="2704">
        <f t="shared" si="38"/>
        <v>1</v>
      </c>
      <c r="U80" s="2573"/>
      <c r="V80" s="2707"/>
      <c r="W80" s="2704"/>
      <c r="X80" s="2573"/>
      <c r="Y80" s="2707"/>
      <c r="Z80" s="2704"/>
      <c r="AA80" s="2573"/>
      <c r="AB80" s="2707"/>
      <c r="AC80" s="2704"/>
    </row>
    <row r="81" spans="2:29" x14ac:dyDescent="0.3">
      <c r="B81" s="2572" t="s">
        <v>121</v>
      </c>
      <c r="C81" s="2573"/>
      <c r="D81" s="2707"/>
      <c r="E81" s="2704"/>
      <c r="F81" s="2573"/>
      <c r="G81" s="2707"/>
      <c r="H81" s="2704"/>
      <c r="I81" s="2573">
        <v>2</v>
      </c>
      <c r="J81" s="2707">
        <v>6</v>
      </c>
      <c r="K81" s="2704">
        <f>SUM(I81:J81)</f>
        <v>8</v>
      </c>
      <c r="L81" s="2573">
        <v>1</v>
      </c>
      <c r="M81" s="2707">
        <v>1</v>
      </c>
      <c r="N81" s="2704">
        <f t="shared" si="35"/>
        <v>2</v>
      </c>
      <c r="O81" s="2573">
        <v>2</v>
      </c>
      <c r="P81" s="2707">
        <v>4</v>
      </c>
      <c r="Q81" s="2704">
        <f t="shared" si="36"/>
        <v>6</v>
      </c>
      <c r="R81" s="2573">
        <v>1</v>
      </c>
      <c r="S81" s="2707">
        <v>1</v>
      </c>
      <c r="T81" s="2704">
        <f t="shared" si="38"/>
        <v>2</v>
      </c>
      <c r="U81" s="2573"/>
      <c r="V81" s="2707"/>
      <c r="W81" s="2704"/>
      <c r="X81" s="2573"/>
      <c r="Y81" s="2707"/>
      <c r="Z81" s="2704"/>
      <c r="AA81" s="2573"/>
      <c r="AB81" s="2707"/>
      <c r="AC81" s="2704"/>
    </row>
    <row r="82" spans="2:29" x14ac:dyDescent="0.3">
      <c r="B82" s="2572" t="s">
        <v>123</v>
      </c>
      <c r="C82" s="2604"/>
      <c r="D82" s="4691"/>
      <c r="E82" s="4692"/>
      <c r="F82" s="2604"/>
      <c r="G82" s="4691"/>
      <c r="H82" s="4692"/>
      <c r="I82" s="2604"/>
      <c r="J82" s="4691"/>
      <c r="K82" s="4692"/>
      <c r="L82" s="2604"/>
      <c r="M82" s="4691"/>
      <c r="N82" s="4692"/>
      <c r="O82" s="2604"/>
      <c r="P82" s="4691"/>
      <c r="Q82" s="4692"/>
      <c r="R82" s="2604"/>
      <c r="S82" s="4691"/>
      <c r="T82" s="4692"/>
      <c r="U82" s="2604"/>
      <c r="V82" s="4691"/>
      <c r="W82" s="4692"/>
      <c r="X82" s="2604"/>
      <c r="Y82" s="4691"/>
      <c r="Z82" s="2704"/>
      <c r="AA82" s="2604"/>
      <c r="AB82" s="4691"/>
      <c r="AC82" s="2704"/>
    </row>
    <row r="83" spans="2:29" x14ac:dyDescent="0.3">
      <c r="B83" s="2577" t="s">
        <v>64</v>
      </c>
      <c r="C83" s="2582">
        <f t="shared" ref="C83:K83" si="41">SUM(C80:C81)</f>
        <v>0</v>
      </c>
      <c r="D83" s="2708">
        <f t="shared" si="41"/>
        <v>0</v>
      </c>
      <c r="E83" s="2709">
        <f t="shared" si="41"/>
        <v>0</v>
      </c>
      <c r="F83" s="2582">
        <f t="shared" si="41"/>
        <v>3</v>
      </c>
      <c r="G83" s="2708">
        <f t="shared" si="41"/>
        <v>0</v>
      </c>
      <c r="H83" s="2709">
        <f t="shared" si="41"/>
        <v>3</v>
      </c>
      <c r="I83" s="2582">
        <f t="shared" si="41"/>
        <v>8</v>
      </c>
      <c r="J83" s="2708">
        <f t="shared" si="41"/>
        <v>9</v>
      </c>
      <c r="K83" s="2709">
        <f t="shared" si="41"/>
        <v>17</v>
      </c>
      <c r="L83" s="2582">
        <f>SUM(L80:L81)</f>
        <v>1</v>
      </c>
      <c r="M83" s="2708">
        <f>SUM(M80:M81)</f>
        <v>2</v>
      </c>
      <c r="N83" s="2709">
        <f t="shared" si="35"/>
        <v>3</v>
      </c>
      <c r="O83" s="2582">
        <f>SUM(O80:O81)</f>
        <v>2</v>
      </c>
      <c r="P83" s="2708">
        <f>SUM(P80:P81)</f>
        <v>4</v>
      </c>
      <c r="Q83" s="2709">
        <f t="shared" si="36"/>
        <v>6</v>
      </c>
      <c r="R83" s="2582">
        <f>SUM(R80:R81)</f>
        <v>2</v>
      </c>
      <c r="S83" s="2708">
        <f>SUM(S80:S81)</f>
        <v>1</v>
      </c>
      <c r="T83" s="2709">
        <f t="shared" si="38"/>
        <v>3</v>
      </c>
      <c r="U83" s="2582">
        <f>SUM(U80:U81)</f>
        <v>0</v>
      </c>
      <c r="V83" s="2708">
        <f>SUM(V80:V81)</f>
        <v>0</v>
      </c>
      <c r="W83" s="2709">
        <f t="shared" si="39"/>
        <v>0</v>
      </c>
      <c r="X83" s="2582"/>
      <c r="Y83" s="2708"/>
      <c r="Z83" s="2709"/>
      <c r="AA83" s="2582"/>
      <c r="AB83" s="2708"/>
      <c r="AC83" s="2709"/>
    </row>
    <row r="84" spans="2:29" x14ac:dyDescent="0.3">
      <c r="B84" s="2723" t="s">
        <v>127</v>
      </c>
      <c r="C84" s="2723">
        <f t="shared" ref="C84:K84" si="42">C83+C79+C75</f>
        <v>2</v>
      </c>
      <c r="D84" s="2724">
        <f t="shared" si="42"/>
        <v>2</v>
      </c>
      <c r="E84" s="2725">
        <f t="shared" si="42"/>
        <v>4</v>
      </c>
      <c r="F84" s="2723">
        <f t="shared" si="42"/>
        <v>4</v>
      </c>
      <c r="G84" s="2724">
        <f t="shared" si="42"/>
        <v>5</v>
      </c>
      <c r="H84" s="2725">
        <f t="shared" si="42"/>
        <v>9</v>
      </c>
      <c r="I84" s="2723">
        <f t="shared" si="42"/>
        <v>21</v>
      </c>
      <c r="J84" s="2724">
        <f t="shared" si="42"/>
        <v>11</v>
      </c>
      <c r="K84" s="2725">
        <f t="shared" si="42"/>
        <v>32</v>
      </c>
      <c r="L84" s="2723">
        <f>L83+L79+L75</f>
        <v>2</v>
      </c>
      <c r="M84" s="2724">
        <f>M83+M79+M75</f>
        <v>4</v>
      </c>
      <c r="N84" s="2725">
        <f t="shared" si="35"/>
        <v>6</v>
      </c>
      <c r="O84" s="2723">
        <f>O83+O79+O75</f>
        <v>2</v>
      </c>
      <c r="P84" s="2724">
        <f>P83+P79+P75</f>
        <v>5</v>
      </c>
      <c r="Q84" s="2725">
        <f t="shared" si="36"/>
        <v>7</v>
      </c>
      <c r="R84" s="2723">
        <f>R83+R79+R75</f>
        <v>2</v>
      </c>
      <c r="S84" s="2724">
        <f>S83+S79+S75</f>
        <v>1</v>
      </c>
      <c r="T84" s="2725">
        <f t="shared" si="38"/>
        <v>3</v>
      </c>
      <c r="U84" s="2723">
        <f>U83+U79+U75</f>
        <v>0</v>
      </c>
      <c r="V84" s="2724">
        <f>V83+V79+V75</f>
        <v>0</v>
      </c>
      <c r="W84" s="2725">
        <f t="shared" si="39"/>
        <v>0</v>
      </c>
      <c r="X84" s="2723"/>
      <c r="Y84" s="2724"/>
      <c r="Z84" s="2725"/>
      <c r="AA84" s="2723"/>
      <c r="AB84" s="2724"/>
      <c r="AC84" s="2725"/>
    </row>
    <row r="85" spans="2:29" ht="15" customHeight="1" x14ac:dyDescent="0.3">
      <c r="B85" s="2567" t="s">
        <v>60</v>
      </c>
      <c r="C85" s="2568"/>
      <c r="D85" s="2726">
        <v>1</v>
      </c>
      <c r="E85" s="2703">
        <f t="shared" ref="E85:E90" si="43">SUM(C85:D85)</f>
        <v>1</v>
      </c>
      <c r="F85" s="2568">
        <v>2</v>
      </c>
      <c r="G85" s="2726">
        <v>4</v>
      </c>
      <c r="H85" s="2703">
        <f t="shared" ref="H85:H90" si="44">SUM(F85:G85)</f>
        <v>6</v>
      </c>
      <c r="I85" s="2568">
        <v>1</v>
      </c>
      <c r="J85" s="2726">
        <v>2</v>
      </c>
      <c r="K85" s="2703">
        <f t="shared" ref="K85:K90" si="45">SUM(I85:J85)</f>
        <v>3</v>
      </c>
      <c r="L85" s="2568">
        <v>1</v>
      </c>
      <c r="M85" s="2726"/>
      <c r="N85" s="2703">
        <f t="shared" si="35"/>
        <v>1</v>
      </c>
      <c r="O85" s="2568">
        <v>1</v>
      </c>
      <c r="P85" s="2726">
        <v>2</v>
      </c>
      <c r="Q85" s="2703">
        <f t="shared" si="36"/>
        <v>3</v>
      </c>
      <c r="R85" s="2568"/>
      <c r="S85" s="2726">
        <v>1</v>
      </c>
      <c r="T85" s="2703">
        <f t="shared" si="38"/>
        <v>1</v>
      </c>
      <c r="U85" s="2568"/>
      <c r="V85" s="2726"/>
      <c r="W85" s="2703"/>
      <c r="X85" s="2568"/>
      <c r="Y85" s="2726"/>
      <c r="Z85" s="2703"/>
      <c r="AA85" s="2568"/>
      <c r="AB85" s="2726"/>
      <c r="AC85" s="2703"/>
    </row>
    <row r="86" spans="2:29" x14ac:dyDescent="0.3">
      <c r="B86" s="2572" t="s">
        <v>94</v>
      </c>
      <c r="C86" s="2573">
        <v>2</v>
      </c>
      <c r="D86" s="2707"/>
      <c r="E86" s="2704">
        <f t="shared" si="43"/>
        <v>2</v>
      </c>
      <c r="F86" s="2573">
        <v>7</v>
      </c>
      <c r="G86" s="2707">
        <v>3</v>
      </c>
      <c r="H86" s="2704">
        <f t="shared" si="44"/>
        <v>10</v>
      </c>
      <c r="I86" s="2573">
        <v>22</v>
      </c>
      <c r="J86" s="2707">
        <v>9</v>
      </c>
      <c r="K86" s="2704">
        <f t="shared" si="45"/>
        <v>31</v>
      </c>
      <c r="L86" s="2573">
        <v>5</v>
      </c>
      <c r="M86" s="2707">
        <v>3</v>
      </c>
      <c r="N86" s="2704">
        <f t="shared" si="35"/>
        <v>8</v>
      </c>
      <c r="O86" s="2573"/>
      <c r="P86" s="2707">
        <v>2</v>
      </c>
      <c r="Q86" s="2704">
        <f t="shared" si="36"/>
        <v>2</v>
      </c>
      <c r="R86" s="2573"/>
      <c r="S86" s="2707"/>
      <c r="T86" s="2704"/>
      <c r="U86" s="2573"/>
      <c r="V86" s="2707"/>
      <c r="W86" s="2704"/>
      <c r="X86" s="2573"/>
      <c r="Y86" s="2707"/>
      <c r="Z86" s="2704"/>
      <c r="AA86" s="2573"/>
      <c r="AB86" s="2707"/>
      <c r="AC86" s="2704"/>
    </row>
    <row r="87" spans="2:29" x14ac:dyDescent="0.3">
      <c r="B87" s="2572" t="s">
        <v>62</v>
      </c>
      <c r="C87" s="2573"/>
      <c r="D87" s="2707">
        <v>2</v>
      </c>
      <c r="E87" s="2704">
        <f t="shared" si="43"/>
        <v>2</v>
      </c>
      <c r="F87" s="2573">
        <v>3</v>
      </c>
      <c r="G87" s="2707">
        <v>3</v>
      </c>
      <c r="H87" s="2704">
        <f t="shared" si="44"/>
        <v>6</v>
      </c>
      <c r="I87" s="2573">
        <v>0</v>
      </c>
      <c r="J87" s="2707">
        <v>2</v>
      </c>
      <c r="K87" s="2704">
        <f t="shared" si="45"/>
        <v>2</v>
      </c>
      <c r="L87" s="2573"/>
      <c r="M87" s="2707"/>
      <c r="N87" s="2704">
        <f t="shared" si="35"/>
        <v>0</v>
      </c>
      <c r="O87" s="2573">
        <v>1</v>
      </c>
      <c r="P87" s="2707">
        <v>1</v>
      </c>
      <c r="Q87" s="2704">
        <f t="shared" si="36"/>
        <v>2</v>
      </c>
      <c r="R87" s="2573">
        <v>2</v>
      </c>
      <c r="S87" s="2707"/>
      <c r="T87" s="2704">
        <f t="shared" si="38"/>
        <v>2</v>
      </c>
      <c r="U87" s="2573">
        <v>1</v>
      </c>
      <c r="V87" s="2707"/>
      <c r="W87" s="2704">
        <f t="shared" si="39"/>
        <v>1</v>
      </c>
      <c r="X87" s="2573"/>
      <c r="Y87" s="2707"/>
      <c r="Z87" s="2704"/>
      <c r="AA87" s="2573"/>
      <c r="AB87" s="2707">
        <v>2</v>
      </c>
      <c r="AC87" s="2704">
        <f>SUM(AA87:AB87)</f>
        <v>2</v>
      </c>
    </row>
    <row r="88" spans="2:29" x14ac:dyDescent="0.3">
      <c r="B88" s="2572" t="s">
        <v>96</v>
      </c>
      <c r="C88" s="2573"/>
      <c r="D88" s="2707">
        <v>2</v>
      </c>
      <c r="E88" s="2704">
        <f t="shared" si="43"/>
        <v>2</v>
      </c>
      <c r="F88" s="2573">
        <v>1</v>
      </c>
      <c r="G88" s="2707"/>
      <c r="H88" s="2704">
        <f t="shared" si="44"/>
        <v>1</v>
      </c>
      <c r="I88" s="2573">
        <v>0</v>
      </c>
      <c r="J88" s="2707">
        <v>3</v>
      </c>
      <c r="K88" s="2704">
        <f t="shared" si="45"/>
        <v>3</v>
      </c>
      <c r="L88" s="2573">
        <v>1</v>
      </c>
      <c r="M88" s="2707"/>
      <c r="N88" s="2704">
        <f t="shared" si="35"/>
        <v>1</v>
      </c>
      <c r="O88" s="2573">
        <v>1</v>
      </c>
      <c r="P88" s="2707">
        <v>2</v>
      </c>
      <c r="Q88" s="2704">
        <f t="shared" si="36"/>
        <v>3</v>
      </c>
      <c r="R88" s="2573"/>
      <c r="S88" s="2707"/>
      <c r="T88" s="2704"/>
      <c r="U88" s="2573"/>
      <c r="V88" s="2707"/>
      <c r="W88" s="2704"/>
      <c r="X88" s="2573"/>
      <c r="Y88" s="2707"/>
      <c r="Z88" s="2704"/>
      <c r="AA88" s="2573"/>
      <c r="AB88" s="2707"/>
      <c r="AC88" s="2704"/>
    </row>
    <row r="89" spans="2:29" x14ac:dyDescent="0.3">
      <c r="B89" s="2572" t="s">
        <v>95</v>
      </c>
      <c r="C89" s="2573">
        <v>5</v>
      </c>
      <c r="D89" s="2707">
        <v>2</v>
      </c>
      <c r="E89" s="2704">
        <f t="shared" si="43"/>
        <v>7</v>
      </c>
      <c r="F89" s="2573">
        <v>10</v>
      </c>
      <c r="G89" s="2707">
        <v>3</v>
      </c>
      <c r="H89" s="2704">
        <f t="shared" si="44"/>
        <v>13</v>
      </c>
      <c r="I89" s="2573">
        <v>18</v>
      </c>
      <c r="J89" s="2707">
        <v>13</v>
      </c>
      <c r="K89" s="2704">
        <f t="shared" si="45"/>
        <v>31</v>
      </c>
      <c r="L89" s="2573">
        <v>3</v>
      </c>
      <c r="M89" s="2707">
        <v>1</v>
      </c>
      <c r="N89" s="2704">
        <f t="shared" si="35"/>
        <v>4</v>
      </c>
      <c r="O89" s="2573">
        <v>4</v>
      </c>
      <c r="P89" s="2707">
        <v>2</v>
      </c>
      <c r="Q89" s="2704">
        <f t="shared" si="36"/>
        <v>6</v>
      </c>
      <c r="R89" s="2573">
        <v>1</v>
      </c>
      <c r="S89" s="2707"/>
      <c r="T89" s="2704">
        <f t="shared" si="38"/>
        <v>1</v>
      </c>
      <c r="U89" s="2573">
        <v>1</v>
      </c>
      <c r="V89" s="2707">
        <v>1</v>
      </c>
      <c r="W89" s="2704">
        <f t="shared" si="39"/>
        <v>2</v>
      </c>
      <c r="X89" s="2573"/>
      <c r="Y89" s="2707"/>
      <c r="Z89" s="2704"/>
      <c r="AA89" s="2573"/>
      <c r="AB89" s="2707"/>
      <c r="AC89" s="2704"/>
    </row>
    <row r="90" spans="2:29" x14ac:dyDescent="0.3">
      <c r="B90" s="2572" t="s">
        <v>63</v>
      </c>
      <c r="C90" s="2573"/>
      <c r="D90" s="2707">
        <v>1</v>
      </c>
      <c r="E90" s="2704">
        <f t="shared" si="43"/>
        <v>1</v>
      </c>
      <c r="F90" s="2573">
        <v>4</v>
      </c>
      <c r="G90" s="2707">
        <v>2</v>
      </c>
      <c r="H90" s="2704">
        <f t="shared" si="44"/>
        <v>6</v>
      </c>
      <c r="I90" s="2573">
        <v>5</v>
      </c>
      <c r="J90" s="2707">
        <v>3</v>
      </c>
      <c r="K90" s="2704">
        <f t="shared" si="45"/>
        <v>8</v>
      </c>
      <c r="L90" s="2573"/>
      <c r="M90" s="2707">
        <v>1</v>
      </c>
      <c r="N90" s="2704">
        <f t="shared" si="35"/>
        <v>1</v>
      </c>
      <c r="O90" s="2573">
        <v>1</v>
      </c>
      <c r="P90" s="2707"/>
      <c r="Q90" s="2704">
        <f t="shared" si="36"/>
        <v>1</v>
      </c>
      <c r="R90" s="2573"/>
      <c r="S90" s="2707"/>
      <c r="T90" s="2704"/>
      <c r="U90" s="2573">
        <v>1</v>
      </c>
      <c r="V90" s="2707"/>
      <c r="W90" s="2704">
        <f t="shared" si="39"/>
        <v>1</v>
      </c>
      <c r="X90" s="2573"/>
      <c r="Y90" s="2707"/>
      <c r="Z90" s="2704"/>
      <c r="AA90" s="2573">
        <v>1</v>
      </c>
      <c r="AB90" s="2707"/>
      <c r="AC90" s="2704">
        <f>SUM(AA90:AB90)</f>
        <v>1</v>
      </c>
    </row>
    <row r="91" spans="2:29" x14ac:dyDescent="0.3">
      <c r="B91" s="2577" t="s">
        <v>64</v>
      </c>
      <c r="C91" s="2578">
        <f t="shared" ref="C91:K91" si="46">SUM(C85:C90)</f>
        <v>7</v>
      </c>
      <c r="D91" s="2705">
        <f t="shared" si="46"/>
        <v>8</v>
      </c>
      <c r="E91" s="2706">
        <f t="shared" si="46"/>
        <v>15</v>
      </c>
      <c r="F91" s="2578">
        <f t="shared" si="46"/>
        <v>27</v>
      </c>
      <c r="G91" s="2705">
        <f t="shared" si="46"/>
        <v>15</v>
      </c>
      <c r="H91" s="2706">
        <f t="shared" si="46"/>
        <v>42</v>
      </c>
      <c r="I91" s="2578">
        <f t="shared" si="46"/>
        <v>46</v>
      </c>
      <c r="J91" s="2705">
        <f t="shared" si="46"/>
        <v>32</v>
      </c>
      <c r="K91" s="2706">
        <f t="shared" si="46"/>
        <v>78</v>
      </c>
      <c r="L91" s="2578">
        <f>SUM(L85:L90)</f>
        <v>10</v>
      </c>
      <c r="M91" s="2705">
        <f>SUM(M85:M90)</f>
        <v>5</v>
      </c>
      <c r="N91" s="2706">
        <f t="shared" si="35"/>
        <v>15</v>
      </c>
      <c r="O91" s="2578">
        <f>SUM(O85:O90)</f>
        <v>8</v>
      </c>
      <c r="P91" s="2705">
        <f>SUM(P85:P90)</f>
        <v>9</v>
      </c>
      <c r="Q91" s="2706">
        <f t="shared" si="36"/>
        <v>17</v>
      </c>
      <c r="R91" s="2578">
        <f>SUM(R85:R90)</f>
        <v>3</v>
      </c>
      <c r="S91" s="2705">
        <f>SUM(S85:S90)</f>
        <v>1</v>
      </c>
      <c r="T91" s="2706">
        <f t="shared" si="38"/>
        <v>4</v>
      </c>
      <c r="U91" s="2578">
        <f>SUM(U85:U90)</f>
        <v>3</v>
      </c>
      <c r="V91" s="2705">
        <f>SUM(V85:V90)</f>
        <v>1</v>
      </c>
      <c r="W91" s="2706">
        <f t="shared" si="39"/>
        <v>4</v>
      </c>
      <c r="X91" s="2578"/>
      <c r="Y91" s="2705"/>
      <c r="Z91" s="2706"/>
      <c r="AA91" s="2578">
        <f>SUM(AA85:AA90)</f>
        <v>1</v>
      </c>
      <c r="AB91" s="2705">
        <f>SUM(AB85:AB90)</f>
        <v>2</v>
      </c>
      <c r="AC91" s="2706">
        <f>SUM(AC85:AC90)</f>
        <v>3</v>
      </c>
    </row>
    <row r="92" spans="2:29" x14ac:dyDescent="0.3">
      <c r="B92" s="2572" t="s">
        <v>101</v>
      </c>
      <c r="C92" s="2573"/>
      <c r="D92" s="2707">
        <v>1</v>
      </c>
      <c r="E92" s="2704">
        <f t="shared" ref="E92:E99" si="47">SUM(C92:D92)</f>
        <v>1</v>
      </c>
      <c r="F92" s="2573"/>
      <c r="G92" s="2707">
        <v>3</v>
      </c>
      <c r="H92" s="2704">
        <f t="shared" ref="H92:H99" si="48">SUM(F92:G92)</f>
        <v>3</v>
      </c>
      <c r="I92" s="2573">
        <v>1</v>
      </c>
      <c r="J92" s="2707">
        <v>2</v>
      </c>
      <c r="K92" s="2704">
        <f t="shared" ref="K92:K99" si="49">SUM(I92:J92)</f>
        <v>3</v>
      </c>
      <c r="L92" s="2573"/>
      <c r="M92" s="2707">
        <v>2</v>
      </c>
      <c r="N92" s="2704">
        <f t="shared" si="35"/>
        <v>2</v>
      </c>
      <c r="O92" s="2573"/>
      <c r="P92" s="2707">
        <v>2</v>
      </c>
      <c r="Q92" s="2704">
        <f t="shared" si="36"/>
        <v>2</v>
      </c>
      <c r="R92" s="2573"/>
      <c r="S92" s="2707"/>
      <c r="T92" s="2704"/>
      <c r="U92" s="2573">
        <v>1</v>
      </c>
      <c r="V92" s="2707"/>
      <c r="W92" s="2704">
        <f t="shared" si="39"/>
        <v>1</v>
      </c>
      <c r="X92" s="2573"/>
      <c r="Y92" s="2707"/>
      <c r="Z92" s="2704"/>
      <c r="AA92" s="2573">
        <v>1</v>
      </c>
      <c r="AB92" s="2707"/>
      <c r="AC92" s="2704">
        <f>SUM(AA92:AB92)</f>
        <v>1</v>
      </c>
    </row>
    <row r="93" spans="2:29" x14ac:dyDescent="0.3">
      <c r="B93" s="2572" t="s">
        <v>86</v>
      </c>
      <c r="C93" s="2573">
        <v>1</v>
      </c>
      <c r="D93" s="2707"/>
      <c r="E93" s="2704">
        <f t="shared" si="47"/>
        <v>1</v>
      </c>
      <c r="F93" s="2573">
        <v>1</v>
      </c>
      <c r="G93" s="2707">
        <v>2</v>
      </c>
      <c r="H93" s="2704">
        <f t="shared" si="48"/>
        <v>3</v>
      </c>
      <c r="I93" s="2573">
        <v>11</v>
      </c>
      <c r="J93" s="2707">
        <v>2</v>
      </c>
      <c r="K93" s="2704">
        <f t="shared" si="49"/>
        <v>13</v>
      </c>
      <c r="L93" s="2573">
        <v>5</v>
      </c>
      <c r="M93" s="2707">
        <v>3</v>
      </c>
      <c r="N93" s="2704">
        <f t="shared" si="35"/>
        <v>8</v>
      </c>
      <c r="O93" s="2573">
        <v>4</v>
      </c>
      <c r="P93" s="2707"/>
      <c r="Q93" s="2704">
        <f t="shared" si="36"/>
        <v>4</v>
      </c>
      <c r="R93" s="2573">
        <v>3</v>
      </c>
      <c r="S93" s="2707"/>
      <c r="T93" s="2704">
        <f t="shared" si="38"/>
        <v>3</v>
      </c>
      <c r="U93" s="2573"/>
      <c r="V93" s="2707"/>
      <c r="W93" s="2704"/>
      <c r="X93" s="2573"/>
      <c r="Y93" s="2707"/>
      <c r="Z93" s="2704"/>
      <c r="AA93" s="2573">
        <v>1</v>
      </c>
      <c r="AB93" s="2707">
        <v>2</v>
      </c>
      <c r="AC93" s="2704">
        <f t="shared" ref="AC93:AC99" si="50">SUM(AA93:AB93)</f>
        <v>3</v>
      </c>
    </row>
    <row r="94" spans="2:29" x14ac:dyDescent="0.3">
      <c r="B94" s="2572" t="s">
        <v>97</v>
      </c>
      <c r="C94" s="2573"/>
      <c r="D94" s="2707"/>
      <c r="E94" s="2704"/>
      <c r="F94" s="2573">
        <v>2</v>
      </c>
      <c r="G94" s="2707"/>
      <c r="H94" s="2704">
        <f t="shared" si="48"/>
        <v>2</v>
      </c>
      <c r="I94" s="2573">
        <v>3</v>
      </c>
      <c r="J94" s="2707">
        <v>1</v>
      </c>
      <c r="K94" s="2704">
        <f t="shared" si="49"/>
        <v>4</v>
      </c>
      <c r="L94" s="2573">
        <v>1</v>
      </c>
      <c r="M94" s="2707"/>
      <c r="N94" s="2704">
        <f t="shared" si="35"/>
        <v>1</v>
      </c>
      <c r="O94" s="2573">
        <v>1</v>
      </c>
      <c r="P94" s="2707"/>
      <c r="Q94" s="2704">
        <f t="shared" si="36"/>
        <v>1</v>
      </c>
      <c r="R94" s="2573"/>
      <c r="S94" s="2707"/>
      <c r="T94" s="2704"/>
      <c r="U94" s="2573"/>
      <c r="V94" s="2707"/>
      <c r="W94" s="2704"/>
      <c r="X94" s="2573"/>
      <c r="Y94" s="2707"/>
      <c r="Z94" s="2704"/>
      <c r="AA94" s="2573"/>
      <c r="AB94" s="2707"/>
      <c r="AC94" s="2704"/>
    </row>
    <row r="95" spans="2:29" x14ac:dyDescent="0.3">
      <c r="B95" s="2572" t="s">
        <v>98</v>
      </c>
      <c r="C95" s="2573"/>
      <c r="D95" s="2707"/>
      <c r="E95" s="2704"/>
      <c r="F95" s="2573">
        <v>2</v>
      </c>
      <c r="G95" s="2707">
        <v>3</v>
      </c>
      <c r="H95" s="2704">
        <f t="shared" si="48"/>
        <v>5</v>
      </c>
      <c r="I95" s="2573">
        <v>2</v>
      </c>
      <c r="J95" s="2707">
        <v>1</v>
      </c>
      <c r="K95" s="2704">
        <f t="shared" si="49"/>
        <v>3</v>
      </c>
      <c r="L95" s="2573">
        <v>1</v>
      </c>
      <c r="M95" s="2707">
        <v>1</v>
      </c>
      <c r="N95" s="2704">
        <f t="shared" si="35"/>
        <v>2</v>
      </c>
      <c r="O95" s="2573">
        <v>2</v>
      </c>
      <c r="P95" s="2707"/>
      <c r="Q95" s="2704">
        <f t="shared" si="36"/>
        <v>2</v>
      </c>
      <c r="R95" s="2573">
        <v>2</v>
      </c>
      <c r="S95" s="2707"/>
      <c r="T95" s="2704">
        <f t="shared" si="38"/>
        <v>2</v>
      </c>
      <c r="U95" s="2573"/>
      <c r="V95" s="2707">
        <v>1</v>
      </c>
      <c r="W95" s="2704">
        <f t="shared" si="39"/>
        <v>1</v>
      </c>
      <c r="X95" s="2573"/>
      <c r="Y95" s="2707"/>
      <c r="Z95" s="2704"/>
      <c r="AA95" s="2573"/>
      <c r="AB95" s="2707">
        <v>1</v>
      </c>
      <c r="AC95" s="2704">
        <f t="shared" si="50"/>
        <v>1</v>
      </c>
    </row>
    <row r="96" spans="2:29" x14ac:dyDescent="0.3">
      <c r="B96" s="2572" t="s">
        <v>102</v>
      </c>
      <c r="C96" s="2573"/>
      <c r="D96" s="2707"/>
      <c r="E96" s="2704"/>
      <c r="F96" s="2573">
        <v>3</v>
      </c>
      <c r="G96" s="2707">
        <v>3</v>
      </c>
      <c r="H96" s="2704">
        <f t="shared" si="48"/>
        <v>6</v>
      </c>
      <c r="I96" s="2573">
        <v>4</v>
      </c>
      <c r="J96" s="2707">
        <v>3</v>
      </c>
      <c r="K96" s="2704">
        <f t="shared" si="49"/>
        <v>7</v>
      </c>
      <c r="L96" s="2573"/>
      <c r="M96" s="2707">
        <v>1</v>
      </c>
      <c r="N96" s="2704">
        <f t="shared" si="35"/>
        <v>1</v>
      </c>
      <c r="O96" s="2573">
        <v>1</v>
      </c>
      <c r="P96" s="2707"/>
      <c r="Q96" s="2704">
        <f t="shared" si="36"/>
        <v>1</v>
      </c>
      <c r="R96" s="2573"/>
      <c r="S96" s="2707"/>
      <c r="T96" s="2704"/>
      <c r="U96" s="2573">
        <v>1</v>
      </c>
      <c r="V96" s="2707"/>
      <c r="W96" s="2704">
        <f t="shared" si="39"/>
        <v>1</v>
      </c>
      <c r="X96" s="2573"/>
      <c r="Y96" s="2707"/>
      <c r="Z96" s="2704"/>
      <c r="AA96" s="2573"/>
      <c r="AB96" s="2707"/>
      <c r="AC96" s="2704"/>
    </row>
    <row r="97" spans="2:29" x14ac:dyDescent="0.3">
      <c r="B97" s="2572" t="s">
        <v>100</v>
      </c>
      <c r="C97" s="2573"/>
      <c r="D97" s="2707"/>
      <c r="E97" s="2704"/>
      <c r="F97" s="2573">
        <v>2</v>
      </c>
      <c r="G97" s="2707"/>
      <c r="H97" s="2704">
        <f t="shared" si="48"/>
        <v>2</v>
      </c>
      <c r="I97" s="2573">
        <v>1</v>
      </c>
      <c r="J97" s="2707">
        <v>2</v>
      </c>
      <c r="K97" s="2704">
        <f t="shared" si="49"/>
        <v>3</v>
      </c>
      <c r="L97" s="2573">
        <v>1</v>
      </c>
      <c r="M97" s="2707"/>
      <c r="N97" s="2704">
        <f t="shared" si="35"/>
        <v>1</v>
      </c>
      <c r="O97" s="2573">
        <v>7</v>
      </c>
      <c r="P97" s="2707">
        <v>1</v>
      </c>
      <c r="Q97" s="2704">
        <f t="shared" si="36"/>
        <v>8</v>
      </c>
      <c r="R97" s="2573">
        <v>1</v>
      </c>
      <c r="S97" s="2707"/>
      <c r="T97" s="2704">
        <f t="shared" si="38"/>
        <v>1</v>
      </c>
      <c r="U97" s="2573">
        <v>3</v>
      </c>
      <c r="V97" s="2707"/>
      <c r="W97" s="2704">
        <f t="shared" si="39"/>
        <v>3</v>
      </c>
      <c r="X97" s="2573"/>
      <c r="Y97" s="2707"/>
      <c r="Z97" s="2704"/>
      <c r="AA97" s="2573">
        <v>1</v>
      </c>
      <c r="AB97" s="2707">
        <v>1</v>
      </c>
      <c r="AC97" s="2704">
        <f t="shared" si="50"/>
        <v>2</v>
      </c>
    </row>
    <row r="98" spans="2:29" x14ac:dyDescent="0.3">
      <c r="B98" s="2572" t="s">
        <v>103</v>
      </c>
      <c r="C98" s="2573">
        <v>5</v>
      </c>
      <c r="D98" s="2707">
        <v>1</v>
      </c>
      <c r="E98" s="2704">
        <f t="shared" si="47"/>
        <v>6</v>
      </c>
      <c r="F98" s="2573">
        <v>4</v>
      </c>
      <c r="G98" s="2707">
        <v>1</v>
      </c>
      <c r="H98" s="2704">
        <f t="shared" si="48"/>
        <v>5</v>
      </c>
      <c r="I98" s="2573">
        <v>7</v>
      </c>
      <c r="J98" s="2707">
        <v>0</v>
      </c>
      <c r="K98" s="2704">
        <f t="shared" si="49"/>
        <v>7</v>
      </c>
      <c r="L98" s="2573">
        <v>1</v>
      </c>
      <c r="M98" s="2707">
        <v>1</v>
      </c>
      <c r="N98" s="2704">
        <f t="shared" si="35"/>
        <v>2</v>
      </c>
      <c r="O98" s="2573"/>
      <c r="P98" s="2707"/>
      <c r="Q98" s="2704"/>
      <c r="R98" s="2573"/>
      <c r="S98" s="2707"/>
      <c r="T98" s="2704"/>
      <c r="U98" s="2573">
        <v>1</v>
      </c>
      <c r="V98" s="2707"/>
      <c r="W98" s="2704">
        <f t="shared" si="39"/>
        <v>1</v>
      </c>
      <c r="X98" s="2573"/>
      <c r="Y98" s="2707"/>
      <c r="Z98" s="2704"/>
      <c r="AA98" s="2573"/>
      <c r="AB98" s="2707"/>
      <c r="AC98" s="2704"/>
    </row>
    <row r="99" spans="2:29" x14ac:dyDescent="0.3">
      <c r="B99" s="2572" t="s">
        <v>99</v>
      </c>
      <c r="C99" s="2573">
        <v>1</v>
      </c>
      <c r="D99" s="2707"/>
      <c r="E99" s="2704">
        <f t="shared" si="47"/>
        <v>1</v>
      </c>
      <c r="F99" s="2573">
        <v>2</v>
      </c>
      <c r="G99" s="2707">
        <v>3</v>
      </c>
      <c r="H99" s="2704">
        <f t="shared" si="48"/>
        <v>5</v>
      </c>
      <c r="I99" s="2573">
        <v>4</v>
      </c>
      <c r="J99" s="2707">
        <v>3</v>
      </c>
      <c r="K99" s="2704">
        <f t="shared" si="49"/>
        <v>7</v>
      </c>
      <c r="L99" s="2573">
        <v>2</v>
      </c>
      <c r="M99" s="2707">
        <v>2</v>
      </c>
      <c r="N99" s="2704">
        <f t="shared" si="35"/>
        <v>4</v>
      </c>
      <c r="O99" s="2573">
        <v>1</v>
      </c>
      <c r="P99" s="2707">
        <v>1</v>
      </c>
      <c r="Q99" s="2704">
        <f t="shared" si="36"/>
        <v>2</v>
      </c>
      <c r="R99" s="2573"/>
      <c r="S99" s="2707"/>
      <c r="T99" s="2704"/>
      <c r="U99" s="2573"/>
      <c r="V99" s="2707">
        <v>1</v>
      </c>
      <c r="W99" s="2704">
        <f t="shared" si="39"/>
        <v>1</v>
      </c>
      <c r="X99" s="2573"/>
      <c r="Y99" s="2707"/>
      <c r="Z99" s="2704"/>
      <c r="AA99" s="2573">
        <v>1</v>
      </c>
      <c r="AB99" s="2707"/>
      <c r="AC99" s="2704">
        <f t="shared" si="50"/>
        <v>1</v>
      </c>
    </row>
    <row r="100" spans="2:29" x14ac:dyDescent="0.3">
      <c r="B100" s="2577" t="s">
        <v>92</v>
      </c>
      <c r="C100" s="2578">
        <f t="shared" ref="C100:K100" si="51">SUM(C92:C99)</f>
        <v>7</v>
      </c>
      <c r="D100" s="2705">
        <f t="shared" si="51"/>
        <v>2</v>
      </c>
      <c r="E100" s="2706">
        <f t="shared" si="51"/>
        <v>9</v>
      </c>
      <c r="F100" s="2578">
        <f t="shared" si="51"/>
        <v>16</v>
      </c>
      <c r="G100" s="2705">
        <f t="shared" si="51"/>
        <v>15</v>
      </c>
      <c r="H100" s="2706">
        <f t="shared" si="51"/>
        <v>31</v>
      </c>
      <c r="I100" s="2578">
        <f t="shared" si="51"/>
        <v>33</v>
      </c>
      <c r="J100" s="2705">
        <f t="shared" si="51"/>
        <v>14</v>
      </c>
      <c r="K100" s="2706">
        <f t="shared" si="51"/>
        <v>47</v>
      </c>
      <c r="L100" s="2578">
        <f>SUM(L92:L99)</f>
        <v>11</v>
      </c>
      <c r="M100" s="2705">
        <f>SUM(M92:M99)</f>
        <v>10</v>
      </c>
      <c r="N100" s="2706">
        <f t="shared" si="35"/>
        <v>21</v>
      </c>
      <c r="O100" s="2578">
        <f>SUM(O92:O99)</f>
        <v>16</v>
      </c>
      <c r="P100" s="2705">
        <f>SUM(P92:P99)</f>
        <v>4</v>
      </c>
      <c r="Q100" s="2706">
        <f t="shared" si="36"/>
        <v>20</v>
      </c>
      <c r="R100" s="2578">
        <f>SUM(R92:R99)</f>
        <v>6</v>
      </c>
      <c r="S100" s="2705">
        <f>SUM(S92:S99)</f>
        <v>0</v>
      </c>
      <c r="T100" s="2706">
        <f t="shared" si="38"/>
        <v>6</v>
      </c>
      <c r="U100" s="2578">
        <f>SUM(U92:U99)</f>
        <v>6</v>
      </c>
      <c r="V100" s="2705">
        <f>SUM(V92:V99)</f>
        <v>2</v>
      </c>
      <c r="W100" s="2706">
        <f t="shared" si="39"/>
        <v>8</v>
      </c>
      <c r="X100" s="2578"/>
      <c r="Y100" s="2705"/>
      <c r="Z100" s="2706"/>
      <c r="AA100" s="2578">
        <f>SUM(AA92:AA99)</f>
        <v>4</v>
      </c>
      <c r="AB100" s="2705">
        <f>SUM(AB92:AB99)</f>
        <v>4</v>
      </c>
      <c r="AC100" s="2706">
        <f>SUM(AC92:AC99)</f>
        <v>8</v>
      </c>
    </row>
    <row r="101" spans="2:29" x14ac:dyDescent="0.3">
      <c r="B101" s="2572" t="s">
        <v>65</v>
      </c>
      <c r="C101" s="2573">
        <v>1</v>
      </c>
      <c r="D101" s="2707">
        <v>2</v>
      </c>
      <c r="E101" s="2704">
        <f>SUM(C101:D101)</f>
        <v>3</v>
      </c>
      <c r="F101" s="2573">
        <v>8</v>
      </c>
      <c r="G101" s="2707">
        <v>8</v>
      </c>
      <c r="H101" s="2704">
        <f>SUM(F101:G101)</f>
        <v>16</v>
      </c>
      <c r="I101" s="2573">
        <v>18</v>
      </c>
      <c r="J101" s="2707">
        <v>14</v>
      </c>
      <c r="K101" s="2704">
        <f>SUM(I101:J101)</f>
        <v>32</v>
      </c>
      <c r="L101" s="2573">
        <v>10</v>
      </c>
      <c r="M101" s="2707">
        <v>10</v>
      </c>
      <c r="N101" s="2704">
        <f t="shared" si="35"/>
        <v>20</v>
      </c>
      <c r="O101" s="2573">
        <v>3</v>
      </c>
      <c r="P101" s="2707">
        <v>9</v>
      </c>
      <c r="Q101" s="2704">
        <f t="shared" si="36"/>
        <v>12</v>
      </c>
      <c r="R101" s="2573">
        <v>3</v>
      </c>
      <c r="S101" s="2707"/>
      <c r="T101" s="2704">
        <f t="shared" si="38"/>
        <v>3</v>
      </c>
      <c r="U101" s="2573">
        <v>2</v>
      </c>
      <c r="V101" s="2707">
        <v>2</v>
      </c>
      <c r="W101" s="2704">
        <f t="shared" si="39"/>
        <v>4</v>
      </c>
      <c r="X101" s="2573"/>
      <c r="Y101" s="2707"/>
      <c r="Z101" s="2704"/>
      <c r="AA101" s="2573">
        <v>1</v>
      </c>
      <c r="AB101" s="2707">
        <v>1</v>
      </c>
      <c r="AC101" s="2704">
        <f>SUM(AA101:AB101)</f>
        <v>2</v>
      </c>
    </row>
    <row r="102" spans="2:29" x14ac:dyDescent="0.3">
      <c r="B102" s="2572" t="s">
        <v>66</v>
      </c>
      <c r="C102" s="2573">
        <v>3</v>
      </c>
      <c r="D102" s="2707"/>
      <c r="E102" s="2704">
        <f>SUM(C102:D102)</f>
        <v>3</v>
      </c>
      <c r="F102" s="2573">
        <v>11</v>
      </c>
      <c r="G102" s="2707">
        <v>8</v>
      </c>
      <c r="H102" s="2704">
        <f>SUM(F102:G102)</f>
        <v>19</v>
      </c>
      <c r="I102" s="2573">
        <v>11</v>
      </c>
      <c r="J102" s="2707">
        <v>8</v>
      </c>
      <c r="K102" s="2704">
        <f>SUM(I102:J102)</f>
        <v>19</v>
      </c>
      <c r="L102" s="2573">
        <v>6</v>
      </c>
      <c r="M102" s="2707">
        <v>2</v>
      </c>
      <c r="N102" s="2704">
        <f t="shared" si="35"/>
        <v>8</v>
      </c>
      <c r="O102" s="2573">
        <v>4</v>
      </c>
      <c r="P102" s="2707">
        <v>4</v>
      </c>
      <c r="Q102" s="2704">
        <f t="shared" si="36"/>
        <v>8</v>
      </c>
      <c r="R102" s="2573"/>
      <c r="S102" s="2707"/>
      <c r="T102" s="2704"/>
      <c r="U102" s="2573"/>
      <c r="V102" s="2707">
        <v>1</v>
      </c>
      <c r="W102" s="2704">
        <f t="shared" si="39"/>
        <v>1</v>
      </c>
      <c r="X102" s="2573"/>
      <c r="Y102" s="2707"/>
      <c r="Z102" s="2704"/>
      <c r="AA102" s="2573"/>
      <c r="AB102" s="2707"/>
      <c r="AC102" s="2704"/>
    </row>
    <row r="103" spans="2:29" x14ac:dyDescent="0.3">
      <c r="B103" s="2572" t="s">
        <v>67</v>
      </c>
      <c r="C103" s="2573">
        <v>4</v>
      </c>
      <c r="D103" s="2707"/>
      <c r="E103" s="2704">
        <f>SUM(C103:D103)</f>
        <v>4</v>
      </c>
      <c r="F103" s="2573">
        <v>3</v>
      </c>
      <c r="G103" s="2707">
        <v>5</v>
      </c>
      <c r="H103" s="2704">
        <f>SUM(F103:G103)</f>
        <v>8</v>
      </c>
      <c r="I103" s="2573">
        <v>19</v>
      </c>
      <c r="J103" s="2707">
        <v>5</v>
      </c>
      <c r="K103" s="2704">
        <f>SUM(I103:J103)</f>
        <v>24</v>
      </c>
      <c r="L103" s="2573">
        <v>6</v>
      </c>
      <c r="M103" s="2707">
        <v>1</v>
      </c>
      <c r="N103" s="2704">
        <f t="shared" si="35"/>
        <v>7</v>
      </c>
      <c r="O103" s="2573">
        <v>2</v>
      </c>
      <c r="P103" s="2707">
        <v>2</v>
      </c>
      <c r="Q103" s="2704">
        <f t="shared" si="36"/>
        <v>4</v>
      </c>
      <c r="R103" s="2573"/>
      <c r="S103" s="2707"/>
      <c r="T103" s="2704"/>
      <c r="U103" s="2573"/>
      <c r="V103" s="2707">
        <v>1</v>
      </c>
      <c r="W103" s="2704">
        <f t="shared" si="39"/>
        <v>1</v>
      </c>
      <c r="X103" s="2573"/>
      <c r="Y103" s="2707"/>
      <c r="Z103" s="2704"/>
      <c r="AA103" s="2573">
        <v>1</v>
      </c>
      <c r="AB103" s="2707"/>
      <c r="AC103" s="2704">
        <f t="shared" ref="AC103" si="52">SUM(AA103:AB103)</f>
        <v>1</v>
      </c>
    </row>
    <row r="104" spans="2:29" x14ac:dyDescent="0.3">
      <c r="B104" s="2572" t="s">
        <v>104</v>
      </c>
      <c r="C104" s="2573"/>
      <c r="D104" s="2707"/>
      <c r="E104" s="2704"/>
      <c r="F104" s="2573"/>
      <c r="G104" s="2707">
        <v>3</v>
      </c>
      <c r="H104" s="2704">
        <f>SUM(F104:G104)</f>
        <v>3</v>
      </c>
      <c r="I104" s="2573">
        <v>2</v>
      </c>
      <c r="J104" s="2707">
        <v>3</v>
      </c>
      <c r="K104" s="2704">
        <f>SUM(I104:J104)</f>
        <v>5</v>
      </c>
      <c r="L104" s="2573"/>
      <c r="M104" s="2707">
        <v>1</v>
      </c>
      <c r="N104" s="2704">
        <f t="shared" si="35"/>
        <v>1</v>
      </c>
      <c r="O104" s="2573"/>
      <c r="P104" s="2707"/>
      <c r="Q104" s="2704"/>
      <c r="R104" s="2573"/>
      <c r="S104" s="2707"/>
      <c r="T104" s="2704"/>
      <c r="U104" s="2573"/>
      <c r="V104" s="2707"/>
      <c r="W104" s="2704"/>
      <c r="X104" s="2573"/>
      <c r="Y104" s="2707"/>
      <c r="Z104" s="2704"/>
      <c r="AA104" s="2573"/>
      <c r="AB104" s="2707"/>
      <c r="AC104" s="2704"/>
    </row>
    <row r="105" spans="2:29" x14ac:dyDescent="0.3">
      <c r="B105" s="2577" t="s">
        <v>68</v>
      </c>
      <c r="C105" s="2611">
        <f t="shared" ref="C105:K105" si="53">SUM(C101:C104)</f>
        <v>8</v>
      </c>
      <c r="D105" s="2727">
        <f t="shared" si="53"/>
        <v>2</v>
      </c>
      <c r="E105" s="2728">
        <f t="shared" si="53"/>
        <v>10</v>
      </c>
      <c r="F105" s="2611">
        <f t="shared" si="53"/>
        <v>22</v>
      </c>
      <c r="G105" s="2727">
        <f t="shared" si="53"/>
        <v>24</v>
      </c>
      <c r="H105" s="2728">
        <f t="shared" si="53"/>
        <v>46</v>
      </c>
      <c r="I105" s="2611">
        <f t="shared" si="53"/>
        <v>50</v>
      </c>
      <c r="J105" s="2727">
        <f t="shared" si="53"/>
        <v>30</v>
      </c>
      <c r="K105" s="2728">
        <f t="shared" si="53"/>
        <v>80</v>
      </c>
      <c r="L105" s="2611">
        <f>SUM(L101:L104)</f>
        <v>22</v>
      </c>
      <c r="M105" s="2727">
        <f>SUM(M101:M104)</f>
        <v>14</v>
      </c>
      <c r="N105" s="2728">
        <f t="shared" si="35"/>
        <v>36</v>
      </c>
      <c r="O105" s="2611">
        <f>SUM(O101:O104)</f>
        <v>9</v>
      </c>
      <c r="P105" s="2727">
        <f>SUM(P101:P104)</f>
        <v>15</v>
      </c>
      <c r="Q105" s="2728">
        <f t="shared" si="36"/>
        <v>24</v>
      </c>
      <c r="R105" s="2611">
        <f>SUM(R101:R104)</f>
        <v>3</v>
      </c>
      <c r="S105" s="2727">
        <f>SUM(S101:S104)</f>
        <v>0</v>
      </c>
      <c r="T105" s="2728">
        <f t="shared" si="38"/>
        <v>3</v>
      </c>
      <c r="U105" s="2611">
        <f>SUM(U101:U104)</f>
        <v>2</v>
      </c>
      <c r="V105" s="2727">
        <f>SUM(V101:V104)</f>
        <v>4</v>
      </c>
      <c r="W105" s="2728">
        <f t="shared" si="39"/>
        <v>6</v>
      </c>
      <c r="X105" s="2611"/>
      <c r="Y105" s="2727"/>
      <c r="Z105" s="2728"/>
      <c r="AA105" s="2611">
        <f>SUM(AA101:AA104)</f>
        <v>2</v>
      </c>
      <c r="AB105" s="2727">
        <f>SUM(AB101:AB104)</f>
        <v>1</v>
      </c>
      <c r="AC105" s="2728">
        <f>SUM(AC101:AC104)</f>
        <v>3</v>
      </c>
    </row>
    <row r="106" spans="2:29" x14ac:dyDescent="0.3">
      <c r="B106" s="2729" t="s">
        <v>673</v>
      </c>
      <c r="C106" s="2729">
        <f t="shared" ref="C106:K106" si="54">C105+C100+C91</f>
        <v>22</v>
      </c>
      <c r="D106" s="2730">
        <f t="shared" si="54"/>
        <v>12</v>
      </c>
      <c r="E106" s="2731">
        <f t="shared" si="54"/>
        <v>34</v>
      </c>
      <c r="F106" s="2729">
        <f t="shared" si="54"/>
        <v>65</v>
      </c>
      <c r="G106" s="2730">
        <f t="shared" si="54"/>
        <v>54</v>
      </c>
      <c r="H106" s="2731">
        <f t="shared" si="54"/>
        <v>119</v>
      </c>
      <c r="I106" s="2729">
        <f t="shared" si="54"/>
        <v>129</v>
      </c>
      <c r="J106" s="2730">
        <f t="shared" si="54"/>
        <v>76</v>
      </c>
      <c r="K106" s="2731">
        <f t="shared" si="54"/>
        <v>205</v>
      </c>
      <c r="L106" s="2729">
        <f>L105+L100+L91</f>
        <v>43</v>
      </c>
      <c r="M106" s="2730">
        <f>M105+M100+M91</f>
        <v>29</v>
      </c>
      <c r="N106" s="2731">
        <f t="shared" si="35"/>
        <v>72</v>
      </c>
      <c r="O106" s="2729">
        <f>O105+O100+O91</f>
        <v>33</v>
      </c>
      <c r="P106" s="2730">
        <f>P105+P100+P91</f>
        <v>28</v>
      </c>
      <c r="Q106" s="2731">
        <f t="shared" si="36"/>
        <v>61</v>
      </c>
      <c r="R106" s="2729">
        <f>R105+R100+R91</f>
        <v>12</v>
      </c>
      <c r="S106" s="2730">
        <f>S105+S100+S91</f>
        <v>1</v>
      </c>
      <c r="T106" s="2731">
        <f t="shared" si="38"/>
        <v>13</v>
      </c>
      <c r="U106" s="2729">
        <f>U105+U100+U91</f>
        <v>11</v>
      </c>
      <c r="V106" s="2730">
        <f>V105+V100+V91</f>
        <v>7</v>
      </c>
      <c r="W106" s="2731">
        <f t="shared" si="39"/>
        <v>18</v>
      </c>
      <c r="X106" s="2729"/>
      <c r="Y106" s="2730"/>
      <c r="Z106" s="2731"/>
      <c r="AA106" s="2729">
        <f>SUM(AA91,AA100,AA105)</f>
        <v>7</v>
      </c>
      <c r="AB106" s="2730">
        <f>SUM(AB105,AB100,AB91)</f>
        <v>7</v>
      </c>
      <c r="AC106" s="2731">
        <f>SUM(AC91,AC100,AC105)</f>
        <v>14</v>
      </c>
    </row>
    <row r="107" spans="2:29" x14ac:dyDescent="0.3">
      <c r="B107" s="2563"/>
      <c r="C107" s="2563"/>
      <c r="D107" s="2563"/>
      <c r="E107" s="2563"/>
      <c r="I107" s="2563"/>
      <c r="J107" s="2563"/>
      <c r="K107" s="2563"/>
      <c r="L107" s="2563"/>
      <c r="M107" s="2563"/>
      <c r="N107" s="2563"/>
      <c r="O107" s="2563"/>
      <c r="P107" s="2563"/>
      <c r="Q107" s="2563"/>
      <c r="R107" s="2563"/>
      <c r="S107" s="2563"/>
      <c r="T107" s="2563"/>
      <c r="U107" s="2563"/>
      <c r="V107" s="2563"/>
      <c r="W107" s="2563"/>
      <c r="X107" s="2563"/>
      <c r="Y107" s="2563"/>
      <c r="Z107" s="2563"/>
      <c r="AA107" s="2563"/>
      <c r="AB107" s="2563"/>
      <c r="AC107" s="2563"/>
    </row>
    <row r="108" spans="2:29" x14ac:dyDescent="0.3">
      <c r="B108" s="2732" t="s">
        <v>128</v>
      </c>
      <c r="C108" s="2732">
        <f t="shared" ref="C108:H108" si="55">C106+C84+C71+C40+C25</f>
        <v>63</v>
      </c>
      <c r="D108" s="2692">
        <f t="shared" si="55"/>
        <v>58</v>
      </c>
      <c r="E108" s="2690">
        <f t="shared" si="55"/>
        <v>121</v>
      </c>
      <c r="F108" s="2732">
        <f t="shared" si="55"/>
        <v>217</v>
      </c>
      <c r="G108" s="2692">
        <f t="shared" si="55"/>
        <v>182</v>
      </c>
      <c r="H108" s="2690">
        <f t="shared" si="55"/>
        <v>399</v>
      </c>
      <c r="I108" s="2732">
        <f>I106+I84+I71+I40+I25</f>
        <v>333</v>
      </c>
      <c r="J108" s="2692">
        <f>J106+J84+J71+J40+J25</f>
        <v>252</v>
      </c>
      <c r="K108" s="2690">
        <f>K106+K84+K71+K40+K25</f>
        <v>585</v>
      </c>
      <c r="L108" s="2732">
        <f>L106+L84+L71+L40+L25</f>
        <v>140</v>
      </c>
      <c r="M108" s="2692">
        <f>M106+M84+M71+M40+M25</f>
        <v>114</v>
      </c>
      <c r="N108" s="2690">
        <f t="shared" si="35"/>
        <v>254</v>
      </c>
      <c r="O108" s="2732">
        <f>O106+O84+O71+O40+O25</f>
        <v>149</v>
      </c>
      <c r="P108" s="2692">
        <f>P106+P84+P71+P40+P25</f>
        <v>107</v>
      </c>
      <c r="Q108" s="2690">
        <f>SUM(O108:P108)</f>
        <v>256</v>
      </c>
      <c r="R108" s="2732">
        <f>R106+R84+R71+R40+R25</f>
        <v>38</v>
      </c>
      <c r="S108" s="2692">
        <f>S106+S84+S71+S40+S25</f>
        <v>21</v>
      </c>
      <c r="T108" s="2690">
        <f>SUM(R108:S108)</f>
        <v>59</v>
      </c>
      <c r="U108" s="2732">
        <f>U106+U84+U71+U40+U25</f>
        <v>31</v>
      </c>
      <c r="V108" s="2692">
        <f>V106+V84+V71+V40+V25</f>
        <v>19</v>
      </c>
      <c r="W108" s="2690">
        <f>SUM(U108:V108)</f>
        <v>50</v>
      </c>
      <c r="X108" s="2732"/>
      <c r="Y108" s="2692"/>
      <c r="Z108" s="2690"/>
      <c r="AA108" s="2732">
        <f>SUM(AA25,AA40,AA71,AA84,AA106)</f>
        <v>25</v>
      </c>
      <c r="AB108" s="2692">
        <f t="shared" ref="AB108:AC108" si="56">SUM(AB25,AB40,AB71,AB84,AB106)</f>
        <v>21</v>
      </c>
      <c r="AC108" s="5300">
        <f t="shared" si="56"/>
        <v>46</v>
      </c>
    </row>
    <row r="110" spans="2:29" x14ac:dyDescent="0.3">
      <c r="B110" s="2341" t="s">
        <v>622</v>
      </c>
    </row>
  </sheetData>
  <mergeCells count="10">
    <mergeCell ref="AA3:AC3"/>
    <mergeCell ref="X3:Z3"/>
    <mergeCell ref="R3:T3"/>
    <mergeCell ref="U3:W3"/>
    <mergeCell ref="B3:B4"/>
    <mergeCell ref="C3:E3"/>
    <mergeCell ref="F3:H3"/>
    <mergeCell ref="I3:K3"/>
    <mergeCell ref="L3:N3"/>
    <mergeCell ref="O3:Q3"/>
  </mergeCells>
  <printOptions horizontalCentered="1" verticalCentered="1"/>
  <pageMargins left="0.74803149606299213" right="0.74803149606299213" top="0.59055118110236227" bottom="0.59055118110236227" header="0.51181102362204722" footer="0.51181102362204722"/>
  <pageSetup scale="47" firstPageNumber="109" orientation="landscape" useFirstPageNumber="1" r:id="rId1"/>
  <headerFooter scaleWithDoc="0" alignWithMargins="0">
    <oddFooter>&amp;R&amp;P</oddFooter>
  </headerFooter>
  <rowBreaks count="1" manualBreakCount="1">
    <brk id="40" min="14" max="28" man="1"/>
  </rowBreaks>
  <ignoredErrors>
    <ignoredError sqref="E15:Z15 E105:Z108 E104:P104 X104:Z104 E95:Z95 E93:V93 X93:Z94 E87:Z87 E85:V85 X85:Z86 E89:Z89 E88:S88 X88:Z88 E82:Z84 E81:V81 X80:Z81 E77:Z79 E76:P76 X76:Z76 E73:Z75 E72:S72 X72:Z72 E70:Z71 E64:M64 X64:Z69 E63:Z63 E54:V54 X52:Z61 E51:Z51 E42:V42 X41:Z50 E38:Z40 E35:V35 X35:Z36 E34:Z34 E32:P32 X32:Z33 E31:S31 E30:S30 X30:Z30 E29:Z29 E27:V27 X27:Z28 E17:Z17 E16:V16 X16:Z16 E19:Z20 E18:V18 X18:Z18 E22:Z26 E21:S21 U21:Z21 U31:Z31 U30:V30 E33:S33 U33:V33 E37:S37 U37:Z37 E36:S36 U36:V36 E47:G47 E44:S44 U44:V46 E48:S48 U48:V50 E52:S53 U52:V53 E62:M62 U62:Z62 E56:S56 U55:V61 E67:V67 E65:S65 U65:V66 E69:S69 U68:V69 U72:V72 U76:V76 E86:S86 U86:V86 U88:V88 E91:Z91 E90:S90 U90:Z90 E92:S92 U92:Z92 E94:S94 U94:V94 E97:Z97 E96:S96 U96:Z96 E100:Z101 E99:S99 U98:Z99 U104:V104 E102:S103 U102:Z103 E28:P28 R28:V28 R32:V32 E46:S46 E45:G45 I45:J45 I47:J47 L47:M47 E41:J41 L41:V41 E43:M43 O43:V43 O45:P45 O47:P47 E49:M50 O49:S49 R45:S45 R47:V47 O50:P50 R50:S50 L45:M45 E61:S61 E59:M60 O59:S60 O62:S62 E55:P55 R55:S55 E58:S58 E57:P57 R57:S57 E66:P66 R66:S66 E68:M68 O68:S68 O64:V64 R76:S76 E80:P80 R80:V80 E98:P98 R98:S98 R104:S104 AC91:AC101 AB106" formula="1"/>
  </ignoredErrors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</sheetPr>
  <dimension ref="A1:AC104"/>
  <sheetViews>
    <sheetView showGridLines="0" zoomScaleNormal="100" zoomScalePageLayoutView="125" workbookViewId="0">
      <pane xSplit="2" ySplit="4" topLeftCell="O5" activePane="bottomRight" state="frozen"/>
      <selection activeCell="Q31" sqref="Q31"/>
      <selection pane="topRight" activeCell="Q31" sqref="Q31"/>
      <selection pane="bottomLeft" activeCell="Q31" sqref="Q31"/>
      <selection pane="bottomRight" activeCell="Q31" sqref="Q31"/>
    </sheetView>
  </sheetViews>
  <sheetFormatPr baseColWidth="10" defaultColWidth="11.44140625" defaultRowHeight="14.4" x14ac:dyDescent="0.3"/>
  <cols>
    <col min="1" max="1" width="2.88671875" style="2563" customWidth="1"/>
    <col min="2" max="2" width="35.44140625" style="2733" bestFit="1" customWidth="1"/>
    <col min="3" max="3" width="10" style="2563" customWidth="1"/>
    <col min="4" max="4" width="9.109375" style="2563" customWidth="1"/>
    <col min="5" max="5" width="7.88671875" style="2563" customWidth="1"/>
    <col min="6" max="6" width="10" style="2699" customWidth="1"/>
    <col min="7" max="7" width="9.109375" style="2699" customWidth="1"/>
    <col min="8" max="8" width="7.88671875" style="2699" customWidth="1"/>
    <col min="9" max="9" width="8.88671875" style="2699" customWidth="1"/>
    <col min="10" max="10" width="8.44140625" style="2699" customWidth="1"/>
    <col min="11" max="11" width="7.88671875" style="2699" customWidth="1"/>
    <col min="12" max="13" width="8.44140625" style="2699" customWidth="1"/>
    <col min="14" max="14" width="7.88671875" style="2699" customWidth="1"/>
    <col min="15" max="15" width="8.88671875" style="2699" customWidth="1"/>
    <col min="16" max="16" width="8.44140625" style="2699" customWidth="1"/>
    <col min="17" max="17" width="7.88671875" style="2699" customWidth="1"/>
    <col min="18" max="18" width="8.88671875" style="2699" customWidth="1"/>
    <col min="19" max="19" width="8.44140625" style="2699" customWidth="1"/>
    <col min="20" max="20" width="7.88671875" style="2699" customWidth="1"/>
    <col min="21" max="21" width="8.88671875" style="2699" customWidth="1"/>
    <col min="22" max="22" width="8.44140625" style="2699" customWidth="1"/>
    <col min="23" max="23" width="7.88671875" style="2699" customWidth="1"/>
    <col min="24" max="24" width="8.88671875" style="2699" customWidth="1"/>
    <col min="25" max="25" width="8.44140625" style="2699" customWidth="1"/>
    <col min="26" max="26" width="7.88671875" style="2699" customWidth="1"/>
    <col min="27" max="28" width="11.44140625" style="2699"/>
    <col min="29" max="29" width="7.88671875" style="2699" customWidth="1"/>
    <col min="30" max="16384" width="11.44140625" style="2699"/>
  </cols>
  <sheetData>
    <row r="1" spans="1:29" ht="36" x14ac:dyDescent="0.3">
      <c r="B1" s="2758" t="s">
        <v>1501</v>
      </c>
      <c r="F1" s="558"/>
    </row>
    <row r="2" spans="1:29" ht="14.4" customHeight="1" x14ac:dyDescent="0.3">
      <c r="A2" s="2564"/>
      <c r="B2" s="4765"/>
    </row>
    <row r="3" spans="1:29" ht="15" customHeight="1" x14ac:dyDescent="0.3">
      <c r="B3" s="6094" t="s">
        <v>624</v>
      </c>
      <c r="C3" s="6092">
        <v>2014</v>
      </c>
      <c r="D3" s="6092"/>
      <c r="E3" s="6093"/>
      <c r="F3" s="6092">
        <v>2015</v>
      </c>
      <c r="G3" s="6092"/>
      <c r="H3" s="6093"/>
      <c r="I3" s="6092">
        <v>2016</v>
      </c>
      <c r="J3" s="6092"/>
      <c r="K3" s="6093"/>
      <c r="L3" s="6092">
        <v>2017</v>
      </c>
      <c r="M3" s="6093"/>
      <c r="N3" s="6093"/>
      <c r="O3" s="6092">
        <v>2018</v>
      </c>
      <c r="P3" s="6093"/>
      <c r="Q3" s="6093"/>
      <c r="R3" s="6092">
        <v>2019</v>
      </c>
      <c r="S3" s="6093"/>
      <c r="T3" s="6093"/>
      <c r="U3" s="6092">
        <v>2020</v>
      </c>
      <c r="V3" s="6093"/>
      <c r="W3" s="6093"/>
      <c r="X3" s="6092">
        <v>2021</v>
      </c>
      <c r="Y3" s="6093"/>
      <c r="Z3" s="6093"/>
      <c r="AA3" s="6092">
        <v>2022</v>
      </c>
      <c r="AB3" s="6093"/>
      <c r="AC3" s="6093"/>
    </row>
    <row r="4" spans="1:29" x14ac:dyDescent="0.3">
      <c r="B4" s="6087"/>
      <c r="C4" s="2701" t="s">
        <v>140</v>
      </c>
      <c r="D4" s="2701" t="s">
        <v>671</v>
      </c>
      <c r="E4" s="2702" t="s">
        <v>48</v>
      </c>
      <c r="F4" s="2701" t="s">
        <v>140</v>
      </c>
      <c r="G4" s="2701" t="s">
        <v>671</v>
      </c>
      <c r="H4" s="2702" t="s">
        <v>48</v>
      </c>
      <c r="I4" s="2701" t="s">
        <v>140</v>
      </c>
      <c r="J4" s="2701" t="s">
        <v>671</v>
      </c>
      <c r="K4" s="2702" t="s">
        <v>48</v>
      </c>
      <c r="L4" s="2701" t="s">
        <v>140</v>
      </c>
      <c r="M4" s="2701" t="s">
        <v>671</v>
      </c>
      <c r="N4" s="2702" t="s">
        <v>48</v>
      </c>
      <c r="O4" s="2701" t="s">
        <v>140</v>
      </c>
      <c r="P4" s="2701" t="s">
        <v>671</v>
      </c>
      <c r="Q4" s="2702" t="s">
        <v>48</v>
      </c>
      <c r="R4" s="2701" t="s">
        <v>140</v>
      </c>
      <c r="S4" s="2701" t="s">
        <v>671</v>
      </c>
      <c r="T4" s="2702" t="s">
        <v>48</v>
      </c>
      <c r="U4" s="2701" t="s">
        <v>140</v>
      </c>
      <c r="V4" s="2701" t="s">
        <v>671</v>
      </c>
      <c r="W4" s="2702" t="s">
        <v>48</v>
      </c>
      <c r="X4" s="2701" t="s">
        <v>140</v>
      </c>
      <c r="Y4" s="2701" t="s">
        <v>671</v>
      </c>
      <c r="Z4" s="2702" t="s">
        <v>48</v>
      </c>
      <c r="AA4" s="2701" t="s">
        <v>140</v>
      </c>
      <c r="AB4" s="2701" t="s">
        <v>671</v>
      </c>
      <c r="AC4" s="2702" t="s">
        <v>48</v>
      </c>
    </row>
    <row r="5" spans="1:29" ht="15" customHeight="1" x14ac:dyDescent="0.3">
      <c r="B5" s="2567" t="s">
        <v>629</v>
      </c>
      <c r="C5" s="2568"/>
      <c r="D5" s="2734"/>
      <c r="E5" s="2735"/>
      <c r="F5" s="2568">
        <v>2</v>
      </c>
      <c r="G5" s="2734">
        <v>1</v>
      </c>
      <c r="H5" s="2735">
        <f>SUM(F5:G5)</f>
        <v>3</v>
      </c>
      <c r="I5" s="2568"/>
      <c r="J5" s="2734"/>
      <c r="K5" s="2735"/>
      <c r="L5" s="2568"/>
      <c r="M5" s="2734"/>
      <c r="N5" s="2735"/>
      <c r="O5" s="2568">
        <v>2</v>
      </c>
      <c r="P5" s="2734"/>
      <c r="Q5" s="2735">
        <f>SUM(O5:P5)</f>
        <v>2</v>
      </c>
      <c r="R5" s="2568"/>
      <c r="S5" s="2734"/>
      <c r="T5" s="2735"/>
      <c r="U5" s="2568"/>
      <c r="V5" s="2734"/>
      <c r="W5" s="2735"/>
      <c r="X5" s="2568"/>
      <c r="Y5" s="2734"/>
      <c r="Z5" s="2735"/>
      <c r="AA5" s="2568"/>
      <c r="AB5" s="2734"/>
      <c r="AC5" s="2735"/>
    </row>
    <row r="6" spans="1:29" ht="15" customHeight="1" x14ac:dyDescent="0.3">
      <c r="B6" s="2572" t="s">
        <v>630</v>
      </c>
      <c r="C6" s="2573"/>
      <c r="D6" s="2736"/>
      <c r="E6" s="2737"/>
      <c r="F6" s="2573"/>
      <c r="G6" s="2736">
        <v>3</v>
      </c>
      <c r="H6" s="2737">
        <f>SUM(F6:G6)</f>
        <v>3</v>
      </c>
      <c r="I6" s="2573"/>
      <c r="J6" s="2736">
        <v>1</v>
      </c>
      <c r="K6" s="2737">
        <f>SUM(I6:J6)</f>
        <v>1</v>
      </c>
      <c r="L6" s="2573">
        <v>1</v>
      </c>
      <c r="M6" s="2736"/>
      <c r="N6" s="2737">
        <f t="shared" ref="N6:N70" si="0">SUM(L6:M6)</f>
        <v>1</v>
      </c>
      <c r="O6" s="2573"/>
      <c r="P6" s="2736"/>
      <c r="Q6" s="2737"/>
      <c r="R6" s="2573"/>
      <c r="S6" s="2736"/>
      <c r="T6" s="2737"/>
      <c r="U6" s="2573"/>
      <c r="V6" s="2736"/>
      <c r="W6" s="2737"/>
      <c r="X6" s="2573"/>
      <c r="Y6" s="2736"/>
      <c r="Z6" s="2737"/>
      <c r="AA6" s="2573"/>
      <c r="AB6" s="2736"/>
      <c r="AC6" s="2737"/>
    </row>
    <row r="7" spans="1:29" ht="15" customHeight="1" x14ac:dyDescent="0.3">
      <c r="B7" s="2572" t="s">
        <v>631</v>
      </c>
      <c r="C7" s="2573"/>
      <c r="D7" s="2736"/>
      <c r="E7" s="2737"/>
      <c r="F7" s="2573"/>
      <c r="G7" s="2736"/>
      <c r="H7" s="2737"/>
      <c r="I7" s="2573"/>
      <c r="J7" s="2736"/>
      <c r="K7" s="2737"/>
      <c r="L7" s="2573"/>
      <c r="M7" s="2736"/>
      <c r="N7" s="2737"/>
      <c r="O7" s="2573"/>
      <c r="P7" s="2736"/>
      <c r="Q7" s="2737"/>
      <c r="R7" s="2573"/>
      <c r="S7" s="2736"/>
      <c r="T7" s="2737"/>
      <c r="U7" s="2573"/>
      <c r="V7" s="2736"/>
      <c r="W7" s="2737"/>
      <c r="X7" s="2573"/>
      <c r="Y7" s="2736"/>
      <c r="Z7" s="2737"/>
      <c r="AA7" s="2573"/>
      <c r="AB7" s="2736"/>
      <c r="AC7" s="2737"/>
    </row>
    <row r="8" spans="1:29" ht="15" customHeight="1" x14ac:dyDescent="0.3">
      <c r="B8" s="2572" t="s">
        <v>632</v>
      </c>
      <c r="C8" s="2573"/>
      <c r="D8" s="2736"/>
      <c r="E8" s="2737"/>
      <c r="F8" s="2573"/>
      <c r="G8" s="2736">
        <v>1</v>
      </c>
      <c r="H8" s="2737">
        <f t="shared" ref="H8:H13" si="1">SUM(F8:G8)</f>
        <v>1</v>
      </c>
      <c r="I8" s="2573"/>
      <c r="J8" s="2736">
        <v>1</v>
      </c>
      <c r="K8" s="2737">
        <f t="shared" ref="K8:K13" si="2">SUM(I8:J8)</f>
        <v>1</v>
      </c>
      <c r="L8" s="2573"/>
      <c r="M8" s="2736"/>
      <c r="N8" s="2737"/>
      <c r="O8" s="2573"/>
      <c r="P8" s="2736"/>
      <c r="Q8" s="2737"/>
      <c r="R8" s="2573"/>
      <c r="S8" s="2736"/>
      <c r="T8" s="2737"/>
      <c r="U8" s="2573"/>
      <c r="V8" s="2736"/>
      <c r="W8" s="2737"/>
      <c r="X8" s="2573"/>
      <c r="Y8" s="2736"/>
      <c r="Z8" s="2737"/>
      <c r="AA8" s="2573"/>
      <c r="AB8" s="2736"/>
      <c r="AC8" s="2737"/>
    </row>
    <row r="9" spans="1:29" ht="15" customHeight="1" x14ac:dyDescent="0.3">
      <c r="B9" s="2572" t="s">
        <v>633</v>
      </c>
      <c r="C9" s="2573"/>
      <c r="D9" s="2736"/>
      <c r="E9" s="2737"/>
      <c r="F9" s="2573"/>
      <c r="G9" s="2736"/>
      <c r="H9" s="2737"/>
      <c r="I9" s="2573"/>
      <c r="J9" s="2736">
        <v>1</v>
      </c>
      <c r="K9" s="2737">
        <f t="shared" si="2"/>
        <v>1</v>
      </c>
      <c r="L9" s="2573"/>
      <c r="M9" s="2736"/>
      <c r="N9" s="2737"/>
      <c r="O9" s="2573"/>
      <c r="P9" s="2736"/>
      <c r="Q9" s="2737"/>
      <c r="R9" s="2573"/>
      <c r="S9" s="2736"/>
      <c r="T9" s="2737"/>
      <c r="U9" s="2573"/>
      <c r="V9" s="2736"/>
      <c r="W9" s="2737"/>
      <c r="X9" s="2573"/>
      <c r="Y9" s="2736"/>
      <c r="Z9" s="2737"/>
      <c r="AA9" s="2573"/>
      <c r="AB9" s="2736"/>
      <c r="AC9" s="2737"/>
    </row>
    <row r="10" spans="1:29" ht="15" customHeight="1" x14ac:dyDescent="0.3">
      <c r="B10" s="2572" t="s">
        <v>634</v>
      </c>
      <c r="C10" s="2573"/>
      <c r="D10" s="2736"/>
      <c r="E10" s="2737"/>
      <c r="F10" s="2573"/>
      <c r="G10" s="2736">
        <v>1</v>
      </c>
      <c r="H10" s="2737">
        <f t="shared" si="1"/>
        <v>1</v>
      </c>
      <c r="I10" s="2573"/>
      <c r="J10" s="2736">
        <v>1</v>
      </c>
      <c r="K10" s="2737">
        <f t="shared" si="2"/>
        <v>1</v>
      </c>
      <c r="L10" s="2573"/>
      <c r="M10" s="2736"/>
      <c r="N10" s="2737"/>
      <c r="O10" s="2573"/>
      <c r="P10" s="2736"/>
      <c r="Q10" s="2737"/>
      <c r="R10" s="2573"/>
      <c r="S10" s="2736"/>
      <c r="T10" s="2737"/>
      <c r="U10" s="2573"/>
      <c r="V10" s="2736"/>
      <c r="W10" s="2737"/>
      <c r="X10" s="2573"/>
      <c r="Y10" s="2736"/>
      <c r="Z10" s="2737"/>
      <c r="AA10" s="2573"/>
      <c r="AB10" s="2736"/>
      <c r="AC10" s="2737"/>
    </row>
    <row r="11" spans="1:29" ht="15" customHeight="1" x14ac:dyDescent="0.3">
      <c r="B11" s="2572" t="s">
        <v>635</v>
      </c>
      <c r="C11" s="2573"/>
      <c r="D11" s="2736"/>
      <c r="E11" s="2737"/>
      <c r="F11" s="2573"/>
      <c r="G11" s="2736"/>
      <c r="H11" s="2737"/>
      <c r="I11" s="2573"/>
      <c r="J11" s="2736"/>
      <c r="K11" s="2737"/>
      <c r="L11" s="2573"/>
      <c r="M11" s="2736"/>
      <c r="N11" s="2737"/>
      <c r="O11" s="2573"/>
      <c r="P11" s="2736">
        <v>2</v>
      </c>
      <c r="Q11" s="2737">
        <f t="shared" ref="Q11:Q70" si="3">SUM(O11:P11)</f>
        <v>2</v>
      </c>
      <c r="R11" s="2573"/>
      <c r="S11" s="2736"/>
      <c r="T11" s="2737"/>
      <c r="U11" s="2573"/>
      <c r="V11" s="2736">
        <v>1</v>
      </c>
      <c r="W11" s="2737">
        <f t="shared" ref="W11:W70" si="4">SUM(U11:V11)</f>
        <v>1</v>
      </c>
      <c r="X11" s="2573"/>
      <c r="Y11" s="2736"/>
      <c r="Z11" s="2737"/>
      <c r="AA11" s="2573"/>
      <c r="AB11" s="2736"/>
      <c r="AC11" s="2737"/>
    </row>
    <row r="12" spans="1:29" ht="15" customHeight="1" x14ac:dyDescent="0.3">
      <c r="B12" s="2572" t="s">
        <v>636</v>
      </c>
      <c r="C12" s="2573"/>
      <c r="D12" s="2736"/>
      <c r="E12" s="2737"/>
      <c r="F12" s="2573"/>
      <c r="G12" s="2736"/>
      <c r="H12" s="2737"/>
      <c r="I12" s="2573"/>
      <c r="J12" s="2736"/>
      <c r="K12" s="2737"/>
      <c r="L12" s="2573"/>
      <c r="M12" s="2736"/>
      <c r="N12" s="2737"/>
      <c r="O12" s="2573"/>
      <c r="P12" s="2736"/>
      <c r="Q12" s="2737"/>
      <c r="R12" s="2573"/>
      <c r="S12" s="2736"/>
      <c r="T12" s="2737"/>
      <c r="U12" s="2573"/>
      <c r="V12" s="2736"/>
      <c r="W12" s="2737"/>
      <c r="X12" s="2573"/>
      <c r="Y12" s="2736"/>
      <c r="Z12" s="2737"/>
      <c r="AA12" s="2573"/>
      <c r="AB12" s="2736"/>
      <c r="AC12" s="2737"/>
    </row>
    <row r="13" spans="1:29" ht="15" customHeight="1" x14ac:dyDescent="0.3">
      <c r="B13" s="2572" t="s">
        <v>637</v>
      </c>
      <c r="C13" s="2573"/>
      <c r="D13" s="2736"/>
      <c r="E13" s="2737"/>
      <c r="F13" s="2573"/>
      <c r="G13" s="2736">
        <v>1</v>
      </c>
      <c r="H13" s="2737">
        <f t="shared" si="1"/>
        <v>1</v>
      </c>
      <c r="I13" s="2573"/>
      <c r="J13" s="2736">
        <v>1</v>
      </c>
      <c r="K13" s="2737">
        <f t="shared" si="2"/>
        <v>1</v>
      </c>
      <c r="L13" s="2573"/>
      <c r="M13" s="2736"/>
      <c r="N13" s="2737"/>
      <c r="O13" s="2573"/>
      <c r="P13" s="2736"/>
      <c r="Q13" s="2737"/>
      <c r="R13" s="2573"/>
      <c r="S13" s="2736"/>
      <c r="T13" s="2737"/>
      <c r="U13" s="2573"/>
      <c r="V13" s="2736"/>
      <c r="W13" s="2737"/>
      <c r="X13" s="2573"/>
      <c r="Y13" s="2736"/>
      <c r="Z13" s="2737"/>
      <c r="AA13" s="2573"/>
      <c r="AB13" s="2736"/>
      <c r="AC13" s="2737"/>
    </row>
    <row r="14" spans="1:29" ht="15" customHeight="1" x14ac:dyDescent="0.3">
      <c r="B14" s="2572" t="s">
        <v>638</v>
      </c>
      <c r="C14" s="2573"/>
      <c r="D14" s="2736"/>
      <c r="E14" s="2737"/>
      <c r="F14" s="2573"/>
      <c r="G14" s="2736"/>
      <c r="H14" s="2737"/>
      <c r="I14" s="2573"/>
      <c r="J14" s="2736"/>
      <c r="K14" s="2737"/>
      <c r="L14" s="2573"/>
      <c r="M14" s="2736"/>
      <c r="N14" s="2737"/>
      <c r="O14" s="2573"/>
      <c r="P14" s="2736"/>
      <c r="Q14" s="2737"/>
      <c r="R14" s="2573"/>
      <c r="S14" s="2736"/>
      <c r="T14" s="2737"/>
      <c r="U14" s="2573"/>
      <c r="V14" s="2736">
        <v>1</v>
      </c>
      <c r="W14" s="2737">
        <f t="shared" si="4"/>
        <v>1</v>
      </c>
      <c r="X14" s="2573"/>
      <c r="Y14" s="2736"/>
      <c r="Z14" s="2737"/>
      <c r="AA14" s="2573"/>
      <c r="AB14" s="2736"/>
      <c r="AC14" s="2737"/>
    </row>
    <row r="15" spans="1:29" ht="15" customHeight="1" x14ac:dyDescent="0.3">
      <c r="B15" s="2577" t="s">
        <v>59</v>
      </c>
      <c r="C15" s="2578">
        <f>SUM(C5:C14)</f>
        <v>0</v>
      </c>
      <c r="D15" s="2738">
        <f>SUM(D5:D14)</f>
        <v>0</v>
      </c>
      <c r="E15" s="2739">
        <f>C15+D15</f>
        <v>0</v>
      </c>
      <c r="F15" s="2578">
        <f t="shared" ref="F15:K15" si="5">SUM(F5:F14)</f>
        <v>2</v>
      </c>
      <c r="G15" s="2738">
        <f t="shared" si="5"/>
        <v>7</v>
      </c>
      <c r="H15" s="2739">
        <f t="shared" si="5"/>
        <v>9</v>
      </c>
      <c r="I15" s="2578">
        <f t="shared" si="5"/>
        <v>0</v>
      </c>
      <c r="J15" s="2738">
        <f t="shared" si="5"/>
        <v>5</v>
      </c>
      <c r="K15" s="2739">
        <f t="shared" si="5"/>
        <v>5</v>
      </c>
      <c r="L15" s="2578">
        <f>SUM(L5:L14)</f>
        <v>1</v>
      </c>
      <c r="M15" s="2738">
        <f>SUM(M5:M14)</f>
        <v>0</v>
      </c>
      <c r="N15" s="2739">
        <f t="shared" si="0"/>
        <v>1</v>
      </c>
      <c r="O15" s="2578">
        <f>SUM(O5:O14)</f>
        <v>2</v>
      </c>
      <c r="P15" s="2738">
        <f>SUM(P5:P14)</f>
        <v>2</v>
      </c>
      <c r="Q15" s="2739">
        <f t="shared" si="3"/>
        <v>4</v>
      </c>
      <c r="R15" s="2578">
        <f>SUM(R5:R14)</f>
        <v>0</v>
      </c>
      <c r="S15" s="2738">
        <f>SUM(S5:S14)</f>
        <v>0</v>
      </c>
      <c r="T15" s="2739">
        <f t="shared" ref="T15:T70" si="6">SUM(R15:S15)</f>
        <v>0</v>
      </c>
      <c r="U15" s="2578">
        <f>SUM(U5:U14)</f>
        <v>0</v>
      </c>
      <c r="V15" s="2738">
        <f>SUM(V5:V14)</f>
        <v>2</v>
      </c>
      <c r="W15" s="2739">
        <f t="shared" si="4"/>
        <v>2</v>
      </c>
      <c r="X15" s="2578"/>
      <c r="Y15" s="2738"/>
      <c r="Z15" s="2739"/>
      <c r="AA15" s="2578">
        <f>SUM(AA5:AA14)</f>
        <v>0</v>
      </c>
      <c r="AB15" s="2738">
        <f>SUM(AB5:AB14)</f>
        <v>0</v>
      </c>
      <c r="AC15" s="2739">
        <f t="shared" ref="AC15" si="7">SUM(AA15:AB15)</f>
        <v>0</v>
      </c>
    </row>
    <row r="16" spans="1:29" ht="15" customHeight="1" x14ac:dyDescent="0.3">
      <c r="B16" s="2572" t="s">
        <v>60</v>
      </c>
      <c r="C16" s="2573"/>
      <c r="D16" s="2736"/>
      <c r="E16" s="2737"/>
      <c r="F16" s="2573">
        <v>2</v>
      </c>
      <c r="G16" s="2736">
        <v>1</v>
      </c>
      <c r="H16" s="2737">
        <f>SUM(F16:G16)</f>
        <v>3</v>
      </c>
      <c r="I16" s="2573">
        <v>1</v>
      </c>
      <c r="J16" s="2736"/>
      <c r="K16" s="2737">
        <f>SUM(I16:J16)</f>
        <v>1</v>
      </c>
      <c r="L16" s="2573">
        <v>3</v>
      </c>
      <c r="M16" s="2736">
        <v>1</v>
      </c>
      <c r="N16" s="2737">
        <f t="shared" si="0"/>
        <v>4</v>
      </c>
      <c r="O16" s="2573">
        <v>2</v>
      </c>
      <c r="P16" s="2736">
        <v>1</v>
      </c>
      <c r="Q16" s="2737">
        <f t="shared" si="3"/>
        <v>3</v>
      </c>
      <c r="R16" s="2573"/>
      <c r="S16" s="2736"/>
      <c r="T16" s="2737"/>
      <c r="U16" s="2573"/>
      <c r="V16" s="2736"/>
      <c r="W16" s="2737"/>
      <c r="X16" s="2573"/>
      <c r="Y16" s="2736"/>
      <c r="Z16" s="2737"/>
      <c r="AA16" s="2573"/>
      <c r="AB16" s="2736"/>
      <c r="AC16" s="2737"/>
    </row>
    <row r="17" spans="2:29" ht="15" customHeight="1" x14ac:dyDescent="0.3">
      <c r="B17" s="2572" t="s">
        <v>61</v>
      </c>
      <c r="C17" s="2573"/>
      <c r="D17" s="2736"/>
      <c r="E17" s="2737"/>
      <c r="F17" s="2573"/>
      <c r="G17" s="2736"/>
      <c r="H17" s="2737">
        <f>SUM(F17:G17)</f>
        <v>0</v>
      </c>
      <c r="I17" s="2573"/>
      <c r="J17" s="2736"/>
      <c r="K17" s="2737">
        <f>SUM(I17:J17)</f>
        <v>0</v>
      </c>
      <c r="L17" s="2573"/>
      <c r="M17" s="2736">
        <v>2</v>
      </c>
      <c r="N17" s="2737">
        <f t="shared" si="0"/>
        <v>2</v>
      </c>
      <c r="O17" s="2573"/>
      <c r="P17" s="2736">
        <v>3</v>
      </c>
      <c r="Q17" s="2737">
        <f t="shared" si="3"/>
        <v>3</v>
      </c>
      <c r="R17" s="2573"/>
      <c r="S17" s="2736"/>
      <c r="T17" s="2737"/>
      <c r="U17" s="2573"/>
      <c r="V17" s="2736"/>
      <c r="W17" s="2737"/>
      <c r="X17" s="2573"/>
      <c r="Y17" s="2736"/>
      <c r="Z17" s="2737"/>
      <c r="AA17" s="2573"/>
      <c r="AB17" s="2736"/>
      <c r="AC17" s="2737"/>
    </row>
    <row r="18" spans="2:29" ht="15" customHeight="1" x14ac:dyDescent="0.3">
      <c r="B18" s="2572" t="s">
        <v>62</v>
      </c>
      <c r="C18" s="2573"/>
      <c r="D18" s="2736"/>
      <c r="E18" s="2737"/>
      <c r="F18" s="2573"/>
      <c r="G18" s="2736">
        <v>1</v>
      </c>
      <c r="H18" s="2737">
        <f>SUM(F18:G18)</f>
        <v>1</v>
      </c>
      <c r="I18" s="2573"/>
      <c r="J18" s="2736">
        <v>2</v>
      </c>
      <c r="K18" s="2737">
        <f>SUM(I18:J18)</f>
        <v>2</v>
      </c>
      <c r="L18" s="2573"/>
      <c r="M18" s="2736"/>
      <c r="N18" s="2737"/>
      <c r="O18" s="2573"/>
      <c r="P18" s="2736"/>
      <c r="Q18" s="2737"/>
      <c r="R18" s="2573"/>
      <c r="S18" s="2736"/>
      <c r="T18" s="2737"/>
      <c r="U18" s="2573"/>
      <c r="V18" s="2736"/>
      <c r="W18" s="2737"/>
      <c r="X18" s="2573"/>
      <c r="Y18" s="2736"/>
      <c r="Z18" s="2737"/>
      <c r="AA18" s="2573"/>
      <c r="AB18" s="2736"/>
      <c r="AC18" s="2737"/>
    </row>
    <row r="19" spans="2:29" ht="15" customHeight="1" x14ac:dyDescent="0.3">
      <c r="B19" s="2572" t="s">
        <v>63</v>
      </c>
      <c r="C19" s="2573"/>
      <c r="D19" s="2736"/>
      <c r="E19" s="2737"/>
      <c r="F19" s="2573">
        <v>3</v>
      </c>
      <c r="G19" s="2736">
        <v>5</v>
      </c>
      <c r="H19" s="2737">
        <f>SUM(F19:G19)</f>
        <v>8</v>
      </c>
      <c r="I19" s="2573">
        <v>2</v>
      </c>
      <c r="J19" s="2736">
        <v>8</v>
      </c>
      <c r="K19" s="2737">
        <f>SUM(I19:J19)</f>
        <v>10</v>
      </c>
      <c r="L19" s="2573">
        <v>12</v>
      </c>
      <c r="M19" s="2736">
        <v>6</v>
      </c>
      <c r="N19" s="2737">
        <f t="shared" si="0"/>
        <v>18</v>
      </c>
      <c r="O19" s="2573">
        <v>6</v>
      </c>
      <c r="P19" s="2736">
        <v>3</v>
      </c>
      <c r="Q19" s="2737">
        <f t="shared" si="3"/>
        <v>9</v>
      </c>
      <c r="R19" s="2573"/>
      <c r="S19" s="2736"/>
      <c r="T19" s="2737"/>
      <c r="U19" s="2573"/>
      <c r="V19" s="2736"/>
      <c r="W19" s="2737"/>
      <c r="X19" s="2573"/>
      <c r="Y19" s="2736"/>
      <c r="Z19" s="2737"/>
      <c r="AA19" s="2573"/>
      <c r="AB19" s="2736"/>
      <c r="AC19" s="2737"/>
    </row>
    <row r="20" spans="2:29" ht="15" customHeight="1" x14ac:dyDescent="0.3">
      <c r="B20" s="2577" t="s">
        <v>64</v>
      </c>
      <c r="C20" s="2578">
        <f>SUM(C16:C19)</f>
        <v>0</v>
      </c>
      <c r="D20" s="2738">
        <f>SUM(D16:D19)</f>
        <v>0</v>
      </c>
      <c r="E20" s="2739">
        <f>C20+D20</f>
        <v>0</v>
      </c>
      <c r="F20" s="2578">
        <f t="shared" ref="F20:K20" si="8">SUM(F16:F19)</f>
        <v>5</v>
      </c>
      <c r="G20" s="2738">
        <f t="shared" si="8"/>
        <v>7</v>
      </c>
      <c r="H20" s="2739">
        <f t="shared" si="8"/>
        <v>12</v>
      </c>
      <c r="I20" s="2578">
        <f t="shared" si="8"/>
        <v>3</v>
      </c>
      <c r="J20" s="2738">
        <f t="shared" si="8"/>
        <v>10</v>
      </c>
      <c r="K20" s="2739">
        <f t="shared" si="8"/>
        <v>13</v>
      </c>
      <c r="L20" s="2578">
        <f>SUM(L16:L19)</f>
        <v>15</v>
      </c>
      <c r="M20" s="2738">
        <f>SUM(M16:M19)</f>
        <v>9</v>
      </c>
      <c r="N20" s="2739">
        <f t="shared" si="0"/>
        <v>24</v>
      </c>
      <c r="O20" s="2578">
        <f>SUM(O16:O19)</f>
        <v>8</v>
      </c>
      <c r="P20" s="2738">
        <f>SUM(P16:P19)</f>
        <v>7</v>
      </c>
      <c r="Q20" s="2739">
        <f t="shared" si="3"/>
        <v>15</v>
      </c>
      <c r="R20" s="2578">
        <f>SUM(R16:R19)</f>
        <v>0</v>
      </c>
      <c r="S20" s="2738">
        <f>SUM(S16:S19)</f>
        <v>0</v>
      </c>
      <c r="T20" s="2739">
        <f t="shared" si="6"/>
        <v>0</v>
      </c>
      <c r="U20" s="2578">
        <f>SUM(U16:U19)</f>
        <v>0</v>
      </c>
      <c r="V20" s="2738">
        <f>SUM(V16:V19)</f>
        <v>0</v>
      </c>
      <c r="W20" s="2739">
        <f t="shared" si="4"/>
        <v>0</v>
      </c>
      <c r="X20" s="2578"/>
      <c r="Y20" s="2738"/>
      <c r="Z20" s="2739"/>
      <c r="AA20" s="2578">
        <f>SUM(AA16:AA19)</f>
        <v>0</v>
      </c>
      <c r="AB20" s="2738">
        <f>SUM(AB16:AB19)</f>
        <v>0</v>
      </c>
      <c r="AC20" s="2739">
        <f t="shared" ref="AC20" si="9">SUM(AA20:AB20)</f>
        <v>0</v>
      </c>
    </row>
    <row r="21" spans="2:29" ht="15" customHeight="1" x14ac:dyDescent="0.3">
      <c r="B21" s="2572" t="s">
        <v>65</v>
      </c>
      <c r="C21" s="2573"/>
      <c r="D21" s="2736"/>
      <c r="E21" s="2737"/>
      <c r="F21" s="2573"/>
      <c r="G21" s="2736"/>
      <c r="H21" s="2737"/>
      <c r="I21" s="2573"/>
      <c r="J21" s="2736"/>
      <c r="K21" s="2737"/>
      <c r="L21" s="2573"/>
      <c r="M21" s="2736"/>
      <c r="N21" s="2737"/>
      <c r="O21" s="2573">
        <v>2</v>
      </c>
      <c r="P21" s="2736"/>
      <c r="Q21" s="2737">
        <f t="shared" si="3"/>
        <v>2</v>
      </c>
      <c r="R21" s="2573"/>
      <c r="S21" s="2736"/>
      <c r="T21" s="2737"/>
      <c r="U21" s="2573"/>
      <c r="V21" s="2736"/>
      <c r="W21" s="2737"/>
      <c r="X21" s="2573"/>
      <c r="Y21" s="2736"/>
      <c r="Z21" s="2737"/>
      <c r="AA21" s="2573"/>
      <c r="AB21" s="2736"/>
      <c r="AC21" s="2737"/>
    </row>
    <row r="22" spans="2:29" x14ac:dyDescent="0.3">
      <c r="B22" s="2572" t="s">
        <v>66</v>
      </c>
      <c r="C22" s="2573">
        <v>1</v>
      </c>
      <c r="D22" s="2736"/>
      <c r="E22" s="2737">
        <f>SUM(C22:D22)</f>
        <v>1</v>
      </c>
      <c r="F22" s="2573"/>
      <c r="G22" s="2736"/>
      <c r="H22" s="2737"/>
      <c r="I22" s="2573"/>
      <c r="J22" s="2736"/>
      <c r="K22" s="2737"/>
      <c r="L22" s="2573">
        <v>2</v>
      </c>
      <c r="M22" s="2736">
        <v>2</v>
      </c>
      <c r="N22" s="2737">
        <f t="shared" si="0"/>
        <v>4</v>
      </c>
      <c r="O22" s="2573">
        <v>1</v>
      </c>
      <c r="P22" s="2736">
        <v>1</v>
      </c>
      <c r="Q22" s="2737">
        <f t="shared" si="3"/>
        <v>2</v>
      </c>
      <c r="R22" s="2573">
        <v>3</v>
      </c>
      <c r="S22" s="2736">
        <v>1</v>
      </c>
      <c r="T22" s="2737">
        <f t="shared" si="6"/>
        <v>4</v>
      </c>
      <c r="U22" s="2573"/>
      <c r="V22" s="2736"/>
      <c r="W22" s="2737"/>
      <c r="X22" s="2573"/>
      <c r="Y22" s="2736"/>
      <c r="Z22" s="2737"/>
      <c r="AA22" s="2573"/>
      <c r="AB22" s="2736"/>
      <c r="AC22" s="2737"/>
    </row>
    <row r="23" spans="2:29" ht="15" customHeight="1" x14ac:dyDescent="0.3">
      <c r="B23" s="2572" t="s">
        <v>67</v>
      </c>
      <c r="C23" s="2573"/>
      <c r="D23" s="2736"/>
      <c r="E23" s="2737"/>
      <c r="F23" s="2573"/>
      <c r="G23" s="2736">
        <v>1</v>
      </c>
      <c r="H23" s="2737">
        <f>SUM(F23:G23)</f>
        <v>1</v>
      </c>
      <c r="I23" s="2573"/>
      <c r="J23" s="2736">
        <v>1</v>
      </c>
      <c r="K23" s="2737">
        <f>SUM(I23:J23)</f>
        <v>1</v>
      </c>
      <c r="L23" s="2573"/>
      <c r="M23" s="2736"/>
      <c r="N23" s="2737"/>
      <c r="O23" s="2573"/>
      <c r="P23" s="2736"/>
      <c r="Q23" s="2737"/>
      <c r="R23" s="2573"/>
      <c r="S23" s="2736"/>
      <c r="T23" s="2737"/>
      <c r="U23" s="2573"/>
      <c r="V23" s="2736"/>
      <c r="W23" s="2737"/>
      <c r="X23" s="2573"/>
      <c r="Y23" s="2736"/>
      <c r="Z23" s="2737"/>
      <c r="AA23" s="2573"/>
      <c r="AB23" s="2736"/>
      <c r="AC23" s="2737"/>
    </row>
    <row r="24" spans="2:29" x14ac:dyDescent="0.3">
      <c r="B24" s="2577" t="s">
        <v>68</v>
      </c>
      <c r="C24" s="2582">
        <f>SUM(C21:C23)</f>
        <v>1</v>
      </c>
      <c r="D24" s="2738">
        <f>SUM(D21:D23)</f>
        <v>0</v>
      </c>
      <c r="E24" s="2739">
        <f>C24+D24</f>
        <v>1</v>
      </c>
      <c r="F24" s="2578">
        <f t="shared" ref="F24:K24" si="10">SUM(F21:F23)</f>
        <v>0</v>
      </c>
      <c r="G24" s="2738">
        <f t="shared" si="10"/>
        <v>1</v>
      </c>
      <c r="H24" s="2739">
        <f t="shared" si="10"/>
        <v>1</v>
      </c>
      <c r="I24" s="2578">
        <f t="shared" si="10"/>
        <v>0</v>
      </c>
      <c r="J24" s="2738">
        <f t="shared" si="10"/>
        <v>1</v>
      </c>
      <c r="K24" s="2739">
        <f t="shared" si="10"/>
        <v>1</v>
      </c>
      <c r="L24" s="2578">
        <f>SUM(L21:L23)</f>
        <v>2</v>
      </c>
      <c r="M24" s="2738">
        <f>SUM(M21:M23)</f>
        <v>2</v>
      </c>
      <c r="N24" s="2739">
        <f t="shared" si="0"/>
        <v>4</v>
      </c>
      <c r="O24" s="2578">
        <f>SUM(O21:O23)</f>
        <v>3</v>
      </c>
      <c r="P24" s="2738">
        <f>SUM(P21:P23)</f>
        <v>1</v>
      </c>
      <c r="Q24" s="2739">
        <f t="shared" si="3"/>
        <v>4</v>
      </c>
      <c r="R24" s="2578">
        <f>SUM(R21:R23)</f>
        <v>3</v>
      </c>
      <c r="S24" s="2738">
        <f>SUM(S21:S23)</f>
        <v>1</v>
      </c>
      <c r="T24" s="2739">
        <f t="shared" si="6"/>
        <v>4</v>
      </c>
      <c r="U24" s="2578">
        <f>SUM(U21:U23)</f>
        <v>0</v>
      </c>
      <c r="V24" s="2738">
        <f>SUM(V21:V23)</f>
        <v>0</v>
      </c>
      <c r="W24" s="2739">
        <f t="shared" si="4"/>
        <v>0</v>
      </c>
      <c r="X24" s="2578"/>
      <c r="Y24" s="2738"/>
      <c r="Z24" s="2739"/>
      <c r="AA24" s="2578">
        <f>SUM(AA21:AA23)</f>
        <v>0</v>
      </c>
      <c r="AB24" s="2738">
        <f>SUM(AB21:AB23)</f>
        <v>0</v>
      </c>
      <c r="AC24" s="2739">
        <f t="shared" ref="AC24:AC29" si="11">SUM(AA24:AB24)</f>
        <v>0</v>
      </c>
    </row>
    <row r="25" spans="2:29" ht="15.75" customHeight="1" x14ac:dyDescent="0.3">
      <c r="B25" s="2710" t="s">
        <v>69</v>
      </c>
      <c r="C25" s="2710">
        <f>C24+C20+C15</f>
        <v>1</v>
      </c>
      <c r="D25" s="2740">
        <f>D24+D20+D15</f>
        <v>0</v>
      </c>
      <c r="E25" s="2741">
        <f>E24+E20+E15</f>
        <v>1</v>
      </c>
      <c r="F25" s="2710">
        <f t="shared" ref="F25:K25" si="12">SUM(F15,F20,F24)</f>
        <v>7</v>
      </c>
      <c r="G25" s="2740">
        <f t="shared" si="12"/>
        <v>15</v>
      </c>
      <c r="H25" s="2741">
        <f t="shared" si="12"/>
        <v>22</v>
      </c>
      <c r="I25" s="2710">
        <f t="shared" si="12"/>
        <v>3</v>
      </c>
      <c r="J25" s="2740">
        <f t="shared" si="12"/>
        <v>16</v>
      </c>
      <c r="K25" s="2741">
        <f t="shared" si="12"/>
        <v>19</v>
      </c>
      <c r="L25" s="2710">
        <f>SUM(L15,L20,L24)</f>
        <v>18</v>
      </c>
      <c r="M25" s="2740">
        <f>SUM(M15,M20,M24)</f>
        <v>11</v>
      </c>
      <c r="N25" s="2741">
        <f t="shared" si="0"/>
        <v>29</v>
      </c>
      <c r="O25" s="2710">
        <f>SUM(O15,O20,O24)</f>
        <v>13</v>
      </c>
      <c r="P25" s="2740">
        <f>SUM(P15,P20,P24)</f>
        <v>10</v>
      </c>
      <c r="Q25" s="2741">
        <f t="shared" si="3"/>
        <v>23</v>
      </c>
      <c r="R25" s="2710">
        <f>SUM(R15,R20,R24)</f>
        <v>3</v>
      </c>
      <c r="S25" s="2740">
        <f>SUM(S15,S20,S24)</f>
        <v>1</v>
      </c>
      <c r="T25" s="2741">
        <f t="shared" si="6"/>
        <v>4</v>
      </c>
      <c r="U25" s="2710">
        <f>SUM(U15,U20,U24)</f>
        <v>0</v>
      </c>
      <c r="V25" s="2740">
        <f>SUM(V15,V20,V24)</f>
        <v>2</v>
      </c>
      <c r="W25" s="2741">
        <f t="shared" si="4"/>
        <v>2</v>
      </c>
      <c r="X25" s="2710"/>
      <c r="Y25" s="2740"/>
      <c r="Z25" s="2741"/>
      <c r="AA25" s="2710">
        <f>SUM(AA15,AA20,AA24)</f>
        <v>0</v>
      </c>
      <c r="AB25" s="2740">
        <f>SUM(AB15,AB20,AB24)</f>
        <v>0</v>
      </c>
      <c r="AC25" s="2741">
        <f t="shared" si="11"/>
        <v>0</v>
      </c>
    </row>
    <row r="26" spans="2:29" ht="15" customHeight="1" x14ac:dyDescent="0.3">
      <c r="B26" s="2713" t="s">
        <v>110</v>
      </c>
      <c r="C26" s="2714">
        <v>4</v>
      </c>
      <c r="D26" s="2734">
        <v>2</v>
      </c>
      <c r="E26" s="2735">
        <f>SUM(C26:D26)</f>
        <v>6</v>
      </c>
      <c r="F26" s="2714">
        <v>6</v>
      </c>
      <c r="G26" s="2734">
        <v>4</v>
      </c>
      <c r="H26" s="2735">
        <f>SUM(F26:G26)</f>
        <v>10</v>
      </c>
      <c r="I26" s="2714">
        <v>10</v>
      </c>
      <c r="J26" s="2734">
        <v>5</v>
      </c>
      <c r="K26" s="2735">
        <f>SUM(I26:J26)</f>
        <v>15</v>
      </c>
      <c r="L26" s="2714"/>
      <c r="M26" s="2734">
        <v>3</v>
      </c>
      <c r="N26" s="2735">
        <f t="shared" si="0"/>
        <v>3</v>
      </c>
      <c r="O26" s="2714">
        <v>9</v>
      </c>
      <c r="P26" s="2734">
        <v>3</v>
      </c>
      <c r="Q26" s="2735">
        <f t="shared" si="3"/>
        <v>12</v>
      </c>
      <c r="R26" s="2714">
        <v>6</v>
      </c>
      <c r="S26" s="2734">
        <v>2</v>
      </c>
      <c r="T26" s="2735">
        <f t="shared" si="6"/>
        <v>8</v>
      </c>
      <c r="U26" s="2714">
        <v>1</v>
      </c>
      <c r="V26" s="2734">
        <v>1</v>
      </c>
      <c r="W26" s="2735">
        <f t="shared" si="4"/>
        <v>2</v>
      </c>
      <c r="X26" s="2714"/>
      <c r="Y26" s="2734"/>
      <c r="Z26" s="2735"/>
      <c r="AA26" s="2714">
        <v>2</v>
      </c>
      <c r="AB26" s="2734">
        <v>5</v>
      </c>
      <c r="AC26" s="2735">
        <f t="shared" si="11"/>
        <v>7</v>
      </c>
    </row>
    <row r="27" spans="2:29" x14ac:dyDescent="0.3">
      <c r="B27" s="2572" t="s">
        <v>108</v>
      </c>
      <c r="C27" s="2573"/>
      <c r="D27" s="2736">
        <v>1</v>
      </c>
      <c r="E27" s="2737">
        <f>SUM(C27:D27)</f>
        <v>1</v>
      </c>
      <c r="F27" s="2573">
        <v>4</v>
      </c>
      <c r="G27" s="2736">
        <v>6</v>
      </c>
      <c r="H27" s="2737">
        <f t="shared" ref="H27:H33" si="13">SUM(F27:G27)</f>
        <v>10</v>
      </c>
      <c r="I27" s="2573">
        <v>3</v>
      </c>
      <c r="J27" s="2736">
        <v>7</v>
      </c>
      <c r="K27" s="2737">
        <f t="shared" ref="K27:K33" si="14">SUM(I27:J27)</f>
        <v>10</v>
      </c>
      <c r="L27" s="2573">
        <v>2</v>
      </c>
      <c r="M27" s="2736">
        <v>2</v>
      </c>
      <c r="N27" s="2737">
        <f t="shared" si="0"/>
        <v>4</v>
      </c>
      <c r="O27" s="2573">
        <v>4</v>
      </c>
      <c r="P27" s="2736">
        <v>3</v>
      </c>
      <c r="Q27" s="2737">
        <f t="shared" si="3"/>
        <v>7</v>
      </c>
      <c r="R27" s="2573">
        <v>2</v>
      </c>
      <c r="S27" s="2736"/>
      <c r="T27" s="2737">
        <f t="shared" si="6"/>
        <v>2</v>
      </c>
      <c r="U27" s="2573">
        <v>2</v>
      </c>
      <c r="V27" s="2736">
        <v>2</v>
      </c>
      <c r="W27" s="2737">
        <f t="shared" si="4"/>
        <v>4</v>
      </c>
      <c r="X27" s="2573"/>
      <c r="Y27" s="2736"/>
      <c r="Z27" s="2737"/>
      <c r="AA27" s="2573">
        <v>3</v>
      </c>
      <c r="AB27" s="2736">
        <v>2</v>
      </c>
      <c r="AC27" s="2737">
        <f t="shared" si="11"/>
        <v>5</v>
      </c>
    </row>
    <row r="28" spans="2:29" ht="15" customHeight="1" x14ac:dyDescent="0.3">
      <c r="B28" s="2572" t="s">
        <v>109</v>
      </c>
      <c r="C28" s="2573"/>
      <c r="D28" s="2736"/>
      <c r="E28" s="2737"/>
      <c r="F28" s="2573">
        <v>1</v>
      </c>
      <c r="G28" s="2736">
        <v>2</v>
      </c>
      <c r="H28" s="2737">
        <f t="shared" si="13"/>
        <v>3</v>
      </c>
      <c r="I28" s="2573">
        <v>1</v>
      </c>
      <c r="J28" s="2736">
        <v>4</v>
      </c>
      <c r="K28" s="2737">
        <f t="shared" si="14"/>
        <v>5</v>
      </c>
      <c r="L28" s="2573"/>
      <c r="M28" s="2736">
        <v>5</v>
      </c>
      <c r="N28" s="2737">
        <f t="shared" si="0"/>
        <v>5</v>
      </c>
      <c r="O28" s="2573">
        <v>1</v>
      </c>
      <c r="P28" s="2736">
        <v>1</v>
      </c>
      <c r="Q28" s="2737">
        <f t="shared" si="3"/>
        <v>2</v>
      </c>
      <c r="R28" s="2573"/>
      <c r="S28" s="2736"/>
      <c r="T28" s="2737"/>
      <c r="U28" s="2573"/>
      <c r="V28" s="2736">
        <v>1</v>
      </c>
      <c r="W28" s="2737">
        <f t="shared" si="4"/>
        <v>1</v>
      </c>
      <c r="X28" s="2573"/>
      <c r="Y28" s="2736"/>
      <c r="Z28" s="2737"/>
      <c r="AA28" s="2573"/>
      <c r="AB28" s="2736">
        <v>1</v>
      </c>
      <c r="AC28" s="2737">
        <f t="shared" si="11"/>
        <v>1</v>
      </c>
    </row>
    <row r="29" spans="2:29" x14ac:dyDescent="0.3">
      <c r="B29" s="2577" t="s">
        <v>111</v>
      </c>
      <c r="C29" s="2578">
        <f>SUM(C26:C28)</f>
        <v>4</v>
      </c>
      <c r="D29" s="2738">
        <f>SUM(D26:D28)</f>
        <v>3</v>
      </c>
      <c r="E29" s="2739">
        <f>C29+D29</f>
        <v>7</v>
      </c>
      <c r="F29" s="2578">
        <f>SUM(F26:F28)</f>
        <v>11</v>
      </c>
      <c r="G29" s="2738">
        <f>SUM(G26:G28)</f>
        <v>12</v>
      </c>
      <c r="H29" s="2739">
        <f t="shared" si="13"/>
        <v>23</v>
      </c>
      <c r="I29" s="2578">
        <f>SUM(I26:I28)</f>
        <v>14</v>
      </c>
      <c r="J29" s="2738">
        <f>SUM(J26:J28)</f>
        <v>16</v>
      </c>
      <c r="K29" s="2739">
        <f t="shared" si="14"/>
        <v>30</v>
      </c>
      <c r="L29" s="2578">
        <f>SUM(L26:L28)</f>
        <v>2</v>
      </c>
      <c r="M29" s="2738">
        <f>SUM(M26:M28)</f>
        <v>10</v>
      </c>
      <c r="N29" s="2739">
        <f t="shared" si="0"/>
        <v>12</v>
      </c>
      <c r="O29" s="2578">
        <f>SUM(O26:O28)</f>
        <v>14</v>
      </c>
      <c r="P29" s="2738">
        <f>SUM(P26:P28)</f>
        <v>7</v>
      </c>
      <c r="Q29" s="2739">
        <f t="shared" si="3"/>
        <v>21</v>
      </c>
      <c r="R29" s="2578">
        <f>SUM(R26:R28)</f>
        <v>8</v>
      </c>
      <c r="S29" s="2738">
        <f>SUM(S26:S28)</f>
        <v>2</v>
      </c>
      <c r="T29" s="2739">
        <f t="shared" si="6"/>
        <v>10</v>
      </c>
      <c r="U29" s="2578">
        <f>SUM(U26:U28)</f>
        <v>3</v>
      </c>
      <c r="V29" s="2738">
        <f>SUM(V26:V28)</f>
        <v>4</v>
      </c>
      <c r="W29" s="2739">
        <f t="shared" si="4"/>
        <v>7</v>
      </c>
      <c r="X29" s="2578"/>
      <c r="Y29" s="2738"/>
      <c r="Z29" s="2739"/>
      <c r="AA29" s="2578">
        <f>SUM(AA26:AA28)</f>
        <v>5</v>
      </c>
      <c r="AB29" s="2738">
        <f>SUM(AB26:AB28)</f>
        <v>8</v>
      </c>
      <c r="AC29" s="2739">
        <f t="shared" si="11"/>
        <v>13</v>
      </c>
    </row>
    <row r="30" spans="2:29" x14ac:dyDescent="0.3">
      <c r="B30" s="2572" t="s">
        <v>672</v>
      </c>
      <c r="C30" s="2573">
        <v>1</v>
      </c>
      <c r="D30" s="2736"/>
      <c r="E30" s="2737">
        <f>SUM(C30:D30)</f>
        <v>1</v>
      </c>
      <c r="F30" s="2573">
        <v>1</v>
      </c>
      <c r="G30" s="2736">
        <v>1</v>
      </c>
      <c r="H30" s="2737">
        <f t="shared" si="13"/>
        <v>2</v>
      </c>
      <c r="I30" s="2573"/>
      <c r="J30" s="2736"/>
      <c r="K30" s="2737">
        <f t="shared" si="14"/>
        <v>0</v>
      </c>
      <c r="L30" s="2573">
        <v>3</v>
      </c>
      <c r="M30" s="2736">
        <v>1</v>
      </c>
      <c r="N30" s="2737">
        <f t="shared" si="0"/>
        <v>4</v>
      </c>
      <c r="O30" s="2573">
        <v>1</v>
      </c>
      <c r="P30" s="2736"/>
      <c r="Q30" s="2737">
        <f t="shared" si="3"/>
        <v>1</v>
      </c>
      <c r="R30" s="2573"/>
      <c r="S30" s="2736"/>
      <c r="T30" s="2737"/>
      <c r="U30" s="2573"/>
      <c r="V30" s="2736"/>
      <c r="W30" s="2737"/>
      <c r="X30" s="2573"/>
      <c r="Y30" s="2736"/>
      <c r="Z30" s="2737"/>
      <c r="AA30" s="2573"/>
      <c r="AB30" s="2736"/>
      <c r="AC30" s="2737"/>
    </row>
    <row r="31" spans="2:29" x14ac:dyDescent="0.3">
      <c r="B31" s="2572" t="s">
        <v>114</v>
      </c>
      <c r="C31" s="2573">
        <v>1</v>
      </c>
      <c r="D31" s="2736">
        <v>1</v>
      </c>
      <c r="E31" s="2737">
        <f>SUM(C31:D31)</f>
        <v>2</v>
      </c>
      <c r="F31" s="2573">
        <v>2</v>
      </c>
      <c r="G31" s="2736">
        <v>1</v>
      </c>
      <c r="H31" s="2737">
        <f t="shared" si="13"/>
        <v>3</v>
      </c>
      <c r="I31" s="2573">
        <v>3</v>
      </c>
      <c r="J31" s="2736">
        <v>1</v>
      </c>
      <c r="K31" s="2737">
        <f t="shared" si="14"/>
        <v>4</v>
      </c>
      <c r="L31" s="2573">
        <v>4</v>
      </c>
      <c r="M31" s="2736"/>
      <c r="N31" s="2737">
        <f t="shared" si="0"/>
        <v>4</v>
      </c>
      <c r="O31" s="2573">
        <v>4</v>
      </c>
      <c r="P31" s="2736">
        <v>1</v>
      </c>
      <c r="Q31" s="2737">
        <f t="shared" si="3"/>
        <v>5</v>
      </c>
      <c r="R31" s="2573">
        <v>2</v>
      </c>
      <c r="S31" s="2736">
        <v>1</v>
      </c>
      <c r="T31" s="2737">
        <f t="shared" si="6"/>
        <v>3</v>
      </c>
      <c r="U31" s="2573">
        <v>1</v>
      </c>
      <c r="V31" s="2736">
        <v>2</v>
      </c>
      <c r="W31" s="2737">
        <f t="shared" si="4"/>
        <v>3</v>
      </c>
      <c r="X31" s="2573"/>
      <c r="Y31" s="2736"/>
      <c r="Z31" s="2737"/>
      <c r="AA31" s="2573"/>
      <c r="AB31" s="2736"/>
      <c r="AC31" s="2737"/>
    </row>
    <row r="32" spans="2:29" x14ac:dyDescent="0.3">
      <c r="B32" s="2572" t="s">
        <v>633</v>
      </c>
      <c r="C32" s="2573">
        <v>2</v>
      </c>
      <c r="D32" s="2736">
        <v>2</v>
      </c>
      <c r="E32" s="2737">
        <f>SUM(C32:D32)</f>
        <v>4</v>
      </c>
      <c r="F32" s="2573"/>
      <c r="G32" s="2736">
        <v>5</v>
      </c>
      <c r="H32" s="2737">
        <f t="shared" si="13"/>
        <v>5</v>
      </c>
      <c r="I32" s="2573">
        <v>1</v>
      </c>
      <c r="J32" s="2736">
        <v>3</v>
      </c>
      <c r="K32" s="2737">
        <f t="shared" si="14"/>
        <v>4</v>
      </c>
      <c r="L32" s="2573"/>
      <c r="M32" s="2736">
        <v>2</v>
      </c>
      <c r="N32" s="2737">
        <f t="shared" si="0"/>
        <v>2</v>
      </c>
      <c r="O32" s="2573">
        <v>1</v>
      </c>
      <c r="P32" s="2736">
        <v>2</v>
      </c>
      <c r="Q32" s="2737">
        <f t="shared" si="3"/>
        <v>3</v>
      </c>
      <c r="R32" s="2573"/>
      <c r="S32" s="2736"/>
      <c r="T32" s="2737">
        <f t="shared" si="6"/>
        <v>0</v>
      </c>
      <c r="U32" s="2573"/>
      <c r="V32" s="2736"/>
      <c r="W32" s="2737"/>
      <c r="X32" s="2573"/>
      <c r="Y32" s="2736"/>
      <c r="Z32" s="2737"/>
      <c r="AA32" s="2573"/>
      <c r="AB32" s="2736"/>
      <c r="AC32" s="2737"/>
    </row>
    <row r="33" spans="2:29" ht="15" customHeight="1" x14ac:dyDescent="0.3">
      <c r="B33" s="2572" t="s">
        <v>112</v>
      </c>
      <c r="C33" s="2573"/>
      <c r="D33" s="2736"/>
      <c r="E33" s="2737"/>
      <c r="F33" s="2573">
        <v>4</v>
      </c>
      <c r="G33" s="2736">
        <v>1</v>
      </c>
      <c r="H33" s="2737">
        <f t="shared" si="13"/>
        <v>5</v>
      </c>
      <c r="I33" s="2573">
        <v>3</v>
      </c>
      <c r="J33" s="2736">
        <v>2</v>
      </c>
      <c r="K33" s="2737">
        <f t="shared" si="14"/>
        <v>5</v>
      </c>
      <c r="L33" s="2573"/>
      <c r="M33" s="2736">
        <v>1</v>
      </c>
      <c r="N33" s="2737">
        <f t="shared" si="0"/>
        <v>1</v>
      </c>
      <c r="O33" s="2573"/>
      <c r="P33" s="2736">
        <v>1</v>
      </c>
      <c r="Q33" s="2737">
        <f t="shared" si="3"/>
        <v>1</v>
      </c>
      <c r="R33" s="2573"/>
      <c r="S33" s="2736"/>
      <c r="T33" s="2737"/>
      <c r="U33" s="2573"/>
      <c r="V33" s="2736">
        <v>1</v>
      </c>
      <c r="W33" s="2737">
        <f t="shared" si="4"/>
        <v>1</v>
      </c>
      <c r="X33" s="2573"/>
      <c r="Y33" s="2736"/>
      <c r="Z33" s="2737"/>
      <c r="AA33" s="2573"/>
      <c r="AB33" s="2736"/>
      <c r="AC33" s="2737"/>
    </row>
    <row r="34" spans="2:29" x14ac:dyDescent="0.3">
      <c r="B34" s="2577" t="s">
        <v>115</v>
      </c>
      <c r="C34" s="2578">
        <f>SUM(C30:C33)</f>
        <v>4</v>
      </c>
      <c r="D34" s="2738">
        <f>SUM(D30:D33)</f>
        <v>3</v>
      </c>
      <c r="E34" s="2739">
        <f>C34+D34</f>
        <v>7</v>
      </c>
      <c r="F34" s="2578">
        <f t="shared" ref="F34:K34" si="15">SUM(F30:F33)</f>
        <v>7</v>
      </c>
      <c r="G34" s="2738">
        <f t="shared" si="15"/>
        <v>8</v>
      </c>
      <c r="H34" s="2739">
        <f t="shared" si="15"/>
        <v>15</v>
      </c>
      <c r="I34" s="2578">
        <f t="shared" si="15"/>
        <v>7</v>
      </c>
      <c r="J34" s="2738">
        <f t="shared" si="15"/>
        <v>6</v>
      </c>
      <c r="K34" s="2739">
        <f t="shared" si="15"/>
        <v>13</v>
      </c>
      <c r="L34" s="2578">
        <f>SUM(L30:L33)</f>
        <v>7</v>
      </c>
      <c r="M34" s="2738">
        <f>SUM(M30:M33)</f>
        <v>4</v>
      </c>
      <c r="N34" s="2739">
        <f t="shared" si="0"/>
        <v>11</v>
      </c>
      <c r="O34" s="2578">
        <f>SUM(O30:O33)</f>
        <v>6</v>
      </c>
      <c r="P34" s="2738">
        <f>SUM(P30:P33)</f>
        <v>4</v>
      </c>
      <c r="Q34" s="2739">
        <f t="shared" si="3"/>
        <v>10</v>
      </c>
      <c r="R34" s="2578">
        <f>SUM(R30:R33)</f>
        <v>2</v>
      </c>
      <c r="S34" s="2738">
        <f>SUM(S30:S33)</f>
        <v>1</v>
      </c>
      <c r="T34" s="2739">
        <f t="shared" si="6"/>
        <v>3</v>
      </c>
      <c r="U34" s="2578">
        <f>SUM(U30:U33)</f>
        <v>1</v>
      </c>
      <c r="V34" s="2738">
        <f>SUM(V30:V33)</f>
        <v>3</v>
      </c>
      <c r="W34" s="2739">
        <f t="shared" si="4"/>
        <v>4</v>
      </c>
      <c r="X34" s="2578"/>
      <c r="Y34" s="2738"/>
      <c r="Z34" s="2739"/>
      <c r="AA34" s="2578">
        <f>SUM(AA30:AA33)</f>
        <v>0</v>
      </c>
      <c r="AB34" s="2738">
        <f>SUM(AB30:AB33)</f>
        <v>0</v>
      </c>
      <c r="AC34" s="2739">
        <f t="shared" ref="AC34:AC36" si="16">SUM(AA34:AB34)</f>
        <v>0</v>
      </c>
    </row>
    <row r="35" spans="2:29" x14ac:dyDescent="0.3">
      <c r="B35" s="2572" t="s">
        <v>60</v>
      </c>
      <c r="C35" s="2573">
        <v>3</v>
      </c>
      <c r="D35" s="2736">
        <v>1</v>
      </c>
      <c r="E35" s="2737">
        <f>SUM(C35:D35)</f>
        <v>4</v>
      </c>
      <c r="F35" s="2573">
        <v>4</v>
      </c>
      <c r="G35" s="2736">
        <v>4</v>
      </c>
      <c r="H35" s="2737">
        <f>SUM(F35:G35)</f>
        <v>8</v>
      </c>
      <c r="I35" s="2573">
        <v>5</v>
      </c>
      <c r="J35" s="2736">
        <v>4</v>
      </c>
      <c r="K35" s="2737">
        <f>SUM(I35:J35)</f>
        <v>9</v>
      </c>
      <c r="L35" s="2573">
        <v>9</v>
      </c>
      <c r="M35" s="2736">
        <v>9</v>
      </c>
      <c r="N35" s="2737">
        <f t="shared" si="0"/>
        <v>18</v>
      </c>
      <c r="O35" s="2573">
        <v>7</v>
      </c>
      <c r="P35" s="2736">
        <v>4</v>
      </c>
      <c r="Q35" s="2737">
        <f t="shared" si="3"/>
        <v>11</v>
      </c>
      <c r="R35" s="2573">
        <v>1</v>
      </c>
      <c r="S35" s="2736"/>
      <c r="T35" s="2737">
        <f t="shared" si="6"/>
        <v>1</v>
      </c>
      <c r="U35" s="2573">
        <v>2</v>
      </c>
      <c r="V35" s="2736"/>
      <c r="W35" s="2737">
        <f t="shared" si="4"/>
        <v>2</v>
      </c>
      <c r="X35" s="2573"/>
      <c r="Y35" s="2736"/>
      <c r="Z35" s="2737"/>
      <c r="AA35" s="2573">
        <v>2</v>
      </c>
      <c r="AB35" s="2736">
        <v>1</v>
      </c>
      <c r="AC35" s="2737">
        <f t="shared" si="16"/>
        <v>3</v>
      </c>
    </row>
    <row r="36" spans="2:29" x14ac:dyDescent="0.3">
      <c r="B36" s="2572" t="s">
        <v>61</v>
      </c>
      <c r="C36" s="2573"/>
      <c r="D36" s="2736"/>
      <c r="E36" s="2737"/>
      <c r="F36" s="2573"/>
      <c r="G36" s="2736"/>
      <c r="H36" s="2737"/>
      <c r="I36" s="2573"/>
      <c r="J36" s="2736"/>
      <c r="K36" s="2737"/>
      <c r="L36" s="2573"/>
      <c r="M36" s="2736"/>
      <c r="N36" s="2737"/>
      <c r="O36" s="2573">
        <v>2</v>
      </c>
      <c r="P36" s="2736">
        <v>2</v>
      </c>
      <c r="Q36" s="2737">
        <f t="shared" si="3"/>
        <v>4</v>
      </c>
      <c r="R36" s="2573"/>
      <c r="S36" s="2736"/>
      <c r="T36" s="2737"/>
      <c r="U36" s="2573"/>
      <c r="V36" s="2736"/>
      <c r="W36" s="2737"/>
      <c r="X36" s="2573"/>
      <c r="Y36" s="2736"/>
      <c r="Z36" s="2737"/>
      <c r="AA36" s="2573">
        <v>1</v>
      </c>
      <c r="AB36" s="2736">
        <v>1</v>
      </c>
      <c r="AC36" s="2737">
        <f t="shared" si="16"/>
        <v>2</v>
      </c>
    </row>
    <row r="37" spans="2:29" x14ac:dyDescent="0.3">
      <c r="B37" s="2572" t="s">
        <v>107</v>
      </c>
      <c r="C37" s="2573">
        <v>1</v>
      </c>
      <c r="D37" s="2736">
        <v>1</v>
      </c>
      <c r="E37" s="2737">
        <f>SUM(C37:D37)</f>
        <v>2</v>
      </c>
      <c r="F37" s="2573">
        <v>2</v>
      </c>
      <c r="G37" s="2736"/>
      <c r="H37" s="2737">
        <f>SUM(F37:G37)</f>
        <v>2</v>
      </c>
      <c r="I37" s="2573">
        <v>2</v>
      </c>
      <c r="J37" s="2736"/>
      <c r="K37" s="2737">
        <f>SUM(I37:J37)</f>
        <v>2</v>
      </c>
      <c r="L37" s="2573">
        <v>1</v>
      </c>
      <c r="M37" s="2736">
        <v>1</v>
      </c>
      <c r="N37" s="2737">
        <f t="shared" si="0"/>
        <v>2</v>
      </c>
      <c r="O37" s="2573">
        <v>3</v>
      </c>
      <c r="P37" s="2736">
        <v>1</v>
      </c>
      <c r="Q37" s="2737">
        <f t="shared" si="3"/>
        <v>4</v>
      </c>
      <c r="R37" s="2573"/>
      <c r="S37" s="2736"/>
      <c r="T37" s="2737"/>
      <c r="U37" s="2573"/>
      <c r="V37" s="2736">
        <v>2</v>
      </c>
      <c r="W37" s="2737">
        <f t="shared" si="4"/>
        <v>2</v>
      </c>
      <c r="X37" s="2573"/>
      <c r="Y37" s="2736"/>
      <c r="Z37" s="2737"/>
      <c r="AA37" s="2573"/>
      <c r="AB37" s="2736"/>
      <c r="AC37" s="2737"/>
    </row>
    <row r="38" spans="2:29" x14ac:dyDescent="0.3">
      <c r="B38" s="2572" t="s">
        <v>106</v>
      </c>
      <c r="C38" s="2573">
        <v>1</v>
      </c>
      <c r="D38" s="2736">
        <v>1</v>
      </c>
      <c r="E38" s="2737">
        <f>SUM(C38:D38)</f>
        <v>2</v>
      </c>
      <c r="F38" s="2573">
        <v>1</v>
      </c>
      <c r="G38" s="2736"/>
      <c r="H38" s="2737">
        <f>SUM(F38:G38)</f>
        <v>1</v>
      </c>
      <c r="I38" s="2573">
        <v>2</v>
      </c>
      <c r="J38" s="2736">
        <v>5</v>
      </c>
      <c r="K38" s="2737">
        <f>SUM(I38:J38)</f>
        <v>7</v>
      </c>
      <c r="L38" s="2573">
        <v>4</v>
      </c>
      <c r="M38" s="2736">
        <v>1</v>
      </c>
      <c r="N38" s="2737">
        <f t="shared" si="0"/>
        <v>5</v>
      </c>
      <c r="O38" s="2573">
        <v>5</v>
      </c>
      <c r="P38" s="2736">
        <v>3</v>
      </c>
      <c r="Q38" s="2737">
        <f t="shared" si="3"/>
        <v>8</v>
      </c>
      <c r="R38" s="2573">
        <v>1</v>
      </c>
      <c r="S38" s="2736">
        <v>3</v>
      </c>
      <c r="T38" s="2737">
        <f t="shared" si="6"/>
        <v>4</v>
      </c>
      <c r="U38" s="2573"/>
      <c r="V38" s="2736">
        <v>1</v>
      </c>
      <c r="W38" s="2737">
        <f t="shared" si="4"/>
        <v>1</v>
      </c>
      <c r="X38" s="2573"/>
      <c r="Y38" s="2736"/>
      <c r="Z38" s="2737"/>
      <c r="AA38" s="2573"/>
      <c r="AB38" s="2736"/>
      <c r="AC38" s="2737"/>
    </row>
    <row r="39" spans="2:29" x14ac:dyDescent="0.3">
      <c r="B39" s="2577" t="s">
        <v>64</v>
      </c>
      <c r="C39" s="2582">
        <f>SUM(C35:C38)</f>
        <v>5</v>
      </c>
      <c r="D39" s="2742">
        <f>SUM(D35:D38)</f>
        <v>3</v>
      </c>
      <c r="E39" s="2743">
        <f>C39+D39</f>
        <v>8</v>
      </c>
      <c r="F39" s="2582">
        <f t="shared" ref="F39:K39" si="17">SUM(F35:F38)</f>
        <v>7</v>
      </c>
      <c r="G39" s="2742">
        <f t="shared" si="17"/>
        <v>4</v>
      </c>
      <c r="H39" s="2743">
        <f t="shared" si="17"/>
        <v>11</v>
      </c>
      <c r="I39" s="2582">
        <f t="shared" si="17"/>
        <v>9</v>
      </c>
      <c r="J39" s="2742">
        <f t="shared" si="17"/>
        <v>9</v>
      </c>
      <c r="K39" s="2743">
        <f t="shared" si="17"/>
        <v>18</v>
      </c>
      <c r="L39" s="2582">
        <f>SUM(L35:L38)</f>
        <v>14</v>
      </c>
      <c r="M39" s="2742">
        <f>SUM(M35:M38)</f>
        <v>11</v>
      </c>
      <c r="N39" s="2743">
        <f t="shared" si="0"/>
        <v>25</v>
      </c>
      <c r="O39" s="2582">
        <f>SUM(O35:O38)</f>
        <v>17</v>
      </c>
      <c r="P39" s="2742">
        <f>SUM(P35:P38)</f>
        <v>10</v>
      </c>
      <c r="Q39" s="2743">
        <f t="shared" si="3"/>
        <v>27</v>
      </c>
      <c r="R39" s="2582">
        <f>SUM(R35:R38)</f>
        <v>2</v>
      </c>
      <c r="S39" s="2742">
        <f>SUM(S35:S38)</f>
        <v>3</v>
      </c>
      <c r="T39" s="2743">
        <f t="shared" si="6"/>
        <v>5</v>
      </c>
      <c r="U39" s="2582">
        <f>SUM(U35:U38)</f>
        <v>2</v>
      </c>
      <c r="V39" s="2742">
        <f>SUM(V35:V38)</f>
        <v>3</v>
      </c>
      <c r="W39" s="2743">
        <f t="shared" si="4"/>
        <v>5</v>
      </c>
      <c r="X39" s="2582"/>
      <c r="Y39" s="2742"/>
      <c r="Z39" s="2743"/>
      <c r="AA39" s="2582">
        <f>SUM(AA35:AA38)</f>
        <v>3</v>
      </c>
      <c r="AB39" s="2742">
        <f>SUM(AB35:AB38)</f>
        <v>2</v>
      </c>
      <c r="AC39" s="2743">
        <f t="shared" ref="AC39:AC40" si="18">SUM(AA39:AB39)</f>
        <v>5</v>
      </c>
    </row>
    <row r="40" spans="2:29" x14ac:dyDescent="0.3">
      <c r="B40" s="2717" t="s">
        <v>116</v>
      </c>
      <c r="C40" s="2717">
        <f t="shared" ref="C40:H40" si="19">C39+C34+C29</f>
        <v>13</v>
      </c>
      <c r="D40" s="2744">
        <f t="shared" si="19"/>
        <v>9</v>
      </c>
      <c r="E40" s="2745">
        <f t="shared" si="19"/>
        <v>22</v>
      </c>
      <c r="F40" s="2717">
        <f t="shared" si="19"/>
        <v>25</v>
      </c>
      <c r="G40" s="2744">
        <f t="shared" si="19"/>
        <v>24</v>
      </c>
      <c r="H40" s="2745">
        <f t="shared" si="19"/>
        <v>49</v>
      </c>
      <c r="I40" s="2717">
        <f>I39+I34+I29</f>
        <v>30</v>
      </c>
      <c r="J40" s="2744">
        <f>J39+J34+J29</f>
        <v>31</v>
      </c>
      <c r="K40" s="2745">
        <f>K39+K34+K29</f>
        <v>61</v>
      </c>
      <c r="L40" s="2717">
        <f>L39+L34+L29</f>
        <v>23</v>
      </c>
      <c r="M40" s="2744">
        <f>M39+M34+M29</f>
        <v>25</v>
      </c>
      <c r="N40" s="2745">
        <f t="shared" si="0"/>
        <v>48</v>
      </c>
      <c r="O40" s="2717">
        <f>O39+O34+O29</f>
        <v>37</v>
      </c>
      <c r="P40" s="2744">
        <f>P39+P34+P29</f>
        <v>21</v>
      </c>
      <c r="Q40" s="2745">
        <f t="shared" si="3"/>
        <v>58</v>
      </c>
      <c r="R40" s="2717">
        <f>R39+R34+R29</f>
        <v>12</v>
      </c>
      <c r="S40" s="2744">
        <f>S39+S34+S29</f>
        <v>6</v>
      </c>
      <c r="T40" s="2745">
        <f t="shared" si="6"/>
        <v>18</v>
      </c>
      <c r="U40" s="2717">
        <f>U39+U34+U29</f>
        <v>6</v>
      </c>
      <c r="V40" s="2744">
        <f>V39+V34+V29</f>
        <v>10</v>
      </c>
      <c r="W40" s="2745">
        <f t="shared" si="4"/>
        <v>16</v>
      </c>
      <c r="X40" s="2717"/>
      <c r="Y40" s="2744"/>
      <c r="Z40" s="2745"/>
      <c r="AA40" s="2717">
        <f>AA39+AA34+AA29</f>
        <v>8</v>
      </c>
      <c r="AB40" s="2744">
        <f>AB39+AB34+AB29</f>
        <v>10</v>
      </c>
      <c r="AC40" s="2745">
        <f t="shared" si="18"/>
        <v>18</v>
      </c>
    </row>
    <row r="41" spans="2:29" ht="15" customHeight="1" x14ac:dyDescent="0.3">
      <c r="B41" s="2713" t="s">
        <v>76</v>
      </c>
      <c r="C41" s="2714"/>
      <c r="D41" s="2734"/>
      <c r="E41" s="2735"/>
      <c r="F41" s="2714"/>
      <c r="G41" s="2734"/>
      <c r="H41" s="2735"/>
      <c r="I41" s="2714"/>
      <c r="J41" s="2734"/>
      <c r="K41" s="2735"/>
      <c r="L41" s="2714"/>
      <c r="M41" s="2734"/>
      <c r="N41" s="2735"/>
      <c r="O41" s="2714"/>
      <c r="P41" s="2734"/>
      <c r="Q41" s="2735"/>
      <c r="R41" s="2714"/>
      <c r="S41" s="2734"/>
      <c r="T41" s="2735"/>
      <c r="U41" s="2714"/>
      <c r="V41" s="2734"/>
      <c r="W41" s="2735"/>
      <c r="X41" s="2714"/>
      <c r="Y41" s="2734"/>
      <c r="Z41" s="2735"/>
      <c r="AA41" s="2714"/>
      <c r="AB41" s="2734"/>
      <c r="AC41" s="2735"/>
    </row>
    <row r="42" spans="2:29" ht="15" customHeight="1" x14ac:dyDescent="0.3">
      <c r="B42" s="2572" t="s">
        <v>73</v>
      </c>
      <c r="C42" s="2573"/>
      <c r="D42" s="2736"/>
      <c r="E42" s="2737"/>
      <c r="F42" s="2573"/>
      <c r="G42" s="2736">
        <v>1</v>
      </c>
      <c r="H42" s="2737">
        <f>SUM(F42:G42)</f>
        <v>1</v>
      </c>
      <c r="I42" s="2573"/>
      <c r="J42" s="2736"/>
      <c r="K42" s="2737"/>
      <c r="L42" s="2573"/>
      <c r="M42" s="2736"/>
      <c r="N42" s="2737"/>
      <c r="O42" s="2573"/>
      <c r="P42" s="2736"/>
      <c r="Q42" s="2737"/>
      <c r="R42" s="2573"/>
      <c r="S42" s="2736"/>
      <c r="T42" s="2737"/>
      <c r="U42" s="2573"/>
      <c r="V42" s="2736"/>
      <c r="W42" s="2737"/>
      <c r="X42" s="2573"/>
      <c r="Y42" s="2736"/>
      <c r="Z42" s="2737"/>
      <c r="AA42" s="2573"/>
      <c r="AB42" s="2736"/>
      <c r="AC42" s="2737"/>
    </row>
    <row r="43" spans="2:29" ht="15" customHeight="1" x14ac:dyDescent="0.3">
      <c r="B43" s="2572" t="s">
        <v>639</v>
      </c>
      <c r="C43" s="2573"/>
      <c r="D43" s="2736"/>
      <c r="E43" s="2737"/>
      <c r="F43" s="2573"/>
      <c r="G43" s="2736"/>
      <c r="H43" s="2737"/>
      <c r="I43" s="2573"/>
      <c r="J43" s="2736"/>
      <c r="K43" s="2737"/>
      <c r="L43" s="2573"/>
      <c r="M43" s="2736"/>
      <c r="N43" s="2737"/>
      <c r="O43" s="2573"/>
      <c r="P43" s="2736"/>
      <c r="Q43" s="2737"/>
      <c r="R43" s="2573"/>
      <c r="S43" s="2736"/>
      <c r="T43" s="2737"/>
      <c r="U43" s="2573"/>
      <c r="V43" s="2736"/>
      <c r="W43" s="2737"/>
      <c r="X43" s="2573"/>
      <c r="Y43" s="2736"/>
      <c r="Z43" s="2737"/>
      <c r="AA43" s="2573"/>
      <c r="AB43" s="2736"/>
      <c r="AC43" s="2737"/>
    </row>
    <row r="44" spans="2:29" ht="15" customHeight="1" x14ac:dyDescent="0.3">
      <c r="B44" s="2572" t="s">
        <v>632</v>
      </c>
      <c r="C44" s="2573"/>
      <c r="D44" s="2736"/>
      <c r="E44" s="2737"/>
      <c r="F44" s="2573"/>
      <c r="G44" s="2736"/>
      <c r="H44" s="2737"/>
      <c r="I44" s="2573"/>
      <c r="J44" s="2736"/>
      <c r="K44" s="2737"/>
      <c r="L44" s="2573"/>
      <c r="M44" s="2736"/>
      <c r="N44" s="2737"/>
      <c r="O44" s="2573"/>
      <c r="P44" s="2736"/>
      <c r="Q44" s="2737"/>
      <c r="R44" s="2573"/>
      <c r="S44" s="2736"/>
      <c r="T44" s="2737"/>
      <c r="U44" s="2573"/>
      <c r="V44" s="2736"/>
      <c r="W44" s="2737"/>
      <c r="X44" s="2573"/>
      <c r="Y44" s="2736"/>
      <c r="Z44" s="2737"/>
      <c r="AA44" s="2573"/>
      <c r="AB44" s="2736"/>
      <c r="AC44" s="2737"/>
    </row>
    <row r="45" spans="2:29" ht="15" customHeight="1" x14ac:dyDescent="0.3">
      <c r="B45" s="2572" t="s">
        <v>640</v>
      </c>
      <c r="C45" s="2573"/>
      <c r="D45" s="2736"/>
      <c r="E45" s="2737"/>
      <c r="F45" s="2573"/>
      <c r="G45" s="2736"/>
      <c r="H45" s="2737"/>
      <c r="I45" s="2573"/>
      <c r="J45" s="2736">
        <v>2</v>
      </c>
      <c r="K45" s="2737">
        <f>SUM(I45:J45)</f>
        <v>2</v>
      </c>
      <c r="L45" s="2573"/>
      <c r="M45" s="2736"/>
      <c r="N45" s="2737"/>
      <c r="O45" s="2573"/>
      <c r="P45" s="2736"/>
      <c r="Q45" s="2737"/>
      <c r="R45" s="2573"/>
      <c r="S45" s="2736"/>
      <c r="T45" s="2737"/>
      <c r="U45" s="2573"/>
      <c r="V45" s="2736"/>
      <c r="W45" s="2737"/>
      <c r="X45" s="2573"/>
      <c r="Y45" s="2736"/>
      <c r="Z45" s="2737"/>
      <c r="AA45" s="2573"/>
      <c r="AB45" s="2736"/>
      <c r="AC45" s="2737"/>
    </row>
    <row r="46" spans="2:29" ht="15" customHeight="1" x14ac:dyDescent="0.3">
      <c r="B46" s="2572" t="s">
        <v>641</v>
      </c>
      <c r="C46" s="2573"/>
      <c r="D46" s="2736"/>
      <c r="E46" s="2737"/>
      <c r="F46" s="2573"/>
      <c r="G46" s="2736"/>
      <c r="H46" s="2737"/>
      <c r="I46" s="2573"/>
      <c r="J46" s="2736"/>
      <c r="K46" s="2737"/>
      <c r="L46" s="2573"/>
      <c r="M46" s="2736"/>
      <c r="N46" s="2737"/>
      <c r="O46" s="2573"/>
      <c r="P46" s="2736"/>
      <c r="Q46" s="2737"/>
      <c r="R46" s="2573"/>
      <c r="S46" s="2736"/>
      <c r="T46" s="2737"/>
      <c r="U46" s="2573"/>
      <c r="V46" s="2736"/>
      <c r="W46" s="2737"/>
      <c r="X46" s="2573"/>
      <c r="Y46" s="2736"/>
      <c r="Z46" s="2737"/>
      <c r="AA46" s="2573">
        <v>4</v>
      </c>
      <c r="AB46" s="2736"/>
      <c r="AC46" s="2737">
        <f>SUM(AA46:AB46)</f>
        <v>4</v>
      </c>
    </row>
    <row r="47" spans="2:29" ht="15" customHeight="1" x14ac:dyDescent="0.3">
      <c r="B47" s="2572" t="s">
        <v>638</v>
      </c>
      <c r="C47" s="2573"/>
      <c r="D47" s="2736"/>
      <c r="E47" s="2737"/>
      <c r="F47" s="2573"/>
      <c r="G47" s="2736"/>
      <c r="H47" s="2737"/>
      <c r="I47" s="2573"/>
      <c r="J47" s="2736">
        <v>1</v>
      </c>
      <c r="K47" s="2737">
        <f>SUM(I47:J47)</f>
        <v>1</v>
      </c>
      <c r="L47" s="2573"/>
      <c r="M47" s="2736"/>
      <c r="N47" s="2737"/>
      <c r="O47" s="2573"/>
      <c r="P47" s="2736"/>
      <c r="Q47" s="2737"/>
      <c r="R47" s="2573"/>
      <c r="S47" s="2736"/>
      <c r="T47" s="2737"/>
      <c r="U47" s="2573"/>
      <c r="V47" s="2736"/>
      <c r="W47" s="2737"/>
      <c r="X47" s="2573"/>
      <c r="Y47" s="2736"/>
      <c r="Z47" s="2737"/>
      <c r="AA47" s="2573"/>
      <c r="AB47" s="2736"/>
      <c r="AC47" s="2737"/>
    </row>
    <row r="48" spans="2:29" ht="15" customHeight="1" x14ac:dyDescent="0.3">
      <c r="B48" s="2572" t="s">
        <v>74</v>
      </c>
      <c r="C48" s="2573"/>
      <c r="D48" s="2736"/>
      <c r="E48" s="2737"/>
      <c r="F48" s="2573"/>
      <c r="G48" s="2736"/>
      <c r="H48" s="2737"/>
      <c r="I48" s="2573"/>
      <c r="J48" s="2736"/>
      <c r="K48" s="2737"/>
      <c r="L48" s="2573"/>
      <c r="M48" s="2736"/>
      <c r="N48" s="2737"/>
      <c r="O48" s="2573"/>
      <c r="P48" s="2736"/>
      <c r="Q48" s="2737"/>
      <c r="R48" s="2573"/>
      <c r="S48" s="2736"/>
      <c r="T48" s="2737"/>
      <c r="U48" s="2573"/>
      <c r="V48" s="2736"/>
      <c r="W48" s="2737"/>
      <c r="X48" s="2573"/>
      <c r="Y48" s="2736"/>
      <c r="Z48" s="2737"/>
      <c r="AA48" s="2573"/>
      <c r="AB48" s="2736"/>
      <c r="AC48" s="2737"/>
    </row>
    <row r="49" spans="2:29" ht="15" customHeight="1" x14ac:dyDescent="0.3">
      <c r="B49" s="2572" t="s">
        <v>75</v>
      </c>
      <c r="C49" s="2573"/>
      <c r="D49" s="2736"/>
      <c r="E49" s="2737"/>
      <c r="F49" s="2573"/>
      <c r="G49" s="2736"/>
      <c r="H49" s="2737"/>
      <c r="I49" s="2573"/>
      <c r="J49" s="2736"/>
      <c r="K49" s="2737"/>
      <c r="L49" s="2573"/>
      <c r="M49" s="2736"/>
      <c r="N49" s="2737"/>
      <c r="O49" s="2573"/>
      <c r="P49" s="2736"/>
      <c r="Q49" s="2737"/>
      <c r="R49" s="2573"/>
      <c r="S49" s="2736"/>
      <c r="T49" s="2737"/>
      <c r="U49" s="2573"/>
      <c r="V49" s="2736"/>
      <c r="W49" s="2737"/>
      <c r="X49" s="2573"/>
      <c r="Y49" s="2736"/>
      <c r="Z49" s="2737"/>
      <c r="AA49" s="2573"/>
      <c r="AB49" s="2736"/>
      <c r="AC49" s="2737"/>
    </row>
    <row r="50" spans="2:29" ht="15" customHeight="1" x14ac:dyDescent="0.3">
      <c r="B50" s="2577" t="s">
        <v>59</v>
      </c>
      <c r="C50" s="2578">
        <f>SUM(C41:C49)</f>
        <v>0</v>
      </c>
      <c r="D50" s="2738">
        <f>SUM(D41:D49)</f>
        <v>0</v>
      </c>
      <c r="E50" s="2739">
        <f>C50+D50</f>
        <v>0</v>
      </c>
      <c r="F50" s="2578">
        <f>SUM(F42)</f>
        <v>0</v>
      </c>
      <c r="G50" s="2738">
        <f>SUM(G42)</f>
        <v>1</v>
      </c>
      <c r="H50" s="2739">
        <f>SUM(H42)</f>
        <v>1</v>
      </c>
      <c r="I50" s="2578">
        <f>SUM(I42)</f>
        <v>0</v>
      </c>
      <c r="J50" s="2738">
        <f>SUM(J42:J47)</f>
        <v>3</v>
      </c>
      <c r="K50" s="2739">
        <f>SUM(K42:K47)</f>
        <v>3</v>
      </c>
      <c r="L50" s="2578">
        <f>SUM(L42:L47)</f>
        <v>0</v>
      </c>
      <c r="M50" s="2738">
        <f>SUM(M42)</f>
        <v>0</v>
      </c>
      <c r="N50" s="2739">
        <f t="shared" si="0"/>
        <v>0</v>
      </c>
      <c r="O50" s="2578">
        <f>SUM(O42:O47)</f>
        <v>0</v>
      </c>
      <c r="P50" s="2738">
        <f>SUM(P42)</f>
        <v>0</v>
      </c>
      <c r="Q50" s="2739">
        <f t="shared" si="3"/>
        <v>0</v>
      </c>
      <c r="R50" s="2578">
        <f>SUM(R42:R47)</f>
        <v>0</v>
      </c>
      <c r="S50" s="2738">
        <f>SUM(S42)</f>
        <v>0</v>
      </c>
      <c r="T50" s="2739">
        <f t="shared" si="6"/>
        <v>0</v>
      </c>
      <c r="U50" s="2578">
        <f>SUM(U42:U47)</f>
        <v>0</v>
      </c>
      <c r="V50" s="2738">
        <f>SUM(V42)</f>
        <v>0</v>
      </c>
      <c r="W50" s="2739">
        <f t="shared" si="4"/>
        <v>0</v>
      </c>
      <c r="X50" s="2578"/>
      <c r="Y50" s="2738"/>
      <c r="Z50" s="2739"/>
      <c r="AA50" s="2578">
        <f>SUM(AA42:AA47)</f>
        <v>4</v>
      </c>
      <c r="AB50" s="2738">
        <f>SUM(AB42)</f>
        <v>0</v>
      </c>
      <c r="AC50" s="2739">
        <f t="shared" ref="AC50" si="20">SUM(AA50:AB50)</f>
        <v>4</v>
      </c>
    </row>
    <row r="51" spans="2:29" ht="15" customHeight="1" x14ac:dyDescent="0.3">
      <c r="B51" s="2572" t="s">
        <v>60</v>
      </c>
      <c r="C51" s="2573"/>
      <c r="D51" s="2736"/>
      <c r="E51" s="2737"/>
      <c r="F51" s="2573"/>
      <c r="G51" s="2736"/>
      <c r="H51" s="2737"/>
      <c r="I51" s="2573"/>
      <c r="J51" s="2736"/>
      <c r="K51" s="2737"/>
      <c r="L51" s="2573"/>
      <c r="M51" s="2736"/>
      <c r="N51" s="2737"/>
      <c r="O51" s="2573"/>
      <c r="P51" s="2736"/>
      <c r="Q51" s="2737"/>
      <c r="R51" s="2573"/>
      <c r="S51" s="2736"/>
      <c r="T51" s="2737"/>
      <c r="U51" s="2573"/>
      <c r="V51" s="2736"/>
      <c r="W51" s="2737"/>
      <c r="X51" s="2573"/>
      <c r="Y51" s="2736"/>
      <c r="Z51" s="2737"/>
      <c r="AA51" s="2573"/>
      <c r="AB51" s="2736"/>
      <c r="AC51" s="2737"/>
    </row>
    <row r="52" spans="2:29" ht="15" customHeight="1" x14ac:dyDescent="0.3">
      <c r="B52" s="2572" t="s">
        <v>78</v>
      </c>
      <c r="C52" s="2573"/>
      <c r="D52" s="2736"/>
      <c r="E52" s="2737"/>
      <c r="F52" s="2573"/>
      <c r="G52" s="2736"/>
      <c r="H52" s="2737"/>
      <c r="I52" s="2573"/>
      <c r="J52" s="2736"/>
      <c r="K52" s="2737"/>
      <c r="L52" s="2573"/>
      <c r="M52" s="2736"/>
      <c r="N52" s="2737"/>
      <c r="O52" s="2573"/>
      <c r="P52" s="2736"/>
      <c r="Q52" s="2737"/>
      <c r="R52" s="2573"/>
      <c r="S52" s="2736"/>
      <c r="T52" s="2737"/>
      <c r="U52" s="2573"/>
      <c r="V52" s="2736"/>
      <c r="W52" s="2737"/>
      <c r="X52" s="2573"/>
      <c r="Y52" s="2736"/>
      <c r="Z52" s="2737"/>
      <c r="AA52" s="2573"/>
      <c r="AB52" s="2736"/>
      <c r="AC52" s="2737"/>
    </row>
    <row r="53" spans="2:29" ht="15" customHeight="1" x14ac:dyDescent="0.3">
      <c r="B53" s="2572" t="s">
        <v>83</v>
      </c>
      <c r="C53" s="2573"/>
      <c r="D53" s="2736"/>
      <c r="E53" s="2737"/>
      <c r="F53" s="2573">
        <v>2</v>
      </c>
      <c r="G53" s="2736">
        <v>3</v>
      </c>
      <c r="H53" s="2737">
        <f>SUM(F53:G53)</f>
        <v>5</v>
      </c>
      <c r="I53" s="2573"/>
      <c r="J53" s="2736"/>
      <c r="K53" s="2737"/>
      <c r="L53" s="2573">
        <v>1</v>
      </c>
      <c r="M53" s="2736">
        <v>1</v>
      </c>
      <c r="N53" s="2737">
        <f t="shared" si="0"/>
        <v>2</v>
      </c>
      <c r="O53" s="2573">
        <v>5</v>
      </c>
      <c r="P53" s="2736">
        <v>1</v>
      </c>
      <c r="Q53" s="2737">
        <f t="shared" si="3"/>
        <v>6</v>
      </c>
      <c r="R53" s="2573"/>
      <c r="S53" s="2736"/>
      <c r="T53" s="2737"/>
      <c r="U53" s="2573"/>
      <c r="V53" s="2736"/>
      <c r="W53" s="2737"/>
      <c r="X53" s="2573"/>
      <c r="Y53" s="2736"/>
      <c r="Z53" s="2737"/>
      <c r="AA53" s="2573">
        <v>1</v>
      </c>
      <c r="AB53" s="2736"/>
      <c r="AC53" s="2737">
        <f>SUM(AA53:AB53)</f>
        <v>1</v>
      </c>
    </row>
    <row r="54" spans="2:29" ht="15" customHeight="1" x14ac:dyDescent="0.3">
      <c r="B54" s="2572" t="s">
        <v>62</v>
      </c>
      <c r="C54" s="2573"/>
      <c r="D54" s="2736"/>
      <c r="E54" s="2737"/>
      <c r="F54" s="2573"/>
      <c r="G54" s="2736"/>
      <c r="H54" s="2737"/>
      <c r="I54" s="2573"/>
      <c r="J54" s="2736"/>
      <c r="K54" s="2737"/>
      <c r="L54" s="2573"/>
      <c r="M54" s="2736"/>
      <c r="N54" s="2737"/>
      <c r="O54" s="2573"/>
      <c r="P54" s="2736"/>
      <c r="Q54" s="2737"/>
      <c r="R54" s="2573"/>
      <c r="S54" s="2736"/>
      <c r="T54" s="2737"/>
      <c r="U54" s="2573"/>
      <c r="V54" s="2736"/>
      <c r="W54" s="2737"/>
      <c r="X54" s="2573"/>
      <c r="Y54" s="2736"/>
      <c r="Z54" s="2737"/>
      <c r="AA54" s="2573"/>
      <c r="AB54" s="2736"/>
      <c r="AC54" s="2737"/>
    </row>
    <row r="55" spans="2:29" ht="15" customHeight="1" x14ac:dyDescent="0.3">
      <c r="B55" s="2572" t="s">
        <v>80</v>
      </c>
      <c r="C55" s="2573"/>
      <c r="D55" s="2736"/>
      <c r="E55" s="2737"/>
      <c r="F55" s="2573"/>
      <c r="G55" s="2736"/>
      <c r="H55" s="2737"/>
      <c r="I55" s="2573"/>
      <c r="J55" s="2736"/>
      <c r="K55" s="2737"/>
      <c r="L55" s="2573"/>
      <c r="M55" s="2736"/>
      <c r="N55" s="2737"/>
      <c r="O55" s="2573"/>
      <c r="P55" s="2736"/>
      <c r="Q55" s="2737"/>
      <c r="R55" s="2573"/>
      <c r="S55" s="2736"/>
      <c r="T55" s="2737"/>
      <c r="U55" s="2573"/>
      <c r="V55" s="2736"/>
      <c r="W55" s="2737"/>
      <c r="X55" s="2573"/>
      <c r="Y55" s="2736"/>
      <c r="Z55" s="2737"/>
      <c r="AA55" s="2573"/>
      <c r="AB55" s="2736"/>
      <c r="AC55" s="2737"/>
    </row>
    <row r="56" spans="2:29" ht="15" customHeight="1" x14ac:dyDescent="0.3">
      <c r="B56" s="2572" t="s">
        <v>85</v>
      </c>
      <c r="C56" s="2573"/>
      <c r="D56" s="2736"/>
      <c r="E56" s="2737"/>
      <c r="F56" s="2573"/>
      <c r="G56" s="2736"/>
      <c r="H56" s="2737"/>
      <c r="I56" s="2573"/>
      <c r="J56" s="2736">
        <v>1</v>
      </c>
      <c r="K56" s="2737">
        <f t="shared" ref="K56:K58" si="21">SUM(I56:J56)</f>
        <v>1</v>
      </c>
      <c r="L56" s="2573"/>
      <c r="M56" s="2736"/>
      <c r="N56" s="2737"/>
      <c r="O56" s="2573"/>
      <c r="P56" s="2736"/>
      <c r="Q56" s="2737"/>
      <c r="R56" s="2573"/>
      <c r="S56" s="2736"/>
      <c r="T56" s="2737"/>
      <c r="U56" s="2573"/>
      <c r="V56" s="2736"/>
      <c r="W56" s="2737"/>
      <c r="X56" s="2573"/>
      <c r="Y56" s="2736"/>
      <c r="Z56" s="2737"/>
      <c r="AA56" s="2573"/>
      <c r="AB56" s="2736"/>
      <c r="AC56" s="2737"/>
    </row>
    <row r="57" spans="2:29" ht="15" customHeight="1" x14ac:dyDescent="0.3">
      <c r="B57" s="2572" t="s">
        <v>81</v>
      </c>
      <c r="C57" s="2573"/>
      <c r="D57" s="2736"/>
      <c r="E57" s="2737"/>
      <c r="F57" s="2573"/>
      <c r="G57" s="2736"/>
      <c r="H57" s="2737"/>
      <c r="I57" s="2573"/>
      <c r="J57" s="2736"/>
      <c r="K57" s="2737"/>
      <c r="L57" s="2573"/>
      <c r="M57" s="2736"/>
      <c r="N57" s="2737"/>
      <c r="O57" s="2573"/>
      <c r="P57" s="2736"/>
      <c r="Q57" s="2737"/>
      <c r="R57" s="2573"/>
      <c r="S57" s="2736"/>
      <c r="T57" s="2737"/>
      <c r="U57" s="2573"/>
      <c r="V57" s="2736"/>
      <c r="W57" s="2737"/>
      <c r="X57" s="2573"/>
      <c r="Y57" s="2736"/>
      <c r="Z57" s="2737"/>
      <c r="AA57" s="2573"/>
      <c r="AB57" s="2736"/>
      <c r="AC57" s="2737"/>
    </row>
    <row r="58" spans="2:29" ht="15" customHeight="1" x14ac:dyDescent="0.3">
      <c r="B58" s="2572" t="s">
        <v>79</v>
      </c>
      <c r="C58" s="2573"/>
      <c r="D58" s="2736"/>
      <c r="E58" s="2737"/>
      <c r="F58" s="2573"/>
      <c r="G58" s="2736"/>
      <c r="H58" s="2737"/>
      <c r="I58" s="2573">
        <v>1</v>
      </c>
      <c r="J58" s="2736">
        <v>1</v>
      </c>
      <c r="K58" s="2737">
        <f t="shared" si="21"/>
        <v>2</v>
      </c>
      <c r="L58" s="2573"/>
      <c r="M58" s="2736">
        <v>1</v>
      </c>
      <c r="N58" s="2737">
        <f t="shared" si="0"/>
        <v>1</v>
      </c>
      <c r="O58" s="2573">
        <v>4</v>
      </c>
      <c r="P58" s="2736"/>
      <c r="Q58" s="2737">
        <f t="shared" si="3"/>
        <v>4</v>
      </c>
      <c r="R58" s="2573"/>
      <c r="S58" s="2736"/>
      <c r="T58" s="2737"/>
      <c r="U58" s="2573">
        <v>1</v>
      </c>
      <c r="V58" s="2736"/>
      <c r="W58" s="2737">
        <f t="shared" si="4"/>
        <v>1</v>
      </c>
      <c r="X58" s="2573"/>
      <c r="Y58" s="2736"/>
      <c r="Z58" s="2737"/>
      <c r="AA58" s="2573"/>
      <c r="AB58" s="2736"/>
      <c r="AC58" s="2737"/>
    </row>
    <row r="59" spans="2:29" ht="15" customHeight="1" x14ac:dyDescent="0.3">
      <c r="B59" s="2572" t="s">
        <v>82</v>
      </c>
      <c r="C59" s="2573"/>
      <c r="D59" s="2736"/>
      <c r="E59" s="2737"/>
      <c r="F59" s="2573"/>
      <c r="G59" s="2736"/>
      <c r="H59" s="2737"/>
      <c r="I59" s="2573"/>
      <c r="J59" s="2736"/>
      <c r="K59" s="2737"/>
      <c r="L59" s="2573"/>
      <c r="M59" s="2736"/>
      <c r="N59" s="2737"/>
      <c r="O59" s="2573"/>
      <c r="P59" s="2736"/>
      <c r="Q59" s="2737"/>
      <c r="R59" s="2573"/>
      <c r="S59" s="2736"/>
      <c r="T59" s="2737"/>
      <c r="U59" s="2573"/>
      <c r="V59" s="2736"/>
      <c r="W59" s="2737"/>
      <c r="X59" s="2573"/>
      <c r="Y59" s="2736"/>
      <c r="Z59" s="2737"/>
      <c r="AA59" s="2573"/>
      <c r="AB59" s="2736"/>
      <c r="AC59" s="2737"/>
    </row>
    <row r="60" spans="2:29" x14ac:dyDescent="0.3">
      <c r="B60" s="2572" t="s">
        <v>84</v>
      </c>
      <c r="C60" s="2573">
        <v>1</v>
      </c>
      <c r="D60" s="2736"/>
      <c r="E60" s="2737">
        <f t="shared" ref="E60" si="22">SUM(C60:D60)</f>
        <v>1</v>
      </c>
      <c r="F60" s="2573"/>
      <c r="G60" s="2736"/>
      <c r="H60" s="2737"/>
      <c r="I60" s="2573"/>
      <c r="J60" s="2736"/>
      <c r="K60" s="2737"/>
      <c r="L60" s="2573"/>
      <c r="M60" s="2736"/>
      <c r="N60" s="2737"/>
      <c r="O60" s="2573"/>
      <c r="P60" s="2736"/>
      <c r="Q60" s="2737"/>
      <c r="R60" s="2573"/>
      <c r="S60" s="2736"/>
      <c r="T60" s="2737"/>
      <c r="U60" s="2573"/>
      <c r="V60" s="2736"/>
      <c r="W60" s="2737"/>
      <c r="X60" s="2573"/>
      <c r="Y60" s="2736"/>
      <c r="Z60" s="2737"/>
      <c r="AA60" s="2573"/>
      <c r="AB60" s="2736"/>
      <c r="AC60" s="2737"/>
    </row>
    <row r="61" spans="2:29" ht="15" customHeight="1" x14ac:dyDescent="0.3">
      <c r="B61" s="2572" t="s">
        <v>63</v>
      </c>
      <c r="C61" s="2573"/>
      <c r="D61" s="2736"/>
      <c r="E61" s="2737"/>
      <c r="F61" s="2573"/>
      <c r="G61" s="2736">
        <v>2</v>
      </c>
      <c r="H61" s="2737">
        <f t="shared" ref="H61" si="23">SUM(F61:G61)</f>
        <v>2</v>
      </c>
      <c r="I61" s="2573"/>
      <c r="J61" s="2736"/>
      <c r="K61" s="2737"/>
      <c r="L61" s="2573"/>
      <c r="M61" s="2736"/>
      <c r="N61" s="2737"/>
      <c r="O61" s="2573"/>
      <c r="P61" s="2736"/>
      <c r="Q61" s="2737"/>
      <c r="R61" s="2573"/>
      <c r="S61" s="2736"/>
      <c r="T61" s="2737"/>
      <c r="U61" s="2573"/>
      <c r="V61" s="2736"/>
      <c r="W61" s="2737"/>
      <c r="X61" s="2573"/>
      <c r="Y61" s="2736"/>
      <c r="Z61" s="2737"/>
      <c r="AA61" s="2573"/>
      <c r="AB61" s="2736"/>
      <c r="AC61" s="2737"/>
    </row>
    <row r="62" spans="2:29" x14ac:dyDescent="0.3">
      <c r="B62" s="2577" t="s">
        <v>64</v>
      </c>
      <c r="C62" s="2578">
        <f>SUM(C51:C61)</f>
        <v>1</v>
      </c>
      <c r="D62" s="2738">
        <f>SUM(D51:D61)</f>
        <v>0</v>
      </c>
      <c r="E62" s="2739">
        <f>C62+D62</f>
        <v>1</v>
      </c>
      <c r="F62" s="2578">
        <f t="shared" ref="F62:K62" si="24">SUM(F53:F61)</f>
        <v>2</v>
      </c>
      <c r="G62" s="2738">
        <f t="shared" si="24"/>
        <v>5</v>
      </c>
      <c r="H62" s="2739">
        <f t="shared" si="24"/>
        <v>7</v>
      </c>
      <c r="I62" s="2578">
        <f t="shared" si="24"/>
        <v>1</v>
      </c>
      <c r="J62" s="2738">
        <f t="shared" si="24"/>
        <v>2</v>
      </c>
      <c r="K62" s="2739">
        <f t="shared" si="24"/>
        <v>3</v>
      </c>
      <c r="L62" s="2578">
        <f>SUM(L53:L61)</f>
        <v>1</v>
      </c>
      <c r="M62" s="2738">
        <f>SUM(M53:M61)</f>
        <v>2</v>
      </c>
      <c r="N62" s="2739">
        <f t="shared" si="0"/>
        <v>3</v>
      </c>
      <c r="O62" s="2578">
        <f>SUM(O53:O61)</f>
        <v>9</v>
      </c>
      <c r="P62" s="2738">
        <f>SUM(P53:P61)</f>
        <v>1</v>
      </c>
      <c r="Q62" s="2739">
        <f t="shared" si="3"/>
        <v>10</v>
      </c>
      <c r="R62" s="2578">
        <f>SUM(R53:R61)</f>
        <v>0</v>
      </c>
      <c r="S62" s="2738">
        <f>SUM(S53:S61)</f>
        <v>0</v>
      </c>
      <c r="T62" s="2739">
        <f t="shared" si="6"/>
        <v>0</v>
      </c>
      <c r="U62" s="2578">
        <f>SUM(U53:U61)</f>
        <v>1</v>
      </c>
      <c r="V62" s="2738">
        <f>SUM(V53:V61)</f>
        <v>0</v>
      </c>
      <c r="W62" s="2739">
        <f t="shared" si="4"/>
        <v>1</v>
      </c>
      <c r="X62" s="2578"/>
      <c r="Y62" s="2738"/>
      <c r="Z62" s="2739"/>
      <c r="AA62" s="2578">
        <f>SUM(AA53:AA61)</f>
        <v>1</v>
      </c>
      <c r="AB62" s="2738">
        <f>SUM(AB53:AB61)</f>
        <v>0</v>
      </c>
      <c r="AC62" s="2739">
        <f t="shared" ref="AC62" si="25">SUM(AA62:AB62)</f>
        <v>1</v>
      </c>
    </row>
    <row r="63" spans="2:29" ht="15" customHeight="1" x14ac:dyDescent="0.3">
      <c r="B63" s="2572" t="s">
        <v>86</v>
      </c>
      <c r="C63" s="2573"/>
      <c r="D63" s="2736"/>
      <c r="E63" s="2737"/>
      <c r="F63" s="2573"/>
      <c r="G63" s="2736"/>
      <c r="H63" s="2737"/>
      <c r="I63" s="2573"/>
      <c r="J63" s="2736"/>
      <c r="K63" s="2737"/>
      <c r="L63" s="2573">
        <v>1</v>
      </c>
      <c r="M63" s="2736"/>
      <c r="N63" s="2737">
        <f t="shared" si="0"/>
        <v>1</v>
      </c>
      <c r="O63" s="2573"/>
      <c r="P63" s="2736">
        <v>1</v>
      </c>
      <c r="Q63" s="2737">
        <f t="shared" si="3"/>
        <v>1</v>
      </c>
      <c r="R63" s="2573">
        <v>1</v>
      </c>
      <c r="S63" s="2736"/>
      <c r="T63" s="2737">
        <f t="shared" si="6"/>
        <v>1</v>
      </c>
      <c r="U63" s="2573">
        <v>1</v>
      </c>
      <c r="V63" s="2736"/>
      <c r="W63" s="2737">
        <f t="shared" si="4"/>
        <v>1</v>
      </c>
      <c r="X63" s="2573"/>
      <c r="Y63" s="2736"/>
      <c r="Z63" s="2737"/>
      <c r="AA63" s="2573"/>
      <c r="AB63" s="2736"/>
      <c r="AC63" s="2737"/>
    </row>
    <row r="64" spans="2:29" x14ac:dyDescent="0.3">
      <c r="B64" s="2572" t="s">
        <v>87</v>
      </c>
      <c r="C64" s="2573"/>
      <c r="D64" s="2736">
        <v>1</v>
      </c>
      <c r="E64" s="2737">
        <f t="shared" ref="E64:E65" si="26">SUM(C64:D64)</f>
        <v>1</v>
      </c>
      <c r="F64" s="2573"/>
      <c r="G64" s="2736">
        <v>1</v>
      </c>
      <c r="H64" s="2737">
        <f>SUM(F64:G64)</f>
        <v>1</v>
      </c>
      <c r="I64" s="2573">
        <v>4</v>
      </c>
      <c r="J64" s="2736">
        <v>1</v>
      </c>
      <c r="K64" s="2737">
        <f>SUM(I64:J64)</f>
        <v>5</v>
      </c>
      <c r="L64" s="2573"/>
      <c r="M64" s="2736"/>
      <c r="N64" s="2737"/>
      <c r="O64" s="2573"/>
      <c r="P64" s="2736"/>
      <c r="Q64" s="2737"/>
      <c r="R64" s="2573"/>
      <c r="S64" s="2736"/>
      <c r="T64" s="2737"/>
      <c r="U64" s="2573"/>
      <c r="V64" s="2736"/>
      <c r="W64" s="2737"/>
      <c r="X64" s="2573"/>
      <c r="Y64" s="2736"/>
      <c r="Z64" s="2737"/>
      <c r="AA64" s="2573"/>
      <c r="AB64" s="2736"/>
      <c r="AC64" s="2737"/>
    </row>
    <row r="65" spans="2:29" x14ac:dyDescent="0.3">
      <c r="B65" s="2572" t="s">
        <v>88</v>
      </c>
      <c r="C65" s="2573">
        <v>1</v>
      </c>
      <c r="D65" s="2736">
        <v>1</v>
      </c>
      <c r="E65" s="2737">
        <f t="shared" si="26"/>
        <v>2</v>
      </c>
      <c r="F65" s="2573">
        <v>3</v>
      </c>
      <c r="G65" s="2736">
        <v>1</v>
      </c>
      <c r="H65" s="2737">
        <f>SUM(F65:G65)</f>
        <v>4</v>
      </c>
      <c r="I65" s="2573">
        <v>12</v>
      </c>
      <c r="J65" s="2736">
        <v>4</v>
      </c>
      <c r="K65" s="2737">
        <f>SUM(I65:J65)</f>
        <v>16</v>
      </c>
      <c r="L65" s="2573">
        <v>1</v>
      </c>
      <c r="M65" s="2736"/>
      <c r="N65" s="2737">
        <f t="shared" si="0"/>
        <v>1</v>
      </c>
      <c r="O65" s="2573">
        <v>4</v>
      </c>
      <c r="P65" s="2736">
        <v>2</v>
      </c>
      <c r="Q65" s="2737">
        <f t="shared" si="3"/>
        <v>6</v>
      </c>
      <c r="R65" s="2573">
        <v>2</v>
      </c>
      <c r="S65" s="2736">
        <v>1</v>
      </c>
      <c r="T65" s="2737">
        <f t="shared" si="6"/>
        <v>3</v>
      </c>
      <c r="U65" s="2573">
        <v>1</v>
      </c>
      <c r="V65" s="2736"/>
      <c r="W65" s="2737">
        <f t="shared" si="4"/>
        <v>1</v>
      </c>
      <c r="X65" s="2573"/>
      <c r="Y65" s="2736"/>
      <c r="Z65" s="2737"/>
      <c r="AA65" s="2573"/>
      <c r="AB65" s="2736"/>
      <c r="AC65" s="2737"/>
    </row>
    <row r="66" spans="2:29" ht="15" customHeight="1" x14ac:dyDescent="0.3">
      <c r="B66" s="2572" t="s">
        <v>180</v>
      </c>
      <c r="C66" s="2573"/>
      <c r="D66" s="2736"/>
      <c r="E66" s="2737"/>
      <c r="F66" s="2573">
        <v>1</v>
      </c>
      <c r="G66" s="2736"/>
      <c r="H66" s="2737">
        <f>SUM(F66:G66)</f>
        <v>1</v>
      </c>
      <c r="I66" s="2573"/>
      <c r="J66" s="2736"/>
      <c r="K66" s="2737"/>
      <c r="L66" s="2573"/>
      <c r="M66" s="2736"/>
      <c r="N66" s="2737"/>
      <c r="O66" s="2573"/>
      <c r="P66" s="2736">
        <v>2</v>
      </c>
      <c r="Q66" s="2737">
        <f t="shared" si="3"/>
        <v>2</v>
      </c>
      <c r="R66" s="2573"/>
      <c r="S66" s="2736"/>
      <c r="T66" s="2737"/>
      <c r="U66" s="2573"/>
      <c r="V66" s="2736"/>
      <c r="W66" s="2737"/>
      <c r="X66" s="2573"/>
      <c r="Y66" s="2736"/>
      <c r="Z66" s="2737"/>
      <c r="AA66" s="2573"/>
      <c r="AB66" s="2736"/>
      <c r="AC66" s="2737"/>
    </row>
    <row r="67" spans="2:29" ht="15" customHeight="1" x14ac:dyDescent="0.3">
      <c r="B67" s="5373" t="s">
        <v>642</v>
      </c>
      <c r="C67" s="2573"/>
      <c r="D67" s="2736"/>
      <c r="E67" s="2737"/>
      <c r="F67" s="2573"/>
      <c r="G67" s="2736"/>
      <c r="H67" s="2737"/>
      <c r="I67" s="2573"/>
      <c r="J67" s="2736"/>
      <c r="K67" s="2737"/>
      <c r="L67" s="2573"/>
      <c r="M67" s="2736"/>
      <c r="N67" s="2737"/>
      <c r="O67" s="2573"/>
      <c r="P67" s="2736"/>
      <c r="Q67" s="2737"/>
      <c r="R67" s="2573"/>
      <c r="S67" s="2736"/>
      <c r="T67" s="2737"/>
      <c r="U67" s="2573"/>
      <c r="V67" s="2736"/>
      <c r="W67" s="2737"/>
      <c r="X67" s="2573"/>
      <c r="Y67" s="2736"/>
      <c r="Z67" s="2737"/>
      <c r="AA67" s="2573"/>
      <c r="AB67" s="2736"/>
      <c r="AC67" s="2737"/>
    </row>
    <row r="68" spans="2:29" ht="15" customHeight="1" x14ac:dyDescent="0.3">
      <c r="B68" s="2572" t="s">
        <v>89</v>
      </c>
      <c r="C68" s="2573"/>
      <c r="D68" s="2736"/>
      <c r="E68" s="2737"/>
      <c r="F68" s="2573"/>
      <c r="G68" s="2736"/>
      <c r="H68" s="2737"/>
      <c r="I68" s="2573">
        <v>1</v>
      </c>
      <c r="J68" s="2736"/>
      <c r="K68" s="2737">
        <f>SUM(I68:J68)</f>
        <v>1</v>
      </c>
      <c r="L68" s="2573"/>
      <c r="M68" s="2736"/>
      <c r="N68" s="2737"/>
      <c r="O68" s="2573"/>
      <c r="P68" s="2736"/>
      <c r="Q68" s="2737"/>
      <c r="R68" s="2573"/>
      <c r="S68" s="2736"/>
      <c r="T68" s="2737"/>
      <c r="U68" s="2573"/>
      <c r="V68" s="2736"/>
      <c r="W68" s="2737"/>
      <c r="X68" s="2573"/>
      <c r="Y68" s="2736"/>
      <c r="Z68" s="2737"/>
      <c r="AA68" s="2573"/>
      <c r="AB68" s="2736"/>
      <c r="AC68" s="2737"/>
    </row>
    <row r="69" spans="2:29" x14ac:dyDescent="0.3">
      <c r="B69" s="2577" t="s">
        <v>92</v>
      </c>
      <c r="C69" s="2582">
        <f>SUM(C63:C68)</f>
        <v>1</v>
      </c>
      <c r="D69" s="2742">
        <f>SUM(D63:D68)</f>
        <v>2</v>
      </c>
      <c r="E69" s="2743">
        <f>SUM(E63:E68)</f>
        <v>3</v>
      </c>
      <c r="F69" s="2582">
        <f>SUM(F64:F66)</f>
        <v>4</v>
      </c>
      <c r="G69" s="2742">
        <f>SUM(G64:G66)</f>
        <v>2</v>
      </c>
      <c r="H69" s="2743">
        <f>SUM(H64:H66)</f>
        <v>6</v>
      </c>
      <c r="I69" s="2582">
        <f>SUM(I64:I68)</f>
        <v>17</v>
      </c>
      <c r="J69" s="2742">
        <f>SUM(J64:J66)</f>
        <v>5</v>
      </c>
      <c r="K69" s="2743">
        <f>SUM(K64:K68)</f>
        <v>22</v>
      </c>
      <c r="L69" s="2582">
        <f>SUM(L63:L68)</f>
        <v>2</v>
      </c>
      <c r="M69" s="2742">
        <f>SUM(M64:M68)</f>
        <v>0</v>
      </c>
      <c r="N69" s="2743">
        <f t="shared" si="0"/>
        <v>2</v>
      </c>
      <c r="O69" s="2582">
        <f>SUM(O63:O68)</f>
        <v>4</v>
      </c>
      <c r="P69" s="2742">
        <f>SUM(P63:P68)</f>
        <v>5</v>
      </c>
      <c r="Q69" s="2743">
        <f t="shared" si="3"/>
        <v>9</v>
      </c>
      <c r="R69" s="2582">
        <f>SUM(R63:R68)</f>
        <v>3</v>
      </c>
      <c r="S69" s="2742">
        <f>SUM(S63:S68)</f>
        <v>1</v>
      </c>
      <c r="T69" s="2743">
        <f t="shared" si="6"/>
        <v>4</v>
      </c>
      <c r="U69" s="2582">
        <f>SUM(U63:U68)</f>
        <v>2</v>
      </c>
      <c r="V69" s="2742">
        <f>SUM(V63:V68)</f>
        <v>0</v>
      </c>
      <c r="W69" s="2743">
        <f t="shared" si="4"/>
        <v>2</v>
      </c>
      <c r="X69" s="2582"/>
      <c r="Y69" s="2742"/>
      <c r="Z69" s="2743"/>
      <c r="AA69" s="2582">
        <f>SUM(AA63:AA68)</f>
        <v>0</v>
      </c>
      <c r="AB69" s="2742">
        <f>SUM(AB63:AB68)</f>
        <v>0</v>
      </c>
      <c r="AC69" s="2743">
        <f t="shared" ref="AC69:AC72" si="27">SUM(AA69:AB69)</f>
        <v>0</v>
      </c>
    </row>
    <row r="70" spans="2:29" x14ac:dyDescent="0.3">
      <c r="B70" s="2720" t="s">
        <v>93</v>
      </c>
      <c r="C70" s="2720">
        <f>C69+C62+C50</f>
        <v>2</v>
      </c>
      <c r="D70" s="2746">
        <f>D69+D62+D50</f>
        <v>2</v>
      </c>
      <c r="E70" s="2747">
        <f>E69+E62+E50</f>
        <v>4</v>
      </c>
      <c r="F70" s="2720">
        <f t="shared" ref="F70:K70" si="28">SUM(F50,F62,F69)</f>
        <v>6</v>
      </c>
      <c r="G70" s="2746">
        <f t="shared" si="28"/>
        <v>8</v>
      </c>
      <c r="H70" s="2747">
        <f t="shared" si="28"/>
        <v>14</v>
      </c>
      <c r="I70" s="2720">
        <f t="shared" si="28"/>
        <v>18</v>
      </c>
      <c r="J70" s="2746">
        <f t="shared" si="28"/>
        <v>10</v>
      </c>
      <c r="K70" s="2747">
        <f t="shared" si="28"/>
        <v>28</v>
      </c>
      <c r="L70" s="2720">
        <f>SUM(L50,L62,L69)</f>
        <v>3</v>
      </c>
      <c r="M70" s="2746">
        <f>SUM(M50,M62,M69)</f>
        <v>2</v>
      </c>
      <c r="N70" s="2747">
        <f t="shared" si="0"/>
        <v>5</v>
      </c>
      <c r="O70" s="2720">
        <f>SUM(O50,O62,O69)</f>
        <v>13</v>
      </c>
      <c r="P70" s="2746">
        <f>SUM(P50,P62,P69)</f>
        <v>6</v>
      </c>
      <c r="Q70" s="2747">
        <f t="shared" si="3"/>
        <v>19</v>
      </c>
      <c r="R70" s="2720">
        <f>SUM(R50,R62,R69)</f>
        <v>3</v>
      </c>
      <c r="S70" s="2746">
        <f>SUM(S50,S62,S69)</f>
        <v>1</v>
      </c>
      <c r="T70" s="2747">
        <f t="shared" si="6"/>
        <v>4</v>
      </c>
      <c r="U70" s="2720">
        <f>SUM(U50,U62,U69)</f>
        <v>3</v>
      </c>
      <c r="V70" s="2746">
        <f>SUM(V50,V62,V69)</f>
        <v>0</v>
      </c>
      <c r="W70" s="2747">
        <f t="shared" si="4"/>
        <v>3</v>
      </c>
      <c r="X70" s="2720"/>
      <c r="Y70" s="2746"/>
      <c r="Z70" s="2747"/>
      <c r="AA70" s="2720">
        <f>SUM(AA50,AA62,AA69)</f>
        <v>5</v>
      </c>
      <c r="AB70" s="2746">
        <f>SUM(AB50,AB62,AB69)</f>
        <v>0</v>
      </c>
      <c r="AC70" s="2747">
        <f t="shared" si="27"/>
        <v>5</v>
      </c>
    </row>
    <row r="71" spans="2:29" ht="15" customHeight="1" x14ac:dyDescent="0.3">
      <c r="B71" s="2713" t="s">
        <v>124</v>
      </c>
      <c r="C71" s="2714">
        <v>5</v>
      </c>
      <c r="D71" s="2734"/>
      <c r="E71" s="2735">
        <f>SUM(C71:D71)</f>
        <v>5</v>
      </c>
      <c r="F71" s="2714">
        <v>3</v>
      </c>
      <c r="G71" s="2734"/>
      <c r="H71" s="2735">
        <f>SUM(F71:G71)</f>
        <v>3</v>
      </c>
      <c r="I71" s="2714">
        <v>9</v>
      </c>
      <c r="J71" s="2734">
        <v>1</v>
      </c>
      <c r="K71" s="2735">
        <f>SUM(I71:J71)</f>
        <v>10</v>
      </c>
      <c r="L71" s="2714"/>
      <c r="M71" s="2734">
        <v>3</v>
      </c>
      <c r="N71" s="2735">
        <f t="shared" ref="N71:N102" si="29">SUM(L71:M71)</f>
        <v>3</v>
      </c>
      <c r="O71" s="2714">
        <v>11</v>
      </c>
      <c r="P71" s="2734">
        <v>3</v>
      </c>
      <c r="Q71" s="2735">
        <f t="shared" ref="Q71:Q102" si="30">SUM(O71:P71)</f>
        <v>14</v>
      </c>
      <c r="R71" s="2714">
        <v>6</v>
      </c>
      <c r="S71" s="2734"/>
      <c r="T71" s="2735">
        <f t="shared" ref="T71:T102" si="31">SUM(R71:S71)</f>
        <v>6</v>
      </c>
      <c r="U71" s="2714">
        <v>2</v>
      </c>
      <c r="V71" s="2734"/>
      <c r="W71" s="2735">
        <f t="shared" ref="W71:W100" si="32">SUM(U71:V71)</f>
        <v>2</v>
      </c>
      <c r="X71" s="2714"/>
      <c r="Y71" s="2734"/>
      <c r="Z71" s="2735"/>
      <c r="AA71" s="2714"/>
      <c r="AB71" s="2734"/>
      <c r="AC71" s="2735"/>
    </row>
    <row r="72" spans="2:29" x14ac:dyDescent="0.3">
      <c r="B72" s="2577" t="s">
        <v>92</v>
      </c>
      <c r="C72" s="2578">
        <f>C71</f>
        <v>5</v>
      </c>
      <c r="D72" s="2738">
        <f>D71</f>
        <v>0</v>
      </c>
      <c r="E72" s="2739">
        <f>E71</f>
        <v>5</v>
      </c>
      <c r="F72" s="2578">
        <f t="shared" ref="F72:K72" si="33">SUM(F71)</f>
        <v>3</v>
      </c>
      <c r="G72" s="2738">
        <f t="shared" si="33"/>
        <v>0</v>
      </c>
      <c r="H72" s="2739">
        <f t="shared" si="33"/>
        <v>3</v>
      </c>
      <c r="I72" s="2578">
        <f t="shared" si="33"/>
        <v>9</v>
      </c>
      <c r="J72" s="2738">
        <f t="shared" si="33"/>
        <v>1</v>
      </c>
      <c r="K72" s="2739">
        <f t="shared" si="33"/>
        <v>10</v>
      </c>
      <c r="L72" s="2578">
        <f>SUM(L71)</f>
        <v>0</v>
      </c>
      <c r="M72" s="2738">
        <f>SUM(M71)</f>
        <v>3</v>
      </c>
      <c r="N72" s="2739">
        <f t="shared" si="29"/>
        <v>3</v>
      </c>
      <c r="O72" s="2578">
        <f>SUM(O71)</f>
        <v>11</v>
      </c>
      <c r="P72" s="2738">
        <f>SUM(P71)</f>
        <v>3</v>
      </c>
      <c r="Q72" s="2739">
        <f t="shared" si="30"/>
        <v>14</v>
      </c>
      <c r="R72" s="2578">
        <f>SUM(R71)</f>
        <v>6</v>
      </c>
      <c r="S72" s="2738">
        <f>SUM(S71)</f>
        <v>0</v>
      </c>
      <c r="T72" s="2739">
        <f t="shared" si="31"/>
        <v>6</v>
      </c>
      <c r="U72" s="2578">
        <f>SUM(U71)</f>
        <v>2</v>
      </c>
      <c r="V72" s="2738">
        <f>SUM(V71)</f>
        <v>0</v>
      </c>
      <c r="W72" s="2739">
        <f t="shared" si="32"/>
        <v>2</v>
      </c>
      <c r="X72" s="2578"/>
      <c r="Y72" s="2738"/>
      <c r="Z72" s="2739"/>
      <c r="AA72" s="2578">
        <f>SUM(AA71)</f>
        <v>0</v>
      </c>
      <c r="AB72" s="2738">
        <f>SUM(AB71)</f>
        <v>0</v>
      </c>
      <c r="AC72" s="2739">
        <f t="shared" si="27"/>
        <v>0</v>
      </c>
    </row>
    <row r="73" spans="2:29" ht="15" customHeight="1" x14ac:dyDescent="0.3">
      <c r="B73" s="2572" t="s">
        <v>643</v>
      </c>
      <c r="C73" s="2573"/>
      <c r="D73" s="2736"/>
      <c r="E73" s="2737"/>
      <c r="F73" s="2573">
        <v>1</v>
      </c>
      <c r="G73" s="2736">
        <v>3</v>
      </c>
      <c r="H73" s="2737">
        <f>SUM(F73:G73)</f>
        <v>4</v>
      </c>
      <c r="I73" s="2573">
        <v>2</v>
      </c>
      <c r="J73" s="2736">
        <v>4</v>
      </c>
      <c r="K73" s="2737">
        <f>SUM(I73:J73)</f>
        <v>6</v>
      </c>
      <c r="L73" s="2573"/>
      <c r="M73" s="2736">
        <v>2</v>
      </c>
      <c r="N73" s="2737">
        <f t="shared" si="29"/>
        <v>2</v>
      </c>
      <c r="O73" s="2573">
        <v>2</v>
      </c>
      <c r="P73" s="2736"/>
      <c r="Q73" s="2737">
        <f t="shared" si="30"/>
        <v>2</v>
      </c>
      <c r="R73" s="2573">
        <v>1</v>
      </c>
      <c r="S73" s="2736"/>
      <c r="T73" s="2737">
        <f t="shared" si="31"/>
        <v>1</v>
      </c>
      <c r="U73" s="2573"/>
      <c r="V73" s="2736"/>
      <c r="W73" s="2737"/>
      <c r="X73" s="2573"/>
      <c r="Y73" s="2736"/>
      <c r="Z73" s="2737"/>
      <c r="AA73" s="2573"/>
      <c r="AB73" s="2736"/>
      <c r="AC73" s="2737"/>
    </row>
    <row r="74" spans="2:29" ht="15" customHeight="1" x14ac:dyDescent="0.3">
      <c r="B74" s="2577" t="s">
        <v>59</v>
      </c>
      <c r="C74" s="2578">
        <f>C73</f>
        <v>0</v>
      </c>
      <c r="D74" s="2738">
        <f>D73</f>
        <v>0</v>
      </c>
      <c r="E74" s="2739">
        <f>E73</f>
        <v>0</v>
      </c>
      <c r="F74" s="2578">
        <f t="shared" ref="F74:K74" si="34">SUM(F73)</f>
        <v>1</v>
      </c>
      <c r="G74" s="2738">
        <f t="shared" si="34"/>
        <v>3</v>
      </c>
      <c r="H74" s="2739">
        <f t="shared" si="34"/>
        <v>4</v>
      </c>
      <c r="I74" s="2578">
        <f t="shared" si="34"/>
        <v>2</v>
      </c>
      <c r="J74" s="2738">
        <f t="shared" si="34"/>
        <v>4</v>
      </c>
      <c r="K74" s="2739">
        <f t="shared" si="34"/>
        <v>6</v>
      </c>
      <c r="L74" s="2578">
        <f>SUM(L73)</f>
        <v>0</v>
      </c>
      <c r="M74" s="2738">
        <f>SUM(M73)</f>
        <v>2</v>
      </c>
      <c r="N74" s="2739">
        <f t="shared" si="29"/>
        <v>2</v>
      </c>
      <c r="O74" s="2578">
        <f>SUM(O73)</f>
        <v>2</v>
      </c>
      <c r="P74" s="2738">
        <f>SUM(P73)</f>
        <v>0</v>
      </c>
      <c r="Q74" s="2739">
        <f t="shared" si="30"/>
        <v>2</v>
      </c>
      <c r="R74" s="2578">
        <f>SUM(R73)</f>
        <v>1</v>
      </c>
      <c r="S74" s="2738">
        <f>SUM(S73)</f>
        <v>0</v>
      </c>
      <c r="T74" s="2739">
        <f t="shared" si="31"/>
        <v>1</v>
      </c>
      <c r="U74" s="2578">
        <f>SUM(U73)</f>
        <v>0</v>
      </c>
      <c r="V74" s="2738">
        <f>SUM(V73)</f>
        <v>0</v>
      </c>
      <c r="W74" s="2739">
        <f t="shared" si="32"/>
        <v>0</v>
      </c>
      <c r="X74" s="2578"/>
      <c r="Y74" s="2738"/>
      <c r="Z74" s="2739"/>
      <c r="AA74" s="2578">
        <f>SUM(AA73)</f>
        <v>0</v>
      </c>
      <c r="AB74" s="2738">
        <f>SUM(AB73)</f>
        <v>0</v>
      </c>
      <c r="AC74" s="2739">
        <f t="shared" ref="AC74:AC84" si="35">SUM(AA74:AB74)</f>
        <v>0</v>
      </c>
    </row>
    <row r="75" spans="2:29" x14ac:dyDescent="0.3">
      <c r="B75" s="2572" t="s">
        <v>120</v>
      </c>
      <c r="C75" s="2573"/>
      <c r="D75" s="2736">
        <v>2</v>
      </c>
      <c r="E75" s="2737">
        <f>SUM(C75:D75)</f>
        <v>2</v>
      </c>
      <c r="F75" s="2573">
        <v>1</v>
      </c>
      <c r="G75" s="2736"/>
      <c r="H75" s="2737">
        <f>SUM(F75:G75)</f>
        <v>1</v>
      </c>
      <c r="I75" s="2573">
        <v>4</v>
      </c>
      <c r="J75" s="2736">
        <v>3</v>
      </c>
      <c r="K75" s="2737">
        <f>SUM(I75:J75)</f>
        <v>7</v>
      </c>
      <c r="L75" s="2573">
        <v>2</v>
      </c>
      <c r="M75" s="2736">
        <v>1</v>
      </c>
      <c r="N75" s="2737">
        <f t="shared" si="29"/>
        <v>3</v>
      </c>
      <c r="O75" s="2573">
        <v>2</v>
      </c>
      <c r="P75" s="2736">
        <v>1</v>
      </c>
      <c r="Q75" s="2737">
        <f t="shared" si="30"/>
        <v>3</v>
      </c>
      <c r="R75" s="2573"/>
      <c r="S75" s="2736">
        <v>1</v>
      </c>
      <c r="T75" s="2737">
        <f t="shared" si="31"/>
        <v>1</v>
      </c>
      <c r="U75" s="2573">
        <v>1</v>
      </c>
      <c r="V75" s="2736">
        <v>1</v>
      </c>
      <c r="W75" s="2737">
        <f t="shared" si="32"/>
        <v>2</v>
      </c>
      <c r="X75" s="2573"/>
      <c r="Y75" s="2736"/>
      <c r="Z75" s="2737"/>
      <c r="AA75" s="2573"/>
      <c r="AB75" s="2736"/>
      <c r="AC75" s="2737"/>
    </row>
    <row r="76" spans="2:29" x14ac:dyDescent="0.3">
      <c r="B76" s="2572" t="s">
        <v>121</v>
      </c>
      <c r="C76" s="2573"/>
      <c r="D76" s="2736"/>
      <c r="E76" s="2737"/>
      <c r="F76" s="2573"/>
      <c r="G76" s="2736"/>
      <c r="H76" s="2737"/>
      <c r="I76" s="2573">
        <v>1</v>
      </c>
      <c r="J76" s="2736"/>
      <c r="K76" s="2737">
        <f>SUM(I76:J76)</f>
        <v>1</v>
      </c>
      <c r="L76" s="2573"/>
      <c r="M76" s="2736"/>
      <c r="N76" s="2737"/>
      <c r="O76" s="2573">
        <v>1</v>
      </c>
      <c r="P76" s="2736">
        <v>2</v>
      </c>
      <c r="Q76" s="2737">
        <f t="shared" si="30"/>
        <v>3</v>
      </c>
      <c r="R76" s="2573">
        <v>3</v>
      </c>
      <c r="S76" s="2736"/>
      <c r="T76" s="2737">
        <f t="shared" si="31"/>
        <v>3</v>
      </c>
      <c r="U76" s="2573">
        <v>2</v>
      </c>
      <c r="V76" s="2736"/>
      <c r="W76" s="2737">
        <f t="shared" si="32"/>
        <v>2</v>
      </c>
      <c r="X76" s="2573"/>
      <c r="Y76" s="2736"/>
      <c r="Z76" s="2737"/>
      <c r="AA76" s="2573"/>
      <c r="AB76" s="2736"/>
      <c r="AC76" s="2737"/>
    </row>
    <row r="77" spans="2:29" x14ac:dyDescent="0.3">
      <c r="B77" s="2577" t="s">
        <v>64</v>
      </c>
      <c r="C77" s="2582">
        <f t="shared" ref="C77:K77" si="36">SUM(C75:C76)</f>
        <v>0</v>
      </c>
      <c r="D77" s="2742">
        <f t="shared" si="36"/>
        <v>2</v>
      </c>
      <c r="E77" s="2743">
        <f t="shared" si="36"/>
        <v>2</v>
      </c>
      <c r="F77" s="2582">
        <f t="shared" si="36"/>
        <v>1</v>
      </c>
      <c r="G77" s="2742">
        <f t="shared" si="36"/>
        <v>0</v>
      </c>
      <c r="H77" s="2743">
        <f t="shared" si="36"/>
        <v>1</v>
      </c>
      <c r="I77" s="2582">
        <f t="shared" si="36"/>
        <v>5</v>
      </c>
      <c r="J77" s="2742">
        <f t="shared" si="36"/>
        <v>3</v>
      </c>
      <c r="K77" s="2743">
        <f t="shared" si="36"/>
        <v>8</v>
      </c>
      <c r="L77" s="2582">
        <f>SUM(L75:L76)</f>
        <v>2</v>
      </c>
      <c r="M77" s="2742">
        <f>SUM(M75:M76)</f>
        <v>1</v>
      </c>
      <c r="N77" s="2743">
        <f t="shared" si="29"/>
        <v>3</v>
      </c>
      <c r="O77" s="2582">
        <f>SUM(O75:O76)</f>
        <v>3</v>
      </c>
      <c r="P77" s="2742">
        <f>SUM(P75:P76)</f>
        <v>3</v>
      </c>
      <c r="Q77" s="2743">
        <f t="shared" si="30"/>
        <v>6</v>
      </c>
      <c r="R77" s="2582">
        <f>SUM(R75:R76)</f>
        <v>3</v>
      </c>
      <c r="S77" s="2742">
        <f>SUM(S75:S76)</f>
        <v>1</v>
      </c>
      <c r="T77" s="2743">
        <f t="shared" si="31"/>
        <v>4</v>
      </c>
      <c r="U77" s="2582">
        <f>SUM(U75:U76)</f>
        <v>3</v>
      </c>
      <c r="V77" s="2742">
        <f>SUM(V75:V76)</f>
        <v>1</v>
      </c>
      <c r="W77" s="2743">
        <f t="shared" si="32"/>
        <v>4</v>
      </c>
      <c r="X77" s="2582"/>
      <c r="Y77" s="2742"/>
      <c r="Z77" s="2743"/>
      <c r="AA77" s="2582">
        <f>SUM(AA75:AA76)</f>
        <v>0</v>
      </c>
      <c r="AB77" s="2742">
        <f>SUM(AB75:AB76)</f>
        <v>0</v>
      </c>
      <c r="AC77" s="2743">
        <f t="shared" si="35"/>
        <v>0</v>
      </c>
    </row>
    <row r="78" spans="2:29" x14ac:dyDescent="0.3">
      <c r="B78" s="2723" t="s">
        <v>127</v>
      </c>
      <c r="C78" s="2723">
        <f>C77+C74+C72</f>
        <v>5</v>
      </c>
      <c r="D78" s="2748">
        <f>D77+D74+D72</f>
        <v>2</v>
      </c>
      <c r="E78" s="2749">
        <f>E77+E74+E72</f>
        <v>7</v>
      </c>
      <c r="F78" s="2723">
        <f t="shared" ref="F78:K78" si="37">SUM(F72,F74,F77)</f>
        <v>5</v>
      </c>
      <c r="G78" s="2748">
        <f t="shared" si="37"/>
        <v>3</v>
      </c>
      <c r="H78" s="2749">
        <f t="shared" si="37"/>
        <v>8</v>
      </c>
      <c r="I78" s="2723">
        <f t="shared" si="37"/>
        <v>16</v>
      </c>
      <c r="J78" s="2748">
        <f t="shared" si="37"/>
        <v>8</v>
      </c>
      <c r="K78" s="2749">
        <f t="shared" si="37"/>
        <v>24</v>
      </c>
      <c r="L78" s="2723">
        <f>SUM(L72,L74,L77)</f>
        <v>2</v>
      </c>
      <c r="M78" s="2748">
        <f>SUM(M72,M74,M77)</f>
        <v>6</v>
      </c>
      <c r="N78" s="2749">
        <f t="shared" si="29"/>
        <v>8</v>
      </c>
      <c r="O78" s="2723">
        <f>SUM(O72,O74,O77)</f>
        <v>16</v>
      </c>
      <c r="P78" s="2748">
        <f>SUM(P72,P74,P77)</f>
        <v>6</v>
      </c>
      <c r="Q78" s="2749">
        <f t="shared" si="30"/>
        <v>22</v>
      </c>
      <c r="R78" s="2723">
        <f>SUM(R72,R74,R77)</f>
        <v>10</v>
      </c>
      <c r="S78" s="2748">
        <f>SUM(S72,S74,S77)</f>
        <v>1</v>
      </c>
      <c r="T78" s="2749">
        <f t="shared" si="31"/>
        <v>11</v>
      </c>
      <c r="U78" s="2723">
        <f>SUM(U72,U74,U77)</f>
        <v>5</v>
      </c>
      <c r="V78" s="2748">
        <f>SUM(V72,V74,V77)</f>
        <v>1</v>
      </c>
      <c r="W78" s="2749">
        <f t="shared" si="32"/>
        <v>6</v>
      </c>
      <c r="X78" s="2723"/>
      <c r="Y78" s="2748"/>
      <c r="Z78" s="2749"/>
      <c r="AA78" s="2723">
        <f>SUM(AA72,AA74,AA77)</f>
        <v>0</v>
      </c>
      <c r="AB78" s="2748">
        <f>SUM(AB72,AB74,AB77)</f>
        <v>0</v>
      </c>
      <c r="AC78" s="2749">
        <f t="shared" si="35"/>
        <v>0</v>
      </c>
    </row>
    <row r="79" spans="2:29" ht="14.25" customHeight="1" x14ac:dyDescent="0.3">
      <c r="B79" s="2567" t="s">
        <v>60</v>
      </c>
      <c r="C79" s="2568">
        <v>1</v>
      </c>
      <c r="D79" s="2750"/>
      <c r="E79" s="2751">
        <f t="shared" ref="E79" si="38">SUM(C79:D79)</f>
        <v>1</v>
      </c>
      <c r="F79" s="2568"/>
      <c r="G79" s="2750"/>
      <c r="H79" s="2751">
        <f>SUM(F79:G79)</f>
        <v>0</v>
      </c>
      <c r="I79" s="2568">
        <v>1</v>
      </c>
      <c r="J79" s="2750"/>
      <c r="K79" s="2751">
        <f>SUM(I79:J79)</f>
        <v>1</v>
      </c>
      <c r="L79" s="2568"/>
      <c r="M79" s="2750"/>
      <c r="N79" s="2751"/>
      <c r="O79" s="2568"/>
      <c r="P79" s="2750"/>
      <c r="Q79" s="2751"/>
      <c r="R79" s="2568"/>
      <c r="S79" s="2750"/>
      <c r="T79" s="2751"/>
      <c r="U79" s="2568"/>
      <c r="V79" s="2750">
        <v>1</v>
      </c>
      <c r="W79" s="2751">
        <f t="shared" si="32"/>
        <v>1</v>
      </c>
      <c r="X79" s="2568"/>
      <c r="Y79" s="2750"/>
      <c r="Z79" s="2751"/>
      <c r="AA79" s="2568"/>
      <c r="AB79" s="2750"/>
      <c r="AC79" s="2751"/>
    </row>
    <row r="80" spans="2:29" ht="15" customHeight="1" x14ac:dyDescent="0.3">
      <c r="B80" s="2572" t="s">
        <v>94</v>
      </c>
      <c r="C80" s="2573"/>
      <c r="D80" s="2736"/>
      <c r="E80" s="2737"/>
      <c r="F80" s="2573"/>
      <c r="G80" s="2736"/>
      <c r="H80" s="2737"/>
      <c r="I80" s="2573"/>
      <c r="J80" s="2736"/>
      <c r="K80" s="2737"/>
      <c r="L80" s="2573"/>
      <c r="M80" s="2736">
        <v>2</v>
      </c>
      <c r="N80" s="2737">
        <f t="shared" si="29"/>
        <v>2</v>
      </c>
      <c r="O80" s="2573">
        <v>1</v>
      </c>
      <c r="P80" s="2736"/>
      <c r="Q80" s="2737">
        <f t="shared" si="30"/>
        <v>1</v>
      </c>
      <c r="R80" s="2573"/>
      <c r="S80" s="2736"/>
      <c r="T80" s="2737"/>
      <c r="U80" s="2573">
        <v>1</v>
      </c>
      <c r="V80" s="2736">
        <v>1</v>
      </c>
      <c r="W80" s="2737">
        <f t="shared" si="32"/>
        <v>2</v>
      </c>
      <c r="X80" s="2573"/>
      <c r="Y80" s="2736"/>
      <c r="Z80" s="2737"/>
      <c r="AA80" s="2573">
        <v>1</v>
      </c>
      <c r="AB80" s="2736"/>
      <c r="AC80" s="2737">
        <f t="shared" si="35"/>
        <v>1</v>
      </c>
    </row>
    <row r="81" spans="2:29" ht="15" customHeight="1" x14ac:dyDescent="0.3">
      <c r="B81" s="2572" t="s">
        <v>62</v>
      </c>
      <c r="C81" s="2573"/>
      <c r="D81" s="2736"/>
      <c r="E81" s="2737"/>
      <c r="F81" s="2573">
        <v>2</v>
      </c>
      <c r="G81" s="2736">
        <v>2</v>
      </c>
      <c r="H81" s="2737">
        <f>SUM(F81:G81)</f>
        <v>4</v>
      </c>
      <c r="I81" s="2573"/>
      <c r="J81" s="2736"/>
      <c r="K81" s="2737"/>
      <c r="L81" s="2573"/>
      <c r="M81" s="2736"/>
      <c r="N81" s="2737"/>
      <c r="O81" s="2573"/>
      <c r="P81" s="2736"/>
      <c r="Q81" s="2737"/>
      <c r="R81" s="2573"/>
      <c r="S81" s="2736"/>
      <c r="T81" s="2737"/>
      <c r="U81" s="2573"/>
      <c r="V81" s="2736"/>
      <c r="W81" s="2737"/>
      <c r="X81" s="2573"/>
      <c r="Y81" s="2736"/>
      <c r="Z81" s="2737"/>
      <c r="AA81" s="2573"/>
      <c r="AB81" s="2736"/>
      <c r="AC81" s="2737"/>
    </row>
    <row r="82" spans="2:29" ht="15" customHeight="1" x14ac:dyDescent="0.3">
      <c r="B82" s="2572" t="s">
        <v>96</v>
      </c>
      <c r="C82" s="2573"/>
      <c r="D82" s="2736"/>
      <c r="E82" s="2737"/>
      <c r="F82" s="2573"/>
      <c r="G82" s="2736"/>
      <c r="H82" s="2737"/>
      <c r="I82" s="2573"/>
      <c r="J82" s="2736"/>
      <c r="K82" s="2737"/>
      <c r="L82" s="2573"/>
      <c r="M82" s="2736"/>
      <c r="N82" s="2737"/>
      <c r="O82" s="2573"/>
      <c r="P82" s="2736"/>
      <c r="Q82" s="2737"/>
      <c r="R82" s="2573"/>
      <c r="S82" s="2736"/>
      <c r="T82" s="2737"/>
      <c r="U82" s="2573"/>
      <c r="V82" s="2736"/>
      <c r="W82" s="2737"/>
      <c r="X82" s="2573"/>
      <c r="Y82" s="2736"/>
      <c r="Z82" s="2737"/>
      <c r="AA82" s="2573"/>
      <c r="AB82" s="2736"/>
      <c r="AC82" s="2737"/>
    </row>
    <row r="83" spans="2:29" ht="15" customHeight="1" x14ac:dyDescent="0.3">
      <c r="B83" s="2572" t="s">
        <v>95</v>
      </c>
      <c r="C83" s="2573"/>
      <c r="D83" s="2736"/>
      <c r="E83" s="2737"/>
      <c r="F83" s="2573"/>
      <c r="G83" s="2736"/>
      <c r="H83" s="2737"/>
      <c r="I83" s="2573">
        <v>2</v>
      </c>
      <c r="J83" s="2736"/>
      <c r="K83" s="2737">
        <f>SUM(I83:J83)</f>
        <v>2</v>
      </c>
      <c r="L83" s="2573"/>
      <c r="M83" s="2736"/>
      <c r="N83" s="2737"/>
      <c r="O83" s="2573">
        <v>1</v>
      </c>
      <c r="P83" s="2736"/>
      <c r="Q83" s="2737">
        <f t="shared" si="30"/>
        <v>1</v>
      </c>
      <c r="R83" s="2573"/>
      <c r="S83" s="2736"/>
      <c r="T83" s="2737"/>
      <c r="U83" s="2573"/>
      <c r="V83" s="2736"/>
      <c r="W83" s="2737"/>
      <c r="X83" s="2573"/>
      <c r="Y83" s="2736"/>
      <c r="Z83" s="2737"/>
      <c r="AA83" s="2573"/>
      <c r="AB83" s="2736"/>
      <c r="AC83" s="2737"/>
    </row>
    <row r="84" spans="2:29" ht="15" customHeight="1" x14ac:dyDescent="0.3">
      <c r="B84" s="2572" t="s">
        <v>63</v>
      </c>
      <c r="C84" s="2573"/>
      <c r="D84" s="2736"/>
      <c r="E84" s="2737"/>
      <c r="F84" s="2573">
        <v>1</v>
      </c>
      <c r="G84" s="2736"/>
      <c r="H84" s="2737">
        <f>SUM(F84:G84)</f>
        <v>1</v>
      </c>
      <c r="I84" s="2573"/>
      <c r="J84" s="2736"/>
      <c r="K84" s="2737"/>
      <c r="L84" s="2573"/>
      <c r="M84" s="2736"/>
      <c r="N84" s="2737"/>
      <c r="O84" s="2573"/>
      <c r="P84" s="2736"/>
      <c r="Q84" s="2737"/>
      <c r="R84" s="2573"/>
      <c r="S84" s="2736"/>
      <c r="T84" s="2737"/>
      <c r="U84" s="2573"/>
      <c r="V84" s="2736"/>
      <c r="W84" s="2737"/>
      <c r="X84" s="2573"/>
      <c r="Y84" s="2736"/>
      <c r="Z84" s="2737"/>
      <c r="AA84" s="2573">
        <v>1</v>
      </c>
      <c r="AB84" s="2736"/>
      <c r="AC84" s="2737">
        <f t="shared" si="35"/>
        <v>1</v>
      </c>
    </row>
    <row r="85" spans="2:29" x14ac:dyDescent="0.3">
      <c r="B85" s="2577" t="s">
        <v>64</v>
      </c>
      <c r="C85" s="2578">
        <f t="shared" ref="C85:K85" si="39">SUM(C79:C84)</f>
        <v>1</v>
      </c>
      <c r="D85" s="2738">
        <f t="shared" si="39"/>
        <v>0</v>
      </c>
      <c r="E85" s="2739">
        <f t="shared" si="39"/>
        <v>1</v>
      </c>
      <c r="F85" s="2578">
        <f t="shared" si="39"/>
        <v>3</v>
      </c>
      <c r="G85" s="2738">
        <f t="shared" si="39"/>
        <v>2</v>
      </c>
      <c r="H85" s="2739">
        <f t="shared" si="39"/>
        <v>5</v>
      </c>
      <c r="I85" s="2578">
        <f t="shared" si="39"/>
        <v>3</v>
      </c>
      <c r="J85" s="2738">
        <f t="shared" si="39"/>
        <v>0</v>
      </c>
      <c r="K85" s="2739">
        <f t="shared" si="39"/>
        <v>3</v>
      </c>
      <c r="L85" s="2578">
        <f>SUM(L79:L84)</f>
        <v>0</v>
      </c>
      <c r="M85" s="2738">
        <f>SUM(M79:M84)</f>
        <v>2</v>
      </c>
      <c r="N85" s="2739">
        <f t="shared" si="29"/>
        <v>2</v>
      </c>
      <c r="O85" s="2578">
        <f>SUM(O79:O84)</f>
        <v>2</v>
      </c>
      <c r="P85" s="2738">
        <f>SUM(P79:P84)</f>
        <v>0</v>
      </c>
      <c r="Q85" s="2739">
        <f t="shared" si="30"/>
        <v>2</v>
      </c>
      <c r="R85" s="2578">
        <f>SUM(R79:R84)</f>
        <v>0</v>
      </c>
      <c r="S85" s="2738">
        <f>SUM(S79:S84)</f>
        <v>0</v>
      </c>
      <c r="T85" s="2739">
        <f t="shared" si="31"/>
        <v>0</v>
      </c>
      <c r="U85" s="2578">
        <f>SUM(U79:U84)</f>
        <v>1</v>
      </c>
      <c r="V85" s="2738">
        <f>SUM(V79:V84)</f>
        <v>2</v>
      </c>
      <c r="W85" s="2739">
        <f t="shared" si="32"/>
        <v>3</v>
      </c>
      <c r="X85" s="2578"/>
      <c r="Y85" s="2738"/>
      <c r="Z85" s="2739"/>
      <c r="AA85" s="2578">
        <f>SUM(AA79:AA84)</f>
        <v>2</v>
      </c>
      <c r="AB85" s="2738">
        <f>SUM(AB79:AB84)</f>
        <v>0</v>
      </c>
      <c r="AC85" s="2739">
        <f t="shared" ref="AC85:AC91" si="40">SUM(AA85:AB85)</f>
        <v>2</v>
      </c>
    </row>
    <row r="86" spans="2:29" ht="15" customHeight="1" x14ac:dyDescent="0.3">
      <c r="B86" s="2572" t="s">
        <v>101</v>
      </c>
      <c r="C86" s="2573"/>
      <c r="D86" s="2736"/>
      <c r="E86" s="2737"/>
      <c r="F86" s="2573"/>
      <c r="G86" s="2736">
        <v>4</v>
      </c>
      <c r="H86" s="2737">
        <f>SUM(F86:G86)</f>
        <v>4</v>
      </c>
      <c r="I86" s="2573">
        <v>1</v>
      </c>
      <c r="J86" s="2736">
        <v>6</v>
      </c>
      <c r="K86" s="2737">
        <f>SUM(I86:J86)</f>
        <v>7</v>
      </c>
      <c r="L86" s="2573">
        <v>2</v>
      </c>
      <c r="M86" s="2736">
        <v>1</v>
      </c>
      <c r="N86" s="2737">
        <f t="shared" si="29"/>
        <v>3</v>
      </c>
      <c r="O86" s="2573">
        <v>1</v>
      </c>
      <c r="P86" s="2736"/>
      <c r="Q86" s="2737">
        <f t="shared" si="30"/>
        <v>1</v>
      </c>
      <c r="R86" s="2573"/>
      <c r="S86" s="2736"/>
      <c r="T86" s="2737"/>
      <c r="U86" s="2573">
        <v>2</v>
      </c>
      <c r="V86" s="2736">
        <v>1</v>
      </c>
      <c r="W86" s="2737">
        <f t="shared" si="32"/>
        <v>3</v>
      </c>
      <c r="X86" s="2573"/>
      <c r="Y86" s="2736"/>
      <c r="Z86" s="2737"/>
      <c r="AA86" s="2573">
        <v>2</v>
      </c>
      <c r="AB86" s="2736">
        <v>1</v>
      </c>
      <c r="AC86" s="2737">
        <f t="shared" si="40"/>
        <v>3</v>
      </c>
    </row>
    <row r="87" spans="2:29" x14ac:dyDescent="0.3">
      <c r="B87" s="2572" t="s">
        <v>86</v>
      </c>
      <c r="C87" s="2573">
        <v>1</v>
      </c>
      <c r="D87" s="2736">
        <v>2</v>
      </c>
      <c r="E87" s="2737">
        <f t="shared" ref="E87:E89" si="41">SUM(C87:D87)</f>
        <v>3</v>
      </c>
      <c r="F87" s="2573">
        <v>1</v>
      </c>
      <c r="G87" s="2736"/>
      <c r="H87" s="2737">
        <f t="shared" ref="H87:H93" si="42">SUM(F87:G87)</f>
        <v>1</v>
      </c>
      <c r="I87" s="2573"/>
      <c r="J87" s="2736"/>
      <c r="K87" s="2737"/>
      <c r="L87" s="2573">
        <v>3</v>
      </c>
      <c r="M87" s="2736">
        <v>3</v>
      </c>
      <c r="N87" s="2737">
        <f t="shared" si="29"/>
        <v>6</v>
      </c>
      <c r="O87" s="2573"/>
      <c r="P87" s="2736"/>
      <c r="Q87" s="2737"/>
      <c r="R87" s="2573"/>
      <c r="S87" s="2736">
        <v>1</v>
      </c>
      <c r="T87" s="2737">
        <f t="shared" si="31"/>
        <v>1</v>
      </c>
      <c r="U87" s="2573">
        <v>1</v>
      </c>
      <c r="V87" s="2736">
        <v>1</v>
      </c>
      <c r="W87" s="2737">
        <f t="shared" si="32"/>
        <v>2</v>
      </c>
      <c r="X87" s="2573"/>
      <c r="Y87" s="2736"/>
      <c r="Z87" s="2737"/>
      <c r="AA87" s="2573"/>
      <c r="AB87" s="2736"/>
      <c r="AC87" s="2737"/>
    </row>
    <row r="88" spans="2:29" ht="15" customHeight="1" x14ac:dyDescent="0.3">
      <c r="B88" s="2572" t="s">
        <v>97</v>
      </c>
      <c r="C88" s="2573"/>
      <c r="D88" s="2736"/>
      <c r="E88" s="2737"/>
      <c r="F88" s="2573"/>
      <c r="G88" s="2736"/>
      <c r="H88" s="2737"/>
      <c r="I88" s="2573"/>
      <c r="J88" s="2736"/>
      <c r="K88" s="2737"/>
      <c r="L88" s="2573"/>
      <c r="M88" s="2736"/>
      <c r="N88" s="2737"/>
      <c r="O88" s="2573"/>
      <c r="P88" s="2736"/>
      <c r="Q88" s="2737"/>
      <c r="R88" s="2573"/>
      <c r="S88" s="2736"/>
      <c r="T88" s="2737"/>
      <c r="U88" s="2573"/>
      <c r="V88" s="2736"/>
      <c r="W88" s="2737"/>
      <c r="X88" s="2573"/>
      <c r="Y88" s="2736"/>
      <c r="Z88" s="2737"/>
      <c r="AA88" s="2573"/>
      <c r="AB88" s="2736"/>
      <c r="AC88" s="2737"/>
    </row>
    <row r="89" spans="2:29" x14ac:dyDescent="0.3">
      <c r="B89" s="2572" t="s">
        <v>98</v>
      </c>
      <c r="C89" s="2573"/>
      <c r="D89" s="2736">
        <v>1</v>
      </c>
      <c r="E89" s="2737">
        <f t="shared" si="41"/>
        <v>1</v>
      </c>
      <c r="F89" s="2573"/>
      <c r="G89" s="2736"/>
      <c r="H89" s="2737"/>
      <c r="I89" s="2573"/>
      <c r="J89" s="2736"/>
      <c r="K89" s="2737"/>
      <c r="L89" s="2573"/>
      <c r="M89" s="2736"/>
      <c r="N89" s="2737"/>
      <c r="O89" s="2573"/>
      <c r="P89" s="2736"/>
      <c r="Q89" s="2737"/>
      <c r="R89" s="2573"/>
      <c r="S89" s="2736"/>
      <c r="T89" s="2737"/>
      <c r="U89" s="2573"/>
      <c r="V89" s="2736"/>
      <c r="W89" s="2737"/>
      <c r="X89" s="2573"/>
      <c r="Y89" s="2736"/>
      <c r="Z89" s="2737"/>
      <c r="AA89" s="2573"/>
      <c r="AB89" s="2736"/>
      <c r="AC89" s="2737"/>
    </row>
    <row r="90" spans="2:29" ht="15" customHeight="1" x14ac:dyDescent="0.3">
      <c r="B90" s="2572" t="s">
        <v>102</v>
      </c>
      <c r="C90" s="2573"/>
      <c r="D90" s="2736"/>
      <c r="E90" s="2737"/>
      <c r="F90" s="2573"/>
      <c r="G90" s="2736"/>
      <c r="H90" s="2737"/>
      <c r="I90" s="2573"/>
      <c r="J90" s="2736"/>
      <c r="K90" s="2737"/>
      <c r="L90" s="2573"/>
      <c r="M90" s="2736"/>
      <c r="N90" s="2737"/>
      <c r="O90" s="2573"/>
      <c r="P90" s="2736"/>
      <c r="Q90" s="2737"/>
      <c r="R90" s="2573"/>
      <c r="S90" s="2736"/>
      <c r="T90" s="2737"/>
      <c r="U90" s="2573"/>
      <c r="V90" s="2736"/>
      <c r="W90" s="2737"/>
      <c r="X90" s="2573"/>
      <c r="Y90" s="2736"/>
      <c r="Z90" s="2737"/>
      <c r="AA90" s="2573"/>
      <c r="AB90" s="2736"/>
      <c r="AC90" s="2737"/>
    </row>
    <row r="91" spans="2:29" ht="15" customHeight="1" x14ac:dyDescent="0.3">
      <c r="B91" s="2572" t="s">
        <v>100</v>
      </c>
      <c r="C91" s="2573"/>
      <c r="D91" s="2736"/>
      <c r="E91" s="2737"/>
      <c r="F91" s="2573">
        <v>1</v>
      </c>
      <c r="G91" s="2736">
        <v>1</v>
      </c>
      <c r="H91" s="2737">
        <f t="shared" si="42"/>
        <v>2</v>
      </c>
      <c r="I91" s="2573">
        <v>3</v>
      </c>
      <c r="J91" s="2736">
        <v>2</v>
      </c>
      <c r="K91" s="2737">
        <f t="shared" ref="K91:K93" si="43">SUM(I91:J91)</f>
        <v>5</v>
      </c>
      <c r="L91" s="2573"/>
      <c r="M91" s="2736"/>
      <c r="N91" s="2737"/>
      <c r="O91" s="2573">
        <v>2</v>
      </c>
      <c r="P91" s="2736"/>
      <c r="Q91" s="2737">
        <f t="shared" si="30"/>
        <v>2</v>
      </c>
      <c r="R91" s="2573"/>
      <c r="S91" s="2736"/>
      <c r="T91" s="2737"/>
      <c r="U91" s="2573"/>
      <c r="V91" s="2736"/>
      <c r="W91" s="2737"/>
      <c r="X91" s="2573"/>
      <c r="Y91" s="2736"/>
      <c r="Z91" s="2737"/>
      <c r="AA91" s="2573">
        <v>1</v>
      </c>
      <c r="AB91" s="2736"/>
      <c r="AC91" s="2737">
        <f t="shared" si="40"/>
        <v>1</v>
      </c>
    </row>
    <row r="92" spans="2:29" ht="15" customHeight="1" x14ac:dyDescent="0.3">
      <c r="B92" s="2572" t="s">
        <v>103</v>
      </c>
      <c r="C92" s="2573"/>
      <c r="D92" s="2736"/>
      <c r="E92" s="2737"/>
      <c r="F92" s="2573">
        <v>1</v>
      </c>
      <c r="G92" s="2736">
        <v>1</v>
      </c>
      <c r="H92" s="2737">
        <f t="shared" si="42"/>
        <v>2</v>
      </c>
      <c r="I92" s="2573"/>
      <c r="J92" s="2736"/>
      <c r="K92" s="2737"/>
      <c r="L92" s="2573"/>
      <c r="M92" s="2736"/>
      <c r="N92" s="2737"/>
      <c r="O92" s="2573"/>
      <c r="P92" s="2736"/>
      <c r="Q92" s="2737"/>
      <c r="R92" s="2573"/>
      <c r="S92" s="2736"/>
      <c r="T92" s="2737"/>
      <c r="U92" s="2573"/>
      <c r="V92" s="2736"/>
      <c r="W92" s="2737"/>
      <c r="X92" s="2573"/>
      <c r="Y92" s="2736"/>
      <c r="Z92" s="2737"/>
      <c r="AA92" s="2573"/>
      <c r="AB92" s="2736"/>
      <c r="AC92" s="2737"/>
    </row>
    <row r="93" spans="2:29" ht="15" customHeight="1" x14ac:dyDescent="0.3">
      <c r="B93" s="2572" t="s">
        <v>99</v>
      </c>
      <c r="C93" s="2573"/>
      <c r="D93" s="2736"/>
      <c r="E93" s="2737"/>
      <c r="F93" s="2573">
        <v>2</v>
      </c>
      <c r="G93" s="2736"/>
      <c r="H93" s="2737">
        <f t="shared" si="42"/>
        <v>2</v>
      </c>
      <c r="I93" s="2573">
        <v>2</v>
      </c>
      <c r="J93" s="2736">
        <v>1</v>
      </c>
      <c r="K93" s="2737">
        <f t="shared" si="43"/>
        <v>3</v>
      </c>
      <c r="L93" s="2573"/>
      <c r="M93" s="2736"/>
      <c r="N93" s="2737"/>
      <c r="O93" s="2573"/>
      <c r="P93" s="2736"/>
      <c r="Q93" s="2737"/>
      <c r="R93" s="2573"/>
      <c r="S93" s="2736"/>
      <c r="T93" s="2737"/>
      <c r="U93" s="2573"/>
      <c r="V93" s="2736"/>
      <c r="W93" s="2737"/>
      <c r="X93" s="2573"/>
      <c r="Y93" s="2736"/>
      <c r="Z93" s="2737"/>
      <c r="AA93" s="2573"/>
      <c r="AB93" s="2736"/>
      <c r="AC93" s="2737"/>
    </row>
    <row r="94" spans="2:29" x14ac:dyDescent="0.3">
      <c r="B94" s="2577" t="s">
        <v>92</v>
      </c>
      <c r="C94" s="2578">
        <f t="shared" ref="C94:K94" si="44">SUM(C86:C93)</f>
        <v>1</v>
      </c>
      <c r="D94" s="2738">
        <f t="shared" si="44"/>
        <v>3</v>
      </c>
      <c r="E94" s="2739">
        <f t="shared" si="44"/>
        <v>4</v>
      </c>
      <c r="F94" s="2578">
        <f t="shared" si="44"/>
        <v>5</v>
      </c>
      <c r="G94" s="2738">
        <f t="shared" si="44"/>
        <v>6</v>
      </c>
      <c r="H94" s="2739">
        <f t="shared" si="44"/>
        <v>11</v>
      </c>
      <c r="I94" s="2578">
        <f t="shared" si="44"/>
        <v>6</v>
      </c>
      <c r="J94" s="2738">
        <f t="shared" si="44"/>
        <v>9</v>
      </c>
      <c r="K94" s="2739">
        <f t="shared" si="44"/>
        <v>15</v>
      </c>
      <c r="L94" s="2578">
        <f>SUM(L86:L93)</f>
        <v>5</v>
      </c>
      <c r="M94" s="2738">
        <f>SUM(M86:M93)</f>
        <v>4</v>
      </c>
      <c r="N94" s="2739">
        <f t="shared" si="29"/>
        <v>9</v>
      </c>
      <c r="O94" s="2578">
        <f>SUM(O86:O93)</f>
        <v>3</v>
      </c>
      <c r="P94" s="2738">
        <f>SUM(P86:P93)</f>
        <v>0</v>
      </c>
      <c r="Q94" s="2739">
        <f t="shared" si="30"/>
        <v>3</v>
      </c>
      <c r="R94" s="2578">
        <f>SUM(R86:R93)</f>
        <v>0</v>
      </c>
      <c r="S94" s="2738">
        <f>SUM(S86:S93)</f>
        <v>1</v>
      </c>
      <c r="T94" s="2739">
        <f t="shared" si="31"/>
        <v>1</v>
      </c>
      <c r="U94" s="2578">
        <f>SUM(U86:U93)</f>
        <v>3</v>
      </c>
      <c r="V94" s="2738">
        <f>SUM(V86:V93)</f>
        <v>2</v>
      </c>
      <c r="W94" s="2739">
        <f t="shared" si="32"/>
        <v>5</v>
      </c>
      <c r="X94" s="2578"/>
      <c r="Y94" s="2738"/>
      <c r="Z94" s="2739"/>
      <c r="AA94" s="2578">
        <f>SUM(AA86:AA93)</f>
        <v>3</v>
      </c>
      <c r="AB94" s="2738">
        <f>SUM(AB86:AB93)</f>
        <v>1</v>
      </c>
      <c r="AC94" s="2739">
        <f t="shared" ref="AC94" si="45">SUM(AA94:AB94)</f>
        <v>4</v>
      </c>
    </row>
    <row r="95" spans="2:29" ht="15" customHeight="1" x14ac:dyDescent="0.3">
      <c r="B95" s="2572" t="s">
        <v>65</v>
      </c>
      <c r="C95" s="2573"/>
      <c r="D95" s="2736"/>
      <c r="E95" s="2737"/>
      <c r="F95" s="2573"/>
      <c r="G95" s="2736">
        <v>1</v>
      </c>
      <c r="H95" s="2737">
        <f>SUM(F95:G95)</f>
        <v>1</v>
      </c>
      <c r="I95" s="2573"/>
      <c r="J95" s="2736">
        <v>1</v>
      </c>
      <c r="K95" s="2737">
        <f>SUM(I95:J95)</f>
        <v>1</v>
      </c>
      <c r="L95" s="2573">
        <v>1</v>
      </c>
      <c r="M95" s="2736">
        <v>3</v>
      </c>
      <c r="N95" s="2737">
        <f t="shared" si="29"/>
        <v>4</v>
      </c>
      <c r="O95" s="2573">
        <v>1</v>
      </c>
      <c r="P95" s="2736"/>
      <c r="Q95" s="2737">
        <f t="shared" si="30"/>
        <v>1</v>
      </c>
      <c r="R95" s="2573"/>
      <c r="S95" s="2736"/>
      <c r="T95" s="2737"/>
      <c r="U95" s="2573">
        <v>1</v>
      </c>
      <c r="V95" s="2736"/>
      <c r="W95" s="2737">
        <f t="shared" si="32"/>
        <v>1</v>
      </c>
      <c r="X95" s="2573"/>
      <c r="Y95" s="2736"/>
      <c r="Z95" s="2737"/>
      <c r="AA95" s="2573"/>
      <c r="AB95" s="2736"/>
      <c r="AC95" s="2737"/>
    </row>
    <row r="96" spans="2:29" ht="15" customHeight="1" x14ac:dyDescent="0.3">
      <c r="B96" s="2572" t="s">
        <v>66</v>
      </c>
      <c r="C96" s="2573"/>
      <c r="D96" s="2736"/>
      <c r="E96" s="2737"/>
      <c r="F96" s="2573">
        <v>1</v>
      </c>
      <c r="G96" s="2736"/>
      <c r="H96" s="2737">
        <f>SUM(F96:G96)</f>
        <v>1</v>
      </c>
      <c r="I96" s="2573">
        <v>2</v>
      </c>
      <c r="J96" s="2736">
        <v>1</v>
      </c>
      <c r="K96" s="2737">
        <f>SUM(I96:J96)</f>
        <v>3</v>
      </c>
      <c r="L96" s="2573"/>
      <c r="M96" s="2736"/>
      <c r="N96" s="2737"/>
      <c r="O96" s="2573"/>
      <c r="P96" s="2736"/>
      <c r="Q96" s="2737"/>
      <c r="R96" s="2573"/>
      <c r="S96" s="2736"/>
      <c r="T96" s="2737"/>
      <c r="U96" s="2573"/>
      <c r="V96" s="2736"/>
      <c r="W96" s="2737"/>
      <c r="X96" s="2573"/>
      <c r="Y96" s="2736"/>
      <c r="Z96" s="2737"/>
      <c r="AA96" s="2573"/>
      <c r="AB96" s="2736"/>
      <c r="AC96" s="2737"/>
    </row>
    <row r="97" spans="1:29" ht="15" customHeight="1" x14ac:dyDescent="0.3">
      <c r="B97" s="2572" t="s">
        <v>67</v>
      </c>
      <c r="C97" s="2573"/>
      <c r="D97" s="2736"/>
      <c r="E97" s="2737"/>
      <c r="F97" s="2573">
        <v>4</v>
      </c>
      <c r="G97" s="2736">
        <v>1</v>
      </c>
      <c r="H97" s="2737">
        <f>SUM(F97:G97)</f>
        <v>5</v>
      </c>
      <c r="I97" s="2573">
        <v>1</v>
      </c>
      <c r="J97" s="2736"/>
      <c r="K97" s="2737">
        <f>SUM(I97:J97)</f>
        <v>1</v>
      </c>
      <c r="L97" s="2573"/>
      <c r="M97" s="2736">
        <v>2</v>
      </c>
      <c r="N97" s="2737">
        <f t="shared" si="29"/>
        <v>2</v>
      </c>
      <c r="O97" s="2573">
        <v>2</v>
      </c>
      <c r="P97" s="2736">
        <v>3</v>
      </c>
      <c r="Q97" s="2737">
        <f t="shared" si="30"/>
        <v>5</v>
      </c>
      <c r="R97" s="2573"/>
      <c r="S97" s="2736"/>
      <c r="T97" s="2737"/>
      <c r="U97" s="2573"/>
      <c r="V97" s="2736"/>
      <c r="W97" s="2737"/>
      <c r="X97" s="2573"/>
      <c r="Y97" s="2736"/>
      <c r="Z97" s="2737"/>
      <c r="AA97" s="2573"/>
      <c r="AB97" s="2736"/>
      <c r="AC97" s="2737"/>
    </row>
    <row r="98" spans="1:29" ht="15" customHeight="1" x14ac:dyDescent="0.3">
      <c r="B98" s="2572" t="s">
        <v>104</v>
      </c>
      <c r="C98" s="2573"/>
      <c r="D98" s="2736"/>
      <c r="E98" s="2737"/>
      <c r="F98" s="2573">
        <v>4</v>
      </c>
      <c r="G98" s="2736">
        <v>2</v>
      </c>
      <c r="H98" s="2737">
        <f>SUM(F98:G98)</f>
        <v>6</v>
      </c>
      <c r="I98" s="2573"/>
      <c r="J98" s="2736"/>
      <c r="K98" s="2737"/>
      <c r="L98" s="2573"/>
      <c r="M98" s="2736"/>
      <c r="N98" s="2737"/>
      <c r="O98" s="2573"/>
      <c r="P98" s="2736"/>
      <c r="Q98" s="2737"/>
      <c r="R98" s="2573"/>
      <c r="S98" s="2736"/>
      <c r="T98" s="2737"/>
      <c r="U98" s="2573"/>
      <c r="V98" s="2736"/>
      <c r="W98" s="2737"/>
      <c r="X98" s="2573"/>
      <c r="Y98" s="2736"/>
      <c r="Z98" s="2737"/>
      <c r="AA98" s="2573"/>
      <c r="AB98" s="2736"/>
      <c r="AC98" s="2737"/>
    </row>
    <row r="99" spans="1:29" ht="15" customHeight="1" x14ac:dyDescent="0.3">
      <c r="B99" s="2577" t="s">
        <v>68</v>
      </c>
      <c r="C99" s="2611">
        <f t="shared" ref="C99:K99" si="46">SUM(C95:C98)</f>
        <v>0</v>
      </c>
      <c r="D99" s="2752">
        <f t="shared" si="46"/>
        <v>0</v>
      </c>
      <c r="E99" s="2753">
        <f t="shared" si="46"/>
        <v>0</v>
      </c>
      <c r="F99" s="2611">
        <f t="shared" si="46"/>
        <v>9</v>
      </c>
      <c r="G99" s="2752">
        <f t="shared" si="46"/>
        <v>4</v>
      </c>
      <c r="H99" s="2753">
        <f t="shared" si="46"/>
        <v>13</v>
      </c>
      <c r="I99" s="2611">
        <f t="shared" si="46"/>
        <v>3</v>
      </c>
      <c r="J99" s="2752">
        <f t="shared" si="46"/>
        <v>2</v>
      </c>
      <c r="K99" s="2753">
        <f t="shared" si="46"/>
        <v>5</v>
      </c>
      <c r="L99" s="2611">
        <f>SUM(L95:L98)</f>
        <v>1</v>
      </c>
      <c r="M99" s="2752">
        <f>SUM(M95:M98)</f>
        <v>5</v>
      </c>
      <c r="N99" s="2753">
        <f t="shared" si="29"/>
        <v>6</v>
      </c>
      <c r="O99" s="2611">
        <f>SUM(O95:O98)</f>
        <v>3</v>
      </c>
      <c r="P99" s="2752">
        <f>SUM(P95:P98)</f>
        <v>3</v>
      </c>
      <c r="Q99" s="2753">
        <f t="shared" si="30"/>
        <v>6</v>
      </c>
      <c r="R99" s="2611">
        <f>SUM(R95:R98)</f>
        <v>0</v>
      </c>
      <c r="S99" s="2752">
        <f>SUM(S95:S98)</f>
        <v>0</v>
      </c>
      <c r="T99" s="2753">
        <f t="shared" si="31"/>
        <v>0</v>
      </c>
      <c r="U99" s="2611">
        <f>SUM(U95:U98)</f>
        <v>1</v>
      </c>
      <c r="V99" s="2752">
        <f>SUM(V95:V98)</f>
        <v>0</v>
      </c>
      <c r="W99" s="2753">
        <f t="shared" si="32"/>
        <v>1</v>
      </c>
      <c r="X99" s="2611"/>
      <c r="Y99" s="2752"/>
      <c r="Z99" s="2753"/>
      <c r="AA99" s="2611">
        <f>SUM(AA95:AA98)</f>
        <v>0</v>
      </c>
      <c r="AB99" s="2752">
        <f>SUM(AB95:AB98)</f>
        <v>0</v>
      </c>
      <c r="AC99" s="2753">
        <f t="shared" ref="AC99:AC100" si="47">SUM(AA99:AB99)</f>
        <v>0</v>
      </c>
    </row>
    <row r="100" spans="1:29" x14ac:dyDescent="0.3">
      <c r="B100" s="2729" t="s">
        <v>105</v>
      </c>
      <c r="C100" s="2729">
        <f t="shared" ref="C100:H100" si="48">C99+C94+C85</f>
        <v>2</v>
      </c>
      <c r="D100" s="2754">
        <f t="shared" si="48"/>
        <v>3</v>
      </c>
      <c r="E100" s="2755">
        <f t="shared" si="48"/>
        <v>5</v>
      </c>
      <c r="F100" s="2729">
        <f t="shared" si="48"/>
        <v>17</v>
      </c>
      <c r="G100" s="2754">
        <f t="shared" si="48"/>
        <v>12</v>
      </c>
      <c r="H100" s="2755">
        <f t="shared" si="48"/>
        <v>29</v>
      </c>
      <c r="I100" s="2729">
        <f>I99+I94+I85</f>
        <v>12</v>
      </c>
      <c r="J100" s="2754">
        <f>J99+J94+J85</f>
        <v>11</v>
      </c>
      <c r="K100" s="2755">
        <f>K99+K94+K85</f>
        <v>23</v>
      </c>
      <c r="L100" s="2729">
        <f>L99+L94+L85</f>
        <v>6</v>
      </c>
      <c r="M100" s="2754">
        <f>M99+M94+M85</f>
        <v>11</v>
      </c>
      <c r="N100" s="2755">
        <f t="shared" si="29"/>
        <v>17</v>
      </c>
      <c r="O100" s="2729">
        <f>O99+O94+O85</f>
        <v>8</v>
      </c>
      <c r="P100" s="2754">
        <f>P99+P94+P85</f>
        <v>3</v>
      </c>
      <c r="Q100" s="2755">
        <f t="shared" si="30"/>
        <v>11</v>
      </c>
      <c r="R100" s="2729">
        <f>R99+R94+R85</f>
        <v>0</v>
      </c>
      <c r="S100" s="2754">
        <f>S99+S94+S85</f>
        <v>1</v>
      </c>
      <c r="T100" s="2755">
        <f t="shared" si="31"/>
        <v>1</v>
      </c>
      <c r="U100" s="2729">
        <f>U99+U94+U85</f>
        <v>5</v>
      </c>
      <c r="V100" s="2754">
        <f>V99+V94+V85</f>
        <v>4</v>
      </c>
      <c r="W100" s="2755">
        <f t="shared" si="32"/>
        <v>9</v>
      </c>
      <c r="X100" s="2729"/>
      <c r="Y100" s="2754"/>
      <c r="Z100" s="2755"/>
      <c r="AA100" s="2729">
        <f>AA99+AA94+AA85</f>
        <v>5</v>
      </c>
      <c r="AB100" s="2754">
        <f>AB99+AB94+AB85</f>
        <v>1</v>
      </c>
      <c r="AC100" s="2755">
        <f t="shared" si="47"/>
        <v>6</v>
      </c>
    </row>
    <row r="101" spans="1:29" x14ac:dyDescent="0.3">
      <c r="A101" s="2699"/>
      <c r="B101" s="2699"/>
      <c r="C101" s="2699"/>
      <c r="D101" s="2699"/>
      <c r="E101" s="2699"/>
    </row>
    <row r="102" spans="1:29" x14ac:dyDescent="0.3">
      <c r="B102" s="2732" t="s">
        <v>128</v>
      </c>
      <c r="C102" s="2732">
        <f t="shared" ref="C102:K102" si="49">C100+C78+C70+C40+C25</f>
        <v>23</v>
      </c>
      <c r="D102" s="2692">
        <f t="shared" si="49"/>
        <v>16</v>
      </c>
      <c r="E102" s="2690">
        <f t="shared" si="49"/>
        <v>39</v>
      </c>
      <c r="F102" s="2732">
        <f t="shared" si="49"/>
        <v>60</v>
      </c>
      <c r="G102" s="2692">
        <f t="shared" si="49"/>
        <v>62</v>
      </c>
      <c r="H102" s="2690">
        <f t="shared" si="49"/>
        <v>122</v>
      </c>
      <c r="I102" s="2732">
        <f t="shared" si="49"/>
        <v>79</v>
      </c>
      <c r="J102" s="2692">
        <f t="shared" si="49"/>
        <v>76</v>
      </c>
      <c r="K102" s="2690">
        <f t="shared" si="49"/>
        <v>155</v>
      </c>
      <c r="L102" s="2732">
        <f>L100+L78+L70+L40+L25</f>
        <v>52</v>
      </c>
      <c r="M102" s="2692">
        <f>M100+M78+M70+M40+M25</f>
        <v>55</v>
      </c>
      <c r="N102" s="2690">
        <f t="shared" si="29"/>
        <v>107</v>
      </c>
      <c r="O102" s="2732">
        <f>O100+O78+O70+O40+O25</f>
        <v>87</v>
      </c>
      <c r="P102" s="2692">
        <f>P100+P78+P70+P40+P25</f>
        <v>46</v>
      </c>
      <c r="Q102" s="2690">
        <f t="shared" si="30"/>
        <v>133</v>
      </c>
      <c r="R102" s="2732">
        <f>R100+R78+R70+R40+R25</f>
        <v>28</v>
      </c>
      <c r="S102" s="2756">
        <f>S100+S78+S70+S40+S25</f>
        <v>10</v>
      </c>
      <c r="T102" s="2757">
        <f t="shared" si="31"/>
        <v>38</v>
      </c>
      <c r="U102" s="2732">
        <f>U100+U78+U70+U40+U25</f>
        <v>19</v>
      </c>
      <c r="V102" s="2756">
        <f>V100+V78+V70+V40+V25</f>
        <v>17</v>
      </c>
      <c r="W102" s="2757">
        <f>SUM(U102:V102)</f>
        <v>36</v>
      </c>
      <c r="X102" s="2732"/>
      <c r="Y102" s="2756"/>
      <c r="Z102" s="2757"/>
      <c r="AA102" s="2732">
        <f>AA100+AA78+AA70+AA40+AA25</f>
        <v>18</v>
      </c>
      <c r="AB102" s="2756">
        <f>AB100+AB78+AB70+AB40+AB25</f>
        <v>11</v>
      </c>
      <c r="AC102" s="2757">
        <f>SUM(AA102:AB102)</f>
        <v>29</v>
      </c>
    </row>
    <row r="104" spans="1:29" x14ac:dyDescent="0.3">
      <c r="B104" s="2341" t="s">
        <v>622</v>
      </c>
    </row>
  </sheetData>
  <mergeCells count="10">
    <mergeCell ref="AA3:AC3"/>
    <mergeCell ref="X3:Z3"/>
    <mergeCell ref="R3:T3"/>
    <mergeCell ref="U3:W3"/>
    <mergeCell ref="B3:B4"/>
    <mergeCell ref="C3:E3"/>
    <mergeCell ref="F3:H3"/>
    <mergeCell ref="I3:K3"/>
    <mergeCell ref="L3:N3"/>
    <mergeCell ref="O3:Q3"/>
  </mergeCells>
  <printOptions horizontalCentered="1" verticalCentered="1"/>
  <pageMargins left="0.35433070866141736" right="0.35433070866141736" top="0.39370078740157483" bottom="0.39370078740157483" header="0.51181102362204722" footer="0.51181102362204722"/>
  <pageSetup scale="49" firstPageNumber="111" orientation="landscape" useFirstPageNumber="1" r:id="rId1"/>
  <headerFooter scaleWithDoc="0" alignWithMargins="0">
    <oddFooter>&amp;R&amp;P</oddFooter>
  </headerFooter>
  <rowBreaks count="1" manualBreakCount="1">
    <brk id="70" max="16383" man="1"/>
  </rowBreaks>
  <ignoredErrors>
    <ignoredError sqref="E15:Z15 E20:Z20 F16:S17 E22:G22 F21:M21 E24:Z27 F23:M23 I22:J22 L22:V22 O21:S21 O23:P23 R23:S23 E29:Z29 F28:S28 E34:Z35 F33:S33 E50:Z50 F41:M41 F43:M45 F42:J42 L42:M42 F47:M47 F46:J46 L46:M46 F48:J49 L48:M49 O41:P41 O43:P45 O42:P42 O47:P47 O46:P46 O48:P49 R41:S41 R43:S45 R42:S42 R47:S47 R46:S46 R48:S49 E60:G60 F51:M52 E62:Z62 F61:J61 I60:J60 F54:G59 I56:M56 F53:J53 L53:S53 I54:J55 L54:M55 I58:S58 I57:J57 L57:M57 L61:M61 L60:M60 I59:J59 L59:M59 O51:P52 O56:P56 O54:P55 O57:P57 O61:P61 O60:P60 O59:P59 R51:S52 R56:S56 R54:S55 R57:S57 R61:S61 R60:S60 R59:S59 E65:Z65 F63:Z63 E69:Z72 F68:M68 F66:J67 L66:M67 E64:M64 O64:P64 O68:P68 O66:S66 R64:S64 R68:S68 O67:P67 R67:S67 E74:Z75 F73:V73 E77:Z78 F76:G76 O76:Z76 I76:M76 E85:Z85 F80:S80 F83:M83 F81:J82 L81:M82 E79:M79 O79:P79 O83:S83 O81:P82 F84:J84 L84:M84 R81:S82 R79:S79 O84:P84 R84:S84 E87:J87 F86:S86 E89:G89 F88:G88 E94:Z94 F91:M91 I89:J89 I88:J88 F90:G90 I90:J90 L87:P87 L89:M89 L88:M88 L90:M90 F93:M93 F92:J92 L92:M92 O91:S91 O89:P89 O88:P88 O90:P90 O93:P93 O92:P92 R87:Z87 R89:S89 R88:S88 R90:S90 R93:S93 R92:S92 E99:Z102 F95:S95 F98:J98 L98:M98 F97:S97 F96:M96 O96:P96 O98:P98 R96:S96 R98:S98 F19:S19 F18:M18 R18:S18 U16:V17 U19:V19 U18:V18 X16:Z17 X19:Z19 X18:Z18 U21:V21 U23:V23 X22:Z22 X21:Z21 X23:Z23 U28:Z28 E31:Z31 E30:S30 X30:Z30 U30:V30 U33:Z33 E32:V32 X32:Z32 E38:Z40 E36:S37 U37:Z37 U36:V36 X36:Z36 X41:Z41 X43:Z45 X42:Z42 X47:Z47 X46:Z46 X48:Z49 U53:V53 U58:Z58 U51:V52 U56:V56 U54:V55 U57:V57 U61:V61 U60:V60 U59:V59 X53:Z53 X51:Z52 X56:Z56 X54:Z55 X57:Z57 X61:Z61 X60:Z60 X59:Z59 U64:V64 X66:Z66 X68:Z68 X67:Z67 X64:Z64 X73:Z73 U80:Z80 U83:V83 U81:V82 U79:Z79 U84:V84 X83:Z83 X81:Z82 X84:Z84 U86:Z86 U91:V91 U89:V89 U88:V88 U90:V90 U93:V93 U92:V92 X91:Z91 X89:Z89 X88:Z88 X90:Z90 X93:Z93 X92:Z92 U95:Z95 U97:V97 U96:V96 U98:V98 X97:Z97 X96:Z96 X98:Z98" formula="1"/>
  </ignoredErrors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</sheetPr>
  <dimension ref="A1:AC102"/>
  <sheetViews>
    <sheetView showGridLines="0" zoomScaleNormal="100" workbookViewId="0">
      <pane xSplit="2" ySplit="4" topLeftCell="P5" activePane="bottomRight" state="frozen"/>
      <selection activeCell="Q31" sqref="Q31"/>
      <selection pane="topRight" activeCell="Q31" sqref="Q31"/>
      <selection pane="bottomLeft" activeCell="Q31" sqref="Q31"/>
      <selection pane="bottomRight" activeCell="Q31" sqref="Q31"/>
    </sheetView>
  </sheetViews>
  <sheetFormatPr baseColWidth="10" defaultColWidth="11.44140625" defaultRowHeight="14.4" x14ac:dyDescent="0.25"/>
  <cols>
    <col min="1" max="1" width="2.88671875" style="2563" customWidth="1"/>
    <col min="2" max="2" width="43" style="2563" customWidth="1"/>
    <col min="3" max="4" width="10" style="2563" customWidth="1"/>
    <col min="5" max="5" width="7.88671875" style="2563" customWidth="1"/>
    <col min="6" max="7" width="10" style="2563" customWidth="1"/>
    <col min="8" max="8" width="7.88671875" style="2563" customWidth="1"/>
    <col min="9" max="9" width="8.5546875" style="2563" customWidth="1"/>
    <col min="10" max="10" width="9.44140625" style="2563" customWidth="1"/>
    <col min="11" max="11" width="7.88671875" style="2563" customWidth="1"/>
    <col min="12" max="13" width="9.44140625" style="2563" customWidth="1"/>
    <col min="14" max="14" width="7.88671875" style="2563" customWidth="1"/>
    <col min="15" max="15" width="8.5546875" style="2563" customWidth="1"/>
    <col min="16" max="16" width="9.44140625" style="2563" customWidth="1"/>
    <col min="17" max="17" width="7.88671875" style="2563" customWidth="1"/>
    <col min="18" max="18" width="8.5546875" style="2563" customWidth="1"/>
    <col min="19" max="19" width="9.44140625" style="2563" customWidth="1"/>
    <col min="20" max="20" width="7.88671875" style="2563" customWidth="1"/>
    <col min="21" max="21" width="8.5546875" style="2563" customWidth="1"/>
    <col min="22" max="22" width="9" style="2563" customWidth="1"/>
    <col min="23" max="23" width="7.88671875" style="2563" customWidth="1"/>
    <col min="24" max="24" width="8.44140625" style="2563" customWidth="1"/>
    <col min="25" max="25" width="8.5546875" style="2563" customWidth="1"/>
    <col min="26" max="26" width="5.109375" style="2563" customWidth="1"/>
    <col min="27" max="27" width="8.5546875" style="2563" bestFit="1" customWidth="1"/>
    <col min="28" max="28" width="9.44140625" style="2563" bestFit="1" customWidth="1"/>
    <col min="29" max="29" width="7.88671875" style="2563" customWidth="1"/>
    <col min="30" max="16384" width="11.44140625" style="2563"/>
  </cols>
  <sheetData>
    <row r="1" spans="1:29" ht="72" x14ac:dyDescent="0.25">
      <c r="B1" s="2758" t="s">
        <v>1494</v>
      </c>
      <c r="C1" s="2758"/>
      <c r="D1" s="2758"/>
      <c r="E1" s="2758"/>
    </row>
    <row r="2" spans="1:29" ht="18.600000000000001" customHeight="1" x14ac:dyDescent="0.25">
      <c r="B2" s="4765"/>
      <c r="F2" s="2759"/>
      <c r="G2" s="2759"/>
      <c r="H2" s="2759"/>
    </row>
    <row r="3" spans="1:29" ht="15" customHeight="1" x14ac:dyDescent="0.25">
      <c r="B3" s="6094" t="s">
        <v>624</v>
      </c>
      <c r="C3" s="6101">
        <v>2014</v>
      </c>
      <c r="D3" s="6095"/>
      <c r="E3" s="6097"/>
      <c r="F3" s="6101">
        <v>2015</v>
      </c>
      <c r="G3" s="6095"/>
      <c r="H3" s="6097"/>
      <c r="I3" s="6101">
        <v>2016</v>
      </c>
      <c r="J3" s="6095"/>
      <c r="K3" s="6097"/>
      <c r="L3" s="6095">
        <v>2017</v>
      </c>
      <c r="M3" s="6096"/>
      <c r="N3" s="6097"/>
      <c r="O3" s="6095">
        <v>2018</v>
      </c>
      <c r="P3" s="6096"/>
      <c r="Q3" s="6097"/>
      <c r="R3" s="6095">
        <v>2019</v>
      </c>
      <c r="S3" s="6096"/>
      <c r="T3" s="6097"/>
      <c r="U3" s="6098" t="s">
        <v>674</v>
      </c>
      <c r="V3" s="6099"/>
      <c r="W3" s="6100"/>
      <c r="X3" s="6095">
        <v>2021</v>
      </c>
      <c r="Y3" s="6096"/>
      <c r="Z3" s="6097"/>
      <c r="AA3" s="6095">
        <v>2022</v>
      </c>
      <c r="AB3" s="6096"/>
      <c r="AC3" s="6097"/>
    </row>
    <row r="4" spans="1:29" ht="14.25" customHeight="1" x14ac:dyDescent="0.25">
      <c r="B4" s="6087"/>
      <c r="C4" s="2693" t="s">
        <v>140</v>
      </c>
      <c r="D4" s="2693" t="s">
        <v>141</v>
      </c>
      <c r="E4" s="2760" t="s">
        <v>48</v>
      </c>
      <c r="F4" s="2693" t="s">
        <v>140</v>
      </c>
      <c r="G4" s="2693" t="s">
        <v>141</v>
      </c>
      <c r="H4" s="2760" t="s">
        <v>48</v>
      </c>
      <c r="I4" s="2693" t="s">
        <v>140</v>
      </c>
      <c r="J4" s="2693" t="s">
        <v>141</v>
      </c>
      <c r="K4" s="2760" t="s">
        <v>48</v>
      </c>
      <c r="L4" s="2693" t="s">
        <v>140</v>
      </c>
      <c r="M4" s="2693" t="s">
        <v>141</v>
      </c>
      <c r="N4" s="2760" t="s">
        <v>48</v>
      </c>
      <c r="O4" s="2693" t="s">
        <v>140</v>
      </c>
      <c r="P4" s="2693" t="s">
        <v>141</v>
      </c>
      <c r="Q4" s="2760" t="s">
        <v>48</v>
      </c>
      <c r="R4" s="2693" t="s">
        <v>140</v>
      </c>
      <c r="S4" s="2693" t="s">
        <v>141</v>
      </c>
      <c r="T4" s="2760" t="s">
        <v>48</v>
      </c>
      <c r="U4" s="2693" t="s">
        <v>140</v>
      </c>
      <c r="V4" s="2693" t="s">
        <v>141</v>
      </c>
      <c r="W4" s="2760" t="s">
        <v>48</v>
      </c>
      <c r="X4" s="2693" t="s">
        <v>140</v>
      </c>
      <c r="Y4" s="2693" t="s">
        <v>141</v>
      </c>
      <c r="Z4" s="2760" t="s">
        <v>48</v>
      </c>
      <c r="AA4" s="2693" t="s">
        <v>140</v>
      </c>
      <c r="AB4" s="2693" t="s">
        <v>141</v>
      </c>
      <c r="AC4" s="2760" t="s">
        <v>48</v>
      </c>
    </row>
    <row r="5" spans="1:29" ht="15" customHeight="1" x14ac:dyDescent="0.25">
      <c r="B5" s="2567" t="s">
        <v>629</v>
      </c>
      <c r="C5" s="2568">
        <v>1</v>
      </c>
      <c r="D5" s="2603"/>
      <c r="E5" s="2575">
        <f t="shared" ref="E5:E11" si="0">SUM(C5:D5)</f>
        <v>1</v>
      </c>
      <c r="F5" s="2568"/>
      <c r="G5" s="2603"/>
      <c r="H5" s="2575"/>
      <c r="I5" s="2568">
        <v>1</v>
      </c>
      <c r="J5" s="2603"/>
      <c r="K5" s="2575">
        <f>SUM(I5:J5)</f>
        <v>1</v>
      </c>
      <c r="L5" s="2568"/>
      <c r="M5" s="2603"/>
      <c r="N5" s="2575"/>
      <c r="O5" s="2568"/>
      <c r="P5" s="2603">
        <v>1</v>
      </c>
      <c r="Q5" s="2575">
        <f>SUM(O5:P5)</f>
        <v>1</v>
      </c>
      <c r="R5" s="2568"/>
      <c r="S5" s="2603">
        <v>1</v>
      </c>
      <c r="T5" s="2575">
        <f>SUM(R5:S5)</f>
        <v>1</v>
      </c>
      <c r="U5" s="2568"/>
      <c r="V5" s="2603"/>
      <c r="W5" s="2575"/>
      <c r="X5" s="2568"/>
      <c r="Y5" s="2603"/>
      <c r="Z5" s="2575"/>
      <c r="AA5" s="2568"/>
      <c r="AB5" s="2603"/>
      <c r="AC5" s="2575"/>
    </row>
    <row r="6" spans="1:29" x14ac:dyDescent="0.25">
      <c r="B6" s="2572" t="s">
        <v>630</v>
      </c>
      <c r="C6" s="2573"/>
      <c r="D6" s="2576"/>
      <c r="E6" s="2575"/>
      <c r="F6" s="2573"/>
      <c r="G6" s="2576">
        <v>1</v>
      </c>
      <c r="H6" s="2575">
        <f>SUM(F6:G6)</f>
        <v>1</v>
      </c>
      <c r="I6" s="2573">
        <v>2</v>
      </c>
      <c r="J6" s="2576"/>
      <c r="K6" s="2575">
        <f>SUM(I6:J6)</f>
        <v>2</v>
      </c>
      <c r="L6" s="2573">
        <v>2</v>
      </c>
      <c r="M6" s="2576"/>
      <c r="N6" s="2575">
        <f t="shared" ref="N6:N91" si="1">SUM(L6:M6)</f>
        <v>2</v>
      </c>
      <c r="O6" s="2573">
        <v>1</v>
      </c>
      <c r="P6" s="2576">
        <v>1</v>
      </c>
      <c r="Q6" s="2575">
        <f t="shared" ref="Q6:Q90" si="2">SUM(O6:P6)</f>
        <v>2</v>
      </c>
      <c r="R6" s="2573"/>
      <c r="S6" s="2576">
        <v>1</v>
      </c>
      <c r="T6" s="2575">
        <f t="shared" ref="T6:T90" si="3">SUM(R6:S6)</f>
        <v>1</v>
      </c>
      <c r="U6" s="2573"/>
      <c r="V6" s="2576"/>
      <c r="W6" s="2575"/>
      <c r="X6" s="2573"/>
      <c r="Y6" s="2576"/>
      <c r="Z6" s="2575"/>
      <c r="AA6" s="2573">
        <v>2</v>
      </c>
      <c r="AB6" s="2576"/>
      <c r="AC6" s="2575">
        <f t="shared" ref="AC6:AC14" si="4">SUM(AA6:AB6)</f>
        <v>2</v>
      </c>
    </row>
    <row r="7" spans="1:29" x14ac:dyDescent="0.25">
      <c r="B7" s="2572" t="s">
        <v>631</v>
      </c>
      <c r="C7" s="2573"/>
      <c r="D7" s="2576">
        <v>1</v>
      </c>
      <c r="E7" s="2575">
        <f t="shared" si="0"/>
        <v>1</v>
      </c>
      <c r="F7" s="2573"/>
      <c r="G7" s="2576"/>
      <c r="H7" s="2575"/>
      <c r="I7" s="2573"/>
      <c r="J7" s="2576"/>
      <c r="K7" s="2575"/>
      <c r="L7" s="2573"/>
      <c r="M7" s="2576"/>
      <c r="N7" s="2575"/>
      <c r="O7" s="2573">
        <v>2</v>
      </c>
      <c r="P7" s="2576"/>
      <c r="Q7" s="2575">
        <f t="shared" si="2"/>
        <v>2</v>
      </c>
      <c r="R7" s="2573"/>
      <c r="S7" s="2576"/>
      <c r="T7" s="2575"/>
      <c r="U7" s="2573"/>
      <c r="V7" s="2576"/>
      <c r="W7" s="2575"/>
      <c r="X7" s="2573"/>
      <c r="Y7" s="2576"/>
      <c r="Z7" s="2575"/>
      <c r="AA7" s="2573"/>
      <c r="AB7" s="2576"/>
      <c r="AC7" s="2575"/>
    </row>
    <row r="8" spans="1:29" x14ac:dyDescent="0.25">
      <c r="B8" s="2572" t="s">
        <v>632</v>
      </c>
      <c r="C8" s="2573"/>
      <c r="D8" s="2576">
        <v>1</v>
      </c>
      <c r="E8" s="2575">
        <f t="shared" si="0"/>
        <v>1</v>
      </c>
      <c r="F8" s="2573"/>
      <c r="G8" s="2576">
        <v>1</v>
      </c>
      <c r="H8" s="2575">
        <f>SUM(F8:G8)</f>
        <v>1</v>
      </c>
      <c r="I8" s="2573"/>
      <c r="J8" s="2576"/>
      <c r="K8" s="2575"/>
      <c r="L8" s="2573">
        <v>1</v>
      </c>
      <c r="M8" s="2576"/>
      <c r="N8" s="2575">
        <f t="shared" si="1"/>
        <v>1</v>
      </c>
      <c r="O8" s="2573"/>
      <c r="P8" s="2576"/>
      <c r="Q8" s="2575"/>
      <c r="R8" s="2573"/>
      <c r="S8" s="2576"/>
      <c r="T8" s="2575"/>
      <c r="U8" s="2573"/>
      <c r="V8" s="2576"/>
      <c r="W8" s="2575"/>
      <c r="X8" s="2573"/>
      <c r="Y8" s="2576"/>
      <c r="Z8" s="2575"/>
      <c r="AA8" s="2573"/>
      <c r="AB8" s="2576"/>
      <c r="AC8" s="2575"/>
    </row>
    <row r="9" spans="1:29" x14ac:dyDescent="0.25">
      <c r="B9" s="2572" t="s">
        <v>633</v>
      </c>
      <c r="C9" s="2573"/>
      <c r="D9" s="2576"/>
      <c r="E9" s="2575"/>
      <c r="F9" s="2573"/>
      <c r="G9" s="2576">
        <v>1</v>
      </c>
      <c r="H9" s="2575">
        <f>SUM(F9:G9)</f>
        <v>1</v>
      </c>
      <c r="I9" s="2573"/>
      <c r="J9" s="2576">
        <v>1</v>
      </c>
      <c r="K9" s="2575">
        <f t="shared" ref="K9:K14" si="5">SUM(I9:J9)</f>
        <v>1</v>
      </c>
      <c r="L9" s="2573"/>
      <c r="M9" s="2576"/>
      <c r="N9" s="2575"/>
      <c r="O9" s="2573"/>
      <c r="P9" s="2576"/>
      <c r="Q9" s="2575"/>
      <c r="R9" s="2573"/>
      <c r="S9" s="2576"/>
      <c r="T9" s="2575"/>
      <c r="U9" s="2573"/>
      <c r="V9" s="2576"/>
      <c r="W9" s="2575"/>
      <c r="X9" s="2573"/>
      <c r="Y9" s="2576"/>
      <c r="Z9" s="2575"/>
      <c r="AA9" s="2573"/>
      <c r="AB9" s="2576"/>
      <c r="AC9" s="2575"/>
    </row>
    <row r="10" spans="1:29" x14ac:dyDescent="0.25">
      <c r="B10" s="2572" t="s">
        <v>634</v>
      </c>
      <c r="C10" s="2573"/>
      <c r="D10" s="2576"/>
      <c r="E10" s="2575"/>
      <c r="F10" s="2573"/>
      <c r="G10" s="2576"/>
      <c r="H10" s="2575"/>
      <c r="I10" s="2573"/>
      <c r="J10" s="2576"/>
      <c r="K10" s="2575"/>
      <c r="L10" s="2573"/>
      <c r="M10" s="2576"/>
      <c r="N10" s="2575"/>
      <c r="O10" s="2573"/>
      <c r="P10" s="2576"/>
      <c r="Q10" s="2575"/>
      <c r="R10" s="2573"/>
      <c r="S10" s="2576"/>
      <c r="T10" s="2575"/>
      <c r="U10" s="2573"/>
      <c r="V10" s="2576"/>
      <c r="W10" s="2575"/>
      <c r="X10" s="2573"/>
      <c r="Y10" s="2576"/>
      <c r="Z10" s="2575"/>
      <c r="AA10" s="2573"/>
      <c r="AB10" s="2576"/>
      <c r="AC10" s="2575"/>
    </row>
    <row r="11" spans="1:29" x14ac:dyDescent="0.25">
      <c r="B11" s="2572" t="s">
        <v>635</v>
      </c>
      <c r="C11" s="2573">
        <v>2</v>
      </c>
      <c r="D11" s="2576">
        <v>1</v>
      </c>
      <c r="E11" s="2575">
        <f t="shared" si="0"/>
        <v>3</v>
      </c>
      <c r="F11" s="2573">
        <v>1</v>
      </c>
      <c r="G11" s="2576">
        <v>2</v>
      </c>
      <c r="H11" s="2575">
        <f>SUM(F11:G11)</f>
        <v>3</v>
      </c>
      <c r="I11" s="2573"/>
      <c r="J11" s="2576">
        <v>2</v>
      </c>
      <c r="K11" s="2575">
        <f t="shared" si="5"/>
        <v>2</v>
      </c>
      <c r="L11" s="2573"/>
      <c r="M11" s="2576">
        <v>2</v>
      </c>
      <c r="N11" s="2575">
        <f t="shared" si="1"/>
        <v>2</v>
      </c>
      <c r="O11" s="2573">
        <v>1</v>
      </c>
      <c r="P11" s="2576"/>
      <c r="Q11" s="2575">
        <f t="shared" si="2"/>
        <v>1</v>
      </c>
      <c r="R11" s="2573"/>
      <c r="S11" s="2576"/>
      <c r="T11" s="2575"/>
      <c r="U11" s="2573"/>
      <c r="V11" s="2576"/>
      <c r="W11" s="2575"/>
      <c r="X11" s="2573"/>
      <c r="Y11" s="2576"/>
      <c r="Z11" s="2575"/>
      <c r="AA11" s="2573"/>
      <c r="AB11" s="2576"/>
      <c r="AC11" s="2575"/>
    </row>
    <row r="12" spans="1:29" x14ac:dyDescent="0.25">
      <c r="B12" s="2572" t="s">
        <v>636</v>
      </c>
      <c r="C12" s="2573"/>
      <c r="D12" s="2576"/>
      <c r="E12" s="2575"/>
      <c r="F12" s="2573"/>
      <c r="G12" s="2576"/>
      <c r="H12" s="2575"/>
      <c r="I12" s="2573">
        <v>1</v>
      </c>
      <c r="J12" s="2576"/>
      <c r="K12" s="2575">
        <f t="shared" si="5"/>
        <v>1</v>
      </c>
      <c r="L12" s="2573"/>
      <c r="M12" s="2576"/>
      <c r="N12" s="2575"/>
      <c r="O12" s="2573"/>
      <c r="P12" s="2576"/>
      <c r="Q12" s="2575"/>
      <c r="R12" s="2573"/>
      <c r="S12" s="2576"/>
      <c r="T12" s="2575"/>
      <c r="U12" s="2573"/>
      <c r="V12" s="2576"/>
      <c r="W12" s="2575"/>
      <c r="X12" s="2573"/>
      <c r="Y12" s="2576"/>
      <c r="Z12" s="2575"/>
      <c r="AA12" s="2573"/>
      <c r="AB12" s="2576"/>
      <c r="AC12" s="2575"/>
    </row>
    <row r="13" spans="1:29" x14ac:dyDescent="0.25">
      <c r="B13" s="2572" t="s">
        <v>637</v>
      </c>
      <c r="C13" s="2573"/>
      <c r="D13" s="2576"/>
      <c r="E13" s="2575"/>
      <c r="F13" s="2573"/>
      <c r="G13" s="2576"/>
      <c r="H13" s="2575"/>
      <c r="I13" s="2573">
        <v>1</v>
      </c>
      <c r="J13" s="2576">
        <v>2</v>
      </c>
      <c r="K13" s="2575">
        <f t="shared" si="5"/>
        <v>3</v>
      </c>
      <c r="L13" s="2573"/>
      <c r="M13" s="2576"/>
      <c r="N13" s="2575"/>
      <c r="O13" s="2573"/>
      <c r="P13" s="2576"/>
      <c r="Q13" s="2575"/>
      <c r="R13" s="2573"/>
      <c r="S13" s="2576"/>
      <c r="T13" s="2575"/>
      <c r="U13" s="2573"/>
      <c r="V13" s="2576"/>
      <c r="W13" s="2575"/>
      <c r="X13" s="2573"/>
      <c r="Y13" s="2576"/>
      <c r="Z13" s="2575"/>
      <c r="AA13" s="2573">
        <v>1</v>
      </c>
      <c r="AB13" s="2576"/>
      <c r="AC13" s="2575">
        <f t="shared" si="4"/>
        <v>1</v>
      </c>
    </row>
    <row r="14" spans="1:29" x14ac:dyDescent="0.25">
      <c r="B14" s="2572" t="s">
        <v>638</v>
      </c>
      <c r="C14" s="2573"/>
      <c r="D14" s="2576"/>
      <c r="E14" s="2575"/>
      <c r="F14" s="2573"/>
      <c r="G14" s="2576"/>
      <c r="H14" s="2575"/>
      <c r="I14" s="2573"/>
      <c r="J14" s="2576">
        <v>1</v>
      </c>
      <c r="K14" s="2575">
        <f t="shared" si="5"/>
        <v>1</v>
      </c>
      <c r="L14" s="2573"/>
      <c r="M14" s="2576"/>
      <c r="N14" s="2575"/>
      <c r="O14" s="2573"/>
      <c r="P14" s="2576"/>
      <c r="Q14" s="2575"/>
      <c r="R14" s="2573"/>
      <c r="S14" s="2576"/>
      <c r="T14" s="2575"/>
      <c r="U14" s="2573"/>
      <c r="V14" s="2576"/>
      <c r="W14" s="2575"/>
      <c r="X14" s="2573"/>
      <c r="Y14" s="2576"/>
      <c r="Z14" s="2575"/>
      <c r="AA14" s="2573">
        <v>1</v>
      </c>
      <c r="AB14" s="2576"/>
      <c r="AC14" s="2575">
        <f t="shared" si="4"/>
        <v>1</v>
      </c>
    </row>
    <row r="15" spans="1:29" x14ac:dyDescent="0.25">
      <c r="B15" s="2577" t="s">
        <v>59</v>
      </c>
      <c r="C15" s="2578">
        <f>SUM(C5:C11)</f>
        <v>3</v>
      </c>
      <c r="D15" s="2581">
        <f>SUM(D5:D11)</f>
        <v>3</v>
      </c>
      <c r="E15" s="2580">
        <f>SUM(E5:E11)</f>
        <v>6</v>
      </c>
      <c r="F15" s="2578">
        <f>SUM(F6:F11)</f>
        <v>1</v>
      </c>
      <c r="G15" s="2581">
        <f>SUM(G6:G11)</f>
        <v>5</v>
      </c>
      <c r="H15" s="2580">
        <f>SUM(H6:H11)</f>
        <v>6</v>
      </c>
      <c r="I15" s="2578">
        <f>SUM(I5:I14)</f>
        <v>5</v>
      </c>
      <c r="J15" s="2581">
        <f>SUM(J5:J14)</f>
        <v>6</v>
      </c>
      <c r="K15" s="2580">
        <f>SUM(K5:K14)</f>
        <v>11</v>
      </c>
      <c r="L15" s="2578">
        <f>SUM(L5:L14)</f>
        <v>3</v>
      </c>
      <c r="M15" s="2581">
        <f>SUM(M5:M14)</f>
        <v>2</v>
      </c>
      <c r="N15" s="2580">
        <f t="shared" si="1"/>
        <v>5</v>
      </c>
      <c r="O15" s="2578">
        <f>SUM(O5:O14)</f>
        <v>4</v>
      </c>
      <c r="P15" s="2581">
        <f>SUM(P5:P14)</f>
        <v>2</v>
      </c>
      <c r="Q15" s="2580">
        <f t="shared" si="2"/>
        <v>6</v>
      </c>
      <c r="R15" s="2578">
        <f>SUM(R5:R14)</f>
        <v>0</v>
      </c>
      <c r="S15" s="2581">
        <f>SUM(S5:S14)</f>
        <v>2</v>
      </c>
      <c r="T15" s="2580">
        <f t="shared" si="3"/>
        <v>2</v>
      </c>
      <c r="U15" s="2578"/>
      <c r="V15" s="2581"/>
      <c r="W15" s="2580"/>
      <c r="X15" s="2578"/>
      <c r="Y15" s="2581"/>
      <c r="Z15" s="2580"/>
      <c r="AA15" s="2578">
        <f>SUM(AA5:AA14)</f>
        <v>4</v>
      </c>
      <c r="AB15" s="2581">
        <f>SUM(AB5:AB14)</f>
        <v>0</v>
      </c>
      <c r="AC15" s="2580">
        <f t="shared" ref="AC15:AC19" si="6">SUM(AA15:AB15)</f>
        <v>4</v>
      </c>
    </row>
    <row r="16" spans="1:29" s="2564" customFormat="1" x14ac:dyDescent="0.25">
      <c r="A16" s="2563"/>
      <c r="B16" s="2572" t="s">
        <v>60</v>
      </c>
      <c r="C16" s="2573"/>
      <c r="D16" s="2576">
        <v>1</v>
      </c>
      <c r="E16" s="2575">
        <f>SUM(C16:D16)</f>
        <v>1</v>
      </c>
      <c r="F16" s="2573">
        <v>1</v>
      </c>
      <c r="G16" s="2576"/>
      <c r="H16" s="2575">
        <f>SUM(F16:G16)</f>
        <v>1</v>
      </c>
      <c r="I16" s="2573">
        <v>5</v>
      </c>
      <c r="J16" s="2576">
        <v>1</v>
      </c>
      <c r="K16" s="2575">
        <f>SUM(I16:J16)</f>
        <v>6</v>
      </c>
      <c r="L16" s="2573">
        <v>4</v>
      </c>
      <c r="M16" s="2576"/>
      <c r="N16" s="2575">
        <f t="shared" si="1"/>
        <v>4</v>
      </c>
      <c r="O16" s="2573">
        <v>2</v>
      </c>
      <c r="P16" s="2576">
        <v>1</v>
      </c>
      <c r="Q16" s="2575">
        <f t="shared" si="2"/>
        <v>3</v>
      </c>
      <c r="R16" s="2573">
        <v>1</v>
      </c>
      <c r="S16" s="2576">
        <v>1</v>
      </c>
      <c r="T16" s="2575">
        <f t="shared" si="3"/>
        <v>2</v>
      </c>
      <c r="U16" s="2573"/>
      <c r="V16" s="2576"/>
      <c r="W16" s="2575"/>
      <c r="X16" s="2573"/>
      <c r="Y16" s="2576"/>
      <c r="Z16" s="2575"/>
      <c r="AA16" s="2573"/>
      <c r="AB16" s="2576"/>
      <c r="AC16" s="2575"/>
    </row>
    <row r="17" spans="1:29" s="2564" customFormat="1" x14ac:dyDescent="0.25">
      <c r="A17" s="2563"/>
      <c r="B17" s="2572" t="s">
        <v>61</v>
      </c>
      <c r="C17" s="2573">
        <v>2</v>
      </c>
      <c r="D17" s="2576">
        <v>1</v>
      </c>
      <c r="E17" s="2575">
        <f>SUM(C17:D17)</f>
        <v>3</v>
      </c>
      <c r="F17" s="2573">
        <v>3</v>
      </c>
      <c r="G17" s="2576"/>
      <c r="H17" s="2575">
        <f>SUM(F17:G17)</f>
        <v>3</v>
      </c>
      <c r="I17" s="2573">
        <v>2</v>
      </c>
      <c r="J17" s="2576"/>
      <c r="K17" s="2575">
        <f>SUM(I17:J17)</f>
        <v>2</v>
      </c>
      <c r="L17" s="2573"/>
      <c r="M17" s="2576">
        <v>2</v>
      </c>
      <c r="N17" s="2575">
        <f t="shared" si="1"/>
        <v>2</v>
      </c>
      <c r="O17" s="2573"/>
      <c r="P17" s="2576"/>
      <c r="Q17" s="2575"/>
      <c r="R17" s="2573"/>
      <c r="S17" s="2576"/>
      <c r="T17" s="2575"/>
      <c r="U17" s="2573"/>
      <c r="V17" s="2576"/>
      <c r="W17" s="2575"/>
      <c r="X17" s="2573"/>
      <c r="Y17" s="2576"/>
      <c r="Z17" s="2575"/>
      <c r="AA17" s="2573">
        <v>1</v>
      </c>
      <c r="AB17" s="2576"/>
      <c r="AC17" s="2575">
        <f t="shared" si="6"/>
        <v>1</v>
      </c>
    </row>
    <row r="18" spans="1:29" s="2564" customFormat="1" x14ac:dyDescent="0.25">
      <c r="A18" s="2563"/>
      <c r="B18" s="2572" t="s">
        <v>62</v>
      </c>
      <c r="C18" s="2573"/>
      <c r="D18" s="2576"/>
      <c r="E18" s="2575"/>
      <c r="F18" s="2573"/>
      <c r="G18" s="2576"/>
      <c r="H18" s="2575"/>
      <c r="I18" s="2573"/>
      <c r="J18" s="2576">
        <v>1</v>
      </c>
      <c r="K18" s="2575">
        <f>SUM(I18:J18)</f>
        <v>1</v>
      </c>
      <c r="L18" s="2573"/>
      <c r="M18" s="2576"/>
      <c r="N18" s="2575"/>
      <c r="O18" s="2573"/>
      <c r="P18" s="2576">
        <v>1</v>
      </c>
      <c r="Q18" s="2575">
        <f t="shared" si="2"/>
        <v>1</v>
      </c>
      <c r="R18" s="2573"/>
      <c r="S18" s="2576"/>
      <c r="T18" s="2575"/>
      <c r="U18" s="2573"/>
      <c r="V18" s="2576"/>
      <c r="W18" s="2575"/>
      <c r="X18" s="2573"/>
      <c r="Y18" s="2576"/>
      <c r="Z18" s="2575"/>
      <c r="AA18" s="2573"/>
      <c r="AB18" s="2576">
        <v>1</v>
      </c>
      <c r="AC18" s="2575">
        <f t="shared" si="6"/>
        <v>1</v>
      </c>
    </row>
    <row r="19" spans="1:29" s="2564" customFormat="1" x14ac:dyDescent="0.25">
      <c r="A19" s="2563"/>
      <c r="B19" s="2572" t="s">
        <v>63</v>
      </c>
      <c r="C19" s="2573"/>
      <c r="D19" s="2576"/>
      <c r="E19" s="2575"/>
      <c r="F19" s="2573">
        <v>1</v>
      </c>
      <c r="G19" s="2576"/>
      <c r="H19" s="2575">
        <f>SUM(F19:G19)</f>
        <v>1</v>
      </c>
      <c r="I19" s="2573">
        <v>1</v>
      </c>
      <c r="J19" s="2576"/>
      <c r="K19" s="2575">
        <f>SUM(I19:J19)</f>
        <v>1</v>
      </c>
      <c r="L19" s="2573">
        <v>1</v>
      </c>
      <c r="M19" s="2576">
        <v>1</v>
      </c>
      <c r="N19" s="2575">
        <f t="shared" si="1"/>
        <v>2</v>
      </c>
      <c r="O19" s="2573">
        <v>1</v>
      </c>
      <c r="P19" s="2576"/>
      <c r="Q19" s="2575">
        <f t="shared" si="2"/>
        <v>1</v>
      </c>
      <c r="R19" s="2573"/>
      <c r="S19" s="2576"/>
      <c r="T19" s="2575"/>
      <c r="U19" s="2573"/>
      <c r="V19" s="2576"/>
      <c r="W19" s="2575"/>
      <c r="X19" s="2573"/>
      <c r="Y19" s="2576"/>
      <c r="Z19" s="2575"/>
      <c r="AA19" s="2573">
        <v>1</v>
      </c>
      <c r="AB19" s="2576"/>
      <c r="AC19" s="2575">
        <f t="shared" si="6"/>
        <v>1</v>
      </c>
    </row>
    <row r="20" spans="1:29" x14ac:dyDescent="0.25">
      <c r="B20" s="2577" t="s">
        <v>64</v>
      </c>
      <c r="C20" s="2578">
        <f t="shared" ref="C20:H20" si="7">SUM(C16:C19)</f>
        <v>2</v>
      </c>
      <c r="D20" s="2581">
        <f t="shared" si="7"/>
        <v>2</v>
      </c>
      <c r="E20" s="2580">
        <f t="shared" si="7"/>
        <v>4</v>
      </c>
      <c r="F20" s="2578">
        <f t="shared" si="7"/>
        <v>5</v>
      </c>
      <c r="G20" s="2581">
        <f t="shared" si="7"/>
        <v>0</v>
      </c>
      <c r="H20" s="2580">
        <f t="shared" si="7"/>
        <v>5</v>
      </c>
      <c r="I20" s="2578">
        <f>SUM(I16:I19)</f>
        <v>8</v>
      </c>
      <c r="J20" s="2581">
        <f>SUM(J16:J19)</f>
        <v>2</v>
      </c>
      <c r="K20" s="2580">
        <f>SUM(K16:K19)</f>
        <v>10</v>
      </c>
      <c r="L20" s="2578">
        <f>SUM(L16:L19)</f>
        <v>5</v>
      </c>
      <c r="M20" s="2581">
        <f>SUM(M16:M19)</f>
        <v>3</v>
      </c>
      <c r="N20" s="2580">
        <f t="shared" si="1"/>
        <v>8</v>
      </c>
      <c r="O20" s="2578">
        <f>SUM(O16:O19)</f>
        <v>3</v>
      </c>
      <c r="P20" s="2581">
        <f>SUM(P16:P19)</f>
        <v>2</v>
      </c>
      <c r="Q20" s="2580">
        <f t="shared" si="2"/>
        <v>5</v>
      </c>
      <c r="R20" s="2578">
        <f>SUM(R16:R19)</f>
        <v>1</v>
      </c>
      <c r="S20" s="2581">
        <f>SUM(S16:S19)</f>
        <v>1</v>
      </c>
      <c r="T20" s="2580">
        <f t="shared" si="3"/>
        <v>2</v>
      </c>
      <c r="U20" s="2578"/>
      <c r="V20" s="2581"/>
      <c r="W20" s="2580"/>
      <c r="X20" s="2578"/>
      <c r="Y20" s="2581"/>
      <c r="Z20" s="2580"/>
      <c r="AA20" s="2578">
        <f>SUM(AA16:AA19)</f>
        <v>2</v>
      </c>
      <c r="AB20" s="2581">
        <f>SUM(AB16:AB19)</f>
        <v>1</v>
      </c>
      <c r="AC20" s="2580">
        <f t="shared" ref="AC20" si="8">SUM(AA20:AB20)</f>
        <v>3</v>
      </c>
    </row>
    <row r="21" spans="1:29" s="2564" customFormat="1" x14ac:dyDescent="0.25">
      <c r="A21" s="2563"/>
      <c r="B21" s="2572" t="s">
        <v>65</v>
      </c>
      <c r="C21" s="2573">
        <v>3</v>
      </c>
      <c r="D21" s="2576"/>
      <c r="E21" s="2575">
        <f>SUM(C21:D21)</f>
        <v>3</v>
      </c>
      <c r="F21" s="2573">
        <v>6</v>
      </c>
      <c r="G21" s="2576"/>
      <c r="H21" s="2575">
        <f>SUM(F21:G21)</f>
        <v>6</v>
      </c>
      <c r="I21" s="2573">
        <v>5</v>
      </c>
      <c r="J21" s="2576">
        <v>1</v>
      </c>
      <c r="K21" s="2575">
        <f>SUM(I21:J21)</f>
        <v>6</v>
      </c>
      <c r="L21" s="2573">
        <v>2</v>
      </c>
      <c r="M21" s="2576">
        <v>3</v>
      </c>
      <c r="N21" s="2575">
        <f t="shared" si="1"/>
        <v>5</v>
      </c>
      <c r="O21" s="2573"/>
      <c r="P21" s="2576"/>
      <c r="Q21" s="2575"/>
      <c r="R21" s="2573">
        <v>2</v>
      </c>
      <c r="S21" s="2576">
        <v>1</v>
      </c>
      <c r="T21" s="2575">
        <f t="shared" si="3"/>
        <v>3</v>
      </c>
      <c r="U21" s="2573"/>
      <c r="V21" s="2576"/>
      <c r="W21" s="2575"/>
      <c r="X21" s="2573"/>
      <c r="Y21" s="2576"/>
      <c r="Z21" s="2575"/>
      <c r="AA21" s="2573"/>
      <c r="AB21" s="2576"/>
      <c r="AC21" s="2575"/>
    </row>
    <row r="22" spans="1:29" x14ac:dyDescent="0.25">
      <c r="B22" s="2572" t="s">
        <v>66</v>
      </c>
      <c r="C22" s="2573">
        <v>3</v>
      </c>
      <c r="D22" s="2576"/>
      <c r="E22" s="2575">
        <f>SUM(C22:D22)</f>
        <v>3</v>
      </c>
      <c r="F22" s="2573"/>
      <c r="G22" s="2576"/>
      <c r="H22" s="2575">
        <f>SUM(F22:G22)</f>
        <v>0</v>
      </c>
      <c r="I22" s="2573">
        <v>1</v>
      </c>
      <c r="J22" s="2576">
        <v>1</v>
      </c>
      <c r="K22" s="2575">
        <f>SUM(I22:J22)</f>
        <v>2</v>
      </c>
      <c r="L22" s="2573"/>
      <c r="M22" s="2576">
        <v>1</v>
      </c>
      <c r="N22" s="2575">
        <f t="shared" si="1"/>
        <v>1</v>
      </c>
      <c r="O22" s="2573"/>
      <c r="P22" s="2576">
        <v>1</v>
      </c>
      <c r="Q22" s="2575">
        <f t="shared" si="2"/>
        <v>1</v>
      </c>
      <c r="R22" s="2573"/>
      <c r="S22" s="2576"/>
      <c r="T22" s="2575"/>
      <c r="U22" s="2573"/>
      <c r="V22" s="2576"/>
      <c r="W22" s="2575"/>
      <c r="X22" s="2573"/>
      <c r="Y22" s="2576"/>
      <c r="Z22" s="2575"/>
      <c r="AA22" s="2573"/>
      <c r="AB22" s="2576"/>
      <c r="AC22" s="2575"/>
    </row>
    <row r="23" spans="1:29" s="2564" customFormat="1" x14ac:dyDescent="0.25">
      <c r="A23" s="2563"/>
      <c r="B23" s="2572" t="s">
        <v>67</v>
      </c>
      <c r="C23" s="2573"/>
      <c r="D23" s="2576"/>
      <c r="E23" s="2575"/>
      <c r="F23" s="2573">
        <v>1</v>
      </c>
      <c r="G23" s="2576">
        <v>1</v>
      </c>
      <c r="H23" s="2575">
        <f>SUM(F23:G23)</f>
        <v>2</v>
      </c>
      <c r="I23" s="2573"/>
      <c r="J23" s="2576"/>
      <c r="K23" s="2575"/>
      <c r="L23" s="2573">
        <v>2</v>
      </c>
      <c r="M23" s="2576"/>
      <c r="N23" s="2575">
        <f t="shared" si="1"/>
        <v>2</v>
      </c>
      <c r="O23" s="2573">
        <v>1</v>
      </c>
      <c r="P23" s="2576"/>
      <c r="Q23" s="2575">
        <f t="shared" si="2"/>
        <v>1</v>
      </c>
      <c r="R23" s="2573">
        <v>2</v>
      </c>
      <c r="S23" s="2576"/>
      <c r="T23" s="2575">
        <f t="shared" si="3"/>
        <v>2</v>
      </c>
      <c r="U23" s="2573"/>
      <c r="V23" s="2576"/>
      <c r="W23" s="2575"/>
      <c r="X23" s="2573"/>
      <c r="Y23" s="2576"/>
      <c r="Z23" s="2575"/>
      <c r="AA23" s="2573"/>
      <c r="AB23" s="2576"/>
      <c r="AC23" s="2575"/>
    </row>
    <row r="24" spans="1:29" s="2564" customFormat="1" x14ac:dyDescent="0.25">
      <c r="A24" s="2563"/>
      <c r="B24" s="2577" t="s">
        <v>68</v>
      </c>
      <c r="C24" s="2578">
        <f t="shared" ref="C24:H24" si="9">SUM(C21:C23)</f>
        <v>6</v>
      </c>
      <c r="D24" s="2581">
        <f t="shared" si="9"/>
        <v>0</v>
      </c>
      <c r="E24" s="2580">
        <f t="shared" si="9"/>
        <v>6</v>
      </c>
      <c r="F24" s="2578">
        <f t="shared" si="9"/>
        <v>7</v>
      </c>
      <c r="G24" s="2581">
        <f t="shared" si="9"/>
        <v>1</v>
      </c>
      <c r="H24" s="2580">
        <f t="shared" si="9"/>
        <v>8</v>
      </c>
      <c r="I24" s="2578">
        <f>SUM(I21:I23)</f>
        <v>6</v>
      </c>
      <c r="J24" s="2581">
        <f>SUM(J21:J23)</f>
        <v>2</v>
      </c>
      <c r="K24" s="2580">
        <f>SUM(K21:K23)</f>
        <v>8</v>
      </c>
      <c r="L24" s="2578">
        <f>SUM(L21:L23)</f>
        <v>4</v>
      </c>
      <c r="M24" s="2581">
        <f>SUM(M21:M23)</f>
        <v>4</v>
      </c>
      <c r="N24" s="2580">
        <f t="shared" si="1"/>
        <v>8</v>
      </c>
      <c r="O24" s="2578">
        <f>SUM(O21:O23)</f>
        <v>1</v>
      </c>
      <c r="P24" s="2581">
        <f>SUM(P21:P23)</f>
        <v>1</v>
      </c>
      <c r="Q24" s="2580">
        <f t="shared" si="2"/>
        <v>2</v>
      </c>
      <c r="R24" s="2578">
        <f>SUM(R21:R23)</f>
        <v>4</v>
      </c>
      <c r="S24" s="2581">
        <f>SUM(S21:S23)</f>
        <v>1</v>
      </c>
      <c r="T24" s="2580">
        <f t="shared" si="3"/>
        <v>5</v>
      </c>
      <c r="U24" s="2578"/>
      <c r="V24" s="2581"/>
      <c r="W24" s="2580"/>
      <c r="X24" s="2578"/>
      <c r="Y24" s="2581"/>
      <c r="Z24" s="2580"/>
      <c r="AA24" s="2578">
        <f>SUM(AA21:AA23)</f>
        <v>0</v>
      </c>
      <c r="AB24" s="2581">
        <f>SUM(AB21:AB23)</f>
        <v>0</v>
      </c>
      <c r="AC24" s="2580">
        <f t="shared" ref="AC24:AC25" si="10">SUM(AA24:AB24)</f>
        <v>0</v>
      </c>
    </row>
    <row r="25" spans="1:29" ht="15" customHeight="1" x14ac:dyDescent="0.25">
      <c r="B25" s="2710" t="s">
        <v>69</v>
      </c>
      <c r="C25" s="2710">
        <f t="shared" ref="C25:H25" si="11">C24+C20+C15</f>
        <v>11</v>
      </c>
      <c r="D25" s="2761">
        <f t="shared" si="11"/>
        <v>5</v>
      </c>
      <c r="E25" s="2762">
        <f t="shared" si="11"/>
        <v>16</v>
      </c>
      <c r="F25" s="2710">
        <f t="shared" si="11"/>
        <v>13</v>
      </c>
      <c r="G25" s="2761">
        <f t="shared" si="11"/>
        <v>6</v>
      </c>
      <c r="H25" s="2762">
        <f t="shared" si="11"/>
        <v>19</v>
      </c>
      <c r="I25" s="2710">
        <f>I24+I20+I15</f>
        <v>19</v>
      </c>
      <c r="J25" s="2761">
        <f>J24+J20+J15</f>
        <v>10</v>
      </c>
      <c r="K25" s="2762">
        <f>K24+K20+K15</f>
        <v>29</v>
      </c>
      <c r="L25" s="2710">
        <f>L24+L20+L15</f>
        <v>12</v>
      </c>
      <c r="M25" s="2761">
        <f>M24+M20+M15</f>
        <v>9</v>
      </c>
      <c r="N25" s="2762">
        <f t="shared" si="1"/>
        <v>21</v>
      </c>
      <c r="O25" s="2710">
        <f>O24+O20+O15</f>
        <v>8</v>
      </c>
      <c r="P25" s="2761">
        <f>P24+P20+P15</f>
        <v>5</v>
      </c>
      <c r="Q25" s="2762">
        <f t="shared" si="2"/>
        <v>13</v>
      </c>
      <c r="R25" s="2710">
        <f>R24+R20+R15</f>
        <v>5</v>
      </c>
      <c r="S25" s="2761">
        <f>S24+S20+S15</f>
        <v>4</v>
      </c>
      <c r="T25" s="2762">
        <f t="shared" si="3"/>
        <v>9</v>
      </c>
      <c r="U25" s="2710"/>
      <c r="V25" s="2761"/>
      <c r="W25" s="2762"/>
      <c r="X25" s="2710"/>
      <c r="Y25" s="2761"/>
      <c r="Z25" s="2762"/>
      <c r="AA25" s="2710">
        <f>AA24+AA20+AA15</f>
        <v>6</v>
      </c>
      <c r="AB25" s="2761">
        <f>AB24+AB20+AB15</f>
        <v>1</v>
      </c>
      <c r="AC25" s="2762">
        <f t="shared" si="10"/>
        <v>7</v>
      </c>
    </row>
    <row r="26" spans="1:29" s="2564" customFormat="1" ht="15" customHeight="1" x14ac:dyDescent="0.25">
      <c r="A26" s="2563"/>
      <c r="B26" s="2713" t="s">
        <v>110</v>
      </c>
      <c r="C26" s="2714">
        <v>4</v>
      </c>
      <c r="D26" s="2763">
        <v>1</v>
      </c>
      <c r="E26" s="2764">
        <f>SUM(C26:D26)</f>
        <v>5</v>
      </c>
      <c r="F26" s="2714">
        <v>1</v>
      </c>
      <c r="G26" s="2763"/>
      <c r="H26" s="2764">
        <f>SUM(F26:G26)</f>
        <v>1</v>
      </c>
      <c r="I26" s="2714"/>
      <c r="J26" s="2763">
        <v>1</v>
      </c>
      <c r="K26" s="2764">
        <f>SUM(I26:J26)</f>
        <v>1</v>
      </c>
      <c r="L26" s="2714">
        <v>1</v>
      </c>
      <c r="M26" s="2763">
        <v>1</v>
      </c>
      <c r="N26" s="2764">
        <f t="shared" si="1"/>
        <v>2</v>
      </c>
      <c r="O26" s="2714">
        <v>1</v>
      </c>
      <c r="P26" s="2763"/>
      <c r="Q26" s="2764">
        <f t="shared" si="2"/>
        <v>1</v>
      </c>
      <c r="R26" s="2714"/>
      <c r="S26" s="2763"/>
      <c r="T26" s="2764"/>
      <c r="U26" s="2714"/>
      <c r="V26" s="2763"/>
      <c r="W26" s="2764"/>
      <c r="X26" s="2714"/>
      <c r="Y26" s="2763"/>
      <c r="Z26" s="2764"/>
      <c r="AA26" s="2714"/>
      <c r="AB26" s="2763"/>
      <c r="AC26" s="2764"/>
    </row>
    <row r="27" spans="1:29" s="2564" customFormat="1" ht="15" customHeight="1" x14ac:dyDescent="0.25">
      <c r="A27" s="2563"/>
      <c r="B27" s="2567" t="s">
        <v>108</v>
      </c>
      <c r="C27" s="2568"/>
      <c r="D27" s="2603"/>
      <c r="E27" s="2602"/>
      <c r="F27" s="2568"/>
      <c r="G27" s="2603"/>
      <c r="H27" s="2602"/>
      <c r="I27" s="2568"/>
      <c r="J27" s="2603"/>
      <c r="K27" s="2602"/>
      <c r="L27" s="2568"/>
      <c r="M27" s="2603">
        <v>1</v>
      </c>
      <c r="N27" s="2602">
        <f t="shared" si="1"/>
        <v>1</v>
      </c>
      <c r="O27" s="2568"/>
      <c r="P27" s="2603"/>
      <c r="Q27" s="2602"/>
      <c r="R27" s="2568"/>
      <c r="S27" s="2603"/>
      <c r="T27" s="2602"/>
      <c r="U27" s="2568"/>
      <c r="V27" s="2603"/>
      <c r="W27" s="2602"/>
      <c r="X27" s="2568"/>
      <c r="Y27" s="2603"/>
      <c r="Z27" s="2602"/>
      <c r="AA27" s="2568"/>
      <c r="AB27" s="2603">
        <v>1</v>
      </c>
      <c r="AC27" s="2602">
        <f>SUM(AA27:AB27)</f>
        <v>1</v>
      </c>
    </row>
    <row r="28" spans="1:29" s="2564" customFormat="1" ht="15" customHeight="1" x14ac:dyDescent="0.25">
      <c r="A28" s="2563"/>
      <c r="B28" s="2567" t="s">
        <v>109</v>
      </c>
      <c r="C28" s="2568"/>
      <c r="D28" s="2603"/>
      <c r="E28" s="2602"/>
      <c r="F28" s="2568"/>
      <c r="G28" s="2603"/>
      <c r="H28" s="2602"/>
      <c r="I28" s="2568"/>
      <c r="J28" s="2603">
        <v>1</v>
      </c>
      <c r="K28" s="2602">
        <f>SUM(I28:J28)</f>
        <v>1</v>
      </c>
      <c r="L28" s="2568"/>
      <c r="M28" s="2603"/>
      <c r="N28" s="2602"/>
      <c r="O28" s="2568"/>
      <c r="P28" s="2603"/>
      <c r="Q28" s="2602"/>
      <c r="R28" s="2568"/>
      <c r="S28" s="2603"/>
      <c r="T28" s="2602"/>
      <c r="U28" s="2568"/>
      <c r="V28" s="2603"/>
      <c r="W28" s="2602"/>
      <c r="X28" s="2568"/>
      <c r="Y28" s="2603"/>
      <c r="Z28" s="2602"/>
      <c r="AA28" s="2568"/>
      <c r="AB28" s="2603"/>
      <c r="AC28" s="2602"/>
    </row>
    <row r="29" spans="1:29" x14ac:dyDescent="0.25">
      <c r="B29" s="2577" t="s">
        <v>111</v>
      </c>
      <c r="C29" s="2578">
        <f t="shared" ref="C29:H29" si="12">SUM(C26:C26)</f>
        <v>4</v>
      </c>
      <c r="D29" s="2581">
        <f t="shared" si="12"/>
        <v>1</v>
      </c>
      <c r="E29" s="2580">
        <f t="shared" si="12"/>
        <v>5</v>
      </c>
      <c r="F29" s="2578">
        <f t="shared" si="12"/>
        <v>1</v>
      </c>
      <c r="G29" s="2581">
        <f t="shared" si="12"/>
        <v>0</v>
      </c>
      <c r="H29" s="2580">
        <f t="shared" si="12"/>
        <v>1</v>
      </c>
      <c r="I29" s="2578">
        <f>SUM(I26:I26)</f>
        <v>0</v>
      </c>
      <c r="J29" s="2581">
        <f>SUM(J26:J28)</f>
        <v>2</v>
      </c>
      <c r="K29" s="2580">
        <f>SUM(K26:K28)</f>
        <v>2</v>
      </c>
      <c r="L29" s="2578">
        <f>SUM(L26:L28)</f>
        <v>1</v>
      </c>
      <c r="M29" s="2581">
        <f>SUM(M26:M28)</f>
        <v>2</v>
      </c>
      <c r="N29" s="2580">
        <f t="shared" si="1"/>
        <v>3</v>
      </c>
      <c r="O29" s="2578">
        <f>SUM(O26:O28)</f>
        <v>1</v>
      </c>
      <c r="P29" s="2581">
        <f>SUM(P26:P28)</f>
        <v>0</v>
      </c>
      <c r="Q29" s="2580">
        <f t="shared" si="2"/>
        <v>1</v>
      </c>
      <c r="R29" s="2578">
        <f>SUM(R26:R28)</f>
        <v>0</v>
      </c>
      <c r="S29" s="2581">
        <f>SUM(S26:S28)</f>
        <v>0</v>
      </c>
      <c r="T29" s="2580">
        <f t="shared" si="3"/>
        <v>0</v>
      </c>
      <c r="U29" s="2578"/>
      <c r="V29" s="2581"/>
      <c r="W29" s="2580"/>
      <c r="X29" s="2578"/>
      <c r="Y29" s="2581"/>
      <c r="Z29" s="2580"/>
      <c r="AA29" s="2578">
        <f>SUM(AA26:AA28)</f>
        <v>0</v>
      </c>
      <c r="AB29" s="2581">
        <f>SUM(AB26:AB28)</f>
        <v>1</v>
      </c>
      <c r="AC29" s="2580">
        <f t="shared" ref="AC29" si="13">SUM(AA29:AB29)</f>
        <v>1</v>
      </c>
    </row>
    <row r="30" spans="1:29" x14ac:dyDescent="0.25">
      <c r="B30" s="2572" t="s">
        <v>672</v>
      </c>
      <c r="C30" s="2573">
        <v>1</v>
      </c>
      <c r="D30" s="2576"/>
      <c r="E30" s="2575">
        <f>SUM(C30:D30)</f>
        <v>1</v>
      </c>
      <c r="F30" s="2573"/>
      <c r="G30" s="2576"/>
      <c r="H30" s="2575"/>
      <c r="I30" s="2573"/>
      <c r="J30" s="2576"/>
      <c r="K30" s="2575"/>
      <c r="L30" s="2573"/>
      <c r="M30" s="2576"/>
      <c r="N30" s="2575"/>
      <c r="O30" s="2573"/>
      <c r="P30" s="2576"/>
      <c r="Q30" s="2575"/>
      <c r="R30" s="2573"/>
      <c r="S30" s="2576"/>
      <c r="T30" s="2575"/>
      <c r="U30" s="2573"/>
      <c r="V30" s="2576"/>
      <c r="W30" s="2575"/>
      <c r="X30" s="2573"/>
      <c r="Y30" s="2576"/>
      <c r="Z30" s="2575"/>
      <c r="AA30" s="2573"/>
      <c r="AB30" s="2576"/>
      <c r="AC30" s="2575"/>
    </row>
    <row r="31" spans="1:29" x14ac:dyDescent="0.25">
      <c r="B31" s="2572" t="s">
        <v>114</v>
      </c>
      <c r="C31" s="2573"/>
      <c r="D31" s="2576"/>
      <c r="E31" s="2575"/>
      <c r="F31" s="2573"/>
      <c r="G31" s="2576"/>
      <c r="H31" s="2575"/>
      <c r="I31" s="2573"/>
      <c r="J31" s="2576"/>
      <c r="K31" s="2575"/>
      <c r="L31" s="2573"/>
      <c r="M31" s="2576"/>
      <c r="N31" s="2575"/>
      <c r="O31" s="2573"/>
      <c r="P31" s="2576"/>
      <c r="Q31" s="2575"/>
      <c r="R31" s="2573"/>
      <c r="S31" s="2576"/>
      <c r="T31" s="2575"/>
      <c r="U31" s="2573"/>
      <c r="V31" s="2576"/>
      <c r="W31" s="2575"/>
      <c r="X31" s="2573"/>
      <c r="Y31" s="2576"/>
      <c r="Z31" s="2575"/>
      <c r="AA31" s="2573"/>
      <c r="AB31" s="2576"/>
      <c r="AC31" s="2575"/>
    </row>
    <row r="32" spans="1:29" x14ac:dyDescent="0.25">
      <c r="B32" s="2572" t="s">
        <v>675</v>
      </c>
      <c r="C32" s="2573"/>
      <c r="D32" s="2576"/>
      <c r="E32" s="2575"/>
      <c r="F32" s="2573"/>
      <c r="G32" s="2576"/>
      <c r="H32" s="2575"/>
      <c r="I32" s="2573"/>
      <c r="J32" s="2576"/>
      <c r="K32" s="2575"/>
      <c r="L32" s="2573"/>
      <c r="M32" s="2576">
        <v>1</v>
      </c>
      <c r="N32" s="2575">
        <f t="shared" si="1"/>
        <v>1</v>
      </c>
      <c r="O32" s="2573"/>
      <c r="P32" s="2576"/>
      <c r="Q32" s="2575"/>
      <c r="R32" s="2573"/>
      <c r="S32" s="2576"/>
      <c r="T32" s="2575"/>
      <c r="U32" s="2573"/>
      <c r="V32" s="2576"/>
      <c r="W32" s="2575"/>
      <c r="X32" s="2573"/>
      <c r="Y32" s="2576"/>
      <c r="Z32" s="2575"/>
      <c r="AA32" s="2573"/>
      <c r="AB32" s="2576"/>
      <c r="AC32" s="2575"/>
    </row>
    <row r="33" spans="1:29" x14ac:dyDescent="0.25">
      <c r="B33" s="2572" t="s">
        <v>112</v>
      </c>
      <c r="C33" s="2573"/>
      <c r="D33" s="2576"/>
      <c r="E33" s="2575"/>
      <c r="F33" s="2573">
        <v>2</v>
      </c>
      <c r="G33" s="2576"/>
      <c r="H33" s="2575">
        <f>SUM(F33:G33)</f>
        <v>2</v>
      </c>
      <c r="I33" s="2573"/>
      <c r="J33" s="2576"/>
      <c r="K33" s="2575"/>
      <c r="L33" s="2573"/>
      <c r="M33" s="2576"/>
      <c r="N33" s="2575"/>
      <c r="O33" s="2573"/>
      <c r="P33" s="2576"/>
      <c r="Q33" s="2575"/>
      <c r="R33" s="2573"/>
      <c r="S33" s="2576"/>
      <c r="T33" s="2575"/>
      <c r="U33" s="2573"/>
      <c r="V33" s="2576"/>
      <c r="W33" s="2575"/>
      <c r="X33" s="2573"/>
      <c r="Y33" s="2576"/>
      <c r="Z33" s="2575"/>
      <c r="AA33" s="2573"/>
      <c r="AB33" s="2576"/>
      <c r="AC33" s="2575"/>
    </row>
    <row r="34" spans="1:29" x14ac:dyDescent="0.25">
      <c r="B34" s="2577" t="s">
        <v>115</v>
      </c>
      <c r="C34" s="2578">
        <f>SUM(C30:C33)</f>
        <v>1</v>
      </c>
      <c r="D34" s="2581">
        <f>SUM(D30:D33)</f>
        <v>0</v>
      </c>
      <c r="E34" s="2580">
        <f>SUM(E30:E33)</f>
        <v>1</v>
      </c>
      <c r="F34" s="2578">
        <f t="shared" ref="F34:K34" si="14">SUM(F33:F33)</f>
        <v>2</v>
      </c>
      <c r="G34" s="2581">
        <f t="shared" si="14"/>
        <v>0</v>
      </c>
      <c r="H34" s="2580">
        <f t="shared" si="14"/>
        <v>2</v>
      </c>
      <c r="I34" s="2578">
        <f t="shared" si="14"/>
        <v>0</v>
      </c>
      <c r="J34" s="2581">
        <f t="shared" si="14"/>
        <v>0</v>
      </c>
      <c r="K34" s="2580">
        <f t="shared" si="14"/>
        <v>0</v>
      </c>
      <c r="L34" s="2578">
        <f>SUM(L33:L33)</f>
        <v>0</v>
      </c>
      <c r="M34" s="2581">
        <f>SUM(M30:M33)</f>
        <v>1</v>
      </c>
      <c r="N34" s="2580">
        <f t="shared" si="1"/>
        <v>1</v>
      </c>
      <c r="O34" s="2578">
        <f>SUM(O33:O33)</f>
        <v>0</v>
      </c>
      <c r="P34" s="2581">
        <f>SUM(P30:P33)</f>
        <v>0</v>
      </c>
      <c r="Q34" s="2580">
        <f t="shared" si="2"/>
        <v>0</v>
      </c>
      <c r="R34" s="2578">
        <f>SUM(R33:R33)</f>
        <v>0</v>
      </c>
      <c r="S34" s="2581">
        <f>SUM(S30:S33)</f>
        <v>0</v>
      </c>
      <c r="T34" s="2580">
        <f t="shared" si="3"/>
        <v>0</v>
      </c>
      <c r="U34" s="2578"/>
      <c r="V34" s="2581"/>
      <c r="W34" s="2580"/>
      <c r="X34" s="2578"/>
      <c r="Y34" s="2581"/>
      <c r="Z34" s="2580"/>
      <c r="AA34" s="2578">
        <f>SUM(AA33:AA33)</f>
        <v>0</v>
      </c>
      <c r="AB34" s="2581">
        <f>SUM(AB30:AB33)</f>
        <v>0</v>
      </c>
      <c r="AC34" s="2580">
        <f t="shared" ref="AC34" si="15">SUM(AA34:AB34)</f>
        <v>0</v>
      </c>
    </row>
    <row r="35" spans="1:29" x14ac:dyDescent="0.25">
      <c r="B35" s="2572" t="s">
        <v>60</v>
      </c>
      <c r="C35" s="2573"/>
      <c r="D35" s="2576"/>
      <c r="E35" s="2575"/>
      <c r="F35" s="2573">
        <v>1</v>
      </c>
      <c r="G35" s="2576"/>
      <c r="H35" s="2575">
        <f>SUM(F35:G35)</f>
        <v>1</v>
      </c>
      <c r="I35" s="2573"/>
      <c r="J35" s="2576"/>
      <c r="K35" s="2575"/>
      <c r="L35" s="2573"/>
      <c r="M35" s="2576"/>
      <c r="N35" s="2575"/>
      <c r="O35" s="2573"/>
      <c r="P35" s="2576"/>
      <c r="Q35" s="2575"/>
      <c r="R35" s="2573"/>
      <c r="S35" s="2576"/>
      <c r="T35" s="2575"/>
      <c r="U35" s="2573"/>
      <c r="V35" s="2576"/>
      <c r="W35" s="2575"/>
      <c r="X35" s="2573"/>
      <c r="Y35" s="2576"/>
      <c r="Z35" s="2575"/>
      <c r="AA35" s="2573"/>
      <c r="AB35" s="2576"/>
      <c r="AC35" s="2575"/>
    </row>
    <row r="36" spans="1:29" x14ac:dyDescent="0.25">
      <c r="B36" s="2572" t="s">
        <v>61</v>
      </c>
      <c r="C36" s="2604"/>
      <c r="D36" s="2765"/>
      <c r="E36" s="2575"/>
      <c r="F36" s="2604"/>
      <c r="G36" s="2765"/>
      <c r="H36" s="2575"/>
      <c r="I36" s="2604">
        <v>1</v>
      </c>
      <c r="J36" s="2765"/>
      <c r="K36" s="2575">
        <f>SUM(I36:J36)</f>
        <v>1</v>
      </c>
      <c r="L36" s="2604"/>
      <c r="M36" s="2765"/>
      <c r="N36" s="2575"/>
      <c r="O36" s="2604">
        <v>1</v>
      </c>
      <c r="P36" s="2765"/>
      <c r="Q36" s="2575">
        <f t="shared" si="2"/>
        <v>1</v>
      </c>
      <c r="R36" s="2604"/>
      <c r="S36" s="2765"/>
      <c r="T36" s="2575"/>
      <c r="U36" s="2604"/>
      <c r="V36" s="2765"/>
      <c r="W36" s="2575"/>
      <c r="X36" s="2604"/>
      <c r="Y36" s="2765"/>
      <c r="Z36" s="2575"/>
      <c r="AA36" s="2604">
        <v>1</v>
      </c>
      <c r="AB36" s="2765"/>
      <c r="AC36" s="2575">
        <f>SUM(AA36:AB36)</f>
        <v>1</v>
      </c>
    </row>
    <row r="37" spans="1:29" x14ac:dyDescent="0.25">
      <c r="B37" s="2572" t="s">
        <v>106</v>
      </c>
      <c r="C37" s="2604"/>
      <c r="D37" s="2765"/>
      <c r="E37" s="2575"/>
      <c r="F37" s="2604"/>
      <c r="G37" s="2765"/>
      <c r="H37" s="2575"/>
      <c r="I37" s="2604"/>
      <c r="J37" s="2765"/>
      <c r="K37" s="2575"/>
      <c r="L37" s="2604"/>
      <c r="M37" s="2765">
        <v>2</v>
      </c>
      <c r="N37" s="2575">
        <f t="shared" si="1"/>
        <v>2</v>
      </c>
      <c r="O37" s="2604"/>
      <c r="P37" s="2765"/>
      <c r="Q37" s="2575"/>
      <c r="R37" s="2604"/>
      <c r="S37" s="2765"/>
      <c r="T37" s="2575"/>
      <c r="U37" s="2604"/>
      <c r="V37" s="2765"/>
      <c r="W37" s="2575"/>
      <c r="X37" s="2604"/>
      <c r="Y37" s="2765"/>
      <c r="Z37" s="2575"/>
      <c r="AA37" s="2604"/>
      <c r="AB37" s="2765"/>
      <c r="AC37" s="2575"/>
    </row>
    <row r="38" spans="1:29" x14ac:dyDescent="0.25">
      <c r="B38" s="2572" t="s">
        <v>676</v>
      </c>
      <c r="C38" s="2604"/>
      <c r="D38" s="2765"/>
      <c r="E38" s="2575"/>
      <c r="F38" s="2604"/>
      <c r="G38" s="2765"/>
      <c r="H38" s="2575"/>
      <c r="I38" s="2604"/>
      <c r="J38" s="2765">
        <v>1</v>
      </c>
      <c r="K38" s="2575">
        <f>SUM(I38:J38)</f>
        <v>1</v>
      </c>
      <c r="L38" s="2604">
        <v>1</v>
      </c>
      <c r="M38" s="2765">
        <v>1</v>
      </c>
      <c r="N38" s="2575">
        <f t="shared" si="1"/>
        <v>2</v>
      </c>
      <c r="O38" s="2604"/>
      <c r="P38" s="2765"/>
      <c r="Q38" s="2575"/>
      <c r="R38" s="2604"/>
      <c r="S38" s="2765"/>
      <c r="T38" s="2575"/>
      <c r="U38" s="2604"/>
      <c r="V38" s="2765"/>
      <c r="W38" s="2575"/>
      <c r="X38" s="2604"/>
      <c r="Y38" s="2765"/>
      <c r="Z38" s="2575"/>
      <c r="AA38" s="2604"/>
      <c r="AB38" s="2765"/>
      <c r="AC38" s="2575"/>
    </row>
    <row r="39" spans="1:29" x14ac:dyDescent="0.25">
      <c r="B39" s="2577" t="s">
        <v>64</v>
      </c>
      <c r="C39" s="2582">
        <f t="shared" ref="C39:H39" si="16">SUM(C35:C35)</f>
        <v>0</v>
      </c>
      <c r="D39" s="2585">
        <f t="shared" si="16"/>
        <v>0</v>
      </c>
      <c r="E39" s="2584">
        <f t="shared" si="16"/>
        <v>0</v>
      </c>
      <c r="F39" s="2582">
        <f t="shared" si="16"/>
        <v>1</v>
      </c>
      <c r="G39" s="2585">
        <f t="shared" si="16"/>
        <v>0</v>
      </c>
      <c r="H39" s="2584">
        <f t="shared" si="16"/>
        <v>1</v>
      </c>
      <c r="I39" s="2582">
        <f>SUM(I35:I38)</f>
        <v>1</v>
      </c>
      <c r="J39" s="2585">
        <f>SUM(J35:J38)</f>
        <v>1</v>
      </c>
      <c r="K39" s="2584">
        <f>SUM(K35:K38)</f>
        <v>2</v>
      </c>
      <c r="L39" s="2582">
        <f>SUM(L35:L38)</f>
        <v>1</v>
      </c>
      <c r="M39" s="2585">
        <f>SUM(M35:M38)</f>
        <v>3</v>
      </c>
      <c r="N39" s="2584">
        <f t="shared" si="1"/>
        <v>4</v>
      </c>
      <c r="O39" s="2582">
        <f>SUM(O35:O38)</f>
        <v>1</v>
      </c>
      <c r="P39" s="2585">
        <f>SUM(P35:P38)</f>
        <v>0</v>
      </c>
      <c r="Q39" s="2584">
        <f t="shared" si="2"/>
        <v>1</v>
      </c>
      <c r="R39" s="2582">
        <f>SUM(R35:R38)</f>
        <v>0</v>
      </c>
      <c r="S39" s="2585">
        <f>SUM(S35:S38)</f>
        <v>0</v>
      </c>
      <c r="T39" s="2584">
        <f t="shared" si="3"/>
        <v>0</v>
      </c>
      <c r="U39" s="2582"/>
      <c r="V39" s="2585"/>
      <c r="W39" s="2584"/>
      <c r="X39" s="2582"/>
      <c r="Y39" s="2585"/>
      <c r="Z39" s="2584"/>
      <c r="AA39" s="2582">
        <f>SUM(AA35:AA38)</f>
        <v>1</v>
      </c>
      <c r="AB39" s="2585">
        <f>SUM(AB35:AB38)</f>
        <v>0</v>
      </c>
      <c r="AC39" s="2584">
        <f t="shared" ref="AC39:AC40" si="17">SUM(AA39:AB39)</f>
        <v>1</v>
      </c>
    </row>
    <row r="40" spans="1:29" x14ac:dyDescent="0.25">
      <c r="B40" s="2717" t="s">
        <v>116</v>
      </c>
      <c r="C40" s="2717">
        <f t="shared" ref="C40:H40" si="18">C39+C34+C29</f>
        <v>5</v>
      </c>
      <c r="D40" s="2766">
        <f t="shared" si="18"/>
        <v>1</v>
      </c>
      <c r="E40" s="2767">
        <f t="shared" si="18"/>
        <v>6</v>
      </c>
      <c r="F40" s="2717">
        <f t="shared" si="18"/>
        <v>4</v>
      </c>
      <c r="G40" s="2766">
        <f t="shared" si="18"/>
        <v>0</v>
      </c>
      <c r="H40" s="2767">
        <f t="shared" si="18"/>
        <v>4</v>
      </c>
      <c r="I40" s="2717">
        <f>I39+I34+I29</f>
        <v>1</v>
      </c>
      <c r="J40" s="2766">
        <f>J39+J34+J29</f>
        <v>3</v>
      </c>
      <c r="K40" s="2767">
        <f>K39+K34+K29</f>
        <v>4</v>
      </c>
      <c r="L40" s="2717">
        <f>L39+L34+L29</f>
        <v>2</v>
      </c>
      <c r="M40" s="2766">
        <f>M39+M34+M29</f>
        <v>6</v>
      </c>
      <c r="N40" s="2767">
        <f t="shared" si="1"/>
        <v>8</v>
      </c>
      <c r="O40" s="2717">
        <f>O39+O34+O29</f>
        <v>2</v>
      </c>
      <c r="P40" s="2766">
        <f>P39+P34+P29</f>
        <v>0</v>
      </c>
      <c r="Q40" s="2767">
        <f t="shared" si="2"/>
        <v>2</v>
      </c>
      <c r="R40" s="2717">
        <f>R39+R34+R29</f>
        <v>0</v>
      </c>
      <c r="S40" s="2766">
        <f>S39+S34+S29</f>
        <v>0</v>
      </c>
      <c r="T40" s="2767">
        <f t="shared" si="3"/>
        <v>0</v>
      </c>
      <c r="U40" s="2717"/>
      <c r="V40" s="2766"/>
      <c r="W40" s="2767"/>
      <c r="X40" s="2717"/>
      <c r="Y40" s="2766"/>
      <c r="Z40" s="2767"/>
      <c r="AA40" s="2717">
        <f>AA39+AA34+AA29</f>
        <v>1</v>
      </c>
      <c r="AB40" s="2766">
        <f>AB39+AB34+AB29</f>
        <v>1</v>
      </c>
      <c r="AC40" s="2767">
        <f t="shared" si="17"/>
        <v>2</v>
      </c>
    </row>
    <row r="41" spans="1:29" x14ac:dyDescent="0.25">
      <c r="B41" s="4689" t="s">
        <v>77</v>
      </c>
      <c r="C41" s="2568"/>
      <c r="D41" s="2603"/>
      <c r="E41" s="2602"/>
      <c r="F41" s="2568"/>
      <c r="G41" s="2603"/>
      <c r="H41" s="2602"/>
      <c r="I41" s="2568"/>
      <c r="J41" s="2603"/>
      <c r="K41" s="2602"/>
      <c r="L41" s="2568"/>
      <c r="M41" s="2603"/>
      <c r="N41" s="2602"/>
      <c r="O41" s="2568"/>
      <c r="P41" s="2603"/>
      <c r="Q41" s="2602"/>
      <c r="R41" s="2568"/>
      <c r="S41" s="2603"/>
      <c r="T41" s="2602"/>
      <c r="U41" s="2568"/>
      <c r="V41" s="2603"/>
      <c r="W41" s="2602"/>
      <c r="X41" s="2568"/>
      <c r="Y41" s="2603"/>
      <c r="Z41" s="2575"/>
      <c r="AA41" s="2568"/>
      <c r="AB41" s="2603"/>
      <c r="AC41" s="2602"/>
    </row>
    <row r="42" spans="1:29" ht="15" customHeight="1" x14ac:dyDescent="0.25">
      <c r="B42" s="2769" t="s">
        <v>73</v>
      </c>
      <c r="C42" s="2573"/>
      <c r="D42" s="2576"/>
      <c r="E42" s="2575"/>
      <c r="F42" s="2573"/>
      <c r="G42" s="2576"/>
      <c r="H42" s="2575"/>
      <c r="I42" s="2573">
        <v>1</v>
      </c>
      <c r="J42" s="2576"/>
      <c r="K42" s="2575">
        <f>SUM(I42:J42)</f>
        <v>1</v>
      </c>
      <c r="L42" s="2573"/>
      <c r="M42" s="2576"/>
      <c r="N42" s="2575"/>
      <c r="O42" s="2573"/>
      <c r="P42" s="2576"/>
      <c r="Q42" s="2575"/>
      <c r="R42" s="2573"/>
      <c r="S42" s="2576"/>
      <c r="T42" s="2575"/>
      <c r="U42" s="2573"/>
      <c r="V42" s="2576"/>
      <c r="W42" s="2575"/>
      <c r="X42" s="2573"/>
      <c r="Y42" s="2576"/>
      <c r="Z42" s="2575"/>
      <c r="AA42" s="2573"/>
      <c r="AB42" s="2576"/>
      <c r="AC42" s="2575"/>
    </row>
    <row r="43" spans="1:29" ht="15" customHeight="1" x14ac:dyDescent="0.25">
      <c r="B43" s="2769" t="s">
        <v>639</v>
      </c>
      <c r="C43" s="2573"/>
      <c r="D43" s="2576"/>
      <c r="E43" s="2575"/>
      <c r="F43" s="2573">
        <v>2</v>
      </c>
      <c r="G43" s="2576"/>
      <c r="H43" s="2575">
        <f>SUM(F43:G43)</f>
        <v>2</v>
      </c>
      <c r="I43" s="2573"/>
      <c r="J43" s="2576">
        <v>1</v>
      </c>
      <c r="K43" s="2575">
        <f>SUM(I43:J43)</f>
        <v>1</v>
      </c>
      <c r="L43" s="2573">
        <v>1</v>
      </c>
      <c r="M43" s="2576"/>
      <c r="N43" s="2575">
        <f t="shared" si="1"/>
        <v>1</v>
      </c>
      <c r="O43" s="2573"/>
      <c r="P43" s="2576"/>
      <c r="Q43" s="2575"/>
      <c r="R43" s="2573"/>
      <c r="S43" s="2576"/>
      <c r="T43" s="2575"/>
      <c r="U43" s="2573"/>
      <c r="V43" s="2576"/>
      <c r="W43" s="2575"/>
      <c r="X43" s="2573"/>
      <c r="Y43" s="2576"/>
      <c r="Z43" s="2575"/>
      <c r="AA43" s="2573"/>
      <c r="AB43" s="2576"/>
      <c r="AC43" s="2575"/>
    </row>
    <row r="44" spans="1:29" ht="15" customHeight="1" x14ac:dyDescent="0.25">
      <c r="B44" s="2572" t="s">
        <v>641</v>
      </c>
      <c r="C44" s="2573"/>
      <c r="D44" s="2576"/>
      <c r="E44" s="2575"/>
      <c r="F44" s="2573"/>
      <c r="G44" s="2576"/>
      <c r="H44" s="2575"/>
      <c r="I44" s="2573"/>
      <c r="J44" s="2576"/>
      <c r="K44" s="2575"/>
      <c r="L44" s="2573"/>
      <c r="M44" s="2576"/>
      <c r="N44" s="2575"/>
      <c r="O44" s="2573"/>
      <c r="P44" s="2576"/>
      <c r="Q44" s="2575"/>
      <c r="R44" s="2573"/>
      <c r="S44" s="2576"/>
      <c r="T44" s="2575"/>
      <c r="U44" s="2573"/>
      <c r="V44" s="2576"/>
      <c r="W44" s="2575"/>
      <c r="X44" s="2573"/>
      <c r="Y44" s="2576"/>
      <c r="Z44" s="2575"/>
      <c r="AA44" s="2573"/>
      <c r="AB44" s="2576"/>
      <c r="AC44" s="2575"/>
    </row>
    <row r="45" spans="1:29" ht="15" customHeight="1" x14ac:dyDescent="0.25">
      <c r="B45" s="2769" t="s">
        <v>74</v>
      </c>
      <c r="C45" s="2573">
        <v>1</v>
      </c>
      <c r="D45" s="2576"/>
      <c r="E45" s="2575">
        <f>SUM(C45:D45)</f>
        <v>1</v>
      </c>
      <c r="F45" s="2573"/>
      <c r="G45" s="2576"/>
      <c r="H45" s="2575"/>
      <c r="I45" s="2573"/>
      <c r="J45" s="2576"/>
      <c r="K45" s="2575"/>
      <c r="L45" s="2573">
        <v>2</v>
      </c>
      <c r="M45" s="2576"/>
      <c r="N45" s="2575">
        <f t="shared" si="1"/>
        <v>2</v>
      </c>
      <c r="O45" s="2573"/>
      <c r="P45" s="2576"/>
      <c r="Q45" s="2575"/>
      <c r="R45" s="2573"/>
      <c r="S45" s="2576"/>
      <c r="T45" s="2575"/>
      <c r="U45" s="2573"/>
      <c r="V45" s="2576"/>
      <c r="W45" s="2575"/>
      <c r="X45" s="2573"/>
      <c r="Y45" s="2576"/>
      <c r="Z45" s="2575"/>
      <c r="AA45" s="2573"/>
      <c r="AB45" s="2576"/>
      <c r="AC45" s="2575"/>
    </row>
    <row r="46" spans="1:29" ht="15" customHeight="1" x14ac:dyDescent="0.25">
      <c r="B46" s="2572" t="s">
        <v>75</v>
      </c>
      <c r="C46" s="2604"/>
      <c r="D46" s="2765"/>
      <c r="E46" s="2606"/>
      <c r="F46" s="2604"/>
      <c r="G46" s="2765"/>
      <c r="H46" s="2606"/>
      <c r="I46" s="2604"/>
      <c r="J46" s="2765"/>
      <c r="K46" s="2606"/>
      <c r="L46" s="2604"/>
      <c r="M46" s="2765"/>
      <c r="N46" s="2606"/>
      <c r="O46" s="2604"/>
      <c r="P46" s="2765"/>
      <c r="Q46" s="2606"/>
      <c r="R46" s="2604"/>
      <c r="S46" s="2765"/>
      <c r="T46" s="2606"/>
      <c r="U46" s="2604"/>
      <c r="V46" s="2765"/>
      <c r="W46" s="2606"/>
      <c r="X46" s="2604"/>
      <c r="Y46" s="2765"/>
      <c r="Z46" s="2575"/>
      <c r="AA46" s="2604"/>
      <c r="AB46" s="2765"/>
      <c r="AC46" s="2606"/>
    </row>
    <row r="47" spans="1:29" s="2564" customFormat="1" ht="15" customHeight="1" x14ac:dyDescent="0.25">
      <c r="A47" s="2563"/>
      <c r="B47" s="2770" t="s">
        <v>59</v>
      </c>
      <c r="C47" s="2582">
        <f t="shared" ref="C47:H47" si="19">SUM(C43:C45)</f>
        <v>1</v>
      </c>
      <c r="D47" s="2585">
        <f t="shared" si="19"/>
        <v>0</v>
      </c>
      <c r="E47" s="2584">
        <f t="shared" si="19"/>
        <v>1</v>
      </c>
      <c r="F47" s="2582">
        <f t="shared" si="19"/>
        <v>2</v>
      </c>
      <c r="G47" s="2585">
        <f t="shared" si="19"/>
        <v>0</v>
      </c>
      <c r="H47" s="2584">
        <f t="shared" si="19"/>
        <v>2</v>
      </c>
      <c r="I47" s="2582">
        <f>SUM(I42:I45)</f>
        <v>1</v>
      </c>
      <c r="J47" s="2585">
        <f>SUM(J43:J45)</f>
        <v>1</v>
      </c>
      <c r="K47" s="2584">
        <f>SUM(K42:K45)</f>
        <v>2</v>
      </c>
      <c r="L47" s="2582">
        <f>SUM(L43:L45)</f>
        <v>3</v>
      </c>
      <c r="M47" s="2585">
        <f>SUM(M42:M45)</f>
        <v>0</v>
      </c>
      <c r="N47" s="2584">
        <f t="shared" si="1"/>
        <v>3</v>
      </c>
      <c r="O47" s="2582">
        <f>SUM(O43:O45)</f>
        <v>0</v>
      </c>
      <c r="P47" s="2585">
        <f>SUM(P42:P45)</f>
        <v>0</v>
      </c>
      <c r="Q47" s="2584">
        <f t="shared" si="2"/>
        <v>0</v>
      </c>
      <c r="R47" s="2582">
        <f>SUM(R43:R45)</f>
        <v>0</v>
      </c>
      <c r="S47" s="2585">
        <f>SUM(S42:S45)</f>
        <v>0</v>
      </c>
      <c r="T47" s="2584">
        <f t="shared" si="3"/>
        <v>0</v>
      </c>
      <c r="U47" s="2582"/>
      <c r="V47" s="2585"/>
      <c r="W47" s="2584"/>
      <c r="X47" s="2582"/>
      <c r="Y47" s="2585"/>
      <c r="Z47" s="2584"/>
      <c r="AA47" s="2582">
        <f>SUM(AA43:AA45)</f>
        <v>0</v>
      </c>
      <c r="AB47" s="2585">
        <f>SUM(AB42:AB45)</f>
        <v>0</v>
      </c>
      <c r="AC47" s="2584">
        <f t="shared" ref="AC47" si="20">SUM(AA47:AB47)</f>
        <v>0</v>
      </c>
    </row>
    <row r="48" spans="1:29" s="2564" customFormat="1" ht="15" customHeight="1" x14ac:dyDescent="0.25">
      <c r="A48" s="2563"/>
      <c r="B48" s="2771" t="s">
        <v>60</v>
      </c>
      <c r="C48" s="2568"/>
      <c r="D48" s="2603"/>
      <c r="E48" s="2602"/>
      <c r="F48" s="2568"/>
      <c r="G48" s="2603"/>
      <c r="H48" s="2602"/>
      <c r="I48" s="2568"/>
      <c r="J48" s="2603"/>
      <c r="K48" s="2602"/>
      <c r="L48" s="2568">
        <v>2</v>
      </c>
      <c r="M48" s="2603">
        <v>1</v>
      </c>
      <c r="N48" s="2602">
        <f t="shared" si="1"/>
        <v>3</v>
      </c>
      <c r="O48" s="2568"/>
      <c r="P48" s="2603"/>
      <c r="Q48" s="2602"/>
      <c r="R48" s="2568"/>
      <c r="S48" s="2603"/>
      <c r="T48" s="2602"/>
      <c r="U48" s="2568"/>
      <c r="V48" s="2603"/>
      <c r="W48" s="2602"/>
      <c r="X48" s="2568"/>
      <c r="Y48" s="2603"/>
      <c r="Z48" s="2602"/>
      <c r="AA48" s="2568"/>
      <c r="AB48" s="2603"/>
      <c r="AC48" s="2602"/>
    </row>
    <row r="49" spans="1:29" x14ac:dyDescent="0.25">
      <c r="B49" s="2769" t="s">
        <v>78</v>
      </c>
      <c r="C49" s="2573">
        <v>1</v>
      </c>
      <c r="D49" s="2576"/>
      <c r="E49" s="2575">
        <f t="shared" ref="E49:E58" si="21">SUM(C49:D49)</f>
        <v>1</v>
      </c>
      <c r="F49" s="2573">
        <v>2</v>
      </c>
      <c r="G49" s="2576"/>
      <c r="H49" s="2575">
        <f t="shared" ref="H49:H58" si="22">SUM(F49:G49)</f>
        <v>2</v>
      </c>
      <c r="I49" s="2573">
        <v>2</v>
      </c>
      <c r="J49" s="2576"/>
      <c r="K49" s="2575">
        <f t="shared" ref="K49:K58" si="23">SUM(I49:J49)</f>
        <v>2</v>
      </c>
      <c r="L49" s="2573">
        <v>1</v>
      </c>
      <c r="M49" s="2576"/>
      <c r="N49" s="2575">
        <f t="shared" si="1"/>
        <v>1</v>
      </c>
      <c r="O49" s="2573"/>
      <c r="P49" s="2576"/>
      <c r="Q49" s="2575"/>
      <c r="R49" s="2573"/>
      <c r="S49" s="2576"/>
      <c r="T49" s="2575"/>
      <c r="U49" s="2573"/>
      <c r="V49" s="2576"/>
      <c r="W49" s="2575"/>
      <c r="X49" s="2573"/>
      <c r="Y49" s="2576"/>
      <c r="Z49" s="2575"/>
      <c r="AA49" s="2573"/>
      <c r="AB49" s="2576"/>
      <c r="AC49" s="2575"/>
    </row>
    <row r="50" spans="1:29" x14ac:dyDescent="0.25">
      <c r="B50" s="2769" t="s">
        <v>83</v>
      </c>
      <c r="C50" s="2573"/>
      <c r="D50" s="2576">
        <v>2</v>
      </c>
      <c r="E50" s="2575">
        <f t="shared" si="21"/>
        <v>2</v>
      </c>
      <c r="F50" s="2573">
        <v>1</v>
      </c>
      <c r="G50" s="2576"/>
      <c r="H50" s="2575">
        <f t="shared" si="22"/>
        <v>1</v>
      </c>
      <c r="I50" s="2573"/>
      <c r="J50" s="2576">
        <v>1</v>
      </c>
      <c r="K50" s="2575">
        <f t="shared" si="23"/>
        <v>1</v>
      </c>
      <c r="L50" s="2573"/>
      <c r="M50" s="2576"/>
      <c r="N50" s="2575"/>
      <c r="O50" s="2573"/>
      <c r="P50" s="2576"/>
      <c r="Q50" s="2575"/>
      <c r="R50" s="2573"/>
      <c r="S50" s="2576"/>
      <c r="T50" s="2575"/>
      <c r="U50" s="2573"/>
      <c r="V50" s="2576"/>
      <c r="W50" s="2575"/>
      <c r="X50" s="2573"/>
      <c r="Y50" s="2576"/>
      <c r="Z50" s="2575"/>
      <c r="AA50" s="2573">
        <v>1</v>
      </c>
      <c r="AB50" s="2576"/>
      <c r="AC50" s="2575">
        <f>SUM(AA50:AB50)</f>
        <v>1</v>
      </c>
    </row>
    <row r="51" spans="1:29" s="2564" customFormat="1" ht="15" customHeight="1" x14ac:dyDescent="0.25">
      <c r="A51" s="2563"/>
      <c r="B51" s="2769" t="s">
        <v>62</v>
      </c>
      <c r="C51" s="2573"/>
      <c r="D51" s="2576"/>
      <c r="E51" s="2575"/>
      <c r="F51" s="2573"/>
      <c r="G51" s="2576"/>
      <c r="H51" s="2575"/>
      <c r="I51" s="2573"/>
      <c r="J51" s="2576"/>
      <c r="K51" s="2575"/>
      <c r="L51" s="2573"/>
      <c r="M51" s="2576"/>
      <c r="N51" s="2575"/>
      <c r="O51" s="2573"/>
      <c r="P51" s="2576"/>
      <c r="Q51" s="2575"/>
      <c r="R51" s="2573"/>
      <c r="S51" s="2576"/>
      <c r="T51" s="2575"/>
      <c r="U51" s="2573"/>
      <c r="V51" s="2576"/>
      <c r="W51" s="2575"/>
      <c r="X51" s="2573"/>
      <c r="Y51" s="2576"/>
      <c r="Z51" s="2575"/>
      <c r="AA51" s="2573"/>
      <c r="AB51" s="2576"/>
      <c r="AC51" s="2575"/>
    </row>
    <row r="52" spans="1:29" x14ac:dyDescent="0.25">
      <c r="B52" s="2769" t="s">
        <v>80</v>
      </c>
      <c r="C52" s="2573"/>
      <c r="D52" s="2576"/>
      <c r="E52" s="2575"/>
      <c r="F52" s="2573">
        <v>1</v>
      </c>
      <c r="G52" s="2576"/>
      <c r="H52" s="2575">
        <f t="shared" si="22"/>
        <v>1</v>
      </c>
      <c r="I52" s="2573">
        <v>1</v>
      </c>
      <c r="J52" s="2576"/>
      <c r="K52" s="2575">
        <f t="shared" si="23"/>
        <v>1</v>
      </c>
      <c r="L52" s="2573"/>
      <c r="M52" s="2576">
        <v>2</v>
      </c>
      <c r="N52" s="2575">
        <f t="shared" si="1"/>
        <v>2</v>
      </c>
      <c r="O52" s="2573"/>
      <c r="P52" s="2576"/>
      <c r="Q52" s="2575"/>
      <c r="R52" s="2573"/>
      <c r="S52" s="2576"/>
      <c r="T52" s="2575"/>
      <c r="U52" s="2573"/>
      <c r="V52" s="2576"/>
      <c r="W52" s="2575"/>
      <c r="X52" s="2573"/>
      <c r="Y52" s="2576"/>
      <c r="Z52" s="2575"/>
      <c r="AA52" s="2573"/>
      <c r="AB52" s="2576"/>
      <c r="AC52" s="2575"/>
    </row>
    <row r="53" spans="1:29" x14ac:dyDescent="0.25">
      <c r="B53" s="2769" t="s">
        <v>85</v>
      </c>
      <c r="C53" s="2573"/>
      <c r="D53" s="2576"/>
      <c r="E53" s="2575"/>
      <c r="F53" s="2573">
        <v>1</v>
      </c>
      <c r="G53" s="2576"/>
      <c r="H53" s="2575">
        <f t="shared" si="22"/>
        <v>1</v>
      </c>
      <c r="I53" s="2573"/>
      <c r="J53" s="2576"/>
      <c r="K53" s="2575"/>
      <c r="L53" s="2573"/>
      <c r="M53" s="2576"/>
      <c r="N53" s="2575"/>
      <c r="O53" s="2573">
        <v>1</v>
      </c>
      <c r="P53" s="2576"/>
      <c r="Q53" s="2575">
        <f t="shared" si="2"/>
        <v>1</v>
      </c>
      <c r="R53" s="2573"/>
      <c r="S53" s="2576"/>
      <c r="T53" s="2575"/>
      <c r="U53" s="2573"/>
      <c r="V53" s="2576"/>
      <c r="W53" s="2575"/>
      <c r="X53" s="2573"/>
      <c r="Y53" s="2576"/>
      <c r="Z53" s="2575"/>
      <c r="AA53" s="2573"/>
      <c r="AB53" s="2576"/>
      <c r="AC53" s="2575"/>
    </row>
    <row r="54" spans="1:29" x14ac:dyDescent="0.25">
      <c r="B54" s="2769" t="s">
        <v>81</v>
      </c>
      <c r="C54" s="2573">
        <v>2</v>
      </c>
      <c r="D54" s="2576"/>
      <c r="E54" s="2575">
        <f t="shared" si="21"/>
        <v>2</v>
      </c>
      <c r="F54" s="2573">
        <v>1</v>
      </c>
      <c r="G54" s="2576">
        <v>1</v>
      </c>
      <c r="H54" s="2575">
        <f t="shared" si="22"/>
        <v>2</v>
      </c>
      <c r="I54" s="2573">
        <v>1</v>
      </c>
      <c r="J54" s="2576"/>
      <c r="K54" s="2575">
        <f t="shared" si="23"/>
        <v>1</v>
      </c>
      <c r="L54" s="2573">
        <v>1</v>
      </c>
      <c r="M54" s="2576"/>
      <c r="N54" s="2575">
        <f t="shared" si="1"/>
        <v>1</v>
      </c>
      <c r="O54" s="2573">
        <v>1</v>
      </c>
      <c r="P54" s="2576"/>
      <c r="Q54" s="2575">
        <f t="shared" si="2"/>
        <v>1</v>
      </c>
      <c r="R54" s="2573"/>
      <c r="S54" s="2576"/>
      <c r="T54" s="2575"/>
      <c r="U54" s="2573"/>
      <c r="V54" s="2576"/>
      <c r="W54" s="2575"/>
      <c r="X54" s="2573"/>
      <c r="Y54" s="2576"/>
      <c r="Z54" s="2575"/>
      <c r="AA54" s="2573"/>
      <c r="AB54" s="2576"/>
      <c r="AC54" s="2575"/>
    </row>
    <row r="55" spans="1:29" x14ac:dyDescent="0.25">
      <c r="B55" s="2769" t="s">
        <v>79</v>
      </c>
      <c r="C55" s="2573"/>
      <c r="D55" s="2576"/>
      <c r="E55" s="2575"/>
      <c r="F55" s="2573">
        <v>5</v>
      </c>
      <c r="G55" s="2576"/>
      <c r="H55" s="2575">
        <f t="shared" si="22"/>
        <v>5</v>
      </c>
      <c r="I55" s="2573">
        <v>1</v>
      </c>
      <c r="J55" s="2576"/>
      <c r="K55" s="2575">
        <f t="shared" si="23"/>
        <v>1</v>
      </c>
      <c r="L55" s="2573"/>
      <c r="M55" s="2576"/>
      <c r="N55" s="2575"/>
      <c r="O55" s="2573"/>
      <c r="P55" s="2576">
        <v>1</v>
      </c>
      <c r="Q55" s="2575">
        <f t="shared" si="2"/>
        <v>1</v>
      </c>
      <c r="R55" s="2573"/>
      <c r="S55" s="2576"/>
      <c r="T55" s="2575"/>
      <c r="U55" s="2573"/>
      <c r="V55" s="2576"/>
      <c r="W55" s="2575"/>
      <c r="X55" s="2573"/>
      <c r="Y55" s="2576"/>
      <c r="Z55" s="2575"/>
      <c r="AA55" s="2573"/>
      <c r="AB55" s="2576"/>
      <c r="AC55" s="2575"/>
    </row>
    <row r="56" spans="1:29" x14ac:dyDescent="0.25">
      <c r="B56" s="2769" t="s">
        <v>82</v>
      </c>
      <c r="C56" s="2573"/>
      <c r="D56" s="2576"/>
      <c r="E56" s="2575"/>
      <c r="F56" s="2573"/>
      <c r="G56" s="2576">
        <v>1</v>
      </c>
      <c r="H56" s="2575">
        <f t="shared" si="22"/>
        <v>1</v>
      </c>
      <c r="I56" s="2573">
        <v>2</v>
      </c>
      <c r="J56" s="2576"/>
      <c r="K56" s="2575">
        <f t="shared" si="23"/>
        <v>2</v>
      </c>
      <c r="L56" s="2573">
        <v>4</v>
      </c>
      <c r="M56" s="2576">
        <v>1</v>
      </c>
      <c r="N56" s="2575">
        <f t="shared" si="1"/>
        <v>5</v>
      </c>
      <c r="O56" s="2573"/>
      <c r="P56" s="2576"/>
      <c r="Q56" s="2575"/>
      <c r="R56" s="2573">
        <v>1</v>
      </c>
      <c r="S56" s="2576">
        <v>1</v>
      </c>
      <c r="T56" s="2575">
        <f t="shared" si="3"/>
        <v>2</v>
      </c>
      <c r="U56" s="2573"/>
      <c r="V56" s="2576"/>
      <c r="W56" s="2575"/>
      <c r="X56" s="2573"/>
      <c r="Y56" s="2576"/>
      <c r="Z56" s="2575"/>
      <c r="AA56" s="2573"/>
      <c r="AB56" s="2576"/>
      <c r="AC56" s="2575"/>
    </row>
    <row r="57" spans="1:29" x14ac:dyDescent="0.25">
      <c r="B57" s="2769" t="s">
        <v>84</v>
      </c>
      <c r="C57" s="2573"/>
      <c r="D57" s="2576"/>
      <c r="E57" s="2575"/>
      <c r="F57" s="2573">
        <v>1</v>
      </c>
      <c r="G57" s="2576"/>
      <c r="H57" s="2575">
        <f t="shared" si="22"/>
        <v>1</v>
      </c>
      <c r="I57" s="2573">
        <v>1</v>
      </c>
      <c r="J57" s="2576"/>
      <c r="K57" s="2575">
        <f t="shared" si="23"/>
        <v>1</v>
      </c>
      <c r="L57" s="2573"/>
      <c r="M57" s="2576"/>
      <c r="N57" s="2575"/>
      <c r="O57" s="2573"/>
      <c r="P57" s="2576"/>
      <c r="Q57" s="2575"/>
      <c r="R57" s="2573"/>
      <c r="S57" s="2576"/>
      <c r="T57" s="2575"/>
      <c r="U57" s="2573"/>
      <c r="V57" s="2576"/>
      <c r="W57" s="2575"/>
      <c r="X57" s="2573"/>
      <c r="Y57" s="2576"/>
      <c r="Z57" s="2575"/>
      <c r="AA57" s="2573"/>
      <c r="AB57" s="2576"/>
      <c r="AC57" s="2575"/>
    </row>
    <row r="58" spans="1:29" s="2564" customFormat="1" x14ac:dyDescent="0.25">
      <c r="A58" s="2563"/>
      <c r="B58" s="2769" t="s">
        <v>63</v>
      </c>
      <c r="C58" s="2573">
        <v>3</v>
      </c>
      <c r="D58" s="2576">
        <v>1</v>
      </c>
      <c r="E58" s="2575">
        <f t="shared" si="21"/>
        <v>4</v>
      </c>
      <c r="F58" s="2573">
        <v>4</v>
      </c>
      <c r="G58" s="2576"/>
      <c r="H58" s="2575">
        <f t="shared" si="22"/>
        <v>4</v>
      </c>
      <c r="I58" s="2573">
        <v>1</v>
      </c>
      <c r="J58" s="2576">
        <v>2</v>
      </c>
      <c r="K58" s="2575">
        <f t="shared" si="23"/>
        <v>3</v>
      </c>
      <c r="L58" s="2573">
        <v>1</v>
      </c>
      <c r="M58" s="2576">
        <v>1</v>
      </c>
      <c r="N58" s="2575">
        <f t="shared" si="1"/>
        <v>2</v>
      </c>
      <c r="O58" s="2573"/>
      <c r="P58" s="2576"/>
      <c r="Q58" s="2575"/>
      <c r="R58" s="2573"/>
      <c r="S58" s="2576"/>
      <c r="T58" s="2575"/>
      <c r="U58" s="2573"/>
      <c r="V58" s="2576"/>
      <c r="W58" s="2575"/>
      <c r="X58" s="2573"/>
      <c r="Y58" s="2576"/>
      <c r="Z58" s="2575"/>
      <c r="AA58" s="2573"/>
      <c r="AB58" s="2576"/>
      <c r="AC58" s="2575"/>
    </row>
    <row r="59" spans="1:29" s="2564" customFormat="1" x14ac:dyDescent="0.25">
      <c r="A59" s="2563"/>
      <c r="B59" s="2668" t="s">
        <v>64</v>
      </c>
      <c r="C59" s="2578">
        <f t="shared" ref="C59:H59" si="24">SUM(C49:C58)</f>
        <v>6</v>
      </c>
      <c r="D59" s="2581">
        <f t="shared" si="24"/>
        <v>3</v>
      </c>
      <c r="E59" s="2580">
        <f t="shared" si="24"/>
        <v>9</v>
      </c>
      <c r="F59" s="2578">
        <f t="shared" si="24"/>
        <v>16</v>
      </c>
      <c r="G59" s="2581">
        <f t="shared" si="24"/>
        <v>2</v>
      </c>
      <c r="H59" s="2580">
        <f t="shared" si="24"/>
        <v>18</v>
      </c>
      <c r="I59" s="2578">
        <f>SUM(I49:I58)</f>
        <v>9</v>
      </c>
      <c r="J59" s="2581">
        <f>SUM(J49:J58)</f>
        <v>3</v>
      </c>
      <c r="K59" s="2580">
        <f>SUM(K49:K58)</f>
        <v>12</v>
      </c>
      <c r="L59" s="2578">
        <f>SUM(L48:L58)</f>
        <v>9</v>
      </c>
      <c r="M59" s="2581">
        <f>SUM(M48:M58)</f>
        <v>5</v>
      </c>
      <c r="N59" s="2580">
        <f t="shared" si="1"/>
        <v>14</v>
      </c>
      <c r="O59" s="2578">
        <f>SUM(O48:O58)</f>
        <v>2</v>
      </c>
      <c r="P59" s="2581">
        <f>SUM(P48:P58)</f>
        <v>1</v>
      </c>
      <c r="Q59" s="2580">
        <f t="shared" si="2"/>
        <v>3</v>
      </c>
      <c r="R59" s="2578">
        <f>SUM(R48:R58)</f>
        <v>1</v>
      </c>
      <c r="S59" s="2581">
        <f>SUM(S48:S58)</f>
        <v>1</v>
      </c>
      <c r="T59" s="2580">
        <f t="shared" si="3"/>
        <v>2</v>
      </c>
      <c r="U59" s="2578"/>
      <c r="V59" s="2581"/>
      <c r="W59" s="2580"/>
      <c r="X59" s="2578"/>
      <c r="Y59" s="2581"/>
      <c r="Z59" s="2580"/>
      <c r="AA59" s="2578">
        <f>SUM(AA48:AA58)</f>
        <v>1</v>
      </c>
      <c r="AB59" s="2581">
        <f>SUM(AB48:AB58)</f>
        <v>0</v>
      </c>
      <c r="AC59" s="2580">
        <f t="shared" ref="AC59" si="25">SUM(AA59:AB59)</f>
        <v>1</v>
      </c>
    </row>
    <row r="60" spans="1:29" s="2564" customFormat="1" x14ac:dyDescent="0.25">
      <c r="A60" s="2563"/>
      <c r="B60" s="2769" t="s">
        <v>86</v>
      </c>
      <c r="C60" s="2573"/>
      <c r="D60" s="2576"/>
      <c r="E60" s="2575"/>
      <c r="F60" s="2573"/>
      <c r="G60" s="2576"/>
      <c r="H60" s="2575"/>
      <c r="I60" s="2573">
        <v>1</v>
      </c>
      <c r="J60" s="2576"/>
      <c r="K60" s="2575">
        <f>SUM(I60:J60)</f>
        <v>1</v>
      </c>
      <c r="L60" s="2573">
        <v>1</v>
      </c>
      <c r="M60" s="2576"/>
      <c r="N60" s="2575">
        <f t="shared" si="1"/>
        <v>1</v>
      </c>
      <c r="O60" s="2573"/>
      <c r="P60" s="2576"/>
      <c r="Q60" s="2575"/>
      <c r="R60" s="2573"/>
      <c r="S60" s="2576">
        <v>1</v>
      </c>
      <c r="T60" s="2575">
        <f t="shared" si="3"/>
        <v>1</v>
      </c>
      <c r="U60" s="2573"/>
      <c r="V60" s="2576"/>
      <c r="W60" s="2575"/>
      <c r="X60" s="2573"/>
      <c r="Y60" s="2576"/>
      <c r="Z60" s="2575"/>
      <c r="AA60" s="2573"/>
      <c r="AB60" s="2576"/>
      <c r="AC60" s="2575"/>
    </row>
    <row r="61" spans="1:29" x14ac:dyDescent="0.25">
      <c r="B61" s="2769" t="s">
        <v>87</v>
      </c>
      <c r="C61" s="2573"/>
      <c r="D61" s="2576">
        <v>1</v>
      </c>
      <c r="E61" s="2575">
        <f>SUM(C61:D61)</f>
        <v>1</v>
      </c>
      <c r="F61" s="2573"/>
      <c r="G61" s="2576"/>
      <c r="H61" s="2575"/>
      <c r="I61" s="2573"/>
      <c r="J61" s="2576"/>
      <c r="K61" s="2575"/>
      <c r="L61" s="2573"/>
      <c r="M61" s="2576"/>
      <c r="N61" s="2575"/>
      <c r="O61" s="2573"/>
      <c r="P61" s="2576"/>
      <c r="Q61" s="2575"/>
      <c r="R61" s="2573"/>
      <c r="S61" s="2576"/>
      <c r="T61" s="2575"/>
      <c r="U61" s="2573"/>
      <c r="V61" s="2576"/>
      <c r="W61" s="2575"/>
      <c r="X61" s="2573"/>
      <c r="Y61" s="2576"/>
      <c r="Z61" s="2575"/>
      <c r="AA61" s="2573"/>
      <c r="AB61" s="2576"/>
      <c r="AC61" s="2575"/>
    </row>
    <row r="62" spans="1:29" x14ac:dyDescent="0.25">
      <c r="B62" s="2769" t="s">
        <v>88</v>
      </c>
      <c r="C62" s="2573"/>
      <c r="D62" s="2576"/>
      <c r="E62" s="2575"/>
      <c r="F62" s="2573"/>
      <c r="G62" s="2576"/>
      <c r="H62" s="2575"/>
      <c r="I62" s="2573"/>
      <c r="J62" s="2576"/>
      <c r="K62" s="2575"/>
      <c r="L62" s="2573"/>
      <c r="M62" s="2576"/>
      <c r="N62" s="2575"/>
      <c r="O62" s="2573">
        <v>1</v>
      </c>
      <c r="P62" s="2576"/>
      <c r="Q62" s="2575">
        <f t="shared" si="2"/>
        <v>1</v>
      </c>
      <c r="R62" s="2573"/>
      <c r="S62" s="2576"/>
      <c r="T62" s="2575"/>
      <c r="U62" s="2573"/>
      <c r="V62" s="2576"/>
      <c r="W62" s="2575"/>
      <c r="X62" s="2573"/>
      <c r="Y62" s="2576"/>
      <c r="Z62" s="2575"/>
      <c r="AA62" s="2573"/>
      <c r="AB62" s="2576"/>
      <c r="AC62" s="2575"/>
    </row>
    <row r="63" spans="1:29" x14ac:dyDescent="0.25">
      <c r="B63" s="2769" t="s">
        <v>642</v>
      </c>
      <c r="C63" s="2573"/>
      <c r="D63" s="2576"/>
      <c r="E63" s="2575"/>
      <c r="F63" s="2573">
        <v>1</v>
      </c>
      <c r="G63" s="2576"/>
      <c r="H63" s="2575">
        <f>SUM(F63:G63)</f>
        <v>1</v>
      </c>
      <c r="I63" s="2573"/>
      <c r="J63" s="2576"/>
      <c r="K63" s="2575"/>
      <c r="L63" s="2573"/>
      <c r="M63" s="2576"/>
      <c r="N63" s="2575"/>
      <c r="O63" s="2573">
        <v>1</v>
      </c>
      <c r="P63" s="2576"/>
      <c r="Q63" s="2575">
        <f t="shared" si="2"/>
        <v>1</v>
      </c>
      <c r="R63" s="2573"/>
      <c r="S63" s="2576"/>
      <c r="T63" s="2575"/>
      <c r="U63" s="2573"/>
      <c r="V63" s="2576"/>
      <c r="W63" s="2575"/>
      <c r="X63" s="2573"/>
      <c r="Y63" s="2576"/>
      <c r="Z63" s="2575"/>
      <c r="AA63" s="2573"/>
      <c r="AB63" s="2576"/>
      <c r="AC63" s="2575"/>
    </row>
    <row r="64" spans="1:29" x14ac:dyDescent="0.25">
      <c r="B64" s="2770" t="s">
        <v>92</v>
      </c>
      <c r="C64" s="2582">
        <f t="shared" ref="C64:H64" si="26">SUM(C61:C63)</f>
        <v>0</v>
      </c>
      <c r="D64" s="2585">
        <f t="shared" si="26"/>
        <v>1</v>
      </c>
      <c r="E64" s="2584">
        <f t="shared" si="26"/>
        <v>1</v>
      </c>
      <c r="F64" s="2582">
        <f t="shared" si="26"/>
        <v>1</v>
      </c>
      <c r="G64" s="2585">
        <f t="shared" si="26"/>
        <v>0</v>
      </c>
      <c r="H64" s="2584">
        <f t="shared" si="26"/>
        <v>1</v>
      </c>
      <c r="I64" s="2582">
        <f>SUM(I60:I63)</f>
        <v>1</v>
      </c>
      <c r="J64" s="2585">
        <f>SUM(J60:J63)</f>
        <v>0</v>
      </c>
      <c r="K64" s="2584">
        <f>SUM(K60:K63)</f>
        <v>1</v>
      </c>
      <c r="L64" s="2582">
        <f>SUM(L60:L63)</f>
        <v>1</v>
      </c>
      <c r="M64" s="2585">
        <f>SUM(M60:M63)</f>
        <v>0</v>
      </c>
      <c r="N64" s="2584">
        <f t="shared" si="1"/>
        <v>1</v>
      </c>
      <c r="O64" s="2582">
        <f>SUM(O60:O63)</f>
        <v>2</v>
      </c>
      <c r="P64" s="2585">
        <f>SUM(P60:P63)</f>
        <v>0</v>
      </c>
      <c r="Q64" s="2584">
        <f t="shared" si="2"/>
        <v>2</v>
      </c>
      <c r="R64" s="2582">
        <f>SUM(R60:R63)</f>
        <v>0</v>
      </c>
      <c r="S64" s="2585">
        <f>SUM(S60:S63)</f>
        <v>1</v>
      </c>
      <c r="T64" s="2584">
        <f t="shared" si="3"/>
        <v>1</v>
      </c>
      <c r="U64" s="2582"/>
      <c r="V64" s="2585"/>
      <c r="W64" s="2584"/>
      <c r="X64" s="2582"/>
      <c r="Y64" s="2585"/>
      <c r="Z64" s="2584"/>
      <c r="AA64" s="2582">
        <f>SUM(AA60:AA63)</f>
        <v>0</v>
      </c>
      <c r="AB64" s="2585">
        <f>SUM(AB60:AB63)</f>
        <v>0</v>
      </c>
      <c r="AC64" s="2584">
        <f t="shared" ref="AC64:AC65" si="27">SUM(AA64:AB64)</f>
        <v>0</v>
      </c>
    </row>
    <row r="65" spans="2:29" x14ac:dyDescent="0.25">
      <c r="B65" s="2722" t="s">
        <v>93</v>
      </c>
      <c r="C65" s="2720">
        <f>C64+C59+C47</f>
        <v>7</v>
      </c>
      <c r="D65" s="2772">
        <f>D64+D59+D47</f>
        <v>4</v>
      </c>
      <c r="E65" s="2773">
        <f>E64+E59+E47</f>
        <v>11</v>
      </c>
      <c r="F65" s="2720">
        <f t="shared" ref="F65:K65" si="28">SUM(F47,F59,F64)</f>
        <v>19</v>
      </c>
      <c r="G65" s="2772">
        <f t="shared" si="28"/>
        <v>2</v>
      </c>
      <c r="H65" s="2773">
        <f t="shared" si="28"/>
        <v>21</v>
      </c>
      <c r="I65" s="2720">
        <f t="shared" si="28"/>
        <v>11</v>
      </c>
      <c r="J65" s="2772">
        <f t="shared" si="28"/>
        <v>4</v>
      </c>
      <c r="K65" s="2773">
        <f t="shared" si="28"/>
        <v>15</v>
      </c>
      <c r="L65" s="2720">
        <f>SUM(L47,L59,L64)</f>
        <v>13</v>
      </c>
      <c r="M65" s="2772">
        <f>SUM(M47,M59,M64)</f>
        <v>5</v>
      </c>
      <c r="N65" s="2773">
        <f t="shared" si="1"/>
        <v>18</v>
      </c>
      <c r="O65" s="2720">
        <f>SUM(O47,O59,O64)</f>
        <v>4</v>
      </c>
      <c r="P65" s="2772">
        <f>SUM(P47,P59,P64)</f>
        <v>1</v>
      </c>
      <c r="Q65" s="2773">
        <f t="shared" si="2"/>
        <v>5</v>
      </c>
      <c r="R65" s="2720">
        <f>SUM(R47,R59,R64)</f>
        <v>1</v>
      </c>
      <c r="S65" s="2772">
        <f>SUM(S47,S59,S64)</f>
        <v>2</v>
      </c>
      <c r="T65" s="2773">
        <f t="shared" si="3"/>
        <v>3</v>
      </c>
      <c r="U65" s="2720"/>
      <c r="V65" s="2772"/>
      <c r="W65" s="2773"/>
      <c r="X65" s="2720"/>
      <c r="Y65" s="2772"/>
      <c r="Z65" s="2773"/>
      <c r="AA65" s="2720">
        <f>SUM(AA47,AA59,AA64)</f>
        <v>1</v>
      </c>
      <c r="AB65" s="2772">
        <f>SUM(AB47,AB59,AB64)</f>
        <v>0</v>
      </c>
      <c r="AC65" s="2773">
        <f t="shared" si="27"/>
        <v>1</v>
      </c>
    </row>
    <row r="66" spans="2:29" x14ac:dyDescent="0.25">
      <c r="B66" s="2713" t="s">
        <v>124</v>
      </c>
      <c r="C66" s="2714"/>
      <c r="D66" s="2715"/>
      <c r="E66" s="2704"/>
      <c r="F66" s="2714"/>
      <c r="G66" s="2715"/>
      <c r="H66" s="2704"/>
      <c r="I66" s="2714"/>
      <c r="J66" s="2715"/>
      <c r="K66" s="2704"/>
      <c r="L66" s="2714"/>
      <c r="M66" s="2715"/>
      <c r="N66" s="2704"/>
      <c r="O66" s="2714"/>
      <c r="P66" s="2715"/>
      <c r="Q66" s="2704"/>
      <c r="R66" s="2714"/>
      <c r="S66" s="2715"/>
      <c r="T66" s="2704"/>
      <c r="U66" s="2714"/>
      <c r="V66" s="2715"/>
      <c r="W66" s="2704"/>
      <c r="X66" s="2714"/>
      <c r="Y66" s="2763"/>
      <c r="Z66" s="2764"/>
      <c r="AA66" s="2714"/>
      <c r="AB66" s="2763"/>
      <c r="AC66" s="2764"/>
    </row>
    <row r="67" spans="2:29" x14ac:dyDescent="0.25">
      <c r="B67" s="2567" t="s">
        <v>247</v>
      </c>
      <c r="C67" s="2568"/>
      <c r="D67" s="2726"/>
      <c r="E67" s="2704"/>
      <c r="F67" s="2568"/>
      <c r="G67" s="2726"/>
      <c r="H67" s="2704"/>
      <c r="I67" s="2568"/>
      <c r="J67" s="2726"/>
      <c r="K67" s="2704"/>
      <c r="L67" s="2568"/>
      <c r="M67" s="2726"/>
      <c r="N67" s="2704"/>
      <c r="O67" s="2568"/>
      <c r="P67" s="2726"/>
      <c r="Q67" s="2704"/>
      <c r="R67" s="2568"/>
      <c r="S67" s="2726"/>
      <c r="T67" s="2704"/>
      <c r="U67" s="2568"/>
      <c r="V67" s="2726"/>
      <c r="W67" s="2704"/>
      <c r="X67" s="2568"/>
      <c r="Y67" s="2603"/>
      <c r="Z67" s="2575"/>
      <c r="AA67" s="2568"/>
      <c r="AB67" s="2603"/>
      <c r="AC67" s="2575"/>
    </row>
    <row r="68" spans="2:29" x14ac:dyDescent="0.25">
      <c r="B68" s="2567" t="s">
        <v>125</v>
      </c>
      <c r="C68" s="2568"/>
      <c r="D68" s="2726"/>
      <c r="E68" s="2704"/>
      <c r="F68" s="2568"/>
      <c r="G68" s="2726"/>
      <c r="H68" s="2704"/>
      <c r="I68" s="2568"/>
      <c r="J68" s="2726"/>
      <c r="K68" s="2704"/>
      <c r="L68" s="2568"/>
      <c r="M68" s="2726"/>
      <c r="N68" s="2704"/>
      <c r="O68" s="2568"/>
      <c r="P68" s="2726"/>
      <c r="Q68" s="2704"/>
      <c r="R68" s="2568"/>
      <c r="S68" s="2726"/>
      <c r="T68" s="2704"/>
      <c r="U68" s="2568"/>
      <c r="V68" s="2726"/>
      <c r="W68" s="2704"/>
      <c r="X68" s="2568"/>
      <c r="Y68" s="2603"/>
      <c r="Z68" s="2575"/>
      <c r="AA68" s="2568"/>
      <c r="AB68" s="2603"/>
      <c r="AC68" s="2575"/>
    </row>
    <row r="69" spans="2:29" x14ac:dyDescent="0.25">
      <c r="B69" s="2577" t="s">
        <v>92</v>
      </c>
      <c r="C69" s="2578"/>
      <c r="D69" s="2705"/>
      <c r="E69" s="2706"/>
      <c r="F69" s="2578"/>
      <c r="G69" s="2705"/>
      <c r="H69" s="2706"/>
      <c r="I69" s="2578"/>
      <c r="J69" s="2705"/>
      <c r="K69" s="2706"/>
      <c r="L69" s="2578"/>
      <c r="M69" s="2705"/>
      <c r="N69" s="2706"/>
      <c r="O69" s="2578"/>
      <c r="P69" s="2705"/>
      <c r="Q69" s="2706"/>
      <c r="R69" s="2578"/>
      <c r="S69" s="2705"/>
      <c r="T69" s="2706"/>
      <c r="U69" s="2578"/>
      <c r="V69" s="2705"/>
      <c r="W69" s="2706"/>
      <c r="X69" s="2578"/>
      <c r="Y69" s="2581"/>
      <c r="Z69" s="2580"/>
      <c r="AA69" s="2578"/>
      <c r="AB69" s="2581"/>
      <c r="AC69" s="2580"/>
    </row>
    <row r="70" spans="2:29" x14ac:dyDescent="0.25">
      <c r="B70" s="2572" t="s">
        <v>643</v>
      </c>
      <c r="C70" s="2573"/>
      <c r="D70" s="2707"/>
      <c r="E70" s="2704"/>
      <c r="F70" s="2573"/>
      <c r="G70" s="2707"/>
      <c r="H70" s="2704"/>
      <c r="I70" s="2573"/>
      <c r="J70" s="2707"/>
      <c r="K70" s="2704"/>
      <c r="L70" s="2573"/>
      <c r="M70" s="2707"/>
      <c r="N70" s="2704"/>
      <c r="O70" s="2573"/>
      <c r="P70" s="2707"/>
      <c r="Q70" s="2704"/>
      <c r="R70" s="2573"/>
      <c r="S70" s="2707"/>
      <c r="T70" s="2704"/>
      <c r="U70" s="2573"/>
      <c r="V70" s="2707"/>
      <c r="W70" s="2704"/>
      <c r="X70" s="2573"/>
      <c r="Y70" s="2576"/>
      <c r="Z70" s="2575"/>
      <c r="AA70" s="2573"/>
      <c r="AB70" s="2576"/>
      <c r="AC70" s="2575"/>
    </row>
    <row r="71" spans="2:29" x14ac:dyDescent="0.25">
      <c r="B71" s="2572" t="s">
        <v>118</v>
      </c>
      <c r="C71" s="2573"/>
      <c r="D71" s="2707"/>
      <c r="E71" s="2704"/>
      <c r="F71" s="2573"/>
      <c r="G71" s="2707"/>
      <c r="H71" s="2704"/>
      <c r="I71" s="2573"/>
      <c r="J71" s="2707"/>
      <c r="K71" s="2704"/>
      <c r="L71" s="2573"/>
      <c r="M71" s="2707"/>
      <c r="N71" s="2704"/>
      <c r="O71" s="2573"/>
      <c r="P71" s="2707"/>
      <c r="Q71" s="2704"/>
      <c r="R71" s="2573"/>
      <c r="S71" s="2707"/>
      <c r="T71" s="2704"/>
      <c r="U71" s="2573"/>
      <c r="V71" s="2707"/>
      <c r="W71" s="2704"/>
      <c r="X71" s="2573"/>
      <c r="Y71" s="2576"/>
      <c r="Z71" s="2575"/>
      <c r="AA71" s="2573"/>
      <c r="AB71" s="2576"/>
      <c r="AC71" s="2575"/>
    </row>
    <row r="72" spans="2:29" x14ac:dyDescent="0.25">
      <c r="B72" s="2572" t="s">
        <v>244</v>
      </c>
      <c r="C72" s="2573"/>
      <c r="D72" s="2707"/>
      <c r="E72" s="2704"/>
      <c r="F72" s="2573"/>
      <c r="G72" s="2707"/>
      <c r="H72" s="2704"/>
      <c r="I72" s="2573"/>
      <c r="J72" s="2707"/>
      <c r="K72" s="2704"/>
      <c r="L72" s="2573"/>
      <c r="M72" s="2707"/>
      <c r="N72" s="2704"/>
      <c r="O72" s="2573"/>
      <c r="P72" s="2707"/>
      <c r="Q72" s="2704"/>
      <c r="R72" s="2573"/>
      <c r="S72" s="2707"/>
      <c r="T72" s="2704"/>
      <c r="U72" s="2573"/>
      <c r="V72" s="2707"/>
      <c r="W72" s="2704"/>
      <c r="X72" s="2573"/>
      <c r="Y72" s="2576"/>
      <c r="Z72" s="2575"/>
      <c r="AA72" s="2573"/>
      <c r="AB72" s="2576"/>
      <c r="AC72" s="2575"/>
    </row>
    <row r="73" spans="2:29" x14ac:dyDescent="0.25">
      <c r="B73" s="2577" t="s">
        <v>59</v>
      </c>
      <c r="C73" s="2578"/>
      <c r="D73" s="2705"/>
      <c r="E73" s="2706"/>
      <c r="F73" s="2578"/>
      <c r="G73" s="2705"/>
      <c r="H73" s="2706"/>
      <c r="I73" s="2578"/>
      <c r="J73" s="2705"/>
      <c r="K73" s="2706"/>
      <c r="L73" s="2578"/>
      <c r="M73" s="2705"/>
      <c r="N73" s="2706"/>
      <c r="O73" s="2578"/>
      <c r="P73" s="2705"/>
      <c r="Q73" s="2706"/>
      <c r="R73" s="2578"/>
      <c r="S73" s="2705"/>
      <c r="T73" s="2706"/>
      <c r="U73" s="2578"/>
      <c r="V73" s="2705"/>
      <c r="W73" s="2706"/>
      <c r="X73" s="2578"/>
      <c r="Y73" s="2581"/>
      <c r="Z73" s="2580"/>
      <c r="AA73" s="2578"/>
      <c r="AB73" s="2581"/>
      <c r="AC73" s="2580"/>
    </row>
    <row r="74" spans="2:29" x14ac:dyDescent="0.25">
      <c r="B74" s="2572" t="s">
        <v>120</v>
      </c>
      <c r="C74" s="2573"/>
      <c r="D74" s="2707"/>
      <c r="E74" s="2704"/>
      <c r="F74" s="2573"/>
      <c r="G74" s="2707"/>
      <c r="H74" s="2704"/>
      <c r="I74" s="2573"/>
      <c r="J74" s="2707"/>
      <c r="K74" s="2704"/>
      <c r="L74" s="2573"/>
      <c r="M74" s="2707"/>
      <c r="N74" s="2704"/>
      <c r="O74" s="2573"/>
      <c r="P74" s="2707"/>
      <c r="Q74" s="2704"/>
      <c r="R74" s="2573"/>
      <c r="S74" s="2707"/>
      <c r="T74" s="2704"/>
      <c r="U74" s="2573"/>
      <c r="V74" s="2707"/>
      <c r="W74" s="2704"/>
      <c r="X74" s="2573"/>
      <c r="Y74" s="2576"/>
      <c r="Z74" s="2575"/>
      <c r="AA74" s="2573"/>
      <c r="AB74" s="2576"/>
      <c r="AC74" s="2575"/>
    </row>
    <row r="75" spans="2:29" x14ac:dyDescent="0.25">
      <c r="B75" s="2572" t="s">
        <v>121</v>
      </c>
      <c r="C75" s="2573"/>
      <c r="D75" s="2707"/>
      <c r="E75" s="2704"/>
      <c r="F75" s="2573"/>
      <c r="G75" s="2707"/>
      <c r="H75" s="2704"/>
      <c r="I75" s="2573"/>
      <c r="J75" s="2707"/>
      <c r="K75" s="2704"/>
      <c r="L75" s="2573"/>
      <c r="M75" s="2707"/>
      <c r="N75" s="2704"/>
      <c r="O75" s="2573"/>
      <c r="P75" s="2707"/>
      <c r="Q75" s="2704"/>
      <c r="R75" s="2573"/>
      <c r="S75" s="2707"/>
      <c r="T75" s="2704"/>
      <c r="U75" s="2573"/>
      <c r="V75" s="2707"/>
      <c r="W75" s="2704"/>
      <c r="X75" s="2573"/>
      <c r="Y75" s="2576"/>
      <c r="Z75" s="2575"/>
      <c r="AA75" s="2573"/>
      <c r="AB75" s="2576"/>
      <c r="AC75" s="2575"/>
    </row>
    <row r="76" spans="2:29" x14ac:dyDescent="0.25">
      <c r="B76" s="2572" t="s">
        <v>123</v>
      </c>
      <c r="C76" s="2604"/>
      <c r="D76" s="4691"/>
      <c r="E76" s="2704"/>
      <c r="F76" s="2604"/>
      <c r="G76" s="4691"/>
      <c r="H76" s="2704"/>
      <c r="I76" s="2604"/>
      <c r="J76" s="4691"/>
      <c r="K76" s="2704"/>
      <c r="L76" s="2604"/>
      <c r="M76" s="4691"/>
      <c r="N76" s="2704"/>
      <c r="O76" s="2604"/>
      <c r="P76" s="4691"/>
      <c r="Q76" s="2704"/>
      <c r="R76" s="2604"/>
      <c r="S76" s="4691"/>
      <c r="T76" s="2704"/>
      <c r="U76" s="2604"/>
      <c r="V76" s="4691"/>
      <c r="W76" s="2704"/>
      <c r="X76" s="2604"/>
      <c r="Y76" s="2765"/>
      <c r="Z76" s="2575"/>
      <c r="AA76" s="2604"/>
      <c r="AB76" s="2765"/>
      <c r="AC76" s="2575"/>
    </row>
    <row r="77" spans="2:29" x14ac:dyDescent="0.25">
      <c r="B77" s="2577" t="s">
        <v>64</v>
      </c>
      <c r="C77" s="2582"/>
      <c r="D77" s="2708"/>
      <c r="E77" s="2709"/>
      <c r="F77" s="2582"/>
      <c r="G77" s="2708"/>
      <c r="H77" s="2709"/>
      <c r="I77" s="2582"/>
      <c r="J77" s="2708"/>
      <c r="K77" s="2709"/>
      <c r="L77" s="2582"/>
      <c r="M77" s="2708"/>
      <c r="N77" s="2709"/>
      <c r="O77" s="2582"/>
      <c r="P77" s="2708"/>
      <c r="Q77" s="2709"/>
      <c r="R77" s="2582"/>
      <c r="S77" s="2708"/>
      <c r="T77" s="2709"/>
      <c r="U77" s="2582"/>
      <c r="V77" s="2708"/>
      <c r="W77" s="2709"/>
      <c r="X77" s="2582"/>
      <c r="Y77" s="2585"/>
      <c r="Z77" s="2584"/>
      <c r="AA77" s="2582"/>
      <c r="AB77" s="2585"/>
      <c r="AC77" s="2584"/>
    </row>
    <row r="78" spans="2:29" x14ac:dyDescent="0.25">
      <c r="B78" s="4724" t="s">
        <v>127</v>
      </c>
      <c r="C78" s="2723"/>
      <c r="D78" s="2724"/>
      <c r="E78" s="2725"/>
      <c r="F78" s="2723"/>
      <c r="G78" s="2724"/>
      <c r="H78" s="2725"/>
      <c r="I78" s="2723"/>
      <c r="J78" s="2724"/>
      <c r="K78" s="2725"/>
      <c r="L78" s="2723"/>
      <c r="M78" s="2724"/>
      <c r="N78" s="2725"/>
      <c r="O78" s="2723"/>
      <c r="P78" s="2724"/>
      <c r="Q78" s="2725"/>
      <c r="R78" s="2723"/>
      <c r="S78" s="2724"/>
      <c r="T78" s="2725"/>
      <c r="U78" s="2723"/>
      <c r="V78" s="2724"/>
      <c r="W78" s="2725"/>
      <c r="X78" s="2723"/>
      <c r="Y78" s="5374"/>
      <c r="Z78" s="5375"/>
      <c r="AA78" s="2723"/>
      <c r="AB78" s="5374"/>
      <c r="AC78" s="5375"/>
    </row>
    <row r="79" spans="2:29" ht="15" customHeight="1" x14ac:dyDescent="0.25">
      <c r="B79" s="2771" t="s">
        <v>60</v>
      </c>
      <c r="C79" s="2568"/>
      <c r="D79" s="2603"/>
      <c r="E79" s="2602"/>
      <c r="F79" s="2568"/>
      <c r="G79" s="2603">
        <v>2</v>
      </c>
      <c r="H79" s="2602">
        <f>SUM(F79:G79)</f>
        <v>2</v>
      </c>
      <c r="I79" s="2568">
        <v>1</v>
      </c>
      <c r="J79" s="2603"/>
      <c r="K79" s="2602">
        <f>SUM(I79:J79)</f>
        <v>1</v>
      </c>
      <c r="L79" s="2568"/>
      <c r="M79" s="2603"/>
      <c r="N79" s="2602"/>
      <c r="O79" s="2568"/>
      <c r="P79" s="2603"/>
      <c r="Q79" s="2602"/>
      <c r="R79" s="2568">
        <v>1</v>
      </c>
      <c r="S79" s="2603"/>
      <c r="T79" s="2602">
        <f t="shared" si="3"/>
        <v>1</v>
      </c>
      <c r="U79" s="2568"/>
      <c r="V79" s="2603"/>
      <c r="W79" s="2602"/>
      <c r="X79" s="2568"/>
      <c r="Y79" s="2603"/>
      <c r="Z79" s="2602"/>
      <c r="AA79" s="2568"/>
      <c r="AB79" s="2603"/>
      <c r="AC79" s="2602"/>
    </row>
    <row r="80" spans="2:29" x14ac:dyDescent="0.25">
      <c r="B80" s="2771" t="s">
        <v>94</v>
      </c>
      <c r="C80" s="2568"/>
      <c r="D80" s="2603"/>
      <c r="E80" s="2602"/>
      <c r="F80" s="2568"/>
      <c r="G80" s="2603"/>
      <c r="H80" s="2602"/>
      <c r="I80" s="2568">
        <v>1</v>
      </c>
      <c r="J80" s="2603">
        <v>1</v>
      </c>
      <c r="K80" s="2602">
        <f>SUM(I80:J80)</f>
        <v>2</v>
      </c>
      <c r="L80" s="2568"/>
      <c r="M80" s="2603"/>
      <c r="N80" s="2602"/>
      <c r="O80" s="2568"/>
      <c r="P80" s="2603"/>
      <c r="Q80" s="2602"/>
      <c r="R80" s="2568"/>
      <c r="S80" s="2603">
        <v>1</v>
      </c>
      <c r="T80" s="2602">
        <f t="shared" si="3"/>
        <v>1</v>
      </c>
      <c r="U80" s="2568"/>
      <c r="V80" s="2603"/>
      <c r="W80" s="2602"/>
      <c r="X80" s="2573"/>
      <c r="Y80" s="2576"/>
      <c r="Z80" s="2602"/>
      <c r="AA80" s="2568"/>
      <c r="AB80" s="2603"/>
      <c r="AC80" s="2602"/>
    </row>
    <row r="81" spans="2:29" x14ac:dyDescent="0.25">
      <c r="B81" s="2771" t="s">
        <v>62</v>
      </c>
      <c r="C81" s="2568"/>
      <c r="D81" s="2603"/>
      <c r="E81" s="2602"/>
      <c r="F81" s="2568"/>
      <c r="G81" s="2603"/>
      <c r="H81" s="2602"/>
      <c r="I81" s="2568">
        <v>1</v>
      </c>
      <c r="J81" s="2603"/>
      <c r="K81" s="2602">
        <f>SUM(I81:J81)</f>
        <v>1</v>
      </c>
      <c r="L81" s="2568"/>
      <c r="M81" s="2603"/>
      <c r="N81" s="2602"/>
      <c r="O81" s="2568"/>
      <c r="P81" s="2603">
        <v>1</v>
      </c>
      <c r="Q81" s="2602">
        <f t="shared" si="2"/>
        <v>1</v>
      </c>
      <c r="R81" s="2568"/>
      <c r="S81" s="2603"/>
      <c r="T81" s="2602"/>
      <c r="U81" s="2568"/>
      <c r="V81" s="2603"/>
      <c r="W81" s="2602"/>
      <c r="X81" s="2573"/>
      <c r="Y81" s="2576"/>
      <c r="Z81" s="2602"/>
      <c r="AA81" s="2568"/>
      <c r="AB81" s="2603"/>
      <c r="AC81" s="2602"/>
    </row>
    <row r="82" spans="2:29" x14ac:dyDescent="0.25">
      <c r="B82" s="2572" t="s">
        <v>96</v>
      </c>
      <c r="C82" s="2568"/>
      <c r="D82" s="2603"/>
      <c r="E82" s="2602"/>
      <c r="F82" s="2568"/>
      <c r="G82" s="2603"/>
      <c r="H82" s="2602"/>
      <c r="I82" s="2568"/>
      <c r="J82" s="2603"/>
      <c r="K82" s="2602"/>
      <c r="L82" s="2568"/>
      <c r="M82" s="2603"/>
      <c r="N82" s="2602"/>
      <c r="O82" s="2568"/>
      <c r="P82" s="2603"/>
      <c r="Q82" s="2602"/>
      <c r="R82" s="2568"/>
      <c r="S82" s="2603"/>
      <c r="T82" s="2602"/>
      <c r="U82" s="2568"/>
      <c r="V82" s="2603"/>
      <c r="W82" s="2602"/>
      <c r="X82" s="2573"/>
      <c r="Y82" s="2576"/>
      <c r="Z82" s="2602"/>
      <c r="AA82" s="2568"/>
      <c r="AB82" s="2603"/>
      <c r="AC82" s="2602"/>
    </row>
    <row r="83" spans="2:29" x14ac:dyDescent="0.25">
      <c r="B83" s="2769" t="s">
        <v>95</v>
      </c>
      <c r="C83" s="2573">
        <v>1</v>
      </c>
      <c r="D83" s="2576"/>
      <c r="E83" s="2602">
        <f>SUM(C83:D83)</f>
        <v>1</v>
      </c>
      <c r="F83" s="2573">
        <v>1</v>
      </c>
      <c r="G83" s="2576"/>
      <c r="H83" s="2602">
        <f>SUM(F83:G83)</f>
        <v>1</v>
      </c>
      <c r="I83" s="2573"/>
      <c r="J83" s="2576">
        <v>1</v>
      </c>
      <c r="K83" s="2602">
        <f>SUM(I83:J83)</f>
        <v>1</v>
      </c>
      <c r="L83" s="2573"/>
      <c r="M83" s="2576"/>
      <c r="N83" s="2602"/>
      <c r="O83" s="2573"/>
      <c r="P83" s="2576"/>
      <c r="Q83" s="2602"/>
      <c r="R83" s="2573"/>
      <c r="S83" s="2576">
        <v>1</v>
      </c>
      <c r="T83" s="2602">
        <f t="shared" si="3"/>
        <v>1</v>
      </c>
      <c r="U83" s="2573"/>
      <c r="V83" s="2576"/>
      <c r="W83" s="2602"/>
      <c r="X83" s="2573"/>
      <c r="Y83" s="2576"/>
      <c r="Z83" s="2602"/>
      <c r="AA83" s="2573"/>
      <c r="AB83" s="2576"/>
      <c r="AC83" s="2602"/>
    </row>
    <row r="84" spans="2:29" x14ac:dyDescent="0.25">
      <c r="B84" s="2769" t="s">
        <v>63</v>
      </c>
      <c r="C84" s="2573"/>
      <c r="D84" s="2576"/>
      <c r="E84" s="2602"/>
      <c r="F84" s="2573">
        <v>1</v>
      </c>
      <c r="G84" s="2576"/>
      <c r="H84" s="2602">
        <f>SUM(F84:G84)</f>
        <v>1</v>
      </c>
      <c r="I84" s="2573">
        <v>1</v>
      </c>
      <c r="J84" s="2576">
        <v>1</v>
      </c>
      <c r="K84" s="2602">
        <f>SUM(I84:J84)</f>
        <v>2</v>
      </c>
      <c r="L84" s="2573"/>
      <c r="M84" s="2576"/>
      <c r="N84" s="2602"/>
      <c r="O84" s="2573">
        <v>1</v>
      </c>
      <c r="P84" s="2576">
        <v>1</v>
      </c>
      <c r="Q84" s="2602">
        <f t="shared" si="2"/>
        <v>2</v>
      </c>
      <c r="R84" s="2573"/>
      <c r="S84" s="2576"/>
      <c r="T84" s="2602"/>
      <c r="U84" s="2573"/>
      <c r="V84" s="2576"/>
      <c r="W84" s="2602"/>
      <c r="X84" s="2573"/>
      <c r="Y84" s="2576"/>
      <c r="Z84" s="2602"/>
      <c r="AA84" s="2573">
        <v>1</v>
      </c>
      <c r="AB84" s="2576"/>
      <c r="AC84" s="2602">
        <f t="shared" ref="AC84" si="29">SUM(AA84:AB84)</f>
        <v>1</v>
      </c>
    </row>
    <row r="85" spans="2:29" x14ac:dyDescent="0.25">
      <c r="B85" s="2668" t="s">
        <v>64</v>
      </c>
      <c r="C85" s="2578">
        <f t="shared" ref="C85:H85" si="30">SUM(C79:C84)</f>
        <v>1</v>
      </c>
      <c r="D85" s="2581">
        <f t="shared" si="30"/>
        <v>0</v>
      </c>
      <c r="E85" s="2580">
        <f t="shared" si="30"/>
        <v>1</v>
      </c>
      <c r="F85" s="2578">
        <f t="shared" si="30"/>
        <v>2</v>
      </c>
      <c r="G85" s="2581">
        <f t="shared" si="30"/>
        <v>2</v>
      </c>
      <c r="H85" s="2580">
        <f t="shared" si="30"/>
        <v>4</v>
      </c>
      <c r="I85" s="2578">
        <f>SUM(I79:I84)</f>
        <v>4</v>
      </c>
      <c r="J85" s="2581">
        <f>SUM(J79:J84)</f>
        <v>3</v>
      </c>
      <c r="K85" s="2580">
        <f>SUM(K79:K84)</f>
        <v>7</v>
      </c>
      <c r="L85" s="2578">
        <f>SUM(L79:L84)</f>
        <v>0</v>
      </c>
      <c r="M85" s="2581">
        <f>SUM(M79:M84)</f>
        <v>0</v>
      </c>
      <c r="N85" s="2580">
        <f t="shared" si="1"/>
        <v>0</v>
      </c>
      <c r="O85" s="2578">
        <f>SUM(O79:O84)</f>
        <v>1</v>
      </c>
      <c r="P85" s="2581">
        <f>SUM(P79:P84)</f>
        <v>2</v>
      </c>
      <c r="Q85" s="2580">
        <f t="shared" si="2"/>
        <v>3</v>
      </c>
      <c r="R85" s="2578">
        <f>SUM(R79:R84)</f>
        <v>1</v>
      </c>
      <c r="S85" s="2581">
        <f>SUM(S79:S84)</f>
        <v>2</v>
      </c>
      <c r="T85" s="2580">
        <f t="shared" si="3"/>
        <v>3</v>
      </c>
      <c r="U85" s="2578"/>
      <c r="V85" s="2581"/>
      <c r="W85" s="2580"/>
      <c r="X85" s="2578"/>
      <c r="Y85" s="2581"/>
      <c r="Z85" s="2580"/>
      <c r="AA85" s="2578">
        <f>SUM(AA79:AA84)</f>
        <v>1</v>
      </c>
      <c r="AB85" s="2581">
        <f>SUM(AB79:AB84)</f>
        <v>0</v>
      </c>
      <c r="AC85" s="2580">
        <f t="shared" ref="AC85" si="31">SUM(AA85:AB85)</f>
        <v>1</v>
      </c>
    </row>
    <row r="86" spans="2:29" x14ac:dyDescent="0.25">
      <c r="B86" s="2769" t="s">
        <v>101</v>
      </c>
      <c r="C86" s="2573"/>
      <c r="D86" s="2576"/>
      <c r="E86" s="2575">
        <f t="shared" ref="E86:E90" si="32">SUM(C86:D86)</f>
        <v>0</v>
      </c>
      <c r="F86" s="2573">
        <v>1</v>
      </c>
      <c r="G86" s="2576"/>
      <c r="H86" s="2575">
        <f t="shared" ref="H86:H93" si="33">SUM(F86:G86)</f>
        <v>1</v>
      </c>
      <c r="I86" s="2573"/>
      <c r="J86" s="2576"/>
      <c r="K86" s="2575">
        <f t="shared" ref="K86:K90" si="34">SUM(I86:J86)</f>
        <v>0</v>
      </c>
      <c r="L86" s="2573"/>
      <c r="M86" s="2576"/>
      <c r="N86" s="2575"/>
      <c r="O86" s="2573"/>
      <c r="P86" s="2576"/>
      <c r="Q86" s="2575"/>
      <c r="R86" s="2573"/>
      <c r="S86" s="2576"/>
      <c r="T86" s="2575"/>
      <c r="U86" s="2573"/>
      <c r="V86" s="2576"/>
      <c r="W86" s="2575"/>
      <c r="X86" s="2573"/>
      <c r="Y86" s="2576"/>
      <c r="Z86" s="2575"/>
      <c r="AA86" s="2573"/>
      <c r="AB86" s="2576"/>
      <c r="AC86" s="2575"/>
    </row>
    <row r="87" spans="2:29" x14ac:dyDescent="0.25">
      <c r="B87" s="2769" t="s">
        <v>86</v>
      </c>
      <c r="C87" s="2573"/>
      <c r="D87" s="2576"/>
      <c r="E87" s="2575"/>
      <c r="F87" s="2573"/>
      <c r="G87" s="2576"/>
      <c r="H87" s="2575"/>
      <c r="I87" s="2573"/>
      <c r="J87" s="2576"/>
      <c r="K87" s="2575"/>
      <c r="L87" s="2573"/>
      <c r="M87" s="2576"/>
      <c r="N87" s="2575"/>
      <c r="O87" s="2573"/>
      <c r="P87" s="2576"/>
      <c r="Q87" s="2575"/>
      <c r="R87" s="2573">
        <v>1</v>
      </c>
      <c r="S87" s="2576"/>
      <c r="T87" s="2575">
        <f t="shared" si="3"/>
        <v>1</v>
      </c>
      <c r="U87" s="2573"/>
      <c r="V87" s="2576"/>
      <c r="W87" s="2575"/>
      <c r="X87" s="2573"/>
      <c r="Y87" s="2576"/>
      <c r="Z87" s="2575"/>
      <c r="AA87" s="2573"/>
      <c r="AB87" s="2576"/>
      <c r="AC87" s="2575"/>
    </row>
    <row r="88" spans="2:29" x14ac:dyDescent="0.25">
      <c r="B88" s="2769" t="s">
        <v>97</v>
      </c>
      <c r="C88" s="2573"/>
      <c r="D88" s="2576"/>
      <c r="E88" s="2575"/>
      <c r="F88" s="2573"/>
      <c r="G88" s="2576"/>
      <c r="H88" s="2575"/>
      <c r="I88" s="2573"/>
      <c r="J88" s="2576"/>
      <c r="K88" s="2575"/>
      <c r="L88" s="2573"/>
      <c r="M88" s="2576"/>
      <c r="N88" s="2575"/>
      <c r="O88" s="2573">
        <v>1</v>
      </c>
      <c r="P88" s="2576"/>
      <c r="Q88" s="2575">
        <f t="shared" si="2"/>
        <v>1</v>
      </c>
      <c r="R88" s="2573"/>
      <c r="S88" s="2576"/>
      <c r="T88" s="2575"/>
      <c r="U88" s="2573"/>
      <c r="V88" s="2576"/>
      <c r="W88" s="2575"/>
      <c r="X88" s="2573"/>
      <c r="Y88" s="2576"/>
      <c r="Z88" s="2575"/>
      <c r="AA88" s="2573"/>
      <c r="AB88" s="2576"/>
      <c r="AC88" s="2575"/>
    </row>
    <row r="89" spans="2:29" x14ac:dyDescent="0.25">
      <c r="B89" s="2769" t="s">
        <v>98</v>
      </c>
      <c r="C89" s="2573"/>
      <c r="D89" s="2576"/>
      <c r="E89" s="2575"/>
      <c r="F89" s="2573">
        <v>1</v>
      </c>
      <c r="G89" s="2576">
        <v>1</v>
      </c>
      <c r="H89" s="2575">
        <f t="shared" si="33"/>
        <v>2</v>
      </c>
      <c r="I89" s="2573"/>
      <c r="J89" s="2576"/>
      <c r="K89" s="2575"/>
      <c r="L89" s="2573"/>
      <c r="M89" s="2576"/>
      <c r="N89" s="2575"/>
      <c r="O89" s="2573"/>
      <c r="P89" s="2576"/>
      <c r="Q89" s="2575"/>
      <c r="R89" s="2573"/>
      <c r="S89" s="2576"/>
      <c r="T89" s="2575"/>
      <c r="U89" s="2573"/>
      <c r="V89" s="2576"/>
      <c r="W89" s="2575"/>
      <c r="X89" s="2573"/>
      <c r="Y89" s="2576"/>
      <c r="Z89" s="2575"/>
      <c r="AA89" s="2573">
        <v>1</v>
      </c>
      <c r="AB89" s="2576"/>
      <c r="AC89" s="2575">
        <f t="shared" ref="AC89" si="35">SUM(AA89:AB89)</f>
        <v>1</v>
      </c>
    </row>
    <row r="90" spans="2:29" x14ac:dyDescent="0.25">
      <c r="B90" s="2769" t="s">
        <v>102</v>
      </c>
      <c r="C90" s="2573">
        <v>5</v>
      </c>
      <c r="D90" s="2576">
        <v>1</v>
      </c>
      <c r="E90" s="2575">
        <f t="shared" si="32"/>
        <v>6</v>
      </c>
      <c r="F90" s="2573">
        <v>4</v>
      </c>
      <c r="G90" s="2576"/>
      <c r="H90" s="2575">
        <f t="shared" si="33"/>
        <v>4</v>
      </c>
      <c r="I90" s="2573">
        <v>1</v>
      </c>
      <c r="J90" s="2576">
        <v>1</v>
      </c>
      <c r="K90" s="2575">
        <f t="shared" si="34"/>
        <v>2</v>
      </c>
      <c r="L90" s="2573">
        <v>2</v>
      </c>
      <c r="M90" s="2576">
        <v>1</v>
      </c>
      <c r="N90" s="2575">
        <f t="shared" si="1"/>
        <v>3</v>
      </c>
      <c r="O90" s="2573">
        <v>2</v>
      </c>
      <c r="P90" s="2576"/>
      <c r="Q90" s="2575">
        <f t="shared" si="2"/>
        <v>2</v>
      </c>
      <c r="R90" s="2573">
        <v>1</v>
      </c>
      <c r="S90" s="2576">
        <v>2</v>
      </c>
      <c r="T90" s="2575">
        <f t="shared" si="3"/>
        <v>3</v>
      </c>
      <c r="U90" s="2573"/>
      <c r="V90" s="2576"/>
      <c r="W90" s="2575"/>
      <c r="X90" s="2573"/>
      <c r="Y90" s="2576"/>
      <c r="Z90" s="2575"/>
      <c r="AA90" s="2573"/>
      <c r="AB90" s="2576"/>
      <c r="AC90" s="2575"/>
    </row>
    <row r="91" spans="2:29" x14ac:dyDescent="0.25">
      <c r="B91" s="2769" t="s">
        <v>100</v>
      </c>
      <c r="C91" s="2573"/>
      <c r="D91" s="2576"/>
      <c r="E91" s="2575"/>
      <c r="F91" s="2573"/>
      <c r="G91" s="2576">
        <v>1</v>
      </c>
      <c r="H91" s="2575">
        <f t="shared" si="33"/>
        <v>1</v>
      </c>
      <c r="I91" s="2573"/>
      <c r="J91" s="2576"/>
      <c r="K91" s="2575"/>
      <c r="L91" s="2573">
        <v>1</v>
      </c>
      <c r="M91" s="2576">
        <v>1</v>
      </c>
      <c r="N91" s="2575">
        <f t="shared" si="1"/>
        <v>2</v>
      </c>
      <c r="O91" s="2573"/>
      <c r="P91" s="2576"/>
      <c r="Q91" s="2575"/>
      <c r="R91" s="2573"/>
      <c r="S91" s="2576"/>
      <c r="T91" s="2575"/>
      <c r="U91" s="2573"/>
      <c r="V91" s="2576"/>
      <c r="W91" s="2575"/>
      <c r="X91" s="2573"/>
      <c r="Y91" s="2576"/>
      <c r="Z91" s="2575"/>
      <c r="AA91" s="2573"/>
      <c r="AB91" s="2576"/>
      <c r="AC91" s="2575"/>
    </row>
    <row r="92" spans="2:29" x14ac:dyDescent="0.25">
      <c r="B92" s="2769" t="s">
        <v>103</v>
      </c>
      <c r="C92" s="2573"/>
      <c r="D92" s="2576"/>
      <c r="E92" s="2575"/>
      <c r="F92" s="2573">
        <v>1</v>
      </c>
      <c r="G92" s="2576"/>
      <c r="H92" s="2575">
        <f t="shared" si="33"/>
        <v>1</v>
      </c>
      <c r="I92" s="2573"/>
      <c r="J92" s="2576"/>
      <c r="K92" s="2575"/>
      <c r="L92" s="2573"/>
      <c r="M92" s="2576"/>
      <c r="N92" s="2575"/>
      <c r="O92" s="2573"/>
      <c r="P92" s="2576"/>
      <c r="Q92" s="2575"/>
      <c r="R92" s="2573"/>
      <c r="S92" s="2576"/>
      <c r="T92" s="2575"/>
      <c r="U92" s="2573"/>
      <c r="V92" s="2576"/>
      <c r="W92" s="2575"/>
      <c r="X92" s="2573"/>
      <c r="Y92" s="2576"/>
      <c r="Z92" s="2575"/>
      <c r="AA92" s="2573"/>
      <c r="AB92" s="2576"/>
      <c r="AC92" s="2575"/>
    </row>
    <row r="93" spans="2:29" x14ac:dyDescent="0.25">
      <c r="B93" s="2769" t="s">
        <v>99</v>
      </c>
      <c r="C93" s="2573"/>
      <c r="D93" s="2576"/>
      <c r="E93" s="2575"/>
      <c r="F93" s="2573">
        <v>1</v>
      </c>
      <c r="G93" s="2576"/>
      <c r="H93" s="2575">
        <f t="shared" si="33"/>
        <v>1</v>
      </c>
      <c r="I93" s="2573"/>
      <c r="J93" s="2576"/>
      <c r="K93" s="2575"/>
      <c r="L93" s="2573"/>
      <c r="M93" s="2576"/>
      <c r="N93" s="2575"/>
      <c r="O93" s="2573"/>
      <c r="P93" s="2576"/>
      <c r="Q93" s="2575"/>
      <c r="R93" s="2573"/>
      <c r="S93" s="2576"/>
      <c r="T93" s="2575"/>
      <c r="U93" s="2573"/>
      <c r="V93" s="2576"/>
      <c r="W93" s="2575"/>
      <c r="X93" s="2573"/>
      <c r="Y93" s="2576"/>
      <c r="Z93" s="2575"/>
      <c r="AA93" s="2573"/>
      <c r="AB93" s="2576"/>
      <c r="AC93" s="2575"/>
    </row>
    <row r="94" spans="2:29" x14ac:dyDescent="0.25">
      <c r="B94" s="2668" t="s">
        <v>92</v>
      </c>
      <c r="C94" s="2578">
        <f t="shared" ref="C94:H94" si="36">SUM(C86:C93)</f>
        <v>5</v>
      </c>
      <c r="D94" s="2581">
        <f t="shared" si="36"/>
        <v>1</v>
      </c>
      <c r="E94" s="2580">
        <f t="shared" si="36"/>
        <v>6</v>
      </c>
      <c r="F94" s="2578">
        <f t="shared" si="36"/>
        <v>8</v>
      </c>
      <c r="G94" s="2581">
        <f t="shared" si="36"/>
        <v>2</v>
      </c>
      <c r="H94" s="2580">
        <f t="shared" si="36"/>
        <v>10</v>
      </c>
      <c r="I94" s="2578">
        <f>SUM(I86:I93)</f>
        <v>1</v>
      </c>
      <c r="J94" s="2581">
        <f>SUM(J86:J93)</f>
        <v>1</v>
      </c>
      <c r="K94" s="2580">
        <f>SUM(K86:K93)</f>
        <v>2</v>
      </c>
      <c r="L94" s="2578">
        <f>SUM(L86:L93)</f>
        <v>3</v>
      </c>
      <c r="M94" s="2581">
        <f>SUM(M86:M93)</f>
        <v>2</v>
      </c>
      <c r="N94" s="2580">
        <f t="shared" ref="N94:N101" si="37">SUM(L94:M94)</f>
        <v>5</v>
      </c>
      <c r="O94" s="2578">
        <f>SUM(O86:O93)</f>
        <v>3</v>
      </c>
      <c r="P94" s="2581">
        <f>SUM(P86:P93)</f>
        <v>0</v>
      </c>
      <c r="Q94" s="2580">
        <f t="shared" ref="Q94:Q99" si="38">SUM(O94:P94)</f>
        <v>3</v>
      </c>
      <c r="R94" s="2578">
        <f>SUM(R86:R93)</f>
        <v>2</v>
      </c>
      <c r="S94" s="2581">
        <f>SUM(S86:S93)</f>
        <v>2</v>
      </c>
      <c r="T94" s="2580">
        <f t="shared" ref="T94:T99" si="39">SUM(R94:S94)</f>
        <v>4</v>
      </c>
      <c r="U94" s="2578"/>
      <c r="V94" s="2581"/>
      <c r="W94" s="2580"/>
      <c r="X94" s="2578"/>
      <c r="Y94" s="2581"/>
      <c r="Z94" s="2580"/>
      <c r="AA94" s="2578">
        <f>SUM(AA86:AA93)</f>
        <v>1</v>
      </c>
      <c r="AB94" s="2581">
        <f>SUM(AB86:AB93)</f>
        <v>0</v>
      </c>
      <c r="AC94" s="2580">
        <f t="shared" ref="AC94" si="40">SUM(AA94:AB94)</f>
        <v>1</v>
      </c>
    </row>
    <row r="95" spans="2:29" x14ac:dyDescent="0.25">
      <c r="B95" s="2771" t="s">
        <v>65</v>
      </c>
      <c r="C95" s="2568"/>
      <c r="D95" s="2603"/>
      <c r="E95" s="2602"/>
      <c r="F95" s="2568"/>
      <c r="G95" s="2603"/>
      <c r="H95" s="2602"/>
      <c r="I95" s="2568">
        <v>1</v>
      </c>
      <c r="J95" s="2603"/>
      <c r="K95" s="2602">
        <f>SUM(I95:J95)</f>
        <v>1</v>
      </c>
      <c r="L95" s="2568"/>
      <c r="M95" s="2603"/>
      <c r="N95" s="2602"/>
      <c r="O95" s="2568"/>
      <c r="P95" s="2603"/>
      <c r="Q95" s="2602"/>
      <c r="R95" s="2568">
        <v>2</v>
      </c>
      <c r="S95" s="2603"/>
      <c r="T95" s="2602">
        <f t="shared" si="39"/>
        <v>2</v>
      </c>
      <c r="U95" s="2568"/>
      <c r="V95" s="2603"/>
      <c r="W95" s="2602"/>
      <c r="X95" s="2568"/>
      <c r="Y95" s="2603"/>
      <c r="Z95" s="2602"/>
      <c r="AA95" s="2568"/>
      <c r="AB95" s="2603"/>
      <c r="AC95" s="2602"/>
    </row>
    <row r="96" spans="2:29" x14ac:dyDescent="0.25">
      <c r="B96" s="2771" t="s">
        <v>66</v>
      </c>
      <c r="C96" s="2568"/>
      <c r="D96" s="2603"/>
      <c r="E96" s="2602"/>
      <c r="F96" s="2568"/>
      <c r="G96" s="2603"/>
      <c r="H96" s="2602"/>
      <c r="I96" s="2568">
        <v>2</v>
      </c>
      <c r="J96" s="2603"/>
      <c r="K96" s="2602">
        <f>SUM(I96:J96)</f>
        <v>2</v>
      </c>
      <c r="L96" s="2568"/>
      <c r="M96" s="2603"/>
      <c r="N96" s="2602"/>
      <c r="O96" s="2568">
        <v>1</v>
      </c>
      <c r="P96" s="2603"/>
      <c r="Q96" s="2602">
        <f t="shared" si="38"/>
        <v>1</v>
      </c>
      <c r="R96" s="2568"/>
      <c r="S96" s="2603"/>
      <c r="T96" s="2602"/>
      <c r="U96" s="2568"/>
      <c r="V96" s="2603"/>
      <c r="W96" s="2602"/>
      <c r="X96" s="2568"/>
      <c r="Y96" s="2603"/>
      <c r="Z96" s="2602"/>
      <c r="AA96" s="2568"/>
      <c r="AB96" s="2603"/>
      <c r="AC96" s="2602"/>
    </row>
    <row r="97" spans="2:29" x14ac:dyDescent="0.25">
      <c r="B97" s="2769" t="s">
        <v>67</v>
      </c>
      <c r="C97" s="2573"/>
      <c r="D97" s="2576"/>
      <c r="E97" s="2602"/>
      <c r="F97" s="2573"/>
      <c r="G97" s="2576"/>
      <c r="H97" s="2602"/>
      <c r="I97" s="2573">
        <v>1</v>
      </c>
      <c r="J97" s="2576"/>
      <c r="K97" s="2602">
        <f>SUM(I97:J97)</f>
        <v>1</v>
      </c>
      <c r="L97" s="2573"/>
      <c r="M97" s="2576"/>
      <c r="N97" s="2602"/>
      <c r="O97" s="2573"/>
      <c r="P97" s="2576"/>
      <c r="Q97" s="2602"/>
      <c r="R97" s="2573"/>
      <c r="S97" s="2576"/>
      <c r="T97" s="2602"/>
      <c r="U97" s="2573"/>
      <c r="V97" s="2576"/>
      <c r="W97" s="2602"/>
      <c r="X97" s="2573"/>
      <c r="Y97" s="2576"/>
      <c r="Z97" s="2602"/>
      <c r="AA97" s="2573"/>
      <c r="AB97" s="2576"/>
      <c r="AC97" s="2602"/>
    </row>
    <row r="98" spans="2:29" x14ac:dyDescent="0.25">
      <c r="B98" s="2770" t="s">
        <v>68</v>
      </c>
      <c r="C98" s="2578"/>
      <c r="D98" s="2581"/>
      <c r="E98" s="2580"/>
      <c r="F98" s="2578"/>
      <c r="G98" s="2581"/>
      <c r="H98" s="2580"/>
      <c r="I98" s="2578">
        <f>SUM(I95:I97)</f>
        <v>4</v>
      </c>
      <c r="J98" s="2581">
        <f>SUM(J95:J97)</f>
        <v>0</v>
      </c>
      <c r="K98" s="2580">
        <f>SUM(K95:K97)</f>
        <v>4</v>
      </c>
      <c r="L98" s="2578">
        <f>SUM(L95:L97)</f>
        <v>0</v>
      </c>
      <c r="M98" s="2581">
        <f>SUM(M95:M97)</f>
        <v>0</v>
      </c>
      <c r="N98" s="2580">
        <f t="shared" si="37"/>
        <v>0</v>
      </c>
      <c r="O98" s="2578">
        <f>SUM(O95:O97)</f>
        <v>1</v>
      </c>
      <c r="P98" s="2581">
        <f>SUM(P95:P97)</f>
        <v>0</v>
      </c>
      <c r="Q98" s="2580">
        <f t="shared" si="38"/>
        <v>1</v>
      </c>
      <c r="R98" s="2578">
        <f>SUM(R95:R97)</f>
        <v>2</v>
      </c>
      <c r="S98" s="2581">
        <f>SUM(S95:S97)</f>
        <v>0</v>
      </c>
      <c r="T98" s="2580">
        <f t="shared" si="39"/>
        <v>2</v>
      </c>
      <c r="U98" s="2578"/>
      <c r="V98" s="2581"/>
      <c r="W98" s="2580"/>
      <c r="X98" s="2578"/>
      <c r="Y98" s="2581"/>
      <c r="Z98" s="2580"/>
      <c r="AA98" s="2578">
        <f>SUM(AA95:AA97)</f>
        <v>0</v>
      </c>
      <c r="AB98" s="2581">
        <f>SUM(AB95:AB97)</f>
        <v>0</v>
      </c>
      <c r="AC98" s="2580">
        <f t="shared" ref="AC98:AC99" si="41">SUM(AA98:AB98)</f>
        <v>0</v>
      </c>
    </row>
    <row r="99" spans="2:29" x14ac:dyDescent="0.25">
      <c r="B99" s="2729" t="s">
        <v>105</v>
      </c>
      <c r="C99" s="2729">
        <f t="shared" ref="C99:H99" si="42">SUM(C94,C85)</f>
        <v>6</v>
      </c>
      <c r="D99" s="2774">
        <f t="shared" si="42"/>
        <v>1</v>
      </c>
      <c r="E99" s="2775">
        <f t="shared" si="42"/>
        <v>7</v>
      </c>
      <c r="F99" s="2729">
        <f t="shared" si="42"/>
        <v>10</v>
      </c>
      <c r="G99" s="2774">
        <f t="shared" si="42"/>
        <v>4</v>
      </c>
      <c r="H99" s="2775">
        <f t="shared" si="42"/>
        <v>14</v>
      </c>
      <c r="I99" s="2729">
        <f>SUM(I98,I94,I85)</f>
        <v>9</v>
      </c>
      <c r="J99" s="2774">
        <f>SUM(J98,J94,J85)</f>
        <v>4</v>
      </c>
      <c r="K99" s="2775">
        <f>SUM(K85,K94,K98)</f>
        <v>13</v>
      </c>
      <c r="L99" s="2729">
        <f>SUM(L98,L94,L85)</f>
        <v>3</v>
      </c>
      <c r="M99" s="2774">
        <f>SUM(M98,M94,M85)</f>
        <v>2</v>
      </c>
      <c r="N99" s="2775">
        <f t="shared" si="37"/>
        <v>5</v>
      </c>
      <c r="O99" s="2729">
        <f>SUM(O98,O94,O85)</f>
        <v>5</v>
      </c>
      <c r="P99" s="2774">
        <f>SUM(P98,P94,P85)</f>
        <v>2</v>
      </c>
      <c r="Q99" s="2775">
        <f t="shared" si="38"/>
        <v>7</v>
      </c>
      <c r="R99" s="2729">
        <f>SUM(R98,R94,R85)</f>
        <v>5</v>
      </c>
      <c r="S99" s="2774">
        <f>SUM(S98,S94,S85)</f>
        <v>4</v>
      </c>
      <c r="T99" s="2775">
        <f t="shared" si="39"/>
        <v>9</v>
      </c>
      <c r="U99" s="2729"/>
      <c r="V99" s="2774"/>
      <c r="W99" s="2775"/>
      <c r="X99" s="2729"/>
      <c r="Y99" s="2774"/>
      <c r="Z99" s="2775"/>
      <c r="AA99" s="2729">
        <f>SUM(AA98,AA94,AA85)</f>
        <v>2</v>
      </c>
      <c r="AB99" s="2774">
        <f>SUM(AB98,AB94,AB85)</f>
        <v>0</v>
      </c>
      <c r="AC99" s="2775">
        <f t="shared" si="41"/>
        <v>2</v>
      </c>
    </row>
    <row r="100" spans="2:29" x14ac:dyDescent="0.25">
      <c r="B100" s="2564"/>
      <c r="C100" s="2564"/>
      <c r="D100" s="2564"/>
      <c r="E100" s="2564"/>
      <c r="F100" s="2564"/>
      <c r="G100" s="2564"/>
      <c r="H100" s="2564"/>
      <c r="I100" s="2564"/>
      <c r="J100" s="2564"/>
      <c r="K100" s="2564"/>
      <c r="L100" s="2564"/>
      <c r="M100" s="2564"/>
      <c r="N100" s="2564"/>
      <c r="O100" s="2564"/>
      <c r="P100" s="2564"/>
      <c r="Q100" s="2564"/>
      <c r="R100" s="2564"/>
      <c r="S100" s="2564"/>
      <c r="T100" s="2564"/>
      <c r="U100" s="2564"/>
      <c r="V100" s="2564"/>
      <c r="W100" s="2564"/>
      <c r="X100" s="2564"/>
      <c r="Y100" s="2564"/>
      <c r="Z100" s="2564"/>
      <c r="AA100" s="2564"/>
      <c r="AB100" s="2564"/>
      <c r="AC100" s="2564"/>
    </row>
    <row r="101" spans="2:29" x14ac:dyDescent="0.25">
      <c r="B101" s="2732" t="s">
        <v>128</v>
      </c>
      <c r="C101" s="2732">
        <f t="shared" ref="C101:K101" si="43">SUM(C25,C40,C65,C99)</f>
        <v>29</v>
      </c>
      <c r="D101" s="2692">
        <f t="shared" si="43"/>
        <v>11</v>
      </c>
      <c r="E101" s="2690">
        <f t="shared" si="43"/>
        <v>40</v>
      </c>
      <c r="F101" s="2732">
        <f t="shared" si="43"/>
        <v>46</v>
      </c>
      <c r="G101" s="2692">
        <f t="shared" si="43"/>
        <v>12</v>
      </c>
      <c r="H101" s="2690">
        <f t="shared" si="43"/>
        <v>58</v>
      </c>
      <c r="I101" s="2732">
        <f t="shared" si="43"/>
        <v>40</v>
      </c>
      <c r="J101" s="2692">
        <f t="shared" si="43"/>
        <v>21</v>
      </c>
      <c r="K101" s="2690">
        <f t="shared" si="43"/>
        <v>61</v>
      </c>
      <c r="L101" s="2732">
        <f>SUM(L25,L40,L65,L99)</f>
        <v>30</v>
      </c>
      <c r="M101" s="2692">
        <f>SUM(M25,M40,M65,M99)</f>
        <v>22</v>
      </c>
      <c r="N101" s="2690">
        <f t="shared" si="37"/>
        <v>52</v>
      </c>
      <c r="O101" s="2732">
        <f>SUM(O25,O40,O65,O99)</f>
        <v>19</v>
      </c>
      <c r="P101" s="2692">
        <f>SUM(P25,P40,P65,P99)</f>
        <v>8</v>
      </c>
      <c r="Q101" s="2690">
        <f>SUM(O101:P101)</f>
        <v>27</v>
      </c>
      <c r="R101" s="2732">
        <f>SUM(R25,R40,R65,R99)</f>
        <v>11</v>
      </c>
      <c r="S101" s="2692">
        <f>SUM(S25,S40,S65,S99)</f>
        <v>10</v>
      </c>
      <c r="T101" s="2690">
        <f>SUM(R101:S101)</f>
        <v>21</v>
      </c>
      <c r="U101" s="2732"/>
      <c r="V101" s="2692"/>
      <c r="W101" s="2690"/>
      <c r="X101" s="2732"/>
      <c r="Y101" s="2692"/>
      <c r="Z101" s="2690"/>
      <c r="AA101" s="2732">
        <f>SUM(AA25,AA40,AA65,AA99)</f>
        <v>10</v>
      </c>
      <c r="AB101" s="2692">
        <f>SUM(AB25,AB40,AB65,AB99)</f>
        <v>2</v>
      </c>
      <c r="AC101" s="5300">
        <f>SUM(AA101:AB101)</f>
        <v>12</v>
      </c>
    </row>
    <row r="102" spans="2:29" x14ac:dyDescent="0.25">
      <c r="B102" s="2341" t="s">
        <v>622</v>
      </c>
      <c r="W102" s="2776" t="s">
        <v>677</v>
      </c>
    </row>
  </sheetData>
  <mergeCells count="10">
    <mergeCell ref="AA3:AC3"/>
    <mergeCell ref="X3:Z3"/>
    <mergeCell ref="R3:T3"/>
    <mergeCell ref="U3:W3"/>
    <mergeCell ref="B3:B4"/>
    <mergeCell ref="C3:E3"/>
    <mergeCell ref="F3:H3"/>
    <mergeCell ref="I3:K3"/>
    <mergeCell ref="L3:N3"/>
    <mergeCell ref="O3:Q3"/>
  </mergeCells>
  <printOptions horizontalCentered="1" verticalCentered="1"/>
  <pageMargins left="0.74803149606299213" right="0.74803149606299213" top="0.39370078740157483" bottom="0.39370078740157483" header="0.51181102362204722" footer="0.51181102362204722"/>
  <pageSetup scale="52" firstPageNumber="113" orientation="landscape" useFirstPageNumber="1" r:id="rId1"/>
  <headerFooter scaleWithDoc="0" alignWithMargins="0">
    <oddFooter>&amp;R&amp;P</oddFooter>
  </headerFooter>
  <rowBreaks count="1" manualBreakCount="1">
    <brk id="65" min="14" max="28" man="1"/>
  </rowBreaks>
  <ignoredErrors>
    <ignoredError sqref="K15:T16 L20:T20 K20:K22 E20:J22 K19:S19 K18:M18 O18:S18 K24:K29 E24:J32 F23:J23 L29:T29 L28:M28 O28:P28 K31:K32 L31:P32 L30:M30 O30:P30 L34:T34 L33:M33 O33:P33 E34:J34 F33:J33 K34 K36:K50 E36:J42 F35:J35 L39:T41 L35:M36 O36:S36 E44:J50 F43:J43 L47:T47 L42:M42 O42:P42 E54:J54 F52:J53 E58:J62 F55:J57 F51:G51 I51:J51 K52 K54:K62 L52:P52 L50:M51 O50:P51 L54:S54 L53:M53 O53:S53 L56:P56 L55:M55 O55:S55 L59:T59 L57:M57 O57:P57 E64:J78 F63:J63 K64:K88 L64:T78 O63:S63 E80:J83 F79:J79 L85:T85 L79:M84 O82:T82 E85:J88 F84:J84 L90:T90 L86:M89 O87:T87 L94:T94 L92:M93 O92:P93 K90 K94:K101 E90:J90 F89:J89 E94:J101 F91:J93 L98:T101 L95:M97 O96:S96 X15:Z17 X20:Z27 X19:Z19 X18:Z18 X29:Z29 X28:Z28 X31:Z32 X30:Z30 X34:Z34 X33:Z33 X37:Z41 X35:Z36 X43:Z49 X42:Z42 X52:Z52 X50:Z51 X54:Z54 X53:Z53 X56:Z56 X55:Z55 X58:Z62 X57:Z57 X64:Z78 X63:Z63 X85:Z85 X79:Z84 X90:Z91 X86:Z89 X94:Z94 X92:Z93 X98:Z101 X95:Z97 K17:P17 L23:T25 L21:P21 R21:T21 L22:S22 R28:S28 L27:P27 R27:S27 L26:S26 O35:P35 L37:P38 L43:P46 L48:P49 R56:T56 L58:P58 R58:S58 R57:S57 L62:S62 L60:P60 R60:T60 L61:M61 O61:P61 R61:S61 O79:P80 R79:T80 O81:S81 O84:S84 O83:P83 R83:T83 O86:P86 O89:P89 O88:S88 L91:P91 O95:P95 R95:T95 O97:P97 R97:S97" formula="1"/>
  </ignoredErrors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</sheetPr>
  <dimension ref="A1:AG117"/>
  <sheetViews>
    <sheetView showGridLines="0" tabSelected="1" zoomScaleNormal="100" workbookViewId="0">
      <pane xSplit="2" ySplit="4" topLeftCell="V64" activePane="bottomRight" state="frozen"/>
      <selection activeCell="Q31" sqref="Q31"/>
      <selection pane="topRight" activeCell="Q31" sqref="Q31"/>
      <selection pane="bottomLeft" activeCell="Q31" sqref="Q31"/>
      <selection pane="bottomRight" activeCell="AD70" sqref="AD70:AF71"/>
    </sheetView>
  </sheetViews>
  <sheetFormatPr baseColWidth="10" defaultRowHeight="13.2" x14ac:dyDescent="0.25"/>
  <cols>
    <col min="1" max="1" width="2.88671875" customWidth="1"/>
    <col min="2" max="2" width="60.88671875" customWidth="1"/>
    <col min="3" max="3" width="8.88671875" customWidth="1"/>
    <col min="4" max="4" width="9.44140625" customWidth="1"/>
    <col min="5" max="6" width="8.88671875" customWidth="1"/>
    <col min="7" max="7" width="9.44140625" customWidth="1"/>
    <col min="8" max="9" width="8.88671875" customWidth="1"/>
    <col min="10" max="10" width="9.44140625" customWidth="1"/>
    <col min="11" max="11" width="8.88671875" customWidth="1"/>
    <col min="12" max="12" width="8.5546875" customWidth="1"/>
    <col min="13" max="13" width="9.44140625" customWidth="1"/>
    <col min="14" max="14" width="8.88671875" customWidth="1"/>
    <col min="15" max="15" width="8.5546875" customWidth="1"/>
    <col min="16" max="16" width="9.44140625" customWidth="1"/>
    <col min="17" max="17" width="8.88671875" customWidth="1"/>
    <col min="18" max="18" width="8.5546875" customWidth="1"/>
    <col min="19" max="19" width="9.44140625" customWidth="1"/>
    <col min="20" max="20" width="7.5546875" customWidth="1"/>
    <col min="21" max="21" width="8.5546875" customWidth="1"/>
    <col min="22" max="22" width="9.44140625" customWidth="1"/>
    <col min="23" max="23" width="7.88671875" customWidth="1"/>
    <col min="24" max="24" width="8.88671875" customWidth="1"/>
    <col min="25" max="25" width="9.6640625" customWidth="1"/>
    <col min="26" max="27" width="8.88671875" customWidth="1"/>
    <col min="28" max="28" width="9.6640625" customWidth="1"/>
    <col min="29" max="29" width="8.88671875" customWidth="1"/>
    <col min="30" max="30" width="8.5546875" bestFit="1" customWidth="1"/>
    <col min="31" max="31" width="9.44140625" bestFit="1" customWidth="1"/>
    <col min="32" max="32" width="8.5546875" customWidth="1"/>
    <col min="33" max="63" width="8.88671875" customWidth="1"/>
  </cols>
  <sheetData>
    <row r="1" spans="1:33" ht="31.2" x14ac:dyDescent="0.3">
      <c r="B1" s="2777" t="s">
        <v>1495</v>
      </c>
    </row>
    <row r="2" spans="1:33" ht="17.399999999999999" x14ac:dyDescent="0.3">
      <c r="A2" s="2778"/>
    </row>
    <row r="3" spans="1:33" ht="15" customHeight="1" x14ac:dyDescent="0.3">
      <c r="A3" s="2778"/>
      <c r="B3" s="6094" t="s">
        <v>624</v>
      </c>
      <c r="C3" s="6102">
        <v>2013</v>
      </c>
      <c r="D3" s="6103"/>
      <c r="E3" s="6104"/>
      <c r="F3" s="6102">
        <v>2014</v>
      </c>
      <c r="G3" s="6103"/>
      <c r="H3" s="6104"/>
      <c r="I3" s="6102">
        <v>2015</v>
      </c>
      <c r="J3" s="6103"/>
      <c r="K3" s="6104"/>
      <c r="L3" s="6102">
        <v>2016</v>
      </c>
      <c r="M3" s="6103"/>
      <c r="N3" s="6104"/>
      <c r="O3" s="6102">
        <v>2017</v>
      </c>
      <c r="P3" s="6103"/>
      <c r="Q3" s="6104"/>
      <c r="R3" s="6102">
        <v>2018</v>
      </c>
      <c r="S3" s="6103"/>
      <c r="T3" s="6104"/>
      <c r="U3" s="6102">
        <v>2019</v>
      </c>
      <c r="V3" s="6103"/>
      <c r="W3" s="6104"/>
      <c r="X3" s="6102">
        <v>2020</v>
      </c>
      <c r="Y3" s="6103"/>
      <c r="Z3" s="6104"/>
      <c r="AA3" s="6102">
        <v>2021</v>
      </c>
      <c r="AB3" s="6103"/>
      <c r="AC3" s="6104"/>
      <c r="AD3" s="6102" t="s">
        <v>1599</v>
      </c>
      <c r="AE3" s="6103"/>
      <c r="AF3" s="6104"/>
      <c r="AG3" s="5642"/>
    </row>
    <row r="4" spans="1:33" ht="27.6" x14ac:dyDescent="0.3">
      <c r="A4" s="2778"/>
      <c r="B4" s="6087"/>
      <c r="C4" s="2779" t="s">
        <v>140</v>
      </c>
      <c r="D4" s="2779" t="s">
        <v>141</v>
      </c>
      <c r="E4" s="2404" t="s">
        <v>48</v>
      </c>
      <c r="F4" s="2779" t="s">
        <v>140</v>
      </c>
      <c r="G4" s="2779" t="s">
        <v>141</v>
      </c>
      <c r="H4" s="2780" t="s">
        <v>48</v>
      </c>
      <c r="I4" s="2779" t="s">
        <v>140</v>
      </c>
      <c r="J4" s="2779" t="s">
        <v>141</v>
      </c>
      <c r="K4" s="2780" t="s">
        <v>48</v>
      </c>
      <c r="L4" s="2779" t="s">
        <v>140</v>
      </c>
      <c r="M4" s="2779" t="s">
        <v>141</v>
      </c>
      <c r="N4" s="2780" t="s">
        <v>48</v>
      </c>
      <c r="O4" s="2779" t="s">
        <v>140</v>
      </c>
      <c r="P4" s="2779" t="s">
        <v>141</v>
      </c>
      <c r="Q4" s="2780" t="s">
        <v>48</v>
      </c>
      <c r="R4" s="2779" t="s">
        <v>140</v>
      </c>
      <c r="S4" s="2779" t="s">
        <v>141</v>
      </c>
      <c r="T4" s="2780" t="s">
        <v>48</v>
      </c>
      <c r="U4" s="2779" t="s">
        <v>140</v>
      </c>
      <c r="V4" s="2779" t="s">
        <v>141</v>
      </c>
      <c r="W4" s="2780" t="s">
        <v>48</v>
      </c>
      <c r="X4" s="2779" t="s">
        <v>140</v>
      </c>
      <c r="Y4" s="2779" t="s">
        <v>141</v>
      </c>
      <c r="Z4" s="2780" t="s">
        <v>48</v>
      </c>
      <c r="AA4" s="2779" t="s">
        <v>140</v>
      </c>
      <c r="AB4" s="2779" t="s">
        <v>141</v>
      </c>
      <c r="AC4" s="2780" t="s">
        <v>48</v>
      </c>
      <c r="AD4" s="2779" t="s">
        <v>140</v>
      </c>
      <c r="AE4" s="2779" t="s">
        <v>141</v>
      </c>
      <c r="AF4" s="2780" t="s">
        <v>48</v>
      </c>
    </row>
    <row r="5" spans="1:33" ht="15" customHeight="1" x14ac:dyDescent="0.3">
      <c r="A5" s="2778"/>
      <c r="B5" s="2781" t="s">
        <v>678</v>
      </c>
      <c r="C5" s="2782">
        <v>8</v>
      </c>
      <c r="D5" s="2783">
        <v>5</v>
      </c>
      <c r="E5" s="2784">
        <f>SUM(C5:D5)</f>
        <v>13</v>
      </c>
      <c r="F5" s="2782">
        <v>6</v>
      </c>
      <c r="G5" s="2783">
        <v>8</v>
      </c>
      <c r="H5" s="2784">
        <f>SUM(F5:G5)</f>
        <v>14</v>
      </c>
      <c r="I5" s="2782">
        <v>5</v>
      </c>
      <c r="J5" s="2783">
        <v>6</v>
      </c>
      <c r="K5" s="2784">
        <f>SUM(I5:J5)</f>
        <v>11</v>
      </c>
      <c r="L5" s="2782">
        <v>5</v>
      </c>
      <c r="M5" s="2783">
        <v>8</v>
      </c>
      <c r="N5" s="2784">
        <f>SUM(L5:M5)</f>
        <v>13</v>
      </c>
      <c r="O5" s="2782"/>
      <c r="P5" s="2783"/>
      <c r="Q5" s="2784">
        <f>SUM(O5:P5)</f>
        <v>0</v>
      </c>
      <c r="R5" s="2782">
        <v>2</v>
      </c>
      <c r="S5" s="2783">
        <v>3</v>
      </c>
      <c r="T5" s="2784">
        <f t="shared" ref="T5:T14" si="0">SUM(R5:S5)</f>
        <v>5</v>
      </c>
      <c r="U5" s="2782">
        <v>2</v>
      </c>
      <c r="V5" s="2783">
        <v>1</v>
      </c>
      <c r="W5" s="2784">
        <f t="shared" ref="W5:W14" si="1">SUM(U5:V5)</f>
        <v>3</v>
      </c>
      <c r="X5" s="2782">
        <v>6</v>
      </c>
      <c r="Y5" s="2783">
        <v>4</v>
      </c>
      <c r="Z5" s="2784">
        <f t="shared" ref="Z5:Z14" si="2">SUM(X5:Y5)</f>
        <v>10</v>
      </c>
      <c r="AA5" s="2782">
        <v>6</v>
      </c>
      <c r="AB5" s="2783">
        <v>10</v>
      </c>
      <c r="AC5" s="2784">
        <f t="shared" ref="AC5:AC14" si="3">SUM(AA5:AB5)</f>
        <v>16</v>
      </c>
      <c r="AD5" s="2782">
        <v>4</v>
      </c>
      <c r="AE5" s="2783"/>
      <c r="AF5" s="2784">
        <f t="shared" ref="AF5:AF7" si="4">SUM(AD5:AE5)</f>
        <v>4</v>
      </c>
    </row>
    <row r="6" spans="1:33" ht="17.399999999999999" x14ac:dyDescent="0.3">
      <c r="A6" s="2778"/>
      <c r="B6" s="2781" t="s">
        <v>679</v>
      </c>
      <c r="C6" s="2782">
        <v>2</v>
      </c>
      <c r="D6" s="2785"/>
      <c r="E6" s="2786">
        <f>SUM(C6:D6)</f>
        <v>2</v>
      </c>
      <c r="F6" s="2782"/>
      <c r="G6" s="2785">
        <v>2</v>
      </c>
      <c r="H6" s="2786">
        <f>SUM(F6:G6)</f>
        <v>2</v>
      </c>
      <c r="I6" s="2782"/>
      <c r="J6" s="2785"/>
      <c r="K6" s="2786"/>
      <c r="L6" s="2782"/>
      <c r="M6" s="2785"/>
      <c r="N6" s="2786"/>
      <c r="O6" s="2782">
        <v>5</v>
      </c>
      <c r="P6" s="2785">
        <v>5</v>
      </c>
      <c r="Q6" s="2786">
        <f>SUM(O6:P6)</f>
        <v>10</v>
      </c>
      <c r="R6" s="2782">
        <v>2</v>
      </c>
      <c r="S6" s="2785">
        <v>2</v>
      </c>
      <c r="T6" s="2786">
        <f t="shared" si="0"/>
        <v>4</v>
      </c>
      <c r="U6" s="2782">
        <v>2</v>
      </c>
      <c r="V6" s="2785">
        <v>2</v>
      </c>
      <c r="W6" s="2786">
        <f t="shared" si="1"/>
        <v>4</v>
      </c>
      <c r="X6" s="2782">
        <v>3</v>
      </c>
      <c r="Y6" s="2785">
        <v>2</v>
      </c>
      <c r="Z6" s="2786">
        <f t="shared" si="2"/>
        <v>5</v>
      </c>
      <c r="AA6" s="2782">
        <v>1</v>
      </c>
      <c r="AB6" s="2785">
        <v>1</v>
      </c>
      <c r="AC6" s="2786">
        <f t="shared" si="3"/>
        <v>2</v>
      </c>
      <c r="AD6" s="2782">
        <v>1</v>
      </c>
      <c r="AE6" s="2785">
        <v>1</v>
      </c>
      <c r="AF6" s="2786">
        <f t="shared" si="4"/>
        <v>2</v>
      </c>
    </row>
    <row r="7" spans="1:33" ht="17.399999999999999" x14ac:dyDescent="0.3">
      <c r="A7" s="2778"/>
      <c r="B7" s="2787" t="s">
        <v>680</v>
      </c>
      <c r="C7" s="2782"/>
      <c r="D7" s="2785"/>
      <c r="E7" s="2786"/>
      <c r="F7" s="2782"/>
      <c r="G7" s="2785"/>
      <c r="H7" s="2786"/>
      <c r="I7" s="2782">
        <v>7</v>
      </c>
      <c r="J7" s="2785">
        <v>8</v>
      </c>
      <c r="K7" s="2786">
        <f t="shared" ref="K7:K14" si="5">SUM(I7:J7)</f>
        <v>15</v>
      </c>
      <c r="L7" s="2782">
        <v>7</v>
      </c>
      <c r="M7" s="2785">
        <v>8</v>
      </c>
      <c r="N7" s="2786">
        <f t="shared" ref="N7:N14" si="6">SUM(L7:M7)</f>
        <v>15</v>
      </c>
      <c r="O7" s="2782">
        <v>11</v>
      </c>
      <c r="P7" s="2785">
        <v>13</v>
      </c>
      <c r="Q7" s="2786">
        <f>SUM(O7:P7)</f>
        <v>24</v>
      </c>
      <c r="R7" s="2782">
        <v>6</v>
      </c>
      <c r="S7" s="2785">
        <v>5</v>
      </c>
      <c r="T7" s="2786">
        <f t="shared" si="0"/>
        <v>11</v>
      </c>
      <c r="U7" s="2782">
        <v>6</v>
      </c>
      <c r="V7" s="2785">
        <v>5</v>
      </c>
      <c r="W7" s="2786">
        <f t="shared" si="1"/>
        <v>11</v>
      </c>
      <c r="X7" s="2782">
        <v>6</v>
      </c>
      <c r="Y7" s="2785">
        <v>3</v>
      </c>
      <c r="Z7" s="2786">
        <f t="shared" si="2"/>
        <v>9</v>
      </c>
      <c r="AA7" s="2782">
        <v>3</v>
      </c>
      <c r="AB7" s="2785">
        <v>2</v>
      </c>
      <c r="AC7" s="2786">
        <f t="shared" si="3"/>
        <v>5</v>
      </c>
      <c r="AD7" s="2782">
        <v>9</v>
      </c>
      <c r="AE7" s="2785">
        <v>8</v>
      </c>
      <c r="AF7" s="2786">
        <f t="shared" si="4"/>
        <v>17</v>
      </c>
    </row>
    <row r="8" spans="1:33" ht="28.8" x14ac:dyDescent="0.3">
      <c r="A8" s="2778"/>
      <c r="B8" s="2787" t="s">
        <v>681</v>
      </c>
      <c r="C8" s="2782"/>
      <c r="D8" s="2785"/>
      <c r="E8" s="2786"/>
      <c r="F8" s="2782"/>
      <c r="G8" s="2785"/>
      <c r="H8" s="2786"/>
      <c r="I8" s="2782"/>
      <c r="J8" s="2785"/>
      <c r="K8" s="2786"/>
      <c r="L8" s="2782"/>
      <c r="M8" s="2785"/>
      <c r="N8" s="2786"/>
      <c r="O8" s="2782"/>
      <c r="P8" s="2785"/>
      <c r="Q8" s="2786"/>
      <c r="R8" s="2782">
        <v>1</v>
      </c>
      <c r="S8" s="2785"/>
      <c r="T8" s="2786">
        <f t="shared" si="0"/>
        <v>1</v>
      </c>
      <c r="U8" s="2782">
        <v>1</v>
      </c>
      <c r="V8" s="2785"/>
      <c r="W8" s="2786">
        <f t="shared" si="1"/>
        <v>1</v>
      </c>
      <c r="X8" s="2782">
        <v>1</v>
      </c>
      <c r="Y8" s="2785"/>
      <c r="Z8" s="2786">
        <f t="shared" si="2"/>
        <v>1</v>
      </c>
      <c r="AA8" s="2782"/>
      <c r="AB8" s="2785"/>
      <c r="AC8" s="2786"/>
      <c r="AD8" s="2782"/>
      <c r="AE8" s="2785"/>
      <c r="AF8" s="2786"/>
    </row>
    <row r="9" spans="1:33" ht="17.399999999999999" x14ac:dyDescent="0.3">
      <c r="A9" s="2778"/>
      <c r="B9" s="2788" t="s">
        <v>682</v>
      </c>
      <c r="C9" s="2782"/>
      <c r="D9" s="2785"/>
      <c r="E9" s="2786"/>
      <c r="F9" s="2782"/>
      <c r="G9" s="2785"/>
      <c r="H9" s="2786"/>
      <c r="I9" s="2782">
        <v>3</v>
      </c>
      <c r="J9" s="2785">
        <v>8</v>
      </c>
      <c r="K9" s="2786">
        <f t="shared" si="5"/>
        <v>11</v>
      </c>
      <c r="L9" s="2782">
        <v>4</v>
      </c>
      <c r="M9" s="2785">
        <v>10</v>
      </c>
      <c r="N9" s="2786">
        <f t="shared" si="6"/>
        <v>14</v>
      </c>
      <c r="O9" s="2782"/>
      <c r="P9" s="2785"/>
      <c r="Q9" s="2786"/>
      <c r="R9" s="2782">
        <v>4</v>
      </c>
      <c r="S9" s="2785">
        <v>4</v>
      </c>
      <c r="T9" s="2786">
        <f t="shared" si="0"/>
        <v>8</v>
      </c>
      <c r="U9" s="2782">
        <v>4</v>
      </c>
      <c r="V9" s="2785">
        <v>4</v>
      </c>
      <c r="W9" s="2786">
        <f t="shared" si="1"/>
        <v>8</v>
      </c>
      <c r="X9" s="2782">
        <v>2</v>
      </c>
      <c r="Y9" s="2785">
        <v>4</v>
      </c>
      <c r="Z9" s="2786">
        <f t="shared" si="2"/>
        <v>6</v>
      </c>
      <c r="AA9" s="2782">
        <v>3</v>
      </c>
      <c r="AB9" s="2785">
        <v>6</v>
      </c>
      <c r="AC9" s="2786">
        <f t="shared" si="3"/>
        <v>9</v>
      </c>
      <c r="AD9" s="2782">
        <v>2</v>
      </c>
      <c r="AE9" s="2785">
        <v>5</v>
      </c>
      <c r="AF9" s="2786">
        <f t="shared" ref="AF9:AF14" si="7">SUM(AD9:AE9)</f>
        <v>7</v>
      </c>
    </row>
    <row r="10" spans="1:33" ht="17.399999999999999" x14ac:dyDescent="0.3">
      <c r="A10" s="2778"/>
      <c r="B10" s="1456" t="s">
        <v>683</v>
      </c>
      <c r="C10" s="2782"/>
      <c r="D10" s="2785"/>
      <c r="E10" s="2786"/>
      <c r="F10" s="2782"/>
      <c r="G10" s="2785"/>
      <c r="H10" s="2786"/>
      <c r="I10" s="2782"/>
      <c r="J10" s="2785"/>
      <c r="K10" s="2786"/>
      <c r="L10" s="2782">
        <v>1</v>
      </c>
      <c r="M10" s="2785">
        <v>2</v>
      </c>
      <c r="N10" s="2786">
        <f>SUM(L10:M10)</f>
        <v>3</v>
      </c>
      <c r="O10" s="2782">
        <v>8</v>
      </c>
      <c r="P10" s="2785">
        <v>11</v>
      </c>
      <c r="Q10" s="2786">
        <f>SUM(O10:P10)</f>
        <v>19</v>
      </c>
      <c r="R10" s="2782">
        <v>2</v>
      </c>
      <c r="S10" s="2785">
        <v>5</v>
      </c>
      <c r="T10" s="2786">
        <f t="shared" si="0"/>
        <v>7</v>
      </c>
      <c r="U10" s="2782">
        <v>4</v>
      </c>
      <c r="V10" s="2785">
        <v>5</v>
      </c>
      <c r="W10" s="2786">
        <f t="shared" si="1"/>
        <v>9</v>
      </c>
      <c r="X10" s="2782">
        <v>4</v>
      </c>
      <c r="Y10" s="2785">
        <v>4</v>
      </c>
      <c r="Z10" s="2786">
        <f t="shared" si="2"/>
        <v>8</v>
      </c>
      <c r="AA10" s="2782">
        <v>5</v>
      </c>
      <c r="AB10" s="2785">
        <v>1</v>
      </c>
      <c r="AC10" s="2786">
        <f t="shared" si="3"/>
        <v>6</v>
      </c>
      <c r="AD10" s="2782">
        <v>6</v>
      </c>
      <c r="AE10" s="2785">
        <v>1</v>
      </c>
      <c r="AF10" s="2786">
        <f t="shared" si="7"/>
        <v>7</v>
      </c>
    </row>
    <row r="11" spans="1:33" ht="28.8" x14ac:dyDescent="0.3">
      <c r="A11" s="2778"/>
      <c r="B11" s="1456" t="s">
        <v>684</v>
      </c>
      <c r="C11" s="2782"/>
      <c r="D11" s="2785"/>
      <c r="E11" s="2786"/>
      <c r="F11" s="2782"/>
      <c r="G11" s="2785"/>
      <c r="H11" s="2786"/>
      <c r="I11" s="2782"/>
      <c r="J11" s="2785"/>
      <c r="K11" s="2786"/>
      <c r="L11" s="2782">
        <v>1</v>
      </c>
      <c r="M11" s="2785">
        <v>1</v>
      </c>
      <c r="N11" s="2786">
        <f>SUM(L11:M11)</f>
        <v>2</v>
      </c>
      <c r="O11" s="2782">
        <v>1</v>
      </c>
      <c r="P11" s="2785">
        <v>1</v>
      </c>
      <c r="Q11" s="2786">
        <f>SUM(O11:P11)</f>
        <v>2</v>
      </c>
      <c r="R11" s="2782">
        <v>1</v>
      </c>
      <c r="S11" s="2785">
        <v>1</v>
      </c>
      <c r="T11" s="2786">
        <f t="shared" si="0"/>
        <v>2</v>
      </c>
      <c r="U11" s="2782">
        <v>1</v>
      </c>
      <c r="V11" s="2785"/>
      <c r="W11" s="2786">
        <f t="shared" si="1"/>
        <v>1</v>
      </c>
      <c r="X11" s="2782">
        <v>1</v>
      </c>
      <c r="Y11" s="2785">
        <v>3</v>
      </c>
      <c r="Z11" s="2786">
        <f t="shared" si="2"/>
        <v>4</v>
      </c>
      <c r="AA11" s="2782">
        <v>1</v>
      </c>
      <c r="AB11" s="2785">
        <v>3</v>
      </c>
      <c r="AC11" s="2786">
        <f t="shared" si="3"/>
        <v>4</v>
      </c>
      <c r="AD11" s="2782"/>
      <c r="AE11" s="2785">
        <v>4</v>
      </c>
      <c r="AF11" s="2786">
        <f t="shared" si="7"/>
        <v>4</v>
      </c>
    </row>
    <row r="12" spans="1:33" ht="28.8" x14ac:dyDescent="0.3">
      <c r="A12" s="2778"/>
      <c r="B12" s="1456" t="s">
        <v>685</v>
      </c>
      <c r="C12" s="2782"/>
      <c r="D12" s="2785"/>
      <c r="E12" s="2786"/>
      <c r="F12" s="2782"/>
      <c r="G12" s="2785"/>
      <c r="H12" s="2786"/>
      <c r="I12" s="2782"/>
      <c r="J12" s="2785"/>
      <c r="K12" s="2786"/>
      <c r="L12" s="2782"/>
      <c r="M12" s="2785"/>
      <c r="N12" s="2786"/>
      <c r="O12" s="2782"/>
      <c r="P12" s="2785"/>
      <c r="Q12" s="2786"/>
      <c r="R12" s="2782">
        <v>1</v>
      </c>
      <c r="S12" s="2785"/>
      <c r="T12" s="2786">
        <f t="shared" si="0"/>
        <v>1</v>
      </c>
      <c r="U12" s="2782">
        <v>2</v>
      </c>
      <c r="V12" s="2785">
        <v>2</v>
      </c>
      <c r="W12" s="2786">
        <f t="shared" si="1"/>
        <v>4</v>
      </c>
      <c r="X12" s="2782">
        <v>3</v>
      </c>
      <c r="Y12" s="2785">
        <v>2</v>
      </c>
      <c r="Z12" s="2786">
        <f t="shared" si="2"/>
        <v>5</v>
      </c>
      <c r="AA12" s="2782">
        <v>3</v>
      </c>
      <c r="AB12" s="2785">
        <v>2</v>
      </c>
      <c r="AC12" s="2786">
        <f t="shared" si="3"/>
        <v>5</v>
      </c>
      <c r="AD12" s="2782">
        <v>3</v>
      </c>
      <c r="AE12" s="2785">
        <v>4</v>
      </c>
      <c r="AF12" s="2786">
        <f t="shared" si="7"/>
        <v>7</v>
      </c>
    </row>
    <row r="13" spans="1:33" ht="17.399999999999999" x14ac:dyDescent="0.3">
      <c r="A13" s="2778"/>
      <c r="B13" s="1456" t="s">
        <v>686</v>
      </c>
      <c r="C13" s="2782"/>
      <c r="D13" s="2785"/>
      <c r="E13" s="2786"/>
      <c r="F13" s="2782"/>
      <c r="G13" s="2785"/>
      <c r="H13" s="2786"/>
      <c r="I13" s="2782">
        <v>1</v>
      </c>
      <c r="J13" s="2785">
        <v>5</v>
      </c>
      <c r="K13" s="2786">
        <f t="shared" si="5"/>
        <v>6</v>
      </c>
      <c r="L13" s="2782">
        <v>2</v>
      </c>
      <c r="M13" s="2785">
        <v>5</v>
      </c>
      <c r="N13" s="2786">
        <f t="shared" si="6"/>
        <v>7</v>
      </c>
      <c r="O13" s="2782"/>
      <c r="P13" s="2785"/>
      <c r="Q13" s="2786"/>
      <c r="R13" s="2782">
        <v>3</v>
      </c>
      <c r="S13" s="2785">
        <v>2</v>
      </c>
      <c r="T13" s="2786">
        <f t="shared" si="0"/>
        <v>5</v>
      </c>
      <c r="U13" s="2782">
        <v>4</v>
      </c>
      <c r="V13" s="2785">
        <v>6</v>
      </c>
      <c r="W13" s="2786">
        <f t="shared" si="1"/>
        <v>10</v>
      </c>
      <c r="X13" s="2782">
        <v>2</v>
      </c>
      <c r="Y13" s="2785">
        <v>6</v>
      </c>
      <c r="Z13" s="2786">
        <f t="shared" si="2"/>
        <v>8</v>
      </c>
      <c r="AA13" s="2782">
        <v>4</v>
      </c>
      <c r="AB13" s="2785">
        <v>4</v>
      </c>
      <c r="AC13" s="2786">
        <f t="shared" si="3"/>
        <v>8</v>
      </c>
      <c r="AD13" s="2782">
        <v>4</v>
      </c>
      <c r="AE13" s="2785">
        <v>3</v>
      </c>
      <c r="AF13" s="2786">
        <f t="shared" si="7"/>
        <v>7</v>
      </c>
    </row>
    <row r="14" spans="1:33" ht="17.399999999999999" x14ac:dyDescent="0.3">
      <c r="A14" s="2778"/>
      <c r="B14" s="1456" t="s">
        <v>687</v>
      </c>
      <c r="C14" s="2782"/>
      <c r="D14" s="2785"/>
      <c r="E14" s="2786"/>
      <c r="F14" s="2782"/>
      <c r="G14" s="2785"/>
      <c r="H14" s="2786"/>
      <c r="I14" s="2782">
        <v>2</v>
      </c>
      <c r="J14" s="2785">
        <v>2</v>
      </c>
      <c r="K14" s="2786">
        <f t="shared" si="5"/>
        <v>4</v>
      </c>
      <c r="L14" s="2782">
        <v>2</v>
      </c>
      <c r="M14" s="2785">
        <v>2</v>
      </c>
      <c r="N14" s="2786">
        <f t="shared" si="6"/>
        <v>4</v>
      </c>
      <c r="O14" s="2782">
        <v>5</v>
      </c>
      <c r="P14" s="2785">
        <v>7</v>
      </c>
      <c r="Q14" s="2786">
        <f>SUM(O14:P14)</f>
        <v>12</v>
      </c>
      <c r="R14" s="2782"/>
      <c r="S14" s="2785">
        <v>1</v>
      </c>
      <c r="T14" s="2786">
        <f t="shared" si="0"/>
        <v>1</v>
      </c>
      <c r="U14" s="2782">
        <v>1</v>
      </c>
      <c r="V14" s="2785">
        <v>3</v>
      </c>
      <c r="W14" s="2786">
        <f t="shared" si="1"/>
        <v>4</v>
      </c>
      <c r="X14" s="2782">
        <v>1</v>
      </c>
      <c r="Y14" s="2785">
        <v>5</v>
      </c>
      <c r="Z14" s="2786">
        <f t="shared" si="2"/>
        <v>6</v>
      </c>
      <c r="AA14" s="2782">
        <v>1</v>
      </c>
      <c r="AB14" s="2785">
        <v>4</v>
      </c>
      <c r="AC14" s="2786">
        <f t="shared" si="3"/>
        <v>5</v>
      </c>
      <c r="AD14" s="2782">
        <v>1</v>
      </c>
      <c r="AE14" s="2785">
        <v>5</v>
      </c>
      <c r="AF14" s="2786">
        <f t="shared" si="7"/>
        <v>6</v>
      </c>
    </row>
    <row r="15" spans="1:33" ht="17.399999999999999" x14ac:dyDescent="0.3">
      <c r="A15" s="2778"/>
      <c r="B15" s="2789" t="s">
        <v>68</v>
      </c>
      <c r="C15" s="2414">
        <f>SUM(C5:C5)</f>
        <v>8</v>
      </c>
      <c r="D15" s="2790">
        <f>SUM(D5:D5)</f>
        <v>5</v>
      </c>
      <c r="E15" s="2791">
        <f>SUM(E5:E5)</f>
        <v>13</v>
      </c>
      <c r="F15" s="2414">
        <f>SUM(F5:F14)</f>
        <v>6</v>
      </c>
      <c r="G15" s="2790">
        <f>SUM(G5:G14)</f>
        <v>10</v>
      </c>
      <c r="H15" s="2791">
        <f>SUM(H5:H14)</f>
        <v>16</v>
      </c>
      <c r="I15" s="2414">
        <f t="shared" ref="I15:Z15" si="8">SUM(I5:I14)</f>
        <v>18</v>
      </c>
      <c r="J15" s="2790">
        <f t="shared" si="8"/>
        <v>29</v>
      </c>
      <c r="K15" s="2791">
        <f t="shared" si="8"/>
        <v>47</v>
      </c>
      <c r="L15" s="2414">
        <f t="shared" si="8"/>
        <v>22</v>
      </c>
      <c r="M15" s="2790">
        <f t="shared" si="8"/>
        <v>36</v>
      </c>
      <c r="N15" s="2791">
        <f t="shared" si="8"/>
        <v>58</v>
      </c>
      <c r="O15" s="2414">
        <f t="shared" si="8"/>
        <v>30</v>
      </c>
      <c r="P15" s="2790">
        <f t="shared" si="8"/>
        <v>37</v>
      </c>
      <c r="Q15" s="2791">
        <f t="shared" si="8"/>
        <v>67</v>
      </c>
      <c r="R15" s="2414">
        <f t="shared" si="8"/>
        <v>22</v>
      </c>
      <c r="S15" s="2790">
        <f t="shared" si="8"/>
        <v>23</v>
      </c>
      <c r="T15" s="2791">
        <f t="shared" si="8"/>
        <v>45</v>
      </c>
      <c r="U15" s="2414">
        <f t="shared" si="8"/>
        <v>27</v>
      </c>
      <c r="V15" s="2790">
        <f t="shared" si="8"/>
        <v>28</v>
      </c>
      <c r="W15" s="2791">
        <f t="shared" si="8"/>
        <v>55</v>
      </c>
      <c r="X15" s="2414">
        <f t="shared" si="8"/>
        <v>29</v>
      </c>
      <c r="Y15" s="2790">
        <f t="shared" si="8"/>
        <v>33</v>
      </c>
      <c r="Z15" s="2791">
        <f t="shared" si="8"/>
        <v>62</v>
      </c>
      <c r="AA15" s="2414">
        <f t="shared" ref="AA15:AC15" si="9">SUM(AA5:AA14)</f>
        <v>27</v>
      </c>
      <c r="AB15" s="2790">
        <f t="shared" si="9"/>
        <v>33</v>
      </c>
      <c r="AC15" s="2791">
        <f t="shared" si="9"/>
        <v>60</v>
      </c>
      <c r="AD15" s="2414">
        <f t="shared" ref="AD15:AF15" si="10">SUM(AD5:AD14)</f>
        <v>30</v>
      </c>
      <c r="AE15" s="2790">
        <f t="shared" si="10"/>
        <v>31</v>
      </c>
      <c r="AF15" s="2791">
        <f t="shared" si="10"/>
        <v>61</v>
      </c>
    </row>
    <row r="16" spans="1:33" ht="17.399999999999999" x14ac:dyDescent="0.3">
      <c r="A16" s="2778"/>
      <c r="B16" s="2781" t="s">
        <v>320</v>
      </c>
      <c r="C16" s="2782">
        <v>2</v>
      </c>
      <c r="D16" s="2785">
        <v>1</v>
      </c>
      <c r="E16" s="2786">
        <f>SUM(C16:D16)</f>
        <v>3</v>
      </c>
      <c r="F16" s="2782">
        <v>1</v>
      </c>
      <c r="G16" s="2785">
        <v>2</v>
      </c>
      <c r="H16" s="2786">
        <f>SUM(F16:G16)</f>
        <v>3</v>
      </c>
      <c r="I16" s="2782">
        <v>2</v>
      </c>
      <c r="J16" s="2785">
        <v>7</v>
      </c>
      <c r="K16" s="2786">
        <f>SUM(I16:J16)</f>
        <v>9</v>
      </c>
      <c r="L16" s="2782">
        <v>2</v>
      </c>
      <c r="M16" s="2785">
        <v>7</v>
      </c>
      <c r="N16" s="2786">
        <f>SUM(L16:M16)</f>
        <v>9</v>
      </c>
      <c r="O16" s="2782">
        <v>1</v>
      </c>
      <c r="P16" s="2785">
        <v>7</v>
      </c>
      <c r="Q16" s="2786">
        <f>SUM(O16:P16)</f>
        <v>8</v>
      </c>
      <c r="R16" s="2782">
        <v>3</v>
      </c>
      <c r="S16" s="2785">
        <v>10</v>
      </c>
      <c r="T16" s="2786">
        <f>SUM(R16:S16)</f>
        <v>13</v>
      </c>
      <c r="U16" s="2782">
        <v>2</v>
      </c>
      <c r="V16" s="2785">
        <v>9</v>
      </c>
      <c r="W16" s="2786">
        <f>SUM(U16:V16)</f>
        <v>11</v>
      </c>
      <c r="X16" s="2782"/>
      <c r="Y16" s="2785"/>
      <c r="Z16" s="2786"/>
      <c r="AA16" s="2782"/>
      <c r="AB16" s="2785"/>
      <c r="AC16" s="2786"/>
      <c r="AD16" s="2782"/>
      <c r="AE16" s="2785"/>
      <c r="AF16" s="2786"/>
    </row>
    <row r="17" spans="1:32" ht="17.399999999999999" x14ac:dyDescent="0.3">
      <c r="A17" s="2778"/>
      <c r="B17" s="2792" t="s">
        <v>688</v>
      </c>
      <c r="C17" s="2782"/>
      <c r="D17" s="2785"/>
      <c r="E17" s="2786"/>
      <c r="F17" s="2782"/>
      <c r="G17" s="2785"/>
      <c r="H17" s="2786"/>
      <c r="I17" s="2782"/>
      <c r="J17" s="2785"/>
      <c r="K17" s="2786"/>
      <c r="L17" s="2782"/>
      <c r="M17" s="2785"/>
      <c r="N17" s="2786"/>
      <c r="O17" s="2782"/>
      <c r="P17" s="2785"/>
      <c r="Q17" s="2786"/>
      <c r="R17" s="2782"/>
      <c r="S17" s="2785"/>
      <c r="T17" s="2786"/>
      <c r="U17" s="2782"/>
      <c r="V17" s="2785">
        <v>6</v>
      </c>
      <c r="W17" s="2786">
        <f>SUM(U17:V17)</f>
        <v>6</v>
      </c>
      <c r="X17" s="2782"/>
      <c r="Y17" s="2785"/>
      <c r="Z17" s="2786"/>
      <c r="AA17" s="2782"/>
      <c r="AB17" s="2785"/>
      <c r="AC17" s="2786"/>
      <c r="AD17" s="2782"/>
      <c r="AE17" s="2785"/>
      <c r="AF17" s="2786"/>
    </row>
    <row r="18" spans="1:32" ht="17.399999999999999" x14ac:dyDescent="0.3">
      <c r="A18" s="2778"/>
      <c r="B18" s="2781" t="s">
        <v>689</v>
      </c>
      <c r="C18" s="2782"/>
      <c r="D18" s="2785"/>
      <c r="E18" s="2786"/>
      <c r="F18" s="2782"/>
      <c r="G18" s="2785"/>
      <c r="H18" s="2786"/>
      <c r="I18" s="2782"/>
      <c r="J18" s="2785"/>
      <c r="K18" s="2786"/>
      <c r="L18" s="2782"/>
      <c r="M18" s="2785"/>
      <c r="N18" s="2786"/>
      <c r="O18" s="2782"/>
      <c r="P18" s="2785"/>
      <c r="Q18" s="2786"/>
      <c r="R18" s="2782"/>
      <c r="S18" s="2785">
        <v>6</v>
      </c>
      <c r="T18" s="2786">
        <f>SUM(R18:S18)</f>
        <v>6</v>
      </c>
      <c r="U18" s="2782"/>
      <c r="V18" s="2785"/>
      <c r="W18" s="2786"/>
      <c r="X18" s="2782"/>
      <c r="Y18" s="2785"/>
      <c r="Z18" s="2786"/>
      <c r="AA18" s="2782"/>
      <c r="AB18" s="2785"/>
      <c r="AC18" s="2786"/>
      <c r="AD18" s="2782"/>
      <c r="AE18" s="2785"/>
      <c r="AF18" s="2786"/>
    </row>
    <row r="19" spans="1:32" ht="17.399999999999999" x14ac:dyDescent="0.3">
      <c r="A19" s="2778"/>
      <c r="B19" s="2781" t="s">
        <v>321</v>
      </c>
      <c r="C19" s="2782">
        <v>1</v>
      </c>
      <c r="D19" s="2785"/>
      <c r="E19" s="2786">
        <f>SUM(C19:D19)</f>
        <v>1</v>
      </c>
      <c r="F19" s="2782"/>
      <c r="G19" s="2785">
        <v>1</v>
      </c>
      <c r="H19" s="2786">
        <f>SUM(F19:G19)</f>
        <v>1</v>
      </c>
      <c r="I19" s="2782"/>
      <c r="J19" s="2785"/>
      <c r="K19" s="2786"/>
      <c r="L19" s="2782"/>
      <c r="M19" s="2785"/>
      <c r="N19" s="2786"/>
      <c r="O19" s="2782"/>
      <c r="P19" s="2785"/>
      <c r="Q19" s="2786"/>
      <c r="R19" s="2782"/>
      <c r="S19" s="2785"/>
      <c r="T19" s="2786"/>
      <c r="U19" s="2782"/>
      <c r="V19" s="2785"/>
      <c r="W19" s="2786"/>
      <c r="X19" s="2782"/>
      <c r="Y19" s="2785"/>
      <c r="Z19" s="2786"/>
      <c r="AA19" s="2782"/>
      <c r="AB19" s="2785"/>
      <c r="AC19" s="2786"/>
      <c r="AD19" s="2782"/>
      <c r="AE19" s="2785"/>
      <c r="AF19" s="2786"/>
    </row>
    <row r="20" spans="1:32" ht="17.399999999999999" x14ac:dyDescent="0.3">
      <c r="A20" s="2778"/>
      <c r="B20" s="2781" t="s">
        <v>315</v>
      </c>
      <c r="C20" s="2782">
        <v>4</v>
      </c>
      <c r="D20" s="2785"/>
      <c r="E20" s="2786">
        <f>SUM(C20:D20)</f>
        <v>4</v>
      </c>
      <c r="F20" s="2782"/>
      <c r="G20" s="2785"/>
      <c r="H20" s="2786"/>
      <c r="I20" s="2782"/>
      <c r="J20" s="2785"/>
      <c r="K20" s="2786"/>
      <c r="L20" s="2782"/>
      <c r="M20" s="2785"/>
      <c r="N20" s="2786"/>
      <c r="O20" s="2782"/>
      <c r="P20" s="2785"/>
      <c r="Q20" s="2786"/>
      <c r="R20" s="2782"/>
      <c r="S20" s="2785"/>
      <c r="T20" s="2786"/>
      <c r="U20" s="2782"/>
      <c r="V20" s="2785"/>
      <c r="W20" s="2786"/>
      <c r="X20" s="2782"/>
      <c r="Y20" s="2785"/>
      <c r="Z20" s="2786"/>
      <c r="AA20" s="2782"/>
      <c r="AB20" s="2785"/>
      <c r="AC20" s="2786"/>
      <c r="AD20" s="2782"/>
      <c r="AE20" s="2785"/>
      <c r="AF20" s="2786"/>
    </row>
    <row r="21" spans="1:32" ht="17.399999999999999" x14ac:dyDescent="0.3">
      <c r="A21" s="2778"/>
      <c r="B21" s="2789" t="s">
        <v>59</v>
      </c>
      <c r="C21" s="2414">
        <f>SUM(C16:C20)</f>
        <v>7</v>
      </c>
      <c r="D21" s="2790">
        <f>SUM(D16:D20)</f>
        <v>1</v>
      </c>
      <c r="E21" s="2791">
        <f>SUM(E16:E20)</f>
        <v>8</v>
      </c>
      <c r="F21" s="2414">
        <f t="shared" ref="F21:W21" si="11">SUM(F16:F20)</f>
        <v>1</v>
      </c>
      <c r="G21" s="2790">
        <f t="shared" si="11"/>
        <v>3</v>
      </c>
      <c r="H21" s="2791">
        <f t="shared" si="11"/>
        <v>4</v>
      </c>
      <c r="I21" s="2414">
        <f t="shared" si="11"/>
        <v>2</v>
      </c>
      <c r="J21" s="2790">
        <f t="shared" si="11"/>
        <v>7</v>
      </c>
      <c r="K21" s="2791">
        <f t="shared" si="11"/>
        <v>9</v>
      </c>
      <c r="L21" s="2414">
        <f t="shared" si="11"/>
        <v>2</v>
      </c>
      <c r="M21" s="2790">
        <f t="shared" si="11"/>
        <v>7</v>
      </c>
      <c r="N21" s="2791">
        <f t="shared" si="11"/>
        <v>9</v>
      </c>
      <c r="O21" s="2414">
        <f t="shared" si="11"/>
        <v>1</v>
      </c>
      <c r="P21" s="2790">
        <f t="shared" si="11"/>
        <v>7</v>
      </c>
      <c r="Q21" s="2791">
        <f t="shared" si="11"/>
        <v>8</v>
      </c>
      <c r="R21" s="2414">
        <f t="shared" si="11"/>
        <v>3</v>
      </c>
      <c r="S21" s="2790">
        <f t="shared" si="11"/>
        <v>16</v>
      </c>
      <c r="T21" s="2791">
        <f t="shared" si="11"/>
        <v>19</v>
      </c>
      <c r="U21" s="2414">
        <f t="shared" si="11"/>
        <v>2</v>
      </c>
      <c r="V21" s="2790">
        <f t="shared" si="11"/>
        <v>15</v>
      </c>
      <c r="W21" s="2791">
        <f t="shared" si="11"/>
        <v>17</v>
      </c>
      <c r="X21" s="2414"/>
      <c r="Y21" s="2790"/>
      <c r="Z21" s="2791"/>
      <c r="AA21" s="2414"/>
      <c r="AB21" s="2790"/>
      <c r="AC21" s="2791"/>
      <c r="AD21" s="2414"/>
      <c r="AE21" s="2790"/>
      <c r="AF21" s="2791"/>
    </row>
    <row r="22" spans="1:32" ht="17.399999999999999" x14ac:dyDescent="0.3">
      <c r="A22" s="2778"/>
      <c r="B22" s="2781" t="s">
        <v>526</v>
      </c>
      <c r="C22" s="2782">
        <v>10</v>
      </c>
      <c r="D22" s="2785">
        <v>7</v>
      </c>
      <c r="E22" s="2786">
        <f>SUM(C22:D22)</f>
        <v>17</v>
      </c>
      <c r="F22" s="2782">
        <v>4</v>
      </c>
      <c r="G22" s="2785">
        <v>6</v>
      </c>
      <c r="H22" s="2786">
        <f>SUM(F22:G22)</f>
        <v>10</v>
      </c>
      <c r="I22" s="2782"/>
      <c r="J22" s="2785"/>
      <c r="K22" s="2786"/>
      <c r="L22" s="2782"/>
      <c r="M22" s="2785"/>
      <c r="N22" s="2786"/>
      <c r="O22" s="2782"/>
      <c r="P22" s="2785"/>
      <c r="Q22" s="2786"/>
      <c r="R22" s="2782"/>
      <c r="S22" s="2785"/>
      <c r="T22" s="2786"/>
      <c r="U22" s="2782"/>
      <c r="V22" s="2785"/>
      <c r="W22" s="2786"/>
      <c r="X22" s="2782"/>
      <c r="Y22" s="2785"/>
      <c r="Z22" s="2786"/>
      <c r="AA22" s="2782"/>
      <c r="AB22" s="2785"/>
      <c r="AC22" s="2786"/>
      <c r="AD22" s="2782"/>
      <c r="AE22" s="2785"/>
      <c r="AF22" s="2786"/>
    </row>
    <row r="23" spans="1:32" ht="17.399999999999999" x14ac:dyDescent="0.3">
      <c r="A23" s="2778"/>
      <c r="B23" s="2781" t="s">
        <v>690</v>
      </c>
      <c r="C23" s="2782">
        <v>6</v>
      </c>
      <c r="D23" s="2785">
        <v>4</v>
      </c>
      <c r="E23" s="2786">
        <f>SUM(C23:D23)</f>
        <v>10</v>
      </c>
      <c r="F23" s="2782"/>
      <c r="G23" s="2785"/>
      <c r="H23" s="2786"/>
      <c r="I23" s="2782"/>
      <c r="J23" s="2785"/>
      <c r="K23" s="2786"/>
      <c r="L23" s="2782"/>
      <c r="M23" s="2785"/>
      <c r="N23" s="2786"/>
      <c r="O23" s="2782"/>
      <c r="P23" s="2785"/>
      <c r="Q23" s="2786"/>
      <c r="R23" s="2782"/>
      <c r="S23" s="2785"/>
      <c r="T23" s="2786"/>
      <c r="U23" s="2782"/>
      <c r="V23" s="2785"/>
      <c r="W23" s="2786"/>
      <c r="X23" s="2782"/>
      <c r="Y23" s="2785"/>
      <c r="Z23" s="2786"/>
      <c r="AA23" s="2782"/>
      <c r="AB23" s="2785"/>
      <c r="AC23" s="2786"/>
      <c r="AD23" s="2782"/>
      <c r="AE23" s="2785"/>
      <c r="AF23" s="2786"/>
    </row>
    <row r="24" spans="1:32" ht="17.399999999999999" x14ac:dyDescent="0.3">
      <c r="A24" s="2778"/>
      <c r="B24" s="2793" t="s">
        <v>333</v>
      </c>
      <c r="C24" s="2794"/>
      <c r="D24" s="2795"/>
      <c r="E24" s="2796"/>
      <c r="F24" s="2794"/>
      <c r="G24" s="2795"/>
      <c r="H24" s="2796"/>
      <c r="I24" s="2794"/>
      <c r="J24" s="2795"/>
      <c r="K24" s="2796"/>
      <c r="L24" s="2794"/>
      <c r="M24" s="2795"/>
      <c r="N24" s="2796"/>
      <c r="O24" s="2794">
        <v>11</v>
      </c>
      <c r="P24" s="2795">
        <v>11</v>
      </c>
      <c r="Q24" s="2796">
        <f>SUM(O24:P24)</f>
        <v>22</v>
      </c>
      <c r="R24" s="2794">
        <v>10</v>
      </c>
      <c r="S24" s="2795">
        <v>11</v>
      </c>
      <c r="T24" s="2796">
        <f>SUM(R24:S24)</f>
        <v>21</v>
      </c>
      <c r="U24" s="2794">
        <v>9</v>
      </c>
      <c r="V24" s="2795">
        <v>18</v>
      </c>
      <c r="W24" s="2796">
        <f>SUM(U24:V24)</f>
        <v>27</v>
      </c>
      <c r="X24" s="2794"/>
      <c r="Y24" s="2795"/>
      <c r="Z24" s="2796"/>
      <c r="AA24" s="2794"/>
      <c r="AB24" s="2795"/>
      <c r="AC24" s="2796"/>
      <c r="AD24" s="2794"/>
      <c r="AE24" s="2795"/>
      <c r="AF24" s="2796"/>
    </row>
    <row r="25" spans="1:32" ht="17.399999999999999" x14ac:dyDescent="0.3">
      <c r="A25" s="2778"/>
      <c r="B25" s="2793" t="s">
        <v>1413</v>
      </c>
      <c r="C25" s="2794"/>
      <c r="D25" s="2795"/>
      <c r="E25" s="2796"/>
      <c r="F25" s="2794"/>
      <c r="G25" s="2795"/>
      <c r="H25" s="2796"/>
      <c r="I25" s="2794"/>
      <c r="J25" s="2795"/>
      <c r="K25" s="2796"/>
      <c r="L25" s="2794"/>
      <c r="M25" s="2795"/>
      <c r="N25" s="2796"/>
      <c r="O25" s="2794"/>
      <c r="P25" s="2795"/>
      <c r="Q25" s="2796"/>
      <c r="R25" s="2794"/>
      <c r="S25" s="2795"/>
      <c r="T25" s="2796"/>
      <c r="U25" s="2794"/>
      <c r="V25" s="2795"/>
      <c r="W25" s="2796"/>
      <c r="X25" s="2794"/>
      <c r="Y25" s="2795"/>
      <c r="Z25" s="2796"/>
      <c r="AA25" s="2794">
        <v>2</v>
      </c>
      <c r="AB25" s="2795">
        <v>2</v>
      </c>
      <c r="AC25" s="2796">
        <f t="shared" ref="AC25:AC27" si="12">SUM(AA25:AB25)</f>
        <v>4</v>
      </c>
      <c r="AD25" s="2794">
        <v>2</v>
      </c>
      <c r="AE25" s="2795">
        <v>2</v>
      </c>
      <c r="AF25" s="2796">
        <f t="shared" ref="AF25:AF27" si="13">SUM(AD25:AE25)</f>
        <v>4</v>
      </c>
    </row>
    <row r="26" spans="1:32" ht="17.399999999999999" x14ac:dyDescent="0.3">
      <c r="A26" s="2778"/>
      <c r="B26" s="2793" t="s">
        <v>483</v>
      </c>
      <c r="C26" s="2794"/>
      <c r="D26" s="2795"/>
      <c r="E26" s="2796"/>
      <c r="F26" s="2794"/>
      <c r="G26" s="2795"/>
      <c r="H26" s="2796"/>
      <c r="I26" s="2794"/>
      <c r="J26" s="2795"/>
      <c r="K26" s="2796"/>
      <c r="L26" s="2794"/>
      <c r="M26" s="2795"/>
      <c r="N26" s="2796"/>
      <c r="O26" s="2794"/>
      <c r="P26" s="2795"/>
      <c r="Q26" s="2796"/>
      <c r="R26" s="2794">
        <v>4</v>
      </c>
      <c r="S26" s="2795">
        <v>5</v>
      </c>
      <c r="T26" s="2796">
        <f>SUM(R26:S26)</f>
        <v>9</v>
      </c>
      <c r="U26" s="2794">
        <v>2</v>
      </c>
      <c r="V26" s="2795">
        <v>2</v>
      </c>
      <c r="W26" s="2796">
        <f>SUM(U26:V26)</f>
        <v>4</v>
      </c>
      <c r="X26" s="2794">
        <v>2</v>
      </c>
      <c r="Y26" s="2795">
        <v>2</v>
      </c>
      <c r="Z26" s="2796">
        <f>SUM(X26:Y26)</f>
        <v>4</v>
      </c>
      <c r="AA26" s="2794">
        <v>4</v>
      </c>
      <c r="AB26" s="2795">
        <v>4</v>
      </c>
      <c r="AC26" s="2796">
        <f t="shared" si="12"/>
        <v>8</v>
      </c>
      <c r="AD26" s="2794">
        <v>6</v>
      </c>
      <c r="AE26" s="2795">
        <v>3</v>
      </c>
      <c r="AF26" s="2796">
        <f t="shared" si="13"/>
        <v>9</v>
      </c>
    </row>
    <row r="27" spans="1:32" ht="17.399999999999999" x14ac:dyDescent="0.3">
      <c r="A27" s="2778"/>
      <c r="B27" s="2793" t="s">
        <v>691</v>
      </c>
      <c r="C27" s="2794"/>
      <c r="D27" s="2795"/>
      <c r="E27" s="2796"/>
      <c r="F27" s="2794"/>
      <c r="G27" s="2795"/>
      <c r="H27" s="2796"/>
      <c r="I27" s="2794"/>
      <c r="J27" s="2795"/>
      <c r="K27" s="2796"/>
      <c r="L27" s="2794"/>
      <c r="M27" s="2795"/>
      <c r="N27" s="2796"/>
      <c r="O27" s="2794">
        <v>5</v>
      </c>
      <c r="P27" s="2795">
        <v>7</v>
      </c>
      <c r="Q27" s="2796">
        <f>SUM(O27:P27)</f>
        <v>12</v>
      </c>
      <c r="R27" s="2794">
        <v>1</v>
      </c>
      <c r="S27" s="2795"/>
      <c r="T27" s="2796">
        <f>SUM(R27:S27)</f>
        <v>1</v>
      </c>
      <c r="U27" s="2794">
        <v>4</v>
      </c>
      <c r="V27" s="2795">
        <v>5</v>
      </c>
      <c r="W27" s="2796">
        <f>SUM(U27:V27)</f>
        <v>9</v>
      </c>
      <c r="X27" s="2794">
        <v>4</v>
      </c>
      <c r="Y27" s="2795">
        <v>4</v>
      </c>
      <c r="Z27" s="2796">
        <f>SUM(X27:Y27)</f>
        <v>8</v>
      </c>
      <c r="AA27" s="2794">
        <v>6</v>
      </c>
      <c r="AB27" s="2795">
        <v>6</v>
      </c>
      <c r="AC27" s="2796">
        <f t="shared" si="12"/>
        <v>12</v>
      </c>
      <c r="AD27" s="2794">
        <v>6</v>
      </c>
      <c r="AE27" s="2795">
        <v>11</v>
      </c>
      <c r="AF27" s="2796">
        <f t="shared" si="13"/>
        <v>17</v>
      </c>
    </row>
    <row r="28" spans="1:32" ht="17.399999999999999" x14ac:dyDescent="0.3">
      <c r="A28" s="2778"/>
      <c r="B28" s="2797" t="s">
        <v>64</v>
      </c>
      <c r="C28" s="2418">
        <f t="shared" ref="C28:H28" si="14">SUM(C22:C23)</f>
        <v>16</v>
      </c>
      <c r="D28" s="2798">
        <f t="shared" si="14"/>
        <v>11</v>
      </c>
      <c r="E28" s="2799">
        <f t="shared" si="14"/>
        <v>27</v>
      </c>
      <c r="F28" s="2418">
        <f t="shared" si="14"/>
        <v>4</v>
      </c>
      <c r="G28" s="2798">
        <f t="shared" si="14"/>
        <v>6</v>
      </c>
      <c r="H28" s="2799">
        <f t="shared" si="14"/>
        <v>10</v>
      </c>
      <c r="I28" s="2418"/>
      <c r="J28" s="2798"/>
      <c r="K28" s="2799"/>
      <c r="L28" s="2418"/>
      <c r="M28" s="2798"/>
      <c r="N28" s="2799"/>
      <c r="O28" s="2418">
        <f t="shared" ref="O28:Z28" si="15">SUM(O22:O27)</f>
        <v>16</v>
      </c>
      <c r="P28" s="2798">
        <f t="shared" si="15"/>
        <v>18</v>
      </c>
      <c r="Q28" s="2799">
        <f t="shared" si="15"/>
        <v>34</v>
      </c>
      <c r="R28" s="2418">
        <f t="shared" si="15"/>
        <v>15</v>
      </c>
      <c r="S28" s="2798">
        <f t="shared" si="15"/>
        <v>16</v>
      </c>
      <c r="T28" s="2799">
        <f t="shared" si="15"/>
        <v>31</v>
      </c>
      <c r="U28" s="2418">
        <f t="shared" si="15"/>
        <v>15</v>
      </c>
      <c r="V28" s="2798">
        <f t="shared" si="15"/>
        <v>25</v>
      </c>
      <c r="W28" s="2799">
        <f t="shared" si="15"/>
        <v>40</v>
      </c>
      <c r="X28" s="2418">
        <f t="shared" si="15"/>
        <v>6</v>
      </c>
      <c r="Y28" s="2798">
        <f t="shared" si="15"/>
        <v>6</v>
      </c>
      <c r="Z28" s="2799">
        <f t="shared" si="15"/>
        <v>12</v>
      </c>
      <c r="AA28" s="2418">
        <f t="shared" ref="AA28:AC28" si="16">SUM(AA22:AA27)</f>
        <v>12</v>
      </c>
      <c r="AB28" s="2798">
        <f t="shared" si="16"/>
        <v>12</v>
      </c>
      <c r="AC28" s="2799">
        <f t="shared" si="16"/>
        <v>24</v>
      </c>
      <c r="AD28" s="2418">
        <f t="shared" ref="AD28:AF28" si="17">SUM(AD22:AD27)</f>
        <v>14</v>
      </c>
      <c r="AE28" s="2798">
        <f t="shared" si="17"/>
        <v>16</v>
      </c>
      <c r="AF28" s="2799">
        <f t="shared" si="17"/>
        <v>30</v>
      </c>
    </row>
    <row r="29" spans="1:32" ht="18" customHeight="1" x14ac:dyDescent="0.3">
      <c r="A29" s="2778"/>
      <c r="B29" s="2800" t="s">
        <v>69</v>
      </c>
      <c r="C29" s="2801">
        <f t="shared" ref="C29:H29" si="18">SUM(C28,C21,C15)</f>
        <v>31</v>
      </c>
      <c r="D29" s="2802">
        <f t="shared" si="18"/>
        <v>17</v>
      </c>
      <c r="E29" s="2803">
        <f t="shared" si="18"/>
        <v>48</v>
      </c>
      <c r="F29" s="2801">
        <f t="shared" si="18"/>
        <v>11</v>
      </c>
      <c r="G29" s="2802">
        <f t="shared" si="18"/>
        <v>19</v>
      </c>
      <c r="H29" s="2803">
        <f t="shared" si="18"/>
        <v>30</v>
      </c>
      <c r="I29" s="2801">
        <f t="shared" ref="I29:AF29" si="19">SUM(I15,I21,I28)</f>
        <v>20</v>
      </c>
      <c r="J29" s="2802">
        <f t="shared" si="19"/>
        <v>36</v>
      </c>
      <c r="K29" s="2803">
        <f t="shared" si="19"/>
        <v>56</v>
      </c>
      <c r="L29" s="2801">
        <f t="shared" si="19"/>
        <v>24</v>
      </c>
      <c r="M29" s="2802">
        <f t="shared" si="19"/>
        <v>43</v>
      </c>
      <c r="N29" s="2803">
        <f t="shared" si="19"/>
        <v>67</v>
      </c>
      <c r="O29" s="2801">
        <f t="shared" si="19"/>
        <v>47</v>
      </c>
      <c r="P29" s="2802">
        <f t="shared" si="19"/>
        <v>62</v>
      </c>
      <c r="Q29" s="2803">
        <f t="shared" si="19"/>
        <v>109</v>
      </c>
      <c r="R29" s="2801">
        <f t="shared" si="19"/>
        <v>40</v>
      </c>
      <c r="S29" s="2802">
        <f t="shared" si="19"/>
        <v>55</v>
      </c>
      <c r="T29" s="2803">
        <f t="shared" si="19"/>
        <v>95</v>
      </c>
      <c r="U29" s="2801">
        <f t="shared" si="19"/>
        <v>44</v>
      </c>
      <c r="V29" s="2802">
        <f t="shared" si="19"/>
        <v>68</v>
      </c>
      <c r="W29" s="2803">
        <f t="shared" si="19"/>
        <v>112</v>
      </c>
      <c r="X29" s="2801">
        <f t="shared" si="19"/>
        <v>35</v>
      </c>
      <c r="Y29" s="2802">
        <f t="shared" si="19"/>
        <v>39</v>
      </c>
      <c r="Z29" s="2803">
        <f t="shared" si="19"/>
        <v>74</v>
      </c>
      <c r="AA29" s="4649">
        <f t="shared" si="19"/>
        <v>39</v>
      </c>
      <c r="AB29" s="2802">
        <f t="shared" si="19"/>
        <v>45</v>
      </c>
      <c r="AC29" s="2803">
        <f t="shared" si="19"/>
        <v>84</v>
      </c>
      <c r="AD29" s="5348">
        <f t="shared" si="19"/>
        <v>44</v>
      </c>
      <c r="AE29" s="2802">
        <f t="shared" si="19"/>
        <v>47</v>
      </c>
      <c r="AF29" s="2803">
        <f t="shared" si="19"/>
        <v>91</v>
      </c>
    </row>
    <row r="30" spans="1:32" ht="15" customHeight="1" x14ac:dyDescent="0.3">
      <c r="A30" s="2778"/>
      <c r="B30" s="2804" t="s">
        <v>353</v>
      </c>
      <c r="C30" s="2805">
        <v>7</v>
      </c>
      <c r="D30" s="2806">
        <v>3</v>
      </c>
      <c r="E30" s="2807">
        <f>SUM(C30:D30)</f>
        <v>10</v>
      </c>
      <c r="F30" s="2805"/>
      <c r="G30" s="2806"/>
      <c r="H30" s="2807"/>
      <c r="I30" s="2805"/>
      <c r="J30" s="2806"/>
      <c r="K30" s="2807"/>
      <c r="L30" s="2805"/>
      <c r="M30" s="2806"/>
      <c r="N30" s="2807"/>
      <c r="O30" s="2805"/>
      <c r="P30" s="2806"/>
      <c r="Q30" s="2807"/>
      <c r="R30" s="2805"/>
      <c r="S30" s="2806"/>
      <c r="T30" s="2807"/>
      <c r="U30" s="2805"/>
      <c r="V30" s="2806"/>
      <c r="W30" s="2807"/>
      <c r="X30" s="2805"/>
      <c r="Y30" s="2806"/>
      <c r="Z30" s="2807"/>
      <c r="AA30" s="2805"/>
      <c r="AB30" s="2806"/>
      <c r="AC30" s="2807"/>
      <c r="AD30" s="2805"/>
      <c r="AE30" s="2806"/>
      <c r="AF30" s="2807"/>
    </row>
    <row r="31" spans="1:32" ht="17.399999999999999" x14ac:dyDescent="0.3">
      <c r="A31" s="2778"/>
      <c r="B31" s="2781" t="s">
        <v>352</v>
      </c>
      <c r="C31" s="2782">
        <v>17</v>
      </c>
      <c r="D31" s="2785">
        <v>7</v>
      </c>
      <c r="E31" s="2786">
        <f>SUM(C31:D31)</f>
        <v>24</v>
      </c>
      <c r="F31" s="2782"/>
      <c r="G31" s="2785"/>
      <c r="H31" s="2786"/>
      <c r="I31" s="2782"/>
      <c r="J31" s="2785"/>
      <c r="K31" s="2786"/>
      <c r="L31" s="2782"/>
      <c r="M31" s="2785"/>
      <c r="N31" s="2786"/>
      <c r="O31" s="2782"/>
      <c r="P31" s="2785"/>
      <c r="Q31" s="2786"/>
      <c r="R31" s="2782"/>
      <c r="S31" s="2785"/>
      <c r="T31" s="2786"/>
      <c r="U31" s="2782"/>
      <c r="V31" s="2785"/>
      <c r="W31" s="2786"/>
      <c r="X31" s="2782"/>
      <c r="Y31" s="2785"/>
      <c r="Z31" s="2786"/>
      <c r="AA31" s="2782"/>
      <c r="AB31" s="2785"/>
      <c r="AC31" s="2786"/>
      <c r="AD31" s="2782"/>
      <c r="AE31" s="2785"/>
      <c r="AF31" s="2786"/>
    </row>
    <row r="32" spans="1:32" ht="17.399999999999999" x14ac:dyDescent="0.3">
      <c r="A32" s="2778"/>
      <c r="B32" s="2789" t="s">
        <v>115</v>
      </c>
      <c r="C32" s="2414">
        <f>SUM(C30:C31)</f>
        <v>24</v>
      </c>
      <c r="D32" s="2790">
        <f>SUM(D30:D31)</f>
        <v>10</v>
      </c>
      <c r="E32" s="2791">
        <f>SUM(E30:E31)</f>
        <v>34</v>
      </c>
      <c r="F32" s="2414"/>
      <c r="G32" s="2790"/>
      <c r="H32" s="2791"/>
      <c r="I32" s="2414"/>
      <c r="J32" s="2790"/>
      <c r="K32" s="2791"/>
      <c r="L32" s="2414"/>
      <c r="M32" s="2790"/>
      <c r="N32" s="2791"/>
      <c r="O32" s="2414"/>
      <c r="P32" s="2790"/>
      <c r="Q32" s="2791"/>
      <c r="R32" s="2414"/>
      <c r="S32" s="2790"/>
      <c r="T32" s="2791"/>
      <c r="U32" s="2414"/>
      <c r="V32" s="2790"/>
      <c r="W32" s="2791"/>
      <c r="X32" s="2414"/>
      <c r="Y32" s="2790"/>
      <c r="Z32" s="2791"/>
      <c r="AA32" s="2414"/>
      <c r="AB32" s="2790"/>
      <c r="AC32" s="2791"/>
      <c r="AD32" s="2414"/>
      <c r="AE32" s="2790"/>
      <c r="AF32" s="2791"/>
    </row>
    <row r="33" spans="1:32" ht="17.399999999999999" x14ac:dyDescent="0.3">
      <c r="A33" s="2778"/>
      <c r="B33" s="2781" t="s">
        <v>350</v>
      </c>
      <c r="C33" s="2782">
        <v>12</v>
      </c>
      <c r="D33" s="2785">
        <v>10</v>
      </c>
      <c r="E33" s="2786">
        <f>SUM(C33:D33)</f>
        <v>22</v>
      </c>
      <c r="F33" s="2782"/>
      <c r="G33" s="2785"/>
      <c r="H33" s="2786"/>
      <c r="I33" s="2782"/>
      <c r="J33" s="2785"/>
      <c r="K33" s="2786"/>
      <c r="L33" s="2782"/>
      <c r="M33" s="2785"/>
      <c r="N33" s="2786"/>
      <c r="O33" s="2782"/>
      <c r="P33" s="2785"/>
      <c r="Q33" s="2786"/>
      <c r="R33" s="2782"/>
      <c r="S33" s="2785"/>
      <c r="T33" s="2786"/>
      <c r="U33" s="2782"/>
      <c r="V33" s="2785"/>
      <c r="W33" s="2786"/>
      <c r="X33" s="2782"/>
      <c r="Y33" s="2785"/>
      <c r="Z33" s="2786"/>
      <c r="AA33" s="2782"/>
      <c r="AB33" s="2785"/>
      <c r="AC33" s="2786"/>
      <c r="AD33" s="2782"/>
      <c r="AE33" s="2785"/>
      <c r="AF33" s="2786"/>
    </row>
    <row r="34" spans="1:32" ht="17.399999999999999" x14ac:dyDescent="0.3">
      <c r="A34" s="2778"/>
      <c r="B34" s="2797" t="s">
        <v>111</v>
      </c>
      <c r="C34" s="2418">
        <f>SUM(C33)</f>
        <v>12</v>
      </c>
      <c r="D34" s="2798">
        <f>SUM(D33)</f>
        <v>10</v>
      </c>
      <c r="E34" s="2799">
        <f>SUM(E33)</f>
        <v>22</v>
      </c>
      <c r="F34" s="2418"/>
      <c r="G34" s="2798"/>
      <c r="H34" s="2799"/>
      <c r="I34" s="2418"/>
      <c r="J34" s="2798"/>
      <c r="K34" s="2799"/>
      <c r="L34" s="2418"/>
      <c r="M34" s="2798"/>
      <c r="N34" s="2799"/>
      <c r="O34" s="2418"/>
      <c r="P34" s="2798"/>
      <c r="Q34" s="2799"/>
      <c r="R34" s="2418"/>
      <c r="S34" s="2798"/>
      <c r="T34" s="2799"/>
      <c r="U34" s="2418"/>
      <c r="V34" s="2798"/>
      <c r="W34" s="2799"/>
      <c r="X34" s="2418"/>
      <c r="Y34" s="2798"/>
      <c r="Z34" s="2799"/>
      <c r="AA34" s="2418"/>
      <c r="AB34" s="2798"/>
      <c r="AC34" s="2799"/>
      <c r="AD34" s="2418"/>
      <c r="AE34" s="2798"/>
      <c r="AF34" s="2799"/>
    </row>
    <row r="35" spans="1:32" ht="18" customHeight="1" x14ac:dyDescent="0.3">
      <c r="A35" s="2778"/>
      <c r="B35" s="2808" t="s">
        <v>116</v>
      </c>
      <c r="C35" s="2809">
        <f>SUM(C34,C32)</f>
        <v>36</v>
      </c>
      <c r="D35" s="2810">
        <f>SUM(D34,D32)</f>
        <v>20</v>
      </c>
      <c r="E35" s="2811">
        <f>SUM(E34,E32)</f>
        <v>56</v>
      </c>
      <c r="F35" s="2809"/>
      <c r="G35" s="2810"/>
      <c r="H35" s="2811"/>
      <c r="I35" s="2809"/>
      <c r="J35" s="2810"/>
      <c r="K35" s="2811"/>
      <c r="L35" s="2809"/>
      <c r="M35" s="2810"/>
      <c r="N35" s="2811"/>
      <c r="O35" s="2809"/>
      <c r="P35" s="2810"/>
      <c r="Q35" s="2811"/>
      <c r="R35" s="2809"/>
      <c r="S35" s="2810"/>
      <c r="T35" s="2811"/>
      <c r="U35" s="2809"/>
      <c r="V35" s="2810"/>
      <c r="W35" s="2811"/>
      <c r="X35" s="2809"/>
      <c r="Y35" s="2810"/>
      <c r="Z35" s="2811"/>
      <c r="AA35" s="4650"/>
      <c r="AB35" s="2810"/>
      <c r="AC35" s="2811"/>
      <c r="AD35" s="5349"/>
      <c r="AE35" s="2810"/>
      <c r="AF35" s="2811"/>
    </row>
    <row r="36" spans="1:32" ht="15" customHeight="1" x14ac:dyDescent="0.3">
      <c r="A36" s="2778"/>
      <c r="B36" s="2804" t="s">
        <v>692</v>
      </c>
      <c r="C36" s="2805">
        <v>2</v>
      </c>
      <c r="D36" s="2806"/>
      <c r="E36" s="2807">
        <f>SUM(C36:D36)</f>
        <v>2</v>
      </c>
      <c r="F36" s="2805">
        <v>1</v>
      </c>
      <c r="G36" s="2806">
        <v>8</v>
      </c>
      <c r="H36" s="2807">
        <f>SUM(F36:G36)</f>
        <v>9</v>
      </c>
      <c r="I36" s="2805">
        <v>3</v>
      </c>
      <c r="J36" s="2806">
        <v>16</v>
      </c>
      <c r="K36" s="2807">
        <f>SUM(I36:J36)</f>
        <v>19</v>
      </c>
      <c r="L36" s="2805">
        <v>4</v>
      </c>
      <c r="M36" s="2806">
        <v>17</v>
      </c>
      <c r="N36" s="2807">
        <f>SUM(L36:M36)</f>
        <v>21</v>
      </c>
      <c r="O36" s="2805">
        <v>5</v>
      </c>
      <c r="P36" s="2806">
        <v>19</v>
      </c>
      <c r="Q36" s="2807">
        <f>SUM(O36:P36)</f>
        <v>24</v>
      </c>
      <c r="R36" s="2805">
        <v>6</v>
      </c>
      <c r="S36" s="2806">
        <v>20</v>
      </c>
      <c r="T36" s="2807">
        <f>SUM(R36:S36)</f>
        <v>26</v>
      </c>
      <c r="U36" s="2805">
        <v>8</v>
      </c>
      <c r="V36" s="2806">
        <v>15</v>
      </c>
      <c r="W36" s="2807">
        <f>SUM(U36:V36)</f>
        <v>23</v>
      </c>
      <c r="X36" s="2805">
        <v>8</v>
      </c>
      <c r="Y36" s="2806">
        <v>18</v>
      </c>
      <c r="Z36" s="2807">
        <f>SUM(X36:Y36)</f>
        <v>26</v>
      </c>
      <c r="AA36" s="2805">
        <v>7</v>
      </c>
      <c r="AB36" s="2806">
        <v>18</v>
      </c>
      <c r="AC36" s="2807">
        <f>SUM(AA36:AB36)</f>
        <v>25</v>
      </c>
      <c r="AD36" s="2805">
        <v>1</v>
      </c>
      <c r="AE36" s="2806">
        <v>3</v>
      </c>
      <c r="AF36" s="2807">
        <f>SUM(AD36:AE36)</f>
        <v>4</v>
      </c>
    </row>
    <row r="37" spans="1:32" ht="17.399999999999999" x14ac:dyDescent="0.3">
      <c r="A37" s="2778"/>
      <c r="B37" s="2781" t="s">
        <v>445</v>
      </c>
      <c r="C37" s="2782">
        <v>1</v>
      </c>
      <c r="D37" s="2785">
        <v>2</v>
      </c>
      <c r="E37" s="2786">
        <f>SUM(C37:D37)</f>
        <v>3</v>
      </c>
      <c r="F37" s="2782">
        <v>2</v>
      </c>
      <c r="G37" s="2785">
        <v>5</v>
      </c>
      <c r="H37" s="2786">
        <f>SUM(F37:G37)</f>
        <v>7</v>
      </c>
      <c r="I37" s="2782">
        <v>3</v>
      </c>
      <c r="J37" s="2785">
        <v>6</v>
      </c>
      <c r="K37" s="2786">
        <f>SUM(I37:J37)</f>
        <v>9</v>
      </c>
      <c r="L37" s="2782">
        <v>4</v>
      </c>
      <c r="M37" s="2785">
        <v>10</v>
      </c>
      <c r="N37" s="2786">
        <f>SUM(L37:M37)</f>
        <v>14</v>
      </c>
      <c r="O37" s="2782">
        <v>2</v>
      </c>
      <c r="P37" s="2785">
        <v>9</v>
      </c>
      <c r="Q37" s="2786">
        <f>SUM(O37:P37)</f>
        <v>11</v>
      </c>
      <c r="R37" s="2782"/>
      <c r="S37" s="2785"/>
      <c r="T37" s="2786"/>
      <c r="U37" s="2782"/>
      <c r="V37" s="2785"/>
      <c r="W37" s="2786"/>
      <c r="X37" s="2782"/>
      <c r="Y37" s="2785"/>
      <c r="Z37" s="2786"/>
      <c r="AA37" s="2782"/>
      <c r="AB37" s="2785"/>
      <c r="AC37" s="2786"/>
      <c r="AD37" s="2782"/>
      <c r="AE37" s="2785"/>
      <c r="AF37" s="2786"/>
    </row>
    <row r="38" spans="1:32" ht="17.399999999999999" x14ac:dyDescent="0.3">
      <c r="A38" s="2778"/>
      <c r="B38" s="2781" t="s">
        <v>444</v>
      </c>
      <c r="C38" s="2782">
        <v>4</v>
      </c>
      <c r="D38" s="2785">
        <v>3</v>
      </c>
      <c r="E38" s="2786">
        <f>SUM(C38:D38)</f>
        <v>7</v>
      </c>
      <c r="F38" s="2782"/>
      <c r="G38" s="2785"/>
      <c r="H38" s="2786"/>
      <c r="I38" s="2782"/>
      <c r="J38" s="2785"/>
      <c r="K38" s="2786"/>
      <c r="L38" s="2782"/>
      <c r="M38" s="2785"/>
      <c r="N38" s="2786"/>
      <c r="O38" s="2782"/>
      <c r="P38" s="2785"/>
      <c r="Q38" s="2786"/>
      <c r="R38" s="2782"/>
      <c r="S38" s="2785"/>
      <c r="T38" s="2786"/>
      <c r="U38" s="2782"/>
      <c r="V38" s="2785"/>
      <c r="W38" s="2786"/>
      <c r="X38" s="2782"/>
      <c r="Y38" s="2785"/>
      <c r="Z38" s="2786"/>
      <c r="AA38" s="2782"/>
      <c r="AB38" s="2785"/>
      <c r="AC38" s="2786"/>
      <c r="AD38" s="2782"/>
      <c r="AE38" s="2785"/>
      <c r="AF38" s="2786"/>
    </row>
    <row r="39" spans="1:32" ht="17.399999999999999" x14ac:dyDescent="0.3">
      <c r="A39" s="2778"/>
      <c r="B39" s="2789" t="s">
        <v>59</v>
      </c>
      <c r="C39" s="2414">
        <f t="shared" ref="C39:Z39" si="20">SUM(C36:C38)</f>
        <v>7</v>
      </c>
      <c r="D39" s="2790">
        <f t="shared" si="20"/>
        <v>5</v>
      </c>
      <c r="E39" s="2791">
        <f t="shared" si="20"/>
        <v>12</v>
      </c>
      <c r="F39" s="2414">
        <f t="shared" si="20"/>
        <v>3</v>
      </c>
      <c r="G39" s="2790">
        <f t="shared" si="20"/>
        <v>13</v>
      </c>
      <c r="H39" s="2791">
        <f t="shared" si="20"/>
        <v>16</v>
      </c>
      <c r="I39" s="2414">
        <f t="shared" si="20"/>
        <v>6</v>
      </c>
      <c r="J39" s="2790">
        <f t="shared" si="20"/>
        <v>22</v>
      </c>
      <c r="K39" s="2791">
        <f t="shared" si="20"/>
        <v>28</v>
      </c>
      <c r="L39" s="2414">
        <f t="shared" si="20"/>
        <v>8</v>
      </c>
      <c r="M39" s="2790">
        <f t="shared" si="20"/>
        <v>27</v>
      </c>
      <c r="N39" s="2791">
        <f t="shared" si="20"/>
        <v>35</v>
      </c>
      <c r="O39" s="2414">
        <f t="shared" si="20"/>
        <v>7</v>
      </c>
      <c r="P39" s="2790">
        <f t="shared" si="20"/>
        <v>28</v>
      </c>
      <c r="Q39" s="2791">
        <f t="shared" si="20"/>
        <v>35</v>
      </c>
      <c r="R39" s="2414">
        <f t="shared" si="20"/>
        <v>6</v>
      </c>
      <c r="S39" s="2790">
        <f t="shared" si="20"/>
        <v>20</v>
      </c>
      <c r="T39" s="2791">
        <f t="shared" si="20"/>
        <v>26</v>
      </c>
      <c r="U39" s="2414">
        <f t="shared" si="20"/>
        <v>8</v>
      </c>
      <c r="V39" s="2790">
        <f t="shared" si="20"/>
        <v>15</v>
      </c>
      <c r="W39" s="2791">
        <f t="shared" si="20"/>
        <v>23</v>
      </c>
      <c r="X39" s="2414">
        <f t="shared" si="20"/>
        <v>8</v>
      </c>
      <c r="Y39" s="2790">
        <f t="shared" si="20"/>
        <v>18</v>
      </c>
      <c r="Z39" s="2791">
        <f t="shared" si="20"/>
        <v>26</v>
      </c>
      <c r="AA39" s="2414">
        <f t="shared" ref="AA39:AC39" si="21">SUM(AA36:AA38)</f>
        <v>7</v>
      </c>
      <c r="AB39" s="2790">
        <f t="shared" si="21"/>
        <v>18</v>
      </c>
      <c r="AC39" s="2791">
        <f t="shared" si="21"/>
        <v>25</v>
      </c>
      <c r="AD39" s="2414">
        <f t="shared" ref="AD39:AF39" si="22">SUM(AD36:AD38)</f>
        <v>1</v>
      </c>
      <c r="AE39" s="2790">
        <f t="shared" si="22"/>
        <v>3</v>
      </c>
      <c r="AF39" s="2791">
        <f t="shared" si="22"/>
        <v>4</v>
      </c>
    </row>
    <row r="40" spans="1:32" ht="17.399999999999999" x14ac:dyDescent="0.3">
      <c r="A40" s="2778"/>
      <c r="B40" s="2804" t="s">
        <v>483</v>
      </c>
      <c r="C40" s="2805"/>
      <c r="D40" s="2806"/>
      <c r="E40" s="2807"/>
      <c r="F40" s="2805"/>
      <c r="G40" s="2806"/>
      <c r="H40" s="2807"/>
      <c r="I40" s="2805"/>
      <c r="J40" s="2806"/>
      <c r="K40" s="2807"/>
      <c r="L40" s="2805"/>
      <c r="M40" s="2806"/>
      <c r="N40" s="2807"/>
      <c r="O40" s="2805"/>
      <c r="P40" s="2806"/>
      <c r="Q40" s="2807"/>
      <c r="R40" s="2805">
        <v>3</v>
      </c>
      <c r="S40" s="2806">
        <v>1</v>
      </c>
      <c r="T40" s="2807">
        <f>SUM(R40:S40)</f>
        <v>4</v>
      </c>
      <c r="U40" s="2805">
        <v>4</v>
      </c>
      <c r="V40" s="2806">
        <v>2</v>
      </c>
      <c r="W40" s="2807">
        <f>SUM(U40:V40)</f>
        <v>6</v>
      </c>
      <c r="X40" s="2805">
        <v>4</v>
      </c>
      <c r="Y40" s="2806">
        <v>3</v>
      </c>
      <c r="Z40" s="2807">
        <f>SUM(X40:Y40)</f>
        <v>7</v>
      </c>
      <c r="AA40" s="2805">
        <v>8</v>
      </c>
      <c r="AB40" s="2806">
        <v>4</v>
      </c>
      <c r="AC40" s="2807">
        <f>SUM(AA40:AB40)</f>
        <v>12</v>
      </c>
      <c r="AD40" s="2805">
        <v>12</v>
      </c>
      <c r="AE40" s="2806">
        <v>4</v>
      </c>
      <c r="AF40" s="2807">
        <f>SUM(AD40:AE40)</f>
        <v>16</v>
      </c>
    </row>
    <row r="41" spans="1:32" ht="17.399999999999999" x14ac:dyDescent="0.3">
      <c r="A41" s="2778"/>
      <c r="B41" s="2804" t="s">
        <v>691</v>
      </c>
      <c r="C41" s="2805"/>
      <c r="D41" s="2806"/>
      <c r="E41" s="2807"/>
      <c r="F41" s="2805"/>
      <c r="G41" s="2806"/>
      <c r="H41" s="2807"/>
      <c r="I41" s="2805"/>
      <c r="J41" s="2806"/>
      <c r="K41" s="2807"/>
      <c r="L41" s="2805"/>
      <c r="M41" s="2806"/>
      <c r="N41" s="2807"/>
      <c r="O41" s="2805">
        <v>5</v>
      </c>
      <c r="P41" s="2806">
        <v>4</v>
      </c>
      <c r="Q41" s="2807">
        <f>SUM(O41:P41)</f>
        <v>9</v>
      </c>
      <c r="R41" s="2805">
        <v>2</v>
      </c>
      <c r="S41" s="2806">
        <v>3</v>
      </c>
      <c r="T41" s="2807">
        <f>SUM(R41:S41)</f>
        <v>5</v>
      </c>
      <c r="U41" s="2805">
        <v>6</v>
      </c>
      <c r="V41" s="2806">
        <v>5</v>
      </c>
      <c r="W41" s="2807">
        <f>SUM(U41:V41)</f>
        <v>11</v>
      </c>
      <c r="X41" s="2805">
        <v>6</v>
      </c>
      <c r="Y41" s="2806">
        <v>3</v>
      </c>
      <c r="Z41" s="2807">
        <f>SUM(X41:Y41)</f>
        <v>9</v>
      </c>
      <c r="AA41" s="2805">
        <v>7</v>
      </c>
      <c r="AB41" s="2806">
        <v>6</v>
      </c>
      <c r="AC41" s="2807">
        <f>SUM(AA41:AB41)</f>
        <v>13</v>
      </c>
      <c r="AD41" s="2805">
        <v>11</v>
      </c>
      <c r="AE41" s="2806">
        <v>6</v>
      </c>
      <c r="AF41" s="2807">
        <f>SUM(AD41:AE41)</f>
        <v>17</v>
      </c>
    </row>
    <row r="42" spans="1:32" ht="17.399999999999999" x14ac:dyDescent="0.3">
      <c r="A42" s="2778"/>
      <c r="B42" s="2781" t="s">
        <v>375</v>
      </c>
      <c r="C42" s="2805"/>
      <c r="D42" s="2806"/>
      <c r="E42" s="2807"/>
      <c r="F42" s="2805"/>
      <c r="G42" s="2806"/>
      <c r="H42" s="2807"/>
      <c r="I42" s="2805"/>
      <c r="J42" s="2806"/>
      <c r="K42" s="2807"/>
      <c r="L42" s="2805"/>
      <c r="M42" s="2806"/>
      <c r="N42" s="2807"/>
      <c r="O42" s="2805"/>
      <c r="P42" s="2806"/>
      <c r="Q42" s="2807"/>
      <c r="R42" s="2805">
        <v>7</v>
      </c>
      <c r="S42" s="2806">
        <v>1</v>
      </c>
      <c r="T42" s="2807">
        <f>SUM(R42:S42)</f>
        <v>8</v>
      </c>
      <c r="U42" s="2805">
        <v>14</v>
      </c>
      <c r="V42" s="2806">
        <v>4</v>
      </c>
      <c r="W42" s="2807">
        <f>SUM(U42:V42)</f>
        <v>18</v>
      </c>
      <c r="X42" s="2805">
        <v>7</v>
      </c>
      <c r="Y42" s="2806">
        <v>3</v>
      </c>
      <c r="Z42" s="2807">
        <f>SUM(X42:Y42)</f>
        <v>10</v>
      </c>
      <c r="AA42" s="2805">
        <v>10</v>
      </c>
      <c r="AB42" s="2806">
        <v>8</v>
      </c>
      <c r="AC42" s="2807">
        <f>SUM(AA42:AB42)</f>
        <v>18</v>
      </c>
      <c r="AD42" s="2805">
        <v>4</v>
      </c>
      <c r="AE42" s="2806">
        <v>5</v>
      </c>
      <c r="AF42" s="2807">
        <f>SUM(AD42:AE42)</f>
        <v>9</v>
      </c>
    </row>
    <row r="43" spans="1:32" ht="17.399999999999999" x14ac:dyDescent="0.3">
      <c r="A43" s="2778"/>
      <c r="B43" s="2781" t="s">
        <v>380</v>
      </c>
      <c r="C43" s="2782"/>
      <c r="D43" s="2785"/>
      <c r="E43" s="2786"/>
      <c r="F43" s="2782"/>
      <c r="G43" s="2785"/>
      <c r="H43" s="2786"/>
      <c r="I43" s="2782"/>
      <c r="J43" s="2785"/>
      <c r="K43" s="2786"/>
      <c r="L43" s="2782"/>
      <c r="M43" s="2785"/>
      <c r="N43" s="2786"/>
      <c r="O43" s="2782">
        <v>7</v>
      </c>
      <c r="P43" s="2785">
        <v>2</v>
      </c>
      <c r="Q43" s="2786">
        <f>SUM(O43:P43)</f>
        <v>9</v>
      </c>
      <c r="R43" s="2782">
        <v>1</v>
      </c>
      <c r="S43" s="2785">
        <v>1</v>
      </c>
      <c r="T43" s="2786">
        <f>SUM(R43:S43)</f>
        <v>2</v>
      </c>
      <c r="U43" s="2782">
        <v>1</v>
      </c>
      <c r="V43" s="2785">
        <v>1</v>
      </c>
      <c r="W43" s="2786">
        <f>SUM(U43:V43)</f>
        <v>2</v>
      </c>
      <c r="X43" s="2782"/>
      <c r="Y43" s="2785"/>
      <c r="Z43" s="2786"/>
      <c r="AA43" s="2782"/>
      <c r="AB43" s="2785"/>
      <c r="AC43" s="2786"/>
      <c r="AD43" s="2782"/>
      <c r="AE43" s="2785"/>
      <c r="AF43" s="2786"/>
    </row>
    <row r="44" spans="1:32" ht="17.399999999999999" x14ac:dyDescent="0.3">
      <c r="A44" s="2778"/>
      <c r="B44" s="2789" t="s">
        <v>64</v>
      </c>
      <c r="C44" s="2414"/>
      <c r="D44" s="2790"/>
      <c r="E44" s="2791"/>
      <c r="F44" s="2414"/>
      <c r="G44" s="2790"/>
      <c r="H44" s="2791"/>
      <c r="I44" s="2414"/>
      <c r="J44" s="2790"/>
      <c r="K44" s="2791"/>
      <c r="L44" s="2414"/>
      <c r="M44" s="2790"/>
      <c r="N44" s="2791"/>
      <c r="O44" s="2414">
        <f>SUM(O41:O43)</f>
        <v>12</v>
      </c>
      <c r="P44" s="2790">
        <f>SUM(P41:P43)</f>
        <v>6</v>
      </c>
      <c r="Q44" s="2791">
        <f>SUM(Q41:Q43)</f>
        <v>18</v>
      </c>
      <c r="R44" s="2414">
        <f t="shared" ref="R44:W44" si="23">SUM(R40:R43)</f>
        <v>13</v>
      </c>
      <c r="S44" s="2790">
        <f t="shared" si="23"/>
        <v>6</v>
      </c>
      <c r="T44" s="2791">
        <f t="shared" si="23"/>
        <v>19</v>
      </c>
      <c r="U44" s="2414">
        <f t="shared" si="23"/>
        <v>25</v>
      </c>
      <c r="V44" s="2790">
        <f t="shared" si="23"/>
        <v>12</v>
      </c>
      <c r="W44" s="2791">
        <f t="shared" si="23"/>
        <v>37</v>
      </c>
      <c r="X44" s="2414">
        <f t="shared" ref="X44:AC44" si="24">SUM(X40:X43)</f>
        <v>17</v>
      </c>
      <c r="Y44" s="2790">
        <f t="shared" si="24"/>
        <v>9</v>
      </c>
      <c r="Z44" s="2791">
        <f t="shared" si="24"/>
        <v>26</v>
      </c>
      <c r="AA44" s="2414">
        <f>SUM(AA40:AA43)</f>
        <v>25</v>
      </c>
      <c r="AB44" s="2790">
        <f t="shared" si="24"/>
        <v>18</v>
      </c>
      <c r="AC44" s="2791">
        <f t="shared" si="24"/>
        <v>43</v>
      </c>
      <c r="AD44" s="2414">
        <f>SUM(AD40:AD43)</f>
        <v>27</v>
      </c>
      <c r="AE44" s="2790">
        <f t="shared" ref="AE44:AF44" si="25">SUM(AE40:AE43)</f>
        <v>15</v>
      </c>
      <c r="AF44" s="2791">
        <f t="shared" si="25"/>
        <v>42</v>
      </c>
    </row>
    <row r="45" spans="1:32" ht="17.399999999999999" x14ac:dyDescent="0.3">
      <c r="A45" s="2778"/>
      <c r="B45" s="2781" t="s">
        <v>1414</v>
      </c>
      <c r="C45" s="2782">
        <v>13</v>
      </c>
      <c r="D45" s="2785">
        <v>13</v>
      </c>
      <c r="E45" s="2786">
        <f>SUM(C45:D45)</f>
        <v>26</v>
      </c>
      <c r="F45" s="2782"/>
      <c r="G45" s="2785"/>
      <c r="H45" s="2786"/>
      <c r="I45" s="2782"/>
      <c r="J45" s="2785"/>
      <c r="K45" s="2786"/>
      <c r="L45" s="2782"/>
      <c r="M45" s="2785"/>
      <c r="N45" s="2786"/>
      <c r="O45" s="2782"/>
      <c r="P45" s="2785"/>
      <c r="Q45" s="2786"/>
      <c r="R45" s="2782"/>
      <c r="S45" s="2785"/>
      <c r="T45" s="2786"/>
      <c r="U45" s="2782"/>
      <c r="V45" s="2785"/>
      <c r="W45" s="2786"/>
      <c r="X45" s="2782"/>
      <c r="Y45" s="2785"/>
      <c r="Z45" s="2786"/>
      <c r="AA45" s="2782"/>
      <c r="AB45" s="2785"/>
      <c r="AC45" s="2786"/>
      <c r="AD45" s="2782"/>
      <c r="AE45" s="2785"/>
      <c r="AF45" s="2786"/>
    </row>
    <row r="46" spans="1:32" ht="17.399999999999999" x14ac:dyDescent="0.3">
      <c r="A46" s="2778"/>
      <c r="B46" s="2797" t="s">
        <v>92</v>
      </c>
      <c r="C46" s="2418">
        <f>SUM(C45)</f>
        <v>13</v>
      </c>
      <c r="D46" s="2798">
        <f>SUM(D45)</f>
        <v>13</v>
      </c>
      <c r="E46" s="2799">
        <f>SUM(E45)</f>
        <v>26</v>
      </c>
      <c r="F46" s="2418"/>
      <c r="G46" s="2798"/>
      <c r="H46" s="2799"/>
      <c r="I46" s="2418"/>
      <c r="J46" s="2798"/>
      <c r="K46" s="2799"/>
      <c r="L46" s="2418"/>
      <c r="M46" s="2798"/>
      <c r="N46" s="2799"/>
      <c r="O46" s="2418"/>
      <c r="P46" s="2798"/>
      <c r="Q46" s="2799"/>
      <c r="R46" s="2418"/>
      <c r="S46" s="2798"/>
      <c r="T46" s="2799"/>
      <c r="U46" s="2418"/>
      <c r="V46" s="2798"/>
      <c r="W46" s="2799"/>
      <c r="X46" s="2418"/>
      <c r="Y46" s="2798"/>
      <c r="Z46" s="2799"/>
      <c r="AA46" s="2418"/>
      <c r="AB46" s="2798"/>
      <c r="AC46" s="2799"/>
      <c r="AD46" s="2418"/>
      <c r="AE46" s="2798"/>
      <c r="AF46" s="2799"/>
    </row>
    <row r="47" spans="1:32" ht="18" customHeight="1" x14ac:dyDescent="0.3">
      <c r="A47" s="2778"/>
      <c r="B47" s="2812" t="s">
        <v>93</v>
      </c>
      <c r="C47" s="2813">
        <f t="shared" ref="C47:K47" si="26">SUM(C46,C39)</f>
        <v>20</v>
      </c>
      <c r="D47" s="2814">
        <f t="shared" si="26"/>
        <v>18</v>
      </c>
      <c r="E47" s="2815">
        <f t="shared" si="26"/>
        <v>38</v>
      </c>
      <c r="F47" s="2813">
        <f t="shared" si="26"/>
        <v>3</v>
      </c>
      <c r="G47" s="2814">
        <f t="shared" si="26"/>
        <v>13</v>
      </c>
      <c r="H47" s="2815">
        <f t="shared" si="26"/>
        <v>16</v>
      </c>
      <c r="I47" s="2813">
        <f t="shared" si="26"/>
        <v>6</v>
      </c>
      <c r="J47" s="2814">
        <f t="shared" si="26"/>
        <v>22</v>
      </c>
      <c r="K47" s="2815">
        <f t="shared" si="26"/>
        <v>28</v>
      </c>
      <c r="L47" s="2813">
        <f>SUM(L46,L39)</f>
        <v>8</v>
      </c>
      <c r="M47" s="2814">
        <f>SUM(M46,M39)</f>
        <v>27</v>
      </c>
      <c r="N47" s="2815">
        <f>SUM(N46,N39)</f>
        <v>35</v>
      </c>
      <c r="O47" s="2813">
        <f t="shared" ref="O47:Z47" si="27">SUM(O39,O44,O46)</f>
        <v>19</v>
      </c>
      <c r="P47" s="2814">
        <f t="shared" si="27"/>
        <v>34</v>
      </c>
      <c r="Q47" s="2815">
        <f t="shared" si="27"/>
        <v>53</v>
      </c>
      <c r="R47" s="2813">
        <f t="shared" si="27"/>
        <v>19</v>
      </c>
      <c r="S47" s="2814">
        <f t="shared" si="27"/>
        <v>26</v>
      </c>
      <c r="T47" s="2815">
        <f t="shared" si="27"/>
        <v>45</v>
      </c>
      <c r="U47" s="2813">
        <f t="shared" si="27"/>
        <v>33</v>
      </c>
      <c r="V47" s="2814">
        <f t="shared" si="27"/>
        <v>27</v>
      </c>
      <c r="W47" s="2815">
        <f t="shared" si="27"/>
        <v>60</v>
      </c>
      <c r="X47" s="2813">
        <f t="shared" si="27"/>
        <v>25</v>
      </c>
      <c r="Y47" s="2814">
        <f t="shared" si="27"/>
        <v>27</v>
      </c>
      <c r="Z47" s="2815">
        <f t="shared" si="27"/>
        <v>52</v>
      </c>
      <c r="AA47" s="4651">
        <f t="shared" ref="AA47:AC47" si="28">SUM(AA39,AA44,AA46)</f>
        <v>32</v>
      </c>
      <c r="AB47" s="2814">
        <f t="shared" si="28"/>
        <v>36</v>
      </c>
      <c r="AC47" s="2815">
        <f t="shared" si="28"/>
        <v>68</v>
      </c>
      <c r="AD47" s="5350">
        <f t="shared" ref="AD47:AF47" si="29">SUM(AD39,AD44,AD46)</f>
        <v>28</v>
      </c>
      <c r="AE47" s="2814">
        <f t="shared" si="29"/>
        <v>18</v>
      </c>
      <c r="AF47" s="2815">
        <f t="shared" si="29"/>
        <v>46</v>
      </c>
    </row>
    <row r="48" spans="1:32" ht="17.399999999999999" x14ac:dyDescent="0.3">
      <c r="A48" s="2778"/>
      <c r="B48" s="2781" t="s">
        <v>354</v>
      </c>
      <c r="C48" s="2782"/>
      <c r="D48" s="2785"/>
      <c r="E48" s="2786"/>
      <c r="F48" s="2782"/>
      <c r="G48" s="2785"/>
      <c r="H48" s="2786"/>
      <c r="I48" s="2782"/>
      <c r="J48" s="2785"/>
      <c r="K48" s="2786"/>
      <c r="L48" s="2782"/>
      <c r="M48" s="2785"/>
      <c r="N48" s="2786"/>
      <c r="O48" s="2782"/>
      <c r="P48" s="2785"/>
      <c r="Q48" s="2786"/>
      <c r="R48" s="2782">
        <v>1</v>
      </c>
      <c r="S48" s="2785"/>
      <c r="T48" s="2786">
        <f>SUM(R48:S48)</f>
        <v>1</v>
      </c>
      <c r="U48" s="2782">
        <v>1</v>
      </c>
      <c r="V48" s="2785">
        <v>2</v>
      </c>
      <c r="W48" s="2786">
        <f>SUM(U48:V48)</f>
        <v>3</v>
      </c>
      <c r="X48" s="2782">
        <v>2</v>
      </c>
      <c r="Y48" s="2785">
        <v>2</v>
      </c>
      <c r="Z48" s="2786">
        <f>SUM(X48:Y48)</f>
        <v>4</v>
      </c>
      <c r="AA48" s="2782">
        <v>3</v>
      </c>
      <c r="AB48" s="2785">
        <v>1</v>
      </c>
      <c r="AC48" s="2786">
        <f>SUM(AA48:AB48)</f>
        <v>4</v>
      </c>
      <c r="AD48" s="2782">
        <v>1</v>
      </c>
      <c r="AE48" s="2785">
        <v>1</v>
      </c>
      <c r="AF48" s="2786">
        <f>SUM(AD48:AE48)</f>
        <v>2</v>
      </c>
    </row>
    <row r="49" spans="1:32" ht="17.399999999999999" x14ac:dyDescent="0.3">
      <c r="A49" s="2778"/>
      <c r="B49" s="2797" t="s">
        <v>92</v>
      </c>
      <c r="C49" s="2418"/>
      <c r="D49" s="2798"/>
      <c r="E49" s="2799"/>
      <c r="F49" s="2418"/>
      <c r="G49" s="2798"/>
      <c r="H49" s="2799"/>
      <c r="I49" s="2418"/>
      <c r="J49" s="2798"/>
      <c r="K49" s="2799"/>
      <c r="L49" s="2418"/>
      <c r="M49" s="2798"/>
      <c r="N49" s="2799"/>
      <c r="O49" s="2418"/>
      <c r="P49" s="2798"/>
      <c r="Q49" s="2799"/>
      <c r="R49" s="2418">
        <f t="shared" ref="R49:T50" si="30">SUM(R48)</f>
        <v>1</v>
      </c>
      <c r="S49" s="2798">
        <f t="shared" si="30"/>
        <v>0</v>
      </c>
      <c r="T49" s="2799">
        <f t="shared" si="30"/>
        <v>1</v>
      </c>
      <c r="U49" s="2418">
        <f t="shared" ref="U49:Z50" si="31">SUM(U48)</f>
        <v>1</v>
      </c>
      <c r="V49" s="2798">
        <f t="shared" si="31"/>
        <v>2</v>
      </c>
      <c r="W49" s="2799">
        <f t="shared" si="31"/>
        <v>3</v>
      </c>
      <c r="X49" s="2418">
        <f t="shared" si="31"/>
        <v>2</v>
      </c>
      <c r="Y49" s="2798">
        <f t="shared" si="31"/>
        <v>2</v>
      </c>
      <c r="Z49" s="2799">
        <f t="shared" si="31"/>
        <v>4</v>
      </c>
      <c r="AA49" s="2418">
        <f t="shared" ref="AA49:AC49" si="32">SUM(AA48)</f>
        <v>3</v>
      </c>
      <c r="AB49" s="2798">
        <f t="shared" si="32"/>
        <v>1</v>
      </c>
      <c r="AC49" s="2799">
        <f t="shared" si="32"/>
        <v>4</v>
      </c>
      <c r="AD49" s="2418">
        <f t="shared" ref="AD49:AF49" si="33">SUM(AD48)</f>
        <v>1</v>
      </c>
      <c r="AE49" s="2798">
        <f t="shared" si="33"/>
        <v>1</v>
      </c>
      <c r="AF49" s="2799">
        <f t="shared" si="33"/>
        <v>2</v>
      </c>
    </row>
    <row r="50" spans="1:32" ht="18" customHeight="1" x14ac:dyDescent="0.3">
      <c r="A50" s="2778"/>
      <c r="B50" s="2816" t="s">
        <v>127</v>
      </c>
      <c r="C50" s="2817"/>
      <c r="D50" s="2818"/>
      <c r="E50" s="2819"/>
      <c r="F50" s="2817"/>
      <c r="G50" s="2818"/>
      <c r="H50" s="2819"/>
      <c r="I50" s="2817"/>
      <c r="J50" s="2818"/>
      <c r="K50" s="2819"/>
      <c r="L50" s="2817"/>
      <c r="M50" s="2818"/>
      <c r="N50" s="2819"/>
      <c r="O50" s="2817"/>
      <c r="P50" s="2818"/>
      <c r="Q50" s="2819"/>
      <c r="R50" s="2817">
        <f t="shared" si="30"/>
        <v>1</v>
      </c>
      <c r="S50" s="2818">
        <f t="shared" si="30"/>
        <v>0</v>
      </c>
      <c r="T50" s="2819">
        <f t="shared" si="30"/>
        <v>1</v>
      </c>
      <c r="U50" s="2817">
        <f t="shared" si="31"/>
        <v>1</v>
      </c>
      <c r="V50" s="2818">
        <f t="shared" si="31"/>
        <v>2</v>
      </c>
      <c r="W50" s="2819">
        <f t="shared" si="31"/>
        <v>3</v>
      </c>
      <c r="X50" s="2817">
        <f t="shared" si="31"/>
        <v>2</v>
      </c>
      <c r="Y50" s="2818">
        <f t="shared" si="31"/>
        <v>2</v>
      </c>
      <c r="Z50" s="2819">
        <f t="shared" si="31"/>
        <v>4</v>
      </c>
      <c r="AA50" s="2817">
        <f t="shared" ref="AA50:AC50" si="34">SUM(AA49)</f>
        <v>3</v>
      </c>
      <c r="AB50" s="2818">
        <f t="shared" si="34"/>
        <v>1</v>
      </c>
      <c r="AC50" s="2819">
        <f t="shared" si="34"/>
        <v>4</v>
      </c>
      <c r="AD50" s="2817">
        <f t="shared" ref="AD50:AF50" si="35">SUM(AD49)</f>
        <v>1</v>
      </c>
      <c r="AE50" s="2818">
        <f t="shared" si="35"/>
        <v>1</v>
      </c>
      <c r="AF50" s="2819">
        <f t="shared" si="35"/>
        <v>2</v>
      </c>
    </row>
    <row r="51" spans="1:32" ht="15" customHeight="1" x14ac:dyDescent="0.3">
      <c r="A51" s="2778"/>
      <c r="B51" s="2804" t="s">
        <v>421</v>
      </c>
      <c r="C51" s="2805">
        <v>14</v>
      </c>
      <c r="D51" s="2806">
        <v>15</v>
      </c>
      <c r="E51" s="2807">
        <f>SUM(C51:D51)</f>
        <v>29</v>
      </c>
      <c r="F51" s="2805">
        <v>18</v>
      </c>
      <c r="G51" s="2806">
        <v>13</v>
      </c>
      <c r="H51" s="2807">
        <f>SUM(F51:G51)</f>
        <v>31</v>
      </c>
      <c r="I51" s="2805">
        <v>13</v>
      </c>
      <c r="J51" s="2806">
        <v>14</v>
      </c>
      <c r="K51" s="2807">
        <f>SUM(I51:J51)</f>
        <v>27</v>
      </c>
      <c r="L51" s="2805">
        <v>15</v>
      </c>
      <c r="M51" s="2806">
        <v>16</v>
      </c>
      <c r="N51" s="2807">
        <f>SUM(L51:M51)</f>
        <v>31</v>
      </c>
      <c r="O51" s="2805"/>
      <c r="P51" s="2806"/>
      <c r="Q51" s="2807">
        <f>SUM(O51:P51)</f>
        <v>0</v>
      </c>
      <c r="R51" s="2805"/>
      <c r="S51" s="2806"/>
      <c r="T51" s="2807"/>
      <c r="U51" s="2805"/>
      <c r="V51" s="2806"/>
      <c r="W51" s="2807"/>
      <c r="X51" s="2805"/>
      <c r="Y51" s="2806"/>
      <c r="Z51" s="2807"/>
      <c r="AA51" s="2805"/>
      <c r="AB51" s="2806"/>
      <c r="AC51" s="2807"/>
      <c r="AD51" s="2805"/>
      <c r="AE51" s="2806"/>
      <c r="AF51" s="2807"/>
    </row>
    <row r="52" spans="1:32" ht="17.399999999999999" x14ac:dyDescent="0.3">
      <c r="A52" s="2778"/>
      <c r="B52" s="2789" t="s">
        <v>68</v>
      </c>
      <c r="C52" s="2414">
        <f t="shared" ref="C52:W52" si="36">SUM(C51)</f>
        <v>14</v>
      </c>
      <c r="D52" s="2790">
        <f t="shared" si="36"/>
        <v>15</v>
      </c>
      <c r="E52" s="2791">
        <f t="shared" si="36"/>
        <v>29</v>
      </c>
      <c r="F52" s="2414">
        <f t="shared" si="36"/>
        <v>18</v>
      </c>
      <c r="G52" s="2790">
        <f t="shared" si="36"/>
        <v>13</v>
      </c>
      <c r="H52" s="2791">
        <f t="shared" si="36"/>
        <v>31</v>
      </c>
      <c r="I52" s="2414">
        <f t="shared" si="36"/>
        <v>13</v>
      </c>
      <c r="J52" s="2790">
        <f t="shared" si="36"/>
        <v>14</v>
      </c>
      <c r="K52" s="2791">
        <f t="shared" si="36"/>
        <v>27</v>
      </c>
      <c r="L52" s="2414">
        <f t="shared" si="36"/>
        <v>15</v>
      </c>
      <c r="M52" s="2790">
        <f t="shared" si="36"/>
        <v>16</v>
      </c>
      <c r="N52" s="2791">
        <f t="shared" si="36"/>
        <v>31</v>
      </c>
      <c r="O52" s="2414">
        <f t="shared" si="36"/>
        <v>0</v>
      </c>
      <c r="P52" s="2790">
        <f t="shared" si="36"/>
        <v>0</v>
      </c>
      <c r="Q52" s="2791">
        <f t="shared" si="36"/>
        <v>0</v>
      </c>
      <c r="R52" s="2414">
        <f t="shared" si="36"/>
        <v>0</v>
      </c>
      <c r="S52" s="2790">
        <f t="shared" si="36"/>
        <v>0</v>
      </c>
      <c r="T52" s="2791">
        <f t="shared" si="36"/>
        <v>0</v>
      </c>
      <c r="U52" s="2414">
        <f t="shared" si="36"/>
        <v>0</v>
      </c>
      <c r="V52" s="2790">
        <f t="shared" si="36"/>
        <v>0</v>
      </c>
      <c r="W52" s="2791">
        <f t="shared" si="36"/>
        <v>0</v>
      </c>
      <c r="X52" s="2414"/>
      <c r="Y52" s="2790"/>
      <c r="Z52" s="2791"/>
      <c r="AA52" s="2414"/>
      <c r="AB52" s="2790"/>
      <c r="AC52" s="2791"/>
      <c r="AD52" s="2414"/>
      <c r="AE52" s="2790"/>
      <c r="AF52" s="2791"/>
    </row>
    <row r="53" spans="1:32" ht="17.399999999999999" x14ac:dyDescent="0.3">
      <c r="A53" s="2778"/>
      <c r="B53" s="2781" t="s">
        <v>417</v>
      </c>
      <c r="C53" s="2782">
        <v>3</v>
      </c>
      <c r="D53" s="2785">
        <v>4</v>
      </c>
      <c r="E53" s="2786">
        <f>SUM(C53:D53)</f>
        <v>7</v>
      </c>
      <c r="F53" s="2782"/>
      <c r="G53" s="2785"/>
      <c r="H53" s="2786"/>
      <c r="I53" s="2782"/>
      <c r="J53" s="2785"/>
      <c r="K53" s="2786"/>
      <c r="L53" s="2782"/>
      <c r="M53" s="2785"/>
      <c r="N53" s="2786"/>
      <c r="O53" s="2782"/>
      <c r="P53" s="2785"/>
      <c r="Q53" s="2786"/>
      <c r="R53" s="2782"/>
      <c r="S53" s="2785"/>
      <c r="T53" s="2786"/>
      <c r="U53" s="2782"/>
      <c r="V53" s="2785"/>
      <c r="W53" s="2786"/>
      <c r="X53" s="2782"/>
      <c r="Y53" s="2785"/>
      <c r="Z53" s="2786"/>
      <c r="AA53" s="2782"/>
      <c r="AB53" s="2785"/>
      <c r="AC53" s="2786"/>
      <c r="AD53" s="2782"/>
      <c r="AE53" s="2785"/>
      <c r="AF53" s="2786"/>
    </row>
    <row r="54" spans="1:32" ht="17.399999999999999" x14ac:dyDescent="0.3">
      <c r="A54" s="2778"/>
      <c r="B54" s="2781" t="s">
        <v>1415</v>
      </c>
      <c r="C54" s="2782"/>
      <c r="D54" s="2785"/>
      <c r="E54" s="2786"/>
      <c r="F54" s="2782"/>
      <c r="G54" s="2785"/>
      <c r="H54" s="2786"/>
      <c r="I54" s="2782"/>
      <c r="J54" s="2785"/>
      <c r="K54" s="2786"/>
      <c r="L54" s="2782"/>
      <c r="M54" s="2785"/>
      <c r="N54" s="2786"/>
      <c r="O54" s="2782"/>
      <c r="P54" s="2785"/>
      <c r="Q54" s="2786"/>
      <c r="R54" s="2782"/>
      <c r="S54" s="2785"/>
      <c r="T54" s="2786"/>
      <c r="U54" s="2782"/>
      <c r="V54" s="2785"/>
      <c r="W54" s="2786"/>
      <c r="X54" s="2782"/>
      <c r="Y54" s="2785"/>
      <c r="Z54" s="2786"/>
      <c r="AA54" s="2782">
        <v>1</v>
      </c>
      <c r="AB54" s="2785"/>
      <c r="AC54" s="2786">
        <f t="shared" ref="AC54" si="37">SUM(AA54:AB54)</f>
        <v>1</v>
      </c>
      <c r="AD54" s="2782">
        <v>1</v>
      </c>
      <c r="AE54" s="2785"/>
      <c r="AF54" s="2786">
        <f t="shared" ref="AF54" si="38">SUM(AD54:AE54)</f>
        <v>1</v>
      </c>
    </row>
    <row r="55" spans="1:32" ht="17.399999999999999" x14ac:dyDescent="0.3">
      <c r="A55" s="2778"/>
      <c r="B55" s="2781" t="s">
        <v>415</v>
      </c>
      <c r="C55" s="2782"/>
      <c r="D55" s="2785"/>
      <c r="E55" s="2786"/>
      <c r="F55" s="2782">
        <v>5</v>
      </c>
      <c r="G55" s="2785">
        <v>4</v>
      </c>
      <c r="H55" s="2786">
        <f>SUM(F55:G55)</f>
        <v>9</v>
      </c>
      <c r="I55" s="2782">
        <v>11</v>
      </c>
      <c r="J55" s="2785">
        <v>9</v>
      </c>
      <c r="K55" s="2786">
        <f>SUM(I55:J55)</f>
        <v>20</v>
      </c>
      <c r="L55" s="2782">
        <v>16</v>
      </c>
      <c r="M55" s="2785">
        <v>14</v>
      </c>
      <c r="N55" s="2786">
        <f>SUM(L55:M55)</f>
        <v>30</v>
      </c>
      <c r="O55" s="2782">
        <v>15</v>
      </c>
      <c r="P55" s="2785">
        <v>11</v>
      </c>
      <c r="Q55" s="2786">
        <f>SUM(O55:P55)</f>
        <v>26</v>
      </c>
      <c r="R55" s="2782">
        <v>13</v>
      </c>
      <c r="S55" s="2785">
        <v>9</v>
      </c>
      <c r="T55" s="2786">
        <f>SUM(R55:S55)</f>
        <v>22</v>
      </c>
      <c r="U55" s="2782">
        <v>9</v>
      </c>
      <c r="V55" s="2785">
        <v>4</v>
      </c>
      <c r="W55" s="2786">
        <f>SUM(U55:V55)</f>
        <v>13</v>
      </c>
      <c r="X55" s="2782"/>
      <c r="Y55" s="2785"/>
      <c r="Z55" s="2786"/>
      <c r="AA55" s="2782"/>
      <c r="AB55" s="2785"/>
      <c r="AC55" s="2786"/>
      <c r="AD55" s="2782"/>
      <c r="AE55" s="2785"/>
      <c r="AF55" s="2786"/>
    </row>
    <row r="56" spans="1:32" ht="17.399999999999999" x14ac:dyDescent="0.3">
      <c r="A56" s="2778"/>
      <c r="B56" s="2781" t="s">
        <v>408</v>
      </c>
      <c r="C56" s="2782"/>
      <c r="D56" s="2785"/>
      <c r="E56" s="2786"/>
      <c r="F56" s="2782"/>
      <c r="G56" s="2785"/>
      <c r="H56" s="2786"/>
      <c r="I56" s="2782"/>
      <c r="J56" s="2785"/>
      <c r="K56" s="2786"/>
      <c r="L56" s="2782"/>
      <c r="M56" s="2785"/>
      <c r="N56" s="2786"/>
      <c r="O56" s="2782">
        <v>6</v>
      </c>
      <c r="P56" s="2785"/>
      <c r="Q56" s="2786">
        <f>SUM(O56:P56)</f>
        <v>6</v>
      </c>
      <c r="R56" s="2782">
        <v>6</v>
      </c>
      <c r="S56" s="2785"/>
      <c r="T56" s="2786">
        <f>SUM(R56:S56)</f>
        <v>6</v>
      </c>
      <c r="U56" s="2782">
        <v>5</v>
      </c>
      <c r="V56" s="2785"/>
      <c r="W56" s="2786">
        <f>SUM(U56:V56)</f>
        <v>5</v>
      </c>
      <c r="X56" s="2782"/>
      <c r="Y56" s="2785"/>
      <c r="Z56" s="2786"/>
      <c r="AA56" s="2782"/>
      <c r="AB56" s="2785"/>
      <c r="AC56" s="2786"/>
      <c r="AD56" s="2782"/>
      <c r="AE56" s="2785"/>
      <c r="AF56" s="2786"/>
    </row>
    <row r="57" spans="1:32" ht="17.399999999999999" x14ac:dyDescent="0.3">
      <c r="A57" s="2778"/>
      <c r="B57" s="2781" t="s">
        <v>407</v>
      </c>
      <c r="C57" s="2782"/>
      <c r="D57" s="2785"/>
      <c r="E57" s="2786"/>
      <c r="F57" s="2782">
        <v>5</v>
      </c>
      <c r="G57" s="2785">
        <v>2</v>
      </c>
      <c r="H57" s="2786">
        <f>SUM(F57:G57)</f>
        <v>7</v>
      </c>
      <c r="I57" s="2782">
        <v>8</v>
      </c>
      <c r="J57" s="2785">
        <v>4</v>
      </c>
      <c r="K57" s="2786">
        <f>SUM(I57:J57)</f>
        <v>12</v>
      </c>
      <c r="L57" s="2782"/>
      <c r="M57" s="2785"/>
      <c r="N57" s="2786"/>
      <c r="O57" s="2782"/>
      <c r="P57" s="2785"/>
      <c r="Q57" s="2786"/>
      <c r="R57" s="2782"/>
      <c r="S57" s="2785"/>
      <c r="T57" s="2786"/>
      <c r="U57" s="2782"/>
      <c r="V57" s="2785"/>
      <c r="W57" s="2786"/>
      <c r="X57" s="2782"/>
      <c r="Y57" s="2785"/>
      <c r="Z57" s="2786"/>
      <c r="AA57" s="2782"/>
      <c r="AB57" s="2785"/>
      <c r="AC57" s="2786"/>
      <c r="AD57" s="2782"/>
      <c r="AE57" s="2785"/>
      <c r="AF57" s="2786"/>
    </row>
    <row r="58" spans="1:32" ht="17.399999999999999" x14ac:dyDescent="0.3">
      <c r="A58" s="2778"/>
      <c r="B58" s="2781" t="s">
        <v>414</v>
      </c>
      <c r="C58" s="2782"/>
      <c r="D58" s="2785"/>
      <c r="E58" s="2786"/>
      <c r="F58" s="2782"/>
      <c r="G58" s="2785"/>
      <c r="H58" s="2786"/>
      <c r="I58" s="2782"/>
      <c r="J58" s="2785"/>
      <c r="K58" s="2786"/>
      <c r="L58" s="2782"/>
      <c r="M58" s="2785"/>
      <c r="N58" s="2786"/>
      <c r="O58" s="2782"/>
      <c r="P58" s="2785"/>
      <c r="Q58" s="2786"/>
      <c r="R58" s="2782">
        <v>5</v>
      </c>
      <c r="S58" s="2785">
        <v>4</v>
      </c>
      <c r="T58" s="2786">
        <f>SUM(R58:S58)</f>
        <v>9</v>
      </c>
      <c r="U58" s="2782">
        <v>5</v>
      </c>
      <c r="V58" s="2785">
        <v>4</v>
      </c>
      <c r="W58" s="2786">
        <f>SUM(U58:V58)</f>
        <v>9</v>
      </c>
      <c r="X58" s="2782"/>
      <c r="Y58" s="2785"/>
      <c r="Z58" s="2786"/>
      <c r="AA58" s="2782"/>
      <c r="AB58" s="2785"/>
      <c r="AC58" s="2786"/>
      <c r="AD58" s="2782"/>
      <c r="AE58" s="2785"/>
      <c r="AF58" s="2786"/>
    </row>
    <row r="59" spans="1:32" ht="17.399999999999999" x14ac:dyDescent="0.3">
      <c r="A59" s="2778"/>
      <c r="B59" s="2789" t="s">
        <v>92</v>
      </c>
      <c r="C59" s="2414">
        <f>SUM(C53)</f>
        <v>3</v>
      </c>
      <c r="D59" s="2790">
        <f>SUM(D53)</f>
        <v>4</v>
      </c>
      <c r="E59" s="2791">
        <f>SUM(E53)</f>
        <v>7</v>
      </c>
      <c r="F59" s="2414">
        <f t="shared" ref="F59:Q59" si="39">SUM(F53:F57)</f>
        <v>10</v>
      </c>
      <c r="G59" s="2790">
        <f t="shared" si="39"/>
        <v>6</v>
      </c>
      <c r="H59" s="2791">
        <f t="shared" si="39"/>
        <v>16</v>
      </c>
      <c r="I59" s="2414">
        <f t="shared" si="39"/>
        <v>19</v>
      </c>
      <c r="J59" s="2790">
        <f t="shared" si="39"/>
        <v>13</v>
      </c>
      <c r="K59" s="2791">
        <f t="shared" si="39"/>
        <v>32</v>
      </c>
      <c r="L59" s="2414">
        <f t="shared" si="39"/>
        <v>16</v>
      </c>
      <c r="M59" s="2790">
        <f t="shared" si="39"/>
        <v>14</v>
      </c>
      <c r="N59" s="2791">
        <f t="shared" si="39"/>
        <v>30</v>
      </c>
      <c r="O59" s="2414">
        <f t="shared" si="39"/>
        <v>21</v>
      </c>
      <c r="P59" s="2790">
        <f t="shared" si="39"/>
        <v>11</v>
      </c>
      <c r="Q59" s="2791">
        <f t="shared" si="39"/>
        <v>32</v>
      </c>
      <c r="R59" s="2414">
        <f t="shared" ref="R59:W59" si="40">SUM(R53:R58)</f>
        <v>24</v>
      </c>
      <c r="S59" s="2790">
        <f t="shared" si="40"/>
        <v>13</v>
      </c>
      <c r="T59" s="2791">
        <f t="shared" si="40"/>
        <v>37</v>
      </c>
      <c r="U59" s="2414">
        <f t="shared" si="40"/>
        <v>19</v>
      </c>
      <c r="V59" s="2790">
        <f t="shared" si="40"/>
        <v>8</v>
      </c>
      <c r="W59" s="2791">
        <f t="shared" si="40"/>
        <v>27</v>
      </c>
      <c r="X59" s="2414"/>
      <c r="Y59" s="2790"/>
      <c r="Z59" s="2791"/>
      <c r="AA59" s="2414">
        <f t="shared" ref="AA59:AC59" si="41">SUM(AA53:AA58)</f>
        <v>1</v>
      </c>
      <c r="AB59" s="2790">
        <f t="shared" si="41"/>
        <v>0</v>
      </c>
      <c r="AC59" s="2791">
        <f t="shared" si="41"/>
        <v>1</v>
      </c>
      <c r="AD59" s="2414">
        <f t="shared" ref="AD59:AF59" si="42">SUM(AD53:AD58)</f>
        <v>1</v>
      </c>
      <c r="AE59" s="2790">
        <f t="shared" si="42"/>
        <v>0</v>
      </c>
      <c r="AF59" s="2791">
        <f t="shared" si="42"/>
        <v>1</v>
      </c>
    </row>
    <row r="60" spans="1:32" ht="17.399999999999999" x14ac:dyDescent="0.3">
      <c r="A60" s="2778"/>
      <c r="B60" s="2781" t="s">
        <v>396</v>
      </c>
      <c r="C60" s="2782">
        <v>9</v>
      </c>
      <c r="D60" s="2785">
        <v>10</v>
      </c>
      <c r="E60" s="2786">
        <f>SUM(C60:D60)</f>
        <v>19</v>
      </c>
      <c r="F60" s="2782"/>
      <c r="G60" s="2785"/>
      <c r="H60" s="2786"/>
      <c r="I60" s="2782"/>
      <c r="J60" s="2785"/>
      <c r="K60" s="2786"/>
      <c r="L60" s="2782"/>
      <c r="M60" s="2785"/>
      <c r="N60" s="2786"/>
      <c r="O60" s="2782"/>
      <c r="P60" s="2785"/>
      <c r="Q60" s="2786"/>
      <c r="R60" s="2782"/>
      <c r="S60" s="2785"/>
      <c r="T60" s="2786">
        <f t="shared" ref="T60:T65" si="43">SUM(R60:S60)</f>
        <v>0</v>
      </c>
      <c r="U60" s="2782"/>
      <c r="V60" s="2785"/>
      <c r="W60" s="2786"/>
      <c r="X60" s="2782"/>
      <c r="Y60" s="2785"/>
      <c r="Z60" s="2786"/>
      <c r="AA60" s="2782"/>
      <c r="AB60" s="2785"/>
      <c r="AC60" s="2786"/>
      <c r="AD60" s="2782"/>
      <c r="AE60" s="2785"/>
      <c r="AF60" s="2786"/>
    </row>
    <row r="61" spans="1:32" ht="17.399999999999999" x14ac:dyDescent="0.3">
      <c r="A61" s="2778"/>
      <c r="B61" s="2804" t="s">
        <v>483</v>
      </c>
      <c r="C61" s="2794"/>
      <c r="D61" s="2795"/>
      <c r="E61" s="2796"/>
      <c r="F61" s="2794"/>
      <c r="G61" s="2795"/>
      <c r="H61" s="2796"/>
      <c r="I61" s="2794"/>
      <c r="J61" s="2795"/>
      <c r="K61" s="2796"/>
      <c r="L61" s="2794"/>
      <c r="M61" s="2795"/>
      <c r="N61" s="2796"/>
      <c r="O61" s="2794"/>
      <c r="P61" s="2795"/>
      <c r="Q61" s="2796"/>
      <c r="R61" s="2794">
        <v>3</v>
      </c>
      <c r="S61" s="2795"/>
      <c r="T61" s="2796">
        <f t="shared" si="43"/>
        <v>3</v>
      </c>
      <c r="U61" s="2794">
        <v>2</v>
      </c>
      <c r="V61" s="2795">
        <v>3</v>
      </c>
      <c r="W61" s="2796">
        <f t="shared" ref="W61:W65" si="44">SUM(U61:V61)</f>
        <v>5</v>
      </c>
      <c r="X61" s="2794">
        <v>2</v>
      </c>
      <c r="Y61" s="2795">
        <v>4</v>
      </c>
      <c r="Z61" s="2796">
        <f t="shared" ref="Z61:Z65" si="45">SUM(X61:Y61)</f>
        <v>6</v>
      </c>
      <c r="AA61" s="2794">
        <v>4</v>
      </c>
      <c r="AB61" s="2795">
        <v>7</v>
      </c>
      <c r="AC61" s="2796">
        <f t="shared" ref="AC61:AC65" si="46">SUM(AA61:AB61)</f>
        <v>11</v>
      </c>
      <c r="AD61" s="2794">
        <v>3</v>
      </c>
      <c r="AE61" s="2795">
        <v>4</v>
      </c>
      <c r="AF61" s="2796">
        <f t="shared" ref="AF61:AF62" si="47">SUM(AD61:AE61)</f>
        <v>7</v>
      </c>
    </row>
    <row r="62" spans="1:32" ht="17.399999999999999" x14ac:dyDescent="0.3">
      <c r="A62" s="2778"/>
      <c r="B62" s="2804" t="s">
        <v>691</v>
      </c>
      <c r="C62" s="2794"/>
      <c r="D62" s="2795"/>
      <c r="E62" s="2796"/>
      <c r="F62" s="2794"/>
      <c r="G62" s="2795"/>
      <c r="H62" s="2796"/>
      <c r="I62" s="2794"/>
      <c r="J62" s="2795"/>
      <c r="K62" s="2796"/>
      <c r="L62" s="2794"/>
      <c r="M62" s="2795"/>
      <c r="N62" s="2796"/>
      <c r="O62" s="2794">
        <v>3</v>
      </c>
      <c r="P62" s="2795"/>
      <c r="Q62" s="2796">
        <f>SUM(O62:P62)</f>
        <v>3</v>
      </c>
      <c r="R62" s="2794"/>
      <c r="S62" s="2795"/>
      <c r="T62" s="2796"/>
      <c r="U62" s="2794">
        <v>3</v>
      </c>
      <c r="V62" s="2795">
        <v>2</v>
      </c>
      <c r="W62" s="2796">
        <f t="shared" si="44"/>
        <v>5</v>
      </c>
      <c r="X62" s="2794">
        <v>1</v>
      </c>
      <c r="Y62" s="2795">
        <v>2</v>
      </c>
      <c r="Z62" s="2796">
        <f t="shared" si="45"/>
        <v>3</v>
      </c>
      <c r="AA62" s="2794">
        <v>1</v>
      </c>
      <c r="AB62" s="2795">
        <v>1</v>
      </c>
      <c r="AC62" s="2796">
        <f t="shared" si="46"/>
        <v>2</v>
      </c>
      <c r="AD62" s="2794">
        <v>1</v>
      </c>
      <c r="AE62" s="2795">
        <v>2</v>
      </c>
      <c r="AF62" s="2796">
        <f t="shared" si="47"/>
        <v>3</v>
      </c>
    </row>
    <row r="63" spans="1:32" ht="17.399999999999999" x14ac:dyDescent="0.3">
      <c r="A63" s="2778"/>
      <c r="B63" s="2793" t="s">
        <v>378</v>
      </c>
      <c r="C63" s="2794"/>
      <c r="D63" s="2795"/>
      <c r="E63" s="2796"/>
      <c r="F63" s="2794"/>
      <c r="G63" s="2795"/>
      <c r="H63" s="2796"/>
      <c r="I63" s="2794"/>
      <c r="J63" s="2795"/>
      <c r="K63" s="2796"/>
      <c r="L63" s="2794"/>
      <c r="M63" s="2795"/>
      <c r="N63" s="2796"/>
      <c r="O63" s="2794">
        <v>5</v>
      </c>
      <c r="P63" s="2795">
        <v>9</v>
      </c>
      <c r="Q63" s="2796">
        <f>SUM(O63:P63)</f>
        <v>14</v>
      </c>
      <c r="R63" s="2794">
        <v>5</v>
      </c>
      <c r="S63" s="2795">
        <v>9</v>
      </c>
      <c r="T63" s="2796">
        <f t="shared" si="43"/>
        <v>14</v>
      </c>
      <c r="U63" s="2794">
        <v>5</v>
      </c>
      <c r="V63" s="2795">
        <v>7</v>
      </c>
      <c r="W63" s="2796">
        <f t="shared" si="44"/>
        <v>12</v>
      </c>
      <c r="X63" s="2794"/>
      <c r="Y63" s="2795"/>
      <c r="Z63" s="2796"/>
      <c r="AA63" s="2794"/>
      <c r="AB63" s="2795"/>
      <c r="AC63" s="2796"/>
      <c r="AD63" s="2794"/>
      <c r="AE63" s="2795"/>
      <c r="AF63" s="2796"/>
    </row>
    <row r="64" spans="1:32" ht="17.399999999999999" x14ac:dyDescent="0.3">
      <c r="A64" s="2778"/>
      <c r="B64" s="2793" t="s">
        <v>400</v>
      </c>
      <c r="C64" s="2794"/>
      <c r="D64" s="2795"/>
      <c r="E64" s="2796"/>
      <c r="F64" s="2794"/>
      <c r="G64" s="2795"/>
      <c r="H64" s="2796"/>
      <c r="I64" s="2794"/>
      <c r="J64" s="2795"/>
      <c r="K64" s="2796"/>
      <c r="L64" s="2794"/>
      <c r="M64" s="2795"/>
      <c r="N64" s="2796"/>
      <c r="O64" s="2794">
        <v>5</v>
      </c>
      <c r="P64" s="2795">
        <v>9</v>
      </c>
      <c r="Q64" s="2796">
        <f>SUM(O64:P64)</f>
        <v>14</v>
      </c>
      <c r="R64" s="2794">
        <v>5</v>
      </c>
      <c r="S64" s="2795">
        <v>9</v>
      </c>
      <c r="T64" s="2796">
        <f t="shared" si="43"/>
        <v>14</v>
      </c>
      <c r="U64" s="2794">
        <v>9</v>
      </c>
      <c r="V64" s="2795">
        <v>10</v>
      </c>
      <c r="W64" s="2796">
        <f t="shared" si="44"/>
        <v>19</v>
      </c>
      <c r="X64" s="2794">
        <v>9</v>
      </c>
      <c r="Y64" s="2795">
        <v>9</v>
      </c>
      <c r="Z64" s="2796">
        <f t="shared" si="45"/>
        <v>18</v>
      </c>
      <c r="AA64" s="2794">
        <v>18</v>
      </c>
      <c r="AB64" s="2795">
        <v>16</v>
      </c>
      <c r="AC64" s="2796">
        <f t="shared" si="46"/>
        <v>34</v>
      </c>
      <c r="AD64" s="2794">
        <v>19</v>
      </c>
      <c r="AE64" s="2795">
        <v>11</v>
      </c>
      <c r="AF64" s="2796">
        <f t="shared" ref="AF64:AF65" si="48">SUM(AD64:AE64)</f>
        <v>30</v>
      </c>
    </row>
    <row r="65" spans="1:33" ht="17.399999999999999" x14ac:dyDescent="0.3">
      <c r="A65" s="2778"/>
      <c r="B65" s="2793" t="s">
        <v>403</v>
      </c>
      <c r="C65" s="2794"/>
      <c r="D65" s="2795"/>
      <c r="E65" s="2796"/>
      <c r="F65" s="2794"/>
      <c r="G65" s="2795"/>
      <c r="H65" s="2796"/>
      <c r="I65" s="2794"/>
      <c r="J65" s="2795"/>
      <c r="K65" s="2796"/>
      <c r="L65" s="2794"/>
      <c r="M65" s="2795"/>
      <c r="N65" s="2796"/>
      <c r="O65" s="2794"/>
      <c r="P65" s="2795"/>
      <c r="Q65" s="2796"/>
      <c r="R65" s="2794">
        <v>7</v>
      </c>
      <c r="S65" s="2795">
        <v>2</v>
      </c>
      <c r="T65" s="2796">
        <f t="shared" si="43"/>
        <v>9</v>
      </c>
      <c r="U65" s="2794">
        <v>7</v>
      </c>
      <c r="V65" s="2795">
        <v>2</v>
      </c>
      <c r="W65" s="2796">
        <f t="shared" si="44"/>
        <v>9</v>
      </c>
      <c r="X65" s="2794">
        <v>17</v>
      </c>
      <c r="Y65" s="2795">
        <v>4</v>
      </c>
      <c r="Z65" s="2796">
        <f t="shared" si="45"/>
        <v>21</v>
      </c>
      <c r="AA65" s="2794">
        <v>3</v>
      </c>
      <c r="AB65" s="2795">
        <v>1</v>
      </c>
      <c r="AC65" s="2796">
        <f t="shared" si="46"/>
        <v>4</v>
      </c>
      <c r="AD65" s="2794"/>
      <c r="AE65" s="2795"/>
      <c r="AF65" s="2796">
        <f t="shared" si="48"/>
        <v>0</v>
      </c>
    </row>
    <row r="66" spans="1:33" ht="17.399999999999999" x14ac:dyDescent="0.3">
      <c r="A66" s="2778"/>
      <c r="B66" s="2797" t="s">
        <v>64</v>
      </c>
      <c r="C66" s="2418">
        <f>SUM(C60)</f>
        <v>9</v>
      </c>
      <c r="D66" s="2798">
        <f>SUM(D60)</f>
        <v>10</v>
      </c>
      <c r="E66" s="2799">
        <f>SUM(E60)</f>
        <v>19</v>
      </c>
      <c r="F66" s="2418"/>
      <c r="G66" s="2798"/>
      <c r="H66" s="2799"/>
      <c r="I66" s="2418"/>
      <c r="J66" s="2798"/>
      <c r="K66" s="2799"/>
      <c r="L66" s="2418"/>
      <c r="M66" s="2798"/>
      <c r="N66" s="2799"/>
      <c r="O66" s="2418">
        <f>SUM(O60:O64)</f>
        <v>13</v>
      </c>
      <c r="P66" s="2798">
        <f>SUM(P60:P64)</f>
        <v>18</v>
      </c>
      <c r="Q66" s="2799">
        <f>SUM(Q60:Q64)</f>
        <v>31</v>
      </c>
      <c r="R66" s="2418">
        <f t="shared" ref="R66:Z66" si="49">SUM(R60:R65)</f>
        <v>20</v>
      </c>
      <c r="S66" s="2798">
        <f t="shared" si="49"/>
        <v>20</v>
      </c>
      <c r="T66" s="2799">
        <f t="shared" si="49"/>
        <v>40</v>
      </c>
      <c r="U66" s="2418">
        <f t="shared" si="49"/>
        <v>26</v>
      </c>
      <c r="V66" s="2798">
        <f t="shared" si="49"/>
        <v>24</v>
      </c>
      <c r="W66" s="2799">
        <f t="shared" si="49"/>
        <v>50</v>
      </c>
      <c r="X66" s="2418">
        <f t="shared" si="49"/>
        <v>29</v>
      </c>
      <c r="Y66" s="2798">
        <f t="shared" si="49"/>
        <v>19</v>
      </c>
      <c r="Z66" s="2799">
        <f t="shared" si="49"/>
        <v>48</v>
      </c>
      <c r="AA66" s="2418">
        <f t="shared" ref="AA66:AC66" si="50">SUM(AA60:AA65)</f>
        <v>26</v>
      </c>
      <c r="AB66" s="2798">
        <f t="shared" si="50"/>
        <v>25</v>
      </c>
      <c r="AC66" s="2799">
        <f t="shared" si="50"/>
        <v>51</v>
      </c>
      <c r="AD66" s="2418">
        <f t="shared" ref="AD66:AF66" si="51">SUM(AD60:AD65)</f>
        <v>23</v>
      </c>
      <c r="AE66" s="2798">
        <f t="shared" si="51"/>
        <v>17</v>
      </c>
      <c r="AF66" s="2799">
        <f t="shared" si="51"/>
        <v>40</v>
      </c>
    </row>
    <row r="67" spans="1:33" ht="18" customHeight="1" x14ac:dyDescent="0.3">
      <c r="A67" s="2778"/>
      <c r="B67" s="2820" t="s">
        <v>105</v>
      </c>
      <c r="C67" s="2821">
        <f t="shared" ref="C67:Z67" si="52">SUM(C66,C59,C52)</f>
        <v>26</v>
      </c>
      <c r="D67" s="2822">
        <f t="shared" si="52"/>
        <v>29</v>
      </c>
      <c r="E67" s="2823">
        <f t="shared" si="52"/>
        <v>55</v>
      </c>
      <c r="F67" s="2821">
        <f t="shared" si="52"/>
        <v>28</v>
      </c>
      <c r="G67" s="2822">
        <f t="shared" si="52"/>
        <v>19</v>
      </c>
      <c r="H67" s="2823">
        <f t="shared" si="52"/>
        <v>47</v>
      </c>
      <c r="I67" s="2821">
        <f t="shared" si="52"/>
        <v>32</v>
      </c>
      <c r="J67" s="2822">
        <f t="shared" si="52"/>
        <v>27</v>
      </c>
      <c r="K67" s="2823">
        <f t="shared" si="52"/>
        <v>59</v>
      </c>
      <c r="L67" s="2821">
        <f t="shared" si="52"/>
        <v>31</v>
      </c>
      <c r="M67" s="2822">
        <f t="shared" si="52"/>
        <v>30</v>
      </c>
      <c r="N67" s="2823">
        <f t="shared" si="52"/>
        <v>61</v>
      </c>
      <c r="O67" s="2821">
        <f t="shared" si="52"/>
        <v>34</v>
      </c>
      <c r="P67" s="2822">
        <f t="shared" si="52"/>
        <v>29</v>
      </c>
      <c r="Q67" s="2823">
        <f t="shared" si="52"/>
        <v>63</v>
      </c>
      <c r="R67" s="2821">
        <f t="shared" si="52"/>
        <v>44</v>
      </c>
      <c r="S67" s="2822">
        <f t="shared" si="52"/>
        <v>33</v>
      </c>
      <c r="T67" s="2823">
        <f t="shared" si="52"/>
        <v>77</v>
      </c>
      <c r="U67" s="2821">
        <f t="shared" si="52"/>
        <v>45</v>
      </c>
      <c r="V67" s="2822">
        <f t="shared" si="52"/>
        <v>32</v>
      </c>
      <c r="W67" s="2823">
        <f t="shared" si="52"/>
        <v>77</v>
      </c>
      <c r="X67" s="2821">
        <f t="shared" si="52"/>
        <v>29</v>
      </c>
      <c r="Y67" s="2822">
        <f t="shared" si="52"/>
        <v>19</v>
      </c>
      <c r="Z67" s="2823">
        <f t="shared" si="52"/>
        <v>48</v>
      </c>
      <c r="AA67" s="2821">
        <f t="shared" ref="AA67:AC67" si="53">SUM(AA66,AA59,AA52)</f>
        <v>27</v>
      </c>
      <c r="AB67" s="2822">
        <f t="shared" si="53"/>
        <v>25</v>
      </c>
      <c r="AC67" s="2823">
        <f t="shared" si="53"/>
        <v>52</v>
      </c>
      <c r="AD67" s="2821">
        <f t="shared" ref="AD67:AF67" si="54">SUM(AD66,AD59,AD52)</f>
        <v>24</v>
      </c>
      <c r="AE67" s="2822">
        <f t="shared" si="54"/>
        <v>17</v>
      </c>
      <c r="AF67" s="2823">
        <f t="shared" si="54"/>
        <v>41</v>
      </c>
    </row>
    <row r="68" spans="1:33" ht="17.399999999999999" x14ac:dyDescent="0.3">
      <c r="A68" s="2778"/>
      <c r="B68" s="2824"/>
      <c r="C68" s="276"/>
      <c r="D68" s="276"/>
      <c r="E68" s="276"/>
      <c r="F68" s="276"/>
      <c r="G68" s="276"/>
      <c r="H68" s="276"/>
      <c r="I68" s="276"/>
      <c r="J68" s="276"/>
      <c r="K68" s="276"/>
      <c r="L68" s="276"/>
      <c r="M68" s="276"/>
      <c r="N68" s="276"/>
      <c r="O68" s="276"/>
      <c r="P68" s="276"/>
      <c r="Q68" s="276"/>
      <c r="R68" s="276"/>
      <c r="S68" s="276"/>
      <c r="T68" s="276"/>
      <c r="U68" s="276"/>
      <c r="V68" s="276"/>
      <c r="W68" s="276"/>
      <c r="X68" s="276"/>
      <c r="Y68" s="276"/>
      <c r="Z68" s="276"/>
      <c r="AA68" s="276"/>
      <c r="AB68" s="276"/>
      <c r="AC68" s="276"/>
      <c r="AD68" s="276"/>
      <c r="AE68" s="276"/>
      <c r="AF68" s="276"/>
    </row>
    <row r="69" spans="1:33" ht="17.399999999999999" x14ac:dyDescent="0.3">
      <c r="A69" s="2778"/>
      <c r="B69" s="2825" t="s">
        <v>128</v>
      </c>
      <c r="C69" s="2825">
        <f>SUM(C67,C47,C35,C29)</f>
        <v>113</v>
      </c>
      <c r="D69" s="2826">
        <f>SUM(D67,D47,D35,D29)</f>
        <v>84</v>
      </c>
      <c r="E69" s="2827">
        <f>SUM(C69:D69)</f>
        <v>197</v>
      </c>
      <c r="F69" s="2825">
        <f t="shared" ref="F69:Q69" si="55">SUM(F29,F35,F47,F67)</f>
        <v>42</v>
      </c>
      <c r="G69" s="2826">
        <f t="shared" si="55"/>
        <v>51</v>
      </c>
      <c r="H69" s="2827">
        <f t="shared" si="55"/>
        <v>93</v>
      </c>
      <c r="I69" s="2825">
        <f t="shared" si="55"/>
        <v>58</v>
      </c>
      <c r="J69" s="2826">
        <f t="shared" si="55"/>
        <v>85</v>
      </c>
      <c r="K69" s="2827">
        <f t="shared" si="55"/>
        <v>143</v>
      </c>
      <c r="L69" s="2825">
        <f t="shared" si="55"/>
        <v>63</v>
      </c>
      <c r="M69" s="2826">
        <f t="shared" si="55"/>
        <v>100</v>
      </c>
      <c r="N69" s="2827">
        <f t="shared" si="55"/>
        <v>163</v>
      </c>
      <c r="O69" s="2825">
        <f t="shared" si="55"/>
        <v>100</v>
      </c>
      <c r="P69" s="2826">
        <f t="shared" si="55"/>
        <v>125</v>
      </c>
      <c r="Q69" s="2827">
        <f t="shared" si="55"/>
        <v>225</v>
      </c>
      <c r="R69" s="2825">
        <f t="shared" ref="R69:Z69" si="56">SUM(R29,R47,R50,R67)</f>
        <v>104</v>
      </c>
      <c r="S69" s="2826">
        <f t="shared" si="56"/>
        <v>114</v>
      </c>
      <c r="T69" s="2827">
        <f t="shared" si="56"/>
        <v>218</v>
      </c>
      <c r="U69" s="2825">
        <f t="shared" si="56"/>
        <v>123</v>
      </c>
      <c r="V69" s="2826">
        <f t="shared" si="56"/>
        <v>129</v>
      </c>
      <c r="W69" s="2827">
        <f t="shared" si="56"/>
        <v>252</v>
      </c>
      <c r="X69" s="2825">
        <f t="shared" si="56"/>
        <v>91</v>
      </c>
      <c r="Y69" s="2826">
        <f t="shared" si="56"/>
        <v>87</v>
      </c>
      <c r="Z69" s="2827">
        <f t="shared" si="56"/>
        <v>178</v>
      </c>
      <c r="AA69" s="2825">
        <f t="shared" ref="AA69:AC69" si="57">SUM(AA29,AA47,AA50,AA67)</f>
        <v>101</v>
      </c>
      <c r="AB69" s="2826">
        <f t="shared" si="57"/>
        <v>107</v>
      </c>
      <c r="AC69" s="2827">
        <f t="shared" si="57"/>
        <v>208</v>
      </c>
      <c r="AD69" s="2825">
        <f t="shared" ref="AD69:AF69" si="58">SUM(AD29,AD47,AD50,AD67)</f>
        <v>97</v>
      </c>
      <c r="AE69" s="2826">
        <f t="shared" si="58"/>
        <v>83</v>
      </c>
      <c r="AF69" s="2827">
        <f t="shared" si="58"/>
        <v>180</v>
      </c>
    </row>
    <row r="70" spans="1:33" ht="18" customHeight="1" x14ac:dyDescent="0.3">
      <c r="A70" s="2778"/>
      <c r="B70" s="2341" t="s">
        <v>622</v>
      </c>
      <c r="AD70" s="6105" t="s">
        <v>1600</v>
      </c>
      <c r="AE70" s="6105"/>
      <c r="AF70" s="6105"/>
    </row>
    <row r="71" spans="1:33" ht="21.6" customHeight="1" x14ac:dyDescent="0.3">
      <c r="A71" s="2778"/>
      <c r="AD71" s="6106"/>
      <c r="AE71" s="6106"/>
      <c r="AF71" s="6106"/>
    </row>
    <row r="73" spans="1:33" ht="12.75" customHeight="1" x14ac:dyDescent="0.3">
      <c r="AD73" s="5661"/>
      <c r="AE73" s="5661"/>
      <c r="AF73" s="5661"/>
      <c r="AG73" s="5663"/>
    </row>
    <row r="74" spans="1:33" ht="15" customHeight="1" x14ac:dyDescent="0.3">
      <c r="B74" s="6094" t="s">
        <v>624</v>
      </c>
      <c r="C74" s="6107">
        <v>2008</v>
      </c>
      <c r="D74" s="6108"/>
      <c r="E74" s="6107">
        <v>2009</v>
      </c>
      <c r="F74" s="6108"/>
      <c r="G74" s="6107">
        <v>2010</v>
      </c>
      <c r="H74" s="6108"/>
      <c r="I74" s="6107">
        <v>2011</v>
      </c>
      <c r="J74" s="6108"/>
      <c r="K74" s="6107">
        <v>2012</v>
      </c>
      <c r="L74" s="6108"/>
      <c r="AD74" s="5662"/>
      <c r="AE74" s="5662"/>
      <c r="AF74" s="5662"/>
    </row>
    <row r="75" spans="1:33" ht="12.75" customHeight="1" x14ac:dyDescent="0.25">
      <c r="B75" s="6087"/>
      <c r="C75" s="2828" t="s">
        <v>617</v>
      </c>
      <c r="D75" s="2828" t="s">
        <v>618</v>
      </c>
      <c r="E75" s="2828" t="s">
        <v>617</v>
      </c>
      <c r="F75" s="2828" t="s">
        <v>618</v>
      </c>
      <c r="G75" s="2828" t="s">
        <v>617</v>
      </c>
      <c r="H75" s="2828" t="s">
        <v>618</v>
      </c>
      <c r="I75" s="2828" t="s">
        <v>617</v>
      </c>
      <c r="J75" s="2828" t="s">
        <v>618</v>
      </c>
      <c r="K75" s="2828" t="s">
        <v>617</v>
      </c>
      <c r="L75" s="2828" t="s">
        <v>618</v>
      </c>
    </row>
    <row r="76" spans="1:33" ht="15" customHeight="1" x14ac:dyDescent="0.25">
      <c r="B76" s="2829" t="s">
        <v>340</v>
      </c>
      <c r="C76" s="2830">
        <v>2</v>
      </c>
      <c r="D76" s="2830">
        <v>2</v>
      </c>
      <c r="E76" s="2830"/>
      <c r="F76" s="2830">
        <v>2</v>
      </c>
      <c r="G76" s="2830"/>
      <c r="H76" s="2830"/>
      <c r="I76" s="2830"/>
      <c r="J76" s="2830"/>
      <c r="K76" s="2830">
        <v>2</v>
      </c>
      <c r="L76" s="2830">
        <v>2</v>
      </c>
    </row>
    <row r="77" spans="1:33" ht="14.4" x14ac:dyDescent="0.25">
      <c r="B77" s="2831" t="s">
        <v>694</v>
      </c>
      <c r="C77" s="2832"/>
      <c r="D77" s="2832"/>
      <c r="E77" s="2832"/>
      <c r="F77" s="2832"/>
      <c r="G77" s="2832"/>
      <c r="H77" s="2832"/>
      <c r="I77" s="2832"/>
      <c r="J77" s="2832"/>
      <c r="K77" s="2832"/>
      <c r="L77" s="2832"/>
    </row>
    <row r="78" spans="1:33" ht="14.4" x14ac:dyDescent="0.25">
      <c r="B78" s="2833" t="s">
        <v>68</v>
      </c>
      <c r="C78" s="2834">
        <f t="shared" ref="C78:K78" si="59">SUM(C76:C77)</f>
        <v>2</v>
      </c>
      <c r="D78" s="2834">
        <f>SUM(D76:D77)</f>
        <v>2</v>
      </c>
      <c r="E78" s="2834">
        <f t="shared" si="59"/>
        <v>0</v>
      </c>
      <c r="F78" s="2834">
        <f>SUM(F76:F77)</f>
        <v>2</v>
      </c>
      <c r="G78" s="2834">
        <f t="shared" si="59"/>
        <v>0</v>
      </c>
      <c r="H78" s="2834">
        <f>SUM(H76:H77)</f>
        <v>0</v>
      </c>
      <c r="I78" s="2834">
        <f t="shared" si="59"/>
        <v>0</v>
      </c>
      <c r="J78" s="2834">
        <f>SUM(J76:J77)</f>
        <v>0</v>
      </c>
      <c r="K78" s="2834">
        <f t="shared" si="59"/>
        <v>2</v>
      </c>
      <c r="L78" s="2834">
        <f>SUM(L76:L77)</f>
        <v>2</v>
      </c>
    </row>
    <row r="79" spans="1:33" ht="14.4" x14ac:dyDescent="0.3">
      <c r="B79" s="2835" t="s">
        <v>695</v>
      </c>
      <c r="C79" s="2832">
        <v>1</v>
      </c>
      <c r="D79" s="2832">
        <v>1</v>
      </c>
      <c r="E79" s="2832">
        <v>11</v>
      </c>
      <c r="F79" s="2832">
        <v>19</v>
      </c>
      <c r="G79" s="2832">
        <v>4</v>
      </c>
      <c r="H79" s="2832">
        <v>18</v>
      </c>
      <c r="I79" s="2832"/>
      <c r="J79" s="2832"/>
      <c r="K79" s="2832"/>
      <c r="L79" s="2832"/>
    </row>
    <row r="80" spans="1:33" ht="15" customHeight="1" x14ac:dyDescent="0.3">
      <c r="B80" s="2836" t="s">
        <v>314</v>
      </c>
      <c r="C80" s="2832"/>
      <c r="D80" s="2832"/>
      <c r="E80" s="2832"/>
      <c r="F80" s="2832"/>
      <c r="G80" s="2832"/>
      <c r="H80" s="2832"/>
      <c r="I80" s="2832"/>
      <c r="J80" s="2832"/>
      <c r="K80" s="2832">
        <v>3</v>
      </c>
      <c r="L80" s="2832">
        <v>3</v>
      </c>
    </row>
    <row r="81" spans="2:12" ht="14.4" x14ac:dyDescent="0.3">
      <c r="B81" s="2836" t="s">
        <v>315</v>
      </c>
      <c r="C81" s="2832"/>
      <c r="D81" s="2832"/>
      <c r="E81" s="2832"/>
      <c r="F81" s="2832"/>
      <c r="G81" s="2832"/>
      <c r="H81" s="2832"/>
      <c r="I81" s="2832"/>
      <c r="J81" s="2832"/>
      <c r="K81" s="2832">
        <v>4</v>
      </c>
      <c r="L81" s="2832">
        <v>4</v>
      </c>
    </row>
    <row r="82" spans="2:12" ht="14.4" x14ac:dyDescent="0.25">
      <c r="B82" s="2833" t="s">
        <v>59</v>
      </c>
      <c r="C82" s="2834">
        <f t="shared" ref="C82:K82" si="60">SUM(C79:C81)</f>
        <v>1</v>
      </c>
      <c r="D82" s="2834">
        <f>SUM(D79:D81)</f>
        <v>1</v>
      </c>
      <c r="E82" s="2834">
        <f t="shared" si="60"/>
        <v>11</v>
      </c>
      <c r="F82" s="2834">
        <f>SUM(F79:F81)</f>
        <v>19</v>
      </c>
      <c r="G82" s="2834">
        <f t="shared" si="60"/>
        <v>4</v>
      </c>
      <c r="H82" s="2834">
        <f>SUM(H79:H81)</f>
        <v>18</v>
      </c>
      <c r="I82" s="2834">
        <f t="shared" si="60"/>
        <v>0</v>
      </c>
      <c r="J82" s="2834">
        <f>SUM(J79:J81)</f>
        <v>0</v>
      </c>
      <c r="K82" s="2834">
        <f t="shared" si="60"/>
        <v>7</v>
      </c>
      <c r="L82" s="2834">
        <f>SUM(L79:L81)</f>
        <v>7</v>
      </c>
    </row>
    <row r="83" spans="2:12" ht="14.4" x14ac:dyDescent="0.25">
      <c r="B83" s="2837" t="s">
        <v>498</v>
      </c>
      <c r="C83" s="2832"/>
      <c r="D83" s="2832"/>
      <c r="E83" s="2832"/>
      <c r="F83" s="2832">
        <v>1</v>
      </c>
      <c r="G83" s="2832"/>
      <c r="H83" s="2832"/>
      <c r="I83" s="2832"/>
      <c r="J83" s="2832"/>
      <c r="K83" s="2832"/>
      <c r="L83" s="2832"/>
    </row>
    <row r="84" spans="2:12" ht="14.4" x14ac:dyDescent="0.25">
      <c r="B84" s="2837" t="s">
        <v>526</v>
      </c>
      <c r="C84" s="2832"/>
      <c r="D84" s="2832"/>
      <c r="E84" s="2832"/>
      <c r="F84" s="2832"/>
      <c r="G84" s="2832"/>
      <c r="H84" s="2832"/>
      <c r="I84" s="2832">
        <v>8</v>
      </c>
      <c r="J84" s="2832">
        <v>8</v>
      </c>
      <c r="K84" s="2832">
        <v>0</v>
      </c>
      <c r="L84" s="2832">
        <v>7</v>
      </c>
    </row>
    <row r="85" spans="2:12" ht="15" customHeight="1" x14ac:dyDescent="0.25">
      <c r="B85" s="2837" t="s">
        <v>690</v>
      </c>
      <c r="C85" s="2832"/>
      <c r="D85" s="2832"/>
      <c r="E85" s="2832"/>
      <c r="F85" s="2832"/>
      <c r="G85" s="2832"/>
      <c r="H85" s="2832"/>
      <c r="I85" s="2832"/>
      <c r="J85" s="2832"/>
      <c r="K85" s="2832">
        <v>10</v>
      </c>
      <c r="L85" s="2832">
        <v>10</v>
      </c>
    </row>
    <row r="86" spans="2:12" ht="15" customHeight="1" x14ac:dyDescent="0.25">
      <c r="B86" s="2838" t="s">
        <v>329</v>
      </c>
      <c r="C86" s="2832"/>
      <c r="D86" s="2832"/>
      <c r="E86" s="2832"/>
      <c r="F86" s="2832">
        <v>2</v>
      </c>
      <c r="G86" s="2832"/>
      <c r="H86" s="2832"/>
      <c r="I86" s="2832"/>
      <c r="J86" s="2832"/>
      <c r="K86" s="2832"/>
      <c r="L86" s="2832"/>
    </row>
    <row r="87" spans="2:12" ht="15" customHeight="1" x14ac:dyDescent="0.25">
      <c r="B87" s="2839" t="s">
        <v>64</v>
      </c>
      <c r="C87" s="2840">
        <f t="shared" ref="C87:K87" si="61">SUM(C83:C86)</f>
        <v>0</v>
      </c>
      <c r="D87" s="2840">
        <f>SUM(D83:D86)</f>
        <v>0</v>
      </c>
      <c r="E87" s="2840">
        <f t="shared" si="61"/>
        <v>0</v>
      </c>
      <c r="F87" s="2840">
        <f>SUM(F83:F86)</f>
        <v>3</v>
      </c>
      <c r="G87" s="2840">
        <f t="shared" si="61"/>
        <v>0</v>
      </c>
      <c r="H87" s="2840">
        <f>SUM(H83:H86)</f>
        <v>0</v>
      </c>
      <c r="I87" s="2840">
        <f t="shared" si="61"/>
        <v>8</v>
      </c>
      <c r="J87" s="2840">
        <f>SUM(J83:J86)</f>
        <v>8</v>
      </c>
      <c r="K87" s="2840">
        <f t="shared" si="61"/>
        <v>10</v>
      </c>
      <c r="L87" s="2840">
        <f>SUM(L83:L86)</f>
        <v>17</v>
      </c>
    </row>
    <row r="88" spans="2:12" ht="15" customHeight="1" x14ac:dyDescent="0.25">
      <c r="B88" s="2841" t="s">
        <v>69</v>
      </c>
      <c r="C88" s="2842">
        <f t="shared" ref="C88:H88" si="62">SUM(C87,C82,C78)</f>
        <v>3</v>
      </c>
      <c r="D88" s="2842">
        <f t="shared" si="62"/>
        <v>3</v>
      </c>
      <c r="E88" s="2842">
        <f t="shared" si="62"/>
        <v>11</v>
      </c>
      <c r="F88" s="2842">
        <f t="shared" si="62"/>
        <v>24</v>
      </c>
      <c r="G88" s="2842">
        <f t="shared" si="62"/>
        <v>4</v>
      </c>
      <c r="H88" s="2842">
        <f t="shared" si="62"/>
        <v>18</v>
      </c>
      <c r="I88" s="2842">
        <f>SUM(I87,I82,I78)</f>
        <v>8</v>
      </c>
      <c r="J88" s="2842">
        <f>SUM(J87,J82,J78)</f>
        <v>8</v>
      </c>
      <c r="K88" s="2842">
        <f>SUM(K87,K82,K78)</f>
        <v>19</v>
      </c>
      <c r="L88" s="2842">
        <f>SUM(L87,L82,L78)</f>
        <v>26</v>
      </c>
    </row>
    <row r="89" spans="2:12" ht="14.4" x14ac:dyDescent="0.25">
      <c r="B89" s="2843" t="s">
        <v>353</v>
      </c>
      <c r="C89" s="2844"/>
      <c r="D89" s="2844"/>
      <c r="E89" s="2844"/>
      <c r="F89" s="2844"/>
      <c r="G89" s="2844"/>
      <c r="H89" s="2844"/>
      <c r="I89" s="2845"/>
      <c r="J89" s="2845"/>
      <c r="K89" s="2845">
        <v>6</v>
      </c>
      <c r="L89" s="2845">
        <v>5</v>
      </c>
    </row>
    <row r="90" spans="2:12" ht="14.4" x14ac:dyDescent="0.25">
      <c r="B90" s="2846" t="s">
        <v>352</v>
      </c>
      <c r="C90" s="2847"/>
      <c r="D90" s="2847"/>
      <c r="E90" s="2847"/>
      <c r="F90" s="2847"/>
      <c r="G90" s="2847"/>
      <c r="H90" s="2847"/>
      <c r="I90" s="2848"/>
      <c r="J90" s="2848"/>
      <c r="K90" s="2848">
        <v>9</v>
      </c>
      <c r="L90" s="2848">
        <v>9</v>
      </c>
    </row>
    <row r="91" spans="2:12" ht="14.4" x14ac:dyDescent="0.25">
      <c r="B91" s="2833" t="s">
        <v>115</v>
      </c>
      <c r="C91" s="2834"/>
      <c r="D91" s="2834"/>
      <c r="E91" s="2834"/>
      <c r="F91" s="2834"/>
      <c r="G91" s="2834"/>
      <c r="H91" s="2834"/>
      <c r="I91" s="2834">
        <f>SUM(I89:I90)</f>
        <v>0</v>
      </c>
      <c r="J91" s="2834">
        <f>SUM(J89:J90)</f>
        <v>0</v>
      </c>
      <c r="K91" s="2834">
        <f>SUM(K89:K90)</f>
        <v>15</v>
      </c>
      <c r="L91" s="2834">
        <f>SUM(L89:L90)</f>
        <v>14</v>
      </c>
    </row>
    <row r="92" spans="2:12" ht="14.4" x14ac:dyDescent="0.25">
      <c r="B92" s="2846" t="s">
        <v>350</v>
      </c>
      <c r="C92" s="2847"/>
      <c r="D92" s="2847"/>
      <c r="E92" s="2847"/>
      <c r="F92" s="2847"/>
      <c r="G92" s="2847"/>
      <c r="H92" s="2847"/>
      <c r="I92" s="2848"/>
      <c r="J92" s="2848"/>
      <c r="K92" s="2848">
        <v>12</v>
      </c>
      <c r="L92" s="2848">
        <v>12</v>
      </c>
    </row>
    <row r="93" spans="2:12" ht="14.4" x14ac:dyDescent="0.25">
      <c r="B93" s="2833" t="s">
        <v>111</v>
      </c>
      <c r="C93" s="2834"/>
      <c r="D93" s="2834"/>
      <c r="E93" s="2834"/>
      <c r="F93" s="2834"/>
      <c r="G93" s="2834"/>
      <c r="H93" s="2834"/>
      <c r="I93" s="2834">
        <f>SUM(I92)</f>
        <v>0</v>
      </c>
      <c r="J93" s="2834">
        <f>SUM(J92)</f>
        <v>0</v>
      </c>
      <c r="K93" s="2834">
        <f>SUM(K92)</f>
        <v>12</v>
      </c>
      <c r="L93" s="2834">
        <f>SUM(L92)</f>
        <v>12</v>
      </c>
    </row>
    <row r="94" spans="2:12" ht="14.4" x14ac:dyDescent="0.25">
      <c r="B94" s="2846" t="s">
        <v>696</v>
      </c>
      <c r="C94" s="2847"/>
      <c r="D94" s="2847"/>
      <c r="E94" s="2847"/>
      <c r="F94" s="2847"/>
      <c r="G94" s="2847"/>
      <c r="H94" s="2847"/>
      <c r="I94" s="2848">
        <v>19</v>
      </c>
      <c r="J94" s="2848">
        <v>19</v>
      </c>
      <c r="K94" s="2848">
        <v>11</v>
      </c>
      <c r="L94" s="2848">
        <v>28</v>
      </c>
    </row>
    <row r="95" spans="2:12" ht="14.4" x14ac:dyDescent="0.25">
      <c r="B95" s="2838" t="s">
        <v>349</v>
      </c>
      <c r="C95" s="2847"/>
      <c r="D95" s="2847"/>
      <c r="E95" s="2847"/>
      <c r="F95" s="2847"/>
      <c r="G95" s="2847"/>
      <c r="H95" s="2847"/>
      <c r="I95" s="2848">
        <v>9</v>
      </c>
      <c r="J95" s="2848">
        <v>9</v>
      </c>
      <c r="K95" s="2848">
        <v>7</v>
      </c>
      <c r="L95" s="2848">
        <v>16</v>
      </c>
    </row>
    <row r="96" spans="2:12" ht="15" customHeight="1" x14ac:dyDescent="0.25">
      <c r="B96" s="2839" t="s">
        <v>64</v>
      </c>
      <c r="C96" s="2840"/>
      <c r="D96" s="2840"/>
      <c r="E96" s="2840"/>
      <c r="F96" s="2840"/>
      <c r="G96" s="2840"/>
      <c r="H96" s="2840"/>
      <c r="I96" s="2840">
        <f>SUM(I94:I95)</f>
        <v>28</v>
      </c>
      <c r="J96" s="2840">
        <f>SUM(J94:J95)</f>
        <v>28</v>
      </c>
      <c r="K96" s="2840">
        <f>SUM(K94:K95)</f>
        <v>18</v>
      </c>
      <c r="L96" s="2840">
        <f>SUM(L94:L95)</f>
        <v>44</v>
      </c>
    </row>
    <row r="97" spans="2:12" ht="15" customHeight="1" x14ac:dyDescent="0.25">
      <c r="B97" s="2849" t="s">
        <v>116</v>
      </c>
      <c r="C97" s="2850"/>
      <c r="D97" s="2850"/>
      <c r="E97" s="2850"/>
      <c r="F97" s="2850"/>
      <c r="G97" s="2850"/>
      <c r="H97" s="2850"/>
      <c r="I97" s="2850">
        <f>SUM(I96,I93,I91)</f>
        <v>28</v>
      </c>
      <c r="J97" s="2850">
        <f>SUM(J96,J93,J91)</f>
        <v>28</v>
      </c>
      <c r="K97" s="2850">
        <f>SUM(K96,K93,K91)</f>
        <v>45</v>
      </c>
      <c r="L97" s="2850">
        <f>SUM(L96,L93,L91)</f>
        <v>70</v>
      </c>
    </row>
    <row r="98" spans="2:12" ht="14.4" x14ac:dyDescent="0.25">
      <c r="B98" s="2851" t="s">
        <v>697</v>
      </c>
      <c r="C98" s="2852"/>
      <c r="D98" s="2852"/>
      <c r="E98" s="2852"/>
      <c r="F98" s="2852"/>
      <c r="G98" s="2852"/>
      <c r="H98" s="2852"/>
      <c r="I98" s="2845">
        <v>6</v>
      </c>
      <c r="J98" s="2845">
        <v>6</v>
      </c>
      <c r="K98" s="2852"/>
      <c r="L98" s="2852"/>
    </row>
    <row r="99" spans="2:12" ht="14.4" x14ac:dyDescent="0.25">
      <c r="B99" s="2833" t="s">
        <v>59</v>
      </c>
      <c r="C99" s="2834"/>
      <c r="D99" s="2834"/>
      <c r="E99" s="2834"/>
      <c r="F99" s="2834"/>
      <c r="G99" s="2834"/>
      <c r="H99" s="2834"/>
      <c r="I99" s="2834">
        <f>SUM(I98)</f>
        <v>6</v>
      </c>
      <c r="J99" s="2834">
        <f>SUM(J98)</f>
        <v>6</v>
      </c>
      <c r="K99" s="2834">
        <f>SUM(K98)</f>
        <v>0</v>
      </c>
      <c r="L99" s="2834">
        <f>SUM(L98)</f>
        <v>0</v>
      </c>
    </row>
    <row r="100" spans="2:12" ht="14.4" x14ac:dyDescent="0.25">
      <c r="B100" s="2853" t="s">
        <v>693</v>
      </c>
      <c r="C100" s="2854"/>
      <c r="D100" s="2854"/>
      <c r="E100" s="2854"/>
      <c r="F100" s="2854"/>
      <c r="G100" s="2854"/>
      <c r="H100" s="2854"/>
      <c r="I100" s="2855">
        <v>6</v>
      </c>
      <c r="J100" s="2855">
        <v>6</v>
      </c>
      <c r="K100" s="2855">
        <v>16</v>
      </c>
      <c r="L100" s="2855">
        <v>16</v>
      </c>
    </row>
    <row r="101" spans="2:12" ht="15" customHeight="1" x14ac:dyDescent="0.25">
      <c r="B101" s="2839" t="s">
        <v>92</v>
      </c>
      <c r="C101" s="2840"/>
      <c r="D101" s="2840"/>
      <c r="E101" s="2840"/>
      <c r="F101" s="2840"/>
      <c r="G101" s="2840"/>
      <c r="H101" s="2840"/>
      <c r="I101" s="2840">
        <f>SUM(I100)</f>
        <v>6</v>
      </c>
      <c r="J101" s="2840">
        <f>SUM(J100)</f>
        <v>6</v>
      </c>
      <c r="K101" s="2840">
        <f>SUM(K100)</f>
        <v>16</v>
      </c>
      <c r="L101" s="2840">
        <f>SUM(L100)</f>
        <v>16</v>
      </c>
    </row>
    <row r="102" spans="2:12" ht="15" customHeight="1" x14ac:dyDescent="0.25">
      <c r="B102" s="2856" t="s">
        <v>93</v>
      </c>
      <c r="C102" s="2857"/>
      <c r="D102" s="2857"/>
      <c r="E102" s="2857"/>
      <c r="F102" s="2857"/>
      <c r="G102" s="2857"/>
      <c r="H102" s="2857"/>
      <c r="I102" s="2857">
        <f>SUM(I101,I99)</f>
        <v>12</v>
      </c>
      <c r="J102" s="2857">
        <f>SUM(J101,J99)</f>
        <v>12</v>
      </c>
      <c r="K102" s="2857">
        <f>SUM(K101,K99)</f>
        <v>16</v>
      </c>
      <c r="L102" s="2857">
        <f>SUM(L101,L99)</f>
        <v>16</v>
      </c>
    </row>
    <row r="103" spans="2:12" ht="15" customHeight="1" x14ac:dyDescent="0.25">
      <c r="B103" s="2829" t="s">
        <v>421</v>
      </c>
      <c r="C103" s="2845"/>
      <c r="D103" s="2845"/>
      <c r="E103" s="2844"/>
      <c r="F103" s="2844"/>
      <c r="G103" s="2845">
        <v>9</v>
      </c>
      <c r="H103" s="2845">
        <v>8</v>
      </c>
      <c r="I103" s="2845">
        <v>7</v>
      </c>
      <c r="J103" s="2845">
        <v>15</v>
      </c>
      <c r="K103" s="2845">
        <v>10</v>
      </c>
      <c r="L103" s="2845">
        <v>24</v>
      </c>
    </row>
    <row r="104" spans="2:12" ht="14.4" x14ac:dyDescent="0.25">
      <c r="B104" s="2837" t="s">
        <v>419</v>
      </c>
      <c r="C104" s="2848"/>
      <c r="D104" s="2848"/>
      <c r="E104" s="2848">
        <v>12</v>
      </c>
      <c r="F104" s="2848">
        <v>12</v>
      </c>
      <c r="G104" s="2848"/>
      <c r="H104" s="2848">
        <v>12</v>
      </c>
      <c r="I104" s="2848"/>
      <c r="J104" s="2848"/>
      <c r="K104" s="2848"/>
      <c r="L104" s="2848"/>
    </row>
    <row r="105" spans="2:12" ht="14.4" x14ac:dyDescent="0.25">
      <c r="B105" s="2833" t="s">
        <v>68</v>
      </c>
      <c r="C105" s="2834">
        <f>SUM(C104:C104)</f>
        <v>0</v>
      </c>
      <c r="D105" s="2834">
        <f>SUM(D104:D104)</f>
        <v>0</v>
      </c>
      <c r="E105" s="2834">
        <f>SUM(E103:E104)</f>
        <v>12</v>
      </c>
      <c r="F105" s="2834">
        <f>SUM(F104:F104)</f>
        <v>12</v>
      </c>
      <c r="G105" s="2834">
        <f t="shared" ref="G105:L105" si="63">SUM(G103:G104)</f>
        <v>9</v>
      </c>
      <c r="H105" s="2834">
        <f t="shared" si="63"/>
        <v>20</v>
      </c>
      <c r="I105" s="2834">
        <f t="shared" si="63"/>
        <v>7</v>
      </c>
      <c r="J105" s="2834">
        <f t="shared" si="63"/>
        <v>15</v>
      </c>
      <c r="K105" s="2834">
        <f t="shared" si="63"/>
        <v>10</v>
      </c>
      <c r="L105" s="2834">
        <f t="shared" si="63"/>
        <v>24</v>
      </c>
    </row>
    <row r="106" spans="2:12" ht="14.4" x14ac:dyDescent="0.25">
      <c r="B106" s="2858" t="s">
        <v>393</v>
      </c>
      <c r="C106" s="2848">
        <v>2</v>
      </c>
      <c r="D106" s="2848">
        <v>2</v>
      </c>
      <c r="E106" s="2848">
        <v>1</v>
      </c>
      <c r="F106" s="2848">
        <v>2</v>
      </c>
      <c r="G106" s="2848"/>
      <c r="H106" s="2848">
        <v>1</v>
      </c>
      <c r="I106" s="2848">
        <v>0</v>
      </c>
      <c r="J106" s="2848">
        <v>1</v>
      </c>
      <c r="K106" s="2848"/>
      <c r="L106" s="2848"/>
    </row>
    <row r="107" spans="2:12" ht="14.4" x14ac:dyDescent="0.25">
      <c r="B107" s="2837" t="s">
        <v>396</v>
      </c>
      <c r="C107" s="2848"/>
      <c r="D107" s="2848"/>
      <c r="E107" s="2848">
        <v>0</v>
      </c>
      <c r="F107" s="2848">
        <v>6</v>
      </c>
      <c r="G107" s="2848"/>
      <c r="H107" s="2848">
        <v>6</v>
      </c>
      <c r="I107" s="2848">
        <v>15</v>
      </c>
      <c r="J107" s="2848">
        <v>14</v>
      </c>
      <c r="K107" s="2848">
        <v>19</v>
      </c>
      <c r="L107" s="2848">
        <v>33</v>
      </c>
    </row>
    <row r="108" spans="2:12" ht="15" customHeight="1" x14ac:dyDescent="0.25">
      <c r="B108" s="2837" t="s">
        <v>398</v>
      </c>
      <c r="C108" s="2848"/>
      <c r="D108" s="2848"/>
      <c r="E108" s="2848">
        <v>0</v>
      </c>
      <c r="F108" s="2848">
        <v>6</v>
      </c>
      <c r="G108" s="2848"/>
      <c r="H108" s="2848">
        <v>4</v>
      </c>
      <c r="I108" s="2848"/>
      <c r="J108" s="2848"/>
      <c r="K108" s="2848"/>
      <c r="L108" s="2848"/>
    </row>
    <row r="109" spans="2:12" ht="15" customHeight="1" x14ac:dyDescent="0.25">
      <c r="B109" s="2859" t="s">
        <v>399</v>
      </c>
      <c r="C109" s="2848"/>
      <c r="D109" s="2848"/>
      <c r="E109" s="2848"/>
      <c r="F109" s="2848"/>
      <c r="G109" s="2848"/>
      <c r="H109" s="2848"/>
      <c r="I109" s="2848"/>
      <c r="J109" s="2848"/>
      <c r="K109" s="2848">
        <v>16</v>
      </c>
      <c r="L109" s="2848">
        <v>16</v>
      </c>
    </row>
    <row r="110" spans="2:12" ht="14.4" x14ac:dyDescent="0.25">
      <c r="B110" s="2833" t="s">
        <v>64</v>
      </c>
      <c r="C110" s="2834">
        <f t="shared" ref="C110:H110" si="64">SUM(C106:C108)</f>
        <v>2</v>
      </c>
      <c r="D110" s="2834">
        <f t="shared" si="64"/>
        <v>2</v>
      </c>
      <c r="E110" s="2834">
        <f t="shared" si="64"/>
        <v>1</v>
      </c>
      <c r="F110" s="2834">
        <f t="shared" si="64"/>
        <v>14</v>
      </c>
      <c r="G110" s="2834">
        <f t="shared" si="64"/>
        <v>0</v>
      </c>
      <c r="H110" s="2834">
        <f t="shared" si="64"/>
        <v>11</v>
      </c>
      <c r="I110" s="2834">
        <f>SUM(I106:I108)</f>
        <v>15</v>
      </c>
      <c r="J110" s="2834">
        <f>SUM(J106:J108)</f>
        <v>15</v>
      </c>
      <c r="K110" s="2834">
        <f>SUM(K106:K109)</f>
        <v>35</v>
      </c>
      <c r="L110" s="2834">
        <f>SUM(L106:L109)</f>
        <v>49</v>
      </c>
    </row>
    <row r="111" spans="2:12" ht="14.4" x14ac:dyDescent="0.25">
      <c r="B111" s="2837" t="s">
        <v>407</v>
      </c>
      <c r="C111" s="2848"/>
      <c r="D111" s="2848"/>
      <c r="E111" s="2848"/>
      <c r="F111" s="2848"/>
      <c r="G111" s="2848">
        <v>6</v>
      </c>
      <c r="H111" s="2848">
        <v>6</v>
      </c>
      <c r="I111" s="2848"/>
      <c r="J111" s="2848"/>
      <c r="K111" s="2848"/>
      <c r="L111" s="2848"/>
    </row>
    <row r="112" spans="2:12" ht="15" customHeight="1" x14ac:dyDescent="0.25">
      <c r="B112" s="2837" t="s">
        <v>413</v>
      </c>
      <c r="C112" s="2848"/>
      <c r="D112" s="2848"/>
      <c r="E112" s="2848"/>
      <c r="F112" s="2848">
        <v>1</v>
      </c>
      <c r="G112" s="2848"/>
      <c r="H112" s="2848"/>
      <c r="I112" s="2848"/>
      <c r="J112" s="2848"/>
      <c r="K112" s="2848"/>
      <c r="L112" s="2848"/>
    </row>
    <row r="113" spans="2:12" ht="14.4" x14ac:dyDescent="0.3">
      <c r="B113" s="2860" t="s">
        <v>698</v>
      </c>
      <c r="C113" s="2861">
        <v>6</v>
      </c>
      <c r="D113" s="2861">
        <v>6</v>
      </c>
      <c r="E113" s="2848"/>
      <c r="F113" s="2848"/>
      <c r="G113" s="2848"/>
      <c r="H113" s="2848"/>
      <c r="I113" s="2848"/>
      <c r="J113" s="2848"/>
      <c r="K113" s="2848"/>
      <c r="L113" s="2848"/>
    </row>
    <row r="114" spans="2:12" ht="14.4" x14ac:dyDescent="0.25">
      <c r="B114" s="2839" t="s">
        <v>92</v>
      </c>
      <c r="C114" s="2834">
        <f>SUM(C112:C113)</f>
        <v>6</v>
      </c>
      <c r="D114" s="2834">
        <f>SUM(D112:D113)</f>
        <v>6</v>
      </c>
      <c r="E114" s="2834">
        <f>SUM(E112:E112)</f>
        <v>0</v>
      </c>
      <c r="F114" s="2834">
        <f>SUM(F112:F112)</f>
        <v>1</v>
      </c>
      <c r="G114" s="2834">
        <f t="shared" ref="G114:L114" si="65">SUM(G111:G113)</f>
        <v>6</v>
      </c>
      <c r="H114" s="2834">
        <f t="shared" si="65"/>
        <v>6</v>
      </c>
      <c r="I114" s="2834">
        <f t="shared" si="65"/>
        <v>0</v>
      </c>
      <c r="J114" s="2834">
        <f t="shared" si="65"/>
        <v>0</v>
      </c>
      <c r="K114" s="2834">
        <f t="shared" si="65"/>
        <v>0</v>
      </c>
      <c r="L114" s="2834">
        <f t="shared" si="65"/>
        <v>0</v>
      </c>
    </row>
    <row r="115" spans="2:12" ht="15" customHeight="1" x14ac:dyDescent="0.25">
      <c r="B115" s="2862" t="s">
        <v>105</v>
      </c>
      <c r="C115" s="2862">
        <f t="shared" ref="C115:H115" si="66">SUM(C114,C110,C105)</f>
        <v>8</v>
      </c>
      <c r="D115" s="2862">
        <f t="shared" si="66"/>
        <v>8</v>
      </c>
      <c r="E115" s="2862">
        <f t="shared" si="66"/>
        <v>13</v>
      </c>
      <c r="F115" s="2862">
        <f t="shared" si="66"/>
        <v>27</v>
      </c>
      <c r="G115" s="2862">
        <f t="shared" si="66"/>
        <v>15</v>
      </c>
      <c r="H115" s="2862">
        <f t="shared" si="66"/>
        <v>37</v>
      </c>
      <c r="I115" s="2862">
        <f>SUM(I114,I110,I105)</f>
        <v>22</v>
      </c>
      <c r="J115" s="2862">
        <f>SUM(J114,J110,J105)</f>
        <v>30</v>
      </c>
      <c r="K115" s="2862">
        <f>SUM(K114,K110,K105)</f>
        <v>45</v>
      </c>
      <c r="L115" s="2862">
        <f>SUM(L114,L110,L105)</f>
        <v>73</v>
      </c>
    </row>
    <row r="116" spans="2:12" ht="14.4" x14ac:dyDescent="0.25">
      <c r="B116" s="2863" t="s">
        <v>128</v>
      </c>
      <c r="C116" s="2863">
        <f t="shared" ref="C116:K116" si="67">SUM(C88,C97,C102,C115)</f>
        <v>11</v>
      </c>
      <c r="D116" s="2863">
        <f>SUM(D88,D97,D102,D115)</f>
        <v>11</v>
      </c>
      <c r="E116" s="2863">
        <f t="shared" si="67"/>
        <v>24</v>
      </c>
      <c r="F116" s="2863">
        <f>SUM(F88,F97,F102,F115)</f>
        <v>51</v>
      </c>
      <c r="G116" s="2863">
        <f t="shared" si="67"/>
        <v>19</v>
      </c>
      <c r="H116" s="2863">
        <f>SUM(H88,H97,H102,H115)</f>
        <v>55</v>
      </c>
      <c r="I116" s="2863">
        <f>SUM(I88,I97,I102,I115)</f>
        <v>70</v>
      </c>
      <c r="J116" s="2863">
        <f>SUM(J88,J97,J102,J115)</f>
        <v>78</v>
      </c>
      <c r="K116" s="2863">
        <f t="shared" si="67"/>
        <v>125</v>
      </c>
      <c r="L116" s="2863">
        <f>SUM(L88,L97,L102,L115)</f>
        <v>185</v>
      </c>
    </row>
    <row r="117" spans="2:12" x14ac:dyDescent="0.25">
      <c r="B117" s="2341" t="s">
        <v>622</v>
      </c>
    </row>
  </sheetData>
  <mergeCells count="18">
    <mergeCell ref="B74:B75"/>
    <mergeCell ref="C74:D74"/>
    <mergeCell ref="E74:F74"/>
    <mergeCell ref="G74:H74"/>
    <mergeCell ref="I74:J74"/>
    <mergeCell ref="B3:B4"/>
    <mergeCell ref="C3:E3"/>
    <mergeCell ref="F3:H3"/>
    <mergeCell ref="I3:K3"/>
    <mergeCell ref="L3:N3"/>
    <mergeCell ref="U3:W3"/>
    <mergeCell ref="X3:Z3"/>
    <mergeCell ref="AD70:AF71"/>
    <mergeCell ref="O3:Q3"/>
    <mergeCell ref="K74:L74"/>
    <mergeCell ref="AD3:AF3"/>
    <mergeCell ref="AA3:AC3"/>
    <mergeCell ref="R3:T3"/>
  </mergeCells>
  <printOptions horizontalCentered="1" verticalCentered="1"/>
  <pageMargins left="0.70866141732283472" right="0.70866141732283472" top="0.35433070866141736" bottom="0.35433070866141736" header="0.31496062992125984" footer="0.31496062992125984"/>
  <pageSetup scale="60" firstPageNumber="115" pageOrder="overThenDown" orientation="landscape" useFirstPageNumber="1" r:id="rId1"/>
  <headerFooter scaleWithDoc="0" alignWithMargins="0">
    <oddFooter>&amp;R&amp;P</oddFooter>
  </headerFooter>
  <rowBreaks count="3" manualBreakCount="3">
    <brk id="47" min="17" max="31" man="1"/>
    <brk id="47" min="1" max="1" man="1"/>
    <brk id="70" max="16383" man="1"/>
  </rowBreaks>
  <ignoredErrors>
    <ignoredError sqref="K15:AC15 O21:W21 K21:N37 E21:J69 K18:V18 X18:Y20 K16:Y17 O25:AC36 O22:S23 O24:Y24 O39:AC42 O37:S37 X37:Y38 O45:AC50 O43:Y43 O52:W52 O51:S51 O54:AC54 O53:AB53 O59:W59 O55:Y56 O58:Y58 U57:V57 X57:Y57 O61:AC61 O60:V60 O64:AC69 O63:Y63 K58:N69 K57:M57 O62 Q62:S62 U62:AC62 U51:V51 U37:V38 O38:P38 R38:S38 K39:N56 K38:M38 K19:S20 U19:V20 U22:V23 E105:L116 O44:Z44 AB44:AC44 AA59:AC59" formula="1"/>
  </ignoredErrors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</sheetPr>
  <dimension ref="A1:AD110"/>
  <sheetViews>
    <sheetView showGridLines="0" topLeftCell="B1" zoomScale="110" zoomScaleNormal="110" workbookViewId="0">
      <pane xSplit="2" ySplit="4" topLeftCell="V14" activePane="bottomRight" state="frozen"/>
      <selection activeCell="Q31" sqref="Q31"/>
      <selection pane="topRight" activeCell="Q31" sqref="Q31"/>
      <selection pane="bottomLeft" activeCell="Q31" sqref="Q31"/>
      <selection pane="bottomRight" activeCell="AE31" sqref="AE31"/>
    </sheetView>
  </sheetViews>
  <sheetFormatPr baseColWidth="10" defaultColWidth="11.44140625" defaultRowHeight="14.4" x14ac:dyDescent="0.3"/>
  <cols>
    <col min="1" max="1" width="25.44140625" style="2866" bestFit="1" customWidth="1"/>
    <col min="2" max="2" width="2.88671875" style="2866" customWidth="1"/>
    <col min="3" max="3" width="64.88671875" style="2866" customWidth="1"/>
    <col min="4" max="5" width="9.109375" style="2866" customWidth="1"/>
    <col min="6" max="6" width="8.88671875" style="2866" customWidth="1"/>
    <col min="7" max="8" width="9.109375" style="2866" customWidth="1"/>
    <col min="9" max="10" width="8.88671875" style="2866" customWidth="1"/>
    <col min="11" max="11" width="9.109375" style="2866" customWidth="1"/>
    <col min="12" max="13" width="8.88671875" style="2866" customWidth="1"/>
    <col min="14" max="14" width="9.109375" style="2866" customWidth="1"/>
    <col min="15" max="16" width="8.88671875" style="2866" customWidth="1"/>
    <col min="17" max="17" width="9.109375" style="2866" customWidth="1"/>
    <col min="18" max="18" width="7.88671875" style="2866" customWidth="1"/>
    <col min="19" max="19" width="8.88671875" style="2866" customWidth="1"/>
    <col min="20" max="20" width="9.109375" style="2866" customWidth="1"/>
    <col min="21" max="21" width="7.88671875" style="2866" customWidth="1"/>
    <col min="22" max="27" width="8.88671875" style="2866" customWidth="1"/>
    <col min="28" max="28" width="8.88671875" style="2866" bestFit="1" customWidth="1"/>
    <col min="29" max="29" width="9.109375" style="2866" bestFit="1" customWidth="1"/>
    <col min="30" max="30" width="8" style="2866" customWidth="1"/>
    <col min="31" max="16384" width="11.44140625" style="2866"/>
  </cols>
  <sheetData>
    <row r="1" spans="1:30" ht="36" x14ac:dyDescent="0.3">
      <c r="A1" s="2864"/>
      <c r="B1" s="2865"/>
      <c r="C1" s="4766" t="s">
        <v>1496</v>
      </c>
    </row>
    <row r="2" spans="1:30" ht="12.75" customHeight="1" x14ac:dyDescent="0.3">
      <c r="C2" s="4767"/>
      <c r="D2" s="2867"/>
      <c r="E2" s="2867"/>
      <c r="F2" s="2867"/>
    </row>
    <row r="3" spans="1:30" ht="15" customHeight="1" x14ac:dyDescent="0.3">
      <c r="C3" s="6094" t="s">
        <v>624</v>
      </c>
      <c r="D3" s="6109">
        <v>2014</v>
      </c>
      <c r="E3" s="6110"/>
      <c r="F3" s="6111"/>
      <c r="G3" s="6109">
        <v>2015</v>
      </c>
      <c r="H3" s="6110"/>
      <c r="I3" s="6111"/>
      <c r="J3" s="6109">
        <v>2016</v>
      </c>
      <c r="K3" s="6110"/>
      <c r="L3" s="6111"/>
      <c r="M3" s="6109">
        <v>2017</v>
      </c>
      <c r="N3" s="6110"/>
      <c r="O3" s="6111"/>
      <c r="P3" s="6109">
        <v>2018</v>
      </c>
      <c r="Q3" s="6110"/>
      <c r="R3" s="6111"/>
      <c r="S3" s="6109">
        <v>2019</v>
      </c>
      <c r="T3" s="6110"/>
      <c r="U3" s="6111"/>
      <c r="V3" s="6109">
        <v>2020</v>
      </c>
      <c r="W3" s="6110"/>
      <c r="X3" s="6111"/>
      <c r="Y3" s="6109" t="s">
        <v>1595</v>
      </c>
      <c r="Z3" s="6110"/>
      <c r="AA3" s="6111"/>
      <c r="AB3" s="6109">
        <v>2022</v>
      </c>
      <c r="AC3" s="6110"/>
      <c r="AD3" s="6111"/>
    </row>
    <row r="4" spans="1:30" x14ac:dyDescent="0.3">
      <c r="C4" s="6087"/>
      <c r="D4" s="2868" t="s">
        <v>140</v>
      </c>
      <c r="E4" s="2868" t="s">
        <v>141</v>
      </c>
      <c r="F4" s="2869" t="s">
        <v>48</v>
      </c>
      <c r="G4" s="2868" t="s">
        <v>140</v>
      </c>
      <c r="H4" s="2868" t="s">
        <v>141</v>
      </c>
      <c r="I4" s="2869" t="s">
        <v>48</v>
      </c>
      <c r="J4" s="2868" t="s">
        <v>140</v>
      </c>
      <c r="K4" s="2868" t="s">
        <v>141</v>
      </c>
      <c r="L4" s="2869" t="s">
        <v>48</v>
      </c>
      <c r="M4" s="2868" t="s">
        <v>140</v>
      </c>
      <c r="N4" s="2868" t="s">
        <v>141</v>
      </c>
      <c r="O4" s="2869" t="s">
        <v>48</v>
      </c>
      <c r="P4" s="2868" t="s">
        <v>140</v>
      </c>
      <c r="Q4" s="2868" t="s">
        <v>141</v>
      </c>
      <c r="R4" s="2869" t="s">
        <v>48</v>
      </c>
      <c r="S4" s="2868" t="s">
        <v>140</v>
      </c>
      <c r="T4" s="2868" t="s">
        <v>141</v>
      </c>
      <c r="U4" s="2869" t="s">
        <v>48</v>
      </c>
      <c r="V4" s="2868" t="s">
        <v>140</v>
      </c>
      <c r="W4" s="2868" t="s">
        <v>141</v>
      </c>
      <c r="X4" s="2869" t="s">
        <v>48</v>
      </c>
      <c r="Y4" s="2868" t="s">
        <v>140</v>
      </c>
      <c r="Z4" s="2868" t="s">
        <v>141</v>
      </c>
      <c r="AA4" s="2869" t="s">
        <v>48</v>
      </c>
      <c r="AB4" s="2868" t="s">
        <v>140</v>
      </c>
      <c r="AC4" s="2868" t="s">
        <v>141</v>
      </c>
      <c r="AD4" s="2869" t="s">
        <v>48</v>
      </c>
    </row>
    <row r="5" spans="1:30" ht="15" customHeight="1" x14ac:dyDescent="0.3">
      <c r="C5" s="2870" t="s">
        <v>313</v>
      </c>
      <c r="D5" s="2871"/>
      <c r="E5" s="2872"/>
      <c r="F5" s="2873"/>
      <c r="G5" s="2874"/>
      <c r="H5" s="2872"/>
      <c r="I5" s="2873"/>
      <c r="J5" s="2874"/>
      <c r="K5" s="2872"/>
      <c r="L5" s="2873"/>
      <c r="M5" s="2874"/>
      <c r="N5" s="2872">
        <v>2</v>
      </c>
      <c r="O5" s="2873">
        <f>+M5+N5</f>
        <v>2</v>
      </c>
      <c r="P5" s="2874"/>
      <c r="Q5" s="2872"/>
      <c r="R5" s="2873"/>
      <c r="S5" s="2874"/>
      <c r="T5" s="2872"/>
      <c r="U5" s="2873"/>
      <c r="V5" s="2874"/>
      <c r="W5" s="2872"/>
      <c r="X5" s="2873"/>
      <c r="Y5" s="2874"/>
      <c r="Z5" s="2872"/>
      <c r="AA5" s="2873"/>
      <c r="AB5" s="2874"/>
      <c r="AC5" s="2872"/>
      <c r="AD5" s="2873"/>
    </row>
    <row r="6" spans="1:30" ht="15" customHeight="1" x14ac:dyDescent="0.3">
      <c r="C6" s="2875" t="s">
        <v>699</v>
      </c>
      <c r="D6" s="2871">
        <v>2</v>
      </c>
      <c r="E6" s="2876"/>
      <c r="F6" s="2877">
        <f t="shared" ref="F6:F12" si="0">+D6+E6</f>
        <v>2</v>
      </c>
      <c r="G6" s="2874">
        <v>5</v>
      </c>
      <c r="H6" s="2876">
        <v>4</v>
      </c>
      <c r="I6" s="2877">
        <f t="shared" ref="I6:I11" si="1">+G6+H6</f>
        <v>9</v>
      </c>
      <c r="J6" s="2874">
        <v>8</v>
      </c>
      <c r="K6" s="2876">
        <v>7</v>
      </c>
      <c r="L6" s="2877">
        <f t="shared" ref="L6:L11" si="2">+J6+K6</f>
        <v>15</v>
      </c>
      <c r="M6" s="2874">
        <v>2</v>
      </c>
      <c r="N6" s="2876">
        <v>5</v>
      </c>
      <c r="O6" s="2877"/>
      <c r="P6" s="2874">
        <v>9</v>
      </c>
      <c r="Q6" s="2876">
        <v>2</v>
      </c>
      <c r="R6" s="2877">
        <f>+P6+Q6</f>
        <v>11</v>
      </c>
      <c r="S6" s="2874">
        <v>7</v>
      </c>
      <c r="T6" s="2876">
        <v>7</v>
      </c>
      <c r="U6" s="2877">
        <f>+S6+T6</f>
        <v>14</v>
      </c>
      <c r="V6" s="2874"/>
      <c r="W6" s="2876"/>
      <c r="X6" s="2877"/>
      <c r="Y6" s="2874"/>
      <c r="Z6" s="2876"/>
      <c r="AA6" s="2877"/>
      <c r="AB6" s="2874">
        <v>1</v>
      </c>
      <c r="AC6" s="2876"/>
      <c r="AD6" s="2877">
        <f t="shared" ref="AD6" si="3">+AB6+AC6</f>
        <v>1</v>
      </c>
    </row>
    <row r="7" spans="1:30" ht="15" customHeight="1" x14ac:dyDescent="0.3">
      <c r="C7" s="2875" t="s">
        <v>312</v>
      </c>
      <c r="D7" s="2878"/>
      <c r="E7" s="2879">
        <v>9</v>
      </c>
      <c r="F7" s="2877">
        <f t="shared" si="0"/>
        <v>9</v>
      </c>
      <c r="G7" s="2880"/>
      <c r="H7" s="2879">
        <v>6</v>
      </c>
      <c r="I7" s="2877">
        <f t="shared" si="1"/>
        <v>6</v>
      </c>
      <c r="J7" s="2880"/>
      <c r="K7" s="2879">
        <v>6</v>
      </c>
      <c r="L7" s="2877">
        <f t="shared" si="2"/>
        <v>6</v>
      </c>
      <c r="M7" s="2880">
        <v>2</v>
      </c>
      <c r="N7" s="2879">
        <v>3</v>
      </c>
      <c r="O7" s="2877">
        <f>+M7+N7</f>
        <v>5</v>
      </c>
      <c r="P7" s="2880">
        <v>2</v>
      </c>
      <c r="Q7" s="2879">
        <v>3</v>
      </c>
      <c r="R7" s="2877">
        <f>+P7+Q7</f>
        <v>5</v>
      </c>
      <c r="S7" s="2880">
        <v>4</v>
      </c>
      <c r="T7" s="2879">
        <v>8</v>
      </c>
      <c r="U7" s="2877">
        <f>+S7+T7</f>
        <v>12</v>
      </c>
      <c r="V7" s="2880"/>
      <c r="W7" s="2879"/>
      <c r="X7" s="2877"/>
      <c r="Y7" s="2880"/>
      <c r="Z7" s="2879"/>
      <c r="AA7" s="2877"/>
      <c r="AB7" s="2880"/>
      <c r="AC7" s="2879"/>
      <c r="AD7" s="2877"/>
    </row>
    <row r="8" spans="1:30" ht="15" customHeight="1" x14ac:dyDescent="0.3">
      <c r="C8" s="2875" t="s">
        <v>315</v>
      </c>
      <c r="D8" s="2878"/>
      <c r="E8" s="2879"/>
      <c r="F8" s="2877">
        <f t="shared" si="0"/>
        <v>0</v>
      </c>
      <c r="G8" s="2880"/>
      <c r="H8" s="2879">
        <v>1</v>
      </c>
      <c r="I8" s="2877">
        <f t="shared" si="1"/>
        <v>1</v>
      </c>
      <c r="J8" s="2880"/>
      <c r="K8" s="2879"/>
      <c r="L8" s="2877"/>
      <c r="M8" s="2880"/>
      <c r="N8" s="2879">
        <v>4</v>
      </c>
      <c r="O8" s="2877">
        <f>+M8+N8</f>
        <v>4</v>
      </c>
      <c r="P8" s="2880">
        <v>1</v>
      </c>
      <c r="Q8" s="2879">
        <v>2</v>
      </c>
      <c r="R8" s="2877">
        <f>+P8+Q8</f>
        <v>3</v>
      </c>
      <c r="S8" s="2880"/>
      <c r="T8" s="2879"/>
      <c r="U8" s="2877"/>
      <c r="V8" s="2880"/>
      <c r="W8" s="2879"/>
      <c r="X8" s="2877"/>
      <c r="Y8" s="2880"/>
      <c r="Z8" s="2879"/>
      <c r="AA8" s="2877"/>
      <c r="AB8" s="2880"/>
      <c r="AC8" s="2879"/>
      <c r="AD8" s="2877"/>
    </row>
    <row r="9" spans="1:30" ht="15" customHeight="1" x14ac:dyDescent="0.3">
      <c r="C9" s="2875" t="s">
        <v>314</v>
      </c>
      <c r="D9" s="2878"/>
      <c r="E9" s="2879">
        <v>2</v>
      </c>
      <c r="F9" s="2877">
        <f t="shared" si="0"/>
        <v>2</v>
      </c>
      <c r="G9" s="2880"/>
      <c r="H9" s="2879">
        <v>3</v>
      </c>
      <c r="I9" s="2877">
        <f t="shared" si="1"/>
        <v>3</v>
      </c>
      <c r="J9" s="2880">
        <v>4</v>
      </c>
      <c r="K9" s="2879">
        <v>3</v>
      </c>
      <c r="L9" s="2877">
        <f t="shared" si="2"/>
        <v>7</v>
      </c>
      <c r="M9" s="2880">
        <v>2</v>
      </c>
      <c r="N9" s="2879">
        <v>4</v>
      </c>
      <c r="O9" s="2877">
        <f>+M9+N9</f>
        <v>6</v>
      </c>
      <c r="P9" s="2880">
        <v>3</v>
      </c>
      <c r="Q9" s="2879">
        <v>5</v>
      </c>
      <c r="R9" s="2877">
        <f>+P9+Q9</f>
        <v>8</v>
      </c>
      <c r="S9" s="2880">
        <v>1</v>
      </c>
      <c r="T9" s="2879">
        <v>2</v>
      </c>
      <c r="U9" s="2877">
        <f>+S9+T9</f>
        <v>3</v>
      </c>
      <c r="V9" s="2880"/>
      <c r="W9" s="2879"/>
      <c r="X9" s="2877"/>
      <c r="Y9" s="2880"/>
      <c r="Z9" s="2879"/>
      <c r="AA9" s="2877"/>
      <c r="AB9" s="2880"/>
      <c r="AC9" s="2879"/>
      <c r="AD9" s="2877"/>
    </row>
    <row r="10" spans="1:30" ht="15" customHeight="1" x14ac:dyDescent="0.3">
      <c r="C10" s="2875" t="s">
        <v>700</v>
      </c>
      <c r="D10" s="2878">
        <v>1</v>
      </c>
      <c r="E10" s="2879"/>
      <c r="F10" s="2877">
        <f t="shared" si="0"/>
        <v>1</v>
      </c>
      <c r="G10" s="2880">
        <v>4</v>
      </c>
      <c r="H10" s="2879">
        <v>1</v>
      </c>
      <c r="I10" s="2877">
        <f t="shared" si="1"/>
        <v>5</v>
      </c>
      <c r="J10" s="2880">
        <v>5</v>
      </c>
      <c r="K10" s="2879">
        <v>1</v>
      </c>
      <c r="L10" s="2877">
        <f t="shared" si="2"/>
        <v>6</v>
      </c>
      <c r="M10" s="2880">
        <v>2</v>
      </c>
      <c r="N10" s="2879">
        <v>3</v>
      </c>
      <c r="O10" s="2877">
        <f>+M10+N10</f>
        <v>5</v>
      </c>
      <c r="P10" s="2880">
        <v>1</v>
      </c>
      <c r="Q10" s="2879">
        <v>2</v>
      </c>
      <c r="R10" s="2877">
        <f>+P10+Q10</f>
        <v>3</v>
      </c>
      <c r="S10" s="2880">
        <v>3</v>
      </c>
      <c r="T10" s="2879">
        <v>1</v>
      </c>
      <c r="U10" s="2877">
        <f>+S10+T10</f>
        <v>4</v>
      </c>
      <c r="V10" s="2880"/>
      <c r="W10" s="2879"/>
      <c r="X10" s="2877"/>
      <c r="Y10" s="2880"/>
      <c r="Z10" s="2879"/>
      <c r="AA10" s="2877"/>
      <c r="AB10" s="2880">
        <v>1</v>
      </c>
      <c r="AC10" s="2879"/>
      <c r="AD10" s="2877">
        <f>+AB10+AC10</f>
        <v>1</v>
      </c>
    </row>
    <row r="11" spans="1:30" ht="15" customHeight="1" x14ac:dyDescent="0.3">
      <c r="C11" s="2875" t="s">
        <v>319</v>
      </c>
      <c r="D11" s="2878"/>
      <c r="E11" s="2879"/>
      <c r="F11" s="2877"/>
      <c r="G11" s="2880"/>
      <c r="H11" s="2879">
        <v>2</v>
      </c>
      <c r="I11" s="2877">
        <f t="shared" si="1"/>
        <v>2</v>
      </c>
      <c r="J11" s="2880"/>
      <c r="K11" s="2879">
        <v>3</v>
      </c>
      <c r="L11" s="2877">
        <f t="shared" si="2"/>
        <v>3</v>
      </c>
      <c r="M11" s="2880"/>
      <c r="N11" s="2879">
        <v>2</v>
      </c>
      <c r="O11" s="2877">
        <f>+M11+N11</f>
        <v>2</v>
      </c>
      <c r="P11" s="2880"/>
      <c r="Q11" s="2879"/>
      <c r="R11" s="2877"/>
      <c r="S11" s="2880"/>
      <c r="T11" s="2879">
        <v>1</v>
      </c>
      <c r="U11" s="2877">
        <f>+S11+T11</f>
        <v>1</v>
      </c>
      <c r="V11" s="2880"/>
      <c r="W11" s="2879"/>
      <c r="X11" s="2877"/>
      <c r="Y11" s="2880"/>
      <c r="Z11" s="2879"/>
      <c r="AA11" s="2877"/>
      <c r="AB11" s="2880"/>
      <c r="AC11" s="2879"/>
      <c r="AD11" s="2877"/>
    </row>
    <row r="12" spans="1:30" ht="15" customHeight="1" x14ac:dyDescent="0.3">
      <c r="C12" s="2875" t="s">
        <v>321</v>
      </c>
      <c r="D12" s="2878"/>
      <c r="E12" s="2879">
        <v>2</v>
      </c>
      <c r="F12" s="2877">
        <f t="shared" si="0"/>
        <v>2</v>
      </c>
      <c r="G12" s="2880"/>
      <c r="H12" s="2879"/>
      <c r="I12" s="2877"/>
      <c r="J12" s="2880"/>
      <c r="K12" s="2879"/>
      <c r="L12" s="2877"/>
      <c r="M12" s="2880"/>
      <c r="N12" s="2879"/>
      <c r="O12" s="2877"/>
      <c r="P12" s="2880"/>
      <c r="Q12" s="2879"/>
      <c r="R12" s="2877"/>
      <c r="S12" s="2880"/>
      <c r="T12" s="2879"/>
      <c r="U12" s="2877"/>
      <c r="V12" s="2880"/>
      <c r="W12" s="2879"/>
      <c r="X12" s="2877"/>
      <c r="Y12" s="2880"/>
      <c r="Z12" s="2879"/>
      <c r="AA12" s="2877"/>
      <c r="AB12" s="2880"/>
      <c r="AC12" s="2879"/>
      <c r="AD12" s="2877"/>
    </row>
    <row r="13" spans="1:30" ht="15" customHeight="1" x14ac:dyDescent="0.3">
      <c r="C13" s="2875" t="s">
        <v>320</v>
      </c>
      <c r="D13" s="2878"/>
      <c r="E13" s="2879"/>
      <c r="F13" s="2877"/>
      <c r="G13" s="2880"/>
      <c r="H13" s="2879"/>
      <c r="I13" s="2877"/>
      <c r="J13" s="2880"/>
      <c r="K13" s="2879">
        <v>1</v>
      </c>
      <c r="L13" s="2877">
        <f>+J13+K13</f>
        <v>1</v>
      </c>
      <c r="M13" s="2880">
        <v>1</v>
      </c>
      <c r="N13" s="2879">
        <v>2</v>
      </c>
      <c r="O13" s="2877">
        <f>+M13+N13</f>
        <v>3</v>
      </c>
      <c r="P13" s="2880">
        <v>1</v>
      </c>
      <c r="Q13" s="2879">
        <v>3</v>
      </c>
      <c r="R13" s="2877">
        <f>+P13+Q13</f>
        <v>4</v>
      </c>
      <c r="S13" s="2880"/>
      <c r="T13" s="2879">
        <v>3</v>
      </c>
      <c r="U13" s="2877">
        <f>+S13+T13</f>
        <v>3</v>
      </c>
      <c r="V13" s="2880"/>
      <c r="W13" s="2879"/>
      <c r="X13" s="2877"/>
      <c r="Y13" s="2880"/>
      <c r="Z13" s="2879"/>
      <c r="AA13" s="2877"/>
      <c r="AB13" s="2880"/>
      <c r="AC13" s="2879">
        <v>2</v>
      </c>
      <c r="AD13" s="2877">
        <f>+AB13+AC13</f>
        <v>2</v>
      </c>
    </row>
    <row r="14" spans="1:30" ht="15" customHeight="1" x14ac:dyDescent="0.3">
      <c r="C14" s="2881" t="s">
        <v>59</v>
      </c>
      <c r="D14" s="2882">
        <f t="shared" ref="D14:O14" si="4">SUM(D5:D9)</f>
        <v>2</v>
      </c>
      <c r="E14" s="2883">
        <f t="shared" si="4"/>
        <v>11</v>
      </c>
      <c r="F14" s="2884">
        <f t="shared" si="4"/>
        <v>13</v>
      </c>
      <c r="G14" s="2882">
        <f t="shared" si="4"/>
        <v>5</v>
      </c>
      <c r="H14" s="2883">
        <f t="shared" si="4"/>
        <v>14</v>
      </c>
      <c r="I14" s="2884">
        <f t="shared" si="4"/>
        <v>19</v>
      </c>
      <c r="J14" s="2882">
        <f t="shared" si="4"/>
        <v>12</v>
      </c>
      <c r="K14" s="2883">
        <f t="shared" si="4"/>
        <v>16</v>
      </c>
      <c r="L14" s="2884">
        <f t="shared" si="4"/>
        <v>28</v>
      </c>
      <c r="M14" s="2882">
        <f t="shared" si="4"/>
        <v>6</v>
      </c>
      <c r="N14" s="2883">
        <f t="shared" si="4"/>
        <v>18</v>
      </c>
      <c r="O14" s="2884">
        <f t="shared" si="4"/>
        <v>17</v>
      </c>
      <c r="P14" s="2882">
        <f t="shared" ref="P14:X14" si="5">SUM(P5:P13)</f>
        <v>17</v>
      </c>
      <c r="Q14" s="2883">
        <f t="shared" si="5"/>
        <v>17</v>
      </c>
      <c r="R14" s="2884">
        <f t="shared" si="5"/>
        <v>34</v>
      </c>
      <c r="S14" s="2882">
        <f t="shared" si="5"/>
        <v>15</v>
      </c>
      <c r="T14" s="2883">
        <f t="shared" si="5"/>
        <v>22</v>
      </c>
      <c r="U14" s="2884">
        <f t="shared" si="5"/>
        <v>37</v>
      </c>
      <c r="V14" s="2882">
        <f t="shared" si="5"/>
        <v>0</v>
      </c>
      <c r="W14" s="2883">
        <f t="shared" si="5"/>
        <v>0</v>
      </c>
      <c r="X14" s="2884">
        <f t="shared" si="5"/>
        <v>0</v>
      </c>
      <c r="Y14" s="2882"/>
      <c r="Z14" s="2883"/>
      <c r="AA14" s="2884"/>
      <c r="AB14" s="2882">
        <f t="shared" ref="AB14:AD14" si="6">SUM(AB5:AB13)</f>
        <v>2</v>
      </c>
      <c r="AC14" s="2883">
        <f t="shared" si="6"/>
        <v>2</v>
      </c>
      <c r="AD14" s="2884">
        <f t="shared" si="6"/>
        <v>4</v>
      </c>
    </row>
    <row r="15" spans="1:30" ht="15" customHeight="1" x14ac:dyDescent="0.3">
      <c r="C15" s="2875" t="s">
        <v>330</v>
      </c>
      <c r="D15" s="2878"/>
      <c r="E15" s="2879"/>
      <c r="F15" s="2877"/>
      <c r="G15" s="2880">
        <v>1</v>
      </c>
      <c r="H15" s="2879">
        <v>1</v>
      </c>
      <c r="I15" s="2877">
        <f>+G15+H15</f>
        <v>2</v>
      </c>
      <c r="J15" s="2880">
        <v>3</v>
      </c>
      <c r="K15" s="2879">
        <v>1</v>
      </c>
      <c r="L15" s="2877">
        <f>+J15+K15</f>
        <v>4</v>
      </c>
      <c r="M15" s="2880"/>
      <c r="N15" s="2879"/>
      <c r="O15" s="2877"/>
      <c r="P15" s="2880"/>
      <c r="Q15" s="2879"/>
      <c r="R15" s="2877"/>
      <c r="S15" s="2880"/>
      <c r="T15" s="2879"/>
      <c r="U15" s="2877"/>
      <c r="V15" s="2880"/>
      <c r="W15" s="2879"/>
      <c r="X15" s="2877"/>
      <c r="Y15" s="2880"/>
      <c r="Z15" s="2879"/>
      <c r="AA15" s="2877"/>
      <c r="AB15" s="2880"/>
      <c r="AC15" s="2879"/>
      <c r="AD15" s="2877"/>
    </row>
    <row r="16" spans="1:30" ht="15" customHeight="1" x14ac:dyDescent="0.3">
      <c r="C16" s="2875" t="s">
        <v>329</v>
      </c>
      <c r="D16" s="2878"/>
      <c r="E16" s="2879"/>
      <c r="F16" s="2877"/>
      <c r="G16" s="2880">
        <v>7</v>
      </c>
      <c r="H16" s="2879"/>
      <c r="I16" s="2877">
        <f>+G16+H16</f>
        <v>7</v>
      </c>
      <c r="J16" s="2880"/>
      <c r="K16" s="2879"/>
      <c r="L16" s="2877"/>
      <c r="M16" s="2880">
        <v>1</v>
      </c>
      <c r="N16" s="2879">
        <v>1</v>
      </c>
      <c r="O16" s="2877">
        <f>+M16+N16</f>
        <v>2</v>
      </c>
      <c r="P16" s="2880"/>
      <c r="Q16" s="2879"/>
      <c r="R16" s="2877"/>
      <c r="S16" s="2880"/>
      <c r="T16" s="2879"/>
      <c r="U16" s="2877"/>
      <c r="V16" s="2880"/>
      <c r="W16" s="2879"/>
      <c r="X16" s="2877"/>
      <c r="Y16" s="2880"/>
      <c r="Z16" s="2879"/>
      <c r="AA16" s="2877"/>
      <c r="AB16" s="2880"/>
      <c r="AC16" s="2879"/>
      <c r="AD16" s="2877"/>
    </row>
    <row r="17" spans="3:30" ht="15" customHeight="1" x14ac:dyDescent="0.3">
      <c r="C17" s="2885" t="s">
        <v>526</v>
      </c>
      <c r="D17" s="2878"/>
      <c r="E17" s="2879"/>
      <c r="F17" s="2877"/>
      <c r="G17" s="2880"/>
      <c r="H17" s="2879"/>
      <c r="I17" s="2877"/>
      <c r="J17" s="2880"/>
      <c r="K17" s="2879"/>
      <c r="L17" s="2877"/>
      <c r="M17" s="2880"/>
      <c r="N17" s="2879"/>
      <c r="O17" s="2877"/>
      <c r="P17" s="2880">
        <v>1</v>
      </c>
      <c r="Q17" s="2879"/>
      <c r="R17" s="2877">
        <f>+P17+Q17</f>
        <v>1</v>
      </c>
      <c r="S17" s="2880"/>
      <c r="T17" s="2879"/>
      <c r="U17" s="2877"/>
      <c r="V17" s="2880"/>
      <c r="W17" s="2879"/>
      <c r="X17" s="2877"/>
      <c r="Y17" s="2880"/>
      <c r="Z17" s="2879"/>
      <c r="AA17" s="2877"/>
      <c r="AB17" s="2880"/>
      <c r="AC17" s="2879"/>
      <c r="AD17" s="2888"/>
    </row>
    <row r="18" spans="3:30" ht="15" customHeight="1" x14ac:dyDescent="0.3">
      <c r="C18" s="2875" t="s">
        <v>483</v>
      </c>
      <c r="D18" s="2878"/>
      <c r="E18" s="2879"/>
      <c r="F18" s="2877"/>
      <c r="G18" s="2880"/>
      <c r="H18" s="2879"/>
      <c r="I18" s="2877"/>
      <c r="J18" s="2880"/>
      <c r="K18" s="2879"/>
      <c r="L18" s="2877"/>
      <c r="M18" s="2880"/>
      <c r="N18" s="2879"/>
      <c r="O18" s="2877"/>
      <c r="P18" s="2880">
        <v>1</v>
      </c>
      <c r="Q18" s="2879"/>
      <c r="R18" s="2877">
        <f>+P18+Q18</f>
        <v>1</v>
      </c>
      <c r="S18" s="2880"/>
      <c r="T18" s="2879"/>
      <c r="U18" s="2877"/>
      <c r="V18" s="2880"/>
      <c r="W18" s="2879"/>
      <c r="X18" s="2877"/>
      <c r="Y18" s="2880"/>
      <c r="Z18" s="2879"/>
      <c r="AA18" s="2877"/>
      <c r="AB18" s="2880"/>
      <c r="AC18" s="2879">
        <v>1</v>
      </c>
      <c r="AD18" s="2888">
        <f t="shared" ref="AD18:AD21" si="7">+AB18+AC18</f>
        <v>1</v>
      </c>
    </row>
    <row r="19" spans="3:30" ht="15" customHeight="1" x14ac:dyDescent="0.3">
      <c r="C19" s="2875" t="s">
        <v>333</v>
      </c>
      <c r="D19" s="2886"/>
      <c r="E19" s="2887"/>
      <c r="F19" s="2888"/>
      <c r="G19" s="2889"/>
      <c r="H19" s="2887"/>
      <c r="I19" s="2888"/>
      <c r="J19" s="2889"/>
      <c r="K19" s="2887"/>
      <c r="L19" s="2888"/>
      <c r="M19" s="2889"/>
      <c r="N19" s="2887"/>
      <c r="O19" s="2888"/>
      <c r="P19" s="2889">
        <v>1</v>
      </c>
      <c r="Q19" s="2887">
        <v>3</v>
      </c>
      <c r="R19" s="2888">
        <f>+P19+Q19</f>
        <v>4</v>
      </c>
      <c r="S19" s="2889"/>
      <c r="T19" s="2887"/>
      <c r="U19" s="2888"/>
      <c r="V19" s="2889"/>
      <c r="W19" s="2887"/>
      <c r="X19" s="2888"/>
      <c r="Y19" s="2889"/>
      <c r="Z19" s="2887"/>
      <c r="AA19" s="2888"/>
      <c r="AB19" s="2889"/>
      <c r="AC19" s="2887"/>
      <c r="AD19" s="2888"/>
    </row>
    <row r="20" spans="3:30" ht="15" customHeight="1" x14ac:dyDescent="0.3">
      <c r="C20" s="2885" t="s">
        <v>1391</v>
      </c>
      <c r="D20" s="2886"/>
      <c r="E20" s="2887"/>
      <c r="F20" s="2888"/>
      <c r="G20" s="2889"/>
      <c r="H20" s="2887"/>
      <c r="I20" s="2888"/>
      <c r="J20" s="2889"/>
      <c r="K20" s="2887"/>
      <c r="L20" s="2888"/>
      <c r="M20" s="2889"/>
      <c r="N20" s="2887"/>
      <c r="O20" s="2888"/>
      <c r="P20" s="2889"/>
      <c r="Q20" s="2887"/>
      <c r="R20" s="2888"/>
      <c r="S20" s="2889"/>
      <c r="T20" s="2887"/>
      <c r="U20" s="2888"/>
      <c r="V20" s="2889"/>
      <c r="W20" s="2887"/>
      <c r="X20" s="2888"/>
      <c r="Y20" s="2889"/>
      <c r="Z20" s="2887"/>
      <c r="AA20" s="2888"/>
      <c r="AB20" s="2889">
        <v>2</v>
      </c>
      <c r="AC20" s="2887"/>
      <c r="AD20" s="2888">
        <f t="shared" si="7"/>
        <v>2</v>
      </c>
    </row>
    <row r="21" spans="3:30" ht="15" customHeight="1" x14ac:dyDescent="0.3">
      <c r="C21" s="2875" t="s">
        <v>714</v>
      </c>
      <c r="D21" s="2886"/>
      <c r="E21" s="2887"/>
      <c r="F21" s="2888"/>
      <c r="G21" s="2889"/>
      <c r="H21" s="2887"/>
      <c r="I21" s="2888"/>
      <c r="J21" s="2889"/>
      <c r="K21" s="2887"/>
      <c r="L21" s="2888"/>
      <c r="M21" s="2889"/>
      <c r="N21" s="2887"/>
      <c r="O21" s="2888"/>
      <c r="P21" s="2889"/>
      <c r="Q21" s="2887"/>
      <c r="R21" s="2888"/>
      <c r="S21" s="2889"/>
      <c r="T21" s="2887"/>
      <c r="U21" s="2888"/>
      <c r="V21" s="2889"/>
      <c r="W21" s="2887"/>
      <c r="X21" s="2888"/>
      <c r="Y21" s="2889"/>
      <c r="Z21" s="2887"/>
      <c r="AA21" s="2888"/>
      <c r="AB21" s="2889"/>
      <c r="AC21" s="2887">
        <v>1</v>
      </c>
      <c r="AD21" s="2888">
        <f t="shared" si="7"/>
        <v>1</v>
      </c>
    </row>
    <row r="22" spans="3:30" ht="15" customHeight="1" x14ac:dyDescent="0.3">
      <c r="C22" s="2885" t="s">
        <v>336</v>
      </c>
      <c r="D22" s="2886"/>
      <c r="E22" s="2887"/>
      <c r="F22" s="2888"/>
      <c r="G22" s="2889"/>
      <c r="H22" s="2887"/>
      <c r="I22" s="2888"/>
      <c r="J22" s="2889"/>
      <c r="K22" s="2887"/>
      <c r="L22" s="2888"/>
      <c r="M22" s="2889">
        <v>1</v>
      </c>
      <c r="N22" s="2887"/>
      <c r="O22" s="2888">
        <f>+M22+N22</f>
        <v>1</v>
      </c>
      <c r="P22" s="2889"/>
      <c r="Q22" s="2887">
        <v>1</v>
      </c>
      <c r="R22" s="2888">
        <f>+P22+Q22</f>
        <v>1</v>
      </c>
      <c r="S22" s="2889">
        <v>1</v>
      </c>
      <c r="T22" s="2887"/>
      <c r="U22" s="2888">
        <f>+S22+T22</f>
        <v>1</v>
      </c>
      <c r="V22" s="2889"/>
      <c r="W22" s="2887"/>
      <c r="X22" s="2888"/>
      <c r="Y22" s="2889"/>
      <c r="Z22" s="2887"/>
      <c r="AA22" s="2888"/>
      <c r="AB22" s="2889">
        <v>1</v>
      </c>
      <c r="AC22" s="2887">
        <v>1</v>
      </c>
      <c r="AD22" s="2888">
        <f>+AB22+AC22</f>
        <v>2</v>
      </c>
    </row>
    <row r="23" spans="3:30" ht="15" customHeight="1" x14ac:dyDescent="0.3">
      <c r="C23" s="2885" t="s">
        <v>498</v>
      </c>
      <c r="D23" s="2886"/>
      <c r="E23" s="2887">
        <v>1</v>
      </c>
      <c r="F23" s="2888">
        <f>+D23+E23</f>
        <v>1</v>
      </c>
      <c r="G23" s="2889"/>
      <c r="H23" s="2887"/>
      <c r="I23" s="2888"/>
      <c r="J23" s="2889"/>
      <c r="K23" s="2887"/>
      <c r="L23" s="2888"/>
      <c r="M23" s="2889"/>
      <c r="N23" s="2887">
        <v>1</v>
      </c>
      <c r="O23" s="2888">
        <f>+M23+N23</f>
        <v>1</v>
      </c>
      <c r="P23" s="2889"/>
      <c r="Q23" s="2887"/>
      <c r="R23" s="2888"/>
      <c r="S23" s="2889"/>
      <c r="T23" s="2887"/>
      <c r="U23" s="2888"/>
      <c r="V23" s="2889"/>
      <c r="W23" s="2887"/>
      <c r="X23" s="2888"/>
      <c r="Y23" s="2889"/>
      <c r="Z23" s="2887"/>
      <c r="AA23" s="2888"/>
      <c r="AB23" s="2889"/>
      <c r="AC23" s="2887"/>
      <c r="AD23" s="2888"/>
    </row>
    <row r="24" spans="3:30" ht="15" customHeight="1" x14ac:dyDescent="0.3">
      <c r="C24" s="2881" t="s">
        <v>64</v>
      </c>
      <c r="D24" s="2882">
        <f t="shared" ref="D24:L24" si="8">SUM(D15:D16)</f>
        <v>0</v>
      </c>
      <c r="E24" s="2883">
        <f t="shared" si="8"/>
        <v>0</v>
      </c>
      <c r="F24" s="2884">
        <f t="shared" si="8"/>
        <v>0</v>
      </c>
      <c r="G24" s="2882">
        <f t="shared" si="8"/>
        <v>8</v>
      </c>
      <c r="H24" s="2883">
        <f t="shared" si="8"/>
        <v>1</v>
      </c>
      <c r="I24" s="2884">
        <f t="shared" si="8"/>
        <v>9</v>
      </c>
      <c r="J24" s="2882">
        <f t="shared" si="8"/>
        <v>3</v>
      </c>
      <c r="K24" s="2883">
        <f t="shared" si="8"/>
        <v>1</v>
      </c>
      <c r="L24" s="2884">
        <f t="shared" si="8"/>
        <v>4</v>
      </c>
      <c r="M24" s="2882">
        <f t="shared" ref="M24:X24" si="9">SUM(M15:M22)</f>
        <v>2</v>
      </c>
      <c r="N24" s="2883">
        <f t="shared" si="9"/>
        <v>1</v>
      </c>
      <c r="O24" s="2884">
        <f t="shared" si="9"/>
        <v>3</v>
      </c>
      <c r="P24" s="2882">
        <f t="shared" si="9"/>
        <v>3</v>
      </c>
      <c r="Q24" s="2883">
        <f t="shared" si="9"/>
        <v>4</v>
      </c>
      <c r="R24" s="2884">
        <f t="shared" si="9"/>
        <v>7</v>
      </c>
      <c r="S24" s="2882">
        <f t="shared" si="9"/>
        <v>1</v>
      </c>
      <c r="T24" s="2883">
        <f t="shared" si="9"/>
        <v>0</v>
      </c>
      <c r="U24" s="2884">
        <f t="shared" si="9"/>
        <v>1</v>
      </c>
      <c r="V24" s="2882">
        <f t="shared" si="9"/>
        <v>0</v>
      </c>
      <c r="W24" s="2883">
        <f t="shared" si="9"/>
        <v>0</v>
      </c>
      <c r="X24" s="2884">
        <f t="shared" si="9"/>
        <v>0</v>
      </c>
      <c r="Y24" s="2882"/>
      <c r="Z24" s="2883"/>
      <c r="AA24" s="2884"/>
      <c r="AB24" s="2882">
        <f t="shared" ref="AB24:AD24" si="10">SUM(AB15:AB22)</f>
        <v>3</v>
      </c>
      <c r="AC24" s="2883">
        <f t="shared" si="10"/>
        <v>3</v>
      </c>
      <c r="AD24" s="2884">
        <f t="shared" si="10"/>
        <v>6</v>
      </c>
    </row>
    <row r="25" spans="3:30" ht="15" customHeight="1" x14ac:dyDescent="0.3">
      <c r="C25" s="2885" t="s">
        <v>340</v>
      </c>
      <c r="D25" s="2886">
        <v>1</v>
      </c>
      <c r="E25" s="2887">
        <v>1</v>
      </c>
      <c r="F25" s="2888">
        <f>+D25+E25</f>
        <v>2</v>
      </c>
      <c r="G25" s="2889"/>
      <c r="H25" s="2887"/>
      <c r="I25" s="2888"/>
      <c r="J25" s="2889"/>
      <c r="K25" s="2887"/>
      <c r="L25" s="2888"/>
      <c r="M25" s="2889"/>
      <c r="N25" s="2887"/>
      <c r="O25" s="2888"/>
      <c r="P25" s="2889"/>
      <c r="Q25" s="2887"/>
      <c r="R25" s="2888"/>
      <c r="S25" s="2889"/>
      <c r="T25" s="2887"/>
      <c r="U25" s="2888"/>
      <c r="V25" s="2889"/>
      <c r="W25" s="2887"/>
      <c r="X25" s="2888"/>
      <c r="Y25" s="2889"/>
      <c r="Z25" s="2887"/>
      <c r="AA25" s="2888"/>
      <c r="AB25" s="2889"/>
      <c r="AC25" s="2887"/>
      <c r="AD25" s="2888"/>
    </row>
    <row r="26" spans="3:30" ht="15" customHeight="1" x14ac:dyDescent="0.3">
      <c r="C26" s="2885" t="s">
        <v>653</v>
      </c>
      <c r="D26" s="2886"/>
      <c r="E26" s="2887"/>
      <c r="F26" s="2888"/>
      <c r="G26" s="2889"/>
      <c r="H26" s="2887"/>
      <c r="I26" s="2888"/>
      <c r="J26" s="2889">
        <v>3</v>
      </c>
      <c r="K26" s="2887">
        <v>1</v>
      </c>
      <c r="L26" s="2888">
        <f>SUM(J26:K26)</f>
        <v>4</v>
      </c>
      <c r="M26" s="2889">
        <v>4</v>
      </c>
      <c r="N26" s="2887"/>
      <c r="O26" s="2888">
        <f>SUM(M26:N26)</f>
        <v>4</v>
      </c>
      <c r="P26" s="2889"/>
      <c r="Q26" s="2887"/>
      <c r="R26" s="2888"/>
      <c r="S26" s="2889"/>
      <c r="T26" s="2887"/>
      <c r="U26" s="2888"/>
      <c r="V26" s="2889"/>
      <c r="W26" s="2887"/>
      <c r="X26" s="2888"/>
      <c r="Y26" s="2889"/>
      <c r="Z26" s="2887"/>
      <c r="AA26" s="2888"/>
      <c r="AB26" s="2889"/>
      <c r="AC26" s="2887"/>
      <c r="AD26" s="2888"/>
    </row>
    <row r="27" spans="3:30" ht="15" customHeight="1" x14ac:dyDescent="0.3">
      <c r="C27" s="2885" t="s">
        <v>656</v>
      </c>
      <c r="D27" s="2886"/>
      <c r="E27" s="2887"/>
      <c r="F27" s="2888"/>
      <c r="G27" s="2889"/>
      <c r="H27" s="2887"/>
      <c r="I27" s="2888"/>
      <c r="J27" s="2889"/>
      <c r="K27" s="2887"/>
      <c r="L27" s="2888"/>
      <c r="M27" s="2889"/>
      <c r="N27" s="2887"/>
      <c r="O27" s="2888"/>
      <c r="P27" s="2889">
        <v>1</v>
      </c>
      <c r="Q27" s="2887"/>
      <c r="R27" s="2888">
        <f>SUM(P27:Q27)</f>
        <v>1</v>
      </c>
      <c r="S27" s="2889"/>
      <c r="T27" s="2887"/>
      <c r="U27" s="2888"/>
      <c r="V27" s="2889"/>
      <c r="W27" s="2887"/>
      <c r="X27" s="2888"/>
      <c r="Y27" s="2889"/>
      <c r="Z27" s="2887"/>
      <c r="AA27" s="2888"/>
      <c r="AB27" s="2889"/>
      <c r="AC27" s="2887"/>
      <c r="AD27" s="2888"/>
    </row>
    <row r="28" spans="3:30" ht="15" customHeight="1" x14ac:dyDescent="0.3">
      <c r="C28" s="2885" t="s">
        <v>701</v>
      </c>
      <c r="D28" s="2886"/>
      <c r="E28" s="2887"/>
      <c r="F28" s="2888"/>
      <c r="G28" s="2889"/>
      <c r="H28" s="2887"/>
      <c r="I28" s="2888"/>
      <c r="J28" s="2889"/>
      <c r="K28" s="2887"/>
      <c r="L28" s="2888"/>
      <c r="M28" s="2889"/>
      <c r="N28" s="2887">
        <v>1</v>
      </c>
      <c r="O28" s="2888">
        <f>SUM(M28:N28)</f>
        <v>1</v>
      </c>
      <c r="P28" s="2889"/>
      <c r="Q28" s="2887"/>
      <c r="R28" s="2888"/>
      <c r="S28" s="2889"/>
      <c r="T28" s="2887">
        <v>1</v>
      </c>
      <c r="U28" s="2888">
        <f>SUM(S28:T28)</f>
        <v>1</v>
      </c>
      <c r="V28" s="2889"/>
      <c r="W28" s="2887"/>
      <c r="X28" s="2888"/>
      <c r="Y28" s="2889"/>
      <c r="Z28" s="2887"/>
      <c r="AA28" s="2888"/>
      <c r="AB28" s="2889"/>
      <c r="AC28" s="2887"/>
      <c r="AD28" s="2888"/>
    </row>
    <row r="29" spans="3:30" ht="15" customHeight="1" x14ac:dyDescent="0.3">
      <c r="C29" s="2885" t="s">
        <v>702</v>
      </c>
      <c r="D29" s="2886"/>
      <c r="E29" s="2887"/>
      <c r="F29" s="2888"/>
      <c r="G29" s="2889"/>
      <c r="H29" s="2887"/>
      <c r="I29" s="2888"/>
      <c r="J29" s="2889">
        <v>1</v>
      </c>
      <c r="K29" s="2887"/>
      <c r="L29" s="2888">
        <f>SUM(J29:K29)</f>
        <v>1</v>
      </c>
      <c r="M29" s="2889"/>
      <c r="N29" s="2887"/>
      <c r="O29" s="2888"/>
      <c r="P29" s="2889"/>
      <c r="Q29" s="2887"/>
      <c r="R29" s="2888"/>
      <c r="S29" s="2889"/>
      <c r="T29" s="2887"/>
      <c r="U29" s="2888"/>
      <c r="V29" s="2889"/>
      <c r="W29" s="2887"/>
      <c r="X29" s="2888"/>
      <c r="Y29" s="2889"/>
      <c r="Z29" s="2887"/>
      <c r="AA29" s="2888"/>
      <c r="AB29" s="2889"/>
      <c r="AC29" s="2887"/>
      <c r="AD29" s="2888"/>
    </row>
    <row r="30" spans="3:30" ht="15" customHeight="1" x14ac:dyDescent="0.3">
      <c r="C30" s="2881" t="s">
        <v>68</v>
      </c>
      <c r="D30" s="2882">
        <f t="shared" ref="D30:I30" si="11">SUM(D25)</f>
        <v>1</v>
      </c>
      <c r="E30" s="2883">
        <f t="shared" si="11"/>
        <v>1</v>
      </c>
      <c r="F30" s="2884">
        <f t="shared" si="11"/>
        <v>2</v>
      </c>
      <c r="G30" s="2882">
        <f t="shared" si="11"/>
        <v>0</v>
      </c>
      <c r="H30" s="2883">
        <f t="shared" si="11"/>
        <v>0</v>
      </c>
      <c r="I30" s="2884">
        <f t="shared" si="11"/>
        <v>0</v>
      </c>
      <c r="J30" s="2882">
        <f t="shared" ref="J30:X30" si="12">SUM(J25:J29)</f>
        <v>4</v>
      </c>
      <c r="K30" s="2883">
        <f t="shared" si="12"/>
        <v>1</v>
      </c>
      <c r="L30" s="2884">
        <f t="shared" si="12"/>
        <v>5</v>
      </c>
      <c r="M30" s="2882">
        <f t="shared" si="12"/>
        <v>4</v>
      </c>
      <c r="N30" s="2883">
        <f t="shared" si="12"/>
        <v>1</v>
      </c>
      <c r="O30" s="2884">
        <f t="shared" si="12"/>
        <v>5</v>
      </c>
      <c r="P30" s="2882">
        <f t="shared" si="12"/>
        <v>1</v>
      </c>
      <c r="Q30" s="2883">
        <f t="shared" si="12"/>
        <v>0</v>
      </c>
      <c r="R30" s="2884">
        <f t="shared" si="12"/>
        <v>1</v>
      </c>
      <c r="S30" s="2882">
        <f t="shared" si="12"/>
        <v>0</v>
      </c>
      <c r="T30" s="2883">
        <f t="shared" si="12"/>
        <v>1</v>
      </c>
      <c r="U30" s="2884">
        <f t="shared" si="12"/>
        <v>1</v>
      </c>
      <c r="V30" s="2882">
        <f t="shared" si="12"/>
        <v>0</v>
      </c>
      <c r="W30" s="2883">
        <f t="shared" si="12"/>
        <v>0</v>
      </c>
      <c r="X30" s="2884">
        <f t="shared" si="12"/>
        <v>0</v>
      </c>
      <c r="Y30" s="2882"/>
      <c r="Z30" s="2883"/>
      <c r="AA30" s="2884"/>
      <c r="AB30" s="2882">
        <f t="shared" ref="AB30:AD30" si="13">SUM(AB25:AB29)</f>
        <v>0</v>
      </c>
      <c r="AC30" s="2883">
        <f t="shared" si="13"/>
        <v>0</v>
      </c>
      <c r="AD30" s="2884">
        <f t="shared" si="13"/>
        <v>0</v>
      </c>
    </row>
    <row r="31" spans="3:30" ht="15" customHeight="1" x14ac:dyDescent="0.3">
      <c r="C31" s="2890" t="s">
        <v>347</v>
      </c>
      <c r="D31" s="2891">
        <f t="shared" ref="D31:X31" si="14">SUM(D30,D24,D14)</f>
        <v>3</v>
      </c>
      <c r="E31" s="2892">
        <f t="shared" si="14"/>
        <v>12</v>
      </c>
      <c r="F31" s="2893">
        <f t="shared" si="14"/>
        <v>15</v>
      </c>
      <c r="G31" s="2891">
        <f t="shared" si="14"/>
        <v>13</v>
      </c>
      <c r="H31" s="2892">
        <f t="shared" si="14"/>
        <v>15</v>
      </c>
      <c r="I31" s="2893">
        <f t="shared" si="14"/>
        <v>28</v>
      </c>
      <c r="J31" s="2891">
        <f t="shared" si="14"/>
        <v>19</v>
      </c>
      <c r="K31" s="2892">
        <f t="shared" si="14"/>
        <v>18</v>
      </c>
      <c r="L31" s="2893">
        <f t="shared" si="14"/>
        <v>37</v>
      </c>
      <c r="M31" s="2891">
        <f t="shared" si="14"/>
        <v>12</v>
      </c>
      <c r="N31" s="2892">
        <f t="shared" si="14"/>
        <v>20</v>
      </c>
      <c r="O31" s="2893">
        <f t="shared" si="14"/>
        <v>25</v>
      </c>
      <c r="P31" s="2891">
        <f t="shared" si="14"/>
        <v>21</v>
      </c>
      <c r="Q31" s="2892">
        <f t="shared" si="14"/>
        <v>21</v>
      </c>
      <c r="R31" s="2893">
        <f t="shared" si="14"/>
        <v>42</v>
      </c>
      <c r="S31" s="2891">
        <f t="shared" si="14"/>
        <v>16</v>
      </c>
      <c r="T31" s="2892">
        <f t="shared" si="14"/>
        <v>23</v>
      </c>
      <c r="U31" s="2893">
        <f t="shared" si="14"/>
        <v>39</v>
      </c>
      <c r="V31" s="2891">
        <f t="shared" si="14"/>
        <v>0</v>
      </c>
      <c r="W31" s="2892">
        <f t="shared" si="14"/>
        <v>0</v>
      </c>
      <c r="X31" s="2893">
        <f t="shared" si="14"/>
        <v>0</v>
      </c>
      <c r="Y31" s="2891"/>
      <c r="Z31" s="2892"/>
      <c r="AA31" s="2893"/>
      <c r="AB31" s="2891">
        <f t="shared" ref="AB31:AD31" si="15">SUM(AB30,AB24,AB14)</f>
        <v>5</v>
      </c>
      <c r="AC31" s="2892">
        <f t="shared" si="15"/>
        <v>5</v>
      </c>
      <c r="AD31" s="2893">
        <f t="shared" si="15"/>
        <v>10</v>
      </c>
    </row>
    <row r="32" spans="3:30" ht="15" customHeight="1" x14ac:dyDescent="0.3">
      <c r="C32" s="2870" t="s">
        <v>348</v>
      </c>
      <c r="D32" s="2894"/>
      <c r="E32" s="2872"/>
      <c r="F32" s="2873"/>
      <c r="G32" s="2894"/>
      <c r="H32" s="2872">
        <v>1</v>
      </c>
      <c r="I32" s="2873">
        <f>+G32+H32</f>
        <v>1</v>
      </c>
      <c r="J32" s="2894"/>
      <c r="K32" s="2872">
        <v>1</v>
      </c>
      <c r="L32" s="2873">
        <f>+J32+K32</f>
        <v>1</v>
      </c>
      <c r="M32" s="2894">
        <v>1</v>
      </c>
      <c r="N32" s="2872"/>
      <c r="O32" s="2873">
        <f>+M32+N32</f>
        <v>1</v>
      </c>
      <c r="P32" s="2894"/>
      <c r="Q32" s="2872"/>
      <c r="R32" s="2873"/>
      <c r="S32" s="2894">
        <v>1</v>
      </c>
      <c r="T32" s="2872">
        <v>1</v>
      </c>
      <c r="U32" s="2877">
        <f>+S32+T32</f>
        <v>2</v>
      </c>
      <c r="V32" s="2894"/>
      <c r="W32" s="2872"/>
      <c r="X32" s="2877"/>
      <c r="Y32" s="2894"/>
      <c r="Z32" s="2872"/>
      <c r="AA32" s="2877"/>
      <c r="AB32" s="2894">
        <v>1</v>
      </c>
      <c r="AC32" s="2872"/>
      <c r="AD32" s="2877">
        <f>+AB32+AC32</f>
        <v>1</v>
      </c>
    </row>
    <row r="33" spans="3:30" ht="15" customHeight="1" x14ac:dyDescent="0.3">
      <c r="C33" s="2875" t="s">
        <v>349</v>
      </c>
      <c r="D33" s="2878"/>
      <c r="E33" s="2879"/>
      <c r="F33" s="2877"/>
      <c r="G33" s="2878">
        <v>1</v>
      </c>
      <c r="H33" s="2879"/>
      <c r="I33" s="2877">
        <f>+G33+H33</f>
        <v>1</v>
      </c>
      <c r="J33" s="2878"/>
      <c r="K33" s="2879"/>
      <c r="L33" s="2877"/>
      <c r="M33" s="2878">
        <v>2</v>
      </c>
      <c r="N33" s="2879">
        <v>1</v>
      </c>
      <c r="O33" s="2877">
        <f>+M33+N33</f>
        <v>3</v>
      </c>
      <c r="P33" s="2878">
        <v>5</v>
      </c>
      <c r="Q33" s="2879">
        <v>4</v>
      </c>
      <c r="R33" s="2877">
        <f>+P33+Q33</f>
        <v>9</v>
      </c>
      <c r="S33" s="2878">
        <v>2</v>
      </c>
      <c r="T33" s="2879"/>
      <c r="U33" s="2877">
        <f>+S33+T33</f>
        <v>2</v>
      </c>
      <c r="V33" s="2878">
        <v>2</v>
      </c>
      <c r="W33" s="2879"/>
      <c r="X33" s="2877">
        <f>+V33+W33</f>
        <v>2</v>
      </c>
      <c r="Y33" s="2878"/>
      <c r="Z33" s="2879"/>
      <c r="AA33" s="2877"/>
      <c r="AB33" s="2878"/>
      <c r="AC33" s="2879"/>
      <c r="AD33" s="2877"/>
    </row>
    <row r="34" spans="3:30" ht="15" customHeight="1" x14ac:dyDescent="0.3">
      <c r="C34" s="2881" t="s">
        <v>64</v>
      </c>
      <c r="D34" s="2895">
        <f t="shared" ref="D34:L34" si="16">SUM(D32:D33)</f>
        <v>0</v>
      </c>
      <c r="E34" s="2896">
        <f t="shared" si="16"/>
        <v>0</v>
      </c>
      <c r="F34" s="2897">
        <f t="shared" si="16"/>
        <v>0</v>
      </c>
      <c r="G34" s="2895">
        <f t="shared" si="16"/>
        <v>1</v>
      </c>
      <c r="H34" s="2896">
        <f t="shared" si="16"/>
        <v>1</v>
      </c>
      <c r="I34" s="2897">
        <f t="shared" si="16"/>
        <v>2</v>
      </c>
      <c r="J34" s="2895">
        <f t="shared" si="16"/>
        <v>0</v>
      </c>
      <c r="K34" s="2896">
        <f t="shared" si="16"/>
        <v>1</v>
      </c>
      <c r="L34" s="2897">
        <f t="shared" si="16"/>
        <v>1</v>
      </c>
      <c r="M34" s="2895">
        <f t="shared" ref="M34:X34" si="17">SUM(M32:M33)</f>
        <v>3</v>
      </c>
      <c r="N34" s="2896">
        <f t="shared" si="17"/>
        <v>1</v>
      </c>
      <c r="O34" s="2897">
        <f t="shared" si="17"/>
        <v>4</v>
      </c>
      <c r="P34" s="2895">
        <f t="shared" si="17"/>
        <v>5</v>
      </c>
      <c r="Q34" s="2896">
        <f t="shared" si="17"/>
        <v>4</v>
      </c>
      <c r="R34" s="2897">
        <f t="shared" si="17"/>
        <v>9</v>
      </c>
      <c r="S34" s="2895">
        <f t="shared" si="17"/>
        <v>3</v>
      </c>
      <c r="T34" s="2896">
        <f t="shared" si="17"/>
        <v>1</v>
      </c>
      <c r="U34" s="2897">
        <f t="shared" si="17"/>
        <v>4</v>
      </c>
      <c r="V34" s="2895">
        <f t="shared" si="17"/>
        <v>2</v>
      </c>
      <c r="W34" s="2896">
        <f t="shared" si="17"/>
        <v>0</v>
      </c>
      <c r="X34" s="2897">
        <f t="shared" si="17"/>
        <v>2</v>
      </c>
      <c r="Y34" s="2895"/>
      <c r="Z34" s="2896"/>
      <c r="AA34" s="2897"/>
      <c r="AB34" s="2895">
        <f t="shared" ref="AB34:AD34" si="18">SUM(AB32:AB33)</f>
        <v>1</v>
      </c>
      <c r="AC34" s="2896">
        <f t="shared" si="18"/>
        <v>0</v>
      </c>
      <c r="AD34" s="2897">
        <f t="shared" si="18"/>
        <v>1</v>
      </c>
    </row>
    <row r="35" spans="3:30" ht="15" customHeight="1" x14ac:dyDescent="0.3">
      <c r="C35" s="2875" t="s">
        <v>350</v>
      </c>
      <c r="D35" s="2878">
        <v>2</v>
      </c>
      <c r="E35" s="2879">
        <v>2</v>
      </c>
      <c r="F35" s="2877">
        <f>+D35+E35</f>
        <v>4</v>
      </c>
      <c r="G35" s="2878">
        <v>4</v>
      </c>
      <c r="H35" s="2879">
        <v>4</v>
      </c>
      <c r="I35" s="2877">
        <f>+G35+H35</f>
        <v>8</v>
      </c>
      <c r="J35" s="2878">
        <v>9</v>
      </c>
      <c r="K35" s="2879">
        <v>9</v>
      </c>
      <c r="L35" s="2877">
        <f>+J35+K35</f>
        <v>18</v>
      </c>
      <c r="M35" s="2878">
        <v>6</v>
      </c>
      <c r="N35" s="2879">
        <v>5</v>
      </c>
      <c r="O35" s="2877">
        <f>+M35+N35</f>
        <v>11</v>
      </c>
      <c r="P35" s="2878">
        <v>11</v>
      </c>
      <c r="Q35" s="2879">
        <v>4</v>
      </c>
      <c r="R35" s="2877">
        <f>+P35+Q35</f>
        <v>15</v>
      </c>
      <c r="S35" s="2878"/>
      <c r="T35" s="2879"/>
      <c r="U35" s="2877"/>
      <c r="V35" s="2878"/>
      <c r="W35" s="2879"/>
      <c r="X35" s="2877"/>
      <c r="Y35" s="2878"/>
      <c r="Z35" s="2879"/>
      <c r="AA35" s="2877"/>
      <c r="AB35" s="2878">
        <v>3</v>
      </c>
      <c r="AC35" s="2879"/>
      <c r="AD35" s="2877">
        <f>SUM(AB35:AC35)</f>
        <v>3</v>
      </c>
    </row>
    <row r="36" spans="3:30" ht="15" customHeight="1" x14ac:dyDescent="0.3">
      <c r="C36" s="2881" t="s">
        <v>111</v>
      </c>
      <c r="D36" s="2895">
        <f t="shared" ref="D36:X36" si="19">SUM(D35)</f>
        <v>2</v>
      </c>
      <c r="E36" s="2896">
        <f t="shared" si="19"/>
        <v>2</v>
      </c>
      <c r="F36" s="2897">
        <f t="shared" si="19"/>
        <v>4</v>
      </c>
      <c r="G36" s="2895">
        <f t="shared" si="19"/>
        <v>4</v>
      </c>
      <c r="H36" s="2896">
        <f t="shared" si="19"/>
        <v>4</v>
      </c>
      <c r="I36" s="2897">
        <f t="shared" si="19"/>
        <v>8</v>
      </c>
      <c r="J36" s="2895">
        <f t="shared" si="19"/>
        <v>9</v>
      </c>
      <c r="K36" s="2896">
        <f t="shared" si="19"/>
        <v>9</v>
      </c>
      <c r="L36" s="2897">
        <f t="shared" si="19"/>
        <v>18</v>
      </c>
      <c r="M36" s="2895">
        <f t="shared" si="19"/>
        <v>6</v>
      </c>
      <c r="N36" s="2896">
        <f t="shared" si="19"/>
        <v>5</v>
      </c>
      <c r="O36" s="2897">
        <f t="shared" si="19"/>
        <v>11</v>
      </c>
      <c r="P36" s="2895">
        <f t="shared" si="19"/>
        <v>11</v>
      </c>
      <c r="Q36" s="2896">
        <f t="shared" si="19"/>
        <v>4</v>
      </c>
      <c r="R36" s="2897">
        <f t="shared" si="19"/>
        <v>15</v>
      </c>
      <c r="S36" s="2895">
        <f t="shared" si="19"/>
        <v>0</v>
      </c>
      <c r="T36" s="2896">
        <f t="shared" si="19"/>
        <v>0</v>
      </c>
      <c r="U36" s="2897">
        <f t="shared" si="19"/>
        <v>0</v>
      </c>
      <c r="V36" s="2895">
        <f t="shared" si="19"/>
        <v>0</v>
      </c>
      <c r="W36" s="2896">
        <f t="shared" si="19"/>
        <v>0</v>
      </c>
      <c r="X36" s="2897">
        <f t="shared" si="19"/>
        <v>0</v>
      </c>
      <c r="Y36" s="2895"/>
      <c r="Z36" s="2896"/>
      <c r="AA36" s="2897"/>
      <c r="AB36" s="2895">
        <f t="shared" ref="AB36:AD36" si="20">SUM(AB35)</f>
        <v>3</v>
      </c>
      <c r="AC36" s="2896">
        <f t="shared" si="20"/>
        <v>0</v>
      </c>
      <c r="AD36" s="2897">
        <f t="shared" si="20"/>
        <v>3</v>
      </c>
    </row>
    <row r="37" spans="3:30" ht="15" customHeight="1" x14ac:dyDescent="0.3">
      <c r="C37" s="2875" t="s">
        <v>352</v>
      </c>
      <c r="D37" s="2878"/>
      <c r="E37" s="2879"/>
      <c r="F37" s="2877"/>
      <c r="G37" s="2878">
        <v>2</v>
      </c>
      <c r="H37" s="2879">
        <v>2</v>
      </c>
      <c r="I37" s="2877">
        <f>+G37+H37</f>
        <v>4</v>
      </c>
      <c r="J37" s="2878">
        <v>4</v>
      </c>
      <c r="K37" s="2879">
        <v>3</v>
      </c>
      <c r="L37" s="2877">
        <f>+J37+K37</f>
        <v>7</v>
      </c>
      <c r="M37" s="2878">
        <v>4</v>
      </c>
      <c r="N37" s="2879">
        <v>2</v>
      </c>
      <c r="O37" s="2877">
        <f>+M37+N37</f>
        <v>6</v>
      </c>
      <c r="P37" s="2878">
        <v>1</v>
      </c>
      <c r="Q37" s="2879"/>
      <c r="R37" s="2877">
        <f>+P37+Q37</f>
        <v>1</v>
      </c>
      <c r="S37" s="2878"/>
      <c r="T37" s="2879"/>
      <c r="U37" s="2877"/>
      <c r="V37" s="2878"/>
      <c r="W37" s="2879"/>
      <c r="X37" s="2877"/>
      <c r="Y37" s="2878"/>
      <c r="Z37" s="2879"/>
      <c r="AA37" s="2877"/>
      <c r="AB37" s="2878">
        <v>1</v>
      </c>
      <c r="AC37" s="2879"/>
      <c r="AD37" s="2877">
        <f>+AB37+AC37</f>
        <v>1</v>
      </c>
    </row>
    <row r="38" spans="3:30" ht="15" customHeight="1" x14ac:dyDescent="0.3">
      <c r="C38" s="2875" t="s">
        <v>353</v>
      </c>
      <c r="D38" s="2878">
        <v>3</v>
      </c>
      <c r="E38" s="2879">
        <v>3</v>
      </c>
      <c r="F38" s="2877">
        <f>+D38+E38</f>
        <v>6</v>
      </c>
      <c r="G38" s="2878">
        <v>2</v>
      </c>
      <c r="H38" s="2879">
        <v>2</v>
      </c>
      <c r="I38" s="2877">
        <f>+G38+H38</f>
        <v>4</v>
      </c>
      <c r="J38" s="2878">
        <v>1</v>
      </c>
      <c r="K38" s="2879">
        <v>4</v>
      </c>
      <c r="L38" s="2877">
        <f>+J38+K38</f>
        <v>5</v>
      </c>
      <c r="M38" s="2878">
        <v>2</v>
      </c>
      <c r="N38" s="2879">
        <v>6</v>
      </c>
      <c r="O38" s="2877">
        <f>+M38+N38</f>
        <v>8</v>
      </c>
      <c r="P38" s="2878">
        <v>2</v>
      </c>
      <c r="Q38" s="2879">
        <v>3</v>
      </c>
      <c r="R38" s="2877">
        <f>+P38+Q38</f>
        <v>5</v>
      </c>
      <c r="S38" s="2878"/>
      <c r="T38" s="2879">
        <v>3</v>
      </c>
      <c r="U38" s="2877">
        <f>+S38+T38</f>
        <v>3</v>
      </c>
      <c r="V38" s="2878"/>
      <c r="W38" s="2879">
        <v>1</v>
      </c>
      <c r="X38" s="2877">
        <f>+V38+W38</f>
        <v>1</v>
      </c>
      <c r="Y38" s="2878"/>
      <c r="Z38" s="2879"/>
      <c r="AA38" s="2877"/>
      <c r="AB38" s="2878"/>
      <c r="AC38" s="2879">
        <v>4</v>
      </c>
      <c r="AD38" s="2877">
        <f>+AB38+AC38</f>
        <v>4</v>
      </c>
    </row>
    <row r="39" spans="3:30" ht="15" customHeight="1" x14ac:dyDescent="0.3">
      <c r="C39" s="2875" t="s">
        <v>354</v>
      </c>
      <c r="D39" s="2878"/>
      <c r="E39" s="2879"/>
      <c r="F39" s="2877"/>
      <c r="G39" s="2878"/>
      <c r="H39" s="2879"/>
      <c r="I39" s="2877"/>
      <c r="J39" s="2878"/>
      <c r="K39" s="2879"/>
      <c r="L39" s="2877"/>
      <c r="M39" s="2878"/>
      <c r="N39" s="2879"/>
      <c r="O39" s="2877"/>
      <c r="P39" s="2878"/>
      <c r="Q39" s="2879">
        <v>1</v>
      </c>
      <c r="R39" s="2877">
        <f>+P39+Q39</f>
        <v>1</v>
      </c>
      <c r="S39" s="2878"/>
      <c r="T39" s="2879">
        <v>1</v>
      </c>
      <c r="U39" s="2877">
        <f>+S39+T39</f>
        <v>1</v>
      </c>
      <c r="V39" s="2878"/>
      <c r="W39" s="2879"/>
      <c r="X39" s="2877"/>
      <c r="Y39" s="2878"/>
      <c r="Z39" s="2879"/>
      <c r="AA39" s="2877"/>
      <c r="AB39" s="2878">
        <v>1</v>
      </c>
      <c r="AC39" s="2879"/>
      <c r="AD39" s="2877">
        <f>+AB39+AC39</f>
        <v>1</v>
      </c>
    </row>
    <row r="40" spans="3:30" ht="15" customHeight="1" x14ac:dyDescent="0.3">
      <c r="C40" s="2881" t="s">
        <v>115</v>
      </c>
      <c r="D40" s="2895">
        <f t="shared" ref="D40:O40" si="21">SUM(D37:D38)</f>
        <v>3</v>
      </c>
      <c r="E40" s="2896">
        <f t="shared" si="21"/>
        <v>3</v>
      </c>
      <c r="F40" s="2897">
        <f t="shared" si="21"/>
        <v>6</v>
      </c>
      <c r="G40" s="2895">
        <f t="shared" si="21"/>
        <v>4</v>
      </c>
      <c r="H40" s="2896">
        <f t="shared" si="21"/>
        <v>4</v>
      </c>
      <c r="I40" s="2897">
        <f t="shared" si="21"/>
        <v>8</v>
      </c>
      <c r="J40" s="2895">
        <f t="shared" si="21"/>
        <v>5</v>
      </c>
      <c r="K40" s="2896">
        <f t="shared" si="21"/>
        <v>7</v>
      </c>
      <c r="L40" s="2897">
        <f t="shared" si="21"/>
        <v>12</v>
      </c>
      <c r="M40" s="2895">
        <f t="shared" si="21"/>
        <v>6</v>
      </c>
      <c r="N40" s="2896">
        <f t="shared" si="21"/>
        <v>8</v>
      </c>
      <c r="O40" s="2897">
        <f t="shared" si="21"/>
        <v>14</v>
      </c>
      <c r="P40" s="2895">
        <f t="shared" ref="P40:U40" si="22">SUM(P37:P39)</f>
        <v>3</v>
      </c>
      <c r="Q40" s="2896">
        <f t="shared" si="22"/>
        <v>4</v>
      </c>
      <c r="R40" s="2897">
        <f t="shared" si="22"/>
        <v>7</v>
      </c>
      <c r="S40" s="2895">
        <f t="shared" si="22"/>
        <v>0</v>
      </c>
      <c r="T40" s="2896">
        <f t="shared" si="22"/>
        <v>4</v>
      </c>
      <c r="U40" s="2897">
        <f t="shared" si="22"/>
        <v>4</v>
      </c>
      <c r="V40" s="2895">
        <f t="shared" ref="V40:X40" si="23">SUM(V37:V39)</f>
        <v>0</v>
      </c>
      <c r="W40" s="2896">
        <f t="shared" si="23"/>
        <v>1</v>
      </c>
      <c r="X40" s="2897">
        <f t="shared" si="23"/>
        <v>1</v>
      </c>
      <c r="Y40" s="2895"/>
      <c r="Z40" s="2896"/>
      <c r="AA40" s="2897"/>
      <c r="AB40" s="2895">
        <f t="shared" ref="AB40:AD40" si="24">SUM(AB37:AB39)</f>
        <v>2</v>
      </c>
      <c r="AC40" s="2896">
        <f t="shared" si="24"/>
        <v>4</v>
      </c>
      <c r="AD40" s="2897">
        <f t="shared" si="24"/>
        <v>6</v>
      </c>
    </row>
    <row r="41" spans="3:30" ht="15" customHeight="1" x14ac:dyDescent="0.3">
      <c r="C41" s="2898" t="s">
        <v>355</v>
      </c>
      <c r="D41" s="2899">
        <f t="shared" ref="D41:X41" si="25">SUM(D40,D36,D34)</f>
        <v>5</v>
      </c>
      <c r="E41" s="2900">
        <f t="shared" si="25"/>
        <v>5</v>
      </c>
      <c r="F41" s="2901">
        <f t="shared" si="25"/>
        <v>10</v>
      </c>
      <c r="G41" s="2899">
        <f t="shared" si="25"/>
        <v>9</v>
      </c>
      <c r="H41" s="2900">
        <f t="shared" si="25"/>
        <v>9</v>
      </c>
      <c r="I41" s="2901">
        <f t="shared" si="25"/>
        <v>18</v>
      </c>
      <c r="J41" s="2899">
        <f t="shared" si="25"/>
        <v>14</v>
      </c>
      <c r="K41" s="2900">
        <f t="shared" si="25"/>
        <v>17</v>
      </c>
      <c r="L41" s="2901">
        <f t="shared" si="25"/>
        <v>31</v>
      </c>
      <c r="M41" s="2899">
        <f t="shared" si="25"/>
        <v>15</v>
      </c>
      <c r="N41" s="2900">
        <f t="shared" si="25"/>
        <v>14</v>
      </c>
      <c r="O41" s="2901">
        <f t="shared" si="25"/>
        <v>29</v>
      </c>
      <c r="P41" s="2899">
        <f t="shared" si="25"/>
        <v>19</v>
      </c>
      <c r="Q41" s="2900">
        <f t="shared" si="25"/>
        <v>12</v>
      </c>
      <c r="R41" s="2901">
        <f t="shared" si="25"/>
        <v>31</v>
      </c>
      <c r="S41" s="2899">
        <f t="shared" si="25"/>
        <v>3</v>
      </c>
      <c r="T41" s="2900">
        <f t="shared" si="25"/>
        <v>5</v>
      </c>
      <c r="U41" s="2901">
        <f t="shared" si="25"/>
        <v>8</v>
      </c>
      <c r="V41" s="2899">
        <f t="shared" si="25"/>
        <v>2</v>
      </c>
      <c r="W41" s="2900">
        <f t="shared" si="25"/>
        <v>1</v>
      </c>
      <c r="X41" s="2901">
        <f t="shared" si="25"/>
        <v>3</v>
      </c>
      <c r="Y41" s="2899"/>
      <c r="Z41" s="2900"/>
      <c r="AA41" s="2901"/>
      <c r="AB41" s="2899">
        <f t="shared" ref="AB41:AD41" si="26">SUM(AB40,AB36,AB34)</f>
        <v>6</v>
      </c>
      <c r="AC41" s="2900">
        <f t="shared" si="26"/>
        <v>4</v>
      </c>
      <c r="AD41" s="2901">
        <f t="shared" si="26"/>
        <v>10</v>
      </c>
    </row>
    <row r="42" spans="3:30" ht="15" customHeight="1" x14ac:dyDescent="0.3">
      <c r="C42" s="2870" t="s">
        <v>692</v>
      </c>
      <c r="D42" s="2894"/>
      <c r="E42" s="2872"/>
      <c r="F42" s="2873"/>
      <c r="G42" s="2894"/>
      <c r="H42" s="2872"/>
      <c r="I42" s="2873"/>
      <c r="J42" s="2894"/>
      <c r="K42" s="2872"/>
      <c r="L42" s="2873"/>
      <c r="M42" s="2894">
        <v>1</v>
      </c>
      <c r="N42" s="2872"/>
      <c r="O42" s="2873">
        <f t="shared" ref="O42:O53" si="27">+M42+N42</f>
        <v>1</v>
      </c>
      <c r="P42" s="2894">
        <v>1</v>
      </c>
      <c r="Q42" s="2872"/>
      <c r="R42" s="2873">
        <f t="shared" ref="R42:R55" si="28">+P42+Q42</f>
        <v>1</v>
      </c>
      <c r="S42" s="2894"/>
      <c r="T42" s="2872"/>
      <c r="U42" s="2873"/>
      <c r="V42" s="2894"/>
      <c r="W42" s="2872"/>
      <c r="X42" s="2873"/>
      <c r="Y42" s="2894"/>
      <c r="Z42" s="2872"/>
      <c r="AA42" s="2873"/>
      <c r="AB42" s="2894">
        <v>1</v>
      </c>
      <c r="AC42" s="2872">
        <v>1</v>
      </c>
      <c r="AD42" s="2877">
        <f t="shared" ref="AD42" si="29">+AB42+AC42</f>
        <v>2</v>
      </c>
    </row>
    <row r="43" spans="3:30" ht="15" customHeight="1" x14ac:dyDescent="0.3">
      <c r="C43" s="2902" t="s">
        <v>663</v>
      </c>
      <c r="D43" s="2871"/>
      <c r="E43" s="2876"/>
      <c r="F43" s="2903"/>
      <c r="G43" s="2871"/>
      <c r="H43" s="2876"/>
      <c r="I43" s="2903"/>
      <c r="J43" s="2871"/>
      <c r="K43" s="2876"/>
      <c r="L43" s="2903"/>
      <c r="M43" s="2871"/>
      <c r="N43" s="2876"/>
      <c r="O43" s="2903"/>
      <c r="P43" s="2871">
        <v>1</v>
      </c>
      <c r="Q43" s="2876"/>
      <c r="R43" s="2903">
        <f t="shared" si="28"/>
        <v>1</v>
      </c>
      <c r="S43" s="2871"/>
      <c r="T43" s="2876"/>
      <c r="U43" s="2903"/>
      <c r="V43" s="2871"/>
      <c r="W43" s="2876"/>
      <c r="X43" s="2903"/>
      <c r="Y43" s="2871"/>
      <c r="Z43" s="2876"/>
      <c r="AA43" s="2903"/>
      <c r="AB43" s="2871"/>
      <c r="AC43" s="2876"/>
      <c r="AD43" s="2877"/>
    </row>
    <row r="44" spans="3:30" ht="15" customHeight="1" x14ac:dyDescent="0.3">
      <c r="C44" s="2875" t="s">
        <v>665</v>
      </c>
      <c r="D44" s="2878">
        <v>4</v>
      </c>
      <c r="E44" s="2879">
        <v>12</v>
      </c>
      <c r="F44" s="2877">
        <f t="shared" ref="F44:F77" si="30">+D44+E44</f>
        <v>16</v>
      </c>
      <c r="G44" s="2878">
        <v>8</v>
      </c>
      <c r="H44" s="2879">
        <v>8</v>
      </c>
      <c r="I44" s="2877">
        <f t="shared" ref="I44:I77" si="31">+G44+H44</f>
        <v>16</v>
      </c>
      <c r="J44" s="2878">
        <v>3</v>
      </c>
      <c r="K44" s="2879">
        <v>4</v>
      </c>
      <c r="L44" s="2877">
        <f t="shared" ref="L44:L55" si="32">+J44+K44</f>
        <v>7</v>
      </c>
      <c r="M44" s="2878">
        <v>4</v>
      </c>
      <c r="N44" s="2879">
        <v>1</v>
      </c>
      <c r="O44" s="2877">
        <f t="shared" si="27"/>
        <v>5</v>
      </c>
      <c r="P44" s="2878">
        <v>2</v>
      </c>
      <c r="Q44" s="2879">
        <v>3</v>
      </c>
      <c r="R44" s="2877">
        <f t="shared" si="28"/>
        <v>5</v>
      </c>
      <c r="S44" s="2878">
        <v>1</v>
      </c>
      <c r="T44" s="2879">
        <v>2</v>
      </c>
      <c r="U44" s="2877">
        <f>+S44+T44</f>
        <v>3</v>
      </c>
      <c r="V44" s="2878"/>
      <c r="W44" s="2879"/>
      <c r="X44" s="2877"/>
      <c r="Y44" s="2878"/>
      <c r="Z44" s="2879"/>
      <c r="AA44" s="2877"/>
      <c r="AB44" s="2878">
        <v>1</v>
      </c>
      <c r="AC44" s="2879">
        <v>4</v>
      </c>
      <c r="AD44" s="2877">
        <f>+AB44+AC44</f>
        <v>5</v>
      </c>
    </row>
    <row r="45" spans="3:30" ht="15" customHeight="1" x14ac:dyDescent="0.3">
      <c r="C45" s="2875" t="s">
        <v>664</v>
      </c>
      <c r="D45" s="2878">
        <v>4</v>
      </c>
      <c r="E45" s="2879">
        <v>9</v>
      </c>
      <c r="F45" s="2877">
        <f t="shared" si="30"/>
        <v>13</v>
      </c>
      <c r="G45" s="2878">
        <v>2</v>
      </c>
      <c r="H45" s="2879">
        <v>6</v>
      </c>
      <c r="I45" s="2877">
        <f t="shared" si="31"/>
        <v>8</v>
      </c>
      <c r="J45" s="2878">
        <v>1</v>
      </c>
      <c r="K45" s="2879">
        <v>2</v>
      </c>
      <c r="L45" s="2877">
        <f t="shared" si="32"/>
        <v>3</v>
      </c>
      <c r="M45" s="2878">
        <v>2</v>
      </c>
      <c r="N45" s="2879">
        <v>2</v>
      </c>
      <c r="O45" s="2877">
        <f t="shared" si="27"/>
        <v>4</v>
      </c>
      <c r="P45" s="2878">
        <v>1</v>
      </c>
      <c r="Q45" s="2879">
        <v>4</v>
      </c>
      <c r="R45" s="2877">
        <f t="shared" si="28"/>
        <v>5</v>
      </c>
      <c r="S45" s="2878">
        <v>2</v>
      </c>
      <c r="T45" s="2879">
        <v>2</v>
      </c>
      <c r="U45" s="2877">
        <f>+S45+T45</f>
        <v>4</v>
      </c>
      <c r="V45" s="2878">
        <v>1</v>
      </c>
      <c r="W45" s="2879">
        <v>1</v>
      </c>
      <c r="X45" s="2877">
        <f>+V45+W45</f>
        <v>2</v>
      </c>
      <c r="Y45" s="2878"/>
      <c r="Z45" s="2879"/>
      <c r="AA45" s="2877"/>
      <c r="AB45" s="2878">
        <v>4</v>
      </c>
      <c r="AC45" s="2879">
        <v>3</v>
      </c>
      <c r="AD45" s="2877">
        <f>+AB45+AC45</f>
        <v>7</v>
      </c>
    </row>
    <row r="46" spans="3:30" ht="15" customHeight="1" x14ac:dyDescent="0.3">
      <c r="C46" s="2904" t="s">
        <v>367</v>
      </c>
      <c r="D46" s="2878"/>
      <c r="E46" s="2879">
        <v>2</v>
      </c>
      <c r="F46" s="2877">
        <f t="shared" si="30"/>
        <v>2</v>
      </c>
      <c r="G46" s="2878"/>
      <c r="H46" s="2879">
        <v>1</v>
      </c>
      <c r="I46" s="2877">
        <f t="shared" si="31"/>
        <v>1</v>
      </c>
      <c r="J46" s="2878"/>
      <c r="K46" s="2879"/>
      <c r="L46" s="2877"/>
      <c r="M46" s="2878"/>
      <c r="N46" s="2879"/>
      <c r="O46" s="2877"/>
      <c r="P46" s="2878"/>
      <c r="Q46" s="2879"/>
      <c r="R46" s="2877"/>
      <c r="S46" s="2878"/>
      <c r="T46" s="2879"/>
      <c r="U46" s="2877"/>
      <c r="V46" s="2878"/>
      <c r="W46" s="2879"/>
      <c r="X46" s="2877"/>
      <c r="Y46" s="2878"/>
      <c r="Z46" s="2879"/>
      <c r="AA46" s="2877"/>
      <c r="AB46" s="2878"/>
      <c r="AC46" s="2879"/>
      <c r="AD46" s="2877"/>
    </row>
    <row r="47" spans="3:30" ht="15" customHeight="1" x14ac:dyDescent="0.3">
      <c r="C47" s="2885" t="s">
        <v>445</v>
      </c>
      <c r="D47" s="2878"/>
      <c r="E47" s="2879"/>
      <c r="F47" s="2877"/>
      <c r="G47" s="2878">
        <v>1</v>
      </c>
      <c r="H47" s="2879">
        <v>1</v>
      </c>
      <c r="I47" s="2877">
        <f t="shared" si="31"/>
        <v>2</v>
      </c>
      <c r="J47" s="2878"/>
      <c r="K47" s="2879">
        <v>2</v>
      </c>
      <c r="L47" s="2877">
        <f t="shared" si="32"/>
        <v>2</v>
      </c>
      <c r="M47" s="2878"/>
      <c r="N47" s="2879">
        <v>1</v>
      </c>
      <c r="O47" s="2877">
        <f t="shared" si="27"/>
        <v>1</v>
      </c>
      <c r="P47" s="2878">
        <v>1</v>
      </c>
      <c r="Q47" s="2879"/>
      <c r="R47" s="2877">
        <f t="shared" si="28"/>
        <v>1</v>
      </c>
      <c r="S47" s="2878">
        <v>1</v>
      </c>
      <c r="T47" s="2879">
        <v>1</v>
      </c>
      <c r="U47" s="2877">
        <f>+S47+T47</f>
        <v>2</v>
      </c>
      <c r="V47" s="2878"/>
      <c r="W47" s="2879"/>
      <c r="X47" s="2877"/>
      <c r="Y47" s="2878"/>
      <c r="Z47" s="2879"/>
      <c r="AA47" s="2877"/>
      <c r="AB47" s="2878">
        <v>1</v>
      </c>
      <c r="AC47" s="2879">
        <v>1</v>
      </c>
      <c r="AD47" s="2877">
        <f>+AB47+AC47</f>
        <v>2</v>
      </c>
    </row>
    <row r="48" spans="3:30" ht="15" customHeight="1" x14ac:dyDescent="0.3">
      <c r="C48" s="2904" t="s">
        <v>662</v>
      </c>
      <c r="D48" s="2878"/>
      <c r="E48" s="2879"/>
      <c r="F48" s="2877"/>
      <c r="G48" s="2878"/>
      <c r="H48" s="2879"/>
      <c r="I48" s="2877"/>
      <c r="J48" s="2878">
        <v>1</v>
      </c>
      <c r="K48" s="2879"/>
      <c r="L48" s="2877">
        <f t="shared" si="32"/>
        <v>1</v>
      </c>
      <c r="M48" s="2878"/>
      <c r="N48" s="2879"/>
      <c r="O48" s="2877"/>
      <c r="P48" s="2878"/>
      <c r="Q48" s="2879"/>
      <c r="R48" s="2877"/>
      <c r="S48" s="2878"/>
      <c r="T48" s="2879">
        <v>3</v>
      </c>
      <c r="U48" s="2877">
        <f>+S48+T48</f>
        <v>3</v>
      </c>
      <c r="V48" s="2878"/>
      <c r="W48" s="2879"/>
      <c r="X48" s="2877"/>
      <c r="Y48" s="2878"/>
      <c r="Z48" s="2879"/>
      <c r="AA48" s="2877"/>
      <c r="AB48" s="2878"/>
      <c r="AC48" s="2879"/>
      <c r="AD48" s="2877"/>
    </row>
    <row r="49" spans="3:30" ht="15" customHeight="1" x14ac:dyDescent="0.3">
      <c r="C49" s="2904" t="s">
        <v>500</v>
      </c>
      <c r="D49" s="2878"/>
      <c r="E49" s="2879"/>
      <c r="F49" s="2877"/>
      <c r="G49" s="2878"/>
      <c r="H49" s="2879"/>
      <c r="I49" s="2877"/>
      <c r="J49" s="2878"/>
      <c r="K49" s="2879"/>
      <c r="L49" s="2877"/>
      <c r="M49" s="2878"/>
      <c r="N49" s="2879"/>
      <c r="O49" s="2877"/>
      <c r="P49" s="2878"/>
      <c r="Q49" s="2879"/>
      <c r="R49" s="2877"/>
      <c r="S49" s="2878"/>
      <c r="T49" s="2879">
        <v>1</v>
      </c>
      <c r="U49" s="2877">
        <f>+S49+T49</f>
        <v>1</v>
      </c>
      <c r="V49" s="2878"/>
      <c r="W49" s="2879"/>
      <c r="X49" s="2877"/>
      <c r="Y49" s="2878"/>
      <c r="Z49" s="2879"/>
      <c r="AA49" s="2877"/>
      <c r="AB49" s="2878">
        <v>3</v>
      </c>
      <c r="AC49" s="2879">
        <v>1</v>
      </c>
      <c r="AD49" s="2877">
        <f>+AB49+AC49</f>
        <v>4</v>
      </c>
    </row>
    <row r="50" spans="3:30" ht="15" customHeight="1" x14ac:dyDescent="0.3">
      <c r="C50" s="2875" t="s">
        <v>502</v>
      </c>
      <c r="D50" s="2878"/>
      <c r="E50" s="2879"/>
      <c r="F50" s="2877"/>
      <c r="G50" s="2878"/>
      <c r="H50" s="2879"/>
      <c r="I50" s="2877"/>
      <c r="J50" s="2878"/>
      <c r="K50" s="2879"/>
      <c r="L50" s="2877"/>
      <c r="M50" s="2878"/>
      <c r="N50" s="2879"/>
      <c r="O50" s="2877"/>
      <c r="P50" s="2878"/>
      <c r="Q50" s="2879">
        <v>1</v>
      </c>
      <c r="R50" s="2877">
        <f t="shared" si="28"/>
        <v>1</v>
      </c>
      <c r="S50" s="2878">
        <v>2</v>
      </c>
      <c r="T50" s="2879">
        <v>2</v>
      </c>
      <c r="U50" s="2877">
        <f t="shared" ref="U50:U55" si="33">+S50+T50</f>
        <v>4</v>
      </c>
      <c r="V50" s="2878"/>
      <c r="W50" s="2879"/>
      <c r="X50" s="2877"/>
      <c r="Y50" s="2878"/>
      <c r="Z50" s="2879"/>
      <c r="AA50" s="2877"/>
      <c r="AB50" s="2878"/>
      <c r="AC50" s="2879"/>
      <c r="AD50" s="2877"/>
    </row>
    <row r="51" spans="3:30" ht="15" customHeight="1" x14ac:dyDescent="0.3">
      <c r="C51" s="2875" t="s">
        <v>501</v>
      </c>
      <c r="D51" s="2878">
        <v>2</v>
      </c>
      <c r="E51" s="2879">
        <v>2</v>
      </c>
      <c r="F51" s="2877">
        <f t="shared" si="30"/>
        <v>4</v>
      </c>
      <c r="G51" s="2878">
        <v>2</v>
      </c>
      <c r="H51" s="2879">
        <v>1</v>
      </c>
      <c r="I51" s="2877">
        <f t="shared" si="31"/>
        <v>3</v>
      </c>
      <c r="J51" s="2878"/>
      <c r="K51" s="2879"/>
      <c r="L51" s="2877"/>
      <c r="M51" s="2878">
        <v>1</v>
      </c>
      <c r="N51" s="2879">
        <v>3</v>
      </c>
      <c r="O51" s="2877">
        <f t="shared" si="27"/>
        <v>4</v>
      </c>
      <c r="P51" s="2878"/>
      <c r="Q51" s="2879">
        <v>4</v>
      </c>
      <c r="R51" s="2877">
        <f t="shared" si="28"/>
        <v>4</v>
      </c>
      <c r="S51" s="2878">
        <v>1</v>
      </c>
      <c r="T51" s="2879"/>
      <c r="U51" s="2877">
        <f t="shared" si="33"/>
        <v>1</v>
      </c>
      <c r="V51" s="2878"/>
      <c r="W51" s="2879"/>
      <c r="X51" s="2877"/>
      <c r="Y51" s="2878"/>
      <c r="Z51" s="2879"/>
      <c r="AA51" s="2877"/>
      <c r="AB51" s="2878"/>
      <c r="AC51" s="2879"/>
      <c r="AD51" s="2877"/>
    </row>
    <row r="52" spans="3:30" ht="15" customHeight="1" x14ac:dyDescent="0.3">
      <c r="C52" s="2904" t="s">
        <v>444</v>
      </c>
      <c r="D52" s="2878">
        <v>2</v>
      </c>
      <c r="E52" s="2879"/>
      <c r="F52" s="2877">
        <f t="shared" si="30"/>
        <v>2</v>
      </c>
      <c r="G52" s="2878"/>
      <c r="H52" s="2879"/>
      <c r="I52" s="2877"/>
      <c r="J52" s="2878"/>
      <c r="K52" s="2879"/>
      <c r="L52" s="2877"/>
      <c r="M52" s="2878">
        <v>8</v>
      </c>
      <c r="N52" s="2879">
        <v>2</v>
      </c>
      <c r="O52" s="2877">
        <f t="shared" si="27"/>
        <v>10</v>
      </c>
      <c r="P52" s="2878">
        <v>3</v>
      </c>
      <c r="Q52" s="2879"/>
      <c r="R52" s="2877">
        <f t="shared" si="28"/>
        <v>3</v>
      </c>
      <c r="S52" s="2878">
        <v>1</v>
      </c>
      <c r="T52" s="2879">
        <v>3</v>
      </c>
      <c r="U52" s="2877">
        <f t="shared" si="33"/>
        <v>4</v>
      </c>
      <c r="V52" s="2878"/>
      <c r="W52" s="2879">
        <v>1</v>
      </c>
      <c r="X52" s="2877">
        <f>+V52+W52</f>
        <v>1</v>
      </c>
      <c r="Y52" s="2878"/>
      <c r="Z52" s="2879"/>
      <c r="AA52" s="2877"/>
      <c r="AB52" s="2878">
        <v>1</v>
      </c>
      <c r="AC52" s="2879">
        <v>1</v>
      </c>
      <c r="AD52" s="2877">
        <f t="shared" ref="AD52:AD53" si="34">+AB52+AC52</f>
        <v>2</v>
      </c>
    </row>
    <row r="53" spans="3:30" ht="15" customHeight="1" x14ac:dyDescent="0.3">
      <c r="C53" s="2875" t="s">
        <v>503</v>
      </c>
      <c r="D53" s="2878"/>
      <c r="E53" s="2879">
        <v>1</v>
      </c>
      <c r="F53" s="2877">
        <f t="shared" si="30"/>
        <v>1</v>
      </c>
      <c r="G53" s="2878"/>
      <c r="H53" s="2879">
        <v>1</v>
      </c>
      <c r="I53" s="2877">
        <f t="shared" si="31"/>
        <v>1</v>
      </c>
      <c r="J53" s="2878">
        <v>1</v>
      </c>
      <c r="K53" s="2879">
        <v>4</v>
      </c>
      <c r="L53" s="2877">
        <f t="shared" si="32"/>
        <v>5</v>
      </c>
      <c r="M53" s="2878">
        <v>2</v>
      </c>
      <c r="N53" s="2879">
        <v>4</v>
      </c>
      <c r="O53" s="2877">
        <f t="shared" si="27"/>
        <v>6</v>
      </c>
      <c r="P53" s="2878">
        <v>3</v>
      </c>
      <c r="Q53" s="2879">
        <v>2</v>
      </c>
      <c r="R53" s="2877">
        <f t="shared" si="28"/>
        <v>5</v>
      </c>
      <c r="S53" s="2878">
        <v>1</v>
      </c>
      <c r="T53" s="2879">
        <v>2</v>
      </c>
      <c r="U53" s="2877">
        <f t="shared" si="33"/>
        <v>3</v>
      </c>
      <c r="V53" s="2878"/>
      <c r="W53" s="2879"/>
      <c r="X53" s="2877"/>
      <c r="Y53" s="2878"/>
      <c r="Z53" s="2879"/>
      <c r="AA53" s="2877"/>
      <c r="AB53" s="2878">
        <v>2</v>
      </c>
      <c r="AC53" s="2879">
        <v>1</v>
      </c>
      <c r="AD53" s="2877">
        <f t="shared" si="34"/>
        <v>3</v>
      </c>
    </row>
    <row r="54" spans="3:30" ht="15" customHeight="1" x14ac:dyDescent="0.3">
      <c r="C54" s="2875" t="s">
        <v>703</v>
      </c>
      <c r="D54" s="2878">
        <v>2</v>
      </c>
      <c r="E54" s="2879">
        <v>1</v>
      </c>
      <c r="F54" s="2877">
        <f t="shared" si="30"/>
        <v>3</v>
      </c>
      <c r="G54" s="2878">
        <v>1</v>
      </c>
      <c r="H54" s="2879"/>
      <c r="I54" s="2877">
        <f t="shared" si="31"/>
        <v>1</v>
      </c>
      <c r="J54" s="2878"/>
      <c r="K54" s="2879"/>
      <c r="L54" s="2877"/>
      <c r="M54" s="2878"/>
      <c r="N54" s="2879"/>
      <c r="O54" s="2877"/>
      <c r="P54" s="2878">
        <v>1</v>
      </c>
      <c r="Q54" s="2879">
        <v>1</v>
      </c>
      <c r="R54" s="2877">
        <f t="shared" si="28"/>
        <v>2</v>
      </c>
      <c r="S54" s="2878"/>
      <c r="T54" s="2879"/>
      <c r="U54" s="2877"/>
      <c r="V54" s="2878"/>
      <c r="W54" s="2879"/>
      <c r="X54" s="2877"/>
      <c r="Y54" s="2878"/>
      <c r="Z54" s="2879"/>
      <c r="AA54" s="2877"/>
      <c r="AB54" s="2878"/>
      <c r="AC54" s="2879"/>
      <c r="AD54" s="2877"/>
    </row>
    <row r="55" spans="3:30" ht="15" customHeight="1" x14ac:dyDescent="0.3">
      <c r="C55" s="2904" t="s">
        <v>362</v>
      </c>
      <c r="D55" s="2878"/>
      <c r="E55" s="2879">
        <v>1</v>
      </c>
      <c r="F55" s="2877">
        <f t="shared" si="30"/>
        <v>1</v>
      </c>
      <c r="G55" s="2878"/>
      <c r="H55" s="2879">
        <v>3</v>
      </c>
      <c r="I55" s="2877">
        <f t="shared" si="31"/>
        <v>3</v>
      </c>
      <c r="J55" s="2878"/>
      <c r="K55" s="2879">
        <v>2</v>
      </c>
      <c r="L55" s="2877">
        <f t="shared" si="32"/>
        <v>2</v>
      </c>
      <c r="M55" s="2878"/>
      <c r="N55" s="2879"/>
      <c r="O55" s="2877"/>
      <c r="P55" s="2878"/>
      <c r="Q55" s="2879">
        <v>2</v>
      </c>
      <c r="R55" s="2877">
        <f t="shared" si="28"/>
        <v>2</v>
      </c>
      <c r="S55" s="2878"/>
      <c r="T55" s="2879">
        <v>1</v>
      </c>
      <c r="U55" s="2877">
        <f t="shared" si="33"/>
        <v>1</v>
      </c>
      <c r="V55" s="2878"/>
      <c r="W55" s="2879"/>
      <c r="X55" s="2877"/>
      <c r="Y55" s="2878"/>
      <c r="Z55" s="2879"/>
      <c r="AA55" s="2877"/>
      <c r="AB55" s="2878"/>
      <c r="AC55" s="2879"/>
      <c r="AD55" s="2877"/>
    </row>
    <row r="56" spans="3:30" ht="15" customHeight="1" x14ac:dyDescent="0.3">
      <c r="C56" s="2881" t="s">
        <v>59</v>
      </c>
      <c r="D56" s="2895">
        <f t="shared" ref="D56:L56" si="35">SUM(D44:D55)</f>
        <v>14</v>
      </c>
      <c r="E56" s="2896">
        <f t="shared" si="35"/>
        <v>28</v>
      </c>
      <c r="F56" s="2897">
        <f t="shared" si="35"/>
        <v>42</v>
      </c>
      <c r="G56" s="2895">
        <f t="shared" si="35"/>
        <v>14</v>
      </c>
      <c r="H56" s="2896">
        <f t="shared" si="35"/>
        <v>21</v>
      </c>
      <c r="I56" s="2897">
        <f t="shared" si="35"/>
        <v>35</v>
      </c>
      <c r="J56" s="2895">
        <f t="shared" si="35"/>
        <v>6</v>
      </c>
      <c r="K56" s="2896">
        <f t="shared" si="35"/>
        <v>14</v>
      </c>
      <c r="L56" s="2897">
        <f t="shared" si="35"/>
        <v>20</v>
      </c>
      <c r="M56" s="2895">
        <f t="shared" ref="M56:U56" si="36">SUM(M42:M55)</f>
        <v>18</v>
      </c>
      <c r="N56" s="2896">
        <f t="shared" si="36"/>
        <v>13</v>
      </c>
      <c r="O56" s="2897">
        <f t="shared" si="36"/>
        <v>31</v>
      </c>
      <c r="P56" s="2895">
        <f t="shared" si="36"/>
        <v>13</v>
      </c>
      <c r="Q56" s="2896">
        <f t="shared" si="36"/>
        <v>17</v>
      </c>
      <c r="R56" s="2897">
        <f t="shared" si="36"/>
        <v>30</v>
      </c>
      <c r="S56" s="2895">
        <f t="shared" si="36"/>
        <v>9</v>
      </c>
      <c r="T56" s="2896">
        <f t="shared" si="36"/>
        <v>17</v>
      </c>
      <c r="U56" s="2897">
        <f t="shared" si="36"/>
        <v>26</v>
      </c>
      <c r="V56" s="2895">
        <f t="shared" ref="V56:X56" si="37">SUM(V42:V55)</f>
        <v>1</v>
      </c>
      <c r="W56" s="2896">
        <f t="shared" si="37"/>
        <v>2</v>
      </c>
      <c r="X56" s="2897">
        <f t="shared" si="37"/>
        <v>3</v>
      </c>
      <c r="Y56" s="2895"/>
      <c r="Z56" s="2896"/>
      <c r="AA56" s="2897"/>
      <c r="AB56" s="2895">
        <f t="shared" ref="AB56:AD56" si="38">SUM(AB42:AB55)</f>
        <v>13</v>
      </c>
      <c r="AC56" s="2896">
        <f t="shared" si="38"/>
        <v>12</v>
      </c>
      <c r="AD56" s="2897">
        <f t="shared" si="38"/>
        <v>25</v>
      </c>
    </row>
    <row r="57" spans="3:30" ht="15" customHeight="1" x14ac:dyDescent="0.3">
      <c r="C57" s="2904" t="s">
        <v>376</v>
      </c>
      <c r="D57" s="2878">
        <v>1</v>
      </c>
      <c r="E57" s="2879"/>
      <c r="F57" s="2877">
        <f t="shared" si="30"/>
        <v>1</v>
      </c>
      <c r="G57" s="2878">
        <v>3</v>
      </c>
      <c r="H57" s="2879"/>
      <c r="I57" s="2877">
        <f t="shared" si="31"/>
        <v>3</v>
      </c>
      <c r="J57" s="2878">
        <v>7</v>
      </c>
      <c r="K57" s="2879">
        <v>1</v>
      </c>
      <c r="L57" s="2877">
        <f t="shared" ref="L57:L67" si="39">+J57+K57</f>
        <v>8</v>
      </c>
      <c r="M57" s="2878"/>
      <c r="N57" s="2879">
        <v>1</v>
      </c>
      <c r="O57" s="2877">
        <f t="shared" ref="O57:O67" si="40">+M57+N57</f>
        <v>1</v>
      </c>
      <c r="P57" s="2878">
        <v>4</v>
      </c>
      <c r="Q57" s="2879">
        <v>1</v>
      </c>
      <c r="R57" s="2877">
        <f t="shared" ref="R57:R69" si="41">+P57+Q57</f>
        <v>5</v>
      </c>
      <c r="S57" s="2878">
        <v>4</v>
      </c>
      <c r="T57" s="2879">
        <v>1</v>
      </c>
      <c r="U57" s="2877">
        <f t="shared" ref="U57:U65" si="42">+S57+T57</f>
        <v>5</v>
      </c>
      <c r="V57" s="2878">
        <v>1</v>
      </c>
      <c r="W57" s="2879"/>
      <c r="X57" s="2877">
        <f t="shared" ref="X57:X67" si="43">+V57+W57</f>
        <v>1</v>
      </c>
      <c r="Y57" s="2878"/>
      <c r="Z57" s="2879"/>
      <c r="AA57" s="2877"/>
      <c r="AB57" s="2878"/>
      <c r="AC57" s="2879"/>
      <c r="AD57" s="2877"/>
    </row>
    <row r="58" spans="3:30" ht="15" customHeight="1" x14ac:dyDescent="0.3">
      <c r="C58" s="2904" t="s">
        <v>379</v>
      </c>
      <c r="D58" s="2878">
        <v>3</v>
      </c>
      <c r="E58" s="2879">
        <v>4</v>
      </c>
      <c r="F58" s="2877">
        <f t="shared" si="30"/>
        <v>7</v>
      </c>
      <c r="G58" s="2878">
        <v>2</v>
      </c>
      <c r="H58" s="2879">
        <v>4</v>
      </c>
      <c r="I58" s="2877">
        <f t="shared" si="31"/>
        <v>6</v>
      </c>
      <c r="J58" s="2878">
        <v>4</v>
      </c>
      <c r="K58" s="2879">
        <v>3</v>
      </c>
      <c r="L58" s="2877">
        <f t="shared" si="39"/>
        <v>7</v>
      </c>
      <c r="M58" s="2878">
        <v>2</v>
      </c>
      <c r="N58" s="2879">
        <v>3</v>
      </c>
      <c r="O58" s="2877">
        <f t="shared" si="40"/>
        <v>5</v>
      </c>
      <c r="P58" s="2878">
        <v>2</v>
      </c>
      <c r="Q58" s="2879">
        <v>5</v>
      </c>
      <c r="R58" s="2877">
        <f t="shared" si="41"/>
        <v>7</v>
      </c>
      <c r="S58" s="2878">
        <v>1</v>
      </c>
      <c r="T58" s="2879">
        <v>3</v>
      </c>
      <c r="U58" s="2877">
        <f t="shared" si="42"/>
        <v>4</v>
      </c>
      <c r="V58" s="2878"/>
      <c r="W58" s="2879"/>
      <c r="X58" s="2877"/>
      <c r="Y58" s="2878"/>
      <c r="Z58" s="2879"/>
      <c r="AA58" s="2877"/>
      <c r="AB58" s="2878"/>
      <c r="AC58" s="2879">
        <v>1</v>
      </c>
      <c r="AD58" s="2877">
        <f t="shared" ref="AD58:AD69" si="44">+AB58+AC58</f>
        <v>1</v>
      </c>
    </row>
    <row r="59" spans="3:30" ht="15" customHeight="1" x14ac:dyDescent="0.3">
      <c r="C59" s="2904" t="s">
        <v>378</v>
      </c>
      <c r="D59" s="2878"/>
      <c r="E59" s="2879">
        <v>3</v>
      </c>
      <c r="F59" s="2877">
        <f t="shared" si="30"/>
        <v>3</v>
      </c>
      <c r="G59" s="2878"/>
      <c r="H59" s="2879">
        <v>1</v>
      </c>
      <c r="I59" s="2877">
        <f t="shared" si="31"/>
        <v>1</v>
      </c>
      <c r="J59" s="2878"/>
      <c r="K59" s="2879"/>
      <c r="L59" s="2877"/>
      <c r="M59" s="2878"/>
      <c r="N59" s="2879">
        <v>1</v>
      </c>
      <c r="O59" s="2877">
        <f t="shared" si="40"/>
        <v>1</v>
      </c>
      <c r="P59" s="2878">
        <v>2</v>
      </c>
      <c r="Q59" s="2879"/>
      <c r="R59" s="2877">
        <f t="shared" si="41"/>
        <v>2</v>
      </c>
      <c r="S59" s="2878"/>
      <c r="T59" s="2879">
        <v>2</v>
      </c>
      <c r="U59" s="2877">
        <f t="shared" si="42"/>
        <v>2</v>
      </c>
      <c r="V59" s="2878"/>
      <c r="W59" s="2879">
        <v>1</v>
      </c>
      <c r="X59" s="2877">
        <f t="shared" si="43"/>
        <v>1</v>
      </c>
      <c r="Y59" s="2878"/>
      <c r="Z59" s="2879"/>
      <c r="AA59" s="2877"/>
      <c r="AB59" s="2878"/>
      <c r="AC59" s="2879"/>
      <c r="AD59" s="2877"/>
    </row>
    <row r="60" spans="3:30" ht="15" customHeight="1" x14ac:dyDescent="0.3">
      <c r="C60" s="2904" t="s">
        <v>335</v>
      </c>
      <c r="D60" s="2878"/>
      <c r="E60" s="2879">
        <v>1</v>
      </c>
      <c r="F60" s="2877">
        <f t="shared" si="30"/>
        <v>1</v>
      </c>
      <c r="G60" s="2878">
        <v>2</v>
      </c>
      <c r="H60" s="2879">
        <v>1</v>
      </c>
      <c r="I60" s="2877">
        <f t="shared" si="31"/>
        <v>3</v>
      </c>
      <c r="J60" s="2878">
        <v>1</v>
      </c>
      <c r="K60" s="2879">
        <v>4</v>
      </c>
      <c r="L60" s="2877">
        <f t="shared" si="39"/>
        <v>5</v>
      </c>
      <c r="M60" s="2878">
        <v>3</v>
      </c>
      <c r="N60" s="2879">
        <v>2</v>
      </c>
      <c r="O60" s="2877">
        <f t="shared" si="40"/>
        <v>5</v>
      </c>
      <c r="P60" s="2878">
        <v>1</v>
      </c>
      <c r="Q60" s="2879"/>
      <c r="R60" s="2877">
        <f t="shared" si="41"/>
        <v>1</v>
      </c>
      <c r="S60" s="2878"/>
      <c r="T60" s="2879"/>
      <c r="U60" s="2877"/>
      <c r="V60" s="2878"/>
      <c r="W60" s="2879"/>
      <c r="X60" s="2877"/>
      <c r="Y60" s="2878"/>
      <c r="Z60" s="2879"/>
      <c r="AA60" s="2877"/>
      <c r="AB60" s="2878"/>
      <c r="AC60" s="2879">
        <v>2</v>
      </c>
      <c r="AD60" s="2877">
        <f t="shared" si="44"/>
        <v>2</v>
      </c>
    </row>
    <row r="61" spans="3:30" ht="15" customHeight="1" x14ac:dyDescent="0.3">
      <c r="C61" s="2904" t="s">
        <v>1597</v>
      </c>
      <c r="D61" s="2878"/>
      <c r="E61" s="2879"/>
      <c r="F61" s="2877"/>
      <c r="G61" s="2878"/>
      <c r="H61" s="2879"/>
      <c r="I61" s="2877"/>
      <c r="J61" s="2878"/>
      <c r="K61" s="2879"/>
      <c r="L61" s="2877"/>
      <c r="M61" s="2878"/>
      <c r="N61" s="2879"/>
      <c r="O61" s="2877"/>
      <c r="P61" s="2878"/>
      <c r="Q61" s="2879"/>
      <c r="R61" s="2877"/>
      <c r="S61" s="2878"/>
      <c r="T61" s="2879"/>
      <c r="U61" s="2877"/>
      <c r="V61" s="2878"/>
      <c r="W61" s="2879"/>
      <c r="X61" s="2877"/>
      <c r="Y61" s="2878"/>
      <c r="Z61" s="2879"/>
      <c r="AA61" s="2877"/>
      <c r="AB61" s="2878">
        <v>1</v>
      </c>
      <c r="AC61" s="2879"/>
      <c r="AD61" s="2877">
        <f t="shared" si="44"/>
        <v>1</v>
      </c>
    </row>
    <row r="62" spans="3:30" ht="15" customHeight="1" x14ac:dyDescent="0.3">
      <c r="C62" s="2904" t="s">
        <v>377</v>
      </c>
      <c r="D62" s="2878"/>
      <c r="E62" s="2879"/>
      <c r="F62" s="2877"/>
      <c r="G62" s="2878"/>
      <c r="H62" s="2879"/>
      <c r="I62" s="2877"/>
      <c r="J62" s="2878"/>
      <c r="K62" s="2879"/>
      <c r="L62" s="2877"/>
      <c r="M62" s="2878"/>
      <c r="N62" s="2879"/>
      <c r="O62" s="2877"/>
      <c r="P62" s="2878">
        <v>7</v>
      </c>
      <c r="Q62" s="2879">
        <v>1</v>
      </c>
      <c r="R62" s="2877">
        <f t="shared" si="41"/>
        <v>8</v>
      </c>
      <c r="S62" s="2878">
        <v>6</v>
      </c>
      <c r="T62" s="2879">
        <v>1</v>
      </c>
      <c r="U62" s="2877">
        <f t="shared" si="42"/>
        <v>7</v>
      </c>
      <c r="V62" s="2878"/>
      <c r="W62" s="2879"/>
      <c r="X62" s="2877"/>
      <c r="Y62" s="2878"/>
      <c r="Z62" s="2879"/>
      <c r="AA62" s="2877"/>
      <c r="AB62" s="2878">
        <v>9</v>
      </c>
      <c r="AC62" s="2879">
        <v>6</v>
      </c>
      <c r="AD62" s="2877">
        <f t="shared" si="44"/>
        <v>15</v>
      </c>
    </row>
    <row r="63" spans="3:30" ht="15" customHeight="1" x14ac:dyDescent="0.3">
      <c r="C63" s="2904" t="s">
        <v>371</v>
      </c>
      <c r="D63" s="2878"/>
      <c r="E63" s="2879"/>
      <c r="F63" s="2877"/>
      <c r="G63" s="2878"/>
      <c r="H63" s="2879"/>
      <c r="I63" s="2877"/>
      <c r="J63" s="2878"/>
      <c r="K63" s="2879"/>
      <c r="L63" s="2877"/>
      <c r="M63" s="2878"/>
      <c r="N63" s="2879"/>
      <c r="O63" s="2877"/>
      <c r="P63" s="2878"/>
      <c r="Q63" s="2879"/>
      <c r="R63" s="2877"/>
      <c r="S63" s="2878"/>
      <c r="T63" s="2879"/>
      <c r="U63" s="2877"/>
      <c r="V63" s="2878"/>
      <c r="W63" s="2879"/>
      <c r="X63" s="2877"/>
      <c r="Y63" s="2878"/>
      <c r="Z63" s="2879"/>
      <c r="AA63" s="2877"/>
      <c r="AB63" s="2878">
        <v>2</v>
      </c>
      <c r="AC63" s="2879"/>
      <c r="AD63" s="2877">
        <f t="shared" si="44"/>
        <v>2</v>
      </c>
    </row>
    <row r="64" spans="3:30" ht="15" customHeight="1" x14ac:dyDescent="0.3">
      <c r="C64" s="2904" t="s">
        <v>328</v>
      </c>
      <c r="D64" s="2878"/>
      <c r="E64" s="2879"/>
      <c r="F64" s="2877"/>
      <c r="G64" s="2878">
        <v>1</v>
      </c>
      <c r="H64" s="2879">
        <v>1</v>
      </c>
      <c r="I64" s="2877">
        <f t="shared" si="31"/>
        <v>2</v>
      </c>
      <c r="J64" s="2878"/>
      <c r="K64" s="2879"/>
      <c r="L64" s="2877"/>
      <c r="M64" s="2878"/>
      <c r="N64" s="2879"/>
      <c r="O64" s="2877"/>
      <c r="P64" s="2878">
        <v>1</v>
      </c>
      <c r="Q64" s="2879"/>
      <c r="R64" s="2877">
        <f t="shared" si="41"/>
        <v>1</v>
      </c>
      <c r="S64" s="2878"/>
      <c r="T64" s="2879"/>
      <c r="U64" s="2877"/>
      <c r="V64" s="2878"/>
      <c r="W64" s="2879"/>
      <c r="X64" s="2877"/>
      <c r="Y64" s="2878"/>
      <c r="Z64" s="2879"/>
      <c r="AA64" s="2877"/>
      <c r="AB64" s="2878"/>
      <c r="AC64" s="2879"/>
      <c r="AD64" s="2877"/>
    </row>
    <row r="65" spans="3:30" ht="15" customHeight="1" x14ac:dyDescent="0.3">
      <c r="C65" s="2904" t="s">
        <v>372</v>
      </c>
      <c r="D65" s="2878"/>
      <c r="E65" s="2879"/>
      <c r="F65" s="2877"/>
      <c r="G65" s="2878"/>
      <c r="H65" s="2879">
        <v>1</v>
      </c>
      <c r="I65" s="2877">
        <f t="shared" si="31"/>
        <v>1</v>
      </c>
      <c r="J65" s="2878"/>
      <c r="K65" s="2879"/>
      <c r="L65" s="2877"/>
      <c r="M65" s="2878"/>
      <c r="N65" s="2879"/>
      <c r="O65" s="2877"/>
      <c r="P65" s="2878">
        <v>11</v>
      </c>
      <c r="Q65" s="2879">
        <v>7</v>
      </c>
      <c r="R65" s="2877">
        <f t="shared" si="41"/>
        <v>18</v>
      </c>
      <c r="S65" s="2878">
        <v>7</v>
      </c>
      <c r="T65" s="2879">
        <v>3</v>
      </c>
      <c r="U65" s="2877">
        <f t="shared" si="42"/>
        <v>10</v>
      </c>
      <c r="V65" s="2878"/>
      <c r="W65" s="2879"/>
      <c r="X65" s="2877"/>
      <c r="Y65" s="2878"/>
      <c r="Z65" s="2879"/>
      <c r="AA65" s="2877"/>
      <c r="AB65" s="2878"/>
      <c r="AC65" s="2879"/>
      <c r="AD65" s="2877"/>
    </row>
    <row r="66" spans="3:30" ht="15" customHeight="1" x14ac:dyDescent="0.3">
      <c r="C66" s="2904" t="s">
        <v>373</v>
      </c>
      <c r="D66" s="2878"/>
      <c r="E66" s="2879"/>
      <c r="F66" s="2877"/>
      <c r="G66" s="2878"/>
      <c r="H66" s="2879"/>
      <c r="I66" s="2877"/>
      <c r="J66" s="2878"/>
      <c r="K66" s="2879">
        <v>1</v>
      </c>
      <c r="L66" s="2877">
        <f t="shared" si="39"/>
        <v>1</v>
      </c>
      <c r="M66" s="2878"/>
      <c r="N66" s="2879"/>
      <c r="O66" s="2877"/>
      <c r="P66" s="2878"/>
      <c r="Q66" s="2879"/>
      <c r="R66" s="2877"/>
      <c r="S66" s="2878"/>
      <c r="T66" s="2879"/>
      <c r="U66" s="2877"/>
      <c r="V66" s="2878">
        <v>2</v>
      </c>
      <c r="W66" s="2879"/>
      <c r="X66" s="2877">
        <f t="shared" si="43"/>
        <v>2</v>
      </c>
      <c r="Y66" s="2878"/>
      <c r="Z66" s="2879"/>
      <c r="AA66" s="2877"/>
      <c r="AB66" s="2878">
        <v>1</v>
      </c>
      <c r="AC66" s="2879"/>
      <c r="AD66" s="2877">
        <f t="shared" si="44"/>
        <v>1</v>
      </c>
    </row>
    <row r="67" spans="3:30" ht="15" customHeight="1" x14ac:dyDescent="0.3">
      <c r="C67" s="2904" t="s">
        <v>374</v>
      </c>
      <c r="D67" s="2878"/>
      <c r="E67" s="2879"/>
      <c r="F67" s="2877"/>
      <c r="G67" s="2878"/>
      <c r="H67" s="2879"/>
      <c r="I67" s="2877"/>
      <c r="J67" s="2878">
        <v>1</v>
      </c>
      <c r="K67" s="2879">
        <v>1</v>
      </c>
      <c r="L67" s="2877">
        <f t="shared" si="39"/>
        <v>2</v>
      </c>
      <c r="M67" s="2878"/>
      <c r="N67" s="2879">
        <v>3</v>
      </c>
      <c r="O67" s="2877">
        <f t="shared" si="40"/>
        <v>3</v>
      </c>
      <c r="P67" s="2878">
        <v>1</v>
      </c>
      <c r="Q67" s="2879"/>
      <c r="R67" s="2877">
        <f t="shared" si="41"/>
        <v>1</v>
      </c>
      <c r="S67" s="2878"/>
      <c r="T67" s="2879">
        <v>2</v>
      </c>
      <c r="U67" s="2877">
        <f>+S67+T67</f>
        <v>2</v>
      </c>
      <c r="V67" s="2878"/>
      <c r="W67" s="2879">
        <v>3</v>
      </c>
      <c r="X67" s="2877">
        <f t="shared" si="43"/>
        <v>3</v>
      </c>
      <c r="Y67" s="2878"/>
      <c r="Z67" s="2879"/>
      <c r="AA67" s="2877"/>
      <c r="AB67" s="2878"/>
      <c r="AC67" s="2879"/>
      <c r="AD67" s="2877"/>
    </row>
    <row r="68" spans="3:30" ht="15" customHeight="1" x14ac:dyDescent="0.3">
      <c r="C68" s="2904" t="s">
        <v>375</v>
      </c>
      <c r="D68" s="2878"/>
      <c r="E68" s="2879"/>
      <c r="F68" s="2877"/>
      <c r="G68" s="2878"/>
      <c r="H68" s="2879"/>
      <c r="I68" s="2877"/>
      <c r="J68" s="2878"/>
      <c r="K68" s="2879"/>
      <c r="L68" s="2877"/>
      <c r="M68" s="2878"/>
      <c r="N68" s="2879"/>
      <c r="O68" s="2877"/>
      <c r="P68" s="2878">
        <v>1</v>
      </c>
      <c r="Q68" s="2879"/>
      <c r="R68" s="2877">
        <f t="shared" si="41"/>
        <v>1</v>
      </c>
      <c r="S68" s="2878"/>
      <c r="T68" s="2879"/>
      <c r="U68" s="2877"/>
      <c r="V68" s="2878"/>
      <c r="W68" s="2879"/>
      <c r="X68" s="2877"/>
      <c r="Y68" s="2878"/>
      <c r="Z68" s="2879"/>
      <c r="AA68" s="2877"/>
      <c r="AB68" s="2878"/>
      <c r="AC68" s="2879"/>
      <c r="AD68" s="2877"/>
    </row>
    <row r="69" spans="3:30" ht="15" customHeight="1" x14ac:dyDescent="0.3">
      <c r="C69" s="2904" t="s">
        <v>704</v>
      </c>
      <c r="D69" s="2878"/>
      <c r="E69" s="2879"/>
      <c r="F69" s="2877"/>
      <c r="G69" s="2878"/>
      <c r="H69" s="2879"/>
      <c r="I69" s="2877"/>
      <c r="J69" s="2878"/>
      <c r="K69" s="2879"/>
      <c r="L69" s="2877"/>
      <c r="M69" s="2878"/>
      <c r="N69" s="2879"/>
      <c r="O69" s="2877"/>
      <c r="P69" s="2878">
        <v>1</v>
      </c>
      <c r="Q69" s="2879"/>
      <c r="R69" s="2877">
        <f t="shared" si="41"/>
        <v>1</v>
      </c>
      <c r="S69" s="2878"/>
      <c r="T69" s="2879"/>
      <c r="U69" s="2877"/>
      <c r="V69" s="2878"/>
      <c r="W69" s="2879"/>
      <c r="X69" s="2877"/>
      <c r="Y69" s="2878"/>
      <c r="Z69" s="2879"/>
      <c r="AA69" s="2877"/>
      <c r="AB69" s="2878"/>
      <c r="AC69" s="2879">
        <v>1</v>
      </c>
      <c r="AD69" s="2877">
        <f t="shared" si="44"/>
        <v>1</v>
      </c>
    </row>
    <row r="70" spans="3:30" ht="15" customHeight="1" x14ac:dyDescent="0.3">
      <c r="C70" s="2881" t="s">
        <v>64</v>
      </c>
      <c r="D70" s="2895">
        <f t="shared" ref="D70:I70" si="45">SUM(D57:D65)</f>
        <v>4</v>
      </c>
      <c r="E70" s="2896">
        <f t="shared" si="45"/>
        <v>8</v>
      </c>
      <c r="F70" s="2897">
        <f t="shared" si="45"/>
        <v>12</v>
      </c>
      <c r="G70" s="2895">
        <f t="shared" si="45"/>
        <v>8</v>
      </c>
      <c r="H70" s="2896">
        <f t="shared" si="45"/>
        <v>8</v>
      </c>
      <c r="I70" s="2897">
        <f t="shared" si="45"/>
        <v>16</v>
      </c>
      <c r="J70" s="2895">
        <f t="shared" ref="J70:O70" si="46">SUM(J57:J67)</f>
        <v>13</v>
      </c>
      <c r="K70" s="2896">
        <f t="shared" si="46"/>
        <v>10</v>
      </c>
      <c r="L70" s="2897">
        <f t="shared" si="46"/>
        <v>23</v>
      </c>
      <c r="M70" s="2895">
        <f t="shared" si="46"/>
        <v>5</v>
      </c>
      <c r="N70" s="2896">
        <f t="shared" si="46"/>
        <v>10</v>
      </c>
      <c r="O70" s="2897">
        <f t="shared" si="46"/>
        <v>15</v>
      </c>
      <c r="P70" s="2895">
        <f t="shared" ref="P70:X70" si="47">SUM(P57:P69)</f>
        <v>31</v>
      </c>
      <c r="Q70" s="2896">
        <f t="shared" si="47"/>
        <v>14</v>
      </c>
      <c r="R70" s="2897">
        <f t="shared" si="47"/>
        <v>45</v>
      </c>
      <c r="S70" s="2895">
        <f t="shared" si="47"/>
        <v>18</v>
      </c>
      <c r="T70" s="2896">
        <f t="shared" si="47"/>
        <v>12</v>
      </c>
      <c r="U70" s="2897">
        <f t="shared" si="47"/>
        <v>30</v>
      </c>
      <c r="V70" s="2895">
        <f t="shared" si="47"/>
        <v>3</v>
      </c>
      <c r="W70" s="2896">
        <f t="shared" si="47"/>
        <v>4</v>
      </c>
      <c r="X70" s="2897">
        <f t="shared" si="47"/>
        <v>7</v>
      </c>
      <c r="Y70" s="2895"/>
      <c r="Z70" s="2896"/>
      <c r="AA70" s="2897"/>
      <c r="AB70" s="2895">
        <f t="shared" ref="AB70:AD70" si="48">SUM(AB57:AB69)</f>
        <v>13</v>
      </c>
      <c r="AC70" s="2896">
        <f t="shared" si="48"/>
        <v>10</v>
      </c>
      <c r="AD70" s="2897">
        <f t="shared" si="48"/>
        <v>23</v>
      </c>
    </row>
    <row r="71" spans="3:30" ht="15" customHeight="1" x14ac:dyDescent="0.3">
      <c r="C71" s="2904" t="s">
        <v>545</v>
      </c>
      <c r="D71" s="2878">
        <v>1</v>
      </c>
      <c r="E71" s="2879">
        <v>4</v>
      </c>
      <c r="F71" s="2877">
        <f t="shared" si="30"/>
        <v>5</v>
      </c>
      <c r="G71" s="2878">
        <v>7</v>
      </c>
      <c r="H71" s="2879">
        <v>5</v>
      </c>
      <c r="I71" s="2877">
        <f t="shared" si="31"/>
        <v>12</v>
      </c>
      <c r="J71" s="2878">
        <v>8</v>
      </c>
      <c r="K71" s="2879">
        <v>5</v>
      </c>
      <c r="L71" s="2877">
        <f t="shared" ref="L71:L77" si="49">+J71+K71</f>
        <v>13</v>
      </c>
      <c r="M71" s="2878">
        <v>7</v>
      </c>
      <c r="N71" s="2879">
        <v>7</v>
      </c>
      <c r="O71" s="2877">
        <f t="shared" ref="O71:O77" si="50">+M71+N71</f>
        <v>14</v>
      </c>
      <c r="P71" s="2878">
        <v>6</v>
      </c>
      <c r="Q71" s="2879">
        <v>12</v>
      </c>
      <c r="R71" s="2877">
        <f t="shared" ref="R71:R77" si="51">+P71+Q71</f>
        <v>18</v>
      </c>
      <c r="S71" s="2878">
        <v>6</v>
      </c>
      <c r="T71" s="2879">
        <v>7</v>
      </c>
      <c r="U71" s="2877">
        <f t="shared" ref="U71:U77" si="52">+S71+T71</f>
        <v>13</v>
      </c>
      <c r="V71" s="2878"/>
      <c r="W71" s="2879"/>
      <c r="X71" s="2877"/>
      <c r="Y71" s="2878"/>
      <c r="Z71" s="2879"/>
      <c r="AA71" s="2877"/>
      <c r="AB71" s="2878">
        <v>3</v>
      </c>
      <c r="AC71" s="2879">
        <v>1</v>
      </c>
      <c r="AD71" s="2877">
        <f t="shared" ref="AD71:AD75" si="53">+AB71+AC71</f>
        <v>4</v>
      </c>
    </row>
    <row r="72" spans="3:30" ht="15" customHeight="1" x14ac:dyDescent="0.3">
      <c r="C72" s="2904" t="s">
        <v>546</v>
      </c>
      <c r="D72" s="2878">
        <v>1</v>
      </c>
      <c r="E72" s="2879">
        <v>4</v>
      </c>
      <c r="F72" s="2877">
        <f t="shared" si="30"/>
        <v>5</v>
      </c>
      <c r="G72" s="2878">
        <v>5</v>
      </c>
      <c r="H72" s="2879">
        <v>1</v>
      </c>
      <c r="I72" s="2877">
        <f t="shared" si="31"/>
        <v>6</v>
      </c>
      <c r="J72" s="2878">
        <v>1</v>
      </c>
      <c r="K72" s="2879"/>
      <c r="L72" s="2877">
        <f t="shared" si="49"/>
        <v>1</v>
      </c>
      <c r="M72" s="2878">
        <v>1</v>
      </c>
      <c r="N72" s="2879"/>
      <c r="O72" s="2877">
        <f t="shared" si="50"/>
        <v>1</v>
      </c>
      <c r="P72" s="2878"/>
      <c r="Q72" s="2879">
        <v>1</v>
      </c>
      <c r="R72" s="2877">
        <f t="shared" si="51"/>
        <v>1</v>
      </c>
      <c r="S72" s="2878">
        <v>3</v>
      </c>
      <c r="T72" s="2879">
        <v>1</v>
      </c>
      <c r="U72" s="2877">
        <f t="shared" si="52"/>
        <v>4</v>
      </c>
      <c r="V72" s="2878"/>
      <c r="W72" s="2879"/>
      <c r="X72" s="2877"/>
      <c r="Y72" s="2878"/>
      <c r="Z72" s="2879"/>
      <c r="AA72" s="2877"/>
      <c r="AB72" s="2878"/>
      <c r="AC72" s="2879"/>
      <c r="AD72" s="2877"/>
    </row>
    <row r="73" spans="3:30" ht="15" customHeight="1" x14ac:dyDescent="0.3">
      <c r="C73" s="2904" t="s">
        <v>354</v>
      </c>
      <c r="D73" s="2878">
        <v>1</v>
      </c>
      <c r="E73" s="2879"/>
      <c r="F73" s="2877">
        <f t="shared" si="30"/>
        <v>1</v>
      </c>
      <c r="G73" s="2878"/>
      <c r="H73" s="2879"/>
      <c r="I73" s="2877"/>
      <c r="J73" s="2878"/>
      <c r="K73" s="2879"/>
      <c r="L73" s="2877"/>
      <c r="M73" s="2878">
        <v>5</v>
      </c>
      <c r="N73" s="2879">
        <v>1</v>
      </c>
      <c r="O73" s="2877">
        <f t="shared" si="50"/>
        <v>6</v>
      </c>
      <c r="P73" s="2878">
        <v>5</v>
      </c>
      <c r="Q73" s="2879">
        <v>2</v>
      </c>
      <c r="R73" s="2877">
        <f t="shared" si="51"/>
        <v>7</v>
      </c>
      <c r="S73" s="2878">
        <v>1</v>
      </c>
      <c r="T73" s="2879">
        <v>1</v>
      </c>
      <c r="U73" s="2877">
        <f t="shared" si="52"/>
        <v>2</v>
      </c>
      <c r="V73" s="2878"/>
      <c r="W73" s="2879"/>
      <c r="X73" s="2877"/>
      <c r="Y73" s="2878"/>
      <c r="Z73" s="2879"/>
      <c r="AA73" s="2877"/>
      <c r="AB73" s="2878">
        <v>4</v>
      </c>
      <c r="AC73" s="2879">
        <v>2</v>
      </c>
      <c r="AD73" s="2877">
        <f t="shared" si="53"/>
        <v>6</v>
      </c>
    </row>
    <row r="74" spans="3:30" ht="15" customHeight="1" x14ac:dyDescent="0.3">
      <c r="C74" s="2904" t="s">
        <v>385</v>
      </c>
      <c r="D74" s="2878">
        <v>1</v>
      </c>
      <c r="E74" s="2879">
        <v>3</v>
      </c>
      <c r="F74" s="2877">
        <f t="shared" si="30"/>
        <v>4</v>
      </c>
      <c r="G74" s="2878"/>
      <c r="H74" s="2879"/>
      <c r="I74" s="2877"/>
      <c r="J74" s="2878">
        <v>3</v>
      </c>
      <c r="K74" s="2879"/>
      <c r="L74" s="2877">
        <f t="shared" si="49"/>
        <v>3</v>
      </c>
      <c r="M74" s="2878">
        <v>3</v>
      </c>
      <c r="N74" s="2879">
        <v>2</v>
      </c>
      <c r="O74" s="2877">
        <f t="shared" si="50"/>
        <v>5</v>
      </c>
      <c r="P74" s="2878"/>
      <c r="Q74" s="2879">
        <v>2</v>
      </c>
      <c r="R74" s="2877">
        <f t="shared" si="51"/>
        <v>2</v>
      </c>
      <c r="S74" s="2878"/>
      <c r="T74" s="2879">
        <v>1</v>
      </c>
      <c r="U74" s="2877">
        <f t="shared" si="52"/>
        <v>1</v>
      </c>
      <c r="V74" s="2878"/>
      <c r="W74" s="2879"/>
      <c r="X74" s="2877"/>
      <c r="Y74" s="2878"/>
      <c r="Z74" s="2879"/>
      <c r="AA74" s="2877"/>
      <c r="AB74" s="2878">
        <v>1</v>
      </c>
      <c r="AC74" s="2879">
        <v>2</v>
      </c>
      <c r="AD74" s="2877">
        <f t="shared" si="53"/>
        <v>3</v>
      </c>
    </row>
    <row r="75" spans="3:30" ht="15" customHeight="1" x14ac:dyDescent="0.3">
      <c r="C75" s="2904" t="s">
        <v>386</v>
      </c>
      <c r="D75" s="2878"/>
      <c r="E75" s="2879">
        <v>1</v>
      </c>
      <c r="F75" s="2877">
        <f t="shared" si="30"/>
        <v>1</v>
      </c>
      <c r="G75" s="2878">
        <v>1</v>
      </c>
      <c r="H75" s="2879">
        <v>1</v>
      </c>
      <c r="I75" s="2877">
        <f t="shared" si="31"/>
        <v>2</v>
      </c>
      <c r="J75" s="2878"/>
      <c r="K75" s="2879"/>
      <c r="L75" s="2877"/>
      <c r="M75" s="2878">
        <v>1</v>
      </c>
      <c r="N75" s="2879">
        <v>4</v>
      </c>
      <c r="O75" s="2877">
        <f t="shared" si="50"/>
        <v>5</v>
      </c>
      <c r="P75" s="2878">
        <v>3</v>
      </c>
      <c r="Q75" s="2879">
        <v>2</v>
      </c>
      <c r="R75" s="2877">
        <f t="shared" si="51"/>
        <v>5</v>
      </c>
      <c r="S75" s="2878"/>
      <c r="T75" s="2879"/>
      <c r="U75" s="2877"/>
      <c r="V75" s="2878"/>
      <c r="W75" s="2879"/>
      <c r="X75" s="2877"/>
      <c r="Y75" s="2878"/>
      <c r="Z75" s="2879"/>
      <c r="AA75" s="2877"/>
      <c r="AB75" s="2878">
        <v>3</v>
      </c>
      <c r="AC75" s="2879">
        <v>1</v>
      </c>
      <c r="AD75" s="2877">
        <f t="shared" si="53"/>
        <v>4</v>
      </c>
    </row>
    <row r="76" spans="3:30" ht="15" customHeight="1" x14ac:dyDescent="0.3">
      <c r="C76" s="2885" t="s">
        <v>507</v>
      </c>
      <c r="D76" s="2886"/>
      <c r="E76" s="2887"/>
      <c r="F76" s="2888"/>
      <c r="G76" s="2886">
        <v>1</v>
      </c>
      <c r="H76" s="2887"/>
      <c r="I76" s="2888">
        <f t="shared" si="31"/>
        <v>1</v>
      </c>
      <c r="J76" s="2886">
        <v>3</v>
      </c>
      <c r="K76" s="2887">
        <v>2</v>
      </c>
      <c r="L76" s="2888">
        <f t="shared" si="49"/>
        <v>5</v>
      </c>
      <c r="M76" s="2886"/>
      <c r="N76" s="2887"/>
      <c r="O76" s="2888"/>
      <c r="P76" s="2886">
        <v>1</v>
      </c>
      <c r="Q76" s="2887"/>
      <c r="R76" s="2888">
        <f t="shared" si="51"/>
        <v>1</v>
      </c>
      <c r="S76" s="2886">
        <v>2</v>
      </c>
      <c r="T76" s="2887">
        <v>2</v>
      </c>
      <c r="U76" s="2888">
        <f t="shared" si="52"/>
        <v>4</v>
      </c>
      <c r="V76" s="2886"/>
      <c r="W76" s="2887"/>
      <c r="X76" s="2888"/>
      <c r="Y76" s="2886"/>
      <c r="Z76" s="2887"/>
      <c r="AA76" s="2888"/>
      <c r="AB76" s="2886"/>
      <c r="AC76" s="2887"/>
      <c r="AD76" s="2888"/>
    </row>
    <row r="77" spans="3:30" ht="15" customHeight="1" x14ac:dyDescent="0.3">
      <c r="C77" s="2904" t="s">
        <v>544</v>
      </c>
      <c r="D77" s="2878">
        <v>3</v>
      </c>
      <c r="E77" s="2879">
        <v>1</v>
      </c>
      <c r="F77" s="2877">
        <f t="shared" si="30"/>
        <v>4</v>
      </c>
      <c r="G77" s="2878">
        <v>8</v>
      </c>
      <c r="H77" s="2879">
        <v>7</v>
      </c>
      <c r="I77" s="2877">
        <f t="shared" si="31"/>
        <v>15</v>
      </c>
      <c r="J77" s="2878">
        <v>2</v>
      </c>
      <c r="K77" s="2879">
        <v>1</v>
      </c>
      <c r="L77" s="2877">
        <f t="shared" si="49"/>
        <v>3</v>
      </c>
      <c r="M77" s="2878"/>
      <c r="N77" s="2879">
        <v>3</v>
      </c>
      <c r="O77" s="2877">
        <f t="shared" si="50"/>
        <v>3</v>
      </c>
      <c r="P77" s="2878">
        <v>5</v>
      </c>
      <c r="Q77" s="2879">
        <v>2</v>
      </c>
      <c r="R77" s="2877">
        <f t="shared" si="51"/>
        <v>7</v>
      </c>
      <c r="S77" s="2878">
        <v>3</v>
      </c>
      <c r="T77" s="2879"/>
      <c r="U77" s="2877">
        <f t="shared" si="52"/>
        <v>3</v>
      </c>
      <c r="V77" s="2878"/>
      <c r="W77" s="2879"/>
      <c r="X77" s="2877"/>
      <c r="Y77" s="2878"/>
      <c r="Z77" s="2879"/>
      <c r="AA77" s="2877"/>
      <c r="AB77" s="2878">
        <v>1</v>
      </c>
      <c r="AC77" s="2879"/>
      <c r="AD77" s="2877">
        <f t="shared" ref="AD77" si="54">+AB77+AC77</f>
        <v>1</v>
      </c>
    </row>
    <row r="78" spans="3:30" ht="15" customHeight="1" x14ac:dyDescent="0.3">
      <c r="C78" s="2881" t="s">
        <v>92</v>
      </c>
      <c r="D78" s="2895">
        <f t="shared" ref="D78:X78" si="55">SUM(D71:D77)</f>
        <v>7</v>
      </c>
      <c r="E78" s="2896">
        <f t="shared" si="55"/>
        <v>13</v>
      </c>
      <c r="F78" s="2897">
        <f t="shared" si="55"/>
        <v>20</v>
      </c>
      <c r="G78" s="2895">
        <f t="shared" si="55"/>
        <v>22</v>
      </c>
      <c r="H78" s="2896">
        <f t="shared" si="55"/>
        <v>14</v>
      </c>
      <c r="I78" s="2897">
        <f t="shared" si="55"/>
        <v>36</v>
      </c>
      <c r="J78" s="2895">
        <f t="shared" si="55"/>
        <v>17</v>
      </c>
      <c r="K78" s="2896">
        <f t="shared" si="55"/>
        <v>8</v>
      </c>
      <c r="L78" s="2897">
        <f t="shared" si="55"/>
        <v>25</v>
      </c>
      <c r="M78" s="2895">
        <f t="shared" si="55"/>
        <v>17</v>
      </c>
      <c r="N78" s="2896">
        <f t="shared" si="55"/>
        <v>17</v>
      </c>
      <c r="O78" s="2897">
        <f t="shared" si="55"/>
        <v>34</v>
      </c>
      <c r="P78" s="2895">
        <f t="shared" si="55"/>
        <v>20</v>
      </c>
      <c r="Q78" s="2896">
        <f t="shared" si="55"/>
        <v>21</v>
      </c>
      <c r="R78" s="2897">
        <f t="shared" si="55"/>
        <v>41</v>
      </c>
      <c r="S78" s="2895">
        <f t="shared" si="55"/>
        <v>15</v>
      </c>
      <c r="T78" s="2896">
        <f t="shared" si="55"/>
        <v>12</v>
      </c>
      <c r="U78" s="2897">
        <f t="shared" si="55"/>
        <v>27</v>
      </c>
      <c r="V78" s="2895">
        <f t="shared" si="55"/>
        <v>0</v>
      </c>
      <c r="W78" s="2896">
        <f t="shared" si="55"/>
        <v>0</v>
      </c>
      <c r="X78" s="2897">
        <f t="shared" si="55"/>
        <v>0</v>
      </c>
      <c r="Y78" s="2895"/>
      <c r="Z78" s="2896"/>
      <c r="AA78" s="2897"/>
      <c r="AB78" s="2895">
        <f t="shared" ref="AB78:AD78" si="56">SUM(AB71:AB77)</f>
        <v>12</v>
      </c>
      <c r="AC78" s="2896">
        <f t="shared" si="56"/>
        <v>6</v>
      </c>
      <c r="AD78" s="2897">
        <f t="shared" si="56"/>
        <v>18</v>
      </c>
    </row>
    <row r="79" spans="3:30" ht="15" customHeight="1" x14ac:dyDescent="0.3">
      <c r="C79" s="2905" t="s">
        <v>388</v>
      </c>
      <c r="D79" s="2906">
        <f t="shared" ref="D79:X79" si="57">SUM(D78,D70,D56)</f>
        <v>25</v>
      </c>
      <c r="E79" s="2907">
        <f t="shared" si="57"/>
        <v>49</v>
      </c>
      <c r="F79" s="2908">
        <f t="shared" si="57"/>
        <v>74</v>
      </c>
      <c r="G79" s="2906">
        <f t="shared" si="57"/>
        <v>44</v>
      </c>
      <c r="H79" s="2907">
        <f t="shared" si="57"/>
        <v>43</v>
      </c>
      <c r="I79" s="2908">
        <f t="shared" si="57"/>
        <v>87</v>
      </c>
      <c r="J79" s="2906">
        <f t="shared" si="57"/>
        <v>36</v>
      </c>
      <c r="K79" s="2907">
        <f t="shared" si="57"/>
        <v>32</v>
      </c>
      <c r="L79" s="2908">
        <f t="shared" si="57"/>
        <v>68</v>
      </c>
      <c r="M79" s="2906">
        <f t="shared" si="57"/>
        <v>40</v>
      </c>
      <c r="N79" s="2907">
        <f t="shared" si="57"/>
        <v>40</v>
      </c>
      <c r="O79" s="2908">
        <f t="shared" si="57"/>
        <v>80</v>
      </c>
      <c r="P79" s="2906">
        <f t="shared" si="57"/>
        <v>64</v>
      </c>
      <c r="Q79" s="2907">
        <f t="shared" si="57"/>
        <v>52</v>
      </c>
      <c r="R79" s="2908">
        <f t="shared" si="57"/>
        <v>116</v>
      </c>
      <c r="S79" s="2906">
        <f t="shared" si="57"/>
        <v>42</v>
      </c>
      <c r="T79" s="2907">
        <f t="shared" si="57"/>
        <v>41</v>
      </c>
      <c r="U79" s="2908">
        <f t="shared" si="57"/>
        <v>83</v>
      </c>
      <c r="V79" s="2906">
        <f t="shared" si="57"/>
        <v>4</v>
      </c>
      <c r="W79" s="2907">
        <f t="shared" si="57"/>
        <v>6</v>
      </c>
      <c r="X79" s="2908">
        <f t="shared" si="57"/>
        <v>10</v>
      </c>
      <c r="Y79" s="2906"/>
      <c r="Z79" s="2907"/>
      <c r="AA79" s="2908"/>
      <c r="AB79" s="2906">
        <f t="shared" ref="AB79:AD79" si="58">SUM(AB78,AB70,AB56)</f>
        <v>38</v>
      </c>
      <c r="AC79" s="2907">
        <f t="shared" si="58"/>
        <v>28</v>
      </c>
      <c r="AD79" s="2908">
        <f t="shared" si="58"/>
        <v>66</v>
      </c>
    </row>
    <row r="80" spans="3:30" ht="15" customHeight="1" x14ac:dyDescent="0.3">
      <c r="C80" s="2909" t="s">
        <v>401</v>
      </c>
      <c r="D80" s="2886"/>
      <c r="E80" s="2887"/>
      <c r="F80" s="2888"/>
      <c r="G80" s="2886"/>
      <c r="H80" s="2887">
        <v>1</v>
      </c>
      <c r="I80" s="2888">
        <f t="shared" ref="I80:I104" si="59">+G80+H80</f>
        <v>1</v>
      </c>
      <c r="J80" s="2886"/>
      <c r="K80" s="2887"/>
      <c r="L80" s="2888"/>
      <c r="M80" s="2886">
        <v>2</v>
      </c>
      <c r="N80" s="2887"/>
      <c r="O80" s="2888">
        <f t="shared" ref="O80:O92" si="60">+M80+N80</f>
        <v>2</v>
      </c>
      <c r="P80" s="2886">
        <v>2</v>
      </c>
      <c r="Q80" s="2887">
        <v>2</v>
      </c>
      <c r="R80" s="2888">
        <f t="shared" ref="R80:R91" si="61">+P80+Q80</f>
        <v>4</v>
      </c>
      <c r="S80" s="2886"/>
      <c r="T80" s="2887">
        <v>1</v>
      </c>
      <c r="U80" s="2888">
        <f>+S80+T80</f>
        <v>1</v>
      </c>
      <c r="V80" s="2886"/>
      <c r="W80" s="2887"/>
      <c r="X80" s="2888"/>
      <c r="Y80" s="2886"/>
      <c r="Z80" s="2887"/>
      <c r="AA80" s="2888"/>
      <c r="AB80" s="2886"/>
      <c r="AC80" s="2887"/>
      <c r="AD80" s="2888"/>
    </row>
    <row r="81" spans="3:30" ht="15" customHeight="1" x14ac:dyDescent="0.3">
      <c r="C81" s="2885" t="s">
        <v>402</v>
      </c>
      <c r="D81" s="2878"/>
      <c r="E81" s="2879"/>
      <c r="F81" s="2877"/>
      <c r="G81" s="2878">
        <v>2</v>
      </c>
      <c r="H81" s="2879"/>
      <c r="I81" s="2877">
        <f t="shared" si="59"/>
        <v>2</v>
      </c>
      <c r="J81" s="2878">
        <v>3</v>
      </c>
      <c r="K81" s="2879">
        <v>2</v>
      </c>
      <c r="L81" s="2877">
        <f t="shared" ref="L81:L85" si="62">+J81+K81</f>
        <v>5</v>
      </c>
      <c r="M81" s="2878">
        <v>3</v>
      </c>
      <c r="N81" s="2879">
        <v>4</v>
      </c>
      <c r="O81" s="2877">
        <f t="shared" si="60"/>
        <v>7</v>
      </c>
      <c r="P81" s="2878">
        <v>2</v>
      </c>
      <c r="Q81" s="2879">
        <v>1</v>
      </c>
      <c r="R81" s="2877">
        <f t="shared" si="61"/>
        <v>3</v>
      </c>
      <c r="S81" s="2878">
        <v>5</v>
      </c>
      <c r="T81" s="2879">
        <v>8</v>
      </c>
      <c r="U81" s="2877">
        <f>+S81+T81</f>
        <v>13</v>
      </c>
      <c r="V81" s="2878"/>
      <c r="W81" s="2879"/>
      <c r="X81" s="2877"/>
      <c r="Y81" s="2878"/>
      <c r="Z81" s="2879"/>
      <c r="AA81" s="2877"/>
      <c r="AB81" s="2878">
        <v>11</v>
      </c>
      <c r="AC81" s="2879">
        <v>6</v>
      </c>
      <c r="AD81" s="2877">
        <f>+AB81+AC81</f>
        <v>17</v>
      </c>
    </row>
    <row r="82" spans="3:30" ht="15" customHeight="1" x14ac:dyDescent="0.3">
      <c r="C82" s="2904" t="s">
        <v>335</v>
      </c>
      <c r="D82" s="2878"/>
      <c r="E82" s="2879"/>
      <c r="F82" s="2877"/>
      <c r="G82" s="2878"/>
      <c r="H82" s="2879"/>
      <c r="I82" s="2877"/>
      <c r="J82" s="2878"/>
      <c r="K82" s="2879">
        <v>1</v>
      </c>
      <c r="L82" s="2877">
        <f t="shared" si="62"/>
        <v>1</v>
      </c>
      <c r="M82" s="2878"/>
      <c r="N82" s="2879"/>
      <c r="O82" s="2877"/>
      <c r="P82" s="2878"/>
      <c r="Q82" s="2879">
        <v>1</v>
      </c>
      <c r="R82" s="2877">
        <f t="shared" si="61"/>
        <v>1</v>
      </c>
      <c r="S82" s="2878">
        <v>1</v>
      </c>
      <c r="T82" s="2879">
        <v>1</v>
      </c>
      <c r="U82" s="2877">
        <f>+S82+T82</f>
        <v>2</v>
      </c>
      <c r="V82" s="2878"/>
      <c r="W82" s="2879"/>
      <c r="X82" s="2877"/>
      <c r="Y82" s="2878"/>
      <c r="Z82" s="2879"/>
      <c r="AA82" s="2877"/>
      <c r="AB82" s="2878">
        <v>1</v>
      </c>
      <c r="AC82" s="2879">
        <v>1</v>
      </c>
      <c r="AD82" s="2877">
        <f>+AB82+AC82</f>
        <v>2</v>
      </c>
    </row>
    <row r="83" spans="3:30" ht="15" customHeight="1" x14ac:dyDescent="0.3">
      <c r="C83" s="2885" t="s">
        <v>1598</v>
      </c>
      <c r="D83" s="2878"/>
      <c r="E83" s="2879"/>
      <c r="F83" s="2877"/>
      <c r="G83" s="2878"/>
      <c r="H83" s="2879"/>
      <c r="I83" s="2877"/>
      <c r="J83" s="2878"/>
      <c r="K83" s="2879"/>
      <c r="L83" s="2877"/>
      <c r="M83" s="2878"/>
      <c r="N83" s="2879"/>
      <c r="O83" s="2877"/>
      <c r="P83" s="2878"/>
      <c r="Q83" s="2879"/>
      <c r="R83" s="2877"/>
      <c r="S83" s="2878"/>
      <c r="T83" s="2879"/>
      <c r="U83" s="2877"/>
      <c r="V83" s="2878"/>
      <c r="W83" s="2879"/>
      <c r="X83" s="2877"/>
      <c r="Y83" s="2878"/>
      <c r="Z83" s="2879"/>
      <c r="AA83" s="2877"/>
      <c r="AB83" s="2878"/>
      <c r="AC83" s="2879">
        <v>1</v>
      </c>
      <c r="AD83" s="2877">
        <f t="shared" ref="AD83:AD84" si="63">+AB83+AC83</f>
        <v>1</v>
      </c>
    </row>
    <row r="84" spans="3:30" ht="15" customHeight="1" x14ac:dyDescent="0.3">
      <c r="C84" s="2904" t="s">
        <v>403</v>
      </c>
      <c r="D84" s="2878"/>
      <c r="E84" s="2879"/>
      <c r="F84" s="2877"/>
      <c r="G84" s="2878"/>
      <c r="H84" s="2879"/>
      <c r="I84" s="2877"/>
      <c r="J84" s="2878"/>
      <c r="K84" s="2879"/>
      <c r="L84" s="2877"/>
      <c r="M84" s="2878"/>
      <c r="N84" s="2879"/>
      <c r="O84" s="2877"/>
      <c r="P84" s="2878"/>
      <c r="Q84" s="2879"/>
      <c r="R84" s="2877"/>
      <c r="S84" s="2878"/>
      <c r="T84" s="2879"/>
      <c r="U84" s="2877"/>
      <c r="V84" s="2878"/>
      <c r="W84" s="2879"/>
      <c r="X84" s="2877"/>
      <c r="Y84" s="2878"/>
      <c r="Z84" s="2879"/>
      <c r="AA84" s="2877"/>
      <c r="AB84" s="2878">
        <v>2</v>
      </c>
      <c r="AC84" s="2879"/>
      <c r="AD84" s="2877">
        <f t="shared" si="63"/>
        <v>2</v>
      </c>
    </row>
    <row r="85" spans="3:30" ht="15" customHeight="1" x14ac:dyDescent="0.3">
      <c r="C85" s="2885" t="s">
        <v>398</v>
      </c>
      <c r="D85" s="2878"/>
      <c r="E85" s="2879"/>
      <c r="F85" s="2877"/>
      <c r="G85" s="2878">
        <v>1</v>
      </c>
      <c r="H85" s="2879">
        <v>2</v>
      </c>
      <c r="I85" s="2877">
        <f t="shared" si="59"/>
        <v>3</v>
      </c>
      <c r="J85" s="2878">
        <v>1</v>
      </c>
      <c r="K85" s="2879">
        <v>2</v>
      </c>
      <c r="L85" s="2877">
        <f t="shared" si="62"/>
        <v>3</v>
      </c>
      <c r="M85" s="2878">
        <v>2</v>
      </c>
      <c r="N85" s="2879">
        <v>2</v>
      </c>
      <c r="O85" s="2877">
        <f t="shared" si="60"/>
        <v>4</v>
      </c>
      <c r="P85" s="2878">
        <v>2</v>
      </c>
      <c r="Q85" s="2879">
        <v>1</v>
      </c>
      <c r="R85" s="2877">
        <f t="shared" si="61"/>
        <v>3</v>
      </c>
      <c r="S85" s="2878"/>
      <c r="T85" s="2879"/>
      <c r="U85" s="2877"/>
      <c r="V85" s="2878"/>
      <c r="W85" s="2879"/>
      <c r="X85" s="2877"/>
      <c r="Y85" s="2878"/>
      <c r="Z85" s="2879"/>
      <c r="AA85" s="2877"/>
      <c r="AB85" s="2878"/>
      <c r="AC85" s="2879"/>
      <c r="AD85" s="2877"/>
    </row>
    <row r="86" spans="3:30" ht="15" customHeight="1" x14ac:dyDescent="0.3">
      <c r="C86" s="2885" t="s">
        <v>705</v>
      </c>
      <c r="D86" s="2878"/>
      <c r="E86" s="2879"/>
      <c r="F86" s="2877"/>
      <c r="G86" s="2878">
        <v>1</v>
      </c>
      <c r="H86" s="2879"/>
      <c r="I86" s="2877">
        <f t="shared" si="59"/>
        <v>1</v>
      </c>
      <c r="J86" s="2878"/>
      <c r="K86" s="2879"/>
      <c r="L86" s="2877"/>
      <c r="M86" s="2878"/>
      <c r="N86" s="2879"/>
      <c r="O86" s="2877"/>
      <c r="P86" s="2878"/>
      <c r="Q86" s="2879"/>
      <c r="R86" s="2877"/>
      <c r="S86" s="2878"/>
      <c r="T86" s="2879"/>
      <c r="U86" s="2877"/>
      <c r="V86" s="2878"/>
      <c r="W86" s="2879"/>
      <c r="X86" s="2877"/>
      <c r="Y86" s="2878"/>
      <c r="Z86" s="2879"/>
      <c r="AA86" s="2877"/>
      <c r="AB86" s="2878"/>
      <c r="AC86" s="2879"/>
      <c r="AD86" s="2877"/>
    </row>
    <row r="87" spans="3:30" ht="15" customHeight="1" x14ac:dyDescent="0.3">
      <c r="C87" s="2885" t="s">
        <v>706</v>
      </c>
      <c r="D87" s="2878"/>
      <c r="E87" s="2879"/>
      <c r="F87" s="2877"/>
      <c r="G87" s="2878"/>
      <c r="H87" s="2879"/>
      <c r="I87" s="2877"/>
      <c r="J87" s="2878"/>
      <c r="K87" s="2879"/>
      <c r="L87" s="2877"/>
      <c r="M87" s="2878">
        <v>1</v>
      </c>
      <c r="N87" s="2879"/>
      <c r="O87" s="2877">
        <f t="shared" si="60"/>
        <v>1</v>
      </c>
      <c r="P87" s="2878">
        <v>3</v>
      </c>
      <c r="Q87" s="2879">
        <v>1</v>
      </c>
      <c r="R87" s="2877">
        <f t="shared" si="61"/>
        <v>4</v>
      </c>
      <c r="S87" s="2878"/>
      <c r="T87" s="2879"/>
      <c r="U87" s="2877"/>
      <c r="V87" s="2878"/>
      <c r="W87" s="2879"/>
      <c r="X87" s="2877"/>
      <c r="Y87" s="2878"/>
      <c r="Z87" s="2879"/>
      <c r="AA87" s="2877"/>
      <c r="AB87" s="2878"/>
      <c r="AC87" s="2879"/>
      <c r="AD87" s="2877"/>
    </row>
    <row r="88" spans="3:30" ht="15" customHeight="1" x14ac:dyDescent="0.3">
      <c r="C88" s="2885" t="s">
        <v>396</v>
      </c>
      <c r="D88" s="2878"/>
      <c r="E88" s="2879"/>
      <c r="F88" s="2877"/>
      <c r="G88" s="2878"/>
      <c r="H88" s="2879"/>
      <c r="I88" s="2877"/>
      <c r="J88" s="2878"/>
      <c r="K88" s="2879"/>
      <c r="L88" s="2877"/>
      <c r="M88" s="2878"/>
      <c r="N88" s="2879"/>
      <c r="O88" s="2877"/>
      <c r="P88" s="2878">
        <v>1</v>
      </c>
      <c r="Q88" s="2879"/>
      <c r="R88" s="2877">
        <f t="shared" si="61"/>
        <v>1</v>
      </c>
      <c r="S88" s="2878"/>
      <c r="T88" s="2879"/>
      <c r="U88" s="2877"/>
      <c r="V88" s="2878"/>
      <c r="W88" s="2879"/>
      <c r="X88" s="2877"/>
      <c r="Y88" s="2878"/>
      <c r="Z88" s="2879"/>
      <c r="AA88" s="2877"/>
      <c r="AB88" s="2878"/>
      <c r="AC88" s="2879"/>
      <c r="AD88" s="2877"/>
    </row>
    <row r="89" spans="3:30" ht="15" customHeight="1" x14ac:dyDescent="0.3">
      <c r="C89" s="2885" t="s">
        <v>400</v>
      </c>
      <c r="D89" s="2878"/>
      <c r="E89" s="2879"/>
      <c r="F89" s="2877"/>
      <c r="G89" s="2878"/>
      <c r="H89" s="2879"/>
      <c r="I89" s="2877"/>
      <c r="J89" s="2878"/>
      <c r="K89" s="2879"/>
      <c r="L89" s="2877"/>
      <c r="M89" s="2878"/>
      <c r="N89" s="2879"/>
      <c r="O89" s="2877"/>
      <c r="P89" s="2878"/>
      <c r="Q89" s="2879">
        <v>1</v>
      </c>
      <c r="R89" s="2877">
        <f t="shared" si="61"/>
        <v>1</v>
      </c>
      <c r="S89" s="2878"/>
      <c r="T89" s="2879"/>
      <c r="U89" s="2877"/>
      <c r="V89" s="2878"/>
      <c r="W89" s="2879"/>
      <c r="X89" s="2877"/>
      <c r="Y89" s="2878"/>
      <c r="Z89" s="2879"/>
      <c r="AA89" s="2877"/>
      <c r="AB89" s="2878"/>
      <c r="AC89" s="2879"/>
      <c r="AD89" s="2877"/>
    </row>
    <row r="90" spans="3:30" ht="15" customHeight="1" x14ac:dyDescent="0.3">
      <c r="C90" s="2885" t="s">
        <v>707</v>
      </c>
      <c r="D90" s="2878"/>
      <c r="E90" s="2879"/>
      <c r="F90" s="2877"/>
      <c r="G90" s="2878"/>
      <c r="H90" s="2879"/>
      <c r="I90" s="2877"/>
      <c r="J90" s="2878"/>
      <c r="K90" s="2879"/>
      <c r="L90" s="2877"/>
      <c r="M90" s="2878">
        <v>1</v>
      </c>
      <c r="N90" s="2879"/>
      <c r="O90" s="2877">
        <f t="shared" si="60"/>
        <v>1</v>
      </c>
      <c r="P90" s="2878">
        <v>1</v>
      </c>
      <c r="Q90" s="2879"/>
      <c r="R90" s="2877">
        <f t="shared" si="61"/>
        <v>1</v>
      </c>
      <c r="S90" s="2878"/>
      <c r="T90" s="2879"/>
      <c r="U90" s="2877"/>
      <c r="V90" s="2878"/>
      <c r="W90" s="2879"/>
      <c r="X90" s="2877"/>
      <c r="Y90" s="2878"/>
      <c r="Z90" s="2879"/>
      <c r="AA90" s="2877"/>
      <c r="AB90" s="2878"/>
      <c r="AC90" s="2879"/>
      <c r="AD90" s="2877"/>
    </row>
    <row r="91" spans="3:30" ht="15" customHeight="1" x14ac:dyDescent="0.3">
      <c r="C91" s="2885" t="s">
        <v>393</v>
      </c>
      <c r="D91" s="2878"/>
      <c r="E91" s="2879"/>
      <c r="F91" s="2877"/>
      <c r="G91" s="2878"/>
      <c r="H91" s="2879"/>
      <c r="I91" s="2877"/>
      <c r="J91" s="2878"/>
      <c r="K91" s="2879"/>
      <c r="L91" s="2877"/>
      <c r="M91" s="2878">
        <v>1</v>
      </c>
      <c r="N91" s="2879"/>
      <c r="O91" s="2877">
        <f t="shared" si="60"/>
        <v>1</v>
      </c>
      <c r="P91" s="2878">
        <v>1</v>
      </c>
      <c r="Q91" s="2879"/>
      <c r="R91" s="2877">
        <f t="shared" si="61"/>
        <v>1</v>
      </c>
      <c r="S91" s="2878">
        <v>1</v>
      </c>
      <c r="T91" s="2879"/>
      <c r="U91" s="2877">
        <f t="shared" ref="U91:U92" si="64">+S91+T91</f>
        <v>1</v>
      </c>
      <c r="V91" s="2878"/>
      <c r="W91" s="2879"/>
      <c r="X91" s="2877"/>
      <c r="Y91" s="2878"/>
      <c r="Z91" s="2879"/>
      <c r="AA91" s="2877"/>
      <c r="AB91" s="2878"/>
      <c r="AC91" s="2879"/>
      <c r="AD91" s="2877"/>
    </row>
    <row r="92" spans="3:30" ht="15" customHeight="1" x14ac:dyDescent="0.3">
      <c r="C92" s="2885" t="s">
        <v>399</v>
      </c>
      <c r="D92" s="2878"/>
      <c r="E92" s="2879"/>
      <c r="F92" s="2877"/>
      <c r="G92" s="2878">
        <v>2</v>
      </c>
      <c r="H92" s="2879">
        <v>7</v>
      </c>
      <c r="I92" s="2877">
        <f t="shared" si="59"/>
        <v>9</v>
      </c>
      <c r="J92" s="2878"/>
      <c r="K92" s="2879"/>
      <c r="L92" s="2877"/>
      <c r="M92" s="2878">
        <v>2</v>
      </c>
      <c r="N92" s="2879">
        <v>2</v>
      </c>
      <c r="O92" s="2877">
        <f t="shared" si="60"/>
        <v>4</v>
      </c>
      <c r="P92" s="2878"/>
      <c r="Q92" s="2879"/>
      <c r="R92" s="2877"/>
      <c r="S92" s="2878">
        <v>2</v>
      </c>
      <c r="T92" s="2879"/>
      <c r="U92" s="2877">
        <f t="shared" si="64"/>
        <v>2</v>
      </c>
      <c r="V92" s="2878"/>
      <c r="W92" s="2879"/>
      <c r="X92" s="2877"/>
      <c r="Y92" s="2878"/>
      <c r="Z92" s="2879"/>
      <c r="AA92" s="2877"/>
      <c r="AB92" s="2878"/>
      <c r="AC92" s="2879"/>
      <c r="AD92" s="2877"/>
    </row>
    <row r="93" spans="3:30" ht="15" customHeight="1" x14ac:dyDescent="0.3">
      <c r="C93" s="2881" t="s">
        <v>64</v>
      </c>
      <c r="D93" s="2910">
        <f t="shared" ref="D93:L93" si="65">SUM(D80:D92)</f>
        <v>0</v>
      </c>
      <c r="E93" s="2911">
        <f t="shared" si="65"/>
        <v>0</v>
      </c>
      <c r="F93" s="2912">
        <f t="shared" si="65"/>
        <v>0</v>
      </c>
      <c r="G93" s="2910">
        <f t="shared" si="65"/>
        <v>6</v>
      </c>
      <c r="H93" s="2911">
        <f t="shared" si="65"/>
        <v>10</v>
      </c>
      <c r="I93" s="2912">
        <f t="shared" si="65"/>
        <v>16</v>
      </c>
      <c r="J93" s="2910">
        <f t="shared" si="65"/>
        <v>4</v>
      </c>
      <c r="K93" s="2911">
        <f t="shared" si="65"/>
        <v>5</v>
      </c>
      <c r="L93" s="2912">
        <f t="shared" si="65"/>
        <v>9</v>
      </c>
      <c r="M93" s="2910">
        <f t="shared" ref="M93:X93" si="66">SUM(M80:M92)</f>
        <v>12</v>
      </c>
      <c r="N93" s="2911">
        <f t="shared" si="66"/>
        <v>8</v>
      </c>
      <c r="O93" s="2912">
        <f t="shared" si="66"/>
        <v>20</v>
      </c>
      <c r="P93" s="2910">
        <f t="shared" si="66"/>
        <v>12</v>
      </c>
      <c r="Q93" s="2911">
        <f t="shared" si="66"/>
        <v>7</v>
      </c>
      <c r="R93" s="2912">
        <f t="shared" si="66"/>
        <v>19</v>
      </c>
      <c r="S93" s="2910">
        <f t="shared" si="66"/>
        <v>9</v>
      </c>
      <c r="T93" s="2911">
        <f t="shared" si="66"/>
        <v>10</v>
      </c>
      <c r="U93" s="2912">
        <f t="shared" si="66"/>
        <v>19</v>
      </c>
      <c r="V93" s="2910">
        <f t="shared" si="66"/>
        <v>0</v>
      </c>
      <c r="W93" s="2911">
        <f t="shared" si="66"/>
        <v>0</v>
      </c>
      <c r="X93" s="2912">
        <f t="shared" si="66"/>
        <v>0</v>
      </c>
      <c r="Y93" s="2910"/>
      <c r="Z93" s="2911"/>
      <c r="AA93" s="2912"/>
      <c r="AB93" s="2910">
        <f>SUM(AB80:AB92)</f>
        <v>14</v>
      </c>
      <c r="AC93" s="2911">
        <f>SUM(AC80:AC92)</f>
        <v>8</v>
      </c>
      <c r="AD93" s="2912">
        <f>SUM(AD80:AD92)</f>
        <v>22</v>
      </c>
    </row>
    <row r="94" spans="3:30" ht="15" customHeight="1" x14ac:dyDescent="0.3">
      <c r="C94" s="2885" t="s">
        <v>354</v>
      </c>
      <c r="D94" s="2886">
        <v>3</v>
      </c>
      <c r="E94" s="2887">
        <v>2</v>
      </c>
      <c r="F94" s="2888">
        <f t="shared" ref="F94:F104" si="67">+D94+E94</f>
        <v>5</v>
      </c>
      <c r="G94" s="2886">
        <v>4</v>
      </c>
      <c r="H94" s="2887">
        <v>2</v>
      </c>
      <c r="I94" s="2888">
        <f t="shared" si="59"/>
        <v>6</v>
      </c>
      <c r="J94" s="2886"/>
      <c r="K94" s="2887">
        <v>1</v>
      </c>
      <c r="L94" s="2888">
        <f t="shared" ref="L94:L100" si="68">+J94+K94</f>
        <v>1</v>
      </c>
      <c r="M94" s="2886">
        <v>2</v>
      </c>
      <c r="N94" s="2887">
        <v>2</v>
      </c>
      <c r="O94" s="2888">
        <f t="shared" ref="O94:O101" si="69">+M94+N94</f>
        <v>4</v>
      </c>
      <c r="P94" s="2886">
        <v>5</v>
      </c>
      <c r="Q94" s="2887">
        <v>4</v>
      </c>
      <c r="R94" s="2888">
        <f t="shared" ref="R94:R102" si="70">+P94+Q94</f>
        <v>9</v>
      </c>
      <c r="S94" s="2886">
        <v>3</v>
      </c>
      <c r="T94" s="2887">
        <v>1</v>
      </c>
      <c r="U94" s="2888">
        <f t="shared" ref="U94:U99" si="71">+S94+T94</f>
        <v>4</v>
      </c>
      <c r="V94" s="2886"/>
      <c r="W94" s="2887">
        <v>1</v>
      </c>
      <c r="X94" s="2888">
        <f>+V94+W94</f>
        <v>1</v>
      </c>
      <c r="Y94" s="2886"/>
      <c r="Z94" s="2887"/>
      <c r="AA94" s="2888"/>
      <c r="AB94" s="2886">
        <v>2</v>
      </c>
      <c r="AC94" s="2887">
        <v>5</v>
      </c>
      <c r="AD94" s="2888">
        <f t="shared" ref="AD94:AD96" si="72">+AB94+AC94</f>
        <v>7</v>
      </c>
    </row>
    <row r="95" spans="3:30" ht="15" customHeight="1" x14ac:dyDescent="0.3">
      <c r="C95" s="2875" t="s">
        <v>416</v>
      </c>
      <c r="D95" s="2886"/>
      <c r="E95" s="2887"/>
      <c r="F95" s="2888"/>
      <c r="G95" s="2886"/>
      <c r="H95" s="2887"/>
      <c r="I95" s="2888"/>
      <c r="J95" s="2886">
        <v>1</v>
      </c>
      <c r="K95" s="2887"/>
      <c r="L95" s="2888">
        <f t="shared" si="68"/>
        <v>1</v>
      </c>
      <c r="M95" s="2886">
        <v>4</v>
      </c>
      <c r="N95" s="2887"/>
      <c r="O95" s="2888">
        <f t="shared" si="69"/>
        <v>4</v>
      </c>
      <c r="P95" s="2886">
        <v>6</v>
      </c>
      <c r="Q95" s="2887">
        <v>1</v>
      </c>
      <c r="R95" s="2888">
        <f t="shared" si="70"/>
        <v>7</v>
      </c>
      <c r="S95" s="2886">
        <v>5</v>
      </c>
      <c r="T95" s="2887"/>
      <c r="U95" s="2888">
        <f t="shared" si="71"/>
        <v>5</v>
      </c>
      <c r="V95" s="2886"/>
      <c r="W95" s="2887"/>
      <c r="X95" s="2888"/>
      <c r="Y95" s="2886"/>
      <c r="Z95" s="2887"/>
      <c r="AA95" s="2888"/>
      <c r="AB95" s="2886"/>
      <c r="AC95" s="2887"/>
      <c r="AD95" s="2888"/>
    </row>
    <row r="96" spans="3:30" ht="15" customHeight="1" x14ac:dyDescent="0.3">
      <c r="C96" s="2875" t="s">
        <v>417</v>
      </c>
      <c r="D96" s="2886"/>
      <c r="E96" s="2887"/>
      <c r="F96" s="2888"/>
      <c r="G96" s="2886"/>
      <c r="H96" s="2887"/>
      <c r="I96" s="2888"/>
      <c r="J96" s="2886"/>
      <c r="K96" s="2887"/>
      <c r="L96" s="2888"/>
      <c r="M96" s="2886">
        <v>1</v>
      </c>
      <c r="N96" s="2887"/>
      <c r="O96" s="2888">
        <f t="shared" si="69"/>
        <v>1</v>
      </c>
      <c r="P96" s="2886"/>
      <c r="Q96" s="2887"/>
      <c r="R96" s="2888"/>
      <c r="S96" s="2886">
        <v>1</v>
      </c>
      <c r="T96" s="2887"/>
      <c r="U96" s="2888">
        <f t="shared" si="71"/>
        <v>1</v>
      </c>
      <c r="V96" s="2886"/>
      <c r="W96" s="2887"/>
      <c r="X96" s="2888"/>
      <c r="Y96" s="2886"/>
      <c r="Z96" s="2887"/>
      <c r="AA96" s="2888"/>
      <c r="AB96" s="2886">
        <v>2</v>
      </c>
      <c r="AC96" s="2887"/>
      <c r="AD96" s="2888">
        <f t="shared" si="72"/>
        <v>2</v>
      </c>
    </row>
    <row r="97" spans="3:30" ht="15" customHeight="1" x14ac:dyDescent="0.3">
      <c r="C97" s="2875" t="s">
        <v>407</v>
      </c>
      <c r="D97" s="2886"/>
      <c r="E97" s="2887"/>
      <c r="F97" s="2888"/>
      <c r="G97" s="2886"/>
      <c r="H97" s="2887"/>
      <c r="I97" s="2888"/>
      <c r="J97" s="2886"/>
      <c r="K97" s="2887"/>
      <c r="L97" s="2888"/>
      <c r="M97" s="2886"/>
      <c r="N97" s="2887"/>
      <c r="O97" s="2888"/>
      <c r="P97" s="2886">
        <v>1</v>
      </c>
      <c r="Q97" s="2887"/>
      <c r="R97" s="2888">
        <f t="shared" si="70"/>
        <v>1</v>
      </c>
      <c r="S97" s="2886"/>
      <c r="T97" s="2887"/>
      <c r="U97" s="2888"/>
      <c r="V97" s="2886"/>
      <c r="W97" s="2887"/>
      <c r="X97" s="2888"/>
      <c r="Y97" s="2886"/>
      <c r="Z97" s="2887"/>
      <c r="AA97" s="2888"/>
      <c r="AB97" s="2886"/>
      <c r="AC97" s="2887"/>
      <c r="AD97" s="2888"/>
    </row>
    <row r="98" spans="3:30" ht="15" customHeight="1" x14ac:dyDescent="0.3">
      <c r="C98" s="2875" t="s">
        <v>408</v>
      </c>
      <c r="D98" s="2878">
        <v>1</v>
      </c>
      <c r="E98" s="2879"/>
      <c r="F98" s="2877">
        <f t="shared" si="67"/>
        <v>1</v>
      </c>
      <c r="G98" s="2878"/>
      <c r="H98" s="2879"/>
      <c r="I98" s="2877"/>
      <c r="J98" s="2878"/>
      <c r="K98" s="2879"/>
      <c r="L98" s="2877"/>
      <c r="M98" s="2878"/>
      <c r="N98" s="2879"/>
      <c r="O98" s="2877"/>
      <c r="P98" s="2878">
        <v>4</v>
      </c>
      <c r="Q98" s="2879"/>
      <c r="R98" s="2877">
        <f t="shared" si="70"/>
        <v>4</v>
      </c>
      <c r="S98" s="2878">
        <v>1</v>
      </c>
      <c r="T98" s="2879"/>
      <c r="U98" s="2877">
        <f t="shared" si="71"/>
        <v>1</v>
      </c>
      <c r="V98" s="2878"/>
      <c r="W98" s="2879"/>
      <c r="X98" s="2877"/>
      <c r="Y98" s="2878"/>
      <c r="Z98" s="2879"/>
      <c r="AA98" s="2877"/>
      <c r="AB98" s="2878"/>
      <c r="AC98" s="2879"/>
      <c r="AD98" s="2877"/>
    </row>
    <row r="99" spans="3:30" ht="15" customHeight="1" x14ac:dyDescent="0.3">
      <c r="C99" s="2875" t="s">
        <v>415</v>
      </c>
      <c r="D99" s="2878"/>
      <c r="E99" s="2879"/>
      <c r="F99" s="2877"/>
      <c r="G99" s="2878">
        <v>1</v>
      </c>
      <c r="H99" s="2879"/>
      <c r="I99" s="2877">
        <f t="shared" si="59"/>
        <v>1</v>
      </c>
      <c r="J99" s="2878">
        <v>2</v>
      </c>
      <c r="K99" s="2879"/>
      <c r="L99" s="2877">
        <f t="shared" si="68"/>
        <v>2</v>
      </c>
      <c r="M99" s="2878"/>
      <c r="N99" s="2879">
        <v>1</v>
      </c>
      <c r="O99" s="2877">
        <f t="shared" si="69"/>
        <v>1</v>
      </c>
      <c r="P99" s="2878"/>
      <c r="Q99" s="2879"/>
      <c r="R99" s="2877"/>
      <c r="S99" s="2878">
        <v>2</v>
      </c>
      <c r="T99" s="2879"/>
      <c r="U99" s="2877">
        <f t="shared" si="71"/>
        <v>2</v>
      </c>
      <c r="V99" s="2878"/>
      <c r="W99" s="2879"/>
      <c r="X99" s="2877"/>
      <c r="Y99" s="2878"/>
      <c r="Z99" s="2879"/>
      <c r="AA99" s="2877"/>
      <c r="AB99" s="2878">
        <v>1</v>
      </c>
      <c r="AC99" s="2879">
        <v>1</v>
      </c>
      <c r="AD99" s="2877">
        <f t="shared" ref="AD99" si="73">+AB99+AC99</f>
        <v>2</v>
      </c>
    </row>
    <row r="100" spans="3:30" ht="15" customHeight="1" x14ac:dyDescent="0.3">
      <c r="C100" s="2875" t="s">
        <v>708</v>
      </c>
      <c r="D100" s="2878"/>
      <c r="E100" s="2879"/>
      <c r="F100" s="2877"/>
      <c r="G100" s="2878"/>
      <c r="H100" s="2879"/>
      <c r="I100" s="2877"/>
      <c r="J100" s="2878">
        <v>4</v>
      </c>
      <c r="K100" s="2879"/>
      <c r="L100" s="2877">
        <f t="shared" si="68"/>
        <v>4</v>
      </c>
      <c r="M100" s="2878">
        <v>6</v>
      </c>
      <c r="N100" s="2879"/>
      <c r="O100" s="2877">
        <f t="shared" si="69"/>
        <v>6</v>
      </c>
      <c r="P100" s="2878">
        <v>5</v>
      </c>
      <c r="Q100" s="2879"/>
      <c r="R100" s="2877">
        <f t="shared" si="70"/>
        <v>5</v>
      </c>
      <c r="S100" s="2878">
        <v>2</v>
      </c>
      <c r="T100" s="2879">
        <v>1</v>
      </c>
      <c r="U100" s="2877">
        <f>+S100+T100</f>
        <v>3</v>
      </c>
      <c r="V100" s="2878">
        <v>2</v>
      </c>
      <c r="W100" s="2879"/>
      <c r="X100" s="2877">
        <f>+V100+W100</f>
        <v>2</v>
      </c>
      <c r="Y100" s="2878"/>
      <c r="Z100" s="2879"/>
      <c r="AA100" s="2877"/>
      <c r="AB100" s="2878"/>
      <c r="AC100" s="2879"/>
      <c r="AD100" s="2877"/>
    </row>
    <row r="101" spans="3:30" ht="15" customHeight="1" x14ac:dyDescent="0.3">
      <c r="C101" s="2875" t="s">
        <v>413</v>
      </c>
      <c r="D101" s="2878"/>
      <c r="E101" s="2879"/>
      <c r="F101" s="2877"/>
      <c r="G101" s="2878"/>
      <c r="H101" s="2879">
        <v>1</v>
      </c>
      <c r="I101" s="2877">
        <f t="shared" si="59"/>
        <v>1</v>
      </c>
      <c r="J101" s="2878"/>
      <c r="K101" s="2879"/>
      <c r="L101" s="2877"/>
      <c r="M101" s="2878">
        <v>1</v>
      </c>
      <c r="N101" s="2879">
        <v>1</v>
      </c>
      <c r="O101" s="2877">
        <f t="shared" si="69"/>
        <v>2</v>
      </c>
      <c r="P101" s="2878">
        <v>2</v>
      </c>
      <c r="Q101" s="2879">
        <v>1</v>
      </c>
      <c r="R101" s="2877">
        <f t="shared" si="70"/>
        <v>3</v>
      </c>
      <c r="S101" s="2878"/>
      <c r="T101" s="2879"/>
      <c r="U101" s="2877"/>
      <c r="V101" s="2878"/>
      <c r="W101" s="2879"/>
      <c r="X101" s="2877"/>
      <c r="Y101" s="2878"/>
      <c r="Z101" s="2879"/>
      <c r="AA101" s="2877"/>
      <c r="AB101" s="2878">
        <v>1</v>
      </c>
      <c r="AC101" s="2879"/>
      <c r="AD101" s="2877">
        <f t="shared" ref="AD101:AD102" si="74">+AB101+AC101</f>
        <v>1</v>
      </c>
    </row>
    <row r="102" spans="3:30" ht="15" customHeight="1" x14ac:dyDescent="0.3">
      <c r="C102" s="2875" t="s">
        <v>709</v>
      </c>
      <c r="D102" s="2878">
        <v>2</v>
      </c>
      <c r="E102" s="2879">
        <v>1</v>
      </c>
      <c r="F102" s="2877">
        <f t="shared" si="67"/>
        <v>3</v>
      </c>
      <c r="G102" s="2878">
        <v>6</v>
      </c>
      <c r="H102" s="2879">
        <v>4</v>
      </c>
      <c r="I102" s="2877">
        <f t="shared" si="59"/>
        <v>10</v>
      </c>
      <c r="J102" s="2878"/>
      <c r="K102" s="2879"/>
      <c r="L102" s="2877"/>
      <c r="M102" s="2878"/>
      <c r="N102" s="2879"/>
      <c r="O102" s="2877"/>
      <c r="P102" s="2878">
        <v>6</v>
      </c>
      <c r="Q102" s="2879">
        <v>4</v>
      </c>
      <c r="R102" s="2877">
        <f t="shared" si="70"/>
        <v>10</v>
      </c>
      <c r="S102" s="2878"/>
      <c r="T102" s="2879"/>
      <c r="U102" s="2877"/>
      <c r="V102" s="2878"/>
      <c r="W102" s="2879"/>
      <c r="X102" s="2877"/>
      <c r="Y102" s="2878"/>
      <c r="Z102" s="2879"/>
      <c r="AA102" s="2877"/>
      <c r="AB102" s="2878">
        <v>1</v>
      </c>
      <c r="AC102" s="2879">
        <v>2</v>
      </c>
      <c r="AD102" s="2877">
        <f t="shared" si="74"/>
        <v>3</v>
      </c>
    </row>
    <row r="103" spans="3:30" ht="15" customHeight="1" x14ac:dyDescent="0.3">
      <c r="C103" s="2881" t="s">
        <v>92</v>
      </c>
      <c r="D103" s="2910">
        <f t="shared" ref="D103:X103" si="75">SUM(D94:D102)</f>
        <v>6</v>
      </c>
      <c r="E103" s="2911">
        <f t="shared" si="75"/>
        <v>3</v>
      </c>
      <c r="F103" s="2912">
        <f t="shared" si="75"/>
        <v>9</v>
      </c>
      <c r="G103" s="2910">
        <f t="shared" si="75"/>
        <v>11</v>
      </c>
      <c r="H103" s="2911">
        <f t="shared" si="75"/>
        <v>7</v>
      </c>
      <c r="I103" s="2912">
        <f t="shared" si="75"/>
        <v>18</v>
      </c>
      <c r="J103" s="2910">
        <f t="shared" si="75"/>
        <v>7</v>
      </c>
      <c r="K103" s="2911">
        <f t="shared" si="75"/>
        <v>1</v>
      </c>
      <c r="L103" s="2912">
        <f t="shared" si="75"/>
        <v>8</v>
      </c>
      <c r="M103" s="2910">
        <f t="shared" si="75"/>
        <v>14</v>
      </c>
      <c r="N103" s="2911">
        <f t="shared" si="75"/>
        <v>4</v>
      </c>
      <c r="O103" s="2912">
        <f t="shared" si="75"/>
        <v>18</v>
      </c>
      <c r="P103" s="2910">
        <f t="shared" si="75"/>
        <v>29</v>
      </c>
      <c r="Q103" s="2911">
        <f t="shared" si="75"/>
        <v>10</v>
      </c>
      <c r="R103" s="2912">
        <f t="shared" si="75"/>
        <v>39</v>
      </c>
      <c r="S103" s="2910">
        <f t="shared" si="75"/>
        <v>14</v>
      </c>
      <c r="T103" s="2911">
        <f t="shared" si="75"/>
        <v>2</v>
      </c>
      <c r="U103" s="2912">
        <f t="shared" si="75"/>
        <v>16</v>
      </c>
      <c r="V103" s="2910">
        <f t="shared" si="75"/>
        <v>2</v>
      </c>
      <c r="W103" s="2911">
        <f t="shared" si="75"/>
        <v>1</v>
      </c>
      <c r="X103" s="2912">
        <f t="shared" si="75"/>
        <v>3</v>
      </c>
      <c r="Y103" s="2910"/>
      <c r="Z103" s="2911"/>
      <c r="AA103" s="2912"/>
      <c r="AB103" s="2910">
        <f t="shared" ref="AB103:AD103" si="76">SUM(AB94:AB102)</f>
        <v>7</v>
      </c>
      <c r="AC103" s="2911">
        <f t="shared" si="76"/>
        <v>8</v>
      </c>
      <c r="AD103" s="2912">
        <f t="shared" si="76"/>
        <v>15</v>
      </c>
    </row>
    <row r="104" spans="3:30" ht="15" customHeight="1" x14ac:dyDescent="0.3">
      <c r="C104" s="2904" t="s">
        <v>421</v>
      </c>
      <c r="D104" s="2878">
        <v>1</v>
      </c>
      <c r="E104" s="2879">
        <v>3</v>
      </c>
      <c r="F104" s="2877">
        <f t="shared" si="67"/>
        <v>4</v>
      </c>
      <c r="G104" s="2878">
        <v>4</v>
      </c>
      <c r="H104" s="2879">
        <v>7</v>
      </c>
      <c r="I104" s="2877">
        <f t="shared" si="59"/>
        <v>11</v>
      </c>
      <c r="J104" s="2878">
        <v>1</v>
      </c>
      <c r="K104" s="2879"/>
      <c r="L104" s="2877">
        <f>+J104+K104</f>
        <v>1</v>
      </c>
      <c r="M104" s="2878">
        <v>1</v>
      </c>
      <c r="N104" s="2879"/>
      <c r="O104" s="2877">
        <f>+M104+N104</f>
        <v>1</v>
      </c>
      <c r="P104" s="2878">
        <v>3</v>
      </c>
      <c r="Q104" s="2879">
        <v>2</v>
      </c>
      <c r="R104" s="2877">
        <f>+P104+Q104</f>
        <v>5</v>
      </c>
      <c r="S104" s="2878"/>
      <c r="T104" s="2879"/>
      <c r="U104" s="2877"/>
      <c r="V104" s="2878"/>
      <c r="W104" s="2879"/>
      <c r="X104" s="2877"/>
      <c r="Y104" s="2878"/>
      <c r="Z104" s="2879"/>
      <c r="AA104" s="2877"/>
      <c r="AB104" s="2878">
        <v>2</v>
      </c>
      <c r="AC104" s="2879">
        <v>1</v>
      </c>
      <c r="AD104" s="2877">
        <f>SUM(AB104:AC104)</f>
        <v>3</v>
      </c>
    </row>
    <row r="105" spans="3:30" ht="15" hidden="1" customHeight="1" x14ac:dyDescent="0.3">
      <c r="C105" s="2904" t="s">
        <v>418</v>
      </c>
      <c r="D105" s="2878"/>
      <c r="E105" s="2879"/>
      <c r="F105" s="2877"/>
      <c r="G105" s="2878"/>
      <c r="H105" s="2879"/>
      <c r="I105" s="2877"/>
      <c r="J105" s="2878"/>
      <c r="K105" s="2879">
        <v>1</v>
      </c>
      <c r="L105" s="2877">
        <f>+J105+K105</f>
        <v>1</v>
      </c>
      <c r="M105" s="2878"/>
      <c r="N105" s="2879"/>
      <c r="O105" s="2877"/>
      <c r="P105" s="2878">
        <v>1</v>
      </c>
      <c r="Q105" s="2879"/>
      <c r="R105" s="2877">
        <f>+P105+Q105</f>
        <v>1</v>
      </c>
      <c r="S105" s="2878">
        <v>2</v>
      </c>
      <c r="T105" s="2879"/>
      <c r="U105" s="2877">
        <f>+S105+T105</f>
        <v>2</v>
      </c>
      <c r="V105" s="2878"/>
      <c r="W105" s="2879"/>
      <c r="X105" s="2877"/>
      <c r="Y105" s="2878"/>
      <c r="Z105" s="2879"/>
      <c r="AA105" s="2877"/>
      <c r="AB105" s="2878"/>
      <c r="AC105" s="2879"/>
      <c r="AD105" s="2877"/>
    </row>
    <row r="106" spans="3:30" ht="15" customHeight="1" x14ac:dyDescent="0.3">
      <c r="C106" s="2913" t="s">
        <v>68</v>
      </c>
      <c r="D106" s="2895">
        <f t="shared" ref="D106:I106" si="77">SUM(D104)</f>
        <v>1</v>
      </c>
      <c r="E106" s="2896">
        <f t="shared" si="77"/>
        <v>3</v>
      </c>
      <c r="F106" s="2897">
        <f t="shared" si="77"/>
        <v>4</v>
      </c>
      <c r="G106" s="2895">
        <f t="shared" si="77"/>
        <v>4</v>
      </c>
      <c r="H106" s="2896">
        <f t="shared" si="77"/>
        <v>7</v>
      </c>
      <c r="I106" s="2897">
        <f t="shared" si="77"/>
        <v>11</v>
      </c>
      <c r="J106" s="2910">
        <f t="shared" ref="J106:X106" si="78">SUM(J104:J105)</f>
        <v>1</v>
      </c>
      <c r="K106" s="2896">
        <f t="shared" si="78"/>
        <v>1</v>
      </c>
      <c r="L106" s="2897">
        <f t="shared" si="78"/>
        <v>2</v>
      </c>
      <c r="M106" s="2910">
        <f t="shared" si="78"/>
        <v>1</v>
      </c>
      <c r="N106" s="2896">
        <f t="shared" si="78"/>
        <v>0</v>
      </c>
      <c r="O106" s="2897">
        <f t="shared" si="78"/>
        <v>1</v>
      </c>
      <c r="P106" s="2910">
        <f t="shared" si="78"/>
        <v>4</v>
      </c>
      <c r="Q106" s="2896">
        <f t="shared" si="78"/>
        <v>2</v>
      </c>
      <c r="R106" s="2897">
        <f t="shared" si="78"/>
        <v>6</v>
      </c>
      <c r="S106" s="2910">
        <f t="shared" si="78"/>
        <v>2</v>
      </c>
      <c r="T106" s="2896">
        <f t="shared" si="78"/>
        <v>0</v>
      </c>
      <c r="U106" s="2897">
        <f t="shared" si="78"/>
        <v>2</v>
      </c>
      <c r="V106" s="2910">
        <f t="shared" si="78"/>
        <v>0</v>
      </c>
      <c r="W106" s="2896">
        <f t="shared" si="78"/>
        <v>0</v>
      </c>
      <c r="X106" s="2897">
        <f t="shared" si="78"/>
        <v>0</v>
      </c>
      <c r="Y106" s="2910"/>
      <c r="Z106" s="2896"/>
      <c r="AA106" s="2897"/>
      <c r="AB106" s="2910">
        <f t="shared" ref="AB106:AD106" si="79">SUM(AB104:AB105)</f>
        <v>2</v>
      </c>
      <c r="AC106" s="2896">
        <f t="shared" si="79"/>
        <v>1</v>
      </c>
      <c r="AD106" s="2897">
        <f t="shared" si="79"/>
        <v>3</v>
      </c>
    </row>
    <row r="107" spans="3:30" ht="15" customHeight="1" x14ac:dyDescent="0.3">
      <c r="C107" s="2914" t="s">
        <v>422</v>
      </c>
      <c r="D107" s="2915">
        <f t="shared" ref="D107:X107" si="80">SUM(D106,D103,D93)</f>
        <v>7</v>
      </c>
      <c r="E107" s="2916">
        <f t="shared" si="80"/>
        <v>6</v>
      </c>
      <c r="F107" s="2917">
        <f t="shared" si="80"/>
        <v>13</v>
      </c>
      <c r="G107" s="2915">
        <f t="shared" si="80"/>
        <v>21</v>
      </c>
      <c r="H107" s="2916">
        <f t="shared" si="80"/>
        <v>24</v>
      </c>
      <c r="I107" s="2917">
        <f t="shared" si="80"/>
        <v>45</v>
      </c>
      <c r="J107" s="2915">
        <f t="shared" si="80"/>
        <v>12</v>
      </c>
      <c r="K107" s="2916">
        <f t="shared" si="80"/>
        <v>7</v>
      </c>
      <c r="L107" s="2917">
        <f t="shared" si="80"/>
        <v>19</v>
      </c>
      <c r="M107" s="2915">
        <f t="shared" si="80"/>
        <v>27</v>
      </c>
      <c r="N107" s="2916">
        <f t="shared" si="80"/>
        <v>12</v>
      </c>
      <c r="O107" s="2917">
        <f t="shared" si="80"/>
        <v>39</v>
      </c>
      <c r="P107" s="2915">
        <f t="shared" si="80"/>
        <v>45</v>
      </c>
      <c r="Q107" s="2916">
        <f t="shared" si="80"/>
        <v>19</v>
      </c>
      <c r="R107" s="2917">
        <f t="shared" si="80"/>
        <v>64</v>
      </c>
      <c r="S107" s="2915">
        <f t="shared" si="80"/>
        <v>25</v>
      </c>
      <c r="T107" s="2916">
        <f t="shared" si="80"/>
        <v>12</v>
      </c>
      <c r="U107" s="2917">
        <f t="shared" si="80"/>
        <v>37</v>
      </c>
      <c r="V107" s="2915">
        <f t="shared" si="80"/>
        <v>2</v>
      </c>
      <c r="W107" s="2916">
        <f t="shared" si="80"/>
        <v>1</v>
      </c>
      <c r="X107" s="2917">
        <f t="shared" si="80"/>
        <v>3</v>
      </c>
      <c r="Y107" s="2915"/>
      <c r="Z107" s="2916"/>
      <c r="AA107" s="2917"/>
      <c r="AB107" s="2915">
        <f t="shared" ref="AB107:AD107" si="81">SUM(AB106,AB103,AB93)</f>
        <v>23</v>
      </c>
      <c r="AC107" s="2916">
        <f t="shared" si="81"/>
        <v>17</v>
      </c>
      <c r="AD107" s="2917">
        <f t="shared" si="81"/>
        <v>40</v>
      </c>
    </row>
    <row r="108" spans="3:30" ht="15" customHeight="1" x14ac:dyDescent="0.3"/>
    <row r="109" spans="3:30" x14ac:dyDescent="0.3">
      <c r="C109" s="2918" t="s">
        <v>431</v>
      </c>
      <c r="D109" s="2918">
        <f>SUM(D107,D79,D41,D31)</f>
        <v>40</v>
      </c>
      <c r="E109" s="2919">
        <f>SUM(E107,E79,E41,E31)</f>
        <v>72</v>
      </c>
      <c r="F109" s="2920">
        <f t="shared" ref="F109:U109" si="82">SUM(F31,F41,F79,F107)</f>
        <v>112</v>
      </c>
      <c r="G109" s="2918">
        <f t="shared" si="82"/>
        <v>87</v>
      </c>
      <c r="H109" s="2919">
        <f t="shared" si="82"/>
        <v>91</v>
      </c>
      <c r="I109" s="2920">
        <f t="shared" si="82"/>
        <v>178</v>
      </c>
      <c r="J109" s="2918">
        <f t="shared" si="82"/>
        <v>81</v>
      </c>
      <c r="K109" s="2919">
        <f t="shared" si="82"/>
        <v>74</v>
      </c>
      <c r="L109" s="2920">
        <f t="shared" si="82"/>
        <v>155</v>
      </c>
      <c r="M109" s="2918">
        <f t="shared" si="82"/>
        <v>94</v>
      </c>
      <c r="N109" s="2919">
        <f t="shared" si="82"/>
        <v>86</v>
      </c>
      <c r="O109" s="2920">
        <f t="shared" si="82"/>
        <v>173</v>
      </c>
      <c r="P109" s="2918">
        <f t="shared" si="82"/>
        <v>149</v>
      </c>
      <c r="Q109" s="2919">
        <f t="shared" si="82"/>
        <v>104</v>
      </c>
      <c r="R109" s="2920">
        <f t="shared" si="82"/>
        <v>253</v>
      </c>
      <c r="S109" s="2918">
        <f t="shared" si="82"/>
        <v>86</v>
      </c>
      <c r="T109" s="2919">
        <f t="shared" si="82"/>
        <v>81</v>
      </c>
      <c r="U109" s="2920">
        <f t="shared" si="82"/>
        <v>167</v>
      </c>
      <c r="V109" s="2918">
        <f t="shared" ref="V109:X109" si="83">SUM(V31,V41,V79,V107)</f>
        <v>8</v>
      </c>
      <c r="W109" s="2919">
        <f t="shared" si="83"/>
        <v>8</v>
      </c>
      <c r="X109" s="2920">
        <f t="shared" si="83"/>
        <v>16</v>
      </c>
      <c r="Y109" s="2918"/>
      <c r="Z109" s="2919"/>
      <c r="AA109" s="2920"/>
      <c r="AB109" s="2918">
        <f t="shared" ref="AB109:AD109" si="84">SUM(AB31,AB41,AB79,AB107)</f>
        <v>72</v>
      </c>
      <c r="AC109" s="2919">
        <f t="shared" si="84"/>
        <v>54</v>
      </c>
      <c r="AD109" s="2920">
        <f t="shared" si="84"/>
        <v>126</v>
      </c>
    </row>
    <row r="110" spans="3:30" x14ac:dyDescent="0.3">
      <c r="C110" s="2341" t="s">
        <v>622</v>
      </c>
      <c r="AA110" s="4664" t="s">
        <v>1596</v>
      </c>
    </row>
  </sheetData>
  <mergeCells count="10">
    <mergeCell ref="AB3:AD3"/>
    <mergeCell ref="Y3:AA3"/>
    <mergeCell ref="S3:U3"/>
    <mergeCell ref="V3:X3"/>
    <mergeCell ref="C3:C4"/>
    <mergeCell ref="D3:F3"/>
    <mergeCell ref="G3:I3"/>
    <mergeCell ref="J3:L3"/>
    <mergeCell ref="M3:O3"/>
    <mergeCell ref="P3:R3"/>
  </mergeCells>
  <printOptions horizontalCentered="1" verticalCentered="1"/>
  <pageMargins left="0.70866141732283472" right="0.70866141732283472" top="0.35433070866141736" bottom="0.35433070866141736" header="0.31496062992125984" footer="0.31496062992125984"/>
  <pageSetup scale="52" firstPageNumber="117" orientation="landscape" useFirstPageNumber="1" r:id="rId1"/>
  <headerFooter scaleWithDoc="0" alignWithMargins="0">
    <oddFooter>&amp;R&amp;P</oddFooter>
  </headerFooter>
  <rowBreaks count="2" manualBreakCount="2">
    <brk id="41" min="2" max="2" man="1"/>
    <brk id="41" min="15" max="29" man="1"/>
  </rowBreaks>
  <ignoredErrors>
    <ignoredError sqref="D14:K14 D85:E109 D22:K23 D15:E16 G15:K16 D17:K19 D24:E60 D62:E62 D64:E82" formulaRange="1"/>
    <ignoredError sqref="L14:AA14 F24:K31 L103:AA103 L24:AA28 F102:K109 F98:H98 J98:K98 G99:K101 L99:AA100 M98:N98 M101:T101 F93:K97 G92:K92 L93:AA96 M92:AA92 L81:AA81 M80:AA80 L91:AA91 M86:N86 F87:K91 G85:K86 F75:K75 F73:H74 J73:K74 L74:AA74 M73:AA73 F77:AA79 M75:T75 M59:AA59 L67:AA67 F66:K72 G64:K65 L53:AA53 M51:AA52 L56:AA58 M54:N54 F62:AA62 F52:H52 J52:K52 M46:N46 F48:K51 G47:AA47 L34:AA34 M33:AA33 F38:K46 F34:K36 G32:K33 M23:AA23 L22:AA22 M16:AA16 L15:N15 P15:AA15 L30:AA32 L29:N29 P29:AA29 L38:AA41 G37:T37 V37:AA37 L36:AA36 L35:T35 V35:AA35 L44:AA45 L42:T43 V42:AA43 V54:AA54 L55:N55 P55:AA55 P54:T54 L49:AA50 L48:N48 P48:AA48 P46:AA46 L60:T60 V60:AA60 M64:N65 V64:AA64 L66:N66 V66:AA66 L70:AA72 L68:T69 V68:AA69 P65:AA65 P64:T64 P66:T66 G76:N76 P76:AA76 V75:AA75 L85:T85 L82:N82 P82:AA82 P86:T86 L87:T90 V85:AA90 L97:T97 V97:AA97 V101:AA102 P98:AA98 M102:N102 P102:T102 L106:AA109 L105:N105 P105:AA105 L104:T104 V104:AA104 L17:AA19 F53:K60 G80:K82" formula="1" formulaRange="1"/>
    <ignoredError sqref="AD70" formula="1"/>
  </ignoredErrors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</sheetPr>
  <dimension ref="B1:AC89"/>
  <sheetViews>
    <sheetView showGridLines="0" zoomScale="110" zoomScaleNormal="110" workbookViewId="0">
      <pane xSplit="2" ySplit="4" topLeftCell="X13" activePane="bottomRight" state="frozen"/>
      <selection activeCell="Q31" sqref="Q31"/>
      <selection pane="topRight" activeCell="Q31" sqref="Q31"/>
      <selection pane="bottomLeft" activeCell="Q31" sqref="Q31"/>
      <selection pane="bottomRight" activeCell="AH31" sqref="AH31"/>
    </sheetView>
  </sheetViews>
  <sheetFormatPr baseColWidth="10" defaultColWidth="11.44140625" defaultRowHeight="14.4" x14ac:dyDescent="0.3"/>
  <cols>
    <col min="1" max="1" width="2.88671875" style="2699" customWidth="1"/>
    <col min="2" max="2" width="49.88671875" style="2699" bestFit="1" customWidth="1"/>
    <col min="3" max="4" width="9.88671875" style="2699" customWidth="1"/>
    <col min="5" max="5" width="7.88671875" style="2699" customWidth="1"/>
    <col min="6" max="7" width="9.88671875" style="2699" customWidth="1"/>
    <col min="8" max="8" width="7.88671875" style="2699" customWidth="1"/>
    <col min="9" max="9" width="8.88671875" style="2699" customWidth="1"/>
    <col min="10" max="10" width="9.109375" style="2699" customWidth="1"/>
    <col min="11" max="11" width="7.88671875" style="2699" customWidth="1"/>
    <col min="12" max="12" width="8.88671875" style="2699" customWidth="1"/>
    <col min="13" max="13" width="9.109375" style="2699" customWidth="1"/>
    <col min="14" max="14" width="7.88671875" style="2699" customWidth="1"/>
    <col min="15" max="15" width="8.88671875" style="2699" customWidth="1"/>
    <col min="16" max="16" width="9.109375" style="2699" customWidth="1"/>
    <col min="17" max="17" width="7.88671875" style="2699" customWidth="1"/>
    <col min="18" max="18" width="8.88671875" style="2699" customWidth="1"/>
    <col min="19" max="19" width="9.109375" style="2699" customWidth="1"/>
    <col min="20" max="20" width="7.88671875" style="2699" customWidth="1"/>
    <col min="21" max="21" width="8.88671875" style="2699" customWidth="1"/>
    <col min="22" max="22" width="9.109375" style="2699" customWidth="1"/>
    <col min="23" max="23" width="7.88671875" style="2699" customWidth="1"/>
    <col min="24" max="24" width="8.88671875" style="2699" customWidth="1"/>
    <col min="25" max="25" width="9.109375" style="2699" customWidth="1"/>
    <col min="26" max="26" width="7.5546875" style="2699" customWidth="1"/>
    <col min="27" max="27" width="8.88671875" style="2699" bestFit="1" customWidth="1"/>
    <col min="28" max="28" width="9.109375" style="2699" bestFit="1" customWidth="1"/>
    <col min="29" max="29" width="8" style="2699" customWidth="1"/>
    <col min="30" max="16384" width="11.44140625" style="2699"/>
  </cols>
  <sheetData>
    <row r="1" spans="2:29" ht="36" x14ac:dyDescent="0.35">
      <c r="B1" s="2951" t="s">
        <v>1503</v>
      </c>
    </row>
    <row r="2" spans="2:29" ht="14.4" customHeight="1" x14ac:dyDescent="0.35">
      <c r="B2" s="2951"/>
    </row>
    <row r="3" spans="2:29" x14ac:dyDescent="0.3">
      <c r="B3" s="6094" t="s">
        <v>624</v>
      </c>
      <c r="C3" s="6112">
        <v>2014</v>
      </c>
      <c r="D3" s="6113"/>
      <c r="E3" s="6091"/>
      <c r="F3" s="6112">
        <v>2015</v>
      </c>
      <c r="G3" s="6113"/>
      <c r="H3" s="6091"/>
      <c r="I3" s="6112">
        <v>2016</v>
      </c>
      <c r="J3" s="6113"/>
      <c r="K3" s="6091"/>
      <c r="L3" s="6112">
        <v>2017</v>
      </c>
      <c r="M3" s="6113"/>
      <c r="N3" s="6091"/>
      <c r="O3" s="6112">
        <v>2018</v>
      </c>
      <c r="P3" s="6113"/>
      <c r="Q3" s="6091"/>
      <c r="R3" s="6112">
        <v>2019</v>
      </c>
      <c r="S3" s="6113"/>
      <c r="T3" s="6091"/>
      <c r="U3" s="6112">
        <v>2020</v>
      </c>
      <c r="V3" s="6113"/>
      <c r="W3" s="6091"/>
      <c r="X3" s="6112">
        <v>2021</v>
      </c>
      <c r="Y3" s="6113"/>
      <c r="Z3" s="6091"/>
      <c r="AA3" s="6112">
        <v>2022</v>
      </c>
      <c r="AB3" s="6113"/>
      <c r="AC3" s="6091"/>
    </row>
    <row r="4" spans="2:29" x14ac:dyDescent="0.3">
      <c r="B4" s="6087"/>
      <c r="C4" s="2921" t="s">
        <v>140</v>
      </c>
      <c r="D4" s="2921" t="s">
        <v>141</v>
      </c>
      <c r="E4" s="2922" t="s">
        <v>48</v>
      </c>
      <c r="F4" s="2921" t="s">
        <v>140</v>
      </c>
      <c r="G4" s="2921" t="s">
        <v>141</v>
      </c>
      <c r="H4" s="2922" t="s">
        <v>48</v>
      </c>
      <c r="I4" s="2921" t="s">
        <v>140</v>
      </c>
      <c r="J4" s="2921" t="s">
        <v>141</v>
      </c>
      <c r="K4" s="2922" t="s">
        <v>48</v>
      </c>
      <c r="L4" s="2921" t="s">
        <v>140</v>
      </c>
      <c r="M4" s="2921" t="s">
        <v>141</v>
      </c>
      <c r="N4" s="2922" t="s">
        <v>48</v>
      </c>
      <c r="O4" s="2921" t="s">
        <v>140</v>
      </c>
      <c r="P4" s="2921" t="s">
        <v>141</v>
      </c>
      <c r="Q4" s="2922" t="s">
        <v>48</v>
      </c>
      <c r="R4" s="2921" t="s">
        <v>140</v>
      </c>
      <c r="S4" s="2921" t="s">
        <v>141</v>
      </c>
      <c r="T4" s="2922" t="s">
        <v>48</v>
      </c>
      <c r="U4" s="2921" t="s">
        <v>140</v>
      </c>
      <c r="V4" s="2921" t="s">
        <v>141</v>
      </c>
      <c r="W4" s="2922" t="s">
        <v>48</v>
      </c>
      <c r="X4" s="2921" t="s">
        <v>140</v>
      </c>
      <c r="Y4" s="2921" t="s">
        <v>141</v>
      </c>
      <c r="Z4" s="2922" t="s">
        <v>48</v>
      </c>
      <c r="AA4" s="2921" t="s">
        <v>140</v>
      </c>
      <c r="AB4" s="2921" t="s">
        <v>141</v>
      </c>
      <c r="AC4" s="2922" t="s">
        <v>48</v>
      </c>
    </row>
    <row r="5" spans="2:29" x14ac:dyDescent="0.3">
      <c r="B5" s="2923" t="s">
        <v>710</v>
      </c>
      <c r="C5" s="2714"/>
      <c r="D5" s="2763"/>
      <c r="E5" s="2924"/>
      <c r="F5" s="2714"/>
      <c r="G5" s="2763"/>
      <c r="H5" s="2924"/>
      <c r="I5" s="2714"/>
      <c r="J5" s="2763"/>
      <c r="K5" s="2924"/>
      <c r="L5" s="2714"/>
      <c r="M5" s="2763"/>
      <c r="N5" s="2924"/>
      <c r="O5" s="2714">
        <v>3</v>
      </c>
      <c r="P5" s="2763"/>
      <c r="Q5" s="2924">
        <f t="shared" ref="Q5:Q15" si="0">SUM(O5:P5)</f>
        <v>3</v>
      </c>
      <c r="R5" s="2714"/>
      <c r="S5" s="2763"/>
      <c r="T5" s="2924"/>
      <c r="U5" s="2714"/>
      <c r="V5" s="2763"/>
      <c r="W5" s="2924"/>
      <c r="X5" s="2714"/>
      <c r="Y5" s="2763"/>
      <c r="Z5" s="2924"/>
      <c r="AA5" s="2714"/>
      <c r="AB5" s="2763"/>
      <c r="AC5" s="2924"/>
    </row>
    <row r="6" spans="2:29" x14ac:dyDescent="0.3">
      <c r="B6" s="2925" t="s">
        <v>711</v>
      </c>
      <c r="C6" s="2568"/>
      <c r="D6" s="2603"/>
      <c r="E6" s="2926"/>
      <c r="F6" s="2568"/>
      <c r="G6" s="2603"/>
      <c r="H6" s="2926"/>
      <c r="I6" s="2568"/>
      <c r="J6" s="2603"/>
      <c r="K6" s="2926"/>
      <c r="L6" s="2568"/>
      <c r="M6" s="2603"/>
      <c r="N6" s="2926"/>
      <c r="O6" s="2568"/>
      <c r="P6" s="2603"/>
      <c r="Q6" s="2926"/>
      <c r="R6" s="2568"/>
      <c r="S6" s="2603">
        <v>1</v>
      </c>
      <c r="T6" s="2927">
        <f>SUM(R6:S6)</f>
        <v>1</v>
      </c>
      <c r="U6" s="2568"/>
      <c r="V6" s="2603"/>
      <c r="W6" s="2927"/>
      <c r="X6" s="2568"/>
      <c r="Y6" s="2603"/>
      <c r="Z6" s="2927"/>
      <c r="AA6" s="2568"/>
      <c r="AB6" s="2603"/>
      <c r="AC6" s="2927"/>
    </row>
    <row r="7" spans="2:29" x14ac:dyDescent="0.3">
      <c r="B7" s="2925" t="s">
        <v>712</v>
      </c>
      <c r="C7" s="2573"/>
      <c r="D7" s="2576"/>
      <c r="E7" s="2927"/>
      <c r="F7" s="2573"/>
      <c r="G7" s="2576"/>
      <c r="H7" s="2927"/>
      <c r="I7" s="2573">
        <v>1</v>
      </c>
      <c r="J7" s="2576"/>
      <c r="K7" s="2927">
        <f t="shared" ref="K7:K18" si="1">SUM(I7:J7)</f>
        <v>1</v>
      </c>
      <c r="L7" s="2573">
        <v>6</v>
      </c>
      <c r="M7" s="2576">
        <v>5</v>
      </c>
      <c r="N7" s="2927">
        <f t="shared" ref="N7:N8" si="2">SUM(L7:M7)</f>
        <v>11</v>
      </c>
      <c r="O7" s="2573">
        <v>2</v>
      </c>
      <c r="P7" s="2576">
        <v>3</v>
      </c>
      <c r="Q7" s="2927">
        <f t="shared" si="0"/>
        <v>5</v>
      </c>
      <c r="R7" s="2573">
        <v>2</v>
      </c>
      <c r="S7" s="2576">
        <v>1</v>
      </c>
      <c r="T7" s="2927">
        <f>SUM(R7:S7)</f>
        <v>3</v>
      </c>
      <c r="U7" s="2573"/>
      <c r="V7" s="2576"/>
      <c r="W7" s="2927"/>
      <c r="X7" s="2573"/>
      <c r="Y7" s="2576"/>
      <c r="Z7" s="2927"/>
      <c r="AA7" s="2573">
        <v>1</v>
      </c>
      <c r="AB7" s="2576"/>
      <c r="AC7" s="2927">
        <f>SUM(AA7:AB7)</f>
        <v>1</v>
      </c>
    </row>
    <row r="8" spans="2:29" x14ac:dyDescent="0.3">
      <c r="B8" s="2925" t="s">
        <v>314</v>
      </c>
      <c r="C8" s="2573"/>
      <c r="D8" s="2576"/>
      <c r="E8" s="2927"/>
      <c r="F8" s="2573"/>
      <c r="G8" s="2576">
        <v>2</v>
      </c>
      <c r="H8" s="2927">
        <f>SUM(F8:G8)</f>
        <v>2</v>
      </c>
      <c r="I8" s="2573">
        <v>1</v>
      </c>
      <c r="J8" s="2576">
        <v>1</v>
      </c>
      <c r="K8" s="2927">
        <f t="shared" si="1"/>
        <v>2</v>
      </c>
      <c r="L8" s="2573">
        <v>2</v>
      </c>
      <c r="M8" s="2576"/>
      <c r="N8" s="2927">
        <f t="shared" si="2"/>
        <v>2</v>
      </c>
      <c r="O8" s="2573">
        <v>2</v>
      </c>
      <c r="P8" s="2576">
        <v>1</v>
      </c>
      <c r="Q8" s="2927">
        <f t="shared" si="0"/>
        <v>3</v>
      </c>
      <c r="R8" s="2573"/>
      <c r="S8" s="2576"/>
      <c r="T8" s="2927"/>
      <c r="U8" s="2573"/>
      <c r="V8" s="2576"/>
      <c r="W8" s="2927"/>
      <c r="X8" s="2573"/>
      <c r="Y8" s="2576"/>
      <c r="Z8" s="2927"/>
      <c r="AA8" s="2573"/>
      <c r="AB8" s="2576"/>
      <c r="AC8" s="2927"/>
    </row>
    <row r="9" spans="2:29" x14ac:dyDescent="0.3">
      <c r="B9" s="2577" t="s">
        <v>59</v>
      </c>
      <c r="C9" s="2577">
        <f t="shared" ref="C9:T9" si="3">SUM(C5:C8)</f>
        <v>0</v>
      </c>
      <c r="D9" s="2928">
        <f t="shared" si="3"/>
        <v>0</v>
      </c>
      <c r="E9" s="2929">
        <f t="shared" si="3"/>
        <v>0</v>
      </c>
      <c r="F9" s="2577">
        <f t="shared" si="3"/>
        <v>0</v>
      </c>
      <c r="G9" s="2928">
        <f t="shared" si="3"/>
        <v>2</v>
      </c>
      <c r="H9" s="2929">
        <f t="shared" si="3"/>
        <v>2</v>
      </c>
      <c r="I9" s="2577">
        <f t="shared" si="3"/>
        <v>2</v>
      </c>
      <c r="J9" s="2928">
        <f t="shared" si="3"/>
        <v>1</v>
      </c>
      <c r="K9" s="2929">
        <f t="shared" si="3"/>
        <v>3</v>
      </c>
      <c r="L9" s="2577">
        <f t="shared" si="3"/>
        <v>8</v>
      </c>
      <c r="M9" s="2928">
        <f t="shared" si="3"/>
        <v>5</v>
      </c>
      <c r="N9" s="2929">
        <f t="shared" si="3"/>
        <v>13</v>
      </c>
      <c r="O9" s="2577">
        <f t="shared" si="3"/>
        <v>7</v>
      </c>
      <c r="P9" s="2928">
        <f t="shared" si="3"/>
        <v>4</v>
      </c>
      <c r="Q9" s="2929">
        <f t="shared" si="3"/>
        <v>11</v>
      </c>
      <c r="R9" s="2577">
        <f t="shared" si="3"/>
        <v>2</v>
      </c>
      <c r="S9" s="2928">
        <f t="shared" si="3"/>
        <v>2</v>
      </c>
      <c r="T9" s="2929">
        <f t="shared" si="3"/>
        <v>4</v>
      </c>
      <c r="U9" s="2577">
        <f>SUM(U5:U8)</f>
        <v>0</v>
      </c>
      <c r="V9" s="2928">
        <f>SUM(V5:V8)</f>
        <v>0</v>
      </c>
      <c r="W9" s="2929">
        <f>SUM(W5:W8)</f>
        <v>0</v>
      </c>
      <c r="X9" s="2577"/>
      <c r="Y9" s="2928"/>
      <c r="Z9" s="2929"/>
      <c r="AA9" s="2577">
        <f>SUM(AA5:AA8)</f>
        <v>1</v>
      </c>
      <c r="AB9" s="2928"/>
      <c r="AC9" s="2929">
        <f>SUM(AC5:AC8)</f>
        <v>1</v>
      </c>
    </row>
    <row r="10" spans="2:29" x14ac:dyDescent="0.3">
      <c r="B10" s="1402" t="s">
        <v>713</v>
      </c>
      <c r="C10" s="2573"/>
      <c r="D10" s="2576"/>
      <c r="E10" s="2927"/>
      <c r="F10" s="2573">
        <v>1</v>
      </c>
      <c r="G10" s="2576">
        <v>1</v>
      </c>
      <c r="H10" s="2927">
        <f>SUM(F10:G10)</f>
        <v>2</v>
      </c>
      <c r="I10" s="2573"/>
      <c r="J10" s="2576"/>
      <c r="K10" s="2927"/>
      <c r="L10" s="2573"/>
      <c r="M10" s="2576"/>
      <c r="N10" s="2927"/>
      <c r="O10" s="2573"/>
      <c r="P10" s="2576"/>
      <c r="Q10" s="2927"/>
      <c r="R10" s="2573"/>
      <c r="S10" s="2576"/>
      <c r="T10" s="2927"/>
      <c r="U10" s="2573"/>
      <c r="V10" s="2576"/>
      <c r="W10" s="2927"/>
      <c r="X10" s="2573"/>
      <c r="Y10" s="2576"/>
      <c r="Z10" s="2927"/>
      <c r="AA10" s="2573"/>
      <c r="AB10" s="2576"/>
      <c r="AC10" s="2927"/>
    </row>
    <row r="11" spans="2:29" x14ac:dyDescent="0.3">
      <c r="B11" s="1402" t="s">
        <v>335</v>
      </c>
      <c r="C11" s="2573"/>
      <c r="D11" s="2576"/>
      <c r="E11" s="2927"/>
      <c r="F11" s="2573"/>
      <c r="G11" s="2576"/>
      <c r="H11" s="2927"/>
      <c r="I11" s="2573"/>
      <c r="J11" s="2576"/>
      <c r="K11" s="2927"/>
      <c r="L11" s="2573"/>
      <c r="M11" s="2576"/>
      <c r="N11" s="2927"/>
      <c r="O11" s="2573"/>
      <c r="P11" s="2576"/>
      <c r="Q11" s="2927"/>
      <c r="R11" s="2573">
        <v>1</v>
      </c>
      <c r="S11" s="2576"/>
      <c r="T11" s="2927">
        <f t="shared" ref="T11:T13" si="4">SUM(R11:S11)</f>
        <v>1</v>
      </c>
      <c r="U11" s="2573"/>
      <c r="V11" s="2576"/>
      <c r="W11" s="2927"/>
      <c r="X11" s="2573"/>
      <c r="Y11" s="2576"/>
      <c r="Z11" s="2927"/>
      <c r="AA11" s="2573"/>
      <c r="AB11" s="2576"/>
      <c r="AC11" s="2927"/>
    </row>
    <row r="12" spans="2:29" x14ac:dyDescent="0.3">
      <c r="B12" s="1402" t="s">
        <v>714</v>
      </c>
      <c r="C12" s="2573"/>
      <c r="D12" s="2576"/>
      <c r="E12" s="2927"/>
      <c r="F12" s="2573"/>
      <c r="G12" s="2576"/>
      <c r="H12" s="2927"/>
      <c r="I12" s="2573"/>
      <c r="J12" s="2576"/>
      <c r="K12" s="2927"/>
      <c r="L12" s="2573"/>
      <c r="M12" s="2576"/>
      <c r="N12" s="2927"/>
      <c r="O12" s="2573"/>
      <c r="P12" s="2576"/>
      <c r="Q12" s="2927"/>
      <c r="R12" s="2573">
        <v>1</v>
      </c>
      <c r="S12" s="2576"/>
      <c r="T12" s="2927">
        <f t="shared" si="4"/>
        <v>1</v>
      </c>
      <c r="U12" s="2573"/>
      <c r="V12" s="2576">
        <v>1</v>
      </c>
      <c r="W12" s="2927">
        <f t="shared" ref="W12:W15" si="5">SUM(U12:V12)</f>
        <v>1</v>
      </c>
      <c r="X12" s="2573"/>
      <c r="Y12" s="2576"/>
      <c r="Z12" s="2927"/>
      <c r="AA12" s="2573"/>
      <c r="AB12" s="2576"/>
      <c r="AC12" s="2927"/>
    </row>
    <row r="13" spans="2:29" x14ac:dyDescent="0.3">
      <c r="B13" s="1402" t="s">
        <v>330</v>
      </c>
      <c r="C13" s="2573"/>
      <c r="D13" s="2576"/>
      <c r="E13" s="2927"/>
      <c r="F13" s="2573"/>
      <c r="G13" s="2576"/>
      <c r="H13" s="2927"/>
      <c r="I13" s="2573">
        <v>1</v>
      </c>
      <c r="J13" s="2576"/>
      <c r="K13" s="2927">
        <f t="shared" si="1"/>
        <v>1</v>
      </c>
      <c r="L13" s="2573"/>
      <c r="M13" s="2576"/>
      <c r="N13" s="2927"/>
      <c r="O13" s="2573">
        <v>1</v>
      </c>
      <c r="P13" s="2576"/>
      <c r="Q13" s="2927">
        <f t="shared" si="0"/>
        <v>1</v>
      </c>
      <c r="R13" s="2573">
        <v>1</v>
      </c>
      <c r="S13" s="2576">
        <v>1</v>
      </c>
      <c r="T13" s="2927">
        <f t="shared" si="4"/>
        <v>2</v>
      </c>
      <c r="U13" s="2573"/>
      <c r="V13" s="2576"/>
      <c r="W13" s="2927"/>
      <c r="X13" s="2573"/>
      <c r="Y13" s="2576"/>
      <c r="Z13" s="2927"/>
      <c r="AA13" s="2573"/>
      <c r="AB13" s="2576"/>
      <c r="AC13" s="2927"/>
    </row>
    <row r="14" spans="2:29" x14ac:dyDescent="0.3">
      <c r="B14" s="1402" t="s">
        <v>329</v>
      </c>
      <c r="C14" s="2573"/>
      <c r="D14" s="2576"/>
      <c r="E14" s="2927"/>
      <c r="F14" s="2573">
        <v>1</v>
      </c>
      <c r="G14" s="2576"/>
      <c r="H14" s="2927">
        <f>SUM(F14:G14)</f>
        <v>1</v>
      </c>
      <c r="I14" s="2573"/>
      <c r="J14" s="2576"/>
      <c r="K14" s="2927"/>
      <c r="L14" s="2573"/>
      <c r="M14" s="2576"/>
      <c r="N14" s="2927"/>
      <c r="O14" s="2573"/>
      <c r="P14" s="2576"/>
      <c r="Q14" s="2927"/>
      <c r="R14" s="2573"/>
      <c r="S14" s="2576"/>
      <c r="T14" s="2927"/>
      <c r="U14" s="2573"/>
      <c r="V14" s="2576"/>
      <c r="W14" s="2927"/>
      <c r="X14" s="2573"/>
      <c r="Y14" s="2576"/>
      <c r="Z14" s="2927"/>
      <c r="AA14" s="2573"/>
      <c r="AB14" s="2576"/>
      <c r="AC14" s="2927"/>
    </row>
    <row r="15" spans="2:29" x14ac:dyDescent="0.3">
      <c r="B15" s="1402" t="s">
        <v>336</v>
      </c>
      <c r="C15" s="2573"/>
      <c r="D15" s="2576"/>
      <c r="E15" s="2927"/>
      <c r="F15" s="2573"/>
      <c r="G15" s="2576"/>
      <c r="H15" s="2927"/>
      <c r="I15" s="2573"/>
      <c r="J15" s="2576"/>
      <c r="K15" s="2927"/>
      <c r="L15" s="2573"/>
      <c r="M15" s="2576"/>
      <c r="N15" s="2927"/>
      <c r="O15" s="2573">
        <v>1</v>
      </c>
      <c r="P15" s="2576"/>
      <c r="Q15" s="2927">
        <f t="shared" si="0"/>
        <v>1</v>
      </c>
      <c r="R15" s="2573"/>
      <c r="S15" s="2576"/>
      <c r="T15" s="2927"/>
      <c r="U15" s="2573"/>
      <c r="V15" s="2576">
        <v>1</v>
      </c>
      <c r="W15" s="2927">
        <f t="shared" si="5"/>
        <v>1</v>
      </c>
      <c r="X15" s="2573"/>
      <c r="Y15" s="2576"/>
      <c r="Z15" s="2927"/>
      <c r="AA15" s="2573"/>
      <c r="AB15" s="2576"/>
      <c r="AC15" s="2927"/>
    </row>
    <row r="16" spans="2:29" x14ac:dyDescent="0.3">
      <c r="B16" s="2577" t="s">
        <v>64</v>
      </c>
      <c r="C16" s="2577">
        <f>SUM(C10:C15)</f>
        <v>0</v>
      </c>
      <c r="D16" s="2928">
        <f t="shared" ref="D16:W16" si="6">SUM(D10:D15)</f>
        <v>0</v>
      </c>
      <c r="E16" s="2929">
        <f t="shared" si="6"/>
        <v>0</v>
      </c>
      <c r="F16" s="2577">
        <f t="shared" si="6"/>
        <v>2</v>
      </c>
      <c r="G16" s="2928">
        <f t="shared" si="6"/>
        <v>1</v>
      </c>
      <c r="H16" s="2929">
        <f t="shared" si="6"/>
        <v>3</v>
      </c>
      <c r="I16" s="2577">
        <f t="shared" si="6"/>
        <v>1</v>
      </c>
      <c r="J16" s="2928">
        <f t="shared" si="6"/>
        <v>0</v>
      </c>
      <c r="K16" s="2929">
        <f t="shared" si="6"/>
        <v>1</v>
      </c>
      <c r="L16" s="2577">
        <f t="shared" si="6"/>
        <v>0</v>
      </c>
      <c r="M16" s="2928">
        <f t="shared" si="6"/>
        <v>0</v>
      </c>
      <c r="N16" s="2929">
        <f t="shared" si="6"/>
        <v>0</v>
      </c>
      <c r="O16" s="2577">
        <f t="shared" si="6"/>
        <v>2</v>
      </c>
      <c r="P16" s="2928">
        <f t="shared" si="6"/>
        <v>0</v>
      </c>
      <c r="Q16" s="2929">
        <f t="shared" si="6"/>
        <v>2</v>
      </c>
      <c r="R16" s="2577">
        <f t="shared" si="6"/>
        <v>3</v>
      </c>
      <c r="S16" s="2928">
        <f t="shared" si="6"/>
        <v>1</v>
      </c>
      <c r="T16" s="2929">
        <f t="shared" si="6"/>
        <v>4</v>
      </c>
      <c r="U16" s="2577">
        <f t="shared" si="6"/>
        <v>0</v>
      </c>
      <c r="V16" s="2928">
        <f t="shared" si="6"/>
        <v>2</v>
      </c>
      <c r="W16" s="2929">
        <f t="shared" si="6"/>
        <v>2</v>
      </c>
      <c r="X16" s="2577"/>
      <c r="Y16" s="2928"/>
      <c r="Z16" s="2929"/>
      <c r="AA16" s="2577"/>
      <c r="AB16" s="2928"/>
      <c r="AC16" s="2929"/>
    </row>
    <row r="17" spans="2:29" x14ac:dyDescent="0.3">
      <c r="B17" s="2930" t="s">
        <v>715</v>
      </c>
      <c r="C17" s="2573">
        <v>1</v>
      </c>
      <c r="D17" s="2576">
        <v>3</v>
      </c>
      <c r="E17" s="2927">
        <f>SUM(C17:D17)</f>
        <v>4</v>
      </c>
      <c r="F17" s="2573"/>
      <c r="G17" s="2576"/>
      <c r="H17" s="2927"/>
      <c r="I17" s="2573">
        <v>1</v>
      </c>
      <c r="J17" s="2576">
        <v>2</v>
      </c>
      <c r="K17" s="2927">
        <f t="shared" si="1"/>
        <v>3</v>
      </c>
      <c r="L17" s="2573"/>
      <c r="M17" s="2576"/>
      <c r="N17" s="2927"/>
      <c r="O17" s="2573"/>
      <c r="P17" s="2576"/>
      <c r="Q17" s="2927"/>
      <c r="R17" s="2573"/>
      <c r="S17" s="2576"/>
      <c r="T17" s="2927"/>
      <c r="U17" s="2573"/>
      <c r="V17" s="2576"/>
      <c r="W17" s="2927"/>
      <c r="X17" s="2573"/>
      <c r="Y17" s="2576"/>
      <c r="Z17" s="2927"/>
      <c r="AA17" s="2573"/>
      <c r="AB17" s="2576"/>
      <c r="AC17" s="2927"/>
    </row>
    <row r="18" spans="2:29" x14ac:dyDescent="0.3">
      <c r="B18" s="2930" t="s">
        <v>716</v>
      </c>
      <c r="C18" s="2604"/>
      <c r="D18" s="2765"/>
      <c r="E18" s="2931"/>
      <c r="F18" s="2604"/>
      <c r="G18" s="2765"/>
      <c r="H18" s="2931"/>
      <c r="I18" s="2604"/>
      <c r="J18" s="2765">
        <v>3</v>
      </c>
      <c r="K18" s="2931">
        <f t="shared" si="1"/>
        <v>3</v>
      </c>
      <c r="L18" s="2604"/>
      <c r="M18" s="2765"/>
      <c r="N18" s="2931"/>
      <c r="O18" s="2604"/>
      <c r="P18" s="2765"/>
      <c r="Q18" s="2931"/>
      <c r="R18" s="2604"/>
      <c r="S18" s="2765"/>
      <c r="T18" s="2931"/>
      <c r="U18" s="2604"/>
      <c r="V18" s="2765"/>
      <c r="W18" s="2931"/>
      <c r="X18" s="2604"/>
      <c r="Y18" s="2765"/>
      <c r="Z18" s="2931"/>
      <c r="AA18" s="2604"/>
      <c r="AB18" s="2765"/>
      <c r="AC18" s="2931"/>
    </row>
    <row r="19" spans="2:29" x14ac:dyDescent="0.3">
      <c r="B19" s="1402" t="s">
        <v>340</v>
      </c>
      <c r="C19" s="2573"/>
      <c r="D19" s="2576"/>
      <c r="E19" s="2927"/>
      <c r="F19" s="2573"/>
      <c r="G19" s="2576">
        <v>3</v>
      </c>
      <c r="H19" s="2927">
        <f>SUM(F19:G19)</f>
        <v>3</v>
      </c>
      <c r="I19" s="2573"/>
      <c r="J19" s="2576"/>
      <c r="K19" s="2927"/>
      <c r="L19" s="2573"/>
      <c r="M19" s="2576"/>
      <c r="N19" s="2927"/>
      <c r="O19" s="2573"/>
      <c r="P19" s="2576"/>
      <c r="Q19" s="2927"/>
      <c r="R19" s="2573"/>
      <c r="S19" s="2576"/>
      <c r="T19" s="2927"/>
      <c r="U19" s="2573"/>
      <c r="V19" s="2576"/>
      <c r="W19" s="2927"/>
      <c r="X19" s="2573"/>
      <c r="Y19" s="2576"/>
      <c r="Z19" s="2927"/>
      <c r="AA19" s="2573"/>
      <c r="AB19" s="2576"/>
      <c r="AC19" s="2927"/>
    </row>
    <row r="20" spans="2:29" x14ac:dyDescent="0.3">
      <c r="B20" s="2932" t="s">
        <v>68</v>
      </c>
      <c r="C20" s="2932">
        <f>SUM(C17:C19)</f>
        <v>1</v>
      </c>
      <c r="D20" s="2933">
        <f t="shared" ref="D20:W20" si="7">SUM(D17:D19)</f>
        <v>3</v>
      </c>
      <c r="E20" s="2934">
        <f t="shared" si="7"/>
        <v>4</v>
      </c>
      <c r="F20" s="2932">
        <f t="shared" si="7"/>
        <v>0</v>
      </c>
      <c r="G20" s="2933">
        <f t="shared" si="7"/>
        <v>3</v>
      </c>
      <c r="H20" s="2934">
        <f t="shared" si="7"/>
        <v>3</v>
      </c>
      <c r="I20" s="2932">
        <f t="shared" si="7"/>
        <v>1</v>
      </c>
      <c r="J20" s="2933">
        <f t="shared" si="7"/>
        <v>5</v>
      </c>
      <c r="K20" s="2934">
        <f t="shared" si="7"/>
        <v>6</v>
      </c>
      <c r="L20" s="2932">
        <f t="shared" si="7"/>
        <v>0</v>
      </c>
      <c r="M20" s="2933">
        <f t="shared" si="7"/>
        <v>0</v>
      </c>
      <c r="N20" s="2934">
        <f t="shared" si="7"/>
        <v>0</v>
      </c>
      <c r="O20" s="2932">
        <f t="shared" si="7"/>
        <v>0</v>
      </c>
      <c r="P20" s="2933">
        <f t="shared" si="7"/>
        <v>0</v>
      </c>
      <c r="Q20" s="2934">
        <f t="shared" si="7"/>
        <v>0</v>
      </c>
      <c r="R20" s="2932">
        <f t="shared" si="7"/>
        <v>0</v>
      </c>
      <c r="S20" s="2933">
        <f t="shared" si="7"/>
        <v>0</v>
      </c>
      <c r="T20" s="2934">
        <f t="shared" si="7"/>
        <v>0</v>
      </c>
      <c r="U20" s="2932">
        <f t="shared" si="7"/>
        <v>0</v>
      </c>
      <c r="V20" s="2933">
        <f t="shared" si="7"/>
        <v>0</v>
      </c>
      <c r="W20" s="2934">
        <f t="shared" si="7"/>
        <v>0</v>
      </c>
      <c r="X20" s="2932"/>
      <c r="Y20" s="2933"/>
      <c r="Z20" s="2934"/>
      <c r="AA20" s="2932"/>
      <c r="AB20" s="2933"/>
      <c r="AC20" s="2934"/>
    </row>
    <row r="21" spans="2:29" x14ac:dyDescent="0.3">
      <c r="B21" s="2935" t="s">
        <v>69</v>
      </c>
      <c r="C21" s="2935">
        <f>SUM(C20,C16,C9)</f>
        <v>1</v>
      </c>
      <c r="D21" s="2936">
        <f t="shared" ref="D21:W21" si="8">SUM(D20,D16,D9)</f>
        <v>3</v>
      </c>
      <c r="E21" s="2937">
        <f t="shared" si="8"/>
        <v>4</v>
      </c>
      <c r="F21" s="2935">
        <f t="shared" si="8"/>
        <v>2</v>
      </c>
      <c r="G21" s="2936">
        <f t="shared" si="8"/>
        <v>6</v>
      </c>
      <c r="H21" s="2937">
        <f t="shared" si="8"/>
        <v>8</v>
      </c>
      <c r="I21" s="2935">
        <f t="shared" si="8"/>
        <v>4</v>
      </c>
      <c r="J21" s="2936">
        <f t="shared" si="8"/>
        <v>6</v>
      </c>
      <c r="K21" s="2937">
        <f t="shared" si="8"/>
        <v>10</v>
      </c>
      <c r="L21" s="2935">
        <f t="shared" si="8"/>
        <v>8</v>
      </c>
      <c r="M21" s="2936">
        <f t="shared" si="8"/>
        <v>5</v>
      </c>
      <c r="N21" s="2937">
        <f t="shared" si="8"/>
        <v>13</v>
      </c>
      <c r="O21" s="2935">
        <f t="shared" si="8"/>
        <v>9</v>
      </c>
      <c r="P21" s="2936">
        <f t="shared" si="8"/>
        <v>4</v>
      </c>
      <c r="Q21" s="2937">
        <f t="shared" si="8"/>
        <v>13</v>
      </c>
      <c r="R21" s="2935">
        <f t="shared" si="8"/>
        <v>5</v>
      </c>
      <c r="S21" s="2936">
        <f t="shared" si="8"/>
        <v>3</v>
      </c>
      <c r="T21" s="2937">
        <f t="shared" si="8"/>
        <v>8</v>
      </c>
      <c r="U21" s="2935">
        <f t="shared" si="8"/>
        <v>0</v>
      </c>
      <c r="V21" s="2936">
        <f t="shared" si="8"/>
        <v>2</v>
      </c>
      <c r="W21" s="2937">
        <f t="shared" si="8"/>
        <v>2</v>
      </c>
      <c r="X21" s="2935"/>
      <c r="Y21" s="2936"/>
      <c r="Z21" s="2937"/>
      <c r="AA21" s="2935">
        <f>SUM(AA9,AA16,AA20)</f>
        <v>1</v>
      </c>
      <c r="AB21" s="2936">
        <f t="shared" ref="AB21:AC21" si="9">SUM(AB9,AB16,AB20)</f>
        <v>0</v>
      </c>
      <c r="AC21" s="2937">
        <f t="shared" si="9"/>
        <v>1</v>
      </c>
    </row>
    <row r="22" spans="2:29" x14ac:dyDescent="0.3">
      <c r="B22" s="2938" t="s">
        <v>717</v>
      </c>
      <c r="C22" s="2568"/>
      <c r="D22" s="2603"/>
      <c r="E22" s="2926"/>
      <c r="F22" s="2568">
        <v>3</v>
      </c>
      <c r="G22" s="2603">
        <v>1</v>
      </c>
      <c r="H22" s="2926">
        <f>SUM(F22:G22)</f>
        <v>4</v>
      </c>
      <c r="I22" s="2568">
        <v>1</v>
      </c>
      <c r="J22" s="2603"/>
      <c r="K22" s="2926">
        <f>SUM(I22:J22)</f>
        <v>1</v>
      </c>
      <c r="L22" s="2568"/>
      <c r="M22" s="2603"/>
      <c r="N22" s="2926"/>
      <c r="O22" s="2568">
        <v>1</v>
      </c>
      <c r="P22" s="2603"/>
      <c r="Q22" s="2926">
        <f>SUM(O22:P22)</f>
        <v>1</v>
      </c>
      <c r="R22" s="2568">
        <v>1</v>
      </c>
      <c r="S22" s="2603">
        <v>1</v>
      </c>
      <c r="T22" s="2926">
        <f>SUM(R22:S22)</f>
        <v>2</v>
      </c>
      <c r="U22" s="2568"/>
      <c r="V22" s="2603"/>
      <c r="W22" s="2926"/>
      <c r="X22" s="2568"/>
      <c r="Y22" s="2603"/>
      <c r="Z22" s="2926"/>
      <c r="AA22" s="2568">
        <v>2</v>
      </c>
      <c r="AB22" s="2603"/>
      <c r="AC22" s="2926">
        <f>SUM(AA22:AB22)</f>
        <v>2</v>
      </c>
    </row>
    <row r="23" spans="2:29" x14ac:dyDescent="0.3">
      <c r="B23" s="2925" t="s">
        <v>349</v>
      </c>
      <c r="C23" s="2573"/>
      <c r="D23" s="2576"/>
      <c r="E23" s="2927"/>
      <c r="F23" s="2573"/>
      <c r="G23" s="2576"/>
      <c r="H23" s="2927"/>
      <c r="I23" s="2573">
        <v>1</v>
      </c>
      <c r="J23" s="2576">
        <v>1</v>
      </c>
      <c r="K23" s="2927">
        <f>SUM(I23:J23)</f>
        <v>2</v>
      </c>
      <c r="L23" s="2573">
        <v>2</v>
      </c>
      <c r="M23" s="2576"/>
      <c r="N23" s="2927">
        <f>SUM(L23:M23)</f>
        <v>2</v>
      </c>
      <c r="O23" s="2573">
        <v>1</v>
      </c>
      <c r="P23" s="2576">
        <v>1</v>
      </c>
      <c r="Q23" s="2927">
        <f>SUM(O23:P23)</f>
        <v>2</v>
      </c>
      <c r="R23" s="2573"/>
      <c r="S23" s="2576">
        <v>1</v>
      </c>
      <c r="T23" s="2927">
        <f>SUM(R23:S23)</f>
        <v>1</v>
      </c>
      <c r="U23" s="2573"/>
      <c r="V23" s="2576"/>
      <c r="W23" s="2927"/>
      <c r="X23" s="2573"/>
      <c r="Y23" s="2576"/>
      <c r="Z23" s="2927"/>
      <c r="AA23" s="2573">
        <v>1</v>
      </c>
      <c r="AB23" s="2576">
        <v>1</v>
      </c>
      <c r="AC23" s="2927">
        <f>SUM(AA23:AB23)</f>
        <v>2</v>
      </c>
    </row>
    <row r="24" spans="2:29" x14ac:dyDescent="0.3">
      <c r="B24" s="2577" t="s">
        <v>64</v>
      </c>
      <c r="C24" s="2577">
        <f>SUM(C22:C23)</f>
        <v>0</v>
      </c>
      <c r="D24" s="2928">
        <f t="shared" ref="D24:W24" si="10">SUM(D22:D23)</f>
        <v>0</v>
      </c>
      <c r="E24" s="2929">
        <f t="shared" si="10"/>
        <v>0</v>
      </c>
      <c r="F24" s="2577">
        <f t="shared" si="10"/>
        <v>3</v>
      </c>
      <c r="G24" s="2928">
        <f t="shared" si="10"/>
        <v>1</v>
      </c>
      <c r="H24" s="2929">
        <f t="shared" si="10"/>
        <v>4</v>
      </c>
      <c r="I24" s="2577">
        <f t="shared" si="10"/>
        <v>2</v>
      </c>
      <c r="J24" s="2928">
        <f t="shared" si="10"/>
        <v>1</v>
      </c>
      <c r="K24" s="2929">
        <f t="shared" si="10"/>
        <v>3</v>
      </c>
      <c r="L24" s="2577">
        <f t="shared" si="10"/>
        <v>2</v>
      </c>
      <c r="M24" s="2928"/>
      <c r="N24" s="2929">
        <f t="shared" si="10"/>
        <v>2</v>
      </c>
      <c r="O24" s="2577">
        <f t="shared" si="10"/>
        <v>2</v>
      </c>
      <c r="P24" s="2928">
        <f t="shared" si="10"/>
        <v>1</v>
      </c>
      <c r="Q24" s="2929">
        <f t="shared" si="10"/>
        <v>3</v>
      </c>
      <c r="R24" s="2577">
        <f t="shared" si="10"/>
        <v>1</v>
      </c>
      <c r="S24" s="2928">
        <f t="shared" si="10"/>
        <v>2</v>
      </c>
      <c r="T24" s="2929">
        <f t="shared" si="10"/>
        <v>3</v>
      </c>
      <c r="U24" s="2577">
        <f t="shared" si="10"/>
        <v>0</v>
      </c>
      <c r="V24" s="2928">
        <f t="shared" si="10"/>
        <v>0</v>
      </c>
      <c r="W24" s="2929">
        <f t="shared" si="10"/>
        <v>0</v>
      </c>
      <c r="X24" s="2577"/>
      <c r="Y24" s="2928"/>
      <c r="Z24" s="2929"/>
      <c r="AA24" s="2577">
        <f>SUM(AA22:AA23)</f>
        <v>3</v>
      </c>
      <c r="AB24" s="2928">
        <f t="shared" ref="AB24:AC24" si="11">SUM(AB22:AB23)</f>
        <v>1</v>
      </c>
      <c r="AC24" s="2929">
        <f t="shared" si="11"/>
        <v>4</v>
      </c>
    </row>
    <row r="25" spans="2:29" x14ac:dyDescent="0.3">
      <c r="B25" s="1402" t="s">
        <v>718</v>
      </c>
      <c r="C25" s="2573"/>
      <c r="D25" s="2576"/>
      <c r="E25" s="2927"/>
      <c r="F25" s="2573"/>
      <c r="G25" s="2576"/>
      <c r="H25" s="2927"/>
      <c r="I25" s="2573">
        <v>2</v>
      </c>
      <c r="J25" s="2576">
        <v>1</v>
      </c>
      <c r="K25" s="2927">
        <f>SUM(I25:J25)</f>
        <v>3</v>
      </c>
      <c r="L25" s="2573">
        <v>3</v>
      </c>
      <c r="M25" s="2576">
        <v>1</v>
      </c>
      <c r="N25" s="2927">
        <f>SUM(L25:M25)</f>
        <v>4</v>
      </c>
      <c r="O25" s="2573"/>
      <c r="P25" s="2576"/>
      <c r="Q25" s="2927"/>
      <c r="R25" s="2573">
        <v>4</v>
      </c>
      <c r="S25" s="2576">
        <v>1</v>
      </c>
      <c r="T25" s="2927">
        <f>SUM(R25:S25)</f>
        <v>5</v>
      </c>
      <c r="U25" s="2573"/>
      <c r="V25" s="2576"/>
      <c r="W25" s="2927"/>
      <c r="X25" s="2573"/>
      <c r="Y25" s="2576"/>
      <c r="Z25" s="2927"/>
      <c r="AA25" s="2573">
        <v>2</v>
      </c>
      <c r="AB25" s="2576"/>
      <c r="AC25" s="2927">
        <f>SUM(AA25:AB25)</f>
        <v>2</v>
      </c>
    </row>
    <row r="26" spans="2:29" x14ac:dyDescent="0.3">
      <c r="B26" s="2577" t="s">
        <v>111</v>
      </c>
      <c r="C26" s="2577">
        <f>SUM(C25)</f>
        <v>0</v>
      </c>
      <c r="D26" s="2928">
        <f t="shared" ref="D26:W26" si="12">SUM(D25)</f>
        <v>0</v>
      </c>
      <c r="E26" s="2929">
        <f t="shared" si="12"/>
        <v>0</v>
      </c>
      <c r="F26" s="2577">
        <f t="shared" si="12"/>
        <v>0</v>
      </c>
      <c r="G26" s="2928">
        <f t="shared" si="12"/>
        <v>0</v>
      </c>
      <c r="H26" s="2929">
        <f t="shared" si="12"/>
        <v>0</v>
      </c>
      <c r="I26" s="2577">
        <f t="shared" si="12"/>
        <v>2</v>
      </c>
      <c r="J26" s="2928">
        <f t="shared" si="12"/>
        <v>1</v>
      </c>
      <c r="K26" s="2929">
        <f t="shared" si="12"/>
        <v>3</v>
      </c>
      <c r="L26" s="2577">
        <f t="shared" si="12"/>
        <v>3</v>
      </c>
      <c r="M26" s="2928">
        <f t="shared" si="12"/>
        <v>1</v>
      </c>
      <c r="N26" s="2929">
        <f t="shared" si="12"/>
        <v>4</v>
      </c>
      <c r="O26" s="2577">
        <f t="shared" si="12"/>
        <v>0</v>
      </c>
      <c r="P26" s="2928">
        <f t="shared" si="12"/>
        <v>0</v>
      </c>
      <c r="Q26" s="2929">
        <f t="shared" si="12"/>
        <v>0</v>
      </c>
      <c r="R26" s="2577">
        <f t="shared" si="12"/>
        <v>4</v>
      </c>
      <c r="S26" s="2928">
        <f t="shared" si="12"/>
        <v>1</v>
      </c>
      <c r="T26" s="2929">
        <f t="shared" si="12"/>
        <v>5</v>
      </c>
      <c r="U26" s="2577">
        <f t="shared" si="12"/>
        <v>0</v>
      </c>
      <c r="V26" s="2928">
        <f t="shared" si="12"/>
        <v>0</v>
      </c>
      <c r="W26" s="2929">
        <f t="shared" si="12"/>
        <v>0</v>
      </c>
      <c r="X26" s="2577"/>
      <c r="Y26" s="2928"/>
      <c r="Z26" s="2929"/>
      <c r="AA26" s="2577">
        <f>SUM(AA25)</f>
        <v>2</v>
      </c>
      <c r="AB26" s="2928"/>
      <c r="AC26" s="2929">
        <f>SUM(AC25)</f>
        <v>2</v>
      </c>
    </row>
    <row r="27" spans="2:29" x14ac:dyDescent="0.3">
      <c r="B27" s="1402" t="s">
        <v>352</v>
      </c>
      <c r="C27" s="2573"/>
      <c r="D27" s="2576"/>
      <c r="E27" s="2927"/>
      <c r="F27" s="2573"/>
      <c r="G27" s="2576"/>
      <c r="H27" s="2927"/>
      <c r="I27" s="2573"/>
      <c r="J27" s="2576">
        <v>1</v>
      </c>
      <c r="K27" s="2927">
        <f>SUM(I27:J27)</f>
        <v>1</v>
      </c>
      <c r="L27" s="2573">
        <v>1</v>
      </c>
      <c r="M27" s="2576">
        <v>1</v>
      </c>
      <c r="N27" s="2927">
        <f>SUM(L27:M27)</f>
        <v>2</v>
      </c>
      <c r="O27" s="2573"/>
      <c r="P27" s="2576">
        <v>2</v>
      </c>
      <c r="Q27" s="2927">
        <f>SUM(O27:P27)</f>
        <v>2</v>
      </c>
      <c r="R27" s="2573"/>
      <c r="S27" s="2576"/>
      <c r="T27" s="2927">
        <f>SUM(R27:S27)</f>
        <v>0</v>
      </c>
      <c r="U27" s="2573"/>
      <c r="V27" s="2576"/>
      <c r="W27" s="2927"/>
      <c r="X27" s="2573"/>
      <c r="Y27" s="2576"/>
      <c r="Z27" s="2927"/>
      <c r="AA27" s="2573"/>
      <c r="AB27" s="2576"/>
      <c r="AC27" s="2927"/>
    </row>
    <row r="28" spans="2:29" x14ac:dyDescent="0.3">
      <c r="B28" s="1402" t="s">
        <v>353</v>
      </c>
      <c r="C28" s="2573"/>
      <c r="D28" s="2576"/>
      <c r="E28" s="2927"/>
      <c r="F28" s="2573"/>
      <c r="G28" s="2576"/>
      <c r="H28" s="2927"/>
      <c r="I28" s="2573">
        <v>1</v>
      </c>
      <c r="J28" s="2576"/>
      <c r="K28" s="2927">
        <f>SUM(I28:J28)</f>
        <v>1</v>
      </c>
      <c r="L28" s="2573"/>
      <c r="M28" s="2576"/>
      <c r="N28" s="2927"/>
      <c r="O28" s="2573"/>
      <c r="P28" s="2576">
        <v>1</v>
      </c>
      <c r="Q28" s="2927">
        <f>SUM(O28:P28)</f>
        <v>1</v>
      </c>
      <c r="R28" s="2573"/>
      <c r="S28" s="2576"/>
      <c r="T28" s="2927">
        <f>SUM(R28:S28)</f>
        <v>0</v>
      </c>
      <c r="U28" s="2573"/>
      <c r="V28" s="2576"/>
      <c r="W28" s="2927"/>
      <c r="X28" s="2573"/>
      <c r="Y28" s="2576"/>
      <c r="Z28" s="2927"/>
      <c r="AA28" s="2573"/>
      <c r="AB28" s="2576">
        <v>1</v>
      </c>
      <c r="AC28" s="2927">
        <f>SUM(AA28:AB28)</f>
        <v>1</v>
      </c>
    </row>
    <row r="29" spans="2:29" x14ac:dyDescent="0.3">
      <c r="B29" s="1389" t="s">
        <v>354</v>
      </c>
      <c r="C29" s="2604"/>
      <c r="D29" s="2765"/>
      <c r="E29" s="2931"/>
      <c r="F29" s="2604"/>
      <c r="G29" s="2765"/>
      <c r="H29" s="2931"/>
      <c r="I29" s="2604"/>
      <c r="J29" s="2765"/>
      <c r="K29" s="2931"/>
      <c r="L29" s="2604"/>
      <c r="M29" s="2765"/>
      <c r="N29" s="2931"/>
      <c r="O29" s="2604"/>
      <c r="P29" s="2765"/>
      <c r="Q29" s="2931"/>
      <c r="R29" s="2604"/>
      <c r="S29" s="2765">
        <v>1</v>
      </c>
      <c r="T29" s="2927">
        <f>SUM(R29:S29)</f>
        <v>1</v>
      </c>
      <c r="U29" s="2604"/>
      <c r="V29" s="2765"/>
      <c r="W29" s="2927"/>
      <c r="X29" s="2604"/>
      <c r="Y29" s="2765"/>
      <c r="Z29" s="2927"/>
      <c r="AA29" s="2604"/>
      <c r="AB29" s="2765"/>
      <c r="AC29" s="2927"/>
    </row>
    <row r="30" spans="2:29" x14ac:dyDescent="0.3">
      <c r="B30" s="2932" t="s">
        <v>115</v>
      </c>
      <c r="C30" s="2932">
        <f>SUM(C27:C28)</f>
        <v>0</v>
      </c>
      <c r="D30" s="2933">
        <f t="shared" ref="D30:Q30" si="13">SUM(D27:D28)</f>
        <v>0</v>
      </c>
      <c r="E30" s="2934">
        <f t="shared" si="13"/>
        <v>0</v>
      </c>
      <c r="F30" s="2932">
        <f t="shared" si="13"/>
        <v>0</v>
      </c>
      <c r="G30" s="2933">
        <f t="shared" si="13"/>
        <v>0</v>
      </c>
      <c r="H30" s="2934">
        <f t="shared" si="13"/>
        <v>0</v>
      </c>
      <c r="I30" s="2932">
        <f t="shared" si="13"/>
        <v>1</v>
      </c>
      <c r="J30" s="2933">
        <f t="shared" si="13"/>
        <v>1</v>
      </c>
      <c r="K30" s="2934">
        <f t="shared" si="13"/>
        <v>2</v>
      </c>
      <c r="L30" s="2932">
        <f t="shared" si="13"/>
        <v>1</v>
      </c>
      <c r="M30" s="2933">
        <f t="shared" si="13"/>
        <v>1</v>
      </c>
      <c r="N30" s="2934">
        <f t="shared" si="13"/>
        <v>2</v>
      </c>
      <c r="O30" s="2932">
        <f t="shared" si="13"/>
        <v>0</v>
      </c>
      <c r="P30" s="2933">
        <f t="shared" si="13"/>
        <v>3</v>
      </c>
      <c r="Q30" s="2934">
        <f t="shared" si="13"/>
        <v>3</v>
      </c>
      <c r="R30" s="2932"/>
      <c r="S30" s="2933">
        <f>SUM(S27:S29)</f>
        <v>1</v>
      </c>
      <c r="T30" s="2934">
        <f>SUM(T27:T29)</f>
        <v>1</v>
      </c>
      <c r="U30" s="2932"/>
      <c r="V30" s="2933">
        <f>SUM(V27:V29)</f>
        <v>0</v>
      </c>
      <c r="W30" s="2934">
        <f>SUM(W27:W29)</f>
        <v>0</v>
      </c>
      <c r="X30" s="2932"/>
      <c r="Y30" s="2933"/>
      <c r="Z30" s="2934"/>
      <c r="AA30" s="2932"/>
      <c r="AB30" s="2933">
        <f>SUM(AB27:AB29)</f>
        <v>1</v>
      </c>
      <c r="AC30" s="2934">
        <f>SUM(AC27:AC29)</f>
        <v>1</v>
      </c>
    </row>
    <row r="31" spans="2:29" x14ac:dyDescent="0.3">
      <c r="B31" s="2939" t="s">
        <v>719</v>
      </c>
      <c r="C31" s="2939">
        <f>SUM(C30,C26,C24)</f>
        <v>0</v>
      </c>
      <c r="D31" s="2940">
        <f t="shared" ref="D31:W31" si="14">SUM(D30,D26,D24)</f>
        <v>0</v>
      </c>
      <c r="E31" s="2941">
        <f t="shared" si="14"/>
        <v>0</v>
      </c>
      <c r="F31" s="2939">
        <f t="shared" si="14"/>
        <v>3</v>
      </c>
      <c r="G31" s="2940">
        <f t="shared" si="14"/>
        <v>1</v>
      </c>
      <c r="H31" s="2941">
        <f t="shared" si="14"/>
        <v>4</v>
      </c>
      <c r="I31" s="2939">
        <f t="shared" si="14"/>
        <v>5</v>
      </c>
      <c r="J31" s="2940">
        <f t="shared" si="14"/>
        <v>3</v>
      </c>
      <c r="K31" s="2941">
        <f t="shared" si="14"/>
        <v>8</v>
      </c>
      <c r="L31" s="2939">
        <f t="shared" si="14"/>
        <v>6</v>
      </c>
      <c r="M31" s="2940">
        <f t="shared" si="14"/>
        <v>2</v>
      </c>
      <c r="N31" s="2941">
        <f t="shared" si="14"/>
        <v>8</v>
      </c>
      <c r="O31" s="2939">
        <f t="shared" si="14"/>
        <v>2</v>
      </c>
      <c r="P31" s="2940">
        <f t="shared" si="14"/>
        <v>4</v>
      </c>
      <c r="Q31" s="2941">
        <f t="shared" si="14"/>
        <v>6</v>
      </c>
      <c r="R31" s="2939">
        <f t="shared" si="14"/>
        <v>5</v>
      </c>
      <c r="S31" s="2940">
        <f t="shared" si="14"/>
        <v>4</v>
      </c>
      <c r="T31" s="2941">
        <f t="shared" si="14"/>
        <v>9</v>
      </c>
      <c r="U31" s="2939">
        <f t="shared" si="14"/>
        <v>0</v>
      </c>
      <c r="V31" s="2940">
        <f t="shared" si="14"/>
        <v>0</v>
      </c>
      <c r="W31" s="2941">
        <f t="shared" si="14"/>
        <v>0</v>
      </c>
      <c r="X31" s="2939"/>
      <c r="Y31" s="2940"/>
      <c r="Z31" s="2941"/>
      <c r="AA31" s="5376">
        <f>SUM(AA24,AA26,AA30)</f>
        <v>5</v>
      </c>
      <c r="AB31" s="5377">
        <f t="shared" ref="AB31:AC31" si="15">SUM(AB24,AB26,AB30)</f>
        <v>2</v>
      </c>
      <c r="AC31" s="5378">
        <f t="shared" si="15"/>
        <v>7</v>
      </c>
    </row>
    <row r="32" spans="2:29" x14ac:dyDescent="0.3">
      <c r="B32" s="2923" t="s">
        <v>500</v>
      </c>
      <c r="C32" s="2714"/>
      <c r="D32" s="2763"/>
      <c r="E32" s="2924"/>
      <c r="F32" s="2714"/>
      <c r="G32" s="2763"/>
      <c r="H32" s="2924"/>
      <c r="I32" s="2714"/>
      <c r="J32" s="2763"/>
      <c r="K32" s="2924"/>
      <c r="L32" s="2714"/>
      <c r="M32" s="2763"/>
      <c r="N32" s="2924"/>
      <c r="O32" s="2714"/>
      <c r="P32" s="2763">
        <v>1</v>
      </c>
      <c r="Q32" s="2924">
        <f t="shared" ref="Q32:Q55" si="16">SUM(O32:P32)</f>
        <v>1</v>
      </c>
      <c r="R32" s="2714"/>
      <c r="S32" s="2763"/>
      <c r="T32" s="2924"/>
      <c r="U32" s="2714"/>
      <c r="V32" s="2763"/>
      <c r="W32" s="2924"/>
      <c r="X32" s="2714"/>
      <c r="Y32" s="2763"/>
      <c r="Z32" s="2924"/>
      <c r="AA32" s="2714"/>
      <c r="AB32" s="2763"/>
      <c r="AC32" s="2924"/>
    </row>
    <row r="33" spans="2:29" x14ac:dyDescent="0.3">
      <c r="B33" s="2938" t="s">
        <v>503</v>
      </c>
      <c r="C33" s="2568"/>
      <c r="D33" s="2603"/>
      <c r="E33" s="2926"/>
      <c r="F33" s="2568"/>
      <c r="G33" s="2603"/>
      <c r="H33" s="2926"/>
      <c r="I33" s="2568"/>
      <c r="J33" s="2603"/>
      <c r="K33" s="2926"/>
      <c r="L33" s="2568"/>
      <c r="M33" s="2603"/>
      <c r="N33" s="2926"/>
      <c r="O33" s="2568"/>
      <c r="P33" s="2603"/>
      <c r="Q33" s="2926"/>
      <c r="R33" s="2568">
        <v>1</v>
      </c>
      <c r="S33" s="2603"/>
      <c r="T33" s="2926">
        <f t="shared" ref="T33:T40" si="17">SUM(R33:S33)</f>
        <v>1</v>
      </c>
      <c r="U33" s="2568"/>
      <c r="V33" s="2603"/>
      <c r="W33" s="2926"/>
      <c r="X33" s="2568"/>
      <c r="Y33" s="2603"/>
      <c r="Z33" s="2926"/>
      <c r="AA33" s="2568"/>
      <c r="AB33" s="2603"/>
      <c r="AC33" s="2926"/>
    </row>
    <row r="34" spans="2:29" x14ac:dyDescent="0.3">
      <c r="B34" s="2925" t="s">
        <v>501</v>
      </c>
      <c r="C34" s="2573">
        <v>1</v>
      </c>
      <c r="D34" s="2576">
        <v>0</v>
      </c>
      <c r="E34" s="2927">
        <f>SUM(C34:D34)</f>
        <v>1</v>
      </c>
      <c r="F34" s="2573"/>
      <c r="G34" s="2576"/>
      <c r="H34" s="2927"/>
      <c r="I34" s="2573"/>
      <c r="J34" s="2576"/>
      <c r="K34" s="2927"/>
      <c r="L34" s="2573"/>
      <c r="M34" s="2576"/>
      <c r="N34" s="2927"/>
      <c r="O34" s="2573"/>
      <c r="P34" s="2576">
        <v>1</v>
      </c>
      <c r="Q34" s="2927">
        <f t="shared" si="16"/>
        <v>1</v>
      </c>
      <c r="R34" s="2573"/>
      <c r="S34" s="2576"/>
      <c r="T34" s="2926"/>
      <c r="U34" s="2573"/>
      <c r="V34" s="2576"/>
      <c r="W34" s="2926"/>
      <c r="X34" s="2573"/>
      <c r="Y34" s="2576"/>
      <c r="Z34" s="2926"/>
      <c r="AA34" s="2573"/>
      <c r="AB34" s="2576"/>
      <c r="AC34" s="2926"/>
    </row>
    <row r="35" spans="2:29" x14ac:dyDescent="0.3">
      <c r="B35" s="2938" t="s">
        <v>444</v>
      </c>
      <c r="C35" s="2568"/>
      <c r="D35" s="2603">
        <v>1</v>
      </c>
      <c r="E35" s="2926"/>
      <c r="F35" s="2568"/>
      <c r="G35" s="2603"/>
      <c r="H35" s="2926"/>
      <c r="I35" s="2568"/>
      <c r="J35" s="2603"/>
      <c r="K35" s="2926"/>
      <c r="L35" s="2568"/>
      <c r="M35" s="2603"/>
      <c r="N35" s="2926"/>
      <c r="O35" s="2568"/>
      <c r="P35" s="2603"/>
      <c r="Q35" s="2926"/>
      <c r="R35" s="2568">
        <v>1</v>
      </c>
      <c r="S35" s="2603"/>
      <c r="T35" s="2926">
        <f t="shared" si="17"/>
        <v>1</v>
      </c>
      <c r="U35" s="2568"/>
      <c r="V35" s="2603"/>
      <c r="W35" s="2926"/>
      <c r="X35" s="2568"/>
      <c r="Y35" s="2603"/>
      <c r="Z35" s="2926"/>
      <c r="AA35" s="2568"/>
      <c r="AB35" s="2603"/>
      <c r="AC35" s="2926"/>
    </row>
    <row r="36" spans="2:29" x14ac:dyDescent="0.3">
      <c r="B36" s="2938" t="s">
        <v>362</v>
      </c>
      <c r="C36" s="2568"/>
      <c r="D36" s="2603"/>
      <c r="E36" s="2926"/>
      <c r="F36" s="2568"/>
      <c r="G36" s="2603"/>
      <c r="H36" s="2926"/>
      <c r="I36" s="2568"/>
      <c r="J36" s="2603"/>
      <c r="K36" s="2926"/>
      <c r="L36" s="2568"/>
      <c r="M36" s="2603"/>
      <c r="N36" s="2926"/>
      <c r="O36" s="2568"/>
      <c r="P36" s="2603"/>
      <c r="Q36" s="2926"/>
      <c r="R36" s="2568"/>
      <c r="S36" s="2603"/>
      <c r="T36" s="2926"/>
      <c r="U36" s="2568">
        <v>1</v>
      </c>
      <c r="V36" s="2603">
        <v>1</v>
      </c>
      <c r="W36" s="2926">
        <f t="shared" ref="W36" si="18">SUM(U36:V36)</f>
        <v>2</v>
      </c>
      <c r="X36" s="2568"/>
      <c r="Y36" s="2603"/>
      <c r="Z36" s="2926"/>
      <c r="AA36" s="2568"/>
      <c r="AB36" s="2603"/>
      <c r="AC36" s="2926"/>
    </row>
    <row r="37" spans="2:29" x14ac:dyDescent="0.3">
      <c r="B37" s="2938" t="s">
        <v>665</v>
      </c>
      <c r="C37" s="2568"/>
      <c r="D37" s="2603"/>
      <c r="E37" s="2926"/>
      <c r="F37" s="2568"/>
      <c r="G37" s="2603"/>
      <c r="H37" s="2926"/>
      <c r="I37" s="2568"/>
      <c r="J37" s="2603"/>
      <c r="K37" s="2926"/>
      <c r="L37" s="2568">
        <v>2</v>
      </c>
      <c r="M37" s="2603"/>
      <c r="N37" s="2926">
        <f t="shared" ref="N37:N56" si="19">SUM(L37:M37)</f>
        <v>2</v>
      </c>
      <c r="O37" s="2568"/>
      <c r="P37" s="2603"/>
      <c r="Q37" s="2926"/>
      <c r="R37" s="2568"/>
      <c r="S37" s="2603">
        <v>1</v>
      </c>
      <c r="T37" s="2926">
        <f t="shared" si="17"/>
        <v>1</v>
      </c>
      <c r="U37" s="2568"/>
      <c r="V37" s="2603"/>
      <c r="W37" s="2926"/>
      <c r="X37" s="2568"/>
      <c r="Y37" s="2603"/>
      <c r="Z37" s="2926"/>
      <c r="AA37" s="2568"/>
      <c r="AB37" s="2603"/>
      <c r="AC37" s="2926"/>
    </row>
    <row r="38" spans="2:29" x14ac:dyDescent="0.3">
      <c r="B38" s="2938" t="s">
        <v>663</v>
      </c>
      <c r="C38" s="2568"/>
      <c r="D38" s="2603"/>
      <c r="E38" s="2926"/>
      <c r="F38" s="2568"/>
      <c r="G38" s="2603"/>
      <c r="H38" s="2926"/>
      <c r="I38" s="2568"/>
      <c r="J38" s="2603"/>
      <c r="K38" s="2926"/>
      <c r="L38" s="2568"/>
      <c r="M38" s="2603">
        <v>1</v>
      </c>
      <c r="N38" s="2926">
        <f t="shared" si="19"/>
        <v>1</v>
      </c>
      <c r="O38" s="2568"/>
      <c r="P38" s="2603"/>
      <c r="Q38" s="2926"/>
      <c r="R38" s="2568"/>
      <c r="S38" s="2603">
        <v>1</v>
      </c>
      <c r="T38" s="2926">
        <f t="shared" si="17"/>
        <v>1</v>
      </c>
      <c r="U38" s="2568"/>
      <c r="V38" s="2603"/>
      <c r="W38" s="2926"/>
      <c r="X38" s="2568"/>
      <c r="Y38" s="2603"/>
      <c r="Z38" s="2926"/>
      <c r="AA38" s="2568"/>
      <c r="AB38" s="2603"/>
      <c r="AC38" s="2926"/>
    </row>
    <row r="39" spans="2:29" x14ac:dyDescent="0.3">
      <c r="B39" s="2938" t="s">
        <v>367</v>
      </c>
      <c r="C39" s="2568"/>
      <c r="D39" s="2603"/>
      <c r="E39" s="2926"/>
      <c r="F39" s="2568"/>
      <c r="G39" s="2603"/>
      <c r="H39" s="2926"/>
      <c r="I39" s="2568"/>
      <c r="J39" s="2603"/>
      <c r="K39" s="2926"/>
      <c r="L39" s="2568"/>
      <c r="M39" s="2603">
        <v>1</v>
      </c>
      <c r="N39" s="2926">
        <f t="shared" si="19"/>
        <v>1</v>
      </c>
      <c r="O39" s="2568"/>
      <c r="P39" s="2603"/>
      <c r="Q39" s="2926"/>
      <c r="R39" s="2568"/>
      <c r="S39" s="2603"/>
      <c r="T39" s="2926"/>
      <c r="U39" s="2568"/>
      <c r="V39" s="2603"/>
      <c r="W39" s="2926"/>
      <c r="X39" s="2568"/>
      <c r="Y39" s="2603"/>
      <c r="Z39" s="2926"/>
      <c r="AA39" s="2568"/>
      <c r="AB39" s="2603"/>
      <c r="AC39" s="2926"/>
    </row>
    <row r="40" spans="2:29" x14ac:dyDescent="0.3">
      <c r="B40" s="2925" t="s">
        <v>445</v>
      </c>
      <c r="C40" s="2573"/>
      <c r="D40" s="2576"/>
      <c r="E40" s="2927"/>
      <c r="F40" s="2573"/>
      <c r="G40" s="2576">
        <v>2</v>
      </c>
      <c r="H40" s="2927">
        <f>SUM(F40:G40)</f>
        <v>2</v>
      </c>
      <c r="I40" s="2573"/>
      <c r="J40" s="2576"/>
      <c r="K40" s="2927"/>
      <c r="L40" s="2573"/>
      <c r="M40" s="2576"/>
      <c r="N40" s="2927"/>
      <c r="O40" s="2573"/>
      <c r="P40" s="2576">
        <v>1</v>
      </c>
      <c r="Q40" s="2927">
        <f t="shared" si="16"/>
        <v>1</v>
      </c>
      <c r="R40" s="2573"/>
      <c r="S40" s="2576">
        <v>1</v>
      </c>
      <c r="T40" s="2927">
        <f t="shared" si="17"/>
        <v>1</v>
      </c>
      <c r="U40" s="2573"/>
      <c r="V40" s="2576"/>
      <c r="W40" s="2927"/>
      <c r="X40" s="2573"/>
      <c r="Y40" s="2576"/>
      <c r="Z40" s="2927"/>
      <c r="AA40" s="2573"/>
      <c r="AB40" s="2576"/>
      <c r="AC40" s="2927"/>
    </row>
    <row r="41" spans="2:29" x14ac:dyDescent="0.3">
      <c r="B41" s="2577" t="s">
        <v>59</v>
      </c>
      <c r="C41" s="2577">
        <f>SUM(C32:C40)</f>
        <v>1</v>
      </c>
      <c r="D41" s="2928">
        <f t="shared" ref="D41:W41" si="20">SUM(D32:D40)</f>
        <v>1</v>
      </c>
      <c r="E41" s="2929">
        <f t="shared" si="20"/>
        <v>1</v>
      </c>
      <c r="F41" s="2577">
        <f t="shared" si="20"/>
        <v>0</v>
      </c>
      <c r="G41" s="2928">
        <f t="shared" si="20"/>
        <v>2</v>
      </c>
      <c r="H41" s="2929">
        <f t="shared" si="20"/>
        <v>2</v>
      </c>
      <c r="I41" s="2577">
        <f t="shared" si="20"/>
        <v>0</v>
      </c>
      <c r="J41" s="2928">
        <f t="shared" si="20"/>
        <v>0</v>
      </c>
      <c r="K41" s="2929">
        <f t="shared" si="20"/>
        <v>0</v>
      </c>
      <c r="L41" s="2577">
        <f t="shared" si="20"/>
        <v>2</v>
      </c>
      <c r="M41" s="2928">
        <f t="shared" si="20"/>
        <v>2</v>
      </c>
      <c r="N41" s="2929">
        <f t="shared" si="20"/>
        <v>4</v>
      </c>
      <c r="O41" s="2577">
        <f t="shared" si="20"/>
        <v>0</v>
      </c>
      <c r="P41" s="2928">
        <f t="shared" si="20"/>
        <v>3</v>
      </c>
      <c r="Q41" s="2929">
        <f t="shared" si="20"/>
        <v>3</v>
      </c>
      <c r="R41" s="2577">
        <f t="shared" si="20"/>
        <v>2</v>
      </c>
      <c r="S41" s="2928">
        <f t="shared" si="20"/>
        <v>3</v>
      </c>
      <c r="T41" s="2929">
        <f t="shared" si="20"/>
        <v>5</v>
      </c>
      <c r="U41" s="2577">
        <f t="shared" si="20"/>
        <v>1</v>
      </c>
      <c r="V41" s="2928">
        <f t="shared" si="20"/>
        <v>1</v>
      </c>
      <c r="W41" s="2929">
        <f t="shared" si="20"/>
        <v>2</v>
      </c>
      <c r="X41" s="2577"/>
      <c r="Y41" s="2928"/>
      <c r="Z41" s="2929"/>
      <c r="AA41" s="2577"/>
      <c r="AB41" s="2928"/>
      <c r="AC41" s="2929"/>
    </row>
    <row r="42" spans="2:29" x14ac:dyDescent="0.3">
      <c r="B42" s="2925" t="s">
        <v>372</v>
      </c>
      <c r="C42" s="2573"/>
      <c r="D42" s="2576"/>
      <c r="E42" s="2927"/>
      <c r="F42" s="2573">
        <v>2</v>
      </c>
      <c r="G42" s="2576"/>
      <c r="H42" s="2927">
        <f>SUM(F42:G42)</f>
        <v>2</v>
      </c>
      <c r="I42" s="2573"/>
      <c r="J42" s="2576"/>
      <c r="K42" s="2927"/>
      <c r="L42" s="2573"/>
      <c r="M42" s="2576"/>
      <c r="N42" s="2927"/>
      <c r="O42" s="2573"/>
      <c r="P42" s="2576"/>
      <c r="Q42" s="2927"/>
      <c r="R42" s="2573"/>
      <c r="S42" s="2576"/>
      <c r="T42" s="2927"/>
      <c r="U42" s="2573"/>
      <c r="V42" s="2576"/>
      <c r="W42" s="2927"/>
      <c r="X42" s="2573"/>
      <c r="Y42" s="2576"/>
      <c r="Z42" s="2927"/>
      <c r="AA42" s="2573"/>
      <c r="AB42" s="2576"/>
      <c r="AC42" s="2927"/>
    </row>
    <row r="43" spans="2:29" x14ac:dyDescent="0.3">
      <c r="B43" s="2925" t="s">
        <v>374</v>
      </c>
      <c r="C43" s="2573"/>
      <c r="D43" s="2576"/>
      <c r="E43" s="2927"/>
      <c r="F43" s="2573"/>
      <c r="G43" s="2576"/>
      <c r="H43" s="2927"/>
      <c r="I43" s="2573"/>
      <c r="J43" s="2576"/>
      <c r="K43" s="2927"/>
      <c r="L43" s="2573"/>
      <c r="M43" s="2576"/>
      <c r="N43" s="2927"/>
      <c r="O43" s="2573"/>
      <c r="P43" s="2576"/>
      <c r="Q43" s="2927"/>
      <c r="R43" s="2573"/>
      <c r="S43" s="2576"/>
      <c r="T43" s="2927"/>
      <c r="U43" s="2573"/>
      <c r="V43" s="2576"/>
      <c r="W43" s="2927"/>
      <c r="X43" s="2573"/>
      <c r="Y43" s="2576"/>
      <c r="Z43" s="2927"/>
      <c r="AA43" s="2573"/>
      <c r="AB43" s="2576"/>
      <c r="AC43" s="2927"/>
    </row>
    <row r="44" spans="2:29" x14ac:dyDescent="0.3">
      <c r="B44" s="2925" t="s">
        <v>373</v>
      </c>
      <c r="C44" s="2573"/>
      <c r="D44" s="2576"/>
      <c r="E44" s="2927"/>
      <c r="F44" s="2573"/>
      <c r="G44" s="2576"/>
      <c r="H44" s="2927"/>
      <c r="I44" s="2573">
        <v>1</v>
      </c>
      <c r="J44" s="2576"/>
      <c r="K44" s="2927">
        <f t="shared" ref="K44:K56" si="21">SUM(I44:J44)</f>
        <v>1</v>
      </c>
      <c r="L44" s="2573"/>
      <c r="M44" s="2576"/>
      <c r="N44" s="2927"/>
      <c r="O44" s="2573"/>
      <c r="P44" s="2576"/>
      <c r="Q44" s="2927"/>
      <c r="R44" s="2573"/>
      <c r="S44" s="2576"/>
      <c r="T44" s="2927"/>
      <c r="U44" s="2573"/>
      <c r="V44" s="2576"/>
      <c r="W44" s="2927"/>
      <c r="X44" s="2573"/>
      <c r="Y44" s="2576"/>
      <c r="Z44" s="2927"/>
      <c r="AA44" s="2573"/>
      <c r="AB44" s="2576"/>
      <c r="AC44" s="2927"/>
    </row>
    <row r="45" spans="2:29" x14ac:dyDescent="0.3">
      <c r="B45" s="2925" t="s">
        <v>335</v>
      </c>
      <c r="C45" s="2573"/>
      <c r="D45" s="2576"/>
      <c r="E45" s="2927"/>
      <c r="F45" s="2573"/>
      <c r="G45" s="2576"/>
      <c r="H45" s="2927"/>
      <c r="I45" s="2573"/>
      <c r="J45" s="2576"/>
      <c r="K45" s="2927"/>
      <c r="L45" s="2573"/>
      <c r="M45" s="2576"/>
      <c r="N45" s="2927"/>
      <c r="O45" s="2573"/>
      <c r="P45" s="2576">
        <v>1</v>
      </c>
      <c r="Q45" s="2927">
        <f t="shared" si="16"/>
        <v>1</v>
      </c>
      <c r="R45" s="2573"/>
      <c r="S45" s="2576"/>
      <c r="T45" s="2927"/>
      <c r="U45" s="2573"/>
      <c r="V45" s="2576"/>
      <c r="W45" s="2927"/>
      <c r="X45" s="2573"/>
      <c r="Y45" s="2576"/>
      <c r="Z45" s="2927"/>
      <c r="AA45" s="2573"/>
      <c r="AB45" s="2576"/>
      <c r="AC45" s="2927"/>
    </row>
    <row r="46" spans="2:29" x14ac:dyDescent="0.3">
      <c r="B46" s="2925" t="s">
        <v>376</v>
      </c>
      <c r="C46" s="2573"/>
      <c r="D46" s="2576">
        <v>1</v>
      </c>
      <c r="E46" s="2927">
        <f>SUM(C46:D46)</f>
        <v>1</v>
      </c>
      <c r="F46" s="2573"/>
      <c r="G46" s="2576"/>
      <c r="H46" s="2927"/>
      <c r="I46" s="2573"/>
      <c r="J46" s="2576"/>
      <c r="K46" s="2927"/>
      <c r="L46" s="2573"/>
      <c r="M46" s="2576"/>
      <c r="N46" s="2927"/>
      <c r="O46" s="2573"/>
      <c r="P46" s="2576"/>
      <c r="Q46" s="2927"/>
      <c r="R46" s="2573"/>
      <c r="S46" s="2576">
        <v>1</v>
      </c>
      <c r="T46" s="2927">
        <f t="shared" ref="T46:T49" si="22">SUM(R46:S46)</f>
        <v>1</v>
      </c>
      <c r="U46" s="2573"/>
      <c r="V46" s="2576"/>
      <c r="W46" s="2927"/>
      <c r="X46" s="2573"/>
      <c r="Y46" s="2576"/>
      <c r="Z46" s="2927"/>
      <c r="AA46" s="2573"/>
      <c r="AB46" s="2576"/>
      <c r="AC46" s="2927"/>
    </row>
    <row r="47" spans="2:29" x14ac:dyDescent="0.3">
      <c r="B47" s="2925" t="s">
        <v>377</v>
      </c>
      <c r="C47" s="2573"/>
      <c r="D47" s="2576"/>
      <c r="E47" s="2927"/>
      <c r="F47" s="2573"/>
      <c r="G47" s="2576">
        <v>1</v>
      </c>
      <c r="H47" s="2927">
        <f>SUM(F47:G47)</f>
        <v>1</v>
      </c>
      <c r="I47" s="2573"/>
      <c r="J47" s="2576"/>
      <c r="K47" s="2927"/>
      <c r="L47" s="2573">
        <v>1</v>
      </c>
      <c r="M47" s="2576">
        <v>1</v>
      </c>
      <c r="N47" s="2927">
        <f t="shared" si="19"/>
        <v>2</v>
      </c>
      <c r="O47" s="2573">
        <v>1</v>
      </c>
      <c r="P47" s="2576">
        <v>2</v>
      </c>
      <c r="Q47" s="2927">
        <f t="shared" si="16"/>
        <v>3</v>
      </c>
      <c r="R47" s="2573">
        <v>1</v>
      </c>
      <c r="S47" s="2576"/>
      <c r="T47" s="2927">
        <f t="shared" si="22"/>
        <v>1</v>
      </c>
      <c r="U47" s="2573"/>
      <c r="V47" s="2576"/>
      <c r="W47" s="2927"/>
      <c r="X47" s="2573"/>
      <c r="Y47" s="2576"/>
      <c r="Z47" s="2927"/>
      <c r="AA47" s="2573"/>
      <c r="AB47" s="2576"/>
      <c r="AC47" s="2927"/>
    </row>
    <row r="48" spans="2:29" x14ac:dyDescent="0.3">
      <c r="B48" s="2925" t="s">
        <v>378</v>
      </c>
      <c r="C48" s="2573"/>
      <c r="D48" s="2576"/>
      <c r="E48" s="2927"/>
      <c r="F48" s="2573"/>
      <c r="G48" s="2576">
        <v>1</v>
      </c>
      <c r="H48" s="2927">
        <f>SUM(F48:G48)</f>
        <v>1</v>
      </c>
      <c r="I48" s="2573">
        <v>1</v>
      </c>
      <c r="J48" s="2576">
        <v>1</v>
      </c>
      <c r="K48" s="2927">
        <f t="shared" si="21"/>
        <v>2</v>
      </c>
      <c r="L48" s="2573"/>
      <c r="M48" s="2576">
        <v>1</v>
      </c>
      <c r="N48" s="2927">
        <f t="shared" si="19"/>
        <v>1</v>
      </c>
      <c r="O48" s="2573"/>
      <c r="P48" s="2576"/>
      <c r="Q48" s="2927"/>
      <c r="R48" s="2573">
        <v>1</v>
      </c>
      <c r="S48" s="2576"/>
      <c r="T48" s="2927">
        <f t="shared" si="22"/>
        <v>1</v>
      </c>
      <c r="U48" s="2573"/>
      <c r="V48" s="2576">
        <v>1</v>
      </c>
      <c r="W48" s="2927">
        <f t="shared" ref="W48" si="23">SUM(U48:V48)</f>
        <v>1</v>
      </c>
      <c r="X48" s="2573"/>
      <c r="Y48" s="2576"/>
      <c r="Z48" s="2927"/>
      <c r="AA48" s="2573"/>
      <c r="AB48" s="2576"/>
      <c r="AC48" s="2927"/>
    </row>
    <row r="49" spans="2:29" x14ac:dyDescent="0.3">
      <c r="B49" s="2925" t="s">
        <v>379</v>
      </c>
      <c r="C49" s="2573"/>
      <c r="D49" s="2576"/>
      <c r="E49" s="2927"/>
      <c r="F49" s="2573">
        <v>2</v>
      </c>
      <c r="G49" s="2576"/>
      <c r="H49" s="2927">
        <f>SUM(F49:G49)</f>
        <v>2</v>
      </c>
      <c r="I49" s="2573">
        <v>1</v>
      </c>
      <c r="J49" s="2576">
        <v>2</v>
      </c>
      <c r="K49" s="2927">
        <f t="shared" si="21"/>
        <v>3</v>
      </c>
      <c r="L49" s="2573"/>
      <c r="M49" s="2576"/>
      <c r="N49" s="2927"/>
      <c r="O49" s="2573"/>
      <c r="P49" s="2576"/>
      <c r="Q49" s="2927"/>
      <c r="R49" s="2573">
        <v>1</v>
      </c>
      <c r="S49" s="2576">
        <v>2</v>
      </c>
      <c r="T49" s="2927">
        <f t="shared" si="22"/>
        <v>3</v>
      </c>
      <c r="U49" s="2573"/>
      <c r="V49" s="2576"/>
      <c r="W49" s="2927"/>
      <c r="X49" s="2573"/>
      <c r="Y49" s="2576"/>
      <c r="Z49" s="2927"/>
      <c r="AA49" s="2573"/>
      <c r="AB49" s="2576"/>
      <c r="AC49" s="2927"/>
    </row>
    <row r="50" spans="2:29" x14ac:dyDescent="0.3">
      <c r="B50" s="2577" t="s">
        <v>64</v>
      </c>
      <c r="C50" s="2577">
        <f>SUM(C42:C49)</f>
        <v>0</v>
      </c>
      <c r="D50" s="2928">
        <f t="shared" ref="D50:W50" si="24">SUM(D42:D49)</f>
        <v>1</v>
      </c>
      <c r="E50" s="2929">
        <f t="shared" si="24"/>
        <v>1</v>
      </c>
      <c r="F50" s="2577">
        <f t="shared" si="24"/>
        <v>4</v>
      </c>
      <c r="G50" s="2928">
        <f t="shared" si="24"/>
        <v>2</v>
      </c>
      <c r="H50" s="2929">
        <f t="shared" si="24"/>
        <v>6</v>
      </c>
      <c r="I50" s="2577">
        <f t="shared" si="24"/>
        <v>3</v>
      </c>
      <c r="J50" s="2928">
        <f t="shared" si="24"/>
        <v>3</v>
      </c>
      <c r="K50" s="2929">
        <f t="shared" si="24"/>
        <v>6</v>
      </c>
      <c r="L50" s="2577">
        <f t="shared" si="24"/>
        <v>1</v>
      </c>
      <c r="M50" s="2928">
        <f t="shared" si="24"/>
        <v>2</v>
      </c>
      <c r="N50" s="2929">
        <f t="shared" si="24"/>
        <v>3</v>
      </c>
      <c r="O50" s="2577">
        <f t="shared" si="24"/>
        <v>1</v>
      </c>
      <c r="P50" s="2928">
        <f t="shared" si="24"/>
        <v>3</v>
      </c>
      <c r="Q50" s="2929">
        <f t="shared" si="24"/>
        <v>4</v>
      </c>
      <c r="R50" s="2577">
        <f t="shared" si="24"/>
        <v>3</v>
      </c>
      <c r="S50" s="2928">
        <f t="shared" si="24"/>
        <v>3</v>
      </c>
      <c r="T50" s="2929">
        <f t="shared" si="24"/>
        <v>6</v>
      </c>
      <c r="U50" s="2577">
        <f t="shared" si="24"/>
        <v>0</v>
      </c>
      <c r="V50" s="2928">
        <f t="shared" si="24"/>
        <v>1</v>
      </c>
      <c r="W50" s="2929">
        <f t="shared" si="24"/>
        <v>1</v>
      </c>
      <c r="X50" s="2577"/>
      <c r="Y50" s="2928"/>
      <c r="Z50" s="2929"/>
      <c r="AA50" s="2577"/>
      <c r="AB50" s="2928"/>
      <c r="AC50" s="2929"/>
    </row>
    <row r="51" spans="2:29" x14ac:dyDescent="0.3">
      <c r="B51" s="1388" t="s">
        <v>386</v>
      </c>
      <c r="C51" s="2573"/>
      <c r="D51" s="2576"/>
      <c r="E51" s="2927"/>
      <c r="F51" s="2573">
        <v>1</v>
      </c>
      <c r="G51" s="2576"/>
      <c r="H51" s="2927">
        <f>SUM(F51:G51)</f>
        <v>1</v>
      </c>
      <c r="I51" s="2573"/>
      <c r="J51" s="2576"/>
      <c r="K51" s="2927"/>
      <c r="L51" s="2573">
        <v>1</v>
      </c>
      <c r="M51" s="2576"/>
      <c r="N51" s="2927">
        <f t="shared" si="19"/>
        <v>1</v>
      </c>
      <c r="O51" s="2573"/>
      <c r="P51" s="2576"/>
      <c r="Q51" s="2927"/>
      <c r="R51" s="2573"/>
      <c r="S51" s="2576"/>
      <c r="T51" s="2927"/>
      <c r="U51" s="2573"/>
      <c r="V51" s="2576"/>
      <c r="W51" s="2927"/>
      <c r="X51" s="2573"/>
      <c r="Y51" s="2576"/>
      <c r="Z51" s="2927"/>
      <c r="AA51" s="2573"/>
      <c r="AB51" s="2576"/>
      <c r="AC51" s="2927"/>
    </row>
    <row r="52" spans="2:29" x14ac:dyDescent="0.3">
      <c r="B52" s="1388" t="s">
        <v>544</v>
      </c>
      <c r="C52" s="2573"/>
      <c r="D52" s="2576"/>
      <c r="E52" s="2927"/>
      <c r="F52" s="2573"/>
      <c r="G52" s="2576"/>
      <c r="H52" s="2927"/>
      <c r="I52" s="2573"/>
      <c r="J52" s="2576"/>
      <c r="K52" s="2927"/>
      <c r="L52" s="2573"/>
      <c r="M52" s="2576"/>
      <c r="N52" s="2927"/>
      <c r="O52" s="2573">
        <v>1</v>
      </c>
      <c r="P52" s="2576">
        <v>1</v>
      </c>
      <c r="Q52" s="2927">
        <f t="shared" si="16"/>
        <v>2</v>
      </c>
      <c r="R52" s="2573"/>
      <c r="S52" s="2576"/>
      <c r="T52" s="2927"/>
      <c r="U52" s="2573"/>
      <c r="V52" s="2576"/>
      <c r="W52" s="2927"/>
      <c r="X52" s="2573"/>
      <c r="Y52" s="2576"/>
      <c r="Z52" s="2927"/>
      <c r="AA52" s="2573"/>
      <c r="AB52" s="2576"/>
      <c r="AC52" s="2927"/>
    </row>
    <row r="53" spans="2:29" x14ac:dyDescent="0.3">
      <c r="B53" s="1388" t="s">
        <v>720</v>
      </c>
      <c r="C53" s="2573"/>
      <c r="D53" s="2576"/>
      <c r="E53" s="2927"/>
      <c r="F53" s="2573"/>
      <c r="G53" s="2576">
        <v>1</v>
      </c>
      <c r="H53" s="2927">
        <f>SUM(F53:G53)</f>
        <v>1</v>
      </c>
      <c r="I53" s="2573"/>
      <c r="J53" s="2576"/>
      <c r="K53" s="2927"/>
      <c r="L53" s="2573">
        <v>1</v>
      </c>
      <c r="M53" s="2576"/>
      <c r="N53" s="2927">
        <f t="shared" si="19"/>
        <v>1</v>
      </c>
      <c r="O53" s="2573"/>
      <c r="P53" s="2576"/>
      <c r="Q53" s="2927"/>
      <c r="R53" s="2573"/>
      <c r="S53" s="2576"/>
      <c r="T53" s="2927"/>
      <c r="U53" s="2573"/>
      <c r="V53" s="2576"/>
      <c r="W53" s="2927"/>
      <c r="X53" s="2573"/>
      <c r="Y53" s="2576"/>
      <c r="Z53" s="2927"/>
      <c r="AA53" s="2573"/>
      <c r="AB53" s="2576"/>
      <c r="AC53" s="2927"/>
    </row>
    <row r="54" spans="2:29" x14ac:dyDescent="0.3">
      <c r="B54" s="1402" t="s">
        <v>546</v>
      </c>
      <c r="C54" s="2573"/>
      <c r="D54" s="2576"/>
      <c r="E54" s="2927"/>
      <c r="F54" s="2573"/>
      <c r="G54" s="2576"/>
      <c r="H54" s="2927"/>
      <c r="I54" s="2573"/>
      <c r="J54" s="2576"/>
      <c r="K54" s="2927"/>
      <c r="L54" s="2573"/>
      <c r="M54" s="2576"/>
      <c r="N54" s="2927"/>
      <c r="O54" s="2573"/>
      <c r="P54" s="2576">
        <v>1</v>
      </c>
      <c r="Q54" s="2927">
        <f t="shared" si="16"/>
        <v>1</v>
      </c>
      <c r="R54" s="2573"/>
      <c r="S54" s="2576">
        <v>1</v>
      </c>
      <c r="T54" s="2927">
        <f t="shared" ref="T54:T56" si="25">SUM(R54:S54)</f>
        <v>1</v>
      </c>
      <c r="U54" s="2573"/>
      <c r="V54" s="2576"/>
      <c r="W54" s="2927"/>
      <c r="X54" s="2573"/>
      <c r="Y54" s="2576"/>
      <c r="Z54" s="2927"/>
      <c r="AA54" s="2573"/>
      <c r="AB54" s="2576"/>
      <c r="AC54" s="2927"/>
    </row>
    <row r="55" spans="2:29" x14ac:dyDescent="0.3">
      <c r="B55" s="1402" t="s">
        <v>721</v>
      </c>
      <c r="C55" s="2573"/>
      <c r="D55" s="2576"/>
      <c r="E55" s="2927"/>
      <c r="F55" s="2573"/>
      <c r="G55" s="2576"/>
      <c r="H55" s="2927"/>
      <c r="I55" s="2573"/>
      <c r="J55" s="2576"/>
      <c r="K55" s="2927"/>
      <c r="L55" s="2573">
        <v>2</v>
      </c>
      <c r="M55" s="2576"/>
      <c r="N55" s="2927">
        <f t="shared" si="19"/>
        <v>2</v>
      </c>
      <c r="O55" s="2573"/>
      <c r="P55" s="2576">
        <v>1</v>
      </c>
      <c r="Q55" s="2927">
        <f t="shared" si="16"/>
        <v>1</v>
      </c>
      <c r="R55" s="2573"/>
      <c r="S55" s="2576"/>
      <c r="T55" s="2927"/>
      <c r="U55" s="2573"/>
      <c r="V55" s="2576"/>
      <c r="W55" s="2927"/>
      <c r="X55" s="2573"/>
      <c r="Y55" s="2576"/>
      <c r="Z55" s="2927"/>
      <c r="AA55" s="2573"/>
      <c r="AB55" s="2576"/>
      <c r="AC55" s="2927"/>
    </row>
    <row r="56" spans="2:29" x14ac:dyDescent="0.3">
      <c r="B56" s="1402" t="s">
        <v>545</v>
      </c>
      <c r="C56" s="2573"/>
      <c r="D56" s="2576"/>
      <c r="E56" s="2927"/>
      <c r="F56" s="2573"/>
      <c r="G56" s="2576"/>
      <c r="H56" s="2927"/>
      <c r="I56" s="2573">
        <v>1</v>
      </c>
      <c r="J56" s="2576"/>
      <c r="K56" s="2927">
        <f t="shared" si="21"/>
        <v>1</v>
      </c>
      <c r="L56" s="2573"/>
      <c r="M56" s="2576">
        <v>1</v>
      </c>
      <c r="N56" s="2927">
        <f t="shared" si="19"/>
        <v>1</v>
      </c>
      <c r="O56" s="2573"/>
      <c r="P56" s="2576"/>
      <c r="Q56" s="2927"/>
      <c r="R56" s="2573">
        <v>1</v>
      </c>
      <c r="S56" s="2576"/>
      <c r="T56" s="2927">
        <f t="shared" si="25"/>
        <v>1</v>
      </c>
      <c r="U56" s="2573"/>
      <c r="V56" s="2576"/>
      <c r="W56" s="2927"/>
      <c r="X56" s="2573"/>
      <c r="Y56" s="2576"/>
      <c r="Z56" s="2927"/>
      <c r="AA56" s="2573"/>
      <c r="AB56" s="2576"/>
      <c r="AC56" s="2927"/>
    </row>
    <row r="57" spans="2:29" x14ac:dyDescent="0.3">
      <c r="B57" s="2932" t="s">
        <v>92</v>
      </c>
      <c r="C57" s="2932">
        <f>SUM(C51:C56)</f>
        <v>0</v>
      </c>
      <c r="D57" s="2933">
        <f t="shared" ref="D57:W57" si="26">SUM(D51:D56)</f>
        <v>0</v>
      </c>
      <c r="E57" s="2934">
        <f t="shared" si="26"/>
        <v>0</v>
      </c>
      <c r="F57" s="2932">
        <f t="shared" si="26"/>
        <v>1</v>
      </c>
      <c r="G57" s="2933">
        <f t="shared" si="26"/>
        <v>1</v>
      </c>
      <c r="H57" s="2934">
        <f t="shared" si="26"/>
        <v>2</v>
      </c>
      <c r="I57" s="2932">
        <f t="shared" si="26"/>
        <v>1</v>
      </c>
      <c r="J57" s="2933">
        <f t="shared" si="26"/>
        <v>0</v>
      </c>
      <c r="K57" s="2934">
        <f t="shared" si="26"/>
        <v>1</v>
      </c>
      <c r="L57" s="2932">
        <f t="shared" si="26"/>
        <v>4</v>
      </c>
      <c r="M57" s="2933">
        <f t="shared" si="26"/>
        <v>1</v>
      </c>
      <c r="N57" s="2934">
        <f t="shared" si="26"/>
        <v>5</v>
      </c>
      <c r="O57" s="2932">
        <f t="shared" si="26"/>
        <v>1</v>
      </c>
      <c r="P57" s="2933">
        <f t="shared" si="26"/>
        <v>3</v>
      </c>
      <c r="Q57" s="2934">
        <f t="shared" si="26"/>
        <v>4</v>
      </c>
      <c r="R57" s="2932">
        <f t="shared" si="26"/>
        <v>1</v>
      </c>
      <c r="S57" s="2933">
        <f t="shared" si="26"/>
        <v>1</v>
      </c>
      <c r="T57" s="2934">
        <f t="shared" si="26"/>
        <v>2</v>
      </c>
      <c r="U57" s="2932">
        <f t="shared" si="26"/>
        <v>0</v>
      </c>
      <c r="V57" s="2933">
        <f t="shared" si="26"/>
        <v>0</v>
      </c>
      <c r="W57" s="2934">
        <f t="shared" si="26"/>
        <v>0</v>
      </c>
      <c r="X57" s="2932"/>
      <c r="Y57" s="2933"/>
      <c r="Z57" s="2934"/>
      <c r="AA57" s="2932"/>
      <c r="AB57" s="2933"/>
      <c r="AC57" s="2934"/>
    </row>
    <row r="58" spans="2:29" x14ac:dyDescent="0.3">
      <c r="B58" s="2942" t="s">
        <v>93</v>
      </c>
      <c r="C58" s="2942">
        <f>SUM(C57,C50,C41)</f>
        <v>1</v>
      </c>
      <c r="D58" s="2943">
        <f t="shared" ref="D58:W58" si="27">SUM(D57,D50,D41)</f>
        <v>2</v>
      </c>
      <c r="E58" s="2944">
        <f t="shared" si="27"/>
        <v>2</v>
      </c>
      <c r="F58" s="2942">
        <f t="shared" si="27"/>
        <v>5</v>
      </c>
      <c r="G58" s="2943">
        <f t="shared" si="27"/>
        <v>5</v>
      </c>
      <c r="H58" s="2944">
        <f t="shared" si="27"/>
        <v>10</v>
      </c>
      <c r="I58" s="2942">
        <f t="shared" si="27"/>
        <v>4</v>
      </c>
      <c r="J58" s="2943">
        <f t="shared" si="27"/>
        <v>3</v>
      </c>
      <c r="K58" s="2944">
        <f t="shared" si="27"/>
        <v>7</v>
      </c>
      <c r="L58" s="2942">
        <f t="shared" si="27"/>
        <v>7</v>
      </c>
      <c r="M58" s="2943">
        <f t="shared" si="27"/>
        <v>5</v>
      </c>
      <c r="N58" s="2944">
        <f t="shared" si="27"/>
        <v>12</v>
      </c>
      <c r="O58" s="2942">
        <f t="shared" si="27"/>
        <v>2</v>
      </c>
      <c r="P58" s="2943">
        <f t="shared" si="27"/>
        <v>9</v>
      </c>
      <c r="Q58" s="2944">
        <f t="shared" si="27"/>
        <v>11</v>
      </c>
      <c r="R58" s="2942">
        <f t="shared" si="27"/>
        <v>6</v>
      </c>
      <c r="S58" s="2943">
        <f t="shared" si="27"/>
        <v>7</v>
      </c>
      <c r="T58" s="2944">
        <f t="shared" si="27"/>
        <v>13</v>
      </c>
      <c r="U58" s="2942">
        <f t="shared" si="27"/>
        <v>1</v>
      </c>
      <c r="V58" s="2943">
        <f t="shared" si="27"/>
        <v>2</v>
      </c>
      <c r="W58" s="2944">
        <f t="shared" si="27"/>
        <v>3</v>
      </c>
      <c r="X58" s="2942"/>
      <c r="Y58" s="2943"/>
      <c r="Z58" s="2944"/>
      <c r="AA58" s="2942"/>
      <c r="AB58" s="2943"/>
      <c r="AC58" s="2944"/>
    </row>
    <row r="59" spans="2:29" x14ac:dyDescent="0.3">
      <c r="B59" s="2923" t="s">
        <v>399</v>
      </c>
      <c r="C59" s="2714"/>
      <c r="D59" s="2763"/>
      <c r="E59" s="2924"/>
      <c r="F59" s="2714">
        <v>2</v>
      </c>
      <c r="G59" s="2763">
        <v>6</v>
      </c>
      <c r="H59" s="2924">
        <f>SUM(F59:G59)</f>
        <v>8</v>
      </c>
      <c r="I59" s="2714"/>
      <c r="J59" s="2763"/>
      <c r="K59" s="2924"/>
      <c r="L59" s="2714">
        <v>4</v>
      </c>
      <c r="M59" s="2763">
        <v>1</v>
      </c>
      <c r="N59" s="2924">
        <f t="shared" ref="N59:N82" si="28">SUM(L59:M59)</f>
        <v>5</v>
      </c>
      <c r="O59" s="2714"/>
      <c r="P59" s="2763"/>
      <c r="Q59" s="2924"/>
      <c r="R59" s="2714">
        <v>5</v>
      </c>
      <c r="S59" s="2763">
        <v>5</v>
      </c>
      <c r="T59" s="2924">
        <f t="shared" ref="T59:T70" si="29">SUM(R59:S59)</f>
        <v>10</v>
      </c>
      <c r="U59" s="2714"/>
      <c r="V59" s="2763"/>
      <c r="W59" s="2924"/>
      <c r="X59" s="2714"/>
      <c r="Y59" s="2763"/>
      <c r="Z59" s="2924"/>
      <c r="AA59" s="2714"/>
      <c r="AB59" s="2763"/>
      <c r="AC59" s="2924"/>
    </row>
    <row r="60" spans="2:29" x14ac:dyDescent="0.3">
      <c r="B60" s="2925" t="s">
        <v>393</v>
      </c>
      <c r="C60" s="2573"/>
      <c r="D60" s="2576">
        <v>2</v>
      </c>
      <c r="E60" s="2927">
        <f>SUM(C60:D60)</f>
        <v>2</v>
      </c>
      <c r="F60" s="2573"/>
      <c r="G60" s="2576"/>
      <c r="H60" s="2927"/>
      <c r="I60" s="2573"/>
      <c r="J60" s="2576"/>
      <c r="K60" s="2927"/>
      <c r="L60" s="2573"/>
      <c r="M60" s="2576"/>
      <c r="N60" s="2927"/>
      <c r="O60" s="2573">
        <v>1</v>
      </c>
      <c r="P60" s="2576"/>
      <c r="Q60" s="2927">
        <f t="shared" ref="Q60:Q84" si="30">SUM(O60:P60)</f>
        <v>1</v>
      </c>
      <c r="R60" s="2573"/>
      <c r="S60" s="2576">
        <v>1</v>
      </c>
      <c r="T60" s="2927">
        <f t="shared" si="29"/>
        <v>1</v>
      </c>
      <c r="U60" s="2573"/>
      <c r="V60" s="2576"/>
      <c r="W60" s="2927"/>
      <c r="X60" s="2573"/>
      <c r="Y60" s="2576"/>
      <c r="Z60" s="2927"/>
      <c r="AA60" s="2573">
        <v>2</v>
      </c>
      <c r="AB60" s="2576"/>
      <c r="AC60" s="2927">
        <f>SUM(AA60:AB60)</f>
        <v>2</v>
      </c>
    </row>
    <row r="61" spans="2:29" x14ac:dyDescent="0.3">
      <c r="B61" s="2925" t="s">
        <v>401</v>
      </c>
      <c r="C61" s="2573"/>
      <c r="D61" s="2576"/>
      <c r="E61" s="2927"/>
      <c r="F61" s="2573"/>
      <c r="G61" s="2576">
        <v>1</v>
      </c>
      <c r="H61" s="2927">
        <f>SUM(F61:G61)</f>
        <v>1</v>
      </c>
      <c r="I61" s="2573"/>
      <c r="J61" s="2576">
        <v>1</v>
      </c>
      <c r="K61" s="2927">
        <f>SUM(I61:J61)</f>
        <v>1</v>
      </c>
      <c r="L61" s="2573"/>
      <c r="M61" s="2576"/>
      <c r="N61" s="2927"/>
      <c r="O61" s="2573"/>
      <c r="P61" s="2576"/>
      <c r="Q61" s="2927"/>
      <c r="R61" s="2573">
        <v>1</v>
      </c>
      <c r="S61" s="2576"/>
      <c r="T61" s="2927">
        <f t="shared" si="29"/>
        <v>1</v>
      </c>
      <c r="U61" s="2573"/>
      <c r="V61" s="2576"/>
      <c r="W61" s="2927"/>
      <c r="X61" s="2573"/>
      <c r="Y61" s="2576"/>
      <c r="Z61" s="2927"/>
      <c r="AA61" s="2573">
        <v>3</v>
      </c>
      <c r="AB61" s="2576"/>
      <c r="AC61" s="2927">
        <f t="shared" ref="AC61:AC70" si="31">SUM(AA61:AB61)</f>
        <v>3</v>
      </c>
    </row>
    <row r="62" spans="2:29" x14ac:dyDescent="0.3">
      <c r="B62" s="2925" t="s">
        <v>392</v>
      </c>
      <c r="C62" s="2573"/>
      <c r="D62" s="2576"/>
      <c r="E62" s="2927"/>
      <c r="F62" s="2573"/>
      <c r="G62" s="2576"/>
      <c r="H62" s="2927"/>
      <c r="I62" s="2573"/>
      <c r="J62" s="2576"/>
      <c r="K62" s="2927"/>
      <c r="L62" s="2573"/>
      <c r="M62" s="2576"/>
      <c r="N62" s="2927"/>
      <c r="O62" s="2573"/>
      <c r="P62" s="2576"/>
      <c r="Q62" s="2927"/>
      <c r="R62" s="2573"/>
      <c r="S62" s="2576"/>
      <c r="T62" s="2927"/>
      <c r="U62" s="2573">
        <v>1</v>
      </c>
      <c r="V62" s="2576"/>
      <c r="W62" s="2927">
        <f t="shared" ref="W62:W69" si="32">SUM(U62:V62)</f>
        <v>1</v>
      </c>
      <c r="X62" s="2573"/>
      <c r="Y62" s="2576"/>
      <c r="Z62" s="2927"/>
      <c r="AA62" s="2573"/>
      <c r="AB62" s="2576"/>
      <c r="AC62" s="2927"/>
    </row>
    <row r="63" spans="2:29" x14ac:dyDescent="0.3">
      <c r="B63" s="2925" t="s">
        <v>394</v>
      </c>
      <c r="C63" s="2573"/>
      <c r="D63" s="2576"/>
      <c r="E63" s="2927"/>
      <c r="F63" s="2573"/>
      <c r="G63" s="2576"/>
      <c r="H63" s="2927"/>
      <c r="I63" s="2573"/>
      <c r="J63" s="2576"/>
      <c r="K63" s="2927"/>
      <c r="L63" s="2573"/>
      <c r="M63" s="2576"/>
      <c r="N63" s="2927"/>
      <c r="O63" s="2573">
        <v>2</v>
      </c>
      <c r="P63" s="2576"/>
      <c r="Q63" s="2927">
        <f t="shared" si="30"/>
        <v>2</v>
      </c>
      <c r="R63" s="2573"/>
      <c r="S63" s="2576"/>
      <c r="T63" s="2927"/>
      <c r="U63" s="2573"/>
      <c r="V63" s="2576"/>
      <c r="W63" s="2927"/>
      <c r="X63" s="2573"/>
      <c r="Y63" s="2576"/>
      <c r="Z63" s="2927"/>
      <c r="AA63" s="2573"/>
      <c r="AB63" s="2576"/>
      <c r="AC63" s="2927"/>
    </row>
    <row r="64" spans="2:29" x14ac:dyDescent="0.3">
      <c r="B64" s="2925" t="s">
        <v>397</v>
      </c>
      <c r="C64" s="2573"/>
      <c r="D64" s="2576"/>
      <c r="E64" s="2927"/>
      <c r="F64" s="2573"/>
      <c r="G64" s="2576"/>
      <c r="H64" s="2927"/>
      <c r="I64" s="2573"/>
      <c r="J64" s="2576"/>
      <c r="K64" s="2927"/>
      <c r="L64" s="2573"/>
      <c r="M64" s="2576"/>
      <c r="N64" s="2927"/>
      <c r="O64" s="2573">
        <v>4</v>
      </c>
      <c r="P64" s="2576">
        <v>1</v>
      </c>
      <c r="Q64" s="2927">
        <f t="shared" si="30"/>
        <v>5</v>
      </c>
      <c r="R64" s="2573"/>
      <c r="S64" s="2576"/>
      <c r="T64" s="2927"/>
      <c r="U64" s="2573"/>
      <c r="V64" s="2576"/>
      <c r="W64" s="2927"/>
      <c r="X64" s="2573"/>
      <c r="Y64" s="2576"/>
      <c r="Z64" s="2927"/>
      <c r="AA64" s="2573"/>
      <c r="AB64" s="2576"/>
      <c r="AC64" s="2927"/>
    </row>
    <row r="65" spans="2:29" x14ac:dyDescent="0.3">
      <c r="B65" s="2925" t="s">
        <v>398</v>
      </c>
      <c r="C65" s="2573"/>
      <c r="D65" s="2576"/>
      <c r="E65" s="2927"/>
      <c r="F65" s="2573"/>
      <c r="G65" s="2576"/>
      <c r="H65" s="2927"/>
      <c r="I65" s="2573"/>
      <c r="J65" s="2576"/>
      <c r="K65" s="2927"/>
      <c r="L65" s="2573"/>
      <c r="M65" s="2576"/>
      <c r="N65" s="2927"/>
      <c r="O65" s="2573"/>
      <c r="P65" s="2576">
        <v>1</v>
      </c>
      <c r="Q65" s="2927">
        <f t="shared" si="30"/>
        <v>1</v>
      </c>
      <c r="R65" s="2573"/>
      <c r="S65" s="2576"/>
      <c r="T65" s="2927"/>
      <c r="U65" s="2573"/>
      <c r="V65" s="2576"/>
      <c r="W65" s="2927"/>
      <c r="X65" s="2573"/>
      <c r="Y65" s="2576"/>
      <c r="Z65" s="2927"/>
      <c r="AA65" s="2573"/>
      <c r="AB65" s="2576"/>
      <c r="AC65" s="2927"/>
    </row>
    <row r="66" spans="2:29" x14ac:dyDescent="0.3">
      <c r="B66" s="2925" t="s">
        <v>722</v>
      </c>
      <c r="C66" s="2573"/>
      <c r="D66" s="2576"/>
      <c r="E66" s="2927"/>
      <c r="F66" s="2573"/>
      <c r="G66" s="2576"/>
      <c r="H66" s="2927"/>
      <c r="I66" s="2573"/>
      <c r="J66" s="2576"/>
      <c r="K66" s="2927"/>
      <c r="L66" s="2573">
        <v>1</v>
      </c>
      <c r="M66" s="2576"/>
      <c r="N66" s="2927">
        <f t="shared" si="28"/>
        <v>1</v>
      </c>
      <c r="O66" s="2573">
        <v>1</v>
      </c>
      <c r="P66" s="2576"/>
      <c r="Q66" s="2927">
        <f t="shared" si="30"/>
        <v>1</v>
      </c>
      <c r="R66" s="2573"/>
      <c r="S66" s="2576">
        <v>2</v>
      </c>
      <c r="T66" s="2927">
        <f t="shared" si="29"/>
        <v>2</v>
      </c>
      <c r="U66" s="2573"/>
      <c r="V66" s="2576"/>
      <c r="W66" s="2927"/>
      <c r="X66" s="2573"/>
      <c r="Y66" s="2576"/>
      <c r="Z66" s="2927"/>
      <c r="AA66" s="2573"/>
      <c r="AB66" s="2576"/>
      <c r="AC66" s="2927"/>
    </row>
    <row r="67" spans="2:29" x14ac:dyDescent="0.3">
      <c r="B67" s="2925" t="s">
        <v>396</v>
      </c>
      <c r="C67" s="2573"/>
      <c r="D67" s="2576"/>
      <c r="E67" s="2927"/>
      <c r="F67" s="2573"/>
      <c r="G67" s="2576"/>
      <c r="H67" s="2927"/>
      <c r="I67" s="2573"/>
      <c r="J67" s="2576">
        <v>1</v>
      </c>
      <c r="K67" s="2927">
        <f>SUM(I67:J67)</f>
        <v>1</v>
      </c>
      <c r="L67" s="2573"/>
      <c r="M67" s="2576">
        <v>1</v>
      </c>
      <c r="N67" s="2927">
        <f t="shared" si="28"/>
        <v>1</v>
      </c>
      <c r="O67" s="2573"/>
      <c r="P67" s="2576"/>
      <c r="Q67" s="2927"/>
      <c r="R67" s="2573"/>
      <c r="S67" s="2576"/>
      <c r="T67" s="2927"/>
      <c r="U67" s="2573"/>
      <c r="V67" s="2576"/>
      <c r="W67" s="2927"/>
      <c r="X67" s="2573"/>
      <c r="Y67" s="2576"/>
      <c r="Z67" s="2927"/>
      <c r="AA67" s="2573"/>
      <c r="AB67" s="2576"/>
      <c r="AC67" s="2927"/>
    </row>
    <row r="68" spans="2:29" x14ac:dyDescent="0.3">
      <c r="B68" s="2925" t="s">
        <v>335</v>
      </c>
      <c r="C68" s="2573"/>
      <c r="D68" s="2576"/>
      <c r="E68" s="2927"/>
      <c r="F68" s="2573">
        <v>1</v>
      </c>
      <c r="G68" s="2576"/>
      <c r="H68" s="2927">
        <f>SUM(F68:G68)</f>
        <v>1</v>
      </c>
      <c r="I68" s="2573"/>
      <c r="J68" s="2576"/>
      <c r="K68" s="2927"/>
      <c r="L68" s="2573"/>
      <c r="M68" s="2576"/>
      <c r="N68" s="2927"/>
      <c r="O68" s="2573"/>
      <c r="P68" s="2576"/>
      <c r="Q68" s="2927"/>
      <c r="R68" s="2573">
        <v>3</v>
      </c>
      <c r="S68" s="2576">
        <v>1</v>
      </c>
      <c r="T68" s="2927">
        <f t="shared" si="29"/>
        <v>4</v>
      </c>
      <c r="U68" s="2573"/>
      <c r="V68" s="2576"/>
      <c r="W68" s="2927"/>
      <c r="X68" s="2573"/>
      <c r="Y68" s="2576"/>
      <c r="Z68" s="2927"/>
      <c r="AA68" s="2573"/>
      <c r="AB68" s="2576"/>
      <c r="AC68" s="2927"/>
    </row>
    <row r="69" spans="2:29" x14ac:dyDescent="0.3">
      <c r="B69" s="2925" t="s">
        <v>378</v>
      </c>
      <c r="C69" s="2573"/>
      <c r="D69" s="2576"/>
      <c r="E69" s="2927"/>
      <c r="F69" s="2573"/>
      <c r="G69" s="2576"/>
      <c r="H69" s="2927"/>
      <c r="I69" s="2573"/>
      <c r="J69" s="2576"/>
      <c r="K69" s="2927"/>
      <c r="L69" s="2573"/>
      <c r="M69" s="2576"/>
      <c r="N69" s="2927"/>
      <c r="O69" s="2573"/>
      <c r="P69" s="2576"/>
      <c r="Q69" s="2927"/>
      <c r="R69" s="2573"/>
      <c r="S69" s="2576"/>
      <c r="T69" s="2927"/>
      <c r="U69" s="2573"/>
      <c r="V69" s="2576">
        <v>1</v>
      </c>
      <c r="W69" s="2927">
        <f t="shared" si="32"/>
        <v>1</v>
      </c>
      <c r="X69" s="2573"/>
      <c r="Y69" s="2576"/>
      <c r="Z69" s="2927"/>
      <c r="AA69" s="2573"/>
      <c r="AB69" s="2576"/>
      <c r="AC69" s="2927"/>
    </row>
    <row r="70" spans="2:29" x14ac:dyDescent="0.3">
      <c r="B70" s="2925" t="s">
        <v>402</v>
      </c>
      <c r="C70" s="2573"/>
      <c r="D70" s="2576"/>
      <c r="E70" s="2927"/>
      <c r="F70" s="2573"/>
      <c r="G70" s="2576">
        <v>1</v>
      </c>
      <c r="H70" s="2927">
        <f>SUM(F70:G70)</f>
        <v>1</v>
      </c>
      <c r="I70" s="2573"/>
      <c r="J70" s="2576"/>
      <c r="K70" s="2927"/>
      <c r="L70" s="2573">
        <v>1</v>
      </c>
      <c r="M70" s="2576">
        <v>1</v>
      </c>
      <c r="N70" s="2927">
        <f t="shared" si="28"/>
        <v>2</v>
      </c>
      <c r="O70" s="2573"/>
      <c r="P70" s="2576">
        <v>1</v>
      </c>
      <c r="Q70" s="2927">
        <f t="shared" si="30"/>
        <v>1</v>
      </c>
      <c r="R70" s="2573">
        <v>6</v>
      </c>
      <c r="S70" s="2576">
        <v>1</v>
      </c>
      <c r="T70" s="2927">
        <f t="shared" si="29"/>
        <v>7</v>
      </c>
      <c r="U70" s="2573"/>
      <c r="V70" s="2576"/>
      <c r="W70" s="2927"/>
      <c r="X70" s="2573"/>
      <c r="Y70" s="2576"/>
      <c r="Z70" s="2927"/>
      <c r="AA70" s="2573">
        <v>3</v>
      </c>
      <c r="AB70" s="2576">
        <v>1</v>
      </c>
      <c r="AC70" s="2927">
        <f t="shared" si="31"/>
        <v>4</v>
      </c>
    </row>
    <row r="71" spans="2:29" x14ac:dyDescent="0.3">
      <c r="B71" s="2577" t="s">
        <v>64</v>
      </c>
      <c r="C71" s="2577">
        <f>SUM(C59:C70)</f>
        <v>0</v>
      </c>
      <c r="D71" s="2928">
        <f t="shared" ref="D71:W71" si="33">SUM(D59:D70)</f>
        <v>2</v>
      </c>
      <c r="E71" s="2929">
        <f t="shared" si="33"/>
        <v>2</v>
      </c>
      <c r="F71" s="2577">
        <f t="shared" si="33"/>
        <v>3</v>
      </c>
      <c r="G71" s="2928">
        <f t="shared" si="33"/>
        <v>8</v>
      </c>
      <c r="H71" s="2929">
        <f t="shared" si="33"/>
        <v>11</v>
      </c>
      <c r="I71" s="2577">
        <f t="shared" si="33"/>
        <v>0</v>
      </c>
      <c r="J71" s="2928">
        <f t="shared" si="33"/>
        <v>2</v>
      </c>
      <c r="K71" s="2929">
        <f t="shared" si="33"/>
        <v>2</v>
      </c>
      <c r="L71" s="2577">
        <f t="shared" si="33"/>
        <v>6</v>
      </c>
      <c r="M71" s="2928">
        <f t="shared" si="33"/>
        <v>3</v>
      </c>
      <c r="N71" s="2929">
        <f t="shared" si="33"/>
        <v>9</v>
      </c>
      <c r="O71" s="2577">
        <f t="shared" si="33"/>
        <v>8</v>
      </c>
      <c r="P71" s="2928">
        <f t="shared" si="33"/>
        <v>3</v>
      </c>
      <c r="Q71" s="2929">
        <f t="shared" si="33"/>
        <v>11</v>
      </c>
      <c r="R71" s="2577">
        <f t="shared" si="33"/>
        <v>15</v>
      </c>
      <c r="S71" s="2928">
        <f t="shared" si="33"/>
        <v>10</v>
      </c>
      <c r="T71" s="2929">
        <f t="shared" si="33"/>
        <v>25</v>
      </c>
      <c r="U71" s="2577">
        <f t="shared" si="33"/>
        <v>1</v>
      </c>
      <c r="V71" s="2928">
        <f t="shared" si="33"/>
        <v>1</v>
      </c>
      <c r="W71" s="2929">
        <f t="shared" si="33"/>
        <v>2</v>
      </c>
      <c r="X71" s="2577"/>
      <c r="Y71" s="2928"/>
      <c r="Z71" s="2929"/>
      <c r="AA71" s="2577">
        <f>SUM(AA59:AA70)</f>
        <v>8</v>
      </c>
      <c r="AB71" s="2928">
        <f t="shared" ref="AB71:AC71" si="34">SUM(AB59:AB70)</f>
        <v>1</v>
      </c>
      <c r="AC71" s="2929">
        <f t="shared" si="34"/>
        <v>9</v>
      </c>
    </row>
    <row r="72" spans="2:29" x14ac:dyDescent="0.3">
      <c r="B72" s="2925" t="s">
        <v>413</v>
      </c>
      <c r="C72" s="2573"/>
      <c r="D72" s="2576"/>
      <c r="E72" s="2927"/>
      <c r="F72" s="2573"/>
      <c r="G72" s="2576"/>
      <c r="H72" s="2927"/>
      <c r="I72" s="2573"/>
      <c r="J72" s="2576">
        <v>1</v>
      </c>
      <c r="K72" s="2927">
        <f>SUM(I72:J72)</f>
        <v>1</v>
      </c>
      <c r="L72" s="2573">
        <v>1</v>
      </c>
      <c r="M72" s="2576">
        <v>1</v>
      </c>
      <c r="N72" s="2927">
        <f t="shared" si="28"/>
        <v>2</v>
      </c>
      <c r="O72" s="2573"/>
      <c r="P72" s="2576"/>
      <c r="Q72" s="2927"/>
      <c r="R72" s="2573">
        <v>1</v>
      </c>
      <c r="S72" s="2576"/>
      <c r="T72" s="2927">
        <f t="shared" ref="T72:T79" si="35">SUM(R72:S72)</f>
        <v>1</v>
      </c>
      <c r="U72" s="2573">
        <v>1</v>
      </c>
      <c r="V72" s="2576"/>
      <c r="W72" s="2927">
        <f t="shared" ref="W72:W77" si="36">SUM(U72:V72)</f>
        <v>1</v>
      </c>
      <c r="X72" s="2573"/>
      <c r="Y72" s="2576"/>
      <c r="Z72" s="2927"/>
      <c r="AA72" s="2573">
        <v>3</v>
      </c>
      <c r="AB72" s="2576"/>
      <c r="AC72" s="2927">
        <f>SUM(AA72:AB72)</f>
        <v>3</v>
      </c>
    </row>
    <row r="73" spans="2:29" x14ac:dyDescent="0.3">
      <c r="B73" s="2925" t="s">
        <v>408</v>
      </c>
      <c r="C73" s="2573"/>
      <c r="D73" s="2576"/>
      <c r="E73" s="2927"/>
      <c r="F73" s="2573"/>
      <c r="G73" s="2576"/>
      <c r="H73" s="2927"/>
      <c r="I73" s="2573"/>
      <c r="J73" s="2576"/>
      <c r="K73" s="2927"/>
      <c r="L73" s="2573">
        <v>3</v>
      </c>
      <c r="M73" s="2576">
        <v>1</v>
      </c>
      <c r="N73" s="2927">
        <f t="shared" si="28"/>
        <v>4</v>
      </c>
      <c r="O73" s="2573"/>
      <c r="P73" s="2576"/>
      <c r="Q73" s="2927"/>
      <c r="R73" s="2573"/>
      <c r="S73" s="2576"/>
      <c r="T73" s="2927"/>
      <c r="U73" s="2573"/>
      <c r="V73" s="2576"/>
      <c r="W73" s="2927"/>
      <c r="X73" s="2573"/>
      <c r="Y73" s="2576"/>
      <c r="Z73" s="2927"/>
      <c r="AA73" s="2573"/>
      <c r="AB73" s="2576"/>
      <c r="AC73" s="2927"/>
    </row>
    <row r="74" spans="2:29" x14ac:dyDescent="0.3">
      <c r="B74" s="2925" t="s">
        <v>412</v>
      </c>
      <c r="C74" s="2573"/>
      <c r="D74" s="2576"/>
      <c r="E74" s="2927"/>
      <c r="F74" s="2573"/>
      <c r="G74" s="2576"/>
      <c r="H74" s="2927"/>
      <c r="I74" s="2573"/>
      <c r="J74" s="2576"/>
      <c r="K74" s="2927"/>
      <c r="L74" s="2573"/>
      <c r="M74" s="2576"/>
      <c r="N74" s="2927"/>
      <c r="O74" s="2573">
        <v>2</v>
      </c>
      <c r="P74" s="2576"/>
      <c r="Q74" s="2927">
        <f t="shared" si="30"/>
        <v>2</v>
      </c>
      <c r="R74" s="2573"/>
      <c r="S74" s="2576"/>
      <c r="T74" s="2927"/>
      <c r="U74" s="2573"/>
      <c r="V74" s="2576"/>
      <c r="W74" s="2927"/>
      <c r="X74" s="2573"/>
      <c r="Y74" s="2576"/>
      <c r="Z74" s="2927"/>
      <c r="AA74" s="2573"/>
      <c r="AB74" s="2576"/>
      <c r="AC74" s="2927"/>
    </row>
    <row r="75" spans="2:29" x14ac:dyDescent="0.3">
      <c r="B75" s="2925" t="s">
        <v>723</v>
      </c>
      <c r="C75" s="2573"/>
      <c r="D75" s="2576"/>
      <c r="E75" s="2927"/>
      <c r="F75" s="2573"/>
      <c r="G75" s="2576"/>
      <c r="H75" s="2927"/>
      <c r="I75" s="2573"/>
      <c r="J75" s="2576"/>
      <c r="K75" s="2927"/>
      <c r="L75" s="2573"/>
      <c r="M75" s="2576"/>
      <c r="N75" s="2927"/>
      <c r="O75" s="2573">
        <v>2</v>
      </c>
      <c r="P75" s="2576"/>
      <c r="Q75" s="2927">
        <f t="shared" si="30"/>
        <v>2</v>
      </c>
      <c r="R75" s="2573"/>
      <c r="S75" s="2576"/>
      <c r="T75" s="2927"/>
      <c r="U75" s="2573"/>
      <c r="V75" s="2576"/>
      <c r="W75" s="2927"/>
      <c r="X75" s="2573"/>
      <c r="Y75" s="2576"/>
      <c r="Z75" s="2927"/>
      <c r="AA75" s="2573"/>
      <c r="AB75" s="2576"/>
      <c r="AC75" s="2927"/>
    </row>
    <row r="76" spans="2:29" x14ac:dyDescent="0.3">
      <c r="B76" s="2925" t="s">
        <v>409</v>
      </c>
      <c r="C76" s="2573"/>
      <c r="D76" s="2576"/>
      <c r="E76" s="2927"/>
      <c r="F76" s="2573"/>
      <c r="G76" s="2576"/>
      <c r="H76" s="2927"/>
      <c r="I76" s="2573"/>
      <c r="J76" s="2576"/>
      <c r="K76" s="2927"/>
      <c r="L76" s="2573"/>
      <c r="M76" s="2576"/>
      <c r="N76" s="2927"/>
      <c r="O76" s="2573"/>
      <c r="P76" s="2576"/>
      <c r="Q76" s="2927"/>
      <c r="R76" s="2573"/>
      <c r="S76" s="2576"/>
      <c r="T76" s="2927"/>
      <c r="U76" s="2573"/>
      <c r="V76" s="2576">
        <v>1</v>
      </c>
      <c r="W76" s="2927">
        <f t="shared" si="36"/>
        <v>1</v>
      </c>
      <c r="X76" s="2573"/>
      <c r="Y76" s="2576"/>
      <c r="Z76" s="2927"/>
      <c r="AA76" s="2573"/>
      <c r="AB76" s="2576"/>
      <c r="AC76" s="2927"/>
    </row>
    <row r="77" spans="2:29" x14ac:dyDescent="0.3">
      <c r="B77" s="2925" t="s">
        <v>415</v>
      </c>
      <c r="C77" s="2573"/>
      <c r="D77" s="2576"/>
      <c r="E77" s="2927"/>
      <c r="F77" s="2573"/>
      <c r="G77" s="2576"/>
      <c r="H77" s="2927"/>
      <c r="I77" s="2573"/>
      <c r="J77" s="2576"/>
      <c r="K77" s="2927"/>
      <c r="L77" s="2573"/>
      <c r="M77" s="2576"/>
      <c r="N77" s="2927"/>
      <c r="O77" s="2573"/>
      <c r="P77" s="2576"/>
      <c r="Q77" s="2927"/>
      <c r="R77" s="2573"/>
      <c r="S77" s="2576"/>
      <c r="T77" s="2927"/>
      <c r="U77" s="2573">
        <v>1</v>
      </c>
      <c r="V77" s="2576"/>
      <c r="W77" s="2927">
        <f t="shared" si="36"/>
        <v>1</v>
      </c>
      <c r="X77" s="2573"/>
      <c r="Y77" s="2576"/>
      <c r="Z77" s="2927"/>
      <c r="AA77" s="2573"/>
      <c r="AB77" s="2576"/>
      <c r="AC77" s="2927"/>
    </row>
    <row r="78" spans="2:29" x14ac:dyDescent="0.3">
      <c r="B78" s="2925" t="s">
        <v>416</v>
      </c>
      <c r="C78" s="2573"/>
      <c r="D78" s="2576"/>
      <c r="E78" s="2927"/>
      <c r="F78" s="2573"/>
      <c r="G78" s="2576"/>
      <c r="H78" s="2927"/>
      <c r="I78" s="2573"/>
      <c r="J78" s="2576"/>
      <c r="K78" s="2927"/>
      <c r="L78" s="2573">
        <v>1</v>
      </c>
      <c r="M78" s="2576">
        <v>1</v>
      </c>
      <c r="N78" s="2927">
        <f t="shared" si="28"/>
        <v>2</v>
      </c>
      <c r="O78" s="2573">
        <v>2</v>
      </c>
      <c r="P78" s="2576"/>
      <c r="Q78" s="2927">
        <f t="shared" si="30"/>
        <v>2</v>
      </c>
      <c r="R78" s="2573">
        <v>1</v>
      </c>
      <c r="S78" s="2576"/>
      <c r="T78" s="2927">
        <f t="shared" si="35"/>
        <v>1</v>
      </c>
      <c r="U78" s="2573"/>
      <c r="V78" s="2576"/>
      <c r="W78" s="2927"/>
      <c r="X78" s="2573"/>
      <c r="Y78" s="2576"/>
      <c r="Z78" s="2927"/>
      <c r="AA78" s="2573"/>
      <c r="AB78" s="2576"/>
      <c r="AC78" s="2927"/>
    </row>
    <row r="79" spans="2:29" x14ac:dyDescent="0.3">
      <c r="B79" s="2925" t="s">
        <v>354</v>
      </c>
      <c r="C79" s="2573"/>
      <c r="D79" s="2576"/>
      <c r="E79" s="2927"/>
      <c r="F79" s="2573"/>
      <c r="G79" s="2576"/>
      <c r="H79" s="2927"/>
      <c r="I79" s="2573"/>
      <c r="J79" s="2576"/>
      <c r="K79" s="2927"/>
      <c r="L79" s="2573"/>
      <c r="M79" s="2576"/>
      <c r="N79" s="2927"/>
      <c r="O79" s="2573">
        <v>1</v>
      </c>
      <c r="P79" s="2576">
        <v>1</v>
      </c>
      <c r="Q79" s="2927">
        <f t="shared" si="30"/>
        <v>2</v>
      </c>
      <c r="R79" s="2573">
        <v>1</v>
      </c>
      <c r="S79" s="2576"/>
      <c r="T79" s="2927">
        <f t="shared" si="35"/>
        <v>1</v>
      </c>
      <c r="U79" s="2573"/>
      <c r="V79" s="2576"/>
      <c r="W79" s="2927"/>
      <c r="X79" s="2573"/>
      <c r="Y79" s="2576"/>
      <c r="Z79" s="2927"/>
      <c r="AA79" s="2573"/>
      <c r="AB79" s="2576">
        <v>2</v>
      </c>
      <c r="AC79" s="2927">
        <f t="shared" ref="AC79" si="37">SUM(AA79:AB79)</f>
        <v>2</v>
      </c>
    </row>
    <row r="80" spans="2:29" x14ac:dyDescent="0.3">
      <c r="B80" s="2925" t="s">
        <v>417</v>
      </c>
      <c r="C80" s="2573"/>
      <c r="D80" s="2576"/>
      <c r="E80" s="2927"/>
      <c r="F80" s="2573"/>
      <c r="G80" s="2576">
        <v>1</v>
      </c>
      <c r="H80" s="2927">
        <f>SUM(F80:G80)</f>
        <v>1</v>
      </c>
      <c r="I80" s="2573"/>
      <c r="J80" s="2576"/>
      <c r="K80" s="2927">
        <f>SUM(I80:J80)</f>
        <v>0</v>
      </c>
      <c r="L80" s="2573"/>
      <c r="M80" s="2576"/>
      <c r="N80" s="2927"/>
      <c r="O80" s="2573"/>
      <c r="P80" s="2576"/>
      <c r="Q80" s="2927">
        <f t="shared" si="30"/>
        <v>0</v>
      </c>
      <c r="R80" s="2573"/>
      <c r="S80" s="2576"/>
      <c r="T80" s="2927"/>
      <c r="U80" s="2573"/>
      <c r="V80" s="2576"/>
      <c r="W80" s="2927"/>
      <c r="X80" s="2573"/>
      <c r="Y80" s="2576"/>
      <c r="Z80" s="2927"/>
      <c r="AA80" s="2573"/>
      <c r="AB80" s="2576"/>
      <c r="AC80" s="2927"/>
    </row>
    <row r="81" spans="2:29" x14ac:dyDescent="0.3">
      <c r="B81" s="2577" t="s">
        <v>92</v>
      </c>
      <c r="C81" s="2577">
        <f>SUM(C72:C80)</f>
        <v>0</v>
      </c>
      <c r="D81" s="2928">
        <f t="shared" ref="D81:W81" si="38">SUM(D72:D80)</f>
        <v>0</v>
      </c>
      <c r="E81" s="2929">
        <f t="shared" si="38"/>
        <v>0</v>
      </c>
      <c r="F81" s="2577">
        <f t="shared" si="38"/>
        <v>0</v>
      </c>
      <c r="G81" s="2928">
        <f t="shared" si="38"/>
        <v>1</v>
      </c>
      <c r="H81" s="2929">
        <f t="shared" si="38"/>
        <v>1</v>
      </c>
      <c r="I81" s="2577">
        <f t="shared" si="38"/>
        <v>0</v>
      </c>
      <c r="J81" s="2928">
        <f t="shared" si="38"/>
        <v>1</v>
      </c>
      <c r="K81" s="2929">
        <f t="shared" si="38"/>
        <v>1</v>
      </c>
      <c r="L81" s="2577">
        <f t="shared" si="38"/>
        <v>5</v>
      </c>
      <c r="M81" s="2928">
        <f t="shared" si="38"/>
        <v>3</v>
      </c>
      <c r="N81" s="2929">
        <f t="shared" si="38"/>
        <v>8</v>
      </c>
      <c r="O81" s="2577">
        <f t="shared" si="38"/>
        <v>7</v>
      </c>
      <c r="P81" s="2928">
        <f t="shared" si="38"/>
        <v>1</v>
      </c>
      <c r="Q81" s="2929">
        <f t="shared" si="38"/>
        <v>8</v>
      </c>
      <c r="R81" s="2577">
        <f t="shared" si="38"/>
        <v>3</v>
      </c>
      <c r="S81" s="2928">
        <f t="shared" si="38"/>
        <v>0</v>
      </c>
      <c r="T81" s="2929">
        <f t="shared" si="38"/>
        <v>3</v>
      </c>
      <c r="U81" s="2577">
        <f t="shared" si="38"/>
        <v>2</v>
      </c>
      <c r="V81" s="2928">
        <f t="shared" si="38"/>
        <v>1</v>
      </c>
      <c r="W81" s="2929">
        <f t="shared" si="38"/>
        <v>3</v>
      </c>
      <c r="X81" s="2577"/>
      <c r="Y81" s="2928"/>
      <c r="Z81" s="2929"/>
      <c r="AA81" s="2577">
        <f>SUM(AA72:AA80)</f>
        <v>3</v>
      </c>
      <c r="AB81" s="2928">
        <f t="shared" ref="AB81:AC81" si="39">SUM(AB72:AB80)</f>
        <v>2</v>
      </c>
      <c r="AC81" s="2929">
        <f t="shared" si="39"/>
        <v>5</v>
      </c>
    </row>
    <row r="82" spans="2:29" x14ac:dyDescent="0.3">
      <c r="B82" s="1388" t="s">
        <v>418</v>
      </c>
      <c r="C82" s="2573"/>
      <c r="D82" s="2576"/>
      <c r="E82" s="2927"/>
      <c r="F82" s="2573">
        <v>2</v>
      </c>
      <c r="G82" s="2576">
        <v>5</v>
      </c>
      <c r="H82" s="2927">
        <f>SUM(F82:G82)</f>
        <v>7</v>
      </c>
      <c r="I82" s="2573">
        <v>4</v>
      </c>
      <c r="J82" s="2576"/>
      <c r="K82" s="2927">
        <f>SUM(I82:J82)</f>
        <v>4</v>
      </c>
      <c r="L82" s="2573">
        <v>5</v>
      </c>
      <c r="M82" s="2576">
        <v>3</v>
      </c>
      <c r="N82" s="2927">
        <f t="shared" si="28"/>
        <v>8</v>
      </c>
      <c r="O82" s="2573">
        <v>6</v>
      </c>
      <c r="P82" s="2576">
        <v>1</v>
      </c>
      <c r="Q82" s="2927">
        <f t="shared" si="30"/>
        <v>7</v>
      </c>
      <c r="R82" s="2573">
        <v>7</v>
      </c>
      <c r="S82" s="2576">
        <v>3</v>
      </c>
      <c r="T82" s="2927">
        <f>SUM(R82:S82)</f>
        <v>10</v>
      </c>
      <c r="U82" s="2573"/>
      <c r="V82" s="2576"/>
      <c r="W82" s="2927"/>
      <c r="X82" s="2573"/>
      <c r="Y82" s="2576"/>
      <c r="Z82" s="2927"/>
      <c r="AA82" s="2573">
        <v>1</v>
      </c>
      <c r="AB82" s="2576"/>
      <c r="AC82" s="2927">
        <f>SUM(AA82:AB82)</f>
        <v>1</v>
      </c>
    </row>
    <row r="83" spans="2:29" x14ac:dyDescent="0.3">
      <c r="B83" s="1402" t="s">
        <v>421</v>
      </c>
      <c r="C83" s="2573"/>
      <c r="D83" s="2576"/>
      <c r="E83" s="2927"/>
      <c r="F83" s="2573">
        <v>1</v>
      </c>
      <c r="G83" s="2576">
        <v>1</v>
      </c>
      <c r="H83" s="2927">
        <f>SUM(F83:G83)</f>
        <v>2</v>
      </c>
      <c r="I83" s="2573"/>
      <c r="J83" s="2576"/>
      <c r="K83" s="2927"/>
      <c r="L83" s="2573"/>
      <c r="M83" s="2576"/>
      <c r="N83" s="2927"/>
      <c r="O83" s="2573">
        <v>1</v>
      </c>
      <c r="P83" s="2576"/>
      <c r="Q83" s="2927">
        <f t="shared" si="30"/>
        <v>1</v>
      </c>
      <c r="R83" s="2573">
        <v>1</v>
      </c>
      <c r="S83" s="2576">
        <v>3</v>
      </c>
      <c r="T83" s="2927">
        <f>SUM(R83:S83)</f>
        <v>4</v>
      </c>
      <c r="U83" s="2573"/>
      <c r="V83" s="2576">
        <v>1</v>
      </c>
      <c r="W83" s="2927">
        <f>SUM(U83:V83)</f>
        <v>1</v>
      </c>
      <c r="X83" s="2573"/>
      <c r="Y83" s="2576"/>
      <c r="Z83" s="2927"/>
      <c r="AA83" s="2573">
        <v>3</v>
      </c>
      <c r="AB83" s="2576">
        <v>1</v>
      </c>
      <c r="AC83" s="2927">
        <f t="shared" ref="AC83:AC84" si="40">SUM(AA83:AB83)</f>
        <v>4</v>
      </c>
    </row>
    <row r="84" spans="2:29" x14ac:dyDescent="0.3">
      <c r="B84" s="1402" t="s">
        <v>419</v>
      </c>
      <c r="C84" s="2573"/>
      <c r="D84" s="2576"/>
      <c r="E84" s="2927"/>
      <c r="F84" s="2573"/>
      <c r="G84" s="2576"/>
      <c r="H84" s="2927"/>
      <c r="I84" s="2573"/>
      <c r="J84" s="2576">
        <v>2</v>
      </c>
      <c r="K84" s="2927">
        <f>SUM(I84:J84)</f>
        <v>2</v>
      </c>
      <c r="L84" s="2573"/>
      <c r="M84" s="2576"/>
      <c r="N84" s="2927"/>
      <c r="O84" s="2573">
        <v>2</v>
      </c>
      <c r="P84" s="2576">
        <v>5</v>
      </c>
      <c r="Q84" s="2927">
        <f t="shared" si="30"/>
        <v>7</v>
      </c>
      <c r="R84" s="2573"/>
      <c r="S84" s="2576"/>
      <c r="T84" s="2927"/>
      <c r="U84" s="2573"/>
      <c r="V84" s="2576"/>
      <c r="W84" s="2927"/>
      <c r="X84" s="2573"/>
      <c r="Y84" s="2576"/>
      <c r="Z84" s="2927"/>
      <c r="AA84" s="2573">
        <v>1</v>
      </c>
      <c r="AB84" s="2576">
        <v>2</v>
      </c>
      <c r="AC84" s="2927">
        <f t="shared" si="40"/>
        <v>3</v>
      </c>
    </row>
    <row r="85" spans="2:29" x14ac:dyDescent="0.3">
      <c r="B85" s="2932" t="s">
        <v>68</v>
      </c>
      <c r="C85" s="2932">
        <f>SUM(C82:C84)</f>
        <v>0</v>
      </c>
      <c r="D85" s="2933">
        <f t="shared" ref="D85:W85" si="41">SUM(D82:D84)</f>
        <v>0</v>
      </c>
      <c r="E85" s="2934">
        <f t="shared" si="41"/>
        <v>0</v>
      </c>
      <c r="F85" s="2932">
        <f t="shared" si="41"/>
        <v>3</v>
      </c>
      <c r="G85" s="2933">
        <f t="shared" si="41"/>
        <v>6</v>
      </c>
      <c r="H85" s="2934">
        <f t="shared" si="41"/>
        <v>9</v>
      </c>
      <c r="I85" s="2932">
        <f t="shared" si="41"/>
        <v>4</v>
      </c>
      <c r="J85" s="2933">
        <f t="shared" si="41"/>
        <v>2</v>
      </c>
      <c r="K85" s="2934">
        <f t="shared" si="41"/>
        <v>6</v>
      </c>
      <c r="L85" s="2932">
        <f t="shared" si="41"/>
        <v>5</v>
      </c>
      <c r="M85" s="2933">
        <f t="shared" si="41"/>
        <v>3</v>
      </c>
      <c r="N85" s="2934">
        <f t="shared" si="41"/>
        <v>8</v>
      </c>
      <c r="O85" s="2932">
        <f t="shared" si="41"/>
        <v>9</v>
      </c>
      <c r="P85" s="2933">
        <f t="shared" si="41"/>
        <v>6</v>
      </c>
      <c r="Q85" s="2934">
        <f t="shared" si="41"/>
        <v>15</v>
      </c>
      <c r="R85" s="2932">
        <f t="shared" si="41"/>
        <v>8</v>
      </c>
      <c r="S85" s="2933">
        <f t="shared" si="41"/>
        <v>6</v>
      </c>
      <c r="T85" s="2934">
        <f t="shared" si="41"/>
        <v>14</v>
      </c>
      <c r="U85" s="2932">
        <f t="shared" si="41"/>
        <v>0</v>
      </c>
      <c r="V85" s="2933">
        <f t="shared" si="41"/>
        <v>1</v>
      </c>
      <c r="W85" s="2934">
        <f t="shared" si="41"/>
        <v>1</v>
      </c>
      <c r="X85" s="2932"/>
      <c r="Y85" s="2933"/>
      <c r="Z85" s="2934"/>
      <c r="AA85" s="2577">
        <f>SUM(AA82:AA84)</f>
        <v>5</v>
      </c>
      <c r="AB85" s="2928">
        <f t="shared" ref="AB85:AC85" si="42">SUM(AB82:AB84)</f>
        <v>3</v>
      </c>
      <c r="AC85" s="2929">
        <f t="shared" si="42"/>
        <v>8</v>
      </c>
    </row>
    <row r="86" spans="2:29" x14ac:dyDescent="0.3">
      <c r="B86" s="2945" t="s">
        <v>105</v>
      </c>
      <c r="C86" s="2945">
        <f>SUM(C85,C81,C71)</f>
        <v>0</v>
      </c>
      <c r="D86" s="2946">
        <f t="shared" ref="D86:W86" si="43">SUM(D85,D81,D71)</f>
        <v>2</v>
      </c>
      <c r="E86" s="2947">
        <f t="shared" si="43"/>
        <v>2</v>
      </c>
      <c r="F86" s="2945">
        <f t="shared" si="43"/>
        <v>6</v>
      </c>
      <c r="G86" s="2946">
        <f t="shared" si="43"/>
        <v>15</v>
      </c>
      <c r="H86" s="2947">
        <f t="shared" si="43"/>
        <v>21</v>
      </c>
      <c r="I86" s="2945">
        <f t="shared" si="43"/>
        <v>4</v>
      </c>
      <c r="J86" s="2946">
        <f t="shared" si="43"/>
        <v>5</v>
      </c>
      <c r="K86" s="2947">
        <f t="shared" si="43"/>
        <v>9</v>
      </c>
      <c r="L86" s="2945">
        <f t="shared" si="43"/>
        <v>16</v>
      </c>
      <c r="M86" s="2946">
        <f t="shared" si="43"/>
        <v>9</v>
      </c>
      <c r="N86" s="2947">
        <f t="shared" si="43"/>
        <v>25</v>
      </c>
      <c r="O86" s="2945">
        <f t="shared" si="43"/>
        <v>24</v>
      </c>
      <c r="P86" s="2946">
        <f t="shared" si="43"/>
        <v>10</v>
      </c>
      <c r="Q86" s="2947">
        <f t="shared" si="43"/>
        <v>34</v>
      </c>
      <c r="R86" s="2945">
        <f t="shared" si="43"/>
        <v>26</v>
      </c>
      <c r="S86" s="2946">
        <f t="shared" si="43"/>
        <v>16</v>
      </c>
      <c r="T86" s="2947">
        <f t="shared" si="43"/>
        <v>42</v>
      </c>
      <c r="U86" s="2945">
        <f t="shared" si="43"/>
        <v>3</v>
      </c>
      <c r="V86" s="2946">
        <f t="shared" si="43"/>
        <v>3</v>
      </c>
      <c r="W86" s="2947">
        <f t="shared" si="43"/>
        <v>6</v>
      </c>
      <c r="X86" s="2945"/>
      <c r="Y86" s="2946"/>
      <c r="Z86" s="2947"/>
      <c r="AA86" s="2945">
        <f>SUM(AA71,AA81,AA85)</f>
        <v>16</v>
      </c>
      <c r="AB86" s="2946">
        <f t="shared" ref="AB86:AC86" si="44">SUM(AB71,AB81,AB85)</f>
        <v>6</v>
      </c>
      <c r="AC86" s="2947">
        <f t="shared" si="44"/>
        <v>22</v>
      </c>
    </row>
    <row r="88" spans="2:29" ht="20.100000000000001" customHeight="1" x14ac:dyDescent="0.3">
      <c r="B88" s="2948" t="s">
        <v>431</v>
      </c>
      <c r="C88" s="2948">
        <f>SUM(C86,C58,C31,C21)</f>
        <v>2</v>
      </c>
      <c r="D88" s="2949">
        <f t="shared" ref="D88:W88" si="45">SUM(D86,D58,D31,D21)</f>
        <v>7</v>
      </c>
      <c r="E88" s="2950">
        <f t="shared" si="45"/>
        <v>8</v>
      </c>
      <c r="F88" s="2948">
        <f t="shared" si="45"/>
        <v>16</v>
      </c>
      <c r="G88" s="2949">
        <f t="shared" si="45"/>
        <v>27</v>
      </c>
      <c r="H88" s="2950">
        <f t="shared" si="45"/>
        <v>43</v>
      </c>
      <c r="I88" s="2948">
        <f t="shared" si="45"/>
        <v>17</v>
      </c>
      <c r="J88" s="2949">
        <f t="shared" si="45"/>
        <v>17</v>
      </c>
      <c r="K88" s="2950">
        <f t="shared" si="45"/>
        <v>34</v>
      </c>
      <c r="L88" s="2948">
        <f t="shared" si="45"/>
        <v>37</v>
      </c>
      <c r="M88" s="2949">
        <f t="shared" si="45"/>
        <v>21</v>
      </c>
      <c r="N88" s="2950">
        <f t="shared" si="45"/>
        <v>58</v>
      </c>
      <c r="O88" s="2948">
        <f t="shared" si="45"/>
        <v>37</v>
      </c>
      <c r="P88" s="2949">
        <f t="shared" si="45"/>
        <v>27</v>
      </c>
      <c r="Q88" s="2950">
        <f t="shared" si="45"/>
        <v>64</v>
      </c>
      <c r="R88" s="2948">
        <f t="shared" si="45"/>
        <v>42</v>
      </c>
      <c r="S88" s="2949">
        <f t="shared" si="45"/>
        <v>30</v>
      </c>
      <c r="T88" s="2950">
        <f t="shared" si="45"/>
        <v>72</v>
      </c>
      <c r="U88" s="2948">
        <f t="shared" si="45"/>
        <v>4</v>
      </c>
      <c r="V88" s="2949">
        <f t="shared" si="45"/>
        <v>7</v>
      </c>
      <c r="W88" s="2950">
        <f t="shared" si="45"/>
        <v>11</v>
      </c>
      <c r="X88" s="2948"/>
      <c r="Y88" s="2949"/>
      <c r="Z88" s="2950"/>
      <c r="AA88" s="2918">
        <f>SUM(AA21,AA31,AA58,AA86)</f>
        <v>22</v>
      </c>
      <c r="AB88" s="2919">
        <f t="shared" ref="AB88:AC88" si="46">SUM(AB21,AB31,AB58,AB86)</f>
        <v>8</v>
      </c>
      <c r="AC88" s="2920">
        <f t="shared" si="46"/>
        <v>30</v>
      </c>
    </row>
    <row r="89" spans="2:29" x14ac:dyDescent="0.3">
      <c r="B89" s="2341" t="s">
        <v>622</v>
      </c>
    </row>
  </sheetData>
  <mergeCells count="10">
    <mergeCell ref="AA3:AC3"/>
    <mergeCell ref="X3:Z3"/>
    <mergeCell ref="R3:T3"/>
    <mergeCell ref="U3:W3"/>
    <mergeCell ref="B3:B4"/>
    <mergeCell ref="C3:E3"/>
    <mergeCell ref="F3:H3"/>
    <mergeCell ref="I3:K3"/>
    <mergeCell ref="L3:N3"/>
    <mergeCell ref="O3:Q3"/>
  </mergeCells>
  <printOptions horizontalCentered="1" verticalCentered="1"/>
  <pageMargins left="0.74803149606299213" right="0.74803149606299213" top="0.39370078740157483" bottom="0.39370078740157483" header="0.51181102362204722" footer="0.51181102362204722"/>
  <pageSetup scale="59" firstPageNumber="119" orientation="landscape" useFirstPageNumber="1" r:id="rId1"/>
  <headerFooter scaleWithDoc="0" alignWithMargins="0">
    <oddFooter>&amp;R&amp;P</oddFooter>
  </headerFooter>
  <rowBreaks count="2" manualBreakCount="2">
    <brk id="31" min="1" max="1" man="1"/>
    <brk id="31" min="14" max="28" man="1"/>
  </rowBreaks>
  <ignoredErrors>
    <ignoredError sqref="H9:Z9 H11:M13 H10:J10 L10:M10 H16:Z16 H14:J14 L14:M14 H20:Z21 H19:J19 L19:M19 O12:Z12 O10:P10 H15:M15 O15:S15 O14:P14 R10:S10 R14:S14 O11:V11 X11:Z11 X10:Z10 O13:V13 X13:Z13 X14:Z14 H17:M17 X17:Z18 X19:Z19 U19:V19 U17:V18 U10:V10 U15:Z15 U14:V14 R19:S19 R17:S18 H18 J18:M18 H23:V23 H22:M22 O22:V22 H30:Z31 H28:M28 O28:V28 H26:Z26 H24:L24 N24:Z24 H25:P25 R25:V25 X23:Z23 X22:Z22 X25:Z25 H29:V29 X29:Z29 X28:Z28 H27:V27 X27:Z27 H36:Z36 H34:M34 O34:S34 H41:Z41 H37:P39 R37:V38 H33:V33 H32:S32 U32:V32 U34:V34 R39:S39 U39:V39 H35:V35 X35:Z35 X33:Z33 X32:Z32 X34:Z34 H40:J40 X40:Z40 X37:Z38 X39:Z39 L40:M40 H50:Z50 H42:J42 L42:M43 H44:M45 O45:S45 O42:P43 H46:J46 L46:M46 H47:J47 L47:V47 O44:P44 R44:S44 R42:S43 O46:P46 R46:V46 H48:P48 R48:Z48 H49:M49 O49:P49 U45:V45 U44:V44 U42:V43 X47:Z47 X46:Z46 X45:Z45 X44:Z44 X42:Z43 R49:V49 X49:Z49 H54:V54 H51:J53 L52:S52 L51:P51 R51:S51 L53:P53 R53:S53 H57:Z58 H56:P56 R56:V56 U52:V52 U51:V51 U53:V53 H55:S55 U55:V55 X54:Z54 X56:Z56 X52:Z52 X51:Z51 X53:Z53 X55:Z55 H62:Z62 H59:J59 L59:P59 H60:M61 O60:V60 H71:Z71 H68:J70 L69:Z69 L68:M68 O68:P68 R59:V59 O61:P61 R61:V61 H67:P67 R67:S67 R68:V68 H66:V66 H63:S65 U63:V65 X60:Z60 X59:Z59 X61:Z61 X67:Z67 X68:Z68 X66:Z66 X63:Z65 L70:V70 X70:Z70 U67:V67 H81:Z81 H80:M80 O80:S80 H76:Z77 H72:P73 R72:Z72 H74:S75 U74:V75 R73:S73 U73:V73 X74:Z75 X73:Z73 X80:Z80 H78:V79 X78:Z79 U80:V80 H85:Z88 H83:J83 L83:M83 H84:M84 O84:S84 O83:Z83 U84:V84 H82:V82 X82:Z82 X84:Z84 I43:J43 O40:V40 AC24 AC71" formula="1"/>
  </ignoredErrors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</sheetPr>
  <dimension ref="B1:AC28"/>
  <sheetViews>
    <sheetView showGridLines="0" zoomScaleNormal="100" workbookViewId="0">
      <pane xSplit="2" ySplit="4" topLeftCell="Y13" activePane="bottomRight" state="frozen"/>
      <selection activeCell="Q31" sqref="Q31"/>
      <selection pane="topRight" activeCell="Q31" sqref="Q31"/>
      <selection pane="bottomLeft" activeCell="Q31" sqref="Q31"/>
      <selection pane="bottomRight" activeCell="AJ31" sqref="AJ31"/>
    </sheetView>
  </sheetViews>
  <sheetFormatPr baseColWidth="10" defaultColWidth="11.44140625" defaultRowHeight="14.4" x14ac:dyDescent="0.3"/>
  <cols>
    <col min="1" max="1" width="2.88671875" style="2699" customWidth="1"/>
    <col min="2" max="2" width="49.88671875" style="2699" bestFit="1" customWidth="1"/>
    <col min="3" max="4" width="9.88671875" style="2699" customWidth="1"/>
    <col min="5" max="5" width="7.88671875" style="2699" customWidth="1"/>
    <col min="6" max="7" width="9.88671875" style="2699" customWidth="1"/>
    <col min="8" max="8" width="7.88671875" style="2699" customWidth="1"/>
    <col min="9" max="9" width="8.88671875" style="2699" customWidth="1"/>
    <col min="10" max="10" width="9.109375" style="2699" customWidth="1"/>
    <col min="11" max="11" width="7.88671875" style="2699" customWidth="1"/>
    <col min="12" max="12" width="8.88671875" style="2699" customWidth="1"/>
    <col min="13" max="13" width="9.109375" style="2699" customWidth="1"/>
    <col min="14" max="14" width="7.88671875" style="2699" customWidth="1"/>
    <col min="15" max="15" width="8.88671875" style="2699" customWidth="1"/>
    <col min="16" max="16" width="9.109375" style="2699" customWidth="1"/>
    <col min="17" max="17" width="7.88671875" style="2699" customWidth="1"/>
    <col min="18" max="18" width="8.88671875" style="2699" bestFit="1" customWidth="1"/>
    <col min="19" max="19" width="9.109375" style="2699" bestFit="1" customWidth="1"/>
    <col min="20" max="20" width="7.88671875" style="2699" customWidth="1"/>
    <col min="21" max="21" width="8.88671875" style="2699" bestFit="1" customWidth="1"/>
    <col min="22" max="22" width="9.109375" style="2699" bestFit="1" customWidth="1"/>
    <col min="23" max="23" width="7.88671875" style="2699" customWidth="1"/>
    <col min="24" max="24" width="8.88671875" style="2699" bestFit="1" customWidth="1"/>
    <col min="25" max="25" width="9.109375" style="2699" bestFit="1" customWidth="1"/>
    <col min="26" max="26" width="8.109375" style="2699" customWidth="1"/>
    <col min="27" max="27" width="8.88671875" style="2699" bestFit="1" customWidth="1"/>
    <col min="28" max="28" width="9.109375" style="2699" bestFit="1" customWidth="1"/>
    <col min="29" max="29" width="8.109375" style="2699" customWidth="1"/>
    <col min="30" max="16384" width="11.44140625" style="2699"/>
  </cols>
  <sheetData>
    <row r="1" spans="2:29" ht="72" x14ac:dyDescent="0.35">
      <c r="B1" s="2951" t="s">
        <v>1485</v>
      </c>
    </row>
    <row r="3" spans="2:29" x14ac:dyDescent="0.3">
      <c r="B3" s="6094" t="s">
        <v>624</v>
      </c>
      <c r="C3" s="6112">
        <v>2014</v>
      </c>
      <c r="D3" s="6113"/>
      <c r="E3" s="6091"/>
      <c r="F3" s="6112">
        <v>2015</v>
      </c>
      <c r="G3" s="6113"/>
      <c r="H3" s="6091"/>
      <c r="I3" s="6112">
        <v>2016</v>
      </c>
      <c r="J3" s="6113"/>
      <c r="K3" s="6091"/>
      <c r="L3" s="6112">
        <v>2017</v>
      </c>
      <c r="M3" s="6113"/>
      <c r="N3" s="6091"/>
      <c r="O3" s="6112">
        <v>2018</v>
      </c>
      <c r="P3" s="6113"/>
      <c r="Q3" s="6091"/>
      <c r="R3" s="6112">
        <v>2019</v>
      </c>
      <c r="S3" s="6113"/>
      <c r="T3" s="6091"/>
      <c r="U3" s="6117" t="s">
        <v>674</v>
      </c>
      <c r="V3" s="6118"/>
      <c r="W3" s="6119"/>
      <c r="X3" s="6114">
        <v>2021</v>
      </c>
      <c r="Y3" s="6115"/>
      <c r="Z3" s="6116"/>
      <c r="AA3" s="6114">
        <v>2022</v>
      </c>
      <c r="AB3" s="6115"/>
      <c r="AC3" s="6116"/>
    </row>
    <row r="4" spans="2:29" x14ac:dyDescent="0.3">
      <c r="B4" s="6087"/>
      <c r="C4" s="2921" t="s">
        <v>140</v>
      </c>
      <c r="D4" s="2921" t="s">
        <v>141</v>
      </c>
      <c r="E4" s="2566" t="s">
        <v>48</v>
      </c>
      <c r="F4" s="2921" t="s">
        <v>140</v>
      </c>
      <c r="G4" s="2921" t="s">
        <v>141</v>
      </c>
      <c r="H4" s="2566" t="s">
        <v>48</v>
      </c>
      <c r="I4" s="2921" t="s">
        <v>140</v>
      </c>
      <c r="J4" s="2921" t="s">
        <v>141</v>
      </c>
      <c r="K4" s="2566" t="s">
        <v>48</v>
      </c>
      <c r="L4" s="2921" t="s">
        <v>140</v>
      </c>
      <c r="M4" s="2921" t="s">
        <v>141</v>
      </c>
      <c r="N4" s="2566" t="s">
        <v>48</v>
      </c>
      <c r="O4" s="2921" t="s">
        <v>140</v>
      </c>
      <c r="P4" s="2921" t="s">
        <v>141</v>
      </c>
      <c r="Q4" s="2566" t="s">
        <v>48</v>
      </c>
      <c r="R4" s="2921" t="s">
        <v>140</v>
      </c>
      <c r="S4" s="2921" t="s">
        <v>141</v>
      </c>
      <c r="T4" s="2566" t="s">
        <v>48</v>
      </c>
      <c r="U4" s="2921" t="s">
        <v>140</v>
      </c>
      <c r="V4" s="2921" t="s">
        <v>141</v>
      </c>
      <c r="W4" s="2566" t="s">
        <v>48</v>
      </c>
      <c r="X4" s="2921" t="s">
        <v>140</v>
      </c>
      <c r="Y4" s="2921" t="s">
        <v>141</v>
      </c>
      <c r="Z4" s="2566" t="s">
        <v>48</v>
      </c>
      <c r="AA4" s="2921" t="s">
        <v>140</v>
      </c>
      <c r="AB4" s="2921" t="s">
        <v>141</v>
      </c>
      <c r="AC4" s="2566" t="s">
        <v>48</v>
      </c>
    </row>
    <row r="5" spans="2:29" x14ac:dyDescent="0.3">
      <c r="B5" s="2769" t="s">
        <v>313</v>
      </c>
      <c r="C5" s="2573"/>
      <c r="D5" s="2576"/>
      <c r="E5" s="2927"/>
      <c r="F5" s="2573"/>
      <c r="G5" s="2576"/>
      <c r="H5" s="2927"/>
      <c r="I5" s="2573"/>
      <c r="J5" s="2576"/>
      <c r="K5" s="2927"/>
      <c r="L5" s="2573"/>
      <c r="M5" s="2576"/>
      <c r="N5" s="2927"/>
      <c r="O5" s="2573"/>
      <c r="P5" s="2576"/>
      <c r="Q5" s="2927"/>
      <c r="R5" s="2573"/>
      <c r="S5" s="2576"/>
      <c r="T5" s="2927"/>
      <c r="U5" s="2573"/>
      <c r="V5" s="2576"/>
      <c r="W5" s="2927"/>
      <c r="X5" s="2573"/>
      <c r="Y5" s="2576"/>
      <c r="Z5" s="2927"/>
      <c r="AA5" s="2573"/>
      <c r="AB5" s="2576"/>
      <c r="AC5" s="2927"/>
    </row>
    <row r="6" spans="2:29" x14ac:dyDescent="0.3">
      <c r="B6" s="2769" t="s">
        <v>444</v>
      </c>
      <c r="C6" s="2573"/>
      <c r="D6" s="2576"/>
      <c r="E6" s="2927"/>
      <c r="F6" s="2573"/>
      <c r="G6" s="2576"/>
      <c r="H6" s="2927"/>
      <c r="I6" s="2573"/>
      <c r="J6" s="2576"/>
      <c r="K6" s="2927"/>
      <c r="L6" s="2573"/>
      <c r="M6" s="2576"/>
      <c r="N6" s="2927"/>
      <c r="O6" s="2573"/>
      <c r="P6" s="2576"/>
      <c r="Q6" s="2927"/>
      <c r="R6" s="2573"/>
      <c r="S6" s="2576"/>
      <c r="T6" s="2927"/>
      <c r="U6" s="2573"/>
      <c r="V6" s="2576"/>
      <c r="W6" s="2927"/>
      <c r="X6" s="2573"/>
      <c r="Y6" s="2576"/>
      <c r="Z6" s="2927"/>
      <c r="AA6" s="2573"/>
      <c r="AB6" s="2576"/>
      <c r="AC6" s="2927"/>
    </row>
    <row r="7" spans="2:29" x14ac:dyDescent="0.3">
      <c r="B7" s="2954" t="s">
        <v>59</v>
      </c>
      <c r="C7" s="2955"/>
      <c r="D7" s="2956"/>
      <c r="E7" s="2957"/>
      <c r="F7" s="2955"/>
      <c r="G7" s="2956"/>
      <c r="H7" s="2957"/>
      <c r="I7" s="2955"/>
      <c r="J7" s="2956"/>
      <c r="K7" s="2957"/>
      <c r="L7" s="2955"/>
      <c r="M7" s="2956"/>
      <c r="N7" s="2957"/>
      <c r="O7" s="2955"/>
      <c r="P7" s="2956"/>
      <c r="Q7" s="2957"/>
      <c r="R7" s="2955"/>
      <c r="S7" s="2956"/>
      <c r="T7" s="2957"/>
      <c r="U7" s="2955"/>
      <c r="V7" s="2956"/>
      <c r="W7" s="2957"/>
      <c r="X7" s="2955"/>
      <c r="Y7" s="2956"/>
      <c r="Z7" s="2957"/>
      <c r="AA7" s="2955"/>
      <c r="AB7" s="2956"/>
      <c r="AC7" s="2957"/>
    </row>
    <row r="8" spans="2:29" x14ac:dyDescent="0.3">
      <c r="B8" s="2952" t="s">
        <v>331</v>
      </c>
      <c r="C8" s="2714"/>
      <c r="D8" s="2763"/>
      <c r="E8" s="2924"/>
      <c r="F8" s="2714"/>
      <c r="G8" s="2763"/>
      <c r="H8" s="2924"/>
      <c r="I8" s="2953"/>
      <c r="J8" s="2763"/>
      <c r="K8" s="2924"/>
      <c r="L8" s="2953">
        <v>3</v>
      </c>
      <c r="M8" s="2763"/>
      <c r="N8" s="2924">
        <f>SUM(L8:M8)</f>
        <v>3</v>
      </c>
      <c r="O8" s="2953"/>
      <c r="P8" s="2763"/>
      <c r="Q8" s="2924"/>
      <c r="R8" s="2953"/>
      <c r="S8" s="2763"/>
      <c r="T8" s="2924"/>
      <c r="U8" s="2953"/>
      <c r="V8" s="2763"/>
      <c r="W8" s="2924"/>
      <c r="X8" s="2953"/>
      <c r="Y8" s="2763"/>
      <c r="Z8" s="2924"/>
      <c r="AA8" s="2953"/>
      <c r="AB8" s="2763"/>
      <c r="AC8" s="2924"/>
    </row>
    <row r="9" spans="2:29" x14ac:dyDescent="0.3">
      <c r="B9" s="2954" t="s">
        <v>64</v>
      </c>
      <c r="C9" s="2955"/>
      <c r="D9" s="2956"/>
      <c r="E9" s="2957"/>
      <c r="F9" s="2955"/>
      <c r="G9" s="2956"/>
      <c r="H9" s="2957"/>
      <c r="I9" s="2955"/>
      <c r="J9" s="2956"/>
      <c r="K9" s="2957"/>
      <c r="L9" s="2955">
        <f t="shared" ref="L9:N10" si="0">SUM(L8)</f>
        <v>3</v>
      </c>
      <c r="M9" s="2956"/>
      <c r="N9" s="2957">
        <f t="shared" si="0"/>
        <v>3</v>
      </c>
      <c r="O9" s="2955"/>
      <c r="P9" s="2956"/>
      <c r="Q9" s="2957"/>
      <c r="R9" s="2955"/>
      <c r="S9" s="2956"/>
      <c r="T9" s="2957"/>
      <c r="U9" s="2955"/>
      <c r="V9" s="2956"/>
      <c r="W9" s="2957"/>
      <c r="X9" s="2955"/>
      <c r="Y9" s="2956"/>
      <c r="Z9" s="2957"/>
      <c r="AA9" s="2955"/>
      <c r="AB9" s="2956"/>
      <c r="AC9" s="2957"/>
    </row>
    <row r="10" spans="2:29" x14ac:dyDescent="0.3">
      <c r="B10" s="2935" t="s">
        <v>69</v>
      </c>
      <c r="C10" s="2958"/>
      <c r="D10" s="2959"/>
      <c r="E10" s="2960"/>
      <c r="F10" s="2961"/>
      <c r="G10" s="2959"/>
      <c r="H10" s="2960"/>
      <c r="I10" s="2958"/>
      <c r="J10" s="2959"/>
      <c r="K10" s="2960"/>
      <c r="L10" s="2958">
        <f t="shared" si="0"/>
        <v>3</v>
      </c>
      <c r="M10" s="2959"/>
      <c r="N10" s="2960">
        <f t="shared" si="0"/>
        <v>3</v>
      </c>
      <c r="O10" s="2958"/>
      <c r="P10" s="2959"/>
      <c r="Q10" s="2960"/>
      <c r="R10" s="2958"/>
      <c r="S10" s="2959"/>
      <c r="T10" s="2960"/>
      <c r="U10" s="2958"/>
      <c r="V10" s="2959"/>
      <c r="W10" s="2960"/>
      <c r="X10" s="2958"/>
      <c r="Y10" s="2959"/>
      <c r="Z10" s="2960"/>
      <c r="AA10" s="2958"/>
      <c r="AB10" s="2959"/>
      <c r="AC10" s="2960"/>
    </row>
    <row r="11" spans="2:29" x14ac:dyDescent="0.3">
      <c r="B11" s="2768" t="s">
        <v>444</v>
      </c>
      <c r="C11" s="2714"/>
      <c r="D11" s="2763"/>
      <c r="E11" s="2924"/>
      <c r="F11" s="2714"/>
      <c r="G11" s="2763"/>
      <c r="H11" s="2924"/>
      <c r="I11" s="2714"/>
      <c r="J11" s="2763"/>
      <c r="K11" s="2924"/>
      <c r="L11" s="2714"/>
      <c r="M11" s="2763"/>
      <c r="N11" s="2924"/>
      <c r="O11" s="2714"/>
      <c r="P11" s="2763"/>
      <c r="Q11" s="2924"/>
      <c r="R11" s="2714">
        <v>1</v>
      </c>
      <c r="S11" s="2763"/>
      <c r="T11" s="2924">
        <f>SUM(R11:S11)</f>
        <v>1</v>
      </c>
      <c r="U11" s="2714"/>
      <c r="V11" s="2763"/>
      <c r="W11" s="2924"/>
      <c r="X11" s="2714"/>
      <c r="Y11" s="2763"/>
      <c r="Z11" s="2924"/>
      <c r="AA11" s="2714"/>
      <c r="AB11" s="2763"/>
      <c r="AC11" s="2924"/>
    </row>
    <row r="12" spans="2:29" x14ac:dyDescent="0.3">
      <c r="B12" s="2962" t="s">
        <v>59</v>
      </c>
      <c r="C12" s="2577"/>
      <c r="D12" s="2928"/>
      <c r="E12" s="2929"/>
      <c r="F12" s="2577"/>
      <c r="G12" s="2928"/>
      <c r="H12" s="2929"/>
      <c r="I12" s="2577"/>
      <c r="J12" s="2928"/>
      <c r="K12" s="2929"/>
      <c r="L12" s="2577"/>
      <c r="M12" s="2928"/>
      <c r="N12" s="2929"/>
      <c r="O12" s="2577"/>
      <c r="P12" s="2928"/>
      <c r="Q12" s="2929"/>
      <c r="R12" s="2955">
        <f t="shared" ref="R12:W12" si="1">SUM(R11)</f>
        <v>1</v>
      </c>
      <c r="S12" s="2956">
        <f t="shared" si="1"/>
        <v>0</v>
      </c>
      <c r="T12" s="2929">
        <f t="shared" si="1"/>
        <v>1</v>
      </c>
      <c r="U12" s="2955">
        <f t="shared" si="1"/>
        <v>0</v>
      </c>
      <c r="V12" s="2956">
        <f t="shared" si="1"/>
        <v>0</v>
      </c>
      <c r="W12" s="2929">
        <f t="shared" si="1"/>
        <v>0</v>
      </c>
      <c r="X12" s="2955"/>
      <c r="Y12" s="2956"/>
      <c r="Z12" s="2929"/>
      <c r="AA12" s="2955"/>
      <c r="AB12" s="2956"/>
      <c r="AC12" s="2929"/>
    </row>
    <row r="13" spans="2:29" x14ac:dyDescent="0.3">
      <c r="B13" s="2769" t="s">
        <v>376</v>
      </c>
      <c r="C13" s="2573">
        <v>1</v>
      </c>
      <c r="D13" s="2576"/>
      <c r="E13" s="2927">
        <f>SUM(C13:D13)</f>
        <v>1</v>
      </c>
      <c r="F13" s="2573"/>
      <c r="G13" s="2576"/>
      <c r="H13" s="2927"/>
      <c r="I13" s="2573"/>
      <c r="J13" s="2576"/>
      <c r="K13" s="2927"/>
      <c r="L13" s="2573"/>
      <c r="M13" s="2576"/>
      <c r="N13" s="2927"/>
      <c r="O13" s="2573"/>
      <c r="P13" s="2576"/>
      <c r="Q13" s="2927"/>
      <c r="R13" s="2573"/>
      <c r="S13" s="2576"/>
      <c r="T13" s="2927"/>
      <c r="U13" s="2573"/>
      <c r="V13" s="2576"/>
      <c r="W13" s="2927"/>
      <c r="X13" s="2573"/>
      <c r="Y13" s="2576"/>
      <c r="Z13" s="2927"/>
      <c r="AA13" s="2573"/>
      <c r="AB13" s="2576"/>
      <c r="AC13" s="2927"/>
    </row>
    <row r="14" spans="2:29" x14ac:dyDescent="0.3">
      <c r="B14" s="2769" t="s">
        <v>373</v>
      </c>
      <c r="C14" s="2573"/>
      <c r="D14" s="2576"/>
      <c r="E14" s="2927"/>
      <c r="F14" s="2573"/>
      <c r="G14" s="2576"/>
      <c r="H14" s="2927"/>
      <c r="I14" s="2573">
        <v>4</v>
      </c>
      <c r="J14" s="2576"/>
      <c r="K14" s="2927">
        <f>SUM(I14:J14)</f>
        <v>4</v>
      </c>
      <c r="L14" s="2573"/>
      <c r="M14" s="2576"/>
      <c r="N14" s="2927"/>
      <c r="O14" s="2573"/>
      <c r="P14" s="2576"/>
      <c r="Q14" s="2927"/>
      <c r="R14" s="2573"/>
      <c r="S14" s="2576"/>
      <c r="T14" s="2927"/>
      <c r="U14" s="2573"/>
      <c r="V14" s="2576"/>
      <c r="W14" s="2927"/>
      <c r="X14" s="2573"/>
      <c r="Y14" s="2576"/>
      <c r="Z14" s="2927"/>
      <c r="AA14" s="2573"/>
      <c r="AB14" s="2576"/>
      <c r="AC14" s="2927"/>
    </row>
    <row r="15" spans="2:29" x14ac:dyDescent="0.3">
      <c r="B15" s="2769" t="s">
        <v>724</v>
      </c>
      <c r="C15" s="2573"/>
      <c r="D15" s="2576"/>
      <c r="E15" s="2927"/>
      <c r="F15" s="2573">
        <v>1</v>
      </c>
      <c r="G15" s="2576"/>
      <c r="H15" s="2927">
        <f>SUM(F15:G15)</f>
        <v>1</v>
      </c>
      <c r="I15" s="2573"/>
      <c r="J15" s="2576"/>
      <c r="K15" s="2927"/>
      <c r="L15" s="2573"/>
      <c r="M15" s="2576"/>
      <c r="N15" s="2927"/>
      <c r="O15" s="2573"/>
      <c r="P15" s="2576"/>
      <c r="Q15" s="2927"/>
      <c r="R15" s="2573"/>
      <c r="S15" s="2576"/>
      <c r="T15" s="2927"/>
      <c r="U15" s="2573"/>
      <c r="V15" s="2576"/>
      <c r="W15" s="2927"/>
      <c r="X15" s="2573"/>
      <c r="Y15" s="2576"/>
      <c r="Z15" s="2927"/>
      <c r="AA15" s="2573"/>
      <c r="AB15" s="2576"/>
      <c r="AC15" s="2927"/>
    </row>
    <row r="16" spans="2:29" x14ac:dyDescent="0.3">
      <c r="B16" s="4687" t="s">
        <v>385</v>
      </c>
      <c r="C16" s="4684"/>
      <c r="D16" s="4685"/>
      <c r="E16" s="4686"/>
      <c r="F16" s="4684"/>
      <c r="G16" s="4685"/>
      <c r="H16" s="4686"/>
      <c r="I16" s="4684"/>
      <c r="J16" s="4685"/>
      <c r="K16" s="4686"/>
      <c r="L16" s="4684"/>
      <c r="M16" s="4685"/>
      <c r="N16" s="4686"/>
      <c r="O16" s="4684"/>
      <c r="P16" s="4685"/>
      <c r="Q16" s="4686"/>
      <c r="R16" s="4684"/>
      <c r="S16" s="4685"/>
      <c r="T16" s="4686"/>
      <c r="U16" s="4684"/>
      <c r="V16" s="4685"/>
      <c r="W16" s="4686"/>
      <c r="X16" s="4684"/>
      <c r="Y16" s="4685"/>
      <c r="Z16" s="4686"/>
      <c r="AA16" s="4684"/>
      <c r="AB16" s="4685"/>
      <c r="AC16" s="4686"/>
    </row>
    <row r="17" spans="2:29" x14ac:dyDescent="0.3">
      <c r="B17" s="2954" t="s">
        <v>64</v>
      </c>
      <c r="C17" s="2955">
        <f>SUM(C13:C15)</f>
        <v>1</v>
      </c>
      <c r="D17" s="2956"/>
      <c r="E17" s="2957">
        <f t="shared" ref="E17:K17" si="2">SUM(E13:E15)</f>
        <v>1</v>
      </c>
      <c r="F17" s="2955">
        <f t="shared" si="2"/>
        <v>1</v>
      </c>
      <c r="G17" s="2956"/>
      <c r="H17" s="2957">
        <f t="shared" si="2"/>
        <v>1</v>
      </c>
      <c r="I17" s="2955">
        <f t="shared" si="2"/>
        <v>4</v>
      </c>
      <c r="J17" s="2956"/>
      <c r="K17" s="2957">
        <f t="shared" si="2"/>
        <v>4</v>
      </c>
      <c r="L17" s="2955"/>
      <c r="M17" s="2956"/>
      <c r="N17" s="2957"/>
      <c r="O17" s="2955"/>
      <c r="P17" s="2956"/>
      <c r="Q17" s="2957"/>
      <c r="R17" s="2955"/>
      <c r="S17" s="2956"/>
      <c r="T17" s="2957"/>
      <c r="U17" s="2955"/>
      <c r="V17" s="2956"/>
      <c r="W17" s="2957"/>
      <c r="X17" s="2955"/>
      <c r="Y17" s="2956"/>
      <c r="Z17" s="2957"/>
      <c r="AA17" s="2955"/>
      <c r="AB17" s="2956"/>
      <c r="AC17" s="2957"/>
    </row>
    <row r="18" spans="2:29" x14ac:dyDescent="0.3">
      <c r="B18" s="2952" t="s">
        <v>385</v>
      </c>
      <c r="C18" s="2714"/>
      <c r="D18" s="2763"/>
      <c r="E18" s="2924"/>
      <c r="F18" s="2714"/>
      <c r="G18" s="2763"/>
      <c r="H18" s="2924"/>
      <c r="I18" s="2953"/>
      <c r="J18" s="2763"/>
      <c r="K18" s="2924"/>
      <c r="L18" s="2953"/>
      <c r="M18" s="2763"/>
      <c r="N18" s="2924"/>
      <c r="O18" s="2953"/>
      <c r="P18" s="2763"/>
      <c r="Q18" s="2924"/>
      <c r="R18" s="2953"/>
      <c r="S18" s="2763"/>
      <c r="T18" s="2924"/>
      <c r="U18" s="2953"/>
      <c r="V18" s="2763"/>
      <c r="W18" s="2924"/>
      <c r="X18" s="2953"/>
      <c r="Y18" s="2763"/>
      <c r="Z18" s="2924"/>
      <c r="AA18" s="2953"/>
      <c r="AB18" s="2763"/>
      <c r="AC18" s="2924"/>
    </row>
    <row r="19" spans="2:29" x14ac:dyDescent="0.3">
      <c r="B19" s="2954" t="s">
        <v>92</v>
      </c>
      <c r="C19" s="2955"/>
      <c r="D19" s="2956"/>
      <c r="E19" s="2957"/>
      <c r="F19" s="2955"/>
      <c r="G19" s="2956"/>
      <c r="H19" s="2957"/>
      <c r="I19" s="2955"/>
      <c r="J19" s="2956"/>
      <c r="K19" s="2957"/>
      <c r="L19" s="2955"/>
      <c r="M19" s="2956"/>
      <c r="N19" s="2957"/>
      <c r="O19" s="2955"/>
      <c r="P19" s="2956"/>
      <c r="Q19" s="2957"/>
      <c r="R19" s="2955"/>
      <c r="S19" s="2956"/>
      <c r="T19" s="2957"/>
      <c r="U19" s="2955"/>
      <c r="V19" s="2956"/>
      <c r="W19" s="2957"/>
      <c r="X19" s="2955"/>
      <c r="Y19" s="2956"/>
      <c r="Z19" s="2957"/>
      <c r="AA19" s="2955"/>
      <c r="AB19" s="2956"/>
      <c r="AC19" s="2957"/>
    </row>
    <row r="20" spans="2:29" x14ac:dyDescent="0.3">
      <c r="B20" s="2963" t="s">
        <v>93</v>
      </c>
      <c r="C20" s="2964">
        <f>SUM(C17)</f>
        <v>1</v>
      </c>
      <c r="D20" s="2965"/>
      <c r="E20" s="2966">
        <f t="shared" ref="E20:K20" si="3">SUM(E17)</f>
        <v>1</v>
      </c>
      <c r="F20" s="2967">
        <f t="shared" si="3"/>
        <v>1</v>
      </c>
      <c r="G20" s="2965"/>
      <c r="H20" s="2966">
        <f t="shared" si="3"/>
        <v>1</v>
      </c>
      <c r="I20" s="2964">
        <f t="shared" si="3"/>
        <v>4</v>
      </c>
      <c r="J20" s="2965"/>
      <c r="K20" s="2966">
        <f t="shared" si="3"/>
        <v>4</v>
      </c>
      <c r="L20" s="2964"/>
      <c r="M20" s="2965"/>
      <c r="N20" s="2966"/>
      <c r="O20" s="2964"/>
      <c r="P20" s="2965"/>
      <c r="Q20" s="2966"/>
      <c r="R20" s="2963">
        <f t="shared" ref="R20:W20" si="4">SUM(R12,R17)</f>
        <v>1</v>
      </c>
      <c r="S20" s="2968">
        <f t="shared" si="4"/>
        <v>0</v>
      </c>
      <c r="T20" s="2969">
        <f t="shared" si="4"/>
        <v>1</v>
      </c>
      <c r="U20" s="2963">
        <f t="shared" si="4"/>
        <v>0</v>
      </c>
      <c r="V20" s="2968">
        <f t="shared" si="4"/>
        <v>0</v>
      </c>
      <c r="W20" s="2969">
        <f t="shared" si="4"/>
        <v>0</v>
      </c>
      <c r="X20" s="2963"/>
      <c r="Y20" s="2968"/>
      <c r="Z20" s="2969"/>
      <c r="AA20" s="2963"/>
      <c r="AB20" s="2968"/>
      <c r="AC20" s="2969"/>
    </row>
    <row r="21" spans="2:29" x14ac:dyDescent="0.3">
      <c r="B21" s="2769" t="s">
        <v>393</v>
      </c>
      <c r="C21" s="2573">
        <v>2</v>
      </c>
      <c r="D21" s="2576"/>
      <c r="E21" s="2927">
        <f>SUM(C21:D21)</f>
        <v>2</v>
      </c>
      <c r="F21" s="2573"/>
      <c r="G21" s="2576"/>
      <c r="H21" s="2927"/>
      <c r="I21" s="2573"/>
      <c r="J21" s="2576"/>
      <c r="K21" s="2927"/>
      <c r="L21" s="2573"/>
      <c r="M21" s="2576"/>
      <c r="N21" s="2927"/>
      <c r="O21" s="2573"/>
      <c r="P21" s="2576"/>
      <c r="Q21" s="2927"/>
      <c r="R21" s="2573"/>
      <c r="S21" s="2576"/>
      <c r="T21" s="2927"/>
      <c r="U21" s="2573"/>
      <c r="V21" s="2576"/>
      <c r="W21" s="2927"/>
      <c r="X21" s="2573"/>
      <c r="Y21" s="2576"/>
      <c r="Z21" s="2927"/>
      <c r="AA21" s="2573"/>
      <c r="AB21" s="2576"/>
      <c r="AC21" s="2927"/>
    </row>
    <row r="22" spans="2:29" x14ac:dyDescent="0.3">
      <c r="B22" s="2769" t="s">
        <v>396</v>
      </c>
      <c r="C22" s="2573"/>
      <c r="D22" s="2576"/>
      <c r="E22" s="2927"/>
      <c r="F22" s="2573"/>
      <c r="G22" s="2576"/>
      <c r="H22" s="2927"/>
      <c r="I22" s="2573"/>
      <c r="J22" s="2576"/>
      <c r="K22" s="2927"/>
      <c r="L22" s="2573"/>
      <c r="M22" s="2576"/>
      <c r="N22" s="2927"/>
      <c r="O22" s="2573"/>
      <c r="P22" s="2576"/>
      <c r="Q22" s="2927"/>
      <c r="R22" s="2573"/>
      <c r="S22" s="2576"/>
      <c r="T22" s="2927"/>
      <c r="U22" s="2573"/>
      <c r="V22" s="2576"/>
      <c r="W22" s="2927"/>
      <c r="X22" s="2573"/>
      <c r="Y22" s="2576"/>
      <c r="Z22" s="2927"/>
      <c r="AA22" s="2573"/>
      <c r="AB22" s="2576"/>
      <c r="AC22" s="2927"/>
    </row>
    <row r="23" spans="2:29" x14ac:dyDescent="0.3">
      <c r="B23" s="2769" t="s">
        <v>399</v>
      </c>
      <c r="C23" s="2573"/>
      <c r="D23" s="2576"/>
      <c r="E23" s="2927"/>
      <c r="F23" s="2573"/>
      <c r="G23" s="2576"/>
      <c r="H23" s="2927"/>
      <c r="I23" s="2573"/>
      <c r="J23" s="2576">
        <v>1</v>
      </c>
      <c r="K23" s="2927">
        <f>SUM(I23:J23)</f>
        <v>1</v>
      </c>
      <c r="L23" s="2573"/>
      <c r="M23" s="2576"/>
      <c r="N23" s="2927"/>
      <c r="O23" s="2573"/>
      <c r="P23" s="2576"/>
      <c r="Q23" s="2927"/>
      <c r="R23" s="2573"/>
      <c r="S23" s="2576"/>
      <c r="T23" s="2927"/>
      <c r="U23" s="2573"/>
      <c r="V23" s="2576"/>
      <c r="W23" s="2927"/>
      <c r="X23" s="2573"/>
      <c r="Y23" s="2576"/>
      <c r="Z23" s="2927"/>
      <c r="AA23" s="2573"/>
      <c r="AB23" s="2576"/>
      <c r="AC23" s="2927"/>
    </row>
    <row r="24" spans="2:29" x14ac:dyDescent="0.3">
      <c r="B24" s="4687" t="s">
        <v>403</v>
      </c>
      <c r="C24" s="4684"/>
      <c r="D24" s="4685"/>
      <c r="E24" s="4686"/>
      <c r="F24" s="4684"/>
      <c r="G24" s="4685"/>
      <c r="H24" s="4686"/>
      <c r="I24" s="4684"/>
      <c r="J24" s="4685"/>
      <c r="K24" s="4686"/>
      <c r="L24" s="4684"/>
      <c r="M24" s="4685"/>
      <c r="N24" s="4686"/>
      <c r="O24" s="4684"/>
      <c r="P24" s="4685"/>
      <c r="Q24" s="4686"/>
      <c r="R24" s="4684"/>
      <c r="S24" s="4685"/>
      <c r="T24" s="4686"/>
      <c r="U24" s="4684"/>
      <c r="V24" s="4685"/>
      <c r="W24" s="4686"/>
      <c r="X24" s="4684"/>
      <c r="Y24" s="4685"/>
      <c r="Z24" s="4686"/>
      <c r="AA24" s="4684"/>
      <c r="AB24" s="4685"/>
      <c r="AC24" s="4686"/>
    </row>
    <row r="25" spans="2:29" x14ac:dyDescent="0.3">
      <c r="B25" s="2954" t="s">
        <v>64</v>
      </c>
      <c r="C25" s="2955">
        <f>SUM(C21:C23)</f>
        <v>2</v>
      </c>
      <c r="D25" s="2956"/>
      <c r="E25" s="2957">
        <f t="shared" ref="E25:K25" si="5">SUM(E21:E23)</f>
        <v>2</v>
      </c>
      <c r="F25" s="2955"/>
      <c r="G25" s="2956"/>
      <c r="H25" s="2957"/>
      <c r="I25" s="2955"/>
      <c r="J25" s="2956">
        <f t="shared" si="5"/>
        <v>1</v>
      </c>
      <c r="K25" s="2957">
        <f t="shared" si="5"/>
        <v>1</v>
      </c>
      <c r="L25" s="2955"/>
      <c r="M25" s="2956"/>
      <c r="N25" s="2957"/>
      <c r="O25" s="2955"/>
      <c r="P25" s="2956"/>
      <c r="Q25" s="2957"/>
      <c r="R25" s="2955"/>
      <c r="S25" s="2956"/>
      <c r="T25" s="2957"/>
      <c r="U25" s="2955"/>
      <c r="V25" s="2956"/>
      <c r="W25" s="2957"/>
      <c r="X25" s="2955"/>
      <c r="Y25" s="2956"/>
      <c r="Z25" s="2957"/>
      <c r="AA25" s="2955"/>
      <c r="AB25" s="2956"/>
      <c r="AC25" s="2957"/>
    </row>
    <row r="26" spans="2:29" x14ac:dyDescent="0.3">
      <c r="B26" s="2970" t="s">
        <v>105</v>
      </c>
      <c r="C26" s="2971">
        <f>SUM(C25)</f>
        <v>2</v>
      </c>
      <c r="D26" s="2972"/>
      <c r="E26" s="2973">
        <f>SUM(E21)</f>
        <v>2</v>
      </c>
      <c r="F26" s="2974"/>
      <c r="G26" s="2972"/>
      <c r="H26" s="2973"/>
      <c r="I26" s="2971"/>
      <c r="J26" s="2972">
        <f>SUM(J21:J23)</f>
        <v>1</v>
      </c>
      <c r="K26" s="2973">
        <f>SUM(K21:K23)</f>
        <v>1</v>
      </c>
      <c r="L26" s="2971"/>
      <c r="M26" s="2972"/>
      <c r="N26" s="2973"/>
      <c r="O26" s="2971"/>
      <c r="P26" s="2972"/>
      <c r="Q26" s="2973"/>
      <c r="R26" s="2971"/>
      <c r="S26" s="2972"/>
      <c r="T26" s="2973"/>
      <c r="U26" s="2971"/>
      <c r="V26" s="2972"/>
      <c r="W26" s="2973"/>
      <c r="X26" s="2971"/>
      <c r="Y26" s="2972"/>
      <c r="Z26" s="2973"/>
      <c r="AA26" s="2971"/>
      <c r="AB26" s="2972"/>
      <c r="AC26" s="2973"/>
    </row>
    <row r="27" spans="2:29" ht="20.100000000000001" customHeight="1" x14ac:dyDescent="0.3">
      <c r="B27" s="2975" t="s">
        <v>431</v>
      </c>
      <c r="C27" s="2948">
        <f>SUM(C26,C20,C10)</f>
        <v>3</v>
      </c>
      <c r="D27" s="2949"/>
      <c r="E27" s="2950">
        <f t="shared" ref="E27:N27" si="6">SUM(E26,E20,E10)</f>
        <v>3</v>
      </c>
      <c r="F27" s="2948">
        <f t="shared" si="6"/>
        <v>1</v>
      </c>
      <c r="G27" s="2949"/>
      <c r="H27" s="2950">
        <f t="shared" si="6"/>
        <v>1</v>
      </c>
      <c r="I27" s="2948">
        <f t="shared" si="6"/>
        <v>4</v>
      </c>
      <c r="J27" s="2949">
        <f t="shared" si="6"/>
        <v>1</v>
      </c>
      <c r="K27" s="2950">
        <f t="shared" si="6"/>
        <v>5</v>
      </c>
      <c r="L27" s="2948">
        <f t="shared" si="6"/>
        <v>3</v>
      </c>
      <c r="M27" s="2949"/>
      <c r="N27" s="2950">
        <f t="shared" si="6"/>
        <v>3</v>
      </c>
      <c r="O27" s="2948"/>
      <c r="P27" s="2949"/>
      <c r="Q27" s="2950"/>
      <c r="R27" s="2948">
        <f t="shared" ref="R27:W27" si="7">SUM(R10,R20,R26)</f>
        <v>1</v>
      </c>
      <c r="S27" s="2949">
        <f t="shared" si="7"/>
        <v>0</v>
      </c>
      <c r="T27" s="2950">
        <f t="shared" si="7"/>
        <v>1</v>
      </c>
      <c r="U27" s="2948">
        <f t="shared" si="7"/>
        <v>0</v>
      </c>
      <c r="V27" s="2949">
        <f t="shared" si="7"/>
        <v>0</v>
      </c>
      <c r="W27" s="2950">
        <f t="shared" si="7"/>
        <v>0</v>
      </c>
      <c r="X27" s="2948"/>
      <c r="Y27" s="2949"/>
      <c r="Z27" s="2950"/>
      <c r="AA27" s="2948"/>
      <c r="AB27" s="2949"/>
      <c r="AC27" s="2950"/>
    </row>
    <row r="28" spans="2:29" x14ac:dyDescent="0.3">
      <c r="B28" s="2341" t="s">
        <v>622</v>
      </c>
      <c r="W28" s="2976" t="s">
        <v>725</v>
      </c>
    </row>
  </sheetData>
  <mergeCells count="10">
    <mergeCell ref="AA3:AC3"/>
    <mergeCell ref="X3:Z3"/>
    <mergeCell ref="R3:T3"/>
    <mergeCell ref="U3:W3"/>
    <mergeCell ref="B3:B4"/>
    <mergeCell ref="C3:E3"/>
    <mergeCell ref="F3:H3"/>
    <mergeCell ref="I3:K3"/>
    <mergeCell ref="L3:N3"/>
    <mergeCell ref="O3:Q3"/>
  </mergeCells>
  <printOptions horizontalCentered="1" verticalCentered="1"/>
  <pageMargins left="0.74803149606299213" right="0.74803149606299213" top="0.39370078740157483" bottom="0.39370078740157483" header="0.51181102362204722" footer="0.51181102362204722"/>
  <pageSetup scale="68" firstPageNumber="121" orientation="landscape" useFirstPageNumber="1" r:id="rId1"/>
  <headerFooter scaleWithDoc="0" alignWithMargins="0">
    <oddFooter>&amp;R&amp;P</oddFooter>
  </headerFooter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</sheetPr>
  <dimension ref="B2:H12"/>
  <sheetViews>
    <sheetView showGridLines="0" workbookViewId="0">
      <selection activeCell="Q1" sqref="Q1"/>
    </sheetView>
  </sheetViews>
  <sheetFormatPr baseColWidth="10" defaultRowHeight="13.2" x14ac:dyDescent="0.25"/>
  <cols>
    <col min="1" max="1" width="1.6640625" customWidth="1"/>
    <col min="2" max="2" width="50.5546875" customWidth="1"/>
    <col min="3" max="3" width="8.88671875" bestFit="1" customWidth="1"/>
    <col min="4" max="4" width="9.109375" bestFit="1" customWidth="1"/>
    <col min="5" max="5" width="8.5546875" customWidth="1"/>
    <col min="6" max="6" width="8.88671875" bestFit="1" customWidth="1"/>
    <col min="7" max="7" width="9.109375" bestFit="1" customWidth="1"/>
    <col min="8" max="52" width="8.5546875" customWidth="1"/>
  </cols>
  <sheetData>
    <row r="2" spans="2:8" ht="72" x14ac:dyDescent="0.35">
      <c r="B2" s="4762" t="s">
        <v>1603</v>
      </c>
    </row>
    <row r="4" spans="2:8" ht="14.4" x14ac:dyDescent="0.25">
      <c r="B4" s="6094" t="s">
        <v>624</v>
      </c>
      <c r="C4" s="6112">
        <v>2021</v>
      </c>
      <c r="D4" s="6113"/>
      <c r="E4" s="6091"/>
      <c r="F4" s="6112">
        <v>2022</v>
      </c>
      <c r="G4" s="6113"/>
      <c r="H4" s="6091"/>
    </row>
    <row r="5" spans="2:8" ht="14.4" x14ac:dyDescent="0.25">
      <c r="B5" s="6087"/>
      <c r="C5" s="2921" t="s">
        <v>140</v>
      </c>
      <c r="D5" s="2921" t="s">
        <v>141</v>
      </c>
      <c r="E5" s="2566" t="s">
        <v>48</v>
      </c>
      <c r="F5" s="2921" t="s">
        <v>140</v>
      </c>
      <c r="G5" s="2921" t="s">
        <v>141</v>
      </c>
      <c r="H5" s="2566" t="s">
        <v>48</v>
      </c>
    </row>
    <row r="6" spans="2:8" ht="14.4" x14ac:dyDescent="0.25">
      <c r="B6" s="4820"/>
      <c r="C6" s="4821"/>
      <c r="D6" s="4822"/>
      <c r="E6" s="4823"/>
      <c r="F6" s="4821"/>
      <c r="G6" s="4822"/>
      <c r="H6" s="4823"/>
    </row>
    <row r="7" spans="2:8" ht="14.4" x14ac:dyDescent="0.25">
      <c r="B7" s="4820"/>
      <c r="C7" s="4821"/>
      <c r="D7" s="4822"/>
      <c r="E7" s="4823"/>
      <c r="F7" s="4821"/>
      <c r="G7" s="4822"/>
      <c r="H7" s="4823"/>
    </row>
    <row r="8" spans="2:8" ht="14.4" x14ac:dyDescent="0.25">
      <c r="B8" s="2954"/>
      <c r="C8" s="4824"/>
      <c r="D8" s="4825"/>
      <c r="E8" s="4826"/>
      <c r="F8" s="4824"/>
      <c r="G8" s="4825"/>
      <c r="H8" s="4826"/>
    </row>
    <row r="9" spans="2:8" ht="14.4" x14ac:dyDescent="0.25">
      <c r="B9" s="2952"/>
      <c r="C9" s="4827"/>
      <c r="D9" s="4828"/>
      <c r="E9" s="4829"/>
      <c r="F9" s="4827"/>
      <c r="G9" s="4828"/>
      <c r="H9" s="4829"/>
    </row>
    <row r="10" spans="2:8" ht="14.4" x14ac:dyDescent="0.25">
      <c r="B10" s="2954"/>
      <c r="C10" s="4824"/>
      <c r="D10" s="4825"/>
      <c r="E10" s="4826"/>
      <c r="F10" s="4824"/>
      <c r="G10" s="4825"/>
      <c r="H10" s="4826"/>
    </row>
    <row r="11" spans="2:8" ht="14.4" x14ac:dyDescent="0.25">
      <c r="B11" s="4830"/>
      <c r="C11" s="4831"/>
      <c r="D11" s="4832"/>
      <c r="E11" s="4833"/>
      <c r="F11" s="4831"/>
      <c r="G11" s="4832"/>
      <c r="H11" s="4833"/>
    </row>
    <row r="12" spans="2:8" x14ac:dyDescent="0.25">
      <c r="B12" s="2341" t="s">
        <v>622</v>
      </c>
    </row>
  </sheetData>
  <mergeCells count="3">
    <mergeCell ref="B4:B5"/>
    <mergeCell ref="C4:E4"/>
    <mergeCell ref="F4:H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firstPageNumber="122" orientation="landscape" useFirstPageNumber="1" r:id="rId1"/>
  <headerFooter scaleWithDoc="0" alignWithMargins="0">
    <oddFooter>&amp;R&amp;P</oddFoot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</sheetPr>
  <dimension ref="B1:Q40"/>
  <sheetViews>
    <sheetView showGridLines="0" zoomScale="110" zoomScaleNormal="110" workbookViewId="0">
      <pane xSplit="2" ySplit="4" topLeftCell="C5" activePane="bottomRight" state="frozen"/>
      <selection activeCell="Q31" sqref="Q31"/>
      <selection pane="topRight" activeCell="Q31" sqref="Q31"/>
      <selection pane="bottomLeft" activeCell="Q31" sqref="Q31"/>
      <selection pane="bottomRight" activeCell="R29" sqref="R29"/>
    </sheetView>
  </sheetViews>
  <sheetFormatPr baseColWidth="10" defaultRowHeight="13.2" x14ac:dyDescent="0.25"/>
  <cols>
    <col min="1" max="1" width="2.88671875" customWidth="1"/>
    <col min="2" max="2" width="66.109375" bestFit="1" customWidth="1"/>
    <col min="3" max="3" width="8.5546875" hidden="1" customWidth="1"/>
    <col min="4" max="4" width="9.44140625" hidden="1" customWidth="1"/>
    <col min="5" max="5" width="8.88671875" hidden="1" customWidth="1"/>
    <col min="6" max="6" width="9.88671875" hidden="1" customWidth="1"/>
    <col min="7" max="7" width="10.109375" hidden="1" customWidth="1"/>
    <col min="8" max="8" width="7.88671875" hidden="1" customWidth="1"/>
    <col min="9" max="9" width="9.88671875" hidden="1" customWidth="1"/>
    <col min="10" max="10" width="10.109375" hidden="1" customWidth="1"/>
    <col min="11" max="11" width="8.5546875" hidden="1" customWidth="1"/>
    <col min="12" max="12" width="8.44140625" hidden="1" customWidth="1"/>
    <col min="13" max="14" width="8.5546875" hidden="1" customWidth="1"/>
    <col min="15" max="15" width="9.88671875" bestFit="1" customWidth="1"/>
    <col min="16" max="16" width="10.109375" bestFit="1" customWidth="1"/>
    <col min="17" max="17" width="8" customWidth="1"/>
  </cols>
  <sheetData>
    <row r="1" spans="2:17" ht="18" x14ac:dyDescent="0.35">
      <c r="B1" s="4762" t="s">
        <v>1500</v>
      </c>
    </row>
    <row r="3" spans="2:17" ht="15" customHeight="1" x14ac:dyDescent="0.25">
      <c r="B3" s="6094" t="s">
        <v>624</v>
      </c>
      <c r="C3" s="6120">
        <v>2018</v>
      </c>
      <c r="D3" s="6120"/>
      <c r="E3" s="6121"/>
      <c r="F3" s="6120">
        <v>2019</v>
      </c>
      <c r="G3" s="6120"/>
      <c r="H3" s="6121"/>
      <c r="I3" s="6120">
        <v>2020</v>
      </c>
      <c r="J3" s="6120"/>
      <c r="K3" s="6121"/>
      <c r="L3" s="6120">
        <v>2021</v>
      </c>
      <c r="M3" s="6120"/>
      <c r="N3" s="6121"/>
      <c r="O3" s="6120">
        <v>2022</v>
      </c>
      <c r="P3" s="6120"/>
      <c r="Q3" s="6121"/>
    </row>
    <row r="4" spans="2:17" ht="15" customHeight="1" x14ac:dyDescent="0.3">
      <c r="B4" s="6087"/>
      <c r="C4" s="2977" t="s">
        <v>140</v>
      </c>
      <c r="D4" s="2977" t="s">
        <v>141</v>
      </c>
      <c r="E4" s="2922" t="s">
        <v>48</v>
      </c>
      <c r="F4" s="2977" t="s">
        <v>140</v>
      </c>
      <c r="G4" s="2977" t="s">
        <v>141</v>
      </c>
      <c r="H4" s="2922" t="s">
        <v>48</v>
      </c>
      <c r="I4" s="2977" t="s">
        <v>140</v>
      </c>
      <c r="J4" s="2977" t="s">
        <v>141</v>
      </c>
      <c r="K4" s="2922" t="s">
        <v>48</v>
      </c>
      <c r="L4" s="2977" t="s">
        <v>140</v>
      </c>
      <c r="M4" s="2977" t="s">
        <v>141</v>
      </c>
      <c r="N4" s="2922" t="s">
        <v>48</v>
      </c>
      <c r="O4" s="2977" t="s">
        <v>140</v>
      </c>
      <c r="P4" s="2977" t="s">
        <v>141</v>
      </c>
      <c r="Q4" s="2922" t="s">
        <v>48</v>
      </c>
    </row>
    <row r="5" spans="2:17" ht="15" hidden="1" customHeight="1" x14ac:dyDescent="0.3">
      <c r="B5" s="2990" t="s">
        <v>313</v>
      </c>
      <c r="C5" s="2991"/>
      <c r="D5" s="2992"/>
      <c r="E5" s="2993"/>
      <c r="F5" s="2991"/>
      <c r="G5" s="2992"/>
      <c r="H5" s="2993"/>
      <c r="I5" s="2991"/>
      <c r="J5" s="2992"/>
      <c r="K5" s="2993"/>
      <c r="L5" s="2991"/>
      <c r="M5" s="2992"/>
      <c r="N5" s="2993"/>
      <c r="O5" s="2991"/>
      <c r="P5" s="2992"/>
      <c r="Q5" s="2993"/>
    </row>
    <row r="6" spans="2:17" ht="15" hidden="1" customHeight="1" x14ac:dyDescent="0.3">
      <c r="B6" s="2994" t="s">
        <v>320</v>
      </c>
      <c r="C6" s="2995"/>
      <c r="D6" s="2996"/>
      <c r="E6" s="2997"/>
      <c r="F6" s="2995"/>
      <c r="G6" s="2996">
        <v>2</v>
      </c>
      <c r="H6" s="2997">
        <f>SUM(F6:G6)</f>
        <v>2</v>
      </c>
      <c r="I6" s="2995"/>
      <c r="J6" s="2996"/>
      <c r="K6" s="2997"/>
      <c r="L6" s="2995"/>
      <c r="M6" s="2996"/>
      <c r="N6" s="2997"/>
      <c r="O6" s="2995"/>
      <c r="P6" s="2996"/>
      <c r="Q6" s="2997"/>
    </row>
    <row r="7" spans="2:17" ht="15" hidden="1" customHeight="1" x14ac:dyDescent="0.3">
      <c r="B7" s="2982" t="s">
        <v>59</v>
      </c>
      <c r="C7" s="2983"/>
      <c r="D7" s="2984"/>
      <c r="E7" s="2985"/>
      <c r="F7" s="2983">
        <f t="shared" ref="F7:K7" si="0">SUM(F6)</f>
        <v>0</v>
      </c>
      <c r="G7" s="2984">
        <f t="shared" si="0"/>
        <v>2</v>
      </c>
      <c r="H7" s="2985">
        <f t="shared" si="0"/>
        <v>2</v>
      </c>
      <c r="I7" s="2983">
        <f t="shared" si="0"/>
        <v>0</v>
      </c>
      <c r="J7" s="2984">
        <f t="shared" si="0"/>
        <v>0</v>
      </c>
      <c r="K7" s="2985">
        <f t="shared" si="0"/>
        <v>0</v>
      </c>
      <c r="L7" s="2983"/>
      <c r="M7" s="2984"/>
      <c r="N7" s="2985"/>
      <c r="O7" s="2983">
        <f t="shared" ref="O7:Q7" si="1">SUM(O6)</f>
        <v>0</v>
      </c>
      <c r="P7" s="2984">
        <f t="shared" si="1"/>
        <v>0</v>
      </c>
      <c r="Q7" s="2985">
        <f t="shared" si="1"/>
        <v>0</v>
      </c>
    </row>
    <row r="8" spans="2:17" ht="15" hidden="1" customHeight="1" x14ac:dyDescent="0.3">
      <c r="B8" s="2978" t="s">
        <v>329</v>
      </c>
      <c r="C8" s="2979">
        <v>2</v>
      </c>
      <c r="D8" s="2980"/>
      <c r="E8" s="2981">
        <f>SUM(C8:D8)</f>
        <v>2</v>
      </c>
      <c r="F8" s="2979"/>
      <c r="G8" s="2980"/>
      <c r="H8" s="2981"/>
      <c r="I8" s="2979"/>
      <c r="J8" s="2980"/>
      <c r="K8" s="2981"/>
      <c r="L8" s="2979"/>
      <c r="M8" s="2980"/>
      <c r="N8" s="2981"/>
      <c r="O8" s="2979"/>
      <c r="P8" s="2980"/>
      <c r="Q8" s="2981"/>
    </row>
    <row r="9" spans="2:17" ht="15" hidden="1" customHeight="1" x14ac:dyDescent="0.3">
      <c r="B9" s="2982" t="s">
        <v>64</v>
      </c>
      <c r="C9" s="2983">
        <f t="shared" ref="C9:H9" si="2">SUM(C8)</f>
        <v>2</v>
      </c>
      <c r="D9" s="2984">
        <f t="shared" si="2"/>
        <v>0</v>
      </c>
      <c r="E9" s="2985">
        <f t="shared" si="2"/>
        <v>2</v>
      </c>
      <c r="F9" s="2983">
        <f t="shared" si="2"/>
        <v>0</v>
      </c>
      <c r="G9" s="2984">
        <f t="shared" si="2"/>
        <v>0</v>
      </c>
      <c r="H9" s="2985">
        <f t="shared" si="2"/>
        <v>0</v>
      </c>
      <c r="I9" s="2983">
        <f t="shared" ref="I9:K9" si="3">SUM(I8)</f>
        <v>0</v>
      </c>
      <c r="J9" s="2984">
        <f t="shared" si="3"/>
        <v>0</v>
      </c>
      <c r="K9" s="2985">
        <f t="shared" si="3"/>
        <v>0</v>
      </c>
      <c r="L9" s="2983"/>
      <c r="M9" s="2984"/>
      <c r="N9" s="2985"/>
      <c r="O9" s="2983">
        <f t="shared" ref="O9:Q9" si="4">SUM(O8)</f>
        <v>0</v>
      </c>
      <c r="P9" s="2984">
        <f t="shared" si="4"/>
        <v>0</v>
      </c>
      <c r="Q9" s="2985">
        <f t="shared" si="4"/>
        <v>0</v>
      </c>
    </row>
    <row r="10" spans="2:17" ht="15" hidden="1" customHeight="1" x14ac:dyDescent="0.25">
      <c r="B10" s="2986" t="s">
        <v>347</v>
      </c>
      <c r="C10" s="2987">
        <f>SUM(C9)</f>
        <v>2</v>
      </c>
      <c r="D10" s="2988">
        <f>SUM(D9)</f>
        <v>0</v>
      </c>
      <c r="E10" s="2989">
        <f>SUM(E9)</f>
        <v>2</v>
      </c>
      <c r="F10" s="2987">
        <f>SUM(F9,F7)</f>
        <v>0</v>
      </c>
      <c r="G10" s="2988">
        <f>SUM(G9,G7)</f>
        <v>2</v>
      </c>
      <c r="H10" s="2989">
        <f>SUM(H7,H9)</f>
        <v>2</v>
      </c>
      <c r="I10" s="2987">
        <f>SUM(I9,I7)</f>
        <v>0</v>
      </c>
      <c r="J10" s="2988">
        <f>SUM(J9,J7)</f>
        <v>0</v>
      </c>
      <c r="K10" s="2989">
        <f>SUM(K7,K9)</f>
        <v>0</v>
      </c>
      <c r="L10" s="2987"/>
      <c r="M10" s="2988"/>
      <c r="N10" s="2989"/>
      <c r="O10" s="2987">
        <f>SUM(O9,O7)</f>
        <v>0</v>
      </c>
      <c r="P10" s="2988">
        <f>SUM(P9,P7)</f>
        <v>0</v>
      </c>
      <c r="Q10" s="2989">
        <f>SUM(Q7,Q9)</f>
        <v>0</v>
      </c>
    </row>
    <row r="11" spans="2:17" ht="15" customHeight="1" x14ac:dyDescent="0.3">
      <c r="B11" s="2978" t="s">
        <v>348</v>
      </c>
      <c r="C11" s="2979"/>
      <c r="D11" s="2980"/>
      <c r="E11" s="2981"/>
      <c r="F11" s="2979"/>
      <c r="G11" s="2980"/>
      <c r="H11" s="2981"/>
      <c r="I11" s="2979"/>
      <c r="J11" s="2980"/>
      <c r="K11" s="2981"/>
      <c r="L11" s="2979"/>
      <c r="M11" s="2980"/>
      <c r="N11" s="2981"/>
      <c r="O11" s="2979">
        <v>1</v>
      </c>
      <c r="P11" s="2980"/>
      <c r="Q11" s="2981">
        <f>SUM(O11:P11)</f>
        <v>1</v>
      </c>
    </row>
    <row r="12" spans="2:17" ht="15" customHeight="1" x14ac:dyDescent="0.3">
      <c r="B12" s="2982" t="s">
        <v>64</v>
      </c>
      <c r="C12" s="2983"/>
      <c r="D12" s="2984"/>
      <c r="E12" s="2985"/>
      <c r="F12" s="2983"/>
      <c r="G12" s="2984"/>
      <c r="H12" s="2985"/>
      <c r="I12" s="2983"/>
      <c r="J12" s="2984"/>
      <c r="K12" s="2985"/>
      <c r="L12" s="2983"/>
      <c r="M12" s="2984"/>
      <c r="N12" s="2985"/>
      <c r="O12" s="2983">
        <f>SUM(O11)</f>
        <v>1</v>
      </c>
      <c r="P12" s="2984"/>
      <c r="Q12" s="2985">
        <f>SUM(Q11)</f>
        <v>1</v>
      </c>
    </row>
    <row r="13" spans="2:17" ht="15" customHeight="1" x14ac:dyDescent="0.3">
      <c r="B13" s="2978" t="s">
        <v>350</v>
      </c>
      <c r="C13" s="2979"/>
      <c r="D13" s="2980"/>
      <c r="E13" s="2981"/>
      <c r="F13" s="2979"/>
      <c r="G13" s="2980"/>
      <c r="H13" s="2981"/>
      <c r="I13" s="2979"/>
      <c r="J13" s="2980"/>
      <c r="K13" s="2981"/>
      <c r="L13" s="2979"/>
      <c r="M13" s="2980"/>
      <c r="N13" s="2981"/>
      <c r="O13" s="2979">
        <v>1</v>
      </c>
      <c r="P13" s="2980"/>
      <c r="Q13" s="2981">
        <f>SUM(O13:P13)</f>
        <v>1</v>
      </c>
    </row>
    <row r="14" spans="2:17" ht="15" customHeight="1" x14ac:dyDescent="0.3">
      <c r="B14" s="2982" t="s">
        <v>111</v>
      </c>
      <c r="C14" s="2983"/>
      <c r="D14" s="2984"/>
      <c r="E14" s="2985"/>
      <c r="F14" s="2983"/>
      <c r="G14" s="2984"/>
      <c r="H14" s="2985"/>
      <c r="I14" s="2983"/>
      <c r="J14" s="2984"/>
      <c r="K14" s="2985"/>
      <c r="L14" s="2983"/>
      <c r="M14" s="2984"/>
      <c r="N14" s="2985"/>
      <c r="O14" s="2983">
        <f>SUM(O13)</f>
        <v>1</v>
      </c>
      <c r="P14" s="2984"/>
      <c r="Q14" s="2985">
        <f>SUM(Q13)</f>
        <v>1</v>
      </c>
    </row>
    <row r="15" spans="2:17" ht="15" customHeight="1" x14ac:dyDescent="0.3">
      <c r="B15" s="2990" t="s">
        <v>352</v>
      </c>
      <c r="C15" s="2991"/>
      <c r="D15" s="2992"/>
      <c r="E15" s="2993"/>
      <c r="F15" s="2991"/>
      <c r="G15" s="2992">
        <v>1</v>
      </c>
      <c r="H15" s="2993">
        <f>SUM(F15:G15)</f>
        <v>1</v>
      </c>
      <c r="I15" s="2991"/>
      <c r="J15" s="2992"/>
      <c r="K15" s="2993"/>
      <c r="L15" s="2991"/>
      <c r="M15" s="2992"/>
      <c r="N15" s="2993"/>
      <c r="O15" s="2991"/>
      <c r="P15" s="2992"/>
      <c r="Q15" s="2993"/>
    </row>
    <row r="16" spans="2:17" ht="15" customHeight="1" x14ac:dyDescent="0.3">
      <c r="B16" s="2994" t="s">
        <v>353</v>
      </c>
      <c r="C16" s="2995"/>
      <c r="D16" s="2996"/>
      <c r="E16" s="2997"/>
      <c r="F16" s="2995"/>
      <c r="G16" s="2996">
        <v>1</v>
      </c>
      <c r="H16" s="2997">
        <f>SUM(F16:G16)</f>
        <v>1</v>
      </c>
      <c r="I16" s="2995"/>
      <c r="J16" s="2996"/>
      <c r="K16" s="2997"/>
      <c r="L16" s="2995"/>
      <c r="M16" s="2996"/>
      <c r="N16" s="2997"/>
      <c r="O16" s="2995"/>
      <c r="P16" s="2996"/>
      <c r="Q16" s="2997"/>
    </row>
    <row r="17" spans="2:17" ht="15" customHeight="1" x14ac:dyDescent="0.3">
      <c r="B17" s="2982" t="s">
        <v>115</v>
      </c>
      <c r="C17" s="2983"/>
      <c r="D17" s="2984"/>
      <c r="E17" s="2985"/>
      <c r="F17" s="2983"/>
      <c r="G17" s="2984">
        <f>SUM(G15:G16)</f>
        <v>2</v>
      </c>
      <c r="H17" s="2985">
        <f>SUM(F17:G17)</f>
        <v>2</v>
      </c>
      <c r="I17" s="2983"/>
      <c r="J17" s="2984">
        <f>SUM(J15:J16)</f>
        <v>0</v>
      </c>
      <c r="K17" s="2985">
        <f>SUM(I17:J17)</f>
        <v>0</v>
      </c>
      <c r="L17" s="2983"/>
      <c r="M17" s="2984"/>
      <c r="N17" s="2985"/>
      <c r="O17" s="2983"/>
      <c r="P17" s="2984">
        <f>SUM(P15:P16)</f>
        <v>0</v>
      </c>
      <c r="Q17" s="2985">
        <f>SUM(O17:P17)</f>
        <v>0</v>
      </c>
    </row>
    <row r="18" spans="2:17" ht="15" customHeight="1" x14ac:dyDescent="0.25">
      <c r="B18" s="2998" t="s">
        <v>355</v>
      </c>
      <c r="C18" s="2999"/>
      <c r="D18" s="3000"/>
      <c r="E18" s="3001"/>
      <c r="F18" s="2999">
        <f t="shared" ref="F18:K18" si="5">SUM(F17)</f>
        <v>0</v>
      </c>
      <c r="G18" s="3000">
        <f t="shared" si="5"/>
        <v>2</v>
      </c>
      <c r="H18" s="3001">
        <f t="shared" si="5"/>
        <v>2</v>
      </c>
      <c r="I18" s="2999">
        <f t="shared" si="5"/>
        <v>0</v>
      </c>
      <c r="J18" s="3000">
        <f t="shared" si="5"/>
        <v>0</v>
      </c>
      <c r="K18" s="3001">
        <f t="shared" si="5"/>
        <v>0</v>
      </c>
      <c r="L18" s="2999"/>
      <c r="M18" s="3000"/>
      <c r="N18" s="3001"/>
      <c r="O18" s="2999">
        <f>SUM(O14,O12,O17)</f>
        <v>2</v>
      </c>
      <c r="P18" s="3000">
        <f>SUM(P12,P14,P17)</f>
        <v>0</v>
      </c>
      <c r="Q18" s="3001">
        <f>SUM(Q12,Q14,Q17)</f>
        <v>2</v>
      </c>
    </row>
    <row r="19" spans="2:17" ht="15" customHeight="1" x14ac:dyDescent="0.3">
      <c r="B19" s="3002" t="s">
        <v>386</v>
      </c>
      <c r="C19" s="2991">
        <v>2</v>
      </c>
      <c r="D19" s="3003"/>
      <c r="E19" s="3004">
        <f>SUM(C19:D19)</f>
        <v>2</v>
      </c>
      <c r="F19" s="2991"/>
      <c r="G19" s="3003"/>
      <c r="H19" s="3004"/>
      <c r="I19" s="2991">
        <v>1</v>
      </c>
      <c r="J19" s="3003"/>
      <c r="K19" s="3004">
        <f>SUM(I19:J19)</f>
        <v>1</v>
      </c>
      <c r="L19" s="2991"/>
      <c r="M19" s="3003"/>
      <c r="N19" s="3004"/>
      <c r="O19" s="2991"/>
      <c r="P19" s="3003">
        <v>1</v>
      </c>
      <c r="Q19" s="3004">
        <f>SUM(O19:P19)</f>
        <v>1</v>
      </c>
    </row>
    <row r="20" spans="2:17" ht="15" customHeight="1" x14ac:dyDescent="0.3">
      <c r="B20" s="5379" t="s">
        <v>1593</v>
      </c>
      <c r="C20" s="3009"/>
      <c r="D20" s="5380"/>
      <c r="E20" s="5381"/>
      <c r="F20" s="3009"/>
      <c r="G20" s="5380"/>
      <c r="H20" s="5381"/>
      <c r="I20" s="3009"/>
      <c r="J20" s="5380"/>
      <c r="K20" s="5381"/>
      <c r="L20" s="3009"/>
      <c r="M20" s="5380"/>
      <c r="N20" s="5381"/>
      <c r="O20" s="3009"/>
      <c r="P20" s="5380">
        <v>1</v>
      </c>
      <c r="Q20" s="3004">
        <f>SUM(O20:P20)</f>
        <v>1</v>
      </c>
    </row>
    <row r="21" spans="2:17" ht="15" customHeight="1" x14ac:dyDescent="0.3">
      <c r="B21" s="2982" t="s">
        <v>92</v>
      </c>
      <c r="C21" s="2983">
        <f t="shared" ref="C21:K21" si="6">SUM(C19)</f>
        <v>2</v>
      </c>
      <c r="D21" s="2984">
        <f t="shared" si="6"/>
        <v>0</v>
      </c>
      <c r="E21" s="2985">
        <f t="shared" si="6"/>
        <v>2</v>
      </c>
      <c r="F21" s="2983">
        <f t="shared" si="6"/>
        <v>0</v>
      </c>
      <c r="G21" s="2984">
        <f t="shared" si="6"/>
        <v>0</v>
      </c>
      <c r="H21" s="2985">
        <f t="shared" si="6"/>
        <v>0</v>
      </c>
      <c r="I21" s="2983">
        <f t="shared" si="6"/>
        <v>1</v>
      </c>
      <c r="J21" s="2984">
        <f t="shared" si="6"/>
        <v>0</v>
      </c>
      <c r="K21" s="2985">
        <f t="shared" si="6"/>
        <v>1</v>
      </c>
      <c r="L21" s="2983"/>
      <c r="M21" s="2984"/>
      <c r="N21" s="2985"/>
      <c r="O21" s="2983">
        <f t="shared" ref="O21" si="7">SUM(O19)</f>
        <v>0</v>
      </c>
      <c r="P21" s="2984">
        <f>SUM(P19:P20)</f>
        <v>2</v>
      </c>
      <c r="Q21" s="2985">
        <f>SUM(Q19:Q20)</f>
        <v>2</v>
      </c>
    </row>
    <row r="22" spans="2:17" ht="15" customHeight="1" x14ac:dyDescent="0.25">
      <c r="B22" s="3005" t="s">
        <v>388</v>
      </c>
      <c r="C22" s="3006">
        <f t="shared" ref="C22:K22" si="8">SUM(C21)</f>
        <v>2</v>
      </c>
      <c r="D22" s="3007">
        <f t="shared" si="8"/>
        <v>0</v>
      </c>
      <c r="E22" s="3008">
        <f t="shared" si="8"/>
        <v>2</v>
      </c>
      <c r="F22" s="3006">
        <f t="shared" si="8"/>
        <v>0</v>
      </c>
      <c r="G22" s="3007">
        <f t="shared" si="8"/>
        <v>0</v>
      </c>
      <c r="H22" s="3008">
        <f t="shared" si="8"/>
        <v>0</v>
      </c>
      <c r="I22" s="3006">
        <f t="shared" si="8"/>
        <v>1</v>
      </c>
      <c r="J22" s="3007">
        <f t="shared" si="8"/>
        <v>0</v>
      </c>
      <c r="K22" s="3008">
        <f t="shared" si="8"/>
        <v>1</v>
      </c>
      <c r="L22" s="3006"/>
      <c r="M22" s="3007"/>
      <c r="N22" s="3008"/>
      <c r="O22" s="3006">
        <f t="shared" ref="O22:P22" si="9">SUM(O21)</f>
        <v>0</v>
      </c>
      <c r="P22" s="3007">
        <f t="shared" si="9"/>
        <v>2</v>
      </c>
      <c r="Q22" s="3008">
        <f>SUM(Q19:Q20)</f>
        <v>2</v>
      </c>
    </row>
    <row r="23" spans="2:17" ht="15" customHeight="1" x14ac:dyDescent="0.3">
      <c r="B23" s="2990" t="s">
        <v>402</v>
      </c>
      <c r="C23" s="2991"/>
      <c r="D23" s="2992"/>
      <c r="E23" s="2993"/>
      <c r="F23" s="2991">
        <v>1</v>
      </c>
      <c r="G23" s="2992">
        <v>2</v>
      </c>
      <c r="H23" s="2993">
        <f>SUM(F23:G23)</f>
        <v>3</v>
      </c>
      <c r="I23" s="2991"/>
      <c r="J23" s="2992"/>
      <c r="K23" s="2993"/>
      <c r="L23" s="2991"/>
      <c r="M23" s="2992"/>
      <c r="N23" s="2993"/>
      <c r="O23" s="2991"/>
      <c r="P23" s="2992"/>
      <c r="Q23" s="2993"/>
    </row>
    <row r="24" spans="2:17" ht="15" customHeight="1" x14ac:dyDescent="0.3">
      <c r="B24" s="2990" t="s">
        <v>392</v>
      </c>
      <c r="C24" s="2991"/>
      <c r="D24" s="2992"/>
      <c r="E24" s="2993"/>
      <c r="F24" s="2991"/>
      <c r="G24" s="2992"/>
      <c r="H24" s="2993"/>
      <c r="I24" s="2991">
        <v>1</v>
      </c>
      <c r="J24" s="2992"/>
      <c r="K24" s="2993">
        <f>SUM(I24:J24)</f>
        <v>1</v>
      </c>
      <c r="L24" s="2991"/>
      <c r="M24" s="2992"/>
      <c r="N24" s="2993"/>
      <c r="O24" s="2991"/>
      <c r="P24" s="2992"/>
      <c r="Q24" s="2993"/>
    </row>
    <row r="25" spans="2:17" ht="15" customHeight="1" x14ac:dyDescent="0.3">
      <c r="B25" s="2994" t="s">
        <v>394</v>
      </c>
      <c r="C25" s="2995"/>
      <c r="D25" s="2996"/>
      <c r="E25" s="2997"/>
      <c r="F25" s="2995"/>
      <c r="G25" s="2996"/>
      <c r="H25" s="2997"/>
      <c r="I25" s="2995"/>
      <c r="J25" s="2996"/>
      <c r="K25" s="2997"/>
      <c r="L25" s="2995"/>
      <c r="M25" s="2996"/>
      <c r="N25" s="2997"/>
      <c r="O25" s="2995"/>
      <c r="P25" s="2996"/>
      <c r="Q25" s="2997"/>
    </row>
    <row r="26" spans="2:17" ht="15" customHeight="1" x14ac:dyDescent="0.3">
      <c r="B26" s="3011" t="s">
        <v>403</v>
      </c>
      <c r="C26" s="3009"/>
      <c r="D26" s="3012"/>
      <c r="E26" s="3010"/>
      <c r="F26" s="3009"/>
      <c r="G26" s="3012"/>
      <c r="H26" s="3010"/>
      <c r="I26" s="3009"/>
      <c r="J26" s="3012"/>
      <c r="K26" s="3010"/>
      <c r="L26" s="3009"/>
      <c r="M26" s="3012"/>
      <c r="N26" s="3010"/>
      <c r="O26" s="3009"/>
      <c r="P26" s="3012"/>
      <c r="Q26" s="3010"/>
    </row>
    <row r="27" spans="2:17" ht="15" customHeight="1" x14ac:dyDescent="0.3">
      <c r="B27" s="2982" t="s">
        <v>64</v>
      </c>
      <c r="C27" s="2983"/>
      <c r="D27" s="2984"/>
      <c r="E27" s="2985"/>
      <c r="F27" s="2983">
        <f>SUM(F23)</f>
        <v>1</v>
      </c>
      <c r="G27" s="2984">
        <f>SUM(G23)</f>
        <v>2</v>
      </c>
      <c r="H27" s="2985">
        <f>SUM(H23)</f>
        <v>3</v>
      </c>
      <c r="I27" s="2983">
        <f>SUM(I23:I24)</f>
        <v>1</v>
      </c>
      <c r="J27" s="2984">
        <f>SUM(J23:J24)</f>
        <v>0</v>
      </c>
      <c r="K27" s="2985">
        <f>SUM(K23:K24)</f>
        <v>1</v>
      </c>
      <c r="L27" s="2983"/>
      <c r="M27" s="2984"/>
      <c r="N27" s="2985"/>
      <c r="O27" s="2983">
        <f>SUM(O23:O24)</f>
        <v>0</v>
      </c>
      <c r="P27" s="2984">
        <f>SUM(P23:P24)</f>
        <v>0</v>
      </c>
      <c r="Q27" s="2985">
        <f>SUM(Q23:Q24)</f>
        <v>0</v>
      </c>
    </row>
    <row r="28" spans="2:17" ht="15" customHeight="1" x14ac:dyDescent="0.3">
      <c r="B28" s="2990" t="s">
        <v>407</v>
      </c>
      <c r="C28" s="2991">
        <v>1</v>
      </c>
      <c r="D28" s="2992"/>
      <c r="E28" s="2993">
        <f>SUM(C28:D28)</f>
        <v>1</v>
      </c>
      <c r="F28" s="2991"/>
      <c r="G28" s="2992"/>
      <c r="H28" s="2993"/>
      <c r="I28" s="2991"/>
      <c r="J28" s="2992"/>
      <c r="K28" s="2993"/>
      <c r="L28" s="2991"/>
      <c r="M28" s="2992"/>
      <c r="N28" s="2993"/>
      <c r="O28" s="2991"/>
      <c r="P28" s="2992"/>
      <c r="Q28" s="2993"/>
    </row>
    <row r="29" spans="2:17" ht="15" customHeight="1" x14ac:dyDescent="0.3">
      <c r="B29" s="2990" t="s">
        <v>412</v>
      </c>
      <c r="C29" s="2991"/>
      <c r="D29" s="2992"/>
      <c r="E29" s="2993"/>
      <c r="F29" s="2991"/>
      <c r="G29" s="2992"/>
      <c r="H29" s="2993"/>
      <c r="I29" s="2991"/>
      <c r="J29" s="2992"/>
      <c r="K29" s="2993"/>
      <c r="L29" s="2991"/>
      <c r="M29" s="2992"/>
      <c r="N29" s="2993"/>
      <c r="O29" s="2991">
        <v>1</v>
      </c>
      <c r="P29" s="2992"/>
      <c r="Q29" s="2993">
        <f>SUM(O29:P29)</f>
        <v>1</v>
      </c>
    </row>
    <row r="30" spans="2:17" ht="15" customHeight="1" x14ac:dyDescent="0.3">
      <c r="B30" s="2990" t="s">
        <v>413</v>
      </c>
      <c r="C30" s="2991"/>
      <c r="D30" s="2992"/>
      <c r="E30" s="2993"/>
      <c r="F30" s="2991"/>
      <c r="G30" s="2992"/>
      <c r="H30" s="2993"/>
      <c r="I30" s="2991"/>
      <c r="J30" s="2992">
        <v>1</v>
      </c>
      <c r="K30" s="2993">
        <f>SUM(I30:J30)</f>
        <v>1</v>
      </c>
      <c r="L30" s="2991"/>
      <c r="M30" s="2992"/>
      <c r="N30" s="2993"/>
      <c r="O30" s="2991"/>
      <c r="P30" s="2992"/>
      <c r="Q30" s="2993"/>
    </row>
    <row r="31" spans="2:17" ht="15" customHeight="1" x14ac:dyDescent="0.3">
      <c r="B31" s="2994" t="s">
        <v>416</v>
      </c>
      <c r="C31" s="2995">
        <v>1</v>
      </c>
      <c r="D31" s="2996"/>
      <c r="E31" s="2997">
        <f>SUM(C31:D31)</f>
        <v>1</v>
      </c>
      <c r="F31" s="2995"/>
      <c r="G31" s="2996"/>
      <c r="H31" s="2997"/>
      <c r="I31" s="2995"/>
      <c r="J31" s="2996"/>
      <c r="K31" s="2997"/>
      <c r="L31" s="2995"/>
      <c r="M31" s="2996"/>
      <c r="N31" s="2993"/>
      <c r="O31" s="2995"/>
      <c r="P31" s="2996"/>
      <c r="Q31" s="2993"/>
    </row>
    <row r="32" spans="2:17" ht="15" customHeight="1" x14ac:dyDescent="0.3">
      <c r="B32" s="3011" t="s">
        <v>354</v>
      </c>
      <c r="C32" s="3009"/>
      <c r="D32" s="3012"/>
      <c r="E32" s="3010"/>
      <c r="F32" s="3009"/>
      <c r="G32" s="3012">
        <v>1</v>
      </c>
      <c r="H32" s="3010">
        <f>SUM(F32:G32)</f>
        <v>1</v>
      </c>
      <c r="I32" s="3009"/>
      <c r="J32" s="3012"/>
      <c r="K32" s="3010"/>
      <c r="L32" s="3009"/>
      <c r="M32" s="3012"/>
      <c r="N32" s="2993"/>
      <c r="O32" s="3009">
        <v>1</v>
      </c>
      <c r="P32" s="3012"/>
      <c r="Q32" s="2993">
        <f t="shared" ref="Q32" si="10">SUM(O32:P32)</f>
        <v>1</v>
      </c>
    </row>
    <row r="33" spans="2:17" ht="15" customHeight="1" x14ac:dyDescent="0.3">
      <c r="B33" s="2982" t="s">
        <v>92</v>
      </c>
      <c r="C33" s="2983">
        <f>SUM(C28:C31)</f>
        <v>2</v>
      </c>
      <c r="D33" s="2984">
        <f>SUM(D28:D31)</f>
        <v>0</v>
      </c>
      <c r="E33" s="2985">
        <f>SUM(E28:E31)</f>
        <v>2</v>
      </c>
      <c r="F33" s="2983"/>
      <c r="G33" s="2984">
        <f>SUM(G28:G32)</f>
        <v>1</v>
      </c>
      <c r="H33" s="2985">
        <f>SUM(H28:H32)</f>
        <v>1</v>
      </c>
      <c r="I33" s="2983"/>
      <c r="J33" s="2984">
        <f>SUM(J28:J32)</f>
        <v>1</v>
      </c>
      <c r="K33" s="2985">
        <f>SUM(K28:K32)</f>
        <v>1</v>
      </c>
      <c r="L33" s="2983"/>
      <c r="M33" s="2984"/>
      <c r="N33" s="2985"/>
      <c r="O33" s="2983">
        <f>SUM(O28:O32)</f>
        <v>2</v>
      </c>
      <c r="P33" s="2984">
        <f>SUM(P28:P32)</f>
        <v>0</v>
      </c>
      <c r="Q33" s="2985">
        <f>SUM(Q28:Q32)</f>
        <v>2</v>
      </c>
    </row>
    <row r="34" spans="2:17" ht="15" customHeight="1" x14ac:dyDescent="0.3">
      <c r="B34" s="3002" t="s">
        <v>418</v>
      </c>
      <c r="C34" s="2991"/>
      <c r="D34" s="3003"/>
      <c r="E34" s="3004"/>
      <c r="F34" s="2991"/>
      <c r="G34" s="3003">
        <v>1</v>
      </c>
      <c r="H34" s="3004">
        <f>SUM(F34:G34)</f>
        <v>1</v>
      </c>
      <c r="I34" s="2991"/>
      <c r="J34" s="3003"/>
      <c r="K34" s="3004"/>
      <c r="L34" s="2991"/>
      <c r="M34" s="3003"/>
      <c r="N34" s="3004"/>
      <c r="O34" s="2991">
        <v>1</v>
      </c>
      <c r="P34" s="3003"/>
      <c r="Q34" s="3004">
        <f>SUM(O34:P34)</f>
        <v>1</v>
      </c>
    </row>
    <row r="35" spans="2:17" ht="15" customHeight="1" x14ac:dyDescent="0.3">
      <c r="B35" s="5379" t="s">
        <v>421</v>
      </c>
      <c r="C35" s="3009"/>
      <c r="D35" s="5380"/>
      <c r="E35" s="5381"/>
      <c r="F35" s="3009"/>
      <c r="G35" s="5380"/>
      <c r="H35" s="5381"/>
      <c r="I35" s="3009"/>
      <c r="J35" s="5380"/>
      <c r="K35" s="5381"/>
      <c r="L35" s="3009"/>
      <c r="M35" s="5380"/>
      <c r="N35" s="5381"/>
      <c r="O35" s="3009">
        <v>1</v>
      </c>
      <c r="P35" s="5380">
        <v>1</v>
      </c>
      <c r="Q35" s="3004">
        <f>SUM(O35:P35)</f>
        <v>2</v>
      </c>
    </row>
    <row r="36" spans="2:17" ht="15" customHeight="1" x14ac:dyDescent="0.3">
      <c r="B36" s="2982" t="s">
        <v>68</v>
      </c>
      <c r="C36" s="2983"/>
      <c r="D36" s="2984"/>
      <c r="E36" s="2985"/>
      <c r="F36" s="2983"/>
      <c r="G36" s="2984">
        <f>SUM(G34)</f>
        <v>1</v>
      </c>
      <c r="H36" s="2985">
        <f>SUM(H34)</f>
        <v>1</v>
      </c>
      <c r="I36" s="2983"/>
      <c r="J36" s="2984">
        <f>SUM(J34)</f>
        <v>0</v>
      </c>
      <c r="K36" s="2985">
        <f>SUM(K34)</f>
        <v>0</v>
      </c>
      <c r="L36" s="2983"/>
      <c r="M36" s="2984"/>
      <c r="N36" s="2985"/>
      <c r="O36" s="2983">
        <f>SUM(O34:O35)</f>
        <v>2</v>
      </c>
      <c r="P36" s="2984">
        <f>SUM(P34:P35)</f>
        <v>1</v>
      </c>
      <c r="Q36" s="2985">
        <f>SUM(Q34:Q35)</f>
        <v>3</v>
      </c>
    </row>
    <row r="37" spans="2:17" ht="15" customHeight="1" x14ac:dyDescent="0.25">
      <c r="B37" s="3013" t="s">
        <v>422</v>
      </c>
      <c r="C37" s="3014">
        <f>SUM(C33)</f>
        <v>2</v>
      </c>
      <c r="D37" s="3015">
        <f>SUM(D33)</f>
        <v>0</v>
      </c>
      <c r="E37" s="3016">
        <f>SUM(E33)</f>
        <v>2</v>
      </c>
      <c r="F37" s="3014">
        <f t="shared" ref="F37:K37" si="11">SUM(F27,F33,F36)</f>
        <v>1</v>
      </c>
      <c r="G37" s="3015">
        <f t="shared" si="11"/>
        <v>4</v>
      </c>
      <c r="H37" s="3016">
        <f t="shared" si="11"/>
        <v>5</v>
      </c>
      <c r="I37" s="3014">
        <f t="shared" si="11"/>
        <v>1</v>
      </c>
      <c r="J37" s="3015">
        <f t="shared" si="11"/>
        <v>1</v>
      </c>
      <c r="K37" s="3016">
        <f t="shared" si="11"/>
        <v>2</v>
      </c>
      <c r="L37" s="3014"/>
      <c r="M37" s="3015"/>
      <c r="N37" s="3016"/>
      <c r="O37" s="3014">
        <f t="shared" ref="O37:Q37" si="12">SUM(O27,O33,O36)</f>
        <v>4</v>
      </c>
      <c r="P37" s="3015">
        <f t="shared" si="12"/>
        <v>1</v>
      </c>
      <c r="Q37" s="3016">
        <f t="shared" si="12"/>
        <v>5</v>
      </c>
    </row>
    <row r="38" spans="2:17" ht="20.100000000000001" customHeight="1" x14ac:dyDescent="0.25">
      <c r="B38" s="200" t="s">
        <v>431</v>
      </c>
      <c r="C38" s="3017">
        <f>SUM(C37,C22,C10)</f>
        <v>6</v>
      </c>
      <c r="D38" s="3018">
        <f>SUM(D37,D22,D10)</f>
        <v>0</v>
      </c>
      <c r="E38" s="3019">
        <f>SUM(E37,E22,E10)</f>
        <v>6</v>
      </c>
      <c r="F38" s="3017">
        <f t="shared" ref="F38:K38" si="13">SUM(F10,F18,F22,F37)</f>
        <v>1</v>
      </c>
      <c r="G38" s="3018">
        <f t="shared" si="13"/>
        <v>8</v>
      </c>
      <c r="H38" s="3019">
        <f t="shared" si="13"/>
        <v>9</v>
      </c>
      <c r="I38" s="3017">
        <f t="shared" si="13"/>
        <v>2</v>
      </c>
      <c r="J38" s="3018">
        <f t="shared" si="13"/>
        <v>1</v>
      </c>
      <c r="K38" s="3019">
        <f t="shared" si="13"/>
        <v>3</v>
      </c>
      <c r="L38" s="3017"/>
      <c r="M38" s="3018"/>
      <c r="N38" s="3019"/>
      <c r="O38" s="3017">
        <f t="shared" ref="O38:Q38" si="14">SUM(O10,O18,O22,O37)</f>
        <v>6</v>
      </c>
      <c r="P38" s="3018">
        <f t="shared" si="14"/>
        <v>3</v>
      </c>
      <c r="Q38" s="3019">
        <f t="shared" si="14"/>
        <v>9</v>
      </c>
    </row>
    <row r="40" spans="2:17" x14ac:dyDescent="0.25">
      <c r="B40" s="2341" t="s">
        <v>622</v>
      </c>
    </row>
  </sheetData>
  <mergeCells count="6">
    <mergeCell ref="O3:Q3"/>
    <mergeCell ref="B3:B4"/>
    <mergeCell ref="C3:E3"/>
    <mergeCell ref="F3:H3"/>
    <mergeCell ref="I3:K3"/>
    <mergeCell ref="L3:N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61" firstPageNumber="123" orientation="landscape" useFirstPageNumber="1" r:id="rId1"/>
  <headerFooter scaleWithDoc="0" alignWithMargins="0">
    <oddFooter>&amp;R&amp;P</oddFooter>
  </headerFooter>
  <ignoredErrors>
    <ignoredError sqref="H7:K7 H9:K12 I8:J8 H17:K18 H15:J16 H21:K22 I19:K19 H24:K27 H23:J23 H29:K30 H33:K33 H32:J32 H36:K38 H34:J34 P18:Q20 Q33 Q12 P21" 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1:BJ112"/>
  <sheetViews>
    <sheetView showGridLines="0" zoomScaleNormal="100" zoomScaleSheetLayoutView="58" workbookViewId="0">
      <pane xSplit="2" ySplit="5" topLeftCell="AP74" activePane="bottomRight" state="frozen"/>
      <selection activeCell="Q31" sqref="Q31"/>
      <selection pane="topRight" activeCell="Q31" sqref="Q31"/>
      <selection pane="bottomLeft" activeCell="Q31" sqref="Q31"/>
      <selection pane="bottomRight" activeCell="Q31" sqref="Q31"/>
    </sheetView>
  </sheetViews>
  <sheetFormatPr baseColWidth="10" defaultColWidth="11.44140625" defaultRowHeight="13.2" x14ac:dyDescent="0.25"/>
  <cols>
    <col min="1" max="1" width="2.88671875" style="276" customWidth="1"/>
    <col min="2" max="2" width="45.44140625" style="276" bestFit="1" customWidth="1"/>
    <col min="3" max="4" width="8.88671875" style="276" customWidth="1"/>
    <col min="5" max="5" width="9.88671875" style="276" customWidth="1"/>
    <col min="6" max="7" width="8.88671875" style="276" customWidth="1"/>
    <col min="8" max="8" width="9.88671875" style="276" customWidth="1"/>
    <col min="9" max="10" width="8.88671875" style="276" customWidth="1"/>
    <col min="11" max="11" width="9.88671875" style="276" customWidth="1"/>
    <col min="12" max="13" width="8.88671875" style="276" customWidth="1"/>
    <col min="14" max="14" width="9.88671875" style="276" customWidth="1"/>
    <col min="15" max="16" width="8.88671875" style="276" customWidth="1"/>
    <col min="17" max="17" width="9.88671875" style="276" customWidth="1"/>
    <col min="18" max="19" width="8.88671875" style="276" customWidth="1"/>
    <col min="20" max="20" width="9.88671875" style="276" customWidth="1"/>
    <col min="21" max="22" width="8.88671875" style="276" customWidth="1"/>
    <col min="23" max="23" width="9.88671875" style="276" customWidth="1"/>
    <col min="24" max="25" width="8.88671875" style="276" customWidth="1"/>
    <col min="26" max="26" width="9.88671875" style="276" customWidth="1"/>
    <col min="27" max="28" width="8.88671875" style="276" customWidth="1"/>
    <col min="29" max="29" width="9.88671875" style="276" customWidth="1"/>
    <col min="30" max="31" width="8.88671875" style="276" customWidth="1"/>
    <col min="32" max="32" width="9.88671875" style="276" customWidth="1"/>
    <col min="33" max="34" width="8.88671875" style="276" customWidth="1"/>
    <col min="35" max="35" width="9.88671875" style="276" customWidth="1"/>
    <col min="36" max="37" width="8.88671875" style="276" customWidth="1"/>
    <col min="38" max="38" width="9.88671875" style="276" customWidth="1"/>
    <col min="39" max="40" width="8.88671875" style="276" customWidth="1"/>
    <col min="41" max="41" width="9.88671875" style="276" customWidth="1"/>
    <col min="42" max="86" width="8.88671875" style="276" customWidth="1"/>
    <col min="87" max="254" width="11.44140625" style="276"/>
    <col min="255" max="255" width="1.5546875" style="276" customWidth="1"/>
    <col min="256" max="256" width="21.109375" style="276" customWidth="1"/>
    <col min="257" max="257" width="7.109375" style="276" customWidth="1"/>
    <col min="258" max="258" width="36.88671875" style="276" bestFit="1" customWidth="1"/>
    <col min="259" max="260" width="9.109375" style="276" bestFit="1" customWidth="1"/>
    <col min="261" max="261" width="12" style="276" customWidth="1"/>
    <col min="262" max="262" width="8.44140625" style="276" bestFit="1" customWidth="1"/>
    <col min="263" max="263" width="9" style="276" customWidth="1"/>
    <col min="264" max="264" width="11.88671875" style="276" customWidth="1"/>
    <col min="265" max="265" width="9.109375" style="276" bestFit="1" customWidth="1"/>
    <col min="266" max="266" width="8.44140625" style="276" bestFit="1" customWidth="1"/>
    <col min="267" max="267" width="11.88671875" style="276" customWidth="1"/>
    <col min="268" max="269" width="8.44140625" style="276" bestFit="1" customWidth="1"/>
    <col min="270" max="270" width="11.88671875" style="276" customWidth="1"/>
    <col min="271" max="271" width="9" style="276" customWidth="1"/>
    <col min="272" max="272" width="8.44140625" style="276" bestFit="1" customWidth="1"/>
    <col min="273" max="273" width="11.88671875" style="276" customWidth="1"/>
    <col min="274" max="275" width="8.44140625" style="276" bestFit="1" customWidth="1"/>
    <col min="276" max="276" width="11.88671875" style="276" customWidth="1"/>
    <col min="277" max="278" width="9" style="276" customWidth="1"/>
    <col min="279" max="279" width="12" style="276" customWidth="1"/>
    <col min="280" max="280" width="9" style="276" bestFit="1" customWidth="1"/>
    <col min="281" max="281" width="8" style="276" bestFit="1" customWidth="1"/>
    <col min="282" max="282" width="11.88671875" style="276" customWidth="1"/>
    <col min="283" max="510" width="11.44140625" style="276"/>
    <col min="511" max="511" width="1.5546875" style="276" customWidth="1"/>
    <col min="512" max="512" width="21.109375" style="276" customWidth="1"/>
    <col min="513" max="513" width="7.109375" style="276" customWidth="1"/>
    <col min="514" max="514" width="36.88671875" style="276" bestFit="1" customWidth="1"/>
    <col min="515" max="516" width="9.109375" style="276" bestFit="1" customWidth="1"/>
    <col min="517" max="517" width="12" style="276" customWidth="1"/>
    <col min="518" max="518" width="8.44140625" style="276" bestFit="1" customWidth="1"/>
    <col min="519" max="519" width="9" style="276" customWidth="1"/>
    <col min="520" max="520" width="11.88671875" style="276" customWidth="1"/>
    <col min="521" max="521" width="9.109375" style="276" bestFit="1" customWidth="1"/>
    <col min="522" max="522" width="8.44140625" style="276" bestFit="1" customWidth="1"/>
    <col min="523" max="523" width="11.88671875" style="276" customWidth="1"/>
    <col min="524" max="525" width="8.44140625" style="276" bestFit="1" customWidth="1"/>
    <col min="526" max="526" width="11.88671875" style="276" customWidth="1"/>
    <col min="527" max="527" width="9" style="276" customWidth="1"/>
    <col min="528" max="528" width="8.44140625" style="276" bestFit="1" customWidth="1"/>
    <col min="529" max="529" width="11.88671875" style="276" customWidth="1"/>
    <col min="530" max="531" width="8.44140625" style="276" bestFit="1" customWidth="1"/>
    <col min="532" max="532" width="11.88671875" style="276" customWidth="1"/>
    <col min="533" max="534" width="9" style="276" customWidth="1"/>
    <col min="535" max="535" width="12" style="276" customWidth="1"/>
    <col min="536" max="536" width="9" style="276" bestFit="1" customWidth="1"/>
    <col min="537" max="537" width="8" style="276" bestFit="1" customWidth="1"/>
    <col min="538" max="538" width="11.88671875" style="276" customWidth="1"/>
    <col min="539" max="766" width="11.44140625" style="276"/>
    <col min="767" max="767" width="1.5546875" style="276" customWidth="1"/>
    <col min="768" max="768" width="21.109375" style="276" customWidth="1"/>
    <col min="769" max="769" width="7.109375" style="276" customWidth="1"/>
    <col min="770" max="770" width="36.88671875" style="276" bestFit="1" customWidth="1"/>
    <col min="771" max="772" width="9.109375" style="276" bestFit="1" customWidth="1"/>
    <col min="773" max="773" width="12" style="276" customWidth="1"/>
    <col min="774" max="774" width="8.44140625" style="276" bestFit="1" customWidth="1"/>
    <col min="775" max="775" width="9" style="276" customWidth="1"/>
    <col min="776" max="776" width="11.88671875" style="276" customWidth="1"/>
    <col min="777" max="777" width="9.109375" style="276" bestFit="1" customWidth="1"/>
    <col min="778" max="778" width="8.44140625" style="276" bestFit="1" customWidth="1"/>
    <col min="779" max="779" width="11.88671875" style="276" customWidth="1"/>
    <col min="780" max="781" width="8.44140625" style="276" bestFit="1" customWidth="1"/>
    <col min="782" max="782" width="11.88671875" style="276" customWidth="1"/>
    <col min="783" max="783" width="9" style="276" customWidth="1"/>
    <col min="784" max="784" width="8.44140625" style="276" bestFit="1" customWidth="1"/>
    <col min="785" max="785" width="11.88671875" style="276" customWidth="1"/>
    <col min="786" max="787" width="8.44140625" style="276" bestFit="1" customWidth="1"/>
    <col min="788" max="788" width="11.88671875" style="276" customWidth="1"/>
    <col min="789" max="790" width="9" style="276" customWidth="1"/>
    <col min="791" max="791" width="12" style="276" customWidth="1"/>
    <col min="792" max="792" width="9" style="276" bestFit="1" customWidth="1"/>
    <col min="793" max="793" width="8" style="276" bestFit="1" customWidth="1"/>
    <col min="794" max="794" width="11.88671875" style="276" customWidth="1"/>
    <col min="795" max="1022" width="11.44140625" style="276"/>
    <col min="1023" max="1023" width="1.5546875" style="276" customWidth="1"/>
    <col min="1024" max="1024" width="21.109375" style="276" customWidth="1"/>
    <col min="1025" max="1025" width="7.109375" style="276" customWidth="1"/>
    <col min="1026" max="1026" width="36.88671875" style="276" bestFit="1" customWidth="1"/>
    <col min="1027" max="1028" width="9.109375" style="276" bestFit="1" customWidth="1"/>
    <col min="1029" max="1029" width="12" style="276" customWidth="1"/>
    <col min="1030" max="1030" width="8.44140625" style="276" bestFit="1" customWidth="1"/>
    <col min="1031" max="1031" width="9" style="276" customWidth="1"/>
    <col min="1032" max="1032" width="11.88671875" style="276" customWidth="1"/>
    <col min="1033" max="1033" width="9.109375" style="276" bestFit="1" customWidth="1"/>
    <col min="1034" max="1034" width="8.44140625" style="276" bestFit="1" customWidth="1"/>
    <col min="1035" max="1035" width="11.88671875" style="276" customWidth="1"/>
    <col min="1036" max="1037" width="8.44140625" style="276" bestFit="1" customWidth="1"/>
    <col min="1038" max="1038" width="11.88671875" style="276" customWidth="1"/>
    <col min="1039" max="1039" width="9" style="276" customWidth="1"/>
    <col min="1040" max="1040" width="8.44140625" style="276" bestFit="1" customWidth="1"/>
    <col min="1041" max="1041" width="11.88671875" style="276" customWidth="1"/>
    <col min="1042" max="1043" width="8.44140625" style="276" bestFit="1" customWidth="1"/>
    <col min="1044" max="1044" width="11.88671875" style="276" customWidth="1"/>
    <col min="1045" max="1046" width="9" style="276" customWidth="1"/>
    <col min="1047" max="1047" width="12" style="276" customWidth="1"/>
    <col min="1048" max="1048" width="9" style="276" bestFit="1" customWidth="1"/>
    <col min="1049" max="1049" width="8" style="276" bestFit="1" customWidth="1"/>
    <col min="1050" max="1050" width="11.88671875" style="276" customWidth="1"/>
    <col min="1051" max="1278" width="11.44140625" style="276"/>
    <col min="1279" max="1279" width="1.5546875" style="276" customWidth="1"/>
    <col min="1280" max="1280" width="21.109375" style="276" customWidth="1"/>
    <col min="1281" max="1281" width="7.109375" style="276" customWidth="1"/>
    <col min="1282" max="1282" width="36.88671875" style="276" bestFit="1" customWidth="1"/>
    <col min="1283" max="1284" width="9.109375" style="276" bestFit="1" customWidth="1"/>
    <col min="1285" max="1285" width="12" style="276" customWidth="1"/>
    <col min="1286" max="1286" width="8.44140625" style="276" bestFit="1" customWidth="1"/>
    <col min="1287" max="1287" width="9" style="276" customWidth="1"/>
    <col min="1288" max="1288" width="11.88671875" style="276" customWidth="1"/>
    <col min="1289" max="1289" width="9.109375" style="276" bestFit="1" customWidth="1"/>
    <col min="1290" max="1290" width="8.44140625" style="276" bestFit="1" customWidth="1"/>
    <col min="1291" max="1291" width="11.88671875" style="276" customWidth="1"/>
    <col min="1292" max="1293" width="8.44140625" style="276" bestFit="1" customWidth="1"/>
    <col min="1294" max="1294" width="11.88671875" style="276" customWidth="1"/>
    <col min="1295" max="1295" width="9" style="276" customWidth="1"/>
    <col min="1296" max="1296" width="8.44140625" style="276" bestFit="1" customWidth="1"/>
    <col min="1297" max="1297" width="11.88671875" style="276" customWidth="1"/>
    <col min="1298" max="1299" width="8.44140625" style="276" bestFit="1" customWidth="1"/>
    <col min="1300" max="1300" width="11.88671875" style="276" customWidth="1"/>
    <col min="1301" max="1302" width="9" style="276" customWidth="1"/>
    <col min="1303" max="1303" width="12" style="276" customWidth="1"/>
    <col min="1304" max="1304" width="9" style="276" bestFit="1" customWidth="1"/>
    <col min="1305" max="1305" width="8" style="276" bestFit="1" customWidth="1"/>
    <col min="1306" max="1306" width="11.88671875" style="276" customWidth="1"/>
    <col min="1307" max="1534" width="11.44140625" style="276"/>
    <col min="1535" max="1535" width="1.5546875" style="276" customWidth="1"/>
    <col min="1536" max="1536" width="21.109375" style="276" customWidth="1"/>
    <col min="1537" max="1537" width="7.109375" style="276" customWidth="1"/>
    <col min="1538" max="1538" width="36.88671875" style="276" bestFit="1" customWidth="1"/>
    <col min="1539" max="1540" width="9.109375" style="276" bestFit="1" customWidth="1"/>
    <col min="1541" max="1541" width="12" style="276" customWidth="1"/>
    <col min="1542" max="1542" width="8.44140625" style="276" bestFit="1" customWidth="1"/>
    <col min="1543" max="1543" width="9" style="276" customWidth="1"/>
    <col min="1544" max="1544" width="11.88671875" style="276" customWidth="1"/>
    <col min="1545" max="1545" width="9.109375" style="276" bestFit="1" customWidth="1"/>
    <col min="1546" max="1546" width="8.44140625" style="276" bestFit="1" customWidth="1"/>
    <col min="1547" max="1547" width="11.88671875" style="276" customWidth="1"/>
    <col min="1548" max="1549" width="8.44140625" style="276" bestFit="1" customWidth="1"/>
    <col min="1550" max="1550" width="11.88671875" style="276" customWidth="1"/>
    <col min="1551" max="1551" width="9" style="276" customWidth="1"/>
    <col min="1552" max="1552" width="8.44140625" style="276" bestFit="1" customWidth="1"/>
    <col min="1553" max="1553" width="11.88671875" style="276" customWidth="1"/>
    <col min="1554" max="1555" width="8.44140625" style="276" bestFit="1" customWidth="1"/>
    <col min="1556" max="1556" width="11.88671875" style="276" customWidth="1"/>
    <col min="1557" max="1558" width="9" style="276" customWidth="1"/>
    <col min="1559" max="1559" width="12" style="276" customWidth="1"/>
    <col min="1560" max="1560" width="9" style="276" bestFit="1" customWidth="1"/>
    <col min="1561" max="1561" width="8" style="276" bestFit="1" customWidth="1"/>
    <col min="1562" max="1562" width="11.88671875" style="276" customWidth="1"/>
    <col min="1563" max="1790" width="11.44140625" style="276"/>
    <col min="1791" max="1791" width="1.5546875" style="276" customWidth="1"/>
    <col min="1792" max="1792" width="21.109375" style="276" customWidth="1"/>
    <col min="1793" max="1793" width="7.109375" style="276" customWidth="1"/>
    <col min="1794" max="1794" width="36.88671875" style="276" bestFit="1" customWidth="1"/>
    <col min="1795" max="1796" width="9.109375" style="276" bestFit="1" customWidth="1"/>
    <col min="1797" max="1797" width="12" style="276" customWidth="1"/>
    <col min="1798" max="1798" width="8.44140625" style="276" bestFit="1" customWidth="1"/>
    <col min="1799" max="1799" width="9" style="276" customWidth="1"/>
    <col min="1800" max="1800" width="11.88671875" style="276" customWidth="1"/>
    <col min="1801" max="1801" width="9.109375" style="276" bestFit="1" customWidth="1"/>
    <col min="1802" max="1802" width="8.44140625" style="276" bestFit="1" customWidth="1"/>
    <col min="1803" max="1803" width="11.88671875" style="276" customWidth="1"/>
    <col min="1804" max="1805" width="8.44140625" style="276" bestFit="1" customWidth="1"/>
    <col min="1806" max="1806" width="11.88671875" style="276" customWidth="1"/>
    <col min="1807" max="1807" width="9" style="276" customWidth="1"/>
    <col min="1808" max="1808" width="8.44140625" style="276" bestFit="1" customWidth="1"/>
    <col min="1809" max="1809" width="11.88671875" style="276" customWidth="1"/>
    <col min="1810" max="1811" width="8.44140625" style="276" bestFit="1" customWidth="1"/>
    <col min="1812" max="1812" width="11.88671875" style="276" customWidth="1"/>
    <col min="1813" max="1814" width="9" style="276" customWidth="1"/>
    <col min="1815" max="1815" width="12" style="276" customWidth="1"/>
    <col min="1816" max="1816" width="9" style="276" bestFit="1" customWidth="1"/>
    <col min="1817" max="1817" width="8" style="276" bestFit="1" customWidth="1"/>
    <col min="1818" max="1818" width="11.88671875" style="276" customWidth="1"/>
    <col min="1819" max="2046" width="11.44140625" style="276"/>
    <col min="2047" max="2047" width="1.5546875" style="276" customWidth="1"/>
    <col min="2048" max="2048" width="21.109375" style="276" customWidth="1"/>
    <col min="2049" max="2049" width="7.109375" style="276" customWidth="1"/>
    <col min="2050" max="2050" width="36.88671875" style="276" bestFit="1" customWidth="1"/>
    <col min="2051" max="2052" width="9.109375" style="276" bestFit="1" customWidth="1"/>
    <col min="2053" max="2053" width="12" style="276" customWidth="1"/>
    <col min="2054" max="2054" width="8.44140625" style="276" bestFit="1" customWidth="1"/>
    <col min="2055" max="2055" width="9" style="276" customWidth="1"/>
    <col min="2056" max="2056" width="11.88671875" style="276" customWidth="1"/>
    <col min="2057" max="2057" width="9.109375" style="276" bestFit="1" customWidth="1"/>
    <col min="2058" max="2058" width="8.44140625" style="276" bestFit="1" customWidth="1"/>
    <col min="2059" max="2059" width="11.88671875" style="276" customWidth="1"/>
    <col min="2060" max="2061" width="8.44140625" style="276" bestFit="1" customWidth="1"/>
    <col min="2062" max="2062" width="11.88671875" style="276" customWidth="1"/>
    <col min="2063" max="2063" width="9" style="276" customWidth="1"/>
    <col min="2064" max="2064" width="8.44140625" style="276" bestFit="1" customWidth="1"/>
    <col min="2065" max="2065" width="11.88671875" style="276" customWidth="1"/>
    <col min="2066" max="2067" width="8.44140625" style="276" bestFit="1" customWidth="1"/>
    <col min="2068" max="2068" width="11.88671875" style="276" customWidth="1"/>
    <col min="2069" max="2070" width="9" style="276" customWidth="1"/>
    <col min="2071" max="2071" width="12" style="276" customWidth="1"/>
    <col min="2072" max="2072" width="9" style="276" bestFit="1" customWidth="1"/>
    <col min="2073" max="2073" width="8" style="276" bestFit="1" customWidth="1"/>
    <col min="2074" max="2074" width="11.88671875" style="276" customWidth="1"/>
    <col min="2075" max="2302" width="11.44140625" style="276"/>
    <col min="2303" max="2303" width="1.5546875" style="276" customWidth="1"/>
    <col min="2304" max="2304" width="21.109375" style="276" customWidth="1"/>
    <col min="2305" max="2305" width="7.109375" style="276" customWidth="1"/>
    <col min="2306" max="2306" width="36.88671875" style="276" bestFit="1" customWidth="1"/>
    <col min="2307" max="2308" width="9.109375" style="276" bestFit="1" customWidth="1"/>
    <col min="2309" max="2309" width="12" style="276" customWidth="1"/>
    <col min="2310" max="2310" width="8.44140625" style="276" bestFit="1" customWidth="1"/>
    <col min="2311" max="2311" width="9" style="276" customWidth="1"/>
    <col min="2312" max="2312" width="11.88671875" style="276" customWidth="1"/>
    <col min="2313" max="2313" width="9.109375" style="276" bestFit="1" customWidth="1"/>
    <col min="2314" max="2314" width="8.44140625" style="276" bestFit="1" customWidth="1"/>
    <col min="2315" max="2315" width="11.88671875" style="276" customWidth="1"/>
    <col min="2316" max="2317" width="8.44140625" style="276" bestFit="1" customWidth="1"/>
    <col min="2318" max="2318" width="11.88671875" style="276" customWidth="1"/>
    <col min="2319" max="2319" width="9" style="276" customWidth="1"/>
    <col min="2320" max="2320" width="8.44140625" style="276" bestFit="1" customWidth="1"/>
    <col min="2321" max="2321" width="11.88671875" style="276" customWidth="1"/>
    <col min="2322" max="2323" width="8.44140625" style="276" bestFit="1" customWidth="1"/>
    <col min="2324" max="2324" width="11.88671875" style="276" customWidth="1"/>
    <col min="2325" max="2326" width="9" style="276" customWidth="1"/>
    <col min="2327" max="2327" width="12" style="276" customWidth="1"/>
    <col min="2328" max="2328" width="9" style="276" bestFit="1" customWidth="1"/>
    <col min="2329" max="2329" width="8" style="276" bestFit="1" customWidth="1"/>
    <col min="2330" max="2330" width="11.88671875" style="276" customWidth="1"/>
    <col min="2331" max="2558" width="11.44140625" style="276"/>
    <col min="2559" max="2559" width="1.5546875" style="276" customWidth="1"/>
    <col min="2560" max="2560" width="21.109375" style="276" customWidth="1"/>
    <col min="2561" max="2561" width="7.109375" style="276" customWidth="1"/>
    <col min="2562" max="2562" width="36.88671875" style="276" bestFit="1" customWidth="1"/>
    <col min="2563" max="2564" width="9.109375" style="276" bestFit="1" customWidth="1"/>
    <col min="2565" max="2565" width="12" style="276" customWidth="1"/>
    <col min="2566" max="2566" width="8.44140625" style="276" bestFit="1" customWidth="1"/>
    <col min="2567" max="2567" width="9" style="276" customWidth="1"/>
    <col min="2568" max="2568" width="11.88671875" style="276" customWidth="1"/>
    <col min="2569" max="2569" width="9.109375" style="276" bestFit="1" customWidth="1"/>
    <col min="2570" max="2570" width="8.44140625" style="276" bestFit="1" customWidth="1"/>
    <col min="2571" max="2571" width="11.88671875" style="276" customWidth="1"/>
    <col min="2572" max="2573" width="8.44140625" style="276" bestFit="1" customWidth="1"/>
    <col min="2574" max="2574" width="11.88671875" style="276" customWidth="1"/>
    <col min="2575" max="2575" width="9" style="276" customWidth="1"/>
    <col min="2576" max="2576" width="8.44140625" style="276" bestFit="1" customWidth="1"/>
    <col min="2577" max="2577" width="11.88671875" style="276" customWidth="1"/>
    <col min="2578" max="2579" width="8.44140625" style="276" bestFit="1" customWidth="1"/>
    <col min="2580" max="2580" width="11.88671875" style="276" customWidth="1"/>
    <col min="2581" max="2582" width="9" style="276" customWidth="1"/>
    <col min="2583" max="2583" width="12" style="276" customWidth="1"/>
    <col min="2584" max="2584" width="9" style="276" bestFit="1" customWidth="1"/>
    <col min="2585" max="2585" width="8" style="276" bestFit="1" customWidth="1"/>
    <col min="2586" max="2586" width="11.88671875" style="276" customWidth="1"/>
    <col min="2587" max="2814" width="11.44140625" style="276"/>
    <col min="2815" max="2815" width="1.5546875" style="276" customWidth="1"/>
    <col min="2816" max="2816" width="21.109375" style="276" customWidth="1"/>
    <col min="2817" max="2817" width="7.109375" style="276" customWidth="1"/>
    <col min="2818" max="2818" width="36.88671875" style="276" bestFit="1" customWidth="1"/>
    <col min="2819" max="2820" width="9.109375" style="276" bestFit="1" customWidth="1"/>
    <col min="2821" max="2821" width="12" style="276" customWidth="1"/>
    <col min="2822" max="2822" width="8.44140625" style="276" bestFit="1" customWidth="1"/>
    <col min="2823" max="2823" width="9" style="276" customWidth="1"/>
    <col min="2824" max="2824" width="11.88671875" style="276" customWidth="1"/>
    <col min="2825" max="2825" width="9.109375" style="276" bestFit="1" customWidth="1"/>
    <col min="2826" max="2826" width="8.44140625" style="276" bestFit="1" customWidth="1"/>
    <col min="2827" max="2827" width="11.88671875" style="276" customWidth="1"/>
    <col min="2828" max="2829" width="8.44140625" style="276" bestFit="1" customWidth="1"/>
    <col min="2830" max="2830" width="11.88671875" style="276" customWidth="1"/>
    <col min="2831" max="2831" width="9" style="276" customWidth="1"/>
    <col min="2832" max="2832" width="8.44140625" style="276" bestFit="1" customWidth="1"/>
    <col min="2833" max="2833" width="11.88671875" style="276" customWidth="1"/>
    <col min="2834" max="2835" width="8.44140625" style="276" bestFit="1" customWidth="1"/>
    <col min="2836" max="2836" width="11.88671875" style="276" customWidth="1"/>
    <col min="2837" max="2838" width="9" style="276" customWidth="1"/>
    <col min="2839" max="2839" width="12" style="276" customWidth="1"/>
    <col min="2840" max="2840" width="9" style="276" bestFit="1" customWidth="1"/>
    <col min="2841" max="2841" width="8" style="276" bestFit="1" customWidth="1"/>
    <col min="2842" max="2842" width="11.88671875" style="276" customWidth="1"/>
    <col min="2843" max="3070" width="11.44140625" style="276"/>
    <col min="3071" max="3071" width="1.5546875" style="276" customWidth="1"/>
    <col min="3072" max="3072" width="21.109375" style="276" customWidth="1"/>
    <col min="3073" max="3073" width="7.109375" style="276" customWidth="1"/>
    <col min="3074" max="3074" width="36.88671875" style="276" bestFit="1" customWidth="1"/>
    <col min="3075" max="3076" width="9.109375" style="276" bestFit="1" customWidth="1"/>
    <col min="3077" max="3077" width="12" style="276" customWidth="1"/>
    <col min="3078" max="3078" width="8.44140625" style="276" bestFit="1" customWidth="1"/>
    <col min="3079" max="3079" width="9" style="276" customWidth="1"/>
    <col min="3080" max="3080" width="11.88671875" style="276" customWidth="1"/>
    <col min="3081" max="3081" width="9.109375" style="276" bestFit="1" customWidth="1"/>
    <col min="3082" max="3082" width="8.44140625" style="276" bestFit="1" customWidth="1"/>
    <col min="3083" max="3083" width="11.88671875" style="276" customWidth="1"/>
    <col min="3084" max="3085" width="8.44140625" style="276" bestFit="1" customWidth="1"/>
    <col min="3086" max="3086" width="11.88671875" style="276" customWidth="1"/>
    <col min="3087" max="3087" width="9" style="276" customWidth="1"/>
    <col min="3088" max="3088" width="8.44140625" style="276" bestFit="1" customWidth="1"/>
    <col min="3089" max="3089" width="11.88671875" style="276" customWidth="1"/>
    <col min="3090" max="3091" width="8.44140625" style="276" bestFit="1" customWidth="1"/>
    <col min="3092" max="3092" width="11.88671875" style="276" customWidth="1"/>
    <col min="3093" max="3094" width="9" style="276" customWidth="1"/>
    <col min="3095" max="3095" width="12" style="276" customWidth="1"/>
    <col min="3096" max="3096" width="9" style="276" bestFit="1" customWidth="1"/>
    <col min="3097" max="3097" width="8" style="276" bestFit="1" customWidth="1"/>
    <col min="3098" max="3098" width="11.88671875" style="276" customWidth="1"/>
    <col min="3099" max="3326" width="11.44140625" style="276"/>
    <col min="3327" max="3327" width="1.5546875" style="276" customWidth="1"/>
    <col min="3328" max="3328" width="21.109375" style="276" customWidth="1"/>
    <col min="3329" max="3329" width="7.109375" style="276" customWidth="1"/>
    <col min="3330" max="3330" width="36.88671875" style="276" bestFit="1" customWidth="1"/>
    <col min="3331" max="3332" width="9.109375" style="276" bestFit="1" customWidth="1"/>
    <col min="3333" max="3333" width="12" style="276" customWidth="1"/>
    <col min="3334" max="3334" width="8.44140625" style="276" bestFit="1" customWidth="1"/>
    <col min="3335" max="3335" width="9" style="276" customWidth="1"/>
    <col min="3336" max="3336" width="11.88671875" style="276" customWidth="1"/>
    <col min="3337" max="3337" width="9.109375" style="276" bestFit="1" customWidth="1"/>
    <col min="3338" max="3338" width="8.44140625" style="276" bestFit="1" customWidth="1"/>
    <col min="3339" max="3339" width="11.88671875" style="276" customWidth="1"/>
    <col min="3340" max="3341" width="8.44140625" style="276" bestFit="1" customWidth="1"/>
    <col min="3342" max="3342" width="11.88671875" style="276" customWidth="1"/>
    <col min="3343" max="3343" width="9" style="276" customWidth="1"/>
    <col min="3344" max="3344" width="8.44140625" style="276" bestFit="1" customWidth="1"/>
    <col min="3345" max="3345" width="11.88671875" style="276" customWidth="1"/>
    <col min="3346" max="3347" width="8.44140625" style="276" bestFit="1" customWidth="1"/>
    <col min="3348" max="3348" width="11.88671875" style="276" customWidth="1"/>
    <col min="3349" max="3350" width="9" style="276" customWidth="1"/>
    <col min="3351" max="3351" width="12" style="276" customWidth="1"/>
    <col min="3352" max="3352" width="9" style="276" bestFit="1" customWidth="1"/>
    <col min="3353" max="3353" width="8" style="276" bestFit="1" customWidth="1"/>
    <col min="3354" max="3354" width="11.88671875" style="276" customWidth="1"/>
    <col min="3355" max="3582" width="11.44140625" style="276"/>
    <col min="3583" max="3583" width="1.5546875" style="276" customWidth="1"/>
    <col min="3584" max="3584" width="21.109375" style="276" customWidth="1"/>
    <col min="3585" max="3585" width="7.109375" style="276" customWidth="1"/>
    <col min="3586" max="3586" width="36.88671875" style="276" bestFit="1" customWidth="1"/>
    <col min="3587" max="3588" width="9.109375" style="276" bestFit="1" customWidth="1"/>
    <col min="3589" max="3589" width="12" style="276" customWidth="1"/>
    <col min="3590" max="3590" width="8.44140625" style="276" bestFit="1" customWidth="1"/>
    <col min="3591" max="3591" width="9" style="276" customWidth="1"/>
    <col min="3592" max="3592" width="11.88671875" style="276" customWidth="1"/>
    <col min="3593" max="3593" width="9.109375" style="276" bestFit="1" customWidth="1"/>
    <col min="3594" max="3594" width="8.44140625" style="276" bestFit="1" customWidth="1"/>
    <col min="3595" max="3595" width="11.88671875" style="276" customWidth="1"/>
    <col min="3596" max="3597" width="8.44140625" style="276" bestFit="1" customWidth="1"/>
    <col min="3598" max="3598" width="11.88671875" style="276" customWidth="1"/>
    <col min="3599" max="3599" width="9" style="276" customWidth="1"/>
    <col min="3600" max="3600" width="8.44140625" style="276" bestFit="1" customWidth="1"/>
    <col min="3601" max="3601" width="11.88671875" style="276" customWidth="1"/>
    <col min="3602" max="3603" width="8.44140625" style="276" bestFit="1" customWidth="1"/>
    <col min="3604" max="3604" width="11.88671875" style="276" customWidth="1"/>
    <col min="3605" max="3606" width="9" style="276" customWidth="1"/>
    <col min="3607" max="3607" width="12" style="276" customWidth="1"/>
    <col min="3608" max="3608" width="9" style="276" bestFit="1" customWidth="1"/>
    <col min="3609" max="3609" width="8" style="276" bestFit="1" customWidth="1"/>
    <col min="3610" max="3610" width="11.88671875" style="276" customWidth="1"/>
    <col min="3611" max="3838" width="11.44140625" style="276"/>
    <col min="3839" max="3839" width="1.5546875" style="276" customWidth="1"/>
    <col min="3840" max="3840" width="21.109375" style="276" customWidth="1"/>
    <col min="3841" max="3841" width="7.109375" style="276" customWidth="1"/>
    <col min="3842" max="3842" width="36.88671875" style="276" bestFit="1" customWidth="1"/>
    <col min="3843" max="3844" width="9.109375" style="276" bestFit="1" customWidth="1"/>
    <col min="3845" max="3845" width="12" style="276" customWidth="1"/>
    <col min="3846" max="3846" width="8.44140625" style="276" bestFit="1" customWidth="1"/>
    <col min="3847" max="3847" width="9" style="276" customWidth="1"/>
    <col min="3848" max="3848" width="11.88671875" style="276" customWidth="1"/>
    <col min="3849" max="3849" width="9.109375" style="276" bestFit="1" customWidth="1"/>
    <col min="3850" max="3850" width="8.44140625" style="276" bestFit="1" customWidth="1"/>
    <col min="3851" max="3851" width="11.88671875" style="276" customWidth="1"/>
    <col min="3852" max="3853" width="8.44140625" style="276" bestFit="1" customWidth="1"/>
    <col min="3854" max="3854" width="11.88671875" style="276" customWidth="1"/>
    <col min="3855" max="3855" width="9" style="276" customWidth="1"/>
    <col min="3856" max="3856" width="8.44140625" style="276" bestFit="1" customWidth="1"/>
    <col min="3857" max="3857" width="11.88671875" style="276" customWidth="1"/>
    <col min="3858" max="3859" width="8.44140625" style="276" bestFit="1" customWidth="1"/>
    <col min="3860" max="3860" width="11.88671875" style="276" customWidth="1"/>
    <col min="3861" max="3862" width="9" style="276" customWidth="1"/>
    <col min="3863" max="3863" width="12" style="276" customWidth="1"/>
    <col min="3864" max="3864" width="9" style="276" bestFit="1" customWidth="1"/>
    <col min="3865" max="3865" width="8" style="276" bestFit="1" customWidth="1"/>
    <col min="3866" max="3866" width="11.88671875" style="276" customWidth="1"/>
    <col min="3867" max="4094" width="11.44140625" style="276"/>
    <col min="4095" max="4095" width="1.5546875" style="276" customWidth="1"/>
    <col min="4096" max="4096" width="21.109375" style="276" customWidth="1"/>
    <col min="4097" max="4097" width="7.109375" style="276" customWidth="1"/>
    <col min="4098" max="4098" width="36.88671875" style="276" bestFit="1" customWidth="1"/>
    <col min="4099" max="4100" width="9.109375" style="276" bestFit="1" customWidth="1"/>
    <col min="4101" max="4101" width="12" style="276" customWidth="1"/>
    <col min="4102" max="4102" width="8.44140625" style="276" bestFit="1" customWidth="1"/>
    <col min="4103" max="4103" width="9" style="276" customWidth="1"/>
    <col min="4104" max="4104" width="11.88671875" style="276" customWidth="1"/>
    <col min="4105" max="4105" width="9.109375" style="276" bestFit="1" customWidth="1"/>
    <col min="4106" max="4106" width="8.44140625" style="276" bestFit="1" customWidth="1"/>
    <col min="4107" max="4107" width="11.88671875" style="276" customWidth="1"/>
    <col min="4108" max="4109" width="8.44140625" style="276" bestFit="1" customWidth="1"/>
    <col min="4110" max="4110" width="11.88671875" style="276" customWidth="1"/>
    <col min="4111" max="4111" width="9" style="276" customWidth="1"/>
    <col min="4112" max="4112" width="8.44140625" style="276" bestFit="1" customWidth="1"/>
    <col min="4113" max="4113" width="11.88671875" style="276" customWidth="1"/>
    <col min="4114" max="4115" width="8.44140625" style="276" bestFit="1" customWidth="1"/>
    <col min="4116" max="4116" width="11.88671875" style="276" customWidth="1"/>
    <col min="4117" max="4118" width="9" style="276" customWidth="1"/>
    <col min="4119" max="4119" width="12" style="276" customWidth="1"/>
    <col min="4120" max="4120" width="9" style="276" bestFit="1" customWidth="1"/>
    <col min="4121" max="4121" width="8" style="276" bestFit="1" customWidth="1"/>
    <col min="4122" max="4122" width="11.88671875" style="276" customWidth="1"/>
    <col min="4123" max="4350" width="11.44140625" style="276"/>
    <col min="4351" max="4351" width="1.5546875" style="276" customWidth="1"/>
    <col min="4352" max="4352" width="21.109375" style="276" customWidth="1"/>
    <col min="4353" max="4353" width="7.109375" style="276" customWidth="1"/>
    <col min="4354" max="4354" width="36.88671875" style="276" bestFit="1" customWidth="1"/>
    <col min="4355" max="4356" width="9.109375" style="276" bestFit="1" customWidth="1"/>
    <col min="4357" max="4357" width="12" style="276" customWidth="1"/>
    <col min="4358" max="4358" width="8.44140625" style="276" bestFit="1" customWidth="1"/>
    <col min="4359" max="4359" width="9" style="276" customWidth="1"/>
    <col min="4360" max="4360" width="11.88671875" style="276" customWidth="1"/>
    <col min="4361" max="4361" width="9.109375" style="276" bestFit="1" customWidth="1"/>
    <col min="4362" max="4362" width="8.44140625" style="276" bestFit="1" customWidth="1"/>
    <col min="4363" max="4363" width="11.88671875" style="276" customWidth="1"/>
    <col min="4364" max="4365" width="8.44140625" style="276" bestFit="1" customWidth="1"/>
    <col min="4366" max="4366" width="11.88671875" style="276" customWidth="1"/>
    <col min="4367" max="4367" width="9" style="276" customWidth="1"/>
    <col min="4368" max="4368" width="8.44140625" style="276" bestFit="1" customWidth="1"/>
    <col min="4369" max="4369" width="11.88671875" style="276" customWidth="1"/>
    <col min="4370" max="4371" width="8.44140625" style="276" bestFit="1" customWidth="1"/>
    <col min="4372" max="4372" width="11.88671875" style="276" customWidth="1"/>
    <col min="4373" max="4374" width="9" style="276" customWidth="1"/>
    <col min="4375" max="4375" width="12" style="276" customWidth="1"/>
    <col min="4376" max="4376" width="9" style="276" bestFit="1" customWidth="1"/>
    <col min="4377" max="4377" width="8" style="276" bestFit="1" customWidth="1"/>
    <col min="4378" max="4378" width="11.88671875" style="276" customWidth="1"/>
    <col min="4379" max="4606" width="11.44140625" style="276"/>
    <col min="4607" max="4607" width="1.5546875" style="276" customWidth="1"/>
    <col min="4608" max="4608" width="21.109375" style="276" customWidth="1"/>
    <col min="4609" max="4609" width="7.109375" style="276" customWidth="1"/>
    <col min="4610" max="4610" width="36.88671875" style="276" bestFit="1" customWidth="1"/>
    <col min="4611" max="4612" width="9.109375" style="276" bestFit="1" customWidth="1"/>
    <col min="4613" max="4613" width="12" style="276" customWidth="1"/>
    <col min="4614" max="4614" width="8.44140625" style="276" bestFit="1" customWidth="1"/>
    <col min="4615" max="4615" width="9" style="276" customWidth="1"/>
    <col min="4616" max="4616" width="11.88671875" style="276" customWidth="1"/>
    <col min="4617" max="4617" width="9.109375" style="276" bestFit="1" customWidth="1"/>
    <col min="4618" max="4618" width="8.44140625" style="276" bestFit="1" customWidth="1"/>
    <col min="4619" max="4619" width="11.88671875" style="276" customWidth="1"/>
    <col min="4620" max="4621" width="8.44140625" style="276" bestFit="1" customWidth="1"/>
    <col min="4622" max="4622" width="11.88671875" style="276" customWidth="1"/>
    <col min="4623" max="4623" width="9" style="276" customWidth="1"/>
    <col min="4624" max="4624" width="8.44140625" style="276" bestFit="1" customWidth="1"/>
    <col min="4625" max="4625" width="11.88671875" style="276" customWidth="1"/>
    <col min="4626" max="4627" width="8.44140625" style="276" bestFit="1" customWidth="1"/>
    <col min="4628" max="4628" width="11.88671875" style="276" customWidth="1"/>
    <col min="4629" max="4630" width="9" style="276" customWidth="1"/>
    <col min="4631" max="4631" width="12" style="276" customWidth="1"/>
    <col min="4632" max="4632" width="9" style="276" bestFit="1" customWidth="1"/>
    <col min="4633" max="4633" width="8" style="276" bestFit="1" customWidth="1"/>
    <col min="4634" max="4634" width="11.88671875" style="276" customWidth="1"/>
    <col min="4635" max="4862" width="11.44140625" style="276"/>
    <col min="4863" max="4863" width="1.5546875" style="276" customWidth="1"/>
    <col min="4864" max="4864" width="21.109375" style="276" customWidth="1"/>
    <col min="4865" max="4865" width="7.109375" style="276" customWidth="1"/>
    <col min="4866" max="4866" width="36.88671875" style="276" bestFit="1" customWidth="1"/>
    <col min="4867" max="4868" width="9.109375" style="276" bestFit="1" customWidth="1"/>
    <col min="4869" max="4869" width="12" style="276" customWidth="1"/>
    <col min="4870" max="4870" width="8.44140625" style="276" bestFit="1" customWidth="1"/>
    <col min="4871" max="4871" width="9" style="276" customWidth="1"/>
    <col min="4872" max="4872" width="11.88671875" style="276" customWidth="1"/>
    <col min="4873" max="4873" width="9.109375" style="276" bestFit="1" customWidth="1"/>
    <col min="4874" max="4874" width="8.44140625" style="276" bestFit="1" customWidth="1"/>
    <col min="4875" max="4875" width="11.88671875" style="276" customWidth="1"/>
    <col min="4876" max="4877" width="8.44140625" style="276" bestFit="1" customWidth="1"/>
    <col min="4878" max="4878" width="11.88671875" style="276" customWidth="1"/>
    <col min="4879" max="4879" width="9" style="276" customWidth="1"/>
    <col min="4880" max="4880" width="8.44140625" style="276" bestFit="1" customWidth="1"/>
    <col min="4881" max="4881" width="11.88671875" style="276" customWidth="1"/>
    <col min="4882" max="4883" width="8.44140625" style="276" bestFit="1" customWidth="1"/>
    <col min="4884" max="4884" width="11.88671875" style="276" customWidth="1"/>
    <col min="4885" max="4886" width="9" style="276" customWidth="1"/>
    <col min="4887" max="4887" width="12" style="276" customWidth="1"/>
    <col min="4888" max="4888" width="9" style="276" bestFit="1" customWidth="1"/>
    <col min="4889" max="4889" width="8" style="276" bestFit="1" customWidth="1"/>
    <col min="4890" max="4890" width="11.88671875" style="276" customWidth="1"/>
    <col min="4891" max="5118" width="11.44140625" style="276"/>
    <col min="5119" max="5119" width="1.5546875" style="276" customWidth="1"/>
    <col min="5120" max="5120" width="21.109375" style="276" customWidth="1"/>
    <col min="5121" max="5121" width="7.109375" style="276" customWidth="1"/>
    <col min="5122" max="5122" width="36.88671875" style="276" bestFit="1" customWidth="1"/>
    <col min="5123" max="5124" width="9.109375" style="276" bestFit="1" customWidth="1"/>
    <col min="5125" max="5125" width="12" style="276" customWidth="1"/>
    <col min="5126" max="5126" width="8.44140625" style="276" bestFit="1" customWidth="1"/>
    <col min="5127" max="5127" width="9" style="276" customWidth="1"/>
    <col min="5128" max="5128" width="11.88671875" style="276" customWidth="1"/>
    <col min="5129" max="5129" width="9.109375" style="276" bestFit="1" customWidth="1"/>
    <col min="5130" max="5130" width="8.44140625" style="276" bestFit="1" customWidth="1"/>
    <col min="5131" max="5131" width="11.88671875" style="276" customWidth="1"/>
    <col min="5132" max="5133" width="8.44140625" style="276" bestFit="1" customWidth="1"/>
    <col min="5134" max="5134" width="11.88671875" style="276" customWidth="1"/>
    <col min="5135" max="5135" width="9" style="276" customWidth="1"/>
    <col min="5136" max="5136" width="8.44140625" style="276" bestFit="1" customWidth="1"/>
    <col min="5137" max="5137" width="11.88671875" style="276" customWidth="1"/>
    <col min="5138" max="5139" width="8.44140625" style="276" bestFit="1" customWidth="1"/>
    <col min="5140" max="5140" width="11.88671875" style="276" customWidth="1"/>
    <col min="5141" max="5142" width="9" style="276" customWidth="1"/>
    <col min="5143" max="5143" width="12" style="276" customWidth="1"/>
    <col min="5144" max="5144" width="9" style="276" bestFit="1" customWidth="1"/>
    <col min="5145" max="5145" width="8" style="276" bestFit="1" customWidth="1"/>
    <col min="5146" max="5146" width="11.88671875" style="276" customWidth="1"/>
    <col min="5147" max="5374" width="11.44140625" style="276"/>
    <col min="5375" max="5375" width="1.5546875" style="276" customWidth="1"/>
    <col min="5376" max="5376" width="21.109375" style="276" customWidth="1"/>
    <col min="5377" max="5377" width="7.109375" style="276" customWidth="1"/>
    <col min="5378" max="5378" width="36.88671875" style="276" bestFit="1" customWidth="1"/>
    <col min="5379" max="5380" width="9.109375" style="276" bestFit="1" customWidth="1"/>
    <col min="5381" max="5381" width="12" style="276" customWidth="1"/>
    <col min="5382" max="5382" width="8.44140625" style="276" bestFit="1" customWidth="1"/>
    <col min="5383" max="5383" width="9" style="276" customWidth="1"/>
    <col min="5384" max="5384" width="11.88671875" style="276" customWidth="1"/>
    <col min="5385" max="5385" width="9.109375" style="276" bestFit="1" customWidth="1"/>
    <col min="5386" max="5386" width="8.44140625" style="276" bestFit="1" customWidth="1"/>
    <col min="5387" max="5387" width="11.88671875" style="276" customWidth="1"/>
    <col min="5388" max="5389" width="8.44140625" style="276" bestFit="1" customWidth="1"/>
    <col min="5390" max="5390" width="11.88671875" style="276" customWidth="1"/>
    <col min="5391" max="5391" width="9" style="276" customWidth="1"/>
    <col min="5392" max="5392" width="8.44140625" style="276" bestFit="1" customWidth="1"/>
    <col min="5393" max="5393" width="11.88671875" style="276" customWidth="1"/>
    <col min="5394" max="5395" width="8.44140625" style="276" bestFit="1" customWidth="1"/>
    <col min="5396" max="5396" width="11.88671875" style="276" customWidth="1"/>
    <col min="5397" max="5398" width="9" style="276" customWidth="1"/>
    <col min="5399" max="5399" width="12" style="276" customWidth="1"/>
    <col min="5400" max="5400" width="9" style="276" bestFit="1" customWidth="1"/>
    <col min="5401" max="5401" width="8" style="276" bestFit="1" customWidth="1"/>
    <col min="5402" max="5402" width="11.88671875" style="276" customWidth="1"/>
    <col min="5403" max="5630" width="11.44140625" style="276"/>
    <col min="5631" max="5631" width="1.5546875" style="276" customWidth="1"/>
    <col min="5632" max="5632" width="21.109375" style="276" customWidth="1"/>
    <col min="5633" max="5633" width="7.109375" style="276" customWidth="1"/>
    <col min="5634" max="5634" width="36.88671875" style="276" bestFit="1" customWidth="1"/>
    <col min="5635" max="5636" width="9.109375" style="276" bestFit="1" customWidth="1"/>
    <col min="5637" max="5637" width="12" style="276" customWidth="1"/>
    <col min="5638" max="5638" width="8.44140625" style="276" bestFit="1" customWidth="1"/>
    <col min="5639" max="5639" width="9" style="276" customWidth="1"/>
    <col min="5640" max="5640" width="11.88671875" style="276" customWidth="1"/>
    <col min="5641" max="5641" width="9.109375" style="276" bestFit="1" customWidth="1"/>
    <col min="5642" max="5642" width="8.44140625" style="276" bestFit="1" customWidth="1"/>
    <col min="5643" max="5643" width="11.88671875" style="276" customWidth="1"/>
    <col min="5644" max="5645" width="8.44140625" style="276" bestFit="1" customWidth="1"/>
    <col min="5646" max="5646" width="11.88671875" style="276" customWidth="1"/>
    <col min="5647" max="5647" width="9" style="276" customWidth="1"/>
    <col min="5648" max="5648" width="8.44140625" style="276" bestFit="1" customWidth="1"/>
    <col min="5649" max="5649" width="11.88671875" style="276" customWidth="1"/>
    <col min="5650" max="5651" width="8.44140625" style="276" bestFit="1" customWidth="1"/>
    <col min="5652" max="5652" width="11.88671875" style="276" customWidth="1"/>
    <col min="5653" max="5654" width="9" style="276" customWidth="1"/>
    <col min="5655" max="5655" width="12" style="276" customWidth="1"/>
    <col min="5656" max="5656" width="9" style="276" bestFit="1" customWidth="1"/>
    <col min="5657" max="5657" width="8" style="276" bestFit="1" customWidth="1"/>
    <col min="5658" max="5658" width="11.88671875" style="276" customWidth="1"/>
    <col min="5659" max="5886" width="11.44140625" style="276"/>
    <col min="5887" max="5887" width="1.5546875" style="276" customWidth="1"/>
    <col min="5888" max="5888" width="21.109375" style="276" customWidth="1"/>
    <col min="5889" max="5889" width="7.109375" style="276" customWidth="1"/>
    <col min="5890" max="5890" width="36.88671875" style="276" bestFit="1" customWidth="1"/>
    <col min="5891" max="5892" width="9.109375" style="276" bestFit="1" customWidth="1"/>
    <col min="5893" max="5893" width="12" style="276" customWidth="1"/>
    <col min="5894" max="5894" width="8.44140625" style="276" bestFit="1" customWidth="1"/>
    <col min="5895" max="5895" width="9" style="276" customWidth="1"/>
    <col min="5896" max="5896" width="11.88671875" style="276" customWidth="1"/>
    <col min="5897" max="5897" width="9.109375" style="276" bestFit="1" customWidth="1"/>
    <col min="5898" max="5898" width="8.44140625" style="276" bestFit="1" customWidth="1"/>
    <col min="5899" max="5899" width="11.88671875" style="276" customWidth="1"/>
    <col min="5900" max="5901" width="8.44140625" style="276" bestFit="1" customWidth="1"/>
    <col min="5902" max="5902" width="11.88671875" style="276" customWidth="1"/>
    <col min="5903" max="5903" width="9" style="276" customWidth="1"/>
    <col min="5904" max="5904" width="8.44140625" style="276" bestFit="1" customWidth="1"/>
    <col min="5905" max="5905" width="11.88671875" style="276" customWidth="1"/>
    <col min="5906" max="5907" width="8.44140625" style="276" bestFit="1" customWidth="1"/>
    <col min="5908" max="5908" width="11.88671875" style="276" customWidth="1"/>
    <col min="5909" max="5910" width="9" style="276" customWidth="1"/>
    <col min="5911" max="5911" width="12" style="276" customWidth="1"/>
    <col min="5912" max="5912" width="9" style="276" bestFit="1" customWidth="1"/>
    <col min="5913" max="5913" width="8" style="276" bestFit="1" customWidth="1"/>
    <col min="5914" max="5914" width="11.88671875" style="276" customWidth="1"/>
    <col min="5915" max="6142" width="11.44140625" style="276"/>
    <col min="6143" max="6143" width="1.5546875" style="276" customWidth="1"/>
    <col min="6144" max="6144" width="21.109375" style="276" customWidth="1"/>
    <col min="6145" max="6145" width="7.109375" style="276" customWidth="1"/>
    <col min="6146" max="6146" width="36.88671875" style="276" bestFit="1" customWidth="1"/>
    <col min="6147" max="6148" width="9.109375" style="276" bestFit="1" customWidth="1"/>
    <col min="6149" max="6149" width="12" style="276" customWidth="1"/>
    <col min="6150" max="6150" width="8.44140625" style="276" bestFit="1" customWidth="1"/>
    <col min="6151" max="6151" width="9" style="276" customWidth="1"/>
    <col min="6152" max="6152" width="11.88671875" style="276" customWidth="1"/>
    <col min="6153" max="6153" width="9.109375" style="276" bestFit="1" customWidth="1"/>
    <col min="6154" max="6154" width="8.44140625" style="276" bestFit="1" customWidth="1"/>
    <col min="6155" max="6155" width="11.88671875" style="276" customWidth="1"/>
    <col min="6156" max="6157" width="8.44140625" style="276" bestFit="1" customWidth="1"/>
    <col min="6158" max="6158" width="11.88671875" style="276" customWidth="1"/>
    <col min="6159" max="6159" width="9" style="276" customWidth="1"/>
    <col min="6160" max="6160" width="8.44140625" style="276" bestFit="1" customWidth="1"/>
    <col min="6161" max="6161" width="11.88671875" style="276" customWidth="1"/>
    <col min="6162" max="6163" width="8.44140625" style="276" bestFit="1" customWidth="1"/>
    <col min="6164" max="6164" width="11.88671875" style="276" customWidth="1"/>
    <col min="6165" max="6166" width="9" style="276" customWidth="1"/>
    <col min="6167" max="6167" width="12" style="276" customWidth="1"/>
    <col min="6168" max="6168" width="9" style="276" bestFit="1" customWidth="1"/>
    <col min="6169" max="6169" width="8" style="276" bestFit="1" customWidth="1"/>
    <col min="6170" max="6170" width="11.88671875" style="276" customWidth="1"/>
    <col min="6171" max="6398" width="11.44140625" style="276"/>
    <col min="6399" max="6399" width="1.5546875" style="276" customWidth="1"/>
    <col min="6400" max="6400" width="21.109375" style="276" customWidth="1"/>
    <col min="6401" max="6401" width="7.109375" style="276" customWidth="1"/>
    <col min="6402" max="6402" width="36.88671875" style="276" bestFit="1" customWidth="1"/>
    <col min="6403" max="6404" width="9.109375" style="276" bestFit="1" customWidth="1"/>
    <col min="6405" max="6405" width="12" style="276" customWidth="1"/>
    <col min="6406" max="6406" width="8.44140625" style="276" bestFit="1" customWidth="1"/>
    <col min="6407" max="6407" width="9" style="276" customWidth="1"/>
    <col min="6408" max="6408" width="11.88671875" style="276" customWidth="1"/>
    <col min="6409" max="6409" width="9.109375" style="276" bestFit="1" customWidth="1"/>
    <col min="6410" max="6410" width="8.44140625" style="276" bestFit="1" customWidth="1"/>
    <col min="6411" max="6411" width="11.88671875" style="276" customWidth="1"/>
    <col min="6412" max="6413" width="8.44140625" style="276" bestFit="1" customWidth="1"/>
    <col min="6414" max="6414" width="11.88671875" style="276" customWidth="1"/>
    <col min="6415" max="6415" width="9" style="276" customWidth="1"/>
    <col min="6416" max="6416" width="8.44140625" style="276" bestFit="1" customWidth="1"/>
    <col min="6417" max="6417" width="11.88671875" style="276" customWidth="1"/>
    <col min="6418" max="6419" width="8.44140625" style="276" bestFit="1" customWidth="1"/>
    <col min="6420" max="6420" width="11.88671875" style="276" customWidth="1"/>
    <col min="6421" max="6422" width="9" style="276" customWidth="1"/>
    <col min="6423" max="6423" width="12" style="276" customWidth="1"/>
    <col min="6424" max="6424" width="9" style="276" bestFit="1" customWidth="1"/>
    <col min="6425" max="6425" width="8" style="276" bestFit="1" customWidth="1"/>
    <col min="6426" max="6426" width="11.88671875" style="276" customWidth="1"/>
    <col min="6427" max="6654" width="11.44140625" style="276"/>
    <col min="6655" max="6655" width="1.5546875" style="276" customWidth="1"/>
    <col min="6656" max="6656" width="21.109375" style="276" customWidth="1"/>
    <col min="6657" max="6657" width="7.109375" style="276" customWidth="1"/>
    <col min="6658" max="6658" width="36.88671875" style="276" bestFit="1" customWidth="1"/>
    <col min="6659" max="6660" width="9.109375" style="276" bestFit="1" customWidth="1"/>
    <col min="6661" max="6661" width="12" style="276" customWidth="1"/>
    <col min="6662" max="6662" width="8.44140625" style="276" bestFit="1" customWidth="1"/>
    <col min="6663" max="6663" width="9" style="276" customWidth="1"/>
    <col min="6664" max="6664" width="11.88671875" style="276" customWidth="1"/>
    <col min="6665" max="6665" width="9.109375" style="276" bestFit="1" customWidth="1"/>
    <col min="6666" max="6666" width="8.44140625" style="276" bestFit="1" customWidth="1"/>
    <col min="6667" max="6667" width="11.88671875" style="276" customWidth="1"/>
    <col min="6668" max="6669" width="8.44140625" style="276" bestFit="1" customWidth="1"/>
    <col min="6670" max="6670" width="11.88671875" style="276" customWidth="1"/>
    <col min="6671" max="6671" width="9" style="276" customWidth="1"/>
    <col min="6672" max="6672" width="8.44140625" style="276" bestFit="1" customWidth="1"/>
    <col min="6673" max="6673" width="11.88671875" style="276" customWidth="1"/>
    <col min="6674" max="6675" width="8.44140625" style="276" bestFit="1" customWidth="1"/>
    <col min="6676" max="6676" width="11.88671875" style="276" customWidth="1"/>
    <col min="6677" max="6678" width="9" style="276" customWidth="1"/>
    <col min="6679" max="6679" width="12" style="276" customWidth="1"/>
    <col min="6680" max="6680" width="9" style="276" bestFit="1" customWidth="1"/>
    <col min="6681" max="6681" width="8" style="276" bestFit="1" customWidth="1"/>
    <col min="6682" max="6682" width="11.88671875" style="276" customWidth="1"/>
    <col min="6683" max="6910" width="11.44140625" style="276"/>
    <col min="6911" max="6911" width="1.5546875" style="276" customWidth="1"/>
    <col min="6912" max="6912" width="21.109375" style="276" customWidth="1"/>
    <col min="6913" max="6913" width="7.109375" style="276" customWidth="1"/>
    <col min="6914" max="6914" width="36.88671875" style="276" bestFit="1" customWidth="1"/>
    <col min="6915" max="6916" width="9.109375" style="276" bestFit="1" customWidth="1"/>
    <col min="6917" max="6917" width="12" style="276" customWidth="1"/>
    <col min="6918" max="6918" width="8.44140625" style="276" bestFit="1" customWidth="1"/>
    <col min="6919" max="6919" width="9" style="276" customWidth="1"/>
    <col min="6920" max="6920" width="11.88671875" style="276" customWidth="1"/>
    <col min="6921" max="6921" width="9.109375" style="276" bestFit="1" customWidth="1"/>
    <col min="6922" max="6922" width="8.44140625" style="276" bestFit="1" customWidth="1"/>
    <col min="6923" max="6923" width="11.88671875" style="276" customWidth="1"/>
    <col min="6924" max="6925" width="8.44140625" style="276" bestFit="1" customWidth="1"/>
    <col min="6926" max="6926" width="11.88671875" style="276" customWidth="1"/>
    <col min="6927" max="6927" width="9" style="276" customWidth="1"/>
    <col min="6928" max="6928" width="8.44140625" style="276" bestFit="1" customWidth="1"/>
    <col min="6929" max="6929" width="11.88671875" style="276" customWidth="1"/>
    <col min="6930" max="6931" width="8.44140625" style="276" bestFit="1" customWidth="1"/>
    <col min="6932" max="6932" width="11.88671875" style="276" customWidth="1"/>
    <col min="6933" max="6934" width="9" style="276" customWidth="1"/>
    <col min="6935" max="6935" width="12" style="276" customWidth="1"/>
    <col min="6936" max="6936" width="9" style="276" bestFit="1" customWidth="1"/>
    <col min="6937" max="6937" width="8" style="276" bestFit="1" customWidth="1"/>
    <col min="6938" max="6938" width="11.88671875" style="276" customWidth="1"/>
    <col min="6939" max="7166" width="11.44140625" style="276"/>
    <col min="7167" max="7167" width="1.5546875" style="276" customWidth="1"/>
    <col min="7168" max="7168" width="21.109375" style="276" customWidth="1"/>
    <col min="7169" max="7169" width="7.109375" style="276" customWidth="1"/>
    <col min="7170" max="7170" width="36.88671875" style="276" bestFit="1" customWidth="1"/>
    <col min="7171" max="7172" width="9.109375" style="276" bestFit="1" customWidth="1"/>
    <col min="7173" max="7173" width="12" style="276" customWidth="1"/>
    <col min="7174" max="7174" width="8.44140625" style="276" bestFit="1" customWidth="1"/>
    <col min="7175" max="7175" width="9" style="276" customWidth="1"/>
    <col min="7176" max="7176" width="11.88671875" style="276" customWidth="1"/>
    <col min="7177" max="7177" width="9.109375" style="276" bestFit="1" customWidth="1"/>
    <col min="7178" max="7178" width="8.44140625" style="276" bestFit="1" customWidth="1"/>
    <col min="7179" max="7179" width="11.88671875" style="276" customWidth="1"/>
    <col min="7180" max="7181" width="8.44140625" style="276" bestFit="1" customWidth="1"/>
    <col min="7182" max="7182" width="11.88671875" style="276" customWidth="1"/>
    <col min="7183" max="7183" width="9" style="276" customWidth="1"/>
    <col min="7184" max="7184" width="8.44140625" style="276" bestFit="1" customWidth="1"/>
    <col min="7185" max="7185" width="11.88671875" style="276" customWidth="1"/>
    <col min="7186" max="7187" width="8.44140625" style="276" bestFit="1" customWidth="1"/>
    <col min="7188" max="7188" width="11.88671875" style="276" customWidth="1"/>
    <col min="7189" max="7190" width="9" style="276" customWidth="1"/>
    <col min="7191" max="7191" width="12" style="276" customWidth="1"/>
    <col min="7192" max="7192" width="9" style="276" bestFit="1" customWidth="1"/>
    <col min="7193" max="7193" width="8" style="276" bestFit="1" customWidth="1"/>
    <col min="7194" max="7194" width="11.88671875" style="276" customWidth="1"/>
    <col min="7195" max="7422" width="11.44140625" style="276"/>
    <col min="7423" max="7423" width="1.5546875" style="276" customWidth="1"/>
    <col min="7424" max="7424" width="21.109375" style="276" customWidth="1"/>
    <col min="7425" max="7425" width="7.109375" style="276" customWidth="1"/>
    <col min="7426" max="7426" width="36.88671875" style="276" bestFit="1" customWidth="1"/>
    <col min="7427" max="7428" width="9.109375" style="276" bestFit="1" customWidth="1"/>
    <col min="7429" max="7429" width="12" style="276" customWidth="1"/>
    <col min="7430" max="7430" width="8.44140625" style="276" bestFit="1" customWidth="1"/>
    <col min="7431" max="7431" width="9" style="276" customWidth="1"/>
    <col min="7432" max="7432" width="11.88671875" style="276" customWidth="1"/>
    <col min="7433" max="7433" width="9.109375" style="276" bestFit="1" customWidth="1"/>
    <col min="7434" max="7434" width="8.44140625" style="276" bestFit="1" customWidth="1"/>
    <col min="7435" max="7435" width="11.88671875" style="276" customWidth="1"/>
    <col min="7436" max="7437" width="8.44140625" style="276" bestFit="1" customWidth="1"/>
    <col min="7438" max="7438" width="11.88671875" style="276" customWidth="1"/>
    <col min="7439" max="7439" width="9" style="276" customWidth="1"/>
    <col min="7440" max="7440" width="8.44140625" style="276" bestFit="1" customWidth="1"/>
    <col min="7441" max="7441" width="11.88671875" style="276" customWidth="1"/>
    <col min="7442" max="7443" width="8.44140625" style="276" bestFit="1" customWidth="1"/>
    <col min="7444" max="7444" width="11.88671875" style="276" customWidth="1"/>
    <col min="7445" max="7446" width="9" style="276" customWidth="1"/>
    <col min="7447" max="7447" width="12" style="276" customWidth="1"/>
    <col min="7448" max="7448" width="9" style="276" bestFit="1" customWidth="1"/>
    <col min="7449" max="7449" width="8" style="276" bestFit="1" customWidth="1"/>
    <col min="7450" max="7450" width="11.88671875" style="276" customWidth="1"/>
    <col min="7451" max="7678" width="11.44140625" style="276"/>
    <col min="7679" max="7679" width="1.5546875" style="276" customWidth="1"/>
    <col min="7680" max="7680" width="21.109375" style="276" customWidth="1"/>
    <col min="7681" max="7681" width="7.109375" style="276" customWidth="1"/>
    <col min="7682" max="7682" width="36.88671875" style="276" bestFit="1" customWidth="1"/>
    <col min="7683" max="7684" width="9.109375" style="276" bestFit="1" customWidth="1"/>
    <col min="7685" max="7685" width="12" style="276" customWidth="1"/>
    <col min="7686" max="7686" width="8.44140625" style="276" bestFit="1" customWidth="1"/>
    <col min="7687" max="7687" width="9" style="276" customWidth="1"/>
    <col min="7688" max="7688" width="11.88671875" style="276" customWidth="1"/>
    <col min="7689" max="7689" width="9.109375" style="276" bestFit="1" customWidth="1"/>
    <col min="7690" max="7690" width="8.44140625" style="276" bestFit="1" customWidth="1"/>
    <col min="7691" max="7691" width="11.88671875" style="276" customWidth="1"/>
    <col min="7692" max="7693" width="8.44140625" style="276" bestFit="1" customWidth="1"/>
    <col min="7694" max="7694" width="11.88671875" style="276" customWidth="1"/>
    <col min="7695" max="7695" width="9" style="276" customWidth="1"/>
    <col min="7696" max="7696" width="8.44140625" style="276" bestFit="1" customWidth="1"/>
    <col min="7697" max="7697" width="11.88671875" style="276" customWidth="1"/>
    <col min="7698" max="7699" width="8.44140625" style="276" bestFit="1" customWidth="1"/>
    <col min="7700" max="7700" width="11.88671875" style="276" customWidth="1"/>
    <col min="7701" max="7702" width="9" style="276" customWidth="1"/>
    <col min="7703" max="7703" width="12" style="276" customWidth="1"/>
    <col min="7704" max="7704" width="9" style="276" bestFit="1" customWidth="1"/>
    <col min="7705" max="7705" width="8" style="276" bestFit="1" customWidth="1"/>
    <col min="7706" max="7706" width="11.88671875" style="276" customWidth="1"/>
    <col min="7707" max="7934" width="11.44140625" style="276"/>
    <col min="7935" max="7935" width="1.5546875" style="276" customWidth="1"/>
    <col min="7936" max="7936" width="21.109375" style="276" customWidth="1"/>
    <col min="7937" max="7937" width="7.109375" style="276" customWidth="1"/>
    <col min="7938" max="7938" width="36.88671875" style="276" bestFit="1" customWidth="1"/>
    <col min="7939" max="7940" width="9.109375" style="276" bestFit="1" customWidth="1"/>
    <col min="7941" max="7941" width="12" style="276" customWidth="1"/>
    <col min="7942" max="7942" width="8.44140625" style="276" bestFit="1" customWidth="1"/>
    <col min="7943" max="7943" width="9" style="276" customWidth="1"/>
    <col min="7944" max="7944" width="11.88671875" style="276" customWidth="1"/>
    <col min="7945" max="7945" width="9.109375" style="276" bestFit="1" customWidth="1"/>
    <col min="7946" max="7946" width="8.44140625" style="276" bestFit="1" customWidth="1"/>
    <col min="7947" max="7947" width="11.88671875" style="276" customWidth="1"/>
    <col min="7948" max="7949" width="8.44140625" style="276" bestFit="1" customWidth="1"/>
    <col min="7950" max="7950" width="11.88671875" style="276" customWidth="1"/>
    <col min="7951" max="7951" width="9" style="276" customWidth="1"/>
    <col min="7952" max="7952" width="8.44140625" style="276" bestFit="1" customWidth="1"/>
    <col min="7953" max="7953" width="11.88671875" style="276" customWidth="1"/>
    <col min="7954" max="7955" width="8.44140625" style="276" bestFit="1" customWidth="1"/>
    <col min="7956" max="7956" width="11.88671875" style="276" customWidth="1"/>
    <col min="7957" max="7958" width="9" style="276" customWidth="1"/>
    <col min="7959" max="7959" width="12" style="276" customWidth="1"/>
    <col min="7960" max="7960" width="9" style="276" bestFit="1" customWidth="1"/>
    <col min="7961" max="7961" width="8" style="276" bestFit="1" customWidth="1"/>
    <col min="7962" max="7962" width="11.88671875" style="276" customWidth="1"/>
    <col min="7963" max="8190" width="11.44140625" style="276"/>
    <col min="8191" max="8191" width="1.5546875" style="276" customWidth="1"/>
    <col min="8192" max="8192" width="21.109375" style="276" customWidth="1"/>
    <col min="8193" max="8193" width="7.109375" style="276" customWidth="1"/>
    <col min="8194" max="8194" width="36.88671875" style="276" bestFit="1" customWidth="1"/>
    <col min="8195" max="8196" width="9.109375" style="276" bestFit="1" customWidth="1"/>
    <col min="8197" max="8197" width="12" style="276" customWidth="1"/>
    <col min="8198" max="8198" width="8.44140625" style="276" bestFit="1" customWidth="1"/>
    <col min="8199" max="8199" width="9" style="276" customWidth="1"/>
    <col min="8200" max="8200" width="11.88671875" style="276" customWidth="1"/>
    <col min="8201" max="8201" width="9.109375" style="276" bestFit="1" customWidth="1"/>
    <col min="8202" max="8202" width="8.44140625" style="276" bestFit="1" customWidth="1"/>
    <col min="8203" max="8203" width="11.88671875" style="276" customWidth="1"/>
    <col min="8204" max="8205" width="8.44140625" style="276" bestFit="1" customWidth="1"/>
    <col min="8206" max="8206" width="11.88671875" style="276" customWidth="1"/>
    <col min="8207" max="8207" width="9" style="276" customWidth="1"/>
    <col min="8208" max="8208" width="8.44140625" style="276" bestFit="1" customWidth="1"/>
    <col min="8209" max="8209" width="11.88671875" style="276" customWidth="1"/>
    <col min="8210" max="8211" width="8.44140625" style="276" bestFit="1" customWidth="1"/>
    <col min="8212" max="8212" width="11.88671875" style="276" customWidth="1"/>
    <col min="8213" max="8214" width="9" style="276" customWidth="1"/>
    <col min="8215" max="8215" width="12" style="276" customWidth="1"/>
    <col min="8216" max="8216" width="9" style="276" bestFit="1" customWidth="1"/>
    <col min="8217" max="8217" width="8" style="276" bestFit="1" customWidth="1"/>
    <col min="8218" max="8218" width="11.88671875" style="276" customWidth="1"/>
    <col min="8219" max="8446" width="11.44140625" style="276"/>
    <col min="8447" max="8447" width="1.5546875" style="276" customWidth="1"/>
    <col min="8448" max="8448" width="21.109375" style="276" customWidth="1"/>
    <col min="8449" max="8449" width="7.109375" style="276" customWidth="1"/>
    <col min="8450" max="8450" width="36.88671875" style="276" bestFit="1" customWidth="1"/>
    <col min="8451" max="8452" width="9.109375" style="276" bestFit="1" customWidth="1"/>
    <col min="8453" max="8453" width="12" style="276" customWidth="1"/>
    <col min="8454" max="8454" width="8.44140625" style="276" bestFit="1" customWidth="1"/>
    <col min="8455" max="8455" width="9" style="276" customWidth="1"/>
    <col min="8456" max="8456" width="11.88671875" style="276" customWidth="1"/>
    <col min="8457" max="8457" width="9.109375" style="276" bestFit="1" customWidth="1"/>
    <col min="8458" max="8458" width="8.44140625" style="276" bestFit="1" customWidth="1"/>
    <col min="8459" max="8459" width="11.88671875" style="276" customWidth="1"/>
    <col min="8460" max="8461" width="8.44140625" style="276" bestFit="1" customWidth="1"/>
    <col min="8462" max="8462" width="11.88671875" style="276" customWidth="1"/>
    <col min="8463" max="8463" width="9" style="276" customWidth="1"/>
    <col min="8464" max="8464" width="8.44140625" style="276" bestFit="1" customWidth="1"/>
    <col min="8465" max="8465" width="11.88671875" style="276" customWidth="1"/>
    <col min="8466" max="8467" width="8.44140625" style="276" bestFit="1" customWidth="1"/>
    <col min="8468" max="8468" width="11.88671875" style="276" customWidth="1"/>
    <col min="8469" max="8470" width="9" style="276" customWidth="1"/>
    <col min="8471" max="8471" width="12" style="276" customWidth="1"/>
    <col min="8472" max="8472" width="9" style="276" bestFit="1" customWidth="1"/>
    <col min="8473" max="8473" width="8" style="276" bestFit="1" customWidth="1"/>
    <col min="8474" max="8474" width="11.88671875" style="276" customWidth="1"/>
    <col min="8475" max="8702" width="11.44140625" style="276"/>
    <col min="8703" max="8703" width="1.5546875" style="276" customWidth="1"/>
    <col min="8704" max="8704" width="21.109375" style="276" customWidth="1"/>
    <col min="8705" max="8705" width="7.109375" style="276" customWidth="1"/>
    <col min="8706" max="8706" width="36.88671875" style="276" bestFit="1" customWidth="1"/>
    <col min="8707" max="8708" width="9.109375" style="276" bestFit="1" customWidth="1"/>
    <col min="8709" max="8709" width="12" style="276" customWidth="1"/>
    <col min="8710" max="8710" width="8.44140625" style="276" bestFit="1" customWidth="1"/>
    <col min="8711" max="8711" width="9" style="276" customWidth="1"/>
    <col min="8712" max="8712" width="11.88671875" style="276" customWidth="1"/>
    <col min="8713" max="8713" width="9.109375" style="276" bestFit="1" customWidth="1"/>
    <col min="8714" max="8714" width="8.44140625" style="276" bestFit="1" customWidth="1"/>
    <col min="8715" max="8715" width="11.88671875" style="276" customWidth="1"/>
    <col min="8716" max="8717" width="8.44140625" style="276" bestFit="1" customWidth="1"/>
    <col min="8718" max="8718" width="11.88671875" style="276" customWidth="1"/>
    <col min="8719" max="8719" width="9" style="276" customWidth="1"/>
    <col min="8720" max="8720" width="8.44140625" style="276" bestFit="1" customWidth="1"/>
    <col min="8721" max="8721" width="11.88671875" style="276" customWidth="1"/>
    <col min="8722" max="8723" width="8.44140625" style="276" bestFit="1" customWidth="1"/>
    <col min="8724" max="8724" width="11.88671875" style="276" customWidth="1"/>
    <col min="8725" max="8726" width="9" style="276" customWidth="1"/>
    <col min="8727" max="8727" width="12" style="276" customWidth="1"/>
    <col min="8728" max="8728" width="9" style="276" bestFit="1" customWidth="1"/>
    <col min="8729" max="8729" width="8" style="276" bestFit="1" customWidth="1"/>
    <col min="8730" max="8730" width="11.88671875" style="276" customWidth="1"/>
    <col min="8731" max="8958" width="11.44140625" style="276"/>
    <col min="8959" max="8959" width="1.5546875" style="276" customWidth="1"/>
    <col min="8960" max="8960" width="21.109375" style="276" customWidth="1"/>
    <col min="8961" max="8961" width="7.109375" style="276" customWidth="1"/>
    <col min="8962" max="8962" width="36.88671875" style="276" bestFit="1" customWidth="1"/>
    <col min="8963" max="8964" width="9.109375" style="276" bestFit="1" customWidth="1"/>
    <col min="8965" max="8965" width="12" style="276" customWidth="1"/>
    <col min="8966" max="8966" width="8.44140625" style="276" bestFit="1" customWidth="1"/>
    <col min="8967" max="8967" width="9" style="276" customWidth="1"/>
    <col min="8968" max="8968" width="11.88671875" style="276" customWidth="1"/>
    <col min="8969" max="8969" width="9.109375" style="276" bestFit="1" customWidth="1"/>
    <col min="8970" max="8970" width="8.44140625" style="276" bestFit="1" customWidth="1"/>
    <col min="8971" max="8971" width="11.88671875" style="276" customWidth="1"/>
    <col min="8972" max="8973" width="8.44140625" style="276" bestFit="1" customWidth="1"/>
    <col min="8974" max="8974" width="11.88671875" style="276" customWidth="1"/>
    <col min="8975" max="8975" width="9" style="276" customWidth="1"/>
    <col min="8976" max="8976" width="8.44140625" style="276" bestFit="1" customWidth="1"/>
    <col min="8977" max="8977" width="11.88671875" style="276" customWidth="1"/>
    <col min="8978" max="8979" width="8.44140625" style="276" bestFit="1" customWidth="1"/>
    <col min="8980" max="8980" width="11.88671875" style="276" customWidth="1"/>
    <col min="8981" max="8982" width="9" style="276" customWidth="1"/>
    <col min="8983" max="8983" width="12" style="276" customWidth="1"/>
    <col min="8984" max="8984" width="9" style="276" bestFit="1" customWidth="1"/>
    <col min="8985" max="8985" width="8" style="276" bestFit="1" customWidth="1"/>
    <col min="8986" max="8986" width="11.88671875" style="276" customWidth="1"/>
    <col min="8987" max="9214" width="11.44140625" style="276"/>
    <col min="9215" max="9215" width="1.5546875" style="276" customWidth="1"/>
    <col min="9216" max="9216" width="21.109375" style="276" customWidth="1"/>
    <col min="9217" max="9217" width="7.109375" style="276" customWidth="1"/>
    <col min="9218" max="9218" width="36.88671875" style="276" bestFit="1" customWidth="1"/>
    <col min="9219" max="9220" width="9.109375" style="276" bestFit="1" customWidth="1"/>
    <col min="9221" max="9221" width="12" style="276" customWidth="1"/>
    <col min="9222" max="9222" width="8.44140625" style="276" bestFit="1" customWidth="1"/>
    <col min="9223" max="9223" width="9" style="276" customWidth="1"/>
    <col min="9224" max="9224" width="11.88671875" style="276" customWidth="1"/>
    <col min="9225" max="9225" width="9.109375" style="276" bestFit="1" customWidth="1"/>
    <col min="9226" max="9226" width="8.44140625" style="276" bestFit="1" customWidth="1"/>
    <col min="9227" max="9227" width="11.88671875" style="276" customWidth="1"/>
    <col min="9228" max="9229" width="8.44140625" style="276" bestFit="1" customWidth="1"/>
    <col min="9230" max="9230" width="11.88671875" style="276" customWidth="1"/>
    <col min="9231" max="9231" width="9" style="276" customWidth="1"/>
    <col min="9232" max="9232" width="8.44140625" style="276" bestFit="1" customWidth="1"/>
    <col min="9233" max="9233" width="11.88671875" style="276" customWidth="1"/>
    <col min="9234" max="9235" width="8.44140625" style="276" bestFit="1" customWidth="1"/>
    <col min="9236" max="9236" width="11.88671875" style="276" customWidth="1"/>
    <col min="9237" max="9238" width="9" style="276" customWidth="1"/>
    <col min="9239" max="9239" width="12" style="276" customWidth="1"/>
    <col min="9240" max="9240" width="9" style="276" bestFit="1" customWidth="1"/>
    <col min="9241" max="9241" width="8" style="276" bestFit="1" customWidth="1"/>
    <col min="9242" max="9242" width="11.88671875" style="276" customWidth="1"/>
    <col min="9243" max="9470" width="11.44140625" style="276"/>
    <col min="9471" max="9471" width="1.5546875" style="276" customWidth="1"/>
    <col min="9472" max="9472" width="21.109375" style="276" customWidth="1"/>
    <col min="9473" max="9473" width="7.109375" style="276" customWidth="1"/>
    <col min="9474" max="9474" width="36.88671875" style="276" bestFit="1" customWidth="1"/>
    <col min="9475" max="9476" width="9.109375" style="276" bestFit="1" customWidth="1"/>
    <col min="9477" max="9477" width="12" style="276" customWidth="1"/>
    <col min="9478" max="9478" width="8.44140625" style="276" bestFit="1" customWidth="1"/>
    <col min="9479" max="9479" width="9" style="276" customWidth="1"/>
    <col min="9480" max="9480" width="11.88671875" style="276" customWidth="1"/>
    <col min="9481" max="9481" width="9.109375" style="276" bestFit="1" customWidth="1"/>
    <col min="9482" max="9482" width="8.44140625" style="276" bestFit="1" customWidth="1"/>
    <col min="9483" max="9483" width="11.88671875" style="276" customWidth="1"/>
    <col min="9484" max="9485" width="8.44140625" style="276" bestFit="1" customWidth="1"/>
    <col min="9486" max="9486" width="11.88671875" style="276" customWidth="1"/>
    <col min="9487" max="9487" width="9" style="276" customWidth="1"/>
    <col min="9488" max="9488" width="8.44140625" style="276" bestFit="1" customWidth="1"/>
    <col min="9489" max="9489" width="11.88671875" style="276" customWidth="1"/>
    <col min="9490" max="9491" width="8.44140625" style="276" bestFit="1" customWidth="1"/>
    <col min="9492" max="9492" width="11.88671875" style="276" customWidth="1"/>
    <col min="9493" max="9494" width="9" style="276" customWidth="1"/>
    <col min="9495" max="9495" width="12" style="276" customWidth="1"/>
    <col min="9496" max="9496" width="9" style="276" bestFit="1" customWidth="1"/>
    <col min="9497" max="9497" width="8" style="276" bestFit="1" customWidth="1"/>
    <col min="9498" max="9498" width="11.88671875" style="276" customWidth="1"/>
    <col min="9499" max="9726" width="11.44140625" style="276"/>
    <col min="9727" max="9727" width="1.5546875" style="276" customWidth="1"/>
    <col min="9728" max="9728" width="21.109375" style="276" customWidth="1"/>
    <col min="9729" max="9729" width="7.109375" style="276" customWidth="1"/>
    <col min="9730" max="9730" width="36.88671875" style="276" bestFit="1" customWidth="1"/>
    <col min="9731" max="9732" width="9.109375" style="276" bestFit="1" customWidth="1"/>
    <col min="9733" max="9733" width="12" style="276" customWidth="1"/>
    <col min="9734" max="9734" width="8.44140625" style="276" bestFit="1" customWidth="1"/>
    <col min="9735" max="9735" width="9" style="276" customWidth="1"/>
    <col min="9736" max="9736" width="11.88671875" style="276" customWidth="1"/>
    <col min="9737" max="9737" width="9.109375" style="276" bestFit="1" customWidth="1"/>
    <col min="9738" max="9738" width="8.44140625" style="276" bestFit="1" customWidth="1"/>
    <col min="9739" max="9739" width="11.88671875" style="276" customWidth="1"/>
    <col min="9740" max="9741" width="8.44140625" style="276" bestFit="1" customWidth="1"/>
    <col min="9742" max="9742" width="11.88671875" style="276" customWidth="1"/>
    <col min="9743" max="9743" width="9" style="276" customWidth="1"/>
    <col min="9744" max="9744" width="8.44140625" style="276" bestFit="1" customWidth="1"/>
    <col min="9745" max="9745" width="11.88671875" style="276" customWidth="1"/>
    <col min="9746" max="9747" width="8.44140625" style="276" bestFit="1" customWidth="1"/>
    <col min="9748" max="9748" width="11.88671875" style="276" customWidth="1"/>
    <col min="9749" max="9750" width="9" style="276" customWidth="1"/>
    <col min="9751" max="9751" width="12" style="276" customWidth="1"/>
    <col min="9752" max="9752" width="9" style="276" bestFit="1" customWidth="1"/>
    <col min="9753" max="9753" width="8" style="276" bestFit="1" customWidth="1"/>
    <col min="9754" max="9754" width="11.88671875" style="276" customWidth="1"/>
    <col min="9755" max="9982" width="11.44140625" style="276"/>
    <col min="9983" max="9983" width="1.5546875" style="276" customWidth="1"/>
    <col min="9984" max="9984" width="21.109375" style="276" customWidth="1"/>
    <col min="9985" max="9985" width="7.109375" style="276" customWidth="1"/>
    <col min="9986" max="9986" width="36.88671875" style="276" bestFit="1" customWidth="1"/>
    <col min="9987" max="9988" width="9.109375" style="276" bestFit="1" customWidth="1"/>
    <col min="9989" max="9989" width="12" style="276" customWidth="1"/>
    <col min="9990" max="9990" width="8.44140625" style="276" bestFit="1" customWidth="1"/>
    <col min="9991" max="9991" width="9" style="276" customWidth="1"/>
    <col min="9992" max="9992" width="11.88671875" style="276" customWidth="1"/>
    <col min="9993" max="9993" width="9.109375" style="276" bestFit="1" customWidth="1"/>
    <col min="9994" max="9994" width="8.44140625" style="276" bestFit="1" customWidth="1"/>
    <col min="9995" max="9995" width="11.88671875" style="276" customWidth="1"/>
    <col min="9996" max="9997" width="8.44140625" style="276" bestFit="1" customWidth="1"/>
    <col min="9998" max="9998" width="11.88671875" style="276" customWidth="1"/>
    <col min="9999" max="9999" width="9" style="276" customWidth="1"/>
    <col min="10000" max="10000" width="8.44140625" style="276" bestFit="1" customWidth="1"/>
    <col min="10001" max="10001" width="11.88671875" style="276" customWidth="1"/>
    <col min="10002" max="10003" width="8.44140625" style="276" bestFit="1" customWidth="1"/>
    <col min="10004" max="10004" width="11.88671875" style="276" customWidth="1"/>
    <col min="10005" max="10006" width="9" style="276" customWidth="1"/>
    <col min="10007" max="10007" width="12" style="276" customWidth="1"/>
    <col min="10008" max="10008" width="9" style="276" bestFit="1" customWidth="1"/>
    <col min="10009" max="10009" width="8" style="276" bestFit="1" customWidth="1"/>
    <col min="10010" max="10010" width="11.88671875" style="276" customWidth="1"/>
    <col min="10011" max="10238" width="11.44140625" style="276"/>
    <col min="10239" max="10239" width="1.5546875" style="276" customWidth="1"/>
    <col min="10240" max="10240" width="21.109375" style="276" customWidth="1"/>
    <col min="10241" max="10241" width="7.109375" style="276" customWidth="1"/>
    <col min="10242" max="10242" width="36.88671875" style="276" bestFit="1" customWidth="1"/>
    <col min="10243" max="10244" width="9.109375" style="276" bestFit="1" customWidth="1"/>
    <col min="10245" max="10245" width="12" style="276" customWidth="1"/>
    <col min="10246" max="10246" width="8.44140625" style="276" bestFit="1" customWidth="1"/>
    <col min="10247" max="10247" width="9" style="276" customWidth="1"/>
    <col min="10248" max="10248" width="11.88671875" style="276" customWidth="1"/>
    <col min="10249" max="10249" width="9.109375" style="276" bestFit="1" customWidth="1"/>
    <col min="10250" max="10250" width="8.44140625" style="276" bestFit="1" customWidth="1"/>
    <col min="10251" max="10251" width="11.88671875" style="276" customWidth="1"/>
    <col min="10252" max="10253" width="8.44140625" style="276" bestFit="1" customWidth="1"/>
    <col min="10254" max="10254" width="11.88671875" style="276" customWidth="1"/>
    <col min="10255" max="10255" width="9" style="276" customWidth="1"/>
    <col min="10256" max="10256" width="8.44140625" style="276" bestFit="1" customWidth="1"/>
    <col min="10257" max="10257" width="11.88671875" style="276" customWidth="1"/>
    <col min="10258" max="10259" width="8.44140625" style="276" bestFit="1" customWidth="1"/>
    <col min="10260" max="10260" width="11.88671875" style="276" customWidth="1"/>
    <col min="10261" max="10262" width="9" style="276" customWidth="1"/>
    <col min="10263" max="10263" width="12" style="276" customWidth="1"/>
    <col min="10264" max="10264" width="9" style="276" bestFit="1" customWidth="1"/>
    <col min="10265" max="10265" width="8" style="276" bestFit="1" customWidth="1"/>
    <col min="10266" max="10266" width="11.88671875" style="276" customWidth="1"/>
    <col min="10267" max="10494" width="11.44140625" style="276"/>
    <col min="10495" max="10495" width="1.5546875" style="276" customWidth="1"/>
    <col min="10496" max="10496" width="21.109375" style="276" customWidth="1"/>
    <col min="10497" max="10497" width="7.109375" style="276" customWidth="1"/>
    <col min="10498" max="10498" width="36.88671875" style="276" bestFit="1" customWidth="1"/>
    <col min="10499" max="10500" width="9.109375" style="276" bestFit="1" customWidth="1"/>
    <col min="10501" max="10501" width="12" style="276" customWidth="1"/>
    <col min="10502" max="10502" width="8.44140625" style="276" bestFit="1" customWidth="1"/>
    <col min="10503" max="10503" width="9" style="276" customWidth="1"/>
    <col min="10504" max="10504" width="11.88671875" style="276" customWidth="1"/>
    <col min="10505" max="10505" width="9.109375" style="276" bestFit="1" customWidth="1"/>
    <col min="10506" max="10506" width="8.44140625" style="276" bestFit="1" customWidth="1"/>
    <col min="10507" max="10507" width="11.88671875" style="276" customWidth="1"/>
    <col min="10508" max="10509" width="8.44140625" style="276" bestFit="1" customWidth="1"/>
    <col min="10510" max="10510" width="11.88671875" style="276" customWidth="1"/>
    <col min="10511" max="10511" width="9" style="276" customWidth="1"/>
    <col min="10512" max="10512" width="8.44140625" style="276" bestFit="1" customWidth="1"/>
    <col min="10513" max="10513" width="11.88671875" style="276" customWidth="1"/>
    <col min="10514" max="10515" width="8.44140625" style="276" bestFit="1" customWidth="1"/>
    <col min="10516" max="10516" width="11.88671875" style="276" customWidth="1"/>
    <col min="10517" max="10518" width="9" style="276" customWidth="1"/>
    <col min="10519" max="10519" width="12" style="276" customWidth="1"/>
    <col min="10520" max="10520" width="9" style="276" bestFit="1" customWidth="1"/>
    <col min="10521" max="10521" width="8" style="276" bestFit="1" customWidth="1"/>
    <col min="10522" max="10522" width="11.88671875" style="276" customWidth="1"/>
    <col min="10523" max="10750" width="11.44140625" style="276"/>
    <col min="10751" max="10751" width="1.5546875" style="276" customWidth="1"/>
    <col min="10752" max="10752" width="21.109375" style="276" customWidth="1"/>
    <col min="10753" max="10753" width="7.109375" style="276" customWidth="1"/>
    <col min="10754" max="10754" width="36.88671875" style="276" bestFit="1" customWidth="1"/>
    <col min="10755" max="10756" width="9.109375" style="276" bestFit="1" customWidth="1"/>
    <col min="10757" max="10757" width="12" style="276" customWidth="1"/>
    <col min="10758" max="10758" width="8.44140625" style="276" bestFit="1" customWidth="1"/>
    <col min="10759" max="10759" width="9" style="276" customWidth="1"/>
    <col min="10760" max="10760" width="11.88671875" style="276" customWidth="1"/>
    <col min="10761" max="10761" width="9.109375" style="276" bestFit="1" customWidth="1"/>
    <col min="10762" max="10762" width="8.44140625" style="276" bestFit="1" customWidth="1"/>
    <col min="10763" max="10763" width="11.88671875" style="276" customWidth="1"/>
    <col min="10764" max="10765" width="8.44140625" style="276" bestFit="1" customWidth="1"/>
    <col min="10766" max="10766" width="11.88671875" style="276" customWidth="1"/>
    <col min="10767" max="10767" width="9" style="276" customWidth="1"/>
    <col min="10768" max="10768" width="8.44140625" style="276" bestFit="1" customWidth="1"/>
    <col min="10769" max="10769" width="11.88671875" style="276" customWidth="1"/>
    <col min="10770" max="10771" width="8.44140625" style="276" bestFit="1" customWidth="1"/>
    <col min="10772" max="10772" width="11.88671875" style="276" customWidth="1"/>
    <col min="10773" max="10774" width="9" style="276" customWidth="1"/>
    <col min="10775" max="10775" width="12" style="276" customWidth="1"/>
    <col min="10776" max="10776" width="9" style="276" bestFit="1" customWidth="1"/>
    <col min="10777" max="10777" width="8" style="276" bestFit="1" customWidth="1"/>
    <col min="10778" max="10778" width="11.88671875" style="276" customWidth="1"/>
    <col min="10779" max="11006" width="11.44140625" style="276"/>
    <col min="11007" max="11007" width="1.5546875" style="276" customWidth="1"/>
    <col min="11008" max="11008" width="21.109375" style="276" customWidth="1"/>
    <col min="11009" max="11009" width="7.109375" style="276" customWidth="1"/>
    <col min="11010" max="11010" width="36.88671875" style="276" bestFit="1" customWidth="1"/>
    <col min="11011" max="11012" width="9.109375" style="276" bestFit="1" customWidth="1"/>
    <col min="11013" max="11013" width="12" style="276" customWidth="1"/>
    <col min="11014" max="11014" width="8.44140625" style="276" bestFit="1" customWidth="1"/>
    <col min="11015" max="11015" width="9" style="276" customWidth="1"/>
    <col min="11016" max="11016" width="11.88671875" style="276" customWidth="1"/>
    <col min="11017" max="11017" width="9.109375" style="276" bestFit="1" customWidth="1"/>
    <col min="11018" max="11018" width="8.44140625" style="276" bestFit="1" customWidth="1"/>
    <col min="11019" max="11019" width="11.88671875" style="276" customWidth="1"/>
    <col min="11020" max="11021" width="8.44140625" style="276" bestFit="1" customWidth="1"/>
    <col min="11022" max="11022" width="11.88671875" style="276" customWidth="1"/>
    <col min="11023" max="11023" width="9" style="276" customWidth="1"/>
    <col min="11024" max="11024" width="8.44140625" style="276" bestFit="1" customWidth="1"/>
    <col min="11025" max="11025" width="11.88671875" style="276" customWidth="1"/>
    <col min="11026" max="11027" width="8.44140625" style="276" bestFit="1" customWidth="1"/>
    <col min="11028" max="11028" width="11.88671875" style="276" customWidth="1"/>
    <col min="11029" max="11030" width="9" style="276" customWidth="1"/>
    <col min="11031" max="11031" width="12" style="276" customWidth="1"/>
    <col min="11032" max="11032" width="9" style="276" bestFit="1" customWidth="1"/>
    <col min="11033" max="11033" width="8" style="276" bestFit="1" customWidth="1"/>
    <col min="11034" max="11034" width="11.88671875" style="276" customWidth="1"/>
    <col min="11035" max="11262" width="11.44140625" style="276"/>
    <col min="11263" max="11263" width="1.5546875" style="276" customWidth="1"/>
    <col min="11264" max="11264" width="21.109375" style="276" customWidth="1"/>
    <col min="11265" max="11265" width="7.109375" style="276" customWidth="1"/>
    <col min="11266" max="11266" width="36.88671875" style="276" bestFit="1" customWidth="1"/>
    <col min="11267" max="11268" width="9.109375" style="276" bestFit="1" customWidth="1"/>
    <col min="11269" max="11269" width="12" style="276" customWidth="1"/>
    <col min="11270" max="11270" width="8.44140625" style="276" bestFit="1" customWidth="1"/>
    <col min="11271" max="11271" width="9" style="276" customWidth="1"/>
    <col min="11272" max="11272" width="11.88671875" style="276" customWidth="1"/>
    <col min="11273" max="11273" width="9.109375" style="276" bestFit="1" customWidth="1"/>
    <col min="11274" max="11274" width="8.44140625" style="276" bestFit="1" customWidth="1"/>
    <col min="11275" max="11275" width="11.88671875" style="276" customWidth="1"/>
    <col min="11276" max="11277" width="8.44140625" style="276" bestFit="1" customWidth="1"/>
    <col min="11278" max="11278" width="11.88671875" style="276" customWidth="1"/>
    <col min="11279" max="11279" width="9" style="276" customWidth="1"/>
    <col min="11280" max="11280" width="8.44140625" style="276" bestFit="1" customWidth="1"/>
    <col min="11281" max="11281" width="11.88671875" style="276" customWidth="1"/>
    <col min="11282" max="11283" width="8.44140625" style="276" bestFit="1" customWidth="1"/>
    <col min="11284" max="11284" width="11.88671875" style="276" customWidth="1"/>
    <col min="11285" max="11286" width="9" style="276" customWidth="1"/>
    <col min="11287" max="11287" width="12" style="276" customWidth="1"/>
    <col min="11288" max="11288" width="9" style="276" bestFit="1" customWidth="1"/>
    <col min="11289" max="11289" width="8" style="276" bestFit="1" customWidth="1"/>
    <col min="11290" max="11290" width="11.88671875" style="276" customWidth="1"/>
    <col min="11291" max="11518" width="11.44140625" style="276"/>
    <col min="11519" max="11519" width="1.5546875" style="276" customWidth="1"/>
    <col min="11520" max="11520" width="21.109375" style="276" customWidth="1"/>
    <col min="11521" max="11521" width="7.109375" style="276" customWidth="1"/>
    <col min="11522" max="11522" width="36.88671875" style="276" bestFit="1" customWidth="1"/>
    <col min="11523" max="11524" width="9.109375" style="276" bestFit="1" customWidth="1"/>
    <col min="11525" max="11525" width="12" style="276" customWidth="1"/>
    <col min="11526" max="11526" width="8.44140625" style="276" bestFit="1" customWidth="1"/>
    <col min="11527" max="11527" width="9" style="276" customWidth="1"/>
    <col min="11528" max="11528" width="11.88671875" style="276" customWidth="1"/>
    <col min="11529" max="11529" width="9.109375" style="276" bestFit="1" customWidth="1"/>
    <col min="11530" max="11530" width="8.44140625" style="276" bestFit="1" customWidth="1"/>
    <col min="11531" max="11531" width="11.88671875" style="276" customWidth="1"/>
    <col min="11532" max="11533" width="8.44140625" style="276" bestFit="1" customWidth="1"/>
    <col min="11534" max="11534" width="11.88671875" style="276" customWidth="1"/>
    <col min="11535" max="11535" width="9" style="276" customWidth="1"/>
    <col min="11536" max="11536" width="8.44140625" style="276" bestFit="1" customWidth="1"/>
    <col min="11537" max="11537" width="11.88671875" style="276" customWidth="1"/>
    <col min="11538" max="11539" width="8.44140625" style="276" bestFit="1" customWidth="1"/>
    <col min="11540" max="11540" width="11.88671875" style="276" customWidth="1"/>
    <col min="11541" max="11542" width="9" style="276" customWidth="1"/>
    <col min="11543" max="11543" width="12" style="276" customWidth="1"/>
    <col min="11544" max="11544" width="9" style="276" bestFit="1" customWidth="1"/>
    <col min="11545" max="11545" width="8" style="276" bestFit="1" customWidth="1"/>
    <col min="11546" max="11546" width="11.88671875" style="276" customWidth="1"/>
    <col min="11547" max="11774" width="11.44140625" style="276"/>
    <col min="11775" max="11775" width="1.5546875" style="276" customWidth="1"/>
    <col min="11776" max="11776" width="21.109375" style="276" customWidth="1"/>
    <col min="11777" max="11777" width="7.109375" style="276" customWidth="1"/>
    <col min="11778" max="11778" width="36.88671875" style="276" bestFit="1" customWidth="1"/>
    <col min="11779" max="11780" width="9.109375" style="276" bestFit="1" customWidth="1"/>
    <col min="11781" max="11781" width="12" style="276" customWidth="1"/>
    <col min="11782" max="11782" width="8.44140625" style="276" bestFit="1" customWidth="1"/>
    <col min="11783" max="11783" width="9" style="276" customWidth="1"/>
    <col min="11784" max="11784" width="11.88671875" style="276" customWidth="1"/>
    <col min="11785" max="11785" width="9.109375" style="276" bestFit="1" customWidth="1"/>
    <col min="11786" max="11786" width="8.44140625" style="276" bestFit="1" customWidth="1"/>
    <col min="11787" max="11787" width="11.88671875" style="276" customWidth="1"/>
    <col min="11788" max="11789" width="8.44140625" style="276" bestFit="1" customWidth="1"/>
    <col min="11790" max="11790" width="11.88671875" style="276" customWidth="1"/>
    <col min="11791" max="11791" width="9" style="276" customWidth="1"/>
    <col min="11792" max="11792" width="8.44140625" style="276" bestFit="1" customWidth="1"/>
    <col min="11793" max="11793" width="11.88671875" style="276" customWidth="1"/>
    <col min="11794" max="11795" width="8.44140625" style="276" bestFit="1" customWidth="1"/>
    <col min="11796" max="11796" width="11.88671875" style="276" customWidth="1"/>
    <col min="11797" max="11798" width="9" style="276" customWidth="1"/>
    <col min="11799" max="11799" width="12" style="276" customWidth="1"/>
    <col min="11800" max="11800" width="9" style="276" bestFit="1" customWidth="1"/>
    <col min="11801" max="11801" width="8" style="276" bestFit="1" customWidth="1"/>
    <col min="11802" max="11802" width="11.88671875" style="276" customWidth="1"/>
    <col min="11803" max="12030" width="11.44140625" style="276"/>
    <col min="12031" max="12031" width="1.5546875" style="276" customWidth="1"/>
    <col min="12032" max="12032" width="21.109375" style="276" customWidth="1"/>
    <col min="12033" max="12033" width="7.109375" style="276" customWidth="1"/>
    <col min="12034" max="12034" width="36.88671875" style="276" bestFit="1" customWidth="1"/>
    <col min="12035" max="12036" width="9.109375" style="276" bestFit="1" customWidth="1"/>
    <col min="12037" max="12037" width="12" style="276" customWidth="1"/>
    <col min="12038" max="12038" width="8.44140625" style="276" bestFit="1" customWidth="1"/>
    <col min="12039" max="12039" width="9" style="276" customWidth="1"/>
    <col min="12040" max="12040" width="11.88671875" style="276" customWidth="1"/>
    <col min="12041" max="12041" width="9.109375" style="276" bestFit="1" customWidth="1"/>
    <col min="12042" max="12042" width="8.44140625" style="276" bestFit="1" customWidth="1"/>
    <col min="12043" max="12043" width="11.88671875" style="276" customWidth="1"/>
    <col min="12044" max="12045" width="8.44140625" style="276" bestFit="1" customWidth="1"/>
    <col min="12046" max="12046" width="11.88671875" style="276" customWidth="1"/>
    <col min="12047" max="12047" width="9" style="276" customWidth="1"/>
    <col min="12048" max="12048" width="8.44140625" style="276" bestFit="1" customWidth="1"/>
    <col min="12049" max="12049" width="11.88671875" style="276" customWidth="1"/>
    <col min="12050" max="12051" width="8.44140625" style="276" bestFit="1" customWidth="1"/>
    <col min="12052" max="12052" width="11.88671875" style="276" customWidth="1"/>
    <col min="12053" max="12054" width="9" style="276" customWidth="1"/>
    <col min="12055" max="12055" width="12" style="276" customWidth="1"/>
    <col min="12056" max="12056" width="9" style="276" bestFit="1" customWidth="1"/>
    <col min="12057" max="12057" width="8" style="276" bestFit="1" customWidth="1"/>
    <col min="12058" max="12058" width="11.88671875" style="276" customWidth="1"/>
    <col min="12059" max="12286" width="11.44140625" style="276"/>
    <col min="12287" max="12287" width="1.5546875" style="276" customWidth="1"/>
    <col min="12288" max="12288" width="21.109375" style="276" customWidth="1"/>
    <col min="12289" max="12289" width="7.109375" style="276" customWidth="1"/>
    <col min="12290" max="12290" width="36.88671875" style="276" bestFit="1" customWidth="1"/>
    <col min="12291" max="12292" width="9.109375" style="276" bestFit="1" customWidth="1"/>
    <col min="12293" max="12293" width="12" style="276" customWidth="1"/>
    <col min="12294" max="12294" width="8.44140625" style="276" bestFit="1" customWidth="1"/>
    <col min="12295" max="12295" width="9" style="276" customWidth="1"/>
    <col min="12296" max="12296" width="11.88671875" style="276" customWidth="1"/>
    <col min="12297" max="12297" width="9.109375" style="276" bestFit="1" customWidth="1"/>
    <col min="12298" max="12298" width="8.44140625" style="276" bestFit="1" customWidth="1"/>
    <col min="12299" max="12299" width="11.88671875" style="276" customWidth="1"/>
    <col min="12300" max="12301" width="8.44140625" style="276" bestFit="1" customWidth="1"/>
    <col min="12302" max="12302" width="11.88671875" style="276" customWidth="1"/>
    <col min="12303" max="12303" width="9" style="276" customWidth="1"/>
    <col min="12304" max="12304" width="8.44140625" style="276" bestFit="1" customWidth="1"/>
    <col min="12305" max="12305" width="11.88671875" style="276" customWidth="1"/>
    <col min="12306" max="12307" width="8.44140625" style="276" bestFit="1" customWidth="1"/>
    <col min="12308" max="12308" width="11.88671875" style="276" customWidth="1"/>
    <col min="12309" max="12310" width="9" style="276" customWidth="1"/>
    <col min="12311" max="12311" width="12" style="276" customWidth="1"/>
    <col min="12312" max="12312" width="9" style="276" bestFit="1" customWidth="1"/>
    <col min="12313" max="12313" width="8" style="276" bestFit="1" customWidth="1"/>
    <col min="12314" max="12314" width="11.88671875" style="276" customWidth="1"/>
    <col min="12315" max="12542" width="11.44140625" style="276"/>
    <col min="12543" max="12543" width="1.5546875" style="276" customWidth="1"/>
    <col min="12544" max="12544" width="21.109375" style="276" customWidth="1"/>
    <col min="12545" max="12545" width="7.109375" style="276" customWidth="1"/>
    <col min="12546" max="12546" width="36.88671875" style="276" bestFit="1" customWidth="1"/>
    <col min="12547" max="12548" width="9.109375" style="276" bestFit="1" customWidth="1"/>
    <col min="12549" max="12549" width="12" style="276" customWidth="1"/>
    <col min="12550" max="12550" width="8.44140625" style="276" bestFit="1" customWidth="1"/>
    <col min="12551" max="12551" width="9" style="276" customWidth="1"/>
    <col min="12552" max="12552" width="11.88671875" style="276" customWidth="1"/>
    <col min="12553" max="12553" width="9.109375" style="276" bestFit="1" customWidth="1"/>
    <col min="12554" max="12554" width="8.44140625" style="276" bestFit="1" customWidth="1"/>
    <col min="12555" max="12555" width="11.88671875" style="276" customWidth="1"/>
    <col min="12556" max="12557" width="8.44140625" style="276" bestFit="1" customWidth="1"/>
    <col min="12558" max="12558" width="11.88671875" style="276" customWidth="1"/>
    <col min="12559" max="12559" width="9" style="276" customWidth="1"/>
    <col min="12560" max="12560" width="8.44140625" style="276" bestFit="1" customWidth="1"/>
    <col min="12561" max="12561" width="11.88671875" style="276" customWidth="1"/>
    <col min="12562" max="12563" width="8.44140625" style="276" bestFit="1" customWidth="1"/>
    <col min="12564" max="12564" width="11.88671875" style="276" customWidth="1"/>
    <col min="12565" max="12566" width="9" style="276" customWidth="1"/>
    <col min="12567" max="12567" width="12" style="276" customWidth="1"/>
    <col min="12568" max="12568" width="9" style="276" bestFit="1" customWidth="1"/>
    <col min="12569" max="12569" width="8" style="276" bestFit="1" customWidth="1"/>
    <col min="12570" max="12570" width="11.88671875" style="276" customWidth="1"/>
    <col min="12571" max="12798" width="11.44140625" style="276"/>
    <col min="12799" max="12799" width="1.5546875" style="276" customWidth="1"/>
    <col min="12800" max="12800" width="21.109375" style="276" customWidth="1"/>
    <col min="12801" max="12801" width="7.109375" style="276" customWidth="1"/>
    <col min="12802" max="12802" width="36.88671875" style="276" bestFit="1" customWidth="1"/>
    <col min="12803" max="12804" width="9.109375" style="276" bestFit="1" customWidth="1"/>
    <col min="12805" max="12805" width="12" style="276" customWidth="1"/>
    <col min="12806" max="12806" width="8.44140625" style="276" bestFit="1" customWidth="1"/>
    <col min="12807" max="12807" width="9" style="276" customWidth="1"/>
    <col min="12808" max="12808" width="11.88671875" style="276" customWidth="1"/>
    <col min="12809" max="12809" width="9.109375" style="276" bestFit="1" customWidth="1"/>
    <col min="12810" max="12810" width="8.44140625" style="276" bestFit="1" customWidth="1"/>
    <col min="12811" max="12811" width="11.88671875" style="276" customWidth="1"/>
    <col min="12812" max="12813" width="8.44140625" style="276" bestFit="1" customWidth="1"/>
    <col min="12814" max="12814" width="11.88671875" style="276" customWidth="1"/>
    <col min="12815" max="12815" width="9" style="276" customWidth="1"/>
    <col min="12816" max="12816" width="8.44140625" style="276" bestFit="1" customWidth="1"/>
    <col min="12817" max="12817" width="11.88671875" style="276" customWidth="1"/>
    <col min="12818" max="12819" width="8.44140625" style="276" bestFit="1" customWidth="1"/>
    <col min="12820" max="12820" width="11.88671875" style="276" customWidth="1"/>
    <col min="12821" max="12822" width="9" style="276" customWidth="1"/>
    <col min="12823" max="12823" width="12" style="276" customWidth="1"/>
    <col min="12824" max="12824" width="9" style="276" bestFit="1" customWidth="1"/>
    <col min="12825" max="12825" width="8" style="276" bestFit="1" customWidth="1"/>
    <col min="12826" max="12826" width="11.88671875" style="276" customWidth="1"/>
    <col min="12827" max="13054" width="11.44140625" style="276"/>
    <col min="13055" max="13055" width="1.5546875" style="276" customWidth="1"/>
    <col min="13056" max="13056" width="21.109375" style="276" customWidth="1"/>
    <col min="13057" max="13057" width="7.109375" style="276" customWidth="1"/>
    <col min="13058" max="13058" width="36.88671875" style="276" bestFit="1" customWidth="1"/>
    <col min="13059" max="13060" width="9.109375" style="276" bestFit="1" customWidth="1"/>
    <col min="13061" max="13061" width="12" style="276" customWidth="1"/>
    <col min="13062" max="13062" width="8.44140625" style="276" bestFit="1" customWidth="1"/>
    <col min="13063" max="13063" width="9" style="276" customWidth="1"/>
    <col min="13064" max="13064" width="11.88671875" style="276" customWidth="1"/>
    <col min="13065" max="13065" width="9.109375" style="276" bestFit="1" customWidth="1"/>
    <col min="13066" max="13066" width="8.44140625" style="276" bestFit="1" customWidth="1"/>
    <col min="13067" max="13067" width="11.88671875" style="276" customWidth="1"/>
    <col min="13068" max="13069" width="8.44140625" style="276" bestFit="1" customWidth="1"/>
    <col min="13070" max="13070" width="11.88671875" style="276" customWidth="1"/>
    <col min="13071" max="13071" width="9" style="276" customWidth="1"/>
    <col min="13072" max="13072" width="8.44140625" style="276" bestFit="1" customWidth="1"/>
    <col min="13073" max="13073" width="11.88671875" style="276" customWidth="1"/>
    <col min="13074" max="13075" width="8.44140625" style="276" bestFit="1" customWidth="1"/>
    <col min="13076" max="13076" width="11.88671875" style="276" customWidth="1"/>
    <col min="13077" max="13078" width="9" style="276" customWidth="1"/>
    <col min="13079" max="13079" width="12" style="276" customWidth="1"/>
    <col min="13080" max="13080" width="9" style="276" bestFit="1" customWidth="1"/>
    <col min="13081" max="13081" width="8" style="276" bestFit="1" customWidth="1"/>
    <col min="13082" max="13082" width="11.88671875" style="276" customWidth="1"/>
    <col min="13083" max="13310" width="11.44140625" style="276"/>
    <col min="13311" max="13311" width="1.5546875" style="276" customWidth="1"/>
    <col min="13312" max="13312" width="21.109375" style="276" customWidth="1"/>
    <col min="13313" max="13313" width="7.109375" style="276" customWidth="1"/>
    <col min="13314" max="13314" width="36.88671875" style="276" bestFit="1" customWidth="1"/>
    <col min="13315" max="13316" width="9.109375" style="276" bestFit="1" customWidth="1"/>
    <col min="13317" max="13317" width="12" style="276" customWidth="1"/>
    <col min="13318" max="13318" width="8.44140625" style="276" bestFit="1" customWidth="1"/>
    <col min="13319" max="13319" width="9" style="276" customWidth="1"/>
    <col min="13320" max="13320" width="11.88671875" style="276" customWidth="1"/>
    <col min="13321" max="13321" width="9.109375" style="276" bestFit="1" customWidth="1"/>
    <col min="13322" max="13322" width="8.44140625" style="276" bestFit="1" customWidth="1"/>
    <col min="13323" max="13323" width="11.88671875" style="276" customWidth="1"/>
    <col min="13324" max="13325" width="8.44140625" style="276" bestFit="1" customWidth="1"/>
    <col min="13326" max="13326" width="11.88671875" style="276" customWidth="1"/>
    <col min="13327" max="13327" width="9" style="276" customWidth="1"/>
    <col min="13328" max="13328" width="8.44140625" style="276" bestFit="1" customWidth="1"/>
    <col min="13329" max="13329" width="11.88671875" style="276" customWidth="1"/>
    <col min="13330" max="13331" width="8.44140625" style="276" bestFit="1" customWidth="1"/>
    <col min="13332" max="13332" width="11.88671875" style="276" customWidth="1"/>
    <col min="13333" max="13334" width="9" style="276" customWidth="1"/>
    <col min="13335" max="13335" width="12" style="276" customWidth="1"/>
    <col min="13336" max="13336" width="9" style="276" bestFit="1" customWidth="1"/>
    <col min="13337" max="13337" width="8" style="276" bestFit="1" customWidth="1"/>
    <col min="13338" max="13338" width="11.88671875" style="276" customWidth="1"/>
    <col min="13339" max="13566" width="11.44140625" style="276"/>
    <col min="13567" max="13567" width="1.5546875" style="276" customWidth="1"/>
    <col min="13568" max="13568" width="21.109375" style="276" customWidth="1"/>
    <col min="13569" max="13569" width="7.109375" style="276" customWidth="1"/>
    <col min="13570" max="13570" width="36.88671875" style="276" bestFit="1" customWidth="1"/>
    <col min="13571" max="13572" width="9.109375" style="276" bestFit="1" customWidth="1"/>
    <col min="13573" max="13573" width="12" style="276" customWidth="1"/>
    <col min="13574" max="13574" width="8.44140625" style="276" bestFit="1" customWidth="1"/>
    <col min="13575" max="13575" width="9" style="276" customWidth="1"/>
    <col min="13576" max="13576" width="11.88671875" style="276" customWidth="1"/>
    <col min="13577" max="13577" width="9.109375" style="276" bestFit="1" customWidth="1"/>
    <col min="13578" max="13578" width="8.44140625" style="276" bestFit="1" customWidth="1"/>
    <col min="13579" max="13579" width="11.88671875" style="276" customWidth="1"/>
    <col min="13580" max="13581" width="8.44140625" style="276" bestFit="1" customWidth="1"/>
    <col min="13582" max="13582" width="11.88671875" style="276" customWidth="1"/>
    <col min="13583" max="13583" width="9" style="276" customWidth="1"/>
    <col min="13584" max="13584" width="8.44140625" style="276" bestFit="1" customWidth="1"/>
    <col min="13585" max="13585" width="11.88671875" style="276" customWidth="1"/>
    <col min="13586" max="13587" width="8.44140625" style="276" bestFit="1" customWidth="1"/>
    <col min="13588" max="13588" width="11.88671875" style="276" customWidth="1"/>
    <col min="13589" max="13590" width="9" style="276" customWidth="1"/>
    <col min="13591" max="13591" width="12" style="276" customWidth="1"/>
    <col min="13592" max="13592" width="9" style="276" bestFit="1" customWidth="1"/>
    <col min="13593" max="13593" width="8" style="276" bestFit="1" customWidth="1"/>
    <col min="13594" max="13594" width="11.88671875" style="276" customWidth="1"/>
    <col min="13595" max="13822" width="11.44140625" style="276"/>
    <col min="13823" max="13823" width="1.5546875" style="276" customWidth="1"/>
    <col min="13824" max="13824" width="21.109375" style="276" customWidth="1"/>
    <col min="13825" max="13825" width="7.109375" style="276" customWidth="1"/>
    <col min="13826" max="13826" width="36.88671875" style="276" bestFit="1" customWidth="1"/>
    <col min="13827" max="13828" width="9.109375" style="276" bestFit="1" customWidth="1"/>
    <col min="13829" max="13829" width="12" style="276" customWidth="1"/>
    <col min="13830" max="13830" width="8.44140625" style="276" bestFit="1" customWidth="1"/>
    <col min="13831" max="13831" width="9" style="276" customWidth="1"/>
    <col min="13832" max="13832" width="11.88671875" style="276" customWidth="1"/>
    <col min="13833" max="13833" width="9.109375" style="276" bestFit="1" customWidth="1"/>
    <col min="13834" max="13834" width="8.44140625" style="276" bestFit="1" customWidth="1"/>
    <col min="13835" max="13835" width="11.88671875" style="276" customWidth="1"/>
    <col min="13836" max="13837" width="8.44140625" style="276" bestFit="1" customWidth="1"/>
    <col min="13838" max="13838" width="11.88671875" style="276" customWidth="1"/>
    <col min="13839" max="13839" width="9" style="276" customWidth="1"/>
    <col min="13840" max="13840" width="8.44140625" style="276" bestFit="1" customWidth="1"/>
    <col min="13841" max="13841" width="11.88671875" style="276" customWidth="1"/>
    <col min="13842" max="13843" width="8.44140625" style="276" bestFit="1" customWidth="1"/>
    <col min="13844" max="13844" width="11.88671875" style="276" customWidth="1"/>
    <col min="13845" max="13846" width="9" style="276" customWidth="1"/>
    <col min="13847" max="13847" width="12" style="276" customWidth="1"/>
    <col min="13848" max="13848" width="9" style="276" bestFit="1" customWidth="1"/>
    <col min="13849" max="13849" width="8" style="276" bestFit="1" customWidth="1"/>
    <col min="13850" max="13850" width="11.88671875" style="276" customWidth="1"/>
    <col min="13851" max="14078" width="11.44140625" style="276"/>
    <col min="14079" max="14079" width="1.5546875" style="276" customWidth="1"/>
    <col min="14080" max="14080" width="21.109375" style="276" customWidth="1"/>
    <col min="14081" max="14081" width="7.109375" style="276" customWidth="1"/>
    <col min="14082" max="14082" width="36.88671875" style="276" bestFit="1" customWidth="1"/>
    <col min="14083" max="14084" width="9.109375" style="276" bestFit="1" customWidth="1"/>
    <col min="14085" max="14085" width="12" style="276" customWidth="1"/>
    <col min="14086" max="14086" width="8.44140625" style="276" bestFit="1" customWidth="1"/>
    <col min="14087" max="14087" width="9" style="276" customWidth="1"/>
    <col min="14088" max="14088" width="11.88671875" style="276" customWidth="1"/>
    <col min="14089" max="14089" width="9.109375" style="276" bestFit="1" customWidth="1"/>
    <col min="14090" max="14090" width="8.44140625" style="276" bestFit="1" customWidth="1"/>
    <col min="14091" max="14091" width="11.88671875" style="276" customWidth="1"/>
    <col min="14092" max="14093" width="8.44140625" style="276" bestFit="1" customWidth="1"/>
    <col min="14094" max="14094" width="11.88671875" style="276" customWidth="1"/>
    <col min="14095" max="14095" width="9" style="276" customWidth="1"/>
    <col min="14096" max="14096" width="8.44140625" style="276" bestFit="1" customWidth="1"/>
    <col min="14097" max="14097" width="11.88671875" style="276" customWidth="1"/>
    <col min="14098" max="14099" width="8.44140625" style="276" bestFit="1" customWidth="1"/>
    <col min="14100" max="14100" width="11.88671875" style="276" customWidth="1"/>
    <col min="14101" max="14102" width="9" style="276" customWidth="1"/>
    <col min="14103" max="14103" width="12" style="276" customWidth="1"/>
    <col min="14104" max="14104" width="9" style="276" bestFit="1" customWidth="1"/>
    <col min="14105" max="14105" width="8" style="276" bestFit="1" customWidth="1"/>
    <col min="14106" max="14106" width="11.88671875" style="276" customWidth="1"/>
    <col min="14107" max="14334" width="11.44140625" style="276"/>
    <col min="14335" max="14335" width="1.5546875" style="276" customWidth="1"/>
    <col min="14336" max="14336" width="21.109375" style="276" customWidth="1"/>
    <col min="14337" max="14337" width="7.109375" style="276" customWidth="1"/>
    <col min="14338" max="14338" width="36.88671875" style="276" bestFit="1" customWidth="1"/>
    <col min="14339" max="14340" width="9.109375" style="276" bestFit="1" customWidth="1"/>
    <col min="14341" max="14341" width="12" style="276" customWidth="1"/>
    <col min="14342" max="14342" width="8.44140625" style="276" bestFit="1" customWidth="1"/>
    <col min="14343" max="14343" width="9" style="276" customWidth="1"/>
    <col min="14344" max="14344" width="11.88671875" style="276" customWidth="1"/>
    <col min="14345" max="14345" width="9.109375" style="276" bestFit="1" customWidth="1"/>
    <col min="14346" max="14346" width="8.44140625" style="276" bestFit="1" customWidth="1"/>
    <col min="14347" max="14347" width="11.88671875" style="276" customWidth="1"/>
    <col min="14348" max="14349" width="8.44140625" style="276" bestFit="1" customWidth="1"/>
    <col min="14350" max="14350" width="11.88671875" style="276" customWidth="1"/>
    <col min="14351" max="14351" width="9" style="276" customWidth="1"/>
    <col min="14352" max="14352" width="8.44140625" style="276" bestFit="1" customWidth="1"/>
    <col min="14353" max="14353" width="11.88671875" style="276" customWidth="1"/>
    <col min="14354" max="14355" width="8.44140625" style="276" bestFit="1" customWidth="1"/>
    <col min="14356" max="14356" width="11.88671875" style="276" customWidth="1"/>
    <col min="14357" max="14358" width="9" style="276" customWidth="1"/>
    <col min="14359" max="14359" width="12" style="276" customWidth="1"/>
    <col min="14360" max="14360" width="9" style="276" bestFit="1" customWidth="1"/>
    <col min="14361" max="14361" width="8" style="276" bestFit="1" customWidth="1"/>
    <col min="14362" max="14362" width="11.88671875" style="276" customWidth="1"/>
    <col min="14363" max="14590" width="11.44140625" style="276"/>
    <col min="14591" max="14591" width="1.5546875" style="276" customWidth="1"/>
    <col min="14592" max="14592" width="21.109375" style="276" customWidth="1"/>
    <col min="14593" max="14593" width="7.109375" style="276" customWidth="1"/>
    <col min="14594" max="14594" width="36.88671875" style="276" bestFit="1" customWidth="1"/>
    <col min="14595" max="14596" width="9.109375" style="276" bestFit="1" customWidth="1"/>
    <col min="14597" max="14597" width="12" style="276" customWidth="1"/>
    <col min="14598" max="14598" width="8.44140625" style="276" bestFit="1" customWidth="1"/>
    <col min="14599" max="14599" width="9" style="276" customWidth="1"/>
    <col min="14600" max="14600" width="11.88671875" style="276" customWidth="1"/>
    <col min="14601" max="14601" width="9.109375" style="276" bestFit="1" customWidth="1"/>
    <col min="14602" max="14602" width="8.44140625" style="276" bestFit="1" customWidth="1"/>
    <col min="14603" max="14603" width="11.88671875" style="276" customWidth="1"/>
    <col min="14604" max="14605" width="8.44140625" style="276" bestFit="1" customWidth="1"/>
    <col min="14606" max="14606" width="11.88671875" style="276" customWidth="1"/>
    <col min="14607" max="14607" width="9" style="276" customWidth="1"/>
    <col min="14608" max="14608" width="8.44140625" style="276" bestFit="1" customWidth="1"/>
    <col min="14609" max="14609" width="11.88671875" style="276" customWidth="1"/>
    <col min="14610" max="14611" width="8.44140625" style="276" bestFit="1" customWidth="1"/>
    <col min="14612" max="14612" width="11.88671875" style="276" customWidth="1"/>
    <col min="14613" max="14614" width="9" style="276" customWidth="1"/>
    <col min="14615" max="14615" width="12" style="276" customWidth="1"/>
    <col min="14616" max="14616" width="9" style="276" bestFit="1" customWidth="1"/>
    <col min="14617" max="14617" width="8" style="276" bestFit="1" customWidth="1"/>
    <col min="14618" max="14618" width="11.88671875" style="276" customWidth="1"/>
    <col min="14619" max="14846" width="11.44140625" style="276"/>
    <col min="14847" max="14847" width="1.5546875" style="276" customWidth="1"/>
    <col min="14848" max="14848" width="21.109375" style="276" customWidth="1"/>
    <col min="14849" max="14849" width="7.109375" style="276" customWidth="1"/>
    <col min="14850" max="14850" width="36.88671875" style="276" bestFit="1" customWidth="1"/>
    <col min="14851" max="14852" width="9.109375" style="276" bestFit="1" customWidth="1"/>
    <col min="14853" max="14853" width="12" style="276" customWidth="1"/>
    <col min="14854" max="14854" width="8.44140625" style="276" bestFit="1" customWidth="1"/>
    <col min="14855" max="14855" width="9" style="276" customWidth="1"/>
    <col min="14856" max="14856" width="11.88671875" style="276" customWidth="1"/>
    <col min="14857" max="14857" width="9.109375" style="276" bestFit="1" customWidth="1"/>
    <col min="14858" max="14858" width="8.44140625" style="276" bestFit="1" customWidth="1"/>
    <col min="14859" max="14859" width="11.88671875" style="276" customWidth="1"/>
    <col min="14860" max="14861" width="8.44140625" style="276" bestFit="1" customWidth="1"/>
    <col min="14862" max="14862" width="11.88671875" style="276" customWidth="1"/>
    <col min="14863" max="14863" width="9" style="276" customWidth="1"/>
    <col min="14864" max="14864" width="8.44140625" style="276" bestFit="1" customWidth="1"/>
    <col min="14865" max="14865" width="11.88671875" style="276" customWidth="1"/>
    <col min="14866" max="14867" width="8.44140625" style="276" bestFit="1" customWidth="1"/>
    <col min="14868" max="14868" width="11.88671875" style="276" customWidth="1"/>
    <col min="14869" max="14870" width="9" style="276" customWidth="1"/>
    <col min="14871" max="14871" width="12" style="276" customWidth="1"/>
    <col min="14872" max="14872" width="9" style="276" bestFit="1" customWidth="1"/>
    <col min="14873" max="14873" width="8" style="276" bestFit="1" customWidth="1"/>
    <col min="14874" max="14874" width="11.88671875" style="276" customWidth="1"/>
    <col min="14875" max="15102" width="11.44140625" style="276"/>
    <col min="15103" max="15103" width="1.5546875" style="276" customWidth="1"/>
    <col min="15104" max="15104" width="21.109375" style="276" customWidth="1"/>
    <col min="15105" max="15105" width="7.109375" style="276" customWidth="1"/>
    <col min="15106" max="15106" width="36.88671875" style="276" bestFit="1" customWidth="1"/>
    <col min="15107" max="15108" width="9.109375" style="276" bestFit="1" customWidth="1"/>
    <col min="15109" max="15109" width="12" style="276" customWidth="1"/>
    <col min="15110" max="15110" width="8.44140625" style="276" bestFit="1" customWidth="1"/>
    <col min="15111" max="15111" width="9" style="276" customWidth="1"/>
    <col min="15112" max="15112" width="11.88671875" style="276" customWidth="1"/>
    <col min="15113" max="15113" width="9.109375" style="276" bestFit="1" customWidth="1"/>
    <col min="15114" max="15114" width="8.44140625" style="276" bestFit="1" customWidth="1"/>
    <col min="15115" max="15115" width="11.88671875" style="276" customWidth="1"/>
    <col min="15116" max="15117" width="8.44140625" style="276" bestFit="1" customWidth="1"/>
    <col min="15118" max="15118" width="11.88671875" style="276" customWidth="1"/>
    <col min="15119" max="15119" width="9" style="276" customWidth="1"/>
    <col min="15120" max="15120" width="8.44140625" style="276" bestFit="1" customWidth="1"/>
    <col min="15121" max="15121" width="11.88671875" style="276" customWidth="1"/>
    <col min="15122" max="15123" width="8.44140625" style="276" bestFit="1" customWidth="1"/>
    <col min="15124" max="15124" width="11.88671875" style="276" customWidth="1"/>
    <col min="15125" max="15126" width="9" style="276" customWidth="1"/>
    <col min="15127" max="15127" width="12" style="276" customWidth="1"/>
    <col min="15128" max="15128" width="9" style="276" bestFit="1" customWidth="1"/>
    <col min="15129" max="15129" width="8" style="276" bestFit="1" customWidth="1"/>
    <col min="15130" max="15130" width="11.88671875" style="276" customWidth="1"/>
    <col min="15131" max="15358" width="11.44140625" style="276"/>
    <col min="15359" max="15359" width="1.5546875" style="276" customWidth="1"/>
    <col min="15360" max="15360" width="21.109375" style="276" customWidth="1"/>
    <col min="15361" max="15361" width="7.109375" style="276" customWidth="1"/>
    <col min="15362" max="15362" width="36.88671875" style="276" bestFit="1" customWidth="1"/>
    <col min="15363" max="15364" width="9.109375" style="276" bestFit="1" customWidth="1"/>
    <col min="15365" max="15365" width="12" style="276" customWidth="1"/>
    <col min="15366" max="15366" width="8.44140625" style="276" bestFit="1" customWidth="1"/>
    <col min="15367" max="15367" width="9" style="276" customWidth="1"/>
    <col min="15368" max="15368" width="11.88671875" style="276" customWidth="1"/>
    <col min="15369" max="15369" width="9.109375" style="276" bestFit="1" customWidth="1"/>
    <col min="15370" max="15370" width="8.44140625" style="276" bestFit="1" customWidth="1"/>
    <col min="15371" max="15371" width="11.88671875" style="276" customWidth="1"/>
    <col min="15372" max="15373" width="8.44140625" style="276" bestFit="1" customWidth="1"/>
    <col min="15374" max="15374" width="11.88671875" style="276" customWidth="1"/>
    <col min="15375" max="15375" width="9" style="276" customWidth="1"/>
    <col min="15376" max="15376" width="8.44140625" style="276" bestFit="1" customWidth="1"/>
    <col min="15377" max="15377" width="11.88671875" style="276" customWidth="1"/>
    <col min="15378" max="15379" width="8.44140625" style="276" bestFit="1" customWidth="1"/>
    <col min="15380" max="15380" width="11.88671875" style="276" customWidth="1"/>
    <col min="15381" max="15382" width="9" style="276" customWidth="1"/>
    <col min="15383" max="15383" width="12" style="276" customWidth="1"/>
    <col min="15384" max="15384" width="9" style="276" bestFit="1" customWidth="1"/>
    <col min="15385" max="15385" width="8" style="276" bestFit="1" customWidth="1"/>
    <col min="15386" max="15386" width="11.88671875" style="276" customWidth="1"/>
    <col min="15387" max="15614" width="11.44140625" style="276"/>
    <col min="15615" max="15615" width="1.5546875" style="276" customWidth="1"/>
    <col min="15616" max="15616" width="21.109375" style="276" customWidth="1"/>
    <col min="15617" max="15617" width="7.109375" style="276" customWidth="1"/>
    <col min="15618" max="15618" width="36.88671875" style="276" bestFit="1" customWidth="1"/>
    <col min="15619" max="15620" width="9.109375" style="276" bestFit="1" customWidth="1"/>
    <col min="15621" max="15621" width="12" style="276" customWidth="1"/>
    <col min="15622" max="15622" width="8.44140625" style="276" bestFit="1" customWidth="1"/>
    <col min="15623" max="15623" width="9" style="276" customWidth="1"/>
    <col min="15624" max="15624" width="11.88671875" style="276" customWidth="1"/>
    <col min="15625" max="15625" width="9.109375" style="276" bestFit="1" customWidth="1"/>
    <col min="15626" max="15626" width="8.44140625" style="276" bestFit="1" customWidth="1"/>
    <col min="15627" max="15627" width="11.88671875" style="276" customWidth="1"/>
    <col min="15628" max="15629" width="8.44140625" style="276" bestFit="1" customWidth="1"/>
    <col min="15630" max="15630" width="11.88671875" style="276" customWidth="1"/>
    <col min="15631" max="15631" width="9" style="276" customWidth="1"/>
    <col min="15632" max="15632" width="8.44140625" style="276" bestFit="1" customWidth="1"/>
    <col min="15633" max="15633" width="11.88671875" style="276" customWidth="1"/>
    <col min="15634" max="15635" width="8.44140625" style="276" bestFit="1" customWidth="1"/>
    <col min="15636" max="15636" width="11.88671875" style="276" customWidth="1"/>
    <col min="15637" max="15638" width="9" style="276" customWidth="1"/>
    <col min="15639" max="15639" width="12" style="276" customWidth="1"/>
    <col min="15640" max="15640" width="9" style="276" bestFit="1" customWidth="1"/>
    <col min="15641" max="15641" width="8" style="276" bestFit="1" customWidth="1"/>
    <col min="15642" max="15642" width="11.88671875" style="276" customWidth="1"/>
    <col min="15643" max="15870" width="11.44140625" style="276"/>
    <col min="15871" max="15871" width="1.5546875" style="276" customWidth="1"/>
    <col min="15872" max="15872" width="21.109375" style="276" customWidth="1"/>
    <col min="15873" max="15873" width="7.109375" style="276" customWidth="1"/>
    <col min="15874" max="15874" width="36.88671875" style="276" bestFit="1" customWidth="1"/>
    <col min="15875" max="15876" width="9.109375" style="276" bestFit="1" customWidth="1"/>
    <col min="15877" max="15877" width="12" style="276" customWidth="1"/>
    <col min="15878" max="15878" width="8.44140625" style="276" bestFit="1" customWidth="1"/>
    <col min="15879" max="15879" width="9" style="276" customWidth="1"/>
    <col min="15880" max="15880" width="11.88671875" style="276" customWidth="1"/>
    <col min="15881" max="15881" width="9.109375" style="276" bestFit="1" customWidth="1"/>
    <col min="15882" max="15882" width="8.44140625" style="276" bestFit="1" customWidth="1"/>
    <col min="15883" max="15883" width="11.88671875" style="276" customWidth="1"/>
    <col min="15884" max="15885" width="8.44140625" style="276" bestFit="1" customWidth="1"/>
    <col min="15886" max="15886" width="11.88671875" style="276" customWidth="1"/>
    <col min="15887" max="15887" width="9" style="276" customWidth="1"/>
    <col min="15888" max="15888" width="8.44140625" style="276" bestFit="1" customWidth="1"/>
    <col min="15889" max="15889" width="11.88671875" style="276" customWidth="1"/>
    <col min="15890" max="15891" width="8.44140625" style="276" bestFit="1" customWidth="1"/>
    <col min="15892" max="15892" width="11.88671875" style="276" customWidth="1"/>
    <col min="15893" max="15894" width="9" style="276" customWidth="1"/>
    <col min="15895" max="15895" width="12" style="276" customWidth="1"/>
    <col min="15896" max="15896" width="9" style="276" bestFit="1" customWidth="1"/>
    <col min="15897" max="15897" width="8" style="276" bestFit="1" customWidth="1"/>
    <col min="15898" max="15898" width="11.88671875" style="276" customWidth="1"/>
    <col min="15899" max="16126" width="11.44140625" style="276"/>
    <col min="16127" max="16127" width="1.5546875" style="276" customWidth="1"/>
    <col min="16128" max="16128" width="21.109375" style="276" customWidth="1"/>
    <col min="16129" max="16129" width="7.109375" style="276" customWidth="1"/>
    <col min="16130" max="16130" width="36.88671875" style="276" bestFit="1" customWidth="1"/>
    <col min="16131" max="16132" width="9.109375" style="276" bestFit="1" customWidth="1"/>
    <col min="16133" max="16133" width="12" style="276" customWidth="1"/>
    <col min="16134" max="16134" width="8.44140625" style="276" bestFit="1" customWidth="1"/>
    <col min="16135" max="16135" width="9" style="276" customWidth="1"/>
    <col min="16136" max="16136" width="11.88671875" style="276" customWidth="1"/>
    <col min="16137" max="16137" width="9.109375" style="276" bestFit="1" customWidth="1"/>
    <col min="16138" max="16138" width="8.44140625" style="276" bestFit="1" customWidth="1"/>
    <col min="16139" max="16139" width="11.88671875" style="276" customWidth="1"/>
    <col min="16140" max="16141" width="8.44140625" style="276" bestFit="1" customWidth="1"/>
    <col min="16142" max="16142" width="11.88671875" style="276" customWidth="1"/>
    <col min="16143" max="16143" width="9" style="276" customWidth="1"/>
    <col min="16144" max="16144" width="8.44140625" style="276" bestFit="1" customWidth="1"/>
    <col min="16145" max="16145" width="11.88671875" style="276" customWidth="1"/>
    <col min="16146" max="16147" width="8.44140625" style="276" bestFit="1" customWidth="1"/>
    <col min="16148" max="16148" width="11.88671875" style="276" customWidth="1"/>
    <col min="16149" max="16150" width="9" style="276" customWidth="1"/>
    <col min="16151" max="16151" width="12" style="276" customWidth="1"/>
    <col min="16152" max="16152" width="9" style="276" bestFit="1" customWidth="1"/>
    <col min="16153" max="16153" width="8" style="276" bestFit="1" customWidth="1"/>
    <col min="16154" max="16154" width="11.88671875" style="276" customWidth="1"/>
    <col min="16155" max="16384" width="11.44140625" style="276"/>
  </cols>
  <sheetData>
    <row r="1" spans="1:62" s="272" customFormat="1" ht="15.75" customHeight="1" x14ac:dyDescent="0.3">
      <c r="B1" s="273" t="s">
        <v>142</v>
      </c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  <c r="Q1" s="274"/>
      <c r="R1" s="274"/>
      <c r="S1" s="274"/>
      <c r="T1" s="274"/>
      <c r="U1" s="274"/>
      <c r="V1" s="274"/>
      <c r="W1" s="274"/>
      <c r="X1" s="274"/>
      <c r="Y1" s="274"/>
      <c r="Z1" s="274"/>
    </row>
    <row r="2" spans="1:62" s="272" customFormat="1" ht="42.75" customHeight="1" x14ac:dyDescent="0.3">
      <c r="B2" s="275" t="s">
        <v>143</v>
      </c>
      <c r="C2" s="274"/>
      <c r="D2" s="274"/>
      <c r="E2" s="274"/>
      <c r="F2" s="274"/>
      <c r="G2" s="274"/>
      <c r="H2" s="274"/>
      <c r="I2" s="274"/>
      <c r="J2" s="274"/>
      <c r="K2" s="274"/>
      <c r="L2" s="274"/>
      <c r="M2" s="274"/>
      <c r="N2" s="274"/>
      <c r="O2" s="274"/>
      <c r="P2" s="274"/>
      <c r="Q2" s="274"/>
      <c r="R2" s="274"/>
      <c r="S2" s="274"/>
      <c r="T2" s="274"/>
      <c r="U2" s="274"/>
      <c r="V2" s="274"/>
      <c r="W2" s="274"/>
      <c r="X2" s="274"/>
      <c r="Y2" s="274"/>
      <c r="Z2" s="274"/>
    </row>
    <row r="3" spans="1:62" s="272" customFormat="1" ht="15.6" x14ac:dyDescent="0.3"/>
    <row r="4" spans="1:62" ht="15.75" customHeight="1" x14ac:dyDescent="0.3">
      <c r="A4" s="272"/>
      <c r="B4" s="5733" t="s">
        <v>45</v>
      </c>
      <c r="C4" s="5724">
        <v>2003</v>
      </c>
      <c r="D4" s="5725"/>
      <c r="E4" s="5726"/>
      <c r="F4" s="5724">
        <v>2004</v>
      </c>
      <c r="G4" s="5725"/>
      <c r="H4" s="5726"/>
      <c r="I4" s="5724">
        <v>2005</v>
      </c>
      <c r="J4" s="5725"/>
      <c r="K4" s="5726"/>
      <c r="L4" s="5724">
        <v>2006</v>
      </c>
      <c r="M4" s="5725"/>
      <c r="N4" s="5726"/>
      <c r="O4" s="5724">
        <v>2007</v>
      </c>
      <c r="P4" s="5725"/>
      <c r="Q4" s="5726"/>
      <c r="R4" s="5724">
        <v>2008</v>
      </c>
      <c r="S4" s="5725"/>
      <c r="T4" s="5726"/>
      <c r="U4" s="5724">
        <v>2009</v>
      </c>
      <c r="V4" s="5725"/>
      <c r="W4" s="5726"/>
      <c r="X4" s="5724">
        <v>2010</v>
      </c>
      <c r="Y4" s="5725"/>
      <c r="Z4" s="5726"/>
      <c r="AA4" s="5724">
        <v>2011</v>
      </c>
      <c r="AB4" s="5725"/>
      <c r="AC4" s="5726"/>
      <c r="AD4" s="5724">
        <v>2012</v>
      </c>
      <c r="AE4" s="5725"/>
      <c r="AF4" s="5726"/>
      <c r="AG4" s="5724">
        <v>2013</v>
      </c>
      <c r="AH4" s="5725"/>
      <c r="AI4" s="5726"/>
      <c r="AJ4" s="5724">
        <v>2014</v>
      </c>
      <c r="AK4" s="5725"/>
      <c r="AL4" s="5726"/>
      <c r="AM4" s="5724">
        <v>2015</v>
      </c>
      <c r="AN4" s="5725"/>
      <c r="AO4" s="5726"/>
      <c r="AP4" s="5724">
        <v>2016</v>
      </c>
      <c r="AQ4" s="5725"/>
      <c r="AR4" s="5726"/>
      <c r="AS4" s="5724">
        <v>2017</v>
      </c>
      <c r="AT4" s="5725"/>
      <c r="AU4" s="5726"/>
      <c r="AV4" s="5724">
        <v>2018</v>
      </c>
      <c r="AW4" s="5725"/>
      <c r="AX4" s="5726"/>
      <c r="AY4" s="5724">
        <v>2019</v>
      </c>
      <c r="AZ4" s="5725"/>
      <c r="BA4" s="5726"/>
      <c r="BB4" s="5724">
        <v>2020</v>
      </c>
      <c r="BC4" s="5725"/>
      <c r="BD4" s="5726"/>
      <c r="BE4" s="5724">
        <v>2021</v>
      </c>
      <c r="BF4" s="5725"/>
      <c r="BG4" s="5726"/>
      <c r="BH4" s="5724">
        <v>2022</v>
      </c>
      <c r="BI4" s="5725"/>
      <c r="BJ4" s="5726"/>
    </row>
    <row r="5" spans="1:62" s="277" customFormat="1" ht="15.6" x14ac:dyDescent="0.3">
      <c r="A5" s="272"/>
      <c r="B5" s="5733"/>
      <c r="C5" s="28" t="s">
        <v>46</v>
      </c>
      <c r="D5" s="29" t="s">
        <v>47</v>
      </c>
      <c r="E5" s="30" t="s">
        <v>48</v>
      </c>
      <c r="F5" s="28" t="s">
        <v>46</v>
      </c>
      <c r="G5" s="29" t="s">
        <v>47</v>
      </c>
      <c r="H5" s="30" t="s">
        <v>48</v>
      </c>
      <c r="I5" s="28" t="s">
        <v>46</v>
      </c>
      <c r="J5" s="29" t="s">
        <v>47</v>
      </c>
      <c r="K5" s="30" t="s">
        <v>48</v>
      </c>
      <c r="L5" s="28" t="s">
        <v>46</v>
      </c>
      <c r="M5" s="29" t="s">
        <v>47</v>
      </c>
      <c r="N5" s="30" t="s">
        <v>48</v>
      </c>
      <c r="O5" s="28" t="s">
        <v>46</v>
      </c>
      <c r="P5" s="29" t="s">
        <v>47</v>
      </c>
      <c r="Q5" s="30" t="s">
        <v>48</v>
      </c>
      <c r="R5" s="28" t="s">
        <v>46</v>
      </c>
      <c r="S5" s="29" t="s">
        <v>47</v>
      </c>
      <c r="T5" s="30" t="s">
        <v>48</v>
      </c>
      <c r="U5" s="28" t="s">
        <v>46</v>
      </c>
      <c r="V5" s="29" t="s">
        <v>47</v>
      </c>
      <c r="W5" s="30" t="s">
        <v>48</v>
      </c>
      <c r="X5" s="28" t="s">
        <v>46</v>
      </c>
      <c r="Y5" s="29" t="s">
        <v>47</v>
      </c>
      <c r="Z5" s="30" t="s">
        <v>48</v>
      </c>
      <c r="AA5" s="28" t="s">
        <v>46</v>
      </c>
      <c r="AB5" s="29" t="s">
        <v>47</v>
      </c>
      <c r="AC5" s="30" t="s">
        <v>48</v>
      </c>
      <c r="AD5" s="28" t="s">
        <v>46</v>
      </c>
      <c r="AE5" s="29" t="s">
        <v>47</v>
      </c>
      <c r="AF5" s="30" t="s">
        <v>48</v>
      </c>
      <c r="AG5" s="28" t="s">
        <v>46</v>
      </c>
      <c r="AH5" s="29" t="s">
        <v>47</v>
      </c>
      <c r="AI5" s="30" t="s">
        <v>48</v>
      </c>
      <c r="AJ5" s="28" t="s">
        <v>46</v>
      </c>
      <c r="AK5" s="29" t="s">
        <v>47</v>
      </c>
      <c r="AL5" s="30" t="s">
        <v>48</v>
      </c>
      <c r="AM5" s="28" t="s">
        <v>46</v>
      </c>
      <c r="AN5" s="29" t="s">
        <v>47</v>
      </c>
      <c r="AO5" s="30" t="s">
        <v>48</v>
      </c>
      <c r="AP5" s="28" t="s">
        <v>46</v>
      </c>
      <c r="AQ5" s="29" t="s">
        <v>47</v>
      </c>
      <c r="AR5" s="30" t="s">
        <v>48</v>
      </c>
      <c r="AS5" s="28" t="s">
        <v>46</v>
      </c>
      <c r="AT5" s="29" t="s">
        <v>47</v>
      </c>
      <c r="AU5" s="30" t="s">
        <v>48</v>
      </c>
      <c r="AV5" s="28" t="s">
        <v>46</v>
      </c>
      <c r="AW5" s="29" t="s">
        <v>47</v>
      </c>
      <c r="AX5" s="30" t="s">
        <v>48</v>
      </c>
      <c r="AY5" s="28" t="s">
        <v>46</v>
      </c>
      <c r="AZ5" s="29" t="s">
        <v>47</v>
      </c>
      <c r="BA5" s="30" t="s">
        <v>48</v>
      </c>
      <c r="BB5" s="28" t="s">
        <v>46</v>
      </c>
      <c r="BC5" s="29" t="s">
        <v>47</v>
      </c>
      <c r="BD5" s="30" t="s">
        <v>48</v>
      </c>
      <c r="BE5" s="28" t="s">
        <v>46</v>
      </c>
      <c r="BF5" s="29" t="s">
        <v>47</v>
      </c>
      <c r="BG5" s="30" t="s">
        <v>48</v>
      </c>
      <c r="BH5" s="28" t="s">
        <v>46</v>
      </c>
      <c r="BI5" s="29" t="s">
        <v>47</v>
      </c>
      <c r="BJ5" s="30" t="s">
        <v>48</v>
      </c>
    </row>
    <row r="6" spans="1:62" s="38" customFormat="1" ht="15" customHeight="1" x14ac:dyDescent="0.3">
      <c r="A6" s="272"/>
      <c r="B6" s="32" t="s">
        <v>49</v>
      </c>
      <c r="C6" s="278">
        <v>34</v>
      </c>
      <c r="D6" s="279">
        <v>53</v>
      </c>
      <c r="E6" s="35">
        <v>87</v>
      </c>
      <c r="F6" s="278">
        <v>24</v>
      </c>
      <c r="G6" s="279">
        <v>82</v>
      </c>
      <c r="H6" s="35">
        <v>106</v>
      </c>
      <c r="I6" s="33">
        <v>21</v>
      </c>
      <c r="J6" s="34">
        <v>62</v>
      </c>
      <c r="K6" s="35">
        <v>83</v>
      </c>
      <c r="L6" s="33">
        <v>44</v>
      </c>
      <c r="M6" s="34">
        <v>71</v>
      </c>
      <c r="N6" s="35">
        <v>115</v>
      </c>
      <c r="O6" s="33">
        <v>38</v>
      </c>
      <c r="P6" s="34">
        <v>114</v>
      </c>
      <c r="Q6" s="35">
        <v>152</v>
      </c>
      <c r="R6" s="33">
        <v>67</v>
      </c>
      <c r="S6" s="34">
        <v>148</v>
      </c>
      <c r="T6" s="35">
        <v>215</v>
      </c>
      <c r="U6" s="33">
        <v>76</v>
      </c>
      <c r="V6" s="34">
        <v>126</v>
      </c>
      <c r="W6" s="35">
        <v>202</v>
      </c>
      <c r="X6" s="33">
        <v>111</v>
      </c>
      <c r="Y6" s="34">
        <v>168</v>
      </c>
      <c r="Z6" s="35">
        <f>SUM(X6:Y6)</f>
        <v>279</v>
      </c>
      <c r="AA6" s="33">
        <v>108</v>
      </c>
      <c r="AB6" s="34">
        <v>111</v>
      </c>
      <c r="AC6" s="35">
        <f>SUM(AA6:AB6)</f>
        <v>219</v>
      </c>
      <c r="AD6" s="33">
        <v>56</v>
      </c>
      <c r="AE6" s="34">
        <v>103</v>
      </c>
      <c r="AF6" s="35">
        <f>SUM(AD6:AE6)</f>
        <v>159</v>
      </c>
      <c r="AG6" s="33">
        <v>60</v>
      </c>
      <c r="AH6" s="34">
        <v>96</v>
      </c>
      <c r="AI6" s="35">
        <f>SUM(AG6:AH6)</f>
        <v>156</v>
      </c>
      <c r="AJ6" s="36">
        <v>47</v>
      </c>
      <c r="AK6" s="34">
        <v>105</v>
      </c>
      <c r="AL6" s="35">
        <f>SUM(AJ6:AK6)</f>
        <v>152</v>
      </c>
      <c r="AM6" s="36">
        <v>40</v>
      </c>
      <c r="AN6" s="34">
        <v>83</v>
      </c>
      <c r="AO6" s="35">
        <f>SUM(AM6:AN6)</f>
        <v>123</v>
      </c>
      <c r="AP6" s="36">
        <v>48</v>
      </c>
      <c r="AQ6" s="34">
        <v>105</v>
      </c>
      <c r="AR6" s="35">
        <f>SUM(AP6:AQ6)</f>
        <v>153</v>
      </c>
      <c r="AS6" s="36">
        <v>60</v>
      </c>
      <c r="AT6" s="34">
        <v>96</v>
      </c>
      <c r="AU6" s="35">
        <f>SUM(AS6:AT6)</f>
        <v>156</v>
      </c>
      <c r="AV6" s="36">
        <v>47</v>
      </c>
      <c r="AW6" s="34">
        <v>103</v>
      </c>
      <c r="AX6" s="35">
        <f>SUM(AV6:AW6)</f>
        <v>150</v>
      </c>
      <c r="AY6" s="36">
        <v>106</v>
      </c>
      <c r="AZ6" s="34">
        <v>122</v>
      </c>
      <c r="BA6" s="35">
        <f>SUM(AY6:AZ6)</f>
        <v>228</v>
      </c>
      <c r="BB6" s="36">
        <v>62</v>
      </c>
      <c r="BC6" s="34">
        <v>82</v>
      </c>
      <c r="BD6" s="35">
        <f>SUM(BB6:BC6)</f>
        <v>144</v>
      </c>
      <c r="BE6" s="36">
        <v>75</v>
      </c>
      <c r="BF6" s="34">
        <v>70</v>
      </c>
      <c r="BG6" s="35">
        <f>SUM(BE6:BF6)</f>
        <v>145</v>
      </c>
      <c r="BH6" s="36">
        <v>65</v>
      </c>
      <c r="BI6" s="34">
        <v>84</v>
      </c>
      <c r="BJ6" s="35">
        <f>SUM(BH6:BI6)</f>
        <v>149</v>
      </c>
    </row>
    <row r="7" spans="1:62" s="38" customFormat="1" ht="15" customHeight="1" x14ac:dyDescent="0.3">
      <c r="A7" s="272"/>
      <c r="B7" s="39" t="s">
        <v>50</v>
      </c>
      <c r="C7" s="280">
        <v>35</v>
      </c>
      <c r="D7" s="281">
        <v>93</v>
      </c>
      <c r="E7" s="42">
        <v>128</v>
      </c>
      <c r="F7" s="280">
        <v>40</v>
      </c>
      <c r="G7" s="281">
        <v>135</v>
      </c>
      <c r="H7" s="42">
        <v>175</v>
      </c>
      <c r="I7" s="40">
        <v>68</v>
      </c>
      <c r="J7" s="41">
        <v>100</v>
      </c>
      <c r="K7" s="42">
        <v>168</v>
      </c>
      <c r="L7" s="40">
        <v>58</v>
      </c>
      <c r="M7" s="41">
        <v>140</v>
      </c>
      <c r="N7" s="42">
        <v>198</v>
      </c>
      <c r="O7" s="40">
        <v>57</v>
      </c>
      <c r="P7" s="41">
        <v>162</v>
      </c>
      <c r="Q7" s="42">
        <v>219</v>
      </c>
      <c r="R7" s="40">
        <v>83</v>
      </c>
      <c r="S7" s="41">
        <v>162</v>
      </c>
      <c r="T7" s="42">
        <v>245</v>
      </c>
      <c r="U7" s="40">
        <v>102</v>
      </c>
      <c r="V7" s="41">
        <v>157</v>
      </c>
      <c r="W7" s="42">
        <v>259</v>
      </c>
      <c r="X7" s="40">
        <v>116</v>
      </c>
      <c r="Y7" s="41">
        <v>225</v>
      </c>
      <c r="Z7" s="42">
        <f t="shared" ref="Z7:Z69" si="0">SUM(X7:Y7)</f>
        <v>341</v>
      </c>
      <c r="AA7" s="40">
        <v>114</v>
      </c>
      <c r="AB7" s="41">
        <v>115</v>
      </c>
      <c r="AC7" s="42">
        <f t="shared" ref="AC7:AC69" si="1">SUM(AA7:AB7)</f>
        <v>229</v>
      </c>
      <c r="AD7" s="40">
        <v>56</v>
      </c>
      <c r="AE7" s="41">
        <v>106</v>
      </c>
      <c r="AF7" s="42">
        <f t="shared" ref="AF7:AF83" si="2">SUM(AD7:AE7)</f>
        <v>162</v>
      </c>
      <c r="AG7" s="40">
        <v>60</v>
      </c>
      <c r="AH7" s="41">
        <v>97</v>
      </c>
      <c r="AI7" s="42">
        <f t="shared" ref="AI7:AI15" si="3">SUM(AG7:AH7)</f>
        <v>157</v>
      </c>
      <c r="AJ7" s="43">
        <v>47</v>
      </c>
      <c r="AK7" s="41">
        <v>115</v>
      </c>
      <c r="AL7" s="42">
        <f t="shared" ref="AL7:AL15" si="4">SUM(AJ7:AK7)</f>
        <v>162</v>
      </c>
      <c r="AM7" s="43">
        <v>40</v>
      </c>
      <c r="AN7" s="41">
        <v>88</v>
      </c>
      <c r="AO7" s="42">
        <f t="shared" ref="AO7:AO15" si="5">SUM(AM7:AN7)</f>
        <v>128</v>
      </c>
      <c r="AP7" s="43">
        <v>72</v>
      </c>
      <c r="AQ7" s="41">
        <v>117</v>
      </c>
      <c r="AR7" s="42">
        <f t="shared" ref="AR7:AR15" si="6">SUM(AP7:AQ7)</f>
        <v>189</v>
      </c>
      <c r="AS7" s="43">
        <v>70</v>
      </c>
      <c r="AT7" s="41">
        <v>116</v>
      </c>
      <c r="AU7" s="42">
        <f t="shared" ref="AU7:AU15" si="7">SUM(AS7:AT7)</f>
        <v>186</v>
      </c>
      <c r="AV7" s="43">
        <v>75</v>
      </c>
      <c r="AW7" s="41">
        <v>138</v>
      </c>
      <c r="AX7" s="42">
        <f t="shared" ref="AX7:AX15" si="8">SUM(AV7:AW7)</f>
        <v>213</v>
      </c>
      <c r="AY7" s="43">
        <v>160</v>
      </c>
      <c r="AZ7" s="41">
        <v>150</v>
      </c>
      <c r="BA7" s="42">
        <f t="shared" ref="BA7:BA15" si="9">SUM(AY7:AZ7)</f>
        <v>310</v>
      </c>
      <c r="BB7" s="43">
        <v>65</v>
      </c>
      <c r="BC7" s="41">
        <v>90</v>
      </c>
      <c r="BD7" s="42">
        <f t="shared" ref="BD7:BD15" si="10">SUM(BB7:BC7)</f>
        <v>155</v>
      </c>
      <c r="BE7" s="43">
        <v>84</v>
      </c>
      <c r="BF7" s="41">
        <v>104</v>
      </c>
      <c r="BG7" s="42">
        <f t="shared" ref="BG7:BG15" si="11">SUM(BE7:BF7)</f>
        <v>188</v>
      </c>
      <c r="BH7" s="43">
        <v>72</v>
      </c>
      <c r="BI7" s="41">
        <v>119</v>
      </c>
      <c r="BJ7" s="42">
        <f t="shared" ref="BJ7:BJ15" si="12">SUM(BH7:BI7)</f>
        <v>191</v>
      </c>
    </row>
    <row r="8" spans="1:62" s="38" customFormat="1" ht="15" customHeight="1" x14ac:dyDescent="0.3">
      <c r="A8" s="272"/>
      <c r="B8" s="39" t="s">
        <v>51</v>
      </c>
      <c r="C8" s="280">
        <v>24</v>
      </c>
      <c r="D8" s="281">
        <v>57</v>
      </c>
      <c r="E8" s="42">
        <v>81</v>
      </c>
      <c r="F8" s="280">
        <v>58</v>
      </c>
      <c r="G8" s="281">
        <v>80</v>
      </c>
      <c r="H8" s="42">
        <v>138</v>
      </c>
      <c r="I8" s="40">
        <v>20</v>
      </c>
      <c r="J8" s="41">
        <v>39</v>
      </c>
      <c r="K8" s="42">
        <v>59</v>
      </c>
      <c r="L8" s="40">
        <v>27</v>
      </c>
      <c r="M8" s="41">
        <v>50</v>
      </c>
      <c r="N8" s="42">
        <v>77</v>
      </c>
      <c r="O8" s="40">
        <v>33</v>
      </c>
      <c r="P8" s="41">
        <v>57</v>
      </c>
      <c r="Q8" s="42">
        <v>90</v>
      </c>
      <c r="R8" s="40">
        <v>35</v>
      </c>
      <c r="S8" s="41">
        <v>75</v>
      </c>
      <c r="T8" s="42">
        <v>110</v>
      </c>
      <c r="U8" s="40">
        <v>54</v>
      </c>
      <c r="V8" s="41">
        <v>84</v>
      </c>
      <c r="W8" s="42">
        <v>138</v>
      </c>
      <c r="X8" s="40">
        <v>29</v>
      </c>
      <c r="Y8" s="41">
        <v>74</v>
      </c>
      <c r="Z8" s="42">
        <f t="shared" si="0"/>
        <v>103</v>
      </c>
      <c r="AA8" s="40">
        <v>97</v>
      </c>
      <c r="AB8" s="41">
        <v>77</v>
      </c>
      <c r="AC8" s="42">
        <f t="shared" si="1"/>
        <v>174</v>
      </c>
      <c r="AD8" s="40">
        <v>55</v>
      </c>
      <c r="AE8" s="41">
        <v>78</v>
      </c>
      <c r="AF8" s="42">
        <f t="shared" si="2"/>
        <v>133</v>
      </c>
      <c r="AG8" s="40">
        <v>61</v>
      </c>
      <c r="AH8" s="41">
        <v>85</v>
      </c>
      <c r="AI8" s="42">
        <f t="shared" si="3"/>
        <v>146</v>
      </c>
      <c r="AJ8" s="43">
        <v>32</v>
      </c>
      <c r="AK8" s="41">
        <v>75</v>
      </c>
      <c r="AL8" s="42">
        <f t="shared" si="4"/>
        <v>107</v>
      </c>
      <c r="AM8" s="43">
        <v>35</v>
      </c>
      <c r="AN8" s="41">
        <v>71</v>
      </c>
      <c r="AO8" s="42">
        <f t="shared" si="5"/>
        <v>106</v>
      </c>
      <c r="AP8" s="43">
        <v>27</v>
      </c>
      <c r="AQ8" s="41">
        <v>48</v>
      </c>
      <c r="AR8" s="42">
        <f t="shared" si="6"/>
        <v>75</v>
      </c>
      <c r="AS8" s="43">
        <v>45</v>
      </c>
      <c r="AT8" s="41">
        <v>64</v>
      </c>
      <c r="AU8" s="42">
        <f t="shared" si="7"/>
        <v>109</v>
      </c>
      <c r="AV8" s="43">
        <v>35</v>
      </c>
      <c r="AW8" s="41">
        <v>72</v>
      </c>
      <c r="AX8" s="42">
        <f t="shared" si="8"/>
        <v>107</v>
      </c>
      <c r="AY8" s="43">
        <v>61</v>
      </c>
      <c r="AZ8" s="41">
        <v>61</v>
      </c>
      <c r="BA8" s="42">
        <f t="shared" si="9"/>
        <v>122</v>
      </c>
      <c r="BB8" s="43">
        <v>38</v>
      </c>
      <c r="BC8" s="41">
        <v>48</v>
      </c>
      <c r="BD8" s="42">
        <f t="shared" si="10"/>
        <v>86</v>
      </c>
      <c r="BE8" s="43">
        <v>36</v>
      </c>
      <c r="BF8" s="41">
        <v>53</v>
      </c>
      <c r="BG8" s="42">
        <f t="shared" si="11"/>
        <v>89</v>
      </c>
      <c r="BH8" s="43">
        <v>47</v>
      </c>
      <c r="BI8" s="41">
        <v>50</v>
      </c>
      <c r="BJ8" s="42">
        <f t="shared" si="12"/>
        <v>97</v>
      </c>
    </row>
    <row r="9" spans="1:62" s="38" customFormat="1" ht="15" customHeight="1" x14ac:dyDescent="0.3">
      <c r="A9" s="272"/>
      <c r="B9" s="39" t="s">
        <v>52</v>
      </c>
      <c r="C9" s="280">
        <v>18</v>
      </c>
      <c r="D9" s="281">
        <v>41</v>
      </c>
      <c r="E9" s="42">
        <v>59</v>
      </c>
      <c r="F9" s="280">
        <v>30</v>
      </c>
      <c r="G9" s="281">
        <v>54</v>
      </c>
      <c r="H9" s="42">
        <v>84</v>
      </c>
      <c r="I9" s="40">
        <v>28</v>
      </c>
      <c r="J9" s="41">
        <v>54</v>
      </c>
      <c r="K9" s="42">
        <v>82</v>
      </c>
      <c r="L9" s="40">
        <v>16</v>
      </c>
      <c r="M9" s="41">
        <v>42</v>
      </c>
      <c r="N9" s="42">
        <v>58</v>
      </c>
      <c r="O9" s="40">
        <v>11</v>
      </c>
      <c r="P9" s="41">
        <v>42</v>
      </c>
      <c r="Q9" s="42">
        <v>53</v>
      </c>
      <c r="R9" s="40">
        <v>26</v>
      </c>
      <c r="S9" s="41">
        <v>61</v>
      </c>
      <c r="T9" s="42">
        <v>87</v>
      </c>
      <c r="U9" s="40">
        <v>28</v>
      </c>
      <c r="V9" s="41">
        <v>70</v>
      </c>
      <c r="W9" s="42">
        <v>98</v>
      </c>
      <c r="X9" s="40">
        <v>38</v>
      </c>
      <c r="Y9" s="41">
        <v>94</v>
      </c>
      <c r="Z9" s="42">
        <f t="shared" si="0"/>
        <v>132</v>
      </c>
      <c r="AA9" s="40">
        <v>94</v>
      </c>
      <c r="AB9" s="41">
        <v>81</v>
      </c>
      <c r="AC9" s="42">
        <f t="shared" si="1"/>
        <v>175</v>
      </c>
      <c r="AD9" s="40">
        <v>45</v>
      </c>
      <c r="AE9" s="41">
        <v>87</v>
      </c>
      <c r="AF9" s="42">
        <f t="shared" si="2"/>
        <v>132</v>
      </c>
      <c r="AG9" s="40">
        <v>60</v>
      </c>
      <c r="AH9" s="41">
        <v>92</v>
      </c>
      <c r="AI9" s="42">
        <f t="shared" si="3"/>
        <v>152</v>
      </c>
      <c r="AJ9" s="43">
        <v>49</v>
      </c>
      <c r="AK9" s="41">
        <v>97</v>
      </c>
      <c r="AL9" s="42">
        <f t="shared" si="4"/>
        <v>146</v>
      </c>
      <c r="AM9" s="43">
        <v>40</v>
      </c>
      <c r="AN9" s="41">
        <v>90</v>
      </c>
      <c r="AO9" s="42">
        <f t="shared" si="5"/>
        <v>130</v>
      </c>
      <c r="AP9" s="43">
        <v>42</v>
      </c>
      <c r="AQ9" s="41">
        <v>77</v>
      </c>
      <c r="AR9" s="42">
        <f t="shared" si="6"/>
        <v>119</v>
      </c>
      <c r="AS9" s="43">
        <v>60</v>
      </c>
      <c r="AT9" s="41">
        <v>102</v>
      </c>
      <c r="AU9" s="42">
        <f t="shared" si="7"/>
        <v>162</v>
      </c>
      <c r="AV9" s="43">
        <v>60</v>
      </c>
      <c r="AW9" s="41">
        <v>118</v>
      </c>
      <c r="AX9" s="42">
        <f t="shared" si="8"/>
        <v>178</v>
      </c>
      <c r="AY9" s="43">
        <v>111</v>
      </c>
      <c r="AZ9" s="41">
        <v>114</v>
      </c>
      <c r="BA9" s="42">
        <f t="shared" si="9"/>
        <v>225</v>
      </c>
      <c r="BB9" s="43">
        <v>61</v>
      </c>
      <c r="BC9" s="41">
        <v>84</v>
      </c>
      <c r="BD9" s="42">
        <f t="shared" si="10"/>
        <v>145</v>
      </c>
      <c r="BE9" s="43">
        <v>63</v>
      </c>
      <c r="BF9" s="41">
        <v>52</v>
      </c>
      <c r="BG9" s="42">
        <f t="shared" si="11"/>
        <v>115</v>
      </c>
      <c r="BH9" s="43">
        <v>60</v>
      </c>
      <c r="BI9" s="41">
        <v>70</v>
      </c>
      <c r="BJ9" s="42">
        <f t="shared" si="12"/>
        <v>130</v>
      </c>
    </row>
    <row r="10" spans="1:62" s="38" customFormat="1" ht="15" customHeight="1" x14ac:dyDescent="0.3">
      <c r="A10" s="272"/>
      <c r="B10" s="39" t="s">
        <v>53</v>
      </c>
      <c r="C10" s="280">
        <v>90</v>
      </c>
      <c r="D10" s="281">
        <v>169</v>
      </c>
      <c r="E10" s="42">
        <v>259</v>
      </c>
      <c r="F10" s="280">
        <v>130</v>
      </c>
      <c r="G10" s="281">
        <v>168</v>
      </c>
      <c r="H10" s="42">
        <v>298</v>
      </c>
      <c r="I10" s="40">
        <v>101</v>
      </c>
      <c r="J10" s="41">
        <v>182</v>
      </c>
      <c r="K10" s="42">
        <v>283</v>
      </c>
      <c r="L10" s="40">
        <v>90</v>
      </c>
      <c r="M10" s="41">
        <v>231</v>
      </c>
      <c r="N10" s="42">
        <v>321</v>
      </c>
      <c r="O10" s="40">
        <v>123</v>
      </c>
      <c r="P10" s="41">
        <v>230</v>
      </c>
      <c r="Q10" s="42">
        <v>353</v>
      </c>
      <c r="R10" s="40">
        <v>98</v>
      </c>
      <c r="S10" s="41">
        <v>187</v>
      </c>
      <c r="T10" s="42">
        <v>285</v>
      </c>
      <c r="U10" s="40">
        <v>95</v>
      </c>
      <c r="V10" s="41">
        <v>131</v>
      </c>
      <c r="W10" s="42">
        <v>226</v>
      </c>
      <c r="X10" s="40">
        <v>118</v>
      </c>
      <c r="Y10" s="41">
        <v>189</v>
      </c>
      <c r="Z10" s="42">
        <f t="shared" si="0"/>
        <v>307</v>
      </c>
      <c r="AA10" s="40">
        <v>112</v>
      </c>
      <c r="AB10" s="41">
        <v>107</v>
      </c>
      <c r="AC10" s="42">
        <f t="shared" si="1"/>
        <v>219</v>
      </c>
      <c r="AD10" s="40">
        <v>46</v>
      </c>
      <c r="AE10" s="41">
        <v>98</v>
      </c>
      <c r="AF10" s="42">
        <f t="shared" si="2"/>
        <v>144</v>
      </c>
      <c r="AG10" s="40">
        <v>60</v>
      </c>
      <c r="AH10" s="41">
        <v>103</v>
      </c>
      <c r="AI10" s="42">
        <f t="shared" si="3"/>
        <v>163</v>
      </c>
      <c r="AJ10" s="43">
        <v>47</v>
      </c>
      <c r="AK10" s="41">
        <v>100</v>
      </c>
      <c r="AL10" s="42">
        <f t="shared" si="4"/>
        <v>147</v>
      </c>
      <c r="AM10" s="43">
        <v>40</v>
      </c>
      <c r="AN10" s="41">
        <v>91</v>
      </c>
      <c r="AO10" s="42">
        <f t="shared" si="5"/>
        <v>131</v>
      </c>
      <c r="AP10" s="43">
        <v>73</v>
      </c>
      <c r="AQ10" s="41">
        <v>123</v>
      </c>
      <c r="AR10" s="42">
        <f t="shared" si="6"/>
        <v>196</v>
      </c>
      <c r="AS10" s="43">
        <v>70</v>
      </c>
      <c r="AT10" s="41">
        <v>125</v>
      </c>
      <c r="AU10" s="42">
        <f t="shared" si="7"/>
        <v>195</v>
      </c>
      <c r="AV10" s="43">
        <v>70</v>
      </c>
      <c r="AW10" s="41">
        <v>151</v>
      </c>
      <c r="AX10" s="42">
        <f t="shared" si="8"/>
        <v>221</v>
      </c>
      <c r="AY10" s="43">
        <v>120</v>
      </c>
      <c r="AZ10" s="41">
        <v>109</v>
      </c>
      <c r="BA10" s="42">
        <f t="shared" si="9"/>
        <v>229</v>
      </c>
      <c r="BB10" s="43">
        <v>70</v>
      </c>
      <c r="BC10" s="41">
        <v>100</v>
      </c>
      <c r="BD10" s="42">
        <f t="shared" si="10"/>
        <v>170</v>
      </c>
      <c r="BE10" s="43">
        <v>88</v>
      </c>
      <c r="BF10" s="41">
        <v>93</v>
      </c>
      <c r="BG10" s="42">
        <f t="shared" si="11"/>
        <v>181</v>
      </c>
      <c r="BH10" s="43">
        <v>70</v>
      </c>
      <c r="BI10" s="41">
        <v>118</v>
      </c>
      <c r="BJ10" s="42">
        <f t="shared" si="12"/>
        <v>188</v>
      </c>
    </row>
    <row r="11" spans="1:62" s="38" customFormat="1" ht="15" customHeight="1" x14ac:dyDescent="0.3">
      <c r="A11" s="272"/>
      <c r="B11" s="39" t="s">
        <v>54</v>
      </c>
      <c r="C11" s="280">
        <v>56</v>
      </c>
      <c r="D11" s="281">
        <v>133</v>
      </c>
      <c r="E11" s="42">
        <v>189</v>
      </c>
      <c r="F11" s="280">
        <v>69</v>
      </c>
      <c r="G11" s="281">
        <v>134</v>
      </c>
      <c r="H11" s="42">
        <v>203</v>
      </c>
      <c r="I11" s="40">
        <v>91</v>
      </c>
      <c r="J11" s="41">
        <v>144</v>
      </c>
      <c r="K11" s="42">
        <v>235</v>
      </c>
      <c r="L11" s="40">
        <v>102</v>
      </c>
      <c r="M11" s="41">
        <v>173</v>
      </c>
      <c r="N11" s="42">
        <v>275</v>
      </c>
      <c r="O11" s="40">
        <v>63</v>
      </c>
      <c r="P11" s="41">
        <v>208</v>
      </c>
      <c r="Q11" s="42">
        <v>271</v>
      </c>
      <c r="R11" s="40">
        <v>73</v>
      </c>
      <c r="S11" s="41">
        <v>165</v>
      </c>
      <c r="T11" s="42">
        <v>238</v>
      </c>
      <c r="U11" s="40">
        <v>87</v>
      </c>
      <c r="V11" s="41">
        <v>144</v>
      </c>
      <c r="W11" s="42">
        <v>231</v>
      </c>
      <c r="X11" s="40">
        <v>111</v>
      </c>
      <c r="Y11" s="41">
        <v>167</v>
      </c>
      <c r="Z11" s="42">
        <f t="shared" si="0"/>
        <v>278</v>
      </c>
      <c r="AA11" s="40">
        <v>115</v>
      </c>
      <c r="AB11" s="41">
        <v>107</v>
      </c>
      <c r="AC11" s="42">
        <f t="shared" si="1"/>
        <v>222</v>
      </c>
      <c r="AD11" s="40">
        <v>45</v>
      </c>
      <c r="AE11" s="41">
        <v>92</v>
      </c>
      <c r="AF11" s="42">
        <f t="shared" si="2"/>
        <v>137</v>
      </c>
      <c r="AG11" s="40">
        <v>60</v>
      </c>
      <c r="AH11" s="41">
        <v>98</v>
      </c>
      <c r="AI11" s="42">
        <f t="shared" si="3"/>
        <v>158</v>
      </c>
      <c r="AJ11" s="43">
        <v>47</v>
      </c>
      <c r="AK11" s="41">
        <v>110</v>
      </c>
      <c r="AL11" s="42">
        <f t="shared" si="4"/>
        <v>157</v>
      </c>
      <c r="AM11" s="43">
        <v>40</v>
      </c>
      <c r="AN11" s="41">
        <v>88</v>
      </c>
      <c r="AO11" s="42">
        <f t="shared" si="5"/>
        <v>128</v>
      </c>
      <c r="AP11" s="43">
        <v>72</v>
      </c>
      <c r="AQ11" s="41">
        <v>116</v>
      </c>
      <c r="AR11" s="42">
        <f t="shared" si="6"/>
        <v>188</v>
      </c>
      <c r="AS11" s="43">
        <v>70</v>
      </c>
      <c r="AT11" s="41">
        <v>125</v>
      </c>
      <c r="AU11" s="42">
        <f t="shared" si="7"/>
        <v>195</v>
      </c>
      <c r="AV11" s="43">
        <v>74</v>
      </c>
      <c r="AW11" s="41">
        <v>145</v>
      </c>
      <c r="AX11" s="42">
        <f t="shared" si="8"/>
        <v>219</v>
      </c>
      <c r="AY11" s="43">
        <v>141</v>
      </c>
      <c r="AZ11" s="41">
        <v>124</v>
      </c>
      <c r="BA11" s="42">
        <f t="shared" si="9"/>
        <v>265</v>
      </c>
      <c r="BB11" s="43">
        <v>63</v>
      </c>
      <c r="BC11" s="41">
        <v>95</v>
      </c>
      <c r="BD11" s="42">
        <f t="shared" si="10"/>
        <v>158</v>
      </c>
      <c r="BE11" s="43">
        <v>83</v>
      </c>
      <c r="BF11" s="41">
        <v>101</v>
      </c>
      <c r="BG11" s="42">
        <f t="shared" si="11"/>
        <v>184</v>
      </c>
      <c r="BH11" s="43">
        <v>72</v>
      </c>
      <c r="BI11" s="41">
        <v>112</v>
      </c>
      <c r="BJ11" s="42">
        <f t="shared" si="12"/>
        <v>184</v>
      </c>
    </row>
    <row r="12" spans="1:62" s="38" customFormat="1" ht="15" customHeight="1" x14ac:dyDescent="0.3">
      <c r="A12" s="272"/>
      <c r="B12" s="39" t="s">
        <v>55</v>
      </c>
      <c r="C12" s="280">
        <v>4</v>
      </c>
      <c r="D12" s="281">
        <v>13</v>
      </c>
      <c r="E12" s="42">
        <v>17</v>
      </c>
      <c r="F12" s="280">
        <v>7</v>
      </c>
      <c r="G12" s="281">
        <v>29</v>
      </c>
      <c r="H12" s="42">
        <v>36</v>
      </c>
      <c r="I12" s="40">
        <v>13</v>
      </c>
      <c r="J12" s="41">
        <v>27</v>
      </c>
      <c r="K12" s="42">
        <v>40</v>
      </c>
      <c r="L12" s="40">
        <v>8</v>
      </c>
      <c r="M12" s="41">
        <v>39</v>
      </c>
      <c r="N12" s="42">
        <v>47</v>
      </c>
      <c r="O12" s="40">
        <v>14</v>
      </c>
      <c r="P12" s="41">
        <v>29</v>
      </c>
      <c r="Q12" s="42">
        <v>43</v>
      </c>
      <c r="R12" s="40">
        <v>12</v>
      </c>
      <c r="S12" s="41">
        <v>42</v>
      </c>
      <c r="T12" s="42">
        <v>54</v>
      </c>
      <c r="U12" s="40">
        <v>21</v>
      </c>
      <c r="V12" s="41">
        <v>59</v>
      </c>
      <c r="W12" s="42">
        <v>80</v>
      </c>
      <c r="X12" s="40">
        <v>22</v>
      </c>
      <c r="Y12" s="41">
        <v>59</v>
      </c>
      <c r="Z12" s="42">
        <f t="shared" si="0"/>
        <v>81</v>
      </c>
      <c r="AA12" s="40">
        <v>96</v>
      </c>
      <c r="AB12" s="41">
        <v>51</v>
      </c>
      <c r="AC12" s="42">
        <f t="shared" si="1"/>
        <v>147</v>
      </c>
      <c r="AD12" s="40">
        <v>55</v>
      </c>
      <c r="AE12" s="41">
        <v>75</v>
      </c>
      <c r="AF12" s="42">
        <f t="shared" si="2"/>
        <v>130</v>
      </c>
      <c r="AG12" s="40">
        <v>60</v>
      </c>
      <c r="AH12" s="41">
        <v>93</v>
      </c>
      <c r="AI12" s="42">
        <f t="shared" si="3"/>
        <v>153</v>
      </c>
      <c r="AJ12" s="43">
        <v>39</v>
      </c>
      <c r="AK12" s="41">
        <v>84</v>
      </c>
      <c r="AL12" s="42">
        <f t="shared" si="4"/>
        <v>123</v>
      </c>
      <c r="AM12" s="43">
        <v>40</v>
      </c>
      <c r="AN12" s="41">
        <v>85</v>
      </c>
      <c r="AO12" s="42">
        <f t="shared" si="5"/>
        <v>125</v>
      </c>
      <c r="AP12" s="43">
        <v>48</v>
      </c>
      <c r="AQ12" s="41">
        <v>44</v>
      </c>
      <c r="AR12" s="42">
        <f t="shared" si="6"/>
        <v>92</v>
      </c>
      <c r="AS12" s="43">
        <v>40</v>
      </c>
      <c r="AT12" s="41">
        <v>61</v>
      </c>
      <c r="AU12" s="42">
        <f t="shared" si="7"/>
        <v>101</v>
      </c>
      <c r="AV12" s="43">
        <v>36</v>
      </c>
      <c r="AW12" s="41">
        <v>65</v>
      </c>
      <c r="AX12" s="42">
        <f t="shared" si="8"/>
        <v>101</v>
      </c>
      <c r="AY12" s="43">
        <v>49</v>
      </c>
      <c r="AZ12" s="41">
        <v>67</v>
      </c>
      <c r="BA12" s="42">
        <f t="shared" si="9"/>
        <v>116</v>
      </c>
      <c r="BB12" s="43">
        <v>31</v>
      </c>
      <c r="BC12" s="41">
        <v>47</v>
      </c>
      <c r="BD12" s="42">
        <f t="shared" si="10"/>
        <v>78</v>
      </c>
      <c r="BE12" s="43">
        <v>30</v>
      </c>
      <c r="BF12" s="41">
        <v>29</v>
      </c>
      <c r="BG12" s="42">
        <f t="shared" si="11"/>
        <v>59</v>
      </c>
      <c r="BH12" s="43">
        <v>40</v>
      </c>
      <c r="BI12" s="41">
        <v>41</v>
      </c>
      <c r="BJ12" s="42">
        <f t="shared" si="12"/>
        <v>81</v>
      </c>
    </row>
    <row r="13" spans="1:62" s="38" customFormat="1" ht="15" customHeight="1" x14ac:dyDescent="0.3">
      <c r="A13" s="272"/>
      <c r="B13" s="39" t="s">
        <v>56</v>
      </c>
      <c r="C13" s="280">
        <v>50</v>
      </c>
      <c r="D13" s="281">
        <v>131</v>
      </c>
      <c r="E13" s="42">
        <v>181</v>
      </c>
      <c r="F13" s="280">
        <v>50</v>
      </c>
      <c r="G13" s="281">
        <v>139</v>
      </c>
      <c r="H13" s="42">
        <v>189</v>
      </c>
      <c r="I13" s="40">
        <v>51</v>
      </c>
      <c r="J13" s="41">
        <v>126</v>
      </c>
      <c r="K13" s="42">
        <v>177</v>
      </c>
      <c r="L13" s="40">
        <v>74</v>
      </c>
      <c r="M13" s="41">
        <v>117</v>
      </c>
      <c r="N13" s="42">
        <v>191</v>
      </c>
      <c r="O13" s="40">
        <v>62</v>
      </c>
      <c r="P13" s="41">
        <v>184</v>
      </c>
      <c r="Q13" s="42">
        <v>246</v>
      </c>
      <c r="R13" s="40">
        <v>75</v>
      </c>
      <c r="S13" s="41">
        <v>155</v>
      </c>
      <c r="T13" s="42">
        <v>230</v>
      </c>
      <c r="U13" s="40">
        <v>81</v>
      </c>
      <c r="V13" s="41">
        <v>140</v>
      </c>
      <c r="W13" s="42">
        <v>221</v>
      </c>
      <c r="X13" s="40">
        <v>117</v>
      </c>
      <c r="Y13" s="41">
        <v>155</v>
      </c>
      <c r="Z13" s="42">
        <f t="shared" si="0"/>
        <v>272</v>
      </c>
      <c r="AA13" s="40">
        <v>100</v>
      </c>
      <c r="AB13" s="41">
        <v>110</v>
      </c>
      <c r="AC13" s="42">
        <f t="shared" si="1"/>
        <v>210</v>
      </c>
      <c r="AD13" s="40">
        <v>55</v>
      </c>
      <c r="AE13" s="41">
        <v>96</v>
      </c>
      <c r="AF13" s="42">
        <f t="shared" si="2"/>
        <v>151</v>
      </c>
      <c r="AG13" s="40">
        <v>59</v>
      </c>
      <c r="AH13" s="41">
        <v>97</v>
      </c>
      <c r="AI13" s="42">
        <f t="shared" si="3"/>
        <v>156</v>
      </c>
      <c r="AJ13" s="43">
        <v>48</v>
      </c>
      <c r="AK13" s="41">
        <v>122</v>
      </c>
      <c r="AL13" s="42">
        <f t="shared" si="4"/>
        <v>170</v>
      </c>
      <c r="AM13" s="43">
        <v>40</v>
      </c>
      <c r="AN13" s="41">
        <v>91</v>
      </c>
      <c r="AO13" s="42">
        <f t="shared" si="5"/>
        <v>131</v>
      </c>
      <c r="AP13" s="43">
        <v>72</v>
      </c>
      <c r="AQ13" s="41">
        <v>114</v>
      </c>
      <c r="AR13" s="42">
        <f t="shared" si="6"/>
        <v>186</v>
      </c>
      <c r="AS13" s="43">
        <v>70</v>
      </c>
      <c r="AT13" s="41">
        <v>124</v>
      </c>
      <c r="AU13" s="42">
        <f t="shared" si="7"/>
        <v>194</v>
      </c>
      <c r="AV13" s="43">
        <v>80</v>
      </c>
      <c r="AW13" s="41">
        <v>155</v>
      </c>
      <c r="AX13" s="42">
        <f t="shared" si="8"/>
        <v>235</v>
      </c>
      <c r="AY13" s="43">
        <v>138</v>
      </c>
      <c r="AZ13" s="41">
        <v>150</v>
      </c>
      <c r="BA13" s="42">
        <f t="shared" si="9"/>
        <v>288</v>
      </c>
      <c r="BB13" s="43">
        <v>75</v>
      </c>
      <c r="BC13" s="41">
        <v>99</v>
      </c>
      <c r="BD13" s="42">
        <f t="shared" si="10"/>
        <v>174</v>
      </c>
      <c r="BE13" s="43">
        <v>84</v>
      </c>
      <c r="BF13" s="41">
        <v>96</v>
      </c>
      <c r="BG13" s="42">
        <f t="shared" si="11"/>
        <v>180</v>
      </c>
      <c r="BH13" s="43">
        <v>72</v>
      </c>
      <c r="BI13" s="41">
        <v>114</v>
      </c>
      <c r="BJ13" s="42">
        <f t="shared" si="12"/>
        <v>186</v>
      </c>
    </row>
    <row r="14" spans="1:62" s="38" customFormat="1" ht="15" customHeight="1" x14ac:dyDescent="0.3">
      <c r="A14" s="272"/>
      <c r="B14" s="39" t="s">
        <v>57</v>
      </c>
      <c r="C14" s="280">
        <v>109</v>
      </c>
      <c r="D14" s="281">
        <v>172</v>
      </c>
      <c r="E14" s="42">
        <v>281</v>
      </c>
      <c r="F14" s="280">
        <v>143</v>
      </c>
      <c r="G14" s="281">
        <v>187</v>
      </c>
      <c r="H14" s="42">
        <v>330</v>
      </c>
      <c r="I14" s="40">
        <v>161</v>
      </c>
      <c r="J14" s="41">
        <v>255</v>
      </c>
      <c r="K14" s="42">
        <v>416</v>
      </c>
      <c r="L14" s="40">
        <v>169</v>
      </c>
      <c r="M14" s="41">
        <v>200</v>
      </c>
      <c r="N14" s="42">
        <v>369</v>
      </c>
      <c r="O14" s="40">
        <v>144</v>
      </c>
      <c r="P14" s="41">
        <v>175</v>
      </c>
      <c r="Q14" s="42">
        <v>319</v>
      </c>
      <c r="R14" s="40">
        <v>76</v>
      </c>
      <c r="S14" s="41">
        <v>177</v>
      </c>
      <c r="T14" s="42">
        <v>253</v>
      </c>
      <c r="U14" s="40">
        <v>83</v>
      </c>
      <c r="V14" s="41">
        <v>167</v>
      </c>
      <c r="W14" s="42">
        <v>250</v>
      </c>
      <c r="X14" s="40">
        <v>119</v>
      </c>
      <c r="Y14" s="41">
        <v>168</v>
      </c>
      <c r="Z14" s="42">
        <f t="shared" si="0"/>
        <v>287</v>
      </c>
      <c r="AA14" s="40">
        <v>111</v>
      </c>
      <c r="AB14" s="41">
        <v>110</v>
      </c>
      <c r="AC14" s="42">
        <f t="shared" si="1"/>
        <v>221</v>
      </c>
      <c r="AD14" s="40">
        <v>56</v>
      </c>
      <c r="AE14" s="41">
        <v>102</v>
      </c>
      <c r="AF14" s="42">
        <f t="shared" si="2"/>
        <v>158</v>
      </c>
      <c r="AG14" s="40">
        <v>60</v>
      </c>
      <c r="AH14" s="41">
        <v>95</v>
      </c>
      <c r="AI14" s="42">
        <f t="shared" si="3"/>
        <v>155</v>
      </c>
      <c r="AJ14" s="43">
        <v>48</v>
      </c>
      <c r="AK14" s="41">
        <v>95</v>
      </c>
      <c r="AL14" s="42">
        <f t="shared" si="4"/>
        <v>143</v>
      </c>
      <c r="AM14" s="43">
        <v>40</v>
      </c>
      <c r="AN14" s="41">
        <v>81</v>
      </c>
      <c r="AO14" s="42">
        <f t="shared" si="5"/>
        <v>121</v>
      </c>
      <c r="AP14" s="43">
        <v>72</v>
      </c>
      <c r="AQ14" s="41">
        <v>95</v>
      </c>
      <c r="AR14" s="42">
        <f t="shared" si="6"/>
        <v>167</v>
      </c>
      <c r="AS14" s="43">
        <v>55</v>
      </c>
      <c r="AT14" s="41">
        <v>113</v>
      </c>
      <c r="AU14" s="42">
        <f t="shared" si="7"/>
        <v>168</v>
      </c>
      <c r="AV14" s="43">
        <v>60</v>
      </c>
      <c r="AW14" s="41">
        <v>124</v>
      </c>
      <c r="AX14" s="42">
        <f t="shared" si="8"/>
        <v>184</v>
      </c>
      <c r="AY14" s="43">
        <v>99</v>
      </c>
      <c r="AZ14" s="41">
        <v>96</v>
      </c>
      <c r="BA14" s="42">
        <f t="shared" si="9"/>
        <v>195</v>
      </c>
      <c r="BB14" s="43">
        <v>65</v>
      </c>
      <c r="BC14" s="41">
        <v>84</v>
      </c>
      <c r="BD14" s="42">
        <f t="shared" si="10"/>
        <v>149</v>
      </c>
      <c r="BE14" s="43">
        <v>80</v>
      </c>
      <c r="BF14" s="41">
        <v>55</v>
      </c>
      <c r="BG14" s="42">
        <f t="shared" si="11"/>
        <v>135</v>
      </c>
      <c r="BH14" s="43">
        <v>67</v>
      </c>
      <c r="BI14" s="41">
        <v>101</v>
      </c>
      <c r="BJ14" s="42">
        <f t="shared" si="12"/>
        <v>168</v>
      </c>
    </row>
    <row r="15" spans="1:62" s="38" customFormat="1" ht="15" customHeight="1" x14ac:dyDescent="0.3">
      <c r="A15" s="272"/>
      <c r="B15" s="45" t="s">
        <v>58</v>
      </c>
      <c r="C15" s="46"/>
      <c r="D15" s="282">
        <v>132</v>
      </c>
      <c r="E15" s="48">
        <v>132</v>
      </c>
      <c r="F15" s="283">
        <v>225</v>
      </c>
      <c r="G15" s="282">
        <v>209</v>
      </c>
      <c r="H15" s="48">
        <v>434</v>
      </c>
      <c r="I15" s="46">
        <v>203</v>
      </c>
      <c r="J15" s="50">
        <v>277</v>
      </c>
      <c r="K15" s="48">
        <v>480</v>
      </c>
      <c r="L15" s="46">
        <v>214</v>
      </c>
      <c r="M15" s="50">
        <v>291</v>
      </c>
      <c r="N15" s="48">
        <v>505</v>
      </c>
      <c r="O15" s="46">
        <v>166</v>
      </c>
      <c r="P15" s="50">
        <v>179</v>
      </c>
      <c r="Q15" s="48">
        <v>345</v>
      </c>
      <c r="R15" s="46">
        <v>177</v>
      </c>
      <c r="S15" s="50">
        <v>226</v>
      </c>
      <c r="T15" s="48">
        <v>403</v>
      </c>
      <c r="U15" s="46">
        <v>157</v>
      </c>
      <c r="V15" s="50">
        <v>181</v>
      </c>
      <c r="W15" s="48">
        <v>338</v>
      </c>
      <c r="X15" s="46">
        <v>144</v>
      </c>
      <c r="Y15" s="50">
        <v>161</v>
      </c>
      <c r="Z15" s="48">
        <f t="shared" si="0"/>
        <v>305</v>
      </c>
      <c r="AA15" s="51">
        <v>111</v>
      </c>
      <c r="AB15" s="50">
        <v>109</v>
      </c>
      <c r="AC15" s="48">
        <f t="shared" si="1"/>
        <v>220</v>
      </c>
      <c r="AD15" s="51">
        <v>46</v>
      </c>
      <c r="AE15" s="50">
        <v>97</v>
      </c>
      <c r="AF15" s="48">
        <f t="shared" si="2"/>
        <v>143</v>
      </c>
      <c r="AG15" s="51">
        <v>60</v>
      </c>
      <c r="AH15" s="50">
        <v>92</v>
      </c>
      <c r="AI15" s="48">
        <f t="shared" si="3"/>
        <v>152</v>
      </c>
      <c r="AJ15" s="43">
        <v>50</v>
      </c>
      <c r="AK15" s="50">
        <v>97</v>
      </c>
      <c r="AL15" s="48">
        <f t="shared" si="4"/>
        <v>147</v>
      </c>
      <c r="AM15" s="43">
        <v>40</v>
      </c>
      <c r="AN15" s="50">
        <v>86</v>
      </c>
      <c r="AO15" s="48">
        <f t="shared" si="5"/>
        <v>126</v>
      </c>
      <c r="AP15" s="43">
        <v>72</v>
      </c>
      <c r="AQ15" s="50">
        <v>131</v>
      </c>
      <c r="AR15" s="48">
        <f t="shared" si="6"/>
        <v>203</v>
      </c>
      <c r="AS15" s="43">
        <v>70</v>
      </c>
      <c r="AT15" s="50">
        <v>125</v>
      </c>
      <c r="AU15" s="48">
        <f t="shared" si="7"/>
        <v>195</v>
      </c>
      <c r="AV15" s="43">
        <v>80</v>
      </c>
      <c r="AW15" s="50">
        <v>154</v>
      </c>
      <c r="AX15" s="48">
        <f t="shared" si="8"/>
        <v>234</v>
      </c>
      <c r="AY15" s="43">
        <v>137</v>
      </c>
      <c r="AZ15" s="50">
        <v>170</v>
      </c>
      <c r="BA15" s="48">
        <f t="shared" si="9"/>
        <v>307</v>
      </c>
      <c r="BB15" s="43">
        <v>75</v>
      </c>
      <c r="BC15" s="50">
        <v>102</v>
      </c>
      <c r="BD15" s="48">
        <f t="shared" si="10"/>
        <v>177</v>
      </c>
      <c r="BE15" s="43">
        <v>90</v>
      </c>
      <c r="BF15" s="50">
        <v>95</v>
      </c>
      <c r="BG15" s="48">
        <f t="shared" si="11"/>
        <v>185</v>
      </c>
      <c r="BH15" s="43">
        <v>83</v>
      </c>
      <c r="BI15" s="50">
        <v>108</v>
      </c>
      <c r="BJ15" s="48">
        <f t="shared" si="12"/>
        <v>191</v>
      </c>
    </row>
    <row r="16" spans="1:62" s="38" customFormat="1" ht="15" customHeight="1" x14ac:dyDescent="0.3">
      <c r="A16" s="272"/>
      <c r="B16" s="52" t="s">
        <v>59</v>
      </c>
      <c r="C16" s="53">
        <f>SUM(C6:C15)</f>
        <v>420</v>
      </c>
      <c r="D16" s="284">
        <f t="shared" ref="D16:BD16" si="13">SUM(D6:D15)</f>
        <v>994</v>
      </c>
      <c r="E16" s="55">
        <f t="shared" si="13"/>
        <v>1414</v>
      </c>
      <c r="F16" s="53">
        <f t="shared" si="13"/>
        <v>776</v>
      </c>
      <c r="G16" s="284">
        <f t="shared" si="13"/>
        <v>1217</v>
      </c>
      <c r="H16" s="55">
        <f t="shared" si="13"/>
        <v>1993</v>
      </c>
      <c r="I16" s="53">
        <f t="shared" si="13"/>
        <v>757</v>
      </c>
      <c r="J16" s="284">
        <f t="shared" si="13"/>
        <v>1266</v>
      </c>
      <c r="K16" s="55">
        <f t="shared" si="13"/>
        <v>2023</v>
      </c>
      <c r="L16" s="53">
        <f t="shared" si="13"/>
        <v>802</v>
      </c>
      <c r="M16" s="284">
        <f t="shared" si="13"/>
        <v>1354</v>
      </c>
      <c r="N16" s="55">
        <f t="shared" si="13"/>
        <v>2156</v>
      </c>
      <c r="O16" s="53">
        <f t="shared" si="13"/>
        <v>711</v>
      </c>
      <c r="P16" s="284">
        <f t="shared" si="13"/>
        <v>1380</v>
      </c>
      <c r="Q16" s="55">
        <f t="shared" si="13"/>
        <v>2091</v>
      </c>
      <c r="R16" s="53">
        <f t="shared" si="13"/>
        <v>722</v>
      </c>
      <c r="S16" s="284">
        <f t="shared" si="13"/>
        <v>1398</v>
      </c>
      <c r="T16" s="55">
        <f t="shared" si="13"/>
        <v>2120</v>
      </c>
      <c r="U16" s="53">
        <f t="shared" si="13"/>
        <v>784</v>
      </c>
      <c r="V16" s="284">
        <f t="shared" si="13"/>
        <v>1259</v>
      </c>
      <c r="W16" s="55">
        <f t="shared" si="13"/>
        <v>2043</v>
      </c>
      <c r="X16" s="53">
        <f t="shared" si="13"/>
        <v>925</v>
      </c>
      <c r="Y16" s="284">
        <f t="shared" si="13"/>
        <v>1460</v>
      </c>
      <c r="Z16" s="55">
        <f t="shared" si="13"/>
        <v>2385</v>
      </c>
      <c r="AA16" s="53">
        <f t="shared" si="13"/>
        <v>1058</v>
      </c>
      <c r="AB16" s="284">
        <f t="shared" si="13"/>
        <v>978</v>
      </c>
      <c r="AC16" s="55">
        <f t="shared" si="13"/>
        <v>2036</v>
      </c>
      <c r="AD16" s="53">
        <f t="shared" si="13"/>
        <v>515</v>
      </c>
      <c r="AE16" s="284">
        <f t="shared" si="13"/>
        <v>934</v>
      </c>
      <c r="AF16" s="55">
        <f t="shared" si="13"/>
        <v>1449</v>
      </c>
      <c r="AG16" s="53">
        <f t="shared" si="13"/>
        <v>600</v>
      </c>
      <c r="AH16" s="54">
        <f t="shared" si="13"/>
        <v>948</v>
      </c>
      <c r="AI16" s="55">
        <f t="shared" si="13"/>
        <v>1548</v>
      </c>
      <c r="AJ16" s="56">
        <f>SUM(AJ6:AJ15)</f>
        <v>454</v>
      </c>
      <c r="AK16" s="57">
        <f>SUM(AK6:AK15)</f>
        <v>1000</v>
      </c>
      <c r="AL16" s="55">
        <f t="shared" si="13"/>
        <v>1454</v>
      </c>
      <c r="AM16" s="56">
        <f t="shared" si="13"/>
        <v>395</v>
      </c>
      <c r="AN16" s="57">
        <f t="shared" si="13"/>
        <v>854</v>
      </c>
      <c r="AO16" s="55">
        <f t="shared" si="13"/>
        <v>1249</v>
      </c>
      <c r="AP16" s="56">
        <f t="shared" si="13"/>
        <v>598</v>
      </c>
      <c r="AQ16" s="57">
        <f t="shared" si="13"/>
        <v>970</v>
      </c>
      <c r="AR16" s="55">
        <f t="shared" si="13"/>
        <v>1568</v>
      </c>
      <c r="AS16" s="56">
        <f t="shared" si="13"/>
        <v>610</v>
      </c>
      <c r="AT16" s="57">
        <f t="shared" si="13"/>
        <v>1051</v>
      </c>
      <c r="AU16" s="55">
        <f t="shared" si="13"/>
        <v>1661</v>
      </c>
      <c r="AV16" s="56">
        <f t="shared" si="13"/>
        <v>617</v>
      </c>
      <c r="AW16" s="57">
        <f t="shared" si="13"/>
        <v>1225</v>
      </c>
      <c r="AX16" s="55">
        <f t="shared" si="13"/>
        <v>1842</v>
      </c>
      <c r="AY16" s="56">
        <f t="shared" si="13"/>
        <v>1122</v>
      </c>
      <c r="AZ16" s="57">
        <f t="shared" si="13"/>
        <v>1163</v>
      </c>
      <c r="BA16" s="55">
        <f t="shared" si="13"/>
        <v>2285</v>
      </c>
      <c r="BB16" s="56">
        <f t="shared" si="13"/>
        <v>605</v>
      </c>
      <c r="BC16" s="57">
        <f t="shared" si="13"/>
        <v>831</v>
      </c>
      <c r="BD16" s="55">
        <f t="shared" si="13"/>
        <v>1436</v>
      </c>
      <c r="BE16" s="56">
        <f>SUM(BE6:BE15)</f>
        <v>713</v>
      </c>
      <c r="BF16" s="57">
        <f>SUM(BF6:BF15)</f>
        <v>748</v>
      </c>
      <c r="BG16" s="55">
        <f t="shared" ref="BG16" si="14">SUM(BG6:BG15)</f>
        <v>1461</v>
      </c>
      <c r="BH16" s="56">
        <f>SUM(BH6:BH15)</f>
        <v>648</v>
      </c>
      <c r="BI16" s="57">
        <f>SUM(BI6:BI15)</f>
        <v>917</v>
      </c>
      <c r="BJ16" s="55">
        <f t="shared" ref="BJ16" si="15">SUM(BJ6:BJ15)</f>
        <v>1565</v>
      </c>
    </row>
    <row r="17" spans="1:62" s="38" customFormat="1" ht="15" customHeight="1" x14ac:dyDescent="0.3">
      <c r="A17" s="272"/>
      <c r="B17" s="58" t="s">
        <v>60</v>
      </c>
      <c r="C17" s="285">
        <v>113</v>
      </c>
      <c r="D17" s="286">
        <v>192</v>
      </c>
      <c r="E17" s="61">
        <v>305</v>
      </c>
      <c r="F17" s="285">
        <v>123</v>
      </c>
      <c r="G17" s="286">
        <v>200</v>
      </c>
      <c r="H17" s="61">
        <v>323</v>
      </c>
      <c r="I17" s="59">
        <v>119</v>
      </c>
      <c r="J17" s="60">
        <v>208</v>
      </c>
      <c r="K17" s="61">
        <v>327</v>
      </c>
      <c r="L17" s="59">
        <v>109</v>
      </c>
      <c r="M17" s="60">
        <v>215</v>
      </c>
      <c r="N17" s="61">
        <v>324</v>
      </c>
      <c r="O17" s="59">
        <v>201</v>
      </c>
      <c r="P17" s="60">
        <v>181</v>
      </c>
      <c r="Q17" s="61">
        <v>382</v>
      </c>
      <c r="R17" s="59">
        <v>165</v>
      </c>
      <c r="S17" s="60">
        <v>187</v>
      </c>
      <c r="T17" s="61">
        <v>352</v>
      </c>
      <c r="U17" s="59">
        <v>154</v>
      </c>
      <c r="V17" s="60">
        <v>204</v>
      </c>
      <c r="W17" s="61">
        <v>358</v>
      </c>
      <c r="X17" s="59">
        <v>154</v>
      </c>
      <c r="Y17" s="60">
        <v>180</v>
      </c>
      <c r="Z17" s="61">
        <f t="shared" si="0"/>
        <v>334</v>
      </c>
      <c r="AA17" s="59">
        <v>154</v>
      </c>
      <c r="AB17" s="60">
        <v>185</v>
      </c>
      <c r="AC17" s="61">
        <f t="shared" si="1"/>
        <v>339</v>
      </c>
      <c r="AD17" s="59">
        <v>168</v>
      </c>
      <c r="AE17" s="60">
        <v>219</v>
      </c>
      <c r="AF17" s="61">
        <f t="shared" si="2"/>
        <v>387</v>
      </c>
      <c r="AG17" s="59">
        <v>163</v>
      </c>
      <c r="AH17" s="60">
        <v>215</v>
      </c>
      <c r="AI17" s="61">
        <f>SUM(AG17:AH17)</f>
        <v>378</v>
      </c>
      <c r="AJ17" s="62">
        <v>161</v>
      </c>
      <c r="AK17" s="60">
        <v>197</v>
      </c>
      <c r="AL17" s="61">
        <f>SUM(AJ17:AK17)</f>
        <v>358</v>
      </c>
      <c r="AM17" s="62">
        <v>176</v>
      </c>
      <c r="AN17" s="60">
        <v>212</v>
      </c>
      <c r="AO17" s="61">
        <f>SUM(AM17:AN17)</f>
        <v>388</v>
      </c>
      <c r="AP17" s="62">
        <v>163</v>
      </c>
      <c r="AQ17" s="60">
        <v>226</v>
      </c>
      <c r="AR17" s="61">
        <f>SUM(AP17:AQ17)</f>
        <v>389</v>
      </c>
      <c r="AS17" s="62">
        <v>144</v>
      </c>
      <c r="AT17" s="60">
        <v>201</v>
      </c>
      <c r="AU17" s="61">
        <f>SUM(AS17:AT17)</f>
        <v>345</v>
      </c>
      <c r="AV17" s="62">
        <v>166</v>
      </c>
      <c r="AW17" s="60">
        <v>198</v>
      </c>
      <c r="AX17" s="61">
        <f>SUM(AV17:AW17)</f>
        <v>364</v>
      </c>
      <c r="AY17" s="62">
        <v>192</v>
      </c>
      <c r="AZ17" s="60">
        <v>223</v>
      </c>
      <c r="BA17" s="61">
        <f>SUM(AY17:AZ17)</f>
        <v>415</v>
      </c>
      <c r="BB17" s="62">
        <v>205</v>
      </c>
      <c r="BC17" s="60">
        <v>204</v>
      </c>
      <c r="BD17" s="61">
        <f>SUM(BB17:BC17)</f>
        <v>409</v>
      </c>
      <c r="BE17" s="62">
        <v>174</v>
      </c>
      <c r="BF17" s="60">
        <v>231</v>
      </c>
      <c r="BG17" s="61">
        <f>SUM(BE17:BF17)</f>
        <v>405</v>
      </c>
      <c r="BH17" s="62">
        <v>183</v>
      </c>
      <c r="BI17" s="60">
        <v>229</v>
      </c>
      <c r="BJ17" s="61">
        <f>SUM(BH17:BI17)</f>
        <v>412</v>
      </c>
    </row>
    <row r="18" spans="1:62" s="38" customFormat="1" ht="15" customHeight="1" x14ac:dyDescent="0.3">
      <c r="A18" s="272"/>
      <c r="B18" s="39" t="s">
        <v>61</v>
      </c>
      <c r="C18" s="280">
        <v>176</v>
      </c>
      <c r="D18" s="281">
        <v>274</v>
      </c>
      <c r="E18" s="42">
        <v>450</v>
      </c>
      <c r="F18" s="280">
        <v>144</v>
      </c>
      <c r="G18" s="281">
        <v>281</v>
      </c>
      <c r="H18" s="42">
        <v>425</v>
      </c>
      <c r="I18" s="40">
        <v>183</v>
      </c>
      <c r="J18" s="41">
        <v>298</v>
      </c>
      <c r="K18" s="42">
        <v>481</v>
      </c>
      <c r="L18" s="40">
        <v>141</v>
      </c>
      <c r="M18" s="41">
        <v>298</v>
      </c>
      <c r="N18" s="42">
        <v>439</v>
      </c>
      <c r="O18" s="40">
        <v>218</v>
      </c>
      <c r="P18" s="41">
        <v>237</v>
      </c>
      <c r="Q18" s="42">
        <v>455</v>
      </c>
      <c r="R18" s="40">
        <v>246</v>
      </c>
      <c r="S18" s="41">
        <v>245</v>
      </c>
      <c r="T18" s="42">
        <v>491</v>
      </c>
      <c r="U18" s="40">
        <v>224</v>
      </c>
      <c r="V18" s="41">
        <v>314</v>
      </c>
      <c r="W18" s="42">
        <v>538</v>
      </c>
      <c r="X18" s="40">
        <v>244</v>
      </c>
      <c r="Y18" s="41">
        <v>279</v>
      </c>
      <c r="Z18" s="42">
        <f t="shared" si="0"/>
        <v>523</v>
      </c>
      <c r="AA18" s="40">
        <v>248</v>
      </c>
      <c r="AB18" s="41">
        <v>281</v>
      </c>
      <c r="AC18" s="42">
        <f t="shared" si="1"/>
        <v>529</v>
      </c>
      <c r="AD18" s="40">
        <v>270</v>
      </c>
      <c r="AE18" s="41">
        <v>337</v>
      </c>
      <c r="AF18" s="42">
        <f t="shared" si="2"/>
        <v>607</v>
      </c>
      <c r="AG18" s="40">
        <v>251</v>
      </c>
      <c r="AH18" s="41">
        <v>316</v>
      </c>
      <c r="AI18" s="42">
        <f>SUM(AG18:AH18)</f>
        <v>567</v>
      </c>
      <c r="AJ18" s="43">
        <v>243</v>
      </c>
      <c r="AK18" s="41">
        <v>324</v>
      </c>
      <c r="AL18" s="42">
        <f>SUM(AJ18:AK18)</f>
        <v>567</v>
      </c>
      <c r="AM18" s="43">
        <v>269</v>
      </c>
      <c r="AN18" s="41">
        <v>331</v>
      </c>
      <c r="AO18" s="42">
        <f>SUM(AM18:AN18)</f>
        <v>600</v>
      </c>
      <c r="AP18" s="43">
        <v>262</v>
      </c>
      <c r="AQ18" s="41">
        <v>337</v>
      </c>
      <c r="AR18" s="42">
        <f>SUM(AP18:AQ18)</f>
        <v>599</v>
      </c>
      <c r="AS18" s="43">
        <v>247</v>
      </c>
      <c r="AT18" s="41">
        <v>325</v>
      </c>
      <c r="AU18" s="42">
        <f>SUM(AS18:AT18)</f>
        <v>572</v>
      </c>
      <c r="AV18" s="43">
        <v>247</v>
      </c>
      <c r="AW18" s="41">
        <v>274</v>
      </c>
      <c r="AX18" s="42">
        <f>SUM(AV18:AW18)</f>
        <v>521</v>
      </c>
      <c r="AY18" s="43">
        <v>310</v>
      </c>
      <c r="AZ18" s="41">
        <v>293</v>
      </c>
      <c r="BA18" s="42">
        <f>SUM(AY18:AZ18)</f>
        <v>603</v>
      </c>
      <c r="BB18" s="43">
        <v>263</v>
      </c>
      <c r="BC18" s="41">
        <v>209</v>
      </c>
      <c r="BD18" s="42">
        <f>SUM(BB18:BC18)</f>
        <v>472</v>
      </c>
      <c r="BE18" s="43">
        <v>268</v>
      </c>
      <c r="BF18" s="41">
        <v>277</v>
      </c>
      <c r="BG18" s="42">
        <f>SUM(BE18:BF18)</f>
        <v>545</v>
      </c>
      <c r="BH18" s="43">
        <v>265</v>
      </c>
      <c r="BI18" s="41">
        <v>240</v>
      </c>
      <c r="BJ18" s="42">
        <f>SUM(BH18:BI18)</f>
        <v>505</v>
      </c>
    </row>
    <row r="19" spans="1:62" s="38" customFormat="1" ht="15" customHeight="1" x14ac:dyDescent="0.3">
      <c r="A19" s="272"/>
      <c r="B19" s="39" t="s">
        <v>62</v>
      </c>
      <c r="C19" s="280">
        <v>107</v>
      </c>
      <c r="D19" s="281">
        <v>118</v>
      </c>
      <c r="E19" s="42">
        <v>225</v>
      </c>
      <c r="F19" s="280">
        <v>96</v>
      </c>
      <c r="G19" s="281">
        <v>158</v>
      </c>
      <c r="H19" s="42">
        <v>254</v>
      </c>
      <c r="I19" s="40">
        <v>114</v>
      </c>
      <c r="J19" s="41">
        <v>114</v>
      </c>
      <c r="K19" s="42">
        <v>228</v>
      </c>
      <c r="L19" s="40">
        <v>99</v>
      </c>
      <c r="M19" s="41">
        <v>163</v>
      </c>
      <c r="N19" s="42">
        <v>262</v>
      </c>
      <c r="O19" s="40">
        <v>95</v>
      </c>
      <c r="P19" s="41">
        <v>150</v>
      </c>
      <c r="Q19" s="42">
        <v>245</v>
      </c>
      <c r="R19" s="40">
        <v>145</v>
      </c>
      <c r="S19" s="41">
        <v>143</v>
      </c>
      <c r="T19" s="42">
        <v>288</v>
      </c>
      <c r="U19" s="40">
        <v>129</v>
      </c>
      <c r="V19" s="41">
        <v>174</v>
      </c>
      <c r="W19" s="42">
        <v>303</v>
      </c>
      <c r="X19" s="40">
        <v>110</v>
      </c>
      <c r="Y19" s="41">
        <v>140</v>
      </c>
      <c r="Z19" s="42">
        <f t="shared" si="0"/>
        <v>250</v>
      </c>
      <c r="AA19" s="40">
        <v>123</v>
      </c>
      <c r="AB19" s="41">
        <v>160</v>
      </c>
      <c r="AC19" s="42">
        <f t="shared" si="1"/>
        <v>283</v>
      </c>
      <c r="AD19" s="40">
        <v>134</v>
      </c>
      <c r="AE19" s="41">
        <v>175</v>
      </c>
      <c r="AF19" s="42">
        <f t="shared" si="2"/>
        <v>309</v>
      </c>
      <c r="AG19" s="40">
        <v>125</v>
      </c>
      <c r="AH19" s="41">
        <v>173</v>
      </c>
      <c r="AI19" s="42">
        <f>SUM(AG19:AH19)</f>
        <v>298</v>
      </c>
      <c r="AJ19" s="43">
        <v>117</v>
      </c>
      <c r="AK19" s="41">
        <v>150</v>
      </c>
      <c r="AL19" s="42">
        <f>SUM(AJ19:AK19)</f>
        <v>267</v>
      </c>
      <c r="AM19" s="43">
        <v>142</v>
      </c>
      <c r="AN19" s="41">
        <v>204</v>
      </c>
      <c r="AO19" s="42">
        <f>SUM(AM19:AN19)</f>
        <v>346</v>
      </c>
      <c r="AP19" s="43">
        <v>147</v>
      </c>
      <c r="AQ19" s="41">
        <v>191</v>
      </c>
      <c r="AR19" s="42">
        <f>SUM(AP19:AQ19)</f>
        <v>338</v>
      </c>
      <c r="AS19" s="43">
        <v>171</v>
      </c>
      <c r="AT19" s="41">
        <v>220</v>
      </c>
      <c r="AU19" s="42">
        <f>SUM(AS19:AT19)</f>
        <v>391</v>
      </c>
      <c r="AV19" s="43">
        <v>162</v>
      </c>
      <c r="AW19" s="41">
        <v>229</v>
      </c>
      <c r="AX19" s="42">
        <f>SUM(AV19:AW19)</f>
        <v>391</v>
      </c>
      <c r="AY19" s="43">
        <v>196</v>
      </c>
      <c r="AZ19" s="41">
        <v>213</v>
      </c>
      <c r="BA19" s="42">
        <f>SUM(AY19:AZ19)</f>
        <v>409</v>
      </c>
      <c r="BB19" s="43">
        <v>133</v>
      </c>
      <c r="BC19" s="41">
        <v>130</v>
      </c>
      <c r="BD19" s="42">
        <f>SUM(BB19:BC19)</f>
        <v>263</v>
      </c>
      <c r="BE19" s="43">
        <v>124</v>
      </c>
      <c r="BF19" s="41">
        <v>166</v>
      </c>
      <c r="BG19" s="42">
        <f>SUM(BE19:BF19)</f>
        <v>290</v>
      </c>
      <c r="BH19" s="43">
        <v>144</v>
      </c>
      <c r="BI19" s="41">
        <v>161</v>
      </c>
      <c r="BJ19" s="42">
        <f>SUM(BH19:BI19)</f>
        <v>305</v>
      </c>
    </row>
    <row r="20" spans="1:62" s="38" customFormat="1" ht="15" customHeight="1" x14ac:dyDescent="0.3">
      <c r="A20" s="272"/>
      <c r="B20" s="45" t="s">
        <v>63</v>
      </c>
      <c r="C20" s="46">
        <v>111</v>
      </c>
      <c r="D20" s="282">
        <v>125</v>
      </c>
      <c r="E20" s="48">
        <v>236</v>
      </c>
      <c r="F20" s="283">
        <v>121</v>
      </c>
      <c r="G20" s="282">
        <v>154</v>
      </c>
      <c r="H20" s="48">
        <v>275</v>
      </c>
      <c r="I20" s="46">
        <v>126</v>
      </c>
      <c r="J20" s="50">
        <v>113</v>
      </c>
      <c r="K20" s="48">
        <v>239</v>
      </c>
      <c r="L20" s="46">
        <v>99</v>
      </c>
      <c r="M20" s="50">
        <v>124</v>
      </c>
      <c r="N20" s="48">
        <v>223</v>
      </c>
      <c r="O20" s="46">
        <v>107</v>
      </c>
      <c r="P20" s="50">
        <v>145</v>
      </c>
      <c r="Q20" s="48">
        <v>252</v>
      </c>
      <c r="R20" s="46">
        <v>146</v>
      </c>
      <c r="S20" s="50">
        <v>120</v>
      </c>
      <c r="T20" s="48">
        <v>266</v>
      </c>
      <c r="U20" s="46">
        <v>118</v>
      </c>
      <c r="V20" s="50">
        <v>125</v>
      </c>
      <c r="W20" s="48">
        <v>243</v>
      </c>
      <c r="X20" s="46">
        <v>118</v>
      </c>
      <c r="Y20" s="50">
        <v>124</v>
      </c>
      <c r="Z20" s="48">
        <f t="shared" si="0"/>
        <v>242</v>
      </c>
      <c r="AA20" s="51">
        <v>124</v>
      </c>
      <c r="AB20" s="50">
        <v>130</v>
      </c>
      <c r="AC20" s="48">
        <f t="shared" si="1"/>
        <v>254</v>
      </c>
      <c r="AD20" s="51">
        <v>132</v>
      </c>
      <c r="AE20" s="50">
        <v>151</v>
      </c>
      <c r="AF20" s="48">
        <f t="shared" si="2"/>
        <v>283</v>
      </c>
      <c r="AG20" s="51">
        <v>122</v>
      </c>
      <c r="AH20" s="50">
        <v>147</v>
      </c>
      <c r="AI20" s="48">
        <f>SUM(AG20:AH20)</f>
        <v>269</v>
      </c>
      <c r="AJ20" s="43">
        <v>123</v>
      </c>
      <c r="AK20" s="50">
        <v>139</v>
      </c>
      <c r="AL20" s="48">
        <f>SUM(AJ20:AK20)</f>
        <v>262</v>
      </c>
      <c r="AM20" s="43">
        <v>131</v>
      </c>
      <c r="AN20" s="50">
        <v>151</v>
      </c>
      <c r="AO20" s="48">
        <f>SUM(AM20:AN20)</f>
        <v>282</v>
      </c>
      <c r="AP20" s="43">
        <v>114</v>
      </c>
      <c r="AQ20" s="50">
        <v>142</v>
      </c>
      <c r="AR20" s="48">
        <f>SUM(AP20:AQ20)</f>
        <v>256</v>
      </c>
      <c r="AS20" s="43">
        <v>111</v>
      </c>
      <c r="AT20" s="50">
        <v>147</v>
      </c>
      <c r="AU20" s="48">
        <f>SUM(AS20:AT20)</f>
        <v>258</v>
      </c>
      <c r="AV20" s="43">
        <v>98</v>
      </c>
      <c r="AW20" s="50">
        <v>225</v>
      </c>
      <c r="AX20" s="48">
        <f>SUM(AV20:AW20)</f>
        <v>323</v>
      </c>
      <c r="AY20" s="43">
        <v>167</v>
      </c>
      <c r="AZ20" s="50">
        <v>166</v>
      </c>
      <c r="BA20" s="48">
        <f>SUM(AY20:AZ20)</f>
        <v>333</v>
      </c>
      <c r="BB20" s="43">
        <v>112</v>
      </c>
      <c r="BC20" s="50">
        <v>126</v>
      </c>
      <c r="BD20" s="48">
        <f>SUM(BB20:BC20)</f>
        <v>238</v>
      </c>
      <c r="BE20" s="43">
        <v>97</v>
      </c>
      <c r="BF20" s="50">
        <v>108</v>
      </c>
      <c r="BG20" s="48">
        <f>SUM(BE20:BF20)</f>
        <v>205</v>
      </c>
      <c r="BH20" s="43">
        <v>119</v>
      </c>
      <c r="BI20" s="50">
        <v>130</v>
      </c>
      <c r="BJ20" s="48">
        <f>SUM(BH20:BI20)</f>
        <v>249</v>
      </c>
    </row>
    <row r="21" spans="1:62" s="38" customFormat="1" ht="15" customHeight="1" x14ac:dyDescent="0.3">
      <c r="A21" s="272"/>
      <c r="B21" s="52" t="s">
        <v>64</v>
      </c>
      <c r="C21" s="53">
        <f>SUM(C17:C20)</f>
        <v>507</v>
      </c>
      <c r="D21" s="284">
        <f t="shared" ref="D21:BD21" si="16">SUM(D17:D20)</f>
        <v>709</v>
      </c>
      <c r="E21" s="55">
        <f t="shared" si="16"/>
        <v>1216</v>
      </c>
      <c r="F21" s="53">
        <f t="shared" si="16"/>
        <v>484</v>
      </c>
      <c r="G21" s="284">
        <f t="shared" si="16"/>
        <v>793</v>
      </c>
      <c r="H21" s="55">
        <f t="shared" si="16"/>
        <v>1277</v>
      </c>
      <c r="I21" s="53">
        <f t="shared" si="16"/>
        <v>542</v>
      </c>
      <c r="J21" s="284">
        <f t="shared" si="16"/>
        <v>733</v>
      </c>
      <c r="K21" s="55">
        <f t="shared" si="16"/>
        <v>1275</v>
      </c>
      <c r="L21" s="53">
        <f t="shared" si="16"/>
        <v>448</v>
      </c>
      <c r="M21" s="284">
        <f t="shared" si="16"/>
        <v>800</v>
      </c>
      <c r="N21" s="55">
        <f t="shared" si="16"/>
        <v>1248</v>
      </c>
      <c r="O21" s="53">
        <f t="shared" si="16"/>
        <v>621</v>
      </c>
      <c r="P21" s="284">
        <f t="shared" si="16"/>
        <v>713</v>
      </c>
      <c r="Q21" s="55">
        <f t="shared" si="16"/>
        <v>1334</v>
      </c>
      <c r="R21" s="53">
        <f t="shared" si="16"/>
        <v>702</v>
      </c>
      <c r="S21" s="284">
        <f t="shared" si="16"/>
        <v>695</v>
      </c>
      <c r="T21" s="55">
        <f t="shared" si="16"/>
        <v>1397</v>
      </c>
      <c r="U21" s="53">
        <f t="shared" si="16"/>
        <v>625</v>
      </c>
      <c r="V21" s="284">
        <f t="shared" si="16"/>
        <v>817</v>
      </c>
      <c r="W21" s="55">
        <f t="shared" si="16"/>
        <v>1442</v>
      </c>
      <c r="X21" s="53">
        <f t="shared" si="16"/>
        <v>626</v>
      </c>
      <c r="Y21" s="284">
        <f t="shared" si="16"/>
        <v>723</v>
      </c>
      <c r="Z21" s="55">
        <f t="shared" si="16"/>
        <v>1349</v>
      </c>
      <c r="AA21" s="53">
        <f t="shared" si="16"/>
        <v>649</v>
      </c>
      <c r="AB21" s="284">
        <f t="shared" si="16"/>
        <v>756</v>
      </c>
      <c r="AC21" s="55">
        <f t="shared" si="16"/>
        <v>1405</v>
      </c>
      <c r="AD21" s="53">
        <f t="shared" si="16"/>
        <v>704</v>
      </c>
      <c r="AE21" s="284">
        <f t="shared" si="16"/>
        <v>882</v>
      </c>
      <c r="AF21" s="55">
        <f t="shared" si="16"/>
        <v>1586</v>
      </c>
      <c r="AG21" s="53">
        <f t="shared" si="16"/>
        <v>661</v>
      </c>
      <c r="AH21" s="54">
        <f t="shared" si="16"/>
        <v>851</v>
      </c>
      <c r="AI21" s="55">
        <f t="shared" si="16"/>
        <v>1512</v>
      </c>
      <c r="AJ21" s="56">
        <f>SUM(AJ17:AJ20)</f>
        <v>644</v>
      </c>
      <c r="AK21" s="57">
        <f>SUM(AK17:AK20)</f>
        <v>810</v>
      </c>
      <c r="AL21" s="55">
        <f t="shared" si="16"/>
        <v>1454</v>
      </c>
      <c r="AM21" s="56">
        <f t="shared" si="16"/>
        <v>718</v>
      </c>
      <c r="AN21" s="57">
        <f t="shared" si="16"/>
        <v>898</v>
      </c>
      <c r="AO21" s="55">
        <f t="shared" si="16"/>
        <v>1616</v>
      </c>
      <c r="AP21" s="56">
        <f t="shared" si="16"/>
        <v>686</v>
      </c>
      <c r="AQ21" s="57">
        <f t="shared" si="16"/>
        <v>896</v>
      </c>
      <c r="AR21" s="55">
        <f t="shared" si="16"/>
        <v>1582</v>
      </c>
      <c r="AS21" s="56">
        <f t="shared" si="16"/>
        <v>673</v>
      </c>
      <c r="AT21" s="57">
        <f t="shared" si="16"/>
        <v>893</v>
      </c>
      <c r="AU21" s="55">
        <f t="shared" si="16"/>
        <v>1566</v>
      </c>
      <c r="AV21" s="56">
        <f t="shared" si="16"/>
        <v>673</v>
      </c>
      <c r="AW21" s="57">
        <f t="shared" si="16"/>
        <v>926</v>
      </c>
      <c r="AX21" s="55">
        <f t="shared" si="16"/>
        <v>1599</v>
      </c>
      <c r="AY21" s="56">
        <f t="shared" si="16"/>
        <v>865</v>
      </c>
      <c r="AZ21" s="57">
        <f t="shared" si="16"/>
        <v>895</v>
      </c>
      <c r="BA21" s="55">
        <f t="shared" si="16"/>
        <v>1760</v>
      </c>
      <c r="BB21" s="56">
        <f t="shared" si="16"/>
        <v>713</v>
      </c>
      <c r="BC21" s="57">
        <f t="shared" si="16"/>
        <v>669</v>
      </c>
      <c r="BD21" s="55">
        <f t="shared" si="16"/>
        <v>1382</v>
      </c>
      <c r="BE21" s="56">
        <f>SUM(BE17:BE20)</f>
        <v>663</v>
      </c>
      <c r="BF21" s="57">
        <f>SUM(BF17:BF20)</f>
        <v>782</v>
      </c>
      <c r="BG21" s="55">
        <f t="shared" ref="BG21" si="17">SUM(BG17:BG20)</f>
        <v>1445</v>
      </c>
      <c r="BH21" s="56">
        <f>SUM(BH17:BH20)</f>
        <v>711</v>
      </c>
      <c r="BI21" s="57">
        <f>SUM(BI17:BI20)</f>
        <v>760</v>
      </c>
      <c r="BJ21" s="55">
        <f t="shared" ref="BJ21" si="18">SUM(BJ17:BJ20)</f>
        <v>1471</v>
      </c>
    </row>
    <row r="22" spans="1:62" s="38" customFormat="1" ht="15" customHeight="1" x14ac:dyDescent="0.3">
      <c r="A22" s="272"/>
      <c r="B22" s="58" t="s">
        <v>65</v>
      </c>
      <c r="C22" s="285">
        <v>128</v>
      </c>
      <c r="D22" s="286">
        <v>229</v>
      </c>
      <c r="E22" s="61">
        <v>357</v>
      </c>
      <c r="F22" s="285">
        <v>141</v>
      </c>
      <c r="G22" s="286">
        <v>220</v>
      </c>
      <c r="H22" s="61">
        <v>361</v>
      </c>
      <c r="I22" s="59">
        <v>152</v>
      </c>
      <c r="J22" s="60">
        <v>186</v>
      </c>
      <c r="K22" s="61">
        <v>338</v>
      </c>
      <c r="L22" s="59">
        <v>135</v>
      </c>
      <c r="M22" s="60">
        <v>206</v>
      </c>
      <c r="N22" s="61">
        <v>341</v>
      </c>
      <c r="O22" s="59">
        <v>159</v>
      </c>
      <c r="P22" s="60">
        <v>199</v>
      </c>
      <c r="Q22" s="61">
        <v>358</v>
      </c>
      <c r="R22" s="59">
        <v>140</v>
      </c>
      <c r="S22" s="60">
        <v>166</v>
      </c>
      <c r="T22" s="61">
        <v>306</v>
      </c>
      <c r="U22" s="59">
        <v>127</v>
      </c>
      <c r="V22" s="60">
        <v>166</v>
      </c>
      <c r="W22" s="61">
        <v>293</v>
      </c>
      <c r="X22" s="59">
        <v>119</v>
      </c>
      <c r="Y22" s="60">
        <v>146</v>
      </c>
      <c r="Z22" s="61">
        <f t="shared" si="0"/>
        <v>265</v>
      </c>
      <c r="AA22" s="59">
        <v>108</v>
      </c>
      <c r="AB22" s="60">
        <v>143</v>
      </c>
      <c r="AC22" s="61">
        <f t="shared" si="1"/>
        <v>251</v>
      </c>
      <c r="AD22" s="59">
        <v>107</v>
      </c>
      <c r="AE22" s="60">
        <v>141</v>
      </c>
      <c r="AF22" s="61">
        <f t="shared" si="2"/>
        <v>248</v>
      </c>
      <c r="AG22" s="59">
        <v>109</v>
      </c>
      <c r="AH22" s="60">
        <v>131</v>
      </c>
      <c r="AI22" s="61">
        <f>SUM(AG22:AH22)</f>
        <v>240</v>
      </c>
      <c r="AJ22" s="62">
        <v>105</v>
      </c>
      <c r="AK22" s="60">
        <v>130</v>
      </c>
      <c r="AL22" s="61">
        <f>SUM(AJ22:AK22)</f>
        <v>235</v>
      </c>
      <c r="AM22" s="62">
        <v>110</v>
      </c>
      <c r="AN22" s="60">
        <v>119</v>
      </c>
      <c r="AO22" s="61">
        <f>SUM(AM22:AN22)</f>
        <v>229</v>
      </c>
      <c r="AP22" s="62">
        <v>85</v>
      </c>
      <c r="AQ22" s="60">
        <v>131</v>
      </c>
      <c r="AR22" s="61">
        <f>SUM(AP22:AQ22)</f>
        <v>216</v>
      </c>
      <c r="AS22" s="62">
        <v>164</v>
      </c>
      <c r="AT22" s="60">
        <v>193</v>
      </c>
      <c r="AU22" s="61">
        <f>SUM(AS22:AT22)</f>
        <v>357</v>
      </c>
      <c r="AV22" s="62">
        <v>167</v>
      </c>
      <c r="AW22" s="60">
        <v>201</v>
      </c>
      <c r="AX22" s="61">
        <f>SUM(AV22:AW22)</f>
        <v>368</v>
      </c>
      <c r="AY22" s="62">
        <v>185</v>
      </c>
      <c r="AZ22" s="60">
        <v>182</v>
      </c>
      <c r="BA22" s="61">
        <f>SUM(AY22:AZ22)</f>
        <v>367</v>
      </c>
      <c r="BB22" s="62">
        <v>158</v>
      </c>
      <c r="BC22" s="60">
        <v>170</v>
      </c>
      <c r="BD22" s="61">
        <f>SUM(BB22:BC22)</f>
        <v>328</v>
      </c>
      <c r="BE22" s="62">
        <v>155</v>
      </c>
      <c r="BF22" s="60">
        <v>177</v>
      </c>
      <c r="BG22" s="61">
        <f>SUM(BE22:BF22)</f>
        <v>332</v>
      </c>
      <c r="BH22" s="62">
        <v>163</v>
      </c>
      <c r="BI22" s="60">
        <v>174</v>
      </c>
      <c r="BJ22" s="61">
        <f>SUM(BH22:BI22)</f>
        <v>337</v>
      </c>
    </row>
    <row r="23" spans="1:62" s="38" customFormat="1" ht="15" customHeight="1" x14ac:dyDescent="0.3">
      <c r="A23" s="272"/>
      <c r="B23" s="39" t="s">
        <v>66</v>
      </c>
      <c r="C23" s="280">
        <v>146</v>
      </c>
      <c r="D23" s="281">
        <v>145</v>
      </c>
      <c r="E23" s="42">
        <v>291</v>
      </c>
      <c r="F23" s="280">
        <v>146</v>
      </c>
      <c r="G23" s="281">
        <v>85</v>
      </c>
      <c r="H23" s="42">
        <v>231</v>
      </c>
      <c r="I23" s="40">
        <v>107</v>
      </c>
      <c r="J23" s="41">
        <v>124</v>
      </c>
      <c r="K23" s="42">
        <v>231</v>
      </c>
      <c r="L23" s="40">
        <v>83</v>
      </c>
      <c r="M23" s="41">
        <v>90</v>
      </c>
      <c r="N23" s="42">
        <v>173</v>
      </c>
      <c r="O23" s="40">
        <v>78</v>
      </c>
      <c r="P23" s="41">
        <v>102</v>
      </c>
      <c r="Q23" s="42">
        <v>180</v>
      </c>
      <c r="R23" s="40">
        <v>86</v>
      </c>
      <c r="S23" s="41">
        <v>99</v>
      </c>
      <c r="T23" s="42">
        <v>185</v>
      </c>
      <c r="U23" s="40">
        <v>91</v>
      </c>
      <c r="V23" s="41">
        <v>106</v>
      </c>
      <c r="W23" s="42">
        <v>197</v>
      </c>
      <c r="X23" s="40">
        <v>92</v>
      </c>
      <c r="Y23" s="41">
        <v>104</v>
      </c>
      <c r="Z23" s="42">
        <f t="shared" si="0"/>
        <v>196</v>
      </c>
      <c r="AA23" s="40">
        <v>111</v>
      </c>
      <c r="AB23" s="41">
        <v>118</v>
      </c>
      <c r="AC23" s="42">
        <f t="shared" si="1"/>
        <v>229</v>
      </c>
      <c r="AD23" s="40">
        <v>105</v>
      </c>
      <c r="AE23" s="41">
        <v>115</v>
      </c>
      <c r="AF23" s="42">
        <f t="shared" si="2"/>
        <v>220</v>
      </c>
      <c r="AG23" s="40">
        <v>129</v>
      </c>
      <c r="AH23" s="41">
        <v>152</v>
      </c>
      <c r="AI23" s="42">
        <f>SUM(AG23:AH23)</f>
        <v>281</v>
      </c>
      <c r="AJ23" s="43">
        <v>127</v>
      </c>
      <c r="AK23" s="41">
        <v>140</v>
      </c>
      <c r="AL23" s="42">
        <f>SUM(AJ23:AK23)</f>
        <v>267</v>
      </c>
      <c r="AM23" s="43">
        <v>134</v>
      </c>
      <c r="AN23" s="41">
        <v>165</v>
      </c>
      <c r="AO23" s="42">
        <f>SUM(AM23:AN23)</f>
        <v>299</v>
      </c>
      <c r="AP23" s="43">
        <v>129</v>
      </c>
      <c r="AQ23" s="41">
        <v>181</v>
      </c>
      <c r="AR23" s="42">
        <f>SUM(AP23:AQ23)</f>
        <v>310</v>
      </c>
      <c r="AS23" s="43">
        <v>124</v>
      </c>
      <c r="AT23" s="41">
        <v>138</v>
      </c>
      <c r="AU23" s="42">
        <f>SUM(AS23:AT23)</f>
        <v>262</v>
      </c>
      <c r="AV23" s="43">
        <v>130</v>
      </c>
      <c r="AW23" s="41">
        <v>142</v>
      </c>
      <c r="AX23" s="42">
        <f>SUM(AV23:AW23)</f>
        <v>272</v>
      </c>
      <c r="AY23" s="43">
        <v>139</v>
      </c>
      <c r="AZ23" s="41">
        <v>145</v>
      </c>
      <c r="BA23" s="42">
        <f>SUM(AY23:AZ23)</f>
        <v>284</v>
      </c>
      <c r="BB23" s="43">
        <v>126</v>
      </c>
      <c r="BC23" s="41">
        <v>125</v>
      </c>
      <c r="BD23" s="42">
        <f>SUM(BB23:BC23)</f>
        <v>251</v>
      </c>
      <c r="BE23" s="43">
        <v>121</v>
      </c>
      <c r="BF23" s="41">
        <v>131</v>
      </c>
      <c r="BG23" s="42">
        <f>SUM(BE23:BF23)</f>
        <v>252</v>
      </c>
      <c r="BH23" s="43">
        <v>131</v>
      </c>
      <c r="BI23" s="41">
        <v>133</v>
      </c>
      <c r="BJ23" s="42">
        <f>SUM(BH23:BI23)</f>
        <v>264</v>
      </c>
    </row>
    <row r="24" spans="1:62" s="38" customFormat="1" ht="15.75" customHeight="1" x14ac:dyDescent="0.3">
      <c r="A24" s="272"/>
      <c r="B24" s="45" t="s">
        <v>67</v>
      </c>
      <c r="C24" s="46">
        <v>74</v>
      </c>
      <c r="D24" s="282">
        <v>90</v>
      </c>
      <c r="E24" s="48">
        <v>164</v>
      </c>
      <c r="F24" s="283">
        <v>61</v>
      </c>
      <c r="G24" s="282">
        <v>74</v>
      </c>
      <c r="H24" s="48">
        <v>135</v>
      </c>
      <c r="I24" s="46">
        <v>69</v>
      </c>
      <c r="J24" s="50">
        <v>79</v>
      </c>
      <c r="K24" s="48">
        <v>148</v>
      </c>
      <c r="L24" s="46">
        <v>60</v>
      </c>
      <c r="M24" s="50">
        <v>74</v>
      </c>
      <c r="N24" s="48">
        <v>134</v>
      </c>
      <c r="O24" s="46">
        <v>56</v>
      </c>
      <c r="P24" s="50">
        <v>69</v>
      </c>
      <c r="Q24" s="48">
        <v>125</v>
      </c>
      <c r="R24" s="46">
        <v>60</v>
      </c>
      <c r="S24" s="50">
        <v>65</v>
      </c>
      <c r="T24" s="48">
        <v>125</v>
      </c>
      <c r="U24" s="46">
        <v>72</v>
      </c>
      <c r="V24" s="50">
        <v>85</v>
      </c>
      <c r="W24" s="48">
        <v>157</v>
      </c>
      <c r="X24" s="46">
        <v>73</v>
      </c>
      <c r="Y24" s="50">
        <v>88</v>
      </c>
      <c r="Z24" s="48">
        <f t="shared" si="0"/>
        <v>161</v>
      </c>
      <c r="AA24" s="51">
        <v>81</v>
      </c>
      <c r="AB24" s="50">
        <v>97</v>
      </c>
      <c r="AC24" s="48">
        <f t="shared" si="1"/>
        <v>178</v>
      </c>
      <c r="AD24" s="51">
        <v>80</v>
      </c>
      <c r="AE24" s="50">
        <v>92</v>
      </c>
      <c r="AF24" s="48">
        <f t="shared" si="2"/>
        <v>172</v>
      </c>
      <c r="AG24" s="51">
        <v>79</v>
      </c>
      <c r="AH24" s="50">
        <v>91</v>
      </c>
      <c r="AI24" s="48">
        <f>SUM(AG24:AH24)</f>
        <v>170</v>
      </c>
      <c r="AJ24" s="43">
        <v>80</v>
      </c>
      <c r="AK24" s="50">
        <v>85</v>
      </c>
      <c r="AL24" s="48">
        <f>SUM(AJ24:AK24)</f>
        <v>165</v>
      </c>
      <c r="AM24" s="43">
        <v>79</v>
      </c>
      <c r="AN24" s="50">
        <v>118</v>
      </c>
      <c r="AO24" s="48">
        <f>SUM(AM24:AN24)</f>
        <v>197</v>
      </c>
      <c r="AP24" s="43">
        <v>85</v>
      </c>
      <c r="AQ24" s="50">
        <v>112</v>
      </c>
      <c r="AR24" s="48">
        <f>SUM(AP24:AQ24)</f>
        <v>197</v>
      </c>
      <c r="AS24" s="43">
        <v>92</v>
      </c>
      <c r="AT24" s="50">
        <v>104</v>
      </c>
      <c r="AU24" s="48">
        <f>SUM(AS24:AT24)</f>
        <v>196</v>
      </c>
      <c r="AV24" s="43">
        <v>96</v>
      </c>
      <c r="AW24" s="50">
        <v>108</v>
      </c>
      <c r="AX24" s="48">
        <f>SUM(AV24:AW24)</f>
        <v>204</v>
      </c>
      <c r="AY24" s="43">
        <v>90</v>
      </c>
      <c r="AZ24" s="50">
        <v>88</v>
      </c>
      <c r="BA24" s="48">
        <f>SUM(AY24:AZ24)</f>
        <v>178</v>
      </c>
      <c r="BB24" s="43">
        <v>90</v>
      </c>
      <c r="BC24" s="50">
        <v>97</v>
      </c>
      <c r="BD24" s="48">
        <f>SUM(BB24:BC24)</f>
        <v>187</v>
      </c>
      <c r="BE24" s="43">
        <v>91</v>
      </c>
      <c r="BF24" s="50">
        <v>100</v>
      </c>
      <c r="BG24" s="48">
        <f>SUM(BE24:BF24)</f>
        <v>191</v>
      </c>
      <c r="BH24" s="43">
        <v>97</v>
      </c>
      <c r="BI24" s="50">
        <v>104</v>
      </c>
      <c r="BJ24" s="48">
        <f>SUM(BH24:BI24)</f>
        <v>201</v>
      </c>
    </row>
    <row r="25" spans="1:62" s="38" customFormat="1" ht="15.75" customHeight="1" x14ac:dyDescent="0.3">
      <c r="A25" s="272"/>
      <c r="B25" s="287" t="s">
        <v>68</v>
      </c>
      <c r="C25" s="288">
        <f>SUM(C22:C24)</f>
        <v>348</v>
      </c>
      <c r="D25" s="289">
        <f t="shared" ref="D25:BD25" si="19">SUM(D22:D24)</f>
        <v>464</v>
      </c>
      <c r="E25" s="203">
        <f t="shared" si="19"/>
        <v>812</v>
      </c>
      <c r="F25" s="288">
        <f t="shared" si="19"/>
        <v>348</v>
      </c>
      <c r="G25" s="289">
        <f t="shared" si="19"/>
        <v>379</v>
      </c>
      <c r="H25" s="203">
        <f t="shared" si="19"/>
        <v>727</v>
      </c>
      <c r="I25" s="288">
        <f t="shared" si="19"/>
        <v>328</v>
      </c>
      <c r="J25" s="289">
        <f t="shared" si="19"/>
        <v>389</v>
      </c>
      <c r="K25" s="203">
        <f t="shared" si="19"/>
        <v>717</v>
      </c>
      <c r="L25" s="288">
        <f t="shared" si="19"/>
        <v>278</v>
      </c>
      <c r="M25" s="289">
        <f t="shared" si="19"/>
        <v>370</v>
      </c>
      <c r="N25" s="203">
        <f t="shared" si="19"/>
        <v>648</v>
      </c>
      <c r="O25" s="288">
        <f t="shared" si="19"/>
        <v>293</v>
      </c>
      <c r="P25" s="289">
        <f t="shared" si="19"/>
        <v>370</v>
      </c>
      <c r="Q25" s="203">
        <f t="shared" si="19"/>
        <v>663</v>
      </c>
      <c r="R25" s="288">
        <f t="shared" si="19"/>
        <v>286</v>
      </c>
      <c r="S25" s="289">
        <f t="shared" si="19"/>
        <v>330</v>
      </c>
      <c r="T25" s="203">
        <f t="shared" si="19"/>
        <v>616</v>
      </c>
      <c r="U25" s="288">
        <f t="shared" si="19"/>
        <v>290</v>
      </c>
      <c r="V25" s="289">
        <f t="shared" si="19"/>
        <v>357</v>
      </c>
      <c r="W25" s="203">
        <f t="shared" si="19"/>
        <v>647</v>
      </c>
      <c r="X25" s="288">
        <f t="shared" si="19"/>
        <v>284</v>
      </c>
      <c r="Y25" s="289">
        <f t="shared" si="19"/>
        <v>338</v>
      </c>
      <c r="Z25" s="203">
        <f t="shared" si="19"/>
        <v>622</v>
      </c>
      <c r="AA25" s="288">
        <f t="shared" si="19"/>
        <v>300</v>
      </c>
      <c r="AB25" s="289">
        <f t="shared" si="19"/>
        <v>358</v>
      </c>
      <c r="AC25" s="203">
        <f t="shared" si="19"/>
        <v>658</v>
      </c>
      <c r="AD25" s="288">
        <f t="shared" si="19"/>
        <v>292</v>
      </c>
      <c r="AE25" s="289">
        <f t="shared" si="19"/>
        <v>348</v>
      </c>
      <c r="AF25" s="203">
        <f t="shared" si="19"/>
        <v>640</v>
      </c>
      <c r="AG25" s="288">
        <f t="shared" si="19"/>
        <v>317</v>
      </c>
      <c r="AH25" s="290">
        <f t="shared" si="19"/>
        <v>374</v>
      </c>
      <c r="AI25" s="203">
        <f t="shared" si="19"/>
        <v>691</v>
      </c>
      <c r="AJ25" s="291">
        <f>SUM(AJ22:AJ24)</f>
        <v>312</v>
      </c>
      <c r="AK25" s="292">
        <f>SUM(AK22:AK24)</f>
        <v>355</v>
      </c>
      <c r="AL25" s="203">
        <f t="shared" si="19"/>
        <v>667</v>
      </c>
      <c r="AM25" s="291">
        <f t="shared" si="19"/>
        <v>323</v>
      </c>
      <c r="AN25" s="292">
        <f t="shared" si="19"/>
        <v>402</v>
      </c>
      <c r="AO25" s="203">
        <f t="shared" si="19"/>
        <v>725</v>
      </c>
      <c r="AP25" s="291">
        <f t="shared" si="19"/>
        <v>299</v>
      </c>
      <c r="AQ25" s="292">
        <f t="shared" si="19"/>
        <v>424</v>
      </c>
      <c r="AR25" s="203">
        <f t="shared" si="19"/>
        <v>723</v>
      </c>
      <c r="AS25" s="291">
        <f t="shared" si="19"/>
        <v>380</v>
      </c>
      <c r="AT25" s="292">
        <f t="shared" si="19"/>
        <v>435</v>
      </c>
      <c r="AU25" s="203">
        <f t="shared" si="19"/>
        <v>815</v>
      </c>
      <c r="AV25" s="291">
        <f t="shared" si="19"/>
        <v>393</v>
      </c>
      <c r="AW25" s="292">
        <f t="shared" si="19"/>
        <v>451</v>
      </c>
      <c r="AX25" s="203">
        <f t="shared" si="19"/>
        <v>844</v>
      </c>
      <c r="AY25" s="291">
        <f t="shared" si="19"/>
        <v>414</v>
      </c>
      <c r="AZ25" s="292">
        <f t="shared" si="19"/>
        <v>415</v>
      </c>
      <c r="BA25" s="203">
        <f t="shared" si="19"/>
        <v>829</v>
      </c>
      <c r="BB25" s="291">
        <f t="shared" si="19"/>
        <v>374</v>
      </c>
      <c r="BC25" s="292">
        <f t="shared" si="19"/>
        <v>392</v>
      </c>
      <c r="BD25" s="203">
        <f t="shared" si="19"/>
        <v>766</v>
      </c>
      <c r="BE25" s="291">
        <f t="shared" ref="BE25:BG25" si="20">SUM(BE22:BE24)</f>
        <v>367</v>
      </c>
      <c r="BF25" s="292">
        <f t="shared" si="20"/>
        <v>408</v>
      </c>
      <c r="BG25" s="203">
        <f t="shared" si="20"/>
        <v>775</v>
      </c>
      <c r="BH25" s="291">
        <f t="shared" ref="BH25:BJ25" si="21">SUM(BH22:BH24)</f>
        <v>391</v>
      </c>
      <c r="BI25" s="292">
        <f t="shared" si="21"/>
        <v>411</v>
      </c>
      <c r="BJ25" s="203">
        <f t="shared" si="21"/>
        <v>802</v>
      </c>
    </row>
    <row r="26" spans="1:62" s="38" customFormat="1" ht="15.75" customHeight="1" x14ac:dyDescent="0.3">
      <c r="A26" s="272"/>
      <c r="B26" s="70" t="s">
        <v>69</v>
      </c>
      <c r="C26" s="71">
        <f>SUM(C25,C21,C16)</f>
        <v>1275</v>
      </c>
      <c r="D26" s="72">
        <f t="shared" ref="D26:BD26" si="22">SUM(D25,D21,D16)</f>
        <v>2167</v>
      </c>
      <c r="E26" s="73">
        <f t="shared" si="22"/>
        <v>3442</v>
      </c>
      <c r="F26" s="71">
        <f t="shared" si="22"/>
        <v>1608</v>
      </c>
      <c r="G26" s="72">
        <f t="shared" si="22"/>
        <v>2389</v>
      </c>
      <c r="H26" s="73">
        <f t="shared" si="22"/>
        <v>3997</v>
      </c>
      <c r="I26" s="71">
        <f t="shared" si="22"/>
        <v>1627</v>
      </c>
      <c r="J26" s="72">
        <f t="shared" si="22"/>
        <v>2388</v>
      </c>
      <c r="K26" s="73">
        <f t="shared" si="22"/>
        <v>4015</v>
      </c>
      <c r="L26" s="71">
        <f t="shared" si="22"/>
        <v>1528</v>
      </c>
      <c r="M26" s="72">
        <f t="shared" si="22"/>
        <v>2524</v>
      </c>
      <c r="N26" s="73">
        <f t="shared" si="22"/>
        <v>4052</v>
      </c>
      <c r="O26" s="71">
        <f t="shared" si="22"/>
        <v>1625</v>
      </c>
      <c r="P26" s="72">
        <f t="shared" si="22"/>
        <v>2463</v>
      </c>
      <c r="Q26" s="73">
        <f t="shared" si="22"/>
        <v>4088</v>
      </c>
      <c r="R26" s="71">
        <f t="shared" si="22"/>
        <v>1710</v>
      </c>
      <c r="S26" s="72">
        <f t="shared" si="22"/>
        <v>2423</v>
      </c>
      <c r="T26" s="73">
        <f t="shared" si="22"/>
        <v>4133</v>
      </c>
      <c r="U26" s="71">
        <f t="shared" si="22"/>
        <v>1699</v>
      </c>
      <c r="V26" s="72">
        <f t="shared" si="22"/>
        <v>2433</v>
      </c>
      <c r="W26" s="73">
        <f t="shared" si="22"/>
        <v>4132</v>
      </c>
      <c r="X26" s="71">
        <f t="shared" si="22"/>
        <v>1835</v>
      </c>
      <c r="Y26" s="72">
        <f t="shared" si="22"/>
        <v>2521</v>
      </c>
      <c r="Z26" s="73">
        <f t="shared" si="22"/>
        <v>4356</v>
      </c>
      <c r="AA26" s="71">
        <f t="shared" si="22"/>
        <v>2007</v>
      </c>
      <c r="AB26" s="72">
        <f t="shared" si="22"/>
        <v>2092</v>
      </c>
      <c r="AC26" s="73">
        <f t="shared" si="22"/>
        <v>4099</v>
      </c>
      <c r="AD26" s="71">
        <f t="shared" si="22"/>
        <v>1511</v>
      </c>
      <c r="AE26" s="72">
        <f t="shared" si="22"/>
        <v>2164</v>
      </c>
      <c r="AF26" s="73">
        <f t="shared" si="22"/>
        <v>3675</v>
      </c>
      <c r="AG26" s="71">
        <f t="shared" si="22"/>
        <v>1578</v>
      </c>
      <c r="AH26" s="72">
        <f t="shared" si="22"/>
        <v>2173</v>
      </c>
      <c r="AI26" s="73">
        <f t="shared" si="22"/>
        <v>3751</v>
      </c>
      <c r="AJ26" s="71">
        <f t="shared" si="22"/>
        <v>1410</v>
      </c>
      <c r="AK26" s="72">
        <f t="shared" si="22"/>
        <v>2165</v>
      </c>
      <c r="AL26" s="73">
        <f t="shared" si="22"/>
        <v>3575</v>
      </c>
      <c r="AM26" s="71">
        <f t="shared" si="22"/>
        <v>1436</v>
      </c>
      <c r="AN26" s="72">
        <f t="shared" si="22"/>
        <v>2154</v>
      </c>
      <c r="AO26" s="73">
        <f t="shared" si="22"/>
        <v>3590</v>
      </c>
      <c r="AP26" s="71">
        <f t="shared" si="22"/>
        <v>1583</v>
      </c>
      <c r="AQ26" s="72">
        <f t="shared" si="22"/>
        <v>2290</v>
      </c>
      <c r="AR26" s="73">
        <f t="shared" si="22"/>
        <v>3873</v>
      </c>
      <c r="AS26" s="71">
        <f t="shared" si="22"/>
        <v>1663</v>
      </c>
      <c r="AT26" s="72">
        <f t="shared" si="22"/>
        <v>2379</v>
      </c>
      <c r="AU26" s="73">
        <f t="shared" si="22"/>
        <v>4042</v>
      </c>
      <c r="AV26" s="71">
        <f t="shared" si="22"/>
        <v>1683</v>
      </c>
      <c r="AW26" s="72">
        <f t="shared" si="22"/>
        <v>2602</v>
      </c>
      <c r="AX26" s="73">
        <f t="shared" si="22"/>
        <v>4285</v>
      </c>
      <c r="AY26" s="71">
        <f t="shared" si="22"/>
        <v>2401</v>
      </c>
      <c r="AZ26" s="72">
        <f t="shared" si="22"/>
        <v>2473</v>
      </c>
      <c r="BA26" s="73">
        <f t="shared" si="22"/>
        <v>4874</v>
      </c>
      <c r="BB26" s="71">
        <f t="shared" si="22"/>
        <v>1692</v>
      </c>
      <c r="BC26" s="72">
        <f t="shared" si="22"/>
        <v>1892</v>
      </c>
      <c r="BD26" s="73">
        <f t="shared" si="22"/>
        <v>3584</v>
      </c>
      <c r="BE26" s="71">
        <f t="shared" ref="BE26:BG26" si="23">SUM(BE25,BE21,BE16)</f>
        <v>1743</v>
      </c>
      <c r="BF26" s="72">
        <f t="shared" si="23"/>
        <v>1938</v>
      </c>
      <c r="BG26" s="73">
        <f t="shared" si="23"/>
        <v>3681</v>
      </c>
      <c r="BH26" s="71">
        <f t="shared" ref="BH26:BJ26" si="24">SUM(BH25,BH21,BH16)</f>
        <v>1750</v>
      </c>
      <c r="BI26" s="72">
        <f t="shared" si="24"/>
        <v>2088</v>
      </c>
      <c r="BJ26" s="73">
        <f t="shared" si="24"/>
        <v>3838</v>
      </c>
    </row>
    <row r="27" spans="1:62" s="38" customFormat="1" ht="15" customHeight="1" x14ac:dyDescent="0.3">
      <c r="A27" s="272"/>
      <c r="B27" s="39" t="s">
        <v>70</v>
      </c>
      <c r="C27" s="280">
        <v>41</v>
      </c>
      <c r="D27" s="281">
        <v>92</v>
      </c>
      <c r="E27" s="42">
        <v>133</v>
      </c>
      <c r="F27" s="280">
        <v>35</v>
      </c>
      <c r="G27" s="281">
        <v>83</v>
      </c>
      <c r="H27" s="42">
        <v>118</v>
      </c>
      <c r="I27" s="40">
        <v>47</v>
      </c>
      <c r="J27" s="41">
        <v>106</v>
      </c>
      <c r="K27" s="42">
        <v>153</v>
      </c>
      <c r="L27" s="40">
        <v>63</v>
      </c>
      <c r="M27" s="41">
        <v>93</v>
      </c>
      <c r="N27" s="42">
        <v>156</v>
      </c>
      <c r="O27" s="40">
        <v>30</v>
      </c>
      <c r="P27" s="41">
        <v>79</v>
      </c>
      <c r="Q27" s="42">
        <v>109</v>
      </c>
      <c r="R27" s="40">
        <v>35</v>
      </c>
      <c r="S27" s="41">
        <v>85</v>
      </c>
      <c r="T27" s="42">
        <v>120</v>
      </c>
      <c r="U27" s="40">
        <v>30</v>
      </c>
      <c r="V27" s="41">
        <v>106</v>
      </c>
      <c r="W27" s="42">
        <v>136</v>
      </c>
      <c r="X27" s="40"/>
      <c r="Y27" s="41">
        <v>136</v>
      </c>
      <c r="Z27" s="42">
        <f t="shared" si="0"/>
        <v>136</v>
      </c>
      <c r="AA27" s="40"/>
      <c r="AB27" s="41">
        <v>138</v>
      </c>
      <c r="AC27" s="42">
        <f t="shared" si="1"/>
        <v>138</v>
      </c>
      <c r="AD27" s="40"/>
      <c r="AE27" s="41">
        <v>162</v>
      </c>
      <c r="AF27" s="42">
        <f t="shared" si="2"/>
        <v>162</v>
      </c>
      <c r="AG27" s="40"/>
      <c r="AH27" s="41">
        <v>172</v>
      </c>
      <c r="AI27" s="42">
        <f t="shared" ref="AI27:AI35" si="25">SUM(AG27:AH27)</f>
        <v>172</v>
      </c>
      <c r="AJ27" s="36"/>
      <c r="AK27" s="41">
        <v>161</v>
      </c>
      <c r="AL27" s="42">
        <f t="shared" ref="AL27:AL35" si="26">SUM(AJ27:AK27)</f>
        <v>161</v>
      </c>
      <c r="AM27" s="36"/>
      <c r="AN27" s="41">
        <v>151</v>
      </c>
      <c r="AO27" s="42">
        <f t="shared" ref="AO27:AO35" si="27">SUM(AM27:AN27)</f>
        <v>151</v>
      </c>
      <c r="AP27" s="36"/>
      <c r="AQ27" s="41">
        <v>160</v>
      </c>
      <c r="AR27" s="42">
        <f t="shared" ref="AR27:AR36" si="28">SUM(AP27:AQ27)</f>
        <v>160</v>
      </c>
      <c r="AS27" s="36"/>
      <c r="AT27" s="41">
        <v>133</v>
      </c>
      <c r="AU27" s="42">
        <f t="shared" ref="AU27:AU36" si="29">SUM(AS27:AT27)</f>
        <v>133</v>
      </c>
      <c r="AV27" s="36"/>
      <c r="AW27" s="41">
        <v>135</v>
      </c>
      <c r="AX27" s="42">
        <f t="shared" ref="AX27:AX36" si="30">SUM(AV27:AW27)</f>
        <v>135</v>
      </c>
      <c r="AY27" s="36"/>
      <c r="AZ27" s="41">
        <v>141</v>
      </c>
      <c r="BA27" s="42">
        <f t="shared" ref="BA27:BA36" si="31">SUM(AY27:AZ27)</f>
        <v>141</v>
      </c>
      <c r="BB27" s="36"/>
      <c r="BC27" s="41">
        <v>120</v>
      </c>
      <c r="BD27" s="42">
        <f t="shared" ref="BD27:BD36" si="32">SUM(BB27:BC27)</f>
        <v>120</v>
      </c>
      <c r="BE27" s="36"/>
      <c r="BF27" s="41">
        <v>68</v>
      </c>
      <c r="BG27" s="42">
        <f t="shared" ref="BG27:BG36" si="33">SUM(BE27:BF27)</f>
        <v>68</v>
      </c>
      <c r="BH27" s="36"/>
      <c r="BI27" s="41">
        <v>158</v>
      </c>
      <c r="BJ27" s="42">
        <f t="shared" ref="BJ27:BJ36" si="34">SUM(BH27:BI27)</f>
        <v>158</v>
      </c>
    </row>
    <row r="28" spans="1:62" s="38" customFormat="1" ht="15" customHeight="1" x14ac:dyDescent="0.3">
      <c r="A28" s="272"/>
      <c r="B28" s="39" t="s">
        <v>71</v>
      </c>
      <c r="C28" s="280">
        <v>10</v>
      </c>
      <c r="D28" s="281">
        <v>10</v>
      </c>
      <c r="E28" s="42">
        <v>20</v>
      </c>
      <c r="F28" s="280">
        <v>6</v>
      </c>
      <c r="G28" s="281">
        <v>15</v>
      </c>
      <c r="H28" s="42">
        <v>21</v>
      </c>
      <c r="I28" s="40">
        <v>8</v>
      </c>
      <c r="J28" s="41">
        <v>15</v>
      </c>
      <c r="K28" s="42">
        <v>23</v>
      </c>
      <c r="L28" s="40">
        <v>9</v>
      </c>
      <c r="M28" s="41">
        <v>9</v>
      </c>
      <c r="N28" s="42">
        <v>18</v>
      </c>
      <c r="O28" s="40">
        <v>11</v>
      </c>
      <c r="P28" s="41">
        <v>21</v>
      </c>
      <c r="Q28" s="42">
        <v>32</v>
      </c>
      <c r="R28" s="40"/>
      <c r="S28" s="41">
        <v>31</v>
      </c>
      <c r="T28" s="42">
        <v>31</v>
      </c>
      <c r="U28" s="40"/>
      <c r="V28" s="41">
        <v>18</v>
      </c>
      <c r="W28" s="42">
        <v>18</v>
      </c>
      <c r="X28" s="40"/>
      <c r="Y28" s="41">
        <v>24</v>
      </c>
      <c r="Z28" s="42">
        <f t="shared" si="0"/>
        <v>24</v>
      </c>
      <c r="AA28" s="40"/>
      <c r="AB28" s="41">
        <v>36</v>
      </c>
      <c r="AC28" s="42">
        <f t="shared" si="1"/>
        <v>36</v>
      </c>
      <c r="AD28" s="40"/>
      <c r="AE28" s="41">
        <v>46</v>
      </c>
      <c r="AF28" s="42">
        <f t="shared" si="2"/>
        <v>46</v>
      </c>
      <c r="AG28" s="40"/>
      <c r="AH28" s="41">
        <v>34</v>
      </c>
      <c r="AI28" s="42">
        <f t="shared" si="25"/>
        <v>34</v>
      </c>
      <c r="AJ28" s="43"/>
      <c r="AK28" s="41">
        <v>40</v>
      </c>
      <c r="AL28" s="42">
        <f t="shared" si="26"/>
        <v>40</v>
      </c>
      <c r="AM28" s="43"/>
      <c r="AN28" s="41">
        <v>35</v>
      </c>
      <c r="AO28" s="42">
        <f t="shared" si="27"/>
        <v>35</v>
      </c>
      <c r="AP28" s="43"/>
      <c r="AQ28" s="41">
        <v>25</v>
      </c>
      <c r="AR28" s="42">
        <f t="shared" si="28"/>
        <v>25</v>
      </c>
      <c r="AS28" s="43"/>
      <c r="AT28" s="41">
        <v>28</v>
      </c>
      <c r="AU28" s="42">
        <f t="shared" si="29"/>
        <v>28</v>
      </c>
      <c r="AV28" s="43"/>
      <c r="AW28" s="41">
        <v>36</v>
      </c>
      <c r="AX28" s="42">
        <f t="shared" si="30"/>
        <v>36</v>
      </c>
      <c r="AY28" s="43"/>
      <c r="AZ28" s="41">
        <v>31</v>
      </c>
      <c r="BA28" s="42">
        <f t="shared" si="31"/>
        <v>31</v>
      </c>
      <c r="BB28" s="43"/>
      <c r="BC28" s="41">
        <v>13</v>
      </c>
      <c r="BD28" s="42">
        <f t="shared" si="32"/>
        <v>13</v>
      </c>
      <c r="BE28" s="43"/>
      <c r="BF28" s="41">
        <v>22</v>
      </c>
      <c r="BG28" s="42">
        <f t="shared" si="33"/>
        <v>22</v>
      </c>
      <c r="BH28" s="43"/>
      <c r="BI28" s="41">
        <v>8</v>
      </c>
      <c r="BJ28" s="42">
        <f t="shared" si="34"/>
        <v>8</v>
      </c>
    </row>
    <row r="29" spans="1:62" s="38" customFormat="1" ht="15" customHeight="1" x14ac:dyDescent="0.3">
      <c r="A29" s="272"/>
      <c r="B29" s="39" t="s">
        <v>56</v>
      </c>
      <c r="C29" s="280">
        <v>21</v>
      </c>
      <c r="D29" s="281">
        <v>49</v>
      </c>
      <c r="E29" s="42">
        <v>70</v>
      </c>
      <c r="F29" s="280">
        <v>27</v>
      </c>
      <c r="G29" s="281">
        <v>63</v>
      </c>
      <c r="H29" s="42">
        <v>90</v>
      </c>
      <c r="I29" s="40">
        <v>28</v>
      </c>
      <c r="J29" s="41">
        <v>88</v>
      </c>
      <c r="K29" s="42">
        <v>116</v>
      </c>
      <c r="L29" s="40">
        <v>31</v>
      </c>
      <c r="M29" s="41">
        <v>85</v>
      </c>
      <c r="N29" s="42">
        <v>116</v>
      </c>
      <c r="O29" s="40">
        <v>29</v>
      </c>
      <c r="P29" s="41">
        <v>67</v>
      </c>
      <c r="Q29" s="42">
        <v>96</v>
      </c>
      <c r="R29" s="40">
        <v>36</v>
      </c>
      <c r="S29" s="41">
        <v>69</v>
      </c>
      <c r="T29" s="42">
        <v>105</v>
      </c>
      <c r="U29" s="40">
        <v>29</v>
      </c>
      <c r="V29" s="41">
        <v>75</v>
      </c>
      <c r="W29" s="42">
        <v>104</v>
      </c>
      <c r="X29" s="40">
        <v>44</v>
      </c>
      <c r="Y29" s="41">
        <v>111</v>
      </c>
      <c r="Z29" s="42">
        <f t="shared" si="0"/>
        <v>155</v>
      </c>
      <c r="AA29" s="40">
        <v>43</v>
      </c>
      <c r="AB29" s="41">
        <v>94</v>
      </c>
      <c r="AC29" s="42">
        <f t="shared" si="1"/>
        <v>137</v>
      </c>
      <c r="AD29" s="40">
        <v>73</v>
      </c>
      <c r="AE29" s="41">
        <v>96</v>
      </c>
      <c r="AF29" s="42">
        <f t="shared" si="2"/>
        <v>169</v>
      </c>
      <c r="AG29" s="40">
        <v>82</v>
      </c>
      <c r="AH29" s="41">
        <v>113</v>
      </c>
      <c r="AI29" s="42">
        <f t="shared" si="25"/>
        <v>195</v>
      </c>
      <c r="AJ29" s="43">
        <v>55</v>
      </c>
      <c r="AK29" s="41">
        <v>78</v>
      </c>
      <c r="AL29" s="42">
        <f t="shared" si="26"/>
        <v>133</v>
      </c>
      <c r="AM29" s="43">
        <v>49</v>
      </c>
      <c r="AN29" s="41">
        <v>74</v>
      </c>
      <c r="AO29" s="42">
        <f t="shared" si="27"/>
        <v>123</v>
      </c>
      <c r="AP29" s="43">
        <v>58</v>
      </c>
      <c r="AQ29" s="41">
        <v>82</v>
      </c>
      <c r="AR29" s="42">
        <f t="shared" si="28"/>
        <v>140</v>
      </c>
      <c r="AS29" s="43"/>
      <c r="AT29" s="41">
        <v>103</v>
      </c>
      <c r="AU29" s="42">
        <f t="shared" si="29"/>
        <v>103</v>
      </c>
      <c r="AV29" s="43"/>
      <c r="AW29" s="41">
        <v>105</v>
      </c>
      <c r="AX29" s="42">
        <f t="shared" si="30"/>
        <v>105</v>
      </c>
      <c r="AY29" s="43"/>
      <c r="AZ29" s="41">
        <v>119</v>
      </c>
      <c r="BA29" s="42">
        <f t="shared" si="31"/>
        <v>119</v>
      </c>
      <c r="BB29" s="43"/>
      <c r="BC29" s="41">
        <v>100</v>
      </c>
      <c r="BD29" s="42">
        <f t="shared" si="32"/>
        <v>100</v>
      </c>
      <c r="BE29" s="43"/>
      <c r="BF29" s="41">
        <v>76</v>
      </c>
      <c r="BG29" s="42">
        <f t="shared" si="33"/>
        <v>76</v>
      </c>
      <c r="BH29" s="43"/>
      <c r="BI29" s="41">
        <v>77</v>
      </c>
      <c r="BJ29" s="42">
        <f t="shared" si="34"/>
        <v>77</v>
      </c>
    </row>
    <row r="30" spans="1:62" s="38" customFormat="1" ht="15" customHeight="1" x14ac:dyDescent="0.3">
      <c r="A30" s="272"/>
      <c r="B30" s="39" t="s">
        <v>72</v>
      </c>
      <c r="C30" s="280">
        <v>23</v>
      </c>
      <c r="D30" s="281">
        <v>42</v>
      </c>
      <c r="E30" s="42">
        <v>65</v>
      </c>
      <c r="F30" s="280">
        <v>20</v>
      </c>
      <c r="G30" s="281">
        <v>37</v>
      </c>
      <c r="H30" s="42">
        <v>57</v>
      </c>
      <c r="I30" s="40">
        <v>34</v>
      </c>
      <c r="J30" s="41">
        <v>39</v>
      </c>
      <c r="K30" s="42">
        <v>73</v>
      </c>
      <c r="L30" s="40">
        <v>25</v>
      </c>
      <c r="M30" s="41">
        <v>31</v>
      </c>
      <c r="N30" s="42">
        <v>56</v>
      </c>
      <c r="O30" s="40">
        <v>15</v>
      </c>
      <c r="P30" s="41">
        <v>49</v>
      </c>
      <c r="Q30" s="42">
        <v>64</v>
      </c>
      <c r="R30" s="40">
        <v>28</v>
      </c>
      <c r="S30" s="41">
        <v>49</v>
      </c>
      <c r="T30" s="42">
        <v>77</v>
      </c>
      <c r="U30" s="40">
        <v>24</v>
      </c>
      <c r="V30" s="41">
        <v>65</v>
      </c>
      <c r="W30" s="42">
        <v>89</v>
      </c>
      <c r="X30" s="40">
        <v>44</v>
      </c>
      <c r="Y30" s="41">
        <v>57</v>
      </c>
      <c r="Z30" s="42">
        <f t="shared" si="0"/>
        <v>101</v>
      </c>
      <c r="AA30" s="40">
        <v>80</v>
      </c>
      <c r="AB30" s="41">
        <v>75</v>
      </c>
      <c r="AC30" s="42">
        <f t="shared" si="1"/>
        <v>155</v>
      </c>
      <c r="AD30" s="40">
        <v>53</v>
      </c>
      <c r="AE30" s="41">
        <v>77</v>
      </c>
      <c r="AF30" s="42">
        <f t="shared" si="2"/>
        <v>130</v>
      </c>
      <c r="AG30" s="40">
        <v>90</v>
      </c>
      <c r="AH30" s="41">
        <v>83</v>
      </c>
      <c r="AI30" s="42">
        <f t="shared" si="25"/>
        <v>173</v>
      </c>
      <c r="AJ30" s="43">
        <v>78</v>
      </c>
      <c r="AK30" s="41">
        <v>70</v>
      </c>
      <c r="AL30" s="42">
        <f t="shared" si="26"/>
        <v>148</v>
      </c>
      <c r="AM30" s="43">
        <v>63</v>
      </c>
      <c r="AN30" s="41">
        <v>67</v>
      </c>
      <c r="AO30" s="42">
        <f t="shared" si="27"/>
        <v>130</v>
      </c>
      <c r="AP30" s="43">
        <v>53</v>
      </c>
      <c r="AQ30" s="41">
        <v>63</v>
      </c>
      <c r="AR30" s="42">
        <f t="shared" si="28"/>
        <v>116</v>
      </c>
      <c r="AS30" s="43"/>
      <c r="AT30" s="41">
        <v>103</v>
      </c>
      <c r="AU30" s="42">
        <f t="shared" si="29"/>
        <v>103</v>
      </c>
      <c r="AV30" s="43"/>
      <c r="AW30" s="41">
        <v>84</v>
      </c>
      <c r="AX30" s="42">
        <f t="shared" si="30"/>
        <v>84</v>
      </c>
      <c r="AY30" s="43"/>
      <c r="AZ30" s="41">
        <v>87</v>
      </c>
      <c r="BA30" s="42">
        <f t="shared" si="31"/>
        <v>87</v>
      </c>
      <c r="BB30" s="43"/>
      <c r="BC30" s="41">
        <v>41</v>
      </c>
      <c r="BD30" s="42">
        <f t="shared" si="32"/>
        <v>41</v>
      </c>
      <c r="BE30" s="43"/>
      <c r="BF30" s="41">
        <v>41</v>
      </c>
      <c r="BG30" s="42">
        <f t="shared" si="33"/>
        <v>41</v>
      </c>
      <c r="BH30" s="43"/>
      <c r="BI30" s="41">
        <v>42</v>
      </c>
      <c r="BJ30" s="42">
        <f t="shared" si="34"/>
        <v>42</v>
      </c>
    </row>
    <row r="31" spans="1:62" s="38" customFormat="1" ht="15" customHeight="1" x14ac:dyDescent="0.3">
      <c r="A31" s="272"/>
      <c r="B31" s="39" t="s">
        <v>73</v>
      </c>
      <c r="C31" s="280">
        <v>10</v>
      </c>
      <c r="D31" s="281">
        <v>33</v>
      </c>
      <c r="E31" s="42">
        <v>43</v>
      </c>
      <c r="F31" s="280">
        <v>9</v>
      </c>
      <c r="G31" s="281">
        <v>39</v>
      </c>
      <c r="H31" s="42">
        <v>48</v>
      </c>
      <c r="I31" s="40">
        <v>14</v>
      </c>
      <c r="J31" s="41">
        <v>46</v>
      </c>
      <c r="K31" s="42">
        <v>60</v>
      </c>
      <c r="L31" s="40">
        <v>20</v>
      </c>
      <c r="M31" s="41">
        <v>35</v>
      </c>
      <c r="N31" s="42">
        <v>55</v>
      </c>
      <c r="O31" s="40">
        <v>20</v>
      </c>
      <c r="P31" s="41">
        <v>47</v>
      </c>
      <c r="Q31" s="42">
        <v>67</v>
      </c>
      <c r="R31" s="40">
        <v>17</v>
      </c>
      <c r="S31" s="41">
        <v>46</v>
      </c>
      <c r="T31" s="42">
        <v>63</v>
      </c>
      <c r="U31" s="40">
        <v>21</v>
      </c>
      <c r="V31" s="41">
        <v>53</v>
      </c>
      <c r="W31" s="42">
        <v>74</v>
      </c>
      <c r="X31" s="40">
        <v>38</v>
      </c>
      <c r="Y31" s="41">
        <v>74</v>
      </c>
      <c r="Z31" s="42">
        <f t="shared" si="0"/>
        <v>112</v>
      </c>
      <c r="AA31" s="40">
        <v>49</v>
      </c>
      <c r="AB31" s="41">
        <v>107</v>
      </c>
      <c r="AC31" s="42">
        <f t="shared" si="1"/>
        <v>156</v>
      </c>
      <c r="AD31" s="40">
        <v>67</v>
      </c>
      <c r="AE31" s="41">
        <v>97</v>
      </c>
      <c r="AF31" s="42">
        <f t="shared" si="2"/>
        <v>164</v>
      </c>
      <c r="AG31" s="40">
        <v>67</v>
      </c>
      <c r="AH31" s="41">
        <v>89</v>
      </c>
      <c r="AI31" s="42">
        <f t="shared" si="25"/>
        <v>156</v>
      </c>
      <c r="AJ31" s="43">
        <v>52</v>
      </c>
      <c r="AK31" s="41">
        <v>84</v>
      </c>
      <c r="AL31" s="42">
        <f t="shared" si="26"/>
        <v>136</v>
      </c>
      <c r="AM31" s="43">
        <v>62</v>
      </c>
      <c r="AN31" s="41">
        <v>84</v>
      </c>
      <c r="AO31" s="42">
        <f t="shared" si="27"/>
        <v>146</v>
      </c>
      <c r="AP31" s="43"/>
      <c r="AQ31" s="41">
        <v>133</v>
      </c>
      <c r="AR31" s="42">
        <f t="shared" si="28"/>
        <v>133</v>
      </c>
      <c r="AS31" s="43"/>
      <c r="AT31" s="41">
        <v>117</v>
      </c>
      <c r="AU31" s="42">
        <f t="shared" si="29"/>
        <v>117</v>
      </c>
      <c r="AV31" s="43"/>
      <c r="AW31" s="41">
        <v>141</v>
      </c>
      <c r="AX31" s="42">
        <f t="shared" si="30"/>
        <v>141</v>
      </c>
      <c r="AY31" s="43"/>
      <c r="AZ31" s="41">
        <v>132</v>
      </c>
      <c r="BA31" s="42">
        <f t="shared" si="31"/>
        <v>132</v>
      </c>
      <c r="BB31" s="43"/>
      <c r="BC31" s="41">
        <v>129</v>
      </c>
      <c r="BD31" s="42">
        <f t="shared" si="32"/>
        <v>129</v>
      </c>
      <c r="BE31" s="43"/>
      <c r="BF31" s="41">
        <v>82</v>
      </c>
      <c r="BG31" s="42">
        <f t="shared" si="33"/>
        <v>82</v>
      </c>
      <c r="BH31" s="43"/>
      <c r="BI31" s="41">
        <v>163</v>
      </c>
      <c r="BJ31" s="42">
        <f t="shared" si="34"/>
        <v>163</v>
      </c>
    </row>
    <row r="32" spans="1:62" s="38" customFormat="1" ht="15" customHeight="1" x14ac:dyDescent="0.3">
      <c r="A32" s="272"/>
      <c r="B32" s="39" t="s">
        <v>57</v>
      </c>
      <c r="C32" s="280">
        <v>71</v>
      </c>
      <c r="D32" s="281">
        <v>76</v>
      </c>
      <c r="E32" s="42">
        <v>147</v>
      </c>
      <c r="F32" s="280">
        <v>57</v>
      </c>
      <c r="G32" s="281">
        <v>100</v>
      </c>
      <c r="H32" s="42">
        <v>157</v>
      </c>
      <c r="I32" s="40">
        <v>62</v>
      </c>
      <c r="J32" s="41">
        <v>105</v>
      </c>
      <c r="K32" s="42">
        <v>167</v>
      </c>
      <c r="L32" s="40">
        <v>88</v>
      </c>
      <c r="M32" s="41">
        <v>130</v>
      </c>
      <c r="N32" s="42">
        <v>218</v>
      </c>
      <c r="O32" s="40">
        <v>63</v>
      </c>
      <c r="P32" s="41">
        <v>109</v>
      </c>
      <c r="Q32" s="42">
        <v>172</v>
      </c>
      <c r="R32" s="40">
        <v>40</v>
      </c>
      <c r="S32" s="41">
        <v>97</v>
      </c>
      <c r="T32" s="42">
        <v>137</v>
      </c>
      <c r="U32" s="40">
        <v>50</v>
      </c>
      <c r="V32" s="41">
        <v>90</v>
      </c>
      <c r="W32" s="42">
        <v>140</v>
      </c>
      <c r="X32" s="40"/>
      <c r="Y32" s="41">
        <v>144</v>
      </c>
      <c r="Z32" s="42">
        <f t="shared" si="0"/>
        <v>144</v>
      </c>
      <c r="AA32" s="40"/>
      <c r="AB32" s="41">
        <v>142</v>
      </c>
      <c r="AC32" s="42">
        <f t="shared" si="1"/>
        <v>142</v>
      </c>
      <c r="AD32" s="40"/>
      <c r="AE32" s="41">
        <v>130</v>
      </c>
      <c r="AF32" s="42">
        <f t="shared" si="2"/>
        <v>130</v>
      </c>
      <c r="AG32" s="40"/>
      <c r="AH32" s="41">
        <v>175</v>
      </c>
      <c r="AI32" s="42">
        <f t="shared" si="25"/>
        <v>175</v>
      </c>
      <c r="AJ32" s="43"/>
      <c r="AK32" s="41">
        <v>115</v>
      </c>
      <c r="AL32" s="42">
        <f t="shared" si="26"/>
        <v>115</v>
      </c>
      <c r="AM32" s="43"/>
      <c r="AN32" s="41">
        <v>103</v>
      </c>
      <c r="AO32" s="42">
        <f t="shared" si="27"/>
        <v>103</v>
      </c>
      <c r="AP32" s="43"/>
      <c r="AQ32" s="41">
        <v>121</v>
      </c>
      <c r="AR32" s="42">
        <f t="shared" si="28"/>
        <v>121</v>
      </c>
      <c r="AS32" s="43"/>
      <c r="AT32" s="41">
        <v>94</v>
      </c>
      <c r="AU32" s="42">
        <f t="shared" si="29"/>
        <v>94</v>
      </c>
      <c r="AV32" s="43"/>
      <c r="AW32" s="41">
        <v>101</v>
      </c>
      <c r="AX32" s="42">
        <f t="shared" si="30"/>
        <v>101</v>
      </c>
      <c r="AY32" s="43"/>
      <c r="AZ32" s="41">
        <v>108</v>
      </c>
      <c r="BA32" s="42">
        <f t="shared" si="31"/>
        <v>108</v>
      </c>
      <c r="BB32" s="43"/>
      <c r="BC32" s="41">
        <v>82</v>
      </c>
      <c r="BD32" s="42">
        <f t="shared" si="32"/>
        <v>82</v>
      </c>
      <c r="BE32" s="43"/>
      <c r="BF32" s="41">
        <v>55</v>
      </c>
      <c r="BG32" s="42">
        <f t="shared" si="33"/>
        <v>55</v>
      </c>
      <c r="BH32" s="43"/>
      <c r="BI32" s="41">
        <v>96</v>
      </c>
      <c r="BJ32" s="42">
        <f t="shared" si="34"/>
        <v>96</v>
      </c>
    </row>
    <row r="33" spans="1:62" s="38" customFormat="1" ht="15" customHeight="1" x14ac:dyDescent="0.3">
      <c r="A33" s="272"/>
      <c r="B33" s="39" t="s">
        <v>74</v>
      </c>
      <c r="C33" s="280">
        <v>39</v>
      </c>
      <c r="D33" s="281">
        <v>87</v>
      </c>
      <c r="E33" s="42">
        <v>126</v>
      </c>
      <c r="F33" s="280">
        <v>35</v>
      </c>
      <c r="G33" s="281">
        <v>92</v>
      </c>
      <c r="H33" s="42">
        <v>127</v>
      </c>
      <c r="I33" s="40">
        <v>23</v>
      </c>
      <c r="J33" s="41">
        <v>89</v>
      </c>
      <c r="K33" s="42">
        <v>112</v>
      </c>
      <c r="L33" s="40">
        <v>52</v>
      </c>
      <c r="M33" s="41">
        <v>85</v>
      </c>
      <c r="N33" s="42">
        <v>137</v>
      </c>
      <c r="O33" s="40">
        <v>30</v>
      </c>
      <c r="P33" s="41">
        <v>66</v>
      </c>
      <c r="Q33" s="42">
        <v>96</v>
      </c>
      <c r="R33" s="40">
        <v>43</v>
      </c>
      <c r="S33" s="41">
        <v>82</v>
      </c>
      <c r="T33" s="42">
        <v>125</v>
      </c>
      <c r="U33" s="40">
        <v>36</v>
      </c>
      <c r="V33" s="41">
        <v>79</v>
      </c>
      <c r="W33" s="42">
        <v>115</v>
      </c>
      <c r="X33" s="40"/>
      <c r="Y33" s="41">
        <v>124</v>
      </c>
      <c r="Z33" s="42">
        <f t="shared" si="0"/>
        <v>124</v>
      </c>
      <c r="AA33" s="40"/>
      <c r="AB33" s="41">
        <v>84</v>
      </c>
      <c r="AC33" s="42">
        <f t="shared" si="1"/>
        <v>84</v>
      </c>
      <c r="AD33" s="40"/>
      <c r="AE33" s="41">
        <v>76</v>
      </c>
      <c r="AF33" s="42">
        <f t="shared" si="2"/>
        <v>76</v>
      </c>
      <c r="AG33" s="40"/>
      <c r="AH33" s="41">
        <v>112</v>
      </c>
      <c r="AI33" s="42">
        <f t="shared" si="25"/>
        <v>112</v>
      </c>
      <c r="AJ33" s="43"/>
      <c r="AK33" s="41">
        <v>112</v>
      </c>
      <c r="AL33" s="42">
        <f t="shared" si="26"/>
        <v>112</v>
      </c>
      <c r="AM33" s="43"/>
      <c r="AN33" s="41">
        <v>121</v>
      </c>
      <c r="AO33" s="42">
        <f t="shared" si="27"/>
        <v>121</v>
      </c>
      <c r="AP33" s="43"/>
      <c r="AQ33" s="41">
        <v>147</v>
      </c>
      <c r="AR33" s="42">
        <f t="shared" si="28"/>
        <v>147</v>
      </c>
      <c r="AS33" s="43"/>
      <c r="AT33" s="41">
        <v>117</v>
      </c>
      <c r="AU33" s="42">
        <f t="shared" si="29"/>
        <v>117</v>
      </c>
      <c r="AV33" s="43"/>
      <c r="AW33" s="41">
        <v>119</v>
      </c>
      <c r="AX33" s="42">
        <f t="shared" si="30"/>
        <v>119</v>
      </c>
      <c r="AY33" s="43"/>
      <c r="AZ33" s="41">
        <v>101</v>
      </c>
      <c r="BA33" s="42">
        <f t="shared" si="31"/>
        <v>101</v>
      </c>
      <c r="BB33" s="43"/>
      <c r="BC33" s="41">
        <v>95</v>
      </c>
      <c r="BD33" s="42">
        <f t="shared" si="32"/>
        <v>95</v>
      </c>
      <c r="BE33" s="43"/>
      <c r="BF33" s="41">
        <v>85</v>
      </c>
      <c r="BG33" s="42">
        <f t="shared" si="33"/>
        <v>85</v>
      </c>
      <c r="BH33" s="43"/>
      <c r="BI33" s="41">
        <v>66</v>
      </c>
      <c r="BJ33" s="42">
        <f t="shared" si="34"/>
        <v>66</v>
      </c>
    </row>
    <row r="34" spans="1:62" s="38" customFormat="1" ht="15" customHeight="1" x14ac:dyDescent="0.3">
      <c r="A34" s="272"/>
      <c r="B34" s="39" t="s">
        <v>75</v>
      </c>
      <c r="C34" s="280">
        <v>6</v>
      </c>
      <c r="D34" s="281">
        <v>19</v>
      </c>
      <c r="E34" s="42">
        <v>25</v>
      </c>
      <c r="F34" s="280">
        <v>6</v>
      </c>
      <c r="G34" s="281">
        <v>14</v>
      </c>
      <c r="H34" s="42">
        <v>20</v>
      </c>
      <c r="I34" s="40">
        <v>8</v>
      </c>
      <c r="J34" s="41">
        <v>33</v>
      </c>
      <c r="K34" s="42">
        <v>41</v>
      </c>
      <c r="L34" s="40">
        <v>8</v>
      </c>
      <c r="M34" s="41">
        <v>18</v>
      </c>
      <c r="N34" s="42">
        <v>26</v>
      </c>
      <c r="O34" s="40">
        <v>17</v>
      </c>
      <c r="P34" s="41">
        <v>22</v>
      </c>
      <c r="Q34" s="42">
        <v>39</v>
      </c>
      <c r="R34" s="40">
        <v>18</v>
      </c>
      <c r="S34" s="41">
        <v>44</v>
      </c>
      <c r="T34" s="42">
        <v>62</v>
      </c>
      <c r="U34" s="40">
        <v>10</v>
      </c>
      <c r="V34" s="41">
        <v>39</v>
      </c>
      <c r="W34" s="42">
        <v>49</v>
      </c>
      <c r="X34" s="40">
        <v>11</v>
      </c>
      <c r="Y34" s="41">
        <v>36</v>
      </c>
      <c r="Z34" s="42">
        <f t="shared" si="0"/>
        <v>47</v>
      </c>
      <c r="AA34" s="40">
        <v>46</v>
      </c>
      <c r="AB34" s="41">
        <v>44</v>
      </c>
      <c r="AC34" s="42">
        <f t="shared" si="1"/>
        <v>90</v>
      </c>
      <c r="AD34" s="40">
        <v>23</v>
      </c>
      <c r="AE34" s="41">
        <v>60</v>
      </c>
      <c r="AF34" s="42">
        <f t="shared" si="2"/>
        <v>83</v>
      </c>
      <c r="AG34" s="40">
        <v>30</v>
      </c>
      <c r="AH34" s="41">
        <v>75</v>
      </c>
      <c r="AI34" s="42">
        <f t="shared" si="25"/>
        <v>105</v>
      </c>
      <c r="AJ34" s="43">
        <v>29</v>
      </c>
      <c r="AK34" s="41">
        <v>59</v>
      </c>
      <c r="AL34" s="42">
        <f t="shared" si="26"/>
        <v>88</v>
      </c>
      <c r="AM34" s="43">
        <v>23</v>
      </c>
      <c r="AN34" s="41">
        <v>54</v>
      </c>
      <c r="AO34" s="42">
        <f t="shared" si="27"/>
        <v>77</v>
      </c>
      <c r="AP34" s="43">
        <v>43</v>
      </c>
      <c r="AQ34" s="41">
        <v>54</v>
      </c>
      <c r="AR34" s="42">
        <f t="shared" si="28"/>
        <v>97</v>
      </c>
      <c r="AS34" s="43"/>
      <c r="AT34" s="41">
        <v>70</v>
      </c>
      <c r="AU34" s="42">
        <f t="shared" si="29"/>
        <v>70</v>
      </c>
      <c r="AV34" s="43"/>
      <c r="AW34" s="41">
        <v>82</v>
      </c>
      <c r="AX34" s="42">
        <f t="shared" si="30"/>
        <v>82</v>
      </c>
      <c r="AY34" s="43"/>
      <c r="AZ34" s="41">
        <v>93</v>
      </c>
      <c r="BA34" s="42">
        <f t="shared" si="31"/>
        <v>93</v>
      </c>
      <c r="BB34" s="43"/>
      <c r="BC34" s="41">
        <v>80</v>
      </c>
      <c r="BD34" s="42">
        <f t="shared" si="32"/>
        <v>80</v>
      </c>
      <c r="BE34" s="43"/>
      <c r="BF34" s="41">
        <v>73</v>
      </c>
      <c r="BG34" s="42">
        <f t="shared" si="33"/>
        <v>73</v>
      </c>
      <c r="BH34" s="43"/>
      <c r="BI34" s="41">
        <v>70</v>
      </c>
      <c r="BJ34" s="42">
        <f t="shared" si="34"/>
        <v>70</v>
      </c>
    </row>
    <row r="35" spans="1:62" s="38" customFormat="1" ht="15" customHeight="1" x14ac:dyDescent="0.3">
      <c r="A35" s="272"/>
      <c r="B35" s="39" t="s">
        <v>76</v>
      </c>
      <c r="C35" s="40">
        <v>100</v>
      </c>
      <c r="D35" s="281">
        <v>106</v>
      </c>
      <c r="E35" s="42">
        <v>206</v>
      </c>
      <c r="F35" s="280">
        <v>98</v>
      </c>
      <c r="G35" s="281">
        <v>115</v>
      </c>
      <c r="H35" s="42">
        <v>213</v>
      </c>
      <c r="I35" s="40">
        <v>94</v>
      </c>
      <c r="J35" s="41">
        <v>109</v>
      </c>
      <c r="K35" s="42">
        <v>203</v>
      </c>
      <c r="L35" s="40">
        <v>101</v>
      </c>
      <c r="M35" s="41">
        <v>119</v>
      </c>
      <c r="N35" s="42">
        <v>220</v>
      </c>
      <c r="O35" s="40">
        <v>81</v>
      </c>
      <c r="P35" s="41">
        <v>106</v>
      </c>
      <c r="Q35" s="42">
        <v>187</v>
      </c>
      <c r="R35" s="40">
        <v>89</v>
      </c>
      <c r="S35" s="41">
        <v>105</v>
      </c>
      <c r="T35" s="42">
        <v>194</v>
      </c>
      <c r="U35" s="40">
        <v>61</v>
      </c>
      <c r="V35" s="41">
        <v>100</v>
      </c>
      <c r="W35" s="42">
        <v>161</v>
      </c>
      <c r="X35" s="40"/>
      <c r="Y35" s="41">
        <v>189</v>
      </c>
      <c r="Z35" s="42">
        <f t="shared" si="0"/>
        <v>189</v>
      </c>
      <c r="AA35" s="43"/>
      <c r="AB35" s="41">
        <v>160</v>
      </c>
      <c r="AC35" s="42">
        <f t="shared" si="1"/>
        <v>160</v>
      </c>
      <c r="AD35" s="43"/>
      <c r="AE35" s="41">
        <v>159</v>
      </c>
      <c r="AF35" s="42">
        <f t="shared" si="2"/>
        <v>159</v>
      </c>
      <c r="AG35" s="43"/>
      <c r="AH35" s="41">
        <v>168</v>
      </c>
      <c r="AI35" s="42">
        <f t="shared" si="25"/>
        <v>168</v>
      </c>
      <c r="AJ35" s="43"/>
      <c r="AK35" s="41">
        <v>119</v>
      </c>
      <c r="AL35" s="42">
        <f t="shared" si="26"/>
        <v>119</v>
      </c>
      <c r="AM35" s="43"/>
      <c r="AN35" s="41">
        <v>92</v>
      </c>
      <c r="AO35" s="42">
        <f t="shared" si="27"/>
        <v>92</v>
      </c>
      <c r="AP35" s="43"/>
      <c r="AQ35" s="41">
        <v>117</v>
      </c>
      <c r="AR35" s="42">
        <f t="shared" si="28"/>
        <v>117</v>
      </c>
      <c r="AS35" s="43"/>
      <c r="AT35" s="41">
        <v>110</v>
      </c>
      <c r="AU35" s="42">
        <f t="shared" si="29"/>
        <v>110</v>
      </c>
      <c r="AV35" s="43"/>
      <c r="AW35" s="41">
        <v>107</v>
      </c>
      <c r="AX35" s="42">
        <f t="shared" si="30"/>
        <v>107</v>
      </c>
      <c r="AY35" s="43"/>
      <c r="AZ35" s="41">
        <v>123</v>
      </c>
      <c r="BA35" s="42">
        <f t="shared" si="31"/>
        <v>123</v>
      </c>
      <c r="BB35" s="43"/>
      <c r="BC35" s="41">
        <v>122</v>
      </c>
      <c r="BD35" s="42">
        <f t="shared" si="32"/>
        <v>122</v>
      </c>
      <c r="BE35" s="43"/>
      <c r="BF35" s="41">
        <v>114</v>
      </c>
      <c r="BG35" s="42">
        <f t="shared" si="33"/>
        <v>114</v>
      </c>
      <c r="BH35" s="43"/>
      <c r="BI35" s="41">
        <v>166</v>
      </c>
      <c r="BJ35" s="42">
        <f t="shared" si="34"/>
        <v>166</v>
      </c>
    </row>
    <row r="36" spans="1:62" s="38" customFormat="1" ht="15" customHeight="1" x14ac:dyDescent="0.3">
      <c r="A36" s="272"/>
      <c r="B36" s="45" t="s">
        <v>77</v>
      </c>
      <c r="C36" s="46"/>
      <c r="D36" s="282"/>
      <c r="E36" s="48"/>
      <c r="F36" s="283"/>
      <c r="G36" s="282"/>
      <c r="H36" s="48"/>
      <c r="I36" s="46"/>
      <c r="J36" s="50"/>
      <c r="K36" s="48"/>
      <c r="L36" s="46"/>
      <c r="M36" s="50"/>
      <c r="N36" s="48"/>
      <c r="O36" s="46"/>
      <c r="P36" s="50"/>
      <c r="Q36" s="48"/>
      <c r="R36" s="46"/>
      <c r="S36" s="50"/>
      <c r="T36" s="48"/>
      <c r="U36" s="46"/>
      <c r="V36" s="50"/>
      <c r="W36" s="48"/>
      <c r="X36" s="46"/>
      <c r="Y36" s="50"/>
      <c r="Z36" s="48"/>
      <c r="AA36" s="51"/>
      <c r="AB36" s="50"/>
      <c r="AC36" s="48"/>
      <c r="AD36" s="51"/>
      <c r="AE36" s="50"/>
      <c r="AF36" s="48"/>
      <c r="AG36" s="51"/>
      <c r="AH36" s="50"/>
      <c r="AI36" s="48"/>
      <c r="AJ36" s="51"/>
      <c r="AK36" s="50"/>
      <c r="AL36" s="48"/>
      <c r="AM36" s="51"/>
      <c r="AN36" s="50"/>
      <c r="AO36" s="48"/>
      <c r="AP36" s="51"/>
      <c r="AQ36" s="50">
        <v>38</v>
      </c>
      <c r="AR36" s="42">
        <f t="shared" si="28"/>
        <v>38</v>
      </c>
      <c r="AS36" s="51"/>
      <c r="AT36" s="50">
        <v>32</v>
      </c>
      <c r="AU36" s="42">
        <f t="shared" si="29"/>
        <v>32</v>
      </c>
      <c r="AV36" s="51"/>
      <c r="AW36" s="50">
        <v>28</v>
      </c>
      <c r="AX36" s="42">
        <f t="shared" si="30"/>
        <v>28</v>
      </c>
      <c r="AY36" s="51"/>
      <c r="AZ36" s="50">
        <v>34</v>
      </c>
      <c r="BA36" s="42">
        <f t="shared" si="31"/>
        <v>34</v>
      </c>
      <c r="BB36" s="51"/>
      <c r="BC36" s="50">
        <v>12</v>
      </c>
      <c r="BD36" s="42">
        <f t="shared" si="32"/>
        <v>12</v>
      </c>
      <c r="BE36" s="51"/>
      <c r="BF36" s="50">
        <v>14</v>
      </c>
      <c r="BG36" s="42">
        <f t="shared" si="33"/>
        <v>14</v>
      </c>
      <c r="BH36" s="51"/>
      <c r="BI36" s="50">
        <v>23</v>
      </c>
      <c r="BJ36" s="42">
        <f t="shared" si="34"/>
        <v>23</v>
      </c>
    </row>
    <row r="37" spans="1:62" s="38" customFormat="1" ht="15" customHeight="1" x14ac:dyDescent="0.3">
      <c r="A37" s="272"/>
      <c r="B37" s="52" t="s">
        <v>59</v>
      </c>
      <c r="C37" s="53">
        <f>SUM(C27:C35)</f>
        <v>321</v>
      </c>
      <c r="D37" s="284">
        <f t="shared" ref="D37:AL37" si="35">SUM(D27:D35)</f>
        <v>514</v>
      </c>
      <c r="E37" s="55">
        <f t="shared" si="35"/>
        <v>835</v>
      </c>
      <c r="F37" s="53">
        <f t="shared" si="35"/>
        <v>293</v>
      </c>
      <c r="G37" s="284">
        <f t="shared" si="35"/>
        <v>558</v>
      </c>
      <c r="H37" s="55">
        <f t="shared" si="35"/>
        <v>851</v>
      </c>
      <c r="I37" s="53">
        <f t="shared" si="35"/>
        <v>318</v>
      </c>
      <c r="J37" s="284">
        <f t="shared" si="35"/>
        <v>630</v>
      </c>
      <c r="K37" s="55">
        <f t="shared" si="35"/>
        <v>948</v>
      </c>
      <c r="L37" s="53">
        <f t="shared" si="35"/>
        <v>397</v>
      </c>
      <c r="M37" s="284">
        <f t="shared" si="35"/>
        <v>605</v>
      </c>
      <c r="N37" s="55">
        <f t="shared" si="35"/>
        <v>1002</v>
      </c>
      <c r="O37" s="53">
        <f t="shared" si="35"/>
        <v>296</v>
      </c>
      <c r="P37" s="284">
        <f t="shared" si="35"/>
        <v>566</v>
      </c>
      <c r="Q37" s="55">
        <f t="shared" si="35"/>
        <v>862</v>
      </c>
      <c r="R37" s="53">
        <f t="shared" si="35"/>
        <v>306</v>
      </c>
      <c r="S37" s="284">
        <f t="shared" si="35"/>
        <v>608</v>
      </c>
      <c r="T37" s="55">
        <f t="shared" si="35"/>
        <v>914</v>
      </c>
      <c r="U37" s="53">
        <f t="shared" si="35"/>
        <v>261</v>
      </c>
      <c r="V37" s="284">
        <f t="shared" si="35"/>
        <v>625</v>
      </c>
      <c r="W37" s="55">
        <f t="shared" si="35"/>
        <v>886</v>
      </c>
      <c r="X37" s="53">
        <f t="shared" si="35"/>
        <v>137</v>
      </c>
      <c r="Y37" s="284">
        <f t="shared" si="35"/>
        <v>895</v>
      </c>
      <c r="Z37" s="55">
        <f t="shared" si="35"/>
        <v>1032</v>
      </c>
      <c r="AA37" s="53">
        <f t="shared" si="35"/>
        <v>218</v>
      </c>
      <c r="AB37" s="284">
        <f t="shared" si="35"/>
        <v>880</v>
      </c>
      <c r="AC37" s="55">
        <f t="shared" si="35"/>
        <v>1098</v>
      </c>
      <c r="AD37" s="53">
        <f t="shared" si="35"/>
        <v>216</v>
      </c>
      <c r="AE37" s="284">
        <f t="shared" si="35"/>
        <v>903</v>
      </c>
      <c r="AF37" s="55">
        <f t="shared" si="35"/>
        <v>1119</v>
      </c>
      <c r="AG37" s="53">
        <f t="shared" si="35"/>
        <v>269</v>
      </c>
      <c r="AH37" s="54">
        <f t="shared" si="35"/>
        <v>1021</v>
      </c>
      <c r="AI37" s="55">
        <f t="shared" si="35"/>
        <v>1290</v>
      </c>
      <c r="AJ37" s="56">
        <f>SUM(AJ27:AJ35)</f>
        <v>214</v>
      </c>
      <c r="AK37" s="57">
        <f>SUM(AK27:AK35)</f>
        <v>838</v>
      </c>
      <c r="AL37" s="55">
        <f t="shared" si="35"/>
        <v>1052</v>
      </c>
      <c r="AM37" s="56">
        <f>SUM(AM27:AM35)</f>
        <v>197</v>
      </c>
      <c r="AN37" s="57">
        <f>SUM(AN27:AN35)</f>
        <v>781</v>
      </c>
      <c r="AO37" s="55">
        <f>SUM(AO27:AO35)</f>
        <v>978</v>
      </c>
      <c r="AP37" s="56">
        <f>SUM(AP27:AP35)</f>
        <v>154</v>
      </c>
      <c r="AQ37" s="57">
        <f>SUM(AQ27:AQ36)</f>
        <v>940</v>
      </c>
      <c r="AR37" s="55">
        <f>SUM(AR27:AR36)</f>
        <v>1094</v>
      </c>
      <c r="AS37" s="56">
        <f>SUM(AS27:AS35)</f>
        <v>0</v>
      </c>
      <c r="AT37" s="57">
        <f>SUM(AT27:AT36)</f>
        <v>907</v>
      </c>
      <c r="AU37" s="55">
        <f>SUM(AU27:AU36)</f>
        <v>907</v>
      </c>
      <c r="AV37" s="56">
        <f>SUM(AV27:AV35)</f>
        <v>0</v>
      </c>
      <c r="AW37" s="57">
        <f>SUM(AW27:AW36)</f>
        <v>938</v>
      </c>
      <c r="AX37" s="55">
        <f>SUM(AX27:AX36)</f>
        <v>938</v>
      </c>
      <c r="AY37" s="56">
        <f>SUM(AY27:AY35)</f>
        <v>0</v>
      </c>
      <c r="AZ37" s="57">
        <f t="shared" ref="AZ37:BG37" si="36">SUM(AZ27:AZ36)</f>
        <v>969</v>
      </c>
      <c r="BA37" s="55">
        <f t="shared" si="36"/>
        <v>969</v>
      </c>
      <c r="BB37" s="56">
        <f t="shared" si="36"/>
        <v>0</v>
      </c>
      <c r="BC37" s="57">
        <f t="shared" si="36"/>
        <v>794</v>
      </c>
      <c r="BD37" s="55">
        <f t="shared" si="36"/>
        <v>794</v>
      </c>
      <c r="BE37" s="56">
        <f t="shared" si="36"/>
        <v>0</v>
      </c>
      <c r="BF37" s="57">
        <f>SUM(BF27:BF36)</f>
        <v>630</v>
      </c>
      <c r="BG37" s="55">
        <f t="shared" si="36"/>
        <v>630</v>
      </c>
      <c r="BH37" s="56">
        <f t="shared" ref="BH37" si="37">SUM(BH27:BH36)</f>
        <v>0</v>
      </c>
      <c r="BI37" s="57">
        <f>SUM(BI27:BI36)</f>
        <v>869</v>
      </c>
      <c r="BJ37" s="55">
        <f t="shared" ref="BJ37" si="38">SUM(BJ27:BJ36)</f>
        <v>869</v>
      </c>
    </row>
    <row r="38" spans="1:62" s="38" customFormat="1" ht="15" customHeight="1" x14ac:dyDescent="0.3">
      <c r="A38" s="272"/>
      <c r="B38" s="58" t="s">
        <v>60</v>
      </c>
      <c r="C38" s="285">
        <v>113</v>
      </c>
      <c r="D38" s="286">
        <v>134</v>
      </c>
      <c r="E38" s="61">
        <v>247</v>
      </c>
      <c r="F38" s="285">
        <v>135</v>
      </c>
      <c r="G38" s="286">
        <v>141</v>
      </c>
      <c r="H38" s="61">
        <v>276</v>
      </c>
      <c r="I38" s="59">
        <v>115</v>
      </c>
      <c r="J38" s="60">
        <v>159</v>
      </c>
      <c r="K38" s="61">
        <v>274</v>
      </c>
      <c r="L38" s="59">
        <v>134</v>
      </c>
      <c r="M38" s="60">
        <v>163</v>
      </c>
      <c r="N38" s="61">
        <v>297</v>
      </c>
      <c r="O38" s="59">
        <v>156</v>
      </c>
      <c r="P38" s="60">
        <v>177</v>
      </c>
      <c r="Q38" s="61">
        <v>333</v>
      </c>
      <c r="R38" s="59">
        <v>126</v>
      </c>
      <c r="S38" s="60">
        <v>152</v>
      </c>
      <c r="T38" s="61">
        <v>278</v>
      </c>
      <c r="U38" s="59">
        <v>127</v>
      </c>
      <c r="V38" s="60">
        <v>155</v>
      </c>
      <c r="W38" s="61">
        <v>282</v>
      </c>
      <c r="X38" s="59">
        <v>115</v>
      </c>
      <c r="Y38" s="60">
        <v>152</v>
      </c>
      <c r="Z38" s="61">
        <f t="shared" si="0"/>
        <v>267</v>
      </c>
      <c r="AA38" s="59">
        <v>116</v>
      </c>
      <c r="AB38" s="60">
        <v>157</v>
      </c>
      <c r="AC38" s="61">
        <f t="shared" si="1"/>
        <v>273</v>
      </c>
      <c r="AD38" s="59">
        <v>118</v>
      </c>
      <c r="AE38" s="60">
        <v>161</v>
      </c>
      <c r="AF38" s="61">
        <f t="shared" si="2"/>
        <v>279</v>
      </c>
      <c r="AG38" s="59">
        <v>95</v>
      </c>
      <c r="AH38" s="60">
        <v>151</v>
      </c>
      <c r="AI38" s="61">
        <f t="shared" ref="AI38:AI48" si="39">SUM(AG38:AH38)</f>
        <v>246</v>
      </c>
      <c r="AJ38" s="62">
        <v>90</v>
      </c>
      <c r="AK38" s="60">
        <v>151</v>
      </c>
      <c r="AL38" s="61">
        <f t="shared" ref="AL38:AL48" si="40">SUM(AJ38:AK38)</f>
        <v>241</v>
      </c>
      <c r="AM38" s="62">
        <v>83</v>
      </c>
      <c r="AN38" s="60">
        <v>137</v>
      </c>
      <c r="AO38" s="61">
        <f t="shared" ref="AO38:AO48" si="41">SUM(AM38:AN38)</f>
        <v>220</v>
      </c>
      <c r="AP38" s="62">
        <v>95</v>
      </c>
      <c r="AQ38" s="60">
        <v>156</v>
      </c>
      <c r="AR38" s="61">
        <f t="shared" ref="AR38:AR48" si="42">SUM(AP38:AQ38)</f>
        <v>251</v>
      </c>
      <c r="AS38" s="62">
        <v>99</v>
      </c>
      <c r="AT38" s="60">
        <v>151</v>
      </c>
      <c r="AU38" s="61">
        <f t="shared" ref="AU38:AU48" si="43">SUM(AS38:AT38)</f>
        <v>250</v>
      </c>
      <c r="AV38" s="62">
        <v>98</v>
      </c>
      <c r="AW38" s="60">
        <v>158</v>
      </c>
      <c r="AX38" s="61">
        <f t="shared" ref="AX38:AX48" si="44">SUM(AV38:AW38)</f>
        <v>256</v>
      </c>
      <c r="AY38" s="62">
        <v>107</v>
      </c>
      <c r="AZ38" s="60">
        <v>137</v>
      </c>
      <c r="BA38" s="61">
        <f t="shared" ref="BA38:BA48" si="45">SUM(AY38:AZ38)</f>
        <v>244</v>
      </c>
      <c r="BB38" s="62">
        <v>87</v>
      </c>
      <c r="BC38" s="60">
        <v>131</v>
      </c>
      <c r="BD38" s="61">
        <f t="shared" ref="BD38:BD48" si="46">SUM(BB38:BC38)</f>
        <v>218</v>
      </c>
      <c r="BE38" s="62">
        <v>96</v>
      </c>
      <c r="BF38" s="60">
        <v>137</v>
      </c>
      <c r="BG38" s="61">
        <f t="shared" ref="BG38:BG48" si="47">SUM(BE38:BF38)</f>
        <v>233</v>
      </c>
      <c r="BH38" s="62">
        <v>96</v>
      </c>
      <c r="BI38" s="60">
        <v>138</v>
      </c>
      <c r="BJ38" s="61">
        <f t="shared" ref="BJ38:BJ48" si="48">SUM(BH38:BI38)</f>
        <v>234</v>
      </c>
    </row>
    <row r="39" spans="1:62" s="38" customFormat="1" ht="15" customHeight="1" x14ac:dyDescent="0.3">
      <c r="A39" s="272"/>
      <c r="B39" s="39" t="s">
        <v>78</v>
      </c>
      <c r="C39" s="40"/>
      <c r="D39" s="281">
        <v>67</v>
      </c>
      <c r="E39" s="42">
        <v>67</v>
      </c>
      <c r="F39" s="293"/>
      <c r="G39" s="281">
        <v>70</v>
      </c>
      <c r="H39" s="42">
        <v>70</v>
      </c>
      <c r="I39" s="40"/>
      <c r="J39" s="41">
        <v>81</v>
      </c>
      <c r="K39" s="42">
        <v>81</v>
      </c>
      <c r="L39" s="40"/>
      <c r="M39" s="41">
        <v>68</v>
      </c>
      <c r="N39" s="42">
        <v>68</v>
      </c>
      <c r="O39" s="40"/>
      <c r="P39" s="41">
        <v>86</v>
      </c>
      <c r="Q39" s="42">
        <v>86</v>
      </c>
      <c r="R39" s="40"/>
      <c r="S39" s="41">
        <v>66</v>
      </c>
      <c r="T39" s="42">
        <v>66</v>
      </c>
      <c r="U39" s="40"/>
      <c r="V39" s="41">
        <v>74</v>
      </c>
      <c r="W39" s="42">
        <v>74</v>
      </c>
      <c r="X39" s="40"/>
      <c r="Y39" s="41">
        <v>79</v>
      </c>
      <c r="Z39" s="42">
        <f t="shared" si="0"/>
        <v>79</v>
      </c>
      <c r="AA39" s="40"/>
      <c r="AB39" s="41">
        <v>83</v>
      </c>
      <c r="AC39" s="42">
        <f t="shared" si="1"/>
        <v>83</v>
      </c>
      <c r="AD39" s="40"/>
      <c r="AE39" s="41">
        <v>80</v>
      </c>
      <c r="AF39" s="42">
        <f t="shared" si="2"/>
        <v>80</v>
      </c>
      <c r="AG39" s="40"/>
      <c r="AH39" s="41">
        <v>74</v>
      </c>
      <c r="AI39" s="42">
        <f t="shared" si="39"/>
        <v>74</v>
      </c>
      <c r="AJ39" s="43"/>
      <c r="AK39" s="41">
        <v>74</v>
      </c>
      <c r="AL39" s="42">
        <f t="shared" si="40"/>
        <v>74</v>
      </c>
      <c r="AM39" s="43"/>
      <c r="AN39" s="41">
        <v>81</v>
      </c>
      <c r="AO39" s="42">
        <f t="shared" si="41"/>
        <v>81</v>
      </c>
      <c r="AP39" s="43"/>
      <c r="AQ39" s="41">
        <v>73</v>
      </c>
      <c r="AR39" s="42">
        <f t="shared" si="42"/>
        <v>73</v>
      </c>
      <c r="AS39" s="43"/>
      <c r="AT39" s="41">
        <v>81</v>
      </c>
      <c r="AU39" s="42">
        <f t="shared" si="43"/>
        <v>81</v>
      </c>
      <c r="AV39" s="43"/>
      <c r="AW39" s="41">
        <v>86</v>
      </c>
      <c r="AX39" s="42">
        <f t="shared" si="44"/>
        <v>86</v>
      </c>
      <c r="AY39" s="43"/>
      <c r="AZ39" s="41">
        <v>69</v>
      </c>
      <c r="BA39" s="42">
        <f t="shared" si="45"/>
        <v>69</v>
      </c>
      <c r="BB39" s="43"/>
      <c r="BC39" s="41">
        <v>68</v>
      </c>
      <c r="BD39" s="42">
        <f t="shared" si="46"/>
        <v>68</v>
      </c>
      <c r="BE39" s="43"/>
      <c r="BF39" s="41">
        <v>64</v>
      </c>
      <c r="BG39" s="42">
        <f t="shared" si="47"/>
        <v>64</v>
      </c>
      <c r="BH39" s="43"/>
      <c r="BI39" s="41">
        <v>58</v>
      </c>
      <c r="BJ39" s="42">
        <f t="shared" si="48"/>
        <v>58</v>
      </c>
    </row>
    <row r="40" spans="1:62" s="38" customFormat="1" ht="15" customHeight="1" x14ac:dyDescent="0.3">
      <c r="A40" s="272"/>
      <c r="B40" s="39" t="s">
        <v>79</v>
      </c>
      <c r="C40" s="82"/>
      <c r="D40" s="281">
        <v>64</v>
      </c>
      <c r="E40" s="42">
        <v>64</v>
      </c>
      <c r="F40" s="293"/>
      <c r="G40" s="281">
        <v>72</v>
      </c>
      <c r="H40" s="42">
        <v>72</v>
      </c>
      <c r="I40" s="82"/>
      <c r="J40" s="41">
        <v>82</v>
      </c>
      <c r="K40" s="42">
        <v>82</v>
      </c>
      <c r="L40" s="82"/>
      <c r="M40" s="41">
        <v>77</v>
      </c>
      <c r="N40" s="42">
        <v>77</v>
      </c>
      <c r="O40" s="40"/>
      <c r="P40" s="41">
        <v>90</v>
      </c>
      <c r="Q40" s="42">
        <v>90</v>
      </c>
      <c r="R40" s="40"/>
      <c r="S40" s="41">
        <v>72</v>
      </c>
      <c r="T40" s="42">
        <v>72</v>
      </c>
      <c r="U40" s="40"/>
      <c r="V40" s="41">
        <v>89</v>
      </c>
      <c r="W40" s="42">
        <v>89</v>
      </c>
      <c r="X40" s="40"/>
      <c r="Y40" s="41">
        <v>94</v>
      </c>
      <c r="Z40" s="42">
        <f t="shared" si="0"/>
        <v>94</v>
      </c>
      <c r="AA40" s="40"/>
      <c r="AB40" s="41">
        <v>80</v>
      </c>
      <c r="AC40" s="42">
        <f t="shared" si="1"/>
        <v>80</v>
      </c>
      <c r="AD40" s="40"/>
      <c r="AE40" s="41">
        <v>86</v>
      </c>
      <c r="AF40" s="42">
        <f t="shared" si="2"/>
        <v>86</v>
      </c>
      <c r="AG40" s="40"/>
      <c r="AH40" s="41">
        <v>83</v>
      </c>
      <c r="AI40" s="42">
        <f t="shared" si="39"/>
        <v>83</v>
      </c>
      <c r="AJ40" s="43"/>
      <c r="AK40" s="41">
        <v>74</v>
      </c>
      <c r="AL40" s="42">
        <f t="shared" si="40"/>
        <v>74</v>
      </c>
      <c r="AM40" s="43"/>
      <c r="AN40" s="41">
        <v>84</v>
      </c>
      <c r="AO40" s="42">
        <f t="shared" si="41"/>
        <v>84</v>
      </c>
      <c r="AP40" s="43"/>
      <c r="AQ40" s="41">
        <v>89</v>
      </c>
      <c r="AR40" s="42">
        <f t="shared" si="42"/>
        <v>89</v>
      </c>
      <c r="AS40" s="43"/>
      <c r="AT40" s="41">
        <v>76</v>
      </c>
      <c r="AU40" s="42">
        <f t="shared" si="43"/>
        <v>76</v>
      </c>
      <c r="AV40" s="43"/>
      <c r="AW40" s="41">
        <v>95</v>
      </c>
      <c r="AX40" s="42">
        <f t="shared" si="44"/>
        <v>95</v>
      </c>
      <c r="AY40" s="43"/>
      <c r="AZ40" s="41">
        <v>74</v>
      </c>
      <c r="BA40" s="42">
        <f t="shared" si="45"/>
        <v>74</v>
      </c>
      <c r="BB40" s="43"/>
      <c r="BC40" s="41">
        <v>68</v>
      </c>
      <c r="BD40" s="42">
        <f t="shared" si="46"/>
        <v>68</v>
      </c>
      <c r="BE40" s="43"/>
      <c r="BF40" s="41">
        <v>77</v>
      </c>
      <c r="BG40" s="42">
        <f t="shared" si="47"/>
        <v>77</v>
      </c>
      <c r="BH40" s="43"/>
      <c r="BI40" s="41">
        <v>80</v>
      </c>
      <c r="BJ40" s="42">
        <f t="shared" si="48"/>
        <v>80</v>
      </c>
    </row>
    <row r="41" spans="1:62" s="38" customFormat="1" ht="15" customHeight="1" x14ac:dyDescent="0.3">
      <c r="A41" s="272"/>
      <c r="B41" s="39" t="s">
        <v>80</v>
      </c>
      <c r="C41" s="82"/>
      <c r="D41" s="281">
        <v>56</v>
      </c>
      <c r="E41" s="42">
        <v>56</v>
      </c>
      <c r="F41" s="293"/>
      <c r="G41" s="281">
        <v>85</v>
      </c>
      <c r="H41" s="42">
        <v>85</v>
      </c>
      <c r="I41" s="82"/>
      <c r="J41" s="41">
        <v>88</v>
      </c>
      <c r="K41" s="42">
        <v>88</v>
      </c>
      <c r="L41" s="82"/>
      <c r="M41" s="41">
        <v>94</v>
      </c>
      <c r="N41" s="42">
        <v>94</v>
      </c>
      <c r="O41" s="40"/>
      <c r="P41" s="41">
        <v>89</v>
      </c>
      <c r="Q41" s="42">
        <v>89</v>
      </c>
      <c r="R41" s="40"/>
      <c r="S41" s="41">
        <v>87</v>
      </c>
      <c r="T41" s="42">
        <v>87</v>
      </c>
      <c r="U41" s="40"/>
      <c r="V41" s="41">
        <v>92</v>
      </c>
      <c r="W41" s="42">
        <v>92</v>
      </c>
      <c r="X41" s="40"/>
      <c r="Y41" s="41">
        <v>100</v>
      </c>
      <c r="Z41" s="42">
        <f t="shared" si="0"/>
        <v>100</v>
      </c>
      <c r="AA41" s="40"/>
      <c r="AB41" s="41">
        <v>93</v>
      </c>
      <c r="AC41" s="42">
        <f t="shared" si="1"/>
        <v>93</v>
      </c>
      <c r="AD41" s="40"/>
      <c r="AE41" s="41">
        <v>106</v>
      </c>
      <c r="AF41" s="42">
        <f t="shared" si="2"/>
        <v>106</v>
      </c>
      <c r="AG41" s="40"/>
      <c r="AH41" s="41">
        <v>90</v>
      </c>
      <c r="AI41" s="42">
        <f t="shared" si="39"/>
        <v>90</v>
      </c>
      <c r="AJ41" s="43"/>
      <c r="AK41" s="41">
        <v>94</v>
      </c>
      <c r="AL41" s="42">
        <f t="shared" si="40"/>
        <v>94</v>
      </c>
      <c r="AM41" s="43"/>
      <c r="AN41" s="41">
        <v>94</v>
      </c>
      <c r="AO41" s="42">
        <f t="shared" si="41"/>
        <v>94</v>
      </c>
      <c r="AP41" s="43"/>
      <c r="AQ41" s="41">
        <v>100</v>
      </c>
      <c r="AR41" s="42">
        <f t="shared" si="42"/>
        <v>100</v>
      </c>
      <c r="AS41" s="43"/>
      <c r="AT41" s="41">
        <v>112</v>
      </c>
      <c r="AU41" s="42">
        <f t="shared" si="43"/>
        <v>112</v>
      </c>
      <c r="AV41" s="43"/>
      <c r="AW41" s="41">
        <v>106</v>
      </c>
      <c r="AX41" s="42">
        <f t="shared" si="44"/>
        <v>106</v>
      </c>
      <c r="AY41" s="43"/>
      <c r="AZ41" s="41">
        <v>92</v>
      </c>
      <c r="BA41" s="42">
        <f t="shared" si="45"/>
        <v>92</v>
      </c>
      <c r="BB41" s="43"/>
      <c r="BC41" s="41">
        <v>84</v>
      </c>
      <c r="BD41" s="42">
        <f t="shared" si="46"/>
        <v>84</v>
      </c>
      <c r="BE41" s="43"/>
      <c r="BF41" s="41">
        <v>70</v>
      </c>
      <c r="BG41" s="42">
        <f t="shared" si="47"/>
        <v>70</v>
      </c>
      <c r="BH41" s="43"/>
      <c r="BI41" s="41">
        <v>88</v>
      </c>
      <c r="BJ41" s="42">
        <f t="shared" si="48"/>
        <v>88</v>
      </c>
    </row>
    <row r="42" spans="1:62" s="38" customFormat="1" ht="15" customHeight="1" x14ac:dyDescent="0.3">
      <c r="A42" s="272"/>
      <c r="B42" s="39" t="s">
        <v>62</v>
      </c>
      <c r="C42" s="40"/>
      <c r="D42" s="281">
        <v>87</v>
      </c>
      <c r="E42" s="42">
        <v>87</v>
      </c>
      <c r="F42" s="293"/>
      <c r="G42" s="281">
        <v>89</v>
      </c>
      <c r="H42" s="42">
        <v>89</v>
      </c>
      <c r="I42" s="40"/>
      <c r="J42" s="41">
        <v>135</v>
      </c>
      <c r="K42" s="42">
        <v>135</v>
      </c>
      <c r="L42" s="40"/>
      <c r="M42" s="41">
        <v>115</v>
      </c>
      <c r="N42" s="42">
        <v>115</v>
      </c>
      <c r="O42" s="40"/>
      <c r="P42" s="41">
        <v>131</v>
      </c>
      <c r="Q42" s="42">
        <v>131</v>
      </c>
      <c r="R42" s="40"/>
      <c r="S42" s="41">
        <v>142</v>
      </c>
      <c r="T42" s="42">
        <v>142</v>
      </c>
      <c r="U42" s="40"/>
      <c r="V42" s="41">
        <v>159</v>
      </c>
      <c r="W42" s="42">
        <v>159</v>
      </c>
      <c r="X42" s="40"/>
      <c r="Y42" s="41">
        <v>156</v>
      </c>
      <c r="Z42" s="42">
        <f t="shared" si="0"/>
        <v>156</v>
      </c>
      <c r="AA42" s="40"/>
      <c r="AB42" s="41">
        <v>156</v>
      </c>
      <c r="AC42" s="42">
        <f t="shared" si="1"/>
        <v>156</v>
      </c>
      <c r="AD42" s="40"/>
      <c r="AE42" s="41">
        <v>153</v>
      </c>
      <c r="AF42" s="42">
        <f t="shared" si="2"/>
        <v>153</v>
      </c>
      <c r="AG42" s="40"/>
      <c r="AH42" s="41">
        <v>145</v>
      </c>
      <c r="AI42" s="42">
        <f t="shared" si="39"/>
        <v>145</v>
      </c>
      <c r="AJ42" s="43"/>
      <c r="AK42" s="41">
        <v>155</v>
      </c>
      <c r="AL42" s="42">
        <f t="shared" si="40"/>
        <v>155</v>
      </c>
      <c r="AM42" s="43"/>
      <c r="AN42" s="41">
        <v>144</v>
      </c>
      <c r="AO42" s="42">
        <f t="shared" si="41"/>
        <v>144</v>
      </c>
      <c r="AP42" s="43"/>
      <c r="AQ42" s="41">
        <v>156</v>
      </c>
      <c r="AR42" s="42">
        <f t="shared" si="42"/>
        <v>156</v>
      </c>
      <c r="AS42" s="43"/>
      <c r="AT42" s="41">
        <v>162</v>
      </c>
      <c r="AU42" s="42">
        <f t="shared" si="43"/>
        <v>162</v>
      </c>
      <c r="AV42" s="43"/>
      <c r="AW42" s="41">
        <v>155</v>
      </c>
      <c r="AX42" s="42">
        <f t="shared" si="44"/>
        <v>155</v>
      </c>
      <c r="AY42" s="43"/>
      <c r="AZ42" s="41">
        <v>142</v>
      </c>
      <c r="BA42" s="42">
        <f t="shared" si="45"/>
        <v>142</v>
      </c>
      <c r="BB42" s="43"/>
      <c r="BC42" s="41">
        <v>135</v>
      </c>
      <c r="BD42" s="42">
        <f t="shared" si="46"/>
        <v>135</v>
      </c>
      <c r="BE42" s="43"/>
      <c r="BF42" s="41">
        <v>136</v>
      </c>
      <c r="BG42" s="42">
        <f t="shared" si="47"/>
        <v>136</v>
      </c>
      <c r="BH42" s="43"/>
      <c r="BI42" s="41">
        <v>137</v>
      </c>
      <c r="BJ42" s="42">
        <f t="shared" si="48"/>
        <v>137</v>
      </c>
    </row>
    <row r="43" spans="1:62" s="38" customFormat="1" ht="15" customHeight="1" x14ac:dyDescent="0.3">
      <c r="A43" s="272"/>
      <c r="B43" s="39" t="s">
        <v>63</v>
      </c>
      <c r="C43" s="40"/>
      <c r="D43" s="281">
        <v>81</v>
      </c>
      <c r="E43" s="42">
        <v>81</v>
      </c>
      <c r="F43" s="293"/>
      <c r="G43" s="281">
        <v>92</v>
      </c>
      <c r="H43" s="42">
        <v>92</v>
      </c>
      <c r="I43" s="40"/>
      <c r="J43" s="41">
        <v>104</v>
      </c>
      <c r="K43" s="42">
        <v>104</v>
      </c>
      <c r="L43" s="40"/>
      <c r="M43" s="41">
        <v>101</v>
      </c>
      <c r="N43" s="42">
        <v>101</v>
      </c>
      <c r="O43" s="40"/>
      <c r="P43" s="41">
        <v>94</v>
      </c>
      <c r="Q43" s="42">
        <v>94</v>
      </c>
      <c r="R43" s="40"/>
      <c r="S43" s="41">
        <v>115</v>
      </c>
      <c r="T43" s="42">
        <v>115</v>
      </c>
      <c r="U43" s="40"/>
      <c r="V43" s="41">
        <v>116</v>
      </c>
      <c r="W43" s="42">
        <v>116</v>
      </c>
      <c r="X43" s="40"/>
      <c r="Y43" s="41">
        <v>119</v>
      </c>
      <c r="Z43" s="42">
        <f t="shared" si="0"/>
        <v>119</v>
      </c>
      <c r="AA43" s="40"/>
      <c r="AB43" s="41">
        <v>114</v>
      </c>
      <c r="AC43" s="42">
        <f t="shared" si="1"/>
        <v>114</v>
      </c>
      <c r="AD43" s="40"/>
      <c r="AE43" s="41">
        <v>115</v>
      </c>
      <c r="AF43" s="42">
        <f t="shared" si="2"/>
        <v>115</v>
      </c>
      <c r="AG43" s="40"/>
      <c r="AH43" s="41">
        <v>114</v>
      </c>
      <c r="AI43" s="42">
        <f t="shared" si="39"/>
        <v>114</v>
      </c>
      <c r="AJ43" s="43"/>
      <c r="AK43" s="41">
        <v>113</v>
      </c>
      <c r="AL43" s="42">
        <f t="shared" si="40"/>
        <v>113</v>
      </c>
      <c r="AM43" s="43"/>
      <c r="AN43" s="41">
        <v>114</v>
      </c>
      <c r="AO43" s="42">
        <f t="shared" si="41"/>
        <v>114</v>
      </c>
      <c r="AP43" s="43"/>
      <c r="AQ43" s="41">
        <v>113</v>
      </c>
      <c r="AR43" s="42">
        <f t="shared" si="42"/>
        <v>113</v>
      </c>
      <c r="AS43" s="43"/>
      <c r="AT43" s="41">
        <v>96</v>
      </c>
      <c r="AU43" s="42">
        <f t="shared" si="43"/>
        <v>96</v>
      </c>
      <c r="AV43" s="43"/>
      <c r="AW43" s="41">
        <v>118</v>
      </c>
      <c r="AX43" s="42">
        <f t="shared" si="44"/>
        <v>118</v>
      </c>
      <c r="AY43" s="43"/>
      <c r="AZ43" s="41">
        <v>101</v>
      </c>
      <c r="BA43" s="42">
        <f t="shared" si="45"/>
        <v>101</v>
      </c>
      <c r="BB43" s="43"/>
      <c r="BC43" s="41">
        <v>69</v>
      </c>
      <c r="BD43" s="42">
        <f t="shared" si="46"/>
        <v>69</v>
      </c>
      <c r="BE43" s="43"/>
      <c r="BF43" s="41">
        <v>85</v>
      </c>
      <c r="BG43" s="42">
        <f t="shared" si="47"/>
        <v>85</v>
      </c>
      <c r="BH43" s="43"/>
      <c r="BI43" s="41">
        <v>62</v>
      </c>
      <c r="BJ43" s="42">
        <f t="shared" si="48"/>
        <v>62</v>
      </c>
    </row>
    <row r="44" spans="1:62" s="38" customFormat="1" ht="15" customHeight="1" x14ac:dyDescent="0.3">
      <c r="A44" s="272"/>
      <c r="B44" s="39" t="s">
        <v>81</v>
      </c>
      <c r="C44" s="40"/>
      <c r="D44" s="281">
        <v>86</v>
      </c>
      <c r="E44" s="42">
        <v>86</v>
      </c>
      <c r="F44" s="293"/>
      <c r="G44" s="281">
        <v>94</v>
      </c>
      <c r="H44" s="42">
        <v>94</v>
      </c>
      <c r="I44" s="40"/>
      <c r="J44" s="41">
        <v>105</v>
      </c>
      <c r="K44" s="42">
        <v>105</v>
      </c>
      <c r="L44" s="40"/>
      <c r="M44" s="41">
        <v>104</v>
      </c>
      <c r="N44" s="42">
        <v>104</v>
      </c>
      <c r="O44" s="40"/>
      <c r="P44" s="41">
        <v>106</v>
      </c>
      <c r="Q44" s="42">
        <v>106</v>
      </c>
      <c r="R44" s="40"/>
      <c r="S44" s="41">
        <v>97</v>
      </c>
      <c r="T44" s="42">
        <v>97</v>
      </c>
      <c r="U44" s="40"/>
      <c r="V44" s="41">
        <v>97</v>
      </c>
      <c r="W44" s="42">
        <v>97</v>
      </c>
      <c r="X44" s="40"/>
      <c r="Y44" s="41">
        <v>114</v>
      </c>
      <c r="Z44" s="42">
        <f t="shared" si="0"/>
        <v>114</v>
      </c>
      <c r="AA44" s="40"/>
      <c r="AB44" s="41">
        <v>106</v>
      </c>
      <c r="AC44" s="42">
        <f t="shared" si="1"/>
        <v>106</v>
      </c>
      <c r="AD44" s="40"/>
      <c r="AE44" s="41">
        <v>112</v>
      </c>
      <c r="AF44" s="42">
        <f t="shared" si="2"/>
        <v>112</v>
      </c>
      <c r="AG44" s="40"/>
      <c r="AH44" s="41">
        <v>111</v>
      </c>
      <c r="AI44" s="42">
        <f t="shared" si="39"/>
        <v>111</v>
      </c>
      <c r="AJ44" s="43"/>
      <c r="AK44" s="41">
        <v>100</v>
      </c>
      <c r="AL44" s="42">
        <f t="shared" si="40"/>
        <v>100</v>
      </c>
      <c r="AM44" s="43"/>
      <c r="AN44" s="41">
        <v>109</v>
      </c>
      <c r="AO44" s="42">
        <f t="shared" si="41"/>
        <v>109</v>
      </c>
      <c r="AP44" s="43"/>
      <c r="AQ44" s="41">
        <v>108</v>
      </c>
      <c r="AR44" s="42">
        <f t="shared" si="42"/>
        <v>108</v>
      </c>
      <c r="AS44" s="43"/>
      <c r="AT44" s="41">
        <v>117</v>
      </c>
      <c r="AU44" s="42">
        <f t="shared" si="43"/>
        <v>117</v>
      </c>
      <c r="AV44" s="43"/>
      <c r="AW44" s="41">
        <v>119</v>
      </c>
      <c r="AX44" s="42">
        <f t="shared" si="44"/>
        <v>119</v>
      </c>
      <c r="AY44" s="43"/>
      <c r="AZ44" s="41">
        <v>98</v>
      </c>
      <c r="BA44" s="42">
        <f t="shared" si="45"/>
        <v>98</v>
      </c>
      <c r="BB44" s="43"/>
      <c r="BC44" s="41">
        <v>98</v>
      </c>
      <c r="BD44" s="42">
        <f t="shared" si="46"/>
        <v>98</v>
      </c>
      <c r="BE44" s="43"/>
      <c r="BF44" s="41">
        <v>94</v>
      </c>
      <c r="BG44" s="42">
        <f t="shared" si="47"/>
        <v>94</v>
      </c>
      <c r="BH44" s="43"/>
      <c r="BI44" s="41">
        <v>102</v>
      </c>
      <c r="BJ44" s="42">
        <f t="shared" si="48"/>
        <v>102</v>
      </c>
    </row>
    <row r="45" spans="1:62" s="38" customFormat="1" ht="15" customHeight="1" x14ac:dyDescent="0.3">
      <c r="A45" s="272"/>
      <c r="B45" s="39" t="s">
        <v>82</v>
      </c>
      <c r="C45" s="40"/>
      <c r="D45" s="281">
        <v>50</v>
      </c>
      <c r="E45" s="42">
        <v>50</v>
      </c>
      <c r="F45" s="293"/>
      <c r="G45" s="281">
        <v>48</v>
      </c>
      <c r="H45" s="42">
        <v>48</v>
      </c>
      <c r="I45" s="40"/>
      <c r="J45" s="41">
        <v>47</v>
      </c>
      <c r="K45" s="42">
        <v>47</v>
      </c>
      <c r="L45" s="40"/>
      <c r="M45" s="41">
        <v>50</v>
      </c>
      <c r="N45" s="42">
        <v>50</v>
      </c>
      <c r="O45" s="40"/>
      <c r="P45" s="41">
        <v>52</v>
      </c>
      <c r="Q45" s="42">
        <v>52</v>
      </c>
      <c r="R45" s="40"/>
      <c r="S45" s="41">
        <v>56</v>
      </c>
      <c r="T45" s="42">
        <v>56</v>
      </c>
      <c r="U45" s="40"/>
      <c r="V45" s="41">
        <v>59</v>
      </c>
      <c r="W45" s="42">
        <v>59</v>
      </c>
      <c r="X45" s="40"/>
      <c r="Y45" s="41">
        <v>68</v>
      </c>
      <c r="Z45" s="42">
        <f t="shared" si="0"/>
        <v>68</v>
      </c>
      <c r="AA45" s="40"/>
      <c r="AB45" s="41">
        <v>67</v>
      </c>
      <c r="AC45" s="42">
        <f t="shared" si="1"/>
        <v>67</v>
      </c>
      <c r="AD45" s="40"/>
      <c r="AE45" s="41">
        <v>57</v>
      </c>
      <c r="AF45" s="42">
        <f t="shared" si="2"/>
        <v>57</v>
      </c>
      <c r="AG45" s="40"/>
      <c r="AH45" s="41">
        <v>67</v>
      </c>
      <c r="AI45" s="42">
        <f t="shared" si="39"/>
        <v>67</v>
      </c>
      <c r="AJ45" s="43"/>
      <c r="AK45" s="41">
        <v>64</v>
      </c>
      <c r="AL45" s="42">
        <f t="shared" si="40"/>
        <v>64</v>
      </c>
      <c r="AM45" s="43"/>
      <c r="AN45" s="41">
        <v>74</v>
      </c>
      <c r="AO45" s="42">
        <f t="shared" si="41"/>
        <v>74</v>
      </c>
      <c r="AP45" s="43"/>
      <c r="AQ45" s="41">
        <v>68</v>
      </c>
      <c r="AR45" s="42">
        <f t="shared" si="42"/>
        <v>68</v>
      </c>
      <c r="AS45" s="43"/>
      <c r="AT45" s="41">
        <v>77</v>
      </c>
      <c r="AU45" s="42">
        <f t="shared" si="43"/>
        <v>77</v>
      </c>
      <c r="AV45" s="43"/>
      <c r="AW45" s="41">
        <v>86</v>
      </c>
      <c r="AX45" s="42">
        <f t="shared" si="44"/>
        <v>86</v>
      </c>
      <c r="AY45" s="43"/>
      <c r="AZ45" s="41">
        <v>68</v>
      </c>
      <c r="BA45" s="42">
        <f t="shared" si="45"/>
        <v>68</v>
      </c>
      <c r="BB45" s="43"/>
      <c r="BC45" s="41">
        <v>69</v>
      </c>
      <c r="BD45" s="42">
        <f t="shared" si="46"/>
        <v>69</v>
      </c>
      <c r="BE45" s="43"/>
      <c r="BF45" s="41">
        <v>69</v>
      </c>
      <c r="BG45" s="42">
        <f t="shared" si="47"/>
        <v>69</v>
      </c>
      <c r="BH45" s="43"/>
      <c r="BI45" s="41">
        <v>72</v>
      </c>
      <c r="BJ45" s="42">
        <f t="shared" si="48"/>
        <v>72</v>
      </c>
    </row>
    <row r="46" spans="1:62" s="38" customFormat="1" ht="15" customHeight="1" x14ac:dyDescent="0.3">
      <c r="A46" s="272"/>
      <c r="B46" s="39" t="s">
        <v>83</v>
      </c>
      <c r="C46" s="40"/>
      <c r="D46" s="281">
        <v>113</v>
      </c>
      <c r="E46" s="42">
        <v>113</v>
      </c>
      <c r="F46" s="293"/>
      <c r="G46" s="281">
        <v>99</v>
      </c>
      <c r="H46" s="42">
        <v>99</v>
      </c>
      <c r="I46" s="40"/>
      <c r="J46" s="41">
        <v>104</v>
      </c>
      <c r="K46" s="42">
        <v>104</v>
      </c>
      <c r="L46" s="40"/>
      <c r="M46" s="41">
        <v>144</v>
      </c>
      <c r="N46" s="42">
        <v>144</v>
      </c>
      <c r="O46" s="40"/>
      <c r="P46" s="41">
        <v>174</v>
      </c>
      <c r="Q46" s="42">
        <v>174</v>
      </c>
      <c r="R46" s="40"/>
      <c r="S46" s="41">
        <v>112</v>
      </c>
      <c r="T46" s="42">
        <v>112</v>
      </c>
      <c r="U46" s="40"/>
      <c r="V46" s="41">
        <v>130</v>
      </c>
      <c r="W46" s="42">
        <v>130</v>
      </c>
      <c r="X46" s="40"/>
      <c r="Y46" s="41">
        <v>129</v>
      </c>
      <c r="Z46" s="42">
        <f t="shared" si="0"/>
        <v>129</v>
      </c>
      <c r="AA46" s="40"/>
      <c r="AB46" s="41">
        <v>141</v>
      </c>
      <c r="AC46" s="42">
        <f t="shared" si="1"/>
        <v>141</v>
      </c>
      <c r="AD46" s="40"/>
      <c r="AE46" s="41">
        <v>134</v>
      </c>
      <c r="AF46" s="42">
        <f t="shared" si="2"/>
        <v>134</v>
      </c>
      <c r="AG46" s="40"/>
      <c r="AH46" s="41">
        <v>128</v>
      </c>
      <c r="AI46" s="42">
        <f t="shared" si="39"/>
        <v>128</v>
      </c>
      <c r="AJ46" s="43"/>
      <c r="AK46" s="41">
        <v>136</v>
      </c>
      <c r="AL46" s="42">
        <f t="shared" si="40"/>
        <v>136</v>
      </c>
      <c r="AM46" s="43"/>
      <c r="AN46" s="41">
        <v>126</v>
      </c>
      <c r="AO46" s="42">
        <f t="shared" si="41"/>
        <v>126</v>
      </c>
      <c r="AP46" s="43"/>
      <c r="AQ46" s="41">
        <v>130</v>
      </c>
      <c r="AR46" s="42">
        <f t="shared" si="42"/>
        <v>130</v>
      </c>
      <c r="AS46" s="43"/>
      <c r="AT46" s="41">
        <v>138</v>
      </c>
      <c r="AU46" s="42">
        <f t="shared" si="43"/>
        <v>138</v>
      </c>
      <c r="AV46" s="43"/>
      <c r="AW46" s="41">
        <v>130</v>
      </c>
      <c r="AX46" s="42">
        <f t="shared" si="44"/>
        <v>130</v>
      </c>
      <c r="AY46" s="43"/>
      <c r="AZ46" s="41">
        <v>121</v>
      </c>
      <c r="BA46" s="42">
        <f t="shared" si="45"/>
        <v>121</v>
      </c>
      <c r="BB46" s="43"/>
      <c r="BC46" s="41">
        <v>114</v>
      </c>
      <c r="BD46" s="42">
        <f t="shared" si="46"/>
        <v>114</v>
      </c>
      <c r="BE46" s="43"/>
      <c r="BF46" s="41">
        <v>123</v>
      </c>
      <c r="BG46" s="42">
        <f t="shared" si="47"/>
        <v>123</v>
      </c>
      <c r="BH46" s="43"/>
      <c r="BI46" s="41">
        <v>101</v>
      </c>
      <c r="BJ46" s="42">
        <f t="shared" si="48"/>
        <v>101</v>
      </c>
    </row>
    <row r="47" spans="1:62" s="38" customFormat="1" ht="15" customHeight="1" x14ac:dyDescent="0.3">
      <c r="A47" s="272"/>
      <c r="B47" s="39" t="s">
        <v>84</v>
      </c>
      <c r="C47" s="280">
        <v>63</v>
      </c>
      <c r="D47" s="281">
        <v>124</v>
      </c>
      <c r="E47" s="42">
        <v>187</v>
      </c>
      <c r="F47" s="280">
        <v>81</v>
      </c>
      <c r="G47" s="281">
        <v>142</v>
      </c>
      <c r="H47" s="42">
        <v>223</v>
      </c>
      <c r="I47" s="40">
        <v>63</v>
      </c>
      <c r="J47" s="41">
        <v>165</v>
      </c>
      <c r="K47" s="42">
        <v>228</v>
      </c>
      <c r="L47" s="40">
        <v>72</v>
      </c>
      <c r="M47" s="41">
        <v>150</v>
      </c>
      <c r="N47" s="42">
        <v>222</v>
      </c>
      <c r="O47" s="40">
        <v>83</v>
      </c>
      <c r="P47" s="41">
        <v>187</v>
      </c>
      <c r="Q47" s="42">
        <v>270</v>
      </c>
      <c r="R47" s="40">
        <v>85</v>
      </c>
      <c r="S47" s="41">
        <v>132</v>
      </c>
      <c r="T47" s="42">
        <v>217</v>
      </c>
      <c r="U47" s="40">
        <v>69</v>
      </c>
      <c r="V47" s="41">
        <v>150</v>
      </c>
      <c r="W47" s="42">
        <v>219</v>
      </c>
      <c r="X47" s="40">
        <v>67</v>
      </c>
      <c r="Y47" s="41">
        <v>144</v>
      </c>
      <c r="Z47" s="42">
        <f t="shared" si="0"/>
        <v>211</v>
      </c>
      <c r="AA47" s="40">
        <v>67</v>
      </c>
      <c r="AB47" s="41">
        <v>142</v>
      </c>
      <c r="AC47" s="42">
        <f t="shared" si="1"/>
        <v>209</v>
      </c>
      <c r="AD47" s="40">
        <v>74</v>
      </c>
      <c r="AE47" s="41">
        <v>137</v>
      </c>
      <c r="AF47" s="42">
        <f t="shared" si="2"/>
        <v>211</v>
      </c>
      <c r="AG47" s="40">
        <v>66</v>
      </c>
      <c r="AH47" s="41">
        <v>133</v>
      </c>
      <c r="AI47" s="42">
        <f t="shared" si="39"/>
        <v>199</v>
      </c>
      <c r="AJ47" s="43">
        <v>69</v>
      </c>
      <c r="AK47" s="41">
        <v>142</v>
      </c>
      <c r="AL47" s="42">
        <f t="shared" si="40"/>
        <v>211</v>
      </c>
      <c r="AM47" s="43">
        <v>68</v>
      </c>
      <c r="AN47" s="41">
        <v>132</v>
      </c>
      <c r="AO47" s="42">
        <f t="shared" si="41"/>
        <v>200</v>
      </c>
      <c r="AP47" s="43">
        <v>69</v>
      </c>
      <c r="AQ47" s="41">
        <v>136</v>
      </c>
      <c r="AR47" s="42">
        <f t="shared" si="42"/>
        <v>205</v>
      </c>
      <c r="AS47" s="43">
        <v>63</v>
      </c>
      <c r="AT47" s="41">
        <v>139</v>
      </c>
      <c r="AU47" s="42">
        <f t="shared" si="43"/>
        <v>202</v>
      </c>
      <c r="AV47" s="43">
        <v>69</v>
      </c>
      <c r="AW47" s="41">
        <v>142</v>
      </c>
      <c r="AX47" s="42">
        <f t="shared" si="44"/>
        <v>211</v>
      </c>
      <c r="AY47" s="43">
        <v>81</v>
      </c>
      <c r="AZ47" s="41">
        <v>115</v>
      </c>
      <c r="BA47" s="42">
        <f t="shared" si="45"/>
        <v>196</v>
      </c>
      <c r="BB47" s="43">
        <v>68</v>
      </c>
      <c r="BC47" s="41">
        <v>127</v>
      </c>
      <c r="BD47" s="42">
        <f t="shared" si="46"/>
        <v>195</v>
      </c>
      <c r="BE47" s="43">
        <v>71</v>
      </c>
      <c r="BF47" s="41">
        <v>132</v>
      </c>
      <c r="BG47" s="42">
        <f t="shared" si="47"/>
        <v>203</v>
      </c>
      <c r="BH47" s="43">
        <v>77</v>
      </c>
      <c r="BI47" s="41">
        <v>128</v>
      </c>
      <c r="BJ47" s="42">
        <f t="shared" si="48"/>
        <v>205</v>
      </c>
    </row>
    <row r="48" spans="1:62" s="38" customFormat="1" ht="15" customHeight="1" x14ac:dyDescent="0.3">
      <c r="A48" s="272"/>
      <c r="B48" s="45" t="s">
        <v>85</v>
      </c>
      <c r="C48" s="46"/>
      <c r="D48" s="282">
        <v>42</v>
      </c>
      <c r="E48" s="48">
        <v>42</v>
      </c>
      <c r="F48" s="283"/>
      <c r="G48" s="282">
        <v>47</v>
      </c>
      <c r="H48" s="48">
        <v>47</v>
      </c>
      <c r="I48" s="46"/>
      <c r="J48" s="50">
        <v>51</v>
      </c>
      <c r="K48" s="48">
        <v>51</v>
      </c>
      <c r="L48" s="46"/>
      <c r="M48" s="50">
        <v>56</v>
      </c>
      <c r="N48" s="48">
        <v>56</v>
      </c>
      <c r="O48" s="46"/>
      <c r="P48" s="50">
        <v>49</v>
      </c>
      <c r="Q48" s="48">
        <v>49</v>
      </c>
      <c r="R48" s="46"/>
      <c r="S48" s="50">
        <v>49</v>
      </c>
      <c r="T48" s="48">
        <v>49</v>
      </c>
      <c r="U48" s="46"/>
      <c r="V48" s="50">
        <v>44</v>
      </c>
      <c r="W48" s="48">
        <v>44</v>
      </c>
      <c r="X48" s="46"/>
      <c r="Y48" s="50">
        <v>55</v>
      </c>
      <c r="Z48" s="48">
        <f t="shared" si="0"/>
        <v>55</v>
      </c>
      <c r="AA48" s="51"/>
      <c r="AB48" s="50">
        <v>53</v>
      </c>
      <c r="AC48" s="48">
        <f t="shared" si="1"/>
        <v>53</v>
      </c>
      <c r="AD48" s="51"/>
      <c r="AE48" s="50">
        <v>52</v>
      </c>
      <c r="AF48" s="48">
        <f t="shared" si="2"/>
        <v>52</v>
      </c>
      <c r="AG48" s="51"/>
      <c r="AH48" s="50">
        <v>55</v>
      </c>
      <c r="AI48" s="48">
        <f t="shared" si="39"/>
        <v>55</v>
      </c>
      <c r="AJ48" s="43"/>
      <c r="AK48" s="50">
        <v>53</v>
      </c>
      <c r="AL48" s="48">
        <f t="shared" si="40"/>
        <v>53</v>
      </c>
      <c r="AM48" s="43"/>
      <c r="AN48" s="50">
        <v>60</v>
      </c>
      <c r="AO48" s="48">
        <f t="shared" si="41"/>
        <v>60</v>
      </c>
      <c r="AP48" s="43"/>
      <c r="AQ48" s="50">
        <v>57</v>
      </c>
      <c r="AR48" s="48">
        <f t="shared" si="42"/>
        <v>57</v>
      </c>
      <c r="AS48" s="43"/>
      <c r="AT48" s="50">
        <v>53</v>
      </c>
      <c r="AU48" s="48">
        <f t="shared" si="43"/>
        <v>53</v>
      </c>
      <c r="AV48" s="43"/>
      <c r="AW48" s="50">
        <v>63</v>
      </c>
      <c r="AX48" s="48">
        <f t="shared" si="44"/>
        <v>63</v>
      </c>
      <c r="AY48" s="43"/>
      <c r="AZ48" s="50">
        <v>49</v>
      </c>
      <c r="BA48" s="48">
        <f t="shared" si="45"/>
        <v>49</v>
      </c>
      <c r="BB48" s="43"/>
      <c r="BC48" s="50">
        <v>49</v>
      </c>
      <c r="BD48" s="48">
        <f t="shared" si="46"/>
        <v>49</v>
      </c>
      <c r="BE48" s="43"/>
      <c r="BF48" s="50">
        <v>33</v>
      </c>
      <c r="BG48" s="48">
        <f t="shared" si="47"/>
        <v>33</v>
      </c>
      <c r="BH48" s="43"/>
      <c r="BI48" s="50">
        <v>15</v>
      </c>
      <c r="BJ48" s="48">
        <f t="shared" si="48"/>
        <v>15</v>
      </c>
    </row>
    <row r="49" spans="1:62" s="38" customFormat="1" ht="15" customHeight="1" x14ac:dyDescent="0.3">
      <c r="A49" s="272"/>
      <c r="B49" s="52" t="s">
        <v>64</v>
      </c>
      <c r="C49" s="53">
        <f>SUM(C38:C48)</f>
        <v>176</v>
      </c>
      <c r="D49" s="284">
        <f t="shared" ref="D49:BD49" si="49">SUM(D38:D48)</f>
        <v>904</v>
      </c>
      <c r="E49" s="55">
        <f t="shared" si="49"/>
        <v>1080</v>
      </c>
      <c r="F49" s="53">
        <f t="shared" si="49"/>
        <v>216</v>
      </c>
      <c r="G49" s="284">
        <f t="shared" si="49"/>
        <v>979</v>
      </c>
      <c r="H49" s="55">
        <f t="shared" si="49"/>
        <v>1195</v>
      </c>
      <c r="I49" s="53">
        <f t="shared" si="49"/>
        <v>178</v>
      </c>
      <c r="J49" s="284">
        <f t="shared" si="49"/>
        <v>1121</v>
      </c>
      <c r="K49" s="55">
        <f t="shared" si="49"/>
        <v>1299</v>
      </c>
      <c r="L49" s="53">
        <f t="shared" si="49"/>
        <v>206</v>
      </c>
      <c r="M49" s="284">
        <f t="shared" si="49"/>
        <v>1122</v>
      </c>
      <c r="N49" s="55">
        <f t="shared" si="49"/>
        <v>1328</v>
      </c>
      <c r="O49" s="53">
        <f t="shared" si="49"/>
        <v>239</v>
      </c>
      <c r="P49" s="284">
        <f t="shared" si="49"/>
        <v>1235</v>
      </c>
      <c r="Q49" s="55">
        <f t="shared" si="49"/>
        <v>1474</v>
      </c>
      <c r="R49" s="53">
        <f t="shared" si="49"/>
        <v>211</v>
      </c>
      <c r="S49" s="284">
        <f t="shared" si="49"/>
        <v>1080</v>
      </c>
      <c r="T49" s="55">
        <f t="shared" si="49"/>
        <v>1291</v>
      </c>
      <c r="U49" s="53">
        <f t="shared" si="49"/>
        <v>196</v>
      </c>
      <c r="V49" s="284">
        <f t="shared" si="49"/>
        <v>1165</v>
      </c>
      <c r="W49" s="55">
        <f t="shared" si="49"/>
        <v>1361</v>
      </c>
      <c r="X49" s="53">
        <f t="shared" si="49"/>
        <v>182</v>
      </c>
      <c r="Y49" s="284">
        <f t="shared" si="49"/>
        <v>1210</v>
      </c>
      <c r="Z49" s="55">
        <f t="shared" si="49"/>
        <v>1392</v>
      </c>
      <c r="AA49" s="53">
        <f t="shared" si="49"/>
        <v>183</v>
      </c>
      <c r="AB49" s="284">
        <f t="shared" si="49"/>
        <v>1192</v>
      </c>
      <c r="AC49" s="55">
        <f t="shared" si="49"/>
        <v>1375</v>
      </c>
      <c r="AD49" s="53">
        <f t="shared" si="49"/>
        <v>192</v>
      </c>
      <c r="AE49" s="284">
        <f t="shared" si="49"/>
        <v>1193</v>
      </c>
      <c r="AF49" s="55">
        <f t="shared" si="49"/>
        <v>1385</v>
      </c>
      <c r="AG49" s="53">
        <f t="shared" si="49"/>
        <v>161</v>
      </c>
      <c r="AH49" s="54">
        <f t="shared" si="49"/>
        <v>1151</v>
      </c>
      <c r="AI49" s="55">
        <f t="shared" si="49"/>
        <v>1312</v>
      </c>
      <c r="AJ49" s="56">
        <f>SUM(AJ38:AJ48)</f>
        <v>159</v>
      </c>
      <c r="AK49" s="57">
        <f>SUM(AK38:AK48)</f>
        <v>1156</v>
      </c>
      <c r="AL49" s="55">
        <f t="shared" si="49"/>
        <v>1315</v>
      </c>
      <c r="AM49" s="56">
        <f t="shared" si="49"/>
        <v>151</v>
      </c>
      <c r="AN49" s="57">
        <f t="shared" si="49"/>
        <v>1155</v>
      </c>
      <c r="AO49" s="55">
        <f t="shared" si="49"/>
        <v>1306</v>
      </c>
      <c r="AP49" s="56">
        <f t="shared" si="49"/>
        <v>164</v>
      </c>
      <c r="AQ49" s="57">
        <f t="shared" si="49"/>
        <v>1186</v>
      </c>
      <c r="AR49" s="55">
        <f t="shared" si="49"/>
        <v>1350</v>
      </c>
      <c r="AS49" s="56">
        <f t="shared" si="49"/>
        <v>162</v>
      </c>
      <c r="AT49" s="57">
        <f t="shared" si="49"/>
        <v>1202</v>
      </c>
      <c r="AU49" s="55">
        <f t="shared" si="49"/>
        <v>1364</v>
      </c>
      <c r="AV49" s="56">
        <f t="shared" si="49"/>
        <v>167</v>
      </c>
      <c r="AW49" s="57">
        <f t="shared" si="49"/>
        <v>1258</v>
      </c>
      <c r="AX49" s="55">
        <f t="shared" si="49"/>
        <v>1425</v>
      </c>
      <c r="AY49" s="56">
        <f t="shared" si="49"/>
        <v>188</v>
      </c>
      <c r="AZ49" s="57">
        <f t="shared" si="49"/>
        <v>1066</v>
      </c>
      <c r="BA49" s="55">
        <f t="shared" si="49"/>
        <v>1254</v>
      </c>
      <c r="BB49" s="56">
        <f t="shared" si="49"/>
        <v>155</v>
      </c>
      <c r="BC49" s="57">
        <f t="shared" si="49"/>
        <v>1012</v>
      </c>
      <c r="BD49" s="55">
        <f t="shared" si="49"/>
        <v>1167</v>
      </c>
      <c r="BE49" s="56">
        <f>SUM(BE38:BE48)</f>
        <v>167</v>
      </c>
      <c r="BF49" s="57">
        <f>SUM(BF38:BF48)</f>
        <v>1020</v>
      </c>
      <c r="BG49" s="55">
        <f t="shared" ref="BG49" si="50">SUM(BG38:BG48)</f>
        <v>1187</v>
      </c>
      <c r="BH49" s="56">
        <f>SUM(BH38:BH48)</f>
        <v>173</v>
      </c>
      <c r="BI49" s="57">
        <f>SUM(BI38:BI48)</f>
        <v>981</v>
      </c>
      <c r="BJ49" s="55">
        <f t="shared" ref="BJ49" si="51">SUM(BJ38:BJ48)</f>
        <v>1154</v>
      </c>
    </row>
    <row r="50" spans="1:62" s="38" customFormat="1" ht="15" customHeight="1" x14ac:dyDescent="0.3">
      <c r="A50" s="272"/>
      <c r="B50" s="58" t="s">
        <v>86</v>
      </c>
      <c r="C50" s="285">
        <v>30</v>
      </c>
      <c r="D50" s="286">
        <v>63</v>
      </c>
      <c r="E50" s="61">
        <v>93</v>
      </c>
      <c r="F50" s="285">
        <v>38</v>
      </c>
      <c r="G50" s="286">
        <v>77</v>
      </c>
      <c r="H50" s="61">
        <v>115</v>
      </c>
      <c r="I50" s="59">
        <v>58</v>
      </c>
      <c r="J50" s="60">
        <v>95</v>
      </c>
      <c r="K50" s="61">
        <v>153</v>
      </c>
      <c r="L50" s="59">
        <v>84</v>
      </c>
      <c r="M50" s="60">
        <v>89</v>
      </c>
      <c r="N50" s="61">
        <v>173</v>
      </c>
      <c r="O50" s="59">
        <v>66</v>
      </c>
      <c r="P50" s="60">
        <v>112</v>
      </c>
      <c r="Q50" s="61">
        <v>178</v>
      </c>
      <c r="R50" s="59">
        <v>83</v>
      </c>
      <c r="S50" s="60">
        <v>90</v>
      </c>
      <c r="T50" s="61">
        <v>173</v>
      </c>
      <c r="U50" s="59">
        <v>88</v>
      </c>
      <c r="V50" s="60">
        <v>97</v>
      </c>
      <c r="W50" s="61">
        <v>185</v>
      </c>
      <c r="X50" s="59">
        <v>78</v>
      </c>
      <c r="Y50" s="60">
        <v>99</v>
      </c>
      <c r="Z50" s="61">
        <f t="shared" si="0"/>
        <v>177</v>
      </c>
      <c r="AA50" s="59">
        <v>81</v>
      </c>
      <c r="AB50" s="60">
        <v>84</v>
      </c>
      <c r="AC50" s="61">
        <f t="shared" si="1"/>
        <v>165</v>
      </c>
      <c r="AD50" s="59">
        <v>71</v>
      </c>
      <c r="AE50" s="60">
        <v>77</v>
      </c>
      <c r="AF50" s="61">
        <f t="shared" si="2"/>
        <v>148</v>
      </c>
      <c r="AG50" s="59">
        <v>71</v>
      </c>
      <c r="AH50" s="60">
        <v>79</v>
      </c>
      <c r="AI50" s="61">
        <f t="shared" ref="AI50:AI55" si="52">SUM(AG50:AH50)</f>
        <v>150</v>
      </c>
      <c r="AJ50" s="62">
        <v>75</v>
      </c>
      <c r="AK50" s="60">
        <v>84</v>
      </c>
      <c r="AL50" s="61">
        <f t="shared" ref="AL50:AL55" si="53">SUM(AJ50:AK50)</f>
        <v>159</v>
      </c>
      <c r="AM50" s="62">
        <v>71</v>
      </c>
      <c r="AN50" s="60">
        <v>79</v>
      </c>
      <c r="AO50" s="61">
        <f t="shared" ref="AO50:AO55" si="54">SUM(AM50:AN50)</f>
        <v>150</v>
      </c>
      <c r="AP50" s="62">
        <v>76</v>
      </c>
      <c r="AQ50" s="60">
        <v>80</v>
      </c>
      <c r="AR50" s="61">
        <f t="shared" ref="AR50:AR55" si="55">SUM(AP50:AQ50)</f>
        <v>156</v>
      </c>
      <c r="AS50" s="62">
        <v>52</v>
      </c>
      <c r="AT50" s="60">
        <v>76</v>
      </c>
      <c r="AU50" s="61">
        <f t="shared" ref="AU50:AU55" si="56">SUM(AS50:AT50)</f>
        <v>128</v>
      </c>
      <c r="AV50" s="62">
        <v>39</v>
      </c>
      <c r="AW50" s="60">
        <v>64</v>
      </c>
      <c r="AX50" s="61">
        <f t="shared" ref="AX50:AX55" si="57">SUM(AV50:AW50)</f>
        <v>103</v>
      </c>
      <c r="AY50" s="62">
        <v>31</v>
      </c>
      <c r="AZ50" s="60">
        <v>55</v>
      </c>
      <c r="BA50" s="61">
        <f t="shared" ref="BA50:BA55" si="58">SUM(AY50:AZ50)</f>
        <v>86</v>
      </c>
      <c r="BB50" s="62">
        <v>72</v>
      </c>
      <c r="BC50" s="60">
        <v>51</v>
      </c>
      <c r="BD50" s="61">
        <f t="shared" ref="BD50:BD55" si="59">SUM(BB50:BC50)</f>
        <v>123</v>
      </c>
      <c r="BE50" s="62">
        <v>63</v>
      </c>
      <c r="BF50" s="60">
        <v>59</v>
      </c>
      <c r="BG50" s="61">
        <f t="shared" ref="BG50:BG55" si="60">SUM(BE50:BF50)</f>
        <v>122</v>
      </c>
      <c r="BH50" s="62">
        <v>64</v>
      </c>
      <c r="BI50" s="60">
        <v>51</v>
      </c>
      <c r="BJ50" s="61">
        <f t="shared" ref="BJ50:BJ55" si="61">SUM(BH50:BI50)</f>
        <v>115</v>
      </c>
    </row>
    <row r="51" spans="1:62" s="38" customFormat="1" ht="15" customHeight="1" x14ac:dyDescent="0.3">
      <c r="A51" s="272"/>
      <c r="B51" s="39" t="s">
        <v>87</v>
      </c>
      <c r="C51" s="280">
        <v>44</v>
      </c>
      <c r="D51" s="281">
        <v>102</v>
      </c>
      <c r="E51" s="42">
        <v>146</v>
      </c>
      <c r="F51" s="280">
        <v>51</v>
      </c>
      <c r="G51" s="281">
        <v>69</v>
      </c>
      <c r="H51" s="42">
        <v>120</v>
      </c>
      <c r="I51" s="40">
        <v>39</v>
      </c>
      <c r="J51" s="41">
        <v>74</v>
      </c>
      <c r="K51" s="42">
        <v>113</v>
      </c>
      <c r="L51" s="40">
        <v>36</v>
      </c>
      <c r="M51" s="41">
        <v>60</v>
      </c>
      <c r="N51" s="42">
        <v>96</v>
      </c>
      <c r="O51" s="40">
        <v>43</v>
      </c>
      <c r="P51" s="41">
        <v>79</v>
      </c>
      <c r="Q51" s="42">
        <v>122</v>
      </c>
      <c r="R51" s="40">
        <v>50</v>
      </c>
      <c r="S51" s="41">
        <v>64</v>
      </c>
      <c r="T51" s="42">
        <v>114</v>
      </c>
      <c r="U51" s="40">
        <v>64</v>
      </c>
      <c r="V51" s="41">
        <v>68</v>
      </c>
      <c r="W51" s="42">
        <v>132</v>
      </c>
      <c r="X51" s="40">
        <v>45</v>
      </c>
      <c r="Y51" s="41">
        <v>71</v>
      </c>
      <c r="Z51" s="42">
        <f t="shared" si="0"/>
        <v>116</v>
      </c>
      <c r="AA51" s="40">
        <v>55</v>
      </c>
      <c r="AB51" s="41">
        <v>80</v>
      </c>
      <c r="AC51" s="42">
        <f t="shared" si="1"/>
        <v>135</v>
      </c>
      <c r="AD51" s="40">
        <v>66</v>
      </c>
      <c r="AE51" s="41">
        <v>69</v>
      </c>
      <c r="AF51" s="42">
        <f t="shared" si="2"/>
        <v>135</v>
      </c>
      <c r="AG51" s="40">
        <v>70</v>
      </c>
      <c r="AH51" s="41">
        <v>76</v>
      </c>
      <c r="AI51" s="42">
        <f t="shared" si="52"/>
        <v>146</v>
      </c>
      <c r="AJ51" s="43">
        <v>60</v>
      </c>
      <c r="AK51" s="41">
        <v>78</v>
      </c>
      <c r="AL51" s="42">
        <f t="shared" si="53"/>
        <v>138</v>
      </c>
      <c r="AM51" s="43">
        <v>59</v>
      </c>
      <c r="AN51" s="41">
        <v>74</v>
      </c>
      <c r="AO51" s="42">
        <f t="shared" si="54"/>
        <v>133</v>
      </c>
      <c r="AP51" s="43">
        <v>66</v>
      </c>
      <c r="AQ51" s="41">
        <v>78</v>
      </c>
      <c r="AR51" s="42">
        <f t="shared" si="55"/>
        <v>144</v>
      </c>
      <c r="AS51" s="43">
        <v>53</v>
      </c>
      <c r="AT51" s="41">
        <v>85</v>
      </c>
      <c r="AU51" s="42">
        <f t="shared" si="56"/>
        <v>138</v>
      </c>
      <c r="AV51" s="43">
        <v>25</v>
      </c>
      <c r="AW51" s="41">
        <v>60</v>
      </c>
      <c r="AX51" s="42">
        <f t="shared" si="57"/>
        <v>85</v>
      </c>
      <c r="AY51" s="43">
        <v>32</v>
      </c>
      <c r="AZ51" s="41">
        <v>47</v>
      </c>
      <c r="BA51" s="42">
        <f t="shared" si="58"/>
        <v>79</v>
      </c>
      <c r="BB51" s="43">
        <v>70</v>
      </c>
      <c r="BC51" s="41">
        <v>37</v>
      </c>
      <c r="BD51" s="42">
        <f t="shared" si="59"/>
        <v>107</v>
      </c>
      <c r="BE51" s="43">
        <v>60</v>
      </c>
      <c r="BF51" s="41">
        <v>45</v>
      </c>
      <c r="BG51" s="42">
        <f t="shared" si="60"/>
        <v>105</v>
      </c>
      <c r="BH51" s="43">
        <v>64</v>
      </c>
      <c r="BI51" s="41">
        <v>44</v>
      </c>
      <c r="BJ51" s="42">
        <f t="shared" si="61"/>
        <v>108</v>
      </c>
    </row>
    <row r="52" spans="1:62" s="38" customFormat="1" ht="15" customHeight="1" x14ac:dyDescent="0.3">
      <c r="A52" s="272"/>
      <c r="B52" s="39" t="s">
        <v>88</v>
      </c>
      <c r="C52" s="40"/>
      <c r="D52" s="281">
        <v>48</v>
      </c>
      <c r="E52" s="42">
        <v>48</v>
      </c>
      <c r="F52" s="293"/>
      <c r="G52" s="281">
        <v>38</v>
      </c>
      <c r="H52" s="42">
        <v>38</v>
      </c>
      <c r="I52" s="40"/>
      <c r="J52" s="41">
        <v>53</v>
      </c>
      <c r="K52" s="42">
        <v>53</v>
      </c>
      <c r="L52" s="40"/>
      <c r="M52" s="41">
        <v>61</v>
      </c>
      <c r="N52" s="42">
        <v>61</v>
      </c>
      <c r="O52" s="40"/>
      <c r="P52" s="41">
        <v>51</v>
      </c>
      <c r="Q52" s="42">
        <v>51</v>
      </c>
      <c r="R52" s="40"/>
      <c r="S52" s="41">
        <v>56</v>
      </c>
      <c r="T52" s="42">
        <v>56</v>
      </c>
      <c r="U52" s="40"/>
      <c r="V52" s="41">
        <v>85</v>
      </c>
      <c r="W52" s="42">
        <v>85</v>
      </c>
      <c r="X52" s="40">
        <v>56</v>
      </c>
      <c r="Y52" s="41">
        <v>63</v>
      </c>
      <c r="Z52" s="42">
        <f t="shared" si="0"/>
        <v>119</v>
      </c>
      <c r="AA52" s="40">
        <v>56</v>
      </c>
      <c r="AB52" s="41">
        <v>67</v>
      </c>
      <c r="AC52" s="42">
        <f t="shared" si="1"/>
        <v>123</v>
      </c>
      <c r="AD52" s="40">
        <v>59</v>
      </c>
      <c r="AE52" s="41">
        <v>58</v>
      </c>
      <c r="AF52" s="42">
        <f t="shared" si="2"/>
        <v>117</v>
      </c>
      <c r="AG52" s="40">
        <v>56</v>
      </c>
      <c r="AH52" s="41">
        <v>65</v>
      </c>
      <c r="AI52" s="42">
        <f t="shared" si="52"/>
        <v>121</v>
      </c>
      <c r="AJ52" s="43">
        <v>45</v>
      </c>
      <c r="AK52" s="41">
        <v>56</v>
      </c>
      <c r="AL52" s="42">
        <f t="shared" si="53"/>
        <v>101</v>
      </c>
      <c r="AM52" s="43">
        <v>43</v>
      </c>
      <c r="AN52" s="41">
        <v>53</v>
      </c>
      <c r="AO52" s="42">
        <f t="shared" si="54"/>
        <v>96</v>
      </c>
      <c r="AP52" s="43">
        <v>26</v>
      </c>
      <c r="AQ52" s="41">
        <v>57</v>
      </c>
      <c r="AR52" s="42">
        <f t="shared" si="55"/>
        <v>83</v>
      </c>
      <c r="AS52" s="43">
        <v>28</v>
      </c>
      <c r="AT52" s="41">
        <v>42</v>
      </c>
      <c r="AU52" s="42">
        <f t="shared" si="56"/>
        <v>70</v>
      </c>
      <c r="AV52" s="43">
        <v>26</v>
      </c>
      <c r="AW52" s="41">
        <v>43</v>
      </c>
      <c r="AX52" s="42">
        <f t="shared" si="57"/>
        <v>69</v>
      </c>
      <c r="AY52" s="43">
        <v>25</v>
      </c>
      <c r="AZ52" s="41">
        <v>36</v>
      </c>
      <c r="BA52" s="42">
        <f t="shared" si="58"/>
        <v>61</v>
      </c>
      <c r="BB52" s="43">
        <v>30</v>
      </c>
      <c r="BC52" s="41">
        <v>29</v>
      </c>
      <c r="BD52" s="42">
        <f t="shared" si="59"/>
        <v>59</v>
      </c>
      <c r="BE52" s="43">
        <v>28</v>
      </c>
      <c r="BF52" s="41">
        <v>23</v>
      </c>
      <c r="BG52" s="42">
        <f t="shared" si="60"/>
        <v>51</v>
      </c>
      <c r="BH52" s="43">
        <v>37</v>
      </c>
      <c r="BI52" s="41">
        <v>18</v>
      </c>
      <c r="BJ52" s="42">
        <f t="shared" si="61"/>
        <v>55</v>
      </c>
    </row>
    <row r="53" spans="1:62" s="38" customFormat="1" ht="15" customHeight="1" x14ac:dyDescent="0.3">
      <c r="A53" s="272"/>
      <c r="B53" s="39" t="s">
        <v>89</v>
      </c>
      <c r="C53" s="40"/>
      <c r="D53" s="281">
        <v>17</v>
      </c>
      <c r="E53" s="42">
        <v>17</v>
      </c>
      <c r="F53" s="293"/>
      <c r="G53" s="281">
        <v>20</v>
      </c>
      <c r="H53" s="42">
        <v>20</v>
      </c>
      <c r="I53" s="40"/>
      <c r="J53" s="41">
        <v>22</v>
      </c>
      <c r="K53" s="42">
        <v>22</v>
      </c>
      <c r="L53" s="40"/>
      <c r="M53" s="41">
        <v>18</v>
      </c>
      <c r="N53" s="42">
        <v>18</v>
      </c>
      <c r="O53" s="40"/>
      <c r="P53" s="41">
        <v>35</v>
      </c>
      <c r="Q53" s="42">
        <v>35</v>
      </c>
      <c r="R53" s="40"/>
      <c r="S53" s="41">
        <v>34</v>
      </c>
      <c r="T53" s="42">
        <v>34</v>
      </c>
      <c r="U53" s="40"/>
      <c r="V53" s="41">
        <v>45</v>
      </c>
      <c r="W53" s="42">
        <v>45</v>
      </c>
      <c r="X53" s="40">
        <v>39</v>
      </c>
      <c r="Y53" s="41">
        <v>54</v>
      </c>
      <c r="Z53" s="42">
        <f t="shared" si="0"/>
        <v>93</v>
      </c>
      <c r="AA53" s="40">
        <v>54</v>
      </c>
      <c r="AB53" s="41">
        <v>38</v>
      </c>
      <c r="AC53" s="42">
        <f t="shared" si="1"/>
        <v>92</v>
      </c>
      <c r="AD53" s="40">
        <v>41</v>
      </c>
      <c r="AE53" s="41">
        <v>59</v>
      </c>
      <c r="AF53" s="42">
        <f t="shared" si="2"/>
        <v>100</v>
      </c>
      <c r="AG53" s="40">
        <v>41</v>
      </c>
      <c r="AH53" s="41">
        <v>56</v>
      </c>
      <c r="AI53" s="42">
        <f t="shared" si="52"/>
        <v>97</v>
      </c>
      <c r="AJ53" s="43">
        <v>35</v>
      </c>
      <c r="AK53" s="41">
        <v>41</v>
      </c>
      <c r="AL53" s="42">
        <f t="shared" si="53"/>
        <v>76</v>
      </c>
      <c r="AM53" s="43">
        <v>31</v>
      </c>
      <c r="AN53" s="41">
        <v>27</v>
      </c>
      <c r="AO53" s="42">
        <f t="shared" si="54"/>
        <v>58</v>
      </c>
      <c r="AP53" s="43">
        <v>30</v>
      </c>
      <c r="AQ53" s="41">
        <v>23</v>
      </c>
      <c r="AR53" s="42">
        <f t="shared" si="55"/>
        <v>53</v>
      </c>
      <c r="AS53" s="43">
        <v>19</v>
      </c>
      <c r="AT53" s="41">
        <v>27</v>
      </c>
      <c r="AU53" s="42">
        <f t="shared" si="56"/>
        <v>46</v>
      </c>
      <c r="AV53" s="43">
        <v>21</v>
      </c>
      <c r="AW53" s="41">
        <v>33</v>
      </c>
      <c r="AX53" s="42">
        <f t="shared" si="57"/>
        <v>54</v>
      </c>
      <c r="AY53" s="43">
        <v>23</v>
      </c>
      <c r="AZ53" s="41">
        <v>30</v>
      </c>
      <c r="BA53" s="42">
        <f t="shared" si="58"/>
        <v>53</v>
      </c>
      <c r="BB53" s="43">
        <v>21</v>
      </c>
      <c r="BC53" s="41">
        <v>17</v>
      </c>
      <c r="BD53" s="42">
        <f t="shared" si="59"/>
        <v>38</v>
      </c>
      <c r="BE53" s="43">
        <v>24</v>
      </c>
      <c r="BF53" s="41">
        <v>16</v>
      </c>
      <c r="BG53" s="42">
        <f t="shared" si="60"/>
        <v>40</v>
      </c>
      <c r="BH53" s="43">
        <v>10</v>
      </c>
      <c r="BI53" s="41">
        <v>22</v>
      </c>
      <c r="BJ53" s="42">
        <f t="shared" si="61"/>
        <v>32</v>
      </c>
    </row>
    <row r="54" spans="1:62" s="38" customFormat="1" ht="15" customHeight="1" x14ac:dyDescent="0.3">
      <c r="A54" s="272"/>
      <c r="B54" s="39" t="s">
        <v>90</v>
      </c>
      <c r="C54" s="280">
        <v>52</v>
      </c>
      <c r="D54" s="281">
        <v>77</v>
      </c>
      <c r="E54" s="42">
        <v>129</v>
      </c>
      <c r="F54" s="280">
        <v>39</v>
      </c>
      <c r="G54" s="281">
        <v>105</v>
      </c>
      <c r="H54" s="42">
        <v>144</v>
      </c>
      <c r="I54" s="40">
        <v>51</v>
      </c>
      <c r="J54" s="41">
        <v>89</v>
      </c>
      <c r="K54" s="42">
        <v>140</v>
      </c>
      <c r="L54" s="40">
        <v>51</v>
      </c>
      <c r="M54" s="41">
        <v>114</v>
      </c>
      <c r="N54" s="42">
        <v>165</v>
      </c>
      <c r="O54" s="40">
        <v>43</v>
      </c>
      <c r="P54" s="41">
        <v>119</v>
      </c>
      <c r="Q54" s="42">
        <v>162</v>
      </c>
      <c r="R54" s="40">
        <v>60</v>
      </c>
      <c r="S54" s="41">
        <v>113</v>
      </c>
      <c r="T54" s="42">
        <v>173</v>
      </c>
      <c r="U54" s="40">
        <v>107</v>
      </c>
      <c r="V54" s="41">
        <v>128</v>
      </c>
      <c r="W54" s="42">
        <v>235</v>
      </c>
      <c r="X54" s="40">
        <v>87</v>
      </c>
      <c r="Y54" s="41">
        <v>134</v>
      </c>
      <c r="Z54" s="42">
        <f t="shared" si="0"/>
        <v>221</v>
      </c>
      <c r="AA54" s="40">
        <v>93</v>
      </c>
      <c r="AB54" s="41">
        <v>150</v>
      </c>
      <c r="AC54" s="42">
        <f t="shared" si="1"/>
        <v>243</v>
      </c>
      <c r="AD54" s="40">
        <v>116</v>
      </c>
      <c r="AE54" s="41">
        <v>139</v>
      </c>
      <c r="AF54" s="42">
        <f t="shared" si="2"/>
        <v>255</v>
      </c>
      <c r="AG54" s="40">
        <v>94</v>
      </c>
      <c r="AH54" s="41">
        <v>125</v>
      </c>
      <c r="AI54" s="42">
        <f t="shared" si="52"/>
        <v>219</v>
      </c>
      <c r="AJ54" s="43">
        <v>76</v>
      </c>
      <c r="AK54" s="41">
        <v>124</v>
      </c>
      <c r="AL54" s="42">
        <f t="shared" si="53"/>
        <v>200</v>
      </c>
      <c r="AM54" s="43">
        <v>69</v>
      </c>
      <c r="AN54" s="41">
        <v>121</v>
      </c>
      <c r="AO54" s="42">
        <f t="shared" si="54"/>
        <v>190</v>
      </c>
      <c r="AP54" s="43">
        <v>72</v>
      </c>
      <c r="AQ54" s="41">
        <v>126</v>
      </c>
      <c r="AR54" s="42">
        <f t="shared" si="55"/>
        <v>198</v>
      </c>
      <c r="AS54" s="43">
        <v>100</v>
      </c>
      <c r="AT54" s="41">
        <v>132</v>
      </c>
      <c r="AU54" s="42">
        <f t="shared" si="56"/>
        <v>232</v>
      </c>
      <c r="AV54" s="43">
        <v>80</v>
      </c>
      <c r="AW54" s="41">
        <v>86</v>
      </c>
      <c r="AX54" s="42">
        <f t="shared" si="57"/>
        <v>166</v>
      </c>
      <c r="AY54" s="43">
        <v>107</v>
      </c>
      <c r="AZ54" s="41">
        <v>92</v>
      </c>
      <c r="BA54" s="42">
        <f t="shared" si="58"/>
        <v>199</v>
      </c>
      <c r="BB54" s="43">
        <v>82</v>
      </c>
      <c r="BC54" s="41">
        <v>85</v>
      </c>
      <c r="BD54" s="42">
        <f t="shared" si="59"/>
        <v>167</v>
      </c>
      <c r="BE54" s="43">
        <v>92</v>
      </c>
      <c r="BF54" s="41">
        <v>84</v>
      </c>
      <c r="BG54" s="42">
        <f t="shared" si="60"/>
        <v>176</v>
      </c>
      <c r="BH54" s="43">
        <v>81</v>
      </c>
      <c r="BI54" s="41">
        <v>90</v>
      </c>
      <c r="BJ54" s="42">
        <f t="shared" si="61"/>
        <v>171</v>
      </c>
    </row>
    <row r="55" spans="1:62" s="38" customFormat="1" ht="15" customHeight="1" x14ac:dyDescent="0.3">
      <c r="A55" s="272"/>
      <c r="B55" s="45" t="s">
        <v>91</v>
      </c>
      <c r="C55" s="46">
        <v>49</v>
      </c>
      <c r="D55" s="282">
        <v>97</v>
      </c>
      <c r="E55" s="48">
        <v>146</v>
      </c>
      <c r="F55" s="283">
        <v>65</v>
      </c>
      <c r="G55" s="282">
        <v>124</v>
      </c>
      <c r="H55" s="48">
        <v>189</v>
      </c>
      <c r="I55" s="46">
        <v>65</v>
      </c>
      <c r="J55" s="50">
        <v>135</v>
      </c>
      <c r="K55" s="48">
        <v>200</v>
      </c>
      <c r="L55" s="46">
        <v>93</v>
      </c>
      <c r="M55" s="50">
        <v>147</v>
      </c>
      <c r="N55" s="48">
        <v>240</v>
      </c>
      <c r="O55" s="46">
        <v>80</v>
      </c>
      <c r="P55" s="50">
        <v>129</v>
      </c>
      <c r="Q55" s="48">
        <v>209</v>
      </c>
      <c r="R55" s="46">
        <v>87</v>
      </c>
      <c r="S55" s="50">
        <v>125</v>
      </c>
      <c r="T55" s="48">
        <v>212</v>
      </c>
      <c r="U55" s="46">
        <v>109</v>
      </c>
      <c r="V55" s="50">
        <v>128</v>
      </c>
      <c r="W55" s="48">
        <v>237</v>
      </c>
      <c r="X55" s="46">
        <v>107</v>
      </c>
      <c r="Y55" s="50">
        <v>125</v>
      </c>
      <c r="Z55" s="48">
        <f t="shared" si="0"/>
        <v>232</v>
      </c>
      <c r="AA55" s="51">
        <v>114</v>
      </c>
      <c r="AB55" s="50">
        <v>134</v>
      </c>
      <c r="AC55" s="48">
        <f t="shared" si="1"/>
        <v>248</v>
      </c>
      <c r="AD55" s="51">
        <v>114</v>
      </c>
      <c r="AE55" s="50">
        <v>137</v>
      </c>
      <c r="AF55" s="48">
        <f t="shared" si="2"/>
        <v>251</v>
      </c>
      <c r="AG55" s="51">
        <v>110</v>
      </c>
      <c r="AH55" s="50">
        <v>125</v>
      </c>
      <c r="AI55" s="48">
        <f t="shared" si="52"/>
        <v>235</v>
      </c>
      <c r="AJ55" s="43">
        <v>74</v>
      </c>
      <c r="AK55" s="50">
        <v>113</v>
      </c>
      <c r="AL55" s="48">
        <f t="shared" si="53"/>
        <v>187</v>
      </c>
      <c r="AM55" s="43">
        <v>64</v>
      </c>
      <c r="AN55" s="50">
        <v>114</v>
      </c>
      <c r="AO55" s="48">
        <f t="shared" si="54"/>
        <v>178</v>
      </c>
      <c r="AP55" s="43">
        <v>47</v>
      </c>
      <c r="AQ55" s="50">
        <v>123</v>
      </c>
      <c r="AR55" s="48">
        <f t="shared" si="55"/>
        <v>170</v>
      </c>
      <c r="AS55" s="43">
        <v>64</v>
      </c>
      <c r="AT55" s="50">
        <v>132</v>
      </c>
      <c r="AU55" s="48">
        <f t="shared" si="56"/>
        <v>196</v>
      </c>
      <c r="AV55" s="43">
        <v>68</v>
      </c>
      <c r="AW55" s="50">
        <v>96</v>
      </c>
      <c r="AX55" s="48">
        <f t="shared" si="57"/>
        <v>164</v>
      </c>
      <c r="AY55" s="43">
        <v>85</v>
      </c>
      <c r="AZ55" s="50">
        <v>71</v>
      </c>
      <c r="BA55" s="48">
        <f t="shared" si="58"/>
        <v>156</v>
      </c>
      <c r="BB55" s="43">
        <v>57</v>
      </c>
      <c r="BC55" s="50">
        <v>63</v>
      </c>
      <c r="BD55" s="48">
        <f t="shared" si="59"/>
        <v>120</v>
      </c>
      <c r="BE55" s="43">
        <v>56</v>
      </c>
      <c r="BF55" s="50">
        <v>72</v>
      </c>
      <c r="BG55" s="48">
        <f t="shared" si="60"/>
        <v>128</v>
      </c>
      <c r="BH55" s="43">
        <v>78</v>
      </c>
      <c r="BI55" s="50">
        <v>79</v>
      </c>
      <c r="BJ55" s="48">
        <f t="shared" si="61"/>
        <v>157</v>
      </c>
    </row>
    <row r="56" spans="1:62" s="38" customFormat="1" ht="15" customHeight="1" x14ac:dyDescent="0.3">
      <c r="A56" s="272"/>
      <c r="B56" s="287" t="s">
        <v>92</v>
      </c>
      <c r="C56" s="288">
        <f>SUM(C50:C55)</f>
        <v>175</v>
      </c>
      <c r="D56" s="289">
        <f t="shared" ref="D56:BD56" si="62">SUM(D50:D55)</f>
        <v>404</v>
      </c>
      <c r="E56" s="203">
        <f t="shared" si="62"/>
        <v>579</v>
      </c>
      <c r="F56" s="288">
        <f t="shared" si="62"/>
        <v>193</v>
      </c>
      <c r="G56" s="289">
        <f t="shared" si="62"/>
        <v>433</v>
      </c>
      <c r="H56" s="203">
        <f t="shared" si="62"/>
        <v>626</v>
      </c>
      <c r="I56" s="288">
        <f t="shared" si="62"/>
        <v>213</v>
      </c>
      <c r="J56" s="289">
        <f t="shared" si="62"/>
        <v>468</v>
      </c>
      <c r="K56" s="203">
        <f t="shared" si="62"/>
        <v>681</v>
      </c>
      <c r="L56" s="288">
        <f t="shared" si="62"/>
        <v>264</v>
      </c>
      <c r="M56" s="289">
        <f t="shared" si="62"/>
        <v>489</v>
      </c>
      <c r="N56" s="203">
        <f t="shared" si="62"/>
        <v>753</v>
      </c>
      <c r="O56" s="288">
        <f t="shared" si="62"/>
        <v>232</v>
      </c>
      <c r="P56" s="289">
        <f t="shared" si="62"/>
        <v>525</v>
      </c>
      <c r="Q56" s="203">
        <f t="shared" si="62"/>
        <v>757</v>
      </c>
      <c r="R56" s="288">
        <f t="shared" si="62"/>
        <v>280</v>
      </c>
      <c r="S56" s="289">
        <f t="shared" si="62"/>
        <v>482</v>
      </c>
      <c r="T56" s="203">
        <f t="shared" si="62"/>
        <v>762</v>
      </c>
      <c r="U56" s="288">
        <f t="shared" si="62"/>
        <v>368</v>
      </c>
      <c r="V56" s="289">
        <f t="shared" si="62"/>
        <v>551</v>
      </c>
      <c r="W56" s="203">
        <f t="shared" si="62"/>
        <v>919</v>
      </c>
      <c r="X56" s="288">
        <f t="shared" si="62"/>
        <v>412</v>
      </c>
      <c r="Y56" s="289">
        <f t="shared" si="62"/>
        <v>546</v>
      </c>
      <c r="Z56" s="203">
        <f t="shared" si="62"/>
        <v>958</v>
      </c>
      <c r="AA56" s="288">
        <f t="shared" si="62"/>
        <v>453</v>
      </c>
      <c r="AB56" s="289">
        <f t="shared" si="62"/>
        <v>553</v>
      </c>
      <c r="AC56" s="203">
        <f t="shared" si="62"/>
        <v>1006</v>
      </c>
      <c r="AD56" s="288">
        <f t="shared" si="62"/>
        <v>467</v>
      </c>
      <c r="AE56" s="289">
        <f t="shared" si="62"/>
        <v>539</v>
      </c>
      <c r="AF56" s="203">
        <f t="shared" si="62"/>
        <v>1006</v>
      </c>
      <c r="AG56" s="288">
        <f t="shared" si="62"/>
        <v>442</v>
      </c>
      <c r="AH56" s="290">
        <f t="shared" si="62"/>
        <v>526</v>
      </c>
      <c r="AI56" s="203">
        <f t="shared" si="62"/>
        <v>968</v>
      </c>
      <c r="AJ56" s="291">
        <f>SUM(AJ50:AJ55)</f>
        <v>365</v>
      </c>
      <c r="AK56" s="292">
        <f>SUM(AK50:AK55)</f>
        <v>496</v>
      </c>
      <c r="AL56" s="203">
        <f t="shared" si="62"/>
        <v>861</v>
      </c>
      <c r="AM56" s="291">
        <f t="shared" si="62"/>
        <v>337</v>
      </c>
      <c r="AN56" s="292">
        <f t="shared" si="62"/>
        <v>468</v>
      </c>
      <c r="AO56" s="203">
        <f t="shared" si="62"/>
        <v>805</v>
      </c>
      <c r="AP56" s="291">
        <f t="shared" si="62"/>
        <v>317</v>
      </c>
      <c r="AQ56" s="292">
        <f t="shared" si="62"/>
        <v>487</v>
      </c>
      <c r="AR56" s="203">
        <f t="shared" si="62"/>
        <v>804</v>
      </c>
      <c r="AS56" s="291">
        <f t="shared" si="62"/>
        <v>316</v>
      </c>
      <c r="AT56" s="292">
        <f t="shared" si="62"/>
        <v>494</v>
      </c>
      <c r="AU56" s="203">
        <f t="shared" si="62"/>
        <v>810</v>
      </c>
      <c r="AV56" s="291">
        <f t="shared" si="62"/>
        <v>259</v>
      </c>
      <c r="AW56" s="292">
        <f t="shared" si="62"/>
        <v>382</v>
      </c>
      <c r="AX56" s="203">
        <f t="shared" si="62"/>
        <v>641</v>
      </c>
      <c r="AY56" s="291">
        <f t="shared" si="62"/>
        <v>303</v>
      </c>
      <c r="AZ56" s="292">
        <f t="shared" si="62"/>
        <v>331</v>
      </c>
      <c r="BA56" s="203">
        <f t="shared" si="62"/>
        <v>634</v>
      </c>
      <c r="BB56" s="291">
        <f t="shared" si="62"/>
        <v>332</v>
      </c>
      <c r="BC56" s="292">
        <f t="shared" si="62"/>
        <v>282</v>
      </c>
      <c r="BD56" s="203">
        <f t="shared" si="62"/>
        <v>614</v>
      </c>
      <c r="BE56" s="291">
        <f t="shared" ref="BE56:BG56" si="63">SUM(BE50:BE55)</f>
        <v>323</v>
      </c>
      <c r="BF56" s="292">
        <f t="shared" si="63"/>
        <v>299</v>
      </c>
      <c r="BG56" s="203">
        <f t="shared" si="63"/>
        <v>622</v>
      </c>
      <c r="BH56" s="291">
        <f t="shared" ref="BH56:BJ56" si="64">SUM(BH50:BH55)</f>
        <v>334</v>
      </c>
      <c r="BI56" s="292">
        <f t="shared" si="64"/>
        <v>304</v>
      </c>
      <c r="BJ56" s="203">
        <f t="shared" si="64"/>
        <v>638</v>
      </c>
    </row>
    <row r="57" spans="1:62" s="38" customFormat="1" ht="15" customHeight="1" x14ac:dyDescent="0.3">
      <c r="A57" s="272"/>
      <c r="B57" s="84" t="s">
        <v>93</v>
      </c>
      <c r="C57" s="85">
        <f>SUM(C37,C49,C56)</f>
        <v>672</v>
      </c>
      <c r="D57" s="86">
        <f t="shared" ref="D57:BD57" si="65">SUM(D37,D49,D56)</f>
        <v>1822</v>
      </c>
      <c r="E57" s="87">
        <f t="shared" si="65"/>
        <v>2494</v>
      </c>
      <c r="F57" s="85">
        <f t="shared" si="65"/>
        <v>702</v>
      </c>
      <c r="G57" s="86">
        <f t="shared" si="65"/>
        <v>1970</v>
      </c>
      <c r="H57" s="87">
        <f t="shared" si="65"/>
        <v>2672</v>
      </c>
      <c r="I57" s="85">
        <f t="shared" si="65"/>
        <v>709</v>
      </c>
      <c r="J57" s="86">
        <f t="shared" si="65"/>
        <v>2219</v>
      </c>
      <c r="K57" s="87">
        <f t="shared" si="65"/>
        <v>2928</v>
      </c>
      <c r="L57" s="85">
        <f t="shared" si="65"/>
        <v>867</v>
      </c>
      <c r="M57" s="86">
        <f t="shared" si="65"/>
        <v>2216</v>
      </c>
      <c r="N57" s="87">
        <f t="shared" si="65"/>
        <v>3083</v>
      </c>
      <c r="O57" s="85">
        <f t="shared" si="65"/>
        <v>767</v>
      </c>
      <c r="P57" s="86">
        <f t="shared" si="65"/>
        <v>2326</v>
      </c>
      <c r="Q57" s="87">
        <f t="shared" si="65"/>
        <v>3093</v>
      </c>
      <c r="R57" s="85">
        <f t="shared" si="65"/>
        <v>797</v>
      </c>
      <c r="S57" s="86">
        <f t="shared" si="65"/>
        <v>2170</v>
      </c>
      <c r="T57" s="87">
        <f t="shared" si="65"/>
        <v>2967</v>
      </c>
      <c r="U57" s="85">
        <f t="shared" si="65"/>
        <v>825</v>
      </c>
      <c r="V57" s="86">
        <f t="shared" si="65"/>
        <v>2341</v>
      </c>
      <c r="W57" s="87">
        <f t="shared" si="65"/>
        <v>3166</v>
      </c>
      <c r="X57" s="85">
        <f t="shared" si="65"/>
        <v>731</v>
      </c>
      <c r="Y57" s="86">
        <f t="shared" si="65"/>
        <v>2651</v>
      </c>
      <c r="Z57" s="87">
        <f t="shared" si="65"/>
        <v>3382</v>
      </c>
      <c r="AA57" s="85">
        <f t="shared" si="65"/>
        <v>854</v>
      </c>
      <c r="AB57" s="86">
        <f t="shared" si="65"/>
        <v>2625</v>
      </c>
      <c r="AC57" s="87">
        <f t="shared" si="65"/>
        <v>3479</v>
      </c>
      <c r="AD57" s="85">
        <f t="shared" si="65"/>
        <v>875</v>
      </c>
      <c r="AE57" s="86">
        <f t="shared" si="65"/>
        <v>2635</v>
      </c>
      <c r="AF57" s="87">
        <f t="shared" si="65"/>
        <v>3510</v>
      </c>
      <c r="AG57" s="85">
        <f t="shared" si="65"/>
        <v>872</v>
      </c>
      <c r="AH57" s="86">
        <f t="shared" si="65"/>
        <v>2698</v>
      </c>
      <c r="AI57" s="87">
        <f t="shared" si="65"/>
        <v>3570</v>
      </c>
      <c r="AJ57" s="85">
        <f t="shared" si="65"/>
        <v>738</v>
      </c>
      <c r="AK57" s="86">
        <f t="shared" si="65"/>
        <v>2490</v>
      </c>
      <c r="AL57" s="87">
        <f t="shared" si="65"/>
        <v>3228</v>
      </c>
      <c r="AM57" s="85">
        <f t="shared" si="65"/>
        <v>685</v>
      </c>
      <c r="AN57" s="86">
        <f t="shared" si="65"/>
        <v>2404</v>
      </c>
      <c r="AO57" s="87">
        <f t="shared" si="65"/>
        <v>3089</v>
      </c>
      <c r="AP57" s="85">
        <f t="shared" si="65"/>
        <v>635</v>
      </c>
      <c r="AQ57" s="86">
        <f t="shared" si="65"/>
        <v>2613</v>
      </c>
      <c r="AR57" s="87">
        <f t="shared" si="65"/>
        <v>3248</v>
      </c>
      <c r="AS57" s="85">
        <f t="shared" si="65"/>
        <v>478</v>
      </c>
      <c r="AT57" s="86">
        <f t="shared" si="65"/>
        <v>2603</v>
      </c>
      <c r="AU57" s="87">
        <f t="shared" si="65"/>
        <v>3081</v>
      </c>
      <c r="AV57" s="85">
        <f t="shared" si="65"/>
        <v>426</v>
      </c>
      <c r="AW57" s="86">
        <f t="shared" si="65"/>
        <v>2578</v>
      </c>
      <c r="AX57" s="87">
        <f t="shared" si="65"/>
        <v>3004</v>
      </c>
      <c r="AY57" s="85">
        <f t="shared" si="65"/>
        <v>491</v>
      </c>
      <c r="AZ57" s="86">
        <f t="shared" si="65"/>
        <v>2366</v>
      </c>
      <c r="BA57" s="87">
        <f t="shared" si="65"/>
        <v>2857</v>
      </c>
      <c r="BB57" s="85">
        <f t="shared" si="65"/>
        <v>487</v>
      </c>
      <c r="BC57" s="86">
        <f t="shared" si="65"/>
        <v>2088</v>
      </c>
      <c r="BD57" s="87">
        <f t="shared" si="65"/>
        <v>2575</v>
      </c>
      <c r="BE57" s="85">
        <f t="shared" ref="BE57:BG57" si="66">SUM(BE37,BE49,BE56)</f>
        <v>490</v>
      </c>
      <c r="BF57" s="86">
        <f t="shared" si="66"/>
        <v>1949</v>
      </c>
      <c r="BG57" s="87">
        <f t="shared" si="66"/>
        <v>2439</v>
      </c>
      <c r="BH57" s="85">
        <f t="shared" ref="BH57:BJ57" si="67">SUM(BH37,BH49,BH56)</f>
        <v>507</v>
      </c>
      <c r="BI57" s="86">
        <f t="shared" si="67"/>
        <v>2154</v>
      </c>
      <c r="BJ57" s="87">
        <f t="shared" si="67"/>
        <v>2661</v>
      </c>
    </row>
    <row r="58" spans="1:62" s="38" customFormat="1" ht="15" customHeight="1" x14ac:dyDescent="0.3">
      <c r="A58" s="272"/>
      <c r="B58" s="39" t="s">
        <v>60</v>
      </c>
      <c r="C58" s="280">
        <v>99</v>
      </c>
      <c r="D58" s="281">
        <v>130</v>
      </c>
      <c r="E58" s="42">
        <v>229</v>
      </c>
      <c r="F58" s="280">
        <v>124</v>
      </c>
      <c r="G58" s="281">
        <v>117</v>
      </c>
      <c r="H58" s="42">
        <v>241</v>
      </c>
      <c r="I58" s="40">
        <v>136</v>
      </c>
      <c r="J58" s="41">
        <v>138</v>
      </c>
      <c r="K58" s="42">
        <v>274</v>
      </c>
      <c r="L58" s="40">
        <v>97</v>
      </c>
      <c r="M58" s="41">
        <v>148</v>
      </c>
      <c r="N58" s="42">
        <v>245</v>
      </c>
      <c r="O58" s="40">
        <v>154</v>
      </c>
      <c r="P58" s="41">
        <v>143</v>
      </c>
      <c r="Q58" s="42">
        <v>297</v>
      </c>
      <c r="R58" s="40">
        <v>120</v>
      </c>
      <c r="S58" s="41">
        <v>129</v>
      </c>
      <c r="T58" s="42">
        <v>249</v>
      </c>
      <c r="U58" s="40">
        <v>112</v>
      </c>
      <c r="V58" s="41">
        <v>152</v>
      </c>
      <c r="W58" s="42">
        <v>264</v>
      </c>
      <c r="X58" s="40">
        <v>113</v>
      </c>
      <c r="Y58" s="41">
        <v>161</v>
      </c>
      <c r="Z58" s="42">
        <f t="shared" si="0"/>
        <v>274</v>
      </c>
      <c r="AA58" s="40">
        <v>129</v>
      </c>
      <c r="AB58" s="41">
        <v>161</v>
      </c>
      <c r="AC58" s="42">
        <f t="shared" si="1"/>
        <v>290</v>
      </c>
      <c r="AD58" s="40">
        <v>136</v>
      </c>
      <c r="AE58" s="41">
        <v>169</v>
      </c>
      <c r="AF58" s="42">
        <f t="shared" si="2"/>
        <v>305</v>
      </c>
      <c r="AG58" s="40">
        <v>125</v>
      </c>
      <c r="AH58" s="41">
        <v>160</v>
      </c>
      <c r="AI58" s="42">
        <f t="shared" ref="AI58:AI63" si="68">SUM(AG58:AH58)</f>
        <v>285</v>
      </c>
      <c r="AJ58" s="40">
        <v>130</v>
      </c>
      <c r="AK58" s="41">
        <v>153</v>
      </c>
      <c r="AL58" s="42">
        <f t="shared" ref="AL58:AL63" si="69">SUM(AJ58:AK58)</f>
        <v>283</v>
      </c>
      <c r="AM58" s="40">
        <v>130</v>
      </c>
      <c r="AN58" s="41">
        <v>140</v>
      </c>
      <c r="AO58" s="42">
        <f t="shared" ref="AO58:AO63" si="70">SUM(AM58:AN58)</f>
        <v>270</v>
      </c>
      <c r="AP58" s="40">
        <v>121</v>
      </c>
      <c r="AQ58" s="41">
        <v>167</v>
      </c>
      <c r="AR58" s="42">
        <f t="shared" ref="AR58:AR63" si="71">SUM(AP58:AQ58)</f>
        <v>288</v>
      </c>
      <c r="AS58" s="40">
        <v>132</v>
      </c>
      <c r="AT58" s="41">
        <v>141</v>
      </c>
      <c r="AU58" s="42">
        <f t="shared" ref="AU58:AU63" si="72">SUM(AS58:AT58)</f>
        <v>273</v>
      </c>
      <c r="AV58" s="40">
        <v>131</v>
      </c>
      <c r="AW58" s="41">
        <v>147</v>
      </c>
      <c r="AX58" s="42">
        <f t="shared" ref="AX58:AX63" si="73">SUM(AV58:AW58)</f>
        <v>278</v>
      </c>
      <c r="AY58" s="40">
        <v>146</v>
      </c>
      <c r="AZ58" s="41">
        <v>132</v>
      </c>
      <c r="BA58" s="42">
        <f t="shared" ref="BA58:BA63" si="74">SUM(AY58:AZ58)</f>
        <v>278</v>
      </c>
      <c r="BB58" s="40">
        <v>115</v>
      </c>
      <c r="BC58" s="41">
        <v>124</v>
      </c>
      <c r="BD58" s="42">
        <f t="shared" ref="BD58:BD63" si="75">SUM(BB58:BC58)</f>
        <v>239</v>
      </c>
      <c r="BE58" s="40">
        <v>112</v>
      </c>
      <c r="BF58" s="41">
        <v>127</v>
      </c>
      <c r="BG58" s="42">
        <f t="shared" ref="BG58:BG63" si="76">SUM(BE58:BF58)</f>
        <v>239</v>
      </c>
      <c r="BH58" s="40">
        <v>120</v>
      </c>
      <c r="BI58" s="41">
        <v>146</v>
      </c>
      <c r="BJ58" s="42">
        <f t="shared" ref="BJ58:BJ63" si="77">SUM(BH58:BI58)</f>
        <v>266</v>
      </c>
    </row>
    <row r="59" spans="1:62" s="38" customFormat="1" ht="15" customHeight="1" x14ac:dyDescent="0.3">
      <c r="A59" s="272"/>
      <c r="B59" s="39" t="s">
        <v>94</v>
      </c>
      <c r="C59" s="280">
        <v>120</v>
      </c>
      <c r="D59" s="281">
        <v>141</v>
      </c>
      <c r="E59" s="42">
        <v>261</v>
      </c>
      <c r="F59" s="280">
        <v>162</v>
      </c>
      <c r="G59" s="281">
        <v>140</v>
      </c>
      <c r="H59" s="42">
        <v>302</v>
      </c>
      <c r="I59" s="40">
        <v>148</v>
      </c>
      <c r="J59" s="41">
        <v>172</v>
      </c>
      <c r="K59" s="42">
        <v>320</v>
      </c>
      <c r="L59" s="40">
        <v>116</v>
      </c>
      <c r="M59" s="41">
        <v>159</v>
      </c>
      <c r="N59" s="42">
        <v>275</v>
      </c>
      <c r="O59" s="40">
        <v>130</v>
      </c>
      <c r="P59" s="41">
        <v>158</v>
      </c>
      <c r="Q59" s="42">
        <v>288</v>
      </c>
      <c r="R59" s="40">
        <v>123</v>
      </c>
      <c r="S59" s="41">
        <v>130</v>
      </c>
      <c r="T59" s="42">
        <v>253</v>
      </c>
      <c r="U59" s="40">
        <v>122</v>
      </c>
      <c r="V59" s="41">
        <v>128</v>
      </c>
      <c r="W59" s="42">
        <v>250</v>
      </c>
      <c r="X59" s="40">
        <v>128</v>
      </c>
      <c r="Y59" s="41">
        <v>146</v>
      </c>
      <c r="Z59" s="42">
        <f t="shared" si="0"/>
        <v>274</v>
      </c>
      <c r="AA59" s="40">
        <v>123</v>
      </c>
      <c r="AB59" s="41">
        <v>134</v>
      </c>
      <c r="AC59" s="42">
        <f t="shared" si="1"/>
        <v>257</v>
      </c>
      <c r="AD59" s="40">
        <v>130</v>
      </c>
      <c r="AE59" s="41">
        <v>139</v>
      </c>
      <c r="AF59" s="42">
        <f t="shared" si="2"/>
        <v>269</v>
      </c>
      <c r="AG59" s="40">
        <v>121</v>
      </c>
      <c r="AH59" s="41">
        <v>134</v>
      </c>
      <c r="AI59" s="42">
        <f t="shared" si="68"/>
        <v>255</v>
      </c>
      <c r="AJ59" s="40">
        <v>124</v>
      </c>
      <c r="AK59" s="41">
        <v>132</v>
      </c>
      <c r="AL59" s="42">
        <f t="shared" si="69"/>
        <v>256</v>
      </c>
      <c r="AM59" s="40">
        <v>126</v>
      </c>
      <c r="AN59" s="41">
        <v>139</v>
      </c>
      <c r="AO59" s="42">
        <f t="shared" si="70"/>
        <v>265</v>
      </c>
      <c r="AP59" s="40">
        <v>121</v>
      </c>
      <c r="AQ59" s="41">
        <v>160</v>
      </c>
      <c r="AR59" s="42">
        <f t="shared" si="71"/>
        <v>281</v>
      </c>
      <c r="AS59" s="40">
        <v>126</v>
      </c>
      <c r="AT59" s="41">
        <v>150</v>
      </c>
      <c r="AU59" s="42">
        <f t="shared" si="72"/>
        <v>276</v>
      </c>
      <c r="AV59" s="40">
        <v>136</v>
      </c>
      <c r="AW59" s="41">
        <v>140</v>
      </c>
      <c r="AX59" s="42">
        <f t="shared" si="73"/>
        <v>276</v>
      </c>
      <c r="AY59" s="40">
        <v>134</v>
      </c>
      <c r="AZ59" s="41">
        <v>136</v>
      </c>
      <c r="BA59" s="42">
        <f t="shared" si="74"/>
        <v>270</v>
      </c>
      <c r="BB59" s="40">
        <v>124</v>
      </c>
      <c r="BC59" s="41">
        <v>126</v>
      </c>
      <c r="BD59" s="42">
        <f t="shared" si="75"/>
        <v>250</v>
      </c>
      <c r="BE59" s="40">
        <v>115</v>
      </c>
      <c r="BF59" s="41">
        <v>119</v>
      </c>
      <c r="BG59" s="42">
        <f t="shared" si="76"/>
        <v>234</v>
      </c>
      <c r="BH59" s="40">
        <v>127</v>
      </c>
      <c r="BI59" s="41">
        <v>117</v>
      </c>
      <c r="BJ59" s="42">
        <f t="shared" si="77"/>
        <v>244</v>
      </c>
    </row>
    <row r="60" spans="1:62" s="38" customFormat="1" ht="15" customHeight="1" x14ac:dyDescent="0.3">
      <c r="A60" s="272"/>
      <c r="B60" s="39" t="s">
        <v>62</v>
      </c>
      <c r="C60" s="280">
        <v>97</v>
      </c>
      <c r="D60" s="281">
        <v>119</v>
      </c>
      <c r="E60" s="42">
        <v>216</v>
      </c>
      <c r="F60" s="280">
        <v>125</v>
      </c>
      <c r="G60" s="281">
        <v>119</v>
      </c>
      <c r="H60" s="42">
        <v>244</v>
      </c>
      <c r="I60" s="40">
        <v>121</v>
      </c>
      <c r="J60" s="41">
        <v>148</v>
      </c>
      <c r="K60" s="42">
        <v>269</v>
      </c>
      <c r="L60" s="40">
        <v>105</v>
      </c>
      <c r="M60" s="41">
        <v>157</v>
      </c>
      <c r="N60" s="42">
        <v>262</v>
      </c>
      <c r="O60" s="40">
        <v>118</v>
      </c>
      <c r="P60" s="41">
        <v>156</v>
      </c>
      <c r="Q60" s="42">
        <v>274</v>
      </c>
      <c r="R60" s="40">
        <v>116</v>
      </c>
      <c r="S60" s="41">
        <v>127</v>
      </c>
      <c r="T60" s="42">
        <v>243</v>
      </c>
      <c r="U60" s="40">
        <v>108</v>
      </c>
      <c r="V60" s="41">
        <v>135</v>
      </c>
      <c r="W60" s="42">
        <v>243</v>
      </c>
      <c r="X60" s="40">
        <v>117</v>
      </c>
      <c r="Y60" s="41">
        <v>151</v>
      </c>
      <c r="Z60" s="42">
        <f t="shared" si="0"/>
        <v>268</v>
      </c>
      <c r="AA60" s="40">
        <v>121</v>
      </c>
      <c r="AB60" s="41">
        <v>147</v>
      </c>
      <c r="AC60" s="42">
        <f t="shared" si="1"/>
        <v>268</v>
      </c>
      <c r="AD60" s="40">
        <v>127</v>
      </c>
      <c r="AE60" s="41">
        <v>151</v>
      </c>
      <c r="AF60" s="42">
        <f t="shared" si="2"/>
        <v>278</v>
      </c>
      <c r="AG60" s="40">
        <v>115</v>
      </c>
      <c r="AH60" s="41">
        <v>154</v>
      </c>
      <c r="AI60" s="42">
        <f t="shared" si="68"/>
        <v>269</v>
      </c>
      <c r="AJ60" s="40">
        <v>118</v>
      </c>
      <c r="AK60" s="41">
        <v>137</v>
      </c>
      <c r="AL60" s="42">
        <f t="shared" si="69"/>
        <v>255</v>
      </c>
      <c r="AM60" s="40">
        <v>132</v>
      </c>
      <c r="AN60" s="41">
        <v>159</v>
      </c>
      <c r="AO60" s="42">
        <f t="shared" si="70"/>
        <v>291</v>
      </c>
      <c r="AP60" s="40">
        <v>122</v>
      </c>
      <c r="AQ60" s="41">
        <v>168</v>
      </c>
      <c r="AR60" s="42">
        <f t="shared" si="71"/>
        <v>290</v>
      </c>
      <c r="AS60" s="40">
        <v>137</v>
      </c>
      <c r="AT60" s="41">
        <v>150</v>
      </c>
      <c r="AU60" s="42">
        <f t="shared" si="72"/>
        <v>287</v>
      </c>
      <c r="AV60" s="40">
        <v>129</v>
      </c>
      <c r="AW60" s="41">
        <v>151</v>
      </c>
      <c r="AX60" s="42">
        <f t="shared" si="73"/>
        <v>280</v>
      </c>
      <c r="AY60" s="40">
        <v>157</v>
      </c>
      <c r="AZ60" s="41">
        <v>142</v>
      </c>
      <c r="BA60" s="42">
        <f t="shared" si="74"/>
        <v>299</v>
      </c>
      <c r="BB60" s="40">
        <v>115</v>
      </c>
      <c r="BC60" s="41">
        <v>134</v>
      </c>
      <c r="BD60" s="42">
        <f t="shared" si="75"/>
        <v>249</v>
      </c>
      <c r="BE60" s="40">
        <v>115</v>
      </c>
      <c r="BF60" s="41">
        <v>126</v>
      </c>
      <c r="BG60" s="42">
        <f t="shared" si="76"/>
        <v>241</v>
      </c>
      <c r="BH60" s="40">
        <v>118</v>
      </c>
      <c r="BI60" s="41">
        <v>148</v>
      </c>
      <c r="BJ60" s="42">
        <f t="shared" si="77"/>
        <v>266</v>
      </c>
    </row>
    <row r="61" spans="1:62" s="38" customFormat="1" ht="15" customHeight="1" x14ac:dyDescent="0.3">
      <c r="A61" s="272"/>
      <c r="B61" s="39" t="s">
        <v>95</v>
      </c>
      <c r="C61" s="280">
        <v>220</v>
      </c>
      <c r="D61" s="281">
        <v>240</v>
      </c>
      <c r="E61" s="42">
        <v>460</v>
      </c>
      <c r="F61" s="280">
        <v>279</v>
      </c>
      <c r="G61" s="281">
        <v>266</v>
      </c>
      <c r="H61" s="42">
        <v>545</v>
      </c>
      <c r="I61" s="40">
        <v>291</v>
      </c>
      <c r="J61" s="41">
        <v>323</v>
      </c>
      <c r="K61" s="42">
        <v>614</v>
      </c>
      <c r="L61" s="40">
        <v>210</v>
      </c>
      <c r="M61" s="41">
        <v>251</v>
      </c>
      <c r="N61" s="42">
        <v>461</v>
      </c>
      <c r="O61" s="40">
        <v>214</v>
      </c>
      <c r="P61" s="41">
        <v>268</v>
      </c>
      <c r="Q61" s="42">
        <v>482</v>
      </c>
      <c r="R61" s="40">
        <v>219</v>
      </c>
      <c r="S61" s="41">
        <v>237</v>
      </c>
      <c r="T61" s="42">
        <v>456</v>
      </c>
      <c r="U61" s="40">
        <v>218</v>
      </c>
      <c r="V61" s="41">
        <v>261</v>
      </c>
      <c r="W61" s="42">
        <v>479</v>
      </c>
      <c r="X61" s="40">
        <v>220</v>
      </c>
      <c r="Y61" s="41">
        <v>247</v>
      </c>
      <c r="Z61" s="42">
        <f t="shared" si="0"/>
        <v>467</v>
      </c>
      <c r="AA61" s="40">
        <v>223</v>
      </c>
      <c r="AB61" s="41">
        <v>236</v>
      </c>
      <c r="AC61" s="42">
        <f t="shared" si="1"/>
        <v>459</v>
      </c>
      <c r="AD61" s="40">
        <v>223</v>
      </c>
      <c r="AE61" s="41">
        <v>240</v>
      </c>
      <c r="AF61" s="42">
        <f t="shared" si="2"/>
        <v>463</v>
      </c>
      <c r="AG61" s="40">
        <v>193</v>
      </c>
      <c r="AH61" s="41">
        <v>215</v>
      </c>
      <c r="AI61" s="42">
        <f t="shared" si="68"/>
        <v>408</v>
      </c>
      <c r="AJ61" s="40">
        <v>187</v>
      </c>
      <c r="AK61" s="41">
        <v>224</v>
      </c>
      <c r="AL61" s="42">
        <f t="shared" si="69"/>
        <v>411</v>
      </c>
      <c r="AM61" s="40">
        <v>202</v>
      </c>
      <c r="AN61" s="41">
        <v>193</v>
      </c>
      <c r="AO61" s="42">
        <f t="shared" si="70"/>
        <v>395</v>
      </c>
      <c r="AP61" s="40">
        <v>205</v>
      </c>
      <c r="AQ61" s="41">
        <v>245</v>
      </c>
      <c r="AR61" s="42">
        <f t="shared" si="71"/>
        <v>450</v>
      </c>
      <c r="AS61" s="40">
        <v>208</v>
      </c>
      <c r="AT61" s="41">
        <v>222</v>
      </c>
      <c r="AU61" s="42">
        <f t="shared" si="72"/>
        <v>430</v>
      </c>
      <c r="AV61" s="40">
        <v>200</v>
      </c>
      <c r="AW61" s="41">
        <v>219</v>
      </c>
      <c r="AX61" s="42">
        <f t="shared" si="73"/>
        <v>419</v>
      </c>
      <c r="AY61" s="40">
        <v>208</v>
      </c>
      <c r="AZ61" s="41">
        <v>205</v>
      </c>
      <c r="BA61" s="42">
        <f t="shared" si="74"/>
        <v>413</v>
      </c>
      <c r="BB61" s="40">
        <v>188</v>
      </c>
      <c r="BC61" s="41">
        <v>188</v>
      </c>
      <c r="BD61" s="42">
        <f t="shared" si="75"/>
        <v>376</v>
      </c>
      <c r="BE61" s="40">
        <v>178</v>
      </c>
      <c r="BF61" s="41">
        <v>189</v>
      </c>
      <c r="BG61" s="42">
        <f t="shared" si="76"/>
        <v>367</v>
      </c>
      <c r="BH61" s="40">
        <v>181</v>
      </c>
      <c r="BI61" s="41">
        <v>204</v>
      </c>
      <c r="BJ61" s="42">
        <f t="shared" si="77"/>
        <v>385</v>
      </c>
    </row>
    <row r="62" spans="1:62" s="38" customFormat="1" ht="15" customHeight="1" x14ac:dyDescent="0.3">
      <c r="A62" s="272"/>
      <c r="B62" s="39" t="s">
        <v>63</v>
      </c>
      <c r="C62" s="280">
        <v>117</v>
      </c>
      <c r="D62" s="281">
        <v>161</v>
      </c>
      <c r="E62" s="42">
        <v>278</v>
      </c>
      <c r="F62" s="280">
        <v>144</v>
      </c>
      <c r="G62" s="281">
        <v>135</v>
      </c>
      <c r="H62" s="42">
        <v>279</v>
      </c>
      <c r="I62" s="40">
        <v>112</v>
      </c>
      <c r="J62" s="41">
        <v>133</v>
      </c>
      <c r="K62" s="42">
        <v>245</v>
      </c>
      <c r="L62" s="40">
        <v>119</v>
      </c>
      <c r="M62" s="41">
        <v>144</v>
      </c>
      <c r="N62" s="42">
        <v>263</v>
      </c>
      <c r="O62" s="40">
        <v>122</v>
      </c>
      <c r="P62" s="41">
        <v>138</v>
      </c>
      <c r="Q62" s="42">
        <v>260</v>
      </c>
      <c r="R62" s="40">
        <v>116</v>
      </c>
      <c r="S62" s="41">
        <v>116</v>
      </c>
      <c r="T62" s="42">
        <v>232</v>
      </c>
      <c r="U62" s="40">
        <v>109</v>
      </c>
      <c r="V62" s="41">
        <v>118</v>
      </c>
      <c r="W62" s="42">
        <v>227</v>
      </c>
      <c r="X62" s="40">
        <v>110</v>
      </c>
      <c r="Y62" s="41">
        <v>130</v>
      </c>
      <c r="Z62" s="42">
        <f t="shared" si="0"/>
        <v>240</v>
      </c>
      <c r="AA62" s="40">
        <v>111</v>
      </c>
      <c r="AB62" s="41">
        <v>131</v>
      </c>
      <c r="AC62" s="42">
        <f t="shared" si="1"/>
        <v>242</v>
      </c>
      <c r="AD62" s="40">
        <v>119</v>
      </c>
      <c r="AE62" s="41">
        <v>131</v>
      </c>
      <c r="AF62" s="42">
        <f t="shared" si="2"/>
        <v>250</v>
      </c>
      <c r="AG62" s="40">
        <v>106</v>
      </c>
      <c r="AH62" s="41">
        <v>132</v>
      </c>
      <c r="AI62" s="42">
        <f t="shared" si="68"/>
        <v>238</v>
      </c>
      <c r="AJ62" s="40">
        <v>112</v>
      </c>
      <c r="AK62" s="41">
        <v>117</v>
      </c>
      <c r="AL62" s="42">
        <f t="shared" si="69"/>
        <v>229</v>
      </c>
      <c r="AM62" s="40">
        <v>117</v>
      </c>
      <c r="AN62" s="41">
        <v>126</v>
      </c>
      <c r="AO62" s="42">
        <f t="shared" si="70"/>
        <v>243</v>
      </c>
      <c r="AP62" s="40">
        <v>112</v>
      </c>
      <c r="AQ62" s="41">
        <v>137</v>
      </c>
      <c r="AR62" s="42">
        <f t="shared" si="71"/>
        <v>249</v>
      </c>
      <c r="AS62" s="40">
        <v>120</v>
      </c>
      <c r="AT62" s="41">
        <v>134</v>
      </c>
      <c r="AU62" s="42">
        <f t="shared" si="72"/>
        <v>254</v>
      </c>
      <c r="AV62" s="40">
        <v>122</v>
      </c>
      <c r="AW62" s="41">
        <v>129</v>
      </c>
      <c r="AX62" s="42">
        <f t="shared" si="73"/>
        <v>251</v>
      </c>
      <c r="AY62" s="40">
        <v>145</v>
      </c>
      <c r="AZ62" s="41">
        <v>138</v>
      </c>
      <c r="BA62" s="42">
        <f t="shared" si="74"/>
        <v>283</v>
      </c>
      <c r="BB62" s="40">
        <v>116</v>
      </c>
      <c r="BC62" s="41">
        <v>113</v>
      </c>
      <c r="BD62" s="42">
        <f t="shared" si="75"/>
        <v>229</v>
      </c>
      <c r="BE62" s="40">
        <v>75</v>
      </c>
      <c r="BF62" s="41">
        <v>88</v>
      </c>
      <c r="BG62" s="42">
        <f t="shared" si="76"/>
        <v>163</v>
      </c>
      <c r="BH62" s="40">
        <v>66</v>
      </c>
      <c r="BI62" s="41">
        <v>108</v>
      </c>
      <c r="BJ62" s="42">
        <f t="shared" si="77"/>
        <v>174</v>
      </c>
    </row>
    <row r="63" spans="1:62" s="38" customFormat="1" ht="15" customHeight="1" x14ac:dyDescent="0.3">
      <c r="A63" s="272"/>
      <c r="B63" s="45" t="s">
        <v>96</v>
      </c>
      <c r="C63" s="46">
        <v>36</v>
      </c>
      <c r="D63" s="282">
        <v>53</v>
      </c>
      <c r="E63" s="48">
        <v>89</v>
      </c>
      <c r="F63" s="283">
        <v>54</v>
      </c>
      <c r="G63" s="282">
        <v>46</v>
      </c>
      <c r="H63" s="48">
        <v>100</v>
      </c>
      <c r="I63" s="46">
        <v>49</v>
      </c>
      <c r="J63" s="50">
        <v>46</v>
      </c>
      <c r="K63" s="48">
        <v>95</v>
      </c>
      <c r="L63" s="46">
        <v>38</v>
      </c>
      <c r="M63" s="50">
        <v>67</v>
      </c>
      <c r="N63" s="48">
        <v>105</v>
      </c>
      <c r="O63" s="46">
        <v>47</v>
      </c>
      <c r="P63" s="50">
        <v>68</v>
      </c>
      <c r="Q63" s="48">
        <v>115</v>
      </c>
      <c r="R63" s="46">
        <v>43</v>
      </c>
      <c r="S63" s="50">
        <v>48</v>
      </c>
      <c r="T63" s="48">
        <v>91</v>
      </c>
      <c r="U63" s="46">
        <v>39</v>
      </c>
      <c r="V63" s="50">
        <v>44</v>
      </c>
      <c r="W63" s="48">
        <v>83</v>
      </c>
      <c r="X63" s="46">
        <v>41</v>
      </c>
      <c r="Y63" s="50">
        <v>52</v>
      </c>
      <c r="Z63" s="48">
        <f t="shared" si="0"/>
        <v>93</v>
      </c>
      <c r="AA63" s="51">
        <v>42</v>
      </c>
      <c r="AB63" s="50">
        <v>53</v>
      </c>
      <c r="AC63" s="48">
        <f t="shared" si="1"/>
        <v>95</v>
      </c>
      <c r="AD63" s="51">
        <v>40</v>
      </c>
      <c r="AE63" s="50">
        <v>58</v>
      </c>
      <c r="AF63" s="48">
        <f t="shared" si="2"/>
        <v>98</v>
      </c>
      <c r="AG63" s="51">
        <v>40</v>
      </c>
      <c r="AH63" s="50">
        <v>52</v>
      </c>
      <c r="AI63" s="48">
        <f t="shared" si="68"/>
        <v>92</v>
      </c>
      <c r="AJ63" s="51">
        <v>63</v>
      </c>
      <c r="AK63" s="50">
        <v>75</v>
      </c>
      <c r="AL63" s="48">
        <f t="shared" si="69"/>
        <v>138</v>
      </c>
      <c r="AM63" s="51">
        <v>67</v>
      </c>
      <c r="AN63" s="50">
        <v>75</v>
      </c>
      <c r="AO63" s="48">
        <f t="shared" si="70"/>
        <v>142</v>
      </c>
      <c r="AP63" s="51">
        <v>75</v>
      </c>
      <c r="AQ63" s="50">
        <v>85</v>
      </c>
      <c r="AR63" s="48">
        <f t="shared" si="71"/>
        <v>160</v>
      </c>
      <c r="AS63" s="51">
        <v>67</v>
      </c>
      <c r="AT63" s="50">
        <v>71</v>
      </c>
      <c r="AU63" s="48">
        <f t="shared" si="72"/>
        <v>138</v>
      </c>
      <c r="AV63" s="51">
        <v>65</v>
      </c>
      <c r="AW63" s="50">
        <v>79</v>
      </c>
      <c r="AX63" s="48">
        <f t="shared" si="73"/>
        <v>144</v>
      </c>
      <c r="AY63" s="51">
        <v>74</v>
      </c>
      <c r="AZ63" s="50">
        <v>79</v>
      </c>
      <c r="BA63" s="48">
        <f t="shared" si="74"/>
        <v>153</v>
      </c>
      <c r="BB63" s="51">
        <v>65</v>
      </c>
      <c r="BC63" s="50">
        <v>68</v>
      </c>
      <c r="BD63" s="48">
        <f t="shared" si="75"/>
        <v>133</v>
      </c>
      <c r="BE63" s="51">
        <v>71</v>
      </c>
      <c r="BF63" s="50">
        <v>64</v>
      </c>
      <c r="BG63" s="48">
        <f t="shared" si="76"/>
        <v>135</v>
      </c>
      <c r="BH63" s="51">
        <v>70</v>
      </c>
      <c r="BI63" s="50">
        <v>76</v>
      </c>
      <c r="BJ63" s="48">
        <f t="shared" si="77"/>
        <v>146</v>
      </c>
    </row>
    <row r="64" spans="1:62" s="38" customFormat="1" ht="15" customHeight="1" x14ac:dyDescent="0.3">
      <c r="A64" s="272"/>
      <c r="B64" s="52" t="s">
        <v>64</v>
      </c>
      <c r="C64" s="53">
        <f>SUM(C58:C63)</f>
        <v>689</v>
      </c>
      <c r="D64" s="284">
        <f t="shared" ref="D64:BD64" si="78">SUM(D58:D63)</f>
        <v>844</v>
      </c>
      <c r="E64" s="55">
        <f t="shared" si="78"/>
        <v>1533</v>
      </c>
      <c r="F64" s="53">
        <f t="shared" si="78"/>
        <v>888</v>
      </c>
      <c r="G64" s="284">
        <f t="shared" si="78"/>
        <v>823</v>
      </c>
      <c r="H64" s="55">
        <f t="shared" si="78"/>
        <v>1711</v>
      </c>
      <c r="I64" s="53">
        <f t="shared" si="78"/>
        <v>857</v>
      </c>
      <c r="J64" s="284">
        <f t="shared" si="78"/>
        <v>960</v>
      </c>
      <c r="K64" s="55">
        <f t="shared" si="78"/>
        <v>1817</v>
      </c>
      <c r="L64" s="53">
        <f t="shared" si="78"/>
        <v>685</v>
      </c>
      <c r="M64" s="284">
        <f t="shared" si="78"/>
        <v>926</v>
      </c>
      <c r="N64" s="55">
        <f t="shared" si="78"/>
        <v>1611</v>
      </c>
      <c r="O64" s="53">
        <f t="shared" si="78"/>
        <v>785</v>
      </c>
      <c r="P64" s="284">
        <f t="shared" si="78"/>
        <v>931</v>
      </c>
      <c r="Q64" s="55">
        <f t="shared" si="78"/>
        <v>1716</v>
      </c>
      <c r="R64" s="53">
        <f t="shared" si="78"/>
        <v>737</v>
      </c>
      <c r="S64" s="284">
        <f t="shared" si="78"/>
        <v>787</v>
      </c>
      <c r="T64" s="55">
        <f t="shared" si="78"/>
        <v>1524</v>
      </c>
      <c r="U64" s="53">
        <f t="shared" si="78"/>
        <v>708</v>
      </c>
      <c r="V64" s="284">
        <f t="shared" si="78"/>
        <v>838</v>
      </c>
      <c r="W64" s="55">
        <f t="shared" si="78"/>
        <v>1546</v>
      </c>
      <c r="X64" s="53">
        <f t="shared" si="78"/>
        <v>729</v>
      </c>
      <c r="Y64" s="284">
        <f t="shared" si="78"/>
        <v>887</v>
      </c>
      <c r="Z64" s="55">
        <f t="shared" si="78"/>
        <v>1616</v>
      </c>
      <c r="AA64" s="53">
        <f t="shared" si="78"/>
        <v>749</v>
      </c>
      <c r="AB64" s="284">
        <f t="shared" si="78"/>
        <v>862</v>
      </c>
      <c r="AC64" s="55">
        <f t="shared" si="78"/>
        <v>1611</v>
      </c>
      <c r="AD64" s="53">
        <f t="shared" si="78"/>
        <v>775</v>
      </c>
      <c r="AE64" s="284">
        <f t="shared" si="78"/>
        <v>888</v>
      </c>
      <c r="AF64" s="55">
        <f t="shared" si="78"/>
        <v>1663</v>
      </c>
      <c r="AG64" s="53">
        <f t="shared" si="78"/>
        <v>700</v>
      </c>
      <c r="AH64" s="54">
        <f t="shared" si="78"/>
        <v>847</v>
      </c>
      <c r="AI64" s="55">
        <f t="shared" si="78"/>
        <v>1547</v>
      </c>
      <c r="AJ64" s="56">
        <f>SUM(AJ58:AJ63)</f>
        <v>734</v>
      </c>
      <c r="AK64" s="57">
        <f>SUM(AK58:AK63)</f>
        <v>838</v>
      </c>
      <c r="AL64" s="55">
        <f t="shared" si="78"/>
        <v>1572</v>
      </c>
      <c r="AM64" s="56">
        <f t="shared" si="78"/>
        <v>774</v>
      </c>
      <c r="AN64" s="57">
        <f t="shared" si="78"/>
        <v>832</v>
      </c>
      <c r="AO64" s="55">
        <f t="shared" si="78"/>
        <v>1606</v>
      </c>
      <c r="AP64" s="56">
        <f t="shared" si="78"/>
        <v>756</v>
      </c>
      <c r="AQ64" s="57">
        <f t="shared" si="78"/>
        <v>962</v>
      </c>
      <c r="AR64" s="55">
        <f t="shared" si="78"/>
        <v>1718</v>
      </c>
      <c r="AS64" s="56">
        <f t="shared" si="78"/>
        <v>790</v>
      </c>
      <c r="AT64" s="57">
        <f t="shared" si="78"/>
        <v>868</v>
      </c>
      <c r="AU64" s="55">
        <f t="shared" si="78"/>
        <v>1658</v>
      </c>
      <c r="AV64" s="56">
        <f t="shared" si="78"/>
        <v>783</v>
      </c>
      <c r="AW64" s="57">
        <f t="shared" si="78"/>
        <v>865</v>
      </c>
      <c r="AX64" s="55">
        <f t="shared" si="78"/>
        <v>1648</v>
      </c>
      <c r="AY64" s="56">
        <f t="shared" si="78"/>
        <v>864</v>
      </c>
      <c r="AZ64" s="57">
        <f t="shared" si="78"/>
        <v>832</v>
      </c>
      <c r="BA64" s="55">
        <f t="shared" si="78"/>
        <v>1696</v>
      </c>
      <c r="BB64" s="56">
        <f t="shared" si="78"/>
        <v>723</v>
      </c>
      <c r="BC64" s="57">
        <f t="shared" si="78"/>
        <v>753</v>
      </c>
      <c r="BD64" s="55">
        <f t="shared" si="78"/>
        <v>1476</v>
      </c>
      <c r="BE64" s="56">
        <f>SUM(BE58:BE63)</f>
        <v>666</v>
      </c>
      <c r="BF64" s="57">
        <f>SUM(BF58:BF63)</f>
        <v>713</v>
      </c>
      <c r="BG64" s="55">
        <f t="shared" ref="BG64" si="79">SUM(BG58:BG63)</f>
        <v>1379</v>
      </c>
      <c r="BH64" s="56">
        <f>SUM(BH58:BH63)</f>
        <v>682</v>
      </c>
      <c r="BI64" s="57">
        <f>SUM(BI58:BI63)</f>
        <v>799</v>
      </c>
      <c r="BJ64" s="55">
        <f t="shared" ref="BJ64" si="80">SUM(BJ58:BJ63)</f>
        <v>1481</v>
      </c>
    </row>
    <row r="65" spans="1:62" s="38" customFormat="1" ht="15" customHeight="1" x14ac:dyDescent="0.3">
      <c r="A65" s="272"/>
      <c r="B65" s="58" t="s">
        <v>86</v>
      </c>
      <c r="C65" s="285">
        <v>102</v>
      </c>
      <c r="D65" s="286">
        <v>137</v>
      </c>
      <c r="E65" s="61">
        <v>239</v>
      </c>
      <c r="F65" s="285">
        <v>104</v>
      </c>
      <c r="G65" s="286">
        <v>149</v>
      </c>
      <c r="H65" s="61">
        <v>253</v>
      </c>
      <c r="I65" s="59">
        <v>141</v>
      </c>
      <c r="J65" s="60">
        <v>200</v>
      </c>
      <c r="K65" s="61">
        <v>341</v>
      </c>
      <c r="L65" s="59">
        <v>133</v>
      </c>
      <c r="M65" s="60">
        <v>181</v>
      </c>
      <c r="N65" s="61">
        <v>314</v>
      </c>
      <c r="O65" s="59">
        <v>129</v>
      </c>
      <c r="P65" s="60">
        <v>153</v>
      </c>
      <c r="Q65" s="61">
        <v>282</v>
      </c>
      <c r="R65" s="59">
        <v>122</v>
      </c>
      <c r="S65" s="60">
        <v>124</v>
      </c>
      <c r="T65" s="61">
        <v>246</v>
      </c>
      <c r="U65" s="59">
        <v>111</v>
      </c>
      <c r="V65" s="60">
        <v>138</v>
      </c>
      <c r="W65" s="61">
        <v>249</v>
      </c>
      <c r="X65" s="59">
        <v>111</v>
      </c>
      <c r="Y65" s="60">
        <v>138</v>
      </c>
      <c r="Z65" s="61">
        <f t="shared" si="0"/>
        <v>249</v>
      </c>
      <c r="AA65" s="59">
        <v>115</v>
      </c>
      <c r="AB65" s="60">
        <v>132</v>
      </c>
      <c r="AC65" s="61">
        <f t="shared" si="1"/>
        <v>247</v>
      </c>
      <c r="AD65" s="59">
        <v>119</v>
      </c>
      <c r="AE65" s="60">
        <v>134</v>
      </c>
      <c r="AF65" s="61">
        <f t="shared" si="2"/>
        <v>253</v>
      </c>
      <c r="AG65" s="59">
        <v>113</v>
      </c>
      <c r="AH65" s="60">
        <v>144</v>
      </c>
      <c r="AI65" s="61">
        <f t="shared" ref="AI65:AI72" si="81">SUM(AG65:AH65)</f>
        <v>257</v>
      </c>
      <c r="AJ65" s="62">
        <v>110</v>
      </c>
      <c r="AK65" s="60">
        <v>127</v>
      </c>
      <c r="AL65" s="61">
        <f t="shared" ref="AL65:AL72" si="82">SUM(AJ65:AK65)</f>
        <v>237</v>
      </c>
      <c r="AM65" s="62">
        <v>121</v>
      </c>
      <c r="AN65" s="60">
        <v>134</v>
      </c>
      <c r="AO65" s="61">
        <f t="shared" ref="AO65:AO72" si="83">SUM(AM65:AN65)</f>
        <v>255</v>
      </c>
      <c r="AP65" s="62">
        <v>121</v>
      </c>
      <c r="AQ65" s="60">
        <v>153</v>
      </c>
      <c r="AR65" s="61">
        <f t="shared" ref="AR65:AR72" si="84">SUM(AP65:AQ65)</f>
        <v>274</v>
      </c>
      <c r="AS65" s="62">
        <v>138</v>
      </c>
      <c r="AT65" s="60">
        <v>138</v>
      </c>
      <c r="AU65" s="61">
        <f t="shared" ref="AU65:AU72" si="85">SUM(AS65:AT65)</f>
        <v>276</v>
      </c>
      <c r="AV65" s="62">
        <v>120</v>
      </c>
      <c r="AW65" s="60">
        <v>135</v>
      </c>
      <c r="AX65" s="61">
        <f t="shared" ref="AX65:AX72" si="86">SUM(AV65:AW65)</f>
        <v>255</v>
      </c>
      <c r="AY65" s="62">
        <v>129</v>
      </c>
      <c r="AZ65" s="60">
        <v>125</v>
      </c>
      <c r="BA65" s="61">
        <f t="shared" ref="BA65:BA72" si="87">SUM(AY65:AZ65)</f>
        <v>254</v>
      </c>
      <c r="BB65" s="62">
        <v>108</v>
      </c>
      <c r="BC65" s="60">
        <v>115</v>
      </c>
      <c r="BD65" s="61">
        <f t="shared" ref="BD65:BD72" si="88">SUM(BB65:BC65)</f>
        <v>223</v>
      </c>
      <c r="BE65" s="62">
        <v>110</v>
      </c>
      <c r="BF65" s="60">
        <v>116</v>
      </c>
      <c r="BG65" s="61">
        <f t="shared" ref="BG65:BG72" si="89">SUM(BE65:BF65)</f>
        <v>226</v>
      </c>
      <c r="BH65" s="62">
        <v>110</v>
      </c>
      <c r="BI65" s="60">
        <v>124</v>
      </c>
      <c r="BJ65" s="61">
        <f t="shared" ref="BJ65:BJ72" si="90">SUM(BH65:BI65)</f>
        <v>234</v>
      </c>
    </row>
    <row r="66" spans="1:62" s="38" customFormat="1" ht="15" customHeight="1" x14ac:dyDescent="0.3">
      <c r="A66" s="272"/>
      <c r="B66" s="39" t="s">
        <v>97</v>
      </c>
      <c r="C66" s="280">
        <v>76</v>
      </c>
      <c r="D66" s="281">
        <v>100</v>
      </c>
      <c r="E66" s="42">
        <v>176</v>
      </c>
      <c r="F66" s="280">
        <v>113</v>
      </c>
      <c r="G66" s="281">
        <v>96</v>
      </c>
      <c r="H66" s="42">
        <v>209</v>
      </c>
      <c r="I66" s="40">
        <v>109</v>
      </c>
      <c r="J66" s="41">
        <v>134</v>
      </c>
      <c r="K66" s="42">
        <v>243</v>
      </c>
      <c r="L66" s="40">
        <v>104</v>
      </c>
      <c r="M66" s="41">
        <v>120</v>
      </c>
      <c r="N66" s="42">
        <v>224</v>
      </c>
      <c r="O66" s="40">
        <v>88</v>
      </c>
      <c r="P66" s="41">
        <v>100</v>
      </c>
      <c r="Q66" s="42">
        <v>188</v>
      </c>
      <c r="R66" s="40">
        <v>89</v>
      </c>
      <c r="S66" s="41">
        <v>105</v>
      </c>
      <c r="T66" s="42">
        <v>194</v>
      </c>
      <c r="U66" s="40">
        <v>98</v>
      </c>
      <c r="V66" s="41">
        <v>104</v>
      </c>
      <c r="W66" s="42">
        <v>202</v>
      </c>
      <c r="X66" s="40">
        <v>97</v>
      </c>
      <c r="Y66" s="41">
        <v>109</v>
      </c>
      <c r="Z66" s="42">
        <f t="shared" si="0"/>
        <v>206</v>
      </c>
      <c r="AA66" s="40">
        <v>91</v>
      </c>
      <c r="AB66" s="41">
        <v>113</v>
      </c>
      <c r="AC66" s="42">
        <f t="shared" si="1"/>
        <v>204</v>
      </c>
      <c r="AD66" s="40">
        <v>90</v>
      </c>
      <c r="AE66" s="41">
        <v>100</v>
      </c>
      <c r="AF66" s="42">
        <f t="shared" si="2"/>
        <v>190</v>
      </c>
      <c r="AG66" s="40">
        <v>78</v>
      </c>
      <c r="AH66" s="41">
        <v>104</v>
      </c>
      <c r="AI66" s="42">
        <f t="shared" si="81"/>
        <v>182</v>
      </c>
      <c r="AJ66" s="40">
        <v>77</v>
      </c>
      <c r="AK66" s="41">
        <v>78</v>
      </c>
      <c r="AL66" s="42">
        <f t="shared" si="82"/>
        <v>155</v>
      </c>
      <c r="AM66" s="40">
        <v>83</v>
      </c>
      <c r="AN66" s="41">
        <v>86</v>
      </c>
      <c r="AO66" s="42">
        <f t="shared" si="83"/>
        <v>169</v>
      </c>
      <c r="AP66" s="40">
        <v>96</v>
      </c>
      <c r="AQ66" s="41">
        <v>98</v>
      </c>
      <c r="AR66" s="42">
        <f t="shared" si="84"/>
        <v>194</v>
      </c>
      <c r="AS66" s="40">
        <v>104</v>
      </c>
      <c r="AT66" s="41">
        <v>102</v>
      </c>
      <c r="AU66" s="42">
        <f t="shared" si="85"/>
        <v>206</v>
      </c>
      <c r="AV66" s="40">
        <v>116</v>
      </c>
      <c r="AW66" s="41">
        <v>109</v>
      </c>
      <c r="AX66" s="42">
        <f t="shared" si="86"/>
        <v>225</v>
      </c>
      <c r="AY66" s="40">
        <v>97</v>
      </c>
      <c r="AZ66" s="41">
        <v>80</v>
      </c>
      <c r="BA66" s="42">
        <f t="shared" si="87"/>
        <v>177</v>
      </c>
      <c r="BB66" s="40">
        <v>71</v>
      </c>
      <c r="BC66" s="41">
        <v>72</v>
      </c>
      <c r="BD66" s="42">
        <f t="shared" si="88"/>
        <v>143</v>
      </c>
      <c r="BE66" s="40">
        <v>71</v>
      </c>
      <c r="BF66" s="41">
        <v>77</v>
      </c>
      <c r="BG66" s="42">
        <f t="shared" si="89"/>
        <v>148</v>
      </c>
      <c r="BH66" s="40">
        <v>76</v>
      </c>
      <c r="BI66" s="41">
        <v>82</v>
      </c>
      <c r="BJ66" s="42">
        <f t="shared" si="90"/>
        <v>158</v>
      </c>
    </row>
    <row r="67" spans="1:62" s="38" customFormat="1" ht="15" customHeight="1" x14ac:dyDescent="0.3">
      <c r="A67" s="272"/>
      <c r="B67" s="39" t="s">
        <v>98</v>
      </c>
      <c r="C67" s="280">
        <v>107</v>
      </c>
      <c r="D67" s="281">
        <v>152</v>
      </c>
      <c r="E67" s="42">
        <v>259</v>
      </c>
      <c r="F67" s="280">
        <v>166</v>
      </c>
      <c r="G67" s="281">
        <v>157</v>
      </c>
      <c r="H67" s="42">
        <v>323</v>
      </c>
      <c r="I67" s="40">
        <v>162</v>
      </c>
      <c r="J67" s="41">
        <v>172</v>
      </c>
      <c r="K67" s="42">
        <v>334</v>
      </c>
      <c r="L67" s="40">
        <v>128</v>
      </c>
      <c r="M67" s="41">
        <v>156</v>
      </c>
      <c r="N67" s="42">
        <v>284</v>
      </c>
      <c r="O67" s="40">
        <v>100</v>
      </c>
      <c r="P67" s="41">
        <v>132</v>
      </c>
      <c r="Q67" s="42">
        <v>232</v>
      </c>
      <c r="R67" s="40">
        <v>97</v>
      </c>
      <c r="S67" s="41">
        <v>104</v>
      </c>
      <c r="T67" s="42">
        <v>201</v>
      </c>
      <c r="U67" s="40">
        <v>99</v>
      </c>
      <c r="V67" s="41">
        <v>114</v>
      </c>
      <c r="W67" s="42">
        <v>213</v>
      </c>
      <c r="X67" s="40">
        <v>113</v>
      </c>
      <c r="Y67" s="41">
        <v>128</v>
      </c>
      <c r="Z67" s="42">
        <f t="shared" si="0"/>
        <v>241</v>
      </c>
      <c r="AA67" s="40">
        <v>102</v>
      </c>
      <c r="AB67" s="41">
        <v>113</v>
      </c>
      <c r="AC67" s="42">
        <f t="shared" si="1"/>
        <v>215</v>
      </c>
      <c r="AD67" s="40">
        <v>110</v>
      </c>
      <c r="AE67" s="41">
        <v>129</v>
      </c>
      <c r="AF67" s="42">
        <f t="shared" si="2"/>
        <v>239</v>
      </c>
      <c r="AG67" s="40">
        <v>100</v>
      </c>
      <c r="AH67" s="41">
        <v>123</v>
      </c>
      <c r="AI67" s="42">
        <f t="shared" si="81"/>
        <v>223</v>
      </c>
      <c r="AJ67" s="40">
        <v>102</v>
      </c>
      <c r="AK67" s="41">
        <v>120</v>
      </c>
      <c r="AL67" s="42">
        <f t="shared" si="82"/>
        <v>222</v>
      </c>
      <c r="AM67" s="40">
        <v>118</v>
      </c>
      <c r="AN67" s="41">
        <v>127</v>
      </c>
      <c r="AO67" s="42">
        <f t="shared" si="83"/>
        <v>245</v>
      </c>
      <c r="AP67" s="40">
        <v>122</v>
      </c>
      <c r="AQ67" s="41">
        <v>152</v>
      </c>
      <c r="AR67" s="42">
        <f t="shared" si="84"/>
        <v>274</v>
      </c>
      <c r="AS67" s="40">
        <v>138</v>
      </c>
      <c r="AT67" s="41">
        <v>148</v>
      </c>
      <c r="AU67" s="42">
        <f t="shared" si="85"/>
        <v>286</v>
      </c>
      <c r="AV67" s="40">
        <v>129</v>
      </c>
      <c r="AW67" s="41">
        <v>145</v>
      </c>
      <c r="AX67" s="42">
        <f t="shared" si="86"/>
        <v>274</v>
      </c>
      <c r="AY67" s="40">
        <v>117</v>
      </c>
      <c r="AZ67" s="41">
        <v>110</v>
      </c>
      <c r="BA67" s="42">
        <f t="shared" si="87"/>
        <v>227</v>
      </c>
      <c r="BB67" s="40">
        <v>104</v>
      </c>
      <c r="BC67" s="41">
        <v>110</v>
      </c>
      <c r="BD67" s="42">
        <f t="shared" si="88"/>
        <v>214</v>
      </c>
      <c r="BE67" s="40">
        <v>106</v>
      </c>
      <c r="BF67" s="41">
        <v>115</v>
      </c>
      <c r="BG67" s="42">
        <f t="shared" si="89"/>
        <v>221</v>
      </c>
      <c r="BH67" s="40">
        <v>119</v>
      </c>
      <c r="BI67" s="41">
        <v>123</v>
      </c>
      <c r="BJ67" s="42">
        <f t="shared" si="90"/>
        <v>242</v>
      </c>
    </row>
    <row r="68" spans="1:62" s="38" customFormat="1" ht="15" customHeight="1" x14ac:dyDescent="0.3">
      <c r="A68" s="272"/>
      <c r="B68" s="39" t="s">
        <v>99</v>
      </c>
      <c r="C68" s="280">
        <v>141</v>
      </c>
      <c r="D68" s="281">
        <v>184</v>
      </c>
      <c r="E68" s="42">
        <v>325</v>
      </c>
      <c r="F68" s="280">
        <v>203</v>
      </c>
      <c r="G68" s="281">
        <v>184</v>
      </c>
      <c r="H68" s="42">
        <v>387</v>
      </c>
      <c r="I68" s="40">
        <v>192</v>
      </c>
      <c r="J68" s="41">
        <v>210</v>
      </c>
      <c r="K68" s="42">
        <v>402</v>
      </c>
      <c r="L68" s="40">
        <v>160</v>
      </c>
      <c r="M68" s="41">
        <v>203</v>
      </c>
      <c r="N68" s="42">
        <v>363</v>
      </c>
      <c r="O68" s="40">
        <v>153</v>
      </c>
      <c r="P68" s="41">
        <v>188</v>
      </c>
      <c r="Q68" s="42">
        <v>341</v>
      </c>
      <c r="R68" s="40">
        <v>141</v>
      </c>
      <c r="S68" s="41">
        <v>159</v>
      </c>
      <c r="T68" s="42">
        <v>300</v>
      </c>
      <c r="U68" s="40">
        <v>138</v>
      </c>
      <c r="V68" s="41">
        <v>168</v>
      </c>
      <c r="W68" s="42">
        <v>306</v>
      </c>
      <c r="X68" s="40">
        <v>147</v>
      </c>
      <c r="Y68" s="41">
        <v>199</v>
      </c>
      <c r="Z68" s="42">
        <f t="shared" si="0"/>
        <v>346</v>
      </c>
      <c r="AA68" s="40">
        <v>145</v>
      </c>
      <c r="AB68" s="41">
        <v>185</v>
      </c>
      <c r="AC68" s="42">
        <f t="shared" si="1"/>
        <v>330</v>
      </c>
      <c r="AD68" s="40">
        <v>153</v>
      </c>
      <c r="AE68" s="41">
        <v>177</v>
      </c>
      <c r="AF68" s="42">
        <f t="shared" si="2"/>
        <v>330</v>
      </c>
      <c r="AG68" s="40">
        <v>163</v>
      </c>
      <c r="AH68" s="41">
        <v>205</v>
      </c>
      <c r="AI68" s="42">
        <f t="shared" si="81"/>
        <v>368</v>
      </c>
      <c r="AJ68" s="40">
        <v>162</v>
      </c>
      <c r="AK68" s="41">
        <v>182</v>
      </c>
      <c r="AL68" s="42">
        <f t="shared" si="82"/>
        <v>344</v>
      </c>
      <c r="AM68" s="40">
        <v>176</v>
      </c>
      <c r="AN68" s="41">
        <v>180</v>
      </c>
      <c r="AO68" s="42">
        <f t="shared" si="83"/>
        <v>356</v>
      </c>
      <c r="AP68" s="40">
        <v>171</v>
      </c>
      <c r="AQ68" s="41">
        <v>222</v>
      </c>
      <c r="AR68" s="42">
        <f t="shared" si="84"/>
        <v>393</v>
      </c>
      <c r="AS68" s="40">
        <v>189</v>
      </c>
      <c r="AT68" s="41">
        <v>222</v>
      </c>
      <c r="AU68" s="42">
        <f t="shared" si="85"/>
        <v>411</v>
      </c>
      <c r="AV68" s="40">
        <v>190</v>
      </c>
      <c r="AW68" s="41">
        <v>192</v>
      </c>
      <c r="AX68" s="42">
        <f t="shared" si="86"/>
        <v>382</v>
      </c>
      <c r="AY68" s="40">
        <v>187</v>
      </c>
      <c r="AZ68" s="41">
        <v>178</v>
      </c>
      <c r="BA68" s="42">
        <f t="shared" si="87"/>
        <v>365</v>
      </c>
      <c r="BB68" s="40">
        <v>152</v>
      </c>
      <c r="BC68" s="41">
        <v>160</v>
      </c>
      <c r="BD68" s="42">
        <f t="shared" si="88"/>
        <v>312</v>
      </c>
      <c r="BE68" s="40">
        <v>154</v>
      </c>
      <c r="BF68" s="41">
        <v>174</v>
      </c>
      <c r="BG68" s="42">
        <f t="shared" si="89"/>
        <v>328</v>
      </c>
      <c r="BH68" s="40">
        <v>157</v>
      </c>
      <c r="BI68" s="41">
        <v>183</v>
      </c>
      <c r="BJ68" s="42">
        <f t="shared" si="90"/>
        <v>340</v>
      </c>
    </row>
    <row r="69" spans="1:62" s="38" customFormat="1" ht="15" customHeight="1" x14ac:dyDescent="0.3">
      <c r="A69" s="272"/>
      <c r="B69" s="39" t="s">
        <v>100</v>
      </c>
      <c r="C69" s="280">
        <v>164</v>
      </c>
      <c r="D69" s="281">
        <v>203</v>
      </c>
      <c r="E69" s="42">
        <v>367</v>
      </c>
      <c r="F69" s="280">
        <v>202</v>
      </c>
      <c r="G69" s="281">
        <v>213</v>
      </c>
      <c r="H69" s="42">
        <v>415</v>
      </c>
      <c r="I69" s="40">
        <v>176</v>
      </c>
      <c r="J69" s="41">
        <v>238</v>
      </c>
      <c r="K69" s="42">
        <v>414</v>
      </c>
      <c r="L69" s="40">
        <v>177</v>
      </c>
      <c r="M69" s="41">
        <v>229</v>
      </c>
      <c r="N69" s="42">
        <v>406</v>
      </c>
      <c r="O69" s="40">
        <v>174</v>
      </c>
      <c r="P69" s="41">
        <v>205</v>
      </c>
      <c r="Q69" s="42">
        <v>379</v>
      </c>
      <c r="R69" s="40">
        <v>136</v>
      </c>
      <c r="S69" s="41">
        <v>160</v>
      </c>
      <c r="T69" s="42">
        <v>296</v>
      </c>
      <c r="U69" s="40">
        <v>155</v>
      </c>
      <c r="V69" s="41">
        <v>145</v>
      </c>
      <c r="W69" s="42">
        <v>300</v>
      </c>
      <c r="X69" s="40">
        <v>134</v>
      </c>
      <c r="Y69" s="41">
        <v>182</v>
      </c>
      <c r="Z69" s="42">
        <f t="shared" si="0"/>
        <v>316</v>
      </c>
      <c r="AA69" s="40">
        <v>153</v>
      </c>
      <c r="AB69" s="41">
        <v>162</v>
      </c>
      <c r="AC69" s="42">
        <f t="shared" si="1"/>
        <v>315</v>
      </c>
      <c r="AD69" s="40">
        <v>147</v>
      </c>
      <c r="AE69" s="41">
        <v>172</v>
      </c>
      <c r="AF69" s="42">
        <f t="shared" si="2"/>
        <v>319</v>
      </c>
      <c r="AG69" s="40">
        <v>155</v>
      </c>
      <c r="AH69" s="41">
        <v>184</v>
      </c>
      <c r="AI69" s="42">
        <f t="shared" si="81"/>
        <v>339</v>
      </c>
      <c r="AJ69" s="40">
        <v>144</v>
      </c>
      <c r="AK69" s="41">
        <v>164</v>
      </c>
      <c r="AL69" s="42">
        <f t="shared" si="82"/>
        <v>308</v>
      </c>
      <c r="AM69" s="40">
        <v>148</v>
      </c>
      <c r="AN69" s="41">
        <v>163</v>
      </c>
      <c r="AO69" s="42">
        <f t="shared" si="83"/>
        <v>311</v>
      </c>
      <c r="AP69" s="40">
        <v>152</v>
      </c>
      <c r="AQ69" s="41">
        <v>168</v>
      </c>
      <c r="AR69" s="42">
        <f t="shared" si="84"/>
        <v>320</v>
      </c>
      <c r="AS69" s="40">
        <v>165</v>
      </c>
      <c r="AT69" s="41">
        <v>166</v>
      </c>
      <c r="AU69" s="42">
        <f t="shared" si="85"/>
        <v>331</v>
      </c>
      <c r="AV69" s="40">
        <v>181</v>
      </c>
      <c r="AW69" s="41">
        <v>172</v>
      </c>
      <c r="AX69" s="42">
        <f t="shared" si="86"/>
        <v>353</v>
      </c>
      <c r="AY69" s="40">
        <v>140</v>
      </c>
      <c r="AZ69" s="41">
        <v>146</v>
      </c>
      <c r="BA69" s="42">
        <f t="shared" si="87"/>
        <v>286</v>
      </c>
      <c r="BB69" s="40">
        <v>134</v>
      </c>
      <c r="BC69" s="41">
        <v>141</v>
      </c>
      <c r="BD69" s="42">
        <f t="shared" si="88"/>
        <v>275</v>
      </c>
      <c r="BE69" s="40">
        <v>137</v>
      </c>
      <c r="BF69" s="41">
        <v>144</v>
      </c>
      <c r="BG69" s="42">
        <f t="shared" si="89"/>
        <v>281</v>
      </c>
      <c r="BH69" s="40">
        <v>137</v>
      </c>
      <c r="BI69" s="41">
        <v>148</v>
      </c>
      <c r="BJ69" s="42">
        <f t="shared" si="90"/>
        <v>285</v>
      </c>
    </row>
    <row r="70" spans="1:62" s="38" customFormat="1" ht="15" customHeight="1" x14ac:dyDescent="0.3">
      <c r="A70" s="272"/>
      <c r="B70" s="39" t="s">
        <v>101</v>
      </c>
      <c r="C70" s="280">
        <v>92</v>
      </c>
      <c r="D70" s="281">
        <v>143</v>
      </c>
      <c r="E70" s="42">
        <v>235</v>
      </c>
      <c r="F70" s="280">
        <v>102</v>
      </c>
      <c r="G70" s="281">
        <v>125</v>
      </c>
      <c r="H70" s="42">
        <v>227</v>
      </c>
      <c r="I70" s="40">
        <v>64</v>
      </c>
      <c r="J70" s="41">
        <v>98</v>
      </c>
      <c r="K70" s="42">
        <v>162</v>
      </c>
      <c r="L70" s="40">
        <v>109</v>
      </c>
      <c r="M70" s="41">
        <v>93</v>
      </c>
      <c r="N70" s="42">
        <v>202</v>
      </c>
      <c r="O70" s="40">
        <v>105</v>
      </c>
      <c r="P70" s="41">
        <v>132</v>
      </c>
      <c r="Q70" s="42">
        <v>237</v>
      </c>
      <c r="R70" s="40">
        <v>109</v>
      </c>
      <c r="S70" s="41">
        <v>114</v>
      </c>
      <c r="T70" s="42">
        <v>223</v>
      </c>
      <c r="U70" s="40">
        <v>97</v>
      </c>
      <c r="V70" s="41">
        <v>131</v>
      </c>
      <c r="W70" s="42">
        <v>228</v>
      </c>
      <c r="X70" s="40">
        <v>136</v>
      </c>
      <c r="Y70" s="41">
        <v>166</v>
      </c>
      <c r="Z70" s="42">
        <f t="shared" ref="Z70:Z92" si="91">SUM(X70:Y70)</f>
        <v>302</v>
      </c>
      <c r="AA70" s="40">
        <v>143</v>
      </c>
      <c r="AB70" s="41">
        <v>162</v>
      </c>
      <c r="AC70" s="42">
        <f t="shared" ref="AC70:AC103" si="92">SUM(AA70:AB70)</f>
        <v>305</v>
      </c>
      <c r="AD70" s="40">
        <v>127</v>
      </c>
      <c r="AE70" s="41">
        <v>147</v>
      </c>
      <c r="AF70" s="42">
        <f t="shared" si="2"/>
        <v>274</v>
      </c>
      <c r="AG70" s="40">
        <v>117</v>
      </c>
      <c r="AH70" s="41">
        <v>131</v>
      </c>
      <c r="AI70" s="42">
        <f t="shared" si="81"/>
        <v>248</v>
      </c>
      <c r="AJ70" s="40">
        <v>103</v>
      </c>
      <c r="AK70" s="41">
        <v>118</v>
      </c>
      <c r="AL70" s="42">
        <f t="shared" si="82"/>
        <v>221</v>
      </c>
      <c r="AM70" s="40">
        <v>109</v>
      </c>
      <c r="AN70" s="41">
        <v>118</v>
      </c>
      <c r="AO70" s="42">
        <f t="shared" si="83"/>
        <v>227</v>
      </c>
      <c r="AP70" s="40">
        <v>112</v>
      </c>
      <c r="AQ70" s="41">
        <v>138</v>
      </c>
      <c r="AR70" s="42">
        <f t="shared" si="84"/>
        <v>250</v>
      </c>
      <c r="AS70" s="40">
        <v>120</v>
      </c>
      <c r="AT70" s="41">
        <v>140</v>
      </c>
      <c r="AU70" s="42">
        <f t="shared" si="85"/>
        <v>260</v>
      </c>
      <c r="AV70" s="40">
        <v>113</v>
      </c>
      <c r="AW70" s="41">
        <v>137</v>
      </c>
      <c r="AX70" s="42">
        <f t="shared" si="86"/>
        <v>250</v>
      </c>
      <c r="AY70" s="40">
        <v>128</v>
      </c>
      <c r="AZ70" s="41">
        <v>134</v>
      </c>
      <c r="BA70" s="42">
        <f t="shared" si="87"/>
        <v>262</v>
      </c>
      <c r="BB70" s="40">
        <v>115</v>
      </c>
      <c r="BC70" s="41">
        <v>117</v>
      </c>
      <c r="BD70" s="42">
        <f t="shared" si="88"/>
        <v>232</v>
      </c>
      <c r="BE70" s="40">
        <v>110</v>
      </c>
      <c r="BF70" s="41">
        <v>121</v>
      </c>
      <c r="BG70" s="42">
        <f t="shared" si="89"/>
        <v>231</v>
      </c>
      <c r="BH70" s="40">
        <v>119</v>
      </c>
      <c r="BI70" s="41">
        <v>122</v>
      </c>
      <c r="BJ70" s="42">
        <f t="shared" si="90"/>
        <v>241</v>
      </c>
    </row>
    <row r="71" spans="1:62" s="38" customFormat="1" ht="15" customHeight="1" x14ac:dyDescent="0.3">
      <c r="A71" s="272"/>
      <c r="B71" s="39" t="s">
        <v>102</v>
      </c>
      <c r="C71" s="280">
        <v>117</v>
      </c>
      <c r="D71" s="281">
        <v>148</v>
      </c>
      <c r="E71" s="42">
        <v>265</v>
      </c>
      <c r="F71" s="280">
        <v>160</v>
      </c>
      <c r="G71" s="281">
        <v>130</v>
      </c>
      <c r="H71" s="42">
        <v>290</v>
      </c>
      <c r="I71" s="40">
        <v>153</v>
      </c>
      <c r="J71" s="41">
        <v>177</v>
      </c>
      <c r="K71" s="42">
        <v>330</v>
      </c>
      <c r="L71" s="40">
        <v>147</v>
      </c>
      <c r="M71" s="41">
        <v>194</v>
      </c>
      <c r="N71" s="42">
        <v>341</v>
      </c>
      <c r="O71" s="40">
        <v>115</v>
      </c>
      <c r="P71" s="41">
        <v>156</v>
      </c>
      <c r="Q71" s="42">
        <v>271</v>
      </c>
      <c r="R71" s="40">
        <v>139</v>
      </c>
      <c r="S71" s="41">
        <v>160</v>
      </c>
      <c r="T71" s="42">
        <v>299</v>
      </c>
      <c r="U71" s="40">
        <v>134</v>
      </c>
      <c r="V71" s="41">
        <v>189</v>
      </c>
      <c r="W71" s="42">
        <v>323</v>
      </c>
      <c r="X71" s="40">
        <v>138</v>
      </c>
      <c r="Y71" s="41">
        <v>190</v>
      </c>
      <c r="Z71" s="42">
        <f t="shared" si="91"/>
        <v>328</v>
      </c>
      <c r="AA71" s="40">
        <v>134</v>
      </c>
      <c r="AB71" s="41">
        <v>178</v>
      </c>
      <c r="AC71" s="42">
        <f t="shared" si="92"/>
        <v>312</v>
      </c>
      <c r="AD71" s="40">
        <v>137</v>
      </c>
      <c r="AE71" s="41">
        <v>166</v>
      </c>
      <c r="AF71" s="42">
        <f t="shared" si="2"/>
        <v>303</v>
      </c>
      <c r="AG71" s="40">
        <v>121</v>
      </c>
      <c r="AH71" s="41">
        <v>170</v>
      </c>
      <c r="AI71" s="42">
        <f t="shared" si="81"/>
        <v>291</v>
      </c>
      <c r="AJ71" s="40">
        <v>131</v>
      </c>
      <c r="AK71" s="41">
        <v>158</v>
      </c>
      <c r="AL71" s="42">
        <f t="shared" si="82"/>
        <v>289</v>
      </c>
      <c r="AM71" s="40">
        <v>138</v>
      </c>
      <c r="AN71" s="41">
        <v>148</v>
      </c>
      <c r="AO71" s="42">
        <f t="shared" si="83"/>
        <v>286</v>
      </c>
      <c r="AP71" s="40">
        <v>143</v>
      </c>
      <c r="AQ71" s="41">
        <v>190</v>
      </c>
      <c r="AR71" s="42">
        <f t="shared" si="84"/>
        <v>333</v>
      </c>
      <c r="AS71" s="40">
        <v>125</v>
      </c>
      <c r="AT71" s="41">
        <v>175</v>
      </c>
      <c r="AU71" s="42">
        <f t="shared" si="85"/>
        <v>300</v>
      </c>
      <c r="AV71" s="40">
        <v>135</v>
      </c>
      <c r="AW71" s="41">
        <v>170</v>
      </c>
      <c r="AX71" s="42">
        <f t="shared" si="86"/>
        <v>305</v>
      </c>
      <c r="AY71" s="40">
        <v>147</v>
      </c>
      <c r="AZ71" s="41">
        <v>132</v>
      </c>
      <c r="BA71" s="42">
        <f t="shared" si="87"/>
        <v>279</v>
      </c>
      <c r="BB71" s="40">
        <v>108</v>
      </c>
      <c r="BC71" s="41">
        <v>135</v>
      </c>
      <c r="BD71" s="42">
        <f t="shared" si="88"/>
        <v>243</v>
      </c>
      <c r="BE71" s="40">
        <v>101</v>
      </c>
      <c r="BF71" s="41">
        <v>120</v>
      </c>
      <c r="BG71" s="42">
        <f t="shared" si="89"/>
        <v>221</v>
      </c>
      <c r="BH71" s="40">
        <v>105</v>
      </c>
      <c r="BI71" s="41">
        <v>128</v>
      </c>
      <c r="BJ71" s="42">
        <f t="shared" si="90"/>
        <v>233</v>
      </c>
    </row>
    <row r="72" spans="1:62" s="38" customFormat="1" ht="15" customHeight="1" x14ac:dyDescent="0.3">
      <c r="A72" s="272"/>
      <c r="B72" s="45" t="s">
        <v>103</v>
      </c>
      <c r="C72" s="46">
        <v>65</v>
      </c>
      <c r="D72" s="282">
        <v>70</v>
      </c>
      <c r="E72" s="48">
        <v>135</v>
      </c>
      <c r="F72" s="283">
        <v>79</v>
      </c>
      <c r="G72" s="282">
        <v>76</v>
      </c>
      <c r="H72" s="48">
        <v>155</v>
      </c>
      <c r="I72" s="46">
        <v>89</v>
      </c>
      <c r="J72" s="50">
        <v>90</v>
      </c>
      <c r="K72" s="48">
        <v>179</v>
      </c>
      <c r="L72" s="46">
        <v>72</v>
      </c>
      <c r="M72" s="50">
        <v>105</v>
      </c>
      <c r="N72" s="48">
        <v>177</v>
      </c>
      <c r="O72" s="46">
        <v>77</v>
      </c>
      <c r="P72" s="50">
        <v>85</v>
      </c>
      <c r="Q72" s="48">
        <v>162</v>
      </c>
      <c r="R72" s="46">
        <v>63</v>
      </c>
      <c r="S72" s="50">
        <v>72</v>
      </c>
      <c r="T72" s="48">
        <v>135</v>
      </c>
      <c r="U72" s="46">
        <v>60</v>
      </c>
      <c r="V72" s="50">
        <v>76</v>
      </c>
      <c r="W72" s="48">
        <v>136</v>
      </c>
      <c r="X72" s="46">
        <v>69</v>
      </c>
      <c r="Y72" s="50">
        <v>93</v>
      </c>
      <c r="Z72" s="48">
        <f t="shared" si="91"/>
        <v>162</v>
      </c>
      <c r="AA72" s="51">
        <v>72</v>
      </c>
      <c r="AB72" s="50">
        <v>81</v>
      </c>
      <c r="AC72" s="48">
        <f t="shared" si="92"/>
        <v>153</v>
      </c>
      <c r="AD72" s="51">
        <v>73</v>
      </c>
      <c r="AE72" s="50">
        <v>86</v>
      </c>
      <c r="AF72" s="48">
        <f t="shared" si="2"/>
        <v>159</v>
      </c>
      <c r="AG72" s="51">
        <v>80</v>
      </c>
      <c r="AH72" s="50">
        <v>99</v>
      </c>
      <c r="AI72" s="48">
        <f t="shared" si="81"/>
        <v>179</v>
      </c>
      <c r="AJ72" s="51">
        <v>80</v>
      </c>
      <c r="AK72" s="50">
        <v>88</v>
      </c>
      <c r="AL72" s="48">
        <f t="shared" si="82"/>
        <v>168</v>
      </c>
      <c r="AM72" s="51">
        <v>80</v>
      </c>
      <c r="AN72" s="50">
        <v>89</v>
      </c>
      <c r="AO72" s="48">
        <f t="shared" si="83"/>
        <v>169</v>
      </c>
      <c r="AP72" s="51">
        <v>81</v>
      </c>
      <c r="AQ72" s="50">
        <v>99</v>
      </c>
      <c r="AR72" s="48">
        <f t="shared" si="84"/>
        <v>180</v>
      </c>
      <c r="AS72" s="51">
        <v>84</v>
      </c>
      <c r="AT72" s="50">
        <v>99</v>
      </c>
      <c r="AU72" s="48">
        <f t="shared" si="85"/>
        <v>183</v>
      </c>
      <c r="AV72" s="51">
        <v>89</v>
      </c>
      <c r="AW72" s="50">
        <v>93</v>
      </c>
      <c r="AX72" s="48">
        <f t="shared" si="86"/>
        <v>182</v>
      </c>
      <c r="AY72" s="51">
        <v>87</v>
      </c>
      <c r="AZ72" s="50">
        <v>89</v>
      </c>
      <c r="BA72" s="48">
        <f t="shared" si="87"/>
        <v>176</v>
      </c>
      <c r="BB72" s="51">
        <v>77</v>
      </c>
      <c r="BC72" s="50">
        <v>79</v>
      </c>
      <c r="BD72" s="48">
        <f t="shared" si="88"/>
        <v>156</v>
      </c>
      <c r="BE72" s="51">
        <v>77</v>
      </c>
      <c r="BF72" s="50">
        <v>79</v>
      </c>
      <c r="BG72" s="48">
        <f t="shared" si="89"/>
        <v>156</v>
      </c>
      <c r="BH72" s="51">
        <v>79</v>
      </c>
      <c r="BI72" s="50">
        <v>82</v>
      </c>
      <c r="BJ72" s="48">
        <f t="shared" si="90"/>
        <v>161</v>
      </c>
    </row>
    <row r="73" spans="1:62" s="38" customFormat="1" ht="15" customHeight="1" x14ac:dyDescent="0.3">
      <c r="A73" s="272"/>
      <c r="B73" s="52" t="s">
        <v>92</v>
      </c>
      <c r="C73" s="53">
        <f>SUM(C65:C72)</f>
        <v>864</v>
      </c>
      <c r="D73" s="284">
        <f t="shared" ref="D73:BD73" si="93">SUM(D65:D72)</f>
        <v>1137</v>
      </c>
      <c r="E73" s="55">
        <f t="shared" si="93"/>
        <v>2001</v>
      </c>
      <c r="F73" s="53">
        <f t="shared" si="93"/>
        <v>1129</v>
      </c>
      <c r="G73" s="284">
        <f t="shared" si="93"/>
        <v>1130</v>
      </c>
      <c r="H73" s="55">
        <f t="shared" si="93"/>
        <v>2259</v>
      </c>
      <c r="I73" s="53">
        <f t="shared" si="93"/>
        <v>1086</v>
      </c>
      <c r="J73" s="284">
        <f t="shared" si="93"/>
        <v>1319</v>
      </c>
      <c r="K73" s="55">
        <f t="shared" si="93"/>
        <v>2405</v>
      </c>
      <c r="L73" s="53">
        <f t="shared" si="93"/>
        <v>1030</v>
      </c>
      <c r="M73" s="284">
        <f t="shared" si="93"/>
        <v>1281</v>
      </c>
      <c r="N73" s="55">
        <f t="shared" si="93"/>
        <v>2311</v>
      </c>
      <c r="O73" s="53">
        <f t="shared" si="93"/>
        <v>941</v>
      </c>
      <c r="P73" s="284">
        <f t="shared" si="93"/>
        <v>1151</v>
      </c>
      <c r="Q73" s="55">
        <f t="shared" si="93"/>
        <v>2092</v>
      </c>
      <c r="R73" s="53">
        <f t="shared" si="93"/>
        <v>896</v>
      </c>
      <c r="S73" s="284">
        <f t="shared" si="93"/>
        <v>998</v>
      </c>
      <c r="T73" s="55">
        <f t="shared" si="93"/>
        <v>1894</v>
      </c>
      <c r="U73" s="53">
        <f t="shared" si="93"/>
        <v>892</v>
      </c>
      <c r="V73" s="284">
        <f t="shared" si="93"/>
        <v>1065</v>
      </c>
      <c r="W73" s="55">
        <f t="shared" si="93"/>
        <v>1957</v>
      </c>
      <c r="X73" s="53">
        <f t="shared" si="93"/>
        <v>945</v>
      </c>
      <c r="Y73" s="284">
        <f t="shared" si="93"/>
        <v>1205</v>
      </c>
      <c r="Z73" s="55">
        <f t="shared" si="93"/>
        <v>2150</v>
      </c>
      <c r="AA73" s="53">
        <f t="shared" si="93"/>
        <v>955</v>
      </c>
      <c r="AB73" s="284">
        <f t="shared" si="93"/>
        <v>1126</v>
      </c>
      <c r="AC73" s="55">
        <f t="shared" si="93"/>
        <v>2081</v>
      </c>
      <c r="AD73" s="53">
        <f t="shared" si="93"/>
        <v>956</v>
      </c>
      <c r="AE73" s="284">
        <f t="shared" si="93"/>
        <v>1111</v>
      </c>
      <c r="AF73" s="55">
        <f t="shared" si="93"/>
        <v>2067</v>
      </c>
      <c r="AG73" s="53">
        <f t="shared" si="93"/>
        <v>927</v>
      </c>
      <c r="AH73" s="54">
        <f t="shared" si="93"/>
        <v>1160</v>
      </c>
      <c r="AI73" s="55">
        <f t="shared" si="93"/>
        <v>2087</v>
      </c>
      <c r="AJ73" s="56">
        <f>SUM(AJ65:AJ72)</f>
        <v>909</v>
      </c>
      <c r="AK73" s="57">
        <f>SUM(AK65:AK72)</f>
        <v>1035</v>
      </c>
      <c r="AL73" s="55">
        <f t="shared" si="93"/>
        <v>1944</v>
      </c>
      <c r="AM73" s="56">
        <f t="shared" si="93"/>
        <v>973</v>
      </c>
      <c r="AN73" s="57">
        <f t="shared" si="93"/>
        <v>1045</v>
      </c>
      <c r="AO73" s="55">
        <f t="shared" si="93"/>
        <v>2018</v>
      </c>
      <c r="AP73" s="56">
        <f t="shared" si="93"/>
        <v>998</v>
      </c>
      <c r="AQ73" s="57">
        <f t="shared" si="93"/>
        <v>1220</v>
      </c>
      <c r="AR73" s="55">
        <f t="shared" si="93"/>
        <v>2218</v>
      </c>
      <c r="AS73" s="56">
        <f t="shared" si="93"/>
        <v>1063</v>
      </c>
      <c r="AT73" s="57">
        <f t="shared" si="93"/>
        <v>1190</v>
      </c>
      <c r="AU73" s="55">
        <f t="shared" si="93"/>
        <v>2253</v>
      </c>
      <c r="AV73" s="56">
        <f t="shared" si="93"/>
        <v>1073</v>
      </c>
      <c r="AW73" s="57">
        <f t="shared" si="93"/>
        <v>1153</v>
      </c>
      <c r="AX73" s="55">
        <f t="shared" si="93"/>
        <v>2226</v>
      </c>
      <c r="AY73" s="56">
        <f t="shared" si="93"/>
        <v>1032</v>
      </c>
      <c r="AZ73" s="57">
        <f t="shared" si="93"/>
        <v>994</v>
      </c>
      <c r="BA73" s="55">
        <f t="shared" si="93"/>
        <v>2026</v>
      </c>
      <c r="BB73" s="56">
        <f t="shared" si="93"/>
        <v>869</v>
      </c>
      <c r="BC73" s="57">
        <f t="shared" si="93"/>
        <v>929</v>
      </c>
      <c r="BD73" s="55">
        <f t="shared" si="93"/>
        <v>1798</v>
      </c>
      <c r="BE73" s="56">
        <f>SUM(BE65:BE72)</f>
        <v>866</v>
      </c>
      <c r="BF73" s="57">
        <f>SUM(BF65:BF72)</f>
        <v>946</v>
      </c>
      <c r="BG73" s="55">
        <f t="shared" ref="BG73" si="94">SUM(BG65:BG72)</f>
        <v>1812</v>
      </c>
      <c r="BH73" s="56">
        <f>SUM(BH65:BH72)</f>
        <v>902</v>
      </c>
      <c r="BI73" s="57">
        <f>SUM(BI65:BI72)</f>
        <v>992</v>
      </c>
      <c r="BJ73" s="55">
        <f t="shared" ref="BJ73" si="95">SUM(BJ65:BJ72)</f>
        <v>1894</v>
      </c>
    </row>
    <row r="74" spans="1:62" s="38" customFormat="1" ht="15" customHeight="1" x14ac:dyDescent="0.3">
      <c r="A74" s="272"/>
      <c r="B74" s="58" t="s">
        <v>65</v>
      </c>
      <c r="C74" s="285">
        <v>162</v>
      </c>
      <c r="D74" s="286">
        <v>224</v>
      </c>
      <c r="E74" s="61">
        <v>386</v>
      </c>
      <c r="F74" s="285">
        <v>172</v>
      </c>
      <c r="G74" s="286">
        <v>194</v>
      </c>
      <c r="H74" s="61">
        <v>366</v>
      </c>
      <c r="I74" s="59">
        <v>177</v>
      </c>
      <c r="J74" s="60">
        <v>239</v>
      </c>
      <c r="K74" s="61">
        <v>416</v>
      </c>
      <c r="L74" s="59">
        <v>159</v>
      </c>
      <c r="M74" s="60">
        <v>221</v>
      </c>
      <c r="N74" s="61">
        <v>380</v>
      </c>
      <c r="O74" s="59">
        <v>175</v>
      </c>
      <c r="P74" s="60">
        <v>244</v>
      </c>
      <c r="Q74" s="61">
        <v>419</v>
      </c>
      <c r="R74" s="59">
        <v>174</v>
      </c>
      <c r="S74" s="60">
        <v>187</v>
      </c>
      <c r="T74" s="61">
        <v>361</v>
      </c>
      <c r="U74" s="59">
        <v>143</v>
      </c>
      <c r="V74" s="60">
        <v>196</v>
      </c>
      <c r="W74" s="61">
        <v>339</v>
      </c>
      <c r="X74" s="59">
        <v>151</v>
      </c>
      <c r="Y74" s="60">
        <v>179</v>
      </c>
      <c r="Z74" s="61">
        <f t="shared" si="91"/>
        <v>330</v>
      </c>
      <c r="AA74" s="59">
        <v>150</v>
      </c>
      <c r="AB74" s="60">
        <v>176</v>
      </c>
      <c r="AC74" s="61">
        <f t="shared" si="92"/>
        <v>326</v>
      </c>
      <c r="AD74" s="59">
        <v>149</v>
      </c>
      <c r="AE74" s="60">
        <v>181</v>
      </c>
      <c r="AF74" s="61">
        <f t="shared" si="2"/>
        <v>330</v>
      </c>
      <c r="AG74" s="59">
        <v>147</v>
      </c>
      <c r="AH74" s="60">
        <v>169</v>
      </c>
      <c r="AI74" s="61">
        <f>SUM(AG74:AH74)</f>
        <v>316</v>
      </c>
      <c r="AJ74" s="62">
        <v>143</v>
      </c>
      <c r="AK74" s="60">
        <v>155</v>
      </c>
      <c r="AL74" s="61">
        <f>SUM(AJ74:AK74)</f>
        <v>298</v>
      </c>
      <c r="AM74" s="62">
        <v>155</v>
      </c>
      <c r="AN74" s="60">
        <v>165</v>
      </c>
      <c r="AO74" s="61">
        <f>SUM(AM74:AN74)</f>
        <v>320</v>
      </c>
      <c r="AP74" s="62">
        <v>142</v>
      </c>
      <c r="AQ74" s="60">
        <v>191</v>
      </c>
      <c r="AR74" s="61">
        <f>SUM(AP74:AQ74)</f>
        <v>333</v>
      </c>
      <c r="AS74" s="62">
        <v>153</v>
      </c>
      <c r="AT74" s="60">
        <v>158</v>
      </c>
      <c r="AU74" s="61">
        <f>SUM(AS74:AT74)</f>
        <v>311</v>
      </c>
      <c r="AV74" s="62">
        <v>160</v>
      </c>
      <c r="AW74" s="60">
        <v>177</v>
      </c>
      <c r="AX74" s="61">
        <f>SUM(AV74:AW74)</f>
        <v>337</v>
      </c>
      <c r="AY74" s="62">
        <v>170</v>
      </c>
      <c r="AZ74" s="60">
        <v>165</v>
      </c>
      <c r="BA74" s="61">
        <f>SUM(AY74:AZ74)</f>
        <v>335</v>
      </c>
      <c r="BB74" s="62">
        <v>143</v>
      </c>
      <c r="BC74" s="60">
        <v>154</v>
      </c>
      <c r="BD74" s="61">
        <f>SUM(BB74:BC74)</f>
        <v>297</v>
      </c>
      <c r="BE74" s="62">
        <v>141</v>
      </c>
      <c r="BF74" s="60">
        <v>156</v>
      </c>
      <c r="BG74" s="61">
        <f>SUM(BE74:BF74)</f>
        <v>297</v>
      </c>
      <c r="BH74" s="62">
        <v>154</v>
      </c>
      <c r="BI74" s="60">
        <v>162</v>
      </c>
      <c r="BJ74" s="61">
        <f>SUM(BH74:BI74)</f>
        <v>316</v>
      </c>
    </row>
    <row r="75" spans="1:62" s="38" customFormat="1" ht="15" customHeight="1" x14ac:dyDescent="0.3">
      <c r="A75" s="272"/>
      <c r="B75" s="39" t="s">
        <v>66</v>
      </c>
      <c r="C75" s="280">
        <v>80</v>
      </c>
      <c r="D75" s="281">
        <v>99</v>
      </c>
      <c r="E75" s="42">
        <v>179</v>
      </c>
      <c r="F75" s="280">
        <v>76</v>
      </c>
      <c r="G75" s="281">
        <v>90</v>
      </c>
      <c r="H75" s="42">
        <v>166</v>
      </c>
      <c r="I75" s="40">
        <v>85</v>
      </c>
      <c r="J75" s="41">
        <v>113</v>
      </c>
      <c r="K75" s="42">
        <v>198</v>
      </c>
      <c r="L75" s="40">
        <v>66</v>
      </c>
      <c r="M75" s="41">
        <v>81</v>
      </c>
      <c r="N75" s="42">
        <v>147</v>
      </c>
      <c r="O75" s="40">
        <v>65</v>
      </c>
      <c r="P75" s="41">
        <v>74</v>
      </c>
      <c r="Q75" s="42">
        <v>139</v>
      </c>
      <c r="R75" s="40">
        <v>65</v>
      </c>
      <c r="S75" s="41">
        <v>74</v>
      </c>
      <c r="T75" s="42">
        <v>139</v>
      </c>
      <c r="U75" s="40">
        <v>59</v>
      </c>
      <c r="V75" s="41">
        <v>73</v>
      </c>
      <c r="W75" s="42">
        <v>132</v>
      </c>
      <c r="X75" s="40">
        <v>63</v>
      </c>
      <c r="Y75" s="41">
        <v>70</v>
      </c>
      <c r="Z75" s="42">
        <f t="shared" si="91"/>
        <v>133</v>
      </c>
      <c r="AA75" s="40">
        <v>75</v>
      </c>
      <c r="AB75" s="41">
        <v>80</v>
      </c>
      <c r="AC75" s="42">
        <f t="shared" si="92"/>
        <v>155</v>
      </c>
      <c r="AD75" s="40">
        <v>65</v>
      </c>
      <c r="AE75" s="41">
        <v>76</v>
      </c>
      <c r="AF75" s="42">
        <f t="shared" si="2"/>
        <v>141</v>
      </c>
      <c r="AG75" s="40">
        <v>63</v>
      </c>
      <c r="AH75" s="41">
        <v>73</v>
      </c>
      <c r="AI75" s="42">
        <f>SUM(AG75:AH75)</f>
        <v>136</v>
      </c>
      <c r="AJ75" s="40">
        <v>64</v>
      </c>
      <c r="AK75" s="41">
        <v>69</v>
      </c>
      <c r="AL75" s="42">
        <f>SUM(AJ75:AK75)</f>
        <v>133</v>
      </c>
      <c r="AM75" s="40">
        <v>69</v>
      </c>
      <c r="AN75" s="41">
        <v>74</v>
      </c>
      <c r="AO75" s="42">
        <f>SUM(AM75:AN75)</f>
        <v>143</v>
      </c>
      <c r="AP75" s="40">
        <v>67</v>
      </c>
      <c r="AQ75" s="41">
        <v>83</v>
      </c>
      <c r="AR75" s="42">
        <f>SUM(AP75:AQ75)</f>
        <v>150</v>
      </c>
      <c r="AS75" s="40">
        <v>66</v>
      </c>
      <c r="AT75" s="41">
        <v>78</v>
      </c>
      <c r="AU75" s="42">
        <f>SUM(AS75:AT75)</f>
        <v>144</v>
      </c>
      <c r="AV75" s="40">
        <v>73</v>
      </c>
      <c r="AW75" s="41">
        <v>72</v>
      </c>
      <c r="AX75" s="42">
        <f>SUM(AV75:AW75)</f>
        <v>145</v>
      </c>
      <c r="AY75" s="40">
        <v>69</v>
      </c>
      <c r="AZ75" s="41">
        <v>73</v>
      </c>
      <c r="BA75" s="42">
        <f>SUM(AY75:AZ75)</f>
        <v>142</v>
      </c>
      <c r="BB75" s="40">
        <v>63</v>
      </c>
      <c r="BC75" s="41">
        <v>64</v>
      </c>
      <c r="BD75" s="42">
        <f>SUM(BB75:BC75)</f>
        <v>127</v>
      </c>
      <c r="BE75" s="40">
        <v>65</v>
      </c>
      <c r="BF75" s="41">
        <v>70</v>
      </c>
      <c r="BG75" s="42">
        <f>SUM(BE75:BF75)</f>
        <v>135</v>
      </c>
      <c r="BH75" s="40">
        <v>66</v>
      </c>
      <c r="BI75" s="41">
        <v>65</v>
      </c>
      <c r="BJ75" s="42">
        <f>SUM(BH75:BI75)</f>
        <v>131</v>
      </c>
    </row>
    <row r="76" spans="1:62" s="38" customFormat="1" ht="15" customHeight="1" x14ac:dyDescent="0.3">
      <c r="A76" s="272"/>
      <c r="B76" s="39" t="s">
        <v>67</v>
      </c>
      <c r="C76" s="280">
        <v>75</v>
      </c>
      <c r="D76" s="281">
        <v>89</v>
      </c>
      <c r="E76" s="42">
        <v>164</v>
      </c>
      <c r="F76" s="280">
        <v>87</v>
      </c>
      <c r="G76" s="281">
        <v>86</v>
      </c>
      <c r="H76" s="42">
        <v>173</v>
      </c>
      <c r="I76" s="40">
        <v>84</v>
      </c>
      <c r="J76" s="41">
        <v>110</v>
      </c>
      <c r="K76" s="42">
        <v>194</v>
      </c>
      <c r="L76" s="40">
        <v>72</v>
      </c>
      <c r="M76" s="41">
        <v>99</v>
      </c>
      <c r="N76" s="42">
        <v>171</v>
      </c>
      <c r="O76" s="40">
        <v>71</v>
      </c>
      <c r="P76" s="41">
        <v>78</v>
      </c>
      <c r="Q76" s="42">
        <v>149</v>
      </c>
      <c r="R76" s="40">
        <v>73</v>
      </c>
      <c r="S76" s="41">
        <v>74</v>
      </c>
      <c r="T76" s="42">
        <v>147</v>
      </c>
      <c r="U76" s="40">
        <v>65</v>
      </c>
      <c r="V76" s="41">
        <v>73</v>
      </c>
      <c r="W76" s="42">
        <v>138</v>
      </c>
      <c r="X76" s="40">
        <v>61</v>
      </c>
      <c r="Y76" s="41">
        <v>82</v>
      </c>
      <c r="Z76" s="42">
        <f t="shared" si="91"/>
        <v>143</v>
      </c>
      <c r="AA76" s="40">
        <v>69</v>
      </c>
      <c r="AB76" s="41">
        <v>81</v>
      </c>
      <c r="AC76" s="42">
        <f t="shared" si="92"/>
        <v>150</v>
      </c>
      <c r="AD76" s="40">
        <v>70</v>
      </c>
      <c r="AE76" s="41">
        <v>86</v>
      </c>
      <c r="AF76" s="42">
        <f t="shared" si="2"/>
        <v>156</v>
      </c>
      <c r="AG76" s="40">
        <v>62</v>
      </c>
      <c r="AH76" s="41">
        <v>70</v>
      </c>
      <c r="AI76" s="42">
        <f>SUM(AG76:AH76)</f>
        <v>132</v>
      </c>
      <c r="AJ76" s="40">
        <v>66</v>
      </c>
      <c r="AK76" s="41">
        <v>68</v>
      </c>
      <c r="AL76" s="42">
        <f>SUM(AJ76:AK76)</f>
        <v>134</v>
      </c>
      <c r="AM76" s="40">
        <v>69</v>
      </c>
      <c r="AN76" s="41">
        <v>78</v>
      </c>
      <c r="AO76" s="42">
        <f>SUM(AM76:AN76)</f>
        <v>147</v>
      </c>
      <c r="AP76" s="40">
        <v>70</v>
      </c>
      <c r="AQ76" s="41">
        <v>84</v>
      </c>
      <c r="AR76" s="42">
        <f>SUM(AP76:AQ76)</f>
        <v>154</v>
      </c>
      <c r="AS76" s="40">
        <v>66</v>
      </c>
      <c r="AT76" s="41">
        <v>77</v>
      </c>
      <c r="AU76" s="42">
        <f>SUM(AS76:AT76)</f>
        <v>143</v>
      </c>
      <c r="AV76" s="40">
        <v>78</v>
      </c>
      <c r="AW76" s="41">
        <v>74</v>
      </c>
      <c r="AX76" s="42">
        <f>SUM(AV76:AW76)</f>
        <v>152</v>
      </c>
      <c r="AY76" s="40">
        <v>75</v>
      </c>
      <c r="AZ76" s="41">
        <v>75</v>
      </c>
      <c r="BA76" s="42">
        <f>SUM(AY76:AZ76)</f>
        <v>150</v>
      </c>
      <c r="BB76" s="40">
        <v>65</v>
      </c>
      <c r="BC76" s="41">
        <v>65</v>
      </c>
      <c r="BD76" s="42">
        <f>SUM(BB76:BC76)</f>
        <v>130</v>
      </c>
      <c r="BE76" s="40">
        <v>62</v>
      </c>
      <c r="BF76" s="41">
        <v>73</v>
      </c>
      <c r="BG76" s="42">
        <f>SUM(BE76:BF76)</f>
        <v>135</v>
      </c>
      <c r="BH76" s="40">
        <v>74</v>
      </c>
      <c r="BI76" s="41">
        <v>70</v>
      </c>
      <c r="BJ76" s="42">
        <f>SUM(BH76:BI76)</f>
        <v>144</v>
      </c>
    </row>
    <row r="77" spans="1:62" s="38" customFormat="1" ht="15" customHeight="1" x14ac:dyDescent="0.3">
      <c r="A77" s="272"/>
      <c r="B77" s="45" t="s">
        <v>104</v>
      </c>
      <c r="C77" s="46">
        <v>52</v>
      </c>
      <c r="D77" s="282">
        <v>78</v>
      </c>
      <c r="E77" s="48">
        <v>130</v>
      </c>
      <c r="F77" s="283">
        <v>53</v>
      </c>
      <c r="G77" s="282">
        <v>66</v>
      </c>
      <c r="H77" s="48">
        <v>119</v>
      </c>
      <c r="I77" s="46">
        <v>68</v>
      </c>
      <c r="J77" s="50">
        <v>71</v>
      </c>
      <c r="K77" s="48">
        <v>139</v>
      </c>
      <c r="L77" s="46">
        <v>64</v>
      </c>
      <c r="M77" s="50">
        <v>85</v>
      </c>
      <c r="N77" s="48">
        <v>149</v>
      </c>
      <c r="O77" s="46">
        <v>68</v>
      </c>
      <c r="P77" s="50">
        <v>92</v>
      </c>
      <c r="Q77" s="48">
        <v>160</v>
      </c>
      <c r="R77" s="46">
        <v>65</v>
      </c>
      <c r="S77" s="50">
        <v>71</v>
      </c>
      <c r="T77" s="48">
        <v>136</v>
      </c>
      <c r="U77" s="46">
        <v>63</v>
      </c>
      <c r="V77" s="50">
        <v>62</v>
      </c>
      <c r="W77" s="48">
        <v>125</v>
      </c>
      <c r="X77" s="46">
        <v>67</v>
      </c>
      <c r="Y77" s="50">
        <v>71</v>
      </c>
      <c r="Z77" s="48">
        <f t="shared" si="91"/>
        <v>138</v>
      </c>
      <c r="AA77" s="51">
        <v>70</v>
      </c>
      <c r="AB77" s="50">
        <v>75</v>
      </c>
      <c r="AC77" s="48">
        <f t="shared" si="92"/>
        <v>145</v>
      </c>
      <c r="AD77" s="51">
        <v>66</v>
      </c>
      <c r="AE77" s="50">
        <v>78</v>
      </c>
      <c r="AF77" s="48">
        <f t="shared" si="2"/>
        <v>144</v>
      </c>
      <c r="AG77" s="51">
        <v>62</v>
      </c>
      <c r="AH77" s="50">
        <v>72</v>
      </c>
      <c r="AI77" s="48">
        <f>SUM(AG77:AH77)</f>
        <v>134</v>
      </c>
      <c r="AJ77" s="51">
        <v>63</v>
      </c>
      <c r="AK77" s="50">
        <v>68</v>
      </c>
      <c r="AL77" s="48">
        <f>SUM(AJ77:AK77)</f>
        <v>131</v>
      </c>
      <c r="AM77" s="51">
        <v>66</v>
      </c>
      <c r="AN77" s="50">
        <v>74</v>
      </c>
      <c r="AO77" s="48">
        <f>SUM(AM77:AN77)</f>
        <v>140</v>
      </c>
      <c r="AP77" s="51">
        <v>62</v>
      </c>
      <c r="AQ77" s="50">
        <v>95</v>
      </c>
      <c r="AR77" s="48">
        <f>SUM(AP77:AQ77)</f>
        <v>157</v>
      </c>
      <c r="AS77" s="51">
        <v>66</v>
      </c>
      <c r="AT77" s="50">
        <v>86</v>
      </c>
      <c r="AU77" s="48">
        <f>SUM(AS77:AT77)</f>
        <v>152</v>
      </c>
      <c r="AV77" s="51">
        <v>49</v>
      </c>
      <c r="AW77" s="50">
        <v>68</v>
      </c>
      <c r="AX77" s="48">
        <f>SUM(AV77:AW77)</f>
        <v>117</v>
      </c>
      <c r="AY77" s="51">
        <v>73</v>
      </c>
      <c r="AZ77" s="50">
        <v>68</v>
      </c>
      <c r="BA77" s="48">
        <f>SUM(AY77:AZ77)</f>
        <v>141</v>
      </c>
      <c r="BB77" s="51">
        <v>63</v>
      </c>
      <c r="BC77" s="50">
        <v>62</v>
      </c>
      <c r="BD77" s="48">
        <f>SUM(BB77:BC77)</f>
        <v>125</v>
      </c>
      <c r="BE77" s="51">
        <v>44</v>
      </c>
      <c r="BF77" s="50">
        <v>55</v>
      </c>
      <c r="BG77" s="48">
        <f>SUM(BE77:BF77)</f>
        <v>99</v>
      </c>
      <c r="BH77" s="51">
        <v>45</v>
      </c>
      <c r="BI77" s="50">
        <v>68</v>
      </c>
      <c r="BJ77" s="48">
        <f>SUM(BH77:BI77)</f>
        <v>113</v>
      </c>
    </row>
    <row r="78" spans="1:62" s="38" customFormat="1" ht="15" customHeight="1" x14ac:dyDescent="0.3">
      <c r="A78" s="272"/>
      <c r="B78" s="287" t="s">
        <v>68</v>
      </c>
      <c r="C78" s="288">
        <f>SUM(C74:C77)</f>
        <v>369</v>
      </c>
      <c r="D78" s="289">
        <f t="shared" ref="D78:BD78" si="96">SUM(D74:D77)</f>
        <v>490</v>
      </c>
      <c r="E78" s="203">
        <f t="shared" si="96"/>
        <v>859</v>
      </c>
      <c r="F78" s="288">
        <f t="shared" si="96"/>
        <v>388</v>
      </c>
      <c r="G78" s="289">
        <f t="shared" si="96"/>
        <v>436</v>
      </c>
      <c r="H78" s="203">
        <f t="shared" si="96"/>
        <v>824</v>
      </c>
      <c r="I78" s="288">
        <f t="shared" si="96"/>
        <v>414</v>
      </c>
      <c r="J78" s="289">
        <f t="shared" si="96"/>
        <v>533</v>
      </c>
      <c r="K78" s="203">
        <f t="shared" si="96"/>
        <v>947</v>
      </c>
      <c r="L78" s="288">
        <f t="shared" si="96"/>
        <v>361</v>
      </c>
      <c r="M78" s="289">
        <f t="shared" si="96"/>
        <v>486</v>
      </c>
      <c r="N78" s="203">
        <f t="shared" si="96"/>
        <v>847</v>
      </c>
      <c r="O78" s="288">
        <f t="shared" si="96"/>
        <v>379</v>
      </c>
      <c r="P78" s="289">
        <f t="shared" si="96"/>
        <v>488</v>
      </c>
      <c r="Q78" s="203">
        <f t="shared" si="96"/>
        <v>867</v>
      </c>
      <c r="R78" s="288">
        <f t="shared" si="96"/>
        <v>377</v>
      </c>
      <c r="S78" s="289">
        <f t="shared" si="96"/>
        <v>406</v>
      </c>
      <c r="T78" s="203">
        <f t="shared" si="96"/>
        <v>783</v>
      </c>
      <c r="U78" s="288">
        <f t="shared" si="96"/>
        <v>330</v>
      </c>
      <c r="V78" s="289">
        <f t="shared" si="96"/>
        <v>404</v>
      </c>
      <c r="W78" s="203">
        <f t="shared" si="96"/>
        <v>734</v>
      </c>
      <c r="X78" s="288">
        <f t="shared" si="96"/>
        <v>342</v>
      </c>
      <c r="Y78" s="289">
        <f t="shared" si="96"/>
        <v>402</v>
      </c>
      <c r="Z78" s="203">
        <f t="shared" si="96"/>
        <v>744</v>
      </c>
      <c r="AA78" s="288">
        <f t="shared" si="96"/>
        <v>364</v>
      </c>
      <c r="AB78" s="289">
        <f t="shared" si="96"/>
        <v>412</v>
      </c>
      <c r="AC78" s="203">
        <f t="shared" si="96"/>
        <v>776</v>
      </c>
      <c r="AD78" s="288">
        <f t="shared" si="96"/>
        <v>350</v>
      </c>
      <c r="AE78" s="289">
        <f t="shared" si="96"/>
        <v>421</v>
      </c>
      <c r="AF78" s="203">
        <f t="shared" si="96"/>
        <v>771</v>
      </c>
      <c r="AG78" s="288">
        <f t="shared" si="96"/>
        <v>334</v>
      </c>
      <c r="AH78" s="290">
        <f t="shared" si="96"/>
        <v>384</v>
      </c>
      <c r="AI78" s="203">
        <f t="shared" si="96"/>
        <v>718</v>
      </c>
      <c r="AJ78" s="294">
        <f>SUM(AJ74:AJ77)</f>
        <v>336</v>
      </c>
      <c r="AK78" s="295">
        <f>SUM(AK74:AK77)</f>
        <v>360</v>
      </c>
      <c r="AL78" s="203">
        <f t="shared" si="96"/>
        <v>696</v>
      </c>
      <c r="AM78" s="294">
        <f t="shared" si="96"/>
        <v>359</v>
      </c>
      <c r="AN78" s="295">
        <f t="shared" si="96"/>
        <v>391</v>
      </c>
      <c r="AO78" s="203">
        <f t="shared" si="96"/>
        <v>750</v>
      </c>
      <c r="AP78" s="294">
        <f t="shared" si="96"/>
        <v>341</v>
      </c>
      <c r="AQ78" s="295">
        <f t="shared" si="96"/>
        <v>453</v>
      </c>
      <c r="AR78" s="203">
        <f t="shared" si="96"/>
        <v>794</v>
      </c>
      <c r="AS78" s="294">
        <f t="shared" si="96"/>
        <v>351</v>
      </c>
      <c r="AT78" s="295">
        <f t="shared" si="96"/>
        <v>399</v>
      </c>
      <c r="AU78" s="203">
        <f t="shared" si="96"/>
        <v>750</v>
      </c>
      <c r="AV78" s="294">
        <f t="shared" si="96"/>
        <v>360</v>
      </c>
      <c r="AW78" s="295">
        <f t="shared" si="96"/>
        <v>391</v>
      </c>
      <c r="AX78" s="203">
        <f t="shared" si="96"/>
        <v>751</v>
      </c>
      <c r="AY78" s="294">
        <f t="shared" si="96"/>
        <v>387</v>
      </c>
      <c r="AZ78" s="295">
        <f t="shared" si="96"/>
        <v>381</v>
      </c>
      <c r="BA78" s="203">
        <f t="shared" si="96"/>
        <v>768</v>
      </c>
      <c r="BB78" s="294">
        <f t="shared" si="96"/>
        <v>334</v>
      </c>
      <c r="BC78" s="295">
        <f t="shared" si="96"/>
        <v>345</v>
      </c>
      <c r="BD78" s="203">
        <f t="shared" si="96"/>
        <v>679</v>
      </c>
      <c r="BE78" s="294">
        <f t="shared" ref="BE78:BG78" si="97">SUM(BE74:BE77)</f>
        <v>312</v>
      </c>
      <c r="BF78" s="295">
        <f t="shared" si="97"/>
        <v>354</v>
      </c>
      <c r="BG78" s="203">
        <f t="shared" si="97"/>
        <v>666</v>
      </c>
      <c r="BH78" s="294">
        <f t="shared" ref="BH78:BJ78" si="98">SUM(BH74:BH77)</f>
        <v>339</v>
      </c>
      <c r="BI78" s="295">
        <f t="shared" si="98"/>
        <v>365</v>
      </c>
      <c r="BJ78" s="203">
        <f t="shared" si="98"/>
        <v>704</v>
      </c>
    </row>
    <row r="79" spans="1:62" s="38" customFormat="1" ht="15" customHeight="1" x14ac:dyDescent="0.3">
      <c r="A79" s="272"/>
      <c r="B79" s="88" t="s">
        <v>105</v>
      </c>
      <c r="C79" s="89">
        <f>SUM(C78,C73,C64)</f>
        <v>1922</v>
      </c>
      <c r="D79" s="90">
        <f t="shared" ref="D79:BD79" si="99">SUM(D78,D73,D64)</f>
        <v>2471</v>
      </c>
      <c r="E79" s="91">
        <f t="shared" si="99"/>
        <v>4393</v>
      </c>
      <c r="F79" s="89">
        <f t="shared" si="99"/>
        <v>2405</v>
      </c>
      <c r="G79" s="90">
        <f t="shared" si="99"/>
        <v>2389</v>
      </c>
      <c r="H79" s="91">
        <f t="shared" si="99"/>
        <v>4794</v>
      </c>
      <c r="I79" s="89">
        <f t="shared" si="99"/>
        <v>2357</v>
      </c>
      <c r="J79" s="90">
        <f t="shared" si="99"/>
        <v>2812</v>
      </c>
      <c r="K79" s="91">
        <f t="shared" si="99"/>
        <v>5169</v>
      </c>
      <c r="L79" s="89">
        <f t="shared" si="99"/>
        <v>2076</v>
      </c>
      <c r="M79" s="90">
        <f t="shared" si="99"/>
        <v>2693</v>
      </c>
      <c r="N79" s="91">
        <f t="shared" si="99"/>
        <v>4769</v>
      </c>
      <c r="O79" s="89">
        <f t="shared" si="99"/>
        <v>2105</v>
      </c>
      <c r="P79" s="90">
        <f t="shared" si="99"/>
        <v>2570</v>
      </c>
      <c r="Q79" s="91">
        <f t="shared" si="99"/>
        <v>4675</v>
      </c>
      <c r="R79" s="89">
        <f t="shared" si="99"/>
        <v>2010</v>
      </c>
      <c r="S79" s="90">
        <f t="shared" si="99"/>
        <v>2191</v>
      </c>
      <c r="T79" s="91">
        <f t="shared" si="99"/>
        <v>4201</v>
      </c>
      <c r="U79" s="89">
        <f t="shared" si="99"/>
        <v>1930</v>
      </c>
      <c r="V79" s="90">
        <f t="shared" si="99"/>
        <v>2307</v>
      </c>
      <c r="W79" s="91">
        <f t="shared" si="99"/>
        <v>4237</v>
      </c>
      <c r="X79" s="89">
        <f t="shared" si="99"/>
        <v>2016</v>
      </c>
      <c r="Y79" s="90">
        <f t="shared" si="99"/>
        <v>2494</v>
      </c>
      <c r="Z79" s="91">
        <f t="shared" si="99"/>
        <v>4510</v>
      </c>
      <c r="AA79" s="89">
        <f t="shared" si="99"/>
        <v>2068</v>
      </c>
      <c r="AB79" s="90">
        <f t="shared" si="99"/>
        <v>2400</v>
      </c>
      <c r="AC79" s="91">
        <f t="shared" si="99"/>
        <v>4468</v>
      </c>
      <c r="AD79" s="89">
        <f t="shared" si="99"/>
        <v>2081</v>
      </c>
      <c r="AE79" s="90">
        <f t="shared" si="99"/>
        <v>2420</v>
      </c>
      <c r="AF79" s="91">
        <f t="shared" si="99"/>
        <v>4501</v>
      </c>
      <c r="AG79" s="89">
        <f t="shared" si="99"/>
        <v>1961</v>
      </c>
      <c r="AH79" s="90">
        <f t="shared" si="99"/>
        <v>2391</v>
      </c>
      <c r="AI79" s="91">
        <f t="shared" si="99"/>
        <v>4352</v>
      </c>
      <c r="AJ79" s="89">
        <f t="shared" si="99"/>
        <v>1979</v>
      </c>
      <c r="AK79" s="90">
        <f t="shared" si="99"/>
        <v>2233</v>
      </c>
      <c r="AL79" s="91">
        <f t="shared" si="99"/>
        <v>4212</v>
      </c>
      <c r="AM79" s="89">
        <f t="shared" si="99"/>
        <v>2106</v>
      </c>
      <c r="AN79" s="90">
        <f t="shared" si="99"/>
        <v>2268</v>
      </c>
      <c r="AO79" s="91">
        <f t="shared" si="99"/>
        <v>4374</v>
      </c>
      <c r="AP79" s="89">
        <f t="shared" si="99"/>
        <v>2095</v>
      </c>
      <c r="AQ79" s="90">
        <f t="shared" si="99"/>
        <v>2635</v>
      </c>
      <c r="AR79" s="91">
        <f t="shared" si="99"/>
        <v>4730</v>
      </c>
      <c r="AS79" s="89">
        <f t="shared" si="99"/>
        <v>2204</v>
      </c>
      <c r="AT79" s="90">
        <f t="shared" si="99"/>
        <v>2457</v>
      </c>
      <c r="AU79" s="91">
        <f t="shared" si="99"/>
        <v>4661</v>
      </c>
      <c r="AV79" s="89">
        <f t="shared" si="99"/>
        <v>2216</v>
      </c>
      <c r="AW79" s="90">
        <f t="shared" si="99"/>
        <v>2409</v>
      </c>
      <c r="AX79" s="91">
        <f t="shared" si="99"/>
        <v>4625</v>
      </c>
      <c r="AY79" s="89">
        <f t="shared" si="99"/>
        <v>2283</v>
      </c>
      <c r="AZ79" s="90">
        <f t="shared" si="99"/>
        <v>2207</v>
      </c>
      <c r="BA79" s="91">
        <f t="shared" si="99"/>
        <v>4490</v>
      </c>
      <c r="BB79" s="89">
        <f t="shared" si="99"/>
        <v>1926</v>
      </c>
      <c r="BC79" s="90">
        <f t="shared" si="99"/>
        <v>2027</v>
      </c>
      <c r="BD79" s="91">
        <f t="shared" si="99"/>
        <v>3953</v>
      </c>
      <c r="BE79" s="89">
        <f t="shared" ref="BE79:BG79" si="100">SUM(BE78,BE73,BE64)</f>
        <v>1844</v>
      </c>
      <c r="BF79" s="90">
        <f t="shared" si="100"/>
        <v>2013</v>
      </c>
      <c r="BG79" s="91">
        <f t="shared" si="100"/>
        <v>3857</v>
      </c>
      <c r="BH79" s="89">
        <f t="shared" ref="BH79:BJ79" si="101">SUM(BH78,BH73,BH64)</f>
        <v>1923</v>
      </c>
      <c r="BI79" s="90">
        <f t="shared" si="101"/>
        <v>2156</v>
      </c>
      <c r="BJ79" s="91">
        <f t="shared" si="101"/>
        <v>4079</v>
      </c>
    </row>
    <row r="80" spans="1:62" s="38" customFormat="1" ht="15" customHeight="1" x14ac:dyDescent="0.3">
      <c r="A80" s="272"/>
      <c r="B80" s="39" t="s">
        <v>60</v>
      </c>
      <c r="C80" s="82"/>
      <c r="D80" s="296"/>
      <c r="E80" s="42"/>
      <c r="F80" s="293"/>
      <c r="G80" s="296"/>
      <c r="H80" s="42"/>
      <c r="I80" s="82"/>
      <c r="J80" s="83">
        <v>68</v>
      </c>
      <c r="K80" s="42">
        <f t="shared" ref="K80:K92" si="102">SUM(I80:J80)</f>
        <v>68</v>
      </c>
      <c r="L80" s="82"/>
      <c r="M80" s="297">
        <v>52</v>
      </c>
      <c r="N80" s="42">
        <f t="shared" ref="N80:N92" si="103">SUM(L80:M80)</f>
        <v>52</v>
      </c>
      <c r="O80" s="82"/>
      <c r="P80" s="83">
        <v>71</v>
      </c>
      <c r="Q80" s="42">
        <f t="shared" ref="Q80:Q92" si="104">SUM(O80:P80)</f>
        <v>71</v>
      </c>
      <c r="R80" s="82"/>
      <c r="S80" s="83">
        <v>66</v>
      </c>
      <c r="T80" s="42">
        <f t="shared" ref="T80:T92" si="105">SUM(R80:S80)</f>
        <v>66</v>
      </c>
      <c r="U80" s="82"/>
      <c r="V80" s="83">
        <v>33</v>
      </c>
      <c r="W80" s="42">
        <f t="shared" ref="W80:W92" si="106">SUM(U80:V80)</f>
        <v>33</v>
      </c>
      <c r="X80" s="82"/>
      <c r="Y80" s="83">
        <v>36</v>
      </c>
      <c r="Z80" s="42">
        <f t="shared" si="91"/>
        <v>36</v>
      </c>
      <c r="AA80" s="82"/>
      <c r="AB80" s="83">
        <v>37</v>
      </c>
      <c r="AC80" s="42">
        <f t="shared" si="92"/>
        <v>37</v>
      </c>
      <c r="AD80" s="82"/>
      <c r="AE80" s="83">
        <v>38</v>
      </c>
      <c r="AF80" s="42">
        <f t="shared" si="2"/>
        <v>38</v>
      </c>
      <c r="AG80" s="82"/>
      <c r="AH80" s="83">
        <v>44</v>
      </c>
      <c r="AI80" s="42">
        <f>SUM(AG80:AH80)</f>
        <v>44</v>
      </c>
      <c r="AJ80" s="298">
        <v>31</v>
      </c>
      <c r="AK80" s="83">
        <v>45</v>
      </c>
      <c r="AL80" s="42">
        <f>SUM(AJ80:AK80)</f>
        <v>76</v>
      </c>
      <c r="AM80" s="298">
        <v>34</v>
      </c>
      <c r="AN80" s="83">
        <v>44</v>
      </c>
      <c r="AO80" s="42">
        <f>SUM(AM80:AN80)</f>
        <v>78</v>
      </c>
      <c r="AP80" s="298">
        <v>36</v>
      </c>
      <c r="AQ80" s="83">
        <v>41</v>
      </c>
      <c r="AR80" s="42">
        <f>SUM(AP80:AQ80)</f>
        <v>77</v>
      </c>
      <c r="AS80" s="298">
        <v>38</v>
      </c>
      <c r="AT80" s="83">
        <v>38</v>
      </c>
      <c r="AU80" s="42">
        <f>SUM(AS80:AT80)</f>
        <v>76</v>
      </c>
      <c r="AV80" s="298">
        <v>36</v>
      </c>
      <c r="AW80" s="83">
        <v>40</v>
      </c>
      <c r="AX80" s="42">
        <f>SUM(AV80:AW80)</f>
        <v>76</v>
      </c>
      <c r="AY80" s="298">
        <v>44</v>
      </c>
      <c r="AZ80" s="83">
        <v>37</v>
      </c>
      <c r="BA80" s="42">
        <f>SUM(AY80:AZ80)</f>
        <v>81</v>
      </c>
      <c r="BB80" s="298">
        <v>35</v>
      </c>
      <c r="BC80" s="83">
        <v>38</v>
      </c>
      <c r="BD80" s="42">
        <f>SUM(BB80:BC80)</f>
        <v>73</v>
      </c>
      <c r="BE80" s="298">
        <v>34</v>
      </c>
      <c r="BF80" s="83">
        <v>40</v>
      </c>
      <c r="BG80" s="42">
        <f>SUM(BE80:BF80)</f>
        <v>74</v>
      </c>
      <c r="BH80" s="298">
        <v>35</v>
      </c>
      <c r="BI80" s="83">
        <v>33</v>
      </c>
      <c r="BJ80" s="42">
        <f>SUM(BH80:BI80)</f>
        <v>68</v>
      </c>
    </row>
    <row r="81" spans="1:62" s="38" customFormat="1" ht="15" customHeight="1" x14ac:dyDescent="0.3">
      <c r="A81" s="272"/>
      <c r="B81" s="39" t="s">
        <v>61</v>
      </c>
      <c r="C81" s="82"/>
      <c r="D81" s="296"/>
      <c r="E81" s="42"/>
      <c r="F81" s="293"/>
      <c r="G81" s="296"/>
      <c r="H81" s="42"/>
      <c r="I81" s="82"/>
      <c r="J81" s="83">
        <v>66</v>
      </c>
      <c r="K81" s="42">
        <f t="shared" si="102"/>
        <v>66</v>
      </c>
      <c r="L81" s="82"/>
      <c r="M81" s="299"/>
      <c r="N81" s="42">
        <f t="shared" si="103"/>
        <v>0</v>
      </c>
      <c r="O81" s="82"/>
      <c r="P81" s="83"/>
      <c r="Q81" s="42">
        <f t="shared" si="104"/>
        <v>0</v>
      </c>
      <c r="R81" s="82"/>
      <c r="S81" s="83"/>
      <c r="T81" s="42">
        <f t="shared" si="105"/>
        <v>0</v>
      </c>
      <c r="U81" s="82"/>
      <c r="V81" s="83"/>
      <c r="W81" s="42">
        <f t="shared" si="106"/>
        <v>0</v>
      </c>
      <c r="X81" s="82"/>
      <c r="Y81" s="83"/>
      <c r="Z81" s="42">
        <f t="shared" si="91"/>
        <v>0</v>
      </c>
      <c r="AA81" s="82"/>
      <c r="AB81" s="83"/>
      <c r="AC81" s="42">
        <f t="shared" si="92"/>
        <v>0</v>
      </c>
      <c r="AD81" s="82"/>
      <c r="AE81" s="83"/>
      <c r="AF81" s="42">
        <f t="shared" si="2"/>
        <v>0</v>
      </c>
      <c r="AG81" s="82"/>
      <c r="AH81" s="83"/>
      <c r="AI81" s="42"/>
      <c r="AJ81" s="300"/>
      <c r="AK81" s="83"/>
      <c r="AL81" s="42"/>
      <c r="AM81" s="300"/>
      <c r="AN81" s="83">
        <v>43</v>
      </c>
      <c r="AO81" s="42">
        <f>SUM(AM81:AN81)</f>
        <v>43</v>
      </c>
      <c r="AP81" s="300"/>
      <c r="AQ81" s="83">
        <v>43</v>
      </c>
      <c r="AR81" s="42">
        <f>SUM(AP81:AQ81)</f>
        <v>43</v>
      </c>
      <c r="AS81" s="300"/>
      <c r="AT81" s="83">
        <v>44</v>
      </c>
      <c r="AU81" s="42">
        <f>SUM(AS81:AT81)</f>
        <v>44</v>
      </c>
      <c r="AV81" s="300"/>
      <c r="AW81" s="83">
        <v>47</v>
      </c>
      <c r="AX81" s="42">
        <f>SUM(AV81:AW81)</f>
        <v>47</v>
      </c>
      <c r="AY81" s="300"/>
      <c r="AZ81" s="83">
        <v>39</v>
      </c>
      <c r="BA81" s="42">
        <f>SUM(AY81:AZ81)</f>
        <v>39</v>
      </c>
      <c r="BB81" s="300"/>
      <c r="BC81" s="83">
        <v>36</v>
      </c>
      <c r="BD81" s="42">
        <f>SUM(BB81:BC81)</f>
        <v>36</v>
      </c>
      <c r="BE81" s="300"/>
      <c r="BF81" s="83">
        <v>41</v>
      </c>
      <c r="BG81" s="42">
        <f>SUM(BE81:BF81)</f>
        <v>41</v>
      </c>
      <c r="BH81" s="300"/>
      <c r="BI81" s="83">
        <v>36</v>
      </c>
      <c r="BJ81" s="42">
        <f>SUM(BH81:BI81)</f>
        <v>36</v>
      </c>
    </row>
    <row r="82" spans="1:62" s="38" customFormat="1" ht="15" customHeight="1" x14ac:dyDescent="0.3">
      <c r="A82" s="272"/>
      <c r="B82" s="39" t="s">
        <v>106</v>
      </c>
      <c r="C82" s="82"/>
      <c r="D82" s="296"/>
      <c r="E82" s="42"/>
      <c r="F82" s="293"/>
      <c r="G82" s="296"/>
      <c r="H82" s="42"/>
      <c r="I82" s="82"/>
      <c r="J82" s="83"/>
      <c r="K82" s="42">
        <f t="shared" si="102"/>
        <v>0</v>
      </c>
      <c r="L82" s="82"/>
      <c r="M82" s="83"/>
      <c r="N82" s="42">
        <f t="shared" si="103"/>
        <v>0</v>
      </c>
      <c r="O82" s="82"/>
      <c r="P82" s="83">
        <v>30</v>
      </c>
      <c r="Q82" s="42">
        <f t="shared" si="104"/>
        <v>30</v>
      </c>
      <c r="R82" s="82"/>
      <c r="S82" s="83">
        <v>22</v>
      </c>
      <c r="T82" s="42">
        <f t="shared" si="105"/>
        <v>22</v>
      </c>
      <c r="U82" s="82"/>
      <c r="V82" s="83">
        <v>25</v>
      </c>
      <c r="W82" s="42">
        <f t="shared" si="106"/>
        <v>25</v>
      </c>
      <c r="X82" s="82"/>
      <c r="Y82" s="83">
        <v>44</v>
      </c>
      <c r="Z82" s="42">
        <f t="shared" si="91"/>
        <v>44</v>
      </c>
      <c r="AA82" s="82"/>
      <c r="AB82" s="83">
        <v>29</v>
      </c>
      <c r="AC82" s="42">
        <f t="shared" si="92"/>
        <v>29</v>
      </c>
      <c r="AD82" s="82"/>
      <c r="AE82" s="83">
        <v>32</v>
      </c>
      <c r="AF82" s="42">
        <f t="shared" si="2"/>
        <v>32</v>
      </c>
      <c r="AG82" s="82"/>
      <c r="AH82" s="83">
        <v>40</v>
      </c>
      <c r="AI82" s="42">
        <f>SUM(AG82:AH82)</f>
        <v>40</v>
      </c>
      <c r="AJ82" s="300">
        <v>36</v>
      </c>
      <c r="AK82" s="83">
        <v>40</v>
      </c>
      <c r="AL82" s="42">
        <f>SUM(AJ82:AK82)</f>
        <v>76</v>
      </c>
      <c r="AM82" s="300">
        <v>36</v>
      </c>
      <c r="AN82" s="83">
        <v>43</v>
      </c>
      <c r="AO82" s="42">
        <f>SUM(AM82:AN82)</f>
        <v>79</v>
      </c>
      <c r="AP82" s="300">
        <v>35</v>
      </c>
      <c r="AQ82" s="83">
        <v>36</v>
      </c>
      <c r="AR82" s="42">
        <f>SUM(AP82:AQ82)</f>
        <v>71</v>
      </c>
      <c r="AS82" s="300">
        <v>34</v>
      </c>
      <c r="AT82" s="83">
        <v>39</v>
      </c>
      <c r="AU82" s="42">
        <f>SUM(AS82:AT82)</f>
        <v>73</v>
      </c>
      <c r="AV82" s="300">
        <v>35</v>
      </c>
      <c r="AW82" s="83">
        <v>42</v>
      </c>
      <c r="AX82" s="42">
        <f>SUM(AV82:AW82)</f>
        <v>77</v>
      </c>
      <c r="AY82" s="300">
        <v>34</v>
      </c>
      <c r="AZ82" s="83">
        <v>35</v>
      </c>
      <c r="BA82" s="42">
        <f>SUM(AY82:AZ82)</f>
        <v>69</v>
      </c>
      <c r="BB82" s="300">
        <v>32</v>
      </c>
      <c r="BC82" s="83">
        <v>33</v>
      </c>
      <c r="BD82" s="42">
        <f>SUM(BB82:BC82)</f>
        <v>65</v>
      </c>
      <c r="BE82" s="300">
        <v>26</v>
      </c>
      <c r="BF82" s="83">
        <v>25</v>
      </c>
      <c r="BG82" s="42">
        <f>SUM(BE82:BF82)</f>
        <v>51</v>
      </c>
      <c r="BH82" s="300">
        <v>21</v>
      </c>
      <c r="BI82" s="83">
        <v>24</v>
      </c>
      <c r="BJ82" s="42">
        <f>SUM(BH82:BI82)</f>
        <v>45</v>
      </c>
    </row>
    <row r="83" spans="1:62" s="38" customFormat="1" ht="15" customHeight="1" x14ac:dyDescent="0.3">
      <c r="A83" s="272"/>
      <c r="B83" s="45" t="s">
        <v>107</v>
      </c>
      <c r="C83" s="46"/>
      <c r="D83" s="282"/>
      <c r="E83" s="48"/>
      <c r="F83" s="283"/>
      <c r="G83" s="282"/>
      <c r="H83" s="48"/>
      <c r="I83" s="46"/>
      <c r="J83" s="50"/>
      <c r="K83" s="48">
        <f t="shared" si="102"/>
        <v>0</v>
      </c>
      <c r="L83" s="46"/>
      <c r="M83" s="50"/>
      <c r="N83" s="48">
        <f t="shared" si="103"/>
        <v>0</v>
      </c>
      <c r="O83" s="46"/>
      <c r="P83" s="50">
        <v>36</v>
      </c>
      <c r="Q83" s="48">
        <f t="shared" si="104"/>
        <v>36</v>
      </c>
      <c r="R83" s="46"/>
      <c r="S83" s="50">
        <v>34</v>
      </c>
      <c r="T83" s="48">
        <f t="shared" si="105"/>
        <v>34</v>
      </c>
      <c r="U83" s="46"/>
      <c r="V83" s="50">
        <v>32</v>
      </c>
      <c r="W83" s="48">
        <f t="shared" si="106"/>
        <v>32</v>
      </c>
      <c r="X83" s="46"/>
      <c r="Y83" s="50">
        <v>36</v>
      </c>
      <c r="Z83" s="48">
        <f t="shared" si="91"/>
        <v>36</v>
      </c>
      <c r="AA83" s="51"/>
      <c r="AB83" s="50">
        <v>39</v>
      </c>
      <c r="AC83" s="48">
        <f t="shared" si="92"/>
        <v>39</v>
      </c>
      <c r="AD83" s="51"/>
      <c r="AE83" s="50">
        <v>36</v>
      </c>
      <c r="AF83" s="48">
        <f t="shared" si="2"/>
        <v>36</v>
      </c>
      <c r="AG83" s="51"/>
      <c r="AH83" s="50">
        <v>39</v>
      </c>
      <c r="AI83" s="48">
        <f>SUM(AG83:AH83)</f>
        <v>39</v>
      </c>
      <c r="AJ83" s="51">
        <v>38</v>
      </c>
      <c r="AK83" s="50">
        <v>37</v>
      </c>
      <c r="AL83" s="48">
        <f>SUM(AJ83:AK83)</f>
        <v>75</v>
      </c>
      <c r="AM83" s="51">
        <v>34</v>
      </c>
      <c r="AN83" s="50">
        <v>41</v>
      </c>
      <c r="AO83" s="48">
        <f>SUM(AM83:AN83)</f>
        <v>75</v>
      </c>
      <c r="AP83" s="51">
        <v>36</v>
      </c>
      <c r="AQ83" s="50">
        <v>41</v>
      </c>
      <c r="AR83" s="48">
        <f>SUM(AP83:AQ83)</f>
        <v>77</v>
      </c>
      <c r="AS83" s="51">
        <v>35</v>
      </c>
      <c r="AT83" s="50">
        <v>38</v>
      </c>
      <c r="AU83" s="42">
        <f>SUM(AS83:AT83)</f>
        <v>73</v>
      </c>
      <c r="AV83" s="51">
        <v>38</v>
      </c>
      <c r="AW83" s="50">
        <v>44</v>
      </c>
      <c r="AX83" s="42">
        <f>SUM(AV83:AW83)</f>
        <v>82</v>
      </c>
      <c r="AY83" s="51">
        <v>42</v>
      </c>
      <c r="AZ83" s="50">
        <v>36</v>
      </c>
      <c r="BA83" s="42">
        <f>SUM(AY83:AZ83)</f>
        <v>78</v>
      </c>
      <c r="BB83" s="51">
        <v>35</v>
      </c>
      <c r="BC83" s="50">
        <v>35</v>
      </c>
      <c r="BD83" s="42">
        <f>SUM(BB83:BC83)</f>
        <v>70</v>
      </c>
      <c r="BE83" s="51">
        <v>32</v>
      </c>
      <c r="BF83" s="50">
        <v>36</v>
      </c>
      <c r="BG83" s="42">
        <f>SUM(BE83:BF83)</f>
        <v>68</v>
      </c>
      <c r="BH83" s="51">
        <v>32</v>
      </c>
      <c r="BI83" s="50">
        <v>36</v>
      </c>
      <c r="BJ83" s="42">
        <f>SUM(BH83:BI83)</f>
        <v>68</v>
      </c>
    </row>
    <row r="84" spans="1:62" s="38" customFormat="1" ht="15" customHeight="1" x14ac:dyDescent="0.3">
      <c r="A84" s="272"/>
      <c r="B84" s="52" t="s">
        <v>64</v>
      </c>
      <c r="C84" s="53"/>
      <c r="D84" s="284"/>
      <c r="E84" s="55"/>
      <c r="F84" s="53"/>
      <c r="G84" s="284"/>
      <c r="H84" s="55"/>
      <c r="I84" s="53">
        <f t="shared" ref="I84:BD84" si="107">SUM(I80:I83)</f>
        <v>0</v>
      </c>
      <c r="J84" s="284">
        <f t="shared" si="107"/>
        <v>134</v>
      </c>
      <c r="K84" s="55">
        <f t="shared" si="107"/>
        <v>134</v>
      </c>
      <c r="L84" s="53">
        <f t="shared" si="107"/>
        <v>0</v>
      </c>
      <c r="M84" s="284">
        <f t="shared" si="107"/>
        <v>52</v>
      </c>
      <c r="N84" s="55">
        <f t="shared" si="107"/>
        <v>52</v>
      </c>
      <c r="O84" s="53">
        <f t="shared" si="107"/>
        <v>0</v>
      </c>
      <c r="P84" s="284">
        <f t="shared" si="107"/>
        <v>137</v>
      </c>
      <c r="Q84" s="55">
        <f t="shared" si="107"/>
        <v>137</v>
      </c>
      <c r="R84" s="53">
        <f t="shared" si="107"/>
        <v>0</v>
      </c>
      <c r="S84" s="284">
        <f t="shared" si="107"/>
        <v>122</v>
      </c>
      <c r="T84" s="55">
        <f t="shared" si="107"/>
        <v>122</v>
      </c>
      <c r="U84" s="53">
        <f t="shared" si="107"/>
        <v>0</v>
      </c>
      <c r="V84" s="284">
        <f t="shared" si="107"/>
        <v>90</v>
      </c>
      <c r="W84" s="55">
        <f t="shared" si="107"/>
        <v>90</v>
      </c>
      <c r="X84" s="53">
        <f t="shared" si="107"/>
        <v>0</v>
      </c>
      <c r="Y84" s="284">
        <f t="shared" si="107"/>
        <v>116</v>
      </c>
      <c r="Z84" s="55">
        <f t="shared" si="107"/>
        <v>116</v>
      </c>
      <c r="AA84" s="53">
        <f t="shared" si="107"/>
        <v>0</v>
      </c>
      <c r="AB84" s="284">
        <f t="shared" si="107"/>
        <v>105</v>
      </c>
      <c r="AC84" s="55">
        <f t="shared" si="107"/>
        <v>105</v>
      </c>
      <c r="AD84" s="53">
        <f t="shared" si="107"/>
        <v>0</v>
      </c>
      <c r="AE84" s="284">
        <f t="shared" si="107"/>
        <v>106</v>
      </c>
      <c r="AF84" s="55">
        <f t="shared" si="107"/>
        <v>106</v>
      </c>
      <c r="AG84" s="53">
        <f t="shared" si="107"/>
        <v>0</v>
      </c>
      <c r="AH84" s="54">
        <f t="shared" si="107"/>
        <v>123</v>
      </c>
      <c r="AI84" s="55">
        <f t="shared" si="107"/>
        <v>123</v>
      </c>
      <c r="AJ84" s="56">
        <f t="shared" si="107"/>
        <v>105</v>
      </c>
      <c r="AK84" s="57">
        <f t="shared" si="107"/>
        <v>122</v>
      </c>
      <c r="AL84" s="55">
        <f t="shared" si="107"/>
        <v>227</v>
      </c>
      <c r="AM84" s="56">
        <f t="shared" si="107"/>
        <v>104</v>
      </c>
      <c r="AN84" s="57">
        <f t="shared" si="107"/>
        <v>171</v>
      </c>
      <c r="AO84" s="55">
        <f t="shared" si="107"/>
        <v>275</v>
      </c>
      <c r="AP84" s="56">
        <f t="shared" si="107"/>
        <v>107</v>
      </c>
      <c r="AQ84" s="57">
        <f t="shared" si="107"/>
        <v>161</v>
      </c>
      <c r="AR84" s="55">
        <f t="shared" si="107"/>
        <v>268</v>
      </c>
      <c r="AS84" s="56">
        <f t="shared" si="107"/>
        <v>107</v>
      </c>
      <c r="AT84" s="57">
        <f t="shared" si="107"/>
        <v>159</v>
      </c>
      <c r="AU84" s="55">
        <f t="shared" si="107"/>
        <v>266</v>
      </c>
      <c r="AV84" s="56">
        <f t="shared" si="107"/>
        <v>109</v>
      </c>
      <c r="AW84" s="57">
        <f t="shared" si="107"/>
        <v>173</v>
      </c>
      <c r="AX84" s="55">
        <f t="shared" si="107"/>
        <v>282</v>
      </c>
      <c r="AY84" s="56">
        <f t="shared" si="107"/>
        <v>120</v>
      </c>
      <c r="AZ84" s="57">
        <f t="shared" si="107"/>
        <v>147</v>
      </c>
      <c r="BA84" s="55">
        <f t="shared" si="107"/>
        <v>267</v>
      </c>
      <c r="BB84" s="56">
        <f t="shared" si="107"/>
        <v>102</v>
      </c>
      <c r="BC84" s="57">
        <f t="shared" si="107"/>
        <v>142</v>
      </c>
      <c r="BD84" s="55">
        <f t="shared" si="107"/>
        <v>244</v>
      </c>
      <c r="BE84" s="56">
        <f t="shared" ref="BE84:BG84" si="108">SUM(BE80:BE83)</f>
        <v>92</v>
      </c>
      <c r="BF84" s="57">
        <f>SUM(BF80:BF83)</f>
        <v>142</v>
      </c>
      <c r="BG84" s="55">
        <f t="shared" si="108"/>
        <v>234</v>
      </c>
      <c r="BH84" s="56">
        <f t="shared" ref="BH84" si="109">SUM(BH80:BH83)</f>
        <v>88</v>
      </c>
      <c r="BI84" s="57">
        <f>SUM(BI80:BI83)</f>
        <v>129</v>
      </c>
      <c r="BJ84" s="55">
        <f t="shared" ref="BJ84" si="110">SUM(BJ80:BJ83)</f>
        <v>217</v>
      </c>
    </row>
    <row r="85" spans="1:62" s="38" customFormat="1" ht="15" customHeight="1" x14ac:dyDescent="0.3">
      <c r="A85" s="272"/>
      <c r="B85" s="58" t="s">
        <v>108</v>
      </c>
      <c r="C85" s="285"/>
      <c r="D85" s="286"/>
      <c r="E85" s="61"/>
      <c r="F85" s="285"/>
      <c r="G85" s="286"/>
      <c r="H85" s="61"/>
      <c r="I85" s="59"/>
      <c r="J85" s="60">
        <v>41</v>
      </c>
      <c r="K85" s="61">
        <f t="shared" si="102"/>
        <v>41</v>
      </c>
      <c r="L85" s="59"/>
      <c r="M85" s="60">
        <v>37</v>
      </c>
      <c r="N85" s="61">
        <f t="shared" si="103"/>
        <v>37</v>
      </c>
      <c r="O85" s="59"/>
      <c r="P85" s="60">
        <v>67</v>
      </c>
      <c r="Q85" s="61">
        <f t="shared" si="104"/>
        <v>67</v>
      </c>
      <c r="R85" s="59"/>
      <c r="S85" s="60">
        <v>59</v>
      </c>
      <c r="T85" s="61">
        <f t="shared" si="105"/>
        <v>59</v>
      </c>
      <c r="U85" s="59"/>
      <c r="V85" s="60">
        <v>30</v>
      </c>
      <c r="W85" s="61">
        <f t="shared" si="106"/>
        <v>30</v>
      </c>
      <c r="X85" s="59"/>
      <c r="Y85" s="60">
        <v>46</v>
      </c>
      <c r="Z85" s="61">
        <f t="shared" si="91"/>
        <v>46</v>
      </c>
      <c r="AA85" s="59"/>
      <c r="AB85" s="60">
        <v>49</v>
      </c>
      <c r="AC85" s="61">
        <f t="shared" si="92"/>
        <v>49</v>
      </c>
      <c r="AD85" s="59"/>
      <c r="AE85" s="60">
        <v>48</v>
      </c>
      <c r="AF85" s="61">
        <f t="shared" ref="AF85:AF103" si="111">SUM(AD85:AE85)</f>
        <v>48</v>
      </c>
      <c r="AG85" s="59"/>
      <c r="AH85" s="60">
        <v>50</v>
      </c>
      <c r="AI85" s="61">
        <f>SUM(AG85:AH85)</f>
        <v>50</v>
      </c>
      <c r="AJ85" s="62"/>
      <c r="AK85" s="60">
        <v>64</v>
      </c>
      <c r="AL85" s="61">
        <f>SUM(AJ85:AK85)</f>
        <v>64</v>
      </c>
      <c r="AM85" s="62"/>
      <c r="AN85" s="60">
        <v>71</v>
      </c>
      <c r="AO85" s="61">
        <f>SUM(AM85:AN85)</f>
        <v>71</v>
      </c>
      <c r="AP85" s="62"/>
      <c r="AQ85" s="60">
        <v>84</v>
      </c>
      <c r="AR85" s="61">
        <f>SUM(AP85:AQ85)</f>
        <v>84</v>
      </c>
      <c r="AS85" s="62"/>
      <c r="AT85" s="60">
        <v>82</v>
      </c>
      <c r="AU85" s="61">
        <f>SUM(AS85:AT85)</f>
        <v>82</v>
      </c>
      <c r="AV85" s="62"/>
      <c r="AW85" s="60">
        <v>88</v>
      </c>
      <c r="AX85" s="61">
        <f>SUM(AV85:AW85)</f>
        <v>88</v>
      </c>
      <c r="AY85" s="62"/>
      <c r="AZ85" s="60">
        <v>86</v>
      </c>
      <c r="BA85" s="61">
        <f>SUM(AY85:AZ85)</f>
        <v>86</v>
      </c>
      <c r="BB85" s="62"/>
      <c r="BC85" s="60">
        <v>77</v>
      </c>
      <c r="BD85" s="61">
        <f>SUM(BB85:BC85)</f>
        <v>77</v>
      </c>
      <c r="BE85" s="62"/>
      <c r="BF85" s="60">
        <v>82</v>
      </c>
      <c r="BG85" s="61">
        <f>SUM(BE85:BF85)</f>
        <v>82</v>
      </c>
      <c r="BH85" s="62"/>
      <c r="BI85" s="60">
        <v>82</v>
      </c>
      <c r="BJ85" s="61">
        <f>SUM(BH85:BI85)</f>
        <v>82</v>
      </c>
    </row>
    <row r="86" spans="1:62" s="38" customFormat="1" ht="15" customHeight="1" x14ac:dyDescent="0.3">
      <c r="A86" s="272"/>
      <c r="B86" s="39" t="s">
        <v>109</v>
      </c>
      <c r="C86" s="82"/>
      <c r="D86" s="296"/>
      <c r="E86" s="42"/>
      <c r="F86" s="293"/>
      <c r="G86" s="296"/>
      <c r="H86" s="42"/>
      <c r="I86" s="82"/>
      <c r="J86" s="83"/>
      <c r="K86" s="42">
        <f t="shared" si="102"/>
        <v>0</v>
      </c>
      <c r="L86" s="82"/>
      <c r="M86" s="83"/>
      <c r="N86" s="42">
        <f t="shared" si="103"/>
        <v>0</v>
      </c>
      <c r="O86" s="82"/>
      <c r="P86" s="83">
        <v>30</v>
      </c>
      <c r="Q86" s="42">
        <f t="shared" si="104"/>
        <v>30</v>
      </c>
      <c r="R86" s="82"/>
      <c r="S86" s="83">
        <v>28</v>
      </c>
      <c r="T86" s="42">
        <f t="shared" si="105"/>
        <v>28</v>
      </c>
      <c r="U86" s="82"/>
      <c r="V86" s="83">
        <v>49</v>
      </c>
      <c r="W86" s="42">
        <f t="shared" si="106"/>
        <v>49</v>
      </c>
      <c r="X86" s="82"/>
      <c r="Y86" s="83">
        <v>45</v>
      </c>
      <c r="Z86" s="42">
        <f t="shared" si="91"/>
        <v>45</v>
      </c>
      <c r="AA86" s="82"/>
      <c r="AB86" s="83">
        <v>49</v>
      </c>
      <c r="AC86" s="42">
        <f t="shared" si="92"/>
        <v>49</v>
      </c>
      <c r="AD86" s="82"/>
      <c r="AE86" s="83">
        <v>44</v>
      </c>
      <c r="AF86" s="42">
        <f t="shared" si="111"/>
        <v>44</v>
      </c>
      <c r="AG86" s="82"/>
      <c r="AH86" s="83">
        <v>49</v>
      </c>
      <c r="AI86" s="42">
        <f>SUM(AG86:AH86)</f>
        <v>49</v>
      </c>
      <c r="AJ86" s="82"/>
      <c r="AK86" s="83">
        <v>48</v>
      </c>
      <c r="AL86" s="42">
        <f>SUM(AJ86:AK86)</f>
        <v>48</v>
      </c>
      <c r="AM86" s="82"/>
      <c r="AN86" s="83">
        <v>61</v>
      </c>
      <c r="AO86" s="42">
        <f>SUM(AM86:AN86)</f>
        <v>61</v>
      </c>
      <c r="AP86" s="82"/>
      <c r="AQ86" s="83">
        <v>63</v>
      </c>
      <c r="AR86" s="42">
        <f>SUM(AP86:AQ86)</f>
        <v>63</v>
      </c>
      <c r="AS86" s="82"/>
      <c r="AT86" s="83">
        <v>67</v>
      </c>
      <c r="AU86" s="42">
        <f>SUM(AS86:AT86)</f>
        <v>67</v>
      </c>
      <c r="AV86" s="82"/>
      <c r="AW86" s="83">
        <v>79</v>
      </c>
      <c r="AX86" s="42">
        <f>SUM(AV86:AW86)</f>
        <v>79</v>
      </c>
      <c r="AY86" s="82"/>
      <c r="AZ86" s="83">
        <v>65</v>
      </c>
      <c r="BA86" s="42">
        <f>SUM(AY86:AZ86)</f>
        <v>65</v>
      </c>
      <c r="BB86" s="82"/>
      <c r="BC86" s="83">
        <v>65</v>
      </c>
      <c r="BD86" s="42">
        <f>SUM(BB86:BC86)</f>
        <v>65</v>
      </c>
      <c r="BE86" s="82"/>
      <c r="BF86" s="83">
        <v>68</v>
      </c>
      <c r="BG86" s="42">
        <f>SUM(BE86:BF86)</f>
        <v>68</v>
      </c>
      <c r="BH86" s="82"/>
      <c r="BI86" s="83">
        <v>70</v>
      </c>
      <c r="BJ86" s="42">
        <f>SUM(BH86:BI86)</f>
        <v>70</v>
      </c>
    </row>
    <row r="87" spans="1:62" s="38" customFormat="1" ht="15" customHeight="1" x14ac:dyDescent="0.3">
      <c r="A87" s="272"/>
      <c r="B87" s="45" t="s">
        <v>110</v>
      </c>
      <c r="C87" s="46"/>
      <c r="D87" s="282"/>
      <c r="E87" s="48"/>
      <c r="F87" s="283"/>
      <c r="G87" s="282"/>
      <c r="H87" s="48"/>
      <c r="I87" s="46"/>
      <c r="J87" s="50"/>
      <c r="K87" s="48">
        <f t="shared" si="102"/>
        <v>0</v>
      </c>
      <c r="L87" s="46"/>
      <c r="M87" s="50"/>
      <c r="N87" s="48">
        <f t="shared" si="103"/>
        <v>0</v>
      </c>
      <c r="O87" s="46"/>
      <c r="P87" s="50">
        <v>66</v>
      </c>
      <c r="Q87" s="48">
        <f t="shared" si="104"/>
        <v>66</v>
      </c>
      <c r="R87" s="46"/>
      <c r="S87" s="50">
        <v>57</v>
      </c>
      <c r="T87" s="48">
        <f t="shared" si="105"/>
        <v>57</v>
      </c>
      <c r="U87" s="46"/>
      <c r="V87" s="50">
        <v>43</v>
      </c>
      <c r="W87" s="48">
        <f t="shared" si="106"/>
        <v>43</v>
      </c>
      <c r="X87" s="46"/>
      <c r="Y87" s="50">
        <v>46</v>
      </c>
      <c r="Z87" s="48">
        <f t="shared" si="91"/>
        <v>46</v>
      </c>
      <c r="AA87" s="51"/>
      <c r="AB87" s="50">
        <v>60</v>
      </c>
      <c r="AC87" s="48">
        <f t="shared" si="92"/>
        <v>60</v>
      </c>
      <c r="AD87" s="51"/>
      <c r="AE87" s="50">
        <v>61</v>
      </c>
      <c r="AF87" s="48">
        <f t="shared" si="111"/>
        <v>61</v>
      </c>
      <c r="AG87" s="51"/>
      <c r="AH87" s="50">
        <v>59</v>
      </c>
      <c r="AI87" s="48">
        <f>SUM(AG87:AH87)</f>
        <v>59</v>
      </c>
      <c r="AJ87" s="51"/>
      <c r="AK87" s="50">
        <v>77</v>
      </c>
      <c r="AL87" s="48">
        <f>SUM(AJ87:AK87)</f>
        <v>77</v>
      </c>
      <c r="AM87" s="51"/>
      <c r="AN87" s="50">
        <v>102</v>
      </c>
      <c r="AO87" s="48">
        <f>SUM(AM87:AN87)</f>
        <v>102</v>
      </c>
      <c r="AP87" s="51"/>
      <c r="AQ87" s="50">
        <v>104</v>
      </c>
      <c r="AR87" s="48">
        <f>SUM(AP87:AQ87)</f>
        <v>104</v>
      </c>
      <c r="AS87" s="51"/>
      <c r="AT87" s="50">
        <v>108</v>
      </c>
      <c r="AU87" s="48">
        <f>SUM(AS87:AT87)</f>
        <v>108</v>
      </c>
      <c r="AV87" s="51"/>
      <c r="AW87" s="50">
        <v>105</v>
      </c>
      <c r="AX87" s="48">
        <f>SUM(AV87:AW87)</f>
        <v>105</v>
      </c>
      <c r="AY87" s="51"/>
      <c r="AZ87" s="50">
        <v>106</v>
      </c>
      <c r="BA87" s="48">
        <f>SUM(AY87:AZ87)</f>
        <v>106</v>
      </c>
      <c r="BB87" s="51"/>
      <c r="BC87" s="50">
        <v>99</v>
      </c>
      <c r="BD87" s="48">
        <f>SUM(BB87:BC87)</f>
        <v>99</v>
      </c>
      <c r="BE87" s="51"/>
      <c r="BF87" s="50">
        <v>105</v>
      </c>
      <c r="BG87" s="48">
        <f>SUM(BE87:BF87)</f>
        <v>105</v>
      </c>
      <c r="BH87" s="51"/>
      <c r="BI87" s="50">
        <v>111</v>
      </c>
      <c r="BJ87" s="48">
        <f>SUM(BH87:BI87)</f>
        <v>111</v>
      </c>
    </row>
    <row r="88" spans="1:62" s="38" customFormat="1" ht="15" customHeight="1" x14ac:dyDescent="0.3">
      <c r="A88" s="272"/>
      <c r="B88" s="52" t="s">
        <v>111</v>
      </c>
      <c r="C88" s="53"/>
      <c r="D88" s="284"/>
      <c r="E88" s="55"/>
      <c r="F88" s="53"/>
      <c r="G88" s="284"/>
      <c r="H88" s="55"/>
      <c r="I88" s="53">
        <f t="shared" ref="I88:AL88" si="112">SUM(I85:I87)</f>
        <v>0</v>
      </c>
      <c r="J88" s="284">
        <f t="shared" si="112"/>
        <v>41</v>
      </c>
      <c r="K88" s="55">
        <f t="shared" si="112"/>
        <v>41</v>
      </c>
      <c r="L88" s="53">
        <f t="shared" si="112"/>
        <v>0</v>
      </c>
      <c r="M88" s="284">
        <f t="shared" si="112"/>
        <v>37</v>
      </c>
      <c r="N88" s="55">
        <f t="shared" si="112"/>
        <v>37</v>
      </c>
      <c r="O88" s="53">
        <f t="shared" si="112"/>
        <v>0</v>
      </c>
      <c r="P88" s="284">
        <f t="shared" si="112"/>
        <v>163</v>
      </c>
      <c r="Q88" s="55">
        <f t="shared" si="112"/>
        <v>163</v>
      </c>
      <c r="R88" s="53">
        <f t="shared" si="112"/>
        <v>0</v>
      </c>
      <c r="S88" s="284">
        <f t="shared" si="112"/>
        <v>144</v>
      </c>
      <c r="T88" s="55">
        <f t="shared" si="112"/>
        <v>144</v>
      </c>
      <c r="U88" s="53">
        <f t="shared" si="112"/>
        <v>0</v>
      </c>
      <c r="V88" s="284">
        <f t="shared" si="112"/>
        <v>122</v>
      </c>
      <c r="W88" s="55">
        <f t="shared" si="112"/>
        <v>122</v>
      </c>
      <c r="X88" s="53">
        <f t="shared" si="112"/>
        <v>0</v>
      </c>
      <c r="Y88" s="284">
        <f t="shared" si="112"/>
        <v>137</v>
      </c>
      <c r="Z88" s="55">
        <f t="shared" si="112"/>
        <v>137</v>
      </c>
      <c r="AA88" s="53">
        <f t="shared" si="112"/>
        <v>0</v>
      </c>
      <c r="AB88" s="284">
        <f t="shared" si="112"/>
        <v>158</v>
      </c>
      <c r="AC88" s="55">
        <f t="shared" si="112"/>
        <v>158</v>
      </c>
      <c r="AD88" s="53">
        <f t="shared" si="112"/>
        <v>0</v>
      </c>
      <c r="AE88" s="284">
        <f t="shared" si="112"/>
        <v>153</v>
      </c>
      <c r="AF88" s="55">
        <f t="shared" si="112"/>
        <v>153</v>
      </c>
      <c r="AG88" s="53">
        <f t="shared" si="112"/>
        <v>0</v>
      </c>
      <c r="AH88" s="54">
        <f t="shared" si="112"/>
        <v>158</v>
      </c>
      <c r="AI88" s="55">
        <f t="shared" si="112"/>
        <v>158</v>
      </c>
      <c r="AJ88" s="56">
        <f t="shared" si="112"/>
        <v>0</v>
      </c>
      <c r="AK88" s="57">
        <f t="shared" si="112"/>
        <v>189</v>
      </c>
      <c r="AL88" s="55">
        <f t="shared" si="112"/>
        <v>189</v>
      </c>
      <c r="AM88" s="56">
        <f>SUM(AM85:AM87)</f>
        <v>0</v>
      </c>
      <c r="AN88" s="57">
        <f>SUM(AN85:AN87)</f>
        <v>234</v>
      </c>
      <c r="AO88" s="55">
        <f>SUM(AO85:AO87)</f>
        <v>234</v>
      </c>
      <c r="AP88" s="56">
        <f>SUM(AP85:AP87)</f>
        <v>0</v>
      </c>
      <c r="AQ88" s="57">
        <v>251</v>
      </c>
      <c r="AR88" s="55">
        <f t="shared" ref="AR88:BD88" si="113">SUM(AR85:AR87)</f>
        <v>251</v>
      </c>
      <c r="AS88" s="56">
        <f t="shared" si="113"/>
        <v>0</v>
      </c>
      <c r="AT88" s="57">
        <f t="shared" si="113"/>
        <v>257</v>
      </c>
      <c r="AU88" s="55">
        <f t="shared" si="113"/>
        <v>257</v>
      </c>
      <c r="AV88" s="56">
        <f t="shared" si="113"/>
        <v>0</v>
      </c>
      <c r="AW88" s="57">
        <f>SUM(AW85:AW87)</f>
        <v>272</v>
      </c>
      <c r="AX88" s="55">
        <f t="shared" si="113"/>
        <v>272</v>
      </c>
      <c r="AY88" s="56">
        <f t="shared" si="113"/>
        <v>0</v>
      </c>
      <c r="AZ88" s="57">
        <f t="shared" si="113"/>
        <v>257</v>
      </c>
      <c r="BA88" s="55">
        <f t="shared" si="113"/>
        <v>257</v>
      </c>
      <c r="BB88" s="56">
        <f t="shared" si="113"/>
        <v>0</v>
      </c>
      <c r="BC88" s="57">
        <f t="shared" si="113"/>
        <v>241</v>
      </c>
      <c r="BD88" s="55">
        <f t="shared" si="113"/>
        <v>241</v>
      </c>
      <c r="BE88" s="56">
        <f t="shared" ref="BE88:BG88" si="114">SUM(BE85:BE87)</f>
        <v>0</v>
      </c>
      <c r="BF88" s="57">
        <f>SUM(BF85:BF87)</f>
        <v>255</v>
      </c>
      <c r="BG88" s="55">
        <f t="shared" si="114"/>
        <v>255</v>
      </c>
      <c r="BH88" s="56">
        <f t="shared" ref="BH88" si="115">SUM(BH85:BH87)</f>
        <v>0</v>
      </c>
      <c r="BI88" s="57">
        <f>SUM(BI85:BI87)</f>
        <v>263</v>
      </c>
      <c r="BJ88" s="55">
        <f t="shared" ref="BJ88" si="116">SUM(BJ85:BJ87)</f>
        <v>263</v>
      </c>
    </row>
    <row r="89" spans="1:62" s="38" customFormat="1" ht="15" customHeight="1" x14ac:dyDescent="0.3">
      <c r="A89" s="272"/>
      <c r="B89" s="58" t="s">
        <v>58</v>
      </c>
      <c r="C89" s="285"/>
      <c r="D89" s="286"/>
      <c r="E89" s="61"/>
      <c r="F89" s="285"/>
      <c r="G89" s="286"/>
      <c r="H89" s="61"/>
      <c r="I89" s="59"/>
      <c r="J89" s="60">
        <v>62</v>
      </c>
      <c r="K89" s="61">
        <f t="shared" si="102"/>
        <v>62</v>
      </c>
      <c r="L89" s="59"/>
      <c r="M89" s="60">
        <v>26</v>
      </c>
      <c r="N89" s="61">
        <f t="shared" si="103"/>
        <v>26</v>
      </c>
      <c r="O89" s="59"/>
      <c r="P89" s="60">
        <v>53</v>
      </c>
      <c r="Q89" s="61">
        <f t="shared" si="104"/>
        <v>53</v>
      </c>
      <c r="R89" s="59"/>
      <c r="S89" s="60">
        <v>78</v>
      </c>
      <c r="T89" s="61">
        <f t="shared" si="105"/>
        <v>78</v>
      </c>
      <c r="U89" s="59"/>
      <c r="V89" s="60">
        <v>41</v>
      </c>
      <c r="W89" s="61">
        <f t="shared" si="106"/>
        <v>41</v>
      </c>
      <c r="X89" s="59"/>
      <c r="Y89" s="60">
        <v>43</v>
      </c>
      <c r="Z89" s="61">
        <f t="shared" si="91"/>
        <v>43</v>
      </c>
      <c r="AA89" s="59"/>
      <c r="AB89" s="60">
        <v>50</v>
      </c>
      <c r="AC89" s="61">
        <f t="shared" si="92"/>
        <v>50</v>
      </c>
      <c r="AD89" s="59"/>
      <c r="AE89" s="60">
        <v>43</v>
      </c>
      <c r="AF89" s="61">
        <f t="shared" si="111"/>
        <v>43</v>
      </c>
      <c r="AG89" s="59"/>
      <c r="AH89" s="60">
        <v>67</v>
      </c>
      <c r="AI89" s="61">
        <f>SUM(AG89:AH89)</f>
        <v>67</v>
      </c>
      <c r="AJ89" s="62"/>
      <c r="AK89" s="60">
        <v>83</v>
      </c>
      <c r="AL89" s="61">
        <f>SUM(AJ89:AK89)</f>
        <v>83</v>
      </c>
      <c r="AM89" s="62"/>
      <c r="AN89" s="60">
        <v>72</v>
      </c>
      <c r="AO89" s="61">
        <f>SUM(AM89:AN89)</f>
        <v>72</v>
      </c>
      <c r="AP89" s="62"/>
      <c r="AQ89" s="60">
        <v>85</v>
      </c>
      <c r="AR89" s="61">
        <f>SUM(AP89:AQ89)</f>
        <v>85</v>
      </c>
      <c r="AS89" s="62"/>
      <c r="AT89" s="60">
        <v>90</v>
      </c>
      <c r="AU89" s="61">
        <f>SUM(AS89:AT89)</f>
        <v>90</v>
      </c>
      <c r="AV89" s="62"/>
      <c r="AW89" s="60">
        <v>91</v>
      </c>
      <c r="AX89" s="61">
        <f>SUM(AV89:AW89)</f>
        <v>91</v>
      </c>
      <c r="AY89" s="62"/>
      <c r="AZ89" s="60">
        <v>82</v>
      </c>
      <c r="BA89" s="61">
        <f>SUM(AY89:AZ89)</f>
        <v>82</v>
      </c>
      <c r="BB89" s="62"/>
      <c r="BC89" s="60">
        <v>77</v>
      </c>
      <c r="BD89" s="61">
        <f>SUM(BB89:BC89)</f>
        <v>77</v>
      </c>
      <c r="BE89" s="62"/>
      <c r="BF89" s="60">
        <v>83</v>
      </c>
      <c r="BG89" s="61">
        <f>SUM(BE89:BF89)</f>
        <v>83</v>
      </c>
      <c r="BH89" s="62"/>
      <c r="BI89" s="60">
        <v>95</v>
      </c>
      <c r="BJ89" s="61">
        <f>SUM(BH89:BI89)</f>
        <v>95</v>
      </c>
    </row>
    <row r="90" spans="1:62" s="38" customFormat="1" ht="15" customHeight="1" x14ac:dyDescent="0.3">
      <c r="A90" s="272"/>
      <c r="B90" s="39" t="s">
        <v>112</v>
      </c>
      <c r="C90" s="82"/>
      <c r="D90" s="296"/>
      <c r="E90" s="42"/>
      <c r="F90" s="293"/>
      <c r="G90" s="296"/>
      <c r="H90" s="42"/>
      <c r="I90" s="82"/>
      <c r="J90" s="83">
        <v>15</v>
      </c>
      <c r="K90" s="42">
        <f t="shared" si="102"/>
        <v>15</v>
      </c>
      <c r="L90" s="82"/>
      <c r="M90" s="297">
        <v>8</v>
      </c>
      <c r="N90" s="42">
        <f t="shared" si="103"/>
        <v>8</v>
      </c>
      <c r="O90" s="82"/>
      <c r="P90" s="83">
        <v>29</v>
      </c>
      <c r="Q90" s="42">
        <f t="shared" si="104"/>
        <v>29</v>
      </c>
      <c r="R90" s="82"/>
      <c r="S90" s="83">
        <v>34</v>
      </c>
      <c r="T90" s="42">
        <f t="shared" si="105"/>
        <v>34</v>
      </c>
      <c r="U90" s="82"/>
      <c r="V90" s="83">
        <v>32</v>
      </c>
      <c r="W90" s="42">
        <f t="shared" si="106"/>
        <v>32</v>
      </c>
      <c r="X90" s="82"/>
      <c r="Y90" s="83">
        <v>31</v>
      </c>
      <c r="Z90" s="42">
        <f t="shared" si="91"/>
        <v>31</v>
      </c>
      <c r="AA90" s="82"/>
      <c r="AB90" s="83">
        <v>42</v>
      </c>
      <c r="AC90" s="42">
        <f t="shared" si="92"/>
        <v>42</v>
      </c>
      <c r="AD90" s="82"/>
      <c r="AE90" s="83">
        <v>39</v>
      </c>
      <c r="AF90" s="42">
        <f t="shared" si="111"/>
        <v>39</v>
      </c>
      <c r="AG90" s="82"/>
      <c r="AH90" s="83">
        <v>43</v>
      </c>
      <c r="AI90" s="42">
        <f>SUM(AG90:AH90)</f>
        <v>43</v>
      </c>
      <c r="AJ90" s="82"/>
      <c r="AK90" s="83">
        <v>50</v>
      </c>
      <c r="AL90" s="42">
        <f>SUM(AJ90:AK90)</f>
        <v>50</v>
      </c>
      <c r="AM90" s="82"/>
      <c r="AN90" s="83">
        <v>52</v>
      </c>
      <c r="AO90" s="42">
        <f>SUM(AM90:AN90)</f>
        <v>52</v>
      </c>
      <c r="AP90" s="82"/>
      <c r="AQ90" s="83">
        <v>52</v>
      </c>
      <c r="AR90" s="42">
        <f>SUM(AP90:AQ90)</f>
        <v>52</v>
      </c>
      <c r="AS90" s="82"/>
      <c r="AT90" s="83">
        <v>54</v>
      </c>
      <c r="AU90" s="42">
        <f>SUM(AS90:AT90)</f>
        <v>54</v>
      </c>
      <c r="AV90" s="82"/>
      <c r="AW90" s="83">
        <v>58</v>
      </c>
      <c r="AX90" s="42">
        <f>SUM(AV90:AW90)</f>
        <v>58</v>
      </c>
      <c r="AY90" s="82"/>
      <c r="AZ90" s="83">
        <v>44</v>
      </c>
      <c r="BA90" s="42">
        <f>SUM(AY90:AZ90)</f>
        <v>44</v>
      </c>
      <c r="BB90" s="82"/>
      <c r="BC90" s="83">
        <v>47</v>
      </c>
      <c r="BD90" s="42">
        <f>SUM(BB90:BC90)</f>
        <v>47</v>
      </c>
      <c r="BE90" s="82"/>
      <c r="BF90" s="83">
        <v>45</v>
      </c>
      <c r="BG90" s="42">
        <f>SUM(BE90:BF90)</f>
        <v>45</v>
      </c>
      <c r="BH90" s="82"/>
      <c r="BI90" s="83">
        <v>41</v>
      </c>
      <c r="BJ90" s="42">
        <f>SUM(BH90:BI90)</f>
        <v>41</v>
      </c>
    </row>
    <row r="91" spans="1:62" s="38" customFormat="1" ht="15" customHeight="1" x14ac:dyDescent="0.3">
      <c r="A91" s="272"/>
      <c r="B91" s="39" t="s">
        <v>113</v>
      </c>
      <c r="C91" s="82"/>
      <c r="D91" s="296"/>
      <c r="E91" s="42"/>
      <c r="F91" s="293"/>
      <c r="G91" s="296"/>
      <c r="H91" s="42"/>
      <c r="I91" s="82"/>
      <c r="J91" s="83"/>
      <c r="K91" s="42">
        <f t="shared" si="102"/>
        <v>0</v>
      </c>
      <c r="L91" s="82"/>
      <c r="M91" s="297"/>
      <c r="N91" s="42">
        <f t="shared" si="103"/>
        <v>0</v>
      </c>
      <c r="O91" s="82"/>
      <c r="P91" s="83"/>
      <c r="Q91" s="42">
        <f t="shared" si="104"/>
        <v>0</v>
      </c>
      <c r="R91" s="82"/>
      <c r="S91" s="83">
        <v>25</v>
      </c>
      <c r="T91" s="42">
        <f t="shared" si="105"/>
        <v>25</v>
      </c>
      <c r="U91" s="82"/>
      <c r="V91" s="83">
        <v>30</v>
      </c>
      <c r="W91" s="42">
        <f t="shared" si="106"/>
        <v>30</v>
      </c>
      <c r="X91" s="82"/>
      <c r="Y91" s="83">
        <v>35</v>
      </c>
      <c r="Z91" s="42">
        <f t="shared" si="91"/>
        <v>35</v>
      </c>
      <c r="AA91" s="82"/>
      <c r="AB91" s="83">
        <v>20</v>
      </c>
      <c r="AC91" s="42">
        <f t="shared" si="92"/>
        <v>20</v>
      </c>
      <c r="AD91" s="82"/>
      <c r="AE91" s="83">
        <v>19</v>
      </c>
      <c r="AF91" s="42">
        <f t="shared" si="111"/>
        <v>19</v>
      </c>
      <c r="AG91" s="82"/>
      <c r="AH91" s="83">
        <v>40</v>
      </c>
      <c r="AI91" s="42">
        <f>SUM(AG91:AH91)</f>
        <v>40</v>
      </c>
      <c r="AJ91" s="82"/>
      <c r="AK91" s="83">
        <v>68</v>
      </c>
      <c r="AL91" s="42">
        <f>SUM(AJ91:AK91)</f>
        <v>68</v>
      </c>
      <c r="AM91" s="82"/>
      <c r="AN91" s="83">
        <v>65</v>
      </c>
      <c r="AO91" s="42">
        <f>SUM(AM91:AN91)</f>
        <v>65</v>
      </c>
      <c r="AP91" s="82"/>
      <c r="AQ91" s="83">
        <v>86</v>
      </c>
      <c r="AR91" s="42">
        <f>SUM(AP91:AQ91)</f>
        <v>86</v>
      </c>
      <c r="AS91" s="82"/>
      <c r="AT91" s="83">
        <v>82</v>
      </c>
      <c r="AU91" s="42">
        <f>SUM(AS91:AT91)</f>
        <v>82</v>
      </c>
      <c r="AV91" s="82"/>
      <c r="AW91" s="83">
        <v>97</v>
      </c>
      <c r="AX91" s="42">
        <f>SUM(AV91:AW91)</f>
        <v>97</v>
      </c>
      <c r="AY91" s="82"/>
      <c r="AZ91" s="83">
        <v>85</v>
      </c>
      <c r="BA91" s="42">
        <f>SUM(AY91:AZ91)</f>
        <v>85</v>
      </c>
      <c r="BB91" s="82"/>
      <c r="BC91" s="83">
        <v>79</v>
      </c>
      <c r="BD91" s="42">
        <f>SUM(BB91:BC91)</f>
        <v>79</v>
      </c>
      <c r="BE91" s="82"/>
      <c r="BF91" s="83">
        <v>60</v>
      </c>
      <c r="BG91" s="42">
        <f>SUM(BE91:BF91)</f>
        <v>60</v>
      </c>
      <c r="BH91" s="82"/>
      <c r="BI91" s="83">
        <v>81</v>
      </c>
      <c r="BJ91" s="42">
        <f>SUM(BH91:BI91)</f>
        <v>81</v>
      </c>
    </row>
    <row r="92" spans="1:62" s="38" customFormat="1" ht="15" customHeight="1" x14ac:dyDescent="0.3">
      <c r="A92" s="272"/>
      <c r="B92" s="45" t="s">
        <v>114</v>
      </c>
      <c r="C92" s="46"/>
      <c r="D92" s="282"/>
      <c r="E92" s="48"/>
      <c r="F92" s="283"/>
      <c r="G92" s="282"/>
      <c r="H92" s="48"/>
      <c r="I92" s="46"/>
      <c r="J92" s="50"/>
      <c r="K92" s="48">
        <f t="shared" si="102"/>
        <v>0</v>
      </c>
      <c r="L92" s="46"/>
      <c r="M92" s="50"/>
      <c r="N92" s="48">
        <f t="shared" si="103"/>
        <v>0</v>
      </c>
      <c r="O92" s="46"/>
      <c r="P92" s="50"/>
      <c r="Q92" s="48">
        <f t="shared" si="104"/>
        <v>0</v>
      </c>
      <c r="R92" s="46"/>
      <c r="S92" s="50"/>
      <c r="T92" s="48">
        <f t="shared" si="105"/>
        <v>0</v>
      </c>
      <c r="U92" s="46"/>
      <c r="V92" s="50"/>
      <c r="W92" s="48">
        <f t="shared" si="106"/>
        <v>0</v>
      </c>
      <c r="X92" s="46"/>
      <c r="Y92" s="50">
        <v>37</v>
      </c>
      <c r="Z92" s="48">
        <f t="shared" si="91"/>
        <v>37</v>
      </c>
      <c r="AA92" s="51"/>
      <c r="AB92" s="50">
        <v>54</v>
      </c>
      <c r="AC92" s="48">
        <f t="shared" si="92"/>
        <v>54</v>
      </c>
      <c r="AD92" s="51"/>
      <c r="AE92" s="50">
        <v>74</v>
      </c>
      <c r="AF92" s="48">
        <f t="shared" si="111"/>
        <v>74</v>
      </c>
      <c r="AG92" s="51"/>
      <c r="AH92" s="50">
        <v>72</v>
      </c>
      <c r="AI92" s="48">
        <f>SUM(AG92:AH92)</f>
        <v>72</v>
      </c>
      <c r="AJ92" s="51"/>
      <c r="AK92" s="50">
        <v>92</v>
      </c>
      <c r="AL92" s="48">
        <f>SUM(AJ92:AK92)</f>
        <v>92</v>
      </c>
      <c r="AM92" s="51"/>
      <c r="AN92" s="50">
        <v>94</v>
      </c>
      <c r="AO92" s="48">
        <f>SUM(AM92:AN92)</f>
        <v>94</v>
      </c>
      <c r="AP92" s="51"/>
      <c r="AQ92" s="50">
        <v>87</v>
      </c>
      <c r="AR92" s="48">
        <f>SUM(AP92:AQ92)</f>
        <v>87</v>
      </c>
      <c r="AS92" s="51"/>
      <c r="AT92" s="50">
        <v>96</v>
      </c>
      <c r="AU92" s="48">
        <f>SUM(AS92:AT92)</f>
        <v>96</v>
      </c>
      <c r="AV92" s="51"/>
      <c r="AW92" s="50">
        <v>91</v>
      </c>
      <c r="AX92" s="48">
        <f>SUM(AV92:AW92)</f>
        <v>91</v>
      </c>
      <c r="AY92" s="51"/>
      <c r="AZ92" s="50">
        <v>86</v>
      </c>
      <c r="BA92" s="48">
        <f>SUM(AY92:AZ92)</f>
        <v>86</v>
      </c>
      <c r="BB92" s="51"/>
      <c r="BC92" s="50">
        <v>87</v>
      </c>
      <c r="BD92" s="48">
        <f>SUM(BB92:BC92)</f>
        <v>87</v>
      </c>
      <c r="BE92" s="51"/>
      <c r="BF92" s="50">
        <v>90</v>
      </c>
      <c r="BG92" s="48">
        <f>SUM(BE92:BF92)</f>
        <v>90</v>
      </c>
      <c r="BH92" s="51"/>
      <c r="BI92" s="50">
        <v>82</v>
      </c>
      <c r="BJ92" s="48">
        <f>SUM(BH92:BI92)</f>
        <v>82</v>
      </c>
    </row>
    <row r="93" spans="1:62" s="38" customFormat="1" ht="15" customHeight="1" x14ac:dyDescent="0.3">
      <c r="A93" s="272"/>
      <c r="B93" s="287" t="s">
        <v>115</v>
      </c>
      <c r="C93" s="288"/>
      <c r="D93" s="289"/>
      <c r="E93" s="203"/>
      <c r="F93" s="288"/>
      <c r="G93" s="289"/>
      <c r="H93" s="203"/>
      <c r="I93" s="288">
        <f t="shared" ref="I93:BD93" si="117">SUM(I89:I92)</f>
        <v>0</v>
      </c>
      <c r="J93" s="289">
        <f t="shared" si="117"/>
        <v>77</v>
      </c>
      <c r="K93" s="203">
        <f t="shared" si="117"/>
        <v>77</v>
      </c>
      <c r="L93" s="288">
        <f t="shared" si="117"/>
        <v>0</v>
      </c>
      <c r="M93" s="289">
        <f t="shared" si="117"/>
        <v>34</v>
      </c>
      <c r="N93" s="203">
        <f t="shared" si="117"/>
        <v>34</v>
      </c>
      <c r="O93" s="288">
        <f t="shared" si="117"/>
        <v>0</v>
      </c>
      <c r="P93" s="289">
        <f t="shared" si="117"/>
        <v>82</v>
      </c>
      <c r="Q93" s="203">
        <f t="shared" si="117"/>
        <v>82</v>
      </c>
      <c r="R93" s="288">
        <f t="shared" si="117"/>
        <v>0</v>
      </c>
      <c r="S93" s="289">
        <f t="shared" si="117"/>
        <v>137</v>
      </c>
      <c r="T93" s="203">
        <f t="shared" si="117"/>
        <v>137</v>
      </c>
      <c r="U93" s="288">
        <f t="shared" si="117"/>
        <v>0</v>
      </c>
      <c r="V93" s="289">
        <f t="shared" si="117"/>
        <v>103</v>
      </c>
      <c r="W93" s="203">
        <f t="shared" si="117"/>
        <v>103</v>
      </c>
      <c r="X93" s="288">
        <f t="shared" si="117"/>
        <v>0</v>
      </c>
      <c r="Y93" s="289">
        <f t="shared" si="117"/>
        <v>146</v>
      </c>
      <c r="Z93" s="203">
        <f t="shared" si="117"/>
        <v>146</v>
      </c>
      <c r="AA93" s="288">
        <f t="shared" si="117"/>
        <v>0</v>
      </c>
      <c r="AB93" s="289">
        <f t="shared" si="117"/>
        <v>166</v>
      </c>
      <c r="AC93" s="203">
        <f t="shared" si="117"/>
        <v>166</v>
      </c>
      <c r="AD93" s="288">
        <f t="shared" si="117"/>
        <v>0</v>
      </c>
      <c r="AE93" s="289">
        <f t="shared" si="117"/>
        <v>175</v>
      </c>
      <c r="AF93" s="203">
        <f t="shared" si="117"/>
        <v>175</v>
      </c>
      <c r="AG93" s="288">
        <f t="shared" si="117"/>
        <v>0</v>
      </c>
      <c r="AH93" s="290">
        <f t="shared" si="117"/>
        <v>222</v>
      </c>
      <c r="AI93" s="203">
        <f t="shared" si="117"/>
        <v>222</v>
      </c>
      <c r="AJ93" s="294">
        <f t="shared" si="117"/>
        <v>0</v>
      </c>
      <c r="AK93" s="295">
        <f t="shared" si="117"/>
        <v>293</v>
      </c>
      <c r="AL93" s="203">
        <f t="shared" si="117"/>
        <v>293</v>
      </c>
      <c r="AM93" s="294">
        <f t="shared" si="117"/>
        <v>0</v>
      </c>
      <c r="AN93" s="295">
        <f t="shared" si="117"/>
        <v>283</v>
      </c>
      <c r="AO93" s="203">
        <f t="shared" si="117"/>
        <v>283</v>
      </c>
      <c r="AP93" s="294">
        <f t="shared" si="117"/>
        <v>0</v>
      </c>
      <c r="AQ93" s="295">
        <f t="shared" si="117"/>
        <v>310</v>
      </c>
      <c r="AR93" s="203">
        <f t="shared" si="117"/>
        <v>310</v>
      </c>
      <c r="AS93" s="294">
        <f t="shared" si="117"/>
        <v>0</v>
      </c>
      <c r="AT93" s="295">
        <f t="shared" si="117"/>
        <v>322</v>
      </c>
      <c r="AU93" s="203">
        <f t="shared" si="117"/>
        <v>322</v>
      </c>
      <c r="AV93" s="294">
        <f t="shared" si="117"/>
        <v>0</v>
      </c>
      <c r="AW93" s="295">
        <f t="shared" si="117"/>
        <v>337</v>
      </c>
      <c r="AX93" s="203">
        <f t="shared" si="117"/>
        <v>337</v>
      </c>
      <c r="AY93" s="294">
        <f t="shared" si="117"/>
        <v>0</v>
      </c>
      <c r="AZ93" s="295">
        <f t="shared" si="117"/>
        <v>297</v>
      </c>
      <c r="BA93" s="203">
        <f t="shared" si="117"/>
        <v>297</v>
      </c>
      <c r="BB93" s="294">
        <f t="shared" si="117"/>
        <v>0</v>
      </c>
      <c r="BC93" s="295">
        <f t="shared" si="117"/>
        <v>290</v>
      </c>
      <c r="BD93" s="203">
        <f t="shared" si="117"/>
        <v>290</v>
      </c>
      <c r="BE93" s="294">
        <f t="shared" ref="BE93:BG93" si="118">SUM(BE89:BE92)</f>
        <v>0</v>
      </c>
      <c r="BF93" s="295">
        <f t="shared" si="118"/>
        <v>278</v>
      </c>
      <c r="BG93" s="203">
        <f t="shared" si="118"/>
        <v>278</v>
      </c>
      <c r="BH93" s="294">
        <f t="shared" ref="BH93:BJ93" si="119">SUM(BH89:BH92)</f>
        <v>0</v>
      </c>
      <c r="BI93" s="295">
        <f t="shared" si="119"/>
        <v>299</v>
      </c>
      <c r="BJ93" s="203">
        <f t="shared" si="119"/>
        <v>299</v>
      </c>
    </row>
    <row r="94" spans="1:62" s="38" customFormat="1" ht="15" customHeight="1" x14ac:dyDescent="0.3">
      <c r="A94" s="272"/>
      <c r="B94" s="96" t="s">
        <v>116</v>
      </c>
      <c r="C94" s="97"/>
      <c r="D94" s="98"/>
      <c r="E94" s="99"/>
      <c r="F94" s="97"/>
      <c r="G94" s="98"/>
      <c r="H94" s="99"/>
      <c r="I94" s="97">
        <f t="shared" ref="I94:BD94" si="120">SUM(I93,I88,I84)</f>
        <v>0</v>
      </c>
      <c r="J94" s="98">
        <f t="shared" si="120"/>
        <v>252</v>
      </c>
      <c r="K94" s="99">
        <f t="shared" si="120"/>
        <v>252</v>
      </c>
      <c r="L94" s="97">
        <f t="shared" si="120"/>
        <v>0</v>
      </c>
      <c r="M94" s="98">
        <f t="shared" si="120"/>
        <v>123</v>
      </c>
      <c r="N94" s="99">
        <f t="shared" si="120"/>
        <v>123</v>
      </c>
      <c r="O94" s="97">
        <f t="shared" si="120"/>
        <v>0</v>
      </c>
      <c r="P94" s="98">
        <f t="shared" si="120"/>
        <v>382</v>
      </c>
      <c r="Q94" s="99">
        <f t="shared" si="120"/>
        <v>382</v>
      </c>
      <c r="R94" s="97">
        <f t="shared" si="120"/>
        <v>0</v>
      </c>
      <c r="S94" s="98">
        <f t="shared" si="120"/>
        <v>403</v>
      </c>
      <c r="T94" s="99">
        <f t="shared" si="120"/>
        <v>403</v>
      </c>
      <c r="U94" s="97">
        <f t="shared" si="120"/>
        <v>0</v>
      </c>
      <c r="V94" s="98">
        <f t="shared" si="120"/>
        <v>315</v>
      </c>
      <c r="W94" s="99">
        <f t="shared" si="120"/>
        <v>315</v>
      </c>
      <c r="X94" s="97">
        <f t="shared" si="120"/>
        <v>0</v>
      </c>
      <c r="Y94" s="98">
        <f t="shared" si="120"/>
        <v>399</v>
      </c>
      <c r="Z94" s="99">
        <f t="shared" si="120"/>
        <v>399</v>
      </c>
      <c r="AA94" s="97">
        <f t="shared" si="120"/>
        <v>0</v>
      </c>
      <c r="AB94" s="98">
        <f t="shared" si="120"/>
        <v>429</v>
      </c>
      <c r="AC94" s="99">
        <f t="shared" si="120"/>
        <v>429</v>
      </c>
      <c r="AD94" s="97">
        <f t="shared" si="120"/>
        <v>0</v>
      </c>
      <c r="AE94" s="98">
        <f t="shared" si="120"/>
        <v>434</v>
      </c>
      <c r="AF94" s="99">
        <f t="shared" si="120"/>
        <v>434</v>
      </c>
      <c r="AG94" s="97">
        <f t="shared" si="120"/>
        <v>0</v>
      </c>
      <c r="AH94" s="98">
        <f t="shared" si="120"/>
        <v>503</v>
      </c>
      <c r="AI94" s="99">
        <f t="shared" si="120"/>
        <v>503</v>
      </c>
      <c r="AJ94" s="97">
        <f t="shared" si="120"/>
        <v>105</v>
      </c>
      <c r="AK94" s="98">
        <f t="shared" si="120"/>
        <v>604</v>
      </c>
      <c r="AL94" s="99">
        <f t="shared" si="120"/>
        <v>709</v>
      </c>
      <c r="AM94" s="97">
        <f t="shared" si="120"/>
        <v>104</v>
      </c>
      <c r="AN94" s="98">
        <f t="shared" si="120"/>
        <v>688</v>
      </c>
      <c r="AO94" s="99">
        <f t="shared" si="120"/>
        <v>792</v>
      </c>
      <c r="AP94" s="97">
        <f t="shared" si="120"/>
        <v>107</v>
      </c>
      <c r="AQ94" s="98">
        <f t="shared" si="120"/>
        <v>722</v>
      </c>
      <c r="AR94" s="99">
        <f t="shared" si="120"/>
        <v>829</v>
      </c>
      <c r="AS94" s="97">
        <f t="shared" si="120"/>
        <v>107</v>
      </c>
      <c r="AT94" s="98">
        <f t="shared" si="120"/>
        <v>738</v>
      </c>
      <c r="AU94" s="99">
        <f t="shared" si="120"/>
        <v>845</v>
      </c>
      <c r="AV94" s="97">
        <f t="shared" si="120"/>
        <v>109</v>
      </c>
      <c r="AW94" s="98">
        <f t="shared" si="120"/>
        <v>782</v>
      </c>
      <c r="AX94" s="99">
        <f t="shared" si="120"/>
        <v>891</v>
      </c>
      <c r="AY94" s="97">
        <f t="shared" si="120"/>
        <v>120</v>
      </c>
      <c r="AZ94" s="98">
        <f t="shared" si="120"/>
        <v>701</v>
      </c>
      <c r="BA94" s="99">
        <f t="shared" si="120"/>
        <v>821</v>
      </c>
      <c r="BB94" s="97">
        <f t="shared" si="120"/>
        <v>102</v>
      </c>
      <c r="BC94" s="98">
        <f t="shared" si="120"/>
        <v>673</v>
      </c>
      <c r="BD94" s="99">
        <f t="shared" si="120"/>
        <v>775</v>
      </c>
      <c r="BE94" s="97">
        <f t="shared" ref="BE94:BG94" si="121">SUM(BE93,BE88,BE84)</f>
        <v>92</v>
      </c>
      <c r="BF94" s="98">
        <f t="shared" si="121"/>
        <v>675</v>
      </c>
      <c r="BG94" s="99">
        <f t="shared" si="121"/>
        <v>767</v>
      </c>
      <c r="BH94" s="97">
        <f t="shared" ref="BH94:BJ94" si="122">SUM(BH93,BH88,BH84)</f>
        <v>88</v>
      </c>
      <c r="BI94" s="98">
        <f t="shared" si="122"/>
        <v>691</v>
      </c>
      <c r="BJ94" s="99">
        <f t="shared" si="122"/>
        <v>779</v>
      </c>
    </row>
    <row r="95" spans="1:62" s="38" customFormat="1" ht="15" customHeight="1" x14ac:dyDescent="0.3">
      <c r="A95" s="272"/>
      <c r="B95" s="301" t="s">
        <v>117</v>
      </c>
      <c r="C95" s="105"/>
      <c r="D95" s="105"/>
      <c r="E95" s="153"/>
      <c r="F95" s="101"/>
      <c r="G95" s="105"/>
      <c r="H95" s="103"/>
      <c r="I95" s="105"/>
      <c r="J95" s="105"/>
      <c r="K95" s="153"/>
      <c r="L95" s="101"/>
      <c r="M95" s="105"/>
      <c r="N95" s="103"/>
      <c r="O95" s="105"/>
      <c r="P95" s="105"/>
      <c r="Q95" s="153"/>
      <c r="R95" s="101"/>
      <c r="S95" s="105"/>
      <c r="T95" s="103"/>
      <c r="U95" s="105"/>
      <c r="V95" s="105"/>
      <c r="W95" s="153"/>
      <c r="X95" s="101"/>
      <c r="Y95" s="105"/>
      <c r="Z95" s="103"/>
      <c r="AA95" s="101">
        <v>37</v>
      </c>
      <c r="AB95" s="105">
        <v>40</v>
      </c>
      <c r="AC95" s="103">
        <f t="shared" si="92"/>
        <v>77</v>
      </c>
      <c r="AD95" s="101"/>
      <c r="AE95" s="105">
        <v>32</v>
      </c>
      <c r="AF95" s="103">
        <f t="shared" si="111"/>
        <v>32</v>
      </c>
      <c r="AG95" s="101">
        <v>35</v>
      </c>
      <c r="AH95" s="105">
        <v>38</v>
      </c>
      <c r="AI95" s="103">
        <f>SUM(AG95:AH95)</f>
        <v>73</v>
      </c>
      <c r="AJ95" s="101">
        <v>21</v>
      </c>
      <c r="AK95" s="105">
        <v>35</v>
      </c>
      <c r="AL95" s="103">
        <f>SUM(AJ95:AK95)</f>
        <v>56</v>
      </c>
      <c r="AM95" s="101">
        <v>23</v>
      </c>
      <c r="AN95" s="105">
        <v>56</v>
      </c>
      <c r="AO95" s="103">
        <f>SUM(AM95:AN95)</f>
        <v>79</v>
      </c>
      <c r="AP95" s="101">
        <v>19</v>
      </c>
      <c r="AQ95" s="105">
        <v>43</v>
      </c>
      <c r="AR95" s="103">
        <f>SUM(AP95:AQ95)</f>
        <v>62</v>
      </c>
      <c r="AS95" s="101">
        <v>24</v>
      </c>
      <c r="AT95" s="105">
        <v>37</v>
      </c>
      <c r="AU95" s="103">
        <f>SUM(AS95:AT95)</f>
        <v>61</v>
      </c>
      <c r="AV95" s="101"/>
      <c r="AW95" s="105">
        <v>49</v>
      </c>
      <c r="AX95" s="103">
        <f>SUM(AV95:AW95)</f>
        <v>49</v>
      </c>
      <c r="AY95" s="101"/>
      <c r="AZ95" s="105">
        <v>56</v>
      </c>
      <c r="BA95" s="103">
        <f>SUM(AY95:AZ95)</f>
        <v>56</v>
      </c>
      <c r="BB95" s="101"/>
      <c r="BC95" s="105">
        <v>43</v>
      </c>
      <c r="BD95" s="103">
        <f>SUM(BB95:BC95)</f>
        <v>43</v>
      </c>
      <c r="BE95" s="101"/>
      <c r="BF95" s="105">
        <v>22</v>
      </c>
      <c r="BG95" s="103">
        <f>SUM(BE95:BF95)</f>
        <v>22</v>
      </c>
      <c r="BH95" s="101"/>
      <c r="BI95" s="105">
        <v>23</v>
      </c>
      <c r="BJ95" s="103">
        <f>SUM(BH95:BI95)</f>
        <v>23</v>
      </c>
    </row>
    <row r="96" spans="1:62" s="38" customFormat="1" ht="15" customHeight="1" x14ac:dyDescent="0.3">
      <c r="A96" s="272"/>
      <c r="B96" s="45" t="s">
        <v>118</v>
      </c>
      <c r="C96" s="302"/>
      <c r="D96" s="302"/>
      <c r="E96" s="303"/>
      <c r="F96" s="304"/>
      <c r="G96" s="302"/>
      <c r="H96" s="305"/>
      <c r="I96" s="302"/>
      <c r="J96" s="302"/>
      <c r="K96" s="303"/>
      <c r="L96" s="304"/>
      <c r="M96" s="302"/>
      <c r="N96" s="305"/>
      <c r="O96" s="302"/>
      <c r="P96" s="302"/>
      <c r="Q96" s="303"/>
      <c r="R96" s="304"/>
      <c r="S96" s="302"/>
      <c r="T96" s="305"/>
      <c r="U96" s="302"/>
      <c r="V96" s="302"/>
      <c r="W96" s="303"/>
      <c r="X96" s="304"/>
      <c r="Y96" s="302"/>
      <c r="Z96" s="305"/>
      <c r="AA96" s="304"/>
      <c r="AB96" s="302"/>
      <c r="AC96" s="305"/>
      <c r="AD96" s="304"/>
      <c r="AE96" s="302"/>
      <c r="AF96" s="305"/>
      <c r="AG96" s="304"/>
      <c r="AH96" s="302"/>
      <c r="AI96" s="305"/>
      <c r="AJ96" s="304"/>
      <c r="AK96" s="302"/>
      <c r="AL96" s="305"/>
      <c r="AM96" s="304"/>
      <c r="AN96" s="302"/>
      <c r="AO96" s="305"/>
      <c r="AP96" s="304"/>
      <c r="AQ96" s="302"/>
      <c r="AR96" s="305"/>
      <c r="AS96" s="304">
        <v>35</v>
      </c>
      <c r="AT96" s="302">
        <v>38</v>
      </c>
      <c r="AU96" s="305">
        <f>SUM(AS96:AT96)</f>
        <v>73</v>
      </c>
      <c r="AV96" s="304"/>
      <c r="AW96" s="302">
        <v>64</v>
      </c>
      <c r="AX96" s="305">
        <f>SUM(AV96:AW96)</f>
        <v>64</v>
      </c>
      <c r="AY96" s="304"/>
      <c r="AZ96" s="302">
        <v>72</v>
      </c>
      <c r="BA96" s="305">
        <f>SUM(AY96:AZ96)</f>
        <v>72</v>
      </c>
      <c r="BB96" s="304"/>
      <c r="BC96" s="302">
        <v>54</v>
      </c>
      <c r="BD96" s="305">
        <f>SUM(BB96:BC96)</f>
        <v>54</v>
      </c>
      <c r="BE96" s="304"/>
      <c r="BF96" s="302">
        <v>62</v>
      </c>
      <c r="BG96" s="305">
        <f>SUM(BE96:BF96)</f>
        <v>62</v>
      </c>
      <c r="BH96" s="304"/>
      <c r="BI96" s="302">
        <v>76</v>
      </c>
      <c r="BJ96" s="305">
        <f>SUM(BH96:BI96)</f>
        <v>76</v>
      </c>
    </row>
    <row r="97" spans="1:62" s="38" customFormat="1" ht="15" customHeight="1" x14ac:dyDescent="0.3">
      <c r="A97" s="272"/>
      <c r="B97" s="306" t="s">
        <v>119</v>
      </c>
      <c r="C97" s="302"/>
      <c r="D97" s="302"/>
      <c r="E97" s="303"/>
      <c r="F97" s="304"/>
      <c r="G97" s="302"/>
      <c r="H97" s="305"/>
      <c r="I97" s="302"/>
      <c r="J97" s="302"/>
      <c r="K97" s="303"/>
      <c r="L97" s="304"/>
      <c r="M97" s="302"/>
      <c r="N97" s="305"/>
      <c r="O97" s="302"/>
      <c r="P97" s="302"/>
      <c r="Q97" s="303"/>
      <c r="R97" s="304"/>
      <c r="S97" s="302"/>
      <c r="T97" s="305"/>
      <c r="U97" s="302"/>
      <c r="V97" s="302"/>
      <c r="W97" s="303"/>
      <c r="X97" s="304"/>
      <c r="Y97" s="302"/>
      <c r="Z97" s="305"/>
      <c r="AA97" s="304"/>
      <c r="AB97" s="302"/>
      <c r="AC97" s="305"/>
      <c r="AD97" s="304"/>
      <c r="AE97" s="302"/>
      <c r="AF97" s="305"/>
      <c r="AG97" s="304"/>
      <c r="AH97" s="302"/>
      <c r="AI97" s="305"/>
      <c r="AJ97" s="304"/>
      <c r="AK97" s="302"/>
      <c r="AL97" s="305"/>
      <c r="AM97" s="304"/>
      <c r="AN97" s="302"/>
      <c r="AO97" s="305"/>
      <c r="AP97" s="304"/>
      <c r="AQ97" s="302"/>
      <c r="AR97" s="305"/>
      <c r="AS97" s="304"/>
      <c r="AT97" s="302"/>
      <c r="AU97" s="305"/>
      <c r="AV97" s="304"/>
      <c r="AW97" s="302">
        <v>43</v>
      </c>
      <c r="AX97" s="305">
        <f>SUM(AV97:AW97)</f>
        <v>43</v>
      </c>
      <c r="AY97" s="304"/>
      <c r="AZ97" s="302">
        <v>67</v>
      </c>
      <c r="BA97" s="305">
        <f>SUM(AY97:AZ97)</f>
        <v>67</v>
      </c>
      <c r="BB97" s="304"/>
      <c r="BC97" s="302">
        <v>69</v>
      </c>
      <c r="BD97" s="305">
        <f>SUM(BB97:BC97)</f>
        <v>69</v>
      </c>
      <c r="BE97" s="304"/>
      <c r="BF97" s="302">
        <v>68</v>
      </c>
      <c r="BG97" s="305">
        <f>SUM(BE97:BF97)</f>
        <v>68</v>
      </c>
      <c r="BH97" s="304"/>
      <c r="BI97" s="302">
        <v>105</v>
      </c>
      <c r="BJ97" s="305">
        <f>SUM(BH97:BI97)</f>
        <v>105</v>
      </c>
    </row>
    <row r="98" spans="1:62" s="38" customFormat="1" ht="15" customHeight="1" x14ac:dyDescent="0.3">
      <c r="A98" s="272"/>
      <c r="B98" s="307" t="s">
        <v>59</v>
      </c>
      <c r="C98" s="308"/>
      <c r="D98" s="309"/>
      <c r="E98" s="310"/>
      <c r="F98" s="311"/>
      <c r="G98" s="309"/>
      <c r="H98" s="312"/>
      <c r="I98" s="308"/>
      <c r="J98" s="309"/>
      <c r="K98" s="310"/>
      <c r="L98" s="311"/>
      <c r="M98" s="309"/>
      <c r="N98" s="312"/>
      <c r="O98" s="308"/>
      <c r="P98" s="309"/>
      <c r="Q98" s="310"/>
      <c r="R98" s="311"/>
      <c r="S98" s="309"/>
      <c r="T98" s="312"/>
      <c r="U98" s="308"/>
      <c r="V98" s="309"/>
      <c r="W98" s="310"/>
      <c r="X98" s="311"/>
      <c r="Y98" s="309"/>
      <c r="Z98" s="312"/>
      <c r="AA98" s="53">
        <f>SUM(AA95)</f>
        <v>37</v>
      </c>
      <c r="AB98" s="284">
        <f t="shared" ref="AB98:AR98" si="123">SUM(AB95)</f>
        <v>40</v>
      </c>
      <c r="AC98" s="55">
        <f t="shared" si="123"/>
        <v>77</v>
      </c>
      <c r="AD98" s="53">
        <f t="shared" si="123"/>
        <v>0</v>
      </c>
      <c r="AE98" s="284">
        <f t="shared" si="123"/>
        <v>32</v>
      </c>
      <c r="AF98" s="55">
        <f t="shared" si="123"/>
        <v>32</v>
      </c>
      <c r="AG98" s="53">
        <f t="shared" si="123"/>
        <v>35</v>
      </c>
      <c r="AH98" s="54">
        <f t="shared" si="123"/>
        <v>38</v>
      </c>
      <c r="AI98" s="55">
        <f t="shared" si="123"/>
        <v>73</v>
      </c>
      <c r="AJ98" s="56">
        <f t="shared" si="123"/>
        <v>21</v>
      </c>
      <c r="AK98" s="57">
        <f t="shared" si="123"/>
        <v>35</v>
      </c>
      <c r="AL98" s="55">
        <f t="shared" si="123"/>
        <v>56</v>
      </c>
      <c r="AM98" s="56">
        <f t="shared" si="123"/>
        <v>23</v>
      </c>
      <c r="AN98" s="57">
        <f t="shared" si="123"/>
        <v>56</v>
      </c>
      <c r="AO98" s="55">
        <f t="shared" si="123"/>
        <v>79</v>
      </c>
      <c r="AP98" s="56">
        <f t="shared" si="123"/>
        <v>19</v>
      </c>
      <c r="AQ98" s="57">
        <f>SUM(AQ95)</f>
        <v>43</v>
      </c>
      <c r="AR98" s="55">
        <f t="shared" si="123"/>
        <v>62</v>
      </c>
      <c r="AS98" s="56">
        <f>SUM(AS95:AS96)</f>
        <v>59</v>
      </c>
      <c r="AT98" s="57">
        <f>SUM(AT95:AT96)</f>
        <v>75</v>
      </c>
      <c r="AU98" s="55">
        <f>SUM(AU95:AU96)</f>
        <v>134</v>
      </c>
      <c r="AV98" s="56">
        <f>SUM(AV95:AV96)</f>
        <v>0</v>
      </c>
      <c r="AW98" s="57">
        <f>SUM(AW95:AW97)</f>
        <v>156</v>
      </c>
      <c r="AX98" s="55">
        <f>SUM(AX95:AX97)</f>
        <v>156</v>
      </c>
      <c r="AY98" s="56">
        <f>SUM(AY95:AY96)</f>
        <v>0</v>
      </c>
      <c r="AZ98" s="57">
        <f>SUM(AZ95:AZ97)</f>
        <v>195</v>
      </c>
      <c r="BA98" s="55">
        <f>SUM(BA95:BA97)</f>
        <v>195</v>
      </c>
      <c r="BB98" s="56">
        <f>SUM(BB95:BB96)</f>
        <v>0</v>
      </c>
      <c r="BC98" s="57">
        <f>SUM(BC95:BC97)</f>
        <v>166</v>
      </c>
      <c r="BD98" s="55">
        <f>SUM(BD95:BD97)</f>
        <v>166</v>
      </c>
      <c r="BE98" s="56">
        <f>SUM(BE95:BE96)</f>
        <v>0</v>
      </c>
      <c r="BF98" s="57">
        <f>SUM(BF95:BF97)</f>
        <v>152</v>
      </c>
      <c r="BG98" s="55">
        <f>SUM(BG95:BG97)</f>
        <v>152</v>
      </c>
      <c r="BH98" s="56">
        <f>SUM(BH95:BH96)</f>
        <v>0</v>
      </c>
      <c r="BI98" s="57">
        <f>SUM(BI95:BI97)</f>
        <v>204</v>
      </c>
      <c r="BJ98" s="55">
        <f>SUM(BJ95:BJ97)</f>
        <v>204</v>
      </c>
    </row>
    <row r="99" spans="1:62" s="38" customFormat="1" ht="15" customHeight="1" x14ac:dyDescent="0.3">
      <c r="A99" s="272"/>
      <c r="B99" s="58" t="s">
        <v>120</v>
      </c>
      <c r="C99" s="285"/>
      <c r="D99" s="286"/>
      <c r="E99" s="313"/>
      <c r="F99" s="285"/>
      <c r="G99" s="286"/>
      <c r="H99" s="61"/>
      <c r="I99" s="60"/>
      <c r="J99" s="60"/>
      <c r="K99" s="313"/>
      <c r="L99" s="59"/>
      <c r="M99" s="60"/>
      <c r="N99" s="61"/>
      <c r="O99" s="60"/>
      <c r="P99" s="60"/>
      <c r="Q99" s="313"/>
      <c r="R99" s="59"/>
      <c r="S99" s="60"/>
      <c r="T99" s="61"/>
      <c r="U99" s="60"/>
      <c r="V99" s="60"/>
      <c r="W99" s="313"/>
      <c r="X99" s="59"/>
      <c r="Y99" s="60"/>
      <c r="Z99" s="61"/>
      <c r="AA99" s="59">
        <v>38</v>
      </c>
      <c r="AB99" s="60">
        <v>43</v>
      </c>
      <c r="AC99" s="61">
        <f t="shared" si="92"/>
        <v>81</v>
      </c>
      <c r="AD99" s="59"/>
      <c r="AE99" s="60">
        <v>37</v>
      </c>
      <c r="AF99" s="61">
        <f t="shared" si="111"/>
        <v>37</v>
      </c>
      <c r="AG99" s="59">
        <v>27</v>
      </c>
      <c r="AH99" s="60">
        <v>39</v>
      </c>
      <c r="AI99" s="61">
        <f>SUM(AG99:AH99)</f>
        <v>66</v>
      </c>
      <c r="AJ99" s="62"/>
      <c r="AK99" s="60">
        <v>40</v>
      </c>
      <c r="AL99" s="61">
        <f>SUM(AJ99:AK99)</f>
        <v>40</v>
      </c>
      <c r="AM99" s="62"/>
      <c r="AN99" s="60">
        <v>50</v>
      </c>
      <c r="AO99" s="61">
        <f>SUM(AM99:AN99)</f>
        <v>50</v>
      </c>
      <c r="AP99" s="62">
        <v>32</v>
      </c>
      <c r="AQ99" s="60">
        <v>42</v>
      </c>
      <c r="AR99" s="61">
        <f>SUM(AP99:AQ99)</f>
        <v>74</v>
      </c>
      <c r="AS99" s="62">
        <v>33</v>
      </c>
      <c r="AT99" s="60">
        <v>46</v>
      </c>
      <c r="AU99" s="61">
        <f>SUM(AS99:AT99)</f>
        <v>79</v>
      </c>
      <c r="AV99" s="62">
        <v>19</v>
      </c>
      <c r="AW99" s="60">
        <v>39</v>
      </c>
      <c r="AX99" s="61">
        <f>SUM(AV99:AW99)</f>
        <v>58</v>
      </c>
      <c r="AY99" s="62">
        <v>36</v>
      </c>
      <c r="AZ99" s="60">
        <v>31</v>
      </c>
      <c r="BA99" s="61">
        <f>SUM(AY99:AZ99)</f>
        <v>67</v>
      </c>
      <c r="BB99" s="62">
        <v>32</v>
      </c>
      <c r="BC99" s="60">
        <v>40</v>
      </c>
      <c r="BD99" s="61">
        <f>SUM(BB99:BC99)</f>
        <v>72</v>
      </c>
      <c r="BE99" s="62">
        <v>32</v>
      </c>
      <c r="BF99" s="60">
        <v>36</v>
      </c>
      <c r="BG99" s="61">
        <f>SUM(BE99:BF99)</f>
        <v>68</v>
      </c>
      <c r="BH99" s="62">
        <v>35</v>
      </c>
      <c r="BI99" s="60">
        <v>33</v>
      </c>
      <c r="BJ99" s="61">
        <f>SUM(BH99:BI99)</f>
        <v>68</v>
      </c>
    </row>
    <row r="100" spans="1:62" s="38" customFormat="1" ht="15" customHeight="1" x14ac:dyDescent="0.3">
      <c r="A100" s="272"/>
      <c r="B100" s="39" t="s">
        <v>121</v>
      </c>
      <c r="C100" s="46"/>
      <c r="D100" s="50"/>
      <c r="E100" s="314"/>
      <c r="F100" s="46"/>
      <c r="G100" s="50"/>
      <c r="H100" s="48"/>
      <c r="I100" s="50"/>
      <c r="J100" s="50"/>
      <c r="K100" s="314"/>
      <c r="L100" s="46"/>
      <c r="M100" s="50"/>
      <c r="N100" s="48"/>
      <c r="O100" s="50"/>
      <c r="P100" s="50"/>
      <c r="Q100" s="314"/>
      <c r="R100" s="46"/>
      <c r="S100" s="50"/>
      <c r="T100" s="48"/>
      <c r="U100" s="50"/>
      <c r="V100" s="50"/>
      <c r="W100" s="314"/>
      <c r="X100" s="46"/>
      <c r="Y100" s="50"/>
      <c r="Z100" s="48"/>
      <c r="AA100" s="46"/>
      <c r="AB100" s="50"/>
      <c r="AC100" s="48"/>
      <c r="AD100" s="46"/>
      <c r="AE100" s="50"/>
      <c r="AF100" s="48"/>
      <c r="AG100" s="46"/>
      <c r="AH100" s="50">
        <v>22</v>
      </c>
      <c r="AI100" s="42">
        <f>SUM(AG100:AH100)</f>
        <v>22</v>
      </c>
      <c r="AJ100" s="46"/>
      <c r="AK100" s="50">
        <v>25</v>
      </c>
      <c r="AL100" s="42">
        <f>SUM(AJ100:AK100)</f>
        <v>25</v>
      </c>
      <c r="AM100" s="46"/>
      <c r="AN100" s="50">
        <v>26</v>
      </c>
      <c r="AO100" s="42">
        <f>SUM(AM100:AN100)</f>
        <v>26</v>
      </c>
      <c r="AP100" s="46"/>
      <c r="AQ100" s="50">
        <v>31</v>
      </c>
      <c r="AR100" s="42">
        <f>SUM(AP100:AQ100)</f>
        <v>31</v>
      </c>
      <c r="AS100" s="46"/>
      <c r="AT100" s="50">
        <v>42</v>
      </c>
      <c r="AU100" s="42">
        <f>SUM(AS100:AT100)</f>
        <v>42</v>
      </c>
      <c r="AV100" s="46"/>
      <c r="AW100" s="50">
        <v>36</v>
      </c>
      <c r="AX100" s="42">
        <f>SUM(AV100:AW100)</f>
        <v>36</v>
      </c>
      <c r="AY100" s="46"/>
      <c r="AZ100" s="50">
        <v>34</v>
      </c>
      <c r="BA100" s="42">
        <f>SUM(AY100:AZ100)</f>
        <v>34</v>
      </c>
      <c r="BB100" s="46"/>
      <c r="BC100" s="50">
        <v>37</v>
      </c>
      <c r="BD100" s="42">
        <f>SUM(BB100:BC100)</f>
        <v>37</v>
      </c>
      <c r="BE100" s="46"/>
      <c r="BF100" s="50">
        <v>43</v>
      </c>
      <c r="BG100" s="42">
        <f>SUM(BE100:BF100)</f>
        <v>43</v>
      </c>
      <c r="BH100" s="46"/>
      <c r="BI100" s="50">
        <v>41</v>
      </c>
      <c r="BJ100" s="42">
        <f>SUM(BH100:BI100)</f>
        <v>41</v>
      </c>
    </row>
    <row r="101" spans="1:62" s="38" customFormat="1" ht="15" customHeight="1" x14ac:dyDescent="0.3">
      <c r="A101" s="272"/>
      <c r="B101" s="45" t="s">
        <v>123</v>
      </c>
      <c r="C101" s="123"/>
      <c r="D101" s="127"/>
      <c r="E101" s="315"/>
      <c r="F101" s="123"/>
      <c r="G101" s="127"/>
      <c r="H101" s="125"/>
      <c r="I101" s="127"/>
      <c r="J101" s="127"/>
      <c r="K101" s="315"/>
      <c r="L101" s="123"/>
      <c r="M101" s="127"/>
      <c r="N101" s="125"/>
      <c r="O101" s="127"/>
      <c r="P101" s="127"/>
      <c r="Q101" s="315"/>
      <c r="R101" s="123"/>
      <c r="S101" s="127"/>
      <c r="T101" s="125"/>
      <c r="U101" s="127"/>
      <c r="V101" s="127"/>
      <c r="W101" s="315"/>
      <c r="X101" s="123"/>
      <c r="Y101" s="127"/>
      <c r="Z101" s="125"/>
      <c r="AA101" s="123"/>
      <c r="AB101" s="127"/>
      <c r="AC101" s="125"/>
      <c r="AD101" s="123"/>
      <c r="AE101" s="127"/>
      <c r="AF101" s="125"/>
      <c r="AG101" s="123"/>
      <c r="AH101" s="127"/>
      <c r="AI101" s="125"/>
      <c r="AJ101" s="46"/>
      <c r="AK101" s="50"/>
      <c r="AL101" s="125"/>
      <c r="AM101" s="46"/>
      <c r="AN101" s="50"/>
      <c r="AO101" s="125"/>
      <c r="AP101" s="46"/>
      <c r="AQ101" s="50"/>
      <c r="AR101" s="125"/>
      <c r="AS101" s="46"/>
      <c r="AT101" s="50"/>
      <c r="AU101" s="125"/>
      <c r="AV101" s="46">
        <v>32</v>
      </c>
      <c r="AW101" s="50">
        <v>36</v>
      </c>
      <c r="AX101" s="42">
        <f>SUM(AV101:AW101)</f>
        <v>68</v>
      </c>
      <c r="AY101" s="46"/>
      <c r="AZ101" s="50">
        <v>35</v>
      </c>
      <c r="BA101" s="42">
        <f>SUM(AY101:AZ101)</f>
        <v>35</v>
      </c>
      <c r="BB101" s="46"/>
      <c r="BC101" s="50">
        <v>50</v>
      </c>
      <c r="BD101" s="42">
        <f>SUM(BB101:BC101)</f>
        <v>50</v>
      </c>
      <c r="BE101" s="46"/>
      <c r="BF101" s="50">
        <v>47</v>
      </c>
      <c r="BG101" s="42">
        <f>SUM(BE101:BF101)</f>
        <v>47</v>
      </c>
      <c r="BH101" s="46"/>
      <c r="BI101" s="50">
        <v>39</v>
      </c>
      <c r="BJ101" s="42">
        <f>SUM(BH101:BI101)</f>
        <v>39</v>
      </c>
    </row>
    <row r="102" spans="1:62" s="38" customFormat="1" ht="15" customHeight="1" x14ac:dyDescent="0.3">
      <c r="A102" s="272"/>
      <c r="B102" s="52" t="s">
        <v>64</v>
      </c>
      <c r="C102" s="53"/>
      <c r="D102" s="284"/>
      <c r="E102" s="316"/>
      <c r="F102" s="53"/>
      <c r="G102" s="284"/>
      <c r="H102" s="55"/>
      <c r="I102" s="317"/>
      <c r="J102" s="284"/>
      <c r="K102" s="316"/>
      <c r="L102" s="53"/>
      <c r="M102" s="284"/>
      <c r="N102" s="55"/>
      <c r="O102" s="317"/>
      <c r="P102" s="284"/>
      <c r="Q102" s="316"/>
      <c r="R102" s="53"/>
      <c r="S102" s="284"/>
      <c r="T102" s="55"/>
      <c r="U102" s="317"/>
      <c r="V102" s="284"/>
      <c r="W102" s="316"/>
      <c r="X102" s="53"/>
      <c r="Y102" s="284"/>
      <c r="Z102" s="55"/>
      <c r="AA102" s="53">
        <f>SUM(AA99:AA100)</f>
        <v>38</v>
      </c>
      <c r="AB102" s="284">
        <f t="shared" ref="AB102:AR102" si="124">SUM(AB99:AB100)</f>
        <v>43</v>
      </c>
      <c r="AC102" s="55">
        <f t="shared" si="124"/>
        <v>81</v>
      </c>
      <c r="AD102" s="53">
        <f t="shared" si="124"/>
        <v>0</v>
      </c>
      <c r="AE102" s="284">
        <f t="shared" si="124"/>
        <v>37</v>
      </c>
      <c r="AF102" s="55">
        <f t="shared" si="124"/>
        <v>37</v>
      </c>
      <c r="AG102" s="53">
        <f t="shared" si="124"/>
        <v>27</v>
      </c>
      <c r="AH102" s="54">
        <f t="shared" si="124"/>
        <v>61</v>
      </c>
      <c r="AI102" s="55">
        <f t="shared" si="124"/>
        <v>88</v>
      </c>
      <c r="AJ102" s="56">
        <f t="shared" si="124"/>
        <v>0</v>
      </c>
      <c r="AK102" s="57">
        <f t="shared" si="124"/>
        <v>65</v>
      </c>
      <c r="AL102" s="55">
        <f t="shared" si="124"/>
        <v>65</v>
      </c>
      <c r="AM102" s="56">
        <f t="shared" si="124"/>
        <v>0</v>
      </c>
      <c r="AN102" s="57">
        <f t="shared" si="124"/>
        <v>76</v>
      </c>
      <c r="AO102" s="55">
        <f t="shared" si="124"/>
        <v>76</v>
      </c>
      <c r="AP102" s="56">
        <f t="shared" si="124"/>
        <v>32</v>
      </c>
      <c r="AQ102" s="57">
        <f>SUM(AQ99:AQ100)</f>
        <v>73</v>
      </c>
      <c r="AR102" s="55">
        <f t="shared" si="124"/>
        <v>105</v>
      </c>
      <c r="AS102" s="56">
        <f>SUM(AS99:AS100)</f>
        <v>33</v>
      </c>
      <c r="AT102" s="57">
        <f>SUM(AT99:AT100)</f>
        <v>88</v>
      </c>
      <c r="AU102" s="55">
        <f>SUM(AU99:AU100)</f>
        <v>121</v>
      </c>
      <c r="AV102" s="56">
        <f t="shared" ref="AV102:BA102" si="125">SUM(AV99:AV101)</f>
        <v>51</v>
      </c>
      <c r="AW102" s="57">
        <f t="shared" si="125"/>
        <v>111</v>
      </c>
      <c r="AX102" s="55">
        <f t="shared" si="125"/>
        <v>162</v>
      </c>
      <c r="AY102" s="56">
        <f t="shared" si="125"/>
        <v>36</v>
      </c>
      <c r="AZ102" s="57">
        <f t="shared" si="125"/>
        <v>100</v>
      </c>
      <c r="BA102" s="55">
        <f t="shared" si="125"/>
        <v>136</v>
      </c>
      <c r="BB102" s="56">
        <f t="shared" ref="BB102:BG102" si="126">SUM(BB99:BB101)</f>
        <v>32</v>
      </c>
      <c r="BC102" s="57">
        <f t="shared" si="126"/>
        <v>127</v>
      </c>
      <c r="BD102" s="55">
        <f t="shared" si="126"/>
        <v>159</v>
      </c>
      <c r="BE102" s="56">
        <f t="shared" si="126"/>
        <v>32</v>
      </c>
      <c r="BF102" s="57">
        <f>SUM(BF99:BF101)</f>
        <v>126</v>
      </c>
      <c r="BG102" s="55">
        <f t="shared" si="126"/>
        <v>158</v>
      </c>
      <c r="BH102" s="56">
        <f t="shared" ref="BH102" si="127">SUM(BH99:BH101)</f>
        <v>35</v>
      </c>
      <c r="BI102" s="57">
        <f>SUM(BI99:BI101)</f>
        <v>113</v>
      </c>
      <c r="BJ102" s="55">
        <f t="shared" ref="BJ102" si="128">SUM(BJ99:BJ101)</f>
        <v>148</v>
      </c>
    </row>
    <row r="103" spans="1:62" s="38" customFormat="1" ht="15" customHeight="1" x14ac:dyDescent="0.3">
      <c r="A103" s="272"/>
      <c r="B103" s="58" t="s">
        <v>124</v>
      </c>
      <c r="C103" s="285"/>
      <c r="D103" s="286"/>
      <c r="E103" s="313"/>
      <c r="F103" s="285"/>
      <c r="G103" s="286"/>
      <c r="H103" s="61"/>
      <c r="I103" s="60"/>
      <c r="J103" s="60"/>
      <c r="K103" s="313"/>
      <c r="L103" s="59"/>
      <c r="M103" s="60"/>
      <c r="N103" s="61"/>
      <c r="O103" s="60"/>
      <c r="P103" s="60"/>
      <c r="Q103" s="313"/>
      <c r="R103" s="59"/>
      <c r="S103" s="60"/>
      <c r="T103" s="61"/>
      <c r="U103" s="60"/>
      <c r="V103" s="60"/>
      <c r="W103" s="313"/>
      <c r="X103" s="59"/>
      <c r="Y103" s="60"/>
      <c r="Z103" s="61"/>
      <c r="AA103" s="59">
        <v>39</v>
      </c>
      <c r="AB103" s="60">
        <v>41</v>
      </c>
      <c r="AC103" s="61">
        <f t="shared" si="92"/>
        <v>80</v>
      </c>
      <c r="AD103" s="59"/>
      <c r="AE103" s="60">
        <v>38</v>
      </c>
      <c r="AF103" s="61">
        <f t="shared" si="111"/>
        <v>38</v>
      </c>
      <c r="AG103" s="59">
        <v>25</v>
      </c>
      <c r="AH103" s="60">
        <v>48</v>
      </c>
      <c r="AI103" s="61">
        <f>SUM(AG103:AH103)</f>
        <v>73</v>
      </c>
      <c r="AJ103" s="62">
        <v>35</v>
      </c>
      <c r="AK103" s="60">
        <v>31</v>
      </c>
      <c r="AL103" s="61">
        <f>SUM(AJ103:AK103)</f>
        <v>66</v>
      </c>
      <c r="AM103" s="62">
        <v>38</v>
      </c>
      <c r="AN103" s="60">
        <v>47</v>
      </c>
      <c r="AO103" s="61">
        <f>SUM(AM103:AN103)</f>
        <v>85</v>
      </c>
      <c r="AP103" s="62">
        <v>33</v>
      </c>
      <c r="AQ103" s="60">
        <v>66</v>
      </c>
      <c r="AR103" s="61">
        <f>SUM(AP103:AQ103)</f>
        <v>99</v>
      </c>
      <c r="AS103" s="62">
        <v>47</v>
      </c>
      <c r="AT103" s="60">
        <v>40</v>
      </c>
      <c r="AU103" s="61">
        <f>SUM(AS103:AT103)</f>
        <v>87</v>
      </c>
      <c r="AV103" s="62"/>
      <c r="AW103" s="60">
        <v>52</v>
      </c>
      <c r="AX103" s="61">
        <f>SUM(AV103:AW103)</f>
        <v>52</v>
      </c>
      <c r="AY103" s="62"/>
      <c r="AZ103" s="60">
        <v>49</v>
      </c>
      <c r="BA103" s="61">
        <f>SUM(AY103:AZ103)</f>
        <v>49</v>
      </c>
      <c r="BB103" s="62"/>
      <c r="BC103" s="60">
        <v>54</v>
      </c>
      <c r="BD103" s="61">
        <f>SUM(BB103:BC103)</f>
        <v>54</v>
      </c>
      <c r="BE103" s="62"/>
      <c r="BF103" s="60">
        <v>48</v>
      </c>
      <c r="BG103" s="61">
        <f>SUM(BE103:BF103)</f>
        <v>48</v>
      </c>
      <c r="BH103" s="62"/>
      <c r="BI103" s="60">
        <v>46</v>
      </c>
      <c r="BJ103" s="61">
        <f>SUM(BH103:BI103)</f>
        <v>46</v>
      </c>
    </row>
    <row r="104" spans="1:62" s="38" customFormat="1" ht="15" customHeight="1" x14ac:dyDescent="0.3">
      <c r="A104" s="272"/>
      <c r="B104" s="45" t="s">
        <v>125</v>
      </c>
      <c r="C104" s="46"/>
      <c r="D104" s="50"/>
      <c r="E104" s="314"/>
      <c r="F104" s="46"/>
      <c r="G104" s="50"/>
      <c r="H104" s="48"/>
      <c r="I104" s="50"/>
      <c r="J104" s="50"/>
      <c r="K104" s="314"/>
      <c r="L104" s="46"/>
      <c r="M104" s="50"/>
      <c r="N104" s="48"/>
      <c r="O104" s="50"/>
      <c r="P104" s="50"/>
      <c r="Q104" s="314"/>
      <c r="R104" s="46"/>
      <c r="S104" s="50"/>
      <c r="T104" s="48"/>
      <c r="U104" s="50"/>
      <c r="V104" s="50"/>
      <c r="W104" s="314"/>
      <c r="X104" s="46"/>
      <c r="Y104" s="50"/>
      <c r="Z104" s="48"/>
      <c r="AA104" s="46"/>
      <c r="AB104" s="50"/>
      <c r="AC104" s="48"/>
      <c r="AD104" s="46"/>
      <c r="AE104" s="50"/>
      <c r="AF104" s="48"/>
      <c r="AG104" s="46"/>
      <c r="AH104" s="50"/>
      <c r="AI104" s="42"/>
      <c r="AJ104" s="46"/>
      <c r="AK104" s="50"/>
      <c r="AL104" s="42"/>
      <c r="AM104" s="46"/>
      <c r="AN104" s="50"/>
      <c r="AO104" s="42"/>
      <c r="AP104" s="46"/>
      <c r="AQ104" s="50"/>
      <c r="AR104" s="42"/>
      <c r="AS104" s="46"/>
      <c r="AT104" s="50">
        <v>38</v>
      </c>
      <c r="AU104" s="42">
        <f>SUM(AS104:AT104)</f>
        <v>38</v>
      </c>
      <c r="AV104" s="46"/>
      <c r="AW104" s="50">
        <v>48</v>
      </c>
      <c r="AX104" s="42">
        <f>SUM(AV104:AW104)</f>
        <v>48</v>
      </c>
      <c r="AY104" s="46"/>
      <c r="AZ104" s="50">
        <v>46</v>
      </c>
      <c r="BA104" s="42">
        <f>SUM(AY104:AZ104)</f>
        <v>46</v>
      </c>
      <c r="BB104" s="46"/>
      <c r="BC104" s="50">
        <v>49</v>
      </c>
      <c r="BD104" s="42">
        <f>SUM(BB104:BC104)</f>
        <v>49</v>
      </c>
      <c r="BE104" s="46"/>
      <c r="BF104" s="50">
        <v>51</v>
      </c>
      <c r="BG104" s="42">
        <f>SUM(BE104:BF104)</f>
        <v>51</v>
      </c>
      <c r="BH104" s="46"/>
      <c r="BI104" s="50">
        <v>65</v>
      </c>
      <c r="BJ104" s="42">
        <f>SUM(BH104:BI104)</f>
        <v>65</v>
      </c>
    </row>
    <row r="105" spans="1:62" s="38" customFormat="1" ht="15" customHeight="1" x14ac:dyDescent="0.3">
      <c r="A105" s="272"/>
      <c r="B105" s="318" t="s">
        <v>126</v>
      </c>
      <c r="C105" s="123"/>
      <c r="D105" s="127"/>
      <c r="E105" s="315"/>
      <c r="F105" s="123"/>
      <c r="G105" s="127"/>
      <c r="H105" s="125"/>
      <c r="I105" s="127"/>
      <c r="J105" s="127"/>
      <c r="K105" s="315"/>
      <c r="L105" s="123"/>
      <c r="M105" s="127"/>
      <c r="N105" s="125"/>
      <c r="O105" s="127"/>
      <c r="P105" s="127"/>
      <c r="Q105" s="315"/>
      <c r="R105" s="123"/>
      <c r="S105" s="127"/>
      <c r="T105" s="125"/>
      <c r="U105" s="127"/>
      <c r="V105" s="127"/>
      <c r="W105" s="315"/>
      <c r="X105" s="123"/>
      <c r="Y105" s="127"/>
      <c r="Z105" s="125"/>
      <c r="AA105" s="123"/>
      <c r="AB105" s="127"/>
      <c r="AC105" s="125"/>
      <c r="AD105" s="123"/>
      <c r="AE105" s="127"/>
      <c r="AF105" s="125"/>
      <c r="AG105" s="123"/>
      <c r="AH105" s="127"/>
      <c r="AI105" s="125"/>
      <c r="AJ105" s="46"/>
      <c r="AK105" s="50"/>
      <c r="AL105" s="125"/>
      <c r="AM105" s="46"/>
      <c r="AN105" s="50"/>
      <c r="AO105" s="125"/>
      <c r="AP105" s="46"/>
      <c r="AQ105" s="50"/>
      <c r="AR105" s="125"/>
      <c r="AS105" s="46"/>
      <c r="AT105" s="50"/>
      <c r="AU105" s="125"/>
      <c r="AV105" s="46"/>
      <c r="AW105" s="50">
        <v>32</v>
      </c>
      <c r="AX105" s="42">
        <f>SUM(AV105:AW105)</f>
        <v>32</v>
      </c>
      <c r="AY105" s="46"/>
      <c r="AZ105" s="50">
        <v>45</v>
      </c>
      <c r="BA105" s="42">
        <f>SUM(AY105:AZ105)</f>
        <v>45</v>
      </c>
      <c r="BB105" s="46"/>
      <c r="BC105" s="50">
        <v>49</v>
      </c>
      <c r="BD105" s="42">
        <f>SUM(BB105:BC105)</f>
        <v>49</v>
      </c>
      <c r="BE105" s="46"/>
      <c r="BF105" s="50">
        <v>53</v>
      </c>
      <c r="BG105" s="42">
        <f>SUM(BE105:BF105)</f>
        <v>53</v>
      </c>
      <c r="BH105" s="46"/>
      <c r="BI105" s="50">
        <v>51</v>
      </c>
      <c r="BJ105" s="42">
        <f>SUM(BH105:BI105)</f>
        <v>51</v>
      </c>
    </row>
    <row r="106" spans="1:62" s="38" customFormat="1" ht="15" customHeight="1" x14ac:dyDescent="0.3">
      <c r="A106" s="272"/>
      <c r="B106" s="52" t="s">
        <v>92</v>
      </c>
      <c r="C106" s="294"/>
      <c r="D106" s="295"/>
      <c r="E106" s="202"/>
      <c r="F106" s="294"/>
      <c r="G106" s="295"/>
      <c r="H106" s="203"/>
      <c r="I106" s="295"/>
      <c r="J106" s="295"/>
      <c r="K106" s="202"/>
      <c r="L106" s="294"/>
      <c r="M106" s="295"/>
      <c r="N106" s="203"/>
      <c r="O106" s="295"/>
      <c r="P106" s="295"/>
      <c r="Q106" s="202"/>
      <c r="R106" s="294"/>
      <c r="S106" s="295"/>
      <c r="T106" s="203"/>
      <c r="U106" s="295"/>
      <c r="V106" s="295"/>
      <c r="W106" s="202"/>
      <c r="X106" s="294"/>
      <c r="Y106" s="295"/>
      <c r="Z106" s="203"/>
      <c r="AA106" s="53">
        <f>SUM(AA103)</f>
        <v>39</v>
      </c>
      <c r="AB106" s="284">
        <f t="shared" ref="AB106:AR106" si="129">SUM(AB103)</f>
        <v>41</v>
      </c>
      <c r="AC106" s="55">
        <f t="shared" si="129"/>
        <v>80</v>
      </c>
      <c r="AD106" s="53">
        <f t="shared" si="129"/>
        <v>0</v>
      </c>
      <c r="AE106" s="284">
        <f t="shared" si="129"/>
        <v>38</v>
      </c>
      <c r="AF106" s="55">
        <f t="shared" si="129"/>
        <v>38</v>
      </c>
      <c r="AG106" s="53">
        <f t="shared" si="129"/>
        <v>25</v>
      </c>
      <c r="AH106" s="54">
        <f t="shared" si="129"/>
        <v>48</v>
      </c>
      <c r="AI106" s="55">
        <f t="shared" si="129"/>
        <v>73</v>
      </c>
      <c r="AJ106" s="56">
        <f t="shared" si="129"/>
        <v>35</v>
      </c>
      <c r="AK106" s="57">
        <f t="shared" si="129"/>
        <v>31</v>
      </c>
      <c r="AL106" s="55">
        <f t="shared" si="129"/>
        <v>66</v>
      </c>
      <c r="AM106" s="56">
        <f t="shared" si="129"/>
        <v>38</v>
      </c>
      <c r="AN106" s="57">
        <f t="shared" si="129"/>
        <v>47</v>
      </c>
      <c r="AO106" s="55">
        <f t="shared" si="129"/>
        <v>85</v>
      </c>
      <c r="AP106" s="56">
        <f t="shared" si="129"/>
        <v>33</v>
      </c>
      <c r="AQ106" s="57">
        <f t="shared" si="129"/>
        <v>66</v>
      </c>
      <c r="AR106" s="55">
        <f t="shared" si="129"/>
        <v>99</v>
      </c>
      <c r="AS106" s="56">
        <f>SUM(AS103:AS104)</f>
        <v>47</v>
      </c>
      <c r="AT106" s="57">
        <f>SUM(AT103:AT104)</f>
        <v>78</v>
      </c>
      <c r="AU106" s="55">
        <f>SUM(AU103:AU104)</f>
        <v>125</v>
      </c>
      <c r="AV106" s="56">
        <f>SUM(AV103:AV104)</f>
        <v>0</v>
      </c>
      <c r="AW106" s="57">
        <f>SUM(AW103:AW105)</f>
        <v>132</v>
      </c>
      <c r="AX106" s="55">
        <f>SUM(AX103:AX105)</f>
        <v>132</v>
      </c>
      <c r="AY106" s="56">
        <f>SUM(AY103:AY104)</f>
        <v>0</v>
      </c>
      <c r="AZ106" s="57">
        <f>SUM(AZ103:AZ105)</f>
        <v>140</v>
      </c>
      <c r="BA106" s="55">
        <f>SUM(BA103:BA105)</f>
        <v>140</v>
      </c>
      <c r="BB106" s="56">
        <f>SUM(BB103:BB104)</f>
        <v>0</v>
      </c>
      <c r="BC106" s="57">
        <f>SUM(BC103:BC105)</f>
        <v>152</v>
      </c>
      <c r="BD106" s="55">
        <f>SUM(BD103:BD105)</f>
        <v>152</v>
      </c>
      <c r="BE106" s="56">
        <f>SUM(BE103:BE104)</f>
        <v>0</v>
      </c>
      <c r="BF106" s="57">
        <f>SUM(BF103:BF105)</f>
        <v>152</v>
      </c>
      <c r="BG106" s="55">
        <f>SUM(BG103:BG105)</f>
        <v>152</v>
      </c>
      <c r="BH106" s="56">
        <f>SUM(BH103:BH104)</f>
        <v>0</v>
      </c>
      <c r="BI106" s="57">
        <f>SUM(BI103:BI105)</f>
        <v>162</v>
      </c>
      <c r="BJ106" s="55">
        <f>SUM(BJ103:BJ105)</f>
        <v>162</v>
      </c>
    </row>
    <row r="107" spans="1:62" s="38" customFormat="1" ht="15" customHeight="1" x14ac:dyDescent="0.3">
      <c r="A107" s="272"/>
      <c r="B107" s="131" t="s">
        <v>127</v>
      </c>
      <c r="C107" s="132"/>
      <c r="D107" s="133"/>
      <c r="E107" s="134"/>
      <c r="F107" s="132"/>
      <c r="G107" s="133"/>
      <c r="H107" s="134"/>
      <c r="I107" s="132"/>
      <c r="J107" s="133"/>
      <c r="K107" s="134"/>
      <c r="L107" s="132"/>
      <c r="M107" s="133"/>
      <c r="N107" s="134"/>
      <c r="O107" s="132"/>
      <c r="P107" s="133"/>
      <c r="Q107" s="134"/>
      <c r="R107" s="132"/>
      <c r="S107" s="133"/>
      <c r="T107" s="134"/>
      <c r="U107" s="132"/>
      <c r="V107" s="133"/>
      <c r="W107" s="134"/>
      <c r="X107" s="132"/>
      <c r="Y107" s="133"/>
      <c r="Z107" s="133"/>
      <c r="AA107" s="132">
        <f>SUM(AA106,AA102,AA98)</f>
        <v>114</v>
      </c>
      <c r="AB107" s="133">
        <f t="shared" ref="AB107:AR107" si="130">SUM(AB106,AB102,AB98)</f>
        <v>124</v>
      </c>
      <c r="AC107" s="134">
        <f t="shared" si="130"/>
        <v>238</v>
      </c>
      <c r="AD107" s="132">
        <f t="shared" si="130"/>
        <v>0</v>
      </c>
      <c r="AE107" s="133">
        <f t="shared" si="130"/>
        <v>107</v>
      </c>
      <c r="AF107" s="134">
        <f t="shared" si="130"/>
        <v>107</v>
      </c>
      <c r="AG107" s="132">
        <f t="shared" si="130"/>
        <v>87</v>
      </c>
      <c r="AH107" s="133">
        <f t="shared" si="130"/>
        <v>147</v>
      </c>
      <c r="AI107" s="134">
        <f t="shared" si="130"/>
        <v>234</v>
      </c>
      <c r="AJ107" s="132">
        <f t="shared" si="130"/>
        <v>56</v>
      </c>
      <c r="AK107" s="133">
        <f t="shared" si="130"/>
        <v>131</v>
      </c>
      <c r="AL107" s="134">
        <f t="shared" si="130"/>
        <v>187</v>
      </c>
      <c r="AM107" s="132">
        <f t="shared" si="130"/>
        <v>61</v>
      </c>
      <c r="AN107" s="133">
        <f t="shared" si="130"/>
        <v>179</v>
      </c>
      <c r="AO107" s="134">
        <f t="shared" si="130"/>
        <v>240</v>
      </c>
      <c r="AP107" s="132">
        <f t="shared" si="130"/>
        <v>84</v>
      </c>
      <c r="AQ107" s="133">
        <f t="shared" si="130"/>
        <v>182</v>
      </c>
      <c r="AR107" s="134">
        <f t="shared" si="130"/>
        <v>266</v>
      </c>
      <c r="AS107" s="132">
        <f t="shared" ref="AS107:BD107" si="131">SUM(AS98,AS102,AS106)</f>
        <v>139</v>
      </c>
      <c r="AT107" s="133">
        <f t="shared" si="131"/>
        <v>241</v>
      </c>
      <c r="AU107" s="134">
        <f t="shared" si="131"/>
        <v>380</v>
      </c>
      <c r="AV107" s="132">
        <f t="shared" si="131"/>
        <v>51</v>
      </c>
      <c r="AW107" s="133">
        <f t="shared" si="131"/>
        <v>399</v>
      </c>
      <c r="AX107" s="134">
        <f t="shared" si="131"/>
        <v>450</v>
      </c>
      <c r="AY107" s="132">
        <f t="shared" si="131"/>
        <v>36</v>
      </c>
      <c r="AZ107" s="133">
        <f t="shared" si="131"/>
        <v>435</v>
      </c>
      <c r="BA107" s="134">
        <f t="shared" si="131"/>
        <v>471</v>
      </c>
      <c r="BB107" s="132">
        <f t="shared" si="131"/>
        <v>32</v>
      </c>
      <c r="BC107" s="133">
        <f t="shared" si="131"/>
        <v>445</v>
      </c>
      <c r="BD107" s="134">
        <f t="shared" si="131"/>
        <v>477</v>
      </c>
      <c r="BE107" s="132">
        <f t="shared" ref="BE107:BG107" si="132">SUM(BE98,BE102,BE106)</f>
        <v>32</v>
      </c>
      <c r="BF107" s="133">
        <f t="shared" si="132"/>
        <v>430</v>
      </c>
      <c r="BG107" s="134">
        <f t="shared" si="132"/>
        <v>462</v>
      </c>
      <c r="BH107" s="132">
        <f t="shared" ref="BH107:BJ107" si="133">SUM(BH98,BH102,BH106)</f>
        <v>35</v>
      </c>
      <c r="BI107" s="133">
        <f t="shared" si="133"/>
        <v>479</v>
      </c>
      <c r="BJ107" s="134">
        <f t="shared" si="133"/>
        <v>514</v>
      </c>
    </row>
    <row r="108" spans="1:62" s="38" customFormat="1" ht="15" customHeight="1" x14ac:dyDescent="0.3">
      <c r="A108" s="272"/>
      <c r="C108" s="192"/>
      <c r="D108" s="192"/>
      <c r="E108" s="192"/>
      <c r="F108" s="192"/>
      <c r="G108" s="192"/>
      <c r="H108" s="192"/>
      <c r="I108" s="192"/>
      <c r="J108" s="192"/>
      <c r="K108" s="192"/>
      <c r="L108" s="192"/>
      <c r="M108" s="192"/>
      <c r="N108" s="192"/>
      <c r="O108" s="192"/>
      <c r="P108" s="192"/>
      <c r="Q108" s="192"/>
      <c r="R108" s="192"/>
      <c r="S108" s="192"/>
      <c r="T108" s="192"/>
      <c r="U108" s="192"/>
      <c r="V108" s="192"/>
      <c r="W108" s="192"/>
      <c r="X108" s="192"/>
      <c r="Y108" s="192"/>
      <c r="Z108" s="192"/>
      <c r="AA108" s="192"/>
      <c r="AB108" s="192"/>
      <c r="AC108" s="192"/>
      <c r="AD108" s="192"/>
      <c r="AE108" s="192"/>
      <c r="AF108" s="192"/>
      <c r="AG108" s="192"/>
      <c r="AH108" s="192"/>
      <c r="AI108" s="192"/>
      <c r="AJ108" s="192"/>
      <c r="AK108" s="192"/>
      <c r="AL108" s="192"/>
      <c r="AM108" s="192"/>
      <c r="AN108" s="192"/>
      <c r="AO108" s="192"/>
      <c r="AP108" s="192"/>
      <c r="AQ108" s="192"/>
      <c r="AR108" s="192"/>
      <c r="AS108" s="192"/>
      <c r="AT108" s="192"/>
      <c r="AU108" s="192"/>
      <c r="AV108" s="192"/>
      <c r="AW108" s="192"/>
      <c r="AX108" s="192"/>
      <c r="AY108" s="192"/>
      <c r="AZ108" s="192"/>
      <c r="BA108" s="192"/>
      <c r="BB108" s="192"/>
      <c r="BC108" s="192"/>
      <c r="BD108" s="192"/>
      <c r="BE108" s="192"/>
      <c r="BF108" s="192"/>
      <c r="BG108" s="192"/>
      <c r="BH108" s="192"/>
      <c r="BI108" s="192"/>
      <c r="BJ108" s="192"/>
    </row>
    <row r="109" spans="1:62" s="322" customFormat="1" ht="15.6" x14ac:dyDescent="0.3">
      <c r="A109" s="272"/>
      <c r="B109" s="136" t="s">
        <v>128</v>
      </c>
      <c r="C109" s="319">
        <f>SUM(C26,C57,C79,C94,C107)</f>
        <v>3869</v>
      </c>
      <c r="D109" s="320">
        <f t="shared" ref="D109:BD109" si="134">SUM(D26,D57,D79,D94,D107)</f>
        <v>6460</v>
      </c>
      <c r="E109" s="321">
        <f t="shared" si="134"/>
        <v>10329</v>
      </c>
      <c r="F109" s="319">
        <f t="shared" si="134"/>
        <v>4715</v>
      </c>
      <c r="G109" s="320">
        <f t="shared" si="134"/>
        <v>6748</v>
      </c>
      <c r="H109" s="321">
        <f t="shared" si="134"/>
        <v>11463</v>
      </c>
      <c r="I109" s="319">
        <f t="shared" si="134"/>
        <v>4693</v>
      </c>
      <c r="J109" s="320">
        <f t="shared" si="134"/>
        <v>7671</v>
      </c>
      <c r="K109" s="321">
        <f t="shared" si="134"/>
        <v>12364</v>
      </c>
      <c r="L109" s="319">
        <f t="shared" si="134"/>
        <v>4471</v>
      </c>
      <c r="M109" s="320">
        <f t="shared" si="134"/>
        <v>7556</v>
      </c>
      <c r="N109" s="321">
        <f t="shared" si="134"/>
        <v>12027</v>
      </c>
      <c r="O109" s="319">
        <f t="shared" si="134"/>
        <v>4497</v>
      </c>
      <c r="P109" s="320">
        <f t="shared" si="134"/>
        <v>7741</v>
      </c>
      <c r="Q109" s="321">
        <f t="shared" si="134"/>
        <v>12238</v>
      </c>
      <c r="R109" s="319">
        <f t="shared" si="134"/>
        <v>4517</v>
      </c>
      <c r="S109" s="320">
        <f t="shared" si="134"/>
        <v>7187</v>
      </c>
      <c r="T109" s="321">
        <f t="shared" si="134"/>
        <v>11704</v>
      </c>
      <c r="U109" s="319">
        <f t="shared" si="134"/>
        <v>4454</v>
      </c>
      <c r="V109" s="320">
        <f t="shared" si="134"/>
        <v>7396</v>
      </c>
      <c r="W109" s="321">
        <f t="shared" si="134"/>
        <v>11850</v>
      </c>
      <c r="X109" s="319">
        <f t="shared" si="134"/>
        <v>4582</v>
      </c>
      <c r="Y109" s="320">
        <f t="shared" si="134"/>
        <v>8065</v>
      </c>
      <c r="Z109" s="321">
        <f t="shared" si="134"/>
        <v>12647</v>
      </c>
      <c r="AA109" s="319">
        <f t="shared" si="134"/>
        <v>5043</v>
      </c>
      <c r="AB109" s="320">
        <f t="shared" si="134"/>
        <v>7670</v>
      </c>
      <c r="AC109" s="321">
        <f t="shared" si="134"/>
        <v>12713</v>
      </c>
      <c r="AD109" s="319">
        <f>SUM(AD26,AD57,AD79,AD94,AD107)</f>
        <v>4467</v>
      </c>
      <c r="AE109" s="320">
        <f t="shared" si="134"/>
        <v>7760</v>
      </c>
      <c r="AF109" s="321">
        <f t="shared" si="134"/>
        <v>12227</v>
      </c>
      <c r="AG109" s="319">
        <f t="shared" si="134"/>
        <v>4498</v>
      </c>
      <c r="AH109" s="320">
        <f t="shared" si="134"/>
        <v>7912</v>
      </c>
      <c r="AI109" s="321">
        <f t="shared" si="134"/>
        <v>12410</v>
      </c>
      <c r="AJ109" s="319">
        <f>SUM(AJ26,AJ57,AJ79,AJ94,AJ107)</f>
        <v>4288</v>
      </c>
      <c r="AK109" s="320">
        <f t="shared" si="134"/>
        <v>7623</v>
      </c>
      <c r="AL109" s="321">
        <f t="shared" si="134"/>
        <v>11911</v>
      </c>
      <c r="AM109" s="319">
        <f t="shared" si="134"/>
        <v>4392</v>
      </c>
      <c r="AN109" s="320">
        <f t="shared" si="134"/>
        <v>7693</v>
      </c>
      <c r="AO109" s="321">
        <f t="shared" si="134"/>
        <v>12085</v>
      </c>
      <c r="AP109" s="319">
        <f t="shared" si="134"/>
        <v>4504</v>
      </c>
      <c r="AQ109" s="320">
        <f t="shared" si="134"/>
        <v>8442</v>
      </c>
      <c r="AR109" s="321">
        <f t="shared" si="134"/>
        <v>12946</v>
      </c>
      <c r="AS109" s="319">
        <f t="shared" si="134"/>
        <v>4591</v>
      </c>
      <c r="AT109" s="320">
        <f t="shared" si="134"/>
        <v>8418</v>
      </c>
      <c r="AU109" s="321">
        <f t="shared" si="134"/>
        <v>13009</v>
      </c>
      <c r="AV109" s="319">
        <f t="shared" si="134"/>
        <v>4485</v>
      </c>
      <c r="AW109" s="320">
        <f t="shared" si="134"/>
        <v>8770</v>
      </c>
      <c r="AX109" s="321">
        <f t="shared" si="134"/>
        <v>13255</v>
      </c>
      <c r="AY109" s="319">
        <f t="shared" si="134"/>
        <v>5331</v>
      </c>
      <c r="AZ109" s="320">
        <f t="shared" si="134"/>
        <v>8182</v>
      </c>
      <c r="BA109" s="321">
        <f t="shared" si="134"/>
        <v>13513</v>
      </c>
      <c r="BB109" s="319">
        <f t="shared" si="134"/>
        <v>4239</v>
      </c>
      <c r="BC109" s="320">
        <f t="shared" si="134"/>
        <v>7125</v>
      </c>
      <c r="BD109" s="321">
        <f t="shared" si="134"/>
        <v>11364</v>
      </c>
      <c r="BE109" s="319">
        <f t="shared" ref="BE109:BG109" si="135">SUM(BE26,BE57,BE79,BE94,BE107)</f>
        <v>4201</v>
      </c>
      <c r="BF109" s="320">
        <f t="shared" si="135"/>
        <v>7005</v>
      </c>
      <c r="BG109" s="321">
        <f t="shared" si="135"/>
        <v>11206</v>
      </c>
      <c r="BH109" s="319">
        <f t="shared" ref="BH109:BJ109" si="136">SUM(BH26,BH57,BH79,BH94,BH107)</f>
        <v>4303</v>
      </c>
      <c r="BI109" s="320">
        <f t="shared" si="136"/>
        <v>7568</v>
      </c>
      <c r="BJ109" s="321">
        <f t="shared" si="136"/>
        <v>11871</v>
      </c>
    </row>
    <row r="110" spans="1:62" s="325" customFormat="1" ht="15.6" x14ac:dyDescent="0.3">
      <c r="A110" s="272"/>
      <c r="B110" s="323" t="s">
        <v>144</v>
      </c>
      <c r="C110" s="324"/>
      <c r="D110" s="324"/>
      <c r="E110" s="324"/>
      <c r="F110" s="324"/>
      <c r="G110" s="324"/>
      <c r="H110" s="324"/>
      <c r="W110" s="326"/>
      <c r="BB110" s="38"/>
    </row>
    <row r="111" spans="1:62" x14ac:dyDescent="0.25">
      <c r="B111" s="141" t="s">
        <v>130</v>
      </c>
      <c r="C111" s="204"/>
      <c r="D111" s="204"/>
      <c r="E111" s="204"/>
      <c r="F111" s="204"/>
      <c r="G111" s="204"/>
      <c r="H111" s="204"/>
    </row>
    <row r="112" spans="1:62" x14ac:dyDescent="0.25">
      <c r="B112" s="5732"/>
      <c r="C112" s="5732"/>
      <c r="D112" s="5732"/>
    </row>
  </sheetData>
  <mergeCells count="22">
    <mergeCell ref="BH4:BJ4"/>
    <mergeCell ref="BE4:BG4"/>
    <mergeCell ref="BB4:BD4"/>
    <mergeCell ref="AV4:AX4"/>
    <mergeCell ref="AY4:BA4"/>
    <mergeCell ref="AS4:AU4"/>
    <mergeCell ref="R4:T4"/>
    <mergeCell ref="U4:W4"/>
    <mergeCell ref="X4:Z4"/>
    <mergeCell ref="AA4:AC4"/>
    <mergeCell ref="AD4:AF4"/>
    <mergeCell ref="AG4:AI4"/>
    <mergeCell ref="O4:Q4"/>
    <mergeCell ref="B112:D112"/>
    <mergeCell ref="AJ4:AL4"/>
    <mergeCell ref="AM4:AO4"/>
    <mergeCell ref="AP4:AR4"/>
    <mergeCell ref="B4:B5"/>
    <mergeCell ref="C4:E4"/>
    <mergeCell ref="F4:H4"/>
    <mergeCell ref="I4:K4"/>
    <mergeCell ref="L4:N4"/>
  </mergeCells>
  <hyperlinks>
    <hyperlink ref="B2" r:id="rId1" display="http://www.transparencia.uam.mx/inforganos/anuarios/_x000a_"/>
  </hyperlinks>
  <printOptions horizontalCentered="1" verticalCentered="1"/>
  <pageMargins left="0.43307086614173229" right="0.27559055118110237" top="0.31496062992125984" bottom="0.19685039370078741" header="0" footer="0.31496062992125984"/>
  <pageSetup scale="60" firstPageNumber="7" pageOrder="overThenDown" orientation="landscape" useFirstPageNumber="1" r:id="rId2"/>
  <headerFooter scaleWithDoc="0" alignWithMargins="0">
    <oddFooter>&amp;R&amp;P</oddFooter>
  </headerFooter>
  <rowBreaks count="1" manualBreakCount="1">
    <brk id="57" max="16383" man="1"/>
  </rowBreaks>
  <colBreaks count="2" manualBreakCount="2">
    <brk id="20" max="1048575" man="1"/>
    <brk id="38" max="101" man="1"/>
  </colBreaks>
  <ignoredErrors>
    <ignoredError sqref="Z6:BG15" formulaRange="1"/>
    <ignoredError sqref="Z16:BG109" formula="1" formulaRange="1"/>
  </ignoredErrors>
  <drawing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</sheetPr>
  <dimension ref="B1:H46"/>
  <sheetViews>
    <sheetView showGridLines="0" zoomScale="110" zoomScaleNormal="110" workbookViewId="0">
      <selection activeCell="Q9" sqref="Q9"/>
    </sheetView>
  </sheetViews>
  <sheetFormatPr baseColWidth="10" defaultRowHeight="13.2" x14ac:dyDescent="0.25"/>
  <cols>
    <col min="1" max="1" width="2.5546875" customWidth="1"/>
    <col min="2" max="2" width="31.88671875" bestFit="1" customWidth="1"/>
    <col min="3" max="4" width="9.5546875" customWidth="1"/>
    <col min="5" max="5" width="7.88671875" customWidth="1"/>
    <col min="6" max="6" width="8.5546875" bestFit="1" customWidth="1"/>
    <col min="7" max="7" width="9.44140625" bestFit="1" customWidth="1"/>
    <col min="8" max="8" width="7.88671875" customWidth="1"/>
  </cols>
  <sheetData>
    <row r="1" spans="2:8" ht="54" x14ac:dyDescent="0.25">
      <c r="B1" s="4834" t="s">
        <v>1486</v>
      </c>
      <c r="C1" s="4737"/>
      <c r="D1" s="4737"/>
      <c r="E1" s="4737"/>
    </row>
    <row r="2" spans="2:8" ht="14.4" x14ac:dyDescent="0.25">
      <c r="B2" s="4734"/>
      <c r="C2" s="4735"/>
      <c r="D2" s="4735"/>
      <c r="E2" s="4735"/>
    </row>
    <row r="3" spans="2:8" ht="14.4" x14ac:dyDescent="0.3">
      <c r="B3" s="6122" t="s">
        <v>1480</v>
      </c>
      <c r="C3" s="6123">
        <v>2021</v>
      </c>
      <c r="D3" s="6123"/>
      <c r="E3" s="6124"/>
      <c r="F3" s="6123">
        <v>2022</v>
      </c>
      <c r="G3" s="6123"/>
      <c r="H3" s="6124"/>
    </row>
    <row r="4" spans="2:8" ht="14.4" x14ac:dyDescent="0.25">
      <c r="B4" s="6122"/>
      <c r="C4" s="4740" t="s">
        <v>140</v>
      </c>
      <c r="D4" s="4740" t="s">
        <v>141</v>
      </c>
      <c r="E4" s="3039" t="s">
        <v>48</v>
      </c>
      <c r="F4" s="4740" t="s">
        <v>140</v>
      </c>
      <c r="G4" s="4740" t="s">
        <v>141</v>
      </c>
      <c r="H4" s="3039" t="s">
        <v>48</v>
      </c>
    </row>
    <row r="5" spans="2:8" ht="14.4" x14ac:dyDescent="0.25">
      <c r="B5" s="5382" t="s">
        <v>60</v>
      </c>
      <c r="C5" s="5383"/>
      <c r="D5" s="5384">
        <v>1</v>
      </c>
      <c r="E5" s="5385">
        <v>1</v>
      </c>
      <c r="F5" s="5383"/>
      <c r="G5" s="5384"/>
      <c r="H5" s="5385"/>
    </row>
    <row r="6" spans="2:8" ht="14.4" x14ac:dyDescent="0.25">
      <c r="B6" s="5386" t="s">
        <v>61</v>
      </c>
      <c r="C6" s="5387"/>
      <c r="D6" s="5388">
        <v>1</v>
      </c>
      <c r="E6" s="5389">
        <v>1</v>
      </c>
      <c r="F6" s="5387"/>
      <c r="G6" s="5388"/>
      <c r="H6" s="5389"/>
    </row>
    <row r="7" spans="2:8" ht="14.4" x14ac:dyDescent="0.25">
      <c r="B7" s="5386" t="s">
        <v>62</v>
      </c>
      <c r="C7" s="5387"/>
      <c r="D7" s="5390">
        <v>1</v>
      </c>
      <c r="E7" s="5389">
        <v>1</v>
      </c>
      <c r="F7" s="5387"/>
      <c r="G7" s="5390"/>
      <c r="H7" s="5389"/>
    </row>
    <row r="8" spans="2:8" ht="14.4" x14ac:dyDescent="0.25">
      <c r="B8" s="5391" t="s">
        <v>64</v>
      </c>
      <c r="C8" s="5392">
        <f>SUM(C5:C7)</f>
        <v>0</v>
      </c>
      <c r="D8" s="5393">
        <f t="shared" ref="D8:E8" si="0">SUM(D5:D7)</f>
        <v>3</v>
      </c>
      <c r="E8" s="5394">
        <f t="shared" si="0"/>
        <v>3</v>
      </c>
      <c r="F8" s="5392">
        <f>SUM(F5:F7)</f>
        <v>0</v>
      </c>
      <c r="G8" s="5393">
        <f t="shared" ref="G8" si="1">SUM(G5:G7)</f>
        <v>0</v>
      </c>
      <c r="H8" s="5394"/>
    </row>
    <row r="9" spans="2:8" ht="14.4" x14ac:dyDescent="0.3">
      <c r="B9" s="5386" t="s">
        <v>66</v>
      </c>
      <c r="C9" s="5387">
        <v>3</v>
      </c>
      <c r="D9" s="5390"/>
      <c r="E9" s="5389">
        <v>3</v>
      </c>
      <c r="F9" s="5433">
        <v>1</v>
      </c>
      <c r="G9" s="5435">
        <v>1</v>
      </c>
      <c r="H9" s="5437">
        <f>SUM(F9:G9)</f>
        <v>2</v>
      </c>
    </row>
    <row r="10" spans="2:8" ht="14.4" x14ac:dyDescent="0.3">
      <c r="B10" s="5386" t="s">
        <v>67</v>
      </c>
      <c r="C10" s="5387"/>
      <c r="D10" s="5390"/>
      <c r="E10" s="5389"/>
      <c r="F10" s="5430"/>
      <c r="G10" s="5435">
        <v>1</v>
      </c>
      <c r="H10" s="5437">
        <f>SUM(F10:G10)</f>
        <v>1</v>
      </c>
    </row>
    <row r="11" spans="2:8" ht="14.4" x14ac:dyDescent="0.25">
      <c r="B11" s="5391" t="s">
        <v>68</v>
      </c>
      <c r="C11" s="5392">
        <f>SUM(C9)</f>
        <v>3</v>
      </c>
      <c r="D11" s="5393">
        <f t="shared" ref="D11:E11" si="2">SUM(D9)</f>
        <v>0</v>
      </c>
      <c r="E11" s="5394">
        <f t="shared" si="2"/>
        <v>3</v>
      </c>
      <c r="F11" s="5392">
        <f>SUM(F9:F10)</f>
        <v>1</v>
      </c>
      <c r="G11" s="5393">
        <f t="shared" ref="G11:H11" si="3">SUM(G9:G10)</f>
        <v>2</v>
      </c>
      <c r="H11" s="5394">
        <f t="shared" si="3"/>
        <v>3</v>
      </c>
    </row>
    <row r="12" spans="2:8" ht="14.4" x14ac:dyDescent="0.25">
      <c r="B12" s="5401" t="s">
        <v>138</v>
      </c>
      <c r="C12" s="5402">
        <f>SUM(C11,C8)</f>
        <v>3</v>
      </c>
      <c r="D12" s="5403">
        <f t="shared" ref="D12:E12" si="4">SUM(D11,D8)</f>
        <v>3</v>
      </c>
      <c r="E12" s="5404">
        <f t="shared" si="4"/>
        <v>6</v>
      </c>
      <c r="F12" s="5402">
        <f>SUM(F11,F8)</f>
        <v>1</v>
      </c>
      <c r="G12" s="5403">
        <f>SUM(G11,G8)</f>
        <v>2</v>
      </c>
      <c r="H12" s="5404">
        <f>SUM(H8,H11)</f>
        <v>3</v>
      </c>
    </row>
    <row r="13" spans="2:8" ht="14.4" x14ac:dyDescent="0.25">
      <c r="B13" s="5397" t="s">
        <v>110</v>
      </c>
      <c r="C13" s="5398">
        <v>10</v>
      </c>
      <c r="D13" s="5399">
        <v>7</v>
      </c>
      <c r="E13" s="5400">
        <v>17</v>
      </c>
      <c r="F13" s="5398"/>
      <c r="G13" s="5399"/>
      <c r="H13" s="5400"/>
    </row>
    <row r="14" spans="2:8" ht="14.4" x14ac:dyDescent="0.25">
      <c r="B14" s="5386" t="s">
        <v>108</v>
      </c>
      <c r="C14" s="5395">
        <v>3</v>
      </c>
      <c r="D14" s="5396"/>
      <c r="E14" s="5389">
        <v>3</v>
      </c>
      <c r="F14" s="5395"/>
      <c r="G14" s="5396"/>
      <c r="H14" s="5389"/>
    </row>
    <row r="15" spans="2:8" ht="14.4" x14ac:dyDescent="0.25">
      <c r="B15" s="5391" t="s">
        <v>111</v>
      </c>
      <c r="C15" s="5392">
        <f>SUM(C13:C14)</f>
        <v>13</v>
      </c>
      <c r="D15" s="5393">
        <f t="shared" ref="D15:E15" si="5">SUM(D13:D14)</f>
        <v>7</v>
      </c>
      <c r="E15" s="5394">
        <f t="shared" si="5"/>
        <v>20</v>
      </c>
      <c r="F15" s="5392">
        <f>SUM(F13:F14)</f>
        <v>0</v>
      </c>
      <c r="G15" s="5393">
        <f t="shared" ref="G15" si="6">SUM(G13:G14)</f>
        <v>0</v>
      </c>
      <c r="H15" s="5394"/>
    </row>
    <row r="16" spans="2:8" ht="14.4" x14ac:dyDescent="0.25">
      <c r="B16" s="5386" t="s">
        <v>114</v>
      </c>
      <c r="C16" s="5387">
        <v>1</v>
      </c>
      <c r="D16" s="5388"/>
      <c r="E16" s="5389">
        <v>1</v>
      </c>
      <c r="F16" s="5387"/>
      <c r="G16" s="5388"/>
      <c r="H16" s="5389"/>
    </row>
    <row r="17" spans="2:8" ht="14.4" x14ac:dyDescent="0.25">
      <c r="B17" s="5386" t="s">
        <v>113</v>
      </c>
      <c r="C17" s="5387">
        <v>1</v>
      </c>
      <c r="D17" s="5388"/>
      <c r="E17" s="5389">
        <v>1</v>
      </c>
      <c r="F17" s="5387"/>
      <c r="G17" s="5388"/>
      <c r="H17" s="5389"/>
    </row>
    <row r="18" spans="2:8" ht="14.4" x14ac:dyDescent="0.25">
      <c r="B18" s="5386" t="s">
        <v>58</v>
      </c>
      <c r="C18" s="5387"/>
      <c r="D18" s="5388">
        <v>1</v>
      </c>
      <c r="E18" s="5389">
        <v>1</v>
      </c>
      <c r="F18" s="5387"/>
      <c r="G18" s="5388"/>
      <c r="H18" s="5389"/>
    </row>
    <row r="19" spans="2:8" ht="14.4" x14ac:dyDescent="0.25">
      <c r="B19" s="5391" t="s">
        <v>115</v>
      </c>
      <c r="C19" s="5392">
        <f>SUM(C16:C18)</f>
        <v>2</v>
      </c>
      <c r="D19" s="5393">
        <f t="shared" ref="D19:E19" si="7">SUM(D16:D18)</f>
        <v>1</v>
      </c>
      <c r="E19" s="5394">
        <f t="shared" si="7"/>
        <v>3</v>
      </c>
      <c r="F19" s="5392">
        <f>SUM(F16:F18)</f>
        <v>0</v>
      </c>
      <c r="G19" s="5393">
        <f t="shared" ref="G19" si="8">SUM(G16:G18)</f>
        <v>0</v>
      </c>
      <c r="H19" s="5394"/>
    </row>
    <row r="20" spans="2:8" ht="14.4" x14ac:dyDescent="0.25">
      <c r="B20" s="5386" t="s">
        <v>214</v>
      </c>
      <c r="C20" s="5387">
        <v>1</v>
      </c>
      <c r="D20" s="5388">
        <v>3</v>
      </c>
      <c r="E20" s="5389">
        <v>4</v>
      </c>
      <c r="F20" s="5433">
        <v>2</v>
      </c>
      <c r="G20" s="5434">
        <v>2</v>
      </c>
      <c r="H20" s="5436">
        <f>SUM(F20:G20)</f>
        <v>4</v>
      </c>
    </row>
    <row r="21" spans="2:8" ht="14.4" x14ac:dyDescent="0.25">
      <c r="B21" s="5386" t="s">
        <v>61</v>
      </c>
      <c r="C21" s="5387"/>
      <c r="D21" s="5388"/>
      <c r="E21" s="5389"/>
      <c r="F21" s="5426">
        <v>1</v>
      </c>
      <c r="G21" s="5427"/>
      <c r="H21" s="5389">
        <f>SUM(F21:G21)</f>
        <v>1</v>
      </c>
    </row>
    <row r="22" spans="2:8" ht="14.4" x14ac:dyDescent="0.25">
      <c r="B22" s="5386" t="s">
        <v>106</v>
      </c>
      <c r="C22" s="5387">
        <v>1</v>
      </c>
      <c r="D22" s="5388"/>
      <c r="E22" s="5389">
        <v>1</v>
      </c>
      <c r="F22" s="5426">
        <v>1</v>
      </c>
      <c r="G22" s="5427"/>
      <c r="H22" s="5389">
        <f>SUM(F22:G22)</f>
        <v>1</v>
      </c>
    </row>
    <row r="23" spans="2:8" ht="14.4" x14ac:dyDescent="0.25">
      <c r="B23" s="5386" t="s">
        <v>107</v>
      </c>
      <c r="C23" s="5387">
        <v>1</v>
      </c>
      <c r="D23" s="5388"/>
      <c r="E23" s="5389">
        <v>1</v>
      </c>
      <c r="F23" s="5387"/>
      <c r="G23" s="5388"/>
      <c r="H23" s="5389"/>
    </row>
    <row r="24" spans="2:8" ht="14.4" x14ac:dyDescent="0.25">
      <c r="B24" s="5391" t="s">
        <v>64</v>
      </c>
      <c r="C24" s="5392">
        <f>SUM(C20:C23)</f>
        <v>3</v>
      </c>
      <c r="D24" s="5393">
        <f t="shared" ref="D24:E24" si="9">SUM(D20:D23)</f>
        <v>3</v>
      </c>
      <c r="E24" s="5394">
        <f t="shared" si="9"/>
        <v>6</v>
      </c>
      <c r="F24" s="5392">
        <f>SUM(F20:F23)</f>
        <v>4</v>
      </c>
      <c r="G24" s="5393">
        <f>SUM(G20:G23)</f>
        <v>2</v>
      </c>
      <c r="H24" s="5394">
        <f>SUM(H20:H23)</f>
        <v>6</v>
      </c>
    </row>
    <row r="25" spans="2:8" ht="14.4" x14ac:dyDescent="0.25">
      <c r="B25" s="5408" t="s">
        <v>134</v>
      </c>
      <c r="C25" s="5409">
        <f>SUM(C24,C19,C15)</f>
        <v>18</v>
      </c>
      <c r="D25" s="5410">
        <f t="shared" ref="D25:E25" si="10">SUM(D24,D19,D15)</f>
        <v>11</v>
      </c>
      <c r="E25" s="5411">
        <f t="shared" si="10"/>
        <v>29</v>
      </c>
      <c r="F25" s="5409">
        <f>SUM(F24,F19,F15)</f>
        <v>4</v>
      </c>
      <c r="G25" s="5410">
        <f t="shared" ref="G25" si="11">SUM(G24,G19,G15)</f>
        <v>2</v>
      </c>
      <c r="H25" s="5411">
        <f>SUM(H15,H19,H24)</f>
        <v>6</v>
      </c>
    </row>
    <row r="26" spans="2:8" ht="14.4" x14ac:dyDescent="0.25">
      <c r="B26" s="5397" t="s">
        <v>70</v>
      </c>
      <c r="C26" s="5405"/>
      <c r="D26" s="5406">
        <v>1</v>
      </c>
      <c r="E26" s="5407">
        <v>1</v>
      </c>
      <c r="F26" s="5405"/>
      <c r="G26" s="5406"/>
      <c r="H26" s="5407"/>
    </row>
    <row r="27" spans="2:8" ht="14.4" x14ac:dyDescent="0.25">
      <c r="B27" s="5386" t="s">
        <v>56</v>
      </c>
      <c r="C27" s="5395">
        <v>1</v>
      </c>
      <c r="D27" s="5388"/>
      <c r="E27" s="5389">
        <v>1</v>
      </c>
      <c r="F27" s="5395"/>
      <c r="G27" s="5388"/>
      <c r="H27" s="5389"/>
    </row>
    <row r="28" spans="2:8" ht="14.4" x14ac:dyDescent="0.25">
      <c r="B28" s="5391" t="s">
        <v>59</v>
      </c>
      <c r="C28" s="5392">
        <f>SUM(C26:C27)</f>
        <v>1</v>
      </c>
      <c r="D28" s="5393">
        <f t="shared" ref="D28:E28" si="12">SUM(D26:D27)</f>
        <v>1</v>
      </c>
      <c r="E28" s="5394">
        <f t="shared" si="12"/>
        <v>2</v>
      </c>
      <c r="F28" s="5392">
        <f>SUM(F26:F27)</f>
        <v>0</v>
      </c>
      <c r="G28" s="5393">
        <f t="shared" ref="G28" si="13">SUM(G26:G27)</f>
        <v>0</v>
      </c>
      <c r="H28" s="5394"/>
    </row>
    <row r="29" spans="2:8" ht="14.4" x14ac:dyDescent="0.3">
      <c r="B29" s="5386" t="s">
        <v>83</v>
      </c>
      <c r="C29" s="5387"/>
      <c r="D29" s="5390"/>
      <c r="E29" s="5389"/>
      <c r="F29" s="5387"/>
      <c r="G29" s="5428">
        <v>1</v>
      </c>
      <c r="H29" s="5389">
        <f>SUM(F29:G29)</f>
        <v>1</v>
      </c>
    </row>
    <row r="30" spans="2:8" ht="14.4" x14ac:dyDescent="0.25">
      <c r="B30" s="5391" t="s">
        <v>64</v>
      </c>
      <c r="C30" s="5392"/>
      <c r="D30" s="5393"/>
      <c r="E30" s="5394"/>
      <c r="F30" s="5392"/>
      <c r="G30" s="5393">
        <f>SUM(G29)</f>
        <v>1</v>
      </c>
      <c r="H30" s="5394">
        <f>SUM(H29)</f>
        <v>1</v>
      </c>
    </row>
    <row r="31" spans="2:8" ht="14.4" x14ac:dyDescent="0.25">
      <c r="B31" s="5413" t="s">
        <v>135</v>
      </c>
      <c r="C31" s="5414">
        <f>SUM(C28)</f>
        <v>1</v>
      </c>
      <c r="D31" s="5415">
        <f t="shared" ref="D31:E31" si="14">SUM(D28)</f>
        <v>1</v>
      </c>
      <c r="E31" s="5416">
        <f t="shared" si="14"/>
        <v>2</v>
      </c>
      <c r="F31" s="5414">
        <f>SUM(F28,F30)</f>
        <v>0</v>
      </c>
      <c r="G31" s="5415">
        <f>SUM(G30,G28)</f>
        <v>1</v>
      </c>
      <c r="H31" s="5416">
        <f>SUM(H28,H30)</f>
        <v>1</v>
      </c>
    </row>
    <row r="32" spans="2:8" ht="14.4" x14ac:dyDescent="0.3">
      <c r="B32" s="5412" t="s">
        <v>124</v>
      </c>
      <c r="C32" s="4887">
        <v>2</v>
      </c>
      <c r="D32" s="5399"/>
      <c r="E32" s="5400">
        <v>2</v>
      </c>
      <c r="F32" s="4887"/>
      <c r="G32" s="5399"/>
      <c r="H32" s="5400"/>
    </row>
    <row r="33" spans="2:8" ht="14.4" x14ac:dyDescent="0.25">
      <c r="B33" s="5386" t="s">
        <v>247</v>
      </c>
      <c r="C33" s="2639"/>
      <c r="D33" s="5388">
        <v>1</v>
      </c>
      <c r="E33" s="5389">
        <v>1</v>
      </c>
      <c r="F33" s="5431">
        <v>5</v>
      </c>
      <c r="G33" s="5388"/>
      <c r="H33" s="5436">
        <f>SUM(F33:G33)</f>
        <v>5</v>
      </c>
    </row>
    <row r="34" spans="2:8" ht="14.4" x14ac:dyDescent="0.25">
      <c r="B34" s="5386" t="s">
        <v>125</v>
      </c>
      <c r="C34" s="2639">
        <v>2</v>
      </c>
      <c r="D34" s="5388">
        <v>1</v>
      </c>
      <c r="E34" s="5389">
        <v>3</v>
      </c>
      <c r="F34" s="5429">
        <v>1</v>
      </c>
      <c r="G34" s="5432"/>
      <c r="H34" s="5389">
        <f>SUM(F34:G34)</f>
        <v>1</v>
      </c>
    </row>
    <row r="35" spans="2:8" ht="14.4" x14ac:dyDescent="0.25">
      <c r="B35" s="5391" t="s">
        <v>92</v>
      </c>
      <c r="C35" s="5392">
        <f>SUM(C32:C34)</f>
        <v>4</v>
      </c>
      <c r="D35" s="5393">
        <f t="shared" ref="D35:E35" si="15">SUM(D32:D34)</f>
        <v>2</v>
      </c>
      <c r="E35" s="5394">
        <f t="shared" si="15"/>
        <v>6</v>
      </c>
      <c r="F35" s="5392">
        <f>SUM(F32:F34)</f>
        <v>6</v>
      </c>
      <c r="G35" s="5393">
        <f t="shared" ref="G35" si="16">SUM(G32:G34)</f>
        <v>0</v>
      </c>
      <c r="H35" s="5394">
        <f>SUM(H32:H34)</f>
        <v>6</v>
      </c>
    </row>
    <row r="36" spans="2:8" ht="14.4" x14ac:dyDescent="0.25">
      <c r="B36" s="5386" t="s">
        <v>120</v>
      </c>
      <c r="C36" s="2639">
        <v>1</v>
      </c>
      <c r="D36" s="5388">
        <v>1</v>
      </c>
      <c r="E36" s="5389">
        <v>2</v>
      </c>
      <c r="F36" s="2639"/>
      <c r="G36" s="5388"/>
      <c r="H36" s="5389"/>
    </row>
    <row r="37" spans="2:8" ht="14.4" x14ac:dyDescent="0.25">
      <c r="B37" s="5391" t="s">
        <v>64</v>
      </c>
      <c r="C37" s="5392">
        <f>SUM(C36)</f>
        <v>1</v>
      </c>
      <c r="D37" s="5393">
        <f t="shared" ref="D37:E37" si="17">SUM(D36)</f>
        <v>1</v>
      </c>
      <c r="E37" s="5394">
        <f t="shared" si="17"/>
        <v>2</v>
      </c>
      <c r="F37" s="5392"/>
      <c r="G37" s="5393"/>
      <c r="H37" s="5394"/>
    </row>
    <row r="38" spans="2:8" ht="14.4" x14ac:dyDescent="0.25">
      <c r="B38" s="5418" t="s">
        <v>136</v>
      </c>
      <c r="C38" s="5419">
        <f>SUM(C37,C35)</f>
        <v>5</v>
      </c>
      <c r="D38" s="5420">
        <f t="shared" ref="D38:E38" si="18">SUM(D37,D35)</f>
        <v>3</v>
      </c>
      <c r="E38" s="5421">
        <f t="shared" si="18"/>
        <v>8</v>
      </c>
      <c r="F38" s="5419">
        <f>SUM(F37,F35)</f>
        <v>6</v>
      </c>
      <c r="G38" s="5420">
        <f t="shared" ref="G38" si="19">SUM(G37,G35)</f>
        <v>0</v>
      </c>
      <c r="H38" s="5421">
        <f>SUM(H35,H37)</f>
        <v>6</v>
      </c>
    </row>
    <row r="39" spans="2:8" ht="14.4" x14ac:dyDescent="0.3">
      <c r="B39" s="5397" t="s">
        <v>103</v>
      </c>
      <c r="C39" s="5398">
        <v>1</v>
      </c>
      <c r="D39" s="5417"/>
      <c r="E39" s="5400">
        <v>1</v>
      </c>
      <c r="F39" s="5398"/>
      <c r="G39" s="5417"/>
      <c r="H39" s="5400"/>
    </row>
    <row r="40" spans="2:8" ht="14.4" x14ac:dyDescent="0.25">
      <c r="B40" s="5391" t="s">
        <v>92</v>
      </c>
      <c r="C40" s="5392">
        <f>SUM(C39)</f>
        <v>1</v>
      </c>
      <c r="D40" s="5393">
        <f t="shared" ref="D40:E41" si="20">SUM(D39)</f>
        <v>0</v>
      </c>
      <c r="E40" s="5394">
        <f t="shared" si="20"/>
        <v>1</v>
      </c>
      <c r="F40" s="5392">
        <f>SUM(F39)</f>
        <v>0</v>
      </c>
      <c r="G40" s="5393">
        <f t="shared" ref="G40" si="21">SUM(G39)</f>
        <v>0</v>
      </c>
      <c r="H40" s="5394"/>
    </row>
    <row r="41" spans="2:8" ht="14.4" x14ac:dyDescent="0.25">
      <c r="B41" s="5422" t="s">
        <v>137</v>
      </c>
      <c r="C41" s="5423">
        <f>SUM(C40)</f>
        <v>1</v>
      </c>
      <c r="D41" s="5424">
        <f t="shared" si="20"/>
        <v>0</v>
      </c>
      <c r="E41" s="5425">
        <f t="shared" si="20"/>
        <v>1</v>
      </c>
      <c r="F41" s="5423">
        <f>SUM(F40)</f>
        <v>0</v>
      </c>
      <c r="G41" s="5424">
        <f t="shared" ref="G41" si="22">SUM(G40)</f>
        <v>0</v>
      </c>
      <c r="H41" s="5425"/>
    </row>
    <row r="42" spans="2:8" x14ac:dyDescent="0.25">
      <c r="C42" s="4736"/>
      <c r="D42" s="4736"/>
      <c r="F42" s="4736"/>
      <c r="G42" s="4736"/>
    </row>
    <row r="43" spans="2:8" ht="14.4" x14ac:dyDescent="0.25">
      <c r="B43" s="4738" t="s">
        <v>431</v>
      </c>
      <c r="C43" s="4739">
        <f>SUM(C41,C38,C31,C25,C12)</f>
        <v>28</v>
      </c>
      <c r="D43" s="4741">
        <f t="shared" ref="D43:E43" si="23">SUM(D41,D38,D31,D25,D12)</f>
        <v>18</v>
      </c>
      <c r="E43" s="4742">
        <f t="shared" si="23"/>
        <v>46</v>
      </c>
      <c r="F43" s="4739">
        <f>SUM(F41,F38,F31,F25,F12)</f>
        <v>11</v>
      </c>
      <c r="G43" s="4741">
        <f>SUM(G41,G38,G31,G25,G12)</f>
        <v>5</v>
      </c>
      <c r="H43" s="4742">
        <f>SUM(H41,H38,H31,H25,H12)</f>
        <v>16</v>
      </c>
    </row>
    <row r="44" spans="2:8" ht="14.4" x14ac:dyDescent="0.3">
      <c r="B44" s="2341" t="s">
        <v>622</v>
      </c>
      <c r="C44" s="558"/>
      <c r="D44" s="558"/>
      <c r="E44" s="558"/>
    </row>
    <row r="45" spans="2:8" ht="14.4" x14ac:dyDescent="0.3">
      <c r="B45" s="558"/>
      <c r="C45" s="558"/>
      <c r="D45" s="558"/>
      <c r="E45" s="558"/>
      <c r="H45" s="5438" t="s">
        <v>1594</v>
      </c>
    </row>
    <row r="46" spans="2:8" x14ac:dyDescent="0.25">
      <c r="H46" s="5439" t="s">
        <v>1356</v>
      </c>
    </row>
  </sheetData>
  <mergeCells count="3">
    <mergeCell ref="B3:B4"/>
    <mergeCell ref="C3:E3"/>
    <mergeCell ref="F3:H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70" firstPageNumber="124" orientation="landscape" useFirstPageNumber="1" r:id="rId1"/>
  <headerFooter scaleWithDoc="0" alignWithMargins="0">
    <oddFooter>&amp;R&amp;P</oddFooter>
  </headerFooter>
  <ignoredErrors>
    <ignoredError sqref="H9 H22 G20:H21 G23:H30 G22 H34 H31" formulaRange="1"/>
    <ignoredError sqref="G31" formula="1" formulaRange="1"/>
  </ignoredErrors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  <pageSetUpPr fitToPage="1"/>
  </sheetPr>
  <dimension ref="A2:Z43"/>
  <sheetViews>
    <sheetView showGridLines="0" zoomScaleNormal="100" workbookViewId="0">
      <pane xSplit="2" ySplit="5" topLeftCell="L6" activePane="bottomRight" state="frozen"/>
      <selection activeCell="Q31" sqref="Q31"/>
      <selection pane="topRight" activeCell="Q31" sqref="Q31"/>
      <selection pane="bottomLeft" activeCell="Q31" sqref="Q31"/>
      <selection pane="bottomRight" activeCell="AC35" sqref="AC35"/>
    </sheetView>
  </sheetViews>
  <sheetFormatPr baseColWidth="10" defaultColWidth="10.88671875" defaultRowHeight="14.4" x14ac:dyDescent="0.3"/>
  <cols>
    <col min="1" max="1" width="2.88671875" style="558" customWidth="1"/>
    <col min="2" max="2" width="46.109375" style="558" bestFit="1" customWidth="1"/>
    <col min="3" max="3" width="8.88671875" style="558" customWidth="1"/>
    <col min="4" max="4" width="9.109375" style="558" customWidth="1"/>
    <col min="5" max="5" width="9.88671875" style="558" customWidth="1"/>
    <col min="6" max="8" width="11.44140625" style="558" customWidth="1"/>
    <col min="9" max="9" width="8.88671875" style="558" customWidth="1"/>
    <col min="10" max="10" width="9.109375" style="558" customWidth="1"/>
    <col min="11" max="11" width="11.44140625" style="558" customWidth="1"/>
    <col min="12" max="12" width="8.5546875" style="558" customWidth="1"/>
    <col min="13" max="13" width="9.44140625" style="558" customWidth="1"/>
    <col min="14" max="14" width="8.88671875" style="558" customWidth="1"/>
    <col min="15" max="15" width="8.5546875" style="558" customWidth="1"/>
    <col min="16" max="16" width="9.44140625" style="558" customWidth="1"/>
    <col min="17" max="17" width="7.88671875" style="558" customWidth="1"/>
    <col min="18" max="20" width="8.5546875" style="558" customWidth="1"/>
    <col min="21" max="21" width="8.44140625" style="558" bestFit="1" customWidth="1"/>
    <col min="22" max="22" width="8.5546875" style="558" bestFit="1" customWidth="1"/>
    <col min="23" max="23" width="10.88671875" style="558"/>
    <col min="24" max="24" width="8.5546875" style="558" bestFit="1" customWidth="1"/>
    <col min="25" max="25" width="9.44140625" style="558" bestFit="1" customWidth="1"/>
    <col min="26" max="26" width="7.88671875" style="558" customWidth="1"/>
    <col min="27" max="16384" width="10.88671875" style="558"/>
  </cols>
  <sheetData>
    <row r="2" spans="1:26" ht="18" x14ac:dyDescent="0.35">
      <c r="B2" s="2624" t="s">
        <v>1604</v>
      </c>
    </row>
    <row r="3" spans="1:26" ht="15" customHeight="1" x14ac:dyDescent="0.3">
      <c r="A3" s="4730"/>
    </row>
    <row r="4" spans="1:26" ht="15" customHeight="1" x14ac:dyDescent="0.3">
      <c r="A4" s="4730"/>
      <c r="B4" s="6094" t="s">
        <v>624</v>
      </c>
      <c r="C4" s="6125">
        <v>2015</v>
      </c>
      <c r="D4" s="6126"/>
      <c r="E4" s="6127"/>
      <c r="F4" s="6125">
        <v>2016</v>
      </c>
      <c r="G4" s="6126"/>
      <c r="H4" s="6127"/>
      <c r="I4" s="6125">
        <v>2017</v>
      </c>
      <c r="J4" s="6126"/>
      <c r="K4" s="6127"/>
      <c r="L4" s="6125">
        <v>2018</v>
      </c>
      <c r="M4" s="6126"/>
      <c r="N4" s="6127"/>
      <c r="O4" s="6125">
        <v>2019</v>
      </c>
      <c r="P4" s="6126"/>
      <c r="Q4" s="6127"/>
      <c r="R4" s="6125">
        <v>2020</v>
      </c>
      <c r="S4" s="6126"/>
      <c r="T4" s="6127"/>
      <c r="U4" s="6125">
        <v>2021</v>
      </c>
      <c r="V4" s="6126"/>
      <c r="W4" s="6127"/>
      <c r="X4" s="6125">
        <v>2022</v>
      </c>
      <c r="Y4" s="6126"/>
      <c r="Z4" s="6127"/>
    </row>
    <row r="5" spans="1:26" ht="15" customHeight="1" x14ac:dyDescent="0.3">
      <c r="A5" s="4730"/>
      <c r="B5" s="6128"/>
      <c r="C5" s="3021" t="s">
        <v>140</v>
      </c>
      <c r="D5" s="3021" t="s">
        <v>141</v>
      </c>
      <c r="E5" s="3020" t="s">
        <v>48</v>
      </c>
      <c r="F5" s="3021" t="s">
        <v>140</v>
      </c>
      <c r="G5" s="3021" t="s">
        <v>141</v>
      </c>
      <c r="H5" s="3020" t="s">
        <v>48</v>
      </c>
      <c r="I5" s="3021" t="s">
        <v>140</v>
      </c>
      <c r="J5" s="3021" t="s">
        <v>141</v>
      </c>
      <c r="K5" s="3020" t="s">
        <v>48</v>
      </c>
      <c r="L5" s="3021" t="s">
        <v>140</v>
      </c>
      <c r="M5" s="3021" t="s">
        <v>141</v>
      </c>
      <c r="N5" s="3020" t="s">
        <v>48</v>
      </c>
      <c r="O5" s="3021" t="s">
        <v>140</v>
      </c>
      <c r="P5" s="3021" t="s">
        <v>141</v>
      </c>
      <c r="Q5" s="3020" t="s">
        <v>48</v>
      </c>
      <c r="R5" s="3021" t="s">
        <v>140</v>
      </c>
      <c r="S5" s="3021" t="s">
        <v>141</v>
      </c>
      <c r="T5" s="3020" t="s">
        <v>48</v>
      </c>
      <c r="U5" s="3021" t="s">
        <v>140</v>
      </c>
      <c r="V5" s="3021" t="s">
        <v>141</v>
      </c>
      <c r="W5" s="3020" t="s">
        <v>48</v>
      </c>
      <c r="X5" s="3021" t="s">
        <v>140</v>
      </c>
      <c r="Y5" s="3021" t="s">
        <v>141</v>
      </c>
      <c r="Z5" s="3020" t="s">
        <v>48</v>
      </c>
    </row>
    <row r="6" spans="1:26" ht="15" customHeight="1" x14ac:dyDescent="0.3">
      <c r="A6" s="4730"/>
      <c r="B6" s="4725" t="s">
        <v>726</v>
      </c>
      <c r="C6" s="3022">
        <v>1</v>
      </c>
      <c r="D6" s="3023"/>
      <c r="E6" s="3024">
        <f>SUM(C6:D6)</f>
        <v>1</v>
      </c>
      <c r="F6" s="3023">
        <v>1</v>
      </c>
      <c r="G6" s="3023"/>
      <c r="H6" s="3023">
        <f>SUM(F6:G6)</f>
        <v>1</v>
      </c>
      <c r="I6" s="3022">
        <v>1</v>
      </c>
      <c r="J6" s="3023"/>
      <c r="K6" s="3024">
        <f>SUM(I6:J6)</f>
        <v>1</v>
      </c>
      <c r="L6" s="3022"/>
      <c r="M6" s="3023"/>
      <c r="N6" s="3024">
        <f>SUM(L6:M6)</f>
        <v>0</v>
      </c>
      <c r="O6" s="3022"/>
      <c r="P6" s="3023"/>
      <c r="Q6" s="3024">
        <f>SUM(O6:P6)</f>
        <v>0</v>
      </c>
      <c r="R6" s="3022"/>
      <c r="S6" s="3023"/>
      <c r="T6" s="3024"/>
      <c r="U6" s="3022"/>
      <c r="V6" s="3023"/>
      <c r="W6" s="3024"/>
      <c r="X6" s="3022"/>
      <c r="Y6" s="3023"/>
      <c r="Z6" s="3024"/>
    </row>
    <row r="7" spans="1:26" ht="15" customHeight="1" x14ac:dyDescent="0.3">
      <c r="A7" s="4730"/>
      <c r="B7" s="4726" t="s">
        <v>59</v>
      </c>
      <c r="C7" s="2635">
        <f>SUM(C6)</f>
        <v>1</v>
      </c>
      <c r="D7" s="2637">
        <f t="shared" ref="D7:T8" si="0">SUM(D6)</f>
        <v>0</v>
      </c>
      <c r="E7" s="2636">
        <f t="shared" si="0"/>
        <v>1</v>
      </c>
      <c r="F7" s="2637">
        <f t="shared" si="0"/>
        <v>1</v>
      </c>
      <c r="G7" s="2637">
        <f t="shared" si="0"/>
        <v>0</v>
      </c>
      <c r="H7" s="2637">
        <f t="shared" si="0"/>
        <v>1</v>
      </c>
      <c r="I7" s="2635">
        <f t="shared" si="0"/>
        <v>1</v>
      </c>
      <c r="J7" s="2637">
        <f t="shared" si="0"/>
        <v>0</v>
      </c>
      <c r="K7" s="2636">
        <f t="shared" si="0"/>
        <v>1</v>
      </c>
      <c r="L7" s="2635">
        <f t="shared" si="0"/>
        <v>0</v>
      </c>
      <c r="M7" s="2637">
        <f t="shared" si="0"/>
        <v>0</v>
      </c>
      <c r="N7" s="2636">
        <f t="shared" si="0"/>
        <v>0</v>
      </c>
      <c r="O7" s="2635">
        <f t="shared" si="0"/>
        <v>0</v>
      </c>
      <c r="P7" s="2637">
        <f t="shared" si="0"/>
        <v>0</v>
      </c>
      <c r="Q7" s="2636">
        <f t="shared" si="0"/>
        <v>0</v>
      </c>
      <c r="R7" s="2635">
        <f t="shared" si="0"/>
        <v>0</v>
      </c>
      <c r="S7" s="2637">
        <f t="shared" si="0"/>
        <v>0</v>
      </c>
      <c r="T7" s="2636">
        <f t="shared" si="0"/>
        <v>0</v>
      </c>
      <c r="U7" s="2635"/>
      <c r="V7" s="2637"/>
      <c r="W7" s="2636"/>
      <c r="X7" s="2635"/>
      <c r="Y7" s="2637"/>
      <c r="Z7" s="2636"/>
    </row>
    <row r="8" spans="1:26" ht="15" customHeight="1" x14ac:dyDescent="0.3">
      <c r="A8" s="4730"/>
      <c r="B8" s="2646" t="s">
        <v>69</v>
      </c>
      <c r="C8" s="2646">
        <f>SUM(C7)</f>
        <v>1</v>
      </c>
      <c r="D8" s="2647">
        <f t="shared" si="0"/>
        <v>0</v>
      </c>
      <c r="E8" s="2645">
        <f t="shared" si="0"/>
        <v>1</v>
      </c>
      <c r="F8" s="2647">
        <f t="shared" si="0"/>
        <v>1</v>
      </c>
      <c r="G8" s="2647">
        <f t="shared" si="0"/>
        <v>0</v>
      </c>
      <c r="H8" s="2647">
        <f t="shared" si="0"/>
        <v>1</v>
      </c>
      <c r="I8" s="2646">
        <f t="shared" si="0"/>
        <v>1</v>
      </c>
      <c r="J8" s="2647">
        <f t="shared" si="0"/>
        <v>0</v>
      </c>
      <c r="K8" s="2645">
        <f t="shared" si="0"/>
        <v>1</v>
      </c>
      <c r="L8" s="2646">
        <f t="shared" si="0"/>
        <v>0</v>
      </c>
      <c r="M8" s="2647">
        <f t="shared" si="0"/>
        <v>0</v>
      </c>
      <c r="N8" s="2645">
        <f t="shared" si="0"/>
        <v>0</v>
      </c>
      <c r="O8" s="2646">
        <f t="shared" si="0"/>
        <v>0</v>
      </c>
      <c r="P8" s="2647">
        <f t="shared" si="0"/>
        <v>0</v>
      </c>
      <c r="Q8" s="2645">
        <f t="shared" si="0"/>
        <v>0</v>
      </c>
      <c r="R8" s="2646">
        <f t="shared" si="0"/>
        <v>0</v>
      </c>
      <c r="S8" s="2647">
        <f t="shared" si="0"/>
        <v>0</v>
      </c>
      <c r="T8" s="2645">
        <f t="shared" si="0"/>
        <v>0</v>
      </c>
      <c r="U8" s="2646"/>
      <c r="V8" s="2647"/>
      <c r="W8" s="2645"/>
      <c r="X8" s="2646"/>
      <c r="Y8" s="2647"/>
      <c r="Z8" s="2645"/>
    </row>
    <row r="9" spans="1:26" ht="15" customHeight="1" x14ac:dyDescent="0.3">
      <c r="A9" s="4730"/>
      <c r="B9" s="4727" t="s">
        <v>727</v>
      </c>
      <c r="C9" s="4676">
        <v>2</v>
      </c>
      <c r="D9" s="2629">
        <v>1</v>
      </c>
      <c r="E9" s="2630">
        <f>SUM(C9:D9)</f>
        <v>3</v>
      </c>
      <c r="F9" s="2629">
        <v>1</v>
      </c>
      <c r="G9" s="2629">
        <v>1</v>
      </c>
      <c r="H9" s="2629">
        <f>SUM(F9:G9)</f>
        <v>2</v>
      </c>
      <c r="I9" s="4676"/>
      <c r="J9" s="2629">
        <v>1</v>
      </c>
      <c r="K9" s="2630">
        <f>SUM(I9:J9)</f>
        <v>1</v>
      </c>
      <c r="L9" s="4676"/>
      <c r="M9" s="2629"/>
      <c r="N9" s="2630">
        <f>SUM(L9:M9)</f>
        <v>0</v>
      </c>
      <c r="O9" s="4676"/>
      <c r="P9" s="2629"/>
      <c r="Q9" s="2630">
        <f>SUM(O9:P9)</f>
        <v>0</v>
      </c>
      <c r="R9" s="4676"/>
      <c r="S9" s="2629"/>
      <c r="T9" s="2630"/>
      <c r="U9" s="4676"/>
      <c r="V9" s="2629"/>
      <c r="W9" s="2630"/>
      <c r="X9" s="5346"/>
      <c r="Y9" s="2629"/>
      <c r="Z9" s="2630"/>
    </row>
    <row r="10" spans="1:26" ht="15" customHeight="1" x14ac:dyDescent="0.3">
      <c r="A10" s="4730"/>
      <c r="B10" s="4726" t="s">
        <v>64</v>
      </c>
      <c r="C10" s="2635">
        <f>SUM(C9)</f>
        <v>2</v>
      </c>
      <c r="D10" s="2637">
        <f t="shared" ref="D10:T10" si="1">SUM(D9)</f>
        <v>1</v>
      </c>
      <c r="E10" s="2636">
        <f t="shared" si="1"/>
        <v>3</v>
      </c>
      <c r="F10" s="2637">
        <f t="shared" si="1"/>
        <v>1</v>
      </c>
      <c r="G10" s="2637">
        <f t="shared" si="1"/>
        <v>1</v>
      </c>
      <c r="H10" s="2637">
        <f t="shared" si="1"/>
        <v>2</v>
      </c>
      <c r="I10" s="2635">
        <f t="shared" si="1"/>
        <v>0</v>
      </c>
      <c r="J10" s="2637">
        <f t="shared" si="1"/>
        <v>1</v>
      </c>
      <c r="K10" s="2636">
        <f t="shared" si="1"/>
        <v>1</v>
      </c>
      <c r="L10" s="2635">
        <f t="shared" si="1"/>
        <v>0</v>
      </c>
      <c r="M10" s="2637">
        <f t="shared" si="1"/>
        <v>0</v>
      </c>
      <c r="N10" s="2636">
        <f t="shared" si="1"/>
        <v>0</v>
      </c>
      <c r="O10" s="2635">
        <f t="shared" si="1"/>
        <v>0</v>
      </c>
      <c r="P10" s="2637">
        <f t="shared" si="1"/>
        <v>0</v>
      </c>
      <c r="Q10" s="2636">
        <f t="shared" si="1"/>
        <v>0</v>
      </c>
      <c r="R10" s="2635">
        <f t="shared" si="1"/>
        <v>0</v>
      </c>
      <c r="S10" s="2637">
        <f t="shared" si="1"/>
        <v>0</v>
      </c>
      <c r="T10" s="2636">
        <f t="shared" si="1"/>
        <v>0</v>
      </c>
      <c r="U10" s="2635"/>
      <c r="V10" s="2637"/>
      <c r="W10" s="2636"/>
      <c r="X10" s="2635"/>
      <c r="Y10" s="2637"/>
      <c r="Z10" s="2636"/>
    </row>
    <row r="11" spans="1:26" ht="15" customHeight="1" x14ac:dyDescent="0.3">
      <c r="A11" s="4730"/>
      <c r="B11" s="4728" t="s">
        <v>721</v>
      </c>
      <c r="C11" s="4677"/>
      <c r="D11" s="2633"/>
      <c r="E11" s="2634"/>
      <c r="F11" s="2633"/>
      <c r="G11" s="2633"/>
      <c r="H11" s="2633"/>
      <c r="I11" s="4677"/>
      <c r="J11" s="2633"/>
      <c r="K11" s="2634"/>
      <c r="L11" s="4677"/>
      <c r="M11" s="2633">
        <v>1</v>
      </c>
      <c r="N11" s="2634">
        <f>SUM(L11:M11)</f>
        <v>1</v>
      </c>
      <c r="O11" s="4677"/>
      <c r="P11" s="2633">
        <v>1</v>
      </c>
      <c r="Q11" s="2634">
        <f>SUM(O11:P11)</f>
        <v>1</v>
      </c>
      <c r="R11" s="4677"/>
      <c r="S11" s="2633">
        <v>1</v>
      </c>
      <c r="T11" s="2634">
        <f>SUM(R11:S11)</f>
        <v>1</v>
      </c>
      <c r="U11" s="4677"/>
      <c r="V11" s="2633"/>
      <c r="W11" s="2634"/>
      <c r="X11" s="5347"/>
      <c r="Y11" s="2633"/>
      <c r="Z11" s="2634"/>
    </row>
    <row r="12" spans="1:26" ht="15" customHeight="1" x14ac:dyDescent="0.3">
      <c r="A12" s="4730"/>
      <c r="B12" s="4728" t="s">
        <v>728</v>
      </c>
      <c r="C12" s="4677"/>
      <c r="D12" s="2633"/>
      <c r="E12" s="2634"/>
      <c r="F12" s="2633"/>
      <c r="G12" s="2633"/>
      <c r="H12" s="2633"/>
      <c r="I12" s="4677"/>
      <c r="J12" s="2633"/>
      <c r="K12" s="2634"/>
      <c r="L12" s="4677">
        <v>1</v>
      </c>
      <c r="M12" s="2633"/>
      <c r="N12" s="2634">
        <f>SUM(L12:M12)</f>
        <v>1</v>
      </c>
      <c r="O12" s="4677">
        <v>1</v>
      </c>
      <c r="P12" s="2633"/>
      <c r="Q12" s="2634">
        <f>SUM(O12:P12)</f>
        <v>1</v>
      </c>
      <c r="R12" s="4677">
        <v>1</v>
      </c>
      <c r="S12" s="2633"/>
      <c r="T12" s="2634">
        <f>SUM(R12:S12)</f>
        <v>1</v>
      </c>
      <c r="U12" s="4677"/>
      <c r="V12" s="2633"/>
      <c r="W12" s="2634"/>
      <c r="X12" s="5347"/>
      <c r="Y12" s="2633"/>
      <c r="Z12" s="2634"/>
    </row>
    <row r="13" spans="1:26" ht="15" customHeight="1" x14ac:dyDescent="0.3">
      <c r="A13" s="4730"/>
      <c r="B13" s="4726" t="s">
        <v>115</v>
      </c>
      <c r="C13" s="2635">
        <f>SUM(C11:C12)</f>
        <v>0</v>
      </c>
      <c r="D13" s="2637">
        <f t="shared" ref="D13:T13" si="2">SUM(D11:D12)</f>
        <v>0</v>
      </c>
      <c r="E13" s="2636">
        <f t="shared" si="2"/>
        <v>0</v>
      </c>
      <c r="F13" s="2637">
        <f t="shared" si="2"/>
        <v>0</v>
      </c>
      <c r="G13" s="2637">
        <f t="shared" si="2"/>
        <v>0</v>
      </c>
      <c r="H13" s="2637">
        <f t="shared" si="2"/>
        <v>0</v>
      </c>
      <c r="I13" s="2635">
        <f t="shared" si="2"/>
        <v>0</v>
      </c>
      <c r="J13" s="2637">
        <f t="shared" si="2"/>
        <v>0</v>
      </c>
      <c r="K13" s="2636">
        <f t="shared" si="2"/>
        <v>0</v>
      </c>
      <c r="L13" s="2635">
        <f t="shared" si="2"/>
        <v>1</v>
      </c>
      <c r="M13" s="2637">
        <f t="shared" si="2"/>
        <v>1</v>
      </c>
      <c r="N13" s="2636">
        <f t="shared" si="2"/>
        <v>2</v>
      </c>
      <c r="O13" s="2635">
        <f t="shared" si="2"/>
        <v>1</v>
      </c>
      <c r="P13" s="2637">
        <f t="shared" si="2"/>
        <v>1</v>
      </c>
      <c r="Q13" s="2636">
        <f t="shared" si="2"/>
        <v>2</v>
      </c>
      <c r="R13" s="2635">
        <f t="shared" si="2"/>
        <v>1</v>
      </c>
      <c r="S13" s="2637">
        <f t="shared" si="2"/>
        <v>1</v>
      </c>
      <c r="T13" s="2636">
        <f t="shared" si="2"/>
        <v>2</v>
      </c>
      <c r="U13" s="2635"/>
      <c r="V13" s="2637"/>
      <c r="W13" s="2636"/>
      <c r="X13" s="2635"/>
      <c r="Y13" s="2637"/>
      <c r="Z13" s="2636"/>
    </row>
    <row r="14" spans="1:26" ht="15" customHeight="1" x14ac:dyDescent="0.3">
      <c r="A14" s="4730"/>
      <c r="B14" s="2652" t="s">
        <v>116</v>
      </c>
      <c r="C14" s="2652">
        <f>SUM(C13,C10)</f>
        <v>2</v>
      </c>
      <c r="D14" s="2653">
        <f t="shared" ref="D14:T14" si="3">SUM(D13,D10)</f>
        <v>1</v>
      </c>
      <c r="E14" s="2651">
        <f t="shared" si="3"/>
        <v>3</v>
      </c>
      <c r="F14" s="2653">
        <f t="shared" si="3"/>
        <v>1</v>
      </c>
      <c r="G14" s="2653">
        <f t="shared" si="3"/>
        <v>1</v>
      </c>
      <c r="H14" s="2653">
        <f t="shared" si="3"/>
        <v>2</v>
      </c>
      <c r="I14" s="2652">
        <f t="shared" si="3"/>
        <v>0</v>
      </c>
      <c r="J14" s="2653">
        <f t="shared" si="3"/>
        <v>1</v>
      </c>
      <c r="K14" s="2651">
        <f t="shared" si="3"/>
        <v>1</v>
      </c>
      <c r="L14" s="2652">
        <f t="shared" si="3"/>
        <v>1</v>
      </c>
      <c r="M14" s="2653">
        <f t="shared" si="3"/>
        <v>1</v>
      </c>
      <c r="N14" s="2651">
        <f t="shared" si="3"/>
        <v>2</v>
      </c>
      <c r="O14" s="2652">
        <f t="shared" si="3"/>
        <v>1</v>
      </c>
      <c r="P14" s="2653">
        <f t="shared" si="3"/>
        <v>1</v>
      </c>
      <c r="Q14" s="2651">
        <f t="shared" si="3"/>
        <v>2</v>
      </c>
      <c r="R14" s="2652">
        <f t="shared" si="3"/>
        <v>1</v>
      </c>
      <c r="S14" s="2653">
        <f t="shared" si="3"/>
        <v>1</v>
      </c>
      <c r="T14" s="2651">
        <f t="shared" si="3"/>
        <v>2</v>
      </c>
      <c r="U14" s="2652"/>
      <c r="V14" s="2653"/>
      <c r="W14" s="2651"/>
      <c r="X14" s="2652"/>
      <c r="Y14" s="2653"/>
      <c r="Z14" s="2651"/>
    </row>
    <row r="15" spans="1:26" ht="15" customHeight="1" x14ac:dyDescent="0.3">
      <c r="A15" s="4730"/>
      <c r="B15" s="4727" t="s">
        <v>75</v>
      </c>
      <c r="C15" s="4676">
        <v>1</v>
      </c>
      <c r="D15" s="2629">
        <v>1</v>
      </c>
      <c r="E15" s="2630">
        <f>SUM(C15:D15)</f>
        <v>2</v>
      </c>
      <c r="F15" s="2629"/>
      <c r="G15" s="2629">
        <v>1</v>
      </c>
      <c r="H15" s="2629">
        <f>SUM(F15:G15)</f>
        <v>1</v>
      </c>
      <c r="I15" s="4676"/>
      <c r="J15" s="2629"/>
      <c r="K15" s="2630">
        <f>SUM(I15:J15)</f>
        <v>0</v>
      </c>
      <c r="L15" s="4676"/>
      <c r="M15" s="2629">
        <v>1</v>
      </c>
      <c r="N15" s="2630">
        <f t="shared" ref="N15:N22" si="4">SUM(L15:M15)</f>
        <v>1</v>
      </c>
      <c r="O15" s="4676"/>
      <c r="P15" s="2629">
        <v>1</v>
      </c>
      <c r="Q15" s="2630">
        <f>SUM(O15:P15)</f>
        <v>1</v>
      </c>
      <c r="R15" s="4676"/>
      <c r="S15" s="2629"/>
      <c r="T15" s="2630"/>
      <c r="U15" s="4676"/>
      <c r="V15" s="2629"/>
      <c r="W15" s="2630"/>
      <c r="X15" s="5346"/>
      <c r="Y15" s="2629"/>
      <c r="Z15" s="2630"/>
    </row>
    <row r="16" spans="1:26" ht="15" customHeight="1" x14ac:dyDescent="0.3">
      <c r="A16" s="4730"/>
      <c r="B16" s="4729" t="s">
        <v>70</v>
      </c>
      <c r="C16" s="4677"/>
      <c r="D16" s="2633">
        <v>2</v>
      </c>
      <c r="E16" s="2634">
        <f>SUM(C16:D16)</f>
        <v>2</v>
      </c>
      <c r="F16" s="2633"/>
      <c r="G16" s="2633">
        <v>2</v>
      </c>
      <c r="H16" s="2633">
        <f>SUM(F16:G16)</f>
        <v>2</v>
      </c>
      <c r="I16" s="4677"/>
      <c r="J16" s="2633"/>
      <c r="K16" s="2634">
        <f>SUM(I16:J16)</f>
        <v>0</v>
      </c>
      <c r="L16" s="4677"/>
      <c r="M16" s="2633">
        <v>1</v>
      </c>
      <c r="N16" s="2634">
        <f t="shared" si="4"/>
        <v>1</v>
      </c>
      <c r="O16" s="4677"/>
      <c r="P16" s="2633"/>
      <c r="Q16" s="2634">
        <f>SUM(O16:P16)</f>
        <v>0</v>
      </c>
      <c r="R16" s="4677"/>
      <c r="S16" s="2633"/>
      <c r="T16" s="2634"/>
      <c r="U16" s="4677"/>
      <c r="V16" s="2633"/>
      <c r="W16" s="2634"/>
      <c r="X16" s="5347"/>
      <c r="Y16" s="2633"/>
      <c r="Z16" s="2634"/>
    </row>
    <row r="17" spans="1:26" ht="15" customHeight="1" x14ac:dyDescent="0.3">
      <c r="A17" s="4730"/>
      <c r="B17" s="4729" t="s">
        <v>56</v>
      </c>
      <c r="C17" s="4677"/>
      <c r="D17" s="2633"/>
      <c r="E17" s="2634"/>
      <c r="F17" s="2633"/>
      <c r="G17" s="2633"/>
      <c r="H17" s="2633"/>
      <c r="I17" s="4677"/>
      <c r="J17" s="2633"/>
      <c r="K17" s="2634"/>
      <c r="L17" s="4677"/>
      <c r="M17" s="2633">
        <v>1</v>
      </c>
      <c r="N17" s="2634">
        <f t="shared" si="4"/>
        <v>1</v>
      </c>
      <c r="O17" s="4677"/>
      <c r="P17" s="2633">
        <v>2</v>
      </c>
      <c r="Q17" s="2634">
        <f>SUM(O17:P17)</f>
        <v>2</v>
      </c>
      <c r="R17" s="4677"/>
      <c r="S17" s="2633"/>
      <c r="T17" s="2634"/>
      <c r="U17" s="4677"/>
      <c r="V17" s="2633"/>
      <c r="W17" s="2634"/>
      <c r="X17" s="5347"/>
      <c r="Y17" s="2633"/>
      <c r="Z17" s="2634"/>
    </row>
    <row r="18" spans="1:26" ht="15" customHeight="1" x14ac:dyDescent="0.3">
      <c r="A18" s="4730"/>
      <c r="B18" s="4726" t="s">
        <v>59</v>
      </c>
      <c r="C18" s="2635">
        <f>SUM(C15:C17)</f>
        <v>1</v>
      </c>
      <c r="D18" s="2637">
        <f t="shared" ref="D18:T18" si="5">SUM(D15:D17)</f>
        <v>3</v>
      </c>
      <c r="E18" s="2636">
        <f t="shared" si="5"/>
        <v>4</v>
      </c>
      <c r="F18" s="2637">
        <f t="shared" si="5"/>
        <v>0</v>
      </c>
      <c r="G18" s="2637">
        <f t="shared" si="5"/>
        <v>3</v>
      </c>
      <c r="H18" s="2637">
        <f t="shared" si="5"/>
        <v>3</v>
      </c>
      <c r="I18" s="2635">
        <f t="shared" si="5"/>
        <v>0</v>
      </c>
      <c r="J18" s="2637">
        <f t="shared" si="5"/>
        <v>0</v>
      </c>
      <c r="K18" s="2636">
        <f t="shared" si="5"/>
        <v>0</v>
      </c>
      <c r="L18" s="2635">
        <f t="shared" si="5"/>
        <v>0</v>
      </c>
      <c r="M18" s="2637">
        <f t="shared" si="5"/>
        <v>3</v>
      </c>
      <c r="N18" s="2636">
        <f t="shared" si="5"/>
        <v>3</v>
      </c>
      <c r="O18" s="2635">
        <f t="shared" si="5"/>
        <v>0</v>
      </c>
      <c r="P18" s="2637">
        <f t="shared" si="5"/>
        <v>3</v>
      </c>
      <c r="Q18" s="2636">
        <f t="shared" si="5"/>
        <v>3</v>
      </c>
      <c r="R18" s="2635">
        <f t="shared" si="5"/>
        <v>0</v>
      </c>
      <c r="S18" s="2637">
        <f t="shared" si="5"/>
        <v>0</v>
      </c>
      <c r="T18" s="2636">
        <f t="shared" si="5"/>
        <v>0</v>
      </c>
      <c r="U18" s="2635"/>
      <c r="V18" s="2637"/>
      <c r="W18" s="2636"/>
      <c r="X18" s="2635"/>
      <c r="Y18" s="2637"/>
      <c r="Z18" s="2636"/>
    </row>
    <row r="19" spans="1:26" ht="15" customHeight="1" x14ac:dyDescent="0.3">
      <c r="A19" s="4730"/>
      <c r="B19" s="4728" t="s">
        <v>729</v>
      </c>
      <c r="C19" s="4677"/>
      <c r="D19" s="2633">
        <v>1</v>
      </c>
      <c r="E19" s="2634">
        <f>SUM(C19:D19)</f>
        <v>1</v>
      </c>
      <c r="F19" s="2633">
        <v>1</v>
      </c>
      <c r="G19" s="2633"/>
      <c r="H19" s="2633">
        <f>SUM(F19:G19)</f>
        <v>1</v>
      </c>
      <c r="I19" s="4677"/>
      <c r="J19" s="2633"/>
      <c r="K19" s="2634">
        <f>SUM(I19:J19)</f>
        <v>0</v>
      </c>
      <c r="L19" s="4677">
        <v>1</v>
      </c>
      <c r="M19" s="2633">
        <v>1</v>
      </c>
      <c r="N19" s="2634">
        <f t="shared" si="4"/>
        <v>2</v>
      </c>
      <c r="O19" s="4677">
        <v>1</v>
      </c>
      <c r="P19" s="2633">
        <v>1</v>
      </c>
      <c r="Q19" s="2634">
        <f>SUM(O19:P19)</f>
        <v>2</v>
      </c>
      <c r="R19" s="4677">
        <v>1</v>
      </c>
      <c r="S19" s="2633">
        <v>1</v>
      </c>
      <c r="T19" s="2634">
        <f>SUM(R19:S19)</f>
        <v>2</v>
      </c>
      <c r="U19" s="4677"/>
      <c r="V19" s="2633"/>
      <c r="W19" s="2634"/>
      <c r="X19" s="5347"/>
      <c r="Y19" s="2633"/>
      <c r="Z19" s="2634"/>
    </row>
    <row r="20" spans="1:26" ht="15" customHeight="1" x14ac:dyDescent="0.3">
      <c r="A20" s="4730"/>
      <c r="B20" s="4726" t="s">
        <v>64</v>
      </c>
      <c r="C20" s="2635">
        <f>SUM(C19)</f>
        <v>0</v>
      </c>
      <c r="D20" s="2637">
        <f t="shared" ref="D20:T20" si="6">SUM(D19)</f>
        <v>1</v>
      </c>
      <c r="E20" s="2636">
        <f t="shared" si="6"/>
        <v>1</v>
      </c>
      <c r="F20" s="2637">
        <f t="shared" si="6"/>
        <v>1</v>
      </c>
      <c r="G20" s="2637">
        <f t="shared" si="6"/>
        <v>0</v>
      </c>
      <c r="H20" s="2637">
        <f t="shared" si="6"/>
        <v>1</v>
      </c>
      <c r="I20" s="2635">
        <f t="shared" si="6"/>
        <v>0</v>
      </c>
      <c r="J20" s="2637">
        <f t="shared" si="6"/>
        <v>0</v>
      </c>
      <c r="K20" s="2636">
        <f t="shared" si="6"/>
        <v>0</v>
      </c>
      <c r="L20" s="2635">
        <f t="shared" si="6"/>
        <v>1</v>
      </c>
      <c r="M20" s="2637">
        <f t="shared" si="6"/>
        <v>1</v>
      </c>
      <c r="N20" s="2636">
        <f t="shared" si="6"/>
        <v>2</v>
      </c>
      <c r="O20" s="2635">
        <f t="shared" si="6"/>
        <v>1</v>
      </c>
      <c r="P20" s="2637">
        <f t="shared" si="6"/>
        <v>1</v>
      </c>
      <c r="Q20" s="2636">
        <f t="shared" si="6"/>
        <v>2</v>
      </c>
      <c r="R20" s="2635">
        <f t="shared" si="6"/>
        <v>1</v>
      </c>
      <c r="S20" s="2637">
        <f t="shared" si="6"/>
        <v>1</v>
      </c>
      <c r="T20" s="2636">
        <f t="shared" si="6"/>
        <v>2</v>
      </c>
      <c r="U20" s="2635"/>
      <c r="V20" s="2637"/>
      <c r="W20" s="2636"/>
      <c r="X20" s="2635"/>
      <c r="Y20" s="2637"/>
      <c r="Z20" s="2636"/>
    </row>
    <row r="21" spans="1:26" ht="15" customHeight="1" x14ac:dyDescent="0.3">
      <c r="A21" s="4730"/>
      <c r="B21" s="4728" t="s">
        <v>730</v>
      </c>
      <c r="C21" s="4677"/>
      <c r="D21" s="2633">
        <v>1</v>
      </c>
      <c r="E21" s="2634">
        <f>SUM(C21:D21)</f>
        <v>1</v>
      </c>
      <c r="F21" s="2633"/>
      <c r="G21" s="2633">
        <v>1</v>
      </c>
      <c r="H21" s="2633">
        <f>SUM(F21:G21)</f>
        <v>1</v>
      </c>
      <c r="I21" s="4677"/>
      <c r="J21" s="2633"/>
      <c r="K21" s="2634">
        <f>SUM(I21:J21)</f>
        <v>0</v>
      </c>
      <c r="L21" s="4677"/>
      <c r="M21" s="2633"/>
      <c r="N21" s="2634">
        <f t="shared" si="4"/>
        <v>0</v>
      </c>
      <c r="O21" s="4677"/>
      <c r="P21" s="2633"/>
      <c r="Q21" s="2634">
        <f>SUM(O21:P21)</f>
        <v>0</v>
      </c>
      <c r="R21" s="4677"/>
      <c r="S21" s="2633"/>
      <c r="T21" s="2634"/>
      <c r="U21" s="4677"/>
      <c r="V21" s="2633"/>
      <c r="W21" s="2634"/>
      <c r="X21" s="5347"/>
      <c r="Y21" s="2633"/>
      <c r="Z21" s="2634"/>
    </row>
    <row r="22" spans="1:26" ht="15" customHeight="1" x14ac:dyDescent="0.3">
      <c r="A22" s="4730"/>
      <c r="B22" s="4728" t="s">
        <v>387</v>
      </c>
      <c r="C22" s="4677"/>
      <c r="D22" s="2633">
        <v>1</v>
      </c>
      <c r="E22" s="2634">
        <f>SUM(C22:D22)</f>
        <v>1</v>
      </c>
      <c r="F22" s="2633"/>
      <c r="G22" s="2633"/>
      <c r="H22" s="2633">
        <f>SUM(F22:G22)</f>
        <v>0</v>
      </c>
      <c r="I22" s="4677"/>
      <c r="J22" s="2633"/>
      <c r="K22" s="2634">
        <f>SUM(I22:J22)</f>
        <v>0</v>
      </c>
      <c r="L22" s="4677">
        <v>2</v>
      </c>
      <c r="M22" s="2633">
        <v>1</v>
      </c>
      <c r="N22" s="2634">
        <f t="shared" si="4"/>
        <v>3</v>
      </c>
      <c r="O22" s="4677">
        <v>2</v>
      </c>
      <c r="P22" s="2633">
        <v>1</v>
      </c>
      <c r="Q22" s="2634">
        <f>SUM(O22:P22)</f>
        <v>3</v>
      </c>
      <c r="R22" s="4677">
        <v>1</v>
      </c>
      <c r="S22" s="2633">
        <v>1</v>
      </c>
      <c r="T22" s="2634">
        <f>SUM(R22:S22)</f>
        <v>2</v>
      </c>
      <c r="U22" s="4677"/>
      <c r="V22" s="2633"/>
      <c r="W22" s="2634"/>
      <c r="X22" s="5347"/>
      <c r="Y22" s="2633"/>
      <c r="Z22" s="2634"/>
    </row>
    <row r="23" spans="1:26" ht="15" customHeight="1" x14ac:dyDescent="0.3">
      <c r="A23" s="4730"/>
      <c r="B23" s="4726" t="s">
        <v>92</v>
      </c>
      <c r="C23" s="2635">
        <f>SUM(C21:C22)</f>
        <v>0</v>
      </c>
      <c r="D23" s="2637">
        <f t="shared" ref="D23:T23" si="7">SUM(D21:D22)</f>
        <v>2</v>
      </c>
      <c r="E23" s="2636">
        <f t="shared" si="7"/>
        <v>2</v>
      </c>
      <c r="F23" s="2637">
        <f t="shared" si="7"/>
        <v>0</v>
      </c>
      <c r="G23" s="2637">
        <f t="shared" si="7"/>
        <v>1</v>
      </c>
      <c r="H23" s="2637">
        <f t="shared" si="7"/>
        <v>1</v>
      </c>
      <c r="I23" s="2635">
        <f t="shared" si="7"/>
        <v>0</v>
      </c>
      <c r="J23" s="2637">
        <f t="shared" si="7"/>
        <v>0</v>
      </c>
      <c r="K23" s="2636">
        <f t="shared" si="7"/>
        <v>0</v>
      </c>
      <c r="L23" s="2635">
        <f t="shared" si="7"/>
        <v>2</v>
      </c>
      <c r="M23" s="2637">
        <f t="shared" si="7"/>
        <v>1</v>
      </c>
      <c r="N23" s="2636">
        <f t="shared" si="7"/>
        <v>3</v>
      </c>
      <c r="O23" s="2635">
        <f t="shared" si="7"/>
        <v>2</v>
      </c>
      <c r="P23" s="2637">
        <f t="shared" si="7"/>
        <v>1</v>
      </c>
      <c r="Q23" s="2636">
        <f t="shared" si="7"/>
        <v>3</v>
      </c>
      <c r="R23" s="2635">
        <f t="shared" si="7"/>
        <v>1</v>
      </c>
      <c r="S23" s="2637">
        <f t="shared" si="7"/>
        <v>1</v>
      </c>
      <c r="T23" s="2636">
        <f t="shared" si="7"/>
        <v>2</v>
      </c>
      <c r="U23" s="2635"/>
      <c r="V23" s="2637"/>
      <c r="W23" s="2636"/>
      <c r="X23" s="2635"/>
      <c r="Y23" s="2637"/>
      <c r="Z23" s="2636"/>
    </row>
    <row r="24" spans="1:26" ht="15" customHeight="1" x14ac:dyDescent="0.3">
      <c r="A24" s="4730"/>
      <c r="B24" s="2656" t="s">
        <v>93</v>
      </c>
      <c r="C24" s="2656">
        <f>SUM(C23,C20,C18)</f>
        <v>1</v>
      </c>
      <c r="D24" s="2657">
        <f t="shared" ref="D24:T24" si="8">SUM(D23,D20,D18)</f>
        <v>6</v>
      </c>
      <c r="E24" s="2655">
        <f t="shared" si="8"/>
        <v>7</v>
      </c>
      <c r="F24" s="2657">
        <f t="shared" si="8"/>
        <v>1</v>
      </c>
      <c r="G24" s="2657">
        <f t="shared" si="8"/>
        <v>4</v>
      </c>
      <c r="H24" s="2657">
        <f t="shared" si="8"/>
        <v>5</v>
      </c>
      <c r="I24" s="2656">
        <f t="shared" si="8"/>
        <v>0</v>
      </c>
      <c r="J24" s="2657">
        <f t="shared" si="8"/>
        <v>0</v>
      </c>
      <c r="K24" s="2655">
        <f t="shared" si="8"/>
        <v>0</v>
      </c>
      <c r="L24" s="2656">
        <f t="shared" si="8"/>
        <v>3</v>
      </c>
      <c r="M24" s="2657">
        <f t="shared" si="8"/>
        <v>5</v>
      </c>
      <c r="N24" s="2655">
        <f t="shared" si="8"/>
        <v>8</v>
      </c>
      <c r="O24" s="2656">
        <f t="shared" si="8"/>
        <v>3</v>
      </c>
      <c r="P24" s="2657">
        <f t="shared" si="8"/>
        <v>5</v>
      </c>
      <c r="Q24" s="2655">
        <f t="shared" si="8"/>
        <v>8</v>
      </c>
      <c r="R24" s="2656">
        <f t="shared" si="8"/>
        <v>2</v>
      </c>
      <c r="S24" s="2657">
        <f t="shared" si="8"/>
        <v>2</v>
      </c>
      <c r="T24" s="2655">
        <f t="shared" si="8"/>
        <v>4</v>
      </c>
      <c r="U24" s="2656"/>
      <c r="V24" s="2657"/>
      <c r="W24" s="2655"/>
      <c r="X24" s="2656"/>
      <c r="Y24" s="2657"/>
      <c r="Z24" s="2655"/>
    </row>
    <row r="25" spans="1:26" ht="15" customHeight="1" x14ac:dyDescent="0.3">
      <c r="A25" s="4730"/>
      <c r="B25" s="3025" t="s">
        <v>721</v>
      </c>
      <c r="C25" s="3026"/>
      <c r="D25" s="3027"/>
      <c r="E25" s="3028"/>
      <c r="F25" s="3027"/>
      <c r="G25" s="3027"/>
      <c r="H25" s="3027"/>
      <c r="I25" s="3026"/>
      <c r="J25" s="3027"/>
      <c r="K25" s="3028"/>
      <c r="L25" s="4676">
        <v>2</v>
      </c>
      <c r="M25" s="3027"/>
      <c r="N25" s="2630">
        <f>SUM(L25:M25)</f>
        <v>2</v>
      </c>
      <c r="O25" s="4787">
        <v>2</v>
      </c>
      <c r="P25" s="2629"/>
      <c r="Q25" s="2630">
        <f>SUM(O25:P25)</f>
        <v>2</v>
      </c>
      <c r="R25" s="4787">
        <v>1</v>
      </c>
      <c r="S25" s="2629"/>
      <c r="T25" s="2630">
        <f>SUM(R25:S25)</f>
        <v>1</v>
      </c>
      <c r="U25" s="4787"/>
      <c r="V25" s="2629"/>
      <c r="W25" s="2630"/>
      <c r="X25" s="5346"/>
      <c r="Y25" s="2629"/>
      <c r="Z25" s="2630"/>
    </row>
    <row r="26" spans="1:26" ht="15" customHeight="1" x14ac:dyDescent="0.3">
      <c r="A26" s="4730"/>
      <c r="B26" s="4726" t="s">
        <v>92</v>
      </c>
      <c r="C26" s="2635"/>
      <c r="D26" s="2637"/>
      <c r="E26" s="2636"/>
      <c r="F26" s="2637"/>
      <c r="G26" s="2637"/>
      <c r="H26" s="2637"/>
      <c r="I26" s="2635"/>
      <c r="J26" s="2637"/>
      <c r="K26" s="2636"/>
      <c r="L26" s="2635">
        <f t="shared" ref="L26:N27" si="9">SUM(L25)</f>
        <v>2</v>
      </c>
      <c r="M26" s="2637">
        <f t="shared" si="9"/>
        <v>0</v>
      </c>
      <c r="N26" s="2636">
        <f t="shared" si="9"/>
        <v>2</v>
      </c>
      <c r="O26" s="2635">
        <f t="shared" ref="O26:T27" si="10">SUM(O25)</f>
        <v>2</v>
      </c>
      <c r="P26" s="2637">
        <f t="shared" si="10"/>
        <v>0</v>
      </c>
      <c r="Q26" s="2636">
        <f t="shared" si="10"/>
        <v>2</v>
      </c>
      <c r="R26" s="2635">
        <f t="shared" si="10"/>
        <v>1</v>
      </c>
      <c r="S26" s="2637">
        <f t="shared" si="10"/>
        <v>0</v>
      </c>
      <c r="T26" s="2636">
        <f t="shared" si="10"/>
        <v>1</v>
      </c>
      <c r="U26" s="2635"/>
      <c r="V26" s="2637"/>
      <c r="W26" s="2636"/>
      <c r="X26" s="2635"/>
      <c r="Y26" s="2637"/>
      <c r="Z26" s="2636"/>
    </row>
    <row r="27" spans="1:26" ht="15" customHeight="1" x14ac:dyDescent="0.3">
      <c r="A27" s="4730"/>
      <c r="B27" s="3029" t="s">
        <v>731</v>
      </c>
      <c r="C27" s="3029"/>
      <c r="D27" s="3030"/>
      <c r="E27" s="3031"/>
      <c r="F27" s="3030"/>
      <c r="G27" s="3030"/>
      <c r="H27" s="3030"/>
      <c r="I27" s="3029"/>
      <c r="J27" s="3030"/>
      <c r="K27" s="3031"/>
      <c r="L27" s="3029">
        <f t="shared" si="9"/>
        <v>2</v>
      </c>
      <c r="M27" s="3030">
        <f t="shared" si="9"/>
        <v>0</v>
      </c>
      <c r="N27" s="3031">
        <f t="shared" si="9"/>
        <v>2</v>
      </c>
      <c r="O27" s="3029">
        <f t="shared" si="10"/>
        <v>2</v>
      </c>
      <c r="P27" s="3030">
        <f t="shared" si="10"/>
        <v>0</v>
      </c>
      <c r="Q27" s="3031">
        <f t="shared" si="10"/>
        <v>2</v>
      </c>
      <c r="R27" s="3029">
        <f t="shared" si="10"/>
        <v>1</v>
      </c>
      <c r="S27" s="3030">
        <f t="shared" si="10"/>
        <v>0</v>
      </c>
      <c r="T27" s="3031">
        <f t="shared" si="10"/>
        <v>1</v>
      </c>
      <c r="U27" s="3029"/>
      <c r="V27" s="3030"/>
      <c r="W27" s="3031"/>
      <c r="X27" s="3029"/>
      <c r="Y27" s="3030"/>
      <c r="Z27" s="3031"/>
    </row>
    <row r="28" spans="1:26" ht="15" customHeight="1" x14ac:dyDescent="0.3">
      <c r="A28" s="4730"/>
      <c r="B28" s="4727" t="s">
        <v>732</v>
      </c>
      <c r="C28" s="4676">
        <v>1</v>
      </c>
      <c r="D28" s="2629"/>
      <c r="E28" s="2630">
        <f>SUM(C28:D28)</f>
        <v>1</v>
      </c>
      <c r="F28" s="2629">
        <v>1</v>
      </c>
      <c r="G28" s="2629"/>
      <c r="H28" s="2629">
        <f t="shared" ref="H28:H37" si="11">SUM(F28:G28)</f>
        <v>1</v>
      </c>
      <c r="I28" s="4676">
        <v>1</v>
      </c>
      <c r="J28" s="2629"/>
      <c r="K28" s="2630">
        <f t="shared" ref="K28:K37" si="12">SUM(I28:J28)</f>
        <v>1</v>
      </c>
      <c r="L28" s="4676"/>
      <c r="M28" s="2629"/>
      <c r="N28" s="2630">
        <f t="shared" ref="N28:N37" si="13">SUM(L28:M28)</f>
        <v>0</v>
      </c>
      <c r="O28" s="4676"/>
      <c r="P28" s="2629"/>
      <c r="Q28" s="2630">
        <f>SUM(O28:P28)</f>
        <v>0</v>
      </c>
      <c r="R28" s="4676"/>
      <c r="S28" s="2629"/>
      <c r="T28" s="2630"/>
      <c r="U28" s="4676"/>
      <c r="V28" s="2629"/>
      <c r="W28" s="2630"/>
      <c r="X28" s="5346"/>
      <c r="Y28" s="2629"/>
      <c r="Z28" s="2630"/>
    </row>
    <row r="29" spans="1:26" ht="15" customHeight="1" x14ac:dyDescent="0.3">
      <c r="A29" s="4730"/>
      <c r="B29" s="4729" t="s">
        <v>733</v>
      </c>
      <c r="C29" s="4677">
        <v>1</v>
      </c>
      <c r="D29" s="2633"/>
      <c r="E29" s="2634">
        <f>SUM(C29:D29)</f>
        <v>1</v>
      </c>
      <c r="F29" s="2633">
        <v>1</v>
      </c>
      <c r="G29" s="2633"/>
      <c r="H29" s="2633">
        <f t="shared" si="11"/>
        <v>1</v>
      </c>
      <c r="I29" s="4677">
        <v>1</v>
      </c>
      <c r="J29" s="2633"/>
      <c r="K29" s="2634">
        <f t="shared" si="12"/>
        <v>1</v>
      </c>
      <c r="L29" s="4677"/>
      <c r="M29" s="2633"/>
      <c r="N29" s="2634">
        <f t="shared" si="13"/>
        <v>0</v>
      </c>
      <c r="O29" s="4677"/>
      <c r="P29" s="2633"/>
      <c r="Q29" s="2634">
        <f>SUM(O29:P29)</f>
        <v>0</v>
      </c>
      <c r="R29" s="4677"/>
      <c r="S29" s="2633"/>
      <c r="T29" s="2634"/>
      <c r="U29" s="4677"/>
      <c r="V29" s="2633"/>
      <c r="W29" s="2634"/>
      <c r="X29" s="5347"/>
      <c r="Y29" s="2633"/>
      <c r="Z29" s="2634"/>
    </row>
    <row r="30" spans="1:26" ht="15" customHeight="1" x14ac:dyDescent="0.3">
      <c r="A30" s="4730"/>
      <c r="B30" s="4728" t="s">
        <v>734</v>
      </c>
      <c r="C30" s="4677">
        <v>1</v>
      </c>
      <c r="D30" s="2633">
        <v>1</v>
      </c>
      <c r="E30" s="2634">
        <f>SUM(C30:D30)</f>
        <v>2</v>
      </c>
      <c r="F30" s="2633"/>
      <c r="G30" s="2633">
        <v>1</v>
      </c>
      <c r="H30" s="2633">
        <f t="shared" si="11"/>
        <v>1</v>
      </c>
      <c r="I30" s="4677"/>
      <c r="J30" s="2633">
        <v>1</v>
      </c>
      <c r="K30" s="2634">
        <f t="shared" si="12"/>
        <v>1</v>
      </c>
      <c r="L30" s="4677">
        <v>1</v>
      </c>
      <c r="M30" s="2633"/>
      <c r="N30" s="2634">
        <f t="shared" si="13"/>
        <v>1</v>
      </c>
      <c r="O30" s="4677">
        <v>1</v>
      </c>
      <c r="P30" s="2633"/>
      <c r="Q30" s="2634">
        <f>SUM(O30:P30)</f>
        <v>1</v>
      </c>
      <c r="R30" s="4677">
        <v>1</v>
      </c>
      <c r="S30" s="2633"/>
      <c r="T30" s="2634">
        <f>SUM(R30:S30)</f>
        <v>1</v>
      </c>
      <c r="U30" s="4677"/>
      <c r="V30" s="2633"/>
      <c r="W30" s="2634"/>
      <c r="X30" s="5347"/>
      <c r="Y30" s="2633"/>
      <c r="Z30" s="2634"/>
    </row>
    <row r="31" spans="1:26" ht="15" customHeight="1" x14ac:dyDescent="0.3">
      <c r="A31" s="4730"/>
      <c r="B31" s="4728" t="s">
        <v>735</v>
      </c>
      <c r="C31" s="4677">
        <v>3</v>
      </c>
      <c r="D31" s="2633"/>
      <c r="E31" s="2634">
        <f>SUM(C31:D31)</f>
        <v>3</v>
      </c>
      <c r="F31" s="2633">
        <v>2</v>
      </c>
      <c r="G31" s="2633">
        <v>1</v>
      </c>
      <c r="H31" s="2633">
        <f t="shared" si="11"/>
        <v>3</v>
      </c>
      <c r="I31" s="4677">
        <v>1</v>
      </c>
      <c r="J31" s="2633"/>
      <c r="K31" s="2634">
        <f t="shared" si="12"/>
        <v>1</v>
      </c>
      <c r="L31" s="4677"/>
      <c r="M31" s="2633"/>
      <c r="N31" s="2634">
        <f t="shared" si="13"/>
        <v>0</v>
      </c>
      <c r="O31" s="4677"/>
      <c r="P31" s="2633"/>
      <c r="Q31" s="2634">
        <f>SUM(O31:P31)</f>
        <v>0</v>
      </c>
      <c r="R31" s="4677"/>
      <c r="S31" s="2633"/>
      <c r="T31" s="2634"/>
      <c r="U31" s="4677"/>
      <c r="V31" s="2633"/>
      <c r="W31" s="2634"/>
      <c r="X31" s="5347"/>
      <c r="Y31" s="2633"/>
      <c r="Z31" s="2634"/>
    </row>
    <row r="32" spans="1:26" ht="15" customHeight="1" x14ac:dyDescent="0.3">
      <c r="A32" s="4730"/>
      <c r="B32" s="4726" t="s">
        <v>64</v>
      </c>
      <c r="C32" s="2635">
        <f>SUM(C28:C31)</f>
        <v>6</v>
      </c>
      <c r="D32" s="2637">
        <f t="shared" ref="D32:T32" si="14">SUM(D28:D31)</f>
        <v>1</v>
      </c>
      <c r="E32" s="2636">
        <f t="shared" si="14"/>
        <v>7</v>
      </c>
      <c r="F32" s="2637">
        <f t="shared" si="14"/>
        <v>4</v>
      </c>
      <c r="G32" s="2637">
        <f t="shared" si="14"/>
        <v>2</v>
      </c>
      <c r="H32" s="2637">
        <f t="shared" si="14"/>
        <v>6</v>
      </c>
      <c r="I32" s="2635">
        <f t="shared" si="14"/>
        <v>3</v>
      </c>
      <c r="J32" s="2637">
        <f t="shared" si="14"/>
        <v>1</v>
      </c>
      <c r="K32" s="2636">
        <f t="shared" si="14"/>
        <v>4</v>
      </c>
      <c r="L32" s="2635">
        <f t="shared" si="14"/>
        <v>1</v>
      </c>
      <c r="M32" s="2637">
        <f t="shared" si="14"/>
        <v>0</v>
      </c>
      <c r="N32" s="2636">
        <f t="shared" si="14"/>
        <v>1</v>
      </c>
      <c r="O32" s="2635">
        <f t="shared" si="14"/>
        <v>1</v>
      </c>
      <c r="P32" s="2637">
        <f t="shared" si="14"/>
        <v>0</v>
      </c>
      <c r="Q32" s="2636">
        <f t="shared" si="14"/>
        <v>1</v>
      </c>
      <c r="R32" s="2635">
        <f t="shared" si="14"/>
        <v>1</v>
      </c>
      <c r="S32" s="2637">
        <f t="shared" si="14"/>
        <v>0</v>
      </c>
      <c r="T32" s="2636">
        <f t="shared" si="14"/>
        <v>1</v>
      </c>
      <c r="U32" s="2635"/>
      <c r="V32" s="2637"/>
      <c r="W32" s="2636"/>
      <c r="X32" s="2635"/>
      <c r="Y32" s="2637"/>
      <c r="Z32" s="2636"/>
    </row>
    <row r="33" spans="1:26" ht="15" customHeight="1" x14ac:dyDescent="0.3">
      <c r="A33" s="4730"/>
      <c r="B33" s="4728" t="s">
        <v>413</v>
      </c>
      <c r="C33" s="5347"/>
      <c r="D33" s="2633"/>
      <c r="E33" s="2634"/>
      <c r="F33" s="2633"/>
      <c r="G33" s="2633"/>
      <c r="H33" s="2633"/>
      <c r="I33" s="5347"/>
      <c r="J33" s="2633"/>
      <c r="K33" s="2634"/>
      <c r="L33" s="5347"/>
      <c r="M33" s="2633"/>
      <c r="N33" s="2634"/>
      <c r="O33" s="5347"/>
      <c r="P33" s="2633"/>
      <c r="Q33" s="2634"/>
      <c r="R33" s="5347"/>
      <c r="S33" s="2633"/>
      <c r="T33" s="2634"/>
      <c r="U33" s="5347"/>
      <c r="V33" s="2633"/>
      <c r="W33" s="2634"/>
      <c r="X33" s="5347"/>
      <c r="Y33" s="2633"/>
      <c r="Z33" s="2634"/>
    </row>
    <row r="34" spans="1:26" ht="15" customHeight="1" x14ac:dyDescent="0.3">
      <c r="A34" s="4730"/>
      <c r="B34" s="4728" t="s">
        <v>736</v>
      </c>
      <c r="C34" s="4677"/>
      <c r="D34" s="2633">
        <v>1</v>
      </c>
      <c r="E34" s="2634">
        <f>SUM(C34:D34)</f>
        <v>1</v>
      </c>
      <c r="F34" s="2633"/>
      <c r="G34" s="2633">
        <v>1</v>
      </c>
      <c r="H34" s="2633">
        <f t="shared" si="11"/>
        <v>1</v>
      </c>
      <c r="I34" s="4677"/>
      <c r="J34" s="2633">
        <v>1</v>
      </c>
      <c r="K34" s="2634">
        <f t="shared" si="12"/>
        <v>1</v>
      </c>
      <c r="L34" s="4677"/>
      <c r="M34" s="2633"/>
      <c r="N34" s="2634">
        <f t="shared" si="13"/>
        <v>0</v>
      </c>
      <c r="O34" s="4677"/>
      <c r="P34" s="2633"/>
      <c r="Q34" s="2634">
        <f>SUM(O34:P34)</f>
        <v>0</v>
      </c>
      <c r="R34" s="4677"/>
      <c r="S34" s="2633"/>
      <c r="T34" s="2634"/>
      <c r="U34" s="4677"/>
      <c r="V34" s="2633"/>
      <c r="W34" s="2634"/>
      <c r="X34" s="5347"/>
      <c r="Y34" s="2633"/>
      <c r="Z34" s="2634"/>
    </row>
    <row r="35" spans="1:26" ht="15" customHeight="1" x14ac:dyDescent="0.3">
      <c r="A35" s="4730"/>
      <c r="B35" s="4728" t="s">
        <v>737</v>
      </c>
      <c r="C35" s="4677">
        <v>1</v>
      </c>
      <c r="D35" s="2633">
        <v>1</v>
      </c>
      <c r="E35" s="2634">
        <f>SUM(C35:D35)</f>
        <v>2</v>
      </c>
      <c r="F35" s="2633">
        <v>1</v>
      </c>
      <c r="G35" s="2633">
        <v>1</v>
      </c>
      <c r="H35" s="2633">
        <f t="shared" si="11"/>
        <v>2</v>
      </c>
      <c r="I35" s="4677">
        <v>1</v>
      </c>
      <c r="J35" s="2633"/>
      <c r="K35" s="2634">
        <f t="shared" si="12"/>
        <v>1</v>
      </c>
      <c r="L35" s="4677"/>
      <c r="M35" s="2633"/>
      <c r="N35" s="2634">
        <f t="shared" si="13"/>
        <v>0</v>
      </c>
      <c r="O35" s="4677"/>
      <c r="P35" s="2633"/>
      <c r="Q35" s="2634">
        <f>SUM(O35:P35)</f>
        <v>0</v>
      </c>
      <c r="R35" s="4677"/>
      <c r="S35" s="2633"/>
      <c r="T35" s="2634"/>
      <c r="U35" s="4677"/>
      <c r="V35" s="2633"/>
      <c r="W35" s="2634"/>
      <c r="X35" s="5347"/>
      <c r="Y35" s="2633"/>
      <c r="Z35" s="2634"/>
    </row>
    <row r="36" spans="1:26" ht="15" customHeight="1" x14ac:dyDescent="0.3">
      <c r="A36" s="4730"/>
      <c r="B36" s="4726" t="s">
        <v>92</v>
      </c>
      <c r="C36" s="2635">
        <f>SUM(C34:C35)</f>
        <v>1</v>
      </c>
      <c r="D36" s="2637">
        <f t="shared" ref="D36:T36" si="15">SUM(D34:D35)</f>
        <v>2</v>
      </c>
      <c r="E36" s="2636">
        <f t="shared" si="15"/>
        <v>3</v>
      </c>
      <c r="F36" s="2637">
        <f t="shared" si="15"/>
        <v>1</v>
      </c>
      <c r="G36" s="2637">
        <f t="shared" si="15"/>
        <v>2</v>
      </c>
      <c r="H36" s="2637">
        <f t="shared" si="15"/>
        <v>3</v>
      </c>
      <c r="I36" s="2635">
        <f t="shared" si="15"/>
        <v>1</v>
      </c>
      <c r="J36" s="2637">
        <f t="shared" si="15"/>
        <v>1</v>
      </c>
      <c r="K36" s="2636">
        <f t="shared" si="15"/>
        <v>2</v>
      </c>
      <c r="L36" s="2635">
        <f t="shared" si="15"/>
        <v>0</v>
      </c>
      <c r="M36" s="2637">
        <f t="shared" si="15"/>
        <v>0</v>
      </c>
      <c r="N36" s="2636">
        <f t="shared" si="15"/>
        <v>0</v>
      </c>
      <c r="O36" s="2635">
        <f t="shared" si="15"/>
        <v>0</v>
      </c>
      <c r="P36" s="2637">
        <f t="shared" si="15"/>
        <v>0</v>
      </c>
      <c r="Q36" s="2636">
        <f t="shared" si="15"/>
        <v>0</v>
      </c>
      <c r="R36" s="2635">
        <f t="shared" si="15"/>
        <v>0</v>
      </c>
      <c r="S36" s="2637">
        <f t="shared" si="15"/>
        <v>0</v>
      </c>
      <c r="T36" s="2636">
        <f t="shared" si="15"/>
        <v>0</v>
      </c>
      <c r="U36" s="2635"/>
      <c r="V36" s="2637"/>
      <c r="W36" s="2636"/>
      <c r="X36" s="2635"/>
      <c r="Y36" s="2637"/>
      <c r="Z36" s="2636"/>
    </row>
    <row r="37" spans="1:26" ht="15" customHeight="1" x14ac:dyDescent="0.3">
      <c r="A37" s="4730"/>
      <c r="B37" s="4728" t="s">
        <v>738</v>
      </c>
      <c r="C37" s="4677">
        <v>1</v>
      </c>
      <c r="D37" s="2633"/>
      <c r="E37" s="2634">
        <f>SUM(C37:D37)</f>
        <v>1</v>
      </c>
      <c r="F37" s="2633">
        <v>1</v>
      </c>
      <c r="G37" s="2633"/>
      <c r="H37" s="2633">
        <f t="shared" si="11"/>
        <v>1</v>
      </c>
      <c r="I37" s="4677">
        <v>1</v>
      </c>
      <c r="J37" s="2633"/>
      <c r="K37" s="2634">
        <f t="shared" si="12"/>
        <v>1</v>
      </c>
      <c r="L37" s="4677"/>
      <c r="M37" s="2633"/>
      <c r="N37" s="2634">
        <f t="shared" si="13"/>
        <v>0</v>
      </c>
      <c r="O37" s="4677"/>
      <c r="P37" s="2633"/>
      <c r="Q37" s="2634">
        <f>SUM(O37:P37)</f>
        <v>0</v>
      </c>
      <c r="R37" s="4677"/>
      <c r="S37" s="2633"/>
      <c r="T37" s="2634"/>
      <c r="U37" s="4677"/>
      <c r="V37" s="2633"/>
      <c r="W37" s="2634"/>
      <c r="X37" s="5347"/>
      <c r="Y37" s="2633"/>
      <c r="Z37" s="2634"/>
    </row>
    <row r="38" spans="1:26" ht="15" customHeight="1" x14ac:dyDescent="0.3">
      <c r="A38" s="4730"/>
      <c r="B38" s="4726" t="s">
        <v>68</v>
      </c>
      <c r="C38" s="2635">
        <f>SUM(C37)</f>
        <v>1</v>
      </c>
      <c r="D38" s="2637">
        <f t="shared" ref="D38:T38" si="16">SUM(D37)</f>
        <v>0</v>
      </c>
      <c r="E38" s="2636">
        <f t="shared" si="16"/>
        <v>1</v>
      </c>
      <c r="F38" s="2637">
        <f t="shared" si="16"/>
        <v>1</v>
      </c>
      <c r="G38" s="2637">
        <f t="shared" si="16"/>
        <v>0</v>
      </c>
      <c r="H38" s="2637">
        <f t="shared" si="16"/>
        <v>1</v>
      </c>
      <c r="I38" s="2635">
        <f t="shared" si="16"/>
        <v>1</v>
      </c>
      <c r="J38" s="2637">
        <f t="shared" si="16"/>
        <v>0</v>
      </c>
      <c r="K38" s="2636">
        <f t="shared" si="16"/>
        <v>1</v>
      </c>
      <c r="L38" s="2635">
        <f t="shared" si="16"/>
        <v>0</v>
      </c>
      <c r="M38" s="2637">
        <f t="shared" si="16"/>
        <v>0</v>
      </c>
      <c r="N38" s="2636">
        <f t="shared" si="16"/>
        <v>0</v>
      </c>
      <c r="O38" s="2635">
        <f t="shared" si="16"/>
        <v>0</v>
      </c>
      <c r="P38" s="2637">
        <f t="shared" si="16"/>
        <v>0</v>
      </c>
      <c r="Q38" s="2636">
        <f t="shared" si="16"/>
        <v>0</v>
      </c>
      <c r="R38" s="2635">
        <f t="shared" si="16"/>
        <v>0</v>
      </c>
      <c r="S38" s="2637">
        <f t="shared" si="16"/>
        <v>0</v>
      </c>
      <c r="T38" s="2636">
        <f t="shared" si="16"/>
        <v>0</v>
      </c>
      <c r="U38" s="2635"/>
      <c r="V38" s="2637"/>
      <c r="W38" s="2636"/>
      <c r="X38" s="2635"/>
      <c r="Y38" s="2637"/>
      <c r="Z38" s="2636"/>
    </row>
    <row r="39" spans="1:26" ht="15" customHeight="1" x14ac:dyDescent="0.3">
      <c r="A39" s="4730"/>
      <c r="B39" s="2661" t="s">
        <v>105</v>
      </c>
      <c r="C39" s="2661">
        <f>SUM(C38,C36,C32)</f>
        <v>8</v>
      </c>
      <c r="D39" s="2662">
        <f t="shared" ref="D39:T39" si="17">SUM(D38,D36,D32)</f>
        <v>3</v>
      </c>
      <c r="E39" s="2660">
        <f t="shared" si="17"/>
        <v>11</v>
      </c>
      <c r="F39" s="2662">
        <f t="shared" si="17"/>
        <v>6</v>
      </c>
      <c r="G39" s="2662">
        <f t="shared" si="17"/>
        <v>4</v>
      </c>
      <c r="H39" s="2662">
        <f t="shared" si="17"/>
        <v>10</v>
      </c>
      <c r="I39" s="2661">
        <f t="shared" si="17"/>
        <v>5</v>
      </c>
      <c r="J39" s="2662">
        <f t="shared" si="17"/>
        <v>2</v>
      </c>
      <c r="K39" s="2660">
        <f t="shared" si="17"/>
        <v>7</v>
      </c>
      <c r="L39" s="2661">
        <f t="shared" si="17"/>
        <v>1</v>
      </c>
      <c r="M39" s="2662">
        <f t="shared" si="17"/>
        <v>0</v>
      </c>
      <c r="N39" s="2660">
        <f t="shared" si="17"/>
        <v>1</v>
      </c>
      <c r="O39" s="2661">
        <f t="shared" si="17"/>
        <v>1</v>
      </c>
      <c r="P39" s="2662">
        <f t="shared" si="17"/>
        <v>0</v>
      </c>
      <c r="Q39" s="2660">
        <f t="shared" si="17"/>
        <v>1</v>
      </c>
      <c r="R39" s="2661">
        <f t="shared" si="17"/>
        <v>1</v>
      </c>
      <c r="S39" s="2662">
        <f t="shared" si="17"/>
        <v>0</v>
      </c>
      <c r="T39" s="2660">
        <f t="shared" si="17"/>
        <v>1</v>
      </c>
      <c r="U39" s="2661"/>
      <c r="V39" s="2662"/>
      <c r="W39" s="2660"/>
      <c r="X39" s="2661"/>
      <c r="Y39" s="2662"/>
      <c r="Z39" s="2660"/>
    </row>
    <row r="40" spans="1:26" x14ac:dyDescent="0.3">
      <c r="A40" s="4730"/>
      <c r="B40" s="3017" t="s">
        <v>431</v>
      </c>
      <c r="C40" s="3017">
        <f>SUM(C8,C14,C24,C27,C39)</f>
        <v>12</v>
      </c>
      <c r="D40" s="3032">
        <f t="shared" ref="D40:T40" si="18">SUM(D8,D14,D24,D27,D39)</f>
        <v>10</v>
      </c>
      <c r="E40" s="3033">
        <f t="shared" si="18"/>
        <v>22</v>
      </c>
      <c r="F40" s="3032">
        <f t="shared" si="18"/>
        <v>9</v>
      </c>
      <c r="G40" s="3032">
        <f t="shared" si="18"/>
        <v>9</v>
      </c>
      <c r="H40" s="3032">
        <f t="shared" si="18"/>
        <v>18</v>
      </c>
      <c r="I40" s="3034">
        <f t="shared" si="18"/>
        <v>6</v>
      </c>
      <c r="J40" s="3035">
        <f t="shared" si="18"/>
        <v>3</v>
      </c>
      <c r="K40" s="3036">
        <f t="shared" si="18"/>
        <v>9</v>
      </c>
      <c r="L40" s="3017">
        <f t="shared" si="18"/>
        <v>7</v>
      </c>
      <c r="M40" s="3032">
        <f t="shared" si="18"/>
        <v>6</v>
      </c>
      <c r="N40" s="3033">
        <f t="shared" si="18"/>
        <v>13</v>
      </c>
      <c r="O40" s="3017">
        <f t="shared" si="18"/>
        <v>7</v>
      </c>
      <c r="P40" s="3032">
        <f t="shared" si="18"/>
        <v>6</v>
      </c>
      <c r="Q40" s="3033">
        <f t="shared" si="18"/>
        <v>13</v>
      </c>
      <c r="R40" s="3017">
        <f t="shared" si="18"/>
        <v>5</v>
      </c>
      <c r="S40" s="3032">
        <f t="shared" si="18"/>
        <v>3</v>
      </c>
      <c r="T40" s="3033">
        <f t="shared" si="18"/>
        <v>8</v>
      </c>
      <c r="U40" s="3017"/>
      <c r="V40" s="3032"/>
      <c r="W40" s="3033"/>
      <c r="X40" s="3017"/>
      <c r="Y40" s="3032"/>
      <c r="Z40" s="3033"/>
    </row>
    <row r="41" spans="1:26" x14ac:dyDescent="0.3">
      <c r="A41" s="4730"/>
      <c r="B41" s="558" t="s">
        <v>739</v>
      </c>
    </row>
    <row r="42" spans="1:26" x14ac:dyDescent="0.3">
      <c r="A42" s="4730"/>
    </row>
    <row r="43" spans="1:26" x14ac:dyDescent="0.3">
      <c r="A43" s="4730"/>
    </row>
  </sheetData>
  <mergeCells count="9">
    <mergeCell ref="X4:Z4"/>
    <mergeCell ref="U4:W4"/>
    <mergeCell ref="R4:T4"/>
    <mergeCell ref="B4:B5"/>
    <mergeCell ref="C4:E4"/>
    <mergeCell ref="F4:H4"/>
    <mergeCell ref="I4:K4"/>
    <mergeCell ref="L4:N4"/>
    <mergeCell ref="O4:Q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70" firstPageNumber="125" orientation="landscape" useFirstPageNumber="1" r:id="rId1"/>
  <headerFooter scaleWithDoc="0" alignWithMargins="0">
    <oddFooter>&amp;R&amp;P</oddFooter>
  </headerFooter>
  <ignoredErrors>
    <ignoredError sqref="H10:T10 H9:S9 H13:T14 H11:T12 H18:T18 H15:S17 H20:T20 H19:T19 H23:T24 H22:T22 H26:T27 H25:T25 H32:T32 H30:T30 H36:T36 H34:S35 H38:T40 H37:S37 H21:S21 H28:S29 H31:S31" formula="1"/>
  </ignoredErrors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  <pageSetUpPr fitToPage="1"/>
  </sheetPr>
  <dimension ref="A1:AA74"/>
  <sheetViews>
    <sheetView showGridLines="0" zoomScaleNormal="100" workbookViewId="0">
      <pane xSplit="6" ySplit="4" topLeftCell="Z5" activePane="bottomRight" state="frozen"/>
      <selection activeCell="Q31" sqref="Q31"/>
      <selection pane="topRight" activeCell="Q31" sqref="Q31"/>
      <selection pane="bottomLeft" activeCell="Q31" sqref="Q31"/>
      <selection pane="bottomRight" activeCell="AG25" sqref="AG25"/>
    </sheetView>
  </sheetViews>
  <sheetFormatPr baseColWidth="10" defaultRowHeight="13.2" x14ac:dyDescent="0.25"/>
  <cols>
    <col min="1" max="1" width="2.88671875" customWidth="1"/>
    <col min="2" max="2" width="16.44140625" customWidth="1"/>
    <col min="3" max="3" width="8.88671875" customWidth="1"/>
    <col min="4" max="4" width="9.109375" customWidth="1"/>
    <col min="5" max="5" width="7.88671875" customWidth="1"/>
    <col min="6" max="6" width="42.33203125" bestFit="1" customWidth="1"/>
    <col min="7" max="7" width="8.88671875" customWidth="1"/>
    <col min="8" max="8" width="9.109375" customWidth="1"/>
    <col min="9" max="9" width="7.88671875" customWidth="1"/>
    <col min="10" max="10" width="8.88671875" customWidth="1"/>
    <col min="11" max="11" width="9.109375" customWidth="1"/>
    <col min="12" max="12" width="7.88671875" customWidth="1"/>
    <col min="13" max="13" width="8.88671875" customWidth="1"/>
    <col min="14" max="14" width="9.109375" customWidth="1"/>
    <col min="15" max="15" width="7.88671875" customWidth="1"/>
    <col min="16" max="16" width="8.88671875" customWidth="1"/>
    <col min="17" max="17" width="9.109375" customWidth="1"/>
    <col min="18" max="18" width="7.88671875" customWidth="1"/>
    <col min="19" max="21" width="8.5546875" customWidth="1"/>
    <col min="22" max="22" width="8.88671875" customWidth="1"/>
    <col min="23" max="23" width="9.109375" customWidth="1"/>
    <col min="24" max="24" width="8.5546875" customWidth="1"/>
    <col min="25" max="25" width="8.88671875" bestFit="1" customWidth="1"/>
    <col min="26" max="26" width="9.109375" bestFit="1" customWidth="1"/>
    <col min="27" max="27" width="8.5546875" customWidth="1"/>
  </cols>
  <sheetData>
    <row r="1" spans="1:27" ht="36" x14ac:dyDescent="0.35">
      <c r="F1" s="4762" t="s">
        <v>1513</v>
      </c>
    </row>
    <row r="2" spans="1:27" ht="14.4" x14ac:dyDescent="0.3">
      <c r="A2" s="558"/>
      <c r="B2" s="558"/>
    </row>
    <row r="3" spans="1:27" ht="14.4" x14ac:dyDescent="0.3">
      <c r="A3" s="558"/>
      <c r="B3" s="6136" t="s">
        <v>740</v>
      </c>
      <c r="C3" s="6123">
        <v>2015</v>
      </c>
      <c r="D3" s="6123"/>
      <c r="E3" s="6124"/>
      <c r="F3" s="6138" t="s">
        <v>741</v>
      </c>
      <c r="G3" s="6123">
        <v>2016</v>
      </c>
      <c r="H3" s="6123"/>
      <c r="I3" s="6124"/>
      <c r="J3" s="6123">
        <v>2017</v>
      </c>
      <c r="K3" s="6123"/>
      <c r="L3" s="6124"/>
      <c r="M3" s="6123">
        <v>2018</v>
      </c>
      <c r="N3" s="6123"/>
      <c r="O3" s="6124"/>
      <c r="P3" s="6123">
        <v>2019</v>
      </c>
      <c r="Q3" s="6123"/>
      <c r="R3" s="6124"/>
      <c r="S3" s="6123">
        <v>2020</v>
      </c>
      <c r="T3" s="6123"/>
      <c r="U3" s="6124"/>
      <c r="V3" s="6123">
        <v>2021</v>
      </c>
      <c r="W3" s="6123"/>
      <c r="X3" s="6124"/>
      <c r="Y3" s="6123">
        <v>2022</v>
      </c>
      <c r="Z3" s="6123"/>
      <c r="AA3" s="6124"/>
    </row>
    <row r="4" spans="1:27" ht="14.4" x14ac:dyDescent="0.3">
      <c r="A4" s="558"/>
      <c r="B4" s="6137"/>
      <c r="C4" s="3038" t="s">
        <v>140</v>
      </c>
      <c r="D4" s="3038" t="s">
        <v>141</v>
      </c>
      <c r="E4" s="3039" t="s">
        <v>48</v>
      </c>
      <c r="F4" s="6138"/>
      <c r="G4" s="3038" t="s">
        <v>140</v>
      </c>
      <c r="H4" s="3038" t="s">
        <v>141</v>
      </c>
      <c r="I4" s="3039" t="s">
        <v>48</v>
      </c>
      <c r="J4" s="3038" t="s">
        <v>140</v>
      </c>
      <c r="K4" s="3038" t="s">
        <v>141</v>
      </c>
      <c r="L4" s="3039" t="s">
        <v>48</v>
      </c>
      <c r="M4" s="3038" t="s">
        <v>140</v>
      </c>
      <c r="N4" s="3038" t="s">
        <v>141</v>
      </c>
      <c r="O4" s="3039" t="s">
        <v>48</v>
      </c>
      <c r="P4" s="3038" t="s">
        <v>140</v>
      </c>
      <c r="Q4" s="3038" t="s">
        <v>141</v>
      </c>
      <c r="R4" s="3039" t="s">
        <v>48</v>
      </c>
      <c r="S4" s="3038" t="s">
        <v>140</v>
      </c>
      <c r="T4" s="3038" t="s">
        <v>141</v>
      </c>
      <c r="U4" s="3039" t="s">
        <v>48</v>
      </c>
      <c r="V4" s="3038" t="s">
        <v>140</v>
      </c>
      <c r="W4" s="3038" t="s">
        <v>141</v>
      </c>
      <c r="X4" s="3039" t="s">
        <v>48</v>
      </c>
      <c r="Y4" s="3038" t="s">
        <v>140</v>
      </c>
      <c r="Z4" s="3038" t="s">
        <v>141</v>
      </c>
      <c r="AA4" s="3039" t="s">
        <v>48</v>
      </c>
    </row>
    <row r="5" spans="1:27" ht="14.4" x14ac:dyDescent="0.3">
      <c r="A5" s="558"/>
      <c r="B5" s="6139" t="s">
        <v>59</v>
      </c>
      <c r="C5" s="3022"/>
      <c r="D5" s="3024">
        <v>1</v>
      </c>
      <c r="E5" s="3040">
        <f>SUM(C5:D5)</f>
        <v>1</v>
      </c>
      <c r="F5" s="3041" t="s">
        <v>742</v>
      </c>
      <c r="G5" s="3022"/>
      <c r="H5" s="3024">
        <v>1</v>
      </c>
      <c r="I5" s="3040">
        <f>SUM(G5:H5)</f>
        <v>1</v>
      </c>
      <c r="J5" s="3022"/>
      <c r="K5" s="3024"/>
      <c r="L5" s="3040"/>
      <c r="M5" s="3022"/>
      <c r="N5" s="3024"/>
      <c r="O5" s="3040"/>
      <c r="P5" s="3022"/>
      <c r="Q5" s="3024">
        <v>1</v>
      </c>
      <c r="R5" s="3040">
        <f>SUM(P5:Q5)</f>
        <v>1</v>
      </c>
      <c r="S5" s="3022"/>
      <c r="T5" s="3024"/>
      <c r="U5" s="3040"/>
      <c r="V5" s="3022"/>
      <c r="W5" s="3024">
        <v>1</v>
      </c>
      <c r="X5" s="3040">
        <f>SUM(V5:W5)</f>
        <v>1</v>
      </c>
      <c r="Y5" s="3022"/>
      <c r="Z5" s="3024"/>
      <c r="AA5" s="3040"/>
    </row>
    <row r="6" spans="1:27" ht="14.4" x14ac:dyDescent="0.3">
      <c r="A6" s="558"/>
      <c r="B6" s="6130"/>
      <c r="C6" s="2648"/>
      <c r="D6" s="2630"/>
      <c r="E6" s="3042"/>
      <c r="F6" s="3043" t="s">
        <v>743</v>
      </c>
      <c r="G6" s="2648"/>
      <c r="H6" s="2630"/>
      <c r="I6" s="3042"/>
      <c r="J6" s="2648"/>
      <c r="K6" s="2630"/>
      <c r="L6" s="3042"/>
      <c r="M6" s="2648"/>
      <c r="N6" s="2630"/>
      <c r="O6" s="3042"/>
      <c r="P6" s="2648"/>
      <c r="Q6" s="2630">
        <v>1</v>
      </c>
      <c r="R6" s="154">
        <f>SUM(P6:Q6)</f>
        <v>1</v>
      </c>
      <c r="S6" s="2648"/>
      <c r="T6" s="2630">
        <v>1</v>
      </c>
      <c r="U6" s="154">
        <f t="shared" ref="U6:U17" si="0">SUM(S6:T6)</f>
        <v>1</v>
      </c>
      <c r="V6" s="4676"/>
      <c r="W6" s="2630"/>
      <c r="X6" s="154"/>
      <c r="Y6" s="5532"/>
      <c r="Z6" s="2630"/>
      <c r="AA6" s="154"/>
    </row>
    <row r="7" spans="1:27" ht="14.4" x14ac:dyDescent="0.3">
      <c r="A7" s="558"/>
      <c r="B7" s="4782"/>
      <c r="C7" s="4781"/>
      <c r="D7" s="2630"/>
      <c r="E7" s="4780"/>
      <c r="F7" s="3043" t="s">
        <v>62</v>
      </c>
      <c r="G7" s="2648"/>
      <c r="H7" s="2630"/>
      <c r="I7" s="3042"/>
      <c r="J7" s="2648"/>
      <c r="K7" s="2630"/>
      <c r="L7" s="3042"/>
      <c r="M7" s="2648"/>
      <c r="N7" s="2630"/>
      <c r="O7" s="3042"/>
      <c r="P7" s="2648"/>
      <c r="Q7" s="2630"/>
      <c r="R7" s="3042"/>
      <c r="S7" s="2648">
        <v>1</v>
      </c>
      <c r="T7" s="2630"/>
      <c r="U7" s="154">
        <f t="shared" si="0"/>
        <v>1</v>
      </c>
      <c r="V7" s="4676"/>
      <c r="W7" s="2630">
        <v>1</v>
      </c>
      <c r="X7" s="154">
        <f>SUM(V7:W7)</f>
        <v>1</v>
      </c>
      <c r="Y7" s="5532"/>
      <c r="Z7" s="2630"/>
      <c r="AA7" s="154"/>
    </row>
    <row r="8" spans="1:27" ht="14.4" x14ac:dyDescent="0.3">
      <c r="A8" s="558"/>
      <c r="B8" s="6129" t="s">
        <v>64</v>
      </c>
      <c r="C8" s="4781"/>
      <c r="D8" s="2630"/>
      <c r="E8" s="4780"/>
      <c r="F8" s="3043" t="s">
        <v>61</v>
      </c>
      <c r="G8" s="2648"/>
      <c r="H8" s="2630"/>
      <c r="I8" s="3042"/>
      <c r="J8" s="2648"/>
      <c r="K8" s="2630"/>
      <c r="L8" s="3042"/>
      <c r="M8" s="2648"/>
      <c r="N8" s="2630"/>
      <c r="O8" s="3042"/>
      <c r="P8" s="2648"/>
      <c r="Q8" s="2630"/>
      <c r="R8" s="3042"/>
      <c r="S8" s="2648">
        <v>1</v>
      </c>
      <c r="T8" s="2630"/>
      <c r="U8" s="154">
        <f t="shared" si="0"/>
        <v>1</v>
      </c>
      <c r="V8" s="4676">
        <v>1</v>
      </c>
      <c r="W8" s="2630">
        <v>1</v>
      </c>
      <c r="X8" s="154">
        <f>SUM(V8:W8)</f>
        <v>2</v>
      </c>
      <c r="Y8" s="5532"/>
      <c r="Z8" s="2630"/>
      <c r="AA8" s="154"/>
    </row>
    <row r="9" spans="1:27" ht="14.4" x14ac:dyDescent="0.3">
      <c r="A9" s="558"/>
      <c r="B9" s="6131"/>
      <c r="C9" s="2648"/>
      <c r="D9" s="2630"/>
      <c r="E9" s="3042"/>
      <c r="F9" s="3043" t="s">
        <v>63</v>
      </c>
      <c r="G9" s="2648">
        <v>1</v>
      </c>
      <c r="H9" s="2630"/>
      <c r="I9" s="3042">
        <f>SUM(G9:H9)</f>
        <v>1</v>
      </c>
      <c r="J9" s="2648"/>
      <c r="K9" s="2630"/>
      <c r="L9" s="3042"/>
      <c r="M9" s="2648"/>
      <c r="N9" s="2630"/>
      <c r="O9" s="3042"/>
      <c r="P9" s="2648">
        <v>1</v>
      </c>
      <c r="Q9" s="2630"/>
      <c r="R9" s="154">
        <f>SUM(P9:Q9)</f>
        <v>1</v>
      </c>
      <c r="S9" s="2648"/>
      <c r="T9" s="2630"/>
      <c r="U9" s="154"/>
      <c r="V9" s="4676"/>
      <c r="W9" s="2630"/>
      <c r="X9" s="154"/>
      <c r="Y9" s="5532"/>
      <c r="Z9" s="2630"/>
      <c r="AA9" s="154"/>
    </row>
    <row r="10" spans="1:27" ht="14.4" x14ac:dyDescent="0.3">
      <c r="A10" s="558"/>
      <c r="B10" s="6133" t="s">
        <v>68</v>
      </c>
      <c r="C10" s="2648"/>
      <c r="D10" s="2630"/>
      <c r="E10" s="3042"/>
      <c r="F10" s="3043" t="s">
        <v>744</v>
      </c>
      <c r="G10" s="2648"/>
      <c r="H10" s="2630"/>
      <c r="I10" s="3042"/>
      <c r="J10" s="2648"/>
      <c r="K10" s="2630"/>
      <c r="L10" s="3042"/>
      <c r="M10" s="2648"/>
      <c r="N10" s="2630"/>
      <c r="O10" s="3042"/>
      <c r="P10" s="2648"/>
      <c r="Q10" s="2630">
        <v>1</v>
      </c>
      <c r="R10" s="154">
        <f>SUM(P10:Q10)</f>
        <v>1</v>
      </c>
      <c r="S10" s="2648"/>
      <c r="T10" s="2630">
        <v>2</v>
      </c>
      <c r="U10" s="154">
        <f t="shared" si="0"/>
        <v>2</v>
      </c>
      <c r="V10" s="4676"/>
      <c r="W10" s="2630"/>
      <c r="X10" s="154"/>
      <c r="Y10" s="5532"/>
      <c r="Z10" s="2630"/>
      <c r="AA10" s="154"/>
    </row>
    <row r="11" spans="1:27" ht="14.4" x14ac:dyDescent="0.3">
      <c r="A11" s="558"/>
      <c r="B11" s="6134"/>
      <c r="C11" s="2632"/>
      <c r="D11" s="2634">
        <v>2</v>
      </c>
      <c r="E11" s="154">
        <f>SUM(C11:D11)</f>
        <v>2</v>
      </c>
      <c r="F11" s="3043" t="s">
        <v>745</v>
      </c>
      <c r="G11" s="2632">
        <v>1</v>
      </c>
      <c r="H11" s="2634">
        <v>1</v>
      </c>
      <c r="I11" s="154">
        <f t="shared" ref="I11:I19" si="1">SUM(G11:H11)</f>
        <v>2</v>
      </c>
      <c r="J11" s="2632"/>
      <c r="K11" s="2634"/>
      <c r="L11" s="154"/>
      <c r="M11" s="2632"/>
      <c r="N11" s="2634"/>
      <c r="O11" s="154"/>
      <c r="P11" s="2632"/>
      <c r="Q11" s="2634"/>
      <c r="R11" s="154"/>
      <c r="S11" s="2632"/>
      <c r="T11" s="2634"/>
      <c r="U11" s="154"/>
      <c r="V11" s="4677"/>
      <c r="W11" s="2634"/>
      <c r="X11" s="154"/>
      <c r="Y11" s="5533"/>
      <c r="Z11" s="2634"/>
      <c r="AA11" s="154"/>
    </row>
    <row r="12" spans="1:27" ht="14.4" x14ac:dyDescent="0.3">
      <c r="A12" s="558"/>
      <c r="B12" s="3044" t="s">
        <v>138</v>
      </c>
      <c r="C12" s="3045"/>
      <c r="D12" s="3046">
        <f>SUM(D5:D11)</f>
        <v>3</v>
      </c>
      <c r="E12" s="157">
        <f>SUM(C12:D12)</f>
        <v>3</v>
      </c>
      <c r="F12" s="3045" t="s">
        <v>138</v>
      </c>
      <c r="G12" s="3045">
        <f>SUM(G5:G11)</f>
        <v>2</v>
      </c>
      <c r="H12" s="3046">
        <f>SUM(H5:H11)</f>
        <v>2</v>
      </c>
      <c r="I12" s="157">
        <f>SUM(I5:I11)</f>
        <v>4</v>
      </c>
      <c r="J12" s="3045"/>
      <c r="K12" s="3046"/>
      <c r="L12" s="157"/>
      <c r="M12" s="3045"/>
      <c r="N12" s="3046"/>
      <c r="O12" s="157"/>
      <c r="P12" s="3045">
        <f>SUM(P5:P11)</f>
        <v>1</v>
      </c>
      <c r="Q12" s="3046">
        <f>SUM(Q5:Q11)</f>
        <v>3</v>
      </c>
      <c r="R12" s="157">
        <f>SUM(R5:R11)</f>
        <v>4</v>
      </c>
      <c r="S12" s="3045">
        <f>SUM(S5:S11)</f>
        <v>2</v>
      </c>
      <c r="T12" s="3046">
        <f>SUM(T5:T11)</f>
        <v>3</v>
      </c>
      <c r="U12" s="157">
        <f t="shared" si="0"/>
        <v>5</v>
      </c>
      <c r="V12" s="3045">
        <f>SUM(V5:V11)</f>
        <v>1</v>
      </c>
      <c r="W12" s="3046">
        <f>SUM(W5:W11)</f>
        <v>3</v>
      </c>
      <c r="X12" s="157">
        <f t="shared" ref="X12:X20" si="2">SUM(V12:W12)</f>
        <v>4</v>
      </c>
      <c r="Y12" s="3045"/>
      <c r="Z12" s="3046"/>
      <c r="AA12" s="157"/>
    </row>
    <row r="13" spans="1:27" ht="14.4" x14ac:dyDescent="0.3">
      <c r="A13" s="558"/>
      <c r="B13" s="6140" t="s">
        <v>64</v>
      </c>
      <c r="C13" s="3022"/>
      <c r="D13" s="3024">
        <v>1</v>
      </c>
      <c r="E13" s="3040">
        <f>SUM(C13:D13)</f>
        <v>1</v>
      </c>
      <c r="F13" s="3041" t="s">
        <v>107</v>
      </c>
      <c r="G13" s="3022">
        <v>1</v>
      </c>
      <c r="H13" s="3024">
        <v>1</v>
      </c>
      <c r="I13" s="3040">
        <f t="shared" si="1"/>
        <v>2</v>
      </c>
      <c r="J13" s="3022">
        <v>1</v>
      </c>
      <c r="K13" s="3024"/>
      <c r="L13" s="3040">
        <f t="shared" ref="L13:L19" si="3">SUM(J13:K13)</f>
        <v>1</v>
      </c>
      <c r="M13" s="3022"/>
      <c r="N13" s="3024"/>
      <c r="O13" s="3040"/>
      <c r="P13" s="3022"/>
      <c r="Q13" s="3024"/>
      <c r="R13" s="3040"/>
      <c r="S13" s="3022"/>
      <c r="T13" s="3024"/>
      <c r="U13" s="3040"/>
      <c r="V13" s="3022"/>
      <c r="W13" s="3024"/>
      <c r="X13" s="3040"/>
      <c r="Y13" s="3022"/>
      <c r="Z13" s="3024"/>
      <c r="AA13" s="3040"/>
    </row>
    <row r="14" spans="1:27" ht="14.4" x14ac:dyDescent="0.3">
      <c r="A14" s="558"/>
      <c r="B14" s="6130"/>
      <c r="C14" s="5346"/>
      <c r="D14" s="2630"/>
      <c r="E14" s="5345"/>
      <c r="F14" s="3061" t="s">
        <v>1601</v>
      </c>
      <c r="G14" s="5346"/>
      <c r="H14" s="2630"/>
      <c r="I14" s="5345"/>
      <c r="J14" s="5346"/>
      <c r="K14" s="2630"/>
      <c r="L14" s="5345"/>
      <c r="M14" s="5346"/>
      <c r="N14" s="2630"/>
      <c r="O14" s="5345"/>
      <c r="P14" s="5346"/>
      <c r="Q14" s="2630"/>
      <c r="R14" s="5345"/>
      <c r="S14" s="5346"/>
      <c r="T14" s="2630"/>
      <c r="U14" s="5345"/>
      <c r="V14" s="5346"/>
      <c r="W14" s="2630"/>
      <c r="X14" s="5345"/>
      <c r="Y14" s="5532"/>
      <c r="Z14" s="2630">
        <v>1</v>
      </c>
      <c r="AA14" s="5531">
        <f>SUM(Y14:Z14)</f>
        <v>1</v>
      </c>
    </row>
    <row r="15" spans="1:27" ht="14.4" x14ac:dyDescent="0.3">
      <c r="A15" s="558"/>
      <c r="B15" s="3047"/>
      <c r="C15" s="2648"/>
      <c r="D15" s="2630"/>
      <c r="E15" s="3042"/>
      <c r="F15" s="3043" t="s">
        <v>746</v>
      </c>
      <c r="G15" s="2648"/>
      <c r="H15" s="2630">
        <v>1</v>
      </c>
      <c r="I15" s="3042">
        <f t="shared" si="1"/>
        <v>1</v>
      </c>
      <c r="J15" s="2648"/>
      <c r="K15" s="2630">
        <v>1</v>
      </c>
      <c r="L15" s="3042">
        <f t="shared" si="3"/>
        <v>1</v>
      </c>
      <c r="M15" s="2648"/>
      <c r="N15" s="2630"/>
      <c r="O15" s="3042"/>
      <c r="P15" s="2648"/>
      <c r="Q15" s="2630"/>
      <c r="R15" s="3042"/>
      <c r="S15" s="2648"/>
      <c r="T15" s="2630"/>
      <c r="U15" s="3042"/>
      <c r="V15" s="4676"/>
      <c r="W15" s="2630"/>
      <c r="X15" s="4679"/>
      <c r="Y15" s="5532"/>
      <c r="Z15" s="2630"/>
      <c r="AA15" s="5531"/>
    </row>
    <row r="16" spans="1:27" ht="14.4" x14ac:dyDescent="0.3">
      <c r="A16" s="558"/>
      <c r="B16" s="3047" t="s">
        <v>111</v>
      </c>
      <c r="C16" s="2632"/>
      <c r="D16" s="2634"/>
      <c r="E16" s="154"/>
      <c r="F16" s="3043" t="s">
        <v>747</v>
      </c>
      <c r="G16" s="2632">
        <v>1</v>
      </c>
      <c r="H16" s="2634"/>
      <c r="I16" s="3042">
        <f t="shared" si="1"/>
        <v>1</v>
      </c>
      <c r="J16" s="2632">
        <v>1</v>
      </c>
      <c r="K16" s="2634"/>
      <c r="L16" s="3042">
        <f t="shared" si="3"/>
        <v>1</v>
      </c>
      <c r="M16" s="2632"/>
      <c r="N16" s="2634"/>
      <c r="O16" s="3042"/>
      <c r="P16" s="2632"/>
      <c r="Q16" s="2634"/>
      <c r="R16" s="3042"/>
      <c r="S16" s="2632"/>
      <c r="T16" s="2634"/>
      <c r="U16" s="3042"/>
      <c r="V16" s="4677"/>
      <c r="W16" s="2634"/>
      <c r="X16" s="4679"/>
      <c r="Y16" s="5533"/>
      <c r="Z16" s="2634"/>
      <c r="AA16" s="5531"/>
    </row>
    <row r="17" spans="1:27" ht="14.4" x14ac:dyDescent="0.3">
      <c r="A17" s="558"/>
      <c r="B17" s="3047"/>
      <c r="C17" s="3048"/>
      <c r="D17" s="3049"/>
      <c r="E17" s="3050"/>
      <c r="F17" s="3043" t="s">
        <v>748</v>
      </c>
      <c r="G17" s="3048"/>
      <c r="H17" s="3049">
        <v>2</v>
      </c>
      <c r="I17" s="3042">
        <f t="shared" si="1"/>
        <v>2</v>
      </c>
      <c r="J17" s="3048"/>
      <c r="K17" s="3049">
        <v>1</v>
      </c>
      <c r="L17" s="3042">
        <f t="shared" si="3"/>
        <v>1</v>
      </c>
      <c r="M17" s="3048"/>
      <c r="N17" s="3049"/>
      <c r="O17" s="3042"/>
      <c r="P17" s="3048"/>
      <c r="Q17" s="3049"/>
      <c r="R17" s="3042"/>
      <c r="S17" s="3048">
        <v>1</v>
      </c>
      <c r="T17" s="3049">
        <v>1</v>
      </c>
      <c r="U17" s="3042">
        <f t="shared" si="0"/>
        <v>2</v>
      </c>
      <c r="V17" s="3048"/>
      <c r="W17" s="3049"/>
      <c r="X17" s="4679"/>
      <c r="Y17" s="3048"/>
      <c r="Z17" s="3049"/>
      <c r="AA17" s="5531"/>
    </row>
    <row r="18" spans="1:27" ht="14.4" x14ac:dyDescent="0.3">
      <c r="A18" s="558"/>
      <c r="B18" s="3047"/>
      <c r="C18" s="3048"/>
      <c r="D18" s="3049"/>
      <c r="E18" s="4779"/>
      <c r="F18" s="3054" t="s">
        <v>750</v>
      </c>
      <c r="G18" s="3052"/>
      <c r="H18" s="3053"/>
      <c r="I18" s="195"/>
      <c r="J18" s="3052"/>
      <c r="K18" s="3053"/>
      <c r="L18" s="195"/>
      <c r="M18" s="3052"/>
      <c r="N18" s="3053"/>
      <c r="O18" s="195"/>
      <c r="P18" s="3052"/>
      <c r="Q18" s="3053"/>
      <c r="R18" s="195"/>
      <c r="S18" s="3052"/>
      <c r="T18" s="3053"/>
      <c r="U18" s="154"/>
      <c r="V18" s="3052">
        <v>1</v>
      </c>
      <c r="W18" s="3053">
        <v>1</v>
      </c>
      <c r="X18" s="154">
        <f>SUM(V18:W18)</f>
        <v>2</v>
      </c>
      <c r="Y18" s="3052"/>
      <c r="Z18" s="3053"/>
      <c r="AA18" s="154"/>
    </row>
    <row r="19" spans="1:27" ht="14.4" x14ac:dyDescent="0.3">
      <c r="A19" s="558"/>
      <c r="B19" s="6129" t="s">
        <v>115</v>
      </c>
      <c r="C19" s="2632"/>
      <c r="D19" s="2634"/>
      <c r="E19" s="154"/>
      <c r="F19" s="3043" t="s">
        <v>749</v>
      </c>
      <c r="G19" s="2632">
        <v>1</v>
      </c>
      <c r="H19" s="2634">
        <v>1</v>
      </c>
      <c r="I19" s="154">
        <f t="shared" si="1"/>
        <v>2</v>
      </c>
      <c r="J19" s="2632">
        <v>1</v>
      </c>
      <c r="K19" s="2634"/>
      <c r="L19" s="154">
        <f t="shared" si="3"/>
        <v>1</v>
      </c>
      <c r="M19" s="2632"/>
      <c r="N19" s="2634"/>
      <c r="O19" s="154"/>
      <c r="P19" s="2632"/>
      <c r="Q19" s="2634"/>
      <c r="R19" s="154"/>
      <c r="S19" s="2632"/>
      <c r="T19" s="2634"/>
      <c r="U19" s="154"/>
      <c r="V19" s="4677"/>
      <c r="W19" s="2634"/>
      <c r="X19" s="154"/>
      <c r="Y19" s="5533"/>
      <c r="Z19" s="2634"/>
      <c r="AA19" s="154"/>
    </row>
    <row r="20" spans="1:27" ht="14.4" x14ac:dyDescent="0.3">
      <c r="A20" s="558"/>
      <c r="B20" s="6131"/>
      <c r="C20" s="3052"/>
      <c r="D20" s="3053"/>
      <c r="E20" s="4778"/>
      <c r="F20" s="3054" t="s">
        <v>1499</v>
      </c>
      <c r="G20" s="3052"/>
      <c r="H20" s="3053"/>
      <c r="I20" s="4778"/>
      <c r="J20" s="3052"/>
      <c r="K20" s="3053"/>
      <c r="L20" s="4778"/>
      <c r="M20" s="3052"/>
      <c r="N20" s="3053"/>
      <c r="O20" s="4778"/>
      <c r="P20" s="3052"/>
      <c r="Q20" s="3053"/>
      <c r="R20" s="4778"/>
      <c r="S20" s="3052"/>
      <c r="T20" s="3053"/>
      <c r="U20" s="4778"/>
      <c r="V20" s="3052"/>
      <c r="W20" s="3053">
        <v>1</v>
      </c>
      <c r="X20" s="154">
        <f t="shared" si="2"/>
        <v>1</v>
      </c>
      <c r="Y20" s="3052"/>
      <c r="Z20" s="3053">
        <v>3</v>
      </c>
      <c r="AA20" s="154">
        <f>SUM(Y20:Z20)</f>
        <v>3</v>
      </c>
    </row>
    <row r="21" spans="1:27" ht="14.4" x14ac:dyDescent="0.3">
      <c r="A21" s="558"/>
      <c r="B21" s="3055" t="s">
        <v>134</v>
      </c>
      <c r="C21" s="3056"/>
      <c r="D21" s="3057">
        <f>SUM(D13)</f>
        <v>1</v>
      </c>
      <c r="E21" s="166">
        <f>SUM(C21:D21)</f>
        <v>1</v>
      </c>
      <c r="F21" s="3056" t="s">
        <v>134</v>
      </c>
      <c r="G21" s="3056">
        <f t="shared" ref="G21:V21" si="4">SUM(G13:G19)</f>
        <v>3</v>
      </c>
      <c r="H21" s="3057">
        <f t="shared" si="4"/>
        <v>5</v>
      </c>
      <c r="I21" s="166">
        <f t="shared" si="4"/>
        <v>8</v>
      </c>
      <c r="J21" s="3056">
        <f t="shared" si="4"/>
        <v>3</v>
      </c>
      <c r="K21" s="3057">
        <f t="shared" si="4"/>
        <v>2</v>
      </c>
      <c r="L21" s="166">
        <f t="shared" si="4"/>
        <v>5</v>
      </c>
      <c r="M21" s="3056"/>
      <c r="N21" s="3057"/>
      <c r="O21" s="166"/>
      <c r="P21" s="3056"/>
      <c r="Q21" s="3057"/>
      <c r="R21" s="166"/>
      <c r="S21" s="3056">
        <f t="shared" si="4"/>
        <v>1</v>
      </c>
      <c r="T21" s="3057">
        <f t="shared" si="4"/>
        <v>1</v>
      </c>
      <c r="U21" s="166">
        <f t="shared" si="4"/>
        <v>2</v>
      </c>
      <c r="V21" s="3056">
        <f t="shared" si="4"/>
        <v>1</v>
      </c>
      <c r="W21" s="3057">
        <f>SUM(W13:W20)</f>
        <v>2</v>
      </c>
      <c r="X21" s="166">
        <f>SUM(X13:X20)</f>
        <v>3</v>
      </c>
      <c r="Y21" s="3056">
        <f>SUM(Y14:Y20)</f>
        <v>0</v>
      </c>
      <c r="Z21" s="3057">
        <f>SUM(Z14:Z20)</f>
        <v>4</v>
      </c>
      <c r="AA21" s="166">
        <f>SUM(AA14:AA20)</f>
        <v>4</v>
      </c>
    </row>
    <row r="22" spans="1:27" ht="14.4" x14ac:dyDescent="0.3">
      <c r="A22" s="558"/>
      <c r="B22" s="6135" t="s">
        <v>64</v>
      </c>
      <c r="C22" s="3022"/>
      <c r="D22" s="3024">
        <v>2</v>
      </c>
      <c r="E22" s="3040">
        <f>SUM(C22:D22)</f>
        <v>2</v>
      </c>
      <c r="F22" s="3041" t="s">
        <v>751</v>
      </c>
      <c r="G22" s="3022"/>
      <c r="H22" s="3024">
        <v>1</v>
      </c>
      <c r="I22" s="3040">
        <f>SUM(G22:H22)</f>
        <v>1</v>
      </c>
      <c r="J22" s="3022"/>
      <c r="K22" s="3024"/>
      <c r="L22" s="3040"/>
      <c r="M22" s="3022"/>
      <c r="N22" s="3024"/>
      <c r="O22" s="3040"/>
      <c r="P22" s="3022"/>
      <c r="Q22" s="3024"/>
      <c r="R22" s="3040"/>
      <c r="S22" s="3022"/>
      <c r="T22" s="3024"/>
      <c r="U22" s="3040"/>
      <c r="V22" s="3022"/>
      <c r="W22" s="3024"/>
      <c r="X22" s="3040"/>
      <c r="Y22" s="3022"/>
      <c r="Z22" s="3024"/>
      <c r="AA22" s="3040"/>
    </row>
    <row r="23" spans="1:27" ht="14.4" x14ac:dyDescent="0.3">
      <c r="A23" s="558"/>
      <c r="B23" s="6130"/>
      <c r="C23" s="2648"/>
      <c r="D23" s="2630"/>
      <c r="E23" s="3042"/>
      <c r="F23" s="3043" t="s">
        <v>62</v>
      </c>
      <c r="G23" s="2648"/>
      <c r="H23" s="2630">
        <v>1</v>
      </c>
      <c r="I23" s="3042">
        <f>SUM(G23:H23)</f>
        <v>1</v>
      </c>
      <c r="J23" s="2648"/>
      <c r="K23" s="2630"/>
      <c r="L23" s="3042"/>
      <c r="M23" s="2648"/>
      <c r="N23" s="2630"/>
      <c r="O23" s="3042"/>
      <c r="P23" s="2648"/>
      <c r="Q23" s="2630"/>
      <c r="R23" s="3042"/>
      <c r="S23" s="2648"/>
      <c r="T23" s="2630"/>
      <c r="U23" s="3042"/>
      <c r="V23" s="4676"/>
      <c r="W23" s="2630"/>
      <c r="X23" s="4679"/>
      <c r="Y23" s="5532"/>
      <c r="Z23" s="2630"/>
      <c r="AA23" s="5531"/>
    </row>
    <row r="24" spans="1:27" ht="14.4" x14ac:dyDescent="0.3">
      <c r="A24" s="558"/>
      <c r="B24" s="6131"/>
      <c r="C24" s="2632"/>
      <c r="D24" s="2634"/>
      <c r="E24" s="154"/>
      <c r="F24" s="3043" t="s">
        <v>63</v>
      </c>
      <c r="G24" s="2632">
        <v>1</v>
      </c>
      <c r="H24" s="2634"/>
      <c r="I24" s="3042">
        <f>SUM(G24:H24)</f>
        <v>1</v>
      </c>
      <c r="J24" s="2632"/>
      <c r="K24" s="2634"/>
      <c r="L24" s="3042"/>
      <c r="M24" s="2632"/>
      <c r="N24" s="2634"/>
      <c r="O24" s="3042"/>
      <c r="P24" s="2632"/>
      <c r="Q24" s="2634"/>
      <c r="R24" s="3042"/>
      <c r="S24" s="2632"/>
      <c r="T24" s="2634"/>
      <c r="U24" s="3042"/>
      <c r="V24" s="4677"/>
      <c r="W24" s="2634"/>
      <c r="X24" s="4679"/>
      <c r="Y24" s="5533"/>
      <c r="Z24" s="2634"/>
      <c r="AA24" s="5531"/>
    </row>
    <row r="25" spans="1:27" ht="14.4" x14ac:dyDescent="0.3">
      <c r="A25" s="558"/>
      <c r="B25" s="3058" t="s">
        <v>135</v>
      </c>
      <c r="C25" s="3059"/>
      <c r="D25" s="3060">
        <f>SUM(D22)</f>
        <v>2</v>
      </c>
      <c r="E25" s="174">
        <f>SUM(E22)</f>
        <v>2</v>
      </c>
      <c r="F25" s="3059" t="s">
        <v>135</v>
      </c>
      <c r="G25" s="3059">
        <f t="shared" ref="G25:I25" si="5">SUM(G22:G24)</f>
        <v>1</v>
      </c>
      <c r="H25" s="3060">
        <f t="shared" si="5"/>
        <v>2</v>
      </c>
      <c r="I25" s="174">
        <f t="shared" si="5"/>
        <v>3</v>
      </c>
      <c r="J25" s="3059"/>
      <c r="K25" s="3060"/>
      <c r="L25" s="174"/>
      <c r="M25" s="3059"/>
      <c r="N25" s="3060"/>
      <c r="O25" s="174"/>
      <c r="P25" s="3059"/>
      <c r="Q25" s="3060"/>
      <c r="R25" s="174"/>
      <c r="S25" s="3059"/>
      <c r="T25" s="3060"/>
      <c r="U25" s="174"/>
      <c r="V25" s="3059"/>
      <c r="W25" s="3060"/>
      <c r="X25" s="174"/>
      <c r="Y25" s="3059"/>
      <c r="Z25" s="3060"/>
      <c r="AA25" s="174"/>
    </row>
    <row r="26" spans="1:27" ht="14.4" x14ac:dyDescent="0.3">
      <c r="A26" s="558"/>
      <c r="B26" s="6135" t="s">
        <v>64</v>
      </c>
      <c r="C26" s="3022"/>
      <c r="D26" s="3024"/>
      <c r="E26" s="3040"/>
      <c r="F26" s="3041" t="s">
        <v>402</v>
      </c>
      <c r="G26" s="3022"/>
      <c r="H26" s="3024"/>
      <c r="I26" s="3040"/>
      <c r="J26" s="3022"/>
      <c r="K26" s="3024"/>
      <c r="L26" s="3040"/>
      <c r="M26" s="3022"/>
      <c r="N26" s="3024"/>
      <c r="O26" s="3040"/>
      <c r="P26" s="3022"/>
      <c r="Q26" s="3024"/>
      <c r="R26" s="3040"/>
      <c r="S26" s="3022">
        <v>1</v>
      </c>
      <c r="T26" s="3024"/>
      <c r="U26" s="3042">
        <f>SUM(S26:T26)</f>
        <v>1</v>
      </c>
      <c r="V26" s="3022"/>
      <c r="W26" s="3024"/>
      <c r="X26" s="4679"/>
      <c r="Y26" s="3022"/>
      <c r="Z26" s="3024"/>
      <c r="AA26" s="5531"/>
    </row>
    <row r="27" spans="1:27" ht="14.4" x14ac:dyDescent="0.3">
      <c r="A27" s="558"/>
      <c r="B27" s="6130"/>
      <c r="C27" s="4781"/>
      <c r="D27" s="2630"/>
      <c r="E27" s="4780"/>
      <c r="F27" s="3061" t="s">
        <v>378</v>
      </c>
      <c r="G27" s="4781"/>
      <c r="H27" s="2630"/>
      <c r="I27" s="4780"/>
      <c r="J27" s="4781"/>
      <c r="K27" s="2630"/>
      <c r="L27" s="4780"/>
      <c r="M27" s="4781"/>
      <c r="N27" s="2630"/>
      <c r="O27" s="4780"/>
      <c r="P27" s="4781"/>
      <c r="Q27" s="2630"/>
      <c r="R27" s="4780"/>
      <c r="S27" s="4781"/>
      <c r="T27" s="2630"/>
      <c r="U27" s="4780"/>
      <c r="V27" s="4781">
        <v>1</v>
      </c>
      <c r="W27" s="2630"/>
      <c r="X27" s="4780">
        <f t="shared" ref="X27:X30" si="6">SUM(V27:W27)</f>
        <v>1</v>
      </c>
      <c r="Y27" s="5532"/>
      <c r="Z27" s="2630"/>
      <c r="AA27" s="5531"/>
    </row>
    <row r="28" spans="1:27" ht="14.4" x14ac:dyDescent="0.3">
      <c r="A28" s="558"/>
      <c r="B28" s="6131"/>
      <c r="C28" s="2648">
        <v>1</v>
      </c>
      <c r="D28" s="2630">
        <v>1</v>
      </c>
      <c r="E28" s="3042">
        <f>SUM(C28:D28)</f>
        <v>2</v>
      </c>
      <c r="F28" s="3043" t="s">
        <v>64</v>
      </c>
      <c r="G28" s="2648"/>
      <c r="H28" s="2630"/>
      <c r="I28" s="3042"/>
      <c r="J28" s="2648"/>
      <c r="K28" s="2630"/>
      <c r="L28" s="3042"/>
      <c r="M28" s="2648"/>
      <c r="N28" s="2630">
        <v>2</v>
      </c>
      <c r="O28" s="3042">
        <f>SUM(M28:N28)</f>
        <v>2</v>
      </c>
      <c r="P28" s="2648">
        <v>1</v>
      </c>
      <c r="Q28" s="2630">
        <v>3</v>
      </c>
      <c r="R28" s="3042">
        <f>SUM(P28:Q28)</f>
        <v>4</v>
      </c>
      <c r="S28" s="2648"/>
      <c r="T28" s="2630"/>
      <c r="U28" s="3042"/>
      <c r="V28" s="4676"/>
      <c r="W28" s="2630"/>
      <c r="X28" s="4679"/>
      <c r="Y28" s="5532"/>
      <c r="Z28" s="2630"/>
      <c r="AA28" s="5531"/>
    </row>
    <row r="29" spans="1:27" ht="14.4" x14ac:dyDescent="0.3">
      <c r="A29" s="558"/>
      <c r="B29" s="6129" t="s">
        <v>92</v>
      </c>
      <c r="C29" s="2648"/>
      <c r="D29" s="2630"/>
      <c r="E29" s="3042"/>
      <c r="F29" s="3061" t="s">
        <v>752</v>
      </c>
      <c r="G29" s="2648"/>
      <c r="H29" s="2630"/>
      <c r="I29" s="3042"/>
      <c r="J29" s="2648"/>
      <c r="K29" s="2630"/>
      <c r="L29" s="3042"/>
      <c r="M29" s="2648"/>
      <c r="N29" s="2630"/>
      <c r="O29" s="3042"/>
      <c r="P29" s="2648"/>
      <c r="Q29" s="2630"/>
      <c r="R29" s="3050"/>
      <c r="S29" s="2648"/>
      <c r="T29" s="2630">
        <v>2</v>
      </c>
      <c r="U29" s="3042">
        <f>SUM(S29:T29)</f>
        <v>2</v>
      </c>
      <c r="V29" s="4676"/>
      <c r="W29" s="2630"/>
      <c r="X29" s="4679"/>
      <c r="Y29" s="5532"/>
      <c r="Z29" s="2630"/>
      <c r="AA29" s="5531"/>
    </row>
    <row r="30" spans="1:27" ht="14.4" x14ac:dyDescent="0.3">
      <c r="A30" s="558"/>
      <c r="B30" s="6130"/>
      <c r="C30" s="4781"/>
      <c r="D30" s="2630"/>
      <c r="E30" s="4780"/>
      <c r="F30" s="3061" t="s">
        <v>413</v>
      </c>
      <c r="G30" s="4781"/>
      <c r="H30" s="2630"/>
      <c r="I30" s="4780"/>
      <c r="J30" s="4781"/>
      <c r="K30" s="2630"/>
      <c r="L30" s="4780"/>
      <c r="M30" s="4781"/>
      <c r="N30" s="2630"/>
      <c r="O30" s="4780"/>
      <c r="P30" s="4781"/>
      <c r="Q30" s="2630"/>
      <c r="R30" s="4779"/>
      <c r="S30" s="4781"/>
      <c r="T30" s="2630"/>
      <c r="U30" s="4780"/>
      <c r="V30" s="4781"/>
      <c r="W30" s="2630">
        <v>1</v>
      </c>
      <c r="X30" s="4780">
        <f t="shared" si="6"/>
        <v>1</v>
      </c>
      <c r="Y30" s="5532"/>
      <c r="Z30" s="2630">
        <v>1</v>
      </c>
      <c r="AA30" s="5531">
        <f>SUM(Y30:Z30)</f>
        <v>1</v>
      </c>
    </row>
    <row r="31" spans="1:27" ht="14.4" x14ac:dyDescent="0.3">
      <c r="A31" s="558"/>
      <c r="B31" s="6131"/>
      <c r="C31" s="2632">
        <v>1</v>
      </c>
      <c r="D31" s="2634"/>
      <c r="E31" s="154">
        <f>SUM(C31:D31)</f>
        <v>1</v>
      </c>
      <c r="F31" s="3043" t="s">
        <v>92</v>
      </c>
      <c r="G31" s="2632"/>
      <c r="H31" s="2634"/>
      <c r="I31" s="154"/>
      <c r="J31" s="2632"/>
      <c r="K31" s="2634"/>
      <c r="L31" s="154"/>
      <c r="M31" s="2632">
        <v>1</v>
      </c>
      <c r="N31" s="2634"/>
      <c r="O31" s="154">
        <f>SUM(M31:N31)</f>
        <v>1</v>
      </c>
      <c r="P31" s="2632">
        <v>3</v>
      </c>
      <c r="Q31" s="2634">
        <v>2</v>
      </c>
      <c r="R31" s="195">
        <f>SUM(P31:Q31)</f>
        <v>5</v>
      </c>
      <c r="S31" s="2632"/>
      <c r="T31" s="2634"/>
      <c r="U31" s="3042"/>
      <c r="V31" s="4677"/>
      <c r="W31" s="2634"/>
      <c r="X31" s="4679"/>
      <c r="Y31" s="5533"/>
      <c r="Z31" s="2634"/>
      <c r="AA31" s="5531"/>
    </row>
    <row r="32" spans="1:27" ht="14.4" x14ac:dyDescent="0.3">
      <c r="A32" s="558"/>
      <c r="B32" s="3051" t="s">
        <v>68</v>
      </c>
      <c r="C32" s="3052"/>
      <c r="D32" s="3053"/>
      <c r="E32" s="195"/>
      <c r="F32" s="3054" t="s">
        <v>753</v>
      </c>
      <c r="G32" s="3052">
        <v>1</v>
      </c>
      <c r="H32" s="3053"/>
      <c r="I32" s="195">
        <f>SUM(G32:H32)</f>
        <v>1</v>
      </c>
      <c r="J32" s="3052"/>
      <c r="K32" s="3053"/>
      <c r="L32" s="195"/>
      <c r="M32" s="3052"/>
      <c r="N32" s="3053"/>
      <c r="O32" s="195"/>
      <c r="P32" s="3052"/>
      <c r="Q32" s="3053"/>
      <c r="R32" s="195"/>
      <c r="S32" s="3052"/>
      <c r="T32" s="3053"/>
      <c r="U32" s="195"/>
      <c r="V32" s="3052"/>
      <c r="W32" s="3053"/>
      <c r="X32" s="4678"/>
      <c r="Y32" s="3052"/>
      <c r="Z32" s="3053"/>
      <c r="AA32" s="5530"/>
    </row>
    <row r="33" spans="1:27" ht="14.4" x14ac:dyDescent="0.3">
      <c r="A33" s="558"/>
      <c r="B33" s="3062" t="s">
        <v>137</v>
      </c>
      <c r="C33" s="3063">
        <f>SUM(C28:C31)</f>
        <v>2</v>
      </c>
      <c r="D33" s="3064">
        <f>SUM(D28:D31)</f>
        <v>1</v>
      </c>
      <c r="E33" s="188">
        <f>SUM(E28:E31)</f>
        <v>3</v>
      </c>
      <c r="F33" s="3065" t="s">
        <v>137</v>
      </c>
      <c r="G33" s="3063">
        <f t="shared" ref="G33:R33" si="7">SUM(G28:G32)</f>
        <v>1</v>
      </c>
      <c r="H33" s="3064">
        <f t="shared" si="7"/>
        <v>0</v>
      </c>
      <c r="I33" s="188">
        <f t="shared" si="7"/>
        <v>1</v>
      </c>
      <c r="J33" s="3063"/>
      <c r="K33" s="3064"/>
      <c r="L33" s="188"/>
      <c r="M33" s="3063">
        <f t="shared" si="7"/>
        <v>1</v>
      </c>
      <c r="N33" s="3064">
        <f t="shared" si="7"/>
        <v>2</v>
      </c>
      <c r="O33" s="188">
        <f t="shared" si="7"/>
        <v>3</v>
      </c>
      <c r="P33" s="3063">
        <f t="shared" si="7"/>
        <v>4</v>
      </c>
      <c r="Q33" s="3064">
        <f t="shared" si="7"/>
        <v>5</v>
      </c>
      <c r="R33" s="188">
        <f t="shared" si="7"/>
        <v>9</v>
      </c>
      <c r="S33" s="3063">
        <f>SUM(S26:S32)</f>
        <v>1</v>
      </c>
      <c r="T33" s="3064">
        <f>SUM(T28:T32)</f>
        <v>2</v>
      </c>
      <c r="U33" s="188">
        <f t="shared" ref="U33:AA33" si="8">SUM(U26:U32)</f>
        <v>3</v>
      </c>
      <c r="V33" s="3063">
        <f t="shared" si="8"/>
        <v>1</v>
      </c>
      <c r="W33" s="3064">
        <f t="shared" si="8"/>
        <v>1</v>
      </c>
      <c r="X33" s="188">
        <f t="shared" si="8"/>
        <v>2</v>
      </c>
      <c r="Y33" s="3063">
        <f t="shared" si="8"/>
        <v>0</v>
      </c>
      <c r="Z33" s="3064">
        <f t="shared" si="8"/>
        <v>1</v>
      </c>
      <c r="AA33" s="188">
        <f t="shared" si="8"/>
        <v>1</v>
      </c>
    </row>
    <row r="35" spans="1:27" ht="20.100000000000001" customHeight="1" x14ac:dyDescent="0.3">
      <c r="A35" s="558"/>
      <c r="B35" s="558"/>
      <c r="C35" s="3034">
        <f>SUM(C12,C21,C25,C33)</f>
        <v>2</v>
      </c>
      <c r="D35" s="3036">
        <f>SUM(D12,D21,D25,D33)</f>
        <v>7</v>
      </c>
      <c r="E35" s="2863">
        <f>SUM(E12,E21,E25,E33)</f>
        <v>9</v>
      </c>
      <c r="F35" s="3066" t="s">
        <v>431</v>
      </c>
      <c r="G35" s="3034">
        <f t="shared" ref="G35:X35" si="9">SUM(G12,G21,G25,G33)</f>
        <v>7</v>
      </c>
      <c r="H35" s="3036">
        <f t="shared" si="9"/>
        <v>9</v>
      </c>
      <c r="I35" s="2863">
        <f t="shared" si="9"/>
        <v>16</v>
      </c>
      <c r="J35" s="3034">
        <f t="shared" si="9"/>
        <v>3</v>
      </c>
      <c r="K35" s="3036">
        <f t="shared" si="9"/>
        <v>2</v>
      </c>
      <c r="L35" s="2863">
        <f t="shared" si="9"/>
        <v>5</v>
      </c>
      <c r="M35" s="3034">
        <f t="shared" si="9"/>
        <v>1</v>
      </c>
      <c r="N35" s="3036">
        <f t="shared" si="9"/>
        <v>2</v>
      </c>
      <c r="O35" s="2863">
        <f t="shared" si="9"/>
        <v>3</v>
      </c>
      <c r="P35" s="3034">
        <f t="shared" si="9"/>
        <v>5</v>
      </c>
      <c r="Q35" s="3036">
        <f t="shared" si="9"/>
        <v>8</v>
      </c>
      <c r="R35" s="2863">
        <f t="shared" si="9"/>
        <v>13</v>
      </c>
      <c r="S35" s="3034">
        <f t="shared" si="9"/>
        <v>4</v>
      </c>
      <c r="T35" s="3036">
        <f t="shared" si="9"/>
        <v>6</v>
      </c>
      <c r="U35" s="2863">
        <f t="shared" si="9"/>
        <v>10</v>
      </c>
      <c r="V35" s="3034">
        <f t="shared" si="9"/>
        <v>3</v>
      </c>
      <c r="W35" s="3036">
        <f t="shared" si="9"/>
        <v>6</v>
      </c>
      <c r="X35" s="4680">
        <f t="shared" si="9"/>
        <v>9</v>
      </c>
      <c r="Y35" s="3034">
        <f>SUM(Y12,Y21,Y25,Y33)</f>
        <v>0</v>
      </c>
      <c r="Z35" s="3036">
        <f t="shared" ref="Z35:AA35" si="10">SUM(Z12,Z21,Z25,Z33)</f>
        <v>5</v>
      </c>
      <c r="AA35" s="5638">
        <f t="shared" si="10"/>
        <v>5</v>
      </c>
    </row>
    <row r="36" spans="1:27" ht="14.4" x14ac:dyDescent="0.3">
      <c r="A36" s="558"/>
      <c r="B36" s="558"/>
      <c r="C36" s="558" t="s">
        <v>739</v>
      </c>
    </row>
    <row r="37" spans="1:27" ht="14.4" x14ac:dyDescent="0.3">
      <c r="A37" s="558"/>
      <c r="B37" s="558"/>
      <c r="S37" s="3067"/>
      <c r="T37" s="3067"/>
      <c r="U37" s="3067"/>
      <c r="V37" s="3068"/>
    </row>
    <row r="38" spans="1:27" ht="14.4" x14ac:dyDescent="0.3">
      <c r="A38" s="558"/>
      <c r="B38" s="558"/>
      <c r="S38" s="6132"/>
      <c r="T38" s="6132"/>
      <c r="U38" s="6132"/>
    </row>
    <row r="39" spans="1:27" ht="14.4" x14ac:dyDescent="0.3">
      <c r="A39" s="558"/>
      <c r="B39" s="558"/>
      <c r="O39" s="3069"/>
      <c r="S39" s="3070"/>
      <c r="T39" s="3070"/>
      <c r="U39" s="3070"/>
    </row>
    <row r="40" spans="1:27" ht="14.4" x14ac:dyDescent="0.3">
      <c r="A40" s="558"/>
      <c r="B40" s="558"/>
      <c r="S40" s="3070"/>
      <c r="T40" s="3070"/>
      <c r="U40" s="3070"/>
    </row>
    <row r="41" spans="1:27" ht="14.4" x14ac:dyDescent="0.3">
      <c r="A41" s="558"/>
      <c r="B41" s="558"/>
      <c r="S41" s="3070"/>
      <c r="T41" s="3070"/>
      <c r="U41" s="3070"/>
    </row>
    <row r="42" spans="1:27" ht="14.4" x14ac:dyDescent="0.3">
      <c r="A42" s="558"/>
      <c r="B42" s="558"/>
      <c r="S42" s="3070"/>
      <c r="T42" s="3070"/>
      <c r="U42" s="3070"/>
    </row>
    <row r="43" spans="1:27" ht="14.4" x14ac:dyDescent="0.3">
      <c r="A43" s="558"/>
      <c r="B43" s="558"/>
      <c r="S43" s="3070"/>
      <c r="T43" s="3070"/>
      <c r="U43" s="3070"/>
    </row>
    <row r="44" spans="1:27" ht="14.4" x14ac:dyDescent="0.3">
      <c r="A44" s="558"/>
      <c r="B44" s="558"/>
      <c r="S44" s="3070"/>
      <c r="T44" s="3070"/>
      <c r="U44" s="3070"/>
    </row>
    <row r="45" spans="1:27" ht="14.4" x14ac:dyDescent="0.3">
      <c r="A45" s="558"/>
      <c r="B45" s="558"/>
      <c r="S45" s="3070"/>
      <c r="T45" s="3070"/>
      <c r="U45" s="3070"/>
    </row>
    <row r="46" spans="1:27" ht="14.4" x14ac:dyDescent="0.3">
      <c r="A46" s="558"/>
      <c r="B46" s="558"/>
      <c r="S46" s="3070"/>
      <c r="T46" s="3070"/>
      <c r="U46" s="3070"/>
    </row>
    <row r="47" spans="1:27" ht="14.4" x14ac:dyDescent="0.3">
      <c r="A47" s="558"/>
      <c r="B47" s="558"/>
    </row>
    <row r="48" spans="1:27" ht="14.4" x14ac:dyDescent="0.3">
      <c r="A48" s="558"/>
      <c r="B48" s="558"/>
    </row>
    <row r="49" spans="1:2" ht="14.4" x14ac:dyDescent="0.3">
      <c r="A49" s="558"/>
      <c r="B49" s="558"/>
    </row>
    <row r="50" spans="1:2" ht="14.4" x14ac:dyDescent="0.3">
      <c r="A50" s="558"/>
      <c r="B50" s="558"/>
    </row>
    <row r="51" spans="1:2" ht="14.4" x14ac:dyDescent="0.3">
      <c r="A51" s="558"/>
      <c r="B51" s="558"/>
    </row>
    <row r="52" spans="1:2" ht="14.4" x14ac:dyDescent="0.3">
      <c r="A52" s="558"/>
      <c r="B52" s="558"/>
    </row>
    <row r="53" spans="1:2" ht="14.4" x14ac:dyDescent="0.3">
      <c r="A53" s="558"/>
      <c r="B53" s="558"/>
    </row>
    <row r="54" spans="1:2" ht="14.4" x14ac:dyDescent="0.3">
      <c r="A54" s="558"/>
      <c r="B54" s="558"/>
    </row>
    <row r="55" spans="1:2" ht="14.4" x14ac:dyDescent="0.3">
      <c r="A55" s="558"/>
      <c r="B55" s="558"/>
    </row>
    <row r="56" spans="1:2" ht="14.4" x14ac:dyDescent="0.3">
      <c r="A56" s="558"/>
      <c r="B56" s="558"/>
    </row>
    <row r="57" spans="1:2" ht="14.4" x14ac:dyDescent="0.3">
      <c r="A57" s="558"/>
      <c r="B57" s="558"/>
    </row>
    <row r="58" spans="1:2" ht="14.4" x14ac:dyDescent="0.3">
      <c r="A58" s="558"/>
      <c r="B58" s="558"/>
    </row>
    <row r="59" spans="1:2" ht="14.4" x14ac:dyDescent="0.3">
      <c r="A59" s="558"/>
      <c r="B59" s="558"/>
    </row>
    <row r="60" spans="1:2" ht="14.4" x14ac:dyDescent="0.3">
      <c r="A60" s="558"/>
      <c r="B60" s="558"/>
    </row>
    <row r="61" spans="1:2" ht="14.4" x14ac:dyDescent="0.3">
      <c r="A61" s="558"/>
      <c r="B61" s="558"/>
    </row>
    <row r="62" spans="1:2" ht="14.4" x14ac:dyDescent="0.3">
      <c r="A62" s="558"/>
      <c r="B62" s="558"/>
    </row>
    <row r="63" spans="1:2" ht="14.4" x14ac:dyDescent="0.3">
      <c r="A63" s="558"/>
      <c r="B63" s="558"/>
    </row>
    <row r="64" spans="1:2" ht="14.4" x14ac:dyDescent="0.3">
      <c r="A64" s="558"/>
      <c r="B64" s="558"/>
    </row>
    <row r="65" spans="1:2" ht="14.4" x14ac:dyDescent="0.3">
      <c r="A65" s="558"/>
      <c r="B65" s="558"/>
    </row>
    <row r="66" spans="1:2" ht="14.4" x14ac:dyDescent="0.3">
      <c r="A66" s="558"/>
      <c r="B66" s="558"/>
    </row>
    <row r="67" spans="1:2" ht="14.4" x14ac:dyDescent="0.3">
      <c r="A67" s="558"/>
      <c r="B67" s="558"/>
    </row>
    <row r="68" spans="1:2" ht="14.4" x14ac:dyDescent="0.3">
      <c r="A68" s="558"/>
      <c r="B68" s="558"/>
    </row>
    <row r="69" spans="1:2" ht="14.4" x14ac:dyDescent="0.3">
      <c r="A69" s="558"/>
      <c r="B69" s="558"/>
    </row>
    <row r="70" spans="1:2" ht="14.4" x14ac:dyDescent="0.3">
      <c r="A70" s="558"/>
      <c r="B70" s="558"/>
    </row>
    <row r="71" spans="1:2" ht="14.4" x14ac:dyDescent="0.3">
      <c r="A71" s="558"/>
      <c r="B71" s="558"/>
    </row>
    <row r="72" spans="1:2" ht="14.4" x14ac:dyDescent="0.3">
      <c r="A72" s="558"/>
      <c r="B72" s="558"/>
    </row>
    <row r="73" spans="1:2" ht="14.4" x14ac:dyDescent="0.3">
      <c r="A73" s="558"/>
      <c r="B73" s="558"/>
    </row>
    <row r="74" spans="1:2" ht="14.4" x14ac:dyDescent="0.3">
      <c r="A74" s="558"/>
      <c r="B74" s="558"/>
    </row>
  </sheetData>
  <mergeCells count="19">
    <mergeCell ref="B5:B6"/>
    <mergeCell ref="B8:B9"/>
    <mergeCell ref="B13:B14"/>
    <mergeCell ref="V3:X3"/>
    <mergeCell ref="B29:B31"/>
    <mergeCell ref="Y3:AA3"/>
    <mergeCell ref="S38:U38"/>
    <mergeCell ref="P3:R3"/>
    <mergeCell ref="S3:U3"/>
    <mergeCell ref="B10:B11"/>
    <mergeCell ref="B22:B24"/>
    <mergeCell ref="B26:B28"/>
    <mergeCell ref="B3:B4"/>
    <mergeCell ref="C3:E3"/>
    <mergeCell ref="F3:F4"/>
    <mergeCell ref="G3:I3"/>
    <mergeCell ref="J3:L3"/>
    <mergeCell ref="M3:O3"/>
    <mergeCell ref="B19:B2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72" firstPageNumber="126" orientation="landscape" useFirstPageNumber="1" r:id="rId1"/>
  <headerFooter scaleWithDoc="0" alignWithMargins="0">
    <oddFooter>&amp;R&amp;P</oddFooter>
  </headerFooter>
  <ignoredErrors>
    <ignoredError sqref="X21 I12" formula="1"/>
  </ignoredErrors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</sheetPr>
  <dimension ref="B1:E15"/>
  <sheetViews>
    <sheetView showGridLines="0" workbookViewId="0">
      <selection activeCell="F27" sqref="F27"/>
    </sheetView>
  </sheetViews>
  <sheetFormatPr baseColWidth="10" defaultRowHeight="13.2" x14ac:dyDescent="0.25"/>
  <cols>
    <col min="2" max="2" width="50.6640625" customWidth="1"/>
    <col min="3" max="3" width="8.5546875" bestFit="1" customWidth="1"/>
    <col min="4" max="4" width="9.44140625" bestFit="1" customWidth="1"/>
    <col min="5" max="5" width="8.6640625" customWidth="1"/>
  </cols>
  <sheetData>
    <row r="1" spans="2:5" ht="18" x14ac:dyDescent="0.35">
      <c r="B1" s="2624" t="s">
        <v>1605</v>
      </c>
    </row>
    <row r="2" spans="2:5" ht="14.4" x14ac:dyDescent="0.3">
      <c r="B2" s="558"/>
    </row>
    <row r="3" spans="2:5" ht="14.4" x14ac:dyDescent="0.25">
      <c r="B3" s="6141" t="s">
        <v>757</v>
      </c>
      <c r="C3" s="6142">
        <v>2022</v>
      </c>
      <c r="D3" s="6143"/>
      <c r="E3" s="6144"/>
    </row>
    <row r="4" spans="2:5" ht="27.6" x14ac:dyDescent="0.25">
      <c r="B4" s="6137"/>
      <c r="C4" s="4875" t="s">
        <v>140</v>
      </c>
      <c r="D4" s="4875" t="s">
        <v>141</v>
      </c>
      <c r="E4" s="2455" t="s">
        <v>48</v>
      </c>
    </row>
    <row r="5" spans="2:5" ht="14.4" x14ac:dyDescent="0.25">
      <c r="B5" s="5457" t="s">
        <v>490</v>
      </c>
      <c r="C5" s="3022"/>
      <c r="D5" s="4898">
        <v>1</v>
      </c>
      <c r="E5" s="4877">
        <f>SUM(C5:D5)</f>
        <v>1</v>
      </c>
    </row>
    <row r="6" spans="2:5" ht="14.4" x14ac:dyDescent="0.25">
      <c r="B6" s="5458" t="s">
        <v>64</v>
      </c>
      <c r="C6" s="5459"/>
      <c r="D6" s="5460">
        <f>SUM(D5)</f>
        <v>1</v>
      </c>
      <c r="E6" s="5461">
        <f>SUM(E5)</f>
        <v>1</v>
      </c>
    </row>
    <row r="7" spans="2:5" ht="14.4" x14ac:dyDescent="0.25">
      <c r="B7" s="5457" t="s">
        <v>1499</v>
      </c>
      <c r="C7" s="5347"/>
      <c r="D7" s="3076">
        <v>3</v>
      </c>
      <c r="E7" s="2641">
        <f>SUM(C7:D7)</f>
        <v>3</v>
      </c>
    </row>
    <row r="8" spans="2:5" ht="14.4" x14ac:dyDescent="0.25">
      <c r="B8" s="5462" t="s">
        <v>115</v>
      </c>
      <c r="C8" s="5463"/>
      <c r="D8" s="5464">
        <f>SUM(D7)</f>
        <v>3</v>
      </c>
      <c r="E8" s="5465">
        <f>SUM(E7)</f>
        <v>3</v>
      </c>
    </row>
    <row r="9" spans="2:5" ht="14.4" x14ac:dyDescent="0.25">
      <c r="B9" s="5487" t="s">
        <v>134</v>
      </c>
      <c r="C9" s="5466"/>
      <c r="D9" s="5468">
        <f>SUM(D8,D6)</f>
        <v>4</v>
      </c>
      <c r="E9" s="4889">
        <f>SUM(E8,E6)</f>
        <v>4</v>
      </c>
    </row>
    <row r="10" spans="2:5" ht="14.4" x14ac:dyDescent="0.25">
      <c r="B10" s="5467" t="s">
        <v>413</v>
      </c>
      <c r="C10" s="3022"/>
      <c r="D10" s="4898">
        <v>1</v>
      </c>
      <c r="E10" s="4877">
        <f>SUM(C10:D10)</f>
        <v>1</v>
      </c>
    </row>
    <row r="11" spans="2:5" ht="14.4" x14ac:dyDescent="0.25">
      <c r="B11" s="5458" t="s">
        <v>92</v>
      </c>
      <c r="C11" s="5459"/>
      <c r="D11" s="5460">
        <f>SUM(D10)</f>
        <v>1</v>
      </c>
      <c r="E11" s="5461">
        <f>SUM(E10)</f>
        <v>1</v>
      </c>
    </row>
    <row r="12" spans="2:5" ht="14.4" x14ac:dyDescent="0.25">
      <c r="B12" s="5422" t="s">
        <v>137</v>
      </c>
      <c r="C12" s="2659"/>
      <c r="D12" s="5469">
        <f>SUM(D11)</f>
        <v>1</v>
      </c>
      <c r="E12" s="4896">
        <f>SUM(E11)</f>
        <v>1</v>
      </c>
    </row>
    <row r="13" spans="2:5" ht="14.4" x14ac:dyDescent="0.3">
      <c r="B13" s="558"/>
      <c r="C13" s="558"/>
      <c r="D13" s="558"/>
      <c r="E13" s="558"/>
    </row>
    <row r="14" spans="2:5" ht="14.4" x14ac:dyDescent="0.25">
      <c r="B14" s="4900" t="s">
        <v>7</v>
      </c>
      <c r="C14" s="4900"/>
      <c r="D14" s="4901">
        <f>SUM(D12,D9)</f>
        <v>5</v>
      </c>
      <c r="E14" s="4902">
        <f>SUM(E9,E12)</f>
        <v>5</v>
      </c>
    </row>
    <row r="15" spans="2:5" x14ac:dyDescent="0.25">
      <c r="B15" s="3037" t="s">
        <v>739</v>
      </c>
    </row>
  </sheetData>
  <mergeCells count="2">
    <mergeCell ref="B3:B4"/>
    <mergeCell ref="C3:E3"/>
  </mergeCells>
  <printOptions horizontalCentered="1"/>
  <pageMargins left="0.70866141732283472" right="0.70866141732283472" top="0.74803149606299213" bottom="0.74803149606299213" header="0.31496062992125984" footer="0.31496062992125984"/>
  <pageSetup scale="80" firstPageNumber="127" orientation="landscape" useFirstPageNumber="1" r:id="rId1"/>
  <headerFooter>
    <oddFooter>&amp;R&amp;P</oddFooter>
  </headerFooter>
  <ignoredErrors>
    <ignoredError sqref="E6:E7" formula="1"/>
  </ignoredErrors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</sheetPr>
  <dimension ref="B1:O104"/>
  <sheetViews>
    <sheetView showGridLines="0" zoomScaleNormal="100" workbookViewId="0">
      <pane xSplit="3" ySplit="4" topLeftCell="D32" activePane="bottomRight" state="frozen"/>
      <selection activeCell="Q31" sqref="Q31"/>
      <selection pane="topRight" activeCell="Q31" sqref="Q31"/>
      <selection pane="bottomLeft" activeCell="Q31" sqref="Q31"/>
      <selection pane="bottomRight" activeCell="F113" sqref="F113"/>
    </sheetView>
  </sheetViews>
  <sheetFormatPr baseColWidth="10" defaultColWidth="10.88671875" defaultRowHeight="14.4" x14ac:dyDescent="0.3"/>
  <cols>
    <col min="1" max="1" width="5.88671875" style="558" customWidth="1"/>
    <col min="2" max="2" width="10.88671875" style="558"/>
    <col min="3" max="3" width="54.44140625" style="558" customWidth="1"/>
    <col min="4" max="4" width="9.109375" style="558" customWidth="1"/>
    <col min="5" max="5" width="9.44140625" style="558" customWidth="1"/>
    <col min="6" max="6" width="7.5546875" style="558" customWidth="1"/>
    <col min="7" max="7" width="9.109375" style="558" customWidth="1"/>
    <col min="8" max="8" width="9.44140625" style="558" customWidth="1"/>
    <col min="9" max="9" width="7.5546875" style="558" customWidth="1"/>
    <col min="10" max="10" width="9.109375" style="558" bestFit="1" customWidth="1"/>
    <col min="11" max="11" width="9.44140625" style="558" bestFit="1" customWidth="1"/>
    <col min="12" max="12" width="7.5546875" style="558" customWidth="1"/>
    <col min="13" max="30" width="9.88671875" style="558" customWidth="1"/>
    <col min="31" max="16384" width="10.88671875" style="558"/>
  </cols>
  <sheetData>
    <row r="1" spans="2:15" ht="18" x14ac:dyDescent="0.35">
      <c r="B1" s="2624" t="s">
        <v>1659</v>
      </c>
    </row>
    <row r="2" spans="2:15" ht="20.100000000000001" customHeight="1" x14ac:dyDescent="0.3"/>
    <row r="3" spans="2:15" x14ac:dyDescent="0.3">
      <c r="B3" s="6145" t="s">
        <v>597</v>
      </c>
      <c r="C3" s="6141" t="s">
        <v>757</v>
      </c>
      <c r="D3" s="6142">
        <v>2019</v>
      </c>
      <c r="E3" s="6143"/>
      <c r="F3" s="6144"/>
      <c r="G3" s="6142">
        <v>2020</v>
      </c>
      <c r="H3" s="6143"/>
      <c r="I3" s="6144"/>
      <c r="J3" s="6142">
        <v>2021</v>
      </c>
      <c r="K3" s="6143"/>
      <c r="L3" s="6144"/>
      <c r="M3" s="6142">
        <v>2022</v>
      </c>
      <c r="N3" s="6143"/>
      <c r="O3" s="6144"/>
    </row>
    <row r="4" spans="2:15" x14ac:dyDescent="0.3">
      <c r="B4" s="6146"/>
      <c r="C4" s="6137"/>
      <c r="D4" s="4875" t="s">
        <v>140</v>
      </c>
      <c r="E4" s="4875" t="s">
        <v>141</v>
      </c>
      <c r="F4" s="2455" t="s">
        <v>48</v>
      </c>
      <c r="G4" s="4875" t="s">
        <v>140</v>
      </c>
      <c r="H4" s="4875" t="s">
        <v>141</v>
      </c>
      <c r="I4" s="2455" t="s">
        <v>48</v>
      </c>
      <c r="J4" s="4875" t="s">
        <v>140</v>
      </c>
      <c r="K4" s="4875" t="s">
        <v>141</v>
      </c>
      <c r="L4" s="2455" t="s">
        <v>48</v>
      </c>
      <c r="M4" s="4875" t="s">
        <v>140</v>
      </c>
      <c r="N4" s="4875" t="s">
        <v>141</v>
      </c>
      <c r="O4" s="2455" t="s">
        <v>48</v>
      </c>
    </row>
    <row r="5" spans="2:15" x14ac:dyDescent="0.3">
      <c r="B5" s="4881" t="s">
        <v>754</v>
      </c>
      <c r="C5" s="4882" t="s">
        <v>1664</v>
      </c>
      <c r="D5" s="4857">
        <v>7</v>
      </c>
      <c r="E5" s="3083">
        <v>3</v>
      </c>
      <c r="F5" s="3071">
        <f>SUM(D5:E5)</f>
        <v>10</v>
      </c>
      <c r="G5" s="4857">
        <v>2</v>
      </c>
      <c r="H5" s="3083">
        <v>2</v>
      </c>
      <c r="I5" s="3071">
        <f>SUM(G5:H5)</f>
        <v>4</v>
      </c>
      <c r="J5" s="3022"/>
      <c r="K5" s="4876"/>
      <c r="L5" s="4877"/>
      <c r="M5" s="5346"/>
      <c r="N5" s="3083"/>
      <c r="O5" s="5440"/>
    </row>
    <row r="6" spans="2:15" x14ac:dyDescent="0.3">
      <c r="B6" s="2639" t="s">
        <v>754</v>
      </c>
      <c r="C6" s="4883" t="s">
        <v>1665</v>
      </c>
      <c r="D6" s="4677"/>
      <c r="E6" s="3074">
        <v>7</v>
      </c>
      <c r="F6" s="2640">
        <f t="shared" ref="F6:F98" si="0">SUM(D6:E6)</f>
        <v>7</v>
      </c>
      <c r="G6" s="4677">
        <v>5</v>
      </c>
      <c r="H6" s="3074">
        <v>5</v>
      </c>
      <c r="I6" s="2640">
        <f t="shared" ref="I6:I12" si="1">SUM(G6:H6)</f>
        <v>10</v>
      </c>
      <c r="J6" s="4858">
        <v>1</v>
      </c>
      <c r="K6" s="3074">
        <v>5</v>
      </c>
      <c r="L6" s="2641">
        <f t="shared" ref="L6:L13" si="2">SUM(J6:K6)</f>
        <v>6</v>
      </c>
      <c r="M6" s="5347"/>
      <c r="N6" s="3074"/>
      <c r="O6" s="5441"/>
    </row>
    <row r="7" spans="2:15" x14ac:dyDescent="0.3">
      <c r="B7" s="2639" t="s">
        <v>754</v>
      </c>
      <c r="C7" s="4883" t="s">
        <v>314</v>
      </c>
      <c r="D7" s="4677">
        <v>1</v>
      </c>
      <c r="E7" s="3074">
        <v>2</v>
      </c>
      <c r="F7" s="2640">
        <f t="shared" si="0"/>
        <v>3</v>
      </c>
      <c r="G7" s="4677">
        <v>3</v>
      </c>
      <c r="H7" s="3074">
        <v>2</v>
      </c>
      <c r="I7" s="2640">
        <f t="shared" si="1"/>
        <v>5</v>
      </c>
      <c r="J7" s="4858"/>
      <c r="K7" s="3074"/>
      <c r="L7" s="2641"/>
      <c r="M7" s="5347"/>
      <c r="N7" s="3074"/>
      <c r="O7" s="5441"/>
    </row>
    <row r="8" spans="2:15" x14ac:dyDescent="0.3">
      <c r="B8" s="2639" t="s">
        <v>754</v>
      </c>
      <c r="C8" s="4883" t="s">
        <v>312</v>
      </c>
      <c r="D8" s="4677">
        <v>3</v>
      </c>
      <c r="E8" s="3074">
        <v>10</v>
      </c>
      <c r="F8" s="2640">
        <f t="shared" si="0"/>
        <v>13</v>
      </c>
      <c r="G8" s="4677">
        <v>1</v>
      </c>
      <c r="H8" s="3074">
        <v>11</v>
      </c>
      <c r="I8" s="2640">
        <f t="shared" si="1"/>
        <v>12</v>
      </c>
      <c r="J8" s="4858"/>
      <c r="K8" s="3074"/>
      <c r="L8" s="2641"/>
      <c r="M8" s="5347"/>
      <c r="N8" s="3074"/>
      <c r="O8" s="5441"/>
    </row>
    <row r="9" spans="2:15" x14ac:dyDescent="0.3">
      <c r="B9" s="2639" t="s">
        <v>754</v>
      </c>
      <c r="C9" s="4883" t="s">
        <v>1666</v>
      </c>
      <c r="D9" s="4677"/>
      <c r="E9" s="3074"/>
      <c r="F9" s="2640"/>
      <c r="G9" s="4677"/>
      <c r="H9" s="3074">
        <v>6</v>
      </c>
      <c r="I9" s="2640">
        <f>SUM(G9:H9)</f>
        <v>6</v>
      </c>
      <c r="J9" s="4858"/>
      <c r="K9" s="3074"/>
      <c r="L9" s="2641"/>
      <c r="M9" s="5347"/>
      <c r="N9" s="3074"/>
      <c r="O9" s="5441"/>
    </row>
    <row r="10" spans="2:15" x14ac:dyDescent="0.3">
      <c r="B10" s="2639" t="s">
        <v>754</v>
      </c>
      <c r="C10" s="4883" t="s">
        <v>315</v>
      </c>
      <c r="D10" s="4677">
        <v>1</v>
      </c>
      <c r="E10" s="3074">
        <v>3</v>
      </c>
      <c r="F10" s="2640">
        <f t="shared" si="0"/>
        <v>4</v>
      </c>
      <c r="G10" s="4677"/>
      <c r="H10" s="3074">
        <v>2</v>
      </c>
      <c r="I10" s="2640">
        <f t="shared" si="1"/>
        <v>2</v>
      </c>
      <c r="J10" s="4858"/>
      <c r="K10" s="3074"/>
      <c r="L10" s="2641"/>
      <c r="M10" s="5347"/>
      <c r="N10" s="3074"/>
      <c r="O10" s="5441"/>
    </row>
    <row r="11" spans="2:15" x14ac:dyDescent="0.3">
      <c r="B11" s="2639" t="s">
        <v>755</v>
      </c>
      <c r="C11" s="4883" t="s">
        <v>321</v>
      </c>
      <c r="D11" s="4677"/>
      <c r="E11" s="3074">
        <v>1</v>
      </c>
      <c r="F11" s="2640">
        <f t="shared" si="0"/>
        <v>1</v>
      </c>
      <c r="G11" s="4677"/>
      <c r="H11" s="3074"/>
      <c r="I11" s="2640"/>
      <c r="J11" s="4858"/>
      <c r="K11" s="3074"/>
      <c r="L11" s="2641"/>
      <c r="M11" s="5347"/>
      <c r="N11" s="3074"/>
      <c r="O11" s="5441"/>
    </row>
    <row r="12" spans="2:15" x14ac:dyDescent="0.3">
      <c r="B12" s="2639" t="s">
        <v>755</v>
      </c>
      <c r="C12" s="2638" t="s">
        <v>1667</v>
      </c>
      <c r="D12" s="4677">
        <v>1</v>
      </c>
      <c r="E12" s="3076">
        <v>2</v>
      </c>
      <c r="F12" s="2640">
        <f t="shared" si="0"/>
        <v>3</v>
      </c>
      <c r="G12" s="4677">
        <v>3</v>
      </c>
      <c r="H12" s="3076"/>
      <c r="I12" s="2640">
        <f t="shared" si="1"/>
        <v>3</v>
      </c>
      <c r="J12" s="4858"/>
      <c r="K12" s="3076"/>
      <c r="L12" s="2641"/>
      <c r="M12" s="5347"/>
      <c r="N12" s="3076"/>
      <c r="O12" s="5441"/>
    </row>
    <row r="13" spans="2:15" x14ac:dyDescent="0.3">
      <c r="B13" s="2639" t="s">
        <v>755</v>
      </c>
      <c r="C13" s="4883" t="s">
        <v>319</v>
      </c>
      <c r="D13" s="4855"/>
      <c r="E13" s="3076"/>
      <c r="F13" s="2640"/>
      <c r="G13" s="4855"/>
      <c r="H13" s="3076"/>
      <c r="I13" s="2640"/>
      <c r="J13" s="4858">
        <v>1</v>
      </c>
      <c r="K13" s="3076">
        <v>1</v>
      </c>
      <c r="L13" s="2641">
        <f t="shared" si="2"/>
        <v>2</v>
      </c>
      <c r="M13" s="5347"/>
      <c r="N13" s="3076"/>
      <c r="O13" s="5441"/>
    </row>
    <row r="14" spans="2:15" x14ac:dyDescent="0.3">
      <c r="B14" s="2639" t="s">
        <v>755</v>
      </c>
      <c r="C14" s="2638" t="s">
        <v>320</v>
      </c>
      <c r="D14" s="4677"/>
      <c r="E14" s="3076">
        <v>3</v>
      </c>
      <c r="F14" s="2640">
        <f t="shared" si="0"/>
        <v>3</v>
      </c>
      <c r="G14" s="4677"/>
      <c r="H14" s="3076"/>
      <c r="I14" s="2640"/>
      <c r="J14" s="4858"/>
      <c r="K14" s="3076"/>
      <c r="L14" s="2641"/>
      <c r="M14" s="5347"/>
      <c r="N14" s="3076"/>
      <c r="O14" s="5441"/>
    </row>
    <row r="15" spans="2:15" x14ac:dyDescent="0.3">
      <c r="B15" s="2639"/>
      <c r="C15" s="4884" t="s">
        <v>59</v>
      </c>
      <c r="D15" s="3078">
        <f t="shared" ref="D15:L15" si="3">SUM(D5:D14)</f>
        <v>13</v>
      </c>
      <c r="E15" s="3079">
        <f t="shared" si="3"/>
        <v>31</v>
      </c>
      <c r="F15" s="3080">
        <f t="shared" si="3"/>
        <v>44</v>
      </c>
      <c r="G15" s="3078">
        <f t="shared" si="3"/>
        <v>14</v>
      </c>
      <c r="H15" s="3079">
        <f t="shared" si="3"/>
        <v>28</v>
      </c>
      <c r="I15" s="3080">
        <f t="shared" si="3"/>
        <v>42</v>
      </c>
      <c r="J15" s="3078">
        <f t="shared" si="3"/>
        <v>2</v>
      </c>
      <c r="K15" s="3079">
        <f t="shared" si="3"/>
        <v>6</v>
      </c>
      <c r="L15" s="4878">
        <f t="shared" si="3"/>
        <v>8</v>
      </c>
      <c r="M15" s="3078"/>
      <c r="N15" s="3079"/>
      <c r="O15" s="5442"/>
    </row>
    <row r="16" spans="2:15" x14ac:dyDescent="0.3">
      <c r="B16" s="2639" t="s">
        <v>756</v>
      </c>
      <c r="C16" s="4883" t="s">
        <v>1668</v>
      </c>
      <c r="D16" s="4677">
        <v>10</v>
      </c>
      <c r="E16" s="3074">
        <v>4</v>
      </c>
      <c r="F16" s="2640">
        <f t="shared" si="0"/>
        <v>14</v>
      </c>
      <c r="G16" s="4677"/>
      <c r="H16" s="3074"/>
      <c r="I16" s="2640"/>
      <c r="J16" s="4858"/>
      <c r="K16" s="3074"/>
      <c r="L16" s="2641"/>
      <c r="M16" s="5347"/>
      <c r="N16" s="3074"/>
      <c r="O16" s="5441"/>
    </row>
    <row r="17" spans="2:15" x14ac:dyDescent="0.3">
      <c r="B17" s="2639" t="s">
        <v>754</v>
      </c>
      <c r="C17" s="4883" t="s">
        <v>333</v>
      </c>
      <c r="D17" s="4855"/>
      <c r="E17" s="3074"/>
      <c r="F17" s="2640"/>
      <c r="G17" s="4855"/>
      <c r="H17" s="3074"/>
      <c r="I17" s="2640"/>
      <c r="J17" s="4858">
        <v>8</v>
      </c>
      <c r="K17" s="3074">
        <v>12</v>
      </c>
      <c r="L17" s="2641">
        <f t="shared" ref="L17" si="4">SUM(J17:K17)</f>
        <v>20</v>
      </c>
      <c r="M17" s="5347"/>
      <c r="N17" s="3074"/>
      <c r="O17" s="5441"/>
    </row>
    <row r="18" spans="2:15" x14ac:dyDescent="0.3">
      <c r="B18" s="2639" t="s">
        <v>754</v>
      </c>
      <c r="C18" s="4883" t="s">
        <v>332</v>
      </c>
      <c r="D18" s="4677">
        <v>4</v>
      </c>
      <c r="E18" s="3074">
        <v>5</v>
      </c>
      <c r="F18" s="2640">
        <f>SUM(D18:E18)</f>
        <v>9</v>
      </c>
      <c r="G18" s="4677"/>
      <c r="H18" s="3074"/>
      <c r="I18" s="2640"/>
      <c r="J18" s="4858"/>
      <c r="K18" s="3074"/>
      <c r="L18" s="2641"/>
      <c r="M18" s="5347"/>
      <c r="N18" s="3074"/>
      <c r="O18" s="5441"/>
    </row>
    <row r="19" spans="2:15" x14ac:dyDescent="0.3">
      <c r="B19" s="2639" t="s">
        <v>754</v>
      </c>
      <c r="C19" s="4883" t="s">
        <v>526</v>
      </c>
      <c r="D19" s="4677">
        <v>3</v>
      </c>
      <c r="E19" s="3074">
        <v>1</v>
      </c>
      <c r="F19" s="2640">
        <f>SUM(D19:E19)</f>
        <v>4</v>
      </c>
      <c r="G19" s="4677"/>
      <c r="H19" s="3074"/>
      <c r="I19" s="2640"/>
      <c r="J19" s="4858"/>
      <c r="K19" s="3074"/>
      <c r="L19" s="2641"/>
      <c r="M19" s="5347"/>
      <c r="N19" s="3074"/>
      <c r="O19" s="5441"/>
    </row>
    <row r="20" spans="2:15" x14ac:dyDescent="0.3">
      <c r="B20" s="2639" t="s">
        <v>754</v>
      </c>
      <c r="C20" s="4883" t="s">
        <v>331</v>
      </c>
      <c r="D20" s="4677"/>
      <c r="E20" s="3074"/>
      <c r="F20" s="2640"/>
      <c r="G20" s="4677">
        <v>7</v>
      </c>
      <c r="H20" s="3074">
        <v>11</v>
      </c>
      <c r="I20" s="2640">
        <f>SUM(G20:H20)</f>
        <v>18</v>
      </c>
      <c r="J20" s="4858"/>
      <c r="K20" s="3074"/>
      <c r="L20" s="2641"/>
      <c r="M20" s="5347"/>
      <c r="N20" s="3074"/>
      <c r="O20" s="5441"/>
    </row>
    <row r="21" spans="2:15" x14ac:dyDescent="0.3">
      <c r="B21" s="2639" t="s">
        <v>754</v>
      </c>
      <c r="C21" s="4883" t="s">
        <v>330</v>
      </c>
      <c r="D21" s="4677">
        <v>3</v>
      </c>
      <c r="E21" s="3074">
        <v>4</v>
      </c>
      <c r="F21" s="2640">
        <f t="shared" si="0"/>
        <v>7</v>
      </c>
      <c r="G21" s="4677">
        <v>7</v>
      </c>
      <c r="H21" s="3074">
        <v>2</v>
      </c>
      <c r="I21" s="2640">
        <f t="shared" ref="I21:I22" si="5">SUM(G21:H21)</f>
        <v>9</v>
      </c>
      <c r="J21" s="4858"/>
      <c r="K21" s="3074"/>
      <c r="L21" s="2641"/>
      <c r="M21" s="5347"/>
      <c r="N21" s="3074"/>
      <c r="O21" s="5441"/>
    </row>
    <row r="22" spans="2:15" x14ac:dyDescent="0.3">
      <c r="B22" s="2639" t="s">
        <v>754</v>
      </c>
      <c r="C22" s="4883" t="s">
        <v>329</v>
      </c>
      <c r="D22" s="4677">
        <v>7</v>
      </c>
      <c r="E22" s="3074">
        <v>6</v>
      </c>
      <c r="F22" s="2640">
        <f t="shared" si="0"/>
        <v>13</v>
      </c>
      <c r="G22" s="4677">
        <v>12</v>
      </c>
      <c r="H22" s="3074">
        <v>8</v>
      </c>
      <c r="I22" s="2640">
        <f t="shared" si="5"/>
        <v>20</v>
      </c>
      <c r="J22" s="4858"/>
      <c r="K22" s="3074"/>
      <c r="L22" s="2641"/>
      <c r="M22" s="5347"/>
      <c r="N22" s="3074"/>
      <c r="O22" s="5441"/>
    </row>
    <row r="23" spans="2:15" x14ac:dyDescent="0.3">
      <c r="B23" s="2639" t="s">
        <v>755</v>
      </c>
      <c r="C23" s="4883" t="s">
        <v>1669</v>
      </c>
      <c r="D23" s="4855"/>
      <c r="E23" s="3074"/>
      <c r="F23" s="2640"/>
      <c r="G23" s="4855"/>
      <c r="H23" s="3074"/>
      <c r="I23" s="2640"/>
      <c r="J23" s="4858">
        <v>1</v>
      </c>
      <c r="K23" s="3074">
        <v>1</v>
      </c>
      <c r="L23" s="2641">
        <f t="shared" ref="L23" si="6">SUM(J23:K23)</f>
        <v>2</v>
      </c>
      <c r="M23" s="5347"/>
      <c r="N23" s="3074"/>
      <c r="O23" s="5441"/>
    </row>
    <row r="24" spans="2:15" x14ac:dyDescent="0.3">
      <c r="B24" s="2639"/>
      <c r="C24" s="4884" t="s">
        <v>64</v>
      </c>
      <c r="D24" s="3078">
        <f t="shared" ref="D24:I24" si="7">SUM(D16:D22)</f>
        <v>27</v>
      </c>
      <c r="E24" s="3079">
        <f t="shared" si="7"/>
        <v>20</v>
      </c>
      <c r="F24" s="3080">
        <f t="shared" si="7"/>
        <v>47</v>
      </c>
      <c r="G24" s="3078">
        <f t="shared" si="7"/>
        <v>26</v>
      </c>
      <c r="H24" s="3079">
        <f t="shared" si="7"/>
        <v>21</v>
      </c>
      <c r="I24" s="3080">
        <f t="shared" si="7"/>
        <v>47</v>
      </c>
      <c r="J24" s="3078">
        <f>SUM(J16:J23)</f>
        <v>9</v>
      </c>
      <c r="K24" s="3079">
        <f>SUM(K16:K23)</f>
        <v>13</v>
      </c>
      <c r="L24" s="4878">
        <f>SUM(L16:L23)</f>
        <v>22</v>
      </c>
      <c r="M24" s="3078"/>
      <c r="N24" s="3079"/>
      <c r="O24" s="5442"/>
    </row>
    <row r="25" spans="2:15" x14ac:dyDescent="0.3">
      <c r="B25" s="2639" t="s">
        <v>755</v>
      </c>
      <c r="C25" s="4883" t="s">
        <v>1670</v>
      </c>
      <c r="D25" s="4731"/>
      <c r="E25" s="4732"/>
      <c r="F25" s="4733"/>
      <c r="G25" s="4731"/>
      <c r="H25" s="4732">
        <v>3</v>
      </c>
      <c r="I25" s="2640">
        <f t="shared" ref="I25" si="8">SUM(G25:H25)</f>
        <v>3</v>
      </c>
      <c r="J25" s="4731"/>
      <c r="K25" s="4732"/>
      <c r="L25" s="2641"/>
      <c r="M25" s="4731"/>
      <c r="N25" s="4732"/>
      <c r="O25" s="5441"/>
    </row>
    <row r="26" spans="2:15" ht="28.8" x14ac:dyDescent="0.3">
      <c r="B26" s="2639" t="s">
        <v>756</v>
      </c>
      <c r="C26" s="4883" t="s">
        <v>1671</v>
      </c>
      <c r="D26" s="4677">
        <v>4</v>
      </c>
      <c r="E26" s="3074">
        <v>3</v>
      </c>
      <c r="F26" s="2640">
        <f t="shared" si="0"/>
        <v>7</v>
      </c>
      <c r="G26" s="4677"/>
      <c r="H26" s="3074"/>
      <c r="I26" s="2640"/>
      <c r="J26" s="4858"/>
      <c r="K26" s="3074"/>
      <c r="L26" s="2641"/>
      <c r="M26" s="5347"/>
      <c r="N26" s="3074"/>
      <c r="O26" s="5441"/>
    </row>
    <row r="27" spans="2:15" x14ac:dyDescent="0.3">
      <c r="B27" s="2639"/>
      <c r="C27" s="4884" t="s">
        <v>68</v>
      </c>
      <c r="D27" s="3078">
        <f>SUM(D26)</f>
        <v>4</v>
      </c>
      <c r="E27" s="3079">
        <f>SUM(E26)</f>
        <v>3</v>
      </c>
      <c r="F27" s="3080">
        <f>SUM(F26)</f>
        <v>7</v>
      </c>
      <c r="G27" s="3078">
        <f>SUM(G26)</f>
        <v>0</v>
      </c>
      <c r="H27" s="3079">
        <f>SUM(H25:H26)</f>
        <v>3</v>
      </c>
      <c r="I27" s="3080">
        <f>SUM(I25:I26)</f>
        <v>3</v>
      </c>
      <c r="J27" s="3078">
        <f>SUM(J26)</f>
        <v>0</v>
      </c>
      <c r="K27" s="3079">
        <f>SUM(K25:K26)</f>
        <v>0</v>
      </c>
      <c r="L27" s="4878">
        <f>SUM(L25:L26)</f>
        <v>0</v>
      </c>
      <c r="M27" s="3078"/>
      <c r="N27" s="3079"/>
      <c r="O27" s="5442"/>
    </row>
    <row r="28" spans="2:15" x14ac:dyDescent="0.3">
      <c r="B28" s="4885"/>
      <c r="C28" s="4886" t="s">
        <v>138</v>
      </c>
      <c r="D28" s="2646">
        <f t="shared" ref="D28:I28" si="9">SUM(D27,D24,D15)</f>
        <v>44</v>
      </c>
      <c r="E28" s="3082">
        <f t="shared" si="9"/>
        <v>54</v>
      </c>
      <c r="F28" s="2647">
        <f>SUM(F27,F24,F15)</f>
        <v>98</v>
      </c>
      <c r="G28" s="2646">
        <f t="shared" si="9"/>
        <v>40</v>
      </c>
      <c r="H28" s="3082">
        <f t="shared" si="9"/>
        <v>52</v>
      </c>
      <c r="I28" s="2647">
        <f t="shared" si="9"/>
        <v>92</v>
      </c>
      <c r="J28" s="2646">
        <f t="shared" ref="J28:L28" si="10">SUM(J27,J24,J15)</f>
        <v>11</v>
      </c>
      <c r="K28" s="3082">
        <f t="shared" si="10"/>
        <v>19</v>
      </c>
      <c r="L28" s="2645">
        <f t="shared" si="10"/>
        <v>30</v>
      </c>
      <c r="M28" s="2646"/>
      <c r="N28" s="3082"/>
      <c r="O28" s="5443"/>
    </row>
    <row r="29" spans="2:15" x14ac:dyDescent="0.3">
      <c r="B29" s="4887" t="s">
        <v>754</v>
      </c>
      <c r="C29" s="4888" t="s">
        <v>348</v>
      </c>
      <c r="D29" s="4676">
        <v>4</v>
      </c>
      <c r="E29" s="3083">
        <v>3</v>
      </c>
      <c r="F29" s="3071">
        <f t="shared" si="0"/>
        <v>7</v>
      </c>
      <c r="G29" s="4676">
        <v>5</v>
      </c>
      <c r="H29" s="3083">
        <v>3</v>
      </c>
      <c r="I29" s="3071">
        <f t="shared" ref="I29:I30" si="11">SUM(G29:H29)</f>
        <v>8</v>
      </c>
      <c r="J29" s="4857"/>
      <c r="K29" s="3083"/>
      <c r="L29" s="4879"/>
      <c r="M29" s="5346"/>
      <c r="N29" s="3083"/>
      <c r="O29" s="5444"/>
    </row>
    <row r="30" spans="2:15" x14ac:dyDescent="0.3">
      <c r="B30" s="2639" t="s">
        <v>755</v>
      </c>
      <c r="C30" s="4883" t="s">
        <v>349</v>
      </c>
      <c r="D30" s="4677">
        <v>4</v>
      </c>
      <c r="E30" s="3074">
        <v>2</v>
      </c>
      <c r="F30" s="2640">
        <f t="shared" si="0"/>
        <v>6</v>
      </c>
      <c r="G30" s="4677">
        <v>4</v>
      </c>
      <c r="H30" s="3074">
        <v>3</v>
      </c>
      <c r="I30" s="2640">
        <f t="shared" si="11"/>
        <v>7</v>
      </c>
      <c r="J30" s="4858"/>
      <c r="K30" s="3074"/>
      <c r="L30" s="2641"/>
      <c r="M30" s="5347"/>
      <c r="N30" s="3074"/>
      <c r="O30" s="5441"/>
    </row>
    <row r="31" spans="2:15" x14ac:dyDescent="0.3">
      <c r="B31" s="2639"/>
      <c r="C31" s="4884" t="s">
        <v>64</v>
      </c>
      <c r="D31" s="3078">
        <f t="shared" ref="D31:I31" si="12">SUM(D29:D30)</f>
        <v>8</v>
      </c>
      <c r="E31" s="3079">
        <f t="shared" si="12"/>
        <v>5</v>
      </c>
      <c r="F31" s="3080">
        <f t="shared" si="12"/>
        <v>13</v>
      </c>
      <c r="G31" s="3078">
        <f t="shared" si="12"/>
        <v>9</v>
      </c>
      <c r="H31" s="3079">
        <f t="shared" si="12"/>
        <v>6</v>
      </c>
      <c r="I31" s="3080">
        <f t="shared" si="12"/>
        <v>15</v>
      </c>
      <c r="J31" s="3078">
        <f t="shared" ref="J31:L31" si="13">SUM(J29:J30)</f>
        <v>0</v>
      </c>
      <c r="K31" s="3079">
        <f t="shared" si="13"/>
        <v>0</v>
      </c>
      <c r="L31" s="4878">
        <f t="shared" si="13"/>
        <v>0</v>
      </c>
      <c r="M31" s="3078"/>
      <c r="N31" s="3079"/>
      <c r="O31" s="5442"/>
    </row>
    <row r="32" spans="2:15" x14ac:dyDescent="0.3">
      <c r="B32" s="2639" t="s">
        <v>754</v>
      </c>
      <c r="C32" s="4883" t="s">
        <v>1672</v>
      </c>
      <c r="D32" s="4677">
        <v>13</v>
      </c>
      <c r="E32" s="3074">
        <v>5</v>
      </c>
      <c r="F32" s="2640">
        <f t="shared" si="0"/>
        <v>18</v>
      </c>
      <c r="G32" s="4677">
        <v>15</v>
      </c>
      <c r="H32" s="3074">
        <v>4</v>
      </c>
      <c r="I32" s="2640">
        <f t="shared" ref="I32" si="14">SUM(G32:H32)</f>
        <v>19</v>
      </c>
      <c r="J32" s="4858"/>
      <c r="K32" s="3074"/>
      <c r="L32" s="2641"/>
      <c r="M32" s="5347"/>
      <c r="N32" s="3074"/>
      <c r="O32" s="5441"/>
    </row>
    <row r="33" spans="2:15" x14ac:dyDescent="0.3">
      <c r="B33" s="2639"/>
      <c r="C33" s="4884" t="s">
        <v>111</v>
      </c>
      <c r="D33" s="3078">
        <f t="shared" ref="D33:I33" si="15">SUM(D32)</f>
        <v>13</v>
      </c>
      <c r="E33" s="3079">
        <f t="shared" si="15"/>
        <v>5</v>
      </c>
      <c r="F33" s="3080">
        <f t="shared" si="15"/>
        <v>18</v>
      </c>
      <c r="G33" s="3078">
        <f t="shared" si="15"/>
        <v>15</v>
      </c>
      <c r="H33" s="3079">
        <f t="shared" si="15"/>
        <v>4</v>
      </c>
      <c r="I33" s="3080">
        <f t="shared" si="15"/>
        <v>19</v>
      </c>
      <c r="J33" s="3078">
        <f t="shared" ref="J33:L33" si="16">SUM(J32)</f>
        <v>0</v>
      </c>
      <c r="K33" s="3079">
        <f t="shared" si="16"/>
        <v>0</v>
      </c>
      <c r="L33" s="4878">
        <f t="shared" si="16"/>
        <v>0</v>
      </c>
      <c r="M33" s="3078"/>
      <c r="N33" s="3079"/>
      <c r="O33" s="5442"/>
    </row>
    <row r="34" spans="2:15" x14ac:dyDescent="0.3">
      <c r="B34" s="2639" t="s">
        <v>754</v>
      </c>
      <c r="C34" s="4883" t="s">
        <v>352</v>
      </c>
      <c r="D34" s="4677">
        <v>1</v>
      </c>
      <c r="E34" s="3074">
        <v>4</v>
      </c>
      <c r="F34" s="2640">
        <f t="shared" si="0"/>
        <v>5</v>
      </c>
      <c r="G34" s="4677">
        <v>3</v>
      </c>
      <c r="H34" s="3074">
        <v>3</v>
      </c>
      <c r="I34" s="2640">
        <f t="shared" ref="I34:I36" si="17">SUM(G34:H34)</f>
        <v>6</v>
      </c>
      <c r="J34" s="4858"/>
      <c r="K34" s="3074"/>
      <c r="L34" s="2641"/>
      <c r="M34" s="5347"/>
      <c r="N34" s="3074"/>
      <c r="O34" s="5441"/>
    </row>
    <row r="35" spans="2:15" x14ac:dyDescent="0.3">
      <c r="B35" s="2639" t="s">
        <v>755</v>
      </c>
      <c r="C35" s="4883" t="s">
        <v>354</v>
      </c>
      <c r="D35" s="4677"/>
      <c r="E35" s="3074"/>
      <c r="F35" s="2640"/>
      <c r="G35" s="4677"/>
      <c r="H35" s="3074">
        <v>1</v>
      </c>
      <c r="I35" s="2640">
        <f t="shared" si="17"/>
        <v>1</v>
      </c>
      <c r="J35" s="4858"/>
      <c r="K35" s="3074"/>
      <c r="L35" s="2641"/>
      <c r="M35" s="5347"/>
      <c r="N35" s="3074"/>
      <c r="O35" s="5441"/>
    </row>
    <row r="36" spans="2:15" x14ac:dyDescent="0.3">
      <c r="B36" s="2639" t="s">
        <v>755</v>
      </c>
      <c r="C36" s="4883" t="s">
        <v>1673</v>
      </c>
      <c r="D36" s="4677">
        <v>1</v>
      </c>
      <c r="E36" s="3074">
        <v>3</v>
      </c>
      <c r="F36" s="2640">
        <f t="shared" si="0"/>
        <v>4</v>
      </c>
      <c r="G36" s="4677"/>
      <c r="H36" s="3074">
        <v>2</v>
      </c>
      <c r="I36" s="2640">
        <f t="shared" si="17"/>
        <v>2</v>
      </c>
      <c r="J36" s="4858">
        <v>1</v>
      </c>
      <c r="K36" s="3074"/>
      <c r="L36" s="2641">
        <f t="shared" ref="L36" si="18">SUM(J36:K36)</f>
        <v>1</v>
      </c>
      <c r="M36" s="5347"/>
      <c r="N36" s="3074"/>
      <c r="O36" s="5441"/>
    </row>
    <row r="37" spans="2:15" x14ac:dyDescent="0.3">
      <c r="B37" s="2639"/>
      <c r="C37" s="4884" t="s">
        <v>115</v>
      </c>
      <c r="D37" s="3078">
        <f t="shared" ref="D37:I37" si="19">SUM(D34:D36)</f>
        <v>2</v>
      </c>
      <c r="E37" s="3079">
        <f t="shared" si="19"/>
        <v>7</v>
      </c>
      <c r="F37" s="3080">
        <f t="shared" si="19"/>
        <v>9</v>
      </c>
      <c r="G37" s="3078">
        <f t="shared" si="19"/>
        <v>3</v>
      </c>
      <c r="H37" s="3079">
        <f t="shared" si="19"/>
        <v>6</v>
      </c>
      <c r="I37" s="3080">
        <f t="shared" si="19"/>
        <v>9</v>
      </c>
      <c r="J37" s="3078">
        <f>SUM(J34:J36)</f>
        <v>1</v>
      </c>
      <c r="K37" s="3079"/>
      <c r="L37" s="4878">
        <f t="shared" ref="L37" si="20">SUM(L34:L36)</f>
        <v>1</v>
      </c>
      <c r="M37" s="3078"/>
      <c r="N37" s="3079"/>
      <c r="O37" s="5442"/>
    </row>
    <row r="38" spans="2:15" x14ac:dyDescent="0.3">
      <c r="B38" s="4885"/>
      <c r="C38" s="4889" t="s">
        <v>134</v>
      </c>
      <c r="D38" s="2652">
        <f t="shared" ref="D38:I38" si="21">SUM(D37,D33,D31)</f>
        <v>23</v>
      </c>
      <c r="E38" s="3085">
        <f t="shared" si="21"/>
        <v>17</v>
      </c>
      <c r="F38" s="2653">
        <f>SUM(F37,F33,F31)</f>
        <v>40</v>
      </c>
      <c r="G38" s="2652">
        <f t="shared" si="21"/>
        <v>27</v>
      </c>
      <c r="H38" s="3085">
        <f t="shared" si="21"/>
        <v>16</v>
      </c>
      <c r="I38" s="2653">
        <f t="shared" si="21"/>
        <v>43</v>
      </c>
      <c r="J38" s="2652">
        <f>SUM(J31,J33,J37)</f>
        <v>1</v>
      </c>
      <c r="K38" s="3085">
        <f t="shared" ref="K38:L38" si="22">SUM(K37,K33,K31)</f>
        <v>0</v>
      </c>
      <c r="L38" s="2651">
        <f t="shared" si="22"/>
        <v>1</v>
      </c>
      <c r="M38" s="2652"/>
      <c r="N38" s="3085"/>
      <c r="O38" s="5445"/>
    </row>
    <row r="39" spans="2:15" x14ac:dyDescent="0.3">
      <c r="B39" s="4857" t="s">
        <v>754</v>
      </c>
      <c r="C39" s="4890" t="s">
        <v>1674</v>
      </c>
      <c r="D39" s="4676">
        <v>2</v>
      </c>
      <c r="E39" s="3083">
        <v>6</v>
      </c>
      <c r="F39" s="3071">
        <f t="shared" si="0"/>
        <v>8</v>
      </c>
      <c r="G39" s="4676">
        <v>4</v>
      </c>
      <c r="H39" s="3083">
        <v>11</v>
      </c>
      <c r="I39" s="3071">
        <f t="shared" ref="I39:I46" si="23">SUM(G39:H39)</f>
        <v>15</v>
      </c>
      <c r="J39" s="4857">
        <v>2</v>
      </c>
      <c r="K39" s="3083">
        <v>4</v>
      </c>
      <c r="L39" s="4879">
        <f t="shared" ref="L39:L43" si="24">SUM(J39:K39)</f>
        <v>6</v>
      </c>
      <c r="M39" s="5346"/>
      <c r="N39" s="3083"/>
      <c r="O39" s="5444"/>
    </row>
    <row r="40" spans="2:15" x14ac:dyDescent="0.3">
      <c r="B40" s="2639" t="s">
        <v>754</v>
      </c>
      <c r="C40" s="4883" t="s">
        <v>1675</v>
      </c>
      <c r="D40" s="4677">
        <v>2</v>
      </c>
      <c r="E40" s="3074">
        <v>1</v>
      </c>
      <c r="F40" s="2640">
        <f t="shared" si="0"/>
        <v>3</v>
      </c>
      <c r="G40" s="4677">
        <v>1</v>
      </c>
      <c r="H40" s="3074">
        <v>2</v>
      </c>
      <c r="I40" s="2640">
        <f t="shared" si="23"/>
        <v>3</v>
      </c>
      <c r="J40" s="4858">
        <v>2</v>
      </c>
      <c r="K40" s="3074">
        <v>2</v>
      </c>
      <c r="L40" s="2641">
        <f t="shared" si="24"/>
        <v>4</v>
      </c>
      <c r="M40" s="5347"/>
      <c r="N40" s="3074"/>
      <c r="O40" s="5441"/>
    </row>
    <row r="41" spans="2:15" x14ac:dyDescent="0.3">
      <c r="B41" s="2639" t="s">
        <v>754</v>
      </c>
      <c r="C41" s="4883" t="s">
        <v>1676</v>
      </c>
      <c r="D41" s="4677">
        <v>1</v>
      </c>
      <c r="E41" s="3074">
        <v>1</v>
      </c>
      <c r="F41" s="2640">
        <f t="shared" si="0"/>
        <v>2</v>
      </c>
      <c r="G41" s="4677"/>
      <c r="H41" s="3074">
        <v>8</v>
      </c>
      <c r="I41" s="2640">
        <f t="shared" si="23"/>
        <v>8</v>
      </c>
      <c r="J41" s="4858"/>
      <c r="K41" s="3074"/>
      <c r="L41" s="2641"/>
      <c r="M41" s="5347"/>
      <c r="N41" s="3074"/>
      <c r="O41" s="5441"/>
    </row>
    <row r="42" spans="2:15" x14ac:dyDescent="0.3">
      <c r="B42" s="2639" t="s">
        <v>754</v>
      </c>
      <c r="C42" s="4883" t="s">
        <v>1677</v>
      </c>
      <c r="D42" s="4677">
        <v>2</v>
      </c>
      <c r="E42" s="3074">
        <v>1</v>
      </c>
      <c r="F42" s="2640">
        <f t="shared" si="0"/>
        <v>3</v>
      </c>
      <c r="G42" s="4677">
        <v>2</v>
      </c>
      <c r="H42" s="3074">
        <v>1</v>
      </c>
      <c r="I42" s="2640">
        <f t="shared" si="23"/>
        <v>3</v>
      </c>
      <c r="J42" s="4858">
        <v>2</v>
      </c>
      <c r="K42" s="3074">
        <v>1</v>
      </c>
      <c r="L42" s="2641">
        <f t="shared" si="24"/>
        <v>3</v>
      </c>
      <c r="M42" s="5347"/>
      <c r="N42" s="3074"/>
      <c r="O42" s="5441"/>
    </row>
    <row r="43" spans="2:15" x14ac:dyDescent="0.3">
      <c r="B43" s="2639" t="s">
        <v>754</v>
      </c>
      <c r="C43" s="4883" t="s">
        <v>444</v>
      </c>
      <c r="D43" s="4677"/>
      <c r="E43" s="3074"/>
      <c r="F43" s="2640"/>
      <c r="G43" s="4677">
        <v>8</v>
      </c>
      <c r="H43" s="3074">
        <v>6</v>
      </c>
      <c r="I43" s="2640">
        <f t="shared" si="23"/>
        <v>14</v>
      </c>
      <c r="J43" s="4858">
        <v>12</v>
      </c>
      <c r="K43" s="3074">
        <v>4</v>
      </c>
      <c r="L43" s="2641">
        <f t="shared" si="24"/>
        <v>16</v>
      </c>
      <c r="M43" s="5347"/>
      <c r="N43" s="3074"/>
      <c r="O43" s="5441"/>
    </row>
    <row r="44" spans="2:15" x14ac:dyDescent="0.3">
      <c r="B44" s="2639" t="s">
        <v>754</v>
      </c>
      <c r="C44" s="4883" t="s">
        <v>362</v>
      </c>
      <c r="D44" s="4677"/>
      <c r="E44" s="3074">
        <v>3</v>
      </c>
      <c r="F44" s="2640">
        <f t="shared" si="0"/>
        <v>3</v>
      </c>
      <c r="G44" s="4677"/>
      <c r="H44" s="3074">
        <v>4</v>
      </c>
      <c r="I44" s="2640">
        <f t="shared" si="23"/>
        <v>4</v>
      </c>
      <c r="J44" s="4858"/>
      <c r="K44" s="3074"/>
      <c r="L44" s="2641"/>
      <c r="M44" s="5347"/>
      <c r="N44" s="3074"/>
      <c r="O44" s="5441"/>
    </row>
    <row r="45" spans="2:15" x14ac:dyDescent="0.3">
      <c r="B45" s="2639" t="s">
        <v>754</v>
      </c>
      <c r="C45" s="4883" t="s">
        <v>1678</v>
      </c>
      <c r="D45" s="4677">
        <v>2</v>
      </c>
      <c r="E45" s="3074">
        <v>6</v>
      </c>
      <c r="F45" s="2640">
        <f t="shared" si="0"/>
        <v>8</v>
      </c>
      <c r="G45" s="4677">
        <v>9</v>
      </c>
      <c r="H45" s="3074">
        <v>2</v>
      </c>
      <c r="I45" s="2640">
        <f t="shared" si="23"/>
        <v>11</v>
      </c>
      <c r="J45" s="4858"/>
      <c r="K45" s="3074"/>
      <c r="L45" s="2641"/>
      <c r="M45" s="5347"/>
      <c r="N45" s="3074"/>
      <c r="O45" s="5441"/>
    </row>
    <row r="46" spans="2:15" x14ac:dyDescent="0.3">
      <c r="B46" s="2639" t="s">
        <v>754</v>
      </c>
      <c r="C46" s="4883" t="s">
        <v>660</v>
      </c>
      <c r="D46" s="4677">
        <v>3</v>
      </c>
      <c r="E46" s="3074">
        <v>7</v>
      </c>
      <c r="F46" s="2640">
        <f t="shared" si="0"/>
        <v>10</v>
      </c>
      <c r="G46" s="4677">
        <v>2</v>
      </c>
      <c r="H46" s="3074">
        <v>3</v>
      </c>
      <c r="I46" s="2640">
        <f t="shared" si="23"/>
        <v>5</v>
      </c>
      <c r="J46" s="4858"/>
      <c r="K46" s="3074"/>
      <c r="L46" s="2641"/>
      <c r="M46" s="5347"/>
      <c r="N46" s="3074"/>
      <c r="O46" s="5441"/>
    </row>
    <row r="47" spans="2:15" x14ac:dyDescent="0.3">
      <c r="B47" s="4858" t="s">
        <v>755</v>
      </c>
      <c r="C47" s="4891" t="s">
        <v>1679</v>
      </c>
      <c r="D47" s="4677">
        <v>3</v>
      </c>
      <c r="E47" s="3074"/>
      <c r="F47" s="2640">
        <f>SUM(D47:E47)</f>
        <v>3</v>
      </c>
      <c r="G47" s="4677"/>
      <c r="H47" s="3074">
        <v>4</v>
      </c>
      <c r="I47" s="2640">
        <f>SUM(G47:H47)</f>
        <v>4</v>
      </c>
      <c r="J47" s="4858"/>
      <c r="K47" s="3074">
        <v>1</v>
      </c>
      <c r="L47" s="2641">
        <f>SUM(J47:K47)</f>
        <v>1</v>
      </c>
      <c r="M47" s="5347"/>
      <c r="N47" s="3074"/>
      <c r="O47" s="5441"/>
    </row>
    <row r="48" spans="2:15" x14ac:dyDescent="0.3">
      <c r="B48" s="2639" t="s">
        <v>755</v>
      </c>
      <c r="C48" s="4883" t="s">
        <v>1680</v>
      </c>
      <c r="D48" s="4677"/>
      <c r="E48" s="3074">
        <v>2</v>
      </c>
      <c r="F48" s="2640">
        <f>SUM(D48:E48)</f>
        <v>2</v>
      </c>
      <c r="G48" s="4677">
        <v>1</v>
      </c>
      <c r="H48" s="3074">
        <v>1</v>
      </c>
      <c r="I48" s="2640">
        <f>SUM(G48:H48)</f>
        <v>2</v>
      </c>
      <c r="J48" s="4858"/>
      <c r="K48" s="3074"/>
      <c r="L48" s="2641"/>
      <c r="M48" s="5347"/>
      <c r="N48" s="3074"/>
      <c r="O48" s="5441"/>
    </row>
    <row r="49" spans="2:15" x14ac:dyDescent="0.3">
      <c r="B49" s="2639" t="s">
        <v>755</v>
      </c>
      <c r="C49" s="4883" t="s">
        <v>367</v>
      </c>
      <c r="D49" s="4677"/>
      <c r="E49" s="3074"/>
      <c r="F49" s="2640"/>
      <c r="G49" s="4677"/>
      <c r="H49" s="3074">
        <v>3</v>
      </c>
      <c r="I49" s="2640">
        <f>SUM(G49:H49)</f>
        <v>3</v>
      </c>
      <c r="J49" s="4858"/>
      <c r="K49" s="3074"/>
      <c r="L49" s="2641"/>
      <c r="M49" s="5347"/>
      <c r="N49" s="3074"/>
      <c r="O49" s="5441"/>
    </row>
    <row r="50" spans="2:15" x14ac:dyDescent="0.3">
      <c r="B50" s="2639" t="s">
        <v>755</v>
      </c>
      <c r="C50" s="4883" t="s">
        <v>1681</v>
      </c>
      <c r="D50" s="4677">
        <v>1</v>
      </c>
      <c r="E50" s="3074">
        <v>4</v>
      </c>
      <c r="F50" s="2640">
        <f>SUM(D50:E50)</f>
        <v>5</v>
      </c>
      <c r="G50" s="4677">
        <v>2</v>
      </c>
      <c r="H50" s="3074">
        <v>4</v>
      </c>
      <c r="I50" s="2640">
        <f>SUM(G50:H50)</f>
        <v>6</v>
      </c>
      <c r="J50" s="4858"/>
      <c r="K50" s="3074"/>
      <c r="L50" s="2641"/>
      <c r="M50" s="5347"/>
      <c r="N50" s="3074"/>
      <c r="O50" s="5441"/>
    </row>
    <row r="51" spans="2:15" x14ac:dyDescent="0.3">
      <c r="B51" s="2639" t="s">
        <v>755</v>
      </c>
      <c r="C51" s="2638" t="s">
        <v>445</v>
      </c>
      <c r="D51" s="4677">
        <v>2</v>
      </c>
      <c r="E51" s="3076">
        <v>1</v>
      </c>
      <c r="F51" s="2640">
        <f t="shared" si="0"/>
        <v>3</v>
      </c>
      <c r="G51" s="4677">
        <v>1</v>
      </c>
      <c r="H51" s="3076">
        <v>2</v>
      </c>
      <c r="I51" s="2640">
        <f t="shared" ref="I51" si="25">SUM(G51:H51)</f>
        <v>3</v>
      </c>
      <c r="J51" s="4858"/>
      <c r="K51" s="3076"/>
      <c r="L51" s="2641"/>
      <c r="M51" s="5347"/>
      <c r="N51" s="3076"/>
      <c r="O51" s="5441"/>
    </row>
    <row r="52" spans="2:15" x14ac:dyDescent="0.3">
      <c r="B52" s="2639"/>
      <c r="C52" s="4884" t="s">
        <v>59</v>
      </c>
      <c r="D52" s="3078">
        <f t="shared" ref="D52:I52" si="26">SUM(D39:D51)</f>
        <v>18</v>
      </c>
      <c r="E52" s="3079">
        <f t="shared" si="26"/>
        <v>32</v>
      </c>
      <c r="F52" s="3080">
        <f t="shared" si="26"/>
        <v>50</v>
      </c>
      <c r="G52" s="3078">
        <f t="shared" si="26"/>
        <v>30</v>
      </c>
      <c r="H52" s="3079">
        <f t="shared" si="26"/>
        <v>51</v>
      </c>
      <c r="I52" s="3080">
        <f t="shared" si="26"/>
        <v>81</v>
      </c>
      <c r="J52" s="3078">
        <f t="shared" ref="J52:L52" si="27">SUM(J39:J51)</f>
        <v>18</v>
      </c>
      <c r="K52" s="3079">
        <f t="shared" si="27"/>
        <v>12</v>
      </c>
      <c r="L52" s="4878">
        <f t="shared" si="27"/>
        <v>30</v>
      </c>
      <c r="M52" s="3078"/>
      <c r="N52" s="3079"/>
      <c r="O52" s="5442"/>
    </row>
    <row r="53" spans="2:15" x14ac:dyDescent="0.3">
      <c r="B53" s="2639" t="s">
        <v>754</v>
      </c>
      <c r="C53" s="4883" t="s">
        <v>374</v>
      </c>
      <c r="D53" s="3078"/>
      <c r="E53" s="3079"/>
      <c r="F53" s="3080"/>
      <c r="G53" s="4731">
        <v>3</v>
      </c>
      <c r="H53" s="4732">
        <v>13</v>
      </c>
      <c r="I53" s="2640">
        <f t="shared" ref="I53:I61" si="28">SUM(G53:H53)</f>
        <v>16</v>
      </c>
      <c r="J53" s="4731"/>
      <c r="K53" s="4732"/>
      <c r="L53" s="2641"/>
      <c r="M53" s="4731"/>
      <c r="N53" s="4732"/>
      <c r="O53" s="5441"/>
    </row>
    <row r="54" spans="2:15" x14ac:dyDescent="0.3">
      <c r="B54" s="2639" t="s">
        <v>754</v>
      </c>
      <c r="C54" s="4883" t="s">
        <v>371</v>
      </c>
      <c r="D54" s="3078"/>
      <c r="E54" s="3079"/>
      <c r="F54" s="3080"/>
      <c r="G54" s="4731">
        <v>4</v>
      </c>
      <c r="H54" s="4732">
        <v>5</v>
      </c>
      <c r="I54" s="2640">
        <f t="shared" si="28"/>
        <v>9</v>
      </c>
      <c r="J54" s="4731"/>
      <c r="K54" s="4732"/>
      <c r="L54" s="2641"/>
      <c r="M54" s="4731"/>
      <c r="N54" s="4732"/>
      <c r="O54" s="5441"/>
    </row>
    <row r="55" spans="2:15" x14ac:dyDescent="0.3">
      <c r="B55" s="2639" t="s">
        <v>754</v>
      </c>
      <c r="C55" s="4883" t="s">
        <v>373</v>
      </c>
      <c r="D55" s="3078"/>
      <c r="E55" s="3079"/>
      <c r="F55" s="3080"/>
      <c r="G55" s="4731">
        <v>18</v>
      </c>
      <c r="H55" s="4732">
        <v>27</v>
      </c>
      <c r="I55" s="2640">
        <f t="shared" si="28"/>
        <v>45</v>
      </c>
      <c r="J55" s="4731"/>
      <c r="K55" s="4732"/>
      <c r="L55" s="2641"/>
      <c r="M55" s="4731"/>
      <c r="N55" s="4732"/>
      <c r="O55" s="5441"/>
    </row>
    <row r="56" spans="2:15" x14ac:dyDescent="0.3">
      <c r="B56" s="2639" t="s">
        <v>754</v>
      </c>
      <c r="C56" s="4883" t="s">
        <v>328</v>
      </c>
      <c r="D56" s="3078"/>
      <c r="E56" s="3079"/>
      <c r="F56" s="3080"/>
      <c r="G56" s="4731"/>
      <c r="H56" s="4732">
        <v>1</v>
      </c>
      <c r="I56" s="2640">
        <f t="shared" si="28"/>
        <v>1</v>
      </c>
      <c r="J56" s="4731"/>
      <c r="K56" s="4732"/>
      <c r="L56" s="2641"/>
      <c r="M56" s="4731"/>
      <c r="N56" s="4732"/>
      <c r="O56" s="5441"/>
    </row>
    <row r="57" spans="2:15" x14ac:dyDescent="0.3">
      <c r="B57" s="2639" t="s">
        <v>755</v>
      </c>
      <c r="C57" s="4883" t="s">
        <v>376</v>
      </c>
      <c r="D57" s="3078"/>
      <c r="E57" s="3079"/>
      <c r="F57" s="3080"/>
      <c r="G57" s="4731">
        <v>15</v>
      </c>
      <c r="H57" s="4732">
        <v>4</v>
      </c>
      <c r="I57" s="2640">
        <f t="shared" si="28"/>
        <v>19</v>
      </c>
      <c r="J57" s="4731"/>
      <c r="K57" s="4732"/>
      <c r="L57" s="2641"/>
      <c r="M57" s="4731"/>
      <c r="N57" s="4732"/>
      <c r="O57" s="5441"/>
    </row>
    <row r="58" spans="2:15" x14ac:dyDescent="0.3">
      <c r="B58" s="2639" t="s">
        <v>755</v>
      </c>
      <c r="C58" s="4883" t="s">
        <v>377</v>
      </c>
      <c r="D58" s="3078"/>
      <c r="E58" s="3079"/>
      <c r="F58" s="3080"/>
      <c r="G58" s="4731">
        <v>2</v>
      </c>
      <c r="H58" s="4732">
        <v>1</v>
      </c>
      <c r="I58" s="2640">
        <f t="shared" si="28"/>
        <v>3</v>
      </c>
      <c r="J58" s="4731"/>
      <c r="K58" s="4732"/>
      <c r="L58" s="2641"/>
      <c r="M58" s="4731"/>
      <c r="N58" s="4732"/>
      <c r="O58" s="5441"/>
    </row>
    <row r="59" spans="2:15" x14ac:dyDescent="0.3">
      <c r="B59" s="2639" t="s">
        <v>755</v>
      </c>
      <c r="C59" s="4883" t="s">
        <v>379</v>
      </c>
      <c r="D59" s="3078"/>
      <c r="E59" s="3079"/>
      <c r="F59" s="3080"/>
      <c r="G59" s="4731">
        <v>3</v>
      </c>
      <c r="H59" s="4732">
        <v>11</v>
      </c>
      <c r="I59" s="2640">
        <f t="shared" si="28"/>
        <v>14</v>
      </c>
      <c r="J59" s="4731"/>
      <c r="K59" s="4732"/>
      <c r="L59" s="2641"/>
      <c r="M59" s="4731"/>
      <c r="N59" s="4732"/>
      <c r="O59" s="5441"/>
    </row>
    <row r="60" spans="2:15" x14ac:dyDescent="0.3">
      <c r="B60" s="4858" t="s">
        <v>755</v>
      </c>
      <c r="C60" s="4891" t="s">
        <v>1682</v>
      </c>
      <c r="D60" s="4677">
        <v>4</v>
      </c>
      <c r="E60" s="3074">
        <v>2</v>
      </c>
      <c r="F60" s="2640">
        <f t="shared" si="0"/>
        <v>6</v>
      </c>
      <c r="G60" s="4677"/>
      <c r="H60" s="3074"/>
      <c r="I60" s="2640"/>
      <c r="J60" s="4858"/>
      <c r="K60" s="3074">
        <v>1</v>
      </c>
      <c r="L60" s="2641">
        <f t="shared" ref="L60" si="29">SUM(J60:K60)</f>
        <v>1</v>
      </c>
      <c r="M60" s="5347"/>
      <c r="N60" s="3074"/>
      <c r="O60" s="5441"/>
    </row>
    <row r="61" spans="2:15" x14ac:dyDescent="0.3">
      <c r="B61" s="2639" t="s">
        <v>755</v>
      </c>
      <c r="C61" s="4883" t="s">
        <v>1683</v>
      </c>
      <c r="D61" s="4677">
        <v>10</v>
      </c>
      <c r="E61" s="3074">
        <v>6</v>
      </c>
      <c r="F61" s="2640">
        <f>SUM(D61:E61)</f>
        <v>16</v>
      </c>
      <c r="G61" s="4677">
        <v>4</v>
      </c>
      <c r="H61" s="3074">
        <v>5</v>
      </c>
      <c r="I61" s="2640">
        <f t="shared" si="28"/>
        <v>9</v>
      </c>
      <c r="J61" s="4858"/>
      <c r="K61" s="3074"/>
      <c r="L61" s="2641"/>
      <c r="M61" s="5347"/>
      <c r="N61" s="3074"/>
      <c r="O61" s="5441"/>
    </row>
    <row r="62" spans="2:15" x14ac:dyDescent="0.3">
      <c r="B62" s="2639"/>
      <c r="C62" s="4884" t="s">
        <v>64</v>
      </c>
      <c r="D62" s="3078">
        <f>SUM(D60:D61)</f>
        <v>14</v>
      </c>
      <c r="E62" s="3079">
        <f>SUM(E60:E61)</f>
        <v>8</v>
      </c>
      <c r="F62" s="3080">
        <f>SUM(F60:F61)</f>
        <v>22</v>
      </c>
      <c r="G62" s="3078">
        <f t="shared" ref="G62:L62" si="30">SUM(G53:G61)</f>
        <v>49</v>
      </c>
      <c r="H62" s="3079">
        <f t="shared" si="30"/>
        <v>67</v>
      </c>
      <c r="I62" s="3080">
        <f t="shared" si="30"/>
        <v>116</v>
      </c>
      <c r="J62" s="3078">
        <f t="shared" si="30"/>
        <v>0</v>
      </c>
      <c r="K62" s="3079">
        <f t="shared" si="30"/>
        <v>1</v>
      </c>
      <c r="L62" s="4878">
        <f t="shared" si="30"/>
        <v>1</v>
      </c>
      <c r="M62" s="3078"/>
      <c r="N62" s="3079"/>
      <c r="O62" s="5442"/>
    </row>
    <row r="63" spans="2:15" x14ac:dyDescent="0.3">
      <c r="B63" s="2639" t="s">
        <v>754</v>
      </c>
      <c r="C63" s="4883" t="s">
        <v>386</v>
      </c>
      <c r="D63" s="4677">
        <v>9</v>
      </c>
      <c r="E63" s="3074">
        <v>2</v>
      </c>
      <c r="F63" s="2640">
        <f t="shared" si="0"/>
        <v>11</v>
      </c>
      <c r="G63" s="4677">
        <v>5</v>
      </c>
      <c r="H63" s="3074">
        <v>4</v>
      </c>
      <c r="I63" s="2640">
        <f t="shared" ref="I63:I66" si="31">SUM(G63:H63)</f>
        <v>9</v>
      </c>
      <c r="J63" s="4858"/>
      <c r="K63" s="3074"/>
      <c r="L63" s="2641"/>
      <c r="M63" s="5347"/>
      <c r="N63" s="3074"/>
      <c r="O63" s="5441"/>
    </row>
    <row r="64" spans="2:15" x14ac:dyDescent="0.3">
      <c r="B64" s="2639" t="s">
        <v>754</v>
      </c>
      <c r="C64" s="4883" t="s">
        <v>385</v>
      </c>
      <c r="D64" s="4677">
        <v>11</v>
      </c>
      <c r="E64" s="3074">
        <v>3</v>
      </c>
      <c r="F64" s="2640">
        <f t="shared" si="0"/>
        <v>14</v>
      </c>
      <c r="G64" s="4677">
        <v>9</v>
      </c>
      <c r="H64" s="3074">
        <v>5</v>
      </c>
      <c r="I64" s="2640">
        <f t="shared" si="31"/>
        <v>14</v>
      </c>
      <c r="J64" s="4858"/>
      <c r="K64" s="3074"/>
      <c r="L64" s="2641"/>
      <c r="M64" s="5347"/>
      <c r="N64" s="3074"/>
      <c r="O64" s="5441"/>
    </row>
    <row r="65" spans="2:15" x14ac:dyDescent="0.3">
      <c r="B65" s="2639" t="s">
        <v>754</v>
      </c>
      <c r="C65" s="4883" t="s">
        <v>507</v>
      </c>
      <c r="D65" s="4677">
        <v>6</v>
      </c>
      <c r="E65" s="3074">
        <v>3</v>
      </c>
      <c r="F65" s="2640">
        <f t="shared" si="0"/>
        <v>9</v>
      </c>
      <c r="G65" s="4677">
        <v>7</v>
      </c>
      <c r="H65" s="3074">
        <v>6</v>
      </c>
      <c r="I65" s="2640">
        <f t="shared" si="31"/>
        <v>13</v>
      </c>
      <c r="J65" s="4858"/>
      <c r="K65" s="3074"/>
      <c r="L65" s="2641"/>
      <c r="M65" s="5347"/>
      <c r="N65" s="3074"/>
      <c r="O65" s="5441"/>
    </row>
    <row r="66" spans="2:15" x14ac:dyDescent="0.3">
      <c r="B66" s="2639" t="s">
        <v>754</v>
      </c>
      <c r="C66" s="4883" t="s">
        <v>544</v>
      </c>
      <c r="D66" s="4677">
        <v>6</v>
      </c>
      <c r="E66" s="3074">
        <v>3</v>
      </c>
      <c r="F66" s="2640">
        <f t="shared" si="0"/>
        <v>9</v>
      </c>
      <c r="G66" s="4677">
        <v>4</v>
      </c>
      <c r="H66" s="3074">
        <v>3</v>
      </c>
      <c r="I66" s="2640">
        <f t="shared" si="31"/>
        <v>7</v>
      </c>
      <c r="J66" s="4858"/>
      <c r="K66" s="3074"/>
      <c r="L66" s="2641"/>
      <c r="M66" s="5347"/>
      <c r="N66" s="3074"/>
      <c r="O66" s="5441"/>
    </row>
    <row r="67" spans="2:15" x14ac:dyDescent="0.3">
      <c r="B67" s="2639" t="s">
        <v>755</v>
      </c>
      <c r="C67" s="4883" t="s">
        <v>546</v>
      </c>
      <c r="D67" s="4677">
        <v>1</v>
      </c>
      <c r="E67" s="3074">
        <v>2</v>
      </c>
      <c r="F67" s="2640">
        <f>SUM(D67:E67)</f>
        <v>3</v>
      </c>
      <c r="G67" s="4677">
        <v>2</v>
      </c>
      <c r="H67" s="3074">
        <v>2</v>
      </c>
      <c r="I67" s="2640">
        <f>SUM(G67:H67)</f>
        <v>4</v>
      </c>
      <c r="J67" s="4858">
        <v>4</v>
      </c>
      <c r="K67" s="3074">
        <v>3</v>
      </c>
      <c r="L67" s="2641">
        <f>SUM(J67:K67)</f>
        <v>7</v>
      </c>
      <c r="M67" s="5347"/>
      <c r="N67" s="3074"/>
      <c r="O67" s="5441"/>
    </row>
    <row r="68" spans="2:15" x14ac:dyDescent="0.3">
      <c r="B68" s="2639" t="s">
        <v>755</v>
      </c>
      <c r="C68" s="4883" t="s">
        <v>545</v>
      </c>
      <c r="D68" s="4677">
        <v>5</v>
      </c>
      <c r="E68" s="3074">
        <v>7</v>
      </c>
      <c r="F68" s="2640">
        <f t="shared" si="0"/>
        <v>12</v>
      </c>
      <c r="G68" s="4677">
        <v>3</v>
      </c>
      <c r="H68" s="3074">
        <v>4</v>
      </c>
      <c r="I68" s="2640">
        <f t="shared" ref="I68:I69" si="32">SUM(G68:H68)</f>
        <v>7</v>
      </c>
      <c r="J68" s="4858">
        <v>3</v>
      </c>
      <c r="K68" s="3074">
        <v>4</v>
      </c>
      <c r="L68" s="2641">
        <f t="shared" ref="L68:L69" si="33">SUM(J68:K68)</f>
        <v>7</v>
      </c>
      <c r="M68" s="5347"/>
      <c r="N68" s="3074"/>
      <c r="O68" s="5441"/>
    </row>
    <row r="69" spans="2:15" x14ac:dyDescent="0.3">
      <c r="B69" s="2639" t="s">
        <v>755</v>
      </c>
      <c r="C69" s="4883" t="s">
        <v>354</v>
      </c>
      <c r="D69" s="4677">
        <v>3</v>
      </c>
      <c r="E69" s="3074">
        <v>1</v>
      </c>
      <c r="F69" s="2640">
        <f t="shared" si="0"/>
        <v>4</v>
      </c>
      <c r="G69" s="4677">
        <v>7</v>
      </c>
      <c r="H69" s="3074">
        <v>6</v>
      </c>
      <c r="I69" s="2640">
        <f t="shared" si="32"/>
        <v>13</v>
      </c>
      <c r="J69" s="4858">
        <v>2</v>
      </c>
      <c r="K69" s="3074">
        <v>2</v>
      </c>
      <c r="L69" s="2641">
        <f t="shared" si="33"/>
        <v>4</v>
      </c>
      <c r="M69" s="5347"/>
      <c r="N69" s="3074"/>
      <c r="O69" s="5441"/>
    </row>
    <row r="70" spans="2:15" x14ac:dyDescent="0.3">
      <c r="B70" s="2639"/>
      <c r="C70" s="4884" t="s">
        <v>92</v>
      </c>
      <c r="D70" s="3078">
        <f t="shared" ref="D70:I70" si="34">SUM(D63:D69)</f>
        <v>41</v>
      </c>
      <c r="E70" s="3079">
        <f t="shared" si="34"/>
        <v>21</v>
      </c>
      <c r="F70" s="3080">
        <f t="shared" si="34"/>
        <v>62</v>
      </c>
      <c r="G70" s="3078">
        <f t="shared" si="34"/>
        <v>37</v>
      </c>
      <c r="H70" s="3079">
        <f t="shared" si="34"/>
        <v>30</v>
      </c>
      <c r="I70" s="3080">
        <f t="shared" si="34"/>
        <v>67</v>
      </c>
      <c r="J70" s="3078">
        <f t="shared" ref="J70:L70" si="35">SUM(J63:J69)</f>
        <v>9</v>
      </c>
      <c r="K70" s="3079">
        <f t="shared" si="35"/>
        <v>9</v>
      </c>
      <c r="L70" s="4878">
        <f t="shared" si="35"/>
        <v>18</v>
      </c>
      <c r="M70" s="3078"/>
      <c r="N70" s="3079"/>
      <c r="O70" s="5442"/>
    </row>
    <row r="71" spans="2:15" x14ac:dyDescent="0.3">
      <c r="B71" s="4885"/>
      <c r="C71" s="4892" t="s">
        <v>135</v>
      </c>
      <c r="D71" s="2656">
        <f t="shared" ref="D71:I71" si="36">SUM(D70,D62,D52)</f>
        <v>73</v>
      </c>
      <c r="E71" s="3087">
        <f t="shared" si="36"/>
        <v>61</v>
      </c>
      <c r="F71" s="2657">
        <f t="shared" si="36"/>
        <v>134</v>
      </c>
      <c r="G71" s="2656">
        <f t="shared" si="36"/>
        <v>116</v>
      </c>
      <c r="H71" s="3087">
        <f t="shared" si="36"/>
        <v>148</v>
      </c>
      <c r="I71" s="2657">
        <f t="shared" si="36"/>
        <v>264</v>
      </c>
      <c r="J71" s="2656">
        <f t="shared" ref="J71:L71" si="37">SUM(J70,J62,J52)</f>
        <v>27</v>
      </c>
      <c r="K71" s="3087">
        <f t="shared" si="37"/>
        <v>22</v>
      </c>
      <c r="L71" s="2655">
        <f t="shared" si="37"/>
        <v>49</v>
      </c>
      <c r="M71" s="2656"/>
      <c r="N71" s="3087"/>
      <c r="O71" s="5446"/>
    </row>
    <row r="72" spans="2:15" x14ac:dyDescent="0.3">
      <c r="B72" s="4887" t="s">
        <v>754</v>
      </c>
      <c r="C72" s="4888" t="s">
        <v>393</v>
      </c>
      <c r="D72" s="4676">
        <v>13</v>
      </c>
      <c r="E72" s="3083">
        <v>13</v>
      </c>
      <c r="F72" s="3071">
        <f t="shared" si="0"/>
        <v>26</v>
      </c>
      <c r="G72" s="4676"/>
      <c r="H72" s="3083"/>
      <c r="I72" s="3071">
        <f t="shared" ref="I72:I83" si="38">SUM(G72:H72)</f>
        <v>0</v>
      </c>
      <c r="J72" s="4857"/>
      <c r="K72" s="3083"/>
      <c r="L72" s="4879"/>
      <c r="M72" s="5346"/>
      <c r="N72" s="3083"/>
      <c r="O72" s="5444"/>
    </row>
    <row r="73" spans="2:15" x14ac:dyDescent="0.3">
      <c r="B73" s="4887" t="s">
        <v>754</v>
      </c>
      <c r="C73" s="4888" t="s">
        <v>394</v>
      </c>
      <c r="D73" s="4676"/>
      <c r="E73" s="3083"/>
      <c r="F73" s="3071"/>
      <c r="G73" s="4676">
        <v>16</v>
      </c>
      <c r="H73" s="3083">
        <v>4</v>
      </c>
      <c r="I73" s="3071">
        <f t="shared" si="38"/>
        <v>20</v>
      </c>
      <c r="J73" s="4857"/>
      <c r="K73" s="3083"/>
      <c r="L73" s="4879"/>
      <c r="M73" s="5346"/>
      <c r="N73" s="3083"/>
      <c r="O73" s="5444"/>
    </row>
    <row r="74" spans="2:15" x14ac:dyDescent="0.3">
      <c r="B74" s="4887" t="s">
        <v>754</v>
      </c>
      <c r="C74" s="4888" t="s">
        <v>707</v>
      </c>
      <c r="D74" s="4676"/>
      <c r="E74" s="3083"/>
      <c r="F74" s="3071"/>
      <c r="G74" s="4676">
        <v>9</v>
      </c>
      <c r="H74" s="3083">
        <v>3</v>
      </c>
      <c r="I74" s="3071">
        <f t="shared" si="38"/>
        <v>12</v>
      </c>
      <c r="J74" s="4857"/>
      <c r="K74" s="3083"/>
      <c r="L74" s="4879"/>
      <c r="M74" s="5346"/>
      <c r="N74" s="3083"/>
      <c r="O74" s="5444"/>
    </row>
    <row r="75" spans="2:15" x14ac:dyDescent="0.3">
      <c r="B75" s="4887" t="s">
        <v>754</v>
      </c>
      <c r="C75" s="4888" t="s">
        <v>392</v>
      </c>
      <c r="D75" s="4676"/>
      <c r="E75" s="3083"/>
      <c r="F75" s="3071"/>
      <c r="G75" s="4676">
        <v>19</v>
      </c>
      <c r="H75" s="3083"/>
      <c r="I75" s="3071">
        <f t="shared" si="38"/>
        <v>19</v>
      </c>
      <c r="J75" s="4857"/>
      <c r="K75" s="3083"/>
      <c r="L75" s="4879"/>
      <c r="M75" s="5346"/>
      <c r="N75" s="3083"/>
      <c r="O75" s="5444"/>
    </row>
    <row r="76" spans="2:15" x14ac:dyDescent="0.3">
      <c r="B76" s="4887" t="s">
        <v>754</v>
      </c>
      <c r="C76" s="4888" t="s">
        <v>399</v>
      </c>
      <c r="D76" s="4676"/>
      <c r="E76" s="3083"/>
      <c r="F76" s="3071"/>
      <c r="G76" s="4676">
        <v>9</v>
      </c>
      <c r="H76" s="3083">
        <v>8</v>
      </c>
      <c r="I76" s="3071">
        <f t="shared" si="38"/>
        <v>17</v>
      </c>
      <c r="J76" s="4857"/>
      <c r="K76" s="3083"/>
      <c r="L76" s="4879"/>
      <c r="M76" s="5346"/>
      <c r="N76" s="3083"/>
      <c r="O76" s="5444"/>
    </row>
    <row r="77" spans="2:15" x14ac:dyDescent="0.3">
      <c r="B77" s="4887" t="s">
        <v>754</v>
      </c>
      <c r="C77" s="4888" t="s">
        <v>722</v>
      </c>
      <c r="D77" s="4676"/>
      <c r="E77" s="3083"/>
      <c r="F77" s="3071"/>
      <c r="G77" s="4676">
        <v>15</v>
      </c>
      <c r="H77" s="3083">
        <v>7</v>
      </c>
      <c r="I77" s="3071">
        <f t="shared" si="38"/>
        <v>22</v>
      </c>
      <c r="J77" s="4857"/>
      <c r="K77" s="3083"/>
      <c r="L77" s="4879"/>
      <c r="M77" s="5346"/>
      <c r="N77" s="3083"/>
      <c r="O77" s="5444"/>
    </row>
    <row r="78" spans="2:15" x14ac:dyDescent="0.3">
      <c r="B78" s="4887" t="s">
        <v>754</v>
      </c>
      <c r="C78" s="4888" t="s">
        <v>328</v>
      </c>
      <c r="D78" s="4676"/>
      <c r="E78" s="3083"/>
      <c r="F78" s="3071"/>
      <c r="G78" s="4676">
        <v>5</v>
      </c>
      <c r="H78" s="3083">
        <v>6</v>
      </c>
      <c r="I78" s="3071">
        <f t="shared" si="38"/>
        <v>11</v>
      </c>
      <c r="J78" s="4857">
        <v>2</v>
      </c>
      <c r="K78" s="3083">
        <v>8</v>
      </c>
      <c r="L78" s="4879">
        <f t="shared" ref="L78:L83" si="39">SUM(J78:K78)</f>
        <v>10</v>
      </c>
      <c r="M78" s="5346"/>
      <c r="N78" s="3083"/>
      <c r="O78" s="5444"/>
    </row>
    <row r="79" spans="2:15" x14ac:dyDescent="0.3">
      <c r="B79" s="4887" t="s">
        <v>754</v>
      </c>
      <c r="C79" s="4888" t="s">
        <v>398</v>
      </c>
      <c r="D79" s="4676"/>
      <c r="E79" s="3083"/>
      <c r="F79" s="3071"/>
      <c r="G79" s="4676">
        <v>6</v>
      </c>
      <c r="H79" s="3083">
        <v>5</v>
      </c>
      <c r="I79" s="3071">
        <f t="shared" si="38"/>
        <v>11</v>
      </c>
      <c r="J79" s="4857"/>
      <c r="K79" s="3083"/>
      <c r="L79" s="4879"/>
      <c r="M79" s="5346"/>
      <c r="N79" s="3083"/>
      <c r="O79" s="5444"/>
    </row>
    <row r="80" spans="2:15" x14ac:dyDescent="0.3">
      <c r="B80" s="4887" t="s">
        <v>754</v>
      </c>
      <c r="C80" s="4883" t="s">
        <v>396</v>
      </c>
      <c r="D80" s="4676"/>
      <c r="E80" s="3083"/>
      <c r="F80" s="3071"/>
      <c r="G80" s="4676">
        <v>7</v>
      </c>
      <c r="H80" s="3083">
        <v>9</v>
      </c>
      <c r="I80" s="3071">
        <f t="shared" si="38"/>
        <v>16</v>
      </c>
      <c r="J80" s="4857"/>
      <c r="K80" s="3083"/>
      <c r="L80" s="4879"/>
      <c r="M80" s="5346"/>
      <c r="N80" s="3083"/>
      <c r="O80" s="5444"/>
    </row>
    <row r="81" spans="2:15" x14ac:dyDescent="0.3">
      <c r="B81" s="4858" t="s">
        <v>755</v>
      </c>
      <c r="C81" s="4891" t="s">
        <v>1684</v>
      </c>
      <c r="D81" s="4677">
        <v>3</v>
      </c>
      <c r="E81" s="3074">
        <v>7</v>
      </c>
      <c r="F81" s="2640">
        <f>SUM(D81:E81)</f>
        <v>10</v>
      </c>
      <c r="G81" s="4677"/>
      <c r="H81" s="3074"/>
      <c r="I81" s="3071"/>
      <c r="J81" s="4858">
        <v>16</v>
      </c>
      <c r="K81" s="3074">
        <v>23</v>
      </c>
      <c r="L81" s="4879">
        <f t="shared" si="39"/>
        <v>39</v>
      </c>
      <c r="M81" s="5347"/>
      <c r="N81" s="3074"/>
      <c r="O81" s="5444"/>
    </row>
    <row r="82" spans="2:15" x14ac:dyDescent="0.3">
      <c r="B82" s="2639" t="s">
        <v>755</v>
      </c>
      <c r="C82" s="4883" t="s">
        <v>1685</v>
      </c>
      <c r="D82" s="4677">
        <v>5</v>
      </c>
      <c r="E82" s="3074">
        <v>8</v>
      </c>
      <c r="F82" s="2640">
        <f t="shared" si="0"/>
        <v>13</v>
      </c>
      <c r="G82" s="4677"/>
      <c r="H82" s="3074"/>
      <c r="I82" s="3071"/>
      <c r="J82" s="4858"/>
      <c r="K82" s="3074"/>
      <c r="L82" s="4879"/>
      <c r="M82" s="5347"/>
      <c r="N82" s="3074"/>
      <c r="O82" s="5444"/>
    </row>
    <row r="83" spans="2:15" x14ac:dyDescent="0.3">
      <c r="B83" s="2639" t="s">
        <v>755</v>
      </c>
      <c r="C83" s="4883" t="s">
        <v>335</v>
      </c>
      <c r="D83" s="4677"/>
      <c r="E83" s="3074"/>
      <c r="F83" s="2640"/>
      <c r="G83" s="4677"/>
      <c r="H83" s="3074">
        <v>4</v>
      </c>
      <c r="I83" s="3071">
        <f t="shared" si="38"/>
        <v>4</v>
      </c>
      <c r="J83" s="4858">
        <v>2</v>
      </c>
      <c r="K83" s="3074">
        <v>3</v>
      </c>
      <c r="L83" s="4879">
        <f t="shared" si="39"/>
        <v>5</v>
      </c>
      <c r="M83" s="5347"/>
      <c r="N83" s="3074"/>
      <c r="O83" s="5444"/>
    </row>
    <row r="84" spans="2:15" x14ac:dyDescent="0.3">
      <c r="B84" s="2639"/>
      <c r="C84" s="4884" t="s">
        <v>64</v>
      </c>
      <c r="D84" s="3078">
        <f>SUM(D72:D82)</f>
        <v>21</v>
      </c>
      <c r="E84" s="3079">
        <f>SUM(E72:E82)</f>
        <v>28</v>
      </c>
      <c r="F84" s="3080">
        <f>SUM(F72:F82)</f>
        <v>49</v>
      </c>
      <c r="G84" s="3078">
        <f>SUM(G72:G82)</f>
        <v>86</v>
      </c>
      <c r="H84" s="3079">
        <f>SUM(H72:H83)</f>
        <v>46</v>
      </c>
      <c r="I84" s="3080">
        <f>SUM(I72:I83)</f>
        <v>132</v>
      </c>
      <c r="J84" s="3078">
        <f>SUM(J72:J83)</f>
        <v>20</v>
      </c>
      <c r="K84" s="3079">
        <f>SUM(K72:K83)</f>
        <v>34</v>
      </c>
      <c r="L84" s="4878">
        <f>SUM(L72:L83)</f>
        <v>54</v>
      </c>
      <c r="M84" s="3078"/>
      <c r="N84" s="3079"/>
      <c r="O84" s="5442"/>
    </row>
    <row r="85" spans="2:15" x14ac:dyDescent="0.3">
      <c r="B85" s="4858" t="s">
        <v>754</v>
      </c>
      <c r="C85" s="4893" t="s">
        <v>412</v>
      </c>
      <c r="D85" s="4677">
        <v>2</v>
      </c>
      <c r="E85" s="3074">
        <v>1</v>
      </c>
      <c r="F85" s="2640">
        <f t="shared" si="0"/>
        <v>3</v>
      </c>
      <c r="G85" s="4677">
        <v>6</v>
      </c>
      <c r="H85" s="3074">
        <v>5</v>
      </c>
      <c r="I85" s="2640">
        <f t="shared" ref="I85:I95" si="40">SUM(G85:H85)</f>
        <v>11</v>
      </c>
      <c r="J85" s="4858">
        <v>3</v>
      </c>
      <c r="K85" s="3074"/>
      <c r="L85" s="2641">
        <f t="shared" ref="L85:L94" si="41">SUM(J85:K85)</f>
        <v>3</v>
      </c>
      <c r="M85" s="5347"/>
      <c r="N85" s="3074"/>
      <c r="O85" s="5441"/>
    </row>
    <row r="86" spans="2:15" x14ac:dyDescent="0.3">
      <c r="B86" s="2639" t="s">
        <v>754</v>
      </c>
      <c r="C86" s="4883" t="s">
        <v>413</v>
      </c>
      <c r="D86" s="4677">
        <v>12</v>
      </c>
      <c r="E86" s="3074">
        <v>5</v>
      </c>
      <c r="F86" s="2640">
        <f t="shared" si="0"/>
        <v>17</v>
      </c>
      <c r="G86" s="4677">
        <v>11</v>
      </c>
      <c r="H86" s="3074">
        <v>9</v>
      </c>
      <c r="I86" s="2640">
        <f t="shared" si="40"/>
        <v>20</v>
      </c>
      <c r="J86" s="4858"/>
      <c r="K86" s="3074"/>
      <c r="L86" s="2641"/>
      <c r="M86" s="5347"/>
      <c r="N86" s="3074"/>
      <c r="O86" s="5441"/>
    </row>
    <row r="87" spans="2:15" x14ac:dyDescent="0.3">
      <c r="B87" s="2639" t="s">
        <v>754</v>
      </c>
      <c r="C87" s="4883" t="s">
        <v>407</v>
      </c>
      <c r="D87" s="4855"/>
      <c r="E87" s="3074"/>
      <c r="F87" s="2640"/>
      <c r="G87" s="4855"/>
      <c r="H87" s="3074"/>
      <c r="I87" s="2640"/>
      <c r="J87" s="4858">
        <v>5</v>
      </c>
      <c r="K87" s="3074">
        <v>2</v>
      </c>
      <c r="L87" s="2641">
        <f t="shared" si="41"/>
        <v>7</v>
      </c>
      <c r="M87" s="5347"/>
      <c r="N87" s="3074"/>
      <c r="O87" s="5441"/>
    </row>
    <row r="88" spans="2:15" x14ac:dyDescent="0.3">
      <c r="B88" s="2639" t="s">
        <v>754</v>
      </c>
      <c r="C88" s="4883" t="s">
        <v>410</v>
      </c>
      <c r="D88" s="4677"/>
      <c r="E88" s="3074"/>
      <c r="F88" s="2640"/>
      <c r="G88" s="4677">
        <v>6</v>
      </c>
      <c r="H88" s="3074">
        <v>3</v>
      </c>
      <c r="I88" s="2640">
        <f t="shared" si="40"/>
        <v>9</v>
      </c>
      <c r="J88" s="4858"/>
      <c r="K88" s="3074"/>
      <c r="L88" s="2641"/>
      <c r="M88" s="5347"/>
      <c r="N88" s="3074"/>
      <c r="O88" s="5441"/>
    </row>
    <row r="89" spans="2:15" x14ac:dyDescent="0.3">
      <c r="B89" s="2639" t="s">
        <v>754</v>
      </c>
      <c r="C89" s="4883" t="s">
        <v>414</v>
      </c>
      <c r="D89" s="4677"/>
      <c r="E89" s="3074"/>
      <c r="F89" s="2640"/>
      <c r="G89" s="4677">
        <v>5</v>
      </c>
      <c r="H89" s="3074">
        <v>3</v>
      </c>
      <c r="I89" s="2640">
        <f t="shared" si="40"/>
        <v>8</v>
      </c>
      <c r="J89" s="4858"/>
      <c r="K89" s="3074"/>
      <c r="L89" s="2641"/>
      <c r="M89" s="5347"/>
      <c r="N89" s="3074"/>
      <c r="O89" s="5441"/>
    </row>
    <row r="90" spans="2:15" x14ac:dyDescent="0.3">
      <c r="B90" s="2639" t="s">
        <v>754</v>
      </c>
      <c r="C90" s="4883" t="s">
        <v>409</v>
      </c>
      <c r="D90" s="4677">
        <v>10</v>
      </c>
      <c r="E90" s="3074"/>
      <c r="F90" s="2640">
        <f>SUM(D90:E90)</f>
        <v>10</v>
      </c>
      <c r="G90" s="4677">
        <v>8</v>
      </c>
      <c r="H90" s="3074">
        <v>2</v>
      </c>
      <c r="I90" s="2640">
        <f t="shared" si="40"/>
        <v>10</v>
      </c>
      <c r="J90" s="4858"/>
      <c r="K90" s="3074"/>
      <c r="L90" s="2641"/>
      <c r="M90" s="5347"/>
      <c r="N90" s="3074"/>
      <c r="O90" s="5441"/>
    </row>
    <row r="91" spans="2:15" x14ac:dyDescent="0.3">
      <c r="B91" s="2639" t="s">
        <v>754</v>
      </c>
      <c r="C91" s="2638" t="s">
        <v>415</v>
      </c>
      <c r="D91" s="4677"/>
      <c r="E91" s="3074"/>
      <c r="F91" s="2640"/>
      <c r="G91" s="4677">
        <v>5</v>
      </c>
      <c r="H91" s="3076">
        <v>1</v>
      </c>
      <c r="I91" s="2640">
        <f t="shared" si="40"/>
        <v>6</v>
      </c>
      <c r="J91" s="4858"/>
      <c r="K91" s="3076"/>
      <c r="L91" s="2641"/>
      <c r="M91" s="5347"/>
      <c r="N91" s="3076"/>
      <c r="O91" s="5441"/>
    </row>
    <row r="92" spans="2:15" x14ac:dyDescent="0.3">
      <c r="B92" s="2639" t="s">
        <v>754</v>
      </c>
      <c r="C92" s="2638" t="s">
        <v>408</v>
      </c>
      <c r="D92" s="4677">
        <v>3</v>
      </c>
      <c r="E92" s="3076"/>
      <c r="F92" s="2640">
        <f>SUM(D92:E92)</f>
        <v>3</v>
      </c>
      <c r="G92" s="4677"/>
      <c r="H92" s="3076"/>
      <c r="I92" s="2640"/>
      <c r="J92" s="4858"/>
      <c r="K92" s="3076"/>
      <c r="L92" s="2641"/>
      <c r="M92" s="5347"/>
      <c r="N92" s="3076"/>
      <c r="O92" s="5441"/>
    </row>
    <row r="93" spans="2:15" x14ac:dyDescent="0.3">
      <c r="B93" s="2639" t="s">
        <v>755</v>
      </c>
      <c r="C93" s="2638" t="s">
        <v>417</v>
      </c>
      <c r="D93" s="4677"/>
      <c r="E93" s="3076"/>
      <c r="F93" s="2640"/>
      <c r="G93" s="4677">
        <v>1</v>
      </c>
      <c r="H93" s="3076"/>
      <c r="I93" s="2640">
        <f t="shared" si="40"/>
        <v>1</v>
      </c>
      <c r="J93" s="4858">
        <v>1</v>
      </c>
      <c r="K93" s="3076"/>
      <c r="L93" s="2641">
        <f t="shared" si="41"/>
        <v>1</v>
      </c>
      <c r="M93" s="5347"/>
      <c r="N93" s="3076"/>
      <c r="O93" s="5441"/>
    </row>
    <row r="94" spans="2:15" x14ac:dyDescent="0.3">
      <c r="B94" s="2639" t="s">
        <v>755</v>
      </c>
      <c r="C94" s="4883" t="s">
        <v>354</v>
      </c>
      <c r="D94" s="4677">
        <v>1</v>
      </c>
      <c r="E94" s="3074">
        <v>2</v>
      </c>
      <c r="F94" s="2640">
        <f t="shared" si="0"/>
        <v>3</v>
      </c>
      <c r="G94" s="4677">
        <v>8</v>
      </c>
      <c r="H94" s="3074">
        <v>4</v>
      </c>
      <c r="I94" s="2640">
        <f t="shared" si="40"/>
        <v>12</v>
      </c>
      <c r="J94" s="4858">
        <v>3</v>
      </c>
      <c r="K94" s="3074">
        <v>2</v>
      </c>
      <c r="L94" s="2641">
        <f t="shared" si="41"/>
        <v>5</v>
      </c>
      <c r="M94" s="5347"/>
      <c r="N94" s="3074"/>
      <c r="O94" s="5441"/>
    </row>
    <row r="95" spans="2:15" x14ac:dyDescent="0.3">
      <c r="B95" s="2639" t="s">
        <v>755</v>
      </c>
      <c r="C95" s="4883" t="s">
        <v>1686</v>
      </c>
      <c r="D95" s="4677">
        <v>7</v>
      </c>
      <c r="E95" s="3074">
        <v>2</v>
      </c>
      <c r="F95" s="2640">
        <f t="shared" si="0"/>
        <v>9</v>
      </c>
      <c r="G95" s="4677"/>
      <c r="H95" s="3074"/>
      <c r="I95" s="2640">
        <f t="shared" si="40"/>
        <v>0</v>
      </c>
      <c r="J95" s="4858"/>
      <c r="K95" s="3074"/>
      <c r="L95" s="2641"/>
      <c r="M95" s="5347"/>
      <c r="N95" s="3074"/>
      <c r="O95" s="5441"/>
    </row>
    <row r="96" spans="2:15" x14ac:dyDescent="0.3">
      <c r="B96" s="2639"/>
      <c r="C96" s="4884" t="s">
        <v>92</v>
      </c>
      <c r="D96" s="3078">
        <f t="shared" ref="D96:I96" si="42">SUM(D85:D95)</f>
        <v>35</v>
      </c>
      <c r="E96" s="3079">
        <f t="shared" si="42"/>
        <v>10</v>
      </c>
      <c r="F96" s="3080">
        <f t="shared" si="42"/>
        <v>45</v>
      </c>
      <c r="G96" s="3078">
        <f t="shared" si="42"/>
        <v>50</v>
      </c>
      <c r="H96" s="3079">
        <f t="shared" si="42"/>
        <v>27</v>
      </c>
      <c r="I96" s="3080">
        <f t="shared" si="42"/>
        <v>77</v>
      </c>
      <c r="J96" s="3078">
        <f>SUM(J85:J95)</f>
        <v>12</v>
      </c>
      <c r="K96" s="3079">
        <f t="shared" ref="K96:L96" si="43">SUM(K85:K95)</f>
        <v>4</v>
      </c>
      <c r="L96" s="4878">
        <f t="shared" si="43"/>
        <v>16</v>
      </c>
      <c r="M96" s="3078"/>
      <c r="N96" s="3079"/>
      <c r="O96" s="5442"/>
    </row>
    <row r="97" spans="2:15" x14ac:dyDescent="0.3">
      <c r="B97" s="4858" t="s">
        <v>754</v>
      </c>
      <c r="C97" s="4891" t="s">
        <v>419</v>
      </c>
      <c r="D97" s="4677">
        <v>1</v>
      </c>
      <c r="E97" s="3074">
        <v>6</v>
      </c>
      <c r="F97" s="2640">
        <f t="shared" si="0"/>
        <v>7</v>
      </c>
      <c r="G97" s="4677"/>
      <c r="H97" s="3074"/>
      <c r="I97" s="2640"/>
      <c r="J97" s="4858"/>
      <c r="K97" s="3074"/>
      <c r="L97" s="2641"/>
      <c r="M97" s="5347"/>
      <c r="N97" s="3074"/>
      <c r="O97" s="5441"/>
    </row>
    <row r="98" spans="2:15" x14ac:dyDescent="0.3">
      <c r="B98" s="2639" t="s">
        <v>754</v>
      </c>
      <c r="C98" s="4883" t="s">
        <v>418</v>
      </c>
      <c r="D98" s="4677">
        <v>14</v>
      </c>
      <c r="E98" s="3074">
        <v>7</v>
      </c>
      <c r="F98" s="2640">
        <f t="shared" si="0"/>
        <v>21</v>
      </c>
      <c r="G98" s="4677">
        <v>11</v>
      </c>
      <c r="H98" s="3074">
        <v>7</v>
      </c>
      <c r="I98" s="2640">
        <f t="shared" ref="I98:I99" si="44">SUM(G98:H98)</f>
        <v>18</v>
      </c>
      <c r="J98" s="4858"/>
      <c r="K98" s="3074"/>
      <c r="L98" s="2641"/>
      <c r="M98" s="5347"/>
      <c r="N98" s="3074"/>
      <c r="O98" s="5441"/>
    </row>
    <row r="99" spans="2:15" ht="17.100000000000001" customHeight="1" x14ac:dyDescent="0.3">
      <c r="B99" s="2639" t="s">
        <v>755</v>
      </c>
      <c r="C99" s="4883" t="s">
        <v>421</v>
      </c>
      <c r="D99" s="4677"/>
      <c r="E99" s="3074"/>
      <c r="F99" s="2640"/>
      <c r="G99" s="4677">
        <v>4</v>
      </c>
      <c r="H99" s="3074">
        <v>2</v>
      </c>
      <c r="I99" s="2640">
        <f t="shared" si="44"/>
        <v>6</v>
      </c>
      <c r="J99" s="4858">
        <v>2</v>
      </c>
      <c r="K99" s="3074">
        <v>4</v>
      </c>
      <c r="L99" s="2641">
        <f t="shared" ref="L99" si="45">SUM(J99:K99)</f>
        <v>6</v>
      </c>
      <c r="M99" s="5347"/>
      <c r="N99" s="3074"/>
      <c r="O99" s="5441"/>
    </row>
    <row r="100" spans="2:15" ht="17.100000000000001" customHeight="1" x14ac:dyDescent="0.3">
      <c r="B100" s="4894"/>
      <c r="C100" s="4884" t="s">
        <v>68</v>
      </c>
      <c r="D100" s="3088">
        <f>SUM(D97:D98)</f>
        <v>15</v>
      </c>
      <c r="E100" s="3089">
        <f>SUM(E97:E98)</f>
        <v>13</v>
      </c>
      <c r="F100" s="3090">
        <f>SUM(F97:F98)</f>
        <v>28</v>
      </c>
      <c r="G100" s="3088">
        <f t="shared" ref="G100:L100" si="46">SUM(G97:G99)</f>
        <v>15</v>
      </c>
      <c r="H100" s="3089">
        <f t="shared" si="46"/>
        <v>9</v>
      </c>
      <c r="I100" s="3090">
        <f t="shared" si="46"/>
        <v>24</v>
      </c>
      <c r="J100" s="3088">
        <f t="shared" si="46"/>
        <v>2</v>
      </c>
      <c r="K100" s="3089">
        <f t="shared" si="46"/>
        <v>4</v>
      </c>
      <c r="L100" s="4880">
        <f t="shared" si="46"/>
        <v>6</v>
      </c>
      <c r="M100" s="3088"/>
      <c r="N100" s="3089"/>
      <c r="O100" s="5447"/>
    </row>
    <row r="101" spans="2:15" ht="17.100000000000001" customHeight="1" x14ac:dyDescent="0.3">
      <c r="B101" s="4895"/>
      <c r="C101" s="4896" t="s">
        <v>290</v>
      </c>
      <c r="D101" s="2661">
        <f t="shared" ref="D101:I101" si="47">SUM(D100,D96,D84)</f>
        <v>71</v>
      </c>
      <c r="E101" s="3092">
        <f t="shared" si="47"/>
        <v>51</v>
      </c>
      <c r="F101" s="2662">
        <f t="shared" si="47"/>
        <v>122</v>
      </c>
      <c r="G101" s="2661">
        <f t="shared" si="47"/>
        <v>151</v>
      </c>
      <c r="H101" s="3092">
        <f t="shared" si="47"/>
        <v>82</v>
      </c>
      <c r="I101" s="2662">
        <f t="shared" si="47"/>
        <v>233</v>
      </c>
      <c r="J101" s="2661">
        <f t="shared" ref="J101:L101" si="48">SUM(J100,J96,J84)</f>
        <v>34</v>
      </c>
      <c r="K101" s="3092">
        <f t="shared" si="48"/>
        <v>42</v>
      </c>
      <c r="L101" s="2660">
        <f t="shared" si="48"/>
        <v>76</v>
      </c>
      <c r="M101" s="2661"/>
      <c r="N101" s="3092"/>
      <c r="O101" s="5448"/>
    </row>
    <row r="102" spans="2:15" ht="17.100000000000001" customHeight="1" x14ac:dyDescent="0.3"/>
    <row r="103" spans="2:15" x14ac:dyDescent="0.3">
      <c r="C103" s="4900" t="s">
        <v>7</v>
      </c>
      <c r="D103" s="4900">
        <f t="shared" ref="D103:I103" si="49">SUM(D101,D71,D38,D28)</f>
        <v>211</v>
      </c>
      <c r="E103" s="4903">
        <f t="shared" si="49"/>
        <v>183</v>
      </c>
      <c r="F103" s="4901">
        <f t="shared" si="49"/>
        <v>394</v>
      </c>
      <c r="G103" s="4900">
        <f t="shared" si="49"/>
        <v>334</v>
      </c>
      <c r="H103" s="4903">
        <f t="shared" si="49"/>
        <v>298</v>
      </c>
      <c r="I103" s="4901">
        <f t="shared" si="49"/>
        <v>632</v>
      </c>
      <c r="J103" s="4900">
        <f t="shared" ref="J103:L103" si="50">SUM(J101,J71,J38,J28)</f>
        <v>73</v>
      </c>
      <c r="K103" s="4903">
        <f t="shared" si="50"/>
        <v>83</v>
      </c>
      <c r="L103" s="4904">
        <f t="shared" si="50"/>
        <v>156</v>
      </c>
      <c r="M103" s="4900"/>
      <c r="N103" s="4903"/>
      <c r="O103" s="4902"/>
    </row>
    <row r="104" spans="2:15" x14ac:dyDescent="0.3">
      <c r="C104" s="3037" t="s">
        <v>739</v>
      </c>
    </row>
  </sheetData>
  <mergeCells count="6">
    <mergeCell ref="M3:O3"/>
    <mergeCell ref="J3:L3"/>
    <mergeCell ref="B3:B4"/>
    <mergeCell ref="C3:C4"/>
    <mergeCell ref="D3:F3"/>
    <mergeCell ref="G3:I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58" firstPageNumber="128" orientation="landscape" useFirstPageNumber="1" r:id="rId1"/>
  <headerFooter scaleWithDoc="0" alignWithMargins="0">
    <oddFooter>&amp;R&amp;P</oddFooter>
  </headerFooter>
  <rowBreaks count="1" manualBreakCount="1">
    <brk id="52" min="1" max="14" man="1"/>
  </rowBreaks>
  <ignoredErrors>
    <ignoredError sqref="F15:I15 F94:I96 F93:G93 I93 F76:I80 F75:G75 I75 F57:I59 F56 H56:I56 F50:I55 F49 H49:I49 F48:I48 F47 H47:I47 F45:I46 F44 H44:I44 F42:I43 F41 H41:I41 F37:I37 F35:F36 H35:I36 F27:I27 F26:H26 F24:I25 F18:H19 F62:I74 F60:H60 F88:I91 F81:H82 F92:H92 F98:I103 F97:H97 F16:H16 F20:I22 J27:L28 F83:I86 J38 J31:L31 J29:K30 J33:L33 J32:K32 F29:I34 G28:I28 F39:I40 G38:I38 G61:I61" formula="1"/>
  </ignoredErrors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</sheetPr>
  <dimension ref="B1:I10"/>
  <sheetViews>
    <sheetView showGridLines="0" zoomScaleNormal="100" workbookViewId="0">
      <selection activeCell="L6" sqref="L6"/>
    </sheetView>
  </sheetViews>
  <sheetFormatPr baseColWidth="10" defaultRowHeight="13.2" x14ac:dyDescent="0.25"/>
  <cols>
    <col min="1" max="1" width="5.6640625" customWidth="1"/>
    <col min="3" max="3" width="42.88671875" customWidth="1"/>
    <col min="4" max="4" width="8.5546875" bestFit="1" customWidth="1"/>
    <col min="5" max="5" width="10.44140625" customWidth="1"/>
    <col min="6" max="6" width="7.5546875" customWidth="1"/>
    <col min="7" max="7" width="8.5546875" bestFit="1" customWidth="1"/>
    <col min="8" max="8" width="9.44140625" bestFit="1" customWidth="1"/>
    <col min="9" max="9" width="7.6640625" customWidth="1"/>
  </cols>
  <sheetData>
    <row r="1" spans="2:9" ht="18" x14ac:dyDescent="0.35">
      <c r="B1" s="2624" t="s">
        <v>1660</v>
      </c>
      <c r="C1" s="558"/>
    </row>
    <row r="2" spans="2:9" ht="14.4" x14ac:dyDescent="0.3">
      <c r="C2" s="558"/>
    </row>
    <row r="3" spans="2:9" ht="14.4" x14ac:dyDescent="0.25">
      <c r="B3" s="6145" t="s">
        <v>597</v>
      </c>
      <c r="C3" s="6141" t="s">
        <v>757</v>
      </c>
      <c r="D3" s="6142">
        <v>2021</v>
      </c>
      <c r="E3" s="6143"/>
      <c r="F3" s="6144"/>
      <c r="G3" s="6142">
        <v>2022</v>
      </c>
      <c r="H3" s="6143"/>
      <c r="I3" s="6144"/>
    </row>
    <row r="4" spans="2:9" ht="27.6" x14ac:dyDescent="0.25">
      <c r="B4" s="6146"/>
      <c r="C4" s="6137"/>
      <c r="D4" s="4875" t="s">
        <v>140</v>
      </c>
      <c r="E4" s="4875" t="s">
        <v>141</v>
      </c>
      <c r="F4" s="2455" t="s">
        <v>48</v>
      </c>
      <c r="G4" s="4875" t="s">
        <v>140</v>
      </c>
      <c r="H4" s="4875" t="s">
        <v>141</v>
      </c>
      <c r="I4" s="2455" t="s">
        <v>48</v>
      </c>
    </row>
    <row r="5" spans="2:9" ht="14.4" x14ac:dyDescent="0.25">
      <c r="B5" s="4881" t="s">
        <v>756</v>
      </c>
      <c r="C5" s="4897" t="s">
        <v>1526</v>
      </c>
      <c r="D5" s="3022">
        <v>2</v>
      </c>
      <c r="E5" s="4898">
        <v>3</v>
      </c>
      <c r="F5" s="4877">
        <f>SUM(D5:E5)</f>
        <v>5</v>
      </c>
      <c r="G5" s="3022"/>
      <c r="H5" s="4898"/>
      <c r="I5" s="4877"/>
    </row>
    <row r="6" spans="2:9" ht="14.4" x14ac:dyDescent="0.25">
      <c r="B6" s="2639"/>
      <c r="C6" s="2640" t="s">
        <v>59</v>
      </c>
      <c r="D6" s="4858">
        <f t="shared" ref="D6:F7" si="0">SUM(D5)</f>
        <v>2</v>
      </c>
      <c r="E6" s="3076">
        <f t="shared" si="0"/>
        <v>3</v>
      </c>
      <c r="F6" s="2641">
        <f t="shared" si="0"/>
        <v>5</v>
      </c>
      <c r="G6" s="5637"/>
      <c r="H6" s="3076"/>
      <c r="I6" s="2641"/>
    </row>
    <row r="7" spans="2:9" ht="14.4" x14ac:dyDescent="0.25">
      <c r="B7" s="4885"/>
      <c r="C7" s="3086" t="s">
        <v>288</v>
      </c>
      <c r="D7" s="4861">
        <f t="shared" si="0"/>
        <v>2</v>
      </c>
      <c r="E7" s="4862">
        <f t="shared" si="0"/>
        <v>3</v>
      </c>
      <c r="F7" s="4899">
        <f t="shared" si="0"/>
        <v>5</v>
      </c>
      <c r="G7" s="4861"/>
      <c r="H7" s="4862"/>
      <c r="I7" s="4899"/>
    </row>
    <row r="8" spans="2:9" ht="14.4" x14ac:dyDescent="0.3">
      <c r="B8" s="558"/>
      <c r="C8" s="558"/>
      <c r="D8" s="558"/>
      <c r="E8" s="558"/>
      <c r="F8" s="558"/>
      <c r="G8" s="558"/>
      <c r="H8" s="558"/>
      <c r="I8" s="558"/>
    </row>
    <row r="9" spans="2:9" ht="14.4" x14ac:dyDescent="0.3">
      <c r="B9" s="558"/>
      <c r="C9" s="4900" t="s">
        <v>7</v>
      </c>
      <c r="D9" s="4900">
        <f>SUM(D7)</f>
        <v>2</v>
      </c>
      <c r="E9" s="4901">
        <f>SUM(E7)</f>
        <v>3</v>
      </c>
      <c r="F9" s="4902">
        <f>SUM(F7)</f>
        <v>5</v>
      </c>
      <c r="G9" s="4900"/>
      <c r="H9" s="4901"/>
      <c r="I9" s="4902"/>
    </row>
    <row r="10" spans="2:9" x14ac:dyDescent="0.25">
      <c r="C10" s="3037" t="s">
        <v>739</v>
      </c>
    </row>
  </sheetData>
  <mergeCells count="4">
    <mergeCell ref="D3:F3"/>
    <mergeCell ref="B3:B4"/>
    <mergeCell ref="C3:C4"/>
    <mergeCell ref="G3:I3"/>
  </mergeCells>
  <printOptions horizontalCentered="1"/>
  <pageMargins left="0.70866141732283472" right="0.70866141732283472" top="0.74803149606299213" bottom="0.74803149606299213" header="0.31496062992125984" footer="0.31496062992125984"/>
  <pageSetup scale="80" firstPageNumber="130" orientation="landscape" useFirstPageNumber="1" r:id="rId1"/>
  <headerFooter scaleWithDoc="0" alignWithMargins="0">
    <oddFooter>&amp;R&amp;P</oddFooter>
  </headerFooter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</sheetPr>
  <dimension ref="B1:J93"/>
  <sheetViews>
    <sheetView showGridLines="0" zoomScaleNormal="100" workbookViewId="0">
      <pane xSplit="3" ySplit="4" topLeftCell="D70" activePane="bottomRight" state="frozen"/>
      <selection pane="topRight" activeCell="D1" sqref="D1"/>
      <selection pane="bottomLeft" activeCell="A5" sqref="A5"/>
      <selection pane="bottomRight" activeCell="A70" sqref="A70"/>
    </sheetView>
  </sheetViews>
  <sheetFormatPr baseColWidth="10" defaultRowHeight="13.2" x14ac:dyDescent="0.25"/>
  <cols>
    <col min="1" max="1" width="5.5546875" customWidth="1"/>
    <col min="2" max="2" width="6" customWidth="1"/>
    <col min="3" max="3" width="61.88671875" customWidth="1"/>
    <col min="4" max="4" width="8.5546875" customWidth="1"/>
    <col min="5" max="5" width="9.44140625" customWidth="1"/>
    <col min="6" max="6" width="7.5546875" customWidth="1"/>
    <col min="7" max="7" width="8.5546875" customWidth="1"/>
    <col min="8" max="8" width="9.44140625" bestFit="1" customWidth="1"/>
    <col min="9" max="9" width="11.33203125" customWidth="1"/>
  </cols>
  <sheetData>
    <row r="1" spans="2:10" ht="18" x14ac:dyDescent="0.35">
      <c r="B1" s="2624" t="s">
        <v>1661</v>
      </c>
      <c r="C1" s="558"/>
    </row>
    <row r="2" spans="2:10" ht="14.4" x14ac:dyDescent="0.3">
      <c r="C2" s="558"/>
    </row>
    <row r="3" spans="2:10" ht="14.4" x14ac:dyDescent="0.25">
      <c r="B3" s="6145" t="s">
        <v>597</v>
      </c>
      <c r="C3" s="6141" t="s">
        <v>757</v>
      </c>
      <c r="D3" s="6142">
        <v>2021</v>
      </c>
      <c r="E3" s="6143"/>
      <c r="F3" s="6144"/>
      <c r="G3" s="6142" t="s">
        <v>1599</v>
      </c>
      <c r="H3" s="6143"/>
      <c r="I3" s="6144"/>
      <c r="J3" s="5642"/>
    </row>
    <row r="4" spans="2:10" ht="27.6" x14ac:dyDescent="0.25">
      <c r="B4" s="6146"/>
      <c r="C4" s="6137"/>
      <c r="D4" s="4875" t="s">
        <v>140</v>
      </c>
      <c r="E4" s="4875" t="s">
        <v>141</v>
      </c>
      <c r="F4" s="2455" t="s">
        <v>48</v>
      </c>
      <c r="G4" s="4875" t="s">
        <v>140</v>
      </c>
      <c r="H4" s="4875" t="s">
        <v>141</v>
      </c>
      <c r="I4" s="2455" t="s">
        <v>48</v>
      </c>
    </row>
    <row r="5" spans="2:10" ht="14.4" x14ac:dyDescent="0.25">
      <c r="B5" s="4881" t="s">
        <v>754</v>
      </c>
      <c r="C5" s="4897" t="s">
        <v>1703</v>
      </c>
      <c r="D5" s="3022">
        <v>3</v>
      </c>
      <c r="E5" s="4876">
        <v>1</v>
      </c>
      <c r="F5" s="4877">
        <f t="shared" ref="F5:F83" si="0">SUM(D5:E5)</f>
        <v>4</v>
      </c>
      <c r="G5" s="3022">
        <v>2</v>
      </c>
      <c r="H5" s="4876">
        <v>16</v>
      </c>
      <c r="I5" s="4877">
        <f t="shared" ref="I5" si="1">SUM(G5:H5)</f>
        <v>18</v>
      </c>
    </row>
    <row r="6" spans="2:10" ht="14.4" x14ac:dyDescent="0.25">
      <c r="B6" s="2639" t="s">
        <v>754</v>
      </c>
      <c r="C6" s="3073" t="s">
        <v>316</v>
      </c>
      <c r="D6" s="4858">
        <v>2</v>
      </c>
      <c r="E6" s="3074"/>
      <c r="F6" s="2641">
        <f>SUM(D6:E6)</f>
        <v>2</v>
      </c>
      <c r="G6" s="5347"/>
      <c r="H6" s="3074">
        <v>8</v>
      </c>
      <c r="I6" s="2641">
        <f>SUM(G6:H6)</f>
        <v>8</v>
      </c>
    </row>
    <row r="7" spans="2:10" ht="14.4" x14ac:dyDescent="0.25">
      <c r="B7" s="2639" t="s">
        <v>754</v>
      </c>
      <c r="C7" s="3073" t="s">
        <v>314</v>
      </c>
      <c r="D7" s="4858"/>
      <c r="E7" s="3074">
        <v>1</v>
      </c>
      <c r="F7" s="2641">
        <f>SUM(D7:E7)</f>
        <v>1</v>
      </c>
      <c r="G7" s="5347">
        <v>1</v>
      </c>
      <c r="H7" s="3074">
        <v>1</v>
      </c>
      <c r="I7" s="2641">
        <f>SUM(G7:H7)</f>
        <v>2</v>
      </c>
    </row>
    <row r="8" spans="2:10" ht="14.4" x14ac:dyDescent="0.25">
      <c r="B8" s="2639" t="s">
        <v>754</v>
      </c>
      <c r="C8" s="3073" t="s">
        <v>312</v>
      </c>
      <c r="D8" s="4858"/>
      <c r="E8" s="3074">
        <v>2</v>
      </c>
      <c r="F8" s="2641">
        <f>SUM(D8:E8)</f>
        <v>2</v>
      </c>
      <c r="G8" s="5347"/>
      <c r="H8" s="3074"/>
      <c r="I8" s="2641"/>
    </row>
    <row r="9" spans="2:10" ht="14.4" x14ac:dyDescent="0.25">
      <c r="B9" s="2639" t="s">
        <v>755</v>
      </c>
      <c r="C9" s="3073" t="s">
        <v>320</v>
      </c>
      <c r="D9" s="4858"/>
      <c r="E9" s="3074">
        <v>2</v>
      </c>
      <c r="F9" s="2641">
        <f>SUM(D9:E9)</f>
        <v>2</v>
      </c>
      <c r="G9" s="5347"/>
      <c r="H9" s="3074"/>
      <c r="I9" s="2641"/>
    </row>
    <row r="10" spans="2:10" ht="14.4" x14ac:dyDescent="0.25">
      <c r="B10" s="2639" t="s">
        <v>755</v>
      </c>
      <c r="C10" s="3075" t="s">
        <v>1704</v>
      </c>
      <c r="D10" s="4858"/>
      <c r="E10" s="3076">
        <v>1</v>
      </c>
      <c r="F10" s="2641">
        <f t="shared" si="0"/>
        <v>1</v>
      </c>
      <c r="G10" s="5347">
        <v>4</v>
      </c>
      <c r="H10" s="3076">
        <v>1</v>
      </c>
      <c r="I10" s="2641">
        <f t="shared" ref="I10" si="2">SUM(G10:H10)</f>
        <v>5</v>
      </c>
    </row>
    <row r="11" spans="2:10" ht="14.4" x14ac:dyDescent="0.25">
      <c r="B11" s="2639"/>
      <c r="C11" s="3077" t="s">
        <v>59</v>
      </c>
      <c r="D11" s="3078">
        <f t="shared" ref="D11:I11" si="3">SUM(D5:D10)</f>
        <v>5</v>
      </c>
      <c r="E11" s="3079">
        <f t="shared" si="3"/>
        <v>7</v>
      </c>
      <c r="F11" s="4878">
        <f t="shared" si="3"/>
        <v>12</v>
      </c>
      <c r="G11" s="3078">
        <f t="shared" si="3"/>
        <v>7</v>
      </c>
      <c r="H11" s="3079">
        <f t="shared" si="3"/>
        <v>26</v>
      </c>
      <c r="I11" s="4878">
        <f t="shared" si="3"/>
        <v>33</v>
      </c>
    </row>
    <row r="12" spans="2:10" ht="14.4" x14ac:dyDescent="0.25">
      <c r="B12" s="2639" t="s">
        <v>1602</v>
      </c>
      <c r="C12" s="3073" t="s">
        <v>323</v>
      </c>
      <c r="D12" s="3078"/>
      <c r="E12" s="3079"/>
      <c r="F12" s="4878"/>
      <c r="G12" s="5450">
        <v>2</v>
      </c>
      <c r="H12" s="5451"/>
      <c r="I12" s="2641">
        <f t="shared" ref="I12:I17" si="4">SUM(G12:H12)</f>
        <v>2</v>
      </c>
    </row>
    <row r="13" spans="2:10" ht="14.4" x14ac:dyDescent="0.25">
      <c r="B13" s="2639" t="s">
        <v>754</v>
      </c>
      <c r="C13" s="3073" t="s">
        <v>724</v>
      </c>
      <c r="D13" s="3078"/>
      <c r="E13" s="3079"/>
      <c r="F13" s="4878"/>
      <c r="G13" s="5450">
        <v>4</v>
      </c>
      <c r="H13" s="5451">
        <v>10</v>
      </c>
      <c r="I13" s="2641">
        <f t="shared" si="4"/>
        <v>14</v>
      </c>
    </row>
    <row r="14" spans="2:10" ht="14.4" x14ac:dyDescent="0.25">
      <c r="B14" s="2639" t="s">
        <v>754</v>
      </c>
      <c r="C14" s="3073" t="s">
        <v>332</v>
      </c>
      <c r="D14" s="3078"/>
      <c r="E14" s="3079"/>
      <c r="F14" s="4878"/>
      <c r="G14" s="5450">
        <v>2</v>
      </c>
      <c r="H14" s="5451"/>
      <c r="I14" s="2641">
        <f t="shared" si="4"/>
        <v>2</v>
      </c>
    </row>
    <row r="15" spans="2:10" ht="14.4" x14ac:dyDescent="0.25">
      <c r="B15" s="2639" t="s">
        <v>754</v>
      </c>
      <c r="C15" s="3073" t="s">
        <v>330</v>
      </c>
      <c r="D15" s="3078"/>
      <c r="E15" s="3079"/>
      <c r="F15" s="4878"/>
      <c r="G15" s="5450">
        <v>2</v>
      </c>
      <c r="H15" s="5451">
        <v>3</v>
      </c>
      <c r="I15" s="2641">
        <f t="shared" si="4"/>
        <v>5</v>
      </c>
    </row>
    <row r="16" spans="2:10" ht="14.4" x14ac:dyDescent="0.25">
      <c r="B16" s="2639" t="s">
        <v>755</v>
      </c>
      <c r="C16" s="3073" t="s">
        <v>498</v>
      </c>
      <c r="D16" s="4858">
        <v>3</v>
      </c>
      <c r="E16" s="3074">
        <v>1</v>
      </c>
      <c r="F16" s="2641">
        <f t="shared" si="0"/>
        <v>4</v>
      </c>
      <c r="G16" s="5347"/>
      <c r="H16" s="3074"/>
      <c r="I16" s="2641"/>
    </row>
    <row r="17" spans="2:9" ht="14.4" x14ac:dyDescent="0.3">
      <c r="B17" s="2639" t="s">
        <v>755</v>
      </c>
      <c r="C17" s="5449" t="s">
        <v>336</v>
      </c>
      <c r="D17" s="5347"/>
      <c r="E17" s="3074"/>
      <c r="F17" s="2641"/>
      <c r="G17" s="5347">
        <v>16</v>
      </c>
      <c r="H17" s="3074">
        <v>16</v>
      </c>
      <c r="I17" s="2641">
        <f t="shared" si="4"/>
        <v>32</v>
      </c>
    </row>
    <row r="18" spans="2:9" ht="14.4" x14ac:dyDescent="0.25">
      <c r="B18" s="2639"/>
      <c r="C18" s="3077" t="s">
        <v>64</v>
      </c>
      <c r="D18" s="3078">
        <f>SUM(D16:D16)</f>
        <v>3</v>
      </c>
      <c r="E18" s="3079">
        <f>SUM(E16:E16)</f>
        <v>1</v>
      </c>
      <c r="F18" s="4878">
        <f>SUM(F16:F16)</f>
        <v>4</v>
      </c>
      <c r="G18" s="3078">
        <f>SUM(G12:G17)</f>
        <v>26</v>
      </c>
      <c r="H18" s="3079">
        <f t="shared" ref="H18:I18" si="5">SUM(H12:H17)</f>
        <v>29</v>
      </c>
      <c r="I18" s="4878">
        <f t="shared" si="5"/>
        <v>55</v>
      </c>
    </row>
    <row r="19" spans="2:9" ht="14.4" x14ac:dyDescent="0.25">
      <c r="B19" s="2639" t="s">
        <v>1602</v>
      </c>
      <c r="C19" s="3073" t="s">
        <v>338</v>
      </c>
      <c r="D19" s="3078"/>
      <c r="E19" s="3079"/>
      <c r="F19" s="4878"/>
      <c r="G19" s="5450">
        <v>4</v>
      </c>
      <c r="H19" s="5451"/>
      <c r="I19" s="5452">
        <f t="shared" ref="I19:I21" si="6">SUM(G19:H19)</f>
        <v>4</v>
      </c>
    </row>
    <row r="20" spans="2:9" ht="14.4" x14ac:dyDescent="0.25">
      <c r="B20" s="2639" t="s">
        <v>754</v>
      </c>
      <c r="C20" s="3073" t="s">
        <v>1687</v>
      </c>
      <c r="D20" s="3078"/>
      <c r="E20" s="3079"/>
      <c r="F20" s="4878"/>
      <c r="G20" s="5450">
        <v>2</v>
      </c>
      <c r="H20" s="5451">
        <v>1</v>
      </c>
      <c r="I20" s="5452">
        <f t="shared" si="6"/>
        <v>3</v>
      </c>
    </row>
    <row r="21" spans="2:9" ht="28.8" x14ac:dyDescent="0.25">
      <c r="B21" s="2639" t="s">
        <v>754</v>
      </c>
      <c r="C21" s="3073" t="s">
        <v>654</v>
      </c>
      <c r="D21" s="3078"/>
      <c r="E21" s="3079"/>
      <c r="F21" s="4878"/>
      <c r="G21" s="5450"/>
      <c r="H21" s="5451">
        <v>1</v>
      </c>
      <c r="I21" s="5452">
        <f t="shared" si="6"/>
        <v>1</v>
      </c>
    </row>
    <row r="22" spans="2:9" ht="14.4" x14ac:dyDescent="0.25">
      <c r="B22" s="2639" t="s">
        <v>754</v>
      </c>
      <c r="C22" s="5658" t="s">
        <v>702</v>
      </c>
      <c r="D22" s="4863">
        <v>1</v>
      </c>
      <c r="E22" s="4864">
        <v>1</v>
      </c>
      <c r="F22" s="4878">
        <f>SUM(D22:E22)</f>
        <v>2</v>
      </c>
      <c r="G22" s="5450">
        <v>2</v>
      </c>
      <c r="H22" s="5451">
        <v>4</v>
      </c>
      <c r="I22" s="5452">
        <f>SUM(G22:H22)</f>
        <v>6</v>
      </c>
    </row>
    <row r="23" spans="2:9" ht="14.4" x14ac:dyDescent="0.25">
      <c r="B23" s="2639" t="s">
        <v>754</v>
      </c>
      <c r="C23" s="5659" t="s">
        <v>701</v>
      </c>
      <c r="D23" s="4863"/>
      <c r="E23" s="4864"/>
      <c r="F23" s="4878"/>
      <c r="G23" s="5450">
        <v>2</v>
      </c>
      <c r="H23" s="5451">
        <v>2</v>
      </c>
      <c r="I23" s="5452">
        <f>SUM(G23:H23)</f>
        <v>4</v>
      </c>
    </row>
    <row r="24" spans="2:9" ht="14.4" x14ac:dyDescent="0.25">
      <c r="B24" s="2639"/>
      <c r="C24" s="3077" t="s">
        <v>68</v>
      </c>
      <c r="D24" s="3078">
        <f>SUM(D22)</f>
        <v>1</v>
      </c>
      <c r="E24" s="3079">
        <f>SUM(E22)</f>
        <v>1</v>
      </c>
      <c r="F24" s="4878">
        <f>SUM(D24:E24)</f>
        <v>2</v>
      </c>
      <c r="G24" s="3078">
        <f>SUM(G19:G23)</f>
        <v>10</v>
      </c>
      <c r="H24" s="3079">
        <f t="shared" ref="H24:I24" si="7">SUM(H19:H23)</f>
        <v>8</v>
      </c>
      <c r="I24" s="4878">
        <f t="shared" si="7"/>
        <v>18</v>
      </c>
    </row>
    <row r="25" spans="2:9" ht="14.4" x14ac:dyDescent="0.25">
      <c r="B25" s="4885"/>
      <c r="C25" s="3081" t="s">
        <v>138</v>
      </c>
      <c r="D25" s="2646">
        <f t="shared" ref="D25:I25" si="8">SUM(D24,D18,D11)</f>
        <v>9</v>
      </c>
      <c r="E25" s="3082">
        <f t="shared" si="8"/>
        <v>9</v>
      </c>
      <c r="F25" s="2645">
        <f t="shared" si="8"/>
        <v>18</v>
      </c>
      <c r="G25" s="2646">
        <f t="shared" si="8"/>
        <v>43</v>
      </c>
      <c r="H25" s="3082">
        <f t="shared" si="8"/>
        <v>63</v>
      </c>
      <c r="I25" s="2645">
        <f t="shared" si="8"/>
        <v>106</v>
      </c>
    </row>
    <row r="26" spans="2:9" ht="14.4" x14ac:dyDescent="0.25">
      <c r="B26" s="4905" t="s">
        <v>754</v>
      </c>
      <c r="C26" s="3073" t="s">
        <v>348</v>
      </c>
      <c r="D26" s="5453"/>
      <c r="E26" s="5454"/>
      <c r="F26" s="5455"/>
      <c r="G26" s="3052">
        <v>1</v>
      </c>
      <c r="H26" s="4865">
        <v>1</v>
      </c>
      <c r="I26" s="3053">
        <f>SUM(G26:H26)</f>
        <v>2</v>
      </c>
    </row>
    <row r="27" spans="2:9" ht="14.4" x14ac:dyDescent="0.25">
      <c r="B27" s="4905" t="s">
        <v>755</v>
      </c>
      <c r="C27" s="3073" t="s">
        <v>349</v>
      </c>
      <c r="D27" s="3052">
        <v>3</v>
      </c>
      <c r="E27" s="4865">
        <v>2</v>
      </c>
      <c r="F27" s="3053">
        <f>SUM(D27:E27)</f>
        <v>5</v>
      </c>
      <c r="G27" s="3052">
        <v>3</v>
      </c>
      <c r="H27" s="4865">
        <v>4</v>
      </c>
      <c r="I27" s="3053">
        <f>SUM(G27:H27)</f>
        <v>7</v>
      </c>
    </row>
    <row r="28" spans="2:9" ht="14.4" x14ac:dyDescent="0.25">
      <c r="B28" s="2639"/>
      <c r="C28" s="3077" t="s">
        <v>64</v>
      </c>
      <c r="D28" s="3078">
        <f>SUM(D27)</f>
        <v>3</v>
      </c>
      <c r="E28" s="3079">
        <f>SUM(E27)</f>
        <v>2</v>
      </c>
      <c r="F28" s="4878">
        <f>SUM(D28:E28)</f>
        <v>5</v>
      </c>
      <c r="G28" s="3078">
        <f>SUM(G26:G27)</f>
        <v>4</v>
      </c>
      <c r="H28" s="3079">
        <f t="shared" ref="H28:I28" si="9">SUM(H26:H27)</f>
        <v>5</v>
      </c>
      <c r="I28" s="4878">
        <f t="shared" si="9"/>
        <v>9</v>
      </c>
    </row>
    <row r="29" spans="2:9" ht="14.4" x14ac:dyDescent="0.25">
      <c r="B29" s="2639" t="s">
        <v>754</v>
      </c>
      <c r="C29" s="3073" t="s">
        <v>350</v>
      </c>
      <c r="D29" s="3078"/>
      <c r="E29" s="3079"/>
      <c r="F29" s="4878"/>
      <c r="G29" s="5450">
        <v>5</v>
      </c>
      <c r="H29" s="5451">
        <v>1</v>
      </c>
      <c r="I29" s="5452">
        <f>SUM(G29:H29)</f>
        <v>6</v>
      </c>
    </row>
    <row r="30" spans="2:9" ht="14.4" x14ac:dyDescent="0.25">
      <c r="B30" s="2639"/>
      <c r="C30" s="3077" t="s">
        <v>111</v>
      </c>
      <c r="D30" s="3078">
        <v>0</v>
      </c>
      <c r="E30" s="3079">
        <v>0</v>
      </c>
      <c r="F30" s="4878">
        <v>0</v>
      </c>
      <c r="G30" s="3078">
        <f>SUM(G29)</f>
        <v>5</v>
      </c>
      <c r="H30" s="3079">
        <f t="shared" ref="H30:I30" si="10">SUM(H29)</f>
        <v>1</v>
      </c>
      <c r="I30" s="4878">
        <f t="shared" si="10"/>
        <v>6</v>
      </c>
    </row>
    <row r="31" spans="2:9" ht="14.4" x14ac:dyDescent="0.25">
      <c r="B31" s="2639" t="s">
        <v>754</v>
      </c>
      <c r="C31" s="3073" t="s">
        <v>1688</v>
      </c>
      <c r="D31" s="3078"/>
      <c r="E31" s="3079"/>
      <c r="F31" s="4878"/>
      <c r="G31" s="5347">
        <v>3</v>
      </c>
      <c r="H31" s="3074">
        <v>5</v>
      </c>
      <c r="I31" s="4878">
        <f>SUM(G31:H31)</f>
        <v>8</v>
      </c>
    </row>
    <row r="32" spans="2:9" ht="14.4" x14ac:dyDescent="0.25">
      <c r="B32" s="2639" t="s">
        <v>755</v>
      </c>
      <c r="C32" s="3073" t="s">
        <v>353</v>
      </c>
      <c r="D32" s="4858">
        <v>1</v>
      </c>
      <c r="E32" s="3074"/>
      <c r="F32" s="2641">
        <f t="shared" si="0"/>
        <v>1</v>
      </c>
      <c r="G32" s="5347">
        <v>1</v>
      </c>
      <c r="H32" s="3074">
        <v>6</v>
      </c>
      <c r="I32" s="2641">
        <f t="shared" ref="I32" si="11">SUM(G32:H32)</f>
        <v>7</v>
      </c>
    </row>
    <row r="33" spans="2:10" ht="14.4" x14ac:dyDescent="0.25">
      <c r="B33" s="2639"/>
      <c r="C33" s="3077" t="s">
        <v>115</v>
      </c>
      <c r="D33" s="3078">
        <f>SUM(D32:D32)</f>
        <v>1</v>
      </c>
      <c r="E33" s="3079">
        <f>SUM(E32:E32)</f>
        <v>0</v>
      </c>
      <c r="F33" s="4878">
        <f>SUM(F32:F32)</f>
        <v>1</v>
      </c>
      <c r="G33" s="3078">
        <f>SUM(G31:G32)</f>
        <v>4</v>
      </c>
      <c r="H33" s="3079">
        <f t="shared" ref="H33:I33" si="12">SUM(H31:H32)</f>
        <v>11</v>
      </c>
      <c r="I33" s="4878">
        <f t="shared" si="12"/>
        <v>15</v>
      </c>
    </row>
    <row r="34" spans="2:10" ht="14.4" x14ac:dyDescent="0.25">
      <c r="B34" s="4885"/>
      <c r="C34" s="3084" t="s">
        <v>134</v>
      </c>
      <c r="D34" s="2652">
        <f>SUM(D33,D30,D28)</f>
        <v>4</v>
      </c>
      <c r="E34" s="3085">
        <f>SUM(E33,E30,E28)</f>
        <v>2</v>
      </c>
      <c r="F34" s="2651">
        <f>SUM(F33,F30,F28)</f>
        <v>6</v>
      </c>
      <c r="G34" s="2652">
        <f>SUM(G28,G30,G33)</f>
        <v>13</v>
      </c>
      <c r="H34" s="3085">
        <f t="shared" ref="H34:I34" si="13">SUM(H28,H30,H33)</f>
        <v>17</v>
      </c>
      <c r="I34" s="2651">
        <f t="shared" si="13"/>
        <v>30</v>
      </c>
    </row>
    <row r="35" spans="2:10" ht="14.4" x14ac:dyDescent="0.25">
      <c r="B35" s="4905" t="s">
        <v>754</v>
      </c>
      <c r="C35" s="3073" t="s">
        <v>500</v>
      </c>
      <c r="D35" s="5453"/>
      <c r="E35" s="5454"/>
      <c r="F35" s="5455"/>
      <c r="G35" s="3052">
        <v>2</v>
      </c>
      <c r="H35" s="4865">
        <v>2</v>
      </c>
      <c r="I35" s="2641">
        <f t="shared" ref="I35:I44" si="14">SUM(G35:H35)</f>
        <v>4</v>
      </c>
    </row>
    <row r="36" spans="2:10" ht="14.4" x14ac:dyDescent="0.25">
      <c r="B36" s="2639" t="s">
        <v>754</v>
      </c>
      <c r="C36" s="3073" t="s">
        <v>1689</v>
      </c>
      <c r="D36" s="4858">
        <v>1</v>
      </c>
      <c r="E36" s="3074"/>
      <c r="F36" s="2641">
        <f t="shared" si="0"/>
        <v>1</v>
      </c>
      <c r="G36" s="5347"/>
      <c r="H36" s="3074">
        <v>2</v>
      </c>
      <c r="I36" s="2641">
        <f t="shared" si="14"/>
        <v>2</v>
      </c>
    </row>
    <row r="37" spans="2:10" ht="14.4" x14ac:dyDescent="0.25">
      <c r="B37" s="2639" t="s">
        <v>754</v>
      </c>
      <c r="C37" s="3073" t="s">
        <v>1678</v>
      </c>
      <c r="D37" s="4858">
        <v>2</v>
      </c>
      <c r="E37" s="3074">
        <v>2</v>
      </c>
      <c r="F37" s="2641">
        <f t="shared" si="0"/>
        <v>4</v>
      </c>
      <c r="G37" s="5347">
        <v>2</v>
      </c>
      <c r="H37" s="3074">
        <v>2</v>
      </c>
      <c r="I37" s="2641">
        <f t="shared" si="14"/>
        <v>4</v>
      </c>
    </row>
    <row r="38" spans="2:10" ht="14.4" x14ac:dyDescent="0.25">
      <c r="B38" s="2639" t="s">
        <v>754</v>
      </c>
      <c r="C38" s="3073" t="s">
        <v>1690</v>
      </c>
      <c r="D38" s="4858">
        <v>2</v>
      </c>
      <c r="E38" s="3074"/>
      <c r="F38" s="2641">
        <f t="shared" si="0"/>
        <v>2</v>
      </c>
      <c r="G38" s="5347">
        <v>2</v>
      </c>
      <c r="H38" s="3074">
        <v>5</v>
      </c>
      <c r="I38" s="2641">
        <f t="shared" si="14"/>
        <v>7</v>
      </c>
    </row>
    <row r="39" spans="2:10" ht="14.4" x14ac:dyDescent="0.25">
      <c r="B39" s="2639" t="s">
        <v>754</v>
      </c>
      <c r="C39" s="3073" t="s">
        <v>362</v>
      </c>
      <c r="D39" s="5347"/>
      <c r="E39" s="3074"/>
      <c r="F39" s="2641"/>
      <c r="G39" s="5347">
        <v>2</v>
      </c>
      <c r="H39" s="3074">
        <v>4</v>
      </c>
      <c r="I39" s="2641">
        <f t="shared" si="14"/>
        <v>6</v>
      </c>
    </row>
    <row r="40" spans="2:10" ht="14.4" x14ac:dyDescent="0.25">
      <c r="B40" s="2639" t="s">
        <v>754</v>
      </c>
      <c r="C40" s="3073" t="s">
        <v>444</v>
      </c>
      <c r="D40" s="5347"/>
      <c r="E40" s="3074"/>
      <c r="F40" s="2641"/>
      <c r="G40" s="5347">
        <v>5</v>
      </c>
      <c r="H40" s="3074">
        <v>1</v>
      </c>
      <c r="I40" s="2641">
        <f t="shared" si="14"/>
        <v>6</v>
      </c>
      <c r="J40" s="5520"/>
    </row>
    <row r="41" spans="2:10" ht="14.4" x14ac:dyDescent="0.25">
      <c r="B41" s="2639" t="s">
        <v>755</v>
      </c>
      <c r="C41" s="3073" t="s">
        <v>1691</v>
      </c>
      <c r="D41" s="5347"/>
      <c r="E41" s="3074"/>
      <c r="F41" s="2641"/>
      <c r="G41" s="5347">
        <v>3</v>
      </c>
      <c r="H41" s="3074"/>
      <c r="I41" s="2641">
        <f t="shared" si="14"/>
        <v>3</v>
      </c>
    </row>
    <row r="42" spans="2:10" ht="14.4" x14ac:dyDescent="0.25">
      <c r="B42" s="2639" t="s">
        <v>755</v>
      </c>
      <c r="C42" s="3073" t="s">
        <v>662</v>
      </c>
      <c r="D42" s="5347"/>
      <c r="E42" s="3074"/>
      <c r="F42" s="2641"/>
      <c r="G42" s="5347"/>
      <c r="H42" s="3074">
        <v>2</v>
      </c>
      <c r="I42" s="2641">
        <f t="shared" si="14"/>
        <v>2</v>
      </c>
    </row>
    <row r="43" spans="2:10" ht="14.4" x14ac:dyDescent="0.25">
      <c r="B43" s="2639" t="s">
        <v>755</v>
      </c>
      <c r="C43" s="3073" t="s">
        <v>1692</v>
      </c>
      <c r="D43" s="4858">
        <v>2</v>
      </c>
      <c r="E43" s="3074">
        <v>1</v>
      </c>
      <c r="F43" s="2641">
        <f t="shared" si="0"/>
        <v>3</v>
      </c>
      <c r="G43" s="5347">
        <v>2</v>
      </c>
      <c r="H43" s="3074">
        <v>1</v>
      </c>
      <c r="I43" s="2641">
        <f t="shared" si="14"/>
        <v>3</v>
      </c>
    </row>
    <row r="44" spans="2:10" ht="14.4" x14ac:dyDescent="0.25">
      <c r="B44" s="2639" t="s">
        <v>755</v>
      </c>
      <c r="C44" s="3073" t="s">
        <v>1693</v>
      </c>
      <c r="D44" s="4858"/>
      <c r="E44" s="3074">
        <v>1</v>
      </c>
      <c r="F44" s="2641">
        <f t="shared" si="0"/>
        <v>1</v>
      </c>
      <c r="G44" s="5347"/>
      <c r="H44" s="3074">
        <v>1</v>
      </c>
      <c r="I44" s="2641">
        <f t="shared" si="14"/>
        <v>1</v>
      </c>
    </row>
    <row r="45" spans="2:10" ht="14.4" x14ac:dyDescent="0.25">
      <c r="B45" s="4858" t="s">
        <v>755</v>
      </c>
      <c r="C45" s="3073" t="s">
        <v>1679</v>
      </c>
      <c r="D45" s="4858">
        <v>1</v>
      </c>
      <c r="E45" s="3074">
        <v>1</v>
      </c>
      <c r="F45" s="2641">
        <f>SUM(D45:E45)</f>
        <v>2</v>
      </c>
      <c r="G45" s="5347">
        <v>4</v>
      </c>
      <c r="H45" s="3074">
        <v>7</v>
      </c>
      <c r="I45" s="2641">
        <f>SUM(G45:H45)</f>
        <v>11</v>
      </c>
    </row>
    <row r="46" spans="2:10" ht="14.4" x14ac:dyDescent="0.25">
      <c r="B46" s="5492" t="s">
        <v>755</v>
      </c>
      <c r="C46" s="3073" t="s">
        <v>445</v>
      </c>
      <c r="D46" s="5492"/>
      <c r="E46" s="3074"/>
      <c r="F46" s="2641"/>
      <c r="G46" s="5492">
        <v>4</v>
      </c>
      <c r="H46" s="3074"/>
      <c r="I46" s="2641">
        <f>SUM(G46:H46)</f>
        <v>4</v>
      </c>
    </row>
    <row r="47" spans="2:10" ht="14.4" x14ac:dyDescent="0.25">
      <c r="B47" s="2639"/>
      <c r="C47" s="3077" t="s">
        <v>59</v>
      </c>
      <c r="D47" s="3078">
        <f>SUM(D36:D45)</f>
        <v>8</v>
      </c>
      <c r="E47" s="3079">
        <f>SUM(E36:E45)</f>
        <v>5</v>
      </c>
      <c r="F47" s="4878">
        <f>SUM(F36:F45)</f>
        <v>13</v>
      </c>
      <c r="G47" s="3078">
        <f>SUM(G35:G46)</f>
        <v>26</v>
      </c>
      <c r="H47" s="3079">
        <f>SUM(H35:H46)</f>
        <v>27</v>
      </c>
      <c r="I47" s="4878">
        <f>SUM(I35:I46)</f>
        <v>53</v>
      </c>
    </row>
    <row r="48" spans="2:10" ht="14.4" x14ac:dyDescent="0.25">
      <c r="B48" s="2639" t="s">
        <v>755</v>
      </c>
      <c r="C48" s="5658" t="s">
        <v>376</v>
      </c>
      <c r="D48" s="3078"/>
      <c r="E48" s="3079"/>
      <c r="F48" s="4878"/>
      <c r="G48" s="5450">
        <v>24</v>
      </c>
      <c r="H48" s="5451">
        <v>6</v>
      </c>
      <c r="I48" s="2641">
        <f t="shared" ref="I48:I52" si="15">SUM(G48:H48)</f>
        <v>30</v>
      </c>
    </row>
    <row r="49" spans="2:9" ht="14.4" x14ac:dyDescent="0.25">
      <c r="B49" s="2639" t="s">
        <v>755</v>
      </c>
      <c r="C49" s="5658" t="s">
        <v>377</v>
      </c>
      <c r="D49" s="3078"/>
      <c r="E49" s="3079"/>
      <c r="F49" s="4878"/>
      <c r="G49" s="5450">
        <v>12</v>
      </c>
      <c r="H49" s="5451">
        <v>6</v>
      </c>
      <c r="I49" s="2641">
        <f t="shared" si="15"/>
        <v>18</v>
      </c>
    </row>
    <row r="50" spans="2:9" ht="14.4" x14ac:dyDescent="0.25">
      <c r="B50" s="2639" t="s">
        <v>755</v>
      </c>
      <c r="C50" s="5658" t="s">
        <v>1694</v>
      </c>
      <c r="D50" s="3078"/>
      <c r="E50" s="3079"/>
      <c r="F50" s="4878"/>
      <c r="G50" s="5450">
        <v>12</v>
      </c>
      <c r="H50" s="5451">
        <v>28</v>
      </c>
      <c r="I50" s="2641">
        <f t="shared" si="15"/>
        <v>40</v>
      </c>
    </row>
    <row r="51" spans="2:9" ht="14.4" x14ac:dyDescent="0.25">
      <c r="B51" s="4858" t="s">
        <v>755</v>
      </c>
      <c r="C51" s="3073" t="s">
        <v>378</v>
      </c>
      <c r="D51" s="4858">
        <v>4</v>
      </c>
      <c r="E51" s="3074">
        <v>8</v>
      </c>
      <c r="F51" s="2641">
        <f t="shared" si="0"/>
        <v>12</v>
      </c>
      <c r="G51" s="5347">
        <v>14</v>
      </c>
      <c r="H51" s="3074">
        <v>10</v>
      </c>
      <c r="I51" s="2641">
        <f t="shared" ref="I51" si="16">SUM(G51:H51)</f>
        <v>24</v>
      </c>
    </row>
    <row r="52" spans="2:9" ht="14.4" x14ac:dyDescent="0.3">
      <c r="B52" s="5347" t="s">
        <v>754</v>
      </c>
      <c r="C52" s="5449" t="s">
        <v>372</v>
      </c>
      <c r="D52" s="5347"/>
      <c r="E52" s="3074"/>
      <c r="F52" s="2641"/>
      <c r="G52" s="5347">
        <v>3</v>
      </c>
      <c r="H52" s="3074"/>
      <c r="I52" s="2641">
        <f t="shared" si="15"/>
        <v>3</v>
      </c>
    </row>
    <row r="53" spans="2:9" ht="14.4" x14ac:dyDescent="0.25">
      <c r="B53" s="2639"/>
      <c r="C53" s="3077" t="s">
        <v>64</v>
      </c>
      <c r="D53" s="3078">
        <f>SUM(D51:D51)</f>
        <v>4</v>
      </c>
      <c r="E53" s="3079">
        <f>SUM(E51:E51)</f>
        <v>8</v>
      </c>
      <c r="F53" s="4878">
        <f>SUM(F51:F51)</f>
        <v>12</v>
      </c>
      <c r="G53" s="3078">
        <f>SUM(G48:G52)</f>
        <v>65</v>
      </c>
      <c r="H53" s="3079">
        <f>SUM(H48:H52)</f>
        <v>50</v>
      </c>
      <c r="I53" s="4878">
        <f>SUM(I48:I52)</f>
        <v>115</v>
      </c>
    </row>
    <row r="54" spans="2:9" ht="14.4" x14ac:dyDescent="0.25">
      <c r="B54" s="2639" t="s">
        <v>754</v>
      </c>
      <c r="C54" s="3073" t="s">
        <v>386</v>
      </c>
      <c r="D54" s="4863">
        <v>6</v>
      </c>
      <c r="E54" s="4864">
        <v>3</v>
      </c>
      <c r="F54" s="4906">
        <f>SUM(D54:E54)</f>
        <v>9</v>
      </c>
      <c r="G54" s="4863">
        <v>14</v>
      </c>
      <c r="H54" s="4864">
        <v>10</v>
      </c>
      <c r="I54" s="4906">
        <f>SUM(G54:H54)</f>
        <v>24</v>
      </c>
    </row>
    <row r="55" spans="2:9" ht="14.4" x14ac:dyDescent="0.25">
      <c r="B55" s="2639" t="s">
        <v>754</v>
      </c>
      <c r="C55" s="3073" t="s">
        <v>385</v>
      </c>
      <c r="D55" s="4863">
        <v>2</v>
      </c>
      <c r="E55" s="4864">
        <v>3</v>
      </c>
      <c r="F55" s="4906">
        <f>SUM(D55:E55)</f>
        <v>5</v>
      </c>
      <c r="G55" s="4863">
        <v>8</v>
      </c>
      <c r="H55" s="4864">
        <v>1</v>
      </c>
      <c r="I55" s="4906">
        <f>SUM(G55:H55)</f>
        <v>9</v>
      </c>
    </row>
    <row r="56" spans="2:9" ht="14.4" x14ac:dyDescent="0.25">
      <c r="B56" s="2639" t="s">
        <v>754</v>
      </c>
      <c r="C56" s="3073" t="s">
        <v>544</v>
      </c>
      <c r="D56" s="4863">
        <v>2</v>
      </c>
      <c r="E56" s="4864"/>
      <c r="F56" s="4906">
        <f>SUM(D56:E56)</f>
        <v>2</v>
      </c>
      <c r="G56" s="4863">
        <v>4</v>
      </c>
      <c r="H56" s="4864">
        <v>6</v>
      </c>
      <c r="I56" s="4906">
        <f>SUM(G56:H56)</f>
        <v>10</v>
      </c>
    </row>
    <row r="57" spans="2:9" ht="14.4" x14ac:dyDescent="0.3">
      <c r="B57" s="2639" t="s">
        <v>754</v>
      </c>
      <c r="C57" s="5449" t="s">
        <v>507</v>
      </c>
      <c r="D57" s="4863"/>
      <c r="E57" s="4864"/>
      <c r="F57" s="4906"/>
      <c r="G57" s="4863">
        <v>5</v>
      </c>
      <c r="H57" s="4864">
        <v>2</v>
      </c>
      <c r="I57" s="4906">
        <f t="shared" ref="I57:I58" si="17">SUM(G57:H57)</f>
        <v>7</v>
      </c>
    </row>
    <row r="58" spans="2:9" ht="14.4" x14ac:dyDescent="0.25">
      <c r="B58" s="2639" t="s">
        <v>755</v>
      </c>
      <c r="C58" s="3073" t="s">
        <v>546</v>
      </c>
      <c r="D58" s="4863"/>
      <c r="E58" s="4864"/>
      <c r="F58" s="4906"/>
      <c r="G58" s="4863">
        <v>2</v>
      </c>
      <c r="H58" s="4864">
        <v>6</v>
      </c>
      <c r="I58" s="4906">
        <f t="shared" si="17"/>
        <v>8</v>
      </c>
    </row>
    <row r="59" spans="2:9" ht="14.4" x14ac:dyDescent="0.25">
      <c r="B59" s="2639" t="s">
        <v>755</v>
      </c>
      <c r="C59" s="3073" t="s">
        <v>545</v>
      </c>
      <c r="D59" s="4858">
        <v>5</v>
      </c>
      <c r="E59" s="3074">
        <v>4</v>
      </c>
      <c r="F59" s="2641">
        <f t="shared" si="0"/>
        <v>9</v>
      </c>
      <c r="G59" s="5347">
        <v>6</v>
      </c>
      <c r="H59" s="3074">
        <v>10</v>
      </c>
      <c r="I59" s="2641">
        <f t="shared" ref="I59" si="18">SUM(G59:H59)</f>
        <v>16</v>
      </c>
    </row>
    <row r="60" spans="2:9" ht="14.4" x14ac:dyDescent="0.25">
      <c r="B60" s="2639" t="s">
        <v>755</v>
      </c>
      <c r="C60" s="3073" t="s">
        <v>354</v>
      </c>
      <c r="D60" s="4858">
        <v>4</v>
      </c>
      <c r="E60" s="3074"/>
      <c r="F60" s="2641">
        <f t="shared" si="0"/>
        <v>4</v>
      </c>
      <c r="G60" s="5347"/>
      <c r="H60" s="3074"/>
      <c r="I60" s="2641"/>
    </row>
    <row r="61" spans="2:9" ht="14.4" x14ac:dyDescent="0.25">
      <c r="B61" s="2639"/>
      <c r="C61" s="3077" t="s">
        <v>92</v>
      </c>
      <c r="D61" s="3078">
        <f t="shared" ref="D61:I61" si="19">SUM(D54:D60)</f>
        <v>19</v>
      </c>
      <c r="E61" s="3079">
        <f t="shared" si="19"/>
        <v>10</v>
      </c>
      <c r="F61" s="4878">
        <f t="shared" si="19"/>
        <v>29</v>
      </c>
      <c r="G61" s="3078">
        <f t="shared" si="19"/>
        <v>39</v>
      </c>
      <c r="H61" s="3079">
        <f t="shared" si="19"/>
        <v>35</v>
      </c>
      <c r="I61" s="4878">
        <f t="shared" si="19"/>
        <v>74</v>
      </c>
    </row>
    <row r="62" spans="2:9" ht="14.4" x14ac:dyDescent="0.25">
      <c r="B62" s="4885"/>
      <c r="C62" s="3086" t="s">
        <v>135</v>
      </c>
      <c r="D62" s="2656">
        <f t="shared" ref="D62:I62" si="20">SUM(D61,D53,D47)</f>
        <v>31</v>
      </c>
      <c r="E62" s="3087">
        <f t="shared" si="20"/>
        <v>23</v>
      </c>
      <c r="F62" s="2655">
        <f t="shared" si="20"/>
        <v>54</v>
      </c>
      <c r="G62" s="2656">
        <f t="shared" si="20"/>
        <v>130</v>
      </c>
      <c r="H62" s="3087">
        <f t="shared" si="20"/>
        <v>112</v>
      </c>
      <c r="I62" s="2655">
        <f t="shared" si="20"/>
        <v>242</v>
      </c>
    </row>
    <row r="63" spans="2:9" ht="14.4" x14ac:dyDescent="0.25">
      <c r="B63" s="4887" t="s">
        <v>754</v>
      </c>
      <c r="C63" s="3072" t="s">
        <v>393</v>
      </c>
      <c r="D63" s="4857">
        <v>9</v>
      </c>
      <c r="E63" s="3083">
        <v>4</v>
      </c>
      <c r="F63" s="4879">
        <f t="shared" si="0"/>
        <v>13</v>
      </c>
      <c r="G63" s="5346"/>
      <c r="H63" s="3083"/>
      <c r="I63" s="4879"/>
    </row>
    <row r="64" spans="2:9" ht="14.4" x14ac:dyDescent="0.3">
      <c r="B64" s="4887" t="s">
        <v>754</v>
      </c>
      <c r="C64" s="5449" t="s">
        <v>1695</v>
      </c>
      <c r="D64" s="5346"/>
      <c r="E64" s="3083"/>
      <c r="F64" s="4879"/>
      <c r="G64" s="5346">
        <v>12</v>
      </c>
      <c r="H64" s="3083">
        <v>4</v>
      </c>
      <c r="I64" s="4879">
        <f t="shared" ref="I64:I69" si="21">SUM(G64:H64)</f>
        <v>16</v>
      </c>
    </row>
    <row r="65" spans="2:9" ht="14.4" x14ac:dyDescent="0.3">
      <c r="B65" s="4887" t="s">
        <v>754</v>
      </c>
      <c r="C65" s="5449" t="s">
        <v>1696</v>
      </c>
      <c r="D65" s="5346"/>
      <c r="E65" s="3083"/>
      <c r="F65" s="4879"/>
      <c r="G65" s="5346">
        <v>8</v>
      </c>
      <c r="H65" s="3083">
        <v>4</v>
      </c>
      <c r="I65" s="4879">
        <f t="shared" si="21"/>
        <v>12</v>
      </c>
    </row>
    <row r="66" spans="2:9" ht="14.4" x14ac:dyDescent="0.3">
      <c r="B66" s="4887" t="s">
        <v>754</v>
      </c>
      <c r="C66" s="5449" t="s">
        <v>1697</v>
      </c>
      <c r="D66" s="5346"/>
      <c r="E66" s="3083"/>
      <c r="F66" s="4879"/>
      <c r="G66" s="5346">
        <v>16</v>
      </c>
      <c r="H66" s="3083">
        <v>6</v>
      </c>
      <c r="I66" s="4879">
        <f t="shared" si="21"/>
        <v>22</v>
      </c>
    </row>
    <row r="67" spans="2:9" ht="14.4" x14ac:dyDescent="0.3">
      <c r="B67" s="4887" t="s">
        <v>754</v>
      </c>
      <c r="C67" s="5449" t="s">
        <v>1698</v>
      </c>
      <c r="D67" s="5346"/>
      <c r="E67" s="3083"/>
      <c r="F67" s="4879"/>
      <c r="G67" s="5346">
        <v>26</v>
      </c>
      <c r="H67" s="3083">
        <v>6</v>
      </c>
      <c r="I67" s="4879">
        <f t="shared" si="21"/>
        <v>32</v>
      </c>
    </row>
    <row r="68" spans="2:9" ht="14.4" x14ac:dyDescent="0.3">
      <c r="B68" s="4887" t="s">
        <v>754</v>
      </c>
      <c r="C68" s="5449" t="s">
        <v>1699</v>
      </c>
      <c r="D68" s="5346"/>
      <c r="E68" s="3083"/>
      <c r="F68" s="4879"/>
      <c r="G68" s="5346">
        <v>8</v>
      </c>
      <c r="H68" s="3083">
        <v>4</v>
      </c>
      <c r="I68" s="4879">
        <f t="shared" si="21"/>
        <v>12</v>
      </c>
    </row>
    <row r="69" spans="2:9" ht="14.4" x14ac:dyDescent="0.3">
      <c r="B69" s="4887" t="s">
        <v>755</v>
      </c>
      <c r="C69" s="5449" t="s">
        <v>403</v>
      </c>
      <c r="D69" s="5346"/>
      <c r="E69" s="3083"/>
      <c r="F69" s="4879"/>
      <c r="G69" s="5346">
        <v>4</v>
      </c>
      <c r="H69" s="3083">
        <v>1</v>
      </c>
      <c r="I69" s="4879">
        <f t="shared" si="21"/>
        <v>5</v>
      </c>
    </row>
    <row r="70" spans="2:9" ht="14.4" x14ac:dyDescent="0.25">
      <c r="B70" s="4887" t="s">
        <v>755</v>
      </c>
      <c r="C70" s="3072" t="s">
        <v>378</v>
      </c>
      <c r="D70" s="4857">
        <v>4</v>
      </c>
      <c r="E70" s="3083">
        <v>6</v>
      </c>
      <c r="F70" s="4879">
        <f>SUM(D70:E70)</f>
        <v>10</v>
      </c>
      <c r="G70" s="5346"/>
      <c r="H70" s="3083"/>
      <c r="I70" s="4879"/>
    </row>
    <row r="71" spans="2:9" ht="14.4" x14ac:dyDescent="0.25">
      <c r="B71" s="4858" t="s">
        <v>755</v>
      </c>
      <c r="C71" s="3073" t="s">
        <v>401</v>
      </c>
      <c r="D71" s="4858">
        <v>4</v>
      </c>
      <c r="E71" s="3074">
        <v>4</v>
      </c>
      <c r="F71" s="2641">
        <f t="shared" ref="F71" si="22">SUM(D71:E71)</f>
        <v>8</v>
      </c>
      <c r="G71" s="5347"/>
      <c r="H71" s="3074"/>
      <c r="I71" s="2641"/>
    </row>
    <row r="72" spans="2:9" ht="14.4" x14ac:dyDescent="0.25">
      <c r="B72" s="2639"/>
      <c r="C72" s="3077" t="s">
        <v>64</v>
      </c>
      <c r="D72" s="3078">
        <f t="shared" ref="D72:I72" si="23">SUM(D63:D71)</f>
        <v>17</v>
      </c>
      <c r="E72" s="3079">
        <f t="shared" si="23"/>
        <v>14</v>
      </c>
      <c r="F72" s="4878">
        <f t="shared" si="23"/>
        <v>31</v>
      </c>
      <c r="G72" s="3078">
        <f t="shared" si="23"/>
        <v>74</v>
      </c>
      <c r="H72" s="3079">
        <f t="shared" si="23"/>
        <v>25</v>
      </c>
      <c r="I72" s="4878">
        <f t="shared" si="23"/>
        <v>99</v>
      </c>
    </row>
    <row r="73" spans="2:9" ht="14.4" x14ac:dyDescent="0.25">
      <c r="B73" s="4858" t="s">
        <v>754</v>
      </c>
      <c r="C73" s="3075" t="s">
        <v>412</v>
      </c>
      <c r="D73" s="4858">
        <v>1</v>
      </c>
      <c r="E73" s="3074">
        <v>2</v>
      </c>
      <c r="F73" s="2641">
        <f t="shared" si="0"/>
        <v>3</v>
      </c>
      <c r="G73" s="5347">
        <v>3</v>
      </c>
      <c r="H73" s="3074">
        <v>2</v>
      </c>
      <c r="I73" s="2641">
        <f t="shared" ref="I73:I76" si="24">SUM(G73:H73)</f>
        <v>5</v>
      </c>
    </row>
    <row r="74" spans="2:9" ht="14.4" x14ac:dyDescent="0.25">
      <c r="B74" s="4858" t="s">
        <v>754</v>
      </c>
      <c r="C74" s="3075" t="s">
        <v>408</v>
      </c>
      <c r="D74" s="4858">
        <v>8</v>
      </c>
      <c r="E74" s="3074"/>
      <c r="F74" s="2641">
        <f t="shared" si="0"/>
        <v>8</v>
      </c>
      <c r="G74" s="5347"/>
      <c r="H74" s="3074"/>
      <c r="I74" s="2641"/>
    </row>
    <row r="75" spans="2:9" ht="14.4" x14ac:dyDescent="0.25">
      <c r="B75" s="4858" t="s">
        <v>754</v>
      </c>
      <c r="C75" s="3075" t="s">
        <v>415</v>
      </c>
      <c r="D75" s="4858">
        <v>2</v>
      </c>
      <c r="E75" s="3074">
        <v>1</v>
      </c>
      <c r="F75" s="2641">
        <f t="shared" si="0"/>
        <v>3</v>
      </c>
      <c r="G75" s="5347">
        <v>4</v>
      </c>
      <c r="H75" s="3074">
        <v>4</v>
      </c>
      <c r="I75" s="2641">
        <f t="shared" si="24"/>
        <v>8</v>
      </c>
    </row>
    <row r="76" spans="2:9" ht="14.4" x14ac:dyDescent="0.3">
      <c r="B76" s="5347" t="s">
        <v>754</v>
      </c>
      <c r="C76" s="5449" t="s">
        <v>1700</v>
      </c>
      <c r="D76" s="5347"/>
      <c r="E76" s="3074"/>
      <c r="F76" s="2641"/>
      <c r="G76" s="5347">
        <v>2</v>
      </c>
      <c r="H76" s="3074">
        <v>1</v>
      </c>
      <c r="I76" s="2641">
        <f t="shared" si="24"/>
        <v>3</v>
      </c>
    </row>
    <row r="77" spans="2:9" ht="14.4" x14ac:dyDescent="0.25">
      <c r="B77" s="2639" t="s">
        <v>754</v>
      </c>
      <c r="C77" s="3073" t="s">
        <v>414</v>
      </c>
      <c r="D77" s="4858">
        <v>3</v>
      </c>
      <c r="E77" s="3074">
        <v>4</v>
      </c>
      <c r="F77" s="2641">
        <f t="shared" si="0"/>
        <v>7</v>
      </c>
      <c r="G77" s="5347"/>
      <c r="H77" s="3074"/>
      <c r="I77" s="2641"/>
    </row>
    <row r="78" spans="2:9" ht="14.4" x14ac:dyDescent="0.25">
      <c r="B78" s="2639" t="s">
        <v>754</v>
      </c>
      <c r="C78" s="3075" t="s">
        <v>413</v>
      </c>
      <c r="D78" s="4858">
        <v>7</v>
      </c>
      <c r="E78" s="3076">
        <v>4</v>
      </c>
      <c r="F78" s="2641">
        <f>SUM(D78:E78)</f>
        <v>11</v>
      </c>
      <c r="G78" s="5347">
        <v>12</v>
      </c>
      <c r="H78" s="3076">
        <v>4</v>
      </c>
      <c r="I78" s="2641">
        <f>SUM(G78:H78)</f>
        <v>16</v>
      </c>
    </row>
    <row r="79" spans="2:9" ht="14.4" x14ac:dyDescent="0.25">
      <c r="B79" s="2639" t="s">
        <v>754</v>
      </c>
      <c r="C79" s="3075" t="s">
        <v>1701</v>
      </c>
      <c r="D79" s="5347"/>
      <c r="E79" s="3076"/>
      <c r="F79" s="2641"/>
      <c r="G79" s="5347">
        <v>9</v>
      </c>
      <c r="H79" s="3076">
        <v>2</v>
      </c>
      <c r="I79" s="2641">
        <f>SUM(G79:H79)</f>
        <v>11</v>
      </c>
    </row>
    <row r="80" spans="2:9" ht="14.4" x14ac:dyDescent="0.25">
      <c r="B80" s="2639" t="s">
        <v>755</v>
      </c>
      <c r="C80" s="3075" t="s">
        <v>669</v>
      </c>
      <c r="D80" s="4858">
        <v>8</v>
      </c>
      <c r="E80" s="3076">
        <v>2</v>
      </c>
      <c r="F80" s="2641">
        <f>SUM(D80:E80)</f>
        <v>10</v>
      </c>
      <c r="G80" s="5347"/>
      <c r="H80" s="3076"/>
      <c r="I80" s="2641"/>
    </row>
    <row r="81" spans="2:10" ht="14.4" x14ac:dyDescent="0.25">
      <c r="B81" s="2639" t="s">
        <v>755</v>
      </c>
      <c r="C81" s="3073" t="s">
        <v>354</v>
      </c>
      <c r="D81" s="4858">
        <v>1</v>
      </c>
      <c r="E81" s="3074">
        <v>1</v>
      </c>
      <c r="F81" s="2641">
        <f t="shared" si="0"/>
        <v>2</v>
      </c>
      <c r="G81" s="5347">
        <v>16</v>
      </c>
      <c r="H81" s="3074">
        <v>10</v>
      </c>
      <c r="I81" s="2641">
        <f t="shared" ref="I81" si="25">SUM(G81:H81)</f>
        <v>26</v>
      </c>
    </row>
    <row r="82" spans="2:10" ht="14.4" x14ac:dyDescent="0.25">
      <c r="B82" s="2639"/>
      <c r="C82" s="3077" t="s">
        <v>92</v>
      </c>
      <c r="D82" s="3078">
        <f t="shared" ref="D82:I82" si="26">SUM(D73:D81)</f>
        <v>30</v>
      </c>
      <c r="E82" s="3079">
        <f t="shared" si="26"/>
        <v>14</v>
      </c>
      <c r="F82" s="4878">
        <f t="shared" si="26"/>
        <v>44</v>
      </c>
      <c r="G82" s="3078">
        <f t="shared" si="26"/>
        <v>46</v>
      </c>
      <c r="H82" s="3079">
        <f t="shared" si="26"/>
        <v>23</v>
      </c>
      <c r="I82" s="4878">
        <f t="shared" si="26"/>
        <v>69</v>
      </c>
    </row>
    <row r="83" spans="2:10" ht="14.4" x14ac:dyDescent="0.25">
      <c r="B83" s="4858" t="s">
        <v>754</v>
      </c>
      <c r="C83" s="3073" t="s">
        <v>418</v>
      </c>
      <c r="D83" s="4858">
        <v>1</v>
      </c>
      <c r="E83" s="3074"/>
      <c r="F83" s="2641">
        <f t="shared" si="0"/>
        <v>1</v>
      </c>
      <c r="G83" s="5347"/>
      <c r="H83" s="3074"/>
      <c r="I83" s="2641"/>
    </row>
    <row r="84" spans="2:10" ht="15" thickBot="1" x14ac:dyDescent="0.3">
      <c r="B84" s="5347" t="s">
        <v>755</v>
      </c>
      <c r="C84" s="5660" t="s">
        <v>421</v>
      </c>
      <c r="D84" s="5347"/>
      <c r="E84" s="3074"/>
      <c r="F84" s="2641"/>
      <c r="G84" s="5347">
        <v>3</v>
      </c>
      <c r="H84" s="3074">
        <v>3</v>
      </c>
      <c r="I84" s="2641">
        <f t="shared" ref="I84" si="27">SUM(G84:H84)</f>
        <v>6</v>
      </c>
    </row>
    <row r="85" spans="2:10" ht="14.4" x14ac:dyDescent="0.3">
      <c r="B85" s="4894"/>
      <c r="C85" s="3077" t="s">
        <v>68</v>
      </c>
      <c r="D85" s="4858">
        <f>SUM(D83:D83)</f>
        <v>1</v>
      </c>
      <c r="E85" s="3074"/>
      <c r="F85" s="2634">
        <f>SUM(F83:F83)</f>
        <v>1</v>
      </c>
      <c r="G85" s="3078">
        <f>SUM(G83:G84)</f>
        <v>3</v>
      </c>
      <c r="H85" s="3079">
        <f t="shared" ref="H85:I85" si="28">SUM(H83:H84)</f>
        <v>3</v>
      </c>
      <c r="I85" s="4878">
        <f t="shared" si="28"/>
        <v>6</v>
      </c>
    </row>
    <row r="86" spans="2:10" ht="14.4" x14ac:dyDescent="0.3">
      <c r="B86" s="4895"/>
      <c r="C86" s="3091" t="s">
        <v>290</v>
      </c>
      <c r="D86" s="2661">
        <f t="shared" ref="D86:I86" si="29">SUM(D85,D82,D72)</f>
        <v>48</v>
      </c>
      <c r="E86" s="3092">
        <f t="shared" si="29"/>
        <v>28</v>
      </c>
      <c r="F86" s="2660">
        <f t="shared" si="29"/>
        <v>76</v>
      </c>
      <c r="G86" s="2661">
        <f t="shared" si="29"/>
        <v>123</v>
      </c>
      <c r="H86" s="3092">
        <f t="shared" si="29"/>
        <v>51</v>
      </c>
      <c r="I86" s="2660">
        <f t="shared" si="29"/>
        <v>174</v>
      </c>
    </row>
    <row r="87" spans="2:10" ht="14.4" x14ac:dyDescent="0.3">
      <c r="B87" s="558"/>
      <c r="C87" s="558"/>
      <c r="D87" s="558"/>
      <c r="E87" s="558"/>
      <c r="F87" s="558"/>
      <c r="G87" s="558"/>
      <c r="H87" s="558"/>
      <c r="I87" s="558"/>
    </row>
    <row r="88" spans="2:10" ht="14.4" x14ac:dyDescent="0.3">
      <c r="B88" s="558"/>
      <c r="C88" s="4900" t="s">
        <v>7</v>
      </c>
      <c r="D88" s="4900">
        <f t="shared" ref="D88:I88" si="30">SUM(D86,D62,D34,D25)</f>
        <v>92</v>
      </c>
      <c r="E88" s="4903">
        <f t="shared" si="30"/>
        <v>62</v>
      </c>
      <c r="F88" s="4904">
        <f t="shared" si="30"/>
        <v>154</v>
      </c>
      <c r="G88" s="4900">
        <f t="shared" si="30"/>
        <v>309</v>
      </c>
      <c r="H88" s="4903">
        <f t="shared" si="30"/>
        <v>243</v>
      </c>
      <c r="I88" s="4904">
        <f t="shared" si="30"/>
        <v>552</v>
      </c>
    </row>
    <row r="89" spans="2:10" s="910" customFormat="1" ht="22.5" customHeight="1" x14ac:dyDescent="0.25">
      <c r="C89" s="5705" t="s">
        <v>622</v>
      </c>
      <c r="G89" s="6147" t="s">
        <v>1600</v>
      </c>
      <c r="H89" s="6147"/>
      <c r="I89" s="6147"/>
    </row>
    <row r="90" spans="2:10" s="910" customFormat="1" ht="22.5" customHeight="1" x14ac:dyDescent="0.25">
      <c r="G90" s="6148"/>
      <c r="H90" s="6148"/>
      <c r="I90" s="6148"/>
    </row>
    <row r="91" spans="2:10" ht="13.8" x14ac:dyDescent="0.3">
      <c r="G91" s="5643"/>
      <c r="H91" s="5643"/>
      <c r="I91" s="5643"/>
    </row>
    <row r="92" spans="2:10" ht="14.4" x14ac:dyDescent="0.3">
      <c r="G92" s="558"/>
      <c r="H92" s="558"/>
      <c r="I92" s="558"/>
      <c r="J92" s="5663"/>
    </row>
    <row r="93" spans="2:10" ht="14.4" x14ac:dyDescent="0.3">
      <c r="G93" s="4730"/>
      <c r="H93" s="4730"/>
      <c r="I93" s="4730"/>
    </row>
  </sheetData>
  <mergeCells count="5">
    <mergeCell ref="G89:I90"/>
    <mergeCell ref="B3:B4"/>
    <mergeCell ref="C3:C4"/>
    <mergeCell ref="D3:F3"/>
    <mergeCell ref="G3:I3"/>
  </mergeCells>
  <printOptions horizontalCentered="1"/>
  <pageMargins left="0.70866141732283472" right="0.70866141732283472" top="0.74803149606299213" bottom="0.74803149606299213" header="0.31496062992125984" footer="0.31496062992125984"/>
  <pageSetup scale="70" firstPageNumber="131" orientation="landscape" useFirstPageNumber="1" r:id="rId1"/>
  <headerFooter scaleWithDoc="0" alignWithMargins="0">
    <oddFooter>&amp;R&amp;P</oddFooter>
  </headerFooter>
  <ignoredErrors>
    <ignoredError sqref="F24:F25 F80:F82 I25 I11 F11 F16 I18 F18 I22 F22 I28:I30 F53:F56 F47 F51 I47:I53 F70:F75 F77:F78 I82 F59:F63 I72" formula="1"/>
  </ignoredErrors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</sheetPr>
  <dimension ref="B1:L86"/>
  <sheetViews>
    <sheetView showGridLines="0" topLeftCell="C1" zoomScaleNormal="100" workbookViewId="0">
      <selection activeCell="L11" sqref="L11"/>
    </sheetView>
  </sheetViews>
  <sheetFormatPr baseColWidth="10" defaultRowHeight="14.4" x14ac:dyDescent="0.3"/>
  <cols>
    <col min="1" max="1" width="5.88671875" customWidth="1"/>
    <col min="2" max="2" width="42.88671875" customWidth="1"/>
    <col min="3" max="3" width="9.44140625" style="558" customWidth="1"/>
    <col min="4" max="5" width="9.44140625" customWidth="1"/>
    <col min="6" max="6" width="10.44140625" customWidth="1"/>
    <col min="7" max="8" width="11.44140625" customWidth="1"/>
    <col min="9" max="9" width="8.5546875" bestFit="1" customWidth="1"/>
    <col min="10" max="10" width="9.44140625" bestFit="1" customWidth="1"/>
  </cols>
  <sheetData>
    <row r="1" spans="2:12" ht="15.6" customHeight="1" x14ac:dyDescent="0.25">
      <c r="B1" s="6150" t="s">
        <v>1662</v>
      </c>
      <c r="C1"/>
    </row>
    <row r="2" spans="2:12" ht="15.6" customHeight="1" x14ac:dyDescent="0.25">
      <c r="B2" s="6150"/>
      <c r="C2"/>
    </row>
    <row r="3" spans="2:12" ht="20.100000000000001" customHeight="1" x14ac:dyDescent="0.3"/>
    <row r="4" spans="2:12" x14ac:dyDescent="0.25">
      <c r="B4" s="6136" t="s">
        <v>757</v>
      </c>
      <c r="C4" s="6125">
        <v>2020</v>
      </c>
      <c r="D4" s="6151"/>
      <c r="E4" s="6127"/>
      <c r="F4" s="6125">
        <v>2021</v>
      </c>
      <c r="G4" s="6151"/>
      <c r="H4" s="6127"/>
      <c r="I4" s="6142" t="s">
        <v>1599</v>
      </c>
      <c r="J4" s="6143"/>
      <c r="K4" s="6144"/>
      <c r="L4" s="5642"/>
    </row>
    <row r="5" spans="2:12" s="558" customFormat="1" ht="17.100000000000001" customHeight="1" x14ac:dyDescent="0.3">
      <c r="B5" s="6137"/>
      <c r="C5" s="3093" t="s">
        <v>140</v>
      </c>
      <c r="D5" s="3093" t="s">
        <v>141</v>
      </c>
      <c r="E5" s="2455" t="s">
        <v>48</v>
      </c>
      <c r="F5" s="3093" t="s">
        <v>140</v>
      </c>
      <c r="G5" s="3093" t="s">
        <v>141</v>
      </c>
      <c r="H5" s="2455" t="s">
        <v>48</v>
      </c>
      <c r="I5" s="3093" t="s">
        <v>140</v>
      </c>
      <c r="J5" s="3093" t="s">
        <v>141</v>
      </c>
      <c r="K5" s="2455" t="s">
        <v>48</v>
      </c>
    </row>
    <row r="6" spans="2:12" s="558" customFormat="1" ht="17.100000000000001" customHeight="1" x14ac:dyDescent="0.3">
      <c r="B6" s="2411" t="s">
        <v>84</v>
      </c>
      <c r="C6" s="5668"/>
      <c r="D6" s="5669"/>
      <c r="E6" s="5686"/>
      <c r="F6" s="5668"/>
      <c r="G6" s="5669"/>
      <c r="H6" s="5686"/>
      <c r="I6" s="5668">
        <v>4</v>
      </c>
      <c r="J6" s="5669">
        <v>4</v>
      </c>
      <c r="K6" s="5686">
        <f>SUM(I6:J6)</f>
        <v>8</v>
      </c>
    </row>
    <row r="7" spans="2:12" s="558" customFormat="1" ht="17.100000000000001" customHeight="1" x14ac:dyDescent="0.3">
      <c r="B7" s="2414" t="s">
        <v>64</v>
      </c>
      <c r="C7" s="5676"/>
      <c r="D7" s="5677"/>
      <c r="E7" s="5687"/>
      <c r="F7" s="5676"/>
      <c r="G7" s="5677"/>
      <c r="H7" s="5687"/>
      <c r="I7" s="5676">
        <f t="shared" ref="I7:J7" si="0">SUM(I6)</f>
        <v>4</v>
      </c>
      <c r="J7" s="5677">
        <f t="shared" si="0"/>
        <v>4</v>
      </c>
      <c r="K7" s="5687">
        <f>SUM(K6)</f>
        <v>8</v>
      </c>
    </row>
    <row r="8" spans="2:12" s="558" customFormat="1" ht="17.100000000000001" customHeight="1" x14ac:dyDescent="0.3">
      <c r="B8" s="5665" t="s">
        <v>93</v>
      </c>
      <c r="C8" s="5678"/>
      <c r="D8" s="5679"/>
      <c r="E8" s="5688"/>
      <c r="F8" s="5678"/>
      <c r="G8" s="5679"/>
      <c r="H8" s="5688"/>
      <c r="I8" s="5678">
        <f>SUM(I7)</f>
        <v>4</v>
      </c>
      <c r="J8" s="5679">
        <f>SUM(J7)</f>
        <v>4</v>
      </c>
      <c r="K8" s="5688">
        <f>SUM(I8:J8)</f>
        <v>8</v>
      </c>
    </row>
    <row r="9" spans="2:12" s="558" customFormat="1" ht="17.100000000000001" customHeight="1" x14ac:dyDescent="0.3">
      <c r="B9" s="2411" t="s">
        <v>250</v>
      </c>
      <c r="C9" s="5670"/>
      <c r="D9" s="5671"/>
      <c r="E9" s="5689"/>
      <c r="F9" s="5670"/>
      <c r="G9" s="5671"/>
      <c r="H9" s="5689"/>
      <c r="I9" s="5668">
        <v>1</v>
      </c>
      <c r="J9" s="5669">
        <v>0</v>
      </c>
      <c r="K9" s="5703">
        <f t="shared" ref="K9" si="1">SUM(I9:J9)</f>
        <v>1</v>
      </c>
    </row>
    <row r="10" spans="2:12" s="558" customFormat="1" ht="17.100000000000001" customHeight="1" x14ac:dyDescent="0.3">
      <c r="B10" s="2414" t="s">
        <v>64</v>
      </c>
      <c r="C10" s="5666"/>
      <c r="D10" s="5667"/>
      <c r="E10" s="5690"/>
      <c r="F10" s="5666"/>
      <c r="G10" s="5667"/>
      <c r="H10" s="5690"/>
      <c r="I10" s="5676">
        <f>SUM(I9)</f>
        <v>1</v>
      </c>
      <c r="J10" s="5677">
        <f>SUM(J9)</f>
        <v>0</v>
      </c>
      <c r="K10" s="5704">
        <f>SUM(K9)</f>
        <v>1</v>
      </c>
    </row>
    <row r="11" spans="2:12" s="558" customFormat="1" ht="17.100000000000001" customHeight="1" x14ac:dyDescent="0.3">
      <c r="B11" s="2370" t="s">
        <v>97</v>
      </c>
      <c r="C11" s="2462">
        <v>3</v>
      </c>
      <c r="D11" s="2465">
        <v>0</v>
      </c>
      <c r="E11" s="5691">
        <f t="shared" ref="E11:E16" si="2">SUM(C11:D11)</f>
        <v>3</v>
      </c>
      <c r="F11" s="2462">
        <v>7</v>
      </c>
      <c r="G11" s="2467"/>
      <c r="H11" s="5691">
        <f t="shared" ref="H11:H16" si="3">SUM(F11:G11)</f>
        <v>7</v>
      </c>
      <c r="I11" s="2462">
        <v>11</v>
      </c>
      <c r="J11" s="2467"/>
      <c r="K11" s="5691">
        <f>SUM(I11:J11)</f>
        <v>11</v>
      </c>
    </row>
    <row r="12" spans="2:12" s="558" customFormat="1" ht="17.100000000000001" customHeight="1" x14ac:dyDescent="0.3">
      <c r="B12" s="2370" t="s">
        <v>98</v>
      </c>
      <c r="C12" s="2462">
        <v>8</v>
      </c>
      <c r="D12" s="2465">
        <v>3</v>
      </c>
      <c r="E12" s="5691">
        <f t="shared" si="2"/>
        <v>11</v>
      </c>
      <c r="F12" s="2462">
        <v>15</v>
      </c>
      <c r="G12" s="2467">
        <v>6</v>
      </c>
      <c r="H12" s="5691">
        <f t="shared" si="3"/>
        <v>21</v>
      </c>
      <c r="I12" s="2462">
        <v>18</v>
      </c>
      <c r="J12" s="2467">
        <v>6</v>
      </c>
      <c r="K12" s="5691">
        <f t="shared" ref="K12:K15" si="4">SUM(I12:J12)</f>
        <v>24</v>
      </c>
    </row>
    <row r="13" spans="2:12" s="558" customFormat="1" ht="17.100000000000001" customHeight="1" x14ac:dyDescent="0.3">
      <c r="B13" s="2370" t="s">
        <v>102</v>
      </c>
      <c r="C13" s="2462">
        <v>8</v>
      </c>
      <c r="D13" s="2465">
        <v>10</v>
      </c>
      <c r="E13" s="5691">
        <f t="shared" si="2"/>
        <v>18</v>
      </c>
      <c r="F13" s="2462">
        <v>11</v>
      </c>
      <c r="G13" s="2467">
        <v>11</v>
      </c>
      <c r="H13" s="5691">
        <f t="shared" si="3"/>
        <v>22</v>
      </c>
      <c r="I13" s="2462">
        <v>7</v>
      </c>
      <c r="J13" s="2467">
        <v>9</v>
      </c>
      <c r="K13" s="5691">
        <f t="shared" si="4"/>
        <v>16</v>
      </c>
    </row>
    <row r="14" spans="2:12" s="558" customFormat="1" ht="17.100000000000001" customHeight="1" x14ac:dyDescent="0.3">
      <c r="B14" s="2370" t="s">
        <v>103</v>
      </c>
      <c r="C14" s="4859"/>
      <c r="D14" s="5358"/>
      <c r="E14" s="5691"/>
      <c r="F14" s="4859">
        <v>7</v>
      </c>
      <c r="G14" s="4860">
        <v>4</v>
      </c>
      <c r="H14" s="5691">
        <f t="shared" si="3"/>
        <v>11</v>
      </c>
      <c r="I14" s="4859">
        <v>7</v>
      </c>
      <c r="J14" s="4860">
        <v>5</v>
      </c>
      <c r="K14" s="5691">
        <f t="shared" si="4"/>
        <v>12</v>
      </c>
    </row>
    <row r="15" spans="2:12" s="558" customFormat="1" ht="17.100000000000001" customHeight="1" x14ac:dyDescent="0.3">
      <c r="B15" s="2370" t="s">
        <v>99</v>
      </c>
      <c r="C15" s="4859"/>
      <c r="D15" s="5358"/>
      <c r="E15" s="5691"/>
      <c r="F15" s="4859"/>
      <c r="G15" s="4860">
        <v>1</v>
      </c>
      <c r="H15" s="5691">
        <f t="shared" si="3"/>
        <v>1</v>
      </c>
      <c r="I15" s="4859"/>
      <c r="J15" s="4860">
        <v>1</v>
      </c>
      <c r="K15" s="5691">
        <f t="shared" si="4"/>
        <v>1</v>
      </c>
    </row>
    <row r="16" spans="2:12" s="558" customFormat="1" ht="17.100000000000001" customHeight="1" x14ac:dyDescent="0.3">
      <c r="B16" s="2371" t="s">
        <v>92</v>
      </c>
      <c r="C16" s="2468">
        <f>SUM(C11:C13)</f>
        <v>19</v>
      </c>
      <c r="D16" s="2471">
        <f>SUM(D11:D13)</f>
        <v>13</v>
      </c>
      <c r="E16" s="5692">
        <f t="shared" si="2"/>
        <v>32</v>
      </c>
      <c r="F16" s="2468">
        <f>SUM(F11:F15)</f>
        <v>40</v>
      </c>
      <c r="G16" s="2473">
        <f>SUM(G11:G15)</f>
        <v>22</v>
      </c>
      <c r="H16" s="5692">
        <f t="shared" si="3"/>
        <v>62</v>
      </c>
      <c r="I16" s="2468">
        <f>SUM(I11:I15)</f>
        <v>43</v>
      </c>
      <c r="J16" s="2473">
        <f>SUM(J11:J15)</f>
        <v>21</v>
      </c>
      <c r="K16" s="5692">
        <f>SUM(K11:K15)</f>
        <v>64</v>
      </c>
    </row>
    <row r="17" spans="2:11" s="558" customFormat="1" ht="17.100000000000001" customHeight="1" x14ac:dyDescent="0.3">
      <c r="B17" s="5680" t="s">
        <v>105</v>
      </c>
      <c r="C17" s="5681">
        <f>+C16</f>
        <v>19</v>
      </c>
      <c r="D17" s="5685">
        <f t="shared" ref="D17:E17" si="5">+D16</f>
        <v>13</v>
      </c>
      <c r="E17" s="5693">
        <f t="shared" si="5"/>
        <v>32</v>
      </c>
      <c r="F17" s="5681">
        <f>+F16</f>
        <v>40</v>
      </c>
      <c r="G17" s="5702">
        <f t="shared" ref="G17:H17" si="6">+G16</f>
        <v>22</v>
      </c>
      <c r="H17" s="5693">
        <f t="shared" si="6"/>
        <v>62</v>
      </c>
      <c r="I17" s="5681">
        <f>SUM(I10,I16)</f>
        <v>44</v>
      </c>
      <c r="J17" s="5702">
        <f t="shared" ref="J17:K17" si="7">SUM(J10,J16)</f>
        <v>21</v>
      </c>
      <c r="K17" s="5693">
        <f t="shared" si="7"/>
        <v>65</v>
      </c>
    </row>
    <row r="18" spans="2:11" s="558" customFormat="1" ht="17.100000000000001" customHeight="1" x14ac:dyDescent="0.3">
      <c r="B18" s="2552" t="s">
        <v>125</v>
      </c>
      <c r="C18" s="5672"/>
      <c r="D18" s="5673"/>
      <c r="E18" s="5694"/>
      <c r="F18" s="5674"/>
      <c r="G18" s="5675"/>
      <c r="H18" s="5694"/>
      <c r="I18" s="5674">
        <v>0</v>
      </c>
      <c r="J18" s="5675">
        <v>1</v>
      </c>
      <c r="K18" s="5694">
        <f t="shared" ref="K18" si="8">SUM(I18:J18)</f>
        <v>1</v>
      </c>
    </row>
    <row r="19" spans="2:11" s="558" customFormat="1" ht="17.100000000000001" customHeight="1" x14ac:dyDescent="0.3">
      <c r="B19" s="2549" t="s">
        <v>92</v>
      </c>
      <c r="C19" s="5676"/>
      <c r="D19" s="5677"/>
      <c r="E19" s="5687"/>
      <c r="F19" s="5676"/>
      <c r="G19" s="5677"/>
      <c r="H19" s="5687"/>
      <c r="I19" s="5676">
        <f>SUM(I18)</f>
        <v>0</v>
      </c>
      <c r="J19" s="5677">
        <f>SUM(J18)</f>
        <v>1</v>
      </c>
      <c r="K19" s="5687">
        <f>SUM(K18)</f>
        <v>1</v>
      </c>
    </row>
    <row r="20" spans="2:11" s="558" customFormat="1" ht="17.100000000000001" customHeight="1" x14ac:dyDescent="0.3">
      <c r="B20" s="5682" t="s">
        <v>127</v>
      </c>
      <c r="C20" s="5683"/>
      <c r="D20" s="5684"/>
      <c r="E20" s="5695"/>
      <c r="F20" s="5683"/>
      <c r="G20" s="5684"/>
      <c r="H20" s="5695"/>
      <c r="I20" s="5683">
        <f>SUM(I19)</f>
        <v>0</v>
      </c>
      <c r="J20" s="5684">
        <f>SUM(J19)</f>
        <v>1</v>
      </c>
      <c r="K20" s="5695">
        <f>SUM(I20:J20)</f>
        <v>1</v>
      </c>
    </row>
    <row r="21" spans="2:11" s="558" customFormat="1" ht="17.100000000000001" customHeight="1" x14ac:dyDescent="0.3"/>
    <row r="22" spans="2:11" s="558" customFormat="1" ht="17.100000000000001" customHeight="1" x14ac:dyDescent="0.3">
      <c r="B22" s="5698" t="s">
        <v>431</v>
      </c>
      <c r="C22" s="5699">
        <f t="shared" ref="C22:H22" si="9">SUM(C7+C16+C19)</f>
        <v>19</v>
      </c>
      <c r="D22" s="5700">
        <f t="shared" si="9"/>
        <v>13</v>
      </c>
      <c r="E22" s="5701">
        <f t="shared" si="9"/>
        <v>32</v>
      </c>
      <c r="F22" s="5699">
        <f t="shared" si="9"/>
        <v>40</v>
      </c>
      <c r="G22" s="5700">
        <f t="shared" si="9"/>
        <v>22</v>
      </c>
      <c r="H22" s="5701">
        <f t="shared" si="9"/>
        <v>62</v>
      </c>
      <c r="I22" s="5699">
        <f>SUM(I8,I17,I20)</f>
        <v>48</v>
      </c>
      <c r="J22" s="5700">
        <f>SUM(J8,J17,J20)</f>
        <v>26</v>
      </c>
      <c r="K22" s="5701">
        <f>SUM(K8,K17,K20)</f>
        <v>74</v>
      </c>
    </row>
    <row r="23" spans="2:11" s="558" customFormat="1" ht="17.100000000000001" customHeight="1" x14ac:dyDescent="0.3">
      <c r="B23" s="2341" t="s">
        <v>622</v>
      </c>
      <c r="C23" s="5697"/>
      <c r="D23" s="5697"/>
      <c r="E23" s="5697"/>
      <c r="F23" s="5697"/>
      <c r="G23" s="5697"/>
      <c r="H23" s="5697"/>
      <c r="I23" s="6149" t="s">
        <v>1600</v>
      </c>
      <c r="J23" s="6149"/>
      <c r="K23" s="6149"/>
    </row>
    <row r="24" spans="2:11" s="558" customFormat="1" ht="17.100000000000001" customHeight="1" x14ac:dyDescent="0.3">
      <c r="B24" s="5696"/>
      <c r="C24" s="5697"/>
      <c r="D24" s="5697"/>
      <c r="E24" s="5697"/>
      <c r="F24" s="5697"/>
      <c r="G24" s="5697"/>
      <c r="H24" s="5697"/>
      <c r="I24" s="6149"/>
      <c r="J24" s="6149"/>
      <c r="K24" s="6149"/>
    </row>
    <row r="25" spans="2:11" s="558" customFormat="1" ht="17.100000000000001" customHeight="1" x14ac:dyDescent="0.3">
      <c r="C25"/>
      <c r="D25"/>
      <c r="E25"/>
      <c r="F25"/>
    </row>
    <row r="26" spans="2:11" s="558" customFormat="1" ht="17.100000000000001" customHeight="1" x14ac:dyDescent="0.3">
      <c r="D26"/>
      <c r="E26"/>
      <c r="F26"/>
    </row>
    <row r="27" spans="2:11" s="558" customFormat="1" ht="17.100000000000001" customHeight="1" x14ac:dyDescent="0.3">
      <c r="B27"/>
      <c r="D27"/>
      <c r="E27"/>
      <c r="F27"/>
      <c r="I27" s="4730"/>
      <c r="J27" s="4730"/>
      <c r="K27" s="5664"/>
    </row>
    <row r="28" spans="2:11" s="558" customFormat="1" ht="17.100000000000001" customHeight="1" x14ac:dyDescent="0.3">
      <c r="B28"/>
      <c r="D28"/>
      <c r="E28"/>
      <c r="F28"/>
    </row>
    <row r="29" spans="2:11" s="558" customFormat="1" ht="17.100000000000001" customHeight="1" x14ac:dyDescent="0.3">
      <c r="B29"/>
      <c r="D29"/>
      <c r="E29"/>
      <c r="F29"/>
    </row>
    <row r="30" spans="2:11" s="558" customFormat="1" ht="17.100000000000001" customHeight="1" x14ac:dyDescent="0.3">
      <c r="B30"/>
      <c r="D30"/>
      <c r="E30"/>
      <c r="F30"/>
    </row>
    <row r="31" spans="2:11" s="558" customFormat="1" ht="17.100000000000001" customHeight="1" x14ac:dyDescent="0.3">
      <c r="B31"/>
      <c r="D31"/>
      <c r="E31"/>
      <c r="F31"/>
    </row>
    <row r="32" spans="2:11" s="558" customFormat="1" ht="17.100000000000001" customHeight="1" x14ac:dyDescent="0.3">
      <c r="B32"/>
      <c r="D32"/>
      <c r="E32"/>
      <c r="F32"/>
    </row>
    <row r="33" spans="2:6" s="558" customFormat="1" ht="17.100000000000001" customHeight="1" x14ac:dyDescent="0.3">
      <c r="B33"/>
      <c r="D33"/>
      <c r="E33"/>
      <c r="F33"/>
    </row>
    <row r="34" spans="2:6" s="558" customFormat="1" x14ac:dyDescent="0.3">
      <c r="B34"/>
      <c r="D34"/>
      <c r="E34"/>
      <c r="F34"/>
    </row>
    <row r="35" spans="2:6" s="558" customFormat="1" ht="17.100000000000001" customHeight="1" x14ac:dyDescent="0.3">
      <c r="B35"/>
      <c r="D35"/>
      <c r="E35"/>
      <c r="F35"/>
    </row>
    <row r="36" spans="2:6" s="558" customFormat="1" ht="17.100000000000001" customHeight="1" x14ac:dyDescent="0.3">
      <c r="B36"/>
      <c r="D36"/>
      <c r="E36"/>
      <c r="F36"/>
    </row>
    <row r="37" spans="2:6" s="558" customFormat="1" ht="17.100000000000001" customHeight="1" x14ac:dyDescent="0.3">
      <c r="B37"/>
      <c r="D37"/>
      <c r="E37"/>
      <c r="F37"/>
    </row>
    <row r="38" spans="2:6" s="558" customFormat="1" ht="17.100000000000001" customHeight="1" x14ac:dyDescent="0.3">
      <c r="B38"/>
      <c r="D38"/>
      <c r="E38"/>
      <c r="F38"/>
    </row>
    <row r="39" spans="2:6" s="558" customFormat="1" ht="17.100000000000001" customHeight="1" x14ac:dyDescent="0.3">
      <c r="B39"/>
      <c r="D39"/>
      <c r="E39"/>
      <c r="F39"/>
    </row>
    <row r="40" spans="2:6" s="558" customFormat="1" ht="17.100000000000001" customHeight="1" x14ac:dyDescent="0.3">
      <c r="B40"/>
      <c r="D40"/>
      <c r="E40"/>
      <c r="F40"/>
    </row>
    <row r="41" spans="2:6" s="558" customFormat="1" ht="17.100000000000001" customHeight="1" x14ac:dyDescent="0.3">
      <c r="B41"/>
      <c r="D41"/>
      <c r="E41"/>
      <c r="F41"/>
    </row>
    <row r="42" spans="2:6" s="558" customFormat="1" ht="17.100000000000001" customHeight="1" x14ac:dyDescent="0.3">
      <c r="B42"/>
      <c r="D42"/>
      <c r="E42"/>
      <c r="F42"/>
    </row>
    <row r="43" spans="2:6" s="558" customFormat="1" ht="17.100000000000001" customHeight="1" x14ac:dyDescent="0.3">
      <c r="B43"/>
      <c r="D43"/>
      <c r="E43"/>
      <c r="F43"/>
    </row>
    <row r="44" spans="2:6" s="558" customFormat="1" ht="17.100000000000001" customHeight="1" x14ac:dyDescent="0.3">
      <c r="B44"/>
      <c r="D44"/>
      <c r="E44"/>
      <c r="F44"/>
    </row>
    <row r="45" spans="2:6" s="558" customFormat="1" ht="17.100000000000001" customHeight="1" x14ac:dyDescent="0.3">
      <c r="B45"/>
      <c r="D45"/>
      <c r="E45"/>
      <c r="F45"/>
    </row>
    <row r="46" spans="2:6" s="558" customFormat="1" ht="17.100000000000001" customHeight="1" x14ac:dyDescent="0.3">
      <c r="B46"/>
      <c r="D46"/>
      <c r="E46"/>
      <c r="F46"/>
    </row>
    <row r="47" spans="2:6" s="558" customFormat="1" ht="17.100000000000001" customHeight="1" x14ac:dyDescent="0.3">
      <c r="B47"/>
      <c r="D47"/>
      <c r="E47"/>
      <c r="F47"/>
    </row>
    <row r="48" spans="2:6" s="558" customFormat="1" ht="17.100000000000001" customHeight="1" x14ac:dyDescent="0.3">
      <c r="B48"/>
      <c r="D48"/>
      <c r="E48"/>
      <c r="F48"/>
    </row>
    <row r="49" spans="2:6" s="558" customFormat="1" ht="17.100000000000001" customHeight="1" x14ac:dyDescent="0.3">
      <c r="B49"/>
      <c r="D49"/>
      <c r="E49"/>
      <c r="F49"/>
    </row>
    <row r="50" spans="2:6" s="558" customFormat="1" ht="17.100000000000001" customHeight="1" x14ac:dyDescent="0.3">
      <c r="B50"/>
      <c r="D50"/>
      <c r="E50"/>
      <c r="F50"/>
    </row>
    <row r="51" spans="2:6" s="558" customFormat="1" ht="17.100000000000001" customHeight="1" x14ac:dyDescent="0.3">
      <c r="B51"/>
      <c r="D51"/>
      <c r="E51"/>
      <c r="F51"/>
    </row>
    <row r="52" spans="2:6" s="558" customFormat="1" ht="17.100000000000001" customHeight="1" x14ac:dyDescent="0.3">
      <c r="B52"/>
      <c r="D52"/>
      <c r="E52"/>
      <c r="F52"/>
    </row>
    <row r="53" spans="2:6" s="558" customFormat="1" ht="17.100000000000001" customHeight="1" x14ac:dyDescent="0.3">
      <c r="B53"/>
      <c r="D53"/>
      <c r="E53"/>
      <c r="F53"/>
    </row>
    <row r="54" spans="2:6" s="558" customFormat="1" ht="17.100000000000001" customHeight="1" x14ac:dyDescent="0.3">
      <c r="B54"/>
      <c r="D54"/>
      <c r="E54"/>
      <c r="F54"/>
    </row>
    <row r="55" spans="2:6" s="558" customFormat="1" ht="17.100000000000001" customHeight="1" x14ac:dyDescent="0.3">
      <c r="B55"/>
      <c r="D55"/>
      <c r="E55"/>
      <c r="F55"/>
    </row>
    <row r="56" spans="2:6" s="558" customFormat="1" ht="17.100000000000001" customHeight="1" x14ac:dyDescent="0.3">
      <c r="B56"/>
      <c r="D56"/>
      <c r="E56"/>
      <c r="F56"/>
    </row>
    <row r="57" spans="2:6" s="558" customFormat="1" ht="17.100000000000001" customHeight="1" x14ac:dyDescent="0.3">
      <c r="B57"/>
      <c r="D57"/>
      <c r="E57"/>
      <c r="F57"/>
    </row>
    <row r="58" spans="2:6" s="558" customFormat="1" ht="17.100000000000001" customHeight="1" x14ac:dyDescent="0.3">
      <c r="B58"/>
      <c r="D58"/>
      <c r="E58"/>
      <c r="F58"/>
    </row>
    <row r="59" spans="2:6" s="558" customFormat="1" ht="17.100000000000001" customHeight="1" x14ac:dyDescent="0.3">
      <c r="B59"/>
      <c r="D59"/>
      <c r="E59"/>
      <c r="F59"/>
    </row>
    <row r="60" spans="2:6" s="558" customFormat="1" ht="17.100000000000001" customHeight="1" x14ac:dyDescent="0.3">
      <c r="B60"/>
      <c r="D60"/>
      <c r="E60"/>
      <c r="F60"/>
    </row>
    <row r="61" spans="2:6" s="558" customFormat="1" ht="17.100000000000001" customHeight="1" x14ac:dyDescent="0.3">
      <c r="B61"/>
      <c r="D61"/>
      <c r="E61"/>
      <c r="F61"/>
    </row>
    <row r="62" spans="2:6" s="558" customFormat="1" ht="17.100000000000001" customHeight="1" x14ac:dyDescent="0.3">
      <c r="B62"/>
      <c r="D62"/>
      <c r="E62"/>
      <c r="F62"/>
    </row>
    <row r="63" spans="2:6" s="558" customFormat="1" ht="17.100000000000001" customHeight="1" x14ac:dyDescent="0.3">
      <c r="B63"/>
      <c r="D63"/>
      <c r="E63"/>
      <c r="F63"/>
    </row>
    <row r="64" spans="2:6" s="558" customFormat="1" ht="17.100000000000001" customHeight="1" x14ac:dyDescent="0.3">
      <c r="B64"/>
      <c r="D64"/>
      <c r="E64"/>
      <c r="F64"/>
    </row>
    <row r="65" spans="2:6" s="558" customFormat="1" ht="17.100000000000001" customHeight="1" x14ac:dyDescent="0.3">
      <c r="B65"/>
      <c r="D65"/>
      <c r="E65"/>
      <c r="F65"/>
    </row>
    <row r="66" spans="2:6" s="558" customFormat="1" ht="17.100000000000001" customHeight="1" x14ac:dyDescent="0.3">
      <c r="B66"/>
      <c r="D66"/>
      <c r="E66"/>
      <c r="F66"/>
    </row>
    <row r="67" spans="2:6" s="558" customFormat="1" ht="17.100000000000001" customHeight="1" x14ac:dyDescent="0.3">
      <c r="B67"/>
      <c r="D67"/>
      <c r="E67"/>
      <c r="F67"/>
    </row>
    <row r="68" spans="2:6" s="558" customFormat="1" ht="17.100000000000001" customHeight="1" x14ac:dyDescent="0.3">
      <c r="B68"/>
      <c r="D68"/>
      <c r="E68"/>
      <c r="F68"/>
    </row>
    <row r="69" spans="2:6" s="558" customFormat="1" ht="17.100000000000001" customHeight="1" x14ac:dyDescent="0.3">
      <c r="B69"/>
      <c r="D69"/>
      <c r="E69"/>
      <c r="F69"/>
    </row>
    <row r="70" spans="2:6" s="558" customFormat="1" ht="17.100000000000001" customHeight="1" x14ac:dyDescent="0.3">
      <c r="B70"/>
      <c r="D70"/>
      <c r="E70"/>
      <c r="F70"/>
    </row>
    <row r="71" spans="2:6" s="558" customFormat="1" ht="17.100000000000001" customHeight="1" x14ac:dyDescent="0.3">
      <c r="B71"/>
      <c r="D71"/>
      <c r="E71"/>
      <c r="F71"/>
    </row>
    <row r="72" spans="2:6" s="558" customFormat="1" ht="17.100000000000001" customHeight="1" x14ac:dyDescent="0.3">
      <c r="B72"/>
      <c r="D72"/>
      <c r="E72"/>
      <c r="F72"/>
    </row>
    <row r="73" spans="2:6" s="558" customFormat="1" ht="17.100000000000001" customHeight="1" x14ac:dyDescent="0.3">
      <c r="B73"/>
      <c r="D73"/>
      <c r="E73"/>
      <c r="F73"/>
    </row>
    <row r="74" spans="2:6" s="558" customFormat="1" ht="17.100000000000001" customHeight="1" x14ac:dyDescent="0.3">
      <c r="B74"/>
      <c r="D74"/>
      <c r="E74"/>
      <c r="F74"/>
    </row>
    <row r="75" spans="2:6" s="558" customFormat="1" ht="17.100000000000001" customHeight="1" x14ac:dyDescent="0.3">
      <c r="B75"/>
      <c r="D75"/>
      <c r="E75"/>
      <c r="F75"/>
    </row>
    <row r="76" spans="2:6" s="558" customFormat="1" ht="17.100000000000001" customHeight="1" x14ac:dyDescent="0.3">
      <c r="B76"/>
      <c r="D76"/>
      <c r="E76"/>
      <c r="F76"/>
    </row>
    <row r="77" spans="2:6" s="558" customFormat="1" ht="17.100000000000001" customHeight="1" x14ac:dyDescent="0.3">
      <c r="B77"/>
      <c r="D77"/>
      <c r="E77"/>
      <c r="F77"/>
    </row>
    <row r="78" spans="2:6" s="558" customFormat="1" ht="17.100000000000001" customHeight="1" x14ac:dyDescent="0.3">
      <c r="B78"/>
      <c r="D78"/>
      <c r="E78"/>
      <c r="F78"/>
    </row>
    <row r="79" spans="2:6" s="558" customFormat="1" ht="17.100000000000001" customHeight="1" x14ac:dyDescent="0.3">
      <c r="B79"/>
      <c r="D79"/>
      <c r="E79"/>
      <c r="F79"/>
    </row>
    <row r="80" spans="2:6" s="558" customFormat="1" ht="17.100000000000001" customHeight="1" x14ac:dyDescent="0.3">
      <c r="B80"/>
      <c r="D80"/>
      <c r="E80"/>
      <c r="F80"/>
    </row>
    <row r="81" spans="2:6" s="558" customFormat="1" ht="17.100000000000001" customHeight="1" x14ac:dyDescent="0.3">
      <c r="B81"/>
      <c r="D81"/>
      <c r="E81"/>
      <c r="F81"/>
    </row>
    <row r="82" spans="2:6" s="558" customFormat="1" ht="17.100000000000001" customHeight="1" x14ac:dyDescent="0.3">
      <c r="B82"/>
      <c r="D82"/>
      <c r="E82"/>
      <c r="F82"/>
    </row>
    <row r="83" spans="2:6" s="558" customFormat="1" ht="17.100000000000001" customHeight="1" x14ac:dyDescent="0.3">
      <c r="B83"/>
      <c r="D83"/>
      <c r="E83"/>
      <c r="F83"/>
    </row>
    <row r="84" spans="2:6" s="558" customFormat="1" ht="17.100000000000001" customHeight="1" x14ac:dyDescent="0.3">
      <c r="B84"/>
      <c r="D84"/>
      <c r="E84"/>
      <c r="F84"/>
    </row>
    <row r="85" spans="2:6" s="558" customFormat="1" ht="17.100000000000001" customHeight="1" x14ac:dyDescent="0.3">
      <c r="B85"/>
      <c r="D85"/>
      <c r="E85"/>
      <c r="F85"/>
    </row>
    <row r="86" spans="2:6" s="558" customFormat="1" ht="17.100000000000001" customHeight="1" x14ac:dyDescent="0.3">
      <c r="B86"/>
      <c r="D86"/>
      <c r="E86"/>
      <c r="F86"/>
    </row>
  </sheetData>
  <mergeCells count="6">
    <mergeCell ref="I23:K24"/>
    <mergeCell ref="B1:B2"/>
    <mergeCell ref="B4:B5"/>
    <mergeCell ref="C4:E4"/>
    <mergeCell ref="F4:H4"/>
    <mergeCell ref="I4:K4"/>
  </mergeCells>
  <printOptions horizontalCentered="1"/>
  <pageMargins left="0.70866141732283472" right="0.70866141732283472" top="0.74803149606299213" bottom="0.74803149606299213" header="0.31496062992125984" footer="0.31496062992125984"/>
  <pageSetup scale="85" firstPageNumber="133" orientation="landscape" useFirstPageNumber="1" r:id="rId1"/>
  <headerFooter scaleWithDoc="0" alignWithMargins="0">
    <oddFooter>&amp;R&amp;P</oddFooter>
  </headerFooter>
  <ignoredErrors>
    <ignoredError sqref="K7 K11:K18" formula="1"/>
  </ignoredErrors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8200"/>
  </sheetPr>
  <dimension ref="A1:CF178"/>
  <sheetViews>
    <sheetView showGridLines="0" zoomScaleNormal="100" workbookViewId="0">
      <pane xSplit="2" ySplit="4" topLeftCell="BK103" activePane="bottomRight" state="frozen"/>
      <selection activeCell="Q31" sqref="Q31"/>
      <selection pane="topRight" activeCell="Q31" sqref="Q31"/>
      <selection pane="bottomLeft" activeCell="Q31" sqref="Q31"/>
      <selection pane="bottomRight" activeCell="Q31" sqref="Q31"/>
    </sheetView>
  </sheetViews>
  <sheetFormatPr baseColWidth="10" defaultColWidth="12.5546875" defaultRowHeight="14.4" x14ac:dyDescent="0.25"/>
  <cols>
    <col min="1" max="1" width="2.88671875" style="3094" customWidth="1"/>
    <col min="2" max="2" width="26.88671875" style="3094" customWidth="1"/>
    <col min="3" max="3" width="8.44140625" style="3094" customWidth="1"/>
    <col min="4" max="4" width="8.109375" style="3094" customWidth="1"/>
    <col min="5" max="7" width="8.44140625" style="3094" customWidth="1"/>
    <col min="8" max="8" width="8.109375" style="3094" customWidth="1"/>
    <col min="9" max="11" width="8.44140625" style="3094" customWidth="1"/>
    <col min="12" max="12" width="8.109375" style="3094" customWidth="1"/>
    <col min="13" max="15" width="8.44140625" style="3094" customWidth="1"/>
    <col min="16" max="16" width="8.109375" style="3094" customWidth="1"/>
    <col min="17" max="19" width="8.44140625" style="3094" customWidth="1"/>
    <col min="20" max="20" width="8.109375" style="3094" customWidth="1"/>
    <col min="21" max="23" width="8.44140625" style="3094" customWidth="1"/>
    <col min="24" max="24" width="8.109375" style="3094" customWidth="1"/>
    <col min="25" max="27" width="8.44140625" style="3094" customWidth="1"/>
    <col min="28" max="28" width="8.109375" style="3094" customWidth="1"/>
    <col min="29" max="31" width="8.44140625" style="3094" customWidth="1"/>
    <col min="32" max="32" width="8.109375" style="3094" customWidth="1"/>
    <col min="33" max="34" width="8.44140625" style="3094" customWidth="1"/>
    <col min="35" max="35" width="8.5546875" style="3094" bestFit="1" customWidth="1"/>
    <col min="36" max="36" width="8.109375" style="3094" bestFit="1" customWidth="1"/>
    <col min="37" max="38" width="9.109375" style="3094" bestFit="1" customWidth="1"/>
    <col min="39" max="39" width="8.5546875" style="3094" bestFit="1" customWidth="1"/>
    <col min="40" max="40" width="8.109375" style="3094" bestFit="1" customWidth="1"/>
    <col min="41" max="42" width="9.109375" style="3094" bestFit="1" customWidth="1"/>
    <col min="43" max="43" width="8.5546875" style="3094" bestFit="1" customWidth="1"/>
    <col min="44" max="44" width="8.109375" style="3094" bestFit="1" customWidth="1"/>
    <col min="45" max="46" width="9.109375" style="3094" bestFit="1" customWidth="1"/>
    <col min="47" max="109" width="8.44140625" style="3094" customWidth="1"/>
    <col min="110" max="223" width="12.5546875" style="3094"/>
    <col min="224" max="224" width="0.88671875" style="3094" customWidth="1"/>
    <col min="225" max="225" width="9.44140625" style="3094" customWidth="1"/>
    <col min="226" max="226" width="14.88671875" style="3094" customWidth="1"/>
    <col min="227" max="228" width="10.109375" style="3094" customWidth="1"/>
    <col min="229" max="229" width="12.44140625" style="3094" bestFit="1" customWidth="1"/>
    <col min="230" max="230" width="11.88671875" style="3094" bestFit="1" customWidth="1"/>
    <col min="231" max="232" width="10.109375" style="3094" customWidth="1"/>
    <col min="233" max="234" width="12.44140625" style="3094" bestFit="1" customWidth="1"/>
    <col min="235" max="236" width="10.109375" style="3094" customWidth="1"/>
    <col min="237" max="238" width="12.44140625" style="3094" bestFit="1" customWidth="1"/>
    <col min="239" max="240" width="10.109375" style="3094" customWidth="1"/>
    <col min="241" max="242" width="12.44140625" style="3094" bestFit="1" customWidth="1"/>
    <col min="243" max="244" width="10.109375" style="3094" customWidth="1"/>
    <col min="245" max="246" width="12.44140625" style="3094" bestFit="1" customWidth="1"/>
    <col min="247" max="248" width="10.109375" style="3094" customWidth="1"/>
    <col min="249" max="250" width="12.44140625" style="3094" bestFit="1" customWidth="1"/>
    <col min="251" max="479" width="12.5546875" style="3094"/>
    <col min="480" max="480" width="0.88671875" style="3094" customWidth="1"/>
    <col min="481" max="481" width="9.44140625" style="3094" customWidth="1"/>
    <col min="482" max="482" width="14.88671875" style="3094" customWidth="1"/>
    <col min="483" max="484" width="10.109375" style="3094" customWidth="1"/>
    <col min="485" max="485" width="12.44140625" style="3094" bestFit="1" customWidth="1"/>
    <col min="486" max="486" width="11.88671875" style="3094" bestFit="1" customWidth="1"/>
    <col min="487" max="488" width="10.109375" style="3094" customWidth="1"/>
    <col min="489" max="490" width="12.44140625" style="3094" bestFit="1" customWidth="1"/>
    <col min="491" max="492" width="10.109375" style="3094" customWidth="1"/>
    <col min="493" max="494" width="12.44140625" style="3094" bestFit="1" customWidth="1"/>
    <col min="495" max="496" width="10.109375" style="3094" customWidth="1"/>
    <col min="497" max="498" width="12.44140625" style="3094" bestFit="1" customWidth="1"/>
    <col min="499" max="500" width="10.109375" style="3094" customWidth="1"/>
    <col min="501" max="502" width="12.44140625" style="3094" bestFit="1" customWidth="1"/>
    <col min="503" max="504" width="10.109375" style="3094" customWidth="1"/>
    <col min="505" max="506" width="12.44140625" style="3094" bestFit="1" customWidth="1"/>
    <col min="507" max="735" width="12.5546875" style="3094"/>
    <col min="736" max="736" width="0.88671875" style="3094" customWidth="1"/>
    <col min="737" max="737" width="9.44140625" style="3094" customWidth="1"/>
    <col min="738" max="738" width="14.88671875" style="3094" customWidth="1"/>
    <col min="739" max="740" width="10.109375" style="3094" customWidth="1"/>
    <col min="741" max="741" width="12.44140625" style="3094" bestFit="1" customWidth="1"/>
    <col min="742" max="742" width="11.88671875" style="3094" bestFit="1" customWidth="1"/>
    <col min="743" max="744" width="10.109375" style="3094" customWidth="1"/>
    <col min="745" max="746" width="12.44140625" style="3094" bestFit="1" customWidth="1"/>
    <col min="747" max="748" width="10.109375" style="3094" customWidth="1"/>
    <col min="749" max="750" width="12.44140625" style="3094" bestFit="1" customWidth="1"/>
    <col min="751" max="752" width="10.109375" style="3094" customWidth="1"/>
    <col min="753" max="754" width="12.44140625" style="3094" bestFit="1" customWidth="1"/>
    <col min="755" max="756" width="10.109375" style="3094" customWidth="1"/>
    <col min="757" max="758" width="12.44140625" style="3094" bestFit="1" customWidth="1"/>
    <col min="759" max="760" width="10.109375" style="3094" customWidth="1"/>
    <col min="761" max="762" width="12.44140625" style="3094" bestFit="1" customWidth="1"/>
    <col min="763" max="991" width="12.5546875" style="3094"/>
    <col min="992" max="992" width="0.88671875" style="3094" customWidth="1"/>
    <col min="993" max="993" width="9.44140625" style="3094" customWidth="1"/>
    <col min="994" max="994" width="14.88671875" style="3094" customWidth="1"/>
    <col min="995" max="996" width="10.109375" style="3094" customWidth="1"/>
    <col min="997" max="997" width="12.44140625" style="3094" bestFit="1" customWidth="1"/>
    <col min="998" max="998" width="11.88671875" style="3094" bestFit="1" customWidth="1"/>
    <col min="999" max="1000" width="10.109375" style="3094" customWidth="1"/>
    <col min="1001" max="1002" width="12.44140625" style="3094" bestFit="1" customWidth="1"/>
    <col min="1003" max="1004" width="10.109375" style="3094" customWidth="1"/>
    <col min="1005" max="1006" width="12.44140625" style="3094" bestFit="1" customWidth="1"/>
    <col min="1007" max="1008" width="10.109375" style="3094" customWidth="1"/>
    <col min="1009" max="1010" width="12.44140625" style="3094" bestFit="1" customWidth="1"/>
    <col min="1011" max="1012" width="10.109375" style="3094" customWidth="1"/>
    <col min="1013" max="1014" width="12.44140625" style="3094" bestFit="1" customWidth="1"/>
    <col min="1015" max="1016" width="10.109375" style="3094" customWidth="1"/>
    <col min="1017" max="1018" width="12.44140625" style="3094" bestFit="1" customWidth="1"/>
    <col min="1019" max="1247" width="12.5546875" style="3094"/>
    <col min="1248" max="1248" width="0.88671875" style="3094" customWidth="1"/>
    <col min="1249" max="1249" width="9.44140625" style="3094" customWidth="1"/>
    <col min="1250" max="1250" width="14.88671875" style="3094" customWidth="1"/>
    <col min="1251" max="1252" width="10.109375" style="3094" customWidth="1"/>
    <col min="1253" max="1253" width="12.44140625" style="3094" bestFit="1" customWidth="1"/>
    <col min="1254" max="1254" width="11.88671875" style="3094" bestFit="1" customWidth="1"/>
    <col min="1255" max="1256" width="10.109375" style="3094" customWidth="1"/>
    <col min="1257" max="1258" width="12.44140625" style="3094" bestFit="1" customWidth="1"/>
    <col min="1259" max="1260" width="10.109375" style="3094" customWidth="1"/>
    <col min="1261" max="1262" width="12.44140625" style="3094" bestFit="1" customWidth="1"/>
    <col min="1263" max="1264" width="10.109375" style="3094" customWidth="1"/>
    <col min="1265" max="1266" width="12.44140625" style="3094" bestFit="1" customWidth="1"/>
    <col min="1267" max="1268" width="10.109375" style="3094" customWidth="1"/>
    <col min="1269" max="1270" width="12.44140625" style="3094" bestFit="1" customWidth="1"/>
    <col min="1271" max="1272" width="10.109375" style="3094" customWidth="1"/>
    <col min="1273" max="1274" width="12.44140625" style="3094" bestFit="1" customWidth="1"/>
    <col min="1275" max="1503" width="12.5546875" style="3094"/>
    <col min="1504" max="1504" width="0.88671875" style="3094" customWidth="1"/>
    <col min="1505" max="1505" width="9.44140625" style="3094" customWidth="1"/>
    <col min="1506" max="1506" width="14.88671875" style="3094" customWidth="1"/>
    <col min="1507" max="1508" width="10.109375" style="3094" customWidth="1"/>
    <col min="1509" max="1509" width="12.44140625" style="3094" bestFit="1" customWidth="1"/>
    <col min="1510" max="1510" width="11.88671875" style="3094" bestFit="1" customWidth="1"/>
    <col min="1511" max="1512" width="10.109375" style="3094" customWidth="1"/>
    <col min="1513" max="1514" width="12.44140625" style="3094" bestFit="1" customWidth="1"/>
    <col min="1515" max="1516" width="10.109375" style="3094" customWidth="1"/>
    <col min="1517" max="1518" width="12.44140625" style="3094" bestFit="1" customWidth="1"/>
    <col min="1519" max="1520" width="10.109375" style="3094" customWidth="1"/>
    <col min="1521" max="1522" width="12.44140625" style="3094" bestFit="1" customWidth="1"/>
    <col min="1523" max="1524" width="10.109375" style="3094" customWidth="1"/>
    <col min="1525" max="1526" width="12.44140625" style="3094" bestFit="1" customWidth="1"/>
    <col min="1527" max="1528" width="10.109375" style="3094" customWidth="1"/>
    <col min="1529" max="1530" width="12.44140625" style="3094" bestFit="1" customWidth="1"/>
    <col min="1531" max="1759" width="12.5546875" style="3094"/>
    <col min="1760" max="1760" width="0.88671875" style="3094" customWidth="1"/>
    <col min="1761" max="1761" width="9.44140625" style="3094" customWidth="1"/>
    <col min="1762" max="1762" width="14.88671875" style="3094" customWidth="1"/>
    <col min="1763" max="1764" width="10.109375" style="3094" customWidth="1"/>
    <col min="1765" max="1765" width="12.44140625" style="3094" bestFit="1" customWidth="1"/>
    <col min="1766" max="1766" width="11.88671875" style="3094" bestFit="1" customWidth="1"/>
    <col min="1767" max="1768" width="10.109375" style="3094" customWidth="1"/>
    <col min="1769" max="1770" width="12.44140625" style="3094" bestFit="1" customWidth="1"/>
    <col min="1771" max="1772" width="10.109375" style="3094" customWidth="1"/>
    <col min="1773" max="1774" width="12.44140625" style="3094" bestFit="1" customWidth="1"/>
    <col min="1775" max="1776" width="10.109375" style="3094" customWidth="1"/>
    <col min="1777" max="1778" width="12.44140625" style="3094" bestFit="1" customWidth="1"/>
    <col min="1779" max="1780" width="10.109375" style="3094" customWidth="1"/>
    <col min="1781" max="1782" width="12.44140625" style="3094" bestFit="1" customWidth="1"/>
    <col min="1783" max="1784" width="10.109375" style="3094" customWidth="1"/>
    <col min="1785" max="1786" width="12.44140625" style="3094" bestFit="1" customWidth="1"/>
    <col min="1787" max="2015" width="12.5546875" style="3094"/>
    <col min="2016" max="2016" width="0.88671875" style="3094" customWidth="1"/>
    <col min="2017" max="2017" width="9.44140625" style="3094" customWidth="1"/>
    <col min="2018" max="2018" width="14.88671875" style="3094" customWidth="1"/>
    <col min="2019" max="2020" width="10.109375" style="3094" customWidth="1"/>
    <col min="2021" max="2021" width="12.44140625" style="3094" bestFit="1" customWidth="1"/>
    <col min="2022" max="2022" width="11.88671875" style="3094" bestFit="1" customWidth="1"/>
    <col min="2023" max="2024" width="10.109375" style="3094" customWidth="1"/>
    <col min="2025" max="2026" width="12.44140625" style="3094" bestFit="1" customWidth="1"/>
    <col min="2027" max="2028" width="10.109375" style="3094" customWidth="1"/>
    <col min="2029" max="2030" width="12.44140625" style="3094" bestFit="1" customWidth="1"/>
    <col min="2031" max="2032" width="10.109375" style="3094" customWidth="1"/>
    <col min="2033" max="2034" width="12.44140625" style="3094" bestFit="1" customWidth="1"/>
    <col min="2035" max="2036" width="10.109375" style="3094" customWidth="1"/>
    <col min="2037" max="2038" width="12.44140625" style="3094" bestFit="1" customWidth="1"/>
    <col min="2039" max="2040" width="10.109375" style="3094" customWidth="1"/>
    <col min="2041" max="2042" width="12.44140625" style="3094" bestFit="1" customWidth="1"/>
    <col min="2043" max="2271" width="12.5546875" style="3094"/>
    <col min="2272" max="2272" width="0.88671875" style="3094" customWidth="1"/>
    <col min="2273" max="2273" width="9.44140625" style="3094" customWidth="1"/>
    <col min="2274" max="2274" width="14.88671875" style="3094" customWidth="1"/>
    <col min="2275" max="2276" width="10.109375" style="3094" customWidth="1"/>
    <col min="2277" max="2277" width="12.44140625" style="3094" bestFit="1" customWidth="1"/>
    <col min="2278" max="2278" width="11.88671875" style="3094" bestFit="1" customWidth="1"/>
    <col min="2279" max="2280" width="10.109375" style="3094" customWidth="1"/>
    <col min="2281" max="2282" width="12.44140625" style="3094" bestFit="1" customWidth="1"/>
    <col min="2283" max="2284" width="10.109375" style="3094" customWidth="1"/>
    <col min="2285" max="2286" width="12.44140625" style="3094" bestFit="1" customWidth="1"/>
    <col min="2287" max="2288" width="10.109375" style="3094" customWidth="1"/>
    <col min="2289" max="2290" width="12.44140625" style="3094" bestFit="1" customWidth="1"/>
    <col min="2291" max="2292" width="10.109375" style="3094" customWidth="1"/>
    <col min="2293" max="2294" width="12.44140625" style="3094" bestFit="1" customWidth="1"/>
    <col min="2295" max="2296" width="10.109375" style="3094" customWidth="1"/>
    <col min="2297" max="2298" width="12.44140625" style="3094" bestFit="1" customWidth="1"/>
    <col min="2299" max="2527" width="12.5546875" style="3094"/>
    <col min="2528" max="2528" width="0.88671875" style="3094" customWidth="1"/>
    <col min="2529" max="2529" width="9.44140625" style="3094" customWidth="1"/>
    <col min="2530" max="2530" width="14.88671875" style="3094" customWidth="1"/>
    <col min="2531" max="2532" width="10.109375" style="3094" customWidth="1"/>
    <col min="2533" max="2533" width="12.44140625" style="3094" bestFit="1" customWidth="1"/>
    <col min="2534" max="2534" width="11.88671875" style="3094" bestFit="1" customWidth="1"/>
    <col min="2535" max="2536" width="10.109375" style="3094" customWidth="1"/>
    <col min="2537" max="2538" width="12.44140625" style="3094" bestFit="1" customWidth="1"/>
    <col min="2539" max="2540" width="10.109375" style="3094" customWidth="1"/>
    <col min="2541" max="2542" width="12.44140625" style="3094" bestFit="1" customWidth="1"/>
    <col min="2543" max="2544" width="10.109375" style="3094" customWidth="1"/>
    <col min="2545" max="2546" width="12.44140625" style="3094" bestFit="1" customWidth="1"/>
    <col min="2547" max="2548" width="10.109375" style="3094" customWidth="1"/>
    <col min="2549" max="2550" width="12.44140625" style="3094" bestFit="1" customWidth="1"/>
    <col min="2551" max="2552" width="10.109375" style="3094" customWidth="1"/>
    <col min="2553" max="2554" width="12.44140625" style="3094" bestFit="1" customWidth="1"/>
    <col min="2555" max="2783" width="12.5546875" style="3094"/>
    <col min="2784" max="2784" width="0.88671875" style="3094" customWidth="1"/>
    <col min="2785" max="2785" width="9.44140625" style="3094" customWidth="1"/>
    <col min="2786" max="2786" width="14.88671875" style="3094" customWidth="1"/>
    <col min="2787" max="2788" width="10.109375" style="3094" customWidth="1"/>
    <col min="2789" max="2789" width="12.44140625" style="3094" bestFit="1" customWidth="1"/>
    <col min="2790" max="2790" width="11.88671875" style="3094" bestFit="1" customWidth="1"/>
    <col min="2791" max="2792" width="10.109375" style="3094" customWidth="1"/>
    <col min="2793" max="2794" width="12.44140625" style="3094" bestFit="1" customWidth="1"/>
    <col min="2795" max="2796" width="10.109375" style="3094" customWidth="1"/>
    <col min="2797" max="2798" width="12.44140625" style="3094" bestFit="1" customWidth="1"/>
    <col min="2799" max="2800" width="10.109375" style="3094" customWidth="1"/>
    <col min="2801" max="2802" width="12.44140625" style="3094" bestFit="1" customWidth="1"/>
    <col min="2803" max="2804" width="10.109375" style="3094" customWidth="1"/>
    <col min="2805" max="2806" width="12.44140625" style="3094" bestFit="1" customWidth="1"/>
    <col min="2807" max="2808" width="10.109375" style="3094" customWidth="1"/>
    <col min="2809" max="2810" width="12.44140625" style="3094" bestFit="1" customWidth="1"/>
    <col min="2811" max="3039" width="12.5546875" style="3094"/>
    <col min="3040" max="3040" width="0.88671875" style="3094" customWidth="1"/>
    <col min="3041" max="3041" width="9.44140625" style="3094" customWidth="1"/>
    <col min="3042" max="3042" width="14.88671875" style="3094" customWidth="1"/>
    <col min="3043" max="3044" width="10.109375" style="3094" customWidth="1"/>
    <col min="3045" max="3045" width="12.44140625" style="3094" bestFit="1" customWidth="1"/>
    <col min="3046" max="3046" width="11.88671875" style="3094" bestFit="1" customWidth="1"/>
    <col min="3047" max="3048" width="10.109375" style="3094" customWidth="1"/>
    <col min="3049" max="3050" width="12.44140625" style="3094" bestFit="1" customWidth="1"/>
    <col min="3051" max="3052" width="10.109375" style="3094" customWidth="1"/>
    <col min="3053" max="3054" width="12.44140625" style="3094" bestFit="1" customWidth="1"/>
    <col min="3055" max="3056" width="10.109375" style="3094" customWidth="1"/>
    <col min="3057" max="3058" width="12.44140625" style="3094" bestFit="1" customWidth="1"/>
    <col min="3059" max="3060" width="10.109375" style="3094" customWidth="1"/>
    <col min="3061" max="3062" width="12.44140625" style="3094" bestFit="1" customWidth="1"/>
    <col min="3063" max="3064" width="10.109375" style="3094" customWidth="1"/>
    <col min="3065" max="3066" width="12.44140625" style="3094" bestFit="1" customWidth="1"/>
    <col min="3067" max="3295" width="12.5546875" style="3094"/>
    <col min="3296" max="3296" width="0.88671875" style="3094" customWidth="1"/>
    <col min="3297" max="3297" width="9.44140625" style="3094" customWidth="1"/>
    <col min="3298" max="3298" width="14.88671875" style="3094" customWidth="1"/>
    <col min="3299" max="3300" width="10.109375" style="3094" customWidth="1"/>
    <col min="3301" max="3301" width="12.44140625" style="3094" bestFit="1" customWidth="1"/>
    <col min="3302" max="3302" width="11.88671875" style="3094" bestFit="1" customWidth="1"/>
    <col min="3303" max="3304" width="10.109375" style="3094" customWidth="1"/>
    <col min="3305" max="3306" width="12.44140625" style="3094" bestFit="1" customWidth="1"/>
    <col min="3307" max="3308" width="10.109375" style="3094" customWidth="1"/>
    <col min="3309" max="3310" width="12.44140625" style="3094" bestFit="1" customWidth="1"/>
    <col min="3311" max="3312" width="10.109375" style="3094" customWidth="1"/>
    <col min="3313" max="3314" width="12.44140625" style="3094" bestFit="1" customWidth="1"/>
    <col min="3315" max="3316" width="10.109375" style="3094" customWidth="1"/>
    <col min="3317" max="3318" width="12.44140625" style="3094" bestFit="1" customWidth="1"/>
    <col min="3319" max="3320" width="10.109375" style="3094" customWidth="1"/>
    <col min="3321" max="3322" width="12.44140625" style="3094" bestFit="1" customWidth="1"/>
    <col min="3323" max="3551" width="12.5546875" style="3094"/>
    <col min="3552" max="3552" width="0.88671875" style="3094" customWidth="1"/>
    <col min="3553" max="3553" width="9.44140625" style="3094" customWidth="1"/>
    <col min="3554" max="3554" width="14.88671875" style="3094" customWidth="1"/>
    <col min="3555" max="3556" width="10.109375" style="3094" customWidth="1"/>
    <col min="3557" max="3557" width="12.44140625" style="3094" bestFit="1" customWidth="1"/>
    <col min="3558" max="3558" width="11.88671875" style="3094" bestFit="1" customWidth="1"/>
    <col min="3559" max="3560" width="10.109375" style="3094" customWidth="1"/>
    <col min="3561" max="3562" width="12.44140625" style="3094" bestFit="1" customWidth="1"/>
    <col min="3563" max="3564" width="10.109375" style="3094" customWidth="1"/>
    <col min="3565" max="3566" width="12.44140625" style="3094" bestFit="1" customWidth="1"/>
    <col min="3567" max="3568" width="10.109375" style="3094" customWidth="1"/>
    <col min="3569" max="3570" width="12.44140625" style="3094" bestFit="1" customWidth="1"/>
    <col min="3571" max="3572" width="10.109375" style="3094" customWidth="1"/>
    <col min="3573" max="3574" width="12.44140625" style="3094" bestFit="1" customWidth="1"/>
    <col min="3575" max="3576" width="10.109375" style="3094" customWidth="1"/>
    <col min="3577" max="3578" width="12.44140625" style="3094" bestFit="1" customWidth="1"/>
    <col min="3579" max="3807" width="12.5546875" style="3094"/>
    <col min="3808" max="3808" width="0.88671875" style="3094" customWidth="1"/>
    <col min="3809" max="3809" width="9.44140625" style="3094" customWidth="1"/>
    <col min="3810" max="3810" width="14.88671875" style="3094" customWidth="1"/>
    <col min="3811" max="3812" width="10.109375" style="3094" customWidth="1"/>
    <col min="3813" max="3813" width="12.44140625" style="3094" bestFit="1" customWidth="1"/>
    <col min="3814" max="3814" width="11.88671875" style="3094" bestFit="1" customWidth="1"/>
    <col min="3815" max="3816" width="10.109375" style="3094" customWidth="1"/>
    <col min="3817" max="3818" width="12.44140625" style="3094" bestFit="1" customWidth="1"/>
    <col min="3819" max="3820" width="10.109375" style="3094" customWidth="1"/>
    <col min="3821" max="3822" width="12.44140625" style="3094" bestFit="1" customWidth="1"/>
    <col min="3823" max="3824" width="10.109375" style="3094" customWidth="1"/>
    <col min="3825" max="3826" width="12.44140625" style="3094" bestFit="1" customWidth="1"/>
    <col min="3827" max="3828" width="10.109375" style="3094" customWidth="1"/>
    <col min="3829" max="3830" width="12.44140625" style="3094" bestFit="1" customWidth="1"/>
    <col min="3831" max="3832" width="10.109375" style="3094" customWidth="1"/>
    <col min="3833" max="3834" width="12.44140625" style="3094" bestFit="1" customWidth="1"/>
    <col min="3835" max="4063" width="12.5546875" style="3094"/>
    <col min="4064" max="4064" width="0.88671875" style="3094" customWidth="1"/>
    <col min="4065" max="4065" width="9.44140625" style="3094" customWidth="1"/>
    <col min="4066" max="4066" width="14.88671875" style="3094" customWidth="1"/>
    <col min="4067" max="4068" width="10.109375" style="3094" customWidth="1"/>
    <col min="4069" max="4069" width="12.44140625" style="3094" bestFit="1" customWidth="1"/>
    <col min="4070" max="4070" width="11.88671875" style="3094" bestFit="1" customWidth="1"/>
    <col min="4071" max="4072" width="10.109375" style="3094" customWidth="1"/>
    <col min="4073" max="4074" width="12.44140625" style="3094" bestFit="1" customWidth="1"/>
    <col min="4075" max="4076" width="10.109375" style="3094" customWidth="1"/>
    <col min="4077" max="4078" width="12.44140625" style="3094" bestFit="1" customWidth="1"/>
    <col min="4079" max="4080" width="10.109375" style="3094" customWidth="1"/>
    <col min="4081" max="4082" width="12.44140625" style="3094" bestFit="1" customWidth="1"/>
    <col min="4083" max="4084" width="10.109375" style="3094" customWidth="1"/>
    <col min="4085" max="4086" width="12.44140625" style="3094" bestFit="1" customWidth="1"/>
    <col min="4087" max="4088" width="10.109375" style="3094" customWidth="1"/>
    <col min="4089" max="4090" width="12.44140625" style="3094" bestFit="1" customWidth="1"/>
    <col min="4091" max="4319" width="12.5546875" style="3094"/>
    <col min="4320" max="4320" width="0.88671875" style="3094" customWidth="1"/>
    <col min="4321" max="4321" width="9.44140625" style="3094" customWidth="1"/>
    <col min="4322" max="4322" width="14.88671875" style="3094" customWidth="1"/>
    <col min="4323" max="4324" width="10.109375" style="3094" customWidth="1"/>
    <col min="4325" max="4325" width="12.44140625" style="3094" bestFit="1" customWidth="1"/>
    <col min="4326" max="4326" width="11.88671875" style="3094" bestFit="1" customWidth="1"/>
    <col min="4327" max="4328" width="10.109375" style="3094" customWidth="1"/>
    <col min="4329" max="4330" width="12.44140625" style="3094" bestFit="1" customWidth="1"/>
    <col min="4331" max="4332" width="10.109375" style="3094" customWidth="1"/>
    <col min="4333" max="4334" width="12.44140625" style="3094" bestFit="1" customWidth="1"/>
    <col min="4335" max="4336" width="10.109375" style="3094" customWidth="1"/>
    <col min="4337" max="4338" width="12.44140625" style="3094" bestFit="1" customWidth="1"/>
    <col min="4339" max="4340" width="10.109375" style="3094" customWidth="1"/>
    <col min="4341" max="4342" width="12.44140625" style="3094" bestFit="1" customWidth="1"/>
    <col min="4343" max="4344" width="10.109375" style="3094" customWidth="1"/>
    <col min="4345" max="4346" width="12.44140625" style="3094" bestFit="1" customWidth="1"/>
    <col min="4347" max="4575" width="12.5546875" style="3094"/>
    <col min="4576" max="4576" width="0.88671875" style="3094" customWidth="1"/>
    <col min="4577" max="4577" width="9.44140625" style="3094" customWidth="1"/>
    <col min="4578" max="4578" width="14.88671875" style="3094" customWidth="1"/>
    <col min="4579" max="4580" width="10.109375" style="3094" customWidth="1"/>
    <col min="4581" max="4581" width="12.44140625" style="3094" bestFit="1" customWidth="1"/>
    <col min="4582" max="4582" width="11.88671875" style="3094" bestFit="1" customWidth="1"/>
    <col min="4583" max="4584" width="10.109375" style="3094" customWidth="1"/>
    <col min="4585" max="4586" width="12.44140625" style="3094" bestFit="1" customWidth="1"/>
    <col min="4587" max="4588" width="10.109375" style="3094" customWidth="1"/>
    <col min="4589" max="4590" width="12.44140625" style="3094" bestFit="1" customWidth="1"/>
    <col min="4591" max="4592" width="10.109375" style="3094" customWidth="1"/>
    <col min="4593" max="4594" width="12.44140625" style="3094" bestFit="1" customWidth="1"/>
    <col min="4595" max="4596" width="10.109375" style="3094" customWidth="1"/>
    <col min="4597" max="4598" width="12.44140625" style="3094" bestFit="1" customWidth="1"/>
    <col min="4599" max="4600" width="10.109375" style="3094" customWidth="1"/>
    <col min="4601" max="4602" width="12.44140625" style="3094" bestFit="1" customWidth="1"/>
    <col min="4603" max="4831" width="12.5546875" style="3094"/>
    <col min="4832" max="4832" width="0.88671875" style="3094" customWidth="1"/>
    <col min="4833" max="4833" width="9.44140625" style="3094" customWidth="1"/>
    <col min="4834" max="4834" width="14.88671875" style="3094" customWidth="1"/>
    <col min="4835" max="4836" width="10.109375" style="3094" customWidth="1"/>
    <col min="4837" max="4837" width="12.44140625" style="3094" bestFit="1" customWidth="1"/>
    <col min="4838" max="4838" width="11.88671875" style="3094" bestFit="1" customWidth="1"/>
    <col min="4839" max="4840" width="10.109375" style="3094" customWidth="1"/>
    <col min="4841" max="4842" width="12.44140625" style="3094" bestFit="1" customWidth="1"/>
    <col min="4843" max="4844" width="10.109375" style="3094" customWidth="1"/>
    <col min="4845" max="4846" width="12.44140625" style="3094" bestFit="1" customWidth="1"/>
    <col min="4847" max="4848" width="10.109375" style="3094" customWidth="1"/>
    <col min="4849" max="4850" width="12.44140625" style="3094" bestFit="1" customWidth="1"/>
    <col min="4851" max="4852" width="10.109375" style="3094" customWidth="1"/>
    <col min="4853" max="4854" width="12.44140625" style="3094" bestFit="1" customWidth="1"/>
    <col min="4855" max="4856" width="10.109375" style="3094" customWidth="1"/>
    <col min="4857" max="4858" width="12.44140625" style="3094" bestFit="1" customWidth="1"/>
    <col min="4859" max="5087" width="12.5546875" style="3094"/>
    <col min="5088" max="5088" width="0.88671875" style="3094" customWidth="1"/>
    <col min="5089" max="5089" width="9.44140625" style="3094" customWidth="1"/>
    <col min="5090" max="5090" width="14.88671875" style="3094" customWidth="1"/>
    <col min="5091" max="5092" width="10.109375" style="3094" customWidth="1"/>
    <col min="5093" max="5093" width="12.44140625" style="3094" bestFit="1" customWidth="1"/>
    <col min="5094" max="5094" width="11.88671875" style="3094" bestFit="1" customWidth="1"/>
    <col min="5095" max="5096" width="10.109375" style="3094" customWidth="1"/>
    <col min="5097" max="5098" width="12.44140625" style="3094" bestFit="1" customWidth="1"/>
    <col min="5099" max="5100" width="10.109375" style="3094" customWidth="1"/>
    <col min="5101" max="5102" width="12.44140625" style="3094" bestFit="1" customWidth="1"/>
    <col min="5103" max="5104" width="10.109375" style="3094" customWidth="1"/>
    <col min="5105" max="5106" width="12.44140625" style="3094" bestFit="1" customWidth="1"/>
    <col min="5107" max="5108" width="10.109375" style="3094" customWidth="1"/>
    <col min="5109" max="5110" width="12.44140625" style="3094" bestFit="1" customWidth="1"/>
    <col min="5111" max="5112" width="10.109375" style="3094" customWidth="1"/>
    <col min="5113" max="5114" width="12.44140625" style="3094" bestFit="1" customWidth="1"/>
    <col min="5115" max="5343" width="12.5546875" style="3094"/>
    <col min="5344" max="5344" width="0.88671875" style="3094" customWidth="1"/>
    <col min="5345" max="5345" width="9.44140625" style="3094" customWidth="1"/>
    <col min="5346" max="5346" width="14.88671875" style="3094" customWidth="1"/>
    <col min="5347" max="5348" width="10.109375" style="3094" customWidth="1"/>
    <col min="5349" max="5349" width="12.44140625" style="3094" bestFit="1" customWidth="1"/>
    <col min="5350" max="5350" width="11.88671875" style="3094" bestFit="1" customWidth="1"/>
    <col min="5351" max="5352" width="10.109375" style="3094" customWidth="1"/>
    <col min="5353" max="5354" width="12.44140625" style="3094" bestFit="1" customWidth="1"/>
    <col min="5355" max="5356" width="10.109375" style="3094" customWidth="1"/>
    <col min="5357" max="5358" width="12.44140625" style="3094" bestFit="1" customWidth="1"/>
    <col min="5359" max="5360" width="10.109375" style="3094" customWidth="1"/>
    <col min="5361" max="5362" width="12.44140625" style="3094" bestFit="1" customWidth="1"/>
    <col min="5363" max="5364" width="10.109375" style="3094" customWidth="1"/>
    <col min="5365" max="5366" width="12.44140625" style="3094" bestFit="1" customWidth="1"/>
    <col min="5367" max="5368" width="10.109375" style="3094" customWidth="1"/>
    <col min="5369" max="5370" width="12.44140625" style="3094" bestFit="1" customWidth="1"/>
    <col min="5371" max="5599" width="12.5546875" style="3094"/>
    <col min="5600" max="5600" width="0.88671875" style="3094" customWidth="1"/>
    <col min="5601" max="5601" width="9.44140625" style="3094" customWidth="1"/>
    <col min="5602" max="5602" width="14.88671875" style="3094" customWidth="1"/>
    <col min="5603" max="5604" width="10.109375" style="3094" customWidth="1"/>
    <col min="5605" max="5605" width="12.44140625" style="3094" bestFit="1" customWidth="1"/>
    <col min="5606" max="5606" width="11.88671875" style="3094" bestFit="1" customWidth="1"/>
    <col min="5607" max="5608" width="10.109375" style="3094" customWidth="1"/>
    <col min="5609" max="5610" width="12.44140625" style="3094" bestFit="1" customWidth="1"/>
    <col min="5611" max="5612" width="10.109375" style="3094" customWidth="1"/>
    <col min="5613" max="5614" width="12.44140625" style="3094" bestFit="1" customWidth="1"/>
    <col min="5615" max="5616" width="10.109375" style="3094" customWidth="1"/>
    <col min="5617" max="5618" width="12.44140625" style="3094" bestFit="1" customWidth="1"/>
    <col min="5619" max="5620" width="10.109375" style="3094" customWidth="1"/>
    <col min="5621" max="5622" width="12.44140625" style="3094" bestFit="1" customWidth="1"/>
    <col min="5623" max="5624" width="10.109375" style="3094" customWidth="1"/>
    <col min="5625" max="5626" width="12.44140625" style="3094" bestFit="1" customWidth="1"/>
    <col min="5627" max="5855" width="12.5546875" style="3094"/>
    <col min="5856" max="5856" width="0.88671875" style="3094" customWidth="1"/>
    <col min="5857" max="5857" width="9.44140625" style="3094" customWidth="1"/>
    <col min="5858" max="5858" width="14.88671875" style="3094" customWidth="1"/>
    <col min="5859" max="5860" width="10.109375" style="3094" customWidth="1"/>
    <col min="5861" max="5861" width="12.44140625" style="3094" bestFit="1" customWidth="1"/>
    <col min="5862" max="5862" width="11.88671875" style="3094" bestFit="1" customWidth="1"/>
    <col min="5863" max="5864" width="10.109375" style="3094" customWidth="1"/>
    <col min="5865" max="5866" width="12.44140625" style="3094" bestFit="1" customWidth="1"/>
    <col min="5867" max="5868" width="10.109375" style="3094" customWidth="1"/>
    <col min="5869" max="5870" width="12.44140625" style="3094" bestFit="1" customWidth="1"/>
    <col min="5871" max="5872" width="10.109375" style="3094" customWidth="1"/>
    <col min="5873" max="5874" width="12.44140625" style="3094" bestFit="1" customWidth="1"/>
    <col min="5875" max="5876" width="10.109375" style="3094" customWidth="1"/>
    <col min="5877" max="5878" width="12.44140625" style="3094" bestFit="1" customWidth="1"/>
    <col min="5879" max="5880" width="10.109375" style="3094" customWidth="1"/>
    <col min="5881" max="5882" width="12.44140625" style="3094" bestFit="1" customWidth="1"/>
    <col min="5883" max="6111" width="12.5546875" style="3094"/>
    <col min="6112" max="6112" width="0.88671875" style="3094" customWidth="1"/>
    <col min="6113" max="6113" width="9.44140625" style="3094" customWidth="1"/>
    <col min="6114" max="6114" width="14.88671875" style="3094" customWidth="1"/>
    <col min="6115" max="6116" width="10.109375" style="3094" customWidth="1"/>
    <col min="6117" max="6117" width="12.44140625" style="3094" bestFit="1" customWidth="1"/>
    <col min="6118" max="6118" width="11.88671875" style="3094" bestFit="1" customWidth="1"/>
    <col min="6119" max="6120" width="10.109375" style="3094" customWidth="1"/>
    <col min="6121" max="6122" width="12.44140625" style="3094" bestFit="1" customWidth="1"/>
    <col min="6123" max="6124" width="10.109375" style="3094" customWidth="1"/>
    <col min="6125" max="6126" width="12.44140625" style="3094" bestFit="1" customWidth="1"/>
    <col min="6127" max="6128" width="10.109375" style="3094" customWidth="1"/>
    <col min="6129" max="6130" width="12.44140625" style="3094" bestFit="1" customWidth="1"/>
    <col min="6131" max="6132" width="10.109375" style="3094" customWidth="1"/>
    <col min="6133" max="6134" width="12.44140625" style="3094" bestFit="1" customWidth="1"/>
    <col min="6135" max="6136" width="10.109375" style="3094" customWidth="1"/>
    <col min="6137" max="6138" width="12.44140625" style="3094" bestFit="1" customWidth="1"/>
    <col min="6139" max="6367" width="12.5546875" style="3094"/>
    <col min="6368" max="6368" width="0.88671875" style="3094" customWidth="1"/>
    <col min="6369" max="6369" width="9.44140625" style="3094" customWidth="1"/>
    <col min="6370" max="6370" width="14.88671875" style="3094" customWidth="1"/>
    <col min="6371" max="6372" width="10.109375" style="3094" customWidth="1"/>
    <col min="6373" max="6373" width="12.44140625" style="3094" bestFit="1" customWidth="1"/>
    <col min="6374" max="6374" width="11.88671875" style="3094" bestFit="1" customWidth="1"/>
    <col min="6375" max="6376" width="10.109375" style="3094" customWidth="1"/>
    <col min="6377" max="6378" width="12.44140625" style="3094" bestFit="1" customWidth="1"/>
    <col min="6379" max="6380" width="10.109375" style="3094" customWidth="1"/>
    <col min="6381" max="6382" width="12.44140625" style="3094" bestFit="1" customWidth="1"/>
    <col min="6383" max="6384" width="10.109375" style="3094" customWidth="1"/>
    <col min="6385" max="6386" width="12.44140625" style="3094" bestFit="1" customWidth="1"/>
    <col min="6387" max="6388" width="10.109375" style="3094" customWidth="1"/>
    <col min="6389" max="6390" width="12.44140625" style="3094" bestFit="1" customWidth="1"/>
    <col min="6391" max="6392" width="10.109375" style="3094" customWidth="1"/>
    <col min="6393" max="6394" width="12.44140625" style="3094" bestFit="1" customWidth="1"/>
    <col min="6395" max="6623" width="12.5546875" style="3094"/>
    <col min="6624" max="6624" width="0.88671875" style="3094" customWidth="1"/>
    <col min="6625" max="6625" width="9.44140625" style="3094" customWidth="1"/>
    <col min="6626" max="6626" width="14.88671875" style="3094" customWidth="1"/>
    <col min="6627" max="6628" width="10.109375" style="3094" customWidth="1"/>
    <col min="6629" max="6629" width="12.44140625" style="3094" bestFit="1" customWidth="1"/>
    <col min="6630" max="6630" width="11.88671875" style="3094" bestFit="1" customWidth="1"/>
    <col min="6631" max="6632" width="10.109375" style="3094" customWidth="1"/>
    <col min="6633" max="6634" width="12.44140625" style="3094" bestFit="1" customWidth="1"/>
    <col min="6635" max="6636" width="10.109375" style="3094" customWidth="1"/>
    <col min="6637" max="6638" width="12.44140625" style="3094" bestFit="1" customWidth="1"/>
    <col min="6639" max="6640" width="10.109375" style="3094" customWidth="1"/>
    <col min="6641" max="6642" width="12.44140625" style="3094" bestFit="1" customWidth="1"/>
    <col min="6643" max="6644" width="10.109375" style="3094" customWidth="1"/>
    <col min="6645" max="6646" width="12.44140625" style="3094" bestFit="1" customWidth="1"/>
    <col min="6647" max="6648" width="10.109375" style="3094" customWidth="1"/>
    <col min="6649" max="6650" width="12.44140625" style="3094" bestFit="1" customWidth="1"/>
    <col min="6651" max="6879" width="12.5546875" style="3094"/>
    <col min="6880" max="6880" width="0.88671875" style="3094" customWidth="1"/>
    <col min="6881" max="6881" width="9.44140625" style="3094" customWidth="1"/>
    <col min="6882" max="6882" width="14.88671875" style="3094" customWidth="1"/>
    <col min="6883" max="6884" width="10.109375" style="3094" customWidth="1"/>
    <col min="6885" max="6885" width="12.44140625" style="3094" bestFit="1" customWidth="1"/>
    <col min="6886" max="6886" width="11.88671875" style="3094" bestFit="1" customWidth="1"/>
    <col min="6887" max="6888" width="10.109375" style="3094" customWidth="1"/>
    <col min="6889" max="6890" width="12.44140625" style="3094" bestFit="1" customWidth="1"/>
    <col min="6891" max="6892" width="10.109375" style="3094" customWidth="1"/>
    <col min="6893" max="6894" width="12.44140625" style="3094" bestFit="1" customWidth="1"/>
    <col min="6895" max="6896" width="10.109375" style="3094" customWidth="1"/>
    <col min="6897" max="6898" width="12.44140625" style="3094" bestFit="1" customWidth="1"/>
    <col min="6899" max="6900" width="10.109375" style="3094" customWidth="1"/>
    <col min="6901" max="6902" width="12.44140625" style="3094" bestFit="1" customWidth="1"/>
    <col min="6903" max="6904" width="10.109375" style="3094" customWidth="1"/>
    <col min="6905" max="6906" width="12.44140625" style="3094" bestFit="1" customWidth="1"/>
    <col min="6907" max="7135" width="12.5546875" style="3094"/>
    <col min="7136" max="7136" width="0.88671875" style="3094" customWidth="1"/>
    <col min="7137" max="7137" width="9.44140625" style="3094" customWidth="1"/>
    <col min="7138" max="7138" width="14.88671875" style="3094" customWidth="1"/>
    <col min="7139" max="7140" width="10.109375" style="3094" customWidth="1"/>
    <col min="7141" max="7141" width="12.44140625" style="3094" bestFit="1" customWidth="1"/>
    <col min="7142" max="7142" width="11.88671875" style="3094" bestFit="1" customWidth="1"/>
    <col min="7143" max="7144" width="10.109375" style="3094" customWidth="1"/>
    <col min="7145" max="7146" width="12.44140625" style="3094" bestFit="1" customWidth="1"/>
    <col min="7147" max="7148" width="10.109375" style="3094" customWidth="1"/>
    <col min="7149" max="7150" width="12.44140625" style="3094" bestFit="1" customWidth="1"/>
    <col min="7151" max="7152" width="10.109375" style="3094" customWidth="1"/>
    <col min="7153" max="7154" width="12.44140625" style="3094" bestFit="1" customWidth="1"/>
    <col min="7155" max="7156" width="10.109375" style="3094" customWidth="1"/>
    <col min="7157" max="7158" width="12.44140625" style="3094" bestFit="1" customWidth="1"/>
    <col min="7159" max="7160" width="10.109375" style="3094" customWidth="1"/>
    <col min="7161" max="7162" width="12.44140625" style="3094" bestFit="1" customWidth="1"/>
    <col min="7163" max="7391" width="12.5546875" style="3094"/>
    <col min="7392" max="7392" width="0.88671875" style="3094" customWidth="1"/>
    <col min="7393" max="7393" width="9.44140625" style="3094" customWidth="1"/>
    <col min="7394" max="7394" width="14.88671875" style="3094" customWidth="1"/>
    <col min="7395" max="7396" width="10.109375" style="3094" customWidth="1"/>
    <col min="7397" max="7397" width="12.44140625" style="3094" bestFit="1" customWidth="1"/>
    <col min="7398" max="7398" width="11.88671875" style="3094" bestFit="1" customWidth="1"/>
    <col min="7399" max="7400" width="10.109375" style="3094" customWidth="1"/>
    <col min="7401" max="7402" width="12.44140625" style="3094" bestFit="1" customWidth="1"/>
    <col min="7403" max="7404" width="10.109375" style="3094" customWidth="1"/>
    <col min="7405" max="7406" width="12.44140625" style="3094" bestFit="1" customWidth="1"/>
    <col min="7407" max="7408" width="10.109375" style="3094" customWidth="1"/>
    <col min="7409" max="7410" width="12.44140625" style="3094" bestFit="1" customWidth="1"/>
    <col min="7411" max="7412" width="10.109375" style="3094" customWidth="1"/>
    <col min="7413" max="7414" width="12.44140625" style="3094" bestFit="1" customWidth="1"/>
    <col min="7415" max="7416" width="10.109375" style="3094" customWidth="1"/>
    <col min="7417" max="7418" width="12.44140625" style="3094" bestFit="1" customWidth="1"/>
    <col min="7419" max="7647" width="12.5546875" style="3094"/>
    <col min="7648" max="7648" width="0.88671875" style="3094" customWidth="1"/>
    <col min="7649" max="7649" width="9.44140625" style="3094" customWidth="1"/>
    <col min="7650" max="7650" width="14.88671875" style="3094" customWidth="1"/>
    <col min="7651" max="7652" width="10.109375" style="3094" customWidth="1"/>
    <col min="7653" max="7653" width="12.44140625" style="3094" bestFit="1" customWidth="1"/>
    <col min="7654" max="7654" width="11.88671875" style="3094" bestFit="1" customWidth="1"/>
    <col min="7655" max="7656" width="10.109375" style="3094" customWidth="1"/>
    <col min="7657" max="7658" width="12.44140625" style="3094" bestFit="1" customWidth="1"/>
    <col min="7659" max="7660" width="10.109375" style="3094" customWidth="1"/>
    <col min="7661" max="7662" width="12.44140625" style="3094" bestFit="1" customWidth="1"/>
    <col min="7663" max="7664" width="10.109375" style="3094" customWidth="1"/>
    <col min="7665" max="7666" width="12.44140625" style="3094" bestFit="1" customWidth="1"/>
    <col min="7667" max="7668" width="10.109375" style="3094" customWidth="1"/>
    <col min="7669" max="7670" width="12.44140625" style="3094" bestFit="1" customWidth="1"/>
    <col min="7671" max="7672" width="10.109375" style="3094" customWidth="1"/>
    <col min="7673" max="7674" width="12.44140625" style="3094" bestFit="1" customWidth="1"/>
    <col min="7675" max="7903" width="12.5546875" style="3094"/>
    <col min="7904" max="7904" width="0.88671875" style="3094" customWidth="1"/>
    <col min="7905" max="7905" width="9.44140625" style="3094" customWidth="1"/>
    <col min="7906" max="7906" width="14.88671875" style="3094" customWidth="1"/>
    <col min="7907" max="7908" width="10.109375" style="3094" customWidth="1"/>
    <col min="7909" max="7909" width="12.44140625" style="3094" bestFit="1" customWidth="1"/>
    <col min="7910" max="7910" width="11.88671875" style="3094" bestFit="1" customWidth="1"/>
    <col min="7911" max="7912" width="10.109375" style="3094" customWidth="1"/>
    <col min="7913" max="7914" width="12.44140625" style="3094" bestFit="1" customWidth="1"/>
    <col min="7915" max="7916" width="10.109375" style="3094" customWidth="1"/>
    <col min="7917" max="7918" width="12.44140625" style="3094" bestFit="1" customWidth="1"/>
    <col min="7919" max="7920" width="10.109375" style="3094" customWidth="1"/>
    <col min="7921" max="7922" width="12.44140625" style="3094" bestFit="1" customWidth="1"/>
    <col min="7923" max="7924" width="10.109375" style="3094" customWidth="1"/>
    <col min="7925" max="7926" width="12.44140625" style="3094" bestFit="1" customWidth="1"/>
    <col min="7927" max="7928" width="10.109375" style="3094" customWidth="1"/>
    <col min="7929" max="7930" width="12.44140625" style="3094" bestFit="1" customWidth="1"/>
    <col min="7931" max="8159" width="12.5546875" style="3094"/>
    <col min="8160" max="8160" width="0.88671875" style="3094" customWidth="1"/>
    <col min="8161" max="8161" width="9.44140625" style="3094" customWidth="1"/>
    <col min="8162" max="8162" width="14.88671875" style="3094" customWidth="1"/>
    <col min="8163" max="8164" width="10.109375" style="3094" customWidth="1"/>
    <col min="8165" max="8165" width="12.44140625" style="3094" bestFit="1" customWidth="1"/>
    <col min="8166" max="8166" width="11.88671875" style="3094" bestFit="1" customWidth="1"/>
    <col min="8167" max="8168" width="10.109375" style="3094" customWidth="1"/>
    <col min="8169" max="8170" width="12.44140625" style="3094" bestFit="1" customWidth="1"/>
    <col min="8171" max="8172" width="10.109375" style="3094" customWidth="1"/>
    <col min="8173" max="8174" width="12.44140625" style="3094" bestFit="1" customWidth="1"/>
    <col min="8175" max="8176" width="10.109375" style="3094" customWidth="1"/>
    <col min="8177" max="8178" width="12.44140625" style="3094" bestFit="1" customWidth="1"/>
    <col min="8179" max="8180" width="10.109375" style="3094" customWidth="1"/>
    <col min="8181" max="8182" width="12.44140625" style="3094" bestFit="1" customWidth="1"/>
    <col min="8183" max="8184" width="10.109375" style="3094" customWidth="1"/>
    <col min="8185" max="8186" width="12.44140625" style="3094" bestFit="1" customWidth="1"/>
    <col min="8187" max="8415" width="12.5546875" style="3094"/>
    <col min="8416" max="8416" width="0.88671875" style="3094" customWidth="1"/>
    <col min="8417" max="8417" width="9.44140625" style="3094" customWidth="1"/>
    <col min="8418" max="8418" width="14.88671875" style="3094" customWidth="1"/>
    <col min="8419" max="8420" width="10.109375" style="3094" customWidth="1"/>
    <col min="8421" max="8421" width="12.44140625" style="3094" bestFit="1" customWidth="1"/>
    <col min="8422" max="8422" width="11.88671875" style="3094" bestFit="1" customWidth="1"/>
    <col min="8423" max="8424" width="10.109375" style="3094" customWidth="1"/>
    <col min="8425" max="8426" width="12.44140625" style="3094" bestFit="1" customWidth="1"/>
    <col min="8427" max="8428" width="10.109375" style="3094" customWidth="1"/>
    <col min="8429" max="8430" width="12.44140625" style="3094" bestFit="1" customWidth="1"/>
    <col min="8431" max="8432" width="10.109375" style="3094" customWidth="1"/>
    <col min="8433" max="8434" width="12.44140625" style="3094" bestFit="1" customWidth="1"/>
    <col min="8435" max="8436" width="10.109375" style="3094" customWidth="1"/>
    <col min="8437" max="8438" width="12.44140625" style="3094" bestFit="1" customWidth="1"/>
    <col min="8439" max="8440" width="10.109375" style="3094" customWidth="1"/>
    <col min="8441" max="8442" width="12.44140625" style="3094" bestFit="1" customWidth="1"/>
    <col min="8443" max="8671" width="12.5546875" style="3094"/>
    <col min="8672" max="8672" width="0.88671875" style="3094" customWidth="1"/>
    <col min="8673" max="8673" width="9.44140625" style="3094" customWidth="1"/>
    <col min="8674" max="8674" width="14.88671875" style="3094" customWidth="1"/>
    <col min="8675" max="8676" width="10.109375" style="3094" customWidth="1"/>
    <col min="8677" max="8677" width="12.44140625" style="3094" bestFit="1" customWidth="1"/>
    <col min="8678" max="8678" width="11.88671875" style="3094" bestFit="1" customWidth="1"/>
    <col min="8679" max="8680" width="10.109375" style="3094" customWidth="1"/>
    <col min="8681" max="8682" width="12.44140625" style="3094" bestFit="1" customWidth="1"/>
    <col min="8683" max="8684" width="10.109375" style="3094" customWidth="1"/>
    <col min="8685" max="8686" width="12.44140625" style="3094" bestFit="1" customWidth="1"/>
    <col min="8687" max="8688" width="10.109375" style="3094" customWidth="1"/>
    <col min="8689" max="8690" width="12.44140625" style="3094" bestFit="1" customWidth="1"/>
    <col min="8691" max="8692" width="10.109375" style="3094" customWidth="1"/>
    <col min="8693" max="8694" width="12.44140625" style="3094" bestFit="1" customWidth="1"/>
    <col min="8695" max="8696" width="10.109375" style="3094" customWidth="1"/>
    <col min="8697" max="8698" width="12.44140625" style="3094" bestFit="1" customWidth="1"/>
    <col min="8699" max="8927" width="12.5546875" style="3094"/>
    <col min="8928" max="8928" width="0.88671875" style="3094" customWidth="1"/>
    <col min="8929" max="8929" width="9.44140625" style="3094" customWidth="1"/>
    <col min="8930" max="8930" width="14.88671875" style="3094" customWidth="1"/>
    <col min="8931" max="8932" width="10.109375" style="3094" customWidth="1"/>
    <col min="8933" max="8933" width="12.44140625" style="3094" bestFit="1" customWidth="1"/>
    <col min="8934" max="8934" width="11.88671875" style="3094" bestFit="1" customWidth="1"/>
    <col min="8935" max="8936" width="10.109375" style="3094" customWidth="1"/>
    <col min="8937" max="8938" width="12.44140625" style="3094" bestFit="1" customWidth="1"/>
    <col min="8939" max="8940" width="10.109375" style="3094" customWidth="1"/>
    <col min="8941" max="8942" width="12.44140625" style="3094" bestFit="1" customWidth="1"/>
    <col min="8943" max="8944" width="10.109375" style="3094" customWidth="1"/>
    <col min="8945" max="8946" width="12.44140625" style="3094" bestFit="1" customWidth="1"/>
    <col min="8947" max="8948" width="10.109375" style="3094" customWidth="1"/>
    <col min="8949" max="8950" width="12.44140625" style="3094" bestFit="1" customWidth="1"/>
    <col min="8951" max="8952" width="10.109375" style="3094" customWidth="1"/>
    <col min="8953" max="8954" width="12.44140625" style="3094" bestFit="1" customWidth="1"/>
    <col min="8955" max="9183" width="12.5546875" style="3094"/>
    <col min="9184" max="9184" width="0.88671875" style="3094" customWidth="1"/>
    <col min="9185" max="9185" width="9.44140625" style="3094" customWidth="1"/>
    <col min="9186" max="9186" width="14.88671875" style="3094" customWidth="1"/>
    <col min="9187" max="9188" width="10.109375" style="3094" customWidth="1"/>
    <col min="9189" max="9189" width="12.44140625" style="3094" bestFit="1" customWidth="1"/>
    <col min="9190" max="9190" width="11.88671875" style="3094" bestFit="1" customWidth="1"/>
    <col min="9191" max="9192" width="10.109375" style="3094" customWidth="1"/>
    <col min="9193" max="9194" width="12.44140625" style="3094" bestFit="1" customWidth="1"/>
    <col min="9195" max="9196" width="10.109375" style="3094" customWidth="1"/>
    <col min="9197" max="9198" width="12.44140625" style="3094" bestFit="1" customWidth="1"/>
    <col min="9199" max="9200" width="10.109375" style="3094" customWidth="1"/>
    <col min="9201" max="9202" width="12.44140625" style="3094" bestFit="1" customWidth="1"/>
    <col min="9203" max="9204" width="10.109375" style="3094" customWidth="1"/>
    <col min="9205" max="9206" width="12.44140625" style="3094" bestFit="1" customWidth="1"/>
    <col min="9207" max="9208" width="10.109375" style="3094" customWidth="1"/>
    <col min="9209" max="9210" width="12.44140625" style="3094" bestFit="1" customWidth="1"/>
    <col min="9211" max="9439" width="12.5546875" style="3094"/>
    <col min="9440" max="9440" width="0.88671875" style="3094" customWidth="1"/>
    <col min="9441" max="9441" width="9.44140625" style="3094" customWidth="1"/>
    <col min="9442" max="9442" width="14.88671875" style="3094" customWidth="1"/>
    <col min="9443" max="9444" width="10.109375" style="3094" customWidth="1"/>
    <col min="9445" max="9445" width="12.44140625" style="3094" bestFit="1" customWidth="1"/>
    <col min="9446" max="9446" width="11.88671875" style="3094" bestFit="1" customWidth="1"/>
    <col min="9447" max="9448" width="10.109375" style="3094" customWidth="1"/>
    <col min="9449" max="9450" width="12.44140625" style="3094" bestFit="1" customWidth="1"/>
    <col min="9451" max="9452" width="10.109375" style="3094" customWidth="1"/>
    <col min="9453" max="9454" width="12.44140625" style="3094" bestFit="1" customWidth="1"/>
    <col min="9455" max="9456" width="10.109375" style="3094" customWidth="1"/>
    <col min="9457" max="9458" width="12.44140625" style="3094" bestFit="1" customWidth="1"/>
    <col min="9459" max="9460" width="10.109375" style="3094" customWidth="1"/>
    <col min="9461" max="9462" width="12.44140625" style="3094" bestFit="1" customWidth="1"/>
    <col min="9463" max="9464" width="10.109375" style="3094" customWidth="1"/>
    <col min="9465" max="9466" width="12.44140625" style="3094" bestFit="1" customWidth="1"/>
    <col min="9467" max="9695" width="12.5546875" style="3094"/>
    <col min="9696" max="9696" width="0.88671875" style="3094" customWidth="1"/>
    <col min="9697" max="9697" width="9.44140625" style="3094" customWidth="1"/>
    <col min="9698" max="9698" width="14.88671875" style="3094" customWidth="1"/>
    <col min="9699" max="9700" width="10.109375" style="3094" customWidth="1"/>
    <col min="9701" max="9701" width="12.44140625" style="3094" bestFit="1" customWidth="1"/>
    <col min="9702" max="9702" width="11.88671875" style="3094" bestFit="1" customWidth="1"/>
    <col min="9703" max="9704" width="10.109375" style="3094" customWidth="1"/>
    <col min="9705" max="9706" width="12.44140625" style="3094" bestFit="1" customWidth="1"/>
    <col min="9707" max="9708" width="10.109375" style="3094" customWidth="1"/>
    <col min="9709" max="9710" width="12.44140625" style="3094" bestFit="1" customWidth="1"/>
    <col min="9711" max="9712" width="10.109375" style="3094" customWidth="1"/>
    <col min="9713" max="9714" width="12.44140625" style="3094" bestFit="1" customWidth="1"/>
    <col min="9715" max="9716" width="10.109375" style="3094" customWidth="1"/>
    <col min="9717" max="9718" width="12.44140625" style="3094" bestFit="1" customWidth="1"/>
    <col min="9719" max="9720" width="10.109375" style="3094" customWidth="1"/>
    <col min="9721" max="9722" width="12.44140625" style="3094" bestFit="1" customWidth="1"/>
    <col min="9723" max="9951" width="12.5546875" style="3094"/>
    <col min="9952" max="9952" width="0.88671875" style="3094" customWidth="1"/>
    <col min="9953" max="9953" width="9.44140625" style="3094" customWidth="1"/>
    <col min="9954" max="9954" width="14.88671875" style="3094" customWidth="1"/>
    <col min="9955" max="9956" width="10.109375" style="3094" customWidth="1"/>
    <col min="9957" max="9957" width="12.44140625" style="3094" bestFit="1" customWidth="1"/>
    <col min="9958" max="9958" width="11.88671875" style="3094" bestFit="1" customWidth="1"/>
    <col min="9959" max="9960" width="10.109375" style="3094" customWidth="1"/>
    <col min="9961" max="9962" width="12.44140625" style="3094" bestFit="1" customWidth="1"/>
    <col min="9963" max="9964" width="10.109375" style="3094" customWidth="1"/>
    <col min="9965" max="9966" width="12.44140625" style="3094" bestFit="1" customWidth="1"/>
    <col min="9967" max="9968" width="10.109375" style="3094" customWidth="1"/>
    <col min="9969" max="9970" width="12.44140625" style="3094" bestFit="1" customWidth="1"/>
    <col min="9971" max="9972" width="10.109375" style="3094" customWidth="1"/>
    <col min="9973" max="9974" width="12.44140625" style="3094" bestFit="1" customWidth="1"/>
    <col min="9975" max="9976" width="10.109375" style="3094" customWidth="1"/>
    <col min="9977" max="9978" width="12.44140625" style="3094" bestFit="1" customWidth="1"/>
    <col min="9979" max="10207" width="12.5546875" style="3094"/>
    <col min="10208" max="10208" width="0.88671875" style="3094" customWidth="1"/>
    <col min="10209" max="10209" width="9.44140625" style="3094" customWidth="1"/>
    <col min="10210" max="10210" width="14.88671875" style="3094" customWidth="1"/>
    <col min="10211" max="10212" width="10.109375" style="3094" customWidth="1"/>
    <col min="10213" max="10213" width="12.44140625" style="3094" bestFit="1" customWidth="1"/>
    <col min="10214" max="10214" width="11.88671875" style="3094" bestFit="1" customWidth="1"/>
    <col min="10215" max="10216" width="10.109375" style="3094" customWidth="1"/>
    <col min="10217" max="10218" width="12.44140625" style="3094" bestFit="1" customWidth="1"/>
    <col min="10219" max="10220" width="10.109375" style="3094" customWidth="1"/>
    <col min="10221" max="10222" width="12.44140625" style="3094" bestFit="1" customWidth="1"/>
    <col min="10223" max="10224" width="10.109375" style="3094" customWidth="1"/>
    <col min="10225" max="10226" width="12.44140625" style="3094" bestFit="1" customWidth="1"/>
    <col min="10227" max="10228" width="10.109375" style="3094" customWidth="1"/>
    <col min="10229" max="10230" width="12.44140625" style="3094" bestFit="1" customWidth="1"/>
    <col min="10231" max="10232" width="10.109375" style="3094" customWidth="1"/>
    <col min="10233" max="10234" width="12.44140625" style="3094" bestFit="1" customWidth="1"/>
    <col min="10235" max="10463" width="12.5546875" style="3094"/>
    <col min="10464" max="10464" width="0.88671875" style="3094" customWidth="1"/>
    <col min="10465" max="10465" width="9.44140625" style="3094" customWidth="1"/>
    <col min="10466" max="10466" width="14.88671875" style="3094" customWidth="1"/>
    <col min="10467" max="10468" width="10.109375" style="3094" customWidth="1"/>
    <col min="10469" max="10469" width="12.44140625" style="3094" bestFit="1" customWidth="1"/>
    <col min="10470" max="10470" width="11.88671875" style="3094" bestFit="1" customWidth="1"/>
    <col min="10471" max="10472" width="10.109375" style="3094" customWidth="1"/>
    <col min="10473" max="10474" width="12.44140625" style="3094" bestFit="1" customWidth="1"/>
    <col min="10475" max="10476" width="10.109375" style="3094" customWidth="1"/>
    <col min="10477" max="10478" width="12.44140625" style="3094" bestFit="1" customWidth="1"/>
    <col min="10479" max="10480" width="10.109375" style="3094" customWidth="1"/>
    <col min="10481" max="10482" width="12.44140625" style="3094" bestFit="1" customWidth="1"/>
    <col min="10483" max="10484" width="10.109375" style="3094" customWidth="1"/>
    <col min="10485" max="10486" width="12.44140625" style="3094" bestFit="1" customWidth="1"/>
    <col min="10487" max="10488" width="10.109375" style="3094" customWidth="1"/>
    <col min="10489" max="10490" width="12.44140625" style="3094" bestFit="1" customWidth="1"/>
    <col min="10491" max="10719" width="12.5546875" style="3094"/>
    <col min="10720" max="10720" width="0.88671875" style="3094" customWidth="1"/>
    <col min="10721" max="10721" width="9.44140625" style="3094" customWidth="1"/>
    <col min="10722" max="10722" width="14.88671875" style="3094" customWidth="1"/>
    <col min="10723" max="10724" width="10.109375" style="3094" customWidth="1"/>
    <col min="10725" max="10725" width="12.44140625" style="3094" bestFit="1" customWidth="1"/>
    <col min="10726" max="10726" width="11.88671875" style="3094" bestFit="1" customWidth="1"/>
    <col min="10727" max="10728" width="10.109375" style="3094" customWidth="1"/>
    <col min="10729" max="10730" width="12.44140625" style="3094" bestFit="1" customWidth="1"/>
    <col min="10731" max="10732" width="10.109375" style="3094" customWidth="1"/>
    <col min="10733" max="10734" width="12.44140625" style="3094" bestFit="1" customWidth="1"/>
    <col min="10735" max="10736" width="10.109375" style="3094" customWidth="1"/>
    <col min="10737" max="10738" width="12.44140625" style="3094" bestFit="1" customWidth="1"/>
    <col min="10739" max="10740" width="10.109375" style="3094" customWidth="1"/>
    <col min="10741" max="10742" width="12.44140625" style="3094" bestFit="1" customWidth="1"/>
    <col min="10743" max="10744" width="10.109375" style="3094" customWidth="1"/>
    <col min="10745" max="10746" width="12.44140625" style="3094" bestFit="1" customWidth="1"/>
    <col min="10747" max="10975" width="12.5546875" style="3094"/>
    <col min="10976" max="10976" width="0.88671875" style="3094" customWidth="1"/>
    <col min="10977" max="10977" width="9.44140625" style="3094" customWidth="1"/>
    <col min="10978" max="10978" width="14.88671875" style="3094" customWidth="1"/>
    <col min="10979" max="10980" width="10.109375" style="3094" customWidth="1"/>
    <col min="10981" max="10981" width="12.44140625" style="3094" bestFit="1" customWidth="1"/>
    <col min="10982" max="10982" width="11.88671875" style="3094" bestFit="1" customWidth="1"/>
    <col min="10983" max="10984" width="10.109375" style="3094" customWidth="1"/>
    <col min="10985" max="10986" width="12.44140625" style="3094" bestFit="1" customWidth="1"/>
    <col min="10987" max="10988" width="10.109375" style="3094" customWidth="1"/>
    <col min="10989" max="10990" width="12.44140625" style="3094" bestFit="1" customWidth="1"/>
    <col min="10991" max="10992" width="10.109375" style="3094" customWidth="1"/>
    <col min="10993" max="10994" width="12.44140625" style="3094" bestFit="1" customWidth="1"/>
    <col min="10995" max="10996" width="10.109375" style="3094" customWidth="1"/>
    <col min="10997" max="10998" width="12.44140625" style="3094" bestFit="1" customWidth="1"/>
    <col min="10999" max="11000" width="10.109375" style="3094" customWidth="1"/>
    <col min="11001" max="11002" width="12.44140625" style="3094" bestFit="1" customWidth="1"/>
    <col min="11003" max="11231" width="12.5546875" style="3094"/>
    <col min="11232" max="11232" width="0.88671875" style="3094" customWidth="1"/>
    <col min="11233" max="11233" width="9.44140625" style="3094" customWidth="1"/>
    <col min="11234" max="11234" width="14.88671875" style="3094" customWidth="1"/>
    <col min="11235" max="11236" width="10.109375" style="3094" customWidth="1"/>
    <col min="11237" max="11237" width="12.44140625" style="3094" bestFit="1" customWidth="1"/>
    <col min="11238" max="11238" width="11.88671875" style="3094" bestFit="1" customWidth="1"/>
    <col min="11239" max="11240" width="10.109375" style="3094" customWidth="1"/>
    <col min="11241" max="11242" width="12.44140625" style="3094" bestFit="1" customWidth="1"/>
    <col min="11243" max="11244" width="10.109375" style="3094" customWidth="1"/>
    <col min="11245" max="11246" width="12.44140625" style="3094" bestFit="1" customWidth="1"/>
    <col min="11247" max="11248" width="10.109375" style="3094" customWidth="1"/>
    <col min="11249" max="11250" width="12.44140625" style="3094" bestFit="1" customWidth="1"/>
    <col min="11251" max="11252" width="10.109375" style="3094" customWidth="1"/>
    <col min="11253" max="11254" width="12.44140625" style="3094" bestFit="1" customWidth="1"/>
    <col min="11255" max="11256" width="10.109375" style="3094" customWidth="1"/>
    <col min="11257" max="11258" width="12.44140625" style="3094" bestFit="1" customWidth="1"/>
    <col min="11259" max="11487" width="12.5546875" style="3094"/>
    <col min="11488" max="11488" width="0.88671875" style="3094" customWidth="1"/>
    <col min="11489" max="11489" width="9.44140625" style="3094" customWidth="1"/>
    <col min="11490" max="11490" width="14.88671875" style="3094" customWidth="1"/>
    <col min="11491" max="11492" width="10.109375" style="3094" customWidth="1"/>
    <col min="11493" max="11493" width="12.44140625" style="3094" bestFit="1" customWidth="1"/>
    <col min="11494" max="11494" width="11.88671875" style="3094" bestFit="1" customWidth="1"/>
    <col min="11495" max="11496" width="10.109375" style="3094" customWidth="1"/>
    <col min="11497" max="11498" width="12.44140625" style="3094" bestFit="1" customWidth="1"/>
    <col min="11499" max="11500" width="10.109375" style="3094" customWidth="1"/>
    <col min="11501" max="11502" width="12.44140625" style="3094" bestFit="1" customWidth="1"/>
    <col min="11503" max="11504" width="10.109375" style="3094" customWidth="1"/>
    <col min="11505" max="11506" width="12.44140625" style="3094" bestFit="1" customWidth="1"/>
    <col min="11507" max="11508" width="10.109375" style="3094" customWidth="1"/>
    <col min="11509" max="11510" width="12.44140625" style="3094" bestFit="1" customWidth="1"/>
    <col min="11511" max="11512" width="10.109375" style="3094" customWidth="1"/>
    <col min="11513" max="11514" width="12.44140625" style="3094" bestFit="1" customWidth="1"/>
    <col min="11515" max="11743" width="12.5546875" style="3094"/>
    <col min="11744" max="11744" width="0.88671875" style="3094" customWidth="1"/>
    <col min="11745" max="11745" width="9.44140625" style="3094" customWidth="1"/>
    <col min="11746" max="11746" width="14.88671875" style="3094" customWidth="1"/>
    <col min="11747" max="11748" width="10.109375" style="3094" customWidth="1"/>
    <col min="11749" max="11749" width="12.44140625" style="3094" bestFit="1" customWidth="1"/>
    <col min="11750" max="11750" width="11.88671875" style="3094" bestFit="1" customWidth="1"/>
    <col min="11751" max="11752" width="10.109375" style="3094" customWidth="1"/>
    <col min="11753" max="11754" width="12.44140625" style="3094" bestFit="1" customWidth="1"/>
    <col min="11755" max="11756" width="10.109375" style="3094" customWidth="1"/>
    <col min="11757" max="11758" width="12.44140625" style="3094" bestFit="1" customWidth="1"/>
    <col min="11759" max="11760" width="10.109375" style="3094" customWidth="1"/>
    <col min="11761" max="11762" width="12.44140625" style="3094" bestFit="1" customWidth="1"/>
    <col min="11763" max="11764" width="10.109375" style="3094" customWidth="1"/>
    <col min="11765" max="11766" width="12.44140625" style="3094" bestFit="1" customWidth="1"/>
    <col min="11767" max="11768" width="10.109375" style="3094" customWidth="1"/>
    <col min="11769" max="11770" width="12.44140625" style="3094" bestFit="1" customWidth="1"/>
    <col min="11771" max="11999" width="12.5546875" style="3094"/>
    <col min="12000" max="12000" width="0.88671875" style="3094" customWidth="1"/>
    <col min="12001" max="12001" width="9.44140625" style="3094" customWidth="1"/>
    <col min="12002" max="12002" width="14.88671875" style="3094" customWidth="1"/>
    <col min="12003" max="12004" width="10.109375" style="3094" customWidth="1"/>
    <col min="12005" max="12005" width="12.44140625" style="3094" bestFit="1" customWidth="1"/>
    <col min="12006" max="12006" width="11.88671875" style="3094" bestFit="1" customWidth="1"/>
    <col min="12007" max="12008" width="10.109375" style="3094" customWidth="1"/>
    <col min="12009" max="12010" width="12.44140625" style="3094" bestFit="1" customWidth="1"/>
    <col min="12011" max="12012" width="10.109375" style="3094" customWidth="1"/>
    <col min="12013" max="12014" width="12.44140625" style="3094" bestFit="1" customWidth="1"/>
    <col min="12015" max="12016" width="10.109375" style="3094" customWidth="1"/>
    <col min="12017" max="12018" width="12.44140625" style="3094" bestFit="1" customWidth="1"/>
    <col min="12019" max="12020" width="10.109375" style="3094" customWidth="1"/>
    <col min="12021" max="12022" width="12.44140625" style="3094" bestFit="1" customWidth="1"/>
    <col min="12023" max="12024" width="10.109375" style="3094" customWidth="1"/>
    <col min="12025" max="12026" width="12.44140625" style="3094" bestFit="1" customWidth="1"/>
    <col min="12027" max="12255" width="12.5546875" style="3094"/>
    <col min="12256" max="12256" width="0.88671875" style="3094" customWidth="1"/>
    <col min="12257" max="12257" width="9.44140625" style="3094" customWidth="1"/>
    <col min="12258" max="12258" width="14.88671875" style="3094" customWidth="1"/>
    <col min="12259" max="12260" width="10.109375" style="3094" customWidth="1"/>
    <col min="12261" max="12261" width="12.44140625" style="3094" bestFit="1" customWidth="1"/>
    <col min="12262" max="12262" width="11.88671875" style="3094" bestFit="1" customWidth="1"/>
    <col min="12263" max="12264" width="10.109375" style="3094" customWidth="1"/>
    <col min="12265" max="12266" width="12.44140625" style="3094" bestFit="1" customWidth="1"/>
    <col min="12267" max="12268" width="10.109375" style="3094" customWidth="1"/>
    <col min="12269" max="12270" width="12.44140625" style="3094" bestFit="1" customWidth="1"/>
    <col min="12271" max="12272" width="10.109375" style="3094" customWidth="1"/>
    <col min="12273" max="12274" width="12.44140625" style="3094" bestFit="1" customWidth="1"/>
    <col min="12275" max="12276" width="10.109375" style="3094" customWidth="1"/>
    <col min="12277" max="12278" width="12.44140625" style="3094" bestFit="1" customWidth="1"/>
    <col min="12279" max="12280" width="10.109375" style="3094" customWidth="1"/>
    <col min="12281" max="12282" width="12.44140625" style="3094" bestFit="1" customWidth="1"/>
    <col min="12283" max="12511" width="12.5546875" style="3094"/>
    <col min="12512" max="12512" width="0.88671875" style="3094" customWidth="1"/>
    <col min="12513" max="12513" width="9.44140625" style="3094" customWidth="1"/>
    <col min="12514" max="12514" width="14.88671875" style="3094" customWidth="1"/>
    <col min="12515" max="12516" width="10.109375" style="3094" customWidth="1"/>
    <col min="12517" max="12517" width="12.44140625" style="3094" bestFit="1" customWidth="1"/>
    <col min="12518" max="12518" width="11.88671875" style="3094" bestFit="1" customWidth="1"/>
    <col min="12519" max="12520" width="10.109375" style="3094" customWidth="1"/>
    <col min="12521" max="12522" width="12.44140625" style="3094" bestFit="1" customWidth="1"/>
    <col min="12523" max="12524" width="10.109375" style="3094" customWidth="1"/>
    <col min="12525" max="12526" width="12.44140625" style="3094" bestFit="1" customWidth="1"/>
    <col min="12527" max="12528" width="10.109375" style="3094" customWidth="1"/>
    <col min="12529" max="12530" width="12.44140625" style="3094" bestFit="1" customWidth="1"/>
    <col min="12531" max="12532" width="10.109375" style="3094" customWidth="1"/>
    <col min="12533" max="12534" width="12.44140625" style="3094" bestFit="1" customWidth="1"/>
    <col min="12535" max="12536" width="10.109375" style="3094" customWidth="1"/>
    <col min="12537" max="12538" width="12.44140625" style="3094" bestFit="1" customWidth="1"/>
    <col min="12539" max="12767" width="12.5546875" style="3094"/>
    <col min="12768" max="12768" width="0.88671875" style="3094" customWidth="1"/>
    <col min="12769" max="12769" width="9.44140625" style="3094" customWidth="1"/>
    <col min="12770" max="12770" width="14.88671875" style="3094" customWidth="1"/>
    <col min="12771" max="12772" width="10.109375" style="3094" customWidth="1"/>
    <col min="12773" max="12773" width="12.44140625" style="3094" bestFit="1" customWidth="1"/>
    <col min="12774" max="12774" width="11.88671875" style="3094" bestFit="1" customWidth="1"/>
    <col min="12775" max="12776" width="10.109375" style="3094" customWidth="1"/>
    <col min="12777" max="12778" width="12.44140625" style="3094" bestFit="1" customWidth="1"/>
    <col min="12779" max="12780" width="10.109375" style="3094" customWidth="1"/>
    <col min="12781" max="12782" width="12.44140625" style="3094" bestFit="1" customWidth="1"/>
    <col min="12783" max="12784" width="10.109375" style="3094" customWidth="1"/>
    <col min="12785" max="12786" width="12.44140625" style="3094" bestFit="1" customWidth="1"/>
    <col min="12787" max="12788" width="10.109375" style="3094" customWidth="1"/>
    <col min="12789" max="12790" width="12.44140625" style="3094" bestFit="1" customWidth="1"/>
    <col min="12791" max="12792" width="10.109375" style="3094" customWidth="1"/>
    <col min="12793" max="12794" width="12.44140625" style="3094" bestFit="1" customWidth="1"/>
    <col min="12795" max="13023" width="12.5546875" style="3094"/>
    <col min="13024" max="13024" width="0.88671875" style="3094" customWidth="1"/>
    <col min="13025" max="13025" width="9.44140625" style="3094" customWidth="1"/>
    <col min="13026" max="13026" width="14.88671875" style="3094" customWidth="1"/>
    <col min="13027" max="13028" width="10.109375" style="3094" customWidth="1"/>
    <col min="13029" max="13029" width="12.44140625" style="3094" bestFit="1" customWidth="1"/>
    <col min="13030" max="13030" width="11.88671875" style="3094" bestFit="1" customWidth="1"/>
    <col min="13031" max="13032" width="10.109375" style="3094" customWidth="1"/>
    <col min="13033" max="13034" width="12.44140625" style="3094" bestFit="1" customWidth="1"/>
    <col min="13035" max="13036" width="10.109375" style="3094" customWidth="1"/>
    <col min="13037" max="13038" width="12.44140625" style="3094" bestFit="1" customWidth="1"/>
    <col min="13039" max="13040" width="10.109375" style="3094" customWidth="1"/>
    <col min="13041" max="13042" width="12.44140625" style="3094" bestFit="1" customWidth="1"/>
    <col min="13043" max="13044" width="10.109375" style="3094" customWidth="1"/>
    <col min="13045" max="13046" width="12.44140625" style="3094" bestFit="1" customWidth="1"/>
    <col min="13047" max="13048" width="10.109375" style="3094" customWidth="1"/>
    <col min="13049" max="13050" width="12.44140625" style="3094" bestFit="1" customWidth="1"/>
    <col min="13051" max="13279" width="12.5546875" style="3094"/>
    <col min="13280" max="13280" width="0.88671875" style="3094" customWidth="1"/>
    <col min="13281" max="13281" width="9.44140625" style="3094" customWidth="1"/>
    <col min="13282" max="13282" width="14.88671875" style="3094" customWidth="1"/>
    <col min="13283" max="13284" width="10.109375" style="3094" customWidth="1"/>
    <col min="13285" max="13285" width="12.44140625" style="3094" bestFit="1" customWidth="1"/>
    <col min="13286" max="13286" width="11.88671875" style="3094" bestFit="1" customWidth="1"/>
    <col min="13287" max="13288" width="10.109375" style="3094" customWidth="1"/>
    <col min="13289" max="13290" width="12.44140625" style="3094" bestFit="1" customWidth="1"/>
    <col min="13291" max="13292" width="10.109375" style="3094" customWidth="1"/>
    <col min="13293" max="13294" width="12.44140625" style="3094" bestFit="1" customWidth="1"/>
    <col min="13295" max="13296" width="10.109375" style="3094" customWidth="1"/>
    <col min="13297" max="13298" width="12.44140625" style="3094" bestFit="1" customWidth="1"/>
    <col min="13299" max="13300" width="10.109375" style="3094" customWidth="1"/>
    <col min="13301" max="13302" width="12.44140625" style="3094" bestFit="1" customWidth="1"/>
    <col min="13303" max="13304" width="10.109375" style="3094" customWidth="1"/>
    <col min="13305" max="13306" width="12.44140625" style="3094" bestFit="1" customWidth="1"/>
    <col min="13307" max="13535" width="12.5546875" style="3094"/>
    <col min="13536" max="13536" width="0.88671875" style="3094" customWidth="1"/>
    <col min="13537" max="13537" width="9.44140625" style="3094" customWidth="1"/>
    <col min="13538" max="13538" width="14.88671875" style="3094" customWidth="1"/>
    <col min="13539" max="13540" width="10.109375" style="3094" customWidth="1"/>
    <col min="13541" max="13541" width="12.44140625" style="3094" bestFit="1" customWidth="1"/>
    <col min="13542" max="13542" width="11.88671875" style="3094" bestFit="1" customWidth="1"/>
    <col min="13543" max="13544" width="10.109375" style="3094" customWidth="1"/>
    <col min="13545" max="13546" width="12.44140625" style="3094" bestFit="1" customWidth="1"/>
    <col min="13547" max="13548" width="10.109375" style="3094" customWidth="1"/>
    <col min="13549" max="13550" width="12.44140625" style="3094" bestFit="1" customWidth="1"/>
    <col min="13551" max="13552" width="10.109375" style="3094" customWidth="1"/>
    <col min="13553" max="13554" width="12.44140625" style="3094" bestFit="1" customWidth="1"/>
    <col min="13555" max="13556" width="10.109375" style="3094" customWidth="1"/>
    <col min="13557" max="13558" width="12.44140625" style="3094" bestFit="1" customWidth="1"/>
    <col min="13559" max="13560" width="10.109375" style="3094" customWidth="1"/>
    <col min="13561" max="13562" width="12.44140625" style="3094" bestFit="1" customWidth="1"/>
    <col min="13563" max="13791" width="12.5546875" style="3094"/>
    <col min="13792" max="13792" width="0.88671875" style="3094" customWidth="1"/>
    <col min="13793" max="13793" width="9.44140625" style="3094" customWidth="1"/>
    <col min="13794" max="13794" width="14.88671875" style="3094" customWidth="1"/>
    <col min="13795" max="13796" width="10.109375" style="3094" customWidth="1"/>
    <col min="13797" max="13797" width="12.44140625" style="3094" bestFit="1" customWidth="1"/>
    <col min="13798" max="13798" width="11.88671875" style="3094" bestFit="1" customWidth="1"/>
    <col min="13799" max="13800" width="10.109375" style="3094" customWidth="1"/>
    <col min="13801" max="13802" width="12.44140625" style="3094" bestFit="1" customWidth="1"/>
    <col min="13803" max="13804" width="10.109375" style="3094" customWidth="1"/>
    <col min="13805" max="13806" width="12.44140625" style="3094" bestFit="1" customWidth="1"/>
    <col min="13807" max="13808" width="10.109375" style="3094" customWidth="1"/>
    <col min="13809" max="13810" width="12.44140625" style="3094" bestFit="1" customWidth="1"/>
    <col min="13811" max="13812" width="10.109375" style="3094" customWidth="1"/>
    <col min="13813" max="13814" width="12.44140625" style="3094" bestFit="1" customWidth="1"/>
    <col min="13815" max="13816" width="10.109375" style="3094" customWidth="1"/>
    <col min="13817" max="13818" width="12.44140625" style="3094" bestFit="1" customWidth="1"/>
    <col min="13819" max="14047" width="12.5546875" style="3094"/>
    <col min="14048" max="14048" width="0.88671875" style="3094" customWidth="1"/>
    <col min="14049" max="14049" width="9.44140625" style="3094" customWidth="1"/>
    <col min="14050" max="14050" width="14.88671875" style="3094" customWidth="1"/>
    <col min="14051" max="14052" width="10.109375" style="3094" customWidth="1"/>
    <col min="14053" max="14053" width="12.44140625" style="3094" bestFit="1" customWidth="1"/>
    <col min="14054" max="14054" width="11.88671875" style="3094" bestFit="1" customWidth="1"/>
    <col min="14055" max="14056" width="10.109375" style="3094" customWidth="1"/>
    <col min="14057" max="14058" width="12.44140625" style="3094" bestFit="1" customWidth="1"/>
    <col min="14059" max="14060" width="10.109375" style="3094" customWidth="1"/>
    <col min="14061" max="14062" width="12.44140625" style="3094" bestFit="1" customWidth="1"/>
    <col min="14063" max="14064" width="10.109375" style="3094" customWidth="1"/>
    <col min="14065" max="14066" width="12.44140625" style="3094" bestFit="1" customWidth="1"/>
    <col min="14067" max="14068" width="10.109375" style="3094" customWidth="1"/>
    <col min="14069" max="14070" width="12.44140625" style="3094" bestFit="1" customWidth="1"/>
    <col min="14071" max="14072" width="10.109375" style="3094" customWidth="1"/>
    <col min="14073" max="14074" width="12.44140625" style="3094" bestFit="1" customWidth="1"/>
    <col min="14075" max="14303" width="12.5546875" style="3094"/>
    <col min="14304" max="14304" width="0.88671875" style="3094" customWidth="1"/>
    <col min="14305" max="14305" width="9.44140625" style="3094" customWidth="1"/>
    <col min="14306" max="14306" width="14.88671875" style="3094" customWidth="1"/>
    <col min="14307" max="14308" width="10.109375" style="3094" customWidth="1"/>
    <col min="14309" max="14309" width="12.44140625" style="3094" bestFit="1" customWidth="1"/>
    <col min="14310" max="14310" width="11.88671875" style="3094" bestFit="1" customWidth="1"/>
    <col min="14311" max="14312" width="10.109375" style="3094" customWidth="1"/>
    <col min="14313" max="14314" width="12.44140625" style="3094" bestFit="1" customWidth="1"/>
    <col min="14315" max="14316" width="10.109375" style="3094" customWidth="1"/>
    <col min="14317" max="14318" width="12.44140625" style="3094" bestFit="1" customWidth="1"/>
    <col min="14319" max="14320" width="10.109375" style="3094" customWidth="1"/>
    <col min="14321" max="14322" width="12.44140625" style="3094" bestFit="1" customWidth="1"/>
    <col min="14323" max="14324" width="10.109375" style="3094" customWidth="1"/>
    <col min="14325" max="14326" width="12.44140625" style="3094" bestFit="1" customWidth="1"/>
    <col min="14327" max="14328" width="10.109375" style="3094" customWidth="1"/>
    <col min="14329" max="14330" width="12.44140625" style="3094" bestFit="1" customWidth="1"/>
    <col min="14331" max="14559" width="12.5546875" style="3094"/>
    <col min="14560" max="14560" width="0.88671875" style="3094" customWidth="1"/>
    <col min="14561" max="14561" width="9.44140625" style="3094" customWidth="1"/>
    <col min="14562" max="14562" width="14.88671875" style="3094" customWidth="1"/>
    <col min="14563" max="14564" width="10.109375" style="3094" customWidth="1"/>
    <col min="14565" max="14565" width="12.44140625" style="3094" bestFit="1" customWidth="1"/>
    <col min="14566" max="14566" width="11.88671875" style="3094" bestFit="1" customWidth="1"/>
    <col min="14567" max="14568" width="10.109375" style="3094" customWidth="1"/>
    <col min="14569" max="14570" width="12.44140625" style="3094" bestFit="1" customWidth="1"/>
    <col min="14571" max="14572" width="10.109375" style="3094" customWidth="1"/>
    <col min="14573" max="14574" width="12.44140625" style="3094" bestFit="1" customWidth="1"/>
    <col min="14575" max="14576" width="10.109375" style="3094" customWidth="1"/>
    <col min="14577" max="14578" width="12.44140625" style="3094" bestFit="1" customWidth="1"/>
    <col min="14579" max="14580" width="10.109375" style="3094" customWidth="1"/>
    <col min="14581" max="14582" width="12.44140625" style="3094" bestFit="1" customWidth="1"/>
    <col min="14583" max="14584" width="10.109375" style="3094" customWidth="1"/>
    <col min="14585" max="14586" width="12.44140625" style="3094" bestFit="1" customWidth="1"/>
    <col min="14587" max="14815" width="12.5546875" style="3094"/>
    <col min="14816" max="14816" width="0.88671875" style="3094" customWidth="1"/>
    <col min="14817" max="14817" width="9.44140625" style="3094" customWidth="1"/>
    <col min="14818" max="14818" width="14.88671875" style="3094" customWidth="1"/>
    <col min="14819" max="14820" width="10.109375" style="3094" customWidth="1"/>
    <col min="14821" max="14821" width="12.44140625" style="3094" bestFit="1" customWidth="1"/>
    <col min="14822" max="14822" width="11.88671875" style="3094" bestFit="1" customWidth="1"/>
    <col min="14823" max="14824" width="10.109375" style="3094" customWidth="1"/>
    <col min="14825" max="14826" width="12.44140625" style="3094" bestFit="1" customWidth="1"/>
    <col min="14827" max="14828" width="10.109375" style="3094" customWidth="1"/>
    <col min="14829" max="14830" width="12.44140625" style="3094" bestFit="1" customWidth="1"/>
    <col min="14831" max="14832" width="10.109375" style="3094" customWidth="1"/>
    <col min="14833" max="14834" width="12.44140625" style="3094" bestFit="1" customWidth="1"/>
    <col min="14835" max="14836" width="10.109375" style="3094" customWidth="1"/>
    <col min="14837" max="14838" width="12.44140625" style="3094" bestFit="1" customWidth="1"/>
    <col min="14839" max="14840" width="10.109375" style="3094" customWidth="1"/>
    <col min="14841" max="14842" width="12.44140625" style="3094" bestFit="1" customWidth="1"/>
    <col min="14843" max="15071" width="12.5546875" style="3094"/>
    <col min="15072" max="15072" width="0.88671875" style="3094" customWidth="1"/>
    <col min="15073" max="15073" width="9.44140625" style="3094" customWidth="1"/>
    <col min="15074" max="15074" width="14.88671875" style="3094" customWidth="1"/>
    <col min="15075" max="15076" width="10.109375" style="3094" customWidth="1"/>
    <col min="15077" max="15077" width="12.44140625" style="3094" bestFit="1" customWidth="1"/>
    <col min="15078" max="15078" width="11.88671875" style="3094" bestFit="1" customWidth="1"/>
    <col min="15079" max="15080" width="10.109375" style="3094" customWidth="1"/>
    <col min="15081" max="15082" width="12.44140625" style="3094" bestFit="1" customWidth="1"/>
    <col min="15083" max="15084" width="10.109375" style="3094" customWidth="1"/>
    <col min="15085" max="15086" width="12.44140625" style="3094" bestFit="1" customWidth="1"/>
    <col min="15087" max="15088" width="10.109375" style="3094" customWidth="1"/>
    <col min="15089" max="15090" width="12.44140625" style="3094" bestFit="1" customWidth="1"/>
    <col min="15091" max="15092" width="10.109375" style="3094" customWidth="1"/>
    <col min="15093" max="15094" width="12.44140625" style="3094" bestFit="1" customWidth="1"/>
    <col min="15095" max="15096" width="10.109375" style="3094" customWidth="1"/>
    <col min="15097" max="15098" width="12.44140625" style="3094" bestFit="1" customWidth="1"/>
    <col min="15099" max="15327" width="12.5546875" style="3094"/>
    <col min="15328" max="15328" width="0.88671875" style="3094" customWidth="1"/>
    <col min="15329" max="15329" width="9.44140625" style="3094" customWidth="1"/>
    <col min="15330" max="15330" width="14.88671875" style="3094" customWidth="1"/>
    <col min="15331" max="15332" width="10.109375" style="3094" customWidth="1"/>
    <col min="15333" max="15333" width="12.44140625" style="3094" bestFit="1" customWidth="1"/>
    <col min="15334" max="15334" width="11.88671875" style="3094" bestFit="1" customWidth="1"/>
    <col min="15335" max="15336" width="10.109375" style="3094" customWidth="1"/>
    <col min="15337" max="15338" width="12.44140625" style="3094" bestFit="1" customWidth="1"/>
    <col min="15339" max="15340" width="10.109375" style="3094" customWidth="1"/>
    <col min="15341" max="15342" width="12.44140625" style="3094" bestFit="1" customWidth="1"/>
    <col min="15343" max="15344" width="10.109375" style="3094" customWidth="1"/>
    <col min="15345" max="15346" width="12.44140625" style="3094" bestFit="1" customWidth="1"/>
    <col min="15347" max="15348" width="10.109375" style="3094" customWidth="1"/>
    <col min="15349" max="15350" width="12.44140625" style="3094" bestFit="1" customWidth="1"/>
    <col min="15351" max="15352" width="10.109375" style="3094" customWidth="1"/>
    <col min="15353" max="15354" width="12.44140625" style="3094" bestFit="1" customWidth="1"/>
    <col min="15355" max="15583" width="12.5546875" style="3094"/>
    <col min="15584" max="15584" width="0.88671875" style="3094" customWidth="1"/>
    <col min="15585" max="15585" width="9.44140625" style="3094" customWidth="1"/>
    <col min="15586" max="15586" width="14.88671875" style="3094" customWidth="1"/>
    <col min="15587" max="15588" width="10.109375" style="3094" customWidth="1"/>
    <col min="15589" max="15589" width="12.44140625" style="3094" bestFit="1" customWidth="1"/>
    <col min="15590" max="15590" width="11.88671875" style="3094" bestFit="1" customWidth="1"/>
    <col min="15591" max="15592" width="10.109375" style="3094" customWidth="1"/>
    <col min="15593" max="15594" width="12.44140625" style="3094" bestFit="1" customWidth="1"/>
    <col min="15595" max="15596" width="10.109375" style="3094" customWidth="1"/>
    <col min="15597" max="15598" width="12.44140625" style="3094" bestFit="1" customWidth="1"/>
    <col min="15599" max="15600" width="10.109375" style="3094" customWidth="1"/>
    <col min="15601" max="15602" width="12.44140625" style="3094" bestFit="1" customWidth="1"/>
    <col min="15603" max="15604" width="10.109375" style="3094" customWidth="1"/>
    <col min="15605" max="15606" width="12.44140625" style="3094" bestFit="1" customWidth="1"/>
    <col min="15607" max="15608" width="10.109375" style="3094" customWidth="1"/>
    <col min="15609" max="15610" width="12.44140625" style="3094" bestFit="1" customWidth="1"/>
    <col min="15611" max="15839" width="12.5546875" style="3094"/>
    <col min="15840" max="15840" width="0.88671875" style="3094" customWidth="1"/>
    <col min="15841" max="15841" width="9.44140625" style="3094" customWidth="1"/>
    <col min="15842" max="15842" width="14.88671875" style="3094" customWidth="1"/>
    <col min="15843" max="15844" width="10.109375" style="3094" customWidth="1"/>
    <col min="15845" max="15845" width="12.44140625" style="3094" bestFit="1" customWidth="1"/>
    <col min="15846" max="15846" width="11.88671875" style="3094" bestFit="1" customWidth="1"/>
    <col min="15847" max="15848" width="10.109375" style="3094" customWidth="1"/>
    <col min="15849" max="15850" width="12.44140625" style="3094" bestFit="1" customWidth="1"/>
    <col min="15851" max="15852" width="10.109375" style="3094" customWidth="1"/>
    <col min="15853" max="15854" width="12.44140625" style="3094" bestFit="1" customWidth="1"/>
    <col min="15855" max="15856" width="10.109375" style="3094" customWidth="1"/>
    <col min="15857" max="15858" width="12.44140625" style="3094" bestFit="1" customWidth="1"/>
    <col min="15859" max="15860" width="10.109375" style="3094" customWidth="1"/>
    <col min="15861" max="15862" width="12.44140625" style="3094" bestFit="1" customWidth="1"/>
    <col min="15863" max="15864" width="10.109375" style="3094" customWidth="1"/>
    <col min="15865" max="15866" width="12.44140625" style="3094" bestFit="1" customWidth="1"/>
    <col min="15867" max="16095" width="12.5546875" style="3094"/>
    <col min="16096" max="16096" width="0.88671875" style="3094" customWidth="1"/>
    <col min="16097" max="16097" width="9.44140625" style="3094" customWidth="1"/>
    <col min="16098" max="16098" width="14.88671875" style="3094" customWidth="1"/>
    <col min="16099" max="16100" width="10.109375" style="3094" customWidth="1"/>
    <col min="16101" max="16101" width="12.44140625" style="3094" bestFit="1" customWidth="1"/>
    <col min="16102" max="16102" width="11.88671875" style="3094" bestFit="1" customWidth="1"/>
    <col min="16103" max="16104" width="10.109375" style="3094" customWidth="1"/>
    <col min="16105" max="16106" width="12.44140625" style="3094" bestFit="1" customWidth="1"/>
    <col min="16107" max="16108" width="10.109375" style="3094" customWidth="1"/>
    <col min="16109" max="16110" width="12.44140625" style="3094" bestFit="1" customWidth="1"/>
    <col min="16111" max="16112" width="10.109375" style="3094" customWidth="1"/>
    <col min="16113" max="16114" width="12.44140625" style="3094" bestFit="1" customWidth="1"/>
    <col min="16115" max="16116" width="10.109375" style="3094" customWidth="1"/>
    <col min="16117" max="16118" width="12.44140625" style="3094" bestFit="1" customWidth="1"/>
    <col min="16119" max="16120" width="10.109375" style="3094" customWidth="1"/>
    <col min="16121" max="16122" width="12.44140625" style="3094" bestFit="1" customWidth="1"/>
    <col min="16123" max="16384" width="12.5546875" style="3094"/>
  </cols>
  <sheetData>
    <row r="1" spans="1:84" ht="41.4" x14ac:dyDescent="0.35">
      <c r="B1" s="3095" t="s">
        <v>758</v>
      </c>
      <c r="D1" s="3096"/>
      <c r="E1" s="3096"/>
      <c r="F1" s="3096"/>
      <c r="G1" s="3096"/>
      <c r="H1" s="3096"/>
      <c r="I1" s="3096"/>
      <c r="J1" s="3096"/>
      <c r="K1" s="3096"/>
      <c r="L1" s="3096"/>
      <c r="M1" s="3096"/>
      <c r="N1" s="3096"/>
      <c r="O1" s="3096"/>
      <c r="P1" s="3096"/>
      <c r="Q1" s="3096"/>
      <c r="R1" s="3096"/>
      <c r="S1" s="3096"/>
      <c r="T1" s="3096"/>
      <c r="U1" s="3096"/>
      <c r="V1" s="3096"/>
      <c r="X1" s="3096"/>
      <c r="Y1" s="3096"/>
      <c r="Z1" s="3096"/>
      <c r="AB1" s="3096"/>
      <c r="AC1" s="3096"/>
      <c r="AD1" s="3096"/>
      <c r="AE1" s="3096"/>
      <c r="AF1" s="3096"/>
      <c r="AG1" s="3096"/>
      <c r="AH1" s="3096"/>
      <c r="AI1" s="3096"/>
      <c r="AJ1" s="3096"/>
      <c r="AK1" s="3096"/>
      <c r="AL1" s="3096"/>
      <c r="AM1" s="3096"/>
      <c r="AN1" s="3096"/>
      <c r="AO1" s="3096"/>
      <c r="AP1" s="3096"/>
      <c r="AQ1" s="3096"/>
      <c r="AR1" s="3096"/>
      <c r="AS1" s="3096"/>
      <c r="AT1" s="3096"/>
      <c r="AU1" s="3096"/>
      <c r="AV1" s="3096"/>
      <c r="AW1" s="3096"/>
      <c r="AX1" s="3097"/>
      <c r="BV1" s="3098"/>
    </row>
    <row r="2" spans="1:84" ht="11.25" customHeight="1" x14ac:dyDescent="0.25">
      <c r="A2" s="3099"/>
    </row>
    <row r="3" spans="1:84" x14ac:dyDescent="0.25">
      <c r="A3" s="3099"/>
      <c r="B3" s="6155" t="s">
        <v>132</v>
      </c>
      <c r="C3" s="6152">
        <v>2003</v>
      </c>
      <c r="D3" s="6153"/>
      <c r="E3" s="6153"/>
      <c r="F3" s="6154"/>
      <c r="G3" s="6152">
        <v>2004</v>
      </c>
      <c r="H3" s="6153"/>
      <c r="I3" s="6153"/>
      <c r="J3" s="6154"/>
      <c r="K3" s="6152">
        <v>2005</v>
      </c>
      <c r="L3" s="6153"/>
      <c r="M3" s="6153"/>
      <c r="N3" s="6154"/>
      <c r="O3" s="6152">
        <v>2006</v>
      </c>
      <c r="P3" s="6153"/>
      <c r="Q3" s="6153"/>
      <c r="R3" s="6154"/>
      <c r="S3" s="6152">
        <v>2007</v>
      </c>
      <c r="T3" s="6153"/>
      <c r="U3" s="6153"/>
      <c r="V3" s="6154"/>
      <c r="W3" s="6152">
        <v>2008</v>
      </c>
      <c r="X3" s="6153"/>
      <c r="Y3" s="6153"/>
      <c r="Z3" s="6154"/>
      <c r="AA3" s="6152">
        <v>2009</v>
      </c>
      <c r="AB3" s="6153"/>
      <c r="AC3" s="6153"/>
      <c r="AD3" s="6154"/>
      <c r="AE3" s="6152">
        <v>2010</v>
      </c>
      <c r="AF3" s="6153"/>
      <c r="AG3" s="6153"/>
      <c r="AH3" s="6154"/>
      <c r="AI3" s="6152">
        <v>2011</v>
      </c>
      <c r="AJ3" s="6153"/>
      <c r="AK3" s="6153"/>
      <c r="AL3" s="6154"/>
      <c r="AM3" s="6152">
        <v>2012</v>
      </c>
      <c r="AN3" s="6153"/>
      <c r="AO3" s="6153"/>
      <c r="AP3" s="6154"/>
      <c r="AQ3" s="6152">
        <v>2013</v>
      </c>
      <c r="AR3" s="6153"/>
      <c r="AS3" s="6153"/>
      <c r="AT3" s="6154"/>
      <c r="AU3" s="6152">
        <v>2014</v>
      </c>
      <c r="AV3" s="6153"/>
      <c r="AW3" s="6153"/>
      <c r="AX3" s="6154"/>
      <c r="AY3" s="6152">
        <v>2015</v>
      </c>
      <c r="AZ3" s="6153"/>
      <c r="BA3" s="6153"/>
      <c r="BB3" s="6154"/>
      <c r="BC3" s="6152">
        <v>2016</v>
      </c>
      <c r="BD3" s="6153"/>
      <c r="BE3" s="6153"/>
      <c r="BF3" s="6154"/>
      <c r="BG3" s="6152">
        <v>2017</v>
      </c>
      <c r="BH3" s="6153"/>
      <c r="BI3" s="6153"/>
      <c r="BJ3" s="6154"/>
      <c r="BK3" s="6152">
        <v>2018</v>
      </c>
      <c r="BL3" s="6153"/>
      <c r="BM3" s="6153"/>
      <c r="BN3" s="6154"/>
      <c r="BO3" s="6152">
        <v>2019</v>
      </c>
      <c r="BP3" s="6153"/>
      <c r="BQ3" s="6153"/>
      <c r="BR3" s="6154"/>
      <c r="BS3" s="6152">
        <v>2020</v>
      </c>
      <c r="BT3" s="6153"/>
      <c r="BU3" s="6153"/>
      <c r="BV3" s="6154"/>
      <c r="BW3" s="6152">
        <v>2021</v>
      </c>
      <c r="BX3" s="6153"/>
      <c r="BY3" s="6153"/>
      <c r="BZ3" s="6154"/>
      <c r="CA3" s="6152">
        <v>2022</v>
      </c>
      <c r="CB3" s="6153"/>
      <c r="CC3" s="6153"/>
      <c r="CD3" s="6154"/>
    </row>
    <row r="4" spans="1:84" x14ac:dyDescent="0.25">
      <c r="A4" s="3099"/>
      <c r="B4" s="6156"/>
      <c r="C4" s="3100" t="s">
        <v>759</v>
      </c>
      <c r="D4" s="3101" t="s">
        <v>760</v>
      </c>
      <c r="E4" s="3102" t="s">
        <v>761</v>
      </c>
      <c r="F4" s="3103" t="s">
        <v>279</v>
      </c>
      <c r="G4" s="3100" t="s">
        <v>759</v>
      </c>
      <c r="H4" s="3101" t="s">
        <v>760</v>
      </c>
      <c r="I4" s="3102" t="s">
        <v>761</v>
      </c>
      <c r="J4" s="3103" t="s">
        <v>279</v>
      </c>
      <c r="K4" s="3100" t="s">
        <v>759</v>
      </c>
      <c r="L4" s="3101" t="s">
        <v>760</v>
      </c>
      <c r="M4" s="3102" t="s">
        <v>761</v>
      </c>
      <c r="N4" s="3103" t="s">
        <v>279</v>
      </c>
      <c r="O4" s="3100" t="s">
        <v>759</v>
      </c>
      <c r="P4" s="3101" t="s">
        <v>760</v>
      </c>
      <c r="Q4" s="3102" t="s">
        <v>761</v>
      </c>
      <c r="R4" s="3103" t="s">
        <v>279</v>
      </c>
      <c r="S4" s="3100" t="s">
        <v>759</v>
      </c>
      <c r="T4" s="3101" t="s">
        <v>760</v>
      </c>
      <c r="U4" s="3102" t="s">
        <v>761</v>
      </c>
      <c r="V4" s="3103" t="s">
        <v>279</v>
      </c>
      <c r="W4" s="3100" t="s">
        <v>759</v>
      </c>
      <c r="X4" s="3101" t="s">
        <v>760</v>
      </c>
      <c r="Y4" s="3102" t="s">
        <v>761</v>
      </c>
      <c r="Z4" s="3103" t="s">
        <v>279</v>
      </c>
      <c r="AA4" s="3100" t="s">
        <v>759</v>
      </c>
      <c r="AB4" s="3101" t="s">
        <v>760</v>
      </c>
      <c r="AC4" s="3102" t="s">
        <v>761</v>
      </c>
      <c r="AD4" s="3103" t="s">
        <v>279</v>
      </c>
      <c r="AE4" s="3100" t="s">
        <v>759</v>
      </c>
      <c r="AF4" s="3101" t="s">
        <v>760</v>
      </c>
      <c r="AG4" s="3102" t="s">
        <v>761</v>
      </c>
      <c r="AH4" s="3103" t="s">
        <v>279</v>
      </c>
      <c r="AI4" s="3100" t="s">
        <v>759</v>
      </c>
      <c r="AJ4" s="3101" t="s">
        <v>760</v>
      </c>
      <c r="AK4" s="3102" t="s">
        <v>761</v>
      </c>
      <c r="AL4" s="3103" t="s">
        <v>279</v>
      </c>
      <c r="AM4" s="3100" t="s">
        <v>759</v>
      </c>
      <c r="AN4" s="3101" t="s">
        <v>760</v>
      </c>
      <c r="AO4" s="3102" t="s">
        <v>761</v>
      </c>
      <c r="AP4" s="3103" t="s">
        <v>279</v>
      </c>
      <c r="AQ4" s="3100" t="s">
        <v>759</v>
      </c>
      <c r="AR4" s="3101" t="s">
        <v>760</v>
      </c>
      <c r="AS4" s="3102" t="s">
        <v>761</v>
      </c>
      <c r="AT4" s="3103" t="s">
        <v>279</v>
      </c>
      <c r="AU4" s="3100" t="s">
        <v>759</v>
      </c>
      <c r="AV4" s="3101" t="s">
        <v>760</v>
      </c>
      <c r="AW4" s="3102" t="s">
        <v>761</v>
      </c>
      <c r="AX4" s="3103" t="s">
        <v>279</v>
      </c>
      <c r="AY4" s="3100" t="s">
        <v>759</v>
      </c>
      <c r="AZ4" s="3101" t="s">
        <v>760</v>
      </c>
      <c r="BA4" s="3102" t="s">
        <v>761</v>
      </c>
      <c r="BB4" s="3103" t="s">
        <v>279</v>
      </c>
      <c r="BC4" s="3100" t="s">
        <v>759</v>
      </c>
      <c r="BD4" s="3101" t="s">
        <v>760</v>
      </c>
      <c r="BE4" s="3102" t="s">
        <v>761</v>
      </c>
      <c r="BF4" s="3103" t="s">
        <v>279</v>
      </c>
      <c r="BG4" s="3100" t="s">
        <v>759</v>
      </c>
      <c r="BH4" s="3101" t="s">
        <v>760</v>
      </c>
      <c r="BI4" s="3102" t="s">
        <v>761</v>
      </c>
      <c r="BJ4" s="3103" t="s">
        <v>279</v>
      </c>
      <c r="BK4" s="3100" t="s">
        <v>759</v>
      </c>
      <c r="BL4" s="3101" t="s">
        <v>760</v>
      </c>
      <c r="BM4" s="3102" t="s">
        <v>761</v>
      </c>
      <c r="BN4" s="3103" t="s">
        <v>279</v>
      </c>
      <c r="BO4" s="3100" t="s">
        <v>759</v>
      </c>
      <c r="BP4" s="3101" t="s">
        <v>760</v>
      </c>
      <c r="BQ4" s="3102" t="s">
        <v>761</v>
      </c>
      <c r="BR4" s="3103" t="s">
        <v>279</v>
      </c>
      <c r="BS4" s="3100" t="s">
        <v>759</v>
      </c>
      <c r="BT4" s="3101" t="s">
        <v>760</v>
      </c>
      <c r="BU4" s="3102" t="s">
        <v>761</v>
      </c>
      <c r="BV4" s="3103" t="s">
        <v>279</v>
      </c>
      <c r="BW4" s="3100" t="s">
        <v>759</v>
      </c>
      <c r="BX4" s="3101" t="s">
        <v>760</v>
      </c>
      <c r="BY4" s="3102" t="s">
        <v>761</v>
      </c>
      <c r="BZ4" s="3103" t="s">
        <v>279</v>
      </c>
      <c r="CA4" s="3100" t="s">
        <v>759</v>
      </c>
      <c r="CB4" s="3101" t="s">
        <v>760</v>
      </c>
      <c r="CC4" s="3102" t="s">
        <v>761</v>
      </c>
      <c r="CD4" s="3103" t="s">
        <v>279</v>
      </c>
    </row>
    <row r="5" spans="1:84" ht="11.25" customHeight="1" x14ac:dyDescent="0.25">
      <c r="A5" s="3099"/>
      <c r="B5" s="3104"/>
      <c r="C5" s="3104"/>
      <c r="D5" s="3104"/>
      <c r="E5" s="3104"/>
      <c r="F5" s="3104"/>
      <c r="G5" s="3104"/>
      <c r="H5" s="3104"/>
      <c r="I5" s="3104"/>
      <c r="J5" s="3104"/>
      <c r="K5" s="3104"/>
      <c r="L5" s="3104"/>
      <c r="M5" s="3104"/>
      <c r="N5" s="3104"/>
      <c r="O5" s="3104"/>
      <c r="P5" s="3104"/>
      <c r="Q5" s="3104"/>
      <c r="R5" s="3104"/>
      <c r="S5" s="3104"/>
      <c r="T5" s="3104"/>
      <c r="U5" s="3104"/>
      <c r="V5" s="3104"/>
      <c r="W5" s="3104"/>
      <c r="X5" s="3104"/>
      <c r="Y5" s="3104"/>
      <c r="Z5" s="3104"/>
      <c r="AA5" s="3104"/>
      <c r="AB5" s="3104"/>
      <c r="AC5" s="3104"/>
      <c r="AD5" s="3104"/>
      <c r="AE5" s="3104"/>
      <c r="AF5" s="3104"/>
      <c r="AG5" s="3104"/>
      <c r="AH5" s="3104"/>
      <c r="AI5" s="3104"/>
      <c r="AJ5" s="3104"/>
      <c r="AK5" s="3104"/>
      <c r="AL5" s="3104"/>
      <c r="AM5" s="3104"/>
      <c r="AN5" s="3104"/>
      <c r="AO5" s="3104"/>
      <c r="AP5" s="3104"/>
      <c r="AQ5" s="3104"/>
      <c r="AR5" s="3104"/>
      <c r="AS5" s="3104"/>
      <c r="AT5" s="3104"/>
      <c r="AU5" s="3104"/>
      <c r="AV5" s="3104"/>
      <c r="AW5" s="3104"/>
      <c r="AX5" s="3104"/>
      <c r="AY5" s="3104"/>
      <c r="AZ5" s="3104"/>
      <c r="BA5" s="3104"/>
      <c r="BB5" s="3104"/>
      <c r="BC5" s="3104"/>
      <c r="BD5" s="3104"/>
      <c r="BE5" s="3104"/>
      <c r="BF5" s="3104"/>
      <c r="BG5" s="3104"/>
      <c r="BH5" s="3104"/>
      <c r="BI5" s="3104"/>
      <c r="BJ5" s="3104"/>
      <c r="BK5" s="3104"/>
      <c r="BL5" s="3104"/>
      <c r="BM5" s="3104"/>
      <c r="BN5" s="3104"/>
      <c r="BO5" s="3104"/>
      <c r="BP5" s="3104"/>
      <c r="BQ5" s="3104"/>
      <c r="BR5" s="3104"/>
      <c r="BS5" s="3104"/>
      <c r="BT5" s="3104"/>
      <c r="BU5" s="3104"/>
      <c r="BV5" s="3104"/>
      <c r="BW5" s="3104"/>
      <c r="BX5" s="3104"/>
      <c r="BY5" s="3104"/>
      <c r="BZ5" s="3104"/>
      <c r="CA5" s="3104"/>
      <c r="CB5" s="3104"/>
      <c r="CC5" s="3104"/>
      <c r="CD5" s="3104"/>
    </row>
    <row r="6" spans="1:84" ht="18" customHeight="1" x14ac:dyDescent="0.25">
      <c r="A6" s="3099"/>
      <c r="B6" s="3105" t="s">
        <v>59</v>
      </c>
      <c r="C6" s="3106">
        <v>10</v>
      </c>
      <c r="D6" s="3107">
        <v>66</v>
      </c>
      <c r="E6" s="3107">
        <v>314</v>
      </c>
      <c r="F6" s="3108">
        <f>SUM(C6:E6)</f>
        <v>390</v>
      </c>
      <c r="G6" s="3106">
        <v>10</v>
      </c>
      <c r="H6" s="3107">
        <v>43</v>
      </c>
      <c r="I6" s="3107">
        <v>347</v>
      </c>
      <c r="J6" s="3108">
        <v>400</v>
      </c>
      <c r="K6" s="3106">
        <v>14</v>
      </c>
      <c r="L6" s="3107">
        <v>42</v>
      </c>
      <c r="M6" s="3107">
        <v>348</v>
      </c>
      <c r="N6" s="3109">
        <v>404</v>
      </c>
      <c r="O6" s="3106">
        <v>12</v>
      </c>
      <c r="P6" s="3107">
        <v>48</v>
      </c>
      <c r="Q6" s="3107">
        <v>347</v>
      </c>
      <c r="R6" s="3108">
        <v>407</v>
      </c>
      <c r="S6" s="3107">
        <v>12</v>
      </c>
      <c r="T6" s="3107">
        <v>55</v>
      </c>
      <c r="U6" s="3107">
        <v>352</v>
      </c>
      <c r="V6" s="3108">
        <v>419</v>
      </c>
      <c r="W6" s="3107">
        <v>13</v>
      </c>
      <c r="X6" s="3107">
        <v>56</v>
      </c>
      <c r="Y6" s="3107">
        <v>345</v>
      </c>
      <c r="Z6" s="3108">
        <f>SUM(W6:Y6)</f>
        <v>414</v>
      </c>
      <c r="AA6" s="3107">
        <v>14</v>
      </c>
      <c r="AB6" s="3107">
        <v>58</v>
      </c>
      <c r="AC6" s="3107">
        <v>342</v>
      </c>
      <c r="AD6" s="3108">
        <f>SUM(AA6:AC6)</f>
        <v>414</v>
      </c>
      <c r="AE6" s="3107">
        <v>12</v>
      </c>
      <c r="AF6" s="3107">
        <v>58</v>
      </c>
      <c r="AG6" s="3107">
        <v>339</v>
      </c>
      <c r="AH6" s="3108">
        <v>409</v>
      </c>
      <c r="AI6" s="3107">
        <v>10</v>
      </c>
      <c r="AJ6" s="3107">
        <v>52</v>
      </c>
      <c r="AK6" s="3107">
        <v>343</v>
      </c>
      <c r="AL6" s="3108">
        <f>SUM(AI6:AK6)</f>
        <v>405</v>
      </c>
      <c r="AM6" s="3107">
        <v>13</v>
      </c>
      <c r="AN6" s="3107">
        <v>52</v>
      </c>
      <c r="AO6" s="3107">
        <v>343</v>
      </c>
      <c r="AP6" s="3108">
        <f>SUM(AM6:AO6)</f>
        <v>408</v>
      </c>
      <c r="AQ6" s="3107">
        <f>SUM(AQ41,AQ76,AQ111)</f>
        <v>11</v>
      </c>
      <c r="AR6" s="3107">
        <f>SUM(AR41,AR76,AR111)</f>
        <v>57</v>
      </c>
      <c r="AS6" s="3107">
        <f>SUM(AS41,AS76,AS111)</f>
        <v>339</v>
      </c>
      <c r="AT6" s="3108">
        <f>SUM(AQ6:AS6)</f>
        <v>407</v>
      </c>
      <c r="AU6" s="3107">
        <f t="shared" ref="AU6:AW8" si="0">SUM(AU41,AU76,AU111)</f>
        <v>15</v>
      </c>
      <c r="AV6" s="3107">
        <f t="shared" si="0"/>
        <v>60</v>
      </c>
      <c r="AW6" s="3107">
        <f t="shared" si="0"/>
        <v>339</v>
      </c>
      <c r="AX6" s="3108">
        <f>SUM(AU6:AW6)</f>
        <v>414</v>
      </c>
      <c r="AY6" s="3107">
        <f t="shared" ref="AY6:BA8" si="1">SUM(AY41,AY76,AY111)</f>
        <v>13</v>
      </c>
      <c r="AZ6" s="3107">
        <f t="shared" si="1"/>
        <v>56</v>
      </c>
      <c r="BA6" s="3107">
        <f t="shared" si="1"/>
        <v>334</v>
      </c>
      <c r="BB6" s="3108">
        <f>SUM(AY6:BA6)</f>
        <v>403</v>
      </c>
      <c r="BC6" s="3107">
        <f t="shared" ref="BC6:BE8" si="2">SUM(BC41,BC76,BC111)</f>
        <v>13</v>
      </c>
      <c r="BD6" s="3107">
        <f t="shared" si="2"/>
        <v>56</v>
      </c>
      <c r="BE6" s="3107">
        <f t="shared" si="2"/>
        <v>327</v>
      </c>
      <c r="BF6" s="3108">
        <f>SUM(BC6:BE6)</f>
        <v>396</v>
      </c>
      <c r="BG6" s="3107">
        <f t="shared" ref="BG6:BI8" si="3">SUM(BG41,BG76,BG111)</f>
        <v>17</v>
      </c>
      <c r="BH6" s="3107">
        <f t="shared" si="3"/>
        <v>60</v>
      </c>
      <c r="BI6" s="3107">
        <f t="shared" si="3"/>
        <v>321</v>
      </c>
      <c r="BJ6" s="3108">
        <f>SUM(BG6:BI6)</f>
        <v>398</v>
      </c>
      <c r="BK6" s="3107">
        <f t="shared" ref="BK6:BM8" si="4">SUM(BK41,BK76,BK111)</f>
        <v>15</v>
      </c>
      <c r="BL6" s="3107">
        <f t="shared" si="4"/>
        <v>67</v>
      </c>
      <c r="BM6" s="3107">
        <f t="shared" si="4"/>
        <v>321</v>
      </c>
      <c r="BN6" s="3108">
        <f>SUM(BK6:BM6)</f>
        <v>403</v>
      </c>
      <c r="BO6" s="3107">
        <f t="shared" ref="BO6:BQ8" si="5">SUM(BO41,BO76,BO111)</f>
        <v>16</v>
      </c>
      <c r="BP6" s="3107">
        <f t="shared" si="5"/>
        <v>72</v>
      </c>
      <c r="BQ6" s="3107">
        <f t="shared" si="5"/>
        <v>318</v>
      </c>
      <c r="BR6" s="3108">
        <f>SUM(BO6:BQ6)</f>
        <v>406</v>
      </c>
      <c r="BS6" s="3107">
        <f t="shared" ref="BS6:BU8" si="6">SUM(BS41,BS76,BS111)</f>
        <v>17</v>
      </c>
      <c r="BT6" s="3107">
        <f t="shared" si="6"/>
        <v>66</v>
      </c>
      <c r="BU6" s="3107">
        <f t="shared" si="6"/>
        <v>319</v>
      </c>
      <c r="BV6" s="3108">
        <f>SUM(BS6:BU6)</f>
        <v>402</v>
      </c>
      <c r="BW6" s="3107">
        <f t="shared" ref="BW6:BY6" si="7">SUM(BW41,BW76,BW111)</f>
        <v>16</v>
      </c>
      <c r="BX6" s="3107">
        <f t="shared" si="7"/>
        <v>61</v>
      </c>
      <c r="BY6" s="3107">
        <f t="shared" si="7"/>
        <v>318</v>
      </c>
      <c r="BZ6" s="3108">
        <f>SUM(BW6:BY6)</f>
        <v>395</v>
      </c>
      <c r="CA6" s="3107">
        <f t="shared" ref="CA6:CC6" si="8">SUM(CA41,CA76,CA111)</f>
        <v>14</v>
      </c>
      <c r="CB6" s="3107">
        <f t="shared" si="8"/>
        <v>55</v>
      </c>
      <c r="CC6" s="3107">
        <f t="shared" si="8"/>
        <v>316</v>
      </c>
      <c r="CD6" s="3108">
        <f>SUM(CA6:CC6)</f>
        <v>385</v>
      </c>
      <c r="CF6" s="5187"/>
    </row>
    <row r="7" spans="1:84" ht="18" customHeight="1" x14ac:dyDescent="0.25">
      <c r="A7" s="3099"/>
      <c r="B7" s="3110" t="s">
        <v>64</v>
      </c>
      <c r="C7" s="3111">
        <v>12</v>
      </c>
      <c r="D7" s="3112">
        <v>54</v>
      </c>
      <c r="E7" s="3112">
        <v>288</v>
      </c>
      <c r="F7" s="3113">
        <f>SUM(C7:E7)</f>
        <v>354</v>
      </c>
      <c r="G7" s="3111">
        <v>5</v>
      </c>
      <c r="H7" s="3112">
        <v>33</v>
      </c>
      <c r="I7" s="3112">
        <v>310</v>
      </c>
      <c r="J7" s="3113">
        <v>348</v>
      </c>
      <c r="K7" s="3111">
        <v>5</v>
      </c>
      <c r="L7" s="3112">
        <v>36</v>
      </c>
      <c r="M7" s="3112">
        <v>310</v>
      </c>
      <c r="N7" s="3114">
        <v>351</v>
      </c>
      <c r="O7" s="3111">
        <v>9</v>
      </c>
      <c r="P7" s="3112">
        <v>45</v>
      </c>
      <c r="Q7" s="3112">
        <v>307</v>
      </c>
      <c r="R7" s="3113">
        <v>361</v>
      </c>
      <c r="S7" s="3112">
        <v>6</v>
      </c>
      <c r="T7" s="3112">
        <v>46</v>
      </c>
      <c r="U7" s="3112">
        <v>313</v>
      </c>
      <c r="V7" s="3113">
        <v>365</v>
      </c>
      <c r="W7" s="3112">
        <v>7</v>
      </c>
      <c r="X7" s="3112">
        <v>46</v>
      </c>
      <c r="Y7" s="3112">
        <v>311</v>
      </c>
      <c r="Z7" s="3113">
        <f>SUM(W7:Y7)</f>
        <v>364</v>
      </c>
      <c r="AA7" s="3112">
        <v>9</v>
      </c>
      <c r="AB7" s="3112">
        <v>43</v>
      </c>
      <c r="AC7" s="3112">
        <v>309</v>
      </c>
      <c r="AD7" s="3113">
        <f>SUM(AA7:AC7)</f>
        <v>361</v>
      </c>
      <c r="AE7" s="3112">
        <v>8</v>
      </c>
      <c r="AF7" s="3112">
        <v>44</v>
      </c>
      <c r="AG7" s="3112">
        <v>306</v>
      </c>
      <c r="AH7" s="3113">
        <v>358</v>
      </c>
      <c r="AI7" s="3112">
        <v>6</v>
      </c>
      <c r="AJ7" s="3112">
        <v>54</v>
      </c>
      <c r="AK7" s="3112">
        <v>307</v>
      </c>
      <c r="AL7" s="3113">
        <f>SUM(AI7:AK7)</f>
        <v>367</v>
      </c>
      <c r="AM7" s="3112">
        <v>6</v>
      </c>
      <c r="AN7" s="3112">
        <v>57</v>
      </c>
      <c r="AO7" s="3112">
        <v>302</v>
      </c>
      <c r="AP7" s="3113">
        <f>SUM(AM7:AO7)</f>
        <v>365</v>
      </c>
      <c r="AQ7" s="3112">
        <f t="shared" ref="AQ7:AS8" si="9">SUM(AQ42,AQ77,AQ112)</f>
        <v>11</v>
      </c>
      <c r="AR7" s="3112">
        <f t="shared" si="9"/>
        <v>60</v>
      </c>
      <c r="AS7" s="3112">
        <f t="shared" si="9"/>
        <v>303</v>
      </c>
      <c r="AT7" s="3113">
        <f>SUM(AQ7:AS7)</f>
        <v>374</v>
      </c>
      <c r="AU7" s="3112">
        <f t="shared" si="0"/>
        <v>10</v>
      </c>
      <c r="AV7" s="3112">
        <f t="shared" si="0"/>
        <v>61</v>
      </c>
      <c r="AW7" s="3112">
        <f t="shared" si="0"/>
        <v>303</v>
      </c>
      <c r="AX7" s="3113">
        <f>SUM(AU7:AW7)</f>
        <v>374</v>
      </c>
      <c r="AY7" s="3112">
        <f t="shared" si="1"/>
        <v>7</v>
      </c>
      <c r="AZ7" s="3112">
        <f t="shared" si="1"/>
        <v>61</v>
      </c>
      <c r="BA7" s="3112">
        <f t="shared" si="1"/>
        <v>299</v>
      </c>
      <c r="BB7" s="3113">
        <f>SUM(AY7:BA7)</f>
        <v>367</v>
      </c>
      <c r="BC7" s="3112">
        <f t="shared" si="2"/>
        <v>7</v>
      </c>
      <c r="BD7" s="3112">
        <f t="shared" si="2"/>
        <v>57</v>
      </c>
      <c r="BE7" s="3112">
        <f t="shared" si="2"/>
        <v>294</v>
      </c>
      <c r="BF7" s="3113">
        <f>SUM(BC7:BE7)</f>
        <v>358</v>
      </c>
      <c r="BG7" s="3112">
        <f t="shared" si="3"/>
        <v>11</v>
      </c>
      <c r="BH7" s="3112">
        <f t="shared" si="3"/>
        <v>61</v>
      </c>
      <c r="BI7" s="3112">
        <f t="shared" si="3"/>
        <v>295</v>
      </c>
      <c r="BJ7" s="3113">
        <f>SUM(BG7:BI7)</f>
        <v>367</v>
      </c>
      <c r="BK7" s="3112">
        <f t="shared" si="4"/>
        <v>13</v>
      </c>
      <c r="BL7" s="3112">
        <f t="shared" si="4"/>
        <v>61</v>
      </c>
      <c r="BM7" s="3112">
        <f t="shared" si="4"/>
        <v>298</v>
      </c>
      <c r="BN7" s="3113">
        <f>SUM(BK7:BM7)</f>
        <v>372</v>
      </c>
      <c r="BO7" s="3112">
        <f t="shared" si="5"/>
        <v>9</v>
      </c>
      <c r="BP7" s="3112">
        <f t="shared" si="5"/>
        <v>61</v>
      </c>
      <c r="BQ7" s="3112">
        <f t="shared" si="5"/>
        <v>292</v>
      </c>
      <c r="BR7" s="3113">
        <f>SUM(BO7:BQ7)</f>
        <v>362</v>
      </c>
      <c r="BS7" s="3112">
        <f t="shared" si="6"/>
        <v>9</v>
      </c>
      <c r="BT7" s="3112">
        <f t="shared" si="6"/>
        <v>57</v>
      </c>
      <c r="BU7" s="3112">
        <f t="shared" si="6"/>
        <v>288</v>
      </c>
      <c r="BV7" s="3113">
        <f>SUM(BS7:BU7)</f>
        <v>354</v>
      </c>
      <c r="BW7" s="3112">
        <f t="shared" ref="BW7:BY7" si="10">SUM(BW42,BW77,BW112)</f>
        <v>8</v>
      </c>
      <c r="BX7" s="3112">
        <f t="shared" si="10"/>
        <v>57</v>
      </c>
      <c r="BY7" s="3112">
        <f t="shared" si="10"/>
        <v>283</v>
      </c>
      <c r="BZ7" s="3113">
        <f>SUM(BW7:BY7)</f>
        <v>348</v>
      </c>
      <c r="CA7" s="3112">
        <f t="shared" ref="CA7:CC7" si="11">SUM(CA42,CA77,CA112)</f>
        <v>8</v>
      </c>
      <c r="CB7" s="3112">
        <f t="shared" si="11"/>
        <v>56</v>
      </c>
      <c r="CC7" s="3112">
        <f t="shared" si="11"/>
        <v>273</v>
      </c>
      <c r="CD7" s="3113">
        <f>SUM(CA7:CC7)</f>
        <v>337</v>
      </c>
      <c r="CF7" s="5187"/>
    </row>
    <row r="8" spans="1:84" ht="18" customHeight="1" x14ac:dyDescent="0.25">
      <c r="A8" s="3099"/>
      <c r="B8" s="3115" t="s">
        <v>68</v>
      </c>
      <c r="C8" s="3111">
        <v>4</v>
      </c>
      <c r="D8" s="3112">
        <v>25</v>
      </c>
      <c r="E8" s="3112">
        <v>196</v>
      </c>
      <c r="F8" s="3113">
        <f>SUM(C8:E8)</f>
        <v>225</v>
      </c>
      <c r="G8" s="3111">
        <v>4</v>
      </c>
      <c r="H8" s="3112">
        <v>15</v>
      </c>
      <c r="I8" s="3112">
        <v>205</v>
      </c>
      <c r="J8" s="3113">
        <v>224</v>
      </c>
      <c r="K8" s="3111">
        <v>5</v>
      </c>
      <c r="L8" s="3112">
        <v>17</v>
      </c>
      <c r="M8" s="3112">
        <v>210</v>
      </c>
      <c r="N8" s="3114">
        <v>232</v>
      </c>
      <c r="O8" s="3111">
        <v>7</v>
      </c>
      <c r="P8" s="3112">
        <v>13</v>
      </c>
      <c r="Q8" s="3112">
        <v>206</v>
      </c>
      <c r="R8" s="3113">
        <v>226</v>
      </c>
      <c r="S8" s="3112">
        <v>9</v>
      </c>
      <c r="T8" s="3112">
        <v>18</v>
      </c>
      <c r="U8" s="3112">
        <v>194</v>
      </c>
      <c r="V8" s="3113">
        <v>221</v>
      </c>
      <c r="W8" s="3112">
        <v>7</v>
      </c>
      <c r="X8" s="3112">
        <v>25</v>
      </c>
      <c r="Y8" s="3112">
        <v>187</v>
      </c>
      <c r="Z8" s="3113">
        <f>SUM(W8:Y8)</f>
        <v>219</v>
      </c>
      <c r="AA8" s="3112">
        <v>7</v>
      </c>
      <c r="AB8" s="3112">
        <v>30</v>
      </c>
      <c r="AC8" s="3112">
        <v>188</v>
      </c>
      <c r="AD8" s="3113">
        <f>SUM(AA8:AC8)</f>
        <v>225</v>
      </c>
      <c r="AE8" s="3116">
        <v>8</v>
      </c>
      <c r="AF8" s="3116">
        <v>34</v>
      </c>
      <c r="AG8" s="3116">
        <v>191</v>
      </c>
      <c r="AH8" s="3117">
        <v>233</v>
      </c>
      <c r="AI8" s="3116">
        <v>5</v>
      </c>
      <c r="AJ8" s="3116">
        <v>33</v>
      </c>
      <c r="AK8" s="3116">
        <v>198</v>
      </c>
      <c r="AL8" s="3117">
        <f>SUM(AI8:AK8)</f>
        <v>236</v>
      </c>
      <c r="AM8" s="3116">
        <v>2</v>
      </c>
      <c r="AN8" s="3116">
        <v>32</v>
      </c>
      <c r="AO8" s="3116">
        <v>202</v>
      </c>
      <c r="AP8" s="3117">
        <f>SUM(AM8:AO8)</f>
        <v>236</v>
      </c>
      <c r="AQ8" s="3116">
        <f t="shared" si="9"/>
        <v>2</v>
      </c>
      <c r="AR8" s="3116">
        <f t="shared" si="9"/>
        <v>30</v>
      </c>
      <c r="AS8" s="3116">
        <f t="shared" si="9"/>
        <v>206</v>
      </c>
      <c r="AT8" s="3117">
        <f>SUM(AQ8:AS8)</f>
        <v>238</v>
      </c>
      <c r="AU8" s="3116">
        <f t="shared" si="0"/>
        <v>2</v>
      </c>
      <c r="AV8" s="3116">
        <f t="shared" si="0"/>
        <v>37</v>
      </c>
      <c r="AW8" s="3116">
        <f t="shared" si="0"/>
        <v>212</v>
      </c>
      <c r="AX8" s="3117">
        <f>SUM(AU8:AW8)</f>
        <v>251</v>
      </c>
      <c r="AY8" s="3116">
        <f t="shared" si="1"/>
        <v>2</v>
      </c>
      <c r="AZ8" s="3116">
        <f t="shared" si="1"/>
        <v>34</v>
      </c>
      <c r="BA8" s="3116">
        <f t="shared" si="1"/>
        <v>210</v>
      </c>
      <c r="BB8" s="3117">
        <f>SUM(AY8:BA8)</f>
        <v>246</v>
      </c>
      <c r="BC8" s="3116">
        <f t="shared" si="2"/>
        <v>2</v>
      </c>
      <c r="BD8" s="3116">
        <f t="shared" si="2"/>
        <v>35</v>
      </c>
      <c r="BE8" s="3116">
        <f t="shared" si="2"/>
        <v>203</v>
      </c>
      <c r="BF8" s="3117">
        <f>SUM(BC8:BE8)</f>
        <v>240</v>
      </c>
      <c r="BG8" s="3116">
        <f t="shared" si="3"/>
        <v>2</v>
      </c>
      <c r="BH8" s="3116">
        <f t="shared" si="3"/>
        <v>37</v>
      </c>
      <c r="BI8" s="3116">
        <f t="shared" si="3"/>
        <v>198</v>
      </c>
      <c r="BJ8" s="3117">
        <f>SUM(BG8:BI8)</f>
        <v>237</v>
      </c>
      <c r="BK8" s="3116">
        <f t="shared" si="4"/>
        <v>2</v>
      </c>
      <c r="BL8" s="3116">
        <f t="shared" si="4"/>
        <v>36</v>
      </c>
      <c r="BM8" s="3116">
        <f t="shared" si="4"/>
        <v>203</v>
      </c>
      <c r="BN8" s="3117">
        <f>SUM(BK8:BM8)</f>
        <v>241</v>
      </c>
      <c r="BO8" s="3116">
        <f t="shared" si="5"/>
        <v>2</v>
      </c>
      <c r="BP8" s="3116">
        <f t="shared" si="5"/>
        <v>33</v>
      </c>
      <c r="BQ8" s="3116">
        <f t="shared" si="5"/>
        <v>201</v>
      </c>
      <c r="BR8" s="3117">
        <f>SUM(BO8:BQ8)</f>
        <v>236</v>
      </c>
      <c r="BS8" s="3116">
        <f t="shared" si="6"/>
        <v>2</v>
      </c>
      <c r="BT8" s="3116">
        <f t="shared" si="6"/>
        <v>37</v>
      </c>
      <c r="BU8" s="3116">
        <f t="shared" si="6"/>
        <v>196</v>
      </c>
      <c r="BV8" s="3117">
        <f>SUM(BS8:BU8)</f>
        <v>235</v>
      </c>
      <c r="BW8" s="3116">
        <f t="shared" ref="BW8:BY8" si="12">SUM(BW43,BW78,BW113)</f>
        <v>1</v>
      </c>
      <c r="BX8" s="3116">
        <f t="shared" si="12"/>
        <v>29</v>
      </c>
      <c r="BY8" s="3116">
        <f t="shared" si="12"/>
        <v>200</v>
      </c>
      <c r="BZ8" s="3117">
        <f>SUM(BW8:BY8)</f>
        <v>230</v>
      </c>
      <c r="CA8" s="3116">
        <f t="shared" ref="CA8:CC8" si="13">SUM(CA43,CA78,CA113)</f>
        <v>1</v>
      </c>
      <c r="CB8" s="3116">
        <f t="shared" si="13"/>
        <v>32</v>
      </c>
      <c r="CC8" s="3116">
        <f t="shared" si="13"/>
        <v>191</v>
      </c>
      <c r="CD8" s="3117">
        <f>SUM(CA8:CC8)</f>
        <v>224</v>
      </c>
      <c r="CF8" s="5187"/>
    </row>
    <row r="9" spans="1:84" ht="18" customHeight="1" x14ac:dyDescent="0.25">
      <c r="A9" s="3099"/>
      <c r="B9" s="3118" t="s">
        <v>138</v>
      </c>
      <c r="C9" s="3119">
        <f>SUM(C6:C8)</f>
        <v>26</v>
      </c>
      <c r="D9" s="3120">
        <f>SUM(D6:D8)</f>
        <v>145</v>
      </c>
      <c r="E9" s="3120">
        <f>SUM(E6:E8)</f>
        <v>798</v>
      </c>
      <c r="F9" s="3121">
        <f>SUM(F6:F8)</f>
        <v>969</v>
      </c>
      <c r="G9" s="3119">
        <v>19</v>
      </c>
      <c r="H9" s="3120">
        <v>91</v>
      </c>
      <c r="I9" s="3120">
        <v>862</v>
      </c>
      <c r="J9" s="3121">
        <v>972</v>
      </c>
      <c r="K9" s="3119">
        <v>24</v>
      </c>
      <c r="L9" s="3120">
        <v>95</v>
      </c>
      <c r="M9" s="3120">
        <v>868</v>
      </c>
      <c r="N9" s="3120">
        <v>987</v>
      </c>
      <c r="O9" s="3119">
        <v>28</v>
      </c>
      <c r="P9" s="3120">
        <v>106</v>
      </c>
      <c r="Q9" s="3120">
        <v>860</v>
      </c>
      <c r="R9" s="3121">
        <v>994</v>
      </c>
      <c r="S9" s="3120">
        <v>27</v>
      </c>
      <c r="T9" s="3120">
        <v>119</v>
      </c>
      <c r="U9" s="3120">
        <v>859</v>
      </c>
      <c r="V9" s="3121">
        <v>1005</v>
      </c>
      <c r="W9" s="3119">
        <f t="shared" ref="W9:AD9" si="14">SUM(W6:W8)</f>
        <v>27</v>
      </c>
      <c r="X9" s="3120">
        <f t="shared" si="14"/>
        <v>127</v>
      </c>
      <c r="Y9" s="3120">
        <f t="shared" si="14"/>
        <v>843</v>
      </c>
      <c r="Z9" s="3121">
        <f t="shared" si="14"/>
        <v>997</v>
      </c>
      <c r="AA9" s="3119">
        <f t="shared" si="14"/>
        <v>30</v>
      </c>
      <c r="AB9" s="3120">
        <f t="shared" si="14"/>
        <v>131</v>
      </c>
      <c r="AC9" s="3120">
        <f t="shared" si="14"/>
        <v>839</v>
      </c>
      <c r="AD9" s="3121">
        <f t="shared" si="14"/>
        <v>1000</v>
      </c>
      <c r="AE9" s="3119">
        <v>28</v>
      </c>
      <c r="AF9" s="3120">
        <v>136</v>
      </c>
      <c r="AG9" s="3120">
        <v>836</v>
      </c>
      <c r="AH9" s="3121">
        <v>1000</v>
      </c>
      <c r="AI9" s="3119">
        <f t="shared" ref="AI9:BV9" si="15">SUM(AI6:AI8)</f>
        <v>21</v>
      </c>
      <c r="AJ9" s="3120">
        <f t="shared" si="15"/>
        <v>139</v>
      </c>
      <c r="AK9" s="3120">
        <f t="shared" si="15"/>
        <v>848</v>
      </c>
      <c r="AL9" s="3121">
        <f t="shared" si="15"/>
        <v>1008</v>
      </c>
      <c r="AM9" s="3119">
        <f t="shared" si="15"/>
        <v>21</v>
      </c>
      <c r="AN9" s="3120">
        <f t="shared" si="15"/>
        <v>141</v>
      </c>
      <c r="AO9" s="3120">
        <f t="shared" si="15"/>
        <v>847</v>
      </c>
      <c r="AP9" s="3121">
        <f t="shared" si="15"/>
        <v>1009</v>
      </c>
      <c r="AQ9" s="3119">
        <f t="shared" si="15"/>
        <v>24</v>
      </c>
      <c r="AR9" s="3120">
        <f t="shared" si="15"/>
        <v>147</v>
      </c>
      <c r="AS9" s="3120">
        <f t="shared" si="15"/>
        <v>848</v>
      </c>
      <c r="AT9" s="3121">
        <f t="shared" si="15"/>
        <v>1019</v>
      </c>
      <c r="AU9" s="3119">
        <f t="shared" si="15"/>
        <v>27</v>
      </c>
      <c r="AV9" s="3120">
        <f t="shared" si="15"/>
        <v>158</v>
      </c>
      <c r="AW9" s="3120">
        <f t="shared" si="15"/>
        <v>854</v>
      </c>
      <c r="AX9" s="3121">
        <f t="shared" si="15"/>
        <v>1039</v>
      </c>
      <c r="AY9" s="3119">
        <f t="shared" si="15"/>
        <v>22</v>
      </c>
      <c r="AZ9" s="3120">
        <f t="shared" si="15"/>
        <v>151</v>
      </c>
      <c r="BA9" s="3120">
        <f t="shared" si="15"/>
        <v>843</v>
      </c>
      <c r="BB9" s="3121">
        <f t="shared" si="15"/>
        <v>1016</v>
      </c>
      <c r="BC9" s="3119">
        <f t="shared" si="15"/>
        <v>22</v>
      </c>
      <c r="BD9" s="3120">
        <f t="shared" si="15"/>
        <v>148</v>
      </c>
      <c r="BE9" s="3120">
        <f t="shared" si="15"/>
        <v>824</v>
      </c>
      <c r="BF9" s="3121">
        <f t="shared" si="15"/>
        <v>994</v>
      </c>
      <c r="BG9" s="3119">
        <f t="shared" si="15"/>
        <v>30</v>
      </c>
      <c r="BH9" s="3120">
        <f t="shared" si="15"/>
        <v>158</v>
      </c>
      <c r="BI9" s="3120">
        <f t="shared" si="15"/>
        <v>814</v>
      </c>
      <c r="BJ9" s="3121">
        <f t="shared" si="15"/>
        <v>1002</v>
      </c>
      <c r="BK9" s="3119">
        <f t="shared" si="15"/>
        <v>30</v>
      </c>
      <c r="BL9" s="3120">
        <f t="shared" si="15"/>
        <v>164</v>
      </c>
      <c r="BM9" s="3120">
        <f t="shared" si="15"/>
        <v>822</v>
      </c>
      <c r="BN9" s="3121">
        <f t="shared" si="15"/>
        <v>1016</v>
      </c>
      <c r="BO9" s="3119">
        <f t="shared" si="15"/>
        <v>27</v>
      </c>
      <c r="BP9" s="3120">
        <f t="shared" si="15"/>
        <v>166</v>
      </c>
      <c r="BQ9" s="3120">
        <f t="shared" si="15"/>
        <v>811</v>
      </c>
      <c r="BR9" s="3121">
        <f t="shared" si="15"/>
        <v>1004</v>
      </c>
      <c r="BS9" s="3119">
        <f t="shared" si="15"/>
        <v>28</v>
      </c>
      <c r="BT9" s="3120">
        <f t="shared" si="15"/>
        <v>160</v>
      </c>
      <c r="BU9" s="3120">
        <f t="shared" si="15"/>
        <v>803</v>
      </c>
      <c r="BV9" s="3121">
        <f t="shared" si="15"/>
        <v>991</v>
      </c>
      <c r="BW9" s="3119">
        <f t="shared" ref="BW9:BZ9" si="16">SUM(BW6:BW8)</f>
        <v>25</v>
      </c>
      <c r="BX9" s="3120">
        <f t="shared" si="16"/>
        <v>147</v>
      </c>
      <c r="BY9" s="3120">
        <f t="shared" si="16"/>
        <v>801</v>
      </c>
      <c r="BZ9" s="3121">
        <f t="shared" si="16"/>
        <v>973</v>
      </c>
      <c r="CA9" s="3119">
        <f t="shared" ref="CA9:CD9" si="17">SUM(CA6:CA8)</f>
        <v>23</v>
      </c>
      <c r="CB9" s="3120">
        <f t="shared" si="17"/>
        <v>143</v>
      </c>
      <c r="CC9" s="3120">
        <f t="shared" si="17"/>
        <v>780</v>
      </c>
      <c r="CD9" s="3121">
        <f t="shared" si="17"/>
        <v>946</v>
      </c>
    </row>
    <row r="10" spans="1:84" ht="18" customHeight="1" x14ac:dyDescent="0.25">
      <c r="A10" s="3099"/>
      <c r="B10" s="3104"/>
      <c r="C10" s="3122"/>
      <c r="D10" s="3122"/>
      <c r="E10" s="3122"/>
      <c r="F10" s="3122"/>
      <c r="G10" s="3122"/>
      <c r="H10" s="3122"/>
      <c r="I10" s="3122"/>
      <c r="J10" s="3122"/>
      <c r="K10" s="3122"/>
      <c r="L10" s="3122"/>
      <c r="M10" s="3122"/>
      <c r="N10" s="3122"/>
      <c r="O10" s="3122"/>
      <c r="P10" s="3122"/>
      <c r="Q10" s="3122"/>
      <c r="R10" s="3122"/>
      <c r="S10" s="3122"/>
      <c r="T10" s="3122"/>
      <c r="U10" s="3122"/>
      <c r="V10" s="3122"/>
      <c r="W10" s="3122"/>
      <c r="X10" s="3122"/>
      <c r="Y10" s="3122"/>
      <c r="Z10" s="3122"/>
      <c r="AA10" s="3122"/>
      <c r="AB10" s="3122"/>
      <c r="AC10" s="3122"/>
      <c r="AD10" s="3122"/>
      <c r="AE10" s="3122"/>
      <c r="AF10" s="3122"/>
      <c r="AG10" s="3122"/>
      <c r="AH10" s="3122"/>
      <c r="AI10" s="3122"/>
      <c r="AJ10" s="3122"/>
      <c r="AK10" s="3122"/>
      <c r="AL10" s="3122"/>
      <c r="AM10" s="3122"/>
      <c r="AN10" s="3122"/>
      <c r="AO10" s="3122"/>
      <c r="AP10" s="3122"/>
      <c r="AQ10" s="3122"/>
      <c r="AR10" s="3122"/>
      <c r="AS10" s="3122"/>
      <c r="AT10" s="3122"/>
      <c r="AU10" s="3122"/>
      <c r="AV10" s="3122"/>
      <c r="AW10" s="3122"/>
      <c r="AX10" s="3122"/>
      <c r="AY10" s="3122"/>
      <c r="AZ10" s="3122"/>
      <c r="BA10" s="3122"/>
      <c r="BB10" s="3122"/>
      <c r="BC10" s="3122"/>
      <c r="BD10" s="3122"/>
      <c r="BE10" s="3122"/>
      <c r="BF10" s="3122"/>
      <c r="BG10" s="3122"/>
      <c r="BH10" s="3122"/>
      <c r="BI10" s="3122"/>
      <c r="BJ10" s="3122"/>
      <c r="BK10" s="3122"/>
      <c r="BL10" s="3122"/>
      <c r="BM10" s="3122"/>
      <c r="BN10" s="3122"/>
      <c r="BO10" s="3122"/>
      <c r="BP10" s="3122"/>
      <c r="BQ10" s="3122"/>
      <c r="BR10" s="3122"/>
      <c r="BS10" s="3122"/>
      <c r="BT10" s="3122"/>
      <c r="BU10" s="3122"/>
      <c r="BV10" s="3122"/>
      <c r="BW10" s="3122"/>
      <c r="BX10" s="3122"/>
      <c r="BY10" s="3122"/>
      <c r="BZ10" s="3122"/>
      <c r="CA10" s="3122"/>
      <c r="CB10" s="3122"/>
      <c r="CC10" s="3122"/>
      <c r="CD10" s="3122"/>
    </row>
    <row r="11" spans="1:84" ht="18" customHeight="1" x14ac:dyDescent="0.25">
      <c r="A11" s="3099"/>
      <c r="B11" s="3105" t="s">
        <v>64</v>
      </c>
      <c r="C11" s="3123"/>
      <c r="D11" s="3124"/>
      <c r="E11" s="3124"/>
      <c r="F11" s="3125"/>
      <c r="G11" s="3123"/>
      <c r="H11" s="3124"/>
      <c r="I11" s="3124"/>
      <c r="J11" s="3125"/>
      <c r="K11" s="3123"/>
      <c r="L11" s="3124"/>
      <c r="M11" s="3107">
        <v>4</v>
      </c>
      <c r="N11" s="3109">
        <v>4</v>
      </c>
      <c r="O11" s="3123"/>
      <c r="P11" s="3124"/>
      <c r="Q11" s="3107">
        <v>7</v>
      </c>
      <c r="R11" s="3108">
        <v>7</v>
      </c>
      <c r="S11" s="3107"/>
      <c r="T11" s="3107">
        <v>1</v>
      </c>
      <c r="U11" s="3107">
        <v>21</v>
      </c>
      <c r="V11" s="3108">
        <v>22</v>
      </c>
      <c r="W11" s="3107"/>
      <c r="X11" s="3107">
        <v>2</v>
      </c>
      <c r="Y11" s="3107">
        <v>23</v>
      </c>
      <c r="Z11" s="3108">
        <f>SUM(X11:Y11)</f>
        <v>25</v>
      </c>
      <c r="AA11" s="3107"/>
      <c r="AB11" s="3107">
        <v>3</v>
      </c>
      <c r="AC11" s="3107">
        <v>28</v>
      </c>
      <c r="AD11" s="3108">
        <f>SUM(AA11:AC11)</f>
        <v>31</v>
      </c>
      <c r="AE11" s="3107"/>
      <c r="AF11" s="3107">
        <v>3</v>
      </c>
      <c r="AG11" s="3107">
        <v>38</v>
      </c>
      <c r="AH11" s="3108">
        <v>41</v>
      </c>
      <c r="AI11" s="3107"/>
      <c r="AJ11" s="3107">
        <v>4</v>
      </c>
      <c r="AK11" s="3107">
        <v>45</v>
      </c>
      <c r="AL11" s="3108">
        <f>SUM(AI11:AK11)</f>
        <v>49</v>
      </c>
      <c r="AM11" s="3107"/>
      <c r="AN11" s="3107">
        <v>4</v>
      </c>
      <c r="AO11" s="3107">
        <v>41</v>
      </c>
      <c r="AP11" s="3108">
        <f>SUM(AM11:AO11)</f>
        <v>45</v>
      </c>
      <c r="AQ11" s="3107"/>
      <c r="AR11" s="3107">
        <f t="shared" ref="AR11:AS13" si="18">SUM(AR46,AR81,AR116)</f>
        <v>4</v>
      </c>
      <c r="AS11" s="3107">
        <f t="shared" si="18"/>
        <v>45</v>
      </c>
      <c r="AT11" s="3108">
        <f>SUM(AQ11:AS11)</f>
        <v>49</v>
      </c>
      <c r="AU11" s="3107"/>
      <c r="AV11" s="3107">
        <f t="shared" ref="AV11:AW13" si="19">SUM(AV46,AV81,AV116)</f>
        <v>3</v>
      </c>
      <c r="AW11" s="3107">
        <f t="shared" si="19"/>
        <v>48</v>
      </c>
      <c r="AX11" s="3108">
        <f>SUM(AU11:AW11)</f>
        <v>51</v>
      </c>
      <c r="AY11" s="3107"/>
      <c r="AZ11" s="3107">
        <f t="shared" ref="AZ11:BA13" si="20">SUM(AZ46,AZ81,AZ116)</f>
        <v>3</v>
      </c>
      <c r="BA11" s="3107">
        <f t="shared" si="20"/>
        <v>48</v>
      </c>
      <c r="BB11" s="3108">
        <f>SUM(AY11:BA11)</f>
        <v>51</v>
      </c>
      <c r="BC11" s="3107"/>
      <c r="BD11" s="3107">
        <f t="shared" ref="BD11:BE13" si="21">SUM(BD46,BD81,BD116)</f>
        <v>4</v>
      </c>
      <c r="BE11" s="3107">
        <f t="shared" si="21"/>
        <v>54</v>
      </c>
      <c r="BF11" s="3108">
        <f>SUM(BC11:BE11)</f>
        <v>58</v>
      </c>
      <c r="BG11" s="3107"/>
      <c r="BH11" s="3107">
        <f t="shared" ref="BH11:BI13" si="22">SUM(BH46,BH81,BH116)</f>
        <v>2</v>
      </c>
      <c r="BI11" s="3107">
        <f t="shared" si="22"/>
        <v>61</v>
      </c>
      <c r="BJ11" s="3108">
        <f>SUM(BG11:BI11)</f>
        <v>63</v>
      </c>
      <c r="BK11" s="3107">
        <f t="shared" ref="BK11:BM13" si="23">SUM(BK46,BK81,BK116)</f>
        <v>1</v>
      </c>
      <c r="BL11" s="3107">
        <f t="shared" si="23"/>
        <v>1</v>
      </c>
      <c r="BM11" s="3107">
        <f t="shared" si="23"/>
        <v>60</v>
      </c>
      <c r="BN11" s="3108">
        <f>SUM(BK11:BM11)</f>
        <v>62</v>
      </c>
      <c r="BO11" s="3107">
        <f t="shared" ref="BO11:BQ13" si="24">SUM(BO46,BO81,BO116)</f>
        <v>0</v>
      </c>
      <c r="BP11" s="3107">
        <f t="shared" si="24"/>
        <v>0</v>
      </c>
      <c r="BQ11" s="3107">
        <f t="shared" si="24"/>
        <v>60</v>
      </c>
      <c r="BR11" s="3108">
        <f>SUM(BO11:BQ11)</f>
        <v>60</v>
      </c>
      <c r="BS11" s="3107">
        <f t="shared" ref="BS11:BU13" si="25">SUM(BS46,BS81,BS116)</f>
        <v>0</v>
      </c>
      <c r="BT11" s="3107">
        <f t="shared" si="25"/>
        <v>1</v>
      </c>
      <c r="BU11" s="3107">
        <f t="shared" si="25"/>
        <v>59</v>
      </c>
      <c r="BV11" s="3108">
        <f>SUM(BS11:BU11)</f>
        <v>60</v>
      </c>
      <c r="BW11" s="3107">
        <f t="shared" ref="BW11:BY11" si="26">SUM(BW46,BW81,BW116)</f>
        <v>0</v>
      </c>
      <c r="BX11" s="3107">
        <f t="shared" si="26"/>
        <v>1</v>
      </c>
      <c r="BY11" s="3107">
        <f t="shared" si="26"/>
        <v>59</v>
      </c>
      <c r="BZ11" s="3108">
        <f>SUM(BW11:BY11)</f>
        <v>60</v>
      </c>
      <c r="CA11" s="3107">
        <f t="shared" ref="CA11:CC11" si="27">SUM(CA46,CA81,CA116)</f>
        <v>0</v>
      </c>
      <c r="CB11" s="3107">
        <f t="shared" si="27"/>
        <v>1</v>
      </c>
      <c r="CC11" s="3107">
        <f t="shared" si="27"/>
        <v>58</v>
      </c>
      <c r="CD11" s="3108">
        <f>SUM(CA11:CC11)</f>
        <v>59</v>
      </c>
    </row>
    <row r="12" spans="1:84" ht="18" customHeight="1" x14ac:dyDescent="0.25">
      <c r="A12" s="3099"/>
      <c r="B12" s="3110" t="s">
        <v>111</v>
      </c>
      <c r="C12" s="3126"/>
      <c r="D12" s="3127"/>
      <c r="E12" s="3127"/>
      <c r="F12" s="3128"/>
      <c r="G12" s="3126"/>
      <c r="H12" s="3127"/>
      <c r="I12" s="3127"/>
      <c r="J12" s="3128"/>
      <c r="K12" s="3126"/>
      <c r="L12" s="3127"/>
      <c r="M12" s="3112">
        <v>3</v>
      </c>
      <c r="N12" s="3114">
        <v>3</v>
      </c>
      <c r="O12" s="3126"/>
      <c r="P12" s="3112">
        <v>1</v>
      </c>
      <c r="Q12" s="3112">
        <v>8</v>
      </c>
      <c r="R12" s="3113">
        <v>9</v>
      </c>
      <c r="S12" s="3112"/>
      <c r="T12" s="3112"/>
      <c r="U12" s="3112">
        <v>13</v>
      </c>
      <c r="V12" s="3113">
        <v>13</v>
      </c>
      <c r="W12" s="3112"/>
      <c r="X12" s="3112">
        <v>5</v>
      </c>
      <c r="Y12" s="3112">
        <v>19</v>
      </c>
      <c r="Z12" s="3113">
        <f>SUM(X12:Y12)</f>
        <v>24</v>
      </c>
      <c r="AA12" s="3112"/>
      <c r="AB12" s="3112">
        <v>6</v>
      </c>
      <c r="AC12" s="3112">
        <v>24</v>
      </c>
      <c r="AD12" s="3113">
        <f>SUM(AA12:AC12)</f>
        <v>30</v>
      </c>
      <c r="AE12" s="3112"/>
      <c r="AF12" s="3112">
        <v>7</v>
      </c>
      <c r="AG12" s="3112">
        <v>31</v>
      </c>
      <c r="AH12" s="3113">
        <v>38</v>
      </c>
      <c r="AI12" s="3112"/>
      <c r="AJ12" s="3112">
        <v>7</v>
      </c>
      <c r="AK12" s="3112">
        <v>35</v>
      </c>
      <c r="AL12" s="3113">
        <f>SUM(AI12:AK12)</f>
        <v>42</v>
      </c>
      <c r="AM12" s="3112"/>
      <c r="AN12" s="3112">
        <v>13</v>
      </c>
      <c r="AO12" s="3112">
        <v>40</v>
      </c>
      <c r="AP12" s="3113">
        <f>SUM(AM12:AO12)</f>
        <v>53</v>
      </c>
      <c r="AQ12" s="3112"/>
      <c r="AR12" s="3112">
        <f t="shared" si="18"/>
        <v>14</v>
      </c>
      <c r="AS12" s="3112">
        <f t="shared" si="18"/>
        <v>39</v>
      </c>
      <c r="AT12" s="3113">
        <f>SUM(AQ12:AS12)</f>
        <v>53</v>
      </c>
      <c r="AU12" s="3112"/>
      <c r="AV12" s="3112">
        <f t="shared" si="19"/>
        <v>14</v>
      </c>
      <c r="AW12" s="3112">
        <f t="shared" si="19"/>
        <v>39</v>
      </c>
      <c r="AX12" s="3113">
        <f>SUM(AU12:AW12)</f>
        <v>53</v>
      </c>
      <c r="AY12" s="3112"/>
      <c r="AZ12" s="3112">
        <f t="shared" si="20"/>
        <v>13</v>
      </c>
      <c r="BA12" s="3112">
        <f t="shared" si="20"/>
        <v>42</v>
      </c>
      <c r="BB12" s="3113">
        <f>SUM(AY12:BA12)</f>
        <v>55</v>
      </c>
      <c r="BC12" s="3112"/>
      <c r="BD12" s="3112">
        <f t="shared" si="21"/>
        <v>11</v>
      </c>
      <c r="BE12" s="3112">
        <f t="shared" si="21"/>
        <v>47</v>
      </c>
      <c r="BF12" s="3113">
        <f>SUM(BC12:BE12)</f>
        <v>58</v>
      </c>
      <c r="BG12" s="3112"/>
      <c r="BH12" s="3112">
        <f t="shared" si="22"/>
        <v>9</v>
      </c>
      <c r="BI12" s="3112">
        <f t="shared" si="22"/>
        <v>45</v>
      </c>
      <c r="BJ12" s="3113">
        <f>SUM(BG12:BI12)</f>
        <v>54</v>
      </c>
      <c r="BK12" s="3112">
        <f t="shared" si="23"/>
        <v>0</v>
      </c>
      <c r="BL12" s="3112">
        <f t="shared" si="23"/>
        <v>10</v>
      </c>
      <c r="BM12" s="3112">
        <f t="shared" si="23"/>
        <v>41</v>
      </c>
      <c r="BN12" s="3113">
        <f>SUM(BK12:BM12)</f>
        <v>51</v>
      </c>
      <c r="BO12" s="3112">
        <f t="shared" si="24"/>
        <v>0</v>
      </c>
      <c r="BP12" s="3112">
        <f t="shared" si="24"/>
        <v>10</v>
      </c>
      <c r="BQ12" s="3112">
        <f t="shared" si="24"/>
        <v>43</v>
      </c>
      <c r="BR12" s="3113">
        <f>SUM(BO12:BQ12)</f>
        <v>53</v>
      </c>
      <c r="BS12" s="3112">
        <f t="shared" si="25"/>
        <v>0</v>
      </c>
      <c r="BT12" s="3112">
        <f t="shared" si="25"/>
        <v>9</v>
      </c>
      <c r="BU12" s="3112">
        <f t="shared" si="25"/>
        <v>46</v>
      </c>
      <c r="BV12" s="3113">
        <f>SUM(BS12:BU12)</f>
        <v>55</v>
      </c>
      <c r="BW12" s="3112">
        <f t="shared" ref="BW12:BY12" si="28">SUM(BW47,BW82,BW117)</f>
        <v>0</v>
      </c>
      <c r="BX12" s="3112">
        <f t="shared" si="28"/>
        <v>7</v>
      </c>
      <c r="BY12" s="3112">
        <f t="shared" si="28"/>
        <v>50</v>
      </c>
      <c r="BZ12" s="3113">
        <f>SUM(BW12:BY12)</f>
        <v>57</v>
      </c>
      <c r="CA12" s="3112">
        <f t="shared" ref="CA12:CC12" si="29">SUM(CA47,CA82,CA117)</f>
        <v>0</v>
      </c>
      <c r="CB12" s="3112">
        <f t="shared" si="29"/>
        <v>7</v>
      </c>
      <c r="CC12" s="3112">
        <f t="shared" si="29"/>
        <v>52</v>
      </c>
      <c r="CD12" s="3113">
        <f>SUM(CA12:CC12)</f>
        <v>59</v>
      </c>
      <c r="CF12" s="5185"/>
    </row>
    <row r="13" spans="1:84" ht="18" customHeight="1" x14ac:dyDescent="0.25">
      <c r="A13" s="3099"/>
      <c r="B13" s="3115" t="s">
        <v>115</v>
      </c>
      <c r="C13" s="3126"/>
      <c r="D13" s="3127"/>
      <c r="E13" s="3127"/>
      <c r="F13" s="3128"/>
      <c r="G13" s="3126"/>
      <c r="H13" s="3127"/>
      <c r="I13" s="3127"/>
      <c r="J13" s="3128"/>
      <c r="K13" s="3126"/>
      <c r="L13" s="3127"/>
      <c r="M13" s="3112">
        <v>6</v>
      </c>
      <c r="N13" s="3114">
        <v>6</v>
      </c>
      <c r="O13" s="3126"/>
      <c r="P13" s="3127"/>
      <c r="Q13" s="3112">
        <v>6</v>
      </c>
      <c r="R13" s="3113">
        <v>6</v>
      </c>
      <c r="S13" s="3112"/>
      <c r="T13" s="3112">
        <v>4</v>
      </c>
      <c r="U13" s="3112">
        <v>14</v>
      </c>
      <c r="V13" s="3113">
        <v>18</v>
      </c>
      <c r="W13" s="3112"/>
      <c r="X13" s="3112">
        <v>4</v>
      </c>
      <c r="Y13" s="3112">
        <v>19</v>
      </c>
      <c r="Z13" s="3113">
        <f>SUM(X13:Y13)</f>
        <v>23</v>
      </c>
      <c r="AA13" s="3112"/>
      <c r="AB13" s="3112">
        <v>5</v>
      </c>
      <c r="AC13" s="3112">
        <v>19</v>
      </c>
      <c r="AD13" s="3113">
        <f>SUM(AA13:AC13)</f>
        <v>24</v>
      </c>
      <c r="AE13" s="3116"/>
      <c r="AF13" s="3116">
        <v>7</v>
      </c>
      <c r="AG13" s="3116">
        <v>20</v>
      </c>
      <c r="AH13" s="3117">
        <v>27</v>
      </c>
      <c r="AI13" s="3116"/>
      <c r="AJ13" s="3116">
        <v>7</v>
      </c>
      <c r="AK13" s="3116">
        <v>26</v>
      </c>
      <c r="AL13" s="3117">
        <f>SUM(AI13:AK13)</f>
        <v>33</v>
      </c>
      <c r="AM13" s="3116"/>
      <c r="AN13" s="3116">
        <v>9</v>
      </c>
      <c r="AO13" s="3116">
        <v>28</v>
      </c>
      <c r="AP13" s="3117">
        <f>SUM(AM13:AO13)</f>
        <v>37</v>
      </c>
      <c r="AQ13" s="3116"/>
      <c r="AR13" s="3116">
        <f t="shared" si="18"/>
        <v>8</v>
      </c>
      <c r="AS13" s="3116">
        <f t="shared" si="18"/>
        <v>30</v>
      </c>
      <c r="AT13" s="3117">
        <f>SUM(AQ13:AS13)</f>
        <v>38</v>
      </c>
      <c r="AU13" s="3116"/>
      <c r="AV13" s="3116">
        <f t="shared" si="19"/>
        <v>10</v>
      </c>
      <c r="AW13" s="3116">
        <f t="shared" si="19"/>
        <v>36</v>
      </c>
      <c r="AX13" s="3117">
        <f>SUM(AU13:AW13)</f>
        <v>46</v>
      </c>
      <c r="AY13" s="3116"/>
      <c r="AZ13" s="3116">
        <f t="shared" si="20"/>
        <v>10</v>
      </c>
      <c r="BA13" s="3116">
        <f t="shared" si="20"/>
        <v>39</v>
      </c>
      <c r="BB13" s="3117">
        <f>SUM(AY13:BA13)</f>
        <v>49</v>
      </c>
      <c r="BC13" s="3116"/>
      <c r="BD13" s="3116">
        <f t="shared" si="21"/>
        <v>11</v>
      </c>
      <c r="BE13" s="3116">
        <f t="shared" si="21"/>
        <v>36</v>
      </c>
      <c r="BF13" s="3117">
        <f>SUM(BC13:BE13)</f>
        <v>47</v>
      </c>
      <c r="BG13" s="3116"/>
      <c r="BH13" s="3116">
        <f t="shared" si="22"/>
        <v>14</v>
      </c>
      <c r="BI13" s="3116">
        <f t="shared" si="22"/>
        <v>40</v>
      </c>
      <c r="BJ13" s="3117">
        <f>SUM(BG13:BI13)</f>
        <v>54</v>
      </c>
      <c r="BK13" s="3116">
        <f t="shared" si="23"/>
        <v>0</v>
      </c>
      <c r="BL13" s="3116">
        <f t="shared" si="23"/>
        <v>12</v>
      </c>
      <c r="BM13" s="3116">
        <f t="shared" si="23"/>
        <v>41</v>
      </c>
      <c r="BN13" s="3117">
        <f>SUM(BK13:BM13)</f>
        <v>53</v>
      </c>
      <c r="BO13" s="3116">
        <f t="shared" si="24"/>
        <v>0</v>
      </c>
      <c r="BP13" s="3116">
        <f t="shared" si="24"/>
        <v>13</v>
      </c>
      <c r="BQ13" s="3116">
        <f t="shared" si="24"/>
        <v>40</v>
      </c>
      <c r="BR13" s="3117">
        <f>SUM(BO13:BQ13)</f>
        <v>53</v>
      </c>
      <c r="BS13" s="3116">
        <f t="shared" si="25"/>
        <v>0</v>
      </c>
      <c r="BT13" s="3116">
        <f t="shared" si="25"/>
        <v>13</v>
      </c>
      <c r="BU13" s="3116">
        <f t="shared" si="25"/>
        <v>41</v>
      </c>
      <c r="BV13" s="3117">
        <f>SUM(BS13:BU13)</f>
        <v>54</v>
      </c>
      <c r="BW13" s="3116">
        <f t="shared" ref="BW13:BY13" si="30">SUM(BW48,BW83,BW118)</f>
        <v>0</v>
      </c>
      <c r="BX13" s="3116">
        <f t="shared" si="30"/>
        <v>13</v>
      </c>
      <c r="BY13" s="3116">
        <f t="shared" si="30"/>
        <v>41</v>
      </c>
      <c r="BZ13" s="3117">
        <f>SUM(BW13:BY13)</f>
        <v>54</v>
      </c>
      <c r="CA13" s="3116">
        <f t="shared" ref="CA13:CC13" si="31">SUM(CA48,CA83,CA118)</f>
        <v>0</v>
      </c>
      <c r="CB13" s="3116">
        <f t="shared" si="31"/>
        <v>13</v>
      </c>
      <c r="CC13" s="3116">
        <f t="shared" si="31"/>
        <v>40</v>
      </c>
      <c r="CD13" s="3117">
        <f>SUM(CA13:CC13)</f>
        <v>53</v>
      </c>
      <c r="CF13" s="5185"/>
    </row>
    <row r="14" spans="1:84" ht="18" customHeight="1" x14ac:dyDescent="0.25">
      <c r="A14" s="3099"/>
      <c r="B14" s="3129" t="s">
        <v>134</v>
      </c>
      <c r="C14" s="3130"/>
      <c r="D14" s="3131"/>
      <c r="E14" s="3131"/>
      <c r="F14" s="3132"/>
      <c r="G14" s="3130"/>
      <c r="H14" s="3131"/>
      <c r="I14" s="3131"/>
      <c r="J14" s="3132"/>
      <c r="K14" s="3130"/>
      <c r="L14" s="3131"/>
      <c r="M14" s="3133">
        <f>SUM(M11:M13)</f>
        <v>13</v>
      </c>
      <c r="N14" s="3133">
        <v>13</v>
      </c>
      <c r="O14" s="3130"/>
      <c r="P14" s="3133">
        <v>1</v>
      </c>
      <c r="Q14" s="3133">
        <v>21</v>
      </c>
      <c r="R14" s="3134">
        <v>22</v>
      </c>
      <c r="S14" s="3133"/>
      <c r="T14" s="3133">
        <v>5</v>
      </c>
      <c r="U14" s="3133">
        <v>48</v>
      </c>
      <c r="V14" s="3134">
        <f>SUM(V11:V13)</f>
        <v>53</v>
      </c>
      <c r="W14" s="3135"/>
      <c r="X14" s="3133">
        <f>SUM(X11:X13)</f>
        <v>11</v>
      </c>
      <c r="Y14" s="3133">
        <f>SUM(Y11:Y13)</f>
        <v>61</v>
      </c>
      <c r="Z14" s="3134">
        <f>SUM(Z11:Z13)</f>
        <v>72</v>
      </c>
      <c r="AA14" s="3135"/>
      <c r="AB14" s="3133">
        <f>SUM(AB11:AB13)</f>
        <v>14</v>
      </c>
      <c r="AC14" s="3133">
        <f>SUM(AC11:AC13)</f>
        <v>71</v>
      </c>
      <c r="AD14" s="3134">
        <f>SUM(AD11:AD13)</f>
        <v>85</v>
      </c>
      <c r="AE14" s="3135"/>
      <c r="AF14" s="3133">
        <v>17</v>
      </c>
      <c r="AG14" s="3133">
        <v>89</v>
      </c>
      <c r="AH14" s="3134">
        <v>106</v>
      </c>
      <c r="AI14" s="3135"/>
      <c r="AJ14" s="3133">
        <f>SUM(AJ11:AJ13)</f>
        <v>18</v>
      </c>
      <c r="AK14" s="3133">
        <f>SUM(AK11:AK13)</f>
        <v>106</v>
      </c>
      <c r="AL14" s="3134">
        <f>SUM(AL11:AL13)</f>
        <v>124</v>
      </c>
      <c r="AM14" s="3135"/>
      <c r="AN14" s="3133">
        <f>SUM(AN11:AN13)</f>
        <v>26</v>
      </c>
      <c r="AO14" s="3133">
        <f>SUM(AO11:AO13)</f>
        <v>109</v>
      </c>
      <c r="AP14" s="3134">
        <f>SUM(AP11:AP13)</f>
        <v>135</v>
      </c>
      <c r="AQ14" s="3135"/>
      <c r="AR14" s="3133">
        <f>SUM(AR11:AR13)</f>
        <v>26</v>
      </c>
      <c r="AS14" s="3133">
        <f>SUM(AS11:AS13)</f>
        <v>114</v>
      </c>
      <c r="AT14" s="3134">
        <f>SUM(AT11:AT13)</f>
        <v>140</v>
      </c>
      <c r="AU14" s="3135"/>
      <c r="AV14" s="3133">
        <f>SUM(AV11:AV13)</f>
        <v>27</v>
      </c>
      <c r="AW14" s="3133">
        <f>SUM(AW11:AW13)</f>
        <v>123</v>
      </c>
      <c r="AX14" s="3134">
        <f>SUM(AX11:AX13)</f>
        <v>150</v>
      </c>
      <c r="AY14" s="3135"/>
      <c r="AZ14" s="3133">
        <f>SUM(AZ11:AZ13)</f>
        <v>26</v>
      </c>
      <c r="BA14" s="3133">
        <f>SUM(BA11:BA13)</f>
        <v>129</v>
      </c>
      <c r="BB14" s="3134">
        <f>SUM(BB11:BB13)</f>
        <v>155</v>
      </c>
      <c r="BC14" s="3135"/>
      <c r="BD14" s="3133">
        <f>SUM(BD11:BD13)</f>
        <v>26</v>
      </c>
      <c r="BE14" s="3133">
        <f>SUM(BE11:BE13)</f>
        <v>137</v>
      </c>
      <c r="BF14" s="3134">
        <f>SUM(BF11:BF13)</f>
        <v>163</v>
      </c>
      <c r="BG14" s="3135"/>
      <c r="BH14" s="3133">
        <f t="shared" ref="BH14:BV14" si="32">SUM(BH11:BH13)</f>
        <v>25</v>
      </c>
      <c r="BI14" s="3133">
        <f t="shared" si="32"/>
        <v>146</v>
      </c>
      <c r="BJ14" s="3134">
        <f t="shared" si="32"/>
        <v>171</v>
      </c>
      <c r="BK14" s="3135">
        <f t="shared" si="32"/>
        <v>1</v>
      </c>
      <c r="BL14" s="3133">
        <f t="shared" si="32"/>
        <v>23</v>
      </c>
      <c r="BM14" s="3133">
        <f t="shared" si="32"/>
        <v>142</v>
      </c>
      <c r="BN14" s="3134">
        <f t="shared" si="32"/>
        <v>166</v>
      </c>
      <c r="BO14" s="3135">
        <f t="shared" si="32"/>
        <v>0</v>
      </c>
      <c r="BP14" s="3133">
        <f t="shared" si="32"/>
        <v>23</v>
      </c>
      <c r="BQ14" s="3133">
        <f t="shared" si="32"/>
        <v>143</v>
      </c>
      <c r="BR14" s="3134">
        <f t="shared" si="32"/>
        <v>166</v>
      </c>
      <c r="BS14" s="3135">
        <f t="shared" si="32"/>
        <v>0</v>
      </c>
      <c r="BT14" s="3133">
        <f t="shared" si="32"/>
        <v>23</v>
      </c>
      <c r="BU14" s="3133">
        <f t="shared" si="32"/>
        <v>146</v>
      </c>
      <c r="BV14" s="3134">
        <f t="shared" si="32"/>
        <v>169</v>
      </c>
      <c r="BW14" s="3135">
        <f t="shared" ref="BW14:BZ14" si="33">SUM(BW11:BW13)</f>
        <v>0</v>
      </c>
      <c r="BX14" s="3133">
        <f t="shared" si="33"/>
        <v>21</v>
      </c>
      <c r="BY14" s="3133">
        <f t="shared" si="33"/>
        <v>150</v>
      </c>
      <c r="BZ14" s="3134">
        <f t="shared" si="33"/>
        <v>171</v>
      </c>
      <c r="CA14" s="3135">
        <f t="shared" ref="CA14:CD14" si="34">SUM(CA11:CA13)</f>
        <v>0</v>
      </c>
      <c r="CB14" s="3133">
        <f t="shared" si="34"/>
        <v>21</v>
      </c>
      <c r="CC14" s="3133">
        <f t="shared" si="34"/>
        <v>150</v>
      </c>
      <c r="CD14" s="3134">
        <f t="shared" si="34"/>
        <v>171</v>
      </c>
    </row>
    <row r="15" spans="1:84" x14ac:dyDescent="0.25">
      <c r="A15" s="3099"/>
      <c r="B15" s="3104"/>
      <c r="C15" s="3122"/>
      <c r="D15" s="3122"/>
      <c r="E15" s="3122"/>
      <c r="F15" s="3122"/>
      <c r="G15" s="3122"/>
      <c r="H15" s="3122"/>
      <c r="I15" s="3122"/>
      <c r="J15" s="3122"/>
      <c r="K15" s="3122"/>
      <c r="L15" s="3122"/>
      <c r="M15" s="3122"/>
      <c r="N15" s="3122"/>
      <c r="O15" s="3122"/>
      <c r="P15" s="3122"/>
      <c r="Q15" s="3122"/>
      <c r="R15" s="3122"/>
      <c r="S15" s="3122"/>
      <c r="T15" s="3122"/>
      <c r="U15" s="3122"/>
      <c r="V15" s="3122"/>
      <c r="W15" s="3122"/>
      <c r="X15" s="3122"/>
      <c r="Y15" s="3122"/>
      <c r="Z15" s="3122"/>
      <c r="AA15" s="3122"/>
      <c r="AB15" s="3122"/>
      <c r="AC15" s="3122"/>
      <c r="AD15" s="3122"/>
      <c r="AE15" s="3122"/>
      <c r="AF15" s="3122"/>
      <c r="AG15" s="3122"/>
      <c r="AH15" s="3122"/>
      <c r="AI15" s="3122"/>
      <c r="AJ15" s="3122"/>
      <c r="AK15" s="3122"/>
      <c r="AL15" s="3122"/>
      <c r="AM15" s="3122"/>
      <c r="AN15" s="3122"/>
      <c r="AO15" s="3122"/>
      <c r="AP15" s="3122"/>
      <c r="AQ15" s="3122"/>
      <c r="AR15" s="3122"/>
      <c r="AS15" s="3122"/>
      <c r="AT15" s="3122"/>
      <c r="AU15" s="3122"/>
      <c r="AV15" s="3122"/>
      <c r="AW15" s="3122"/>
      <c r="AX15" s="3122"/>
      <c r="AY15" s="3122"/>
      <c r="AZ15" s="3122"/>
      <c r="BA15" s="3122"/>
      <c r="BB15" s="3122"/>
      <c r="BC15" s="3122"/>
      <c r="BD15" s="3122"/>
      <c r="BE15" s="3122"/>
      <c r="BF15" s="3122"/>
      <c r="BG15" s="3122"/>
      <c r="BH15" s="3122"/>
      <c r="BI15" s="3122"/>
      <c r="BJ15" s="3122"/>
      <c r="BK15" s="3122"/>
      <c r="BL15" s="3122"/>
      <c r="BM15" s="3122"/>
      <c r="BN15" s="3122"/>
      <c r="BO15" s="3122"/>
      <c r="BP15" s="3122"/>
      <c r="BQ15" s="3122"/>
      <c r="BR15" s="3122"/>
      <c r="BS15" s="3122"/>
      <c r="BT15" s="3122"/>
      <c r="BU15" s="3122"/>
      <c r="BV15" s="3122"/>
      <c r="BW15" s="3122"/>
      <c r="BX15" s="3122"/>
      <c r="BY15" s="3122"/>
      <c r="BZ15" s="3122"/>
      <c r="CA15" s="3122"/>
      <c r="CB15" s="3122"/>
      <c r="CC15" s="3122"/>
      <c r="CD15" s="3122"/>
    </row>
    <row r="16" spans="1:84" ht="18" customHeight="1" x14ac:dyDescent="0.25">
      <c r="A16" s="3099"/>
      <c r="B16" s="3105" t="s">
        <v>59</v>
      </c>
      <c r="C16" s="3106">
        <v>2</v>
      </c>
      <c r="D16" s="3107">
        <v>21</v>
      </c>
      <c r="E16" s="3107">
        <v>259</v>
      </c>
      <c r="F16" s="3108">
        <v>282</v>
      </c>
      <c r="G16" s="3106">
        <v>1</v>
      </c>
      <c r="H16" s="3107">
        <v>16</v>
      </c>
      <c r="I16" s="3107">
        <v>269</v>
      </c>
      <c r="J16" s="3108">
        <v>286</v>
      </c>
      <c r="K16" s="3106">
        <v>1</v>
      </c>
      <c r="L16" s="3107">
        <v>18</v>
      </c>
      <c r="M16" s="3107">
        <v>277</v>
      </c>
      <c r="N16" s="3109">
        <v>296</v>
      </c>
      <c r="O16" s="3106">
        <v>1</v>
      </c>
      <c r="P16" s="3107">
        <v>19</v>
      </c>
      <c r="Q16" s="3107">
        <v>276</v>
      </c>
      <c r="R16" s="3108">
        <v>296</v>
      </c>
      <c r="S16" s="3107">
        <v>1</v>
      </c>
      <c r="T16" s="3107">
        <v>19</v>
      </c>
      <c r="U16" s="3107">
        <v>278</v>
      </c>
      <c r="V16" s="3108">
        <v>298</v>
      </c>
      <c r="W16" s="3107">
        <v>1</v>
      </c>
      <c r="X16" s="3107">
        <v>19</v>
      </c>
      <c r="Y16" s="3107">
        <v>278</v>
      </c>
      <c r="Z16" s="3108">
        <f>SUM(W16:Y16)</f>
        <v>298</v>
      </c>
      <c r="AA16" s="3107">
        <v>1</v>
      </c>
      <c r="AB16" s="3107">
        <v>16</v>
      </c>
      <c r="AC16" s="3107">
        <v>279</v>
      </c>
      <c r="AD16" s="3108">
        <f>SUM(AA16:AC16)</f>
        <v>296</v>
      </c>
      <c r="AE16" s="3107">
        <v>1</v>
      </c>
      <c r="AF16" s="3107">
        <v>15</v>
      </c>
      <c r="AG16" s="3107">
        <v>277</v>
      </c>
      <c r="AH16" s="3108">
        <v>293</v>
      </c>
      <c r="AI16" s="3107">
        <v>1</v>
      </c>
      <c r="AJ16" s="3107">
        <v>15</v>
      </c>
      <c r="AK16" s="3107">
        <v>278</v>
      </c>
      <c r="AL16" s="3108">
        <f>SUM(AI16:AK16)</f>
        <v>294</v>
      </c>
      <c r="AM16" s="3107">
        <v>1</v>
      </c>
      <c r="AN16" s="3107">
        <v>14</v>
      </c>
      <c r="AO16" s="3107">
        <v>279</v>
      </c>
      <c r="AP16" s="3108">
        <f>SUM(AM16:AO16)</f>
        <v>294</v>
      </c>
      <c r="AQ16" s="3107">
        <f>SUM(AQ51,AQ86,AQ121)</f>
        <v>1</v>
      </c>
      <c r="AR16" s="3107">
        <f>SUM(AR51,AR86,AR121)</f>
        <v>15</v>
      </c>
      <c r="AS16" s="3107">
        <f>SUM(AS51,AS86,AS121)</f>
        <v>283</v>
      </c>
      <c r="AT16" s="3108">
        <f>SUM(AQ16:AS16)</f>
        <v>299</v>
      </c>
      <c r="AU16" s="3107">
        <f t="shared" ref="AU16:AW18" si="35">SUM(AU51,AU86,AU121)</f>
        <v>1</v>
      </c>
      <c r="AV16" s="3107">
        <f t="shared" si="35"/>
        <v>17</v>
      </c>
      <c r="AW16" s="3107">
        <f t="shared" si="35"/>
        <v>283</v>
      </c>
      <c r="AX16" s="3108">
        <f>SUM(AU16:AW16)</f>
        <v>301</v>
      </c>
      <c r="AY16" s="3107">
        <f t="shared" ref="AY16:BA18" si="36">SUM(AY51,AY86,AY121)</f>
        <v>1</v>
      </c>
      <c r="AZ16" s="3107">
        <f t="shared" si="36"/>
        <v>16</v>
      </c>
      <c r="BA16" s="3107">
        <f t="shared" si="36"/>
        <v>282</v>
      </c>
      <c r="BB16" s="3108">
        <f>SUM(AY16:BA16)</f>
        <v>299</v>
      </c>
      <c r="BC16" s="3107">
        <f t="shared" ref="BC16:BE18" si="37">SUM(BC51,BC86,BC121)</f>
        <v>1</v>
      </c>
      <c r="BD16" s="3107">
        <f t="shared" si="37"/>
        <v>14</v>
      </c>
      <c r="BE16" s="3107">
        <f t="shared" si="37"/>
        <v>281</v>
      </c>
      <c r="BF16" s="3108">
        <f>SUM(BC16:BE16)</f>
        <v>296</v>
      </c>
      <c r="BG16" s="3107">
        <f>SUM(BG51,BG86,BG121)</f>
        <v>1</v>
      </c>
      <c r="BH16" s="3107">
        <f>SUM(BH51,BH86,BH121)</f>
        <v>14</v>
      </c>
      <c r="BI16" s="3107">
        <f>SUM(BI51,BI86,BI121)</f>
        <v>274</v>
      </c>
      <c r="BJ16" s="3108">
        <f>SUM(BG16:BI16)</f>
        <v>289</v>
      </c>
      <c r="BK16" s="3107">
        <f t="shared" ref="BK16:BM18" si="38">SUM(BK51,BK86,BK121)</f>
        <v>1</v>
      </c>
      <c r="BL16" s="3107">
        <f t="shared" si="38"/>
        <v>18</v>
      </c>
      <c r="BM16" s="3107">
        <f t="shared" si="38"/>
        <v>271</v>
      </c>
      <c r="BN16" s="3108">
        <f>SUM(BK16:BM16)</f>
        <v>290</v>
      </c>
      <c r="BO16" s="3107">
        <f t="shared" ref="BO16:BQ18" si="39">SUM(BO51,BO86,BO121)</f>
        <v>1</v>
      </c>
      <c r="BP16" s="3107">
        <f t="shared" si="39"/>
        <v>17</v>
      </c>
      <c r="BQ16" s="3107">
        <f t="shared" si="39"/>
        <v>265</v>
      </c>
      <c r="BR16" s="3108">
        <f>SUM(BO16:BQ16)</f>
        <v>283</v>
      </c>
      <c r="BS16" s="3107">
        <f t="shared" ref="BS16:BU18" si="40">SUM(BS51,BS86,BS121)</f>
        <v>1</v>
      </c>
      <c r="BT16" s="3107">
        <f t="shared" si="40"/>
        <v>16</v>
      </c>
      <c r="BU16" s="3107">
        <f t="shared" si="40"/>
        <v>263</v>
      </c>
      <c r="BV16" s="3108">
        <f>SUM(BS16:BU16)</f>
        <v>280</v>
      </c>
      <c r="BW16" s="3107">
        <f t="shared" ref="BW16:BY16" si="41">SUM(BW51,BW86,BW121)</f>
        <v>1</v>
      </c>
      <c r="BX16" s="3107">
        <f t="shared" si="41"/>
        <v>13</v>
      </c>
      <c r="BY16" s="3107">
        <f t="shared" si="41"/>
        <v>259</v>
      </c>
      <c r="BZ16" s="3108">
        <f>SUM(BW16:BY16)</f>
        <v>273</v>
      </c>
      <c r="CA16" s="3107">
        <f t="shared" ref="CA16:CC16" si="42">SUM(CA51,CA86,CA121)</f>
        <v>1</v>
      </c>
      <c r="CB16" s="3107">
        <f t="shared" si="42"/>
        <v>14</v>
      </c>
      <c r="CC16" s="3107">
        <f t="shared" si="42"/>
        <v>255</v>
      </c>
      <c r="CD16" s="3108">
        <f>SUM(CA16:CC16)</f>
        <v>270</v>
      </c>
      <c r="CF16" s="5187"/>
    </row>
    <row r="17" spans="1:84" ht="18" customHeight="1" x14ac:dyDescent="0.25">
      <c r="A17" s="3099"/>
      <c r="B17" s="3110" t="s">
        <v>64</v>
      </c>
      <c r="C17" s="3111">
        <v>4</v>
      </c>
      <c r="D17" s="3112">
        <v>35</v>
      </c>
      <c r="E17" s="3112">
        <v>315</v>
      </c>
      <c r="F17" s="3113">
        <v>354</v>
      </c>
      <c r="G17" s="3111">
        <v>1</v>
      </c>
      <c r="H17" s="3112">
        <v>31</v>
      </c>
      <c r="I17" s="3112">
        <v>330</v>
      </c>
      <c r="J17" s="3113">
        <v>362</v>
      </c>
      <c r="K17" s="3111">
        <v>1</v>
      </c>
      <c r="L17" s="3112">
        <v>30</v>
      </c>
      <c r="M17" s="3112">
        <v>319</v>
      </c>
      <c r="N17" s="3114">
        <v>350</v>
      </c>
      <c r="O17" s="3111">
        <v>1</v>
      </c>
      <c r="P17" s="3112">
        <v>31</v>
      </c>
      <c r="Q17" s="3112">
        <v>320</v>
      </c>
      <c r="R17" s="3113">
        <v>352</v>
      </c>
      <c r="S17" s="3112"/>
      <c r="T17" s="3112">
        <v>32</v>
      </c>
      <c r="U17" s="3112">
        <v>317</v>
      </c>
      <c r="V17" s="3113">
        <v>349</v>
      </c>
      <c r="W17" s="3112"/>
      <c r="X17" s="3112">
        <v>33</v>
      </c>
      <c r="Y17" s="3112">
        <v>317</v>
      </c>
      <c r="Z17" s="3113">
        <f>SUM(W17:Y17)</f>
        <v>350</v>
      </c>
      <c r="AA17" s="3112"/>
      <c r="AB17" s="3112">
        <v>27</v>
      </c>
      <c r="AC17" s="3112">
        <v>323</v>
      </c>
      <c r="AD17" s="3113">
        <f>SUM(AA17:AC17)</f>
        <v>350</v>
      </c>
      <c r="AE17" s="3112"/>
      <c r="AF17" s="3112">
        <v>37</v>
      </c>
      <c r="AG17" s="3112">
        <v>327</v>
      </c>
      <c r="AH17" s="3113">
        <v>364</v>
      </c>
      <c r="AI17" s="3112">
        <v>1</v>
      </c>
      <c r="AJ17" s="3112">
        <v>36</v>
      </c>
      <c r="AK17" s="3112">
        <v>321</v>
      </c>
      <c r="AL17" s="3113">
        <f>SUM(AI17:AK17)</f>
        <v>358</v>
      </c>
      <c r="AM17" s="3112">
        <v>1</v>
      </c>
      <c r="AN17" s="3112">
        <v>32</v>
      </c>
      <c r="AO17" s="3112">
        <v>318</v>
      </c>
      <c r="AP17" s="3113">
        <f>SUM(AM17:AO17)</f>
        <v>351</v>
      </c>
      <c r="AQ17" s="3112">
        <f t="shared" ref="AQ17:AS18" si="43">SUM(AQ52,AQ87,AQ122)</f>
        <v>1</v>
      </c>
      <c r="AR17" s="3112">
        <f t="shared" si="43"/>
        <v>33</v>
      </c>
      <c r="AS17" s="3112">
        <f t="shared" si="43"/>
        <v>323</v>
      </c>
      <c r="AT17" s="3113">
        <f>SUM(AQ17:AS17)</f>
        <v>357</v>
      </c>
      <c r="AU17" s="3112"/>
      <c r="AV17" s="3112">
        <f t="shared" si="35"/>
        <v>38</v>
      </c>
      <c r="AW17" s="3112">
        <f t="shared" si="35"/>
        <v>324</v>
      </c>
      <c r="AX17" s="3113">
        <f>SUM(AU17:AW17)</f>
        <v>362</v>
      </c>
      <c r="AY17" s="3112"/>
      <c r="AZ17" s="3112">
        <f t="shared" si="36"/>
        <v>31</v>
      </c>
      <c r="BA17" s="3112">
        <f t="shared" si="36"/>
        <v>319</v>
      </c>
      <c r="BB17" s="3113">
        <f>SUM(AY17:BA17)</f>
        <v>350</v>
      </c>
      <c r="BC17" s="3112"/>
      <c r="BD17" s="3112">
        <f t="shared" si="37"/>
        <v>27</v>
      </c>
      <c r="BE17" s="3112">
        <f t="shared" si="37"/>
        <v>318</v>
      </c>
      <c r="BF17" s="3113">
        <f>SUM(BC17:BE17)</f>
        <v>345</v>
      </c>
      <c r="BG17" s="3112"/>
      <c r="BH17" s="3112">
        <f>SUM(BH52,BH87,BH122)</f>
        <v>32</v>
      </c>
      <c r="BI17" s="3112">
        <f>SUM(BI52,BI87,BI122)</f>
        <v>317</v>
      </c>
      <c r="BJ17" s="3113">
        <f>SUM(BG17:BI17)</f>
        <v>349</v>
      </c>
      <c r="BK17" s="3112">
        <f t="shared" si="38"/>
        <v>0</v>
      </c>
      <c r="BL17" s="3112">
        <f t="shared" si="38"/>
        <v>40</v>
      </c>
      <c r="BM17" s="3112">
        <f t="shared" si="38"/>
        <v>314</v>
      </c>
      <c r="BN17" s="3113">
        <f>SUM(BK17:BM17)</f>
        <v>354</v>
      </c>
      <c r="BO17" s="3112">
        <f t="shared" si="39"/>
        <v>0</v>
      </c>
      <c r="BP17" s="3112">
        <f t="shared" si="39"/>
        <v>35</v>
      </c>
      <c r="BQ17" s="3112">
        <f t="shared" si="39"/>
        <v>301</v>
      </c>
      <c r="BR17" s="3113">
        <f>SUM(BO17:BQ17)</f>
        <v>336</v>
      </c>
      <c r="BS17" s="3112">
        <f t="shared" si="40"/>
        <v>0</v>
      </c>
      <c r="BT17" s="3112">
        <f t="shared" si="40"/>
        <v>34</v>
      </c>
      <c r="BU17" s="3112">
        <f t="shared" si="40"/>
        <v>293</v>
      </c>
      <c r="BV17" s="3113">
        <f>SUM(BS17:BU17)</f>
        <v>327</v>
      </c>
      <c r="BW17" s="3112">
        <f t="shared" ref="BW17:BY17" si="44">SUM(BW52,BW87,BW122)</f>
        <v>0</v>
      </c>
      <c r="BX17" s="3112">
        <f t="shared" si="44"/>
        <v>35</v>
      </c>
      <c r="BY17" s="3112">
        <f t="shared" si="44"/>
        <v>280</v>
      </c>
      <c r="BZ17" s="3113">
        <f>SUM(BW17:BY17)</f>
        <v>315</v>
      </c>
      <c r="CA17" s="3112">
        <f t="shared" ref="CA17:CC17" si="45">SUM(CA52,CA87,CA122)</f>
        <v>0</v>
      </c>
      <c r="CB17" s="3112">
        <f t="shared" si="45"/>
        <v>40</v>
      </c>
      <c r="CC17" s="3112">
        <f t="shared" si="45"/>
        <v>274</v>
      </c>
      <c r="CD17" s="3113">
        <f>SUM(CA17:CC17)</f>
        <v>314</v>
      </c>
    </row>
    <row r="18" spans="1:84" ht="18" customHeight="1" x14ac:dyDescent="0.25">
      <c r="A18" s="3099"/>
      <c r="B18" s="3110" t="s">
        <v>92</v>
      </c>
      <c r="C18" s="3111">
        <v>6</v>
      </c>
      <c r="D18" s="3112">
        <v>17</v>
      </c>
      <c r="E18" s="3112">
        <v>242</v>
      </c>
      <c r="F18" s="3113">
        <v>265</v>
      </c>
      <c r="G18" s="3111">
        <v>6</v>
      </c>
      <c r="H18" s="3112">
        <v>17</v>
      </c>
      <c r="I18" s="3112">
        <v>241</v>
      </c>
      <c r="J18" s="3113">
        <v>264</v>
      </c>
      <c r="K18" s="3111">
        <v>5</v>
      </c>
      <c r="L18" s="3112">
        <v>16</v>
      </c>
      <c r="M18" s="3112">
        <v>241</v>
      </c>
      <c r="N18" s="3114">
        <v>262</v>
      </c>
      <c r="O18" s="3111">
        <v>4</v>
      </c>
      <c r="P18" s="3112">
        <v>16</v>
      </c>
      <c r="Q18" s="3112">
        <v>238</v>
      </c>
      <c r="R18" s="3113">
        <v>258</v>
      </c>
      <c r="S18" s="3112">
        <v>4</v>
      </c>
      <c r="T18" s="3112">
        <v>18</v>
      </c>
      <c r="U18" s="3112">
        <v>236</v>
      </c>
      <c r="V18" s="3113">
        <v>258</v>
      </c>
      <c r="W18" s="3112">
        <v>3</v>
      </c>
      <c r="X18" s="3112">
        <v>17</v>
      </c>
      <c r="Y18" s="3112">
        <v>230</v>
      </c>
      <c r="Z18" s="3113">
        <f>SUM(W18:Y18)</f>
        <v>250</v>
      </c>
      <c r="AA18" s="3112">
        <v>3</v>
      </c>
      <c r="AB18" s="3112">
        <v>15</v>
      </c>
      <c r="AC18" s="3112">
        <v>228</v>
      </c>
      <c r="AD18" s="3113">
        <f>SUM(AA18:AC18)</f>
        <v>246</v>
      </c>
      <c r="AE18" s="3116">
        <v>2</v>
      </c>
      <c r="AF18" s="3116">
        <v>14</v>
      </c>
      <c r="AG18" s="3116">
        <v>225</v>
      </c>
      <c r="AH18" s="3117">
        <v>241</v>
      </c>
      <c r="AI18" s="3116">
        <v>3</v>
      </c>
      <c r="AJ18" s="3116">
        <v>16</v>
      </c>
      <c r="AK18" s="3116">
        <v>229</v>
      </c>
      <c r="AL18" s="3117">
        <f>SUM(AI18:AK18)</f>
        <v>248</v>
      </c>
      <c r="AM18" s="3116">
        <v>2</v>
      </c>
      <c r="AN18" s="3116">
        <v>18</v>
      </c>
      <c r="AO18" s="3116">
        <v>234</v>
      </c>
      <c r="AP18" s="3117">
        <f>SUM(AM18:AO18)</f>
        <v>254</v>
      </c>
      <c r="AQ18" s="3116">
        <f t="shared" si="43"/>
        <v>3</v>
      </c>
      <c r="AR18" s="3116">
        <f t="shared" si="43"/>
        <v>21</v>
      </c>
      <c r="AS18" s="3116">
        <f t="shared" si="43"/>
        <v>226</v>
      </c>
      <c r="AT18" s="3117">
        <f>SUM(AQ18:AS18)</f>
        <v>250</v>
      </c>
      <c r="AU18" s="3116">
        <f t="shared" si="35"/>
        <v>4</v>
      </c>
      <c r="AV18" s="3116">
        <f t="shared" si="35"/>
        <v>22</v>
      </c>
      <c r="AW18" s="3116">
        <f t="shared" si="35"/>
        <v>228</v>
      </c>
      <c r="AX18" s="3117">
        <f>SUM(AU18:AW18)</f>
        <v>254</v>
      </c>
      <c r="AY18" s="3116">
        <f t="shared" si="36"/>
        <v>3</v>
      </c>
      <c r="AZ18" s="3116">
        <f t="shared" si="36"/>
        <v>19</v>
      </c>
      <c r="BA18" s="3116">
        <f t="shared" si="36"/>
        <v>233</v>
      </c>
      <c r="BB18" s="3117">
        <f>SUM(AY18:BA18)</f>
        <v>255</v>
      </c>
      <c r="BC18" s="3116">
        <f t="shared" si="37"/>
        <v>4</v>
      </c>
      <c r="BD18" s="3116">
        <f t="shared" si="37"/>
        <v>17</v>
      </c>
      <c r="BE18" s="3116">
        <f t="shared" si="37"/>
        <v>234</v>
      </c>
      <c r="BF18" s="3117">
        <f>SUM(BC18:BE18)</f>
        <v>255</v>
      </c>
      <c r="BG18" s="3116">
        <f>SUM(BG53,BG88,BG123)</f>
        <v>3</v>
      </c>
      <c r="BH18" s="3116">
        <f>SUM(BH53,BH88,BH123)</f>
        <v>20</v>
      </c>
      <c r="BI18" s="3116">
        <f>SUM(BI53,BI88,BI123)</f>
        <v>229</v>
      </c>
      <c r="BJ18" s="3117">
        <f>SUM(BG18:BI18)</f>
        <v>252</v>
      </c>
      <c r="BK18" s="3116">
        <f t="shared" si="38"/>
        <v>3</v>
      </c>
      <c r="BL18" s="3116">
        <f t="shared" si="38"/>
        <v>22</v>
      </c>
      <c r="BM18" s="3116">
        <f t="shared" si="38"/>
        <v>224</v>
      </c>
      <c r="BN18" s="3117">
        <f>SUM(BK18:BM18)</f>
        <v>249</v>
      </c>
      <c r="BO18" s="3116">
        <f t="shared" si="39"/>
        <v>3</v>
      </c>
      <c r="BP18" s="3116">
        <f t="shared" si="39"/>
        <v>22</v>
      </c>
      <c r="BQ18" s="3116">
        <f t="shared" si="39"/>
        <v>221</v>
      </c>
      <c r="BR18" s="3117">
        <f>SUM(BO18:BQ18)</f>
        <v>246</v>
      </c>
      <c r="BS18" s="3116">
        <f t="shared" si="40"/>
        <v>3</v>
      </c>
      <c r="BT18" s="3116">
        <f t="shared" si="40"/>
        <v>25</v>
      </c>
      <c r="BU18" s="3116">
        <f t="shared" si="40"/>
        <v>214</v>
      </c>
      <c r="BV18" s="3117">
        <f>SUM(BS18:BU18)</f>
        <v>242</v>
      </c>
      <c r="BW18" s="3116">
        <f t="shared" ref="BW18:BY18" si="46">SUM(BW53,BW88,BW123)</f>
        <v>3</v>
      </c>
      <c r="BX18" s="3116">
        <f t="shared" si="46"/>
        <v>22</v>
      </c>
      <c r="BY18" s="3116">
        <f t="shared" si="46"/>
        <v>213</v>
      </c>
      <c r="BZ18" s="3117">
        <f>SUM(BW18:BY18)</f>
        <v>238</v>
      </c>
      <c r="CA18" s="3116">
        <f t="shared" ref="CA18:CC18" si="47">SUM(CA53,CA88,CA123)</f>
        <v>3</v>
      </c>
      <c r="CB18" s="3116">
        <f t="shared" si="47"/>
        <v>20</v>
      </c>
      <c r="CC18" s="3116">
        <f t="shared" si="47"/>
        <v>209</v>
      </c>
      <c r="CD18" s="3117">
        <f>SUM(CA18:CC18)</f>
        <v>232</v>
      </c>
      <c r="CF18" s="5187"/>
    </row>
    <row r="19" spans="1:84" ht="18" customHeight="1" x14ac:dyDescent="0.25">
      <c r="A19" s="3099"/>
      <c r="B19" s="3136" t="s">
        <v>135</v>
      </c>
      <c r="C19" s="3137">
        <v>12</v>
      </c>
      <c r="D19" s="3138">
        <v>73</v>
      </c>
      <c r="E19" s="3138">
        <v>816</v>
      </c>
      <c r="F19" s="3139">
        <v>901</v>
      </c>
      <c r="G19" s="3137">
        <v>8</v>
      </c>
      <c r="H19" s="3138">
        <v>64</v>
      </c>
      <c r="I19" s="3138">
        <v>840</v>
      </c>
      <c r="J19" s="3139">
        <v>912</v>
      </c>
      <c r="K19" s="3137">
        <v>7</v>
      </c>
      <c r="L19" s="3138">
        <v>64</v>
      </c>
      <c r="M19" s="3138">
        <v>837</v>
      </c>
      <c r="N19" s="3138">
        <v>908</v>
      </c>
      <c r="O19" s="3137">
        <v>6</v>
      </c>
      <c r="P19" s="3138">
        <v>66</v>
      </c>
      <c r="Q19" s="3138">
        <v>834</v>
      </c>
      <c r="R19" s="3139">
        <f>SUM(R16:R18)</f>
        <v>906</v>
      </c>
      <c r="S19" s="3138">
        <v>5</v>
      </c>
      <c r="T19" s="3138">
        <v>69</v>
      </c>
      <c r="U19" s="3138">
        <v>831</v>
      </c>
      <c r="V19" s="3139">
        <f t="shared" ref="V19:BV19" si="48">SUM(V16:V18)</f>
        <v>905</v>
      </c>
      <c r="W19" s="3137">
        <f t="shared" si="48"/>
        <v>4</v>
      </c>
      <c r="X19" s="3138">
        <f t="shared" si="48"/>
        <v>69</v>
      </c>
      <c r="Y19" s="3138">
        <f t="shared" si="48"/>
        <v>825</v>
      </c>
      <c r="Z19" s="3139">
        <f t="shared" si="48"/>
        <v>898</v>
      </c>
      <c r="AA19" s="3137">
        <f t="shared" si="48"/>
        <v>4</v>
      </c>
      <c r="AB19" s="3138">
        <f t="shared" si="48"/>
        <v>58</v>
      </c>
      <c r="AC19" s="3138">
        <f t="shared" si="48"/>
        <v>830</v>
      </c>
      <c r="AD19" s="3139">
        <f t="shared" si="48"/>
        <v>892</v>
      </c>
      <c r="AE19" s="3137">
        <f t="shared" si="48"/>
        <v>3</v>
      </c>
      <c r="AF19" s="3138">
        <f t="shared" si="48"/>
        <v>66</v>
      </c>
      <c r="AG19" s="3138">
        <f t="shared" si="48"/>
        <v>829</v>
      </c>
      <c r="AH19" s="3139">
        <f t="shared" si="48"/>
        <v>898</v>
      </c>
      <c r="AI19" s="3137">
        <f t="shared" si="48"/>
        <v>5</v>
      </c>
      <c r="AJ19" s="3138">
        <f t="shared" si="48"/>
        <v>67</v>
      </c>
      <c r="AK19" s="3138">
        <f t="shared" si="48"/>
        <v>828</v>
      </c>
      <c r="AL19" s="3139">
        <f t="shared" si="48"/>
        <v>900</v>
      </c>
      <c r="AM19" s="3137">
        <f t="shared" si="48"/>
        <v>4</v>
      </c>
      <c r="AN19" s="3138">
        <f t="shared" si="48"/>
        <v>64</v>
      </c>
      <c r="AO19" s="3138">
        <f t="shared" si="48"/>
        <v>831</v>
      </c>
      <c r="AP19" s="3139">
        <f t="shared" si="48"/>
        <v>899</v>
      </c>
      <c r="AQ19" s="3137">
        <f t="shared" si="48"/>
        <v>5</v>
      </c>
      <c r="AR19" s="3138">
        <f t="shared" si="48"/>
        <v>69</v>
      </c>
      <c r="AS19" s="3138">
        <f t="shared" si="48"/>
        <v>832</v>
      </c>
      <c r="AT19" s="3139">
        <f t="shared" si="48"/>
        <v>906</v>
      </c>
      <c r="AU19" s="3137">
        <f t="shared" si="48"/>
        <v>5</v>
      </c>
      <c r="AV19" s="3138">
        <f t="shared" si="48"/>
        <v>77</v>
      </c>
      <c r="AW19" s="3138">
        <f t="shared" si="48"/>
        <v>835</v>
      </c>
      <c r="AX19" s="3139">
        <f t="shared" si="48"/>
        <v>917</v>
      </c>
      <c r="AY19" s="3137">
        <f t="shared" si="48"/>
        <v>4</v>
      </c>
      <c r="AZ19" s="3138">
        <f t="shared" si="48"/>
        <v>66</v>
      </c>
      <c r="BA19" s="3138">
        <f t="shared" si="48"/>
        <v>834</v>
      </c>
      <c r="BB19" s="3139">
        <f t="shared" si="48"/>
        <v>904</v>
      </c>
      <c r="BC19" s="3137">
        <f t="shared" si="48"/>
        <v>5</v>
      </c>
      <c r="BD19" s="3138">
        <f t="shared" si="48"/>
        <v>58</v>
      </c>
      <c r="BE19" s="3138">
        <f t="shared" si="48"/>
        <v>833</v>
      </c>
      <c r="BF19" s="3139">
        <f t="shared" si="48"/>
        <v>896</v>
      </c>
      <c r="BG19" s="3137">
        <f t="shared" si="48"/>
        <v>4</v>
      </c>
      <c r="BH19" s="3138">
        <f t="shared" si="48"/>
        <v>66</v>
      </c>
      <c r="BI19" s="3138">
        <f t="shared" si="48"/>
        <v>820</v>
      </c>
      <c r="BJ19" s="3139">
        <f t="shared" si="48"/>
        <v>890</v>
      </c>
      <c r="BK19" s="3137">
        <f t="shared" si="48"/>
        <v>4</v>
      </c>
      <c r="BL19" s="3138">
        <f t="shared" si="48"/>
        <v>80</v>
      </c>
      <c r="BM19" s="3138">
        <f t="shared" si="48"/>
        <v>809</v>
      </c>
      <c r="BN19" s="3139">
        <f t="shared" si="48"/>
        <v>893</v>
      </c>
      <c r="BO19" s="3137">
        <f t="shared" si="48"/>
        <v>4</v>
      </c>
      <c r="BP19" s="3138">
        <f t="shared" si="48"/>
        <v>74</v>
      </c>
      <c r="BQ19" s="3138">
        <f t="shared" si="48"/>
        <v>787</v>
      </c>
      <c r="BR19" s="3139">
        <f t="shared" si="48"/>
        <v>865</v>
      </c>
      <c r="BS19" s="3137">
        <f t="shared" si="48"/>
        <v>4</v>
      </c>
      <c r="BT19" s="3138">
        <f t="shared" si="48"/>
        <v>75</v>
      </c>
      <c r="BU19" s="3138">
        <f t="shared" si="48"/>
        <v>770</v>
      </c>
      <c r="BV19" s="3139">
        <f t="shared" si="48"/>
        <v>849</v>
      </c>
      <c r="BW19" s="3137">
        <f t="shared" ref="BW19:BZ19" si="49">SUM(BW16:BW18)</f>
        <v>4</v>
      </c>
      <c r="BX19" s="3138">
        <f t="shared" si="49"/>
        <v>70</v>
      </c>
      <c r="BY19" s="3138">
        <f t="shared" si="49"/>
        <v>752</v>
      </c>
      <c r="BZ19" s="3139">
        <f t="shared" si="49"/>
        <v>826</v>
      </c>
      <c r="CA19" s="3137">
        <f t="shared" ref="CA19:CD19" si="50">SUM(CA16:CA18)</f>
        <v>4</v>
      </c>
      <c r="CB19" s="3138">
        <f t="shared" si="50"/>
        <v>74</v>
      </c>
      <c r="CC19" s="3138">
        <f t="shared" si="50"/>
        <v>738</v>
      </c>
      <c r="CD19" s="3139">
        <f t="shared" si="50"/>
        <v>816</v>
      </c>
    </row>
    <row r="20" spans="1:84" x14ac:dyDescent="0.25">
      <c r="A20" s="3099"/>
      <c r="B20" s="3104"/>
      <c r="C20" s="3122"/>
      <c r="D20" s="3122"/>
      <c r="E20" s="3122"/>
      <c r="F20" s="3122"/>
      <c r="G20" s="3122"/>
      <c r="H20" s="3122"/>
      <c r="I20" s="3122"/>
      <c r="J20" s="3122"/>
      <c r="K20" s="3122"/>
      <c r="L20" s="3122"/>
      <c r="M20" s="3122"/>
      <c r="N20" s="3122"/>
      <c r="O20" s="3122"/>
      <c r="P20" s="3122"/>
      <c r="Q20" s="3122"/>
      <c r="R20" s="3122"/>
      <c r="S20" s="3122"/>
      <c r="T20" s="3122"/>
      <c r="U20" s="3122"/>
      <c r="V20" s="3122"/>
      <c r="W20" s="3122"/>
      <c r="X20" s="3122"/>
      <c r="Y20" s="3122"/>
      <c r="Z20" s="3122"/>
      <c r="AA20" s="3122"/>
      <c r="AB20" s="3122"/>
      <c r="AC20" s="3122"/>
      <c r="AD20" s="3122"/>
      <c r="AE20" s="3122"/>
      <c r="AF20" s="3122"/>
      <c r="AG20" s="3122"/>
      <c r="AH20" s="3122"/>
      <c r="AI20" s="3122"/>
      <c r="AJ20" s="3122"/>
      <c r="AK20" s="3122"/>
      <c r="AL20" s="3122"/>
      <c r="AM20" s="3122"/>
      <c r="AN20" s="3122"/>
      <c r="AO20" s="3122"/>
      <c r="AP20" s="3122"/>
      <c r="AQ20" s="3122"/>
      <c r="AR20" s="3122"/>
      <c r="AS20" s="3122"/>
      <c r="AT20" s="3122"/>
      <c r="AU20" s="3122"/>
      <c r="AV20" s="3122"/>
      <c r="AW20" s="3122"/>
      <c r="AX20" s="3122"/>
      <c r="AY20" s="3122"/>
      <c r="AZ20" s="3122"/>
      <c r="BA20" s="3122"/>
      <c r="BB20" s="3122"/>
      <c r="BC20" s="3122"/>
      <c r="BD20" s="3122"/>
      <c r="BE20" s="3122"/>
      <c r="BF20" s="3122"/>
      <c r="BG20" s="3122"/>
      <c r="BH20" s="3122"/>
      <c r="BI20" s="3122"/>
      <c r="BJ20" s="3122"/>
      <c r="BK20" s="3122"/>
      <c r="BL20" s="3122"/>
      <c r="BM20" s="3122"/>
      <c r="BN20" s="3122"/>
      <c r="BO20" s="3122"/>
      <c r="BP20" s="3122"/>
      <c r="BQ20" s="3122"/>
      <c r="BR20" s="3122"/>
      <c r="BS20" s="3122"/>
      <c r="BT20" s="3122"/>
      <c r="BU20" s="3122"/>
      <c r="BV20" s="3122"/>
      <c r="BW20" s="3122"/>
      <c r="BX20" s="3122"/>
      <c r="BY20" s="3122"/>
      <c r="BZ20" s="3122"/>
      <c r="CA20" s="3122"/>
      <c r="CB20" s="3122"/>
      <c r="CC20" s="3122"/>
      <c r="CD20" s="3122"/>
    </row>
    <row r="21" spans="1:84" ht="18" customHeight="1" x14ac:dyDescent="0.25">
      <c r="A21" s="3099"/>
      <c r="B21" s="3105" t="s">
        <v>59</v>
      </c>
      <c r="C21" s="3123"/>
      <c r="D21" s="3124"/>
      <c r="E21" s="3124"/>
      <c r="F21" s="3125"/>
      <c r="G21" s="3123"/>
      <c r="H21" s="3124"/>
      <c r="I21" s="3124"/>
      <c r="J21" s="3125"/>
      <c r="K21" s="3123"/>
      <c r="L21" s="3124"/>
      <c r="M21" s="3124"/>
      <c r="N21" s="3125"/>
      <c r="O21" s="3123"/>
      <c r="P21" s="3124"/>
      <c r="Q21" s="3124"/>
      <c r="R21" s="3125"/>
      <c r="S21" s="3106"/>
      <c r="T21" s="3107"/>
      <c r="U21" s="3107"/>
      <c r="V21" s="3108"/>
      <c r="W21" s="3106"/>
      <c r="X21" s="3107"/>
      <c r="Y21" s="3107"/>
      <c r="Z21" s="3108"/>
      <c r="AA21" s="3106"/>
      <c r="AB21" s="3107"/>
      <c r="AC21" s="3107"/>
      <c r="AD21" s="3108"/>
      <c r="AE21" s="3106"/>
      <c r="AF21" s="3107"/>
      <c r="AG21" s="3107">
        <v>3</v>
      </c>
      <c r="AH21" s="3108">
        <v>3</v>
      </c>
      <c r="AI21" s="3106"/>
      <c r="AJ21" s="3107"/>
      <c r="AK21" s="3107">
        <v>4</v>
      </c>
      <c r="AL21" s="3108">
        <f>SUM(AI21:AK21)</f>
        <v>4</v>
      </c>
      <c r="AM21" s="3106"/>
      <c r="AN21" s="3107"/>
      <c r="AO21" s="3107">
        <v>7</v>
      </c>
      <c r="AP21" s="3108">
        <f>SUM(AM21:AO21)</f>
        <v>7</v>
      </c>
      <c r="AQ21" s="3106"/>
      <c r="AR21" s="3107">
        <f>SUM(AR56,AR91,AR126)</f>
        <v>1</v>
      </c>
      <c r="AS21" s="3107">
        <f>SUM(AS56,AS91,AS126)</f>
        <v>7</v>
      </c>
      <c r="AT21" s="3108">
        <f>SUM(AQ21:AS21)</f>
        <v>8</v>
      </c>
      <c r="AU21" s="3107"/>
      <c r="AV21" s="3107">
        <f t="shared" ref="AV21:AW23" si="51">SUM(AV56,AV91,AV126)</f>
        <v>1</v>
      </c>
      <c r="AW21" s="3107">
        <f t="shared" si="51"/>
        <v>9</v>
      </c>
      <c r="AX21" s="3108">
        <f>SUM(AU21:AW21)</f>
        <v>10</v>
      </c>
      <c r="AY21" s="3107"/>
      <c r="AZ21" s="3107">
        <f t="shared" ref="AZ21:BA23" si="52">SUM(AZ56,AZ91,AZ126)</f>
        <v>4</v>
      </c>
      <c r="BA21" s="3107">
        <f t="shared" si="52"/>
        <v>11</v>
      </c>
      <c r="BB21" s="3108">
        <f>SUM(AY21:BA21)</f>
        <v>15</v>
      </c>
      <c r="BC21" s="3107"/>
      <c r="BD21" s="3107">
        <f t="shared" ref="BD21:BE23" si="53">SUM(BD56,BD91,BD126)</f>
        <v>3</v>
      </c>
      <c r="BE21" s="3107">
        <f t="shared" si="53"/>
        <v>13</v>
      </c>
      <c r="BF21" s="3108">
        <f>SUM(BC21:BE21)</f>
        <v>16</v>
      </c>
      <c r="BG21" s="3107"/>
      <c r="BH21" s="3107">
        <f t="shared" ref="BH21:BI23" si="54">SUM(BH56,BH91,BH126)</f>
        <v>3</v>
      </c>
      <c r="BI21" s="3107">
        <f t="shared" si="54"/>
        <v>16</v>
      </c>
      <c r="BJ21" s="3108">
        <f>SUM(BG21:BI21)</f>
        <v>19</v>
      </c>
      <c r="BK21" s="3107">
        <f t="shared" ref="BK21:BM23" si="55">SUM(BK56,BK91,BK126)</f>
        <v>0</v>
      </c>
      <c r="BL21" s="3107">
        <f t="shared" si="55"/>
        <v>3</v>
      </c>
      <c r="BM21" s="3107">
        <f t="shared" si="55"/>
        <v>18</v>
      </c>
      <c r="BN21" s="3108">
        <f>SUM(BK21:BM21)</f>
        <v>21</v>
      </c>
      <c r="BO21" s="3107">
        <f t="shared" ref="BO21:BQ23" si="56">SUM(BO56,BO91,BO126)</f>
        <v>0</v>
      </c>
      <c r="BP21" s="3107">
        <f t="shared" si="56"/>
        <v>6</v>
      </c>
      <c r="BQ21" s="3107">
        <f t="shared" si="56"/>
        <v>17</v>
      </c>
      <c r="BR21" s="3108">
        <f>SUM(BO21:BQ21)</f>
        <v>23</v>
      </c>
      <c r="BS21" s="3107">
        <f t="shared" ref="BS21:BU23" si="57">SUM(BS56,BS91,BS126)</f>
        <v>0</v>
      </c>
      <c r="BT21" s="3107">
        <f t="shared" si="57"/>
        <v>4</v>
      </c>
      <c r="BU21" s="3107">
        <f t="shared" si="57"/>
        <v>18</v>
      </c>
      <c r="BV21" s="3108">
        <f>SUM(BS21:BU21)</f>
        <v>22</v>
      </c>
      <c r="BW21" s="3107">
        <f t="shared" ref="BW21:BY21" si="58">SUM(BW56,BW91,BW126)</f>
        <v>0</v>
      </c>
      <c r="BX21" s="3107">
        <f t="shared" si="58"/>
        <v>2</v>
      </c>
      <c r="BY21" s="3107">
        <f t="shared" si="58"/>
        <v>20</v>
      </c>
      <c r="BZ21" s="3108">
        <f>SUM(BW21:BY21)</f>
        <v>22</v>
      </c>
      <c r="CA21" s="3107">
        <f t="shared" ref="CA21:CC21" si="59">SUM(CA56,CA91,CA126)</f>
        <v>0</v>
      </c>
      <c r="CB21" s="3107">
        <f t="shared" si="59"/>
        <v>4</v>
      </c>
      <c r="CC21" s="3107">
        <f t="shared" si="59"/>
        <v>15</v>
      </c>
      <c r="CD21" s="3108">
        <f>SUM(CA21:CC21)</f>
        <v>19</v>
      </c>
      <c r="CF21" s="5186"/>
    </row>
    <row r="22" spans="1:84" ht="18" customHeight="1" x14ac:dyDescent="0.25">
      <c r="A22" s="3099"/>
      <c r="B22" s="3110" t="s">
        <v>64</v>
      </c>
      <c r="C22" s="3126"/>
      <c r="D22" s="3127"/>
      <c r="E22" s="3127"/>
      <c r="F22" s="3128"/>
      <c r="G22" s="3126"/>
      <c r="H22" s="3127"/>
      <c r="I22" s="3127"/>
      <c r="J22" s="3128"/>
      <c r="K22" s="3126"/>
      <c r="L22" s="3127"/>
      <c r="M22" s="3127"/>
      <c r="N22" s="3128"/>
      <c r="O22" s="3126"/>
      <c r="P22" s="3127"/>
      <c r="Q22" s="3127"/>
      <c r="R22" s="3128"/>
      <c r="S22" s="3111"/>
      <c r="T22" s="3112"/>
      <c r="U22" s="3112"/>
      <c r="V22" s="3113"/>
      <c r="W22" s="3111"/>
      <c r="X22" s="3112"/>
      <c r="Y22" s="3112"/>
      <c r="Z22" s="3113"/>
      <c r="AA22" s="3111"/>
      <c r="AB22" s="3112"/>
      <c r="AC22" s="3112"/>
      <c r="AD22" s="3113"/>
      <c r="AE22" s="3111"/>
      <c r="AF22" s="3112"/>
      <c r="AG22" s="3112">
        <v>2</v>
      </c>
      <c r="AH22" s="3113">
        <v>5</v>
      </c>
      <c r="AI22" s="3111"/>
      <c r="AJ22" s="3112"/>
      <c r="AK22" s="3112">
        <v>3</v>
      </c>
      <c r="AL22" s="3113">
        <f>SUM(AI22:AK22)</f>
        <v>3</v>
      </c>
      <c r="AM22" s="3111"/>
      <c r="AN22" s="3112"/>
      <c r="AO22" s="3112">
        <v>6</v>
      </c>
      <c r="AP22" s="3113">
        <f>SUM(AM22:AO22)</f>
        <v>6</v>
      </c>
      <c r="AQ22" s="3111"/>
      <c r="AR22" s="3112">
        <f>SUM(AR57,AR92,AR127)</f>
        <v>1</v>
      </c>
      <c r="AS22" s="3112">
        <f>SUM(AS57,AS92,AS127)</f>
        <v>6</v>
      </c>
      <c r="AT22" s="3113">
        <f>SUM(AQ22:AS22)</f>
        <v>7</v>
      </c>
      <c r="AU22" s="3112"/>
      <c r="AV22" s="3112">
        <f t="shared" si="51"/>
        <v>6</v>
      </c>
      <c r="AW22" s="3112">
        <f t="shared" si="51"/>
        <v>7</v>
      </c>
      <c r="AX22" s="3113">
        <f>SUM(AU22:AW22)</f>
        <v>13</v>
      </c>
      <c r="AY22" s="3112"/>
      <c r="AZ22" s="3112">
        <f t="shared" si="52"/>
        <v>4</v>
      </c>
      <c r="BA22" s="3112">
        <f t="shared" si="52"/>
        <v>9</v>
      </c>
      <c r="BB22" s="3113">
        <f>SUM(AY22:BA22)</f>
        <v>13</v>
      </c>
      <c r="BC22" s="3112"/>
      <c r="BD22" s="3112">
        <f t="shared" si="53"/>
        <v>5</v>
      </c>
      <c r="BE22" s="3112">
        <f t="shared" si="53"/>
        <v>16</v>
      </c>
      <c r="BF22" s="3113">
        <f>SUM(BC22:BE22)</f>
        <v>21</v>
      </c>
      <c r="BG22" s="3112"/>
      <c r="BH22" s="3112">
        <f t="shared" si="54"/>
        <v>8</v>
      </c>
      <c r="BI22" s="3112">
        <f t="shared" si="54"/>
        <v>21</v>
      </c>
      <c r="BJ22" s="3113">
        <f>SUM(BG22:BI22)</f>
        <v>29</v>
      </c>
      <c r="BK22" s="3112">
        <f t="shared" si="55"/>
        <v>0</v>
      </c>
      <c r="BL22" s="3112">
        <f t="shared" si="55"/>
        <v>7</v>
      </c>
      <c r="BM22" s="3112">
        <f t="shared" si="55"/>
        <v>25</v>
      </c>
      <c r="BN22" s="3113">
        <f>SUM(BK22:BM22)</f>
        <v>32</v>
      </c>
      <c r="BO22" s="3112">
        <f t="shared" si="56"/>
        <v>0</v>
      </c>
      <c r="BP22" s="3112">
        <f t="shared" si="56"/>
        <v>5</v>
      </c>
      <c r="BQ22" s="3112">
        <f t="shared" si="56"/>
        <v>25</v>
      </c>
      <c r="BR22" s="3113">
        <f>SUM(BO22:BQ22)</f>
        <v>30</v>
      </c>
      <c r="BS22" s="3112">
        <f t="shared" si="57"/>
        <v>0</v>
      </c>
      <c r="BT22" s="3112">
        <f t="shared" si="57"/>
        <v>4</v>
      </c>
      <c r="BU22" s="3112">
        <f t="shared" si="57"/>
        <v>27</v>
      </c>
      <c r="BV22" s="3113">
        <f>SUM(BS22:BU22)</f>
        <v>31</v>
      </c>
      <c r="BW22" s="3112">
        <f t="shared" ref="BW22:BY22" si="60">SUM(BW57,BW92,BW127)</f>
        <v>0</v>
      </c>
      <c r="BX22" s="3112">
        <f t="shared" si="60"/>
        <v>5</v>
      </c>
      <c r="BY22" s="3112">
        <f t="shared" si="60"/>
        <v>26</v>
      </c>
      <c r="BZ22" s="3113">
        <f>SUM(BW22:BY22)</f>
        <v>31</v>
      </c>
      <c r="CA22" s="3112">
        <f t="shared" ref="CA22:CC22" si="61">SUM(CA57,CA92,CA127)</f>
        <v>0</v>
      </c>
      <c r="CB22" s="3112">
        <f t="shared" si="61"/>
        <v>4</v>
      </c>
      <c r="CC22" s="3112">
        <f t="shared" si="61"/>
        <v>26</v>
      </c>
      <c r="CD22" s="3113">
        <f>SUM(CA22:CC22)</f>
        <v>30</v>
      </c>
      <c r="CF22" s="5186"/>
    </row>
    <row r="23" spans="1:84" ht="18" customHeight="1" x14ac:dyDescent="0.25">
      <c r="A23" s="3099"/>
      <c r="B23" s="3110" t="s">
        <v>92</v>
      </c>
      <c r="C23" s="3140"/>
      <c r="D23" s="3141"/>
      <c r="E23" s="3141"/>
      <c r="F23" s="3142"/>
      <c r="G23" s="3140"/>
      <c r="H23" s="3141"/>
      <c r="I23" s="3141"/>
      <c r="J23" s="3142"/>
      <c r="K23" s="3140"/>
      <c r="L23" s="3141"/>
      <c r="M23" s="3141"/>
      <c r="N23" s="3142"/>
      <c r="O23" s="3140"/>
      <c r="P23" s="3141"/>
      <c r="Q23" s="3141"/>
      <c r="R23" s="3142"/>
      <c r="S23" s="3143"/>
      <c r="T23" s="3116"/>
      <c r="U23" s="3116"/>
      <c r="V23" s="3117"/>
      <c r="W23" s="3143"/>
      <c r="X23" s="3116"/>
      <c r="Y23" s="3116"/>
      <c r="Z23" s="3117"/>
      <c r="AA23" s="3143"/>
      <c r="AB23" s="3116"/>
      <c r="AC23" s="3116">
        <v>1</v>
      </c>
      <c r="AD23" s="3117">
        <f>SUM(AC23)</f>
        <v>1</v>
      </c>
      <c r="AE23" s="3111"/>
      <c r="AF23" s="3112"/>
      <c r="AG23" s="3112">
        <v>5</v>
      </c>
      <c r="AH23" s="3113">
        <v>2</v>
      </c>
      <c r="AI23" s="3111"/>
      <c r="AJ23" s="3112"/>
      <c r="AK23" s="3112">
        <v>6</v>
      </c>
      <c r="AL23" s="3117">
        <f>SUM(AI23:AK23)</f>
        <v>6</v>
      </c>
      <c r="AM23" s="3111"/>
      <c r="AN23" s="3112"/>
      <c r="AO23" s="3112">
        <v>9</v>
      </c>
      <c r="AP23" s="3117">
        <f>SUM(AM23:AO23)</f>
        <v>9</v>
      </c>
      <c r="AQ23" s="3111"/>
      <c r="AR23" s="3112"/>
      <c r="AS23" s="3112">
        <f>SUM(AS58,AS93,AS128)</f>
        <v>13</v>
      </c>
      <c r="AT23" s="3117">
        <f>SUM(AQ23:AS23)</f>
        <v>13</v>
      </c>
      <c r="AU23" s="3116"/>
      <c r="AV23" s="3116"/>
      <c r="AW23" s="3116">
        <f t="shared" si="51"/>
        <v>13</v>
      </c>
      <c r="AX23" s="3117">
        <f>SUM(AU23:AW23)</f>
        <v>13</v>
      </c>
      <c r="AY23" s="3116"/>
      <c r="AZ23" s="3116">
        <f t="shared" si="52"/>
        <v>1</v>
      </c>
      <c r="BA23" s="3116">
        <f t="shared" si="52"/>
        <v>13</v>
      </c>
      <c r="BB23" s="3117">
        <f>SUM(AY23:BA23)</f>
        <v>14</v>
      </c>
      <c r="BC23" s="3116"/>
      <c r="BD23" s="3116">
        <f t="shared" si="53"/>
        <v>2</v>
      </c>
      <c r="BE23" s="3116">
        <f t="shared" si="53"/>
        <v>16</v>
      </c>
      <c r="BF23" s="3117">
        <f>SUM(BC23:BE23)</f>
        <v>18</v>
      </c>
      <c r="BG23" s="3116"/>
      <c r="BH23" s="3116">
        <f t="shared" si="54"/>
        <v>2</v>
      </c>
      <c r="BI23" s="3116">
        <f t="shared" si="54"/>
        <v>18</v>
      </c>
      <c r="BJ23" s="3117">
        <f>SUM(BG23:BI23)</f>
        <v>20</v>
      </c>
      <c r="BK23" s="3116">
        <f t="shared" si="55"/>
        <v>0</v>
      </c>
      <c r="BL23" s="3116">
        <f t="shared" si="55"/>
        <v>1</v>
      </c>
      <c r="BM23" s="3116">
        <f t="shared" si="55"/>
        <v>19</v>
      </c>
      <c r="BN23" s="3117">
        <f>SUM(BK23:BM23)</f>
        <v>20</v>
      </c>
      <c r="BO23" s="3116">
        <f t="shared" si="56"/>
        <v>0</v>
      </c>
      <c r="BP23" s="3116">
        <f t="shared" si="56"/>
        <v>0</v>
      </c>
      <c r="BQ23" s="3116">
        <f t="shared" si="56"/>
        <v>21</v>
      </c>
      <c r="BR23" s="3117">
        <f>SUM(BO23:BQ23)</f>
        <v>21</v>
      </c>
      <c r="BS23" s="3116">
        <f t="shared" si="57"/>
        <v>0</v>
      </c>
      <c r="BT23" s="3116">
        <f t="shared" si="57"/>
        <v>0</v>
      </c>
      <c r="BU23" s="3116">
        <f t="shared" si="57"/>
        <v>22</v>
      </c>
      <c r="BV23" s="3117">
        <f>SUM(BS23:BU23)</f>
        <v>22</v>
      </c>
      <c r="BW23" s="3116">
        <f t="shared" ref="BW23:BY23" si="62">SUM(BW58,BW93,BW128)</f>
        <v>0</v>
      </c>
      <c r="BX23" s="3116">
        <f t="shared" si="62"/>
        <v>0</v>
      </c>
      <c r="BY23" s="3116">
        <f t="shared" si="62"/>
        <v>21</v>
      </c>
      <c r="BZ23" s="3117">
        <f>SUM(BW23:BY23)</f>
        <v>21</v>
      </c>
      <c r="CA23" s="3116">
        <f t="shared" ref="CA23:CC23" si="63">SUM(CA58,CA93,CA128)</f>
        <v>0</v>
      </c>
      <c r="CB23" s="3116">
        <f t="shared" si="63"/>
        <v>3</v>
      </c>
      <c r="CC23" s="3116">
        <f t="shared" si="63"/>
        <v>18</v>
      </c>
      <c r="CD23" s="3117">
        <f>SUM(CA23:CC23)</f>
        <v>21</v>
      </c>
      <c r="CF23" s="5186"/>
    </row>
    <row r="24" spans="1:84" ht="18" customHeight="1" x14ac:dyDescent="0.25">
      <c r="A24" s="3099"/>
      <c r="B24" s="3144" t="s">
        <v>136</v>
      </c>
      <c r="C24" s="3145"/>
      <c r="D24" s="3146"/>
      <c r="E24" s="3146"/>
      <c r="F24" s="3147"/>
      <c r="G24" s="3145"/>
      <c r="H24" s="3146"/>
      <c r="I24" s="3146"/>
      <c r="J24" s="3147"/>
      <c r="K24" s="3145"/>
      <c r="L24" s="3146"/>
      <c r="M24" s="3146"/>
      <c r="N24" s="3146"/>
      <c r="O24" s="3145"/>
      <c r="P24" s="3146"/>
      <c r="Q24" s="3146"/>
      <c r="R24" s="3147"/>
      <c r="S24" s="3148"/>
      <c r="T24" s="3148"/>
      <c r="U24" s="3148"/>
      <c r="V24" s="3149"/>
      <c r="W24" s="3150"/>
      <c r="X24" s="3148"/>
      <c r="Y24" s="3148"/>
      <c r="Z24" s="3149"/>
      <c r="AA24" s="3150"/>
      <c r="AB24" s="3148"/>
      <c r="AC24" s="3148">
        <f>SUM(AC21:AC23)</f>
        <v>1</v>
      </c>
      <c r="AD24" s="3149">
        <f>SUM(AD21:AD23)</f>
        <v>1</v>
      </c>
      <c r="AE24" s="3150"/>
      <c r="AF24" s="3148"/>
      <c r="AG24" s="3148">
        <f>SUM(AG21:AG23)</f>
        <v>10</v>
      </c>
      <c r="AH24" s="3149">
        <f>SUM(AH21:AH23)</f>
        <v>10</v>
      </c>
      <c r="AI24" s="3150"/>
      <c r="AJ24" s="3148"/>
      <c r="AK24" s="3148">
        <f>SUM(AK21:AK23)</f>
        <v>13</v>
      </c>
      <c r="AL24" s="3149">
        <f>SUM(AL21:AL23)</f>
        <v>13</v>
      </c>
      <c r="AM24" s="3150"/>
      <c r="AN24" s="3148"/>
      <c r="AO24" s="3148">
        <f>SUM(AO21:AO23)</f>
        <v>22</v>
      </c>
      <c r="AP24" s="3149">
        <f>SUM(AP21:AP23)</f>
        <v>22</v>
      </c>
      <c r="AQ24" s="3150"/>
      <c r="AR24" s="3148">
        <f>SUM(AR21:AR23)</f>
        <v>2</v>
      </c>
      <c r="AS24" s="3148">
        <f>SUM(AS21:AS23)</f>
        <v>26</v>
      </c>
      <c r="AT24" s="3149">
        <f>SUM(AT21:AT23)</f>
        <v>28</v>
      </c>
      <c r="AU24" s="3150"/>
      <c r="AV24" s="3148">
        <f>SUM(AV21:AV23)</f>
        <v>7</v>
      </c>
      <c r="AW24" s="3148">
        <f>SUM(AW21:AW23)</f>
        <v>29</v>
      </c>
      <c r="AX24" s="3149">
        <f>SUM(AX21:AX23)</f>
        <v>36</v>
      </c>
      <c r="AY24" s="3150"/>
      <c r="AZ24" s="3148">
        <f>SUM(AZ21:AZ23)</f>
        <v>9</v>
      </c>
      <c r="BA24" s="3148">
        <f>SUM(BA21:BA23)</f>
        <v>33</v>
      </c>
      <c r="BB24" s="3149">
        <f>SUM(BB21:BB23)</f>
        <v>42</v>
      </c>
      <c r="BC24" s="3150"/>
      <c r="BD24" s="3148">
        <f>SUM(BD21:BD23)</f>
        <v>10</v>
      </c>
      <c r="BE24" s="3148">
        <f>SUM(BE21:BE23)</f>
        <v>45</v>
      </c>
      <c r="BF24" s="3149">
        <f>SUM(BF21:BF23)</f>
        <v>55</v>
      </c>
      <c r="BG24" s="3150"/>
      <c r="BH24" s="3148">
        <f>SUM(BH21:BH23)</f>
        <v>13</v>
      </c>
      <c r="BI24" s="3148">
        <f>SUM(BI21:BI23)</f>
        <v>55</v>
      </c>
      <c r="BJ24" s="3149">
        <f>SUM(BJ21:BJ23)</f>
        <v>68</v>
      </c>
      <c r="BK24" s="3150"/>
      <c r="BL24" s="3148">
        <f>SUM(BL21:BL23)</f>
        <v>11</v>
      </c>
      <c r="BM24" s="3148">
        <f>SUM(BM21:BM23)</f>
        <v>62</v>
      </c>
      <c r="BN24" s="3149">
        <f>SUM(BN21:BN23)</f>
        <v>73</v>
      </c>
      <c r="BO24" s="3150">
        <v>0</v>
      </c>
      <c r="BP24" s="3148">
        <f>SUM(BP21:BP23)</f>
        <v>11</v>
      </c>
      <c r="BQ24" s="3148">
        <f>SUM(BQ21:BQ23)</f>
        <v>63</v>
      </c>
      <c r="BR24" s="3149">
        <f>SUM(BR21:BR23)</f>
        <v>74</v>
      </c>
      <c r="BS24" s="3150">
        <v>0</v>
      </c>
      <c r="BT24" s="3148">
        <f>SUM(BT21:BT23)</f>
        <v>8</v>
      </c>
      <c r="BU24" s="3148">
        <f>SUM(BU21:BU23)</f>
        <v>67</v>
      </c>
      <c r="BV24" s="3149">
        <f>SUM(BV21:BV23)</f>
        <v>75</v>
      </c>
      <c r="BW24" s="3150">
        <v>0</v>
      </c>
      <c r="BX24" s="3148">
        <f>SUM(BX21:BX23)</f>
        <v>7</v>
      </c>
      <c r="BY24" s="3148">
        <f>SUM(BY21:BY23)</f>
        <v>67</v>
      </c>
      <c r="BZ24" s="3149">
        <f>SUM(BZ21:BZ23)</f>
        <v>74</v>
      </c>
      <c r="CA24" s="3150">
        <v>0</v>
      </c>
      <c r="CB24" s="3148">
        <f>SUM(CB21:CB23)</f>
        <v>11</v>
      </c>
      <c r="CC24" s="3148">
        <f>SUM(CC21:CC23)</f>
        <v>59</v>
      </c>
      <c r="CD24" s="3149">
        <f>SUM(CD21:CD23)</f>
        <v>70</v>
      </c>
      <c r="CF24" s="5186"/>
    </row>
    <row r="25" spans="1:84" ht="18" customHeight="1" x14ac:dyDescent="0.25">
      <c r="A25" s="3099"/>
      <c r="B25" s="3104"/>
      <c r="C25" s="3122"/>
      <c r="D25" s="3122"/>
      <c r="E25" s="3122"/>
      <c r="F25" s="3122"/>
      <c r="G25" s="3122"/>
      <c r="H25" s="3122"/>
      <c r="I25" s="3122"/>
      <c r="J25" s="3122"/>
      <c r="K25" s="3122"/>
      <c r="L25" s="3122"/>
      <c r="M25" s="3122"/>
      <c r="N25" s="3122"/>
      <c r="O25" s="3122"/>
      <c r="P25" s="3122"/>
      <c r="Q25" s="3122"/>
      <c r="R25" s="3122"/>
      <c r="S25" s="3122"/>
      <c r="T25" s="3122"/>
      <c r="U25" s="3122"/>
      <c r="V25" s="3122"/>
      <c r="W25" s="3122"/>
      <c r="X25" s="3122"/>
      <c r="Y25" s="3122"/>
      <c r="Z25" s="3122"/>
      <c r="AA25" s="3122"/>
      <c r="AB25" s="3122"/>
      <c r="AC25" s="3122"/>
      <c r="AD25" s="3122"/>
      <c r="AE25" s="3122"/>
      <c r="AF25" s="3122"/>
      <c r="AG25" s="3122"/>
      <c r="AH25" s="3122"/>
      <c r="AI25" s="3122"/>
      <c r="AJ25" s="3122"/>
      <c r="AK25" s="3122"/>
      <c r="AL25" s="3122"/>
      <c r="AM25" s="3122"/>
      <c r="AN25" s="3122"/>
      <c r="AO25" s="3122"/>
      <c r="AP25" s="3122"/>
      <c r="AQ25" s="3122"/>
      <c r="AR25" s="3122"/>
      <c r="AS25" s="3122"/>
      <c r="AT25" s="3122"/>
      <c r="AU25" s="3122"/>
      <c r="AV25" s="3122"/>
      <c r="AW25" s="3122"/>
      <c r="AX25" s="3122"/>
      <c r="AY25" s="3122"/>
      <c r="AZ25" s="3122"/>
      <c r="BA25" s="3122"/>
      <c r="BB25" s="3122"/>
      <c r="BC25" s="3122"/>
      <c r="BD25" s="3122"/>
      <c r="BE25" s="3122"/>
      <c r="BF25" s="3122"/>
      <c r="BG25" s="3122"/>
      <c r="BH25" s="3122"/>
      <c r="BI25" s="3122"/>
      <c r="BJ25" s="3122"/>
      <c r="BK25" s="3122"/>
      <c r="BL25" s="3122"/>
      <c r="BM25" s="3122"/>
      <c r="BN25" s="3122"/>
      <c r="BO25" s="3122"/>
      <c r="BP25" s="3122"/>
      <c r="BQ25" s="3122"/>
      <c r="BR25" s="3122"/>
      <c r="BS25" s="3122"/>
      <c r="BT25" s="3122"/>
      <c r="BU25" s="3122"/>
      <c r="BV25" s="3122"/>
      <c r="BW25" s="3122"/>
      <c r="BX25" s="3122"/>
      <c r="BY25" s="3122"/>
      <c r="BZ25" s="3122"/>
      <c r="CA25" s="3122"/>
      <c r="CB25" s="3122"/>
      <c r="CC25" s="3122"/>
      <c r="CD25" s="3122"/>
      <c r="CF25" s="5186"/>
    </row>
    <row r="26" spans="1:84" ht="18" customHeight="1" x14ac:dyDescent="0.25">
      <c r="A26" s="3099"/>
      <c r="B26" s="3105" t="s">
        <v>64</v>
      </c>
      <c r="C26" s="3106">
        <v>1</v>
      </c>
      <c r="D26" s="3107">
        <v>37</v>
      </c>
      <c r="E26" s="3107">
        <v>351</v>
      </c>
      <c r="F26" s="3108">
        <v>389</v>
      </c>
      <c r="G26" s="3123"/>
      <c r="H26" s="3107">
        <v>26</v>
      </c>
      <c r="I26" s="3107">
        <v>358</v>
      </c>
      <c r="J26" s="3108">
        <v>384</v>
      </c>
      <c r="K26" s="3106">
        <v>2</v>
      </c>
      <c r="L26" s="3107">
        <v>29</v>
      </c>
      <c r="M26" s="3107">
        <v>356</v>
      </c>
      <c r="N26" s="3108">
        <v>387</v>
      </c>
      <c r="O26" s="3106">
        <v>1</v>
      </c>
      <c r="P26" s="3107">
        <v>35</v>
      </c>
      <c r="Q26" s="3107">
        <v>350</v>
      </c>
      <c r="R26" s="3108">
        <v>386</v>
      </c>
      <c r="S26" s="3106">
        <v>1</v>
      </c>
      <c r="T26" s="3107">
        <v>30</v>
      </c>
      <c r="U26" s="3107">
        <v>337</v>
      </c>
      <c r="V26" s="3108">
        <v>368</v>
      </c>
      <c r="W26" s="3106">
        <v>1</v>
      </c>
      <c r="X26" s="3107">
        <v>42</v>
      </c>
      <c r="Y26" s="3107">
        <v>333</v>
      </c>
      <c r="Z26" s="3108">
        <f>SUM(W26:Y26)</f>
        <v>376</v>
      </c>
      <c r="AA26" s="3106">
        <v>2</v>
      </c>
      <c r="AB26" s="3107">
        <v>48</v>
      </c>
      <c r="AC26" s="3107">
        <v>333</v>
      </c>
      <c r="AD26" s="3108">
        <f>SUM(AA26:AC26)</f>
        <v>383</v>
      </c>
      <c r="AE26" s="3106">
        <v>2</v>
      </c>
      <c r="AF26" s="3107">
        <v>56</v>
      </c>
      <c r="AG26" s="3107">
        <v>332</v>
      </c>
      <c r="AH26" s="3108">
        <v>390</v>
      </c>
      <c r="AI26" s="3106">
        <v>4</v>
      </c>
      <c r="AJ26" s="3107">
        <v>59</v>
      </c>
      <c r="AK26" s="3107">
        <v>340</v>
      </c>
      <c r="AL26" s="3108">
        <f>SUM(AI26:AK26)</f>
        <v>403</v>
      </c>
      <c r="AM26" s="3106">
        <v>4</v>
      </c>
      <c r="AN26" s="3107">
        <v>53</v>
      </c>
      <c r="AO26" s="3107">
        <v>346</v>
      </c>
      <c r="AP26" s="3108">
        <f>SUM(AM26:AO26)</f>
        <v>403</v>
      </c>
      <c r="AQ26" s="3106">
        <f>SUM(AQ61,AQ96,AQ131)</f>
        <v>3</v>
      </c>
      <c r="AR26" s="3107">
        <f>SUM(AR61,AR96,AR131)</f>
        <v>48</v>
      </c>
      <c r="AS26" s="3107">
        <f>SUM(AS61,AS96,AS131)</f>
        <v>348</v>
      </c>
      <c r="AT26" s="3108">
        <f>SUM(AQ26:AS26)</f>
        <v>399</v>
      </c>
      <c r="AU26" s="3107">
        <f t="shared" ref="AU26:AW28" si="64">SUM(AU61,AU96,AU131)</f>
        <v>3</v>
      </c>
      <c r="AV26" s="3107">
        <f t="shared" si="64"/>
        <v>48</v>
      </c>
      <c r="AW26" s="3107">
        <f t="shared" si="64"/>
        <v>347</v>
      </c>
      <c r="AX26" s="3108">
        <f>SUM(AU26:AW26)</f>
        <v>398</v>
      </c>
      <c r="AY26" s="3107">
        <f t="shared" ref="AY26:BA28" si="65">SUM(AY61,AY96,AY131)</f>
        <v>3</v>
      </c>
      <c r="AZ26" s="3107">
        <f t="shared" si="65"/>
        <v>46</v>
      </c>
      <c r="BA26" s="3107">
        <f t="shared" si="65"/>
        <v>344</v>
      </c>
      <c r="BB26" s="3108">
        <f>SUM(AY26:BA26)</f>
        <v>393</v>
      </c>
      <c r="BC26" s="3107">
        <f t="shared" ref="BC26:BE28" si="66">SUM(BC61,BC96,BC131)</f>
        <v>1</v>
      </c>
      <c r="BD26" s="3107">
        <f t="shared" si="66"/>
        <v>47</v>
      </c>
      <c r="BE26" s="3107">
        <f t="shared" si="66"/>
        <v>340</v>
      </c>
      <c r="BF26" s="3108">
        <f>SUM(BC26:BE26)</f>
        <v>388</v>
      </c>
      <c r="BG26" s="3107">
        <f>SUM(BG61,BG96,BG131)</f>
        <v>1</v>
      </c>
      <c r="BH26" s="3107">
        <f>SUM(BH61,BH96,BH131)</f>
        <v>53</v>
      </c>
      <c r="BI26" s="3107">
        <f>SUM(BI61,BI96,BI131)</f>
        <v>334</v>
      </c>
      <c r="BJ26" s="3108">
        <f>SUM(BG26:BI26)</f>
        <v>388</v>
      </c>
      <c r="BK26" s="3107">
        <f t="shared" ref="BK26:BM28" si="67">SUM(BK61,BK96,BK131)</f>
        <v>1</v>
      </c>
      <c r="BL26" s="3107">
        <f t="shared" si="67"/>
        <v>54</v>
      </c>
      <c r="BM26" s="3107">
        <f t="shared" si="67"/>
        <v>338</v>
      </c>
      <c r="BN26" s="3108">
        <f>SUM(BK26:BM26)</f>
        <v>393</v>
      </c>
      <c r="BO26" s="3107">
        <f t="shared" ref="BO26:BQ28" si="68">SUM(BO61,BO96,BO131)</f>
        <v>2</v>
      </c>
      <c r="BP26" s="3107">
        <f t="shared" si="68"/>
        <v>53</v>
      </c>
      <c r="BQ26" s="3107">
        <f t="shared" si="68"/>
        <v>323</v>
      </c>
      <c r="BR26" s="3108">
        <f>SUM(BO26:BQ26)</f>
        <v>378</v>
      </c>
      <c r="BS26" s="3107">
        <f t="shared" ref="BS26:BU28" si="69">SUM(BS61,BS96,BS131)</f>
        <v>2</v>
      </c>
      <c r="BT26" s="3107">
        <f t="shared" si="69"/>
        <v>54</v>
      </c>
      <c r="BU26" s="3107">
        <f t="shared" si="69"/>
        <v>315</v>
      </c>
      <c r="BV26" s="3108">
        <f>SUM(BS26:BU26)</f>
        <v>371</v>
      </c>
      <c r="BW26" s="3107">
        <f t="shared" ref="BW26:BY26" si="70">SUM(BW61,BW96,BW131)</f>
        <v>1</v>
      </c>
      <c r="BX26" s="3107">
        <f t="shared" si="70"/>
        <v>48</v>
      </c>
      <c r="BY26" s="3107">
        <f t="shared" si="70"/>
        <v>314</v>
      </c>
      <c r="BZ26" s="3108">
        <f>SUM(BW26:BY26)</f>
        <v>363</v>
      </c>
      <c r="CA26" s="3107">
        <f t="shared" ref="CA26:CC26" si="71">SUM(CA61,CA96,CA131)</f>
        <v>2</v>
      </c>
      <c r="CB26" s="3107">
        <f t="shared" si="71"/>
        <v>46</v>
      </c>
      <c r="CC26" s="3107">
        <f t="shared" si="71"/>
        <v>309</v>
      </c>
      <c r="CD26" s="3108">
        <f>SUM(CA26:CC26)</f>
        <v>357</v>
      </c>
      <c r="CF26" s="5187"/>
    </row>
    <row r="27" spans="1:84" ht="18" customHeight="1" x14ac:dyDescent="0.25">
      <c r="A27" s="3099"/>
      <c r="B27" s="3110" t="s">
        <v>92</v>
      </c>
      <c r="C27" s="3111">
        <v>1</v>
      </c>
      <c r="D27" s="3112">
        <v>33</v>
      </c>
      <c r="E27" s="3112">
        <v>350</v>
      </c>
      <c r="F27" s="3113">
        <v>384</v>
      </c>
      <c r="G27" s="3126"/>
      <c r="H27" s="3112">
        <v>22</v>
      </c>
      <c r="I27" s="3112">
        <v>359</v>
      </c>
      <c r="J27" s="3113">
        <v>381</v>
      </c>
      <c r="K27" s="3126"/>
      <c r="L27" s="3112">
        <v>25</v>
      </c>
      <c r="M27" s="3112">
        <v>364</v>
      </c>
      <c r="N27" s="3113">
        <v>389</v>
      </c>
      <c r="O27" s="3126"/>
      <c r="P27" s="3112">
        <v>28</v>
      </c>
      <c r="Q27" s="3112">
        <v>359</v>
      </c>
      <c r="R27" s="3113">
        <v>387</v>
      </c>
      <c r="S27" s="3111"/>
      <c r="T27" s="3112">
        <v>27</v>
      </c>
      <c r="U27" s="3112">
        <v>355</v>
      </c>
      <c r="V27" s="3113">
        <v>382</v>
      </c>
      <c r="W27" s="3111"/>
      <c r="X27" s="3112">
        <v>30</v>
      </c>
      <c r="Y27" s="3112">
        <v>350</v>
      </c>
      <c r="Z27" s="3113">
        <f>SUM(W27:Y27)</f>
        <v>380</v>
      </c>
      <c r="AA27" s="3111"/>
      <c r="AB27" s="3112">
        <v>32</v>
      </c>
      <c r="AC27" s="3112">
        <v>339</v>
      </c>
      <c r="AD27" s="3113">
        <f>SUM(AA27:AC27)</f>
        <v>371</v>
      </c>
      <c r="AE27" s="3111"/>
      <c r="AF27" s="3112">
        <v>34</v>
      </c>
      <c r="AG27" s="3112">
        <v>341</v>
      </c>
      <c r="AH27" s="3113">
        <v>375</v>
      </c>
      <c r="AI27" s="3111"/>
      <c r="AJ27" s="3112">
        <v>28</v>
      </c>
      <c r="AK27" s="3112">
        <v>345</v>
      </c>
      <c r="AL27" s="3113">
        <f>SUM(AI27:AK27)</f>
        <v>373</v>
      </c>
      <c r="AM27" s="3111"/>
      <c r="AN27" s="3112">
        <v>37</v>
      </c>
      <c r="AO27" s="3112">
        <v>341</v>
      </c>
      <c r="AP27" s="3113">
        <f>SUM(AM27:AO27)</f>
        <v>378</v>
      </c>
      <c r="AQ27" s="3111"/>
      <c r="AR27" s="3112">
        <f t="shared" ref="AQ27:AS28" si="72">SUM(AR62,AR97,AR132)</f>
        <v>50</v>
      </c>
      <c r="AS27" s="3112">
        <f t="shared" si="72"/>
        <v>336</v>
      </c>
      <c r="AT27" s="3113">
        <f>SUM(AQ27:AS27)</f>
        <v>386</v>
      </c>
      <c r="AU27" s="3112"/>
      <c r="AV27" s="3112">
        <f t="shared" si="64"/>
        <v>61</v>
      </c>
      <c r="AW27" s="3112">
        <f t="shared" si="64"/>
        <v>339</v>
      </c>
      <c r="AX27" s="3113">
        <f>SUM(AU27:AW27)</f>
        <v>400</v>
      </c>
      <c r="AY27" s="3112"/>
      <c r="AZ27" s="3112">
        <f t="shared" si="65"/>
        <v>63</v>
      </c>
      <c r="BA27" s="3112">
        <f t="shared" si="65"/>
        <v>336</v>
      </c>
      <c r="BB27" s="3113">
        <f>SUM(AY27:BA27)</f>
        <v>399</v>
      </c>
      <c r="BC27" s="3112"/>
      <c r="BD27" s="3112">
        <f t="shared" si="66"/>
        <v>60</v>
      </c>
      <c r="BE27" s="3112">
        <f t="shared" si="66"/>
        <v>332</v>
      </c>
      <c r="BF27" s="3113">
        <f>SUM(BC27:BE27)</f>
        <v>392</v>
      </c>
      <c r="BG27" s="3112"/>
      <c r="BH27" s="3112">
        <f>SUM(BH62,BH97,BH132)</f>
        <v>59</v>
      </c>
      <c r="BI27" s="3112">
        <f>SUM(BI62,BI97,BI132)</f>
        <v>327</v>
      </c>
      <c r="BJ27" s="3113">
        <f>SUM(BG27:BI27)</f>
        <v>386</v>
      </c>
      <c r="BK27" s="3112">
        <f t="shared" si="67"/>
        <v>1</v>
      </c>
      <c r="BL27" s="3112">
        <f t="shared" si="67"/>
        <v>62</v>
      </c>
      <c r="BM27" s="3112">
        <f t="shared" si="67"/>
        <v>319</v>
      </c>
      <c r="BN27" s="3113">
        <f>SUM(BK27:BM27)</f>
        <v>382</v>
      </c>
      <c r="BO27" s="3112">
        <f t="shared" si="68"/>
        <v>1</v>
      </c>
      <c r="BP27" s="3112">
        <f t="shared" si="68"/>
        <v>66</v>
      </c>
      <c r="BQ27" s="3112">
        <f t="shared" si="68"/>
        <v>315</v>
      </c>
      <c r="BR27" s="3113">
        <f>SUM(BO27:BQ27)</f>
        <v>382</v>
      </c>
      <c r="BS27" s="3112">
        <f t="shared" si="69"/>
        <v>1</v>
      </c>
      <c r="BT27" s="3112">
        <f t="shared" si="69"/>
        <v>63</v>
      </c>
      <c r="BU27" s="3112">
        <f t="shared" si="69"/>
        <v>304</v>
      </c>
      <c r="BV27" s="3113">
        <f>SUM(BS27:BU27)</f>
        <v>368</v>
      </c>
      <c r="BW27" s="3112">
        <f t="shared" ref="BW27:BY27" si="73">SUM(BW62,BW97,BW132)</f>
        <v>1</v>
      </c>
      <c r="BX27" s="3112">
        <f t="shared" si="73"/>
        <v>60</v>
      </c>
      <c r="BY27" s="3112">
        <f t="shared" si="73"/>
        <v>302</v>
      </c>
      <c r="BZ27" s="3113">
        <f>SUM(BW27:BY27)</f>
        <v>363</v>
      </c>
      <c r="CA27" s="3112">
        <f t="shared" ref="CA27:CC27" si="74">SUM(CA62,CA97,CA132)</f>
        <v>1</v>
      </c>
      <c r="CB27" s="3112">
        <f t="shared" si="74"/>
        <v>61</v>
      </c>
      <c r="CC27" s="3112">
        <f t="shared" si="74"/>
        <v>288</v>
      </c>
      <c r="CD27" s="3113">
        <f>SUM(CA27:CC27)</f>
        <v>350</v>
      </c>
    </row>
    <row r="28" spans="1:84" ht="18" customHeight="1" x14ac:dyDescent="0.25">
      <c r="A28" s="3099"/>
      <c r="B28" s="3110" t="s">
        <v>68</v>
      </c>
      <c r="C28" s="3143">
        <v>1</v>
      </c>
      <c r="D28" s="3116">
        <v>17</v>
      </c>
      <c r="E28" s="3116">
        <v>154</v>
      </c>
      <c r="F28" s="3117">
        <v>172</v>
      </c>
      <c r="G28" s="3143">
        <v>1</v>
      </c>
      <c r="H28" s="3116">
        <v>15</v>
      </c>
      <c r="I28" s="3116">
        <v>152</v>
      </c>
      <c r="J28" s="3117">
        <v>168</v>
      </c>
      <c r="K28" s="3143">
        <v>1</v>
      </c>
      <c r="L28" s="3116">
        <v>13</v>
      </c>
      <c r="M28" s="3116">
        <v>155</v>
      </c>
      <c r="N28" s="3117">
        <v>169</v>
      </c>
      <c r="O28" s="3143">
        <v>1</v>
      </c>
      <c r="P28" s="3116">
        <v>15</v>
      </c>
      <c r="Q28" s="3116">
        <v>154</v>
      </c>
      <c r="R28" s="3117">
        <v>170</v>
      </c>
      <c r="S28" s="3143">
        <v>1</v>
      </c>
      <c r="T28" s="3116">
        <v>17</v>
      </c>
      <c r="U28" s="3116">
        <v>151</v>
      </c>
      <c r="V28" s="3117">
        <v>169</v>
      </c>
      <c r="W28" s="3143">
        <v>1</v>
      </c>
      <c r="X28" s="3116">
        <v>17</v>
      </c>
      <c r="Y28" s="3116">
        <v>151</v>
      </c>
      <c r="Z28" s="3113">
        <f>SUM(W28:Y28)</f>
        <v>169</v>
      </c>
      <c r="AA28" s="3143">
        <v>1</v>
      </c>
      <c r="AB28" s="3116">
        <v>21</v>
      </c>
      <c r="AC28" s="3116">
        <v>157</v>
      </c>
      <c r="AD28" s="3117">
        <f>SUM(AA28:AC28)</f>
        <v>179</v>
      </c>
      <c r="AE28" s="3111">
        <v>1</v>
      </c>
      <c r="AF28" s="3112">
        <v>20</v>
      </c>
      <c r="AG28" s="3112">
        <v>158</v>
      </c>
      <c r="AH28" s="3113">
        <v>179</v>
      </c>
      <c r="AI28" s="3111">
        <v>1</v>
      </c>
      <c r="AJ28" s="3112">
        <v>24</v>
      </c>
      <c r="AK28" s="3112">
        <v>158</v>
      </c>
      <c r="AL28" s="3113">
        <f>SUM(AI28:AK28)</f>
        <v>183</v>
      </c>
      <c r="AM28" s="3111">
        <v>1</v>
      </c>
      <c r="AN28" s="3112">
        <v>24</v>
      </c>
      <c r="AO28" s="3112">
        <v>155</v>
      </c>
      <c r="AP28" s="3113">
        <f>SUM(AM28:AO28)</f>
        <v>180</v>
      </c>
      <c r="AQ28" s="3111">
        <f t="shared" si="72"/>
        <v>1</v>
      </c>
      <c r="AR28" s="3112">
        <f t="shared" si="72"/>
        <v>25</v>
      </c>
      <c r="AS28" s="3112">
        <f t="shared" si="72"/>
        <v>153</v>
      </c>
      <c r="AT28" s="3113">
        <f>SUM(AQ28:AS28)</f>
        <v>179</v>
      </c>
      <c r="AU28" s="3116">
        <f t="shared" si="64"/>
        <v>1</v>
      </c>
      <c r="AV28" s="3116">
        <f t="shared" si="64"/>
        <v>30</v>
      </c>
      <c r="AW28" s="3116">
        <f t="shared" si="64"/>
        <v>153</v>
      </c>
      <c r="AX28" s="3117">
        <f>SUM(AU28:AW28)</f>
        <v>184</v>
      </c>
      <c r="AY28" s="3116">
        <f t="shared" si="65"/>
        <v>1</v>
      </c>
      <c r="AZ28" s="3116">
        <f t="shared" si="65"/>
        <v>29</v>
      </c>
      <c r="BA28" s="3116">
        <f t="shared" si="65"/>
        <v>151</v>
      </c>
      <c r="BB28" s="3117">
        <f>SUM(AY28:BA28)</f>
        <v>181</v>
      </c>
      <c r="BC28" s="3116">
        <f t="shared" si="66"/>
        <v>1</v>
      </c>
      <c r="BD28" s="3116">
        <f t="shared" si="66"/>
        <v>26</v>
      </c>
      <c r="BE28" s="3116">
        <f t="shared" si="66"/>
        <v>147</v>
      </c>
      <c r="BF28" s="3117">
        <f>SUM(BC28:BE28)</f>
        <v>174</v>
      </c>
      <c r="BG28" s="3116"/>
      <c r="BH28" s="3116">
        <f>SUM(BH63,BH98,BH133)</f>
        <v>30</v>
      </c>
      <c r="BI28" s="3116">
        <f>SUM(BI63,BI98,BI133)</f>
        <v>137</v>
      </c>
      <c r="BJ28" s="3117">
        <f>SUM(BG28:BI28)</f>
        <v>167</v>
      </c>
      <c r="BK28" s="3116">
        <f t="shared" si="67"/>
        <v>0</v>
      </c>
      <c r="BL28" s="3116">
        <f t="shared" si="67"/>
        <v>31</v>
      </c>
      <c r="BM28" s="3116">
        <f t="shared" si="67"/>
        <v>134</v>
      </c>
      <c r="BN28" s="3117">
        <f>SUM(BK28:BM28)</f>
        <v>165</v>
      </c>
      <c r="BO28" s="3116">
        <f t="shared" si="68"/>
        <v>1</v>
      </c>
      <c r="BP28" s="3116">
        <f t="shared" si="68"/>
        <v>34</v>
      </c>
      <c r="BQ28" s="3116">
        <f t="shared" si="68"/>
        <v>133</v>
      </c>
      <c r="BR28" s="3117">
        <f>SUM(BO28:BQ28)</f>
        <v>168</v>
      </c>
      <c r="BS28" s="3116">
        <f t="shared" si="69"/>
        <v>1</v>
      </c>
      <c r="BT28" s="3116">
        <f t="shared" si="69"/>
        <v>34</v>
      </c>
      <c r="BU28" s="3116">
        <f t="shared" si="69"/>
        <v>130</v>
      </c>
      <c r="BV28" s="3117">
        <f>SUM(BS28:BU28)</f>
        <v>165</v>
      </c>
      <c r="BW28" s="3116">
        <f t="shared" ref="BW28:BY28" si="75">SUM(BW63,BW98,BW133)</f>
        <v>1</v>
      </c>
      <c r="BX28" s="3116">
        <f t="shared" si="75"/>
        <v>30</v>
      </c>
      <c r="BY28" s="3116">
        <f t="shared" si="75"/>
        <v>130</v>
      </c>
      <c r="BZ28" s="3117">
        <f>SUM(BW28:BY28)</f>
        <v>161</v>
      </c>
      <c r="CA28" s="3116">
        <f t="shared" ref="CA28:CC28" si="76">SUM(CA63,CA98,CA133)</f>
        <v>1</v>
      </c>
      <c r="CB28" s="3116">
        <f t="shared" si="76"/>
        <v>26</v>
      </c>
      <c r="CC28" s="3116">
        <f t="shared" si="76"/>
        <v>125</v>
      </c>
      <c r="CD28" s="3117">
        <f>SUM(CA28:CC28)</f>
        <v>152</v>
      </c>
    </row>
    <row r="29" spans="1:84" ht="18" customHeight="1" x14ac:dyDescent="0.25">
      <c r="A29" s="3099"/>
      <c r="B29" s="3151" t="s">
        <v>137</v>
      </c>
      <c r="C29" s="3152">
        <v>3</v>
      </c>
      <c r="D29" s="3153">
        <v>87</v>
      </c>
      <c r="E29" s="3153">
        <v>855</v>
      </c>
      <c r="F29" s="3154">
        <f>SUM(F26:F28)</f>
        <v>945</v>
      </c>
      <c r="G29" s="3152">
        <v>1</v>
      </c>
      <c r="H29" s="3153">
        <v>63</v>
      </c>
      <c r="I29" s="3153">
        <v>869</v>
      </c>
      <c r="J29" s="3154">
        <v>933</v>
      </c>
      <c r="K29" s="3152">
        <v>3</v>
      </c>
      <c r="L29" s="3153">
        <v>67</v>
      </c>
      <c r="M29" s="3153">
        <v>875</v>
      </c>
      <c r="N29" s="3153">
        <f>SUM(N26:N28)</f>
        <v>945</v>
      </c>
      <c r="O29" s="3152">
        <v>2</v>
      </c>
      <c r="P29" s="3153">
        <v>78</v>
      </c>
      <c r="Q29" s="3153">
        <v>863</v>
      </c>
      <c r="R29" s="3154">
        <f>SUM(R26:R28)</f>
        <v>943</v>
      </c>
      <c r="S29" s="3153">
        <v>2</v>
      </c>
      <c r="T29" s="3153">
        <v>74</v>
      </c>
      <c r="U29" s="3153">
        <v>843</v>
      </c>
      <c r="V29" s="3154">
        <f t="shared" ref="V29:BV29" si="77">SUM(V26:V28)</f>
        <v>919</v>
      </c>
      <c r="W29" s="3152">
        <f t="shared" si="77"/>
        <v>2</v>
      </c>
      <c r="X29" s="3153">
        <f t="shared" si="77"/>
        <v>89</v>
      </c>
      <c r="Y29" s="3153">
        <f t="shared" si="77"/>
        <v>834</v>
      </c>
      <c r="Z29" s="3154">
        <f t="shared" si="77"/>
        <v>925</v>
      </c>
      <c r="AA29" s="3152">
        <f t="shared" si="77"/>
        <v>3</v>
      </c>
      <c r="AB29" s="3153">
        <f t="shared" si="77"/>
        <v>101</v>
      </c>
      <c r="AC29" s="3153">
        <f t="shared" si="77"/>
        <v>829</v>
      </c>
      <c r="AD29" s="3154">
        <f t="shared" si="77"/>
        <v>933</v>
      </c>
      <c r="AE29" s="3152">
        <f t="shared" si="77"/>
        <v>3</v>
      </c>
      <c r="AF29" s="3153">
        <f t="shared" si="77"/>
        <v>110</v>
      </c>
      <c r="AG29" s="3153">
        <f t="shared" si="77"/>
        <v>831</v>
      </c>
      <c r="AH29" s="3154">
        <f t="shared" si="77"/>
        <v>944</v>
      </c>
      <c r="AI29" s="3152">
        <f t="shared" si="77"/>
        <v>5</v>
      </c>
      <c r="AJ29" s="3153">
        <f t="shared" si="77"/>
        <v>111</v>
      </c>
      <c r="AK29" s="3153">
        <f t="shared" si="77"/>
        <v>843</v>
      </c>
      <c r="AL29" s="3154">
        <f t="shared" si="77"/>
        <v>959</v>
      </c>
      <c r="AM29" s="3152">
        <f t="shared" si="77"/>
        <v>5</v>
      </c>
      <c r="AN29" s="3153">
        <f t="shared" si="77"/>
        <v>114</v>
      </c>
      <c r="AO29" s="3153">
        <f t="shared" si="77"/>
        <v>842</v>
      </c>
      <c r="AP29" s="3154">
        <f t="shared" si="77"/>
        <v>961</v>
      </c>
      <c r="AQ29" s="3152">
        <f t="shared" si="77"/>
        <v>4</v>
      </c>
      <c r="AR29" s="3153">
        <f t="shared" si="77"/>
        <v>123</v>
      </c>
      <c r="AS29" s="3153">
        <f t="shared" si="77"/>
        <v>837</v>
      </c>
      <c r="AT29" s="3154">
        <f t="shared" si="77"/>
        <v>964</v>
      </c>
      <c r="AU29" s="3152">
        <f t="shared" si="77"/>
        <v>4</v>
      </c>
      <c r="AV29" s="3153">
        <f t="shared" si="77"/>
        <v>139</v>
      </c>
      <c r="AW29" s="3153">
        <f t="shared" si="77"/>
        <v>839</v>
      </c>
      <c r="AX29" s="3154">
        <f t="shared" si="77"/>
        <v>982</v>
      </c>
      <c r="AY29" s="3152">
        <f t="shared" si="77"/>
        <v>4</v>
      </c>
      <c r="AZ29" s="3153">
        <f t="shared" si="77"/>
        <v>138</v>
      </c>
      <c r="BA29" s="3153">
        <f t="shared" si="77"/>
        <v>831</v>
      </c>
      <c r="BB29" s="3154">
        <f t="shared" si="77"/>
        <v>973</v>
      </c>
      <c r="BC29" s="3152">
        <f t="shared" si="77"/>
        <v>2</v>
      </c>
      <c r="BD29" s="3153">
        <f t="shared" si="77"/>
        <v>133</v>
      </c>
      <c r="BE29" s="3153">
        <f t="shared" si="77"/>
        <v>819</v>
      </c>
      <c r="BF29" s="3154">
        <f t="shared" si="77"/>
        <v>954</v>
      </c>
      <c r="BG29" s="3152">
        <f t="shared" si="77"/>
        <v>1</v>
      </c>
      <c r="BH29" s="3153">
        <f t="shared" si="77"/>
        <v>142</v>
      </c>
      <c r="BI29" s="3153">
        <f t="shared" si="77"/>
        <v>798</v>
      </c>
      <c r="BJ29" s="3154">
        <f t="shared" si="77"/>
        <v>941</v>
      </c>
      <c r="BK29" s="3152">
        <f t="shared" si="77"/>
        <v>2</v>
      </c>
      <c r="BL29" s="3153">
        <f t="shared" si="77"/>
        <v>147</v>
      </c>
      <c r="BM29" s="3153">
        <f t="shared" si="77"/>
        <v>791</v>
      </c>
      <c r="BN29" s="3154">
        <f t="shared" si="77"/>
        <v>940</v>
      </c>
      <c r="BO29" s="3152">
        <f t="shared" si="77"/>
        <v>4</v>
      </c>
      <c r="BP29" s="3153">
        <f t="shared" si="77"/>
        <v>153</v>
      </c>
      <c r="BQ29" s="3153">
        <f t="shared" si="77"/>
        <v>771</v>
      </c>
      <c r="BR29" s="3154">
        <f t="shared" si="77"/>
        <v>928</v>
      </c>
      <c r="BS29" s="3152">
        <f t="shared" si="77"/>
        <v>4</v>
      </c>
      <c r="BT29" s="3153">
        <f t="shared" si="77"/>
        <v>151</v>
      </c>
      <c r="BU29" s="3153">
        <f t="shared" si="77"/>
        <v>749</v>
      </c>
      <c r="BV29" s="3154">
        <f t="shared" si="77"/>
        <v>904</v>
      </c>
      <c r="BW29" s="3152">
        <f t="shared" ref="BW29:BZ29" si="78">SUM(BW26:BW28)</f>
        <v>3</v>
      </c>
      <c r="BX29" s="3153">
        <f t="shared" si="78"/>
        <v>138</v>
      </c>
      <c r="BY29" s="3153">
        <f t="shared" si="78"/>
        <v>746</v>
      </c>
      <c r="BZ29" s="3154">
        <f t="shared" si="78"/>
        <v>887</v>
      </c>
      <c r="CA29" s="3152">
        <f t="shared" ref="CA29:CD29" si="79">SUM(CA26:CA28)</f>
        <v>4</v>
      </c>
      <c r="CB29" s="3153">
        <f t="shared" si="79"/>
        <v>133</v>
      </c>
      <c r="CC29" s="3153">
        <f t="shared" si="79"/>
        <v>722</v>
      </c>
      <c r="CD29" s="3154">
        <f t="shared" si="79"/>
        <v>859</v>
      </c>
    </row>
    <row r="30" spans="1:84" x14ac:dyDescent="0.25">
      <c r="A30" s="3099"/>
      <c r="B30" s="3104"/>
      <c r="C30" s="3122"/>
      <c r="D30" s="3122"/>
      <c r="E30" s="3122"/>
      <c r="F30" s="3122"/>
      <c r="G30" s="3122"/>
      <c r="H30" s="3122"/>
      <c r="I30" s="3122"/>
      <c r="J30" s="3122"/>
      <c r="K30" s="3122"/>
      <c r="L30" s="3122"/>
      <c r="M30" s="3122"/>
      <c r="N30" s="3122"/>
      <c r="O30" s="3122"/>
      <c r="P30" s="3122"/>
      <c r="Q30" s="3122"/>
      <c r="R30" s="3122"/>
      <c r="S30" s="3122"/>
      <c r="T30" s="3122"/>
      <c r="U30" s="3122"/>
      <c r="V30" s="3122"/>
      <c r="W30" s="3122"/>
      <c r="X30" s="3122"/>
      <c r="Y30" s="3122"/>
      <c r="Z30" s="3122"/>
      <c r="AA30" s="3122"/>
      <c r="AB30" s="3122"/>
      <c r="AC30" s="3122"/>
      <c r="AD30" s="3122"/>
      <c r="AE30" s="3114"/>
      <c r="AF30" s="3114"/>
      <c r="AG30" s="3114"/>
      <c r="AH30" s="3122"/>
      <c r="AI30" s="3114"/>
      <c r="AJ30" s="3114"/>
      <c r="AK30" s="3114"/>
      <c r="AL30" s="3122"/>
      <c r="AM30" s="3114"/>
      <c r="AN30" s="3114"/>
      <c r="AO30" s="3114"/>
      <c r="AP30" s="3122"/>
      <c r="AQ30" s="3114"/>
      <c r="AR30" s="3114"/>
      <c r="AS30" s="3114"/>
      <c r="AT30" s="3122"/>
      <c r="AU30" s="3114"/>
      <c r="AV30" s="3114"/>
      <c r="AW30" s="3114"/>
      <c r="AX30" s="3122"/>
      <c r="AY30" s="3114"/>
      <c r="AZ30" s="3114"/>
      <c r="BA30" s="3114"/>
      <c r="BB30" s="3122"/>
      <c r="BC30" s="3114"/>
      <c r="BD30" s="3114"/>
      <c r="BE30" s="3114"/>
      <c r="BF30" s="3122"/>
      <c r="BG30" s="3114"/>
      <c r="BH30" s="3114"/>
      <c r="BI30" s="3114"/>
      <c r="BJ30" s="3122"/>
      <c r="BK30" s="3114"/>
      <c r="BL30" s="3114"/>
      <c r="BM30" s="3114"/>
      <c r="BN30" s="3122"/>
      <c r="BO30" s="3114"/>
      <c r="BP30" s="3114"/>
      <c r="BQ30" s="3114"/>
      <c r="BR30" s="3122"/>
      <c r="BS30" s="3114"/>
      <c r="BT30" s="3114"/>
      <c r="BU30" s="3114"/>
      <c r="BV30" s="3122"/>
      <c r="BW30" s="3114"/>
      <c r="BX30" s="3114"/>
      <c r="BY30" s="3114"/>
      <c r="BZ30" s="3122"/>
      <c r="CA30" s="3114"/>
      <c r="CB30" s="3114"/>
      <c r="CC30" s="3114"/>
      <c r="CD30" s="3122"/>
    </row>
    <row r="31" spans="1:84" ht="21.75" customHeight="1" x14ac:dyDescent="0.25">
      <c r="B31" s="3155" t="s">
        <v>431</v>
      </c>
      <c r="C31" s="3156">
        <v>41</v>
      </c>
      <c r="D31" s="3157">
        <v>305</v>
      </c>
      <c r="E31" s="3157">
        <v>2469</v>
      </c>
      <c r="F31" s="3158">
        <v>2815</v>
      </c>
      <c r="G31" s="3156">
        <v>28</v>
      </c>
      <c r="H31" s="3157">
        <v>218</v>
      </c>
      <c r="I31" s="3157">
        <v>2571</v>
      </c>
      <c r="J31" s="3158">
        <v>2817</v>
      </c>
      <c r="K31" s="3156">
        <v>34</v>
      </c>
      <c r="L31" s="3157">
        <v>226</v>
      </c>
      <c r="M31" s="3157">
        <v>2593</v>
      </c>
      <c r="N31" s="3157">
        <v>2853</v>
      </c>
      <c r="O31" s="3156">
        <v>36</v>
      </c>
      <c r="P31" s="3157">
        <v>251</v>
      </c>
      <c r="Q31" s="3157">
        <v>2578</v>
      </c>
      <c r="R31" s="3158">
        <v>2865</v>
      </c>
      <c r="S31" s="3157">
        <v>34</v>
      </c>
      <c r="T31" s="3157">
        <v>267</v>
      </c>
      <c r="U31" s="3157">
        <v>2581</v>
      </c>
      <c r="V31" s="3158">
        <v>2882</v>
      </c>
      <c r="W31" s="3156">
        <f>W9+W14+W19+W29</f>
        <v>33</v>
      </c>
      <c r="X31" s="3157">
        <f>X9+X14+X19+X29</f>
        <v>296</v>
      </c>
      <c r="Y31" s="3157">
        <f>Y9+Y14+Y19+Y29</f>
        <v>2563</v>
      </c>
      <c r="Z31" s="3158">
        <f>Z9+Z14+Z19+Z29</f>
        <v>2892</v>
      </c>
      <c r="AA31" s="3156">
        <f t="shared" ref="AA31:AH31" si="80">AA9+AA14+AA19+AA24+AA29</f>
        <v>37</v>
      </c>
      <c r="AB31" s="3157">
        <f t="shared" si="80"/>
        <v>304</v>
      </c>
      <c r="AC31" s="3157">
        <f t="shared" si="80"/>
        <v>2570</v>
      </c>
      <c r="AD31" s="3158">
        <f t="shared" si="80"/>
        <v>2911</v>
      </c>
      <c r="AE31" s="3156">
        <f t="shared" si="80"/>
        <v>34</v>
      </c>
      <c r="AF31" s="3157">
        <f t="shared" si="80"/>
        <v>329</v>
      </c>
      <c r="AG31" s="3157">
        <f t="shared" si="80"/>
        <v>2595</v>
      </c>
      <c r="AH31" s="3158">
        <f t="shared" si="80"/>
        <v>2958</v>
      </c>
      <c r="AI31" s="3156">
        <f t="shared" ref="AI31:BV31" si="81">SUM(AI9,AI14,AI19,AI24,AI29)</f>
        <v>31</v>
      </c>
      <c r="AJ31" s="3157">
        <f t="shared" si="81"/>
        <v>335</v>
      </c>
      <c r="AK31" s="3157">
        <f t="shared" si="81"/>
        <v>2638</v>
      </c>
      <c r="AL31" s="3158">
        <f t="shared" si="81"/>
        <v>3004</v>
      </c>
      <c r="AM31" s="3156">
        <f t="shared" si="81"/>
        <v>30</v>
      </c>
      <c r="AN31" s="3157">
        <f t="shared" si="81"/>
        <v>345</v>
      </c>
      <c r="AO31" s="3157">
        <f t="shared" si="81"/>
        <v>2651</v>
      </c>
      <c r="AP31" s="3158">
        <f t="shared" si="81"/>
        <v>3026</v>
      </c>
      <c r="AQ31" s="3156">
        <f t="shared" si="81"/>
        <v>33</v>
      </c>
      <c r="AR31" s="3157">
        <f t="shared" si="81"/>
        <v>367</v>
      </c>
      <c r="AS31" s="3157">
        <f t="shared" si="81"/>
        <v>2657</v>
      </c>
      <c r="AT31" s="3158">
        <f t="shared" si="81"/>
        <v>3057</v>
      </c>
      <c r="AU31" s="3156">
        <f t="shared" si="81"/>
        <v>36</v>
      </c>
      <c r="AV31" s="3157">
        <f t="shared" si="81"/>
        <v>408</v>
      </c>
      <c r="AW31" s="3157">
        <f t="shared" si="81"/>
        <v>2680</v>
      </c>
      <c r="AX31" s="3158">
        <f t="shared" si="81"/>
        <v>3124</v>
      </c>
      <c r="AY31" s="3156">
        <f t="shared" si="81"/>
        <v>30</v>
      </c>
      <c r="AZ31" s="3157">
        <f t="shared" si="81"/>
        <v>390</v>
      </c>
      <c r="BA31" s="3157">
        <f t="shared" si="81"/>
        <v>2670</v>
      </c>
      <c r="BB31" s="3158">
        <f t="shared" si="81"/>
        <v>3090</v>
      </c>
      <c r="BC31" s="3156">
        <f t="shared" si="81"/>
        <v>29</v>
      </c>
      <c r="BD31" s="3157">
        <f t="shared" si="81"/>
        <v>375</v>
      </c>
      <c r="BE31" s="3157">
        <f t="shared" si="81"/>
        <v>2658</v>
      </c>
      <c r="BF31" s="3158">
        <f t="shared" si="81"/>
        <v>3062</v>
      </c>
      <c r="BG31" s="3156">
        <f t="shared" si="81"/>
        <v>35</v>
      </c>
      <c r="BH31" s="3157">
        <f t="shared" si="81"/>
        <v>404</v>
      </c>
      <c r="BI31" s="3157">
        <f t="shared" si="81"/>
        <v>2633</v>
      </c>
      <c r="BJ31" s="3158">
        <f t="shared" si="81"/>
        <v>3072</v>
      </c>
      <c r="BK31" s="3156">
        <f t="shared" si="81"/>
        <v>37</v>
      </c>
      <c r="BL31" s="3157">
        <f t="shared" si="81"/>
        <v>425</v>
      </c>
      <c r="BM31" s="3157">
        <f t="shared" si="81"/>
        <v>2626</v>
      </c>
      <c r="BN31" s="3158">
        <f t="shared" si="81"/>
        <v>3088</v>
      </c>
      <c r="BO31" s="3156">
        <f t="shared" si="81"/>
        <v>35</v>
      </c>
      <c r="BP31" s="3157">
        <f t="shared" si="81"/>
        <v>427</v>
      </c>
      <c r="BQ31" s="3157">
        <f t="shared" si="81"/>
        <v>2575</v>
      </c>
      <c r="BR31" s="3158">
        <f t="shared" si="81"/>
        <v>3037</v>
      </c>
      <c r="BS31" s="3156">
        <f t="shared" si="81"/>
        <v>36</v>
      </c>
      <c r="BT31" s="3157">
        <f t="shared" si="81"/>
        <v>417</v>
      </c>
      <c r="BU31" s="3157">
        <f t="shared" si="81"/>
        <v>2535</v>
      </c>
      <c r="BV31" s="3158">
        <f t="shared" si="81"/>
        <v>2988</v>
      </c>
      <c r="BW31" s="3156">
        <f t="shared" ref="BW31:BZ31" si="82">SUM(BW9,BW14,BW19,BW24,BW29)</f>
        <v>32</v>
      </c>
      <c r="BX31" s="3157">
        <f t="shared" si="82"/>
        <v>383</v>
      </c>
      <c r="BY31" s="3157">
        <f t="shared" si="82"/>
        <v>2516</v>
      </c>
      <c r="BZ31" s="3158">
        <f t="shared" si="82"/>
        <v>2931</v>
      </c>
      <c r="CA31" s="3156">
        <f t="shared" ref="CA31:CD31" si="83">SUM(CA9,CA14,CA19,CA24,CA29)</f>
        <v>31</v>
      </c>
      <c r="CB31" s="3157">
        <f t="shared" si="83"/>
        <v>382</v>
      </c>
      <c r="CC31" s="3157">
        <f t="shared" si="83"/>
        <v>2449</v>
      </c>
      <c r="CD31" s="3158">
        <f t="shared" si="83"/>
        <v>2862</v>
      </c>
    </row>
    <row r="32" spans="1:84" x14ac:dyDescent="0.3">
      <c r="B32" s="3159" t="s">
        <v>762</v>
      </c>
      <c r="C32" s="3104"/>
      <c r="D32" s="3104"/>
      <c r="E32" s="3104"/>
      <c r="F32" s="3104"/>
      <c r="G32" s="3104"/>
      <c r="H32" s="3104"/>
      <c r="I32" s="3104"/>
      <c r="J32" s="3104"/>
      <c r="K32" s="3104"/>
      <c r="L32" s="3104"/>
      <c r="M32" s="3104"/>
      <c r="N32" s="3104"/>
      <c r="O32" s="3104"/>
      <c r="P32" s="3104"/>
      <c r="Q32" s="3104"/>
      <c r="R32" s="3104"/>
      <c r="S32" s="3104"/>
      <c r="T32" s="3104"/>
      <c r="U32" s="3104"/>
      <c r="V32" s="3104"/>
      <c r="W32" s="3104"/>
      <c r="X32" s="3104"/>
      <c r="Y32" s="3104"/>
      <c r="Z32" s="3104"/>
      <c r="AA32" s="3104"/>
      <c r="AB32" s="3104"/>
      <c r="AC32" s="3104"/>
      <c r="AD32" s="3104"/>
      <c r="AE32" s="3104"/>
      <c r="AF32" s="3104"/>
      <c r="AG32" s="3104"/>
      <c r="AH32" s="3104"/>
      <c r="AI32" s="3104"/>
      <c r="AJ32" s="3104"/>
      <c r="AK32" s="3104"/>
      <c r="AL32" s="3104"/>
      <c r="AM32" s="3104"/>
      <c r="AN32" s="3104"/>
      <c r="AO32" s="3104"/>
      <c r="AP32" s="3104"/>
      <c r="AQ32" s="3104"/>
      <c r="AR32" s="3104"/>
      <c r="AS32" s="3104"/>
      <c r="AT32" s="3104"/>
      <c r="AU32" s="3104"/>
      <c r="AV32" s="3104"/>
      <c r="AW32" s="3104"/>
      <c r="AX32" s="3104"/>
      <c r="AY32" s="3104"/>
      <c r="AZ32" s="3104"/>
      <c r="BA32" s="3104"/>
      <c r="BB32" s="3104"/>
      <c r="BO32" s="3160" t="s">
        <v>763</v>
      </c>
      <c r="BS32" s="3160" t="s">
        <v>764</v>
      </c>
      <c r="BW32" s="3160" t="s">
        <v>1395</v>
      </c>
      <c r="CA32" s="3160" t="s">
        <v>1538</v>
      </c>
    </row>
    <row r="33" spans="1:82" x14ac:dyDescent="0.3">
      <c r="B33" s="3159" t="s">
        <v>765</v>
      </c>
      <c r="C33" s="3104"/>
      <c r="D33" s="3104"/>
      <c r="E33" s="3104"/>
      <c r="F33" s="3104"/>
      <c r="G33" s="3104"/>
      <c r="H33" s="3104"/>
      <c r="I33" s="3104"/>
      <c r="J33" s="3104"/>
      <c r="K33" s="3104"/>
      <c r="L33" s="3104"/>
      <c r="M33" s="3104"/>
      <c r="N33" s="3104"/>
      <c r="O33" s="3104"/>
      <c r="P33" s="3104"/>
      <c r="Q33" s="3104"/>
      <c r="R33" s="3104"/>
      <c r="S33" s="3104"/>
      <c r="T33" s="3104"/>
      <c r="U33" s="3104"/>
      <c r="V33" s="3104"/>
      <c r="W33" s="3104"/>
      <c r="X33" s="3104"/>
      <c r="Y33" s="3104"/>
      <c r="Z33" s="3104"/>
      <c r="AA33" s="3104"/>
      <c r="AB33" s="3104"/>
      <c r="AC33" s="3104"/>
      <c r="AD33" s="3104"/>
      <c r="AE33" s="3104"/>
      <c r="AF33" s="3104"/>
      <c r="AG33" s="3104"/>
      <c r="AH33" s="3104"/>
      <c r="AI33" s="3104"/>
      <c r="AJ33" s="3104"/>
      <c r="AK33" s="3104"/>
      <c r="AL33" s="3104"/>
      <c r="AM33" s="3104"/>
      <c r="AN33" s="3104"/>
      <c r="AO33" s="3104"/>
      <c r="AP33" s="3104"/>
      <c r="AQ33" s="3104"/>
      <c r="AR33" s="3104"/>
      <c r="AS33" s="3104"/>
      <c r="AT33" s="3104"/>
      <c r="AU33" s="3104"/>
      <c r="AV33" s="3104"/>
      <c r="AW33" s="3104"/>
      <c r="AX33" s="3104"/>
      <c r="AY33" s="3104"/>
      <c r="AZ33" s="3104"/>
      <c r="BA33" s="3104"/>
      <c r="BB33" s="3104"/>
    </row>
    <row r="34" spans="1:82" x14ac:dyDescent="0.3">
      <c r="A34" s="3159"/>
      <c r="B34" s="3104"/>
      <c r="C34" s="3104"/>
      <c r="D34" s="3104"/>
      <c r="E34" s="3104"/>
      <c r="F34" s="3104"/>
      <c r="G34" s="3104"/>
      <c r="H34" s="3104"/>
      <c r="I34" s="3104"/>
      <c r="J34" s="3104"/>
      <c r="K34" s="3104"/>
      <c r="L34" s="3104"/>
      <c r="M34" s="3104"/>
      <c r="N34" s="3104"/>
      <c r="O34" s="3104"/>
      <c r="P34" s="3104"/>
      <c r="Q34" s="3104"/>
      <c r="R34" s="3104"/>
      <c r="S34" s="3104"/>
      <c r="T34" s="3104"/>
      <c r="U34" s="3104"/>
      <c r="V34" s="3104"/>
      <c r="W34" s="3104"/>
      <c r="X34" s="3104"/>
      <c r="Y34" s="3104"/>
      <c r="Z34" s="3104"/>
      <c r="AA34" s="3104"/>
      <c r="AB34" s="3104"/>
      <c r="AC34" s="3104"/>
      <c r="AD34" s="3104"/>
      <c r="AE34" s="3104"/>
      <c r="AF34" s="3104"/>
      <c r="AG34" s="3104"/>
      <c r="AH34" s="3104"/>
      <c r="AI34" s="3104"/>
      <c r="AJ34" s="3104"/>
      <c r="AK34" s="3104"/>
      <c r="AL34" s="3104"/>
      <c r="AM34" s="3104"/>
      <c r="AN34" s="3104"/>
      <c r="AO34" s="3104"/>
      <c r="AP34" s="3104"/>
      <c r="AQ34" s="3104"/>
      <c r="AR34" s="3104"/>
      <c r="AS34" s="3104"/>
      <c r="AT34" s="3104"/>
      <c r="AU34" s="3104"/>
      <c r="AV34" s="3104"/>
      <c r="AW34" s="3104"/>
      <c r="AX34" s="3104"/>
      <c r="AY34" s="3104"/>
      <c r="AZ34" s="3104"/>
      <c r="BA34" s="3104"/>
      <c r="BB34" s="3104"/>
    </row>
    <row r="35" spans="1:82" x14ac:dyDescent="0.3">
      <c r="A35" s="3159"/>
      <c r="B35" s="3161"/>
      <c r="C35" s="3161"/>
      <c r="D35" s="3161"/>
      <c r="E35" s="3161"/>
      <c r="F35" s="3161"/>
      <c r="G35" s="3161"/>
      <c r="H35" s="3161"/>
      <c r="I35" s="3161"/>
      <c r="J35" s="3161"/>
      <c r="K35" s="3161"/>
      <c r="L35" s="3161"/>
      <c r="M35" s="3161"/>
      <c r="N35" s="3161"/>
      <c r="O35" s="3161"/>
      <c r="P35" s="3161"/>
      <c r="Q35" s="3161"/>
      <c r="R35" s="3161"/>
      <c r="S35" s="3161"/>
      <c r="T35" s="3161"/>
      <c r="U35" s="3161"/>
      <c r="V35" s="3161"/>
      <c r="W35" s="3161"/>
      <c r="X35" s="3161"/>
      <c r="Y35" s="3161"/>
      <c r="Z35" s="3161"/>
      <c r="AA35" s="3104"/>
      <c r="AB35" s="3104"/>
      <c r="AC35" s="3104"/>
      <c r="AD35" s="3104"/>
      <c r="AE35" s="3104"/>
      <c r="AF35" s="3104"/>
      <c r="AG35" s="3104"/>
      <c r="AH35" s="3104"/>
      <c r="AI35" s="3104"/>
      <c r="AJ35" s="3104"/>
      <c r="AK35" s="3104"/>
      <c r="AL35" s="3104"/>
      <c r="AM35" s="3104"/>
      <c r="AN35" s="3104"/>
      <c r="AO35" s="3104"/>
      <c r="AP35" s="3104"/>
      <c r="AQ35" s="3104"/>
      <c r="AR35" s="3104"/>
      <c r="AS35" s="3104"/>
      <c r="AT35" s="3104"/>
      <c r="AU35" s="3104"/>
      <c r="AV35" s="3104"/>
      <c r="AW35" s="3104"/>
      <c r="AX35" s="3104"/>
      <c r="AY35" s="3104"/>
      <c r="AZ35" s="3104"/>
      <c r="BA35" s="3104"/>
      <c r="BB35" s="3104"/>
    </row>
    <row r="36" spans="1:82" ht="62.4" x14ac:dyDescent="0.3">
      <c r="A36" s="3159"/>
      <c r="B36" s="3162" t="s">
        <v>766</v>
      </c>
      <c r="C36" s="3162"/>
      <c r="D36" s="3163"/>
      <c r="E36" s="3163"/>
      <c r="F36" s="3163"/>
      <c r="G36" s="3163"/>
      <c r="H36" s="3163"/>
      <c r="I36" s="3163"/>
      <c r="J36" s="3163"/>
      <c r="K36" s="3163"/>
      <c r="L36" s="3163"/>
      <c r="M36" s="3163"/>
      <c r="N36" s="3163"/>
      <c r="O36" s="3163"/>
      <c r="P36" s="3163"/>
      <c r="Q36" s="3163"/>
      <c r="R36" s="3163"/>
      <c r="S36" s="3163"/>
      <c r="T36" s="3163"/>
      <c r="U36" s="3163"/>
      <c r="V36" s="3163"/>
      <c r="W36" s="3163"/>
      <c r="X36" s="3163"/>
      <c r="Y36" s="3163"/>
      <c r="Z36" s="3163"/>
      <c r="AB36" s="3163"/>
      <c r="AC36" s="3163"/>
      <c r="AD36" s="3163"/>
      <c r="AE36" s="3163"/>
      <c r="AF36" s="3163"/>
      <c r="AG36" s="3163"/>
      <c r="AH36" s="3163"/>
      <c r="AI36" s="3163"/>
      <c r="AJ36" s="3163"/>
      <c r="AK36" s="3163"/>
      <c r="AL36" s="3163"/>
      <c r="AM36" s="3163"/>
      <c r="AN36" s="3163"/>
      <c r="AO36" s="3163"/>
      <c r="AP36" s="3163"/>
      <c r="AQ36" s="3163"/>
      <c r="AR36" s="3163"/>
      <c r="AS36" s="3163"/>
      <c r="AT36" s="3163"/>
      <c r="AU36" s="3163"/>
      <c r="AV36" s="3163"/>
      <c r="AW36" s="3163"/>
      <c r="AX36" s="3164"/>
      <c r="AY36" s="3163"/>
      <c r="AZ36" s="3163"/>
      <c r="BA36" s="3163"/>
    </row>
    <row r="37" spans="1:82" ht="18" x14ac:dyDescent="0.35">
      <c r="A37" s="3159"/>
      <c r="B37" s="3104"/>
      <c r="C37" s="3104"/>
      <c r="D37" s="3104"/>
      <c r="E37" s="3104"/>
      <c r="F37" s="3104"/>
      <c r="G37" s="3104"/>
      <c r="H37" s="3104"/>
      <c r="I37" s="3104"/>
      <c r="J37" s="3104"/>
      <c r="K37" s="3104"/>
      <c r="L37" s="3104"/>
      <c r="M37" s="3104"/>
      <c r="N37" s="3104"/>
      <c r="O37" s="3104"/>
      <c r="P37" s="3104"/>
      <c r="Q37" s="3104"/>
      <c r="R37" s="3104"/>
      <c r="S37" s="3104"/>
      <c r="T37" s="3104"/>
      <c r="U37" s="3104"/>
      <c r="V37" s="3104"/>
      <c r="W37" s="3104"/>
      <c r="X37" s="3104"/>
      <c r="Y37" s="3104"/>
      <c r="Z37" s="3104"/>
      <c r="AA37" s="3104"/>
      <c r="AB37" s="3104"/>
      <c r="AC37" s="3104"/>
      <c r="AD37" s="3104"/>
      <c r="AE37" s="3104"/>
      <c r="AF37" s="3104"/>
      <c r="AG37" s="3104"/>
      <c r="AH37" s="3104"/>
      <c r="AI37" s="3104"/>
      <c r="AJ37" s="3104"/>
      <c r="AK37" s="3104"/>
      <c r="AL37" s="3104"/>
      <c r="AM37" s="3104"/>
      <c r="AN37" s="3104"/>
      <c r="AO37" s="3104"/>
      <c r="AP37" s="3104"/>
      <c r="AQ37" s="3104"/>
      <c r="AR37" s="3104"/>
      <c r="AS37" s="3104"/>
      <c r="AT37" s="3104"/>
      <c r="AU37" s="3104"/>
      <c r="AV37" s="3104"/>
      <c r="AW37" s="3104"/>
      <c r="AX37" s="3104"/>
      <c r="AY37" s="3104"/>
      <c r="AZ37" s="3104"/>
      <c r="BA37" s="3104"/>
      <c r="BB37" s="3104"/>
      <c r="BR37" s="3165"/>
      <c r="BV37" s="3165"/>
      <c r="BZ37" s="4835"/>
      <c r="CD37" s="4835" t="s">
        <v>767</v>
      </c>
    </row>
    <row r="38" spans="1:82" x14ac:dyDescent="0.3">
      <c r="A38" s="3159"/>
      <c r="B38" s="6155" t="s">
        <v>132</v>
      </c>
      <c r="C38" s="6152">
        <v>2003</v>
      </c>
      <c r="D38" s="6153"/>
      <c r="E38" s="6153"/>
      <c r="F38" s="6154"/>
      <c r="G38" s="6152">
        <v>2004</v>
      </c>
      <c r="H38" s="6153"/>
      <c r="I38" s="6153"/>
      <c r="J38" s="6154"/>
      <c r="K38" s="6152">
        <v>2005</v>
      </c>
      <c r="L38" s="6153"/>
      <c r="M38" s="6153"/>
      <c r="N38" s="6154"/>
      <c r="O38" s="6152">
        <v>2006</v>
      </c>
      <c r="P38" s="6153"/>
      <c r="Q38" s="6153"/>
      <c r="R38" s="6154"/>
      <c r="S38" s="6152">
        <v>2007</v>
      </c>
      <c r="T38" s="6153"/>
      <c r="U38" s="6153"/>
      <c r="V38" s="6154"/>
      <c r="W38" s="6152">
        <v>2008</v>
      </c>
      <c r="X38" s="6153"/>
      <c r="Y38" s="6153"/>
      <c r="Z38" s="6154"/>
      <c r="AA38" s="6152">
        <v>2009</v>
      </c>
      <c r="AB38" s="6153"/>
      <c r="AC38" s="6153"/>
      <c r="AD38" s="6154"/>
      <c r="AE38" s="6152">
        <v>2010</v>
      </c>
      <c r="AF38" s="6153"/>
      <c r="AG38" s="6153"/>
      <c r="AH38" s="6154"/>
      <c r="AI38" s="6152">
        <v>2011</v>
      </c>
      <c r="AJ38" s="6153"/>
      <c r="AK38" s="6153"/>
      <c r="AL38" s="6154"/>
      <c r="AM38" s="6152">
        <v>2012</v>
      </c>
      <c r="AN38" s="6153"/>
      <c r="AO38" s="6153"/>
      <c r="AP38" s="6154"/>
      <c r="AQ38" s="6152">
        <v>2013</v>
      </c>
      <c r="AR38" s="6153"/>
      <c r="AS38" s="6153"/>
      <c r="AT38" s="6154"/>
      <c r="AU38" s="6152">
        <v>2014</v>
      </c>
      <c r="AV38" s="6153"/>
      <c r="AW38" s="6153"/>
      <c r="AX38" s="6154"/>
      <c r="AY38" s="6152">
        <v>2015</v>
      </c>
      <c r="AZ38" s="6153"/>
      <c r="BA38" s="6153"/>
      <c r="BB38" s="6154"/>
      <c r="BC38" s="6152">
        <v>2016</v>
      </c>
      <c r="BD38" s="6153"/>
      <c r="BE38" s="6153"/>
      <c r="BF38" s="6154"/>
      <c r="BG38" s="6152">
        <v>2017</v>
      </c>
      <c r="BH38" s="6153"/>
      <c r="BI38" s="6153"/>
      <c r="BJ38" s="6154"/>
      <c r="BK38" s="6152">
        <v>2018</v>
      </c>
      <c r="BL38" s="6153"/>
      <c r="BM38" s="6153"/>
      <c r="BN38" s="6154"/>
      <c r="BO38" s="6152">
        <v>2019</v>
      </c>
      <c r="BP38" s="6153"/>
      <c r="BQ38" s="6153"/>
      <c r="BR38" s="6154"/>
      <c r="BS38" s="6152">
        <v>2020</v>
      </c>
      <c r="BT38" s="6153"/>
      <c r="BU38" s="6153"/>
      <c r="BV38" s="6154"/>
      <c r="BW38" s="6152">
        <v>2021</v>
      </c>
      <c r="BX38" s="6153"/>
      <c r="BY38" s="6153"/>
      <c r="BZ38" s="6154"/>
      <c r="CA38" s="6152">
        <v>2022</v>
      </c>
      <c r="CB38" s="6153"/>
      <c r="CC38" s="6153"/>
      <c r="CD38" s="6154"/>
    </row>
    <row r="39" spans="1:82" x14ac:dyDescent="0.3">
      <c r="A39" s="3159"/>
      <c r="B39" s="6156"/>
      <c r="C39" s="3100" t="s">
        <v>759</v>
      </c>
      <c r="D39" s="3101" t="s">
        <v>760</v>
      </c>
      <c r="E39" s="3102" t="s">
        <v>761</v>
      </c>
      <c r="F39" s="3103" t="s">
        <v>279</v>
      </c>
      <c r="G39" s="3100" t="s">
        <v>759</v>
      </c>
      <c r="H39" s="3101" t="s">
        <v>760</v>
      </c>
      <c r="I39" s="3102" t="s">
        <v>761</v>
      </c>
      <c r="J39" s="3103" t="s">
        <v>279</v>
      </c>
      <c r="K39" s="3100" t="s">
        <v>759</v>
      </c>
      <c r="L39" s="3101" t="s">
        <v>760</v>
      </c>
      <c r="M39" s="3102" t="s">
        <v>761</v>
      </c>
      <c r="N39" s="3103" t="s">
        <v>279</v>
      </c>
      <c r="O39" s="3100" t="s">
        <v>759</v>
      </c>
      <c r="P39" s="3101" t="s">
        <v>760</v>
      </c>
      <c r="Q39" s="3102" t="s">
        <v>761</v>
      </c>
      <c r="R39" s="3103" t="s">
        <v>279</v>
      </c>
      <c r="S39" s="3100" t="s">
        <v>759</v>
      </c>
      <c r="T39" s="3101" t="s">
        <v>760</v>
      </c>
      <c r="U39" s="3102" t="s">
        <v>761</v>
      </c>
      <c r="V39" s="3103" t="s">
        <v>279</v>
      </c>
      <c r="W39" s="3100" t="s">
        <v>759</v>
      </c>
      <c r="X39" s="3101" t="s">
        <v>760</v>
      </c>
      <c r="Y39" s="3102" t="s">
        <v>761</v>
      </c>
      <c r="Z39" s="3103" t="s">
        <v>279</v>
      </c>
      <c r="AA39" s="3100" t="s">
        <v>759</v>
      </c>
      <c r="AB39" s="3101" t="s">
        <v>760</v>
      </c>
      <c r="AC39" s="3102" t="s">
        <v>761</v>
      </c>
      <c r="AD39" s="3103" t="s">
        <v>279</v>
      </c>
      <c r="AE39" s="3100" t="s">
        <v>759</v>
      </c>
      <c r="AF39" s="3101" t="s">
        <v>760</v>
      </c>
      <c r="AG39" s="3102" t="s">
        <v>761</v>
      </c>
      <c r="AH39" s="3103" t="s">
        <v>279</v>
      </c>
      <c r="AI39" s="3100" t="s">
        <v>759</v>
      </c>
      <c r="AJ39" s="3101" t="s">
        <v>760</v>
      </c>
      <c r="AK39" s="3102" t="s">
        <v>761</v>
      </c>
      <c r="AL39" s="3103" t="s">
        <v>279</v>
      </c>
      <c r="AM39" s="3100" t="s">
        <v>759</v>
      </c>
      <c r="AN39" s="3101" t="s">
        <v>760</v>
      </c>
      <c r="AO39" s="3102" t="s">
        <v>761</v>
      </c>
      <c r="AP39" s="3103" t="s">
        <v>279</v>
      </c>
      <c r="AQ39" s="3100" t="s">
        <v>759</v>
      </c>
      <c r="AR39" s="3101" t="s">
        <v>760</v>
      </c>
      <c r="AS39" s="3102" t="s">
        <v>761</v>
      </c>
      <c r="AT39" s="3103" t="s">
        <v>279</v>
      </c>
      <c r="AU39" s="3100" t="s">
        <v>759</v>
      </c>
      <c r="AV39" s="3101" t="s">
        <v>760</v>
      </c>
      <c r="AW39" s="3102" t="s">
        <v>761</v>
      </c>
      <c r="AX39" s="3103" t="s">
        <v>279</v>
      </c>
      <c r="AY39" s="3100" t="s">
        <v>759</v>
      </c>
      <c r="AZ39" s="3101" t="s">
        <v>760</v>
      </c>
      <c r="BA39" s="3102" t="s">
        <v>761</v>
      </c>
      <c r="BB39" s="3103" t="s">
        <v>279</v>
      </c>
      <c r="BC39" s="3100" t="s">
        <v>759</v>
      </c>
      <c r="BD39" s="3101" t="s">
        <v>760</v>
      </c>
      <c r="BE39" s="3102" t="s">
        <v>761</v>
      </c>
      <c r="BF39" s="3103" t="s">
        <v>279</v>
      </c>
      <c r="BG39" s="3100" t="s">
        <v>759</v>
      </c>
      <c r="BH39" s="3101" t="s">
        <v>760</v>
      </c>
      <c r="BI39" s="3102" t="s">
        <v>761</v>
      </c>
      <c r="BJ39" s="3103" t="s">
        <v>279</v>
      </c>
      <c r="BK39" s="3100" t="s">
        <v>759</v>
      </c>
      <c r="BL39" s="3101" t="s">
        <v>760</v>
      </c>
      <c r="BM39" s="3102" t="s">
        <v>761</v>
      </c>
      <c r="BN39" s="3103" t="s">
        <v>279</v>
      </c>
      <c r="BO39" s="3100" t="s">
        <v>759</v>
      </c>
      <c r="BP39" s="3101" t="s">
        <v>760</v>
      </c>
      <c r="BQ39" s="3102" t="s">
        <v>761</v>
      </c>
      <c r="BR39" s="3103" t="s">
        <v>279</v>
      </c>
      <c r="BS39" s="3100" t="s">
        <v>759</v>
      </c>
      <c r="BT39" s="3101" t="s">
        <v>760</v>
      </c>
      <c r="BU39" s="3102" t="s">
        <v>761</v>
      </c>
      <c r="BV39" s="3103" t="s">
        <v>279</v>
      </c>
      <c r="BW39" s="3100" t="s">
        <v>759</v>
      </c>
      <c r="BX39" s="3101" t="s">
        <v>760</v>
      </c>
      <c r="BY39" s="3102" t="s">
        <v>761</v>
      </c>
      <c r="BZ39" s="3103" t="s">
        <v>279</v>
      </c>
      <c r="CA39" s="3100" t="s">
        <v>759</v>
      </c>
      <c r="CB39" s="3101" t="s">
        <v>760</v>
      </c>
      <c r="CC39" s="3102" t="s">
        <v>761</v>
      </c>
      <c r="CD39" s="3103" t="s">
        <v>279</v>
      </c>
    </row>
    <row r="40" spans="1:82" x14ac:dyDescent="0.3">
      <c r="A40" s="3159"/>
      <c r="B40" s="3104"/>
      <c r="C40" s="3104"/>
      <c r="D40" s="3104"/>
      <c r="E40" s="3104"/>
      <c r="F40" s="3104"/>
      <c r="G40" s="3104"/>
      <c r="H40" s="3104"/>
      <c r="I40" s="3104"/>
      <c r="J40" s="3104"/>
      <c r="K40" s="3104"/>
      <c r="L40" s="3104"/>
      <c r="M40" s="3104"/>
      <c r="N40" s="3104"/>
      <c r="O40" s="3104"/>
      <c r="P40" s="3104"/>
      <c r="Q40" s="3104"/>
      <c r="R40" s="3104"/>
      <c r="S40" s="3104"/>
      <c r="T40" s="3104"/>
      <c r="U40" s="3104"/>
      <c r="V40" s="3104"/>
      <c r="W40" s="3104"/>
      <c r="X40" s="3104"/>
      <c r="Y40" s="3104"/>
      <c r="Z40" s="3104"/>
      <c r="AA40" s="3104"/>
      <c r="AB40" s="3104"/>
      <c r="AC40" s="3104"/>
      <c r="AD40" s="3104"/>
      <c r="AE40" s="3104"/>
      <c r="AF40" s="3104"/>
      <c r="AG40" s="3104"/>
      <c r="AH40" s="3104"/>
      <c r="AI40" s="3104"/>
      <c r="AJ40" s="3104"/>
      <c r="AK40" s="3104"/>
      <c r="AL40" s="3104"/>
      <c r="AM40" s="3104"/>
      <c r="AN40" s="3104"/>
      <c r="AO40" s="3104"/>
      <c r="AP40" s="3104"/>
      <c r="AQ40" s="3104"/>
      <c r="AR40" s="3104"/>
      <c r="AS40" s="3104"/>
      <c r="AT40" s="3104"/>
      <c r="AU40" s="3104"/>
      <c r="AV40" s="3104"/>
      <c r="AW40" s="3104"/>
      <c r="AX40" s="3104"/>
      <c r="AY40" s="3104"/>
      <c r="AZ40" s="3104"/>
      <c r="BA40" s="3104"/>
      <c r="BB40" s="3104"/>
      <c r="BC40" s="3104"/>
      <c r="BD40" s="3104"/>
      <c r="BE40" s="3104"/>
      <c r="BF40" s="3104"/>
      <c r="BG40" s="3104"/>
      <c r="BH40" s="3104"/>
      <c r="BI40" s="3104"/>
      <c r="BJ40" s="3104"/>
      <c r="BK40" s="3104"/>
      <c r="BL40" s="3104"/>
      <c r="BM40" s="3104"/>
      <c r="BN40" s="3104"/>
      <c r="BO40" s="3104"/>
      <c r="BP40" s="3104"/>
      <c r="BQ40" s="3104"/>
      <c r="BR40" s="3104"/>
      <c r="BS40" s="3104"/>
      <c r="BT40" s="3104"/>
      <c r="BU40" s="3104"/>
      <c r="BV40" s="3104"/>
      <c r="BW40" s="3104"/>
      <c r="BX40" s="3104"/>
      <c r="BY40" s="3104"/>
      <c r="BZ40" s="3104"/>
      <c r="CA40" s="3104"/>
      <c r="CB40" s="3104"/>
      <c r="CC40" s="3104"/>
      <c r="CD40" s="3104"/>
    </row>
    <row r="41" spans="1:82" ht="18" customHeight="1" x14ac:dyDescent="0.3">
      <c r="A41" s="3159"/>
      <c r="B41" s="3105" t="s">
        <v>59</v>
      </c>
      <c r="C41" s="3166">
        <v>1</v>
      </c>
      <c r="D41" s="3167">
        <v>31</v>
      </c>
      <c r="E41" s="3167">
        <v>279</v>
      </c>
      <c r="F41" s="3168">
        <v>311</v>
      </c>
      <c r="G41" s="3166">
        <v>6</v>
      </c>
      <c r="H41" s="3167">
        <v>17</v>
      </c>
      <c r="I41" s="3167">
        <v>299</v>
      </c>
      <c r="J41" s="3168">
        <v>322</v>
      </c>
      <c r="K41" s="3166">
        <v>8</v>
      </c>
      <c r="L41" s="3167">
        <v>18</v>
      </c>
      <c r="M41" s="3167">
        <v>303</v>
      </c>
      <c r="N41" s="3169">
        <v>329</v>
      </c>
      <c r="O41" s="3166">
        <v>6</v>
      </c>
      <c r="P41" s="3167">
        <v>22</v>
      </c>
      <c r="Q41" s="3167">
        <v>299</v>
      </c>
      <c r="R41" s="3168">
        <v>327</v>
      </c>
      <c r="S41" s="3167">
        <v>5</v>
      </c>
      <c r="T41" s="3167">
        <v>29</v>
      </c>
      <c r="U41" s="3167">
        <v>306</v>
      </c>
      <c r="V41" s="3168">
        <v>340</v>
      </c>
      <c r="W41" s="3167">
        <v>7</v>
      </c>
      <c r="X41" s="3167">
        <v>31</v>
      </c>
      <c r="Y41" s="3167">
        <v>303</v>
      </c>
      <c r="Z41" s="3168">
        <v>341</v>
      </c>
      <c r="AA41" s="3167">
        <v>10</v>
      </c>
      <c r="AB41" s="3167">
        <v>34</v>
      </c>
      <c r="AC41" s="3167">
        <v>300</v>
      </c>
      <c r="AD41" s="3168">
        <v>344</v>
      </c>
      <c r="AE41" s="3167">
        <v>8</v>
      </c>
      <c r="AF41" s="3167">
        <v>35</v>
      </c>
      <c r="AG41" s="3167">
        <v>299</v>
      </c>
      <c r="AH41" s="3168">
        <v>342</v>
      </c>
      <c r="AI41" s="3167">
        <v>6</v>
      </c>
      <c r="AJ41" s="3167">
        <v>32</v>
      </c>
      <c r="AK41" s="3167">
        <v>304</v>
      </c>
      <c r="AL41" s="3168">
        <f>SUM(AI41:AK41)</f>
        <v>342</v>
      </c>
      <c r="AM41" s="3167">
        <v>9</v>
      </c>
      <c r="AN41" s="3167">
        <v>34</v>
      </c>
      <c r="AO41" s="3167">
        <v>305</v>
      </c>
      <c r="AP41" s="3168">
        <f>SUM(AM41:AO41)</f>
        <v>348</v>
      </c>
      <c r="AQ41" s="3167">
        <v>7</v>
      </c>
      <c r="AR41" s="3167">
        <v>39</v>
      </c>
      <c r="AS41" s="3167">
        <v>303</v>
      </c>
      <c r="AT41" s="3168">
        <f>SUM(AQ41:AS41)</f>
        <v>349</v>
      </c>
      <c r="AU41" s="3167">
        <v>11</v>
      </c>
      <c r="AV41" s="3167">
        <v>41</v>
      </c>
      <c r="AW41" s="3167">
        <v>305</v>
      </c>
      <c r="AX41" s="3168">
        <f>SUM(AU41:AW41)</f>
        <v>357</v>
      </c>
      <c r="AY41" s="3167">
        <v>9</v>
      </c>
      <c r="AZ41" s="3167">
        <v>39</v>
      </c>
      <c r="BA41" s="3167">
        <v>303</v>
      </c>
      <c r="BB41" s="3168">
        <f>SUM(AY41:BA41)</f>
        <v>351</v>
      </c>
      <c r="BC41" s="3167">
        <v>9</v>
      </c>
      <c r="BD41" s="3167">
        <v>40</v>
      </c>
      <c r="BE41" s="3167">
        <v>299</v>
      </c>
      <c r="BF41" s="3168">
        <f>SUM(BC41:BE41)</f>
        <v>348</v>
      </c>
      <c r="BG41" s="3167">
        <v>13</v>
      </c>
      <c r="BH41" s="3167">
        <v>48</v>
      </c>
      <c r="BI41" s="3167">
        <v>294</v>
      </c>
      <c r="BJ41" s="3168">
        <f>SUM(BG41:BI41)</f>
        <v>355</v>
      </c>
      <c r="BK41" s="3167">
        <v>11</v>
      </c>
      <c r="BL41" s="3167">
        <v>55</v>
      </c>
      <c r="BM41" s="3167">
        <v>295</v>
      </c>
      <c r="BN41" s="3168">
        <f>SUM(BK41:BM41)</f>
        <v>361</v>
      </c>
      <c r="BO41" s="3167">
        <v>12</v>
      </c>
      <c r="BP41" s="3167">
        <v>60</v>
      </c>
      <c r="BQ41" s="3167">
        <v>292</v>
      </c>
      <c r="BR41" s="3168">
        <f>SUM(BO41:BQ41)</f>
        <v>364</v>
      </c>
      <c r="BS41" s="3167">
        <v>13</v>
      </c>
      <c r="BT41" s="3167">
        <v>53</v>
      </c>
      <c r="BU41" s="3167">
        <v>294</v>
      </c>
      <c r="BV41" s="3168">
        <f>SUM(BS41:BU41)</f>
        <v>360</v>
      </c>
      <c r="BW41" s="3167">
        <v>12</v>
      </c>
      <c r="BX41" s="3167">
        <v>48</v>
      </c>
      <c r="BY41" s="3167">
        <v>293</v>
      </c>
      <c r="BZ41" s="3168">
        <f>SUM(BW41:BY41)</f>
        <v>353</v>
      </c>
      <c r="CA41" s="3167">
        <v>10</v>
      </c>
      <c r="CB41" s="3167">
        <v>43</v>
      </c>
      <c r="CC41" s="3167">
        <v>296</v>
      </c>
      <c r="CD41" s="3168">
        <f>SUM(CA41:CC41)</f>
        <v>349</v>
      </c>
    </row>
    <row r="42" spans="1:82" ht="18" customHeight="1" x14ac:dyDescent="0.3">
      <c r="A42" s="3159"/>
      <c r="B42" s="3110" t="s">
        <v>64</v>
      </c>
      <c r="C42" s="3170">
        <v>7</v>
      </c>
      <c r="D42" s="3171">
        <v>27</v>
      </c>
      <c r="E42" s="3171">
        <v>271</v>
      </c>
      <c r="F42" s="3172">
        <v>305</v>
      </c>
      <c r="G42" s="3170">
        <v>2</v>
      </c>
      <c r="H42" s="3171">
        <v>16</v>
      </c>
      <c r="I42" s="3171">
        <v>286</v>
      </c>
      <c r="J42" s="3172">
        <v>304</v>
      </c>
      <c r="K42" s="3170">
        <v>2</v>
      </c>
      <c r="L42" s="3171">
        <v>18</v>
      </c>
      <c r="M42" s="3171">
        <v>285</v>
      </c>
      <c r="N42" s="3173">
        <v>305</v>
      </c>
      <c r="O42" s="3170">
        <v>6</v>
      </c>
      <c r="P42" s="3171">
        <v>25</v>
      </c>
      <c r="Q42" s="3171">
        <v>279</v>
      </c>
      <c r="R42" s="3172">
        <v>310</v>
      </c>
      <c r="S42" s="3171">
        <v>3</v>
      </c>
      <c r="T42" s="3171">
        <v>26</v>
      </c>
      <c r="U42" s="3171">
        <v>285</v>
      </c>
      <c r="V42" s="3172">
        <v>314</v>
      </c>
      <c r="W42" s="3171">
        <v>4</v>
      </c>
      <c r="X42" s="3171">
        <v>27</v>
      </c>
      <c r="Y42" s="3171">
        <v>283</v>
      </c>
      <c r="Z42" s="3172">
        <v>314</v>
      </c>
      <c r="AA42" s="3171">
        <v>6</v>
      </c>
      <c r="AB42" s="3171">
        <v>24</v>
      </c>
      <c r="AC42" s="3171">
        <v>282</v>
      </c>
      <c r="AD42" s="3172">
        <v>312</v>
      </c>
      <c r="AE42" s="3171">
        <v>5</v>
      </c>
      <c r="AF42" s="3171">
        <v>23</v>
      </c>
      <c r="AG42" s="3171">
        <v>280</v>
      </c>
      <c r="AH42" s="3172">
        <v>308</v>
      </c>
      <c r="AI42" s="3171">
        <v>3</v>
      </c>
      <c r="AJ42" s="3171">
        <v>32</v>
      </c>
      <c r="AK42" s="3171">
        <v>280</v>
      </c>
      <c r="AL42" s="3172">
        <f>SUM(AI42:AK42)</f>
        <v>315</v>
      </c>
      <c r="AM42" s="3171">
        <v>3</v>
      </c>
      <c r="AN42" s="3171">
        <v>36</v>
      </c>
      <c r="AO42" s="3171">
        <v>275</v>
      </c>
      <c r="AP42" s="3172">
        <f>SUM(AM42:AO42)</f>
        <v>314</v>
      </c>
      <c r="AQ42" s="3171">
        <v>8</v>
      </c>
      <c r="AR42" s="3171">
        <v>40</v>
      </c>
      <c r="AS42" s="3171">
        <v>278</v>
      </c>
      <c r="AT42" s="3172">
        <f>SUM(AQ42:AS42)</f>
        <v>326</v>
      </c>
      <c r="AU42" s="3171">
        <v>7</v>
      </c>
      <c r="AV42" s="3171">
        <v>40</v>
      </c>
      <c r="AW42" s="3171">
        <v>278</v>
      </c>
      <c r="AX42" s="3172">
        <f>SUM(AU42:AW42)</f>
        <v>325</v>
      </c>
      <c r="AY42" s="3171">
        <v>4</v>
      </c>
      <c r="AZ42" s="3171">
        <v>40</v>
      </c>
      <c r="BA42" s="3171">
        <v>275</v>
      </c>
      <c r="BB42" s="3172">
        <f>SUM(AY42:BA42)</f>
        <v>319</v>
      </c>
      <c r="BC42" s="3171">
        <v>4</v>
      </c>
      <c r="BD42" s="3171">
        <v>35</v>
      </c>
      <c r="BE42" s="3171">
        <v>272</v>
      </c>
      <c r="BF42" s="3172">
        <f>SUM(BC42:BE42)</f>
        <v>311</v>
      </c>
      <c r="BG42" s="3171">
        <v>8</v>
      </c>
      <c r="BH42" s="3171">
        <v>39</v>
      </c>
      <c r="BI42" s="3171">
        <v>276</v>
      </c>
      <c r="BJ42" s="3172">
        <f>SUM(BG42:BI42)</f>
        <v>323</v>
      </c>
      <c r="BK42" s="3171">
        <v>10</v>
      </c>
      <c r="BL42" s="3171">
        <v>39</v>
      </c>
      <c r="BM42" s="3171">
        <v>281</v>
      </c>
      <c r="BN42" s="3172">
        <f>SUM(BK42:BM42)</f>
        <v>330</v>
      </c>
      <c r="BO42" s="3171">
        <v>7</v>
      </c>
      <c r="BP42" s="3171">
        <v>39</v>
      </c>
      <c r="BQ42" s="3171">
        <v>277</v>
      </c>
      <c r="BR42" s="3172">
        <f>SUM(BO42:BQ42)</f>
        <v>323</v>
      </c>
      <c r="BS42" s="3171">
        <v>7</v>
      </c>
      <c r="BT42" s="3171">
        <v>38</v>
      </c>
      <c r="BU42" s="3171">
        <v>272</v>
      </c>
      <c r="BV42" s="3172">
        <f>SUM(BS42:BU42)</f>
        <v>317</v>
      </c>
      <c r="BW42" s="3171">
        <v>6</v>
      </c>
      <c r="BX42" s="3171">
        <v>38</v>
      </c>
      <c r="BY42" s="3171">
        <v>267</v>
      </c>
      <c r="BZ42" s="3172">
        <f>SUM(BW42:BY42)</f>
        <v>311</v>
      </c>
      <c r="CA42" s="3171">
        <v>6</v>
      </c>
      <c r="CB42" s="3171">
        <v>40</v>
      </c>
      <c r="CC42" s="3171">
        <v>258</v>
      </c>
      <c r="CD42" s="3172">
        <f>SUM(CA42:CC42)</f>
        <v>304</v>
      </c>
    </row>
    <row r="43" spans="1:82" ht="18" customHeight="1" x14ac:dyDescent="0.3">
      <c r="A43" s="3159"/>
      <c r="B43" s="3115" t="s">
        <v>68</v>
      </c>
      <c r="C43" s="3174">
        <v>2</v>
      </c>
      <c r="D43" s="3175">
        <v>10</v>
      </c>
      <c r="E43" s="3175">
        <v>172</v>
      </c>
      <c r="F43" s="3176">
        <v>184</v>
      </c>
      <c r="G43" s="3174">
        <v>3</v>
      </c>
      <c r="H43" s="3175">
        <v>6</v>
      </c>
      <c r="I43" s="3175">
        <v>174</v>
      </c>
      <c r="J43" s="3176">
        <v>183</v>
      </c>
      <c r="K43" s="3174">
        <v>5</v>
      </c>
      <c r="L43" s="3175">
        <v>6</v>
      </c>
      <c r="M43" s="3175">
        <v>178</v>
      </c>
      <c r="N43" s="3177">
        <v>189</v>
      </c>
      <c r="O43" s="3174">
        <v>7</v>
      </c>
      <c r="P43" s="3175">
        <v>6</v>
      </c>
      <c r="Q43" s="3175">
        <v>175</v>
      </c>
      <c r="R43" s="3176">
        <v>188</v>
      </c>
      <c r="S43" s="3175">
        <v>9</v>
      </c>
      <c r="T43" s="3175">
        <v>9</v>
      </c>
      <c r="U43" s="3175">
        <v>164</v>
      </c>
      <c r="V43" s="3176">
        <v>182</v>
      </c>
      <c r="W43" s="3175">
        <v>7</v>
      </c>
      <c r="X43" s="3175">
        <v>16</v>
      </c>
      <c r="Y43" s="3175">
        <v>160</v>
      </c>
      <c r="Z43" s="3176">
        <v>183</v>
      </c>
      <c r="AA43" s="3175">
        <v>7</v>
      </c>
      <c r="AB43" s="3175">
        <v>23</v>
      </c>
      <c r="AC43" s="3175">
        <v>160</v>
      </c>
      <c r="AD43" s="3176">
        <v>190</v>
      </c>
      <c r="AE43" s="3175">
        <v>8</v>
      </c>
      <c r="AF43" s="3175">
        <v>27</v>
      </c>
      <c r="AG43" s="3175">
        <v>164</v>
      </c>
      <c r="AH43" s="3176">
        <v>199</v>
      </c>
      <c r="AI43" s="3175">
        <v>5</v>
      </c>
      <c r="AJ43" s="3175">
        <v>24</v>
      </c>
      <c r="AK43" s="3175">
        <v>172</v>
      </c>
      <c r="AL43" s="3176">
        <f>SUM(AI43:AK43)</f>
        <v>201</v>
      </c>
      <c r="AM43" s="3175">
        <v>2</v>
      </c>
      <c r="AN43" s="3175">
        <v>24</v>
      </c>
      <c r="AO43" s="3175">
        <v>180</v>
      </c>
      <c r="AP43" s="3176">
        <f>SUM(AM43:AO43)</f>
        <v>206</v>
      </c>
      <c r="AQ43" s="3175">
        <v>2</v>
      </c>
      <c r="AR43" s="3175">
        <v>23</v>
      </c>
      <c r="AS43" s="3175">
        <v>186</v>
      </c>
      <c r="AT43" s="3176">
        <f>SUM(AQ43:AS43)</f>
        <v>211</v>
      </c>
      <c r="AU43" s="3175">
        <v>2</v>
      </c>
      <c r="AV43" s="3175">
        <v>28</v>
      </c>
      <c r="AW43" s="3175">
        <v>191</v>
      </c>
      <c r="AX43" s="3176">
        <f>SUM(AU43:AW43)</f>
        <v>221</v>
      </c>
      <c r="AY43" s="3175">
        <v>2</v>
      </c>
      <c r="AZ43" s="3175">
        <v>24</v>
      </c>
      <c r="BA43" s="3175">
        <v>189</v>
      </c>
      <c r="BB43" s="3176">
        <f>SUM(AY43:BA43)</f>
        <v>215</v>
      </c>
      <c r="BC43" s="3175">
        <v>2</v>
      </c>
      <c r="BD43" s="3175">
        <v>26</v>
      </c>
      <c r="BE43" s="3175">
        <v>185</v>
      </c>
      <c r="BF43" s="3176">
        <f>SUM(BC43:BE43)</f>
        <v>213</v>
      </c>
      <c r="BG43" s="3175">
        <v>2</v>
      </c>
      <c r="BH43" s="3175">
        <v>26</v>
      </c>
      <c r="BI43" s="3175">
        <v>181</v>
      </c>
      <c r="BJ43" s="3176">
        <f>SUM(BG43:BI43)</f>
        <v>209</v>
      </c>
      <c r="BK43" s="3175">
        <v>2</v>
      </c>
      <c r="BL43" s="3175">
        <v>25</v>
      </c>
      <c r="BM43" s="3175">
        <v>186</v>
      </c>
      <c r="BN43" s="3176">
        <f>SUM(BK43:BM43)</f>
        <v>213</v>
      </c>
      <c r="BO43" s="3175">
        <v>2</v>
      </c>
      <c r="BP43" s="3175">
        <v>23</v>
      </c>
      <c r="BQ43" s="3175">
        <v>184</v>
      </c>
      <c r="BR43" s="3176">
        <f>SUM(BO43:BQ43)</f>
        <v>209</v>
      </c>
      <c r="BS43" s="3175">
        <v>2</v>
      </c>
      <c r="BT43" s="3175">
        <v>27</v>
      </c>
      <c r="BU43" s="3175">
        <v>180</v>
      </c>
      <c r="BV43" s="3176">
        <f>SUM(BS43:BU43)</f>
        <v>209</v>
      </c>
      <c r="BW43" s="3175">
        <v>1</v>
      </c>
      <c r="BX43" s="3175">
        <v>19</v>
      </c>
      <c r="BY43" s="3175">
        <v>185</v>
      </c>
      <c r="BZ43" s="3176">
        <f>SUM(BW43:BY43)</f>
        <v>205</v>
      </c>
      <c r="CA43" s="3175">
        <v>1</v>
      </c>
      <c r="CB43" s="3175">
        <v>21</v>
      </c>
      <c r="CC43" s="3175">
        <v>179</v>
      </c>
      <c r="CD43" s="3176">
        <f>SUM(CA43:CC43)</f>
        <v>201</v>
      </c>
    </row>
    <row r="44" spans="1:82" ht="18" customHeight="1" x14ac:dyDescent="0.3">
      <c r="A44" s="3159"/>
      <c r="B44" s="3118" t="s">
        <v>138</v>
      </c>
      <c r="C44" s="3178">
        <v>10</v>
      </c>
      <c r="D44" s="3179">
        <v>68</v>
      </c>
      <c r="E44" s="3179">
        <v>722</v>
      </c>
      <c r="F44" s="3180">
        <v>800</v>
      </c>
      <c r="G44" s="3178">
        <v>11</v>
      </c>
      <c r="H44" s="3179">
        <v>39</v>
      </c>
      <c r="I44" s="3179">
        <v>759</v>
      </c>
      <c r="J44" s="3180">
        <v>809</v>
      </c>
      <c r="K44" s="3178">
        <v>15</v>
      </c>
      <c r="L44" s="3179">
        <v>42</v>
      </c>
      <c r="M44" s="3179">
        <v>766</v>
      </c>
      <c r="N44" s="3179">
        <v>823</v>
      </c>
      <c r="O44" s="3178">
        <v>19</v>
      </c>
      <c r="P44" s="3179">
        <v>53</v>
      </c>
      <c r="Q44" s="3179">
        <v>753</v>
      </c>
      <c r="R44" s="3180">
        <v>825</v>
      </c>
      <c r="S44" s="3179">
        <v>17</v>
      </c>
      <c r="T44" s="3179">
        <v>64</v>
      </c>
      <c r="U44" s="3179">
        <v>755</v>
      </c>
      <c r="V44" s="3180">
        <v>836</v>
      </c>
      <c r="W44" s="3178">
        <v>18</v>
      </c>
      <c r="X44" s="3179">
        <v>74</v>
      </c>
      <c r="Y44" s="3179">
        <v>746</v>
      </c>
      <c r="Z44" s="3180">
        <v>838</v>
      </c>
      <c r="AA44" s="3178">
        <v>23</v>
      </c>
      <c r="AB44" s="3179">
        <v>81</v>
      </c>
      <c r="AC44" s="3179">
        <v>742</v>
      </c>
      <c r="AD44" s="3180">
        <v>846</v>
      </c>
      <c r="AE44" s="3178">
        <v>21</v>
      </c>
      <c r="AF44" s="3179">
        <v>85</v>
      </c>
      <c r="AG44" s="3179">
        <v>743</v>
      </c>
      <c r="AH44" s="3180">
        <v>849</v>
      </c>
      <c r="AI44" s="3178">
        <f t="shared" ref="AI44:BV44" si="84">SUM(AI41:AI43)</f>
        <v>14</v>
      </c>
      <c r="AJ44" s="3179">
        <f t="shared" si="84"/>
        <v>88</v>
      </c>
      <c r="AK44" s="3179">
        <f t="shared" si="84"/>
        <v>756</v>
      </c>
      <c r="AL44" s="3180">
        <f t="shared" si="84"/>
        <v>858</v>
      </c>
      <c r="AM44" s="3178">
        <f t="shared" si="84"/>
        <v>14</v>
      </c>
      <c r="AN44" s="3179">
        <f t="shared" si="84"/>
        <v>94</v>
      </c>
      <c r="AO44" s="3179">
        <f t="shared" si="84"/>
        <v>760</v>
      </c>
      <c r="AP44" s="3180">
        <f t="shared" si="84"/>
        <v>868</v>
      </c>
      <c r="AQ44" s="3178">
        <f t="shared" si="84"/>
        <v>17</v>
      </c>
      <c r="AR44" s="3179">
        <f t="shared" si="84"/>
        <v>102</v>
      </c>
      <c r="AS44" s="3179">
        <f t="shared" si="84"/>
        <v>767</v>
      </c>
      <c r="AT44" s="3180">
        <f t="shared" si="84"/>
        <v>886</v>
      </c>
      <c r="AU44" s="3178">
        <f t="shared" si="84"/>
        <v>20</v>
      </c>
      <c r="AV44" s="3179">
        <f t="shared" si="84"/>
        <v>109</v>
      </c>
      <c r="AW44" s="3179">
        <f t="shared" si="84"/>
        <v>774</v>
      </c>
      <c r="AX44" s="3180">
        <f t="shared" si="84"/>
        <v>903</v>
      </c>
      <c r="AY44" s="3178">
        <f t="shared" si="84"/>
        <v>15</v>
      </c>
      <c r="AZ44" s="3179">
        <f t="shared" si="84"/>
        <v>103</v>
      </c>
      <c r="BA44" s="3179">
        <f t="shared" si="84"/>
        <v>767</v>
      </c>
      <c r="BB44" s="3180">
        <f t="shared" si="84"/>
        <v>885</v>
      </c>
      <c r="BC44" s="3178">
        <f t="shared" si="84"/>
        <v>15</v>
      </c>
      <c r="BD44" s="3179">
        <f t="shared" si="84"/>
        <v>101</v>
      </c>
      <c r="BE44" s="3179">
        <f t="shared" si="84"/>
        <v>756</v>
      </c>
      <c r="BF44" s="3180">
        <f t="shared" si="84"/>
        <v>872</v>
      </c>
      <c r="BG44" s="3178">
        <f t="shared" si="84"/>
        <v>23</v>
      </c>
      <c r="BH44" s="3179">
        <f t="shared" si="84"/>
        <v>113</v>
      </c>
      <c r="BI44" s="3179">
        <f t="shared" si="84"/>
        <v>751</v>
      </c>
      <c r="BJ44" s="3180">
        <f t="shared" si="84"/>
        <v>887</v>
      </c>
      <c r="BK44" s="3178">
        <f t="shared" si="84"/>
        <v>23</v>
      </c>
      <c r="BL44" s="3179">
        <f t="shared" si="84"/>
        <v>119</v>
      </c>
      <c r="BM44" s="3179">
        <f t="shared" si="84"/>
        <v>762</v>
      </c>
      <c r="BN44" s="3180">
        <f t="shared" si="84"/>
        <v>904</v>
      </c>
      <c r="BO44" s="3178">
        <f t="shared" si="84"/>
        <v>21</v>
      </c>
      <c r="BP44" s="3179">
        <f t="shared" si="84"/>
        <v>122</v>
      </c>
      <c r="BQ44" s="3179">
        <f t="shared" si="84"/>
        <v>753</v>
      </c>
      <c r="BR44" s="3180">
        <f t="shared" si="84"/>
        <v>896</v>
      </c>
      <c r="BS44" s="3178">
        <f t="shared" si="84"/>
        <v>22</v>
      </c>
      <c r="BT44" s="3179">
        <f t="shared" si="84"/>
        <v>118</v>
      </c>
      <c r="BU44" s="3179">
        <f t="shared" si="84"/>
        <v>746</v>
      </c>
      <c r="BV44" s="3180">
        <f t="shared" si="84"/>
        <v>886</v>
      </c>
      <c r="BW44" s="3178">
        <f t="shared" ref="BW44:BZ44" si="85">SUM(BW41:BW43)</f>
        <v>19</v>
      </c>
      <c r="BX44" s="3179">
        <f t="shared" si="85"/>
        <v>105</v>
      </c>
      <c r="BY44" s="3179">
        <f t="shared" si="85"/>
        <v>745</v>
      </c>
      <c r="BZ44" s="3180">
        <f t="shared" si="85"/>
        <v>869</v>
      </c>
      <c r="CA44" s="3178">
        <f t="shared" ref="CA44:CD44" si="86">SUM(CA41:CA43)</f>
        <v>17</v>
      </c>
      <c r="CB44" s="3179">
        <f t="shared" si="86"/>
        <v>104</v>
      </c>
      <c r="CC44" s="3179">
        <f t="shared" si="86"/>
        <v>733</v>
      </c>
      <c r="CD44" s="3180">
        <f t="shared" si="86"/>
        <v>854</v>
      </c>
    </row>
    <row r="45" spans="1:82" ht="18" customHeight="1" x14ac:dyDescent="0.3">
      <c r="A45" s="3159"/>
      <c r="B45" s="3104"/>
      <c r="C45" s="3104"/>
      <c r="D45" s="3104"/>
      <c r="E45" s="3104"/>
      <c r="F45" s="3104"/>
      <c r="G45" s="3104"/>
      <c r="H45" s="3104"/>
      <c r="I45" s="3104"/>
      <c r="J45" s="3104"/>
      <c r="K45" s="3104"/>
      <c r="L45" s="3104"/>
      <c r="M45" s="3104"/>
      <c r="N45" s="3104"/>
      <c r="O45" s="3104"/>
      <c r="P45" s="3104"/>
      <c r="Q45" s="3104"/>
      <c r="R45" s="3104"/>
      <c r="S45" s="3104"/>
      <c r="T45" s="3104"/>
      <c r="U45" s="3104"/>
      <c r="V45" s="3104"/>
      <c r="W45" s="3104"/>
      <c r="X45" s="3104"/>
      <c r="Y45" s="3104"/>
      <c r="Z45" s="3104"/>
      <c r="AA45" s="3104"/>
      <c r="AB45" s="3104"/>
      <c r="AC45" s="3104"/>
      <c r="AD45" s="3104"/>
      <c r="AE45" s="3104"/>
      <c r="AF45" s="3104"/>
      <c r="AG45" s="3104"/>
      <c r="AH45" s="3104"/>
      <c r="AI45" s="3104"/>
      <c r="AJ45" s="3104"/>
      <c r="AK45" s="3104"/>
      <c r="AL45" s="3104"/>
      <c r="AM45" s="3104"/>
      <c r="AN45" s="3104"/>
      <c r="AO45" s="3104"/>
      <c r="AP45" s="3104"/>
      <c r="AQ45" s="3104"/>
      <c r="AR45" s="3104"/>
      <c r="AS45" s="3104"/>
      <c r="AT45" s="3104"/>
      <c r="AU45" s="3104"/>
      <c r="AV45" s="3104"/>
      <c r="AW45" s="3104"/>
      <c r="AX45" s="3104"/>
      <c r="AY45" s="3104"/>
      <c r="AZ45" s="3104"/>
      <c r="BA45" s="3104"/>
      <c r="BB45" s="3104"/>
      <c r="BC45" s="3104"/>
      <c r="BD45" s="3104"/>
      <c r="BE45" s="3104"/>
      <c r="BF45" s="3104"/>
      <c r="BG45" s="3104"/>
      <c r="BH45" s="3104"/>
      <c r="BI45" s="3104"/>
      <c r="BJ45" s="3104"/>
      <c r="BK45" s="3104"/>
      <c r="BL45" s="3104"/>
      <c r="BM45" s="3104"/>
      <c r="BN45" s="3104"/>
      <c r="BO45" s="3104"/>
      <c r="BP45" s="3104"/>
      <c r="BQ45" s="3104"/>
      <c r="BR45" s="3104"/>
      <c r="BS45" s="3104"/>
      <c r="BT45" s="3104"/>
      <c r="BU45" s="3104"/>
      <c r="BV45" s="3104"/>
      <c r="BW45" s="3104"/>
      <c r="BX45" s="3104"/>
      <c r="BY45" s="3104"/>
      <c r="BZ45" s="3104"/>
      <c r="CA45" s="3104"/>
      <c r="CB45" s="3104"/>
      <c r="CC45" s="3104"/>
      <c r="CD45" s="3104"/>
    </row>
    <row r="46" spans="1:82" ht="18" customHeight="1" x14ac:dyDescent="0.3">
      <c r="A46" s="3159"/>
      <c r="B46" s="3105" t="s">
        <v>64</v>
      </c>
      <c r="C46" s="3181"/>
      <c r="D46" s="3182"/>
      <c r="E46" s="3182"/>
      <c r="F46" s="3183"/>
      <c r="G46" s="3181"/>
      <c r="H46" s="3182"/>
      <c r="I46" s="3182"/>
      <c r="J46" s="3183"/>
      <c r="K46" s="3181"/>
      <c r="L46" s="3182"/>
      <c r="M46" s="3167">
        <v>4</v>
      </c>
      <c r="N46" s="3169">
        <v>4</v>
      </c>
      <c r="O46" s="3166"/>
      <c r="P46" s="3167"/>
      <c r="Q46" s="3167">
        <v>7</v>
      </c>
      <c r="R46" s="3168">
        <v>7</v>
      </c>
      <c r="S46" s="3167"/>
      <c r="T46" s="3167"/>
      <c r="U46" s="3167">
        <v>21</v>
      </c>
      <c r="V46" s="3168">
        <v>21</v>
      </c>
      <c r="W46" s="3167"/>
      <c r="X46" s="3167"/>
      <c r="Y46" s="3167">
        <v>23</v>
      </c>
      <c r="Z46" s="3168">
        <f>SUM(W46:Y46)</f>
        <v>23</v>
      </c>
      <c r="AA46" s="3167"/>
      <c r="AB46" s="3167"/>
      <c r="AC46" s="3167">
        <v>28</v>
      </c>
      <c r="AD46" s="3168">
        <v>28</v>
      </c>
      <c r="AE46" s="3167"/>
      <c r="AF46" s="3167"/>
      <c r="AG46" s="3167">
        <v>38</v>
      </c>
      <c r="AH46" s="3168">
        <v>38</v>
      </c>
      <c r="AI46" s="3167"/>
      <c r="AJ46" s="3167"/>
      <c r="AK46" s="3167">
        <v>45</v>
      </c>
      <c r="AL46" s="3168">
        <f>SUM(AI46:AK46)</f>
        <v>45</v>
      </c>
      <c r="AM46" s="3167"/>
      <c r="AN46" s="3167">
        <v>1</v>
      </c>
      <c r="AO46" s="3167">
        <v>41</v>
      </c>
      <c r="AP46" s="3168">
        <f>SUM(AM46:AO46)</f>
        <v>42</v>
      </c>
      <c r="AQ46" s="3167"/>
      <c r="AR46" s="3167">
        <v>1</v>
      </c>
      <c r="AS46" s="3167">
        <v>45</v>
      </c>
      <c r="AT46" s="3168">
        <f>SUM(AQ46:AS46)</f>
        <v>46</v>
      </c>
      <c r="AU46" s="3167"/>
      <c r="AV46" s="3167">
        <v>1</v>
      </c>
      <c r="AW46" s="3167">
        <v>48</v>
      </c>
      <c r="AX46" s="3168">
        <f>SUM(AU46:AW46)</f>
        <v>49</v>
      </c>
      <c r="AY46" s="3167"/>
      <c r="AZ46" s="3167">
        <v>2</v>
      </c>
      <c r="BA46" s="3167">
        <v>48</v>
      </c>
      <c r="BB46" s="3168">
        <f>SUM(AY46:BA46)</f>
        <v>50</v>
      </c>
      <c r="BC46" s="3167"/>
      <c r="BD46" s="3167">
        <v>1</v>
      </c>
      <c r="BE46" s="3167">
        <v>53</v>
      </c>
      <c r="BF46" s="3168">
        <f>SUM(BC46:BE46)</f>
        <v>54</v>
      </c>
      <c r="BG46" s="3167"/>
      <c r="BH46" s="3167">
        <v>1</v>
      </c>
      <c r="BI46" s="3167">
        <v>60</v>
      </c>
      <c r="BJ46" s="3168">
        <f>SUM(BG46:BI46)</f>
        <v>61</v>
      </c>
      <c r="BK46" s="3167">
        <v>0</v>
      </c>
      <c r="BL46" s="3167">
        <v>0</v>
      </c>
      <c r="BM46" s="3167">
        <v>60</v>
      </c>
      <c r="BN46" s="3168">
        <f>SUM(BK46:BM46)</f>
        <v>60</v>
      </c>
      <c r="BO46" s="3167">
        <f>SUM(BO81,BO116,BO151)</f>
        <v>0</v>
      </c>
      <c r="BP46" s="3167">
        <f>SUM(BP81,BP116,BP151)</f>
        <v>0</v>
      </c>
      <c r="BQ46" s="3167">
        <v>59</v>
      </c>
      <c r="BR46" s="3168">
        <f>SUM(BO46:BQ46)</f>
        <v>59</v>
      </c>
      <c r="BS46" s="3167"/>
      <c r="BT46" s="3167">
        <v>1</v>
      </c>
      <c r="BU46" s="3167">
        <v>58</v>
      </c>
      <c r="BV46" s="3168">
        <f>SUM(BS46:BU46)</f>
        <v>59</v>
      </c>
      <c r="BW46" s="3167">
        <v>0</v>
      </c>
      <c r="BX46" s="3167">
        <v>1</v>
      </c>
      <c r="BY46" s="3167">
        <v>58</v>
      </c>
      <c r="BZ46" s="3168">
        <f>SUM(BW46:BY46)</f>
        <v>59</v>
      </c>
      <c r="CA46" s="3167"/>
      <c r="CB46" s="3167">
        <v>1</v>
      </c>
      <c r="CC46" s="3167">
        <v>58</v>
      </c>
      <c r="CD46" s="3168">
        <f>SUM(CA46:CC46)</f>
        <v>59</v>
      </c>
    </row>
    <row r="47" spans="1:82" ht="18" customHeight="1" x14ac:dyDescent="0.3">
      <c r="A47" s="3159"/>
      <c r="B47" s="3110" t="s">
        <v>111</v>
      </c>
      <c r="C47" s="3184"/>
      <c r="D47" s="3185"/>
      <c r="E47" s="3185"/>
      <c r="F47" s="3186"/>
      <c r="G47" s="3184"/>
      <c r="H47" s="3185"/>
      <c r="I47" s="3185"/>
      <c r="J47" s="3186"/>
      <c r="K47" s="3184"/>
      <c r="L47" s="3185"/>
      <c r="M47" s="3171">
        <v>3</v>
      </c>
      <c r="N47" s="3173">
        <v>3</v>
      </c>
      <c r="O47" s="3170"/>
      <c r="P47" s="3171">
        <v>1</v>
      </c>
      <c r="Q47" s="3171">
        <v>8</v>
      </c>
      <c r="R47" s="3172">
        <v>9</v>
      </c>
      <c r="S47" s="3171"/>
      <c r="T47" s="3171"/>
      <c r="U47" s="3171">
        <v>13</v>
      </c>
      <c r="V47" s="3172">
        <v>13</v>
      </c>
      <c r="W47" s="3171"/>
      <c r="X47" s="3171">
        <v>5</v>
      </c>
      <c r="Y47" s="3171">
        <v>19</v>
      </c>
      <c r="Z47" s="3172">
        <f>SUM(W47:Y47)</f>
        <v>24</v>
      </c>
      <c r="AA47" s="3171"/>
      <c r="AB47" s="3171">
        <v>6</v>
      </c>
      <c r="AC47" s="3171">
        <v>24</v>
      </c>
      <c r="AD47" s="3172">
        <v>30</v>
      </c>
      <c r="AE47" s="3171"/>
      <c r="AF47" s="3171">
        <v>7</v>
      </c>
      <c r="AG47" s="3171">
        <v>31</v>
      </c>
      <c r="AH47" s="3172">
        <v>38</v>
      </c>
      <c r="AI47" s="3171"/>
      <c r="AJ47" s="3171">
        <v>6</v>
      </c>
      <c r="AK47" s="3171">
        <v>35</v>
      </c>
      <c r="AL47" s="3172">
        <f>SUM(AI47:AK47)</f>
        <v>41</v>
      </c>
      <c r="AM47" s="3171"/>
      <c r="AN47" s="3171">
        <v>12</v>
      </c>
      <c r="AO47" s="3171">
        <v>40</v>
      </c>
      <c r="AP47" s="3172">
        <f>SUM(AM47:AO47)</f>
        <v>52</v>
      </c>
      <c r="AQ47" s="3171"/>
      <c r="AR47" s="3171">
        <v>13</v>
      </c>
      <c r="AS47" s="3171">
        <v>38</v>
      </c>
      <c r="AT47" s="3172">
        <f>SUM(AQ47:AS47)</f>
        <v>51</v>
      </c>
      <c r="AU47" s="3171"/>
      <c r="AV47" s="3171">
        <v>13</v>
      </c>
      <c r="AW47" s="3171">
        <v>39</v>
      </c>
      <c r="AX47" s="3172">
        <f>SUM(AU47:AW47)</f>
        <v>52</v>
      </c>
      <c r="AY47" s="3171"/>
      <c r="AZ47" s="3171">
        <v>12</v>
      </c>
      <c r="BA47" s="3171">
        <v>42</v>
      </c>
      <c r="BB47" s="3172">
        <f>SUM(AY47:BA47)</f>
        <v>54</v>
      </c>
      <c r="BC47" s="3171"/>
      <c r="BD47" s="3171">
        <v>10</v>
      </c>
      <c r="BE47" s="3171">
        <v>43</v>
      </c>
      <c r="BF47" s="3172">
        <f>SUM(BC47:BE47)</f>
        <v>53</v>
      </c>
      <c r="BG47" s="3171"/>
      <c r="BH47" s="3171">
        <v>9</v>
      </c>
      <c r="BI47" s="3171">
        <v>45</v>
      </c>
      <c r="BJ47" s="3172">
        <f>SUM(BG47:BI47)</f>
        <v>54</v>
      </c>
      <c r="BK47" s="3171">
        <v>0</v>
      </c>
      <c r="BL47" s="3171">
        <v>10</v>
      </c>
      <c r="BM47" s="3171">
        <v>41</v>
      </c>
      <c r="BN47" s="3172">
        <f>SUM(BK47:BM47)</f>
        <v>51</v>
      </c>
      <c r="BO47" s="3171">
        <v>0</v>
      </c>
      <c r="BP47" s="3171">
        <v>10</v>
      </c>
      <c r="BQ47" s="3171">
        <v>43</v>
      </c>
      <c r="BR47" s="3172">
        <f>SUM(BO47:BQ47)</f>
        <v>53</v>
      </c>
      <c r="BS47" s="3171"/>
      <c r="BT47" s="3171">
        <v>9</v>
      </c>
      <c r="BU47" s="3171">
        <v>46</v>
      </c>
      <c r="BV47" s="3172">
        <f>SUM(BS47:BU47)</f>
        <v>55</v>
      </c>
      <c r="BW47" s="3171">
        <v>0</v>
      </c>
      <c r="BX47" s="3171">
        <v>7</v>
      </c>
      <c r="BY47" s="3171">
        <v>50</v>
      </c>
      <c r="BZ47" s="3172">
        <f>SUM(BW47:BY47)</f>
        <v>57</v>
      </c>
      <c r="CA47" s="3171"/>
      <c r="CB47" s="3171">
        <v>7</v>
      </c>
      <c r="CC47" s="3171">
        <v>52</v>
      </c>
      <c r="CD47" s="3172">
        <f>SUM(CA47:CC47)</f>
        <v>59</v>
      </c>
    </row>
    <row r="48" spans="1:82" ht="18" customHeight="1" x14ac:dyDescent="0.3">
      <c r="A48" s="3159"/>
      <c r="B48" s="3115" t="s">
        <v>115</v>
      </c>
      <c r="C48" s="3187"/>
      <c r="D48" s="3188"/>
      <c r="E48" s="3188"/>
      <c r="F48" s="3189"/>
      <c r="G48" s="3187"/>
      <c r="H48" s="3188"/>
      <c r="I48" s="3188"/>
      <c r="J48" s="3189"/>
      <c r="K48" s="3187"/>
      <c r="L48" s="3188"/>
      <c r="M48" s="3175">
        <v>6</v>
      </c>
      <c r="N48" s="3177">
        <v>6</v>
      </c>
      <c r="O48" s="3174"/>
      <c r="P48" s="3175"/>
      <c r="Q48" s="3175">
        <v>6</v>
      </c>
      <c r="R48" s="3176">
        <v>6</v>
      </c>
      <c r="S48" s="3175"/>
      <c r="T48" s="3175">
        <v>4</v>
      </c>
      <c r="U48" s="3175">
        <v>14</v>
      </c>
      <c r="V48" s="3176">
        <v>18</v>
      </c>
      <c r="W48" s="3175"/>
      <c r="X48" s="3175">
        <v>4</v>
      </c>
      <c r="Y48" s="3175">
        <v>19</v>
      </c>
      <c r="Z48" s="3176">
        <f>SUM(W48:Y48)</f>
        <v>23</v>
      </c>
      <c r="AA48" s="3175"/>
      <c r="AB48" s="3175">
        <v>5</v>
      </c>
      <c r="AC48" s="3175">
        <v>19</v>
      </c>
      <c r="AD48" s="3176">
        <v>24</v>
      </c>
      <c r="AE48" s="3175"/>
      <c r="AF48" s="3175">
        <v>7</v>
      </c>
      <c r="AG48" s="3175">
        <v>20</v>
      </c>
      <c r="AH48" s="3176">
        <v>27</v>
      </c>
      <c r="AI48" s="3175"/>
      <c r="AJ48" s="3175">
        <v>7</v>
      </c>
      <c r="AK48" s="3175">
        <v>26</v>
      </c>
      <c r="AL48" s="3176">
        <f>SUM(AI48:AK48)</f>
        <v>33</v>
      </c>
      <c r="AM48" s="3175"/>
      <c r="AN48" s="3175">
        <v>8</v>
      </c>
      <c r="AO48" s="3175">
        <v>28</v>
      </c>
      <c r="AP48" s="3176">
        <f>SUM(AM48:AO48)</f>
        <v>36</v>
      </c>
      <c r="AQ48" s="3175"/>
      <c r="AR48" s="3175">
        <v>8</v>
      </c>
      <c r="AS48" s="3175">
        <v>29</v>
      </c>
      <c r="AT48" s="3176">
        <f>SUM(AQ48:AS48)</f>
        <v>37</v>
      </c>
      <c r="AU48" s="3175"/>
      <c r="AV48" s="3175">
        <v>9</v>
      </c>
      <c r="AW48" s="3175">
        <v>33</v>
      </c>
      <c r="AX48" s="3176">
        <f>SUM(AU48:AW48)</f>
        <v>42</v>
      </c>
      <c r="AY48" s="3175"/>
      <c r="AZ48" s="3175">
        <v>9</v>
      </c>
      <c r="BA48" s="3175">
        <v>34</v>
      </c>
      <c r="BB48" s="3176">
        <f>SUM(AY48:BA48)</f>
        <v>43</v>
      </c>
      <c r="BC48" s="3175"/>
      <c r="BD48" s="3175">
        <v>11</v>
      </c>
      <c r="BE48" s="3175">
        <v>35</v>
      </c>
      <c r="BF48" s="3176">
        <f>SUM(BC48:BE48)</f>
        <v>46</v>
      </c>
      <c r="BG48" s="3175"/>
      <c r="BH48" s="3175">
        <v>13</v>
      </c>
      <c r="BI48" s="3175">
        <v>35</v>
      </c>
      <c r="BJ48" s="3176">
        <f>SUM(BG48:BI48)</f>
        <v>48</v>
      </c>
      <c r="BK48" s="3175">
        <v>0</v>
      </c>
      <c r="BL48" s="3175">
        <v>11</v>
      </c>
      <c r="BM48" s="3175">
        <v>38</v>
      </c>
      <c r="BN48" s="3176">
        <f>SUM(BK48:BM48)</f>
        <v>49</v>
      </c>
      <c r="BO48" s="3175">
        <v>0</v>
      </c>
      <c r="BP48" s="3175">
        <v>12</v>
      </c>
      <c r="BQ48" s="3175">
        <v>38</v>
      </c>
      <c r="BR48" s="3176">
        <f>SUM(BO48:BQ48)</f>
        <v>50</v>
      </c>
      <c r="BS48" s="3175"/>
      <c r="BT48" s="3175">
        <v>12</v>
      </c>
      <c r="BU48" s="3175">
        <v>40</v>
      </c>
      <c r="BV48" s="3176">
        <f>SUM(BS48:BU48)</f>
        <v>52</v>
      </c>
      <c r="BW48" s="3175">
        <v>0</v>
      </c>
      <c r="BX48" s="3175">
        <v>12</v>
      </c>
      <c r="BY48" s="3175">
        <v>40</v>
      </c>
      <c r="BZ48" s="3176">
        <f>SUM(BW48:BY48)</f>
        <v>52</v>
      </c>
      <c r="CA48" s="3175"/>
      <c r="CB48" s="3175">
        <v>12</v>
      </c>
      <c r="CC48" s="3175">
        <v>39</v>
      </c>
      <c r="CD48" s="3176">
        <f>SUM(CA48:CC48)</f>
        <v>51</v>
      </c>
    </row>
    <row r="49" spans="1:82" ht="18" customHeight="1" x14ac:dyDescent="0.3">
      <c r="A49" s="3159"/>
      <c r="B49" s="3129" t="s">
        <v>134</v>
      </c>
      <c r="C49" s="3190"/>
      <c r="D49" s="3191"/>
      <c r="E49" s="3191"/>
      <c r="F49" s="3192"/>
      <c r="G49" s="3190"/>
      <c r="H49" s="3191"/>
      <c r="I49" s="3191"/>
      <c r="J49" s="3192"/>
      <c r="K49" s="3190"/>
      <c r="L49" s="3191"/>
      <c r="M49" s="3193">
        <v>13</v>
      </c>
      <c r="N49" s="3193">
        <v>13</v>
      </c>
      <c r="O49" s="3190"/>
      <c r="P49" s="3193">
        <v>1</v>
      </c>
      <c r="Q49" s="3193">
        <v>21</v>
      </c>
      <c r="R49" s="3194">
        <v>22</v>
      </c>
      <c r="S49" s="3193"/>
      <c r="T49" s="3193">
        <v>4</v>
      </c>
      <c r="U49" s="3193">
        <v>48</v>
      </c>
      <c r="V49" s="3194">
        <v>52</v>
      </c>
      <c r="W49" s="3195"/>
      <c r="X49" s="3193">
        <v>9</v>
      </c>
      <c r="Y49" s="3193">
        <v>61</v>
      </c>
      <c r="Z49" s="3194">
        <f>SUM(Z46:Z48)</f>
        <v>70</v>
      </c>
      <c r="AA49" s="3195"/>
      <c r="AB49" s="3193">
        <v>11</v>
      </c>
      <c r="AC49" s="3193">
        <v>71</v>
      </c>
      <c r="AD49" s="3194">
        <v>82</v>
      </c>
      <c r="AE49" s="3195"/>
      <c r="AF49" s="3193">
        <v>14</v>
      </c>
      <c r="AG49" s="3193">
        <v>89</v>
      </c>
      <c r="AH49" s="3194">
        <v>103</v>
      </c>
      <c r="AI49" s="3195"/>
      <c r="AJ49" s="3193">
        <f>SUM(AJ46:AJ48)</f>
        <v>13</v>
      </c>
      <c r="AK49" s="3193">
        <f>SUM(AK46:AK48)</f>
        <v>106</v>
      </c>
      <c r="AL49" s="3194">
        <f>SUM(AL46:AL48)</f>
        <v>119</v>
      </c>
      <c r="AM49" s="3195"/>
      <c r="AN49" s="3193">
        <f>SUM(AN46:AN48)</f>
        <v>21</v>
      </c>
      <c r="AO49" s="3193">
        <f>SUM(AO46:AO48)</f>
        <v>109</v>
      </c>
      <c r="AP49" s="3194">
        <f>SUM(AP46:AP48)</f>
        <v>130</v>
      </c>
      <c r="AQ49" s="3195"/>
      <c r="AR49" s="3193">
        <f>SUM(AR46:AR48)</f>
        <v>22</v>
      </c>
      <c r="AS49" s="3193">
        <f>SUM(AS46:AS48)</f>
        <v>112</v>
      </c>
      <c r="AT49" s="3194">
        <f>SUM(AT46:AT48)</f>
        <v>134</v>
      </c>
      <c r="AU49" s="3195"/>
      <c r="AV49" s="3193">
        <f>SUM(AV46:AV48)</f>
        <v>23</v>
      </c>
      <c r="AW49" s="3193">
        <f>SUM(AW46:AW48)</f>
        <v>120</v>
      </c>
      <c r="AX49" s="3194">
        <f>SUM(AX46:AX48)</f>
        <v>143</v>
      </c>
      <c r="AY49" s="3195"/>
      <c r="AZ49" s="3193">
        <f>SUM(AZ46:AZ48)</f>
        <v>23</v>
      </c>
      <c r="BA49" s="3193">
        <f>SUM(BA46:BA48)</f>
        <v>124</v>
      </c>
      <c r="BB49" s="3194">
        <f>SUM(BB46:BB48)</f>
        <v>147</v>
      </c>
      <c r="BC49" s="3195"/>
      <c r="BD49" s="3193">
        <f>SUM(BD46:BD48)</f>
        <v>22</v>
      </c>
      <c r="BE49" s="3193">
        <f>SUM(BE46:BE48)</f>
        <v>131</v>
      </c>
      <c r="BF49" s="3194">
        <f>SUM(BF46:BF48)</f>
        <v>153</v>
      </c>
      <c r="BG49" s="3195"/>
      <c r="BH49" s="3193">
        <f>SUM(BH46:BH48)</f>
        <v>23</v>
      </c>
      <c r="BI49" s="3193">
        <f>SUM(BI46:BI48)</f>
        <v>140</v>
      </c>
      <c r="BJ49" s="3194">
        <f>SUM(BJ46:BJ48)</f>
        <v>163</v>
      </c>
      <c r="BK49" s="3195"/>
      <c r="BL49" s="3193">
        <f t="shared" ref="BL49:BV49" si="87">SUM(BL46:BL48)</f>
        <v>21</v>
      </c>
      <c r="BM49" s="3193">
        <f t="shared" si="87"/>
        <v>139</v>
      </c>
      <c r="BN49" s="3194">
        <f t="shared" si="87"/>
        <v>160</v>
      </c>
      <c r="BO49" s="3195">
        <f t="shared" si="87"/>
        <v>0</v>
      </c>
      <c r="BP49" s="3193">
        <f t="shared" si="87"/>
        <v>22</v>
      </c>
      <c r="BQ49" s="3193">
        <f t="shared" si="87"/>
        <v>140</v>
      </c>
      <c r="BR49" s="3194">
        <f t="shared" si="87"/>
        <v>162</v>
      </c>
      <c r="BS49" s="3195">
        <f t="shared" si="87"/>
        <v>0</v>
      </c>
      <c r="BT49" s="3193">
        <f t="shared" si="87"/>
        <v>22</v>
      </c>
      <c r="BU49" s="3193">
        <f t="shared" si="87"/>
        <v>144</v>
      </c>
      <c r="BV49" s="3194">
        <f t="shared" si="87"/>
        <v>166</v>
      </c>
      <c r="BW49" s="3195">
        <f t="shared" ref="BW49:BZ49" si="88">SUM(BW46:BW48)</f>
        <v>0</v>
      </c>
      <c r="BX49" s="3193">
        <f t="shared" si="88"/>
        <v>20</v>
      </c>
      <c r="BY49" s="3193">
        <f t="shared" si="88"/>
        <v>148</v>
      </c>
      <c r="BZ49" s="3194">
        <f t="shared" si="88"/>
        <v>168</v>
      </c>
      <c r="CA49" s="3195">
        <f t="shared" ref="CA49:CD49" si="89">SUM(CA46:CA48)</f>
        <v>0</v>
      </c>
      <c r="CB49" s="3193">
        <f t="shared" si="89"/>
        <v>20</v>
      </c>
      <c r="CC49" s="3193">
        <f t="shared" si="89"/>
        <v>149</v>
      </c>
      <c r="CD49" s="3194">
        <f t="shared" si="89"/>
        <v>169</v>
      </c>
    </row>
    <row r="50" spans="1:82" x14ac:dyDescent="0.3">
      <c r="A50" s="3159"/>
      <c r="B50" s="3104"/>
      <c r="C50" s="3104"/>
      <c r="D50" s="3104"/>
      <c r="E50" s="3104"/>
      <c r="F50" s="3104"/>
      <c r="G50" s="3104"/>
      <c r="H50" s="3104"/>
      <c r="I50" s="3104"/>
      <c r="J50" s="3104"/>
      <c r="K50" s="3104"/>
      <c r="L50" s="3104"/>
      <c r="M50" s="3104"/>
      <c r="N50" s="3104"/>
      <c r="O50" s="3104"/>
      <c r="P50" s="3104"/>
      <c r="Q50" s="3104"/>
      <c r="R50" s="3104"/>
      <c r="S50" s="3104"/>
      <c r="T50" s="3104"/>
      <c r="U50" s="3104"/>
      <c r="V50" s="3104"/>
      <c r="W50" s="3104"/>
      <c r="X50" s="3104"/>
      <c r="Y50" s="3104"/>
      <c r="Z50" s="3104"/>
      <c r="AA50" s="3104"/>
      <c r="AB50" s="3104"/>
      <c r="AC50" s="3104"/>
      <c r="AD50" s="3104"/>
      <c r="AE50" s="3104"/>
      <c r="AF50" s="3104"/>
      <c r="AG50" s="3104"/>
      <c r="AH50" s="3104"/>
      <c r="AI50" s="3104"/>
      <c r="AJ50" s="3104"/>
      <c r="AK50" s="3104"/>
      <c r="AL50" s="3104"/>
      <c r="AM50" s="3104"/>
      <c r="AN50" s="3104"/>
      <c r="AO50" s="3104"/>
      <c r="AP50" s="3104"/>
      <c r="AQ50" s="3104"/>
      <c r="AR50" s="3104"/>
      <c r="AS50" s="3104"/>
      <c r="AT50" s="3104"/>
      <c r="AU50" s="3104"/>
      <c r="AV50" s="3104"/>
      <c r="AW50" s="3104"/>
      <c r="AX50" s="3104"/>
      <c r="AY50" s="3104"/>
      <c r="AZ50" s="3104"/>
      <c r="BA50" s="3104"/>
      <c r="BB50" s="3104"/>
      <c r="BC50" s="3104"/>
      <c r="BD50" s="3104"/>
      <c r="BE50" s="3104"/>
      <c r="BF50" s="3104"/>
      <c r="BG50" s="3104"/>
      <c r="BH50" s="3104"/>
      <c r="BI50" s="3104"/>
      <c r="BJ50" s="3104"/>
      <c r="BK50" s="3104"/>
      <c r="BL50" s="3104"/>
      <c r="BM50" s="3104"/>
      <c r="BN50" s="3104"/>
      <c r="BO50" s="3104"/>
      <c r="BP50" s="3104"/>
      <c r="BQ50" s="3104"/>
      <c r="BR50" s="3104"/>
      <c r="BS50" s="3104"/>
      <c r="BT50" s="3104"/>
      <c r="BU50" s="3104"/>
      <c r="BV50" s="3104"/>
      <c r="BW50" s="3104"/>
      <c r="BX50" s="3104"/>
      <c r="BY50" s="3104"/>
      <c r="BZ50" s="3104"/>
      <c r="CA50" s="3104"/>
      <c r="CB50" s="3104"/>
      <c r="CC50" s="3104"/>
      <c r="CD50" s="3104"/>
    </row>
    <row r="51" spans="1:82" ht="18" customHeight="1" x14ac:dyDescent="0.3">
      <c r="A51" s="3159"/>
      <c r="B51" s="3105" t="s">
        <v>59</v>
      </c>
      <c r="C51" s="3166"/>
      <c r="D51" s="3167">
        <v>11</v>
      </c>
      <c r="E51" s="3167">
        <v>252</v>
      </c>
      <c r="F51" s="3168">
        <v>263</v>
      </c>
      <c r="G51" s="3166"/>
      <c r="H51" s="3167">
        <v>5</v>
      </c>
      <c r="I51" s="3167">
        <v>261</v>
      </c>
      <c r="J51" s="3168">
        <v>266</v>
      </c>
      <c r="K51" s="3166"/>
      <c r="L51" s="3167">
        <v>5</v>
      </c>
      <c r="M51" s="3167">
        <v>269</v>
      </c>
      <c r="N51" s="3169">
        <v>274</v>
      </c>
      <c r="O51" s="3166"/>
      <c r="P51" s="3167">
        <v>7</v>
      </c>
      <c r="Q51" s="3167">
        <v>268</v>
      </c>
      <c r="R51" s="3168">
        <v>275</v>
      </c>
      <c r="S51" s="3167"/>
      <c r="T51" s="3167">
        <v>7</v>
      </c>
      <c r="U51" s="3167">
        <v>270</v>
      </c>
      <c r="V51" s="3168">
        <v>277</v>
      </c>
      <c r="W51" s="3167"/>
      <c r="X51" s="3167">
        <v>8</v>
      </c>
      <c r="Y51" s="3167">
        <v>271</v>
      </c>
      <c r="Z51" s="3168">
        <v>279</v>
      </c>
      <c r="AA51" s="3167"/>
      <c r="AB51" s="3167">
        <v>6</v>
      </c>
      <c r="AC51" s="3167">
        <v>272</v>
      </c>
      <c r="AD51" s="3168">
        <v>278</v>
      </c>
      <c r="AE51" s="3167"/>
      <c r="AF51" s="3167">
        <v>7</v>
      </c>
      <c r="AG51" s="3167">
        <v>269</v>
      </c>
      <c r="AH51" s="3168">
        <v>276</v>
      </c>
      <c r="AI51" s="3167"/>
      <c r="AJ51" s="3167">
        <v>7</v>
      </c>
      <c r="AK51" s="3167">
        <v>271</v>
      </c>
      <c r="AL51" s="3168">
        <f>SUM(AI51:AK51)</f>
        <v>278</v>
      </c>
      <c r="AM51" s="3167"/>
      <c r="AN51" s="3167">
        <v>6</v>
      </c>
      <c r="AO51" s="3167">
        <v>273</v>
      </c>
      <c r="AP51" s="3168">
        <f>SUM(AM51:AO51)</f>
        <v>279</v>
      </c>
      <c r="AQ51" s="3167"/>
      <c r="AR51" s="3167">
        <v>7</v>
      </c>
      <c r="AS51" s="3167">
        <v>277</v>
      </c>
      <c r="AT51" s="3168">
        <f>SUM(AQ51:AS51)</f>
        <v>284</v>
      </c>
      <c r="AU51" s="3167"/>
      <c r="AV51" s="3167">
        <v>9</v>
      </c>
      <c r="AW51" s="3167">
        <v>277</v>
      </c>
      <c r="AX51" s="3168">
        <f>SUM(AU51:AW51)</f>
        <v>286</v>
      </c>
      <c r="AY51" s="3167"/>
      <c r="AZ51" s="3167">
        <v>7</v>
      </c>
      <c r="BA51" s="3167">
        <v>276</v>
      </c>
      <c r="BB51" s="3168">
        <f>SUM(AY51:BA51)</f>
        <v>283</v>
      </c>
      <c r="BC51" s="3167"/>
      <c r="BD51" s="3167">
        <v>6</v>
      </c>
      <c r="BE51" s="3167">
        <v>275</v>
      </c>
      <c r="BF51" s="3168">
        <f>SUM(BC51:BE51)</f>
        <v>281</v>
      </c>
      <c r="BG51" s="3167"/>
      <c r="BH51" s="3167">
        <v>7</v>
      </c>
      <c r="BI51" s="3167">
        <v>268</v>
      </c>
      <c r="BJ51" s="3168">
        <f>SUM(BG51:BI51)</f>
        <v>275</v>
      </c>
      <c r="BK51" s="3167"/>
      <c r="BL51" s="3167">
        <v>11</v>
      </c>
      <c r="BM51" s="3167">
        <v>265</v>
      </c>
      <c r="BN51" s="3168">
        <f>SUM(BK51:BM51)</f>
        <v>276</v>
      </c>
      <c r="BO51" s="3167">
        <v>0</v>
      </c>
      <c r="BP51" s="3167">
        <v>10</v>
      </c>
      <c r="BQ51" s="3167">
        <v>259</v>
      </c>
      <c r="BR51" s="3168">
        <f>SUM(BO51:BQ51)</f>
        <v>269</v>
      </c>
      <c r="BS51" s="3167"/>
      <c r="BT51" s="3167">
        <v>11</v>
      </c>
      <c r="BU51" s="3167">
        <v>257</v>
      </c>
      <c r="BV51" s="3168">
        <f>SUM(BS51:BU51)</f>
        <v>268</v>
      </c>
      <c r="BW51" s="3167">
        <v>0</v>
      </c>
      <c r="BX51" s="3167">
        <v>9</v>
      </c>
      <c r="BY51" s="3167">
        <v>253</v>
      </c>
      <c r="BZ51" s="3168">
        <f>SUM(BW51:BY51)</f>
        <v>262</v>
      </c>
      <c r="CA51" s="3167">
        <v>0</v>
      </c>
      <c r="CB51" s="3167">
        <v>10</v>
      </c>
      <c r="CC51" s="3167">
        <v>249</v>
      </c>
      <c r="CD51" s="3168">
        <f>SUM(CA51:CC51)</f>
        <v>259</v>
      </c>
    </row>
    <row r="52" spans="1:82" ht="18" customHeight="1" x14ac:dyDescent="0.3">
      <c r="A52" s="3159"/>
      <c r="B52" s="3110" t="s">
        <v>64</v>
      </c>
      <c r="C52" s="3170">
        <v>3</v>
      </c>
      <c r="D52" s="3171">
        <v>12</v>
      </c>
      <c r="E52" s="3171">
        <v>283</v>
      </c>
      <c r="F52" s="3172">
        <v>298</v>
      </c>
      <c r="G52" s="3170">
        <v>1</v>
      </c>
      <c r="H52" s="3171">
        <v>8</v>
      </c>
      <c r="I52" s="3171">
        <v>292</v>
      </c>
      <c r="J52" s="3172">
        <v>301</v>
      </c>
      <c r="K52" s="3170">
        <v>1</v>
      </c>
      <c r="L52" s="3171">
        <v>8</v>
      </c>
      <c r="M52" s="3171">
        <v>285</v>
      </c>
      <c r="N52" s="3173">
        <v>294</v>
      </c>
      <c r="O52" s="3170">
        <v>1</v>
      </c>
      <c r="P52" s="3171">
        <v>10</v>
      </c>
      <c r="Q52" s="3171">
        <v>285</v>
      </c>
      <c r="R52" s="3172">
        <v>296</v>
      </c>
      <c r="S52" s="3171"/>
      <c r="T52" s="3171">
        <v>12</v>
      </c>
      <c r="U52" s="3171">
        <v>282</v>
      </c>
      <c r="V52" s="3172">
        <v>294</v>
      </c>
      <c r="W52" s="3171"/>
      <c r="X52" s="3171">
        <v>14</v>
      </c>
      <c r="Y52" s="3171">
        <v>285</v>
      </c>
      <c r="Z52" s="3172">
        <v>299</v>
      </c>
      <c r="AA52" s="3171"/>
      <c r="AB52" s="3171">
        <v>12</v>
      </c>
      <c r="AC52" s="3171">
        <v>289</v>
      </c>
      <c r="AD52" s="3172">
        <v>301</v>
      </c>
      <c r="AE52" s="3171"/>
      <c r="AF52" s="3171">
        <v>15</v>
      </c>
      <c r="AG52" s="3171">
        <v>292</v>
      </c>
      <c r="AH52" s="3172">
        <v>307</v>
      </c>
      <c r="AI52" s="3171">
        <v>1</v>
      </c>
      <c r="AJ52" s="3171">
        <v>16</v>
      </c>
      <c r="AK52" s="3171">
        <v>285</v>
      </c>
      <c r="AL52" s="3172">
        <f>SUM(AI52:AK52)</f>
        <v>302</v>
      </c>
      <c r="AM52" s="3171">
        <v>1</v>
      </c>
      <c r="AN52" s="3171">
        <v>8</v>
      </c>
      <c r="AO52" s="3171">
        <v>289</v>
      </c>
      <c r="AP52" s="3172">
        <f>SUM(AM52:AO52)</f>
        <v>298</v>
      </c>
      <c r="AQ52" s="3171">
        <v>1</v>
      </c>
      <c r="AR52" s="3171">
        <v>9</v>
      </c>
      <c r="AS52" s="3171">
        <v>289</v>
      </c>
      <c r="AT52" s="3172">
        <f>SUM(AQ52:AS52)</f>
        <v>299</v>
      </c>
      <c r="AU52" s="3171"/>
      <c r="AV52" s="3171">
        <v>12</v>
      </c>
      <c r="AW52" s="3171">
        <v>291</v>
      </c>
      <c r="AX52" s="3172">
        <f>SUM(AU52:AW52)</f>
        <v>303</v>
      </c>
      <c r="AY52" s="3171"/>
      <c r="AZ52" s="3171">
        <v>12</v>
      </c>
      <c r="BA52" s="3171">
        <v>289</v>
      </c>
      <c r="BB52" s="3172">
        <f>SUM(AY52:BA52)</f>
        <v>301</v>
      </c>
      <c r="BC52" s="3171"/>
      <c r="BD52" s="3171">
        <v>11</v>
      </c>
      <c r="BE52" s="3171">
        <v>287</v>
      </c>
      <c r="BF52" s="3172">
        <f>SUM(BC52:BE52)</f>
        <v>298</v>
      </c>
      <c r="BG52" s="3171"/>
      <c r="BH52" s="3171">
        <v>15</v>
      </c>
      <c r="BI52" s="3171">
        <v>288</v>
      </c>
      <c r="BJ52" s="3172">
        <f>SUM(BG52:BI52)</f>
        <v>303</v>
      </c>
      <c r="BK52" s="3171"/>
      <c r="BL52" s="3171">
        <v>23</v>
      </c>
      <c r="BM52" s="3171">
        <v>286</v>
      </c>
      <c r="BN52" s="3172">
        <f>SUM(BK52:BM52)</f>
        <v>309</v>
      </c>
      <c r="BO52" s="3171">
        <v>0</v>
      </c>
      <c r="BP52" s="3171">
        <v>23</v>
      </c>
      <c r="BQ52" s="3171">
        <v>274</v>
      </c>
      <c r="BR52" s="3172">
        <f>SUM(BO52:BQ52)</f>
        <v>297</v>
      </c>
      <c r="BS52" s="3171"/>
      <c r="BT52" s="3171">
        <v>24</v>
      </c>
      <c r="BU52" s="3171">
        <v>265</v>
      </c>
      <c r="BV52" s="3172">
        <f>SUM(BS52:BU52)</f>
        <v>289</v>
      </c>
      <c r="BW52" s="3171">
        <v>0</v>
      </c>
      <c r="BX52" s="3171">
        <v>25</v>
      </c>
      <c r="BY52" s="3171">
        <v>253</v>
      </c>
      <c r="BZ52" s="3172">
        <f>SUM(BW52:BY52)</f>
        <v>278</v>
      </c>
      <c r="CA52" s="3171">
        <v>0</v>
      </c>
      <c r="CB52" s="3171">
        <v>30</v>
      </c>
      <c r="CC52" s="3171">
        <v>249</v>
      </c>
      <c r="CD52" s="3172">
        <f>SUM(CA52:CC52)</f>
        <v>279</v>
      </c>
    </row>
    <row r="53" spans="1:82" ht="18" customHeight="1" x14ac:dyDescent="0.3">
      <c r="A53" s="3159"/>
      <c r="B53" s="3110" t="s">
        <v>92</v>
      </c>
      <c r="C53" s="3174"/>
      <c r="D53" s="3175">
        <v>10</v>
      </c>
      <c r="E53" s="3175">
        <v>206</v>
      </c>
      <c r="F53" s="3176">
        <v>216</v>
      </c>
      <c r="G53" s="3174"/>
      <c r="H53" s="3175">
        <v>10</v>
      </c>
      <c r="I53" s="3175">
        <v>205</v>
      </c>
      <c r="J53" s="3176">
        <v>215</v>
      </c>
      <c r="K53" s="3174"/>
      <c r="L53" s="3175">
        <v>11</v>
      </c>
      <c r="M53" s="3175">
        <v>208</v>
      </c>
      <c r="N53" s="3177">
        <v>219</v>
      </c>
      <c r="O53" s="3174"/>
      <c r="P53" s="3175">
        <v>11</v>
      </c>
      <c r="Q53" s="3175">
        <v>205</v>
      </c>
      <c r="R53" s="3176">
        <v>216</v>
      </c>
      <c r="S53" s="3175"/>
      <c r="T53" s="3175">
        <v>14</v>
      </c>
      <c r="U53" s="3175">
        <v>206</v>
      </c>
      <c r="V53" s="3176">
        <v>220</v>
      </c>
      <c r="W53" s="3175"/>
      <c r="X53" s="3175">
        <v>13</v>
      </c>
      <c r="Y53" s="3175">
        <v>202</v>
      </c>
      <c r="Z53" s="3176">
        <v>215</v>
      </c>
      <c r="AA53" s="3175"/>
      <c r="AB53" s="3175">
        <v>11</v>
      </c>
      <c r="AC53" s="3175">
        <v>199</v>
      </c>
      <c r="AD53" s="3176">
        <v>210</v>
      </c>
      <c r="AE53" s="3175"/>
      <c r="AF53" s="3175">
        <v>10</v>
      </c>
      <c r="AG53" s="3175">
        <v>196</v>
      </c>
      <c r="AH53" s="3176">
        <v>206</v>
      </c>
      <c r="AI53" s="3175">
        <v>1</v>
      </c>
      <c r="AJ53" s="3175">
        <v>13</v>
      </c>
      <c r="AK53" s="3175">
        <v>200</v>
      </c>
      <c r="AL53" s="3176">
        <f>SUM(AI53:AK53)</f>
        <v>214</v>
      </c>
      <c r="AM53" s="3175"/>
      <c r="AN53" s="3175">
        <v>15</v>
      </c>
      <c r="AO53" s="3175">
        <v>199</v>
      </c>
      <c r="AP53" s="3176">
        <f>SUM(AM53:AO53)</f>
        <v>214</v>
      </c>
      <c r="AQ53" s="3175">
        <v>1</v>
      </c>
      <c r="AR53" s="3175">
        <v>18</v>
      </c>
      <c r="AS53" s="3175">
        <v>202</v>
      </c>
      <c r="AT53" s="3176">
        <f>SUM(AQ53:AS53)</f>
        <v>221</v>
      </c>
      <c r="AU53" s="3175">
        <v>2</v>
      </c>
      <c r="AV53" s="3175">
        <v>20</v>
      </c>
      <c r="AW53" s="3175">
        <v>206</v>
      </c>
      <c r="AX53" s="3176">
        <f>SUM(AU53:AW53)</f>
        <v>228</v>
      </c>
      <c r="AY53" s="3175">
        <v>1</v>
      </c>
      <c r="AZ53" s="3175">
        <v>17</v>
      </c>
      <c r="BA53" s="3175">
        <v>211</v>
      </c>
      <c r="BB53" s="3176">
        <f>SUM(AY53:BA53)</f>
        <v>229</v>
      </c>
      <c r="BC53" s="3175">
        <v>2</v>
      </c>
      <c r="BD53" s="3175">
        <v>15</v>
      </c>
      <c r="BE53" s="3175">
        <v>214</v>
      </c>
      <c r="BF53" s="3176">
        <f>SUM(BC53:BE53)</f>
        <v>231</v>
      </c>
      <c r="BG53" s="3175">
        <v>1</v>
      </c>
      <c r="BH53" s="3175">
        <v>17</v>
      </c>
      <c r="BI53" s="3175">
        <v>210</v>
      </c>
      <c r="BJ53" s="3176">
        <f>SUM(BG53:BI53)</f>
        <v>228</v>
      </c>
      <c r="BK53" s="3175">
        <v>1</v>
      </c>
      <c r="BL53" s="3175">
        <v>19</v>
      </c>
      <c r="BM53" s="3175">
        <v>207</v>
      </c>
      <c r="BN53" s="3176">
        <f>SUM(BK53:BM53)</f>
        <v>227</v>
      </c>
      <c r="BO53" s="3175">
        <v>1</v>
      </c>
      <c r="BP53" s="3175">
        <v>19</v>
      </c>
      <c r="BQ53" s="3175">
        <v>204</v>
      </c>
      <c r="BR53" s="3176">
        <f>SUM(BO53:BQ53)</f>
        <v>224</v>
      </c>
      <c r="BS53" s="3175">
        <v>1</v>
      </c>
      <c r="BT53" s="3175">
        <v>22</v>
      </c>
      <c r="BU53" s="3175">
        <v>199</v>
      </c>
      <c r="BV53" s="3176">
        <f>SUM(BS53:BU53)</f>
        <v>222</v>
      </c>
      <c r="BW53" s="3175">
        <v>1</v>
      </c>
      <c r="BX53" s="3175">
        <v>19</v>
      </c>
      <c r="BY53" s="3175">
        <v>199</v>
      </c>
      <c r="BZ53" s="3176">
        <f>SUM(BW53:BY53)</f>
        <v>219</v>
      </c>
      <c r="CA53" s="3175">
        <v>1</v>
      </c>
      <c r="CB53" s="3175">
        <v>17</v>
      </c>
      <c r="CC53" s="3175">
        <v>195</v>
      </c>
      <c r="CD53" s="3176">
        <f>SUM(CA53:CC53)</f>
        <v>213</v>
      </c>
    </row>
    <row r="54" spans="1:82" ht="18" customHeight="1" x14ac:dyDescent="0.3">
      <c r="A54" s="3159"/>
      <c r="B54" s="3136" t="s">
        <v>135</v>
      </c>
      <c r="C54" s="3196">
        <v>3</v>
      </c>
      <c r="D54" s="3197">
        <v>33</v>
      </c>
      <c r="E54" s="3197">
        <v>741</v>
      </c>
      <c r="F54" s="3198">
        <v>777</v>
      </c>
      <c r="G54" s="3196">
        <v>1</v>
      </c>
      <c r="H54" s="3197">
        <v>23</v>
      </c>
      <c r="I54" s="3197">
        <v>758</v>
      </c>
      <c r="J54" s="3198">
        <v>782</v>
      </c>
      <c r="K54" s="3196">
        <v>1</v>
      </c>
      <c r="L54" s="3197">
        <v>24</v>
      </c>
      <c r="M54" s="3197">
        <v>762</v>
      </c>
      <c r="N54" s="3197">
        <v>787</v>
      </c>
      <c r="O54" s="3196">
        <v>1</v>
      </c>
      <c r="P54" s="3197">
        <v>28</v>
      </c>
      <c r="Q54" s="3197">
        <v>758</v>
      </c>
      <c r="R54" s="3198">
        <v>787</v>
      </c>
      <c r="S54" s="3199"/>
      <c r="T54" s="3197">
        <v>33</v>
      </c>
      <c r="U54" s="3197">
        <v>758</v>
      </c>
      <c r="V54" s="3198">
        <v>791</v>
      </c>
      <c r="W54" s="3196"/>
      <c r="X54" s="3197">
        <v>35</v>
      </c>
      <c r="Y54" s="3197">
        <v>758</v>
      </c>
      <c r="Z54" s="3198">
        <v>793</v>
      </c>
      <c r="AA54" s="3196"/>
      <c r="AB54" s="3197">
        <v>29</v>
      </c>
      <c r="AC54" s="3197">
        <v>760</v>
      </c>
      <c r="AD54" s="3198">
        <v>789</v>
      </c>
      <c r="AE54" s="3196"/>
      <c r="AF54" s="3197">
        <v>32</v>
      </c>
      <c r="AG54" s="3197">
        <v>757</v>
      </c>
      <c r="AH54" s="3198">
        <v>789</v>
      </c>
      <c r="AI54" s="3196">
        <f t="shared" ref="AI54:BV54" si="90">SUM(AI51:AI53)</f>
        <v>2</v>
      </c>
      <c r="AJ54" s="3197">
        <f t="shared" si="90"/>
        <v>36</v>
      </c>
      <c r="AK54" s="3197">
        <f t="shared" si="90"/>
        <v>756</v>
      </c>
      <c r="AL54" s="3198">
        <f t="shared" si="90"/>
        <v>794</v>
      </c>
      <c r="AM54" s="3196">
        <f t="shared" si="90"/>
        <v>1</v>
      </c>
      <c r="AN54" s="3197">
        <f t="shared" si="90"/>
        <v>29</v>
      </c>
      <c r="AO54" s="3197">
        <f t="shared" si="90"/>
        <v>761</v>
      </c>
      <c r="AP54" s="3198">
        <f t="shared" si="90"/>
        <v>791</v>
      </c>
      <c r="AQ54" s="3196">
        <f t="shared" si="90"/>
        <v>2</v>
      </c>
      <c r="AR54" s="3197">
        <f t="shared" si="90"/>
        <v>34</v>
      </c>
      <c r="AS54" s="3197">
        <f t="shared" si="90"/>
        <v>768</v>
      </c>
      <c r="AT54" s="3198">
        <f t="shared" si="90"/>
        <v>804</v>
      </c>
      <c r="AU54" s="3196">
        <f t="shared" si="90"/>
        <v>2</v>
      </c>
      <c r="AV54" s="3197">
        <f t="shared" si="90"/>
        <v>41</v>
      </c>
      <c r="AW54" s="3197">
        <f t="shared" si="90"/>
        <v>774</v>
      </c>
      <c r="AX54" s="3198">
        <f t="shared" si="90"/>
        <v>817</v>
      </c>
      <c r="AY54" s="3196">
        <f t="shared" si="90"/>
        <v>1</v>
      </c>
      <c r="AZ54" s="3197">
        <f t="shared" si="90"/>
        <v>36</v>
      </c>
      <c r="BA54" s="3197">
        <f t="shared" si="90"/>
        <v>776</v>
      </c>
      <c r="BB54" s="3198">
        <f t="shared" si="90"/>
        <v>813</v>
      </c>
      <c r="BC54" s="3196">
        <f t="shared" si="90"/>
        <v>2</v>
      </c>
      <c r="BD54" s="3197">
        <f t="shared" si="90"/>
        <v>32</v>
      </c>
      <c r="BE54" s="3197">
        <f t="shared" si="90"/>
        <v>776</v>
      </c>
      <c r="BF54" s="3198">
        <f t="shared" si="90"/>
        <v>810</v>
      </c>
      <c r="BG54" s="3196">
        <f t="shared" si="90"/>
        <v>1</v>
      </c>
      <c r="BH54" s="3197">
        <f t="shared" si="90"/>
        <v>39</v>
      </c>
      <c r="BI54" s="3197">
        <f t="shared" si="90"/>
        <v>766</v>
      </c>
      <c r="BJ54" s="3198">
        <f t="shared" si="90"/>
        <v>806</v>
      </c>
      <c r="BK54" s="3196">
        <f t="shared" si="90"/>
        <v>1</v>
      </c>
      <c r="BL54" s="3197">
        <f t="shared" si="90"/>
        <v>53</v>
      </c>
      <c r="BM54" s="3197">
        <f t="shared" si="90"/>
        <v>758</v>
      </c>
      <c r="BN54" s="3198">
        <f t="shared" si="90"/>
        <v>812</v>
      </c>
      <c r="BO54" s="3196">
        <f t="shared" si="90"/>
        <v>1</v>
      </c>
      <c r="BP54" s="3197">
        <f t="shared" si="90"/>
        <v>52</v>
      </c>
      <c r="BQ54" s="3197">
        <f t="shared" si="90"/>
        <v>737</v>
      </c>
      <c r="BR54" s="3198">
        <f t="shared" si="90"/>
        <v>790</v>
      </c>
      <c r="BS54" s="3196">
        <f t="shared" si="90"/>
        <v>1</v>
      </c>
      <c r="BT54" s="3197">
        <f t="shared" si="90"/>
        <v>57</v>
      </c>
      <c r="BU54" s="3197">
        <f t="shared" si="90"/>
        <v>721</v>
      </c>
      <c r="BV54" s="3198">
        <f t="shared" si="90"/>
        <v>779</v>
      </c>
      <c r="BW54" s="3196">
        <f t="shared" ref="BW54:BZ54" si="91">SUM(BW51:BW53)</f>
        <v>1</v>
      </c>
      <c r="BX54" s="3197">
        <f t="shared" si="91"/>
        <v>53</v>
      </c>
      <c r="BY54" s="3197">
        <f t="shared" si="91"/>
        <v>705</v>
      </c>
      <c r="BZ54" s="3198">
        <f t="shared" si="91"/>
        <v>759</v>
      </c>
      <c r="CA54" s="3196">
        <f t="shared" ref="CA54:CD54" si="92">SUM(CA51:CA53)</f>
        <v>1</v>
      </c>
      <c r="CB54" s="3197">
        <f t="shared" si="92"/>
        <v>57</v>
      </c>
      <c r="CC54" s="3197">
        <f t="shared" si="92"/>
        <v>693</v>
      </c>
      <c r="CD54" s="3198">
        <f t="shared" si="92"/>
        <v>751</v>
      </c>
    </row>
    <row r="55" spans="1:82" ht="18" customHeight="1" x14ac:dyDescent="0.3">
      <c r="A55" s="3159"/>
      <c r="B55" s="3104"/>
      <c r="C55" s="3104"/>
      <c r="D55" s="3104"/>
      <c r="E55" s="3104"/>
      <c r="F55" s="3104"/>
      <c r="G55" s="3104"/>
      <c r="H55" s="3104"/>
      <c r="I55" s="3104"/>
      <c r="J55" s="3104"/>
      <c r="K55" s="3104"/>
      <c r="L55" s="3104"/>
      <c r="M55" s="3104"/>
      <c r="N55" s="3104"/>
      <c r="O55" s="3104"/>
      <c r="P55" s="3104"/>
      <c r="Q55" s="3104"/>
      <c r="R55" s="3104"/>
      <c r="S55" s="3104"/>
      <c r="T55" s="3104"/>
      <c r="U55" s="3104"/>
      <c r="V55" s="3104"/>
      <c r="W55" s="3104"/>
      <c r="X55" s="3104"/>
      <c r="Y55" s="3104"/>
      <c r="Z55" s="3104"/>
      <c r="AA55" s="3104"/>
      <c r="AB55" s="3104"/>
      <c r="AC55" s="3104"/>
      <c r="AD55" s="3104"/>
      <c r="AE55" s="3104"/>
      <c r="AF55" s="3104"/>
      <c r="AG55" s="3104"/>
      <c r="AH55" s="3104"/>
      <c r="AI55" s="3104"/>
      <c r="AJ55" s="3104"/>
      <c r="AK55" s="3104"/>
      <c r="AL55" s="3104"/>
      <c r="AM55" s="3104"/>
      <c r="AN55" s="3104"/>
      <c r="AO55" s="3104"/>
      <c r="AP55" s="3104"/>
      <c r="AQ55" s="3104"/>
      <c r="AR55" s="3104"/>
      <c r="AS55" s="3104"/>
      <c r="AT55" s="3104"/>
      <c r="AU55" s="3104"/>
      <c r="AV55" s="3104"/>
      <c r="AW55" s="3104"/>
      <c r="AX55" s="3104"/>
      <c r="AY55" s="3104"/>
      <c r="AZ55" s="3104"/>
      <c r="BA55" s="3104"/>
      <c r="BB55" s="3104"/>
      <c r="BC55" s="3104"/>
      <c r="BD55" s="3104"/>
      <c r="BE55" s="3104"/>
      <c r="BF55" s="3104"/>
      <c r="BG55" s="3104"/>
      <c r="BH55" s="3104"/>
      <c r="BI55" s="3104"/>
      <c r="BJ55" s="3104"/>
      <c r="BK55" s="3104"/>
      <c r="BL55" s="3104"/>
      <c r="BM55" s="3104"/>
      <c r="BN55" s="3104"/>
      <c r="BO55" s="3104"/>
      <c r="BP55" s="3104"/>
      <c r="BQ55" s="3104"/>
      <c r="BR55" s="3104"/>
      <c r="BS55" s="3104"/>
      <c r="BT55" s="3104"/>
      <c r="BU55" s="3104"/>
      <c r="BV55" s="3104"/>
      <c r="BW55" s="3104"/>
      <c r="BX55" s="3104"/>
      <c r="BY55" s="3104"/>
      <c r="BZ55" s="3104"/>
      <c r="CA55" s="3104"/>
      <c r="CB55" s="3104"/>
      <c r="CC55" s="3104"/>
      <c r="CD55" s="3104"/>
    </row>
    <row r="56" spans="1:82" ht="18" customHeight="1" x14ac:dyDescent="0.3">
      <c r="A56" s="3159"/>
      <c r="B56" s="3105" t="s">
        <v>59</v>
      </c>
      <c r="C56" s="3200"/>
      <c r="D56" s="3200"/>
      <c r="E56" s="3200"/>
      <c r="F56" s="3201"/>
      <c r="G56" s="3200"/>
      <c r="H56" s="3200"/>
      <c r="I56" s="3200"/>
      <c r="J56" s="3201"/>
      <c r="K56" s="3200"/>
      <c r="L56" s="3200"/>
      <c r="M56" s="3200"/>
      <c r="N56" s="3201"/>
      <c r="O56" s="3200"/>
      <c r="P56" s="3200"/>
      <c r="Q56" s="3200"/>
      <c r="R56" s="3201"/>
      <c r="S56" s="3167"/>
      <c r="T56" s="3167"/>
      <c r="U56" s="3167"/>
      <c r="V56" s="3168"/>
      <c r="W56" s="3167"/>
      <c r="X56" s="3167"/>
      <c r="Y56" s="3167"/>
      <c r="Z56" s="3168"/>
      <c r="AA56" s="3167"/>
      <c r="AB56" s="3167"/>
      <c r="AC56" s="3167"/>
      <c r="AD56" s="3168"/>
      <c r="AE56" s="3167"/>
      <c r="AF56" s="3167"/>
      <c r="AG56" s="3167">
        <v>3</v>
      </c>
      <c r="AH56" s="3168">
        <v>3</v>
      </c>
      <c r="AI56" s="3167"/>
      <c r="AJ56" s="3167"/>
      <c r="AK56" s="3167">
        <v>4</v>
      </c>
      <c r="AL56" s="3168">
        <f>SUM(AI56:AK56)</f>
        <v>4</v>
      </c>
      <c r="AM56" s="3167"/>
      <c r="AN56" s="3167"/>
      <c r="AO56" s="3167">
        <v>7</v>
      </c>
      <c r="AP56" s="3168">
        <f>SUM(AM56:AO56)</f>
        <v>7</v>
      </c>
      <c r="AQ56" s="3167"/>
      <c r="AR56" s="3167">
        <v>1</v>
      </c>
      <c r="AS56" s="3167">
        <v>7</v>
      </c>
      <c r="AT56" s="3168">
        <f>SUM(AQ56:AS56)</f>
        <v>8</v>
      </c>
      <c r="AU56" s="3167"/>
      <c r="AV56" s="3167">
        <v>1</v>
      </c>
      <c r="AW56" s="3167">
        <v>9</v>
      </c>
      <c r="AX56" s="3168">
        <f>SUM(AU56:AW56)</f>
        <v>10</v>
      </c>
      <c r="AY56" s="3167"/>
      <c r="AZ56" s="3167">
        <v>4</v>
      </c>
      <c r="BA56" s="3167">
        <v>11</v>
      </c>
      <c r="BB56" s="3168">
        <f>SUM(AY56:BA56)</f>
        <v>15</v>
      </c>
      <c r="BC56" s="3167"/>
      <c r="BD56" s="3167">
        <v>3</v>
      </c>
      <c r="BE56" s="3167">
        <v>13</v>
      </c>
      <c r="BF56" s="3168">
        <f>SUM(BC56:BE56)</f>
        <v>16</v>
      </c>
      <c r="BG56" s="3167"/>
      <c r="BH56" s="3167">
        <v>3</v>
      </c>
      <c r="BI56" s="3167">
        <v>16</v>
      </c>
      <c r="BJ56" s="3168">
        <f>SUM(BG56:BI56)</f>
        <v>19</v>
      </c>
      <c r="BK56" s="3167">
        <v>0</v>
      </c>
      <c r="BL56" s="3167">
        <v>3</v>
      </c>
      <c r="BM56" s="3167">
        <v>18</v>
      </c>
      <c r="BN56" s="3168">
        <f>SUM(BK56:BM56)</f>
        <v>21</v>
      </c>
      <c r="BO56" s="3167">
        <v>0</v>
      </c>
      <c r="BP56" s="3167">
        <v>6</v>
      </c>
      <c r="BQ56" s="3167">
        <v>17</v>
      </c>
      <c r="BR56" s="3168">
        <f>SUM(BO56:BQ56)</f>
        <v>23</v>
      </c>
      <c r="BS56" s="3167"/>
      <c r="BT56" s="3167">
        <v>4</v>
      </c>
      <c r="BU56" s="3167">
        <v>18</v>
      </c>
      <c r="BV56" s="3168">
        <f>SUM(BS56:BU56)</f>
        <v>22</v>
      </c>
      <c r="BW56" s="3167">
        <v>0</v>
      </c>
      <c r="BX56" s="3167">
        <v>2</v>
      </c>
      <c r="BY56" s="3167">
        <v>20</v>
      </c>
      <c r="BZ56" s="3168">
        <f>SUM(BW56:BY56)</f>
        <v>22</v>
      </c>
      <c r="CA56" s="3167"/>
      <c r="CB56" s="3167">
        <v>4</v>
      </c>
      <c r="CC56" s="3167">
        <v>15</v>
      </c>
      <c r="CD56" s="3168">
        <f>SUM(CA56:CC56)</f>
        <v>19</v>
      </c>
    </row>
    <row r="57" spans="1:82" ht="18" customHeight="1" x14ac:dyDescent="0.3">
      <c r="A57" s="3159"/>
      <c r="B57" s="3110" t="s">
        <v>64</v>
      </c>
      <c r="C57" s="3202"/>
      <c r="D57" s="3202"/>
      <c r="E57" s="3202"/>
      <c r="F57" s="3203"/>
      <c r="G57" s="3202"/>
      <c r="H57" s="3202"/>
      <c r="I57" s="3202"/>
      <c r="J57" s="3203"/>
      <c r="K57" s="3202"/>
      <c r="L57" s="3202"/>
      <c r="M57" s="3202"/>
      <c r="N57" s="3203"/>
      <c r="O57" s="3202"/>
      <c r="P57" s="3202"/>
      <c r="Q57" s="3202"/>
      <c r="R57" s="3203"/>
      <c r="S57" s="3171"/>
      <c r="T57" s="3171"/>
      <c r="U57" s="3171"/>
      <c r="V57" s="3172"/>
      <c r="W57" s="3171"/>
      <c r="X57" s="3171"/>
      <c r="Y57" s="3171"/>
      <c r="Z57" s="3172"/>
      <c r="AA57" s="3171"/>
      <c r="AB57" s="3171"/>
      <c r="AC57" s="3171"/>
      <c r="AD57" s="3172"/>
      <c r="AE57" s="3171"/>
      <c r="AF57" s="3171"/>
      <c r="AG57" s="3171">
        <v>2</v>
      </c>
      <c r="AH57" s="3172">
        <v>2</v>
      </c>
      <c r="AI57" s="3171"/>
      <c r="AJ57" s="3171"/>
      <c r="AK57" s="3171">
        <v>3</v>
      </c>
      <c r="AL57" s="3172">
        <f>SUM(AI57:AK57)</f>
        <v>3</v>
      </c>
      <c r="AM57" s="3171"/>
      <c r="AN57" s="3171"/>
      <c r="AO57" s="3171">
        <v>6</v>
      </c>
      <c r="AP57" s="3172">
        <f>SUM(AM57:AO57)</f>
        <v>6</v>
      </c>
      <c r="AQ57" s="3171"/>
      <c r="AR57" s="3171">
        <v>1</v>
      </c>
      <c r="AS57" s="3171">
        <v>6</v>
      </c>
      <c r="AT57" s="3172">
        <f>SUM(AQ57:AS57)</f>
        <v>7</v>
      </c>
      <c r="AU57" s="3171"/>
      <c r="AV57" s="3171">
        <v>6</v>
      </c>
      <c r="AW57" s="3171">
        <v>7</v>
      </c>
      <c r="AX57" s="3172">
        <f>SUM(AU57:AW57)</f>
        <v>13</v>
      </c>
      <c r="AY57" s="3171"/>
      <c r="AZ57" s="3171">
        <v>4</v>
      </c>
      <c r="BA57" s="3171">
        <v>9</v>
      </c>
      <c r="BB57" s="3172">
        <f>SUM(AY57:BA57)</f>
        <v>13</v>
      </c>
      <c r="BC57" s="3171"/>
      <c r="BD57" s="3171">
        <v>5</v>
      </c>
      <c r="BE57" s="3171">
        <v>16</v>
      </c>
      <c r="BF57" s="3172">
        <f>SUM(BC57:BE57)</f>
        <v>21</v>
      </c>
      <c r="BG57" s="3171"/>
      <c r="BH57" s="3171">
        <v>8</v>
      </c>
      <c r="BI57" s="3171">
        <v>19</v>
      </c>
      <c r="BJ57" s="3172">
        <f>SUM(BG57:BI57)</f>
        <v>27</v>
      </c>
      <c r="BK57" s="3171">
        <v>0</v>
      </c>
      <c r="BL57" s="3171">
        <v>7</v>
      </c>
      <c r="BM57" s="3171">
        <v>23</v>
      </c>
      <c r="BN57" s="3172">
        <f>SUM(BK57:BM57)</f>
        <v>30</v>
      </c>
      <c r="BO57" s="3171">
        <v>0</v>
      </c>
      <c r="BP57" s="3171">
        <v>5</v>
      </c>
      <c r="BQ57" s="3171">
        <v>25</v>
      </c>
      <c r="BR57" s="3172">
        <f>SUM(BO57:BQ57)</f>
        <v>30</v>
      </c>
      <c r="BS57" s="3171"/>
      <c r="BT57" s="3171">
        <v>4</v>
      </c>
      <c r="BU57" s="3171">
        <v>27</v>
      </c>
      <c r="BV57" s="3172">
        <f>SUM(BS57:BU57)</f>
        <v>31</v>
      </c>
      <c r="BW57" s="3171">
        <v>0</v>
      </c>
      <c r="BX57" s="3171">
        <v>5</v>
      </c>
      <c r="BY57" s="3171">
        <v>26</v>
      </c>
      <c r="BZ57" s="3172">
        <f>SUM(BW57:BY57)</f>
        <v>31</v>
      </c>
      <c r="CA57" s="3171"/>
      <c r="CB57" s="3171">
        <v>4</v>
      </c>
      <c r="CC57" s="3171">
        <v>26</v>
      </c>
      <c r="CD57" s="3172">
        <f>SUM(CA57:CC57)</f>
        <v>30</v>
      </c>
    </row>
    <row r="58" spans="1:82" ht="18" customHeight="1" x14ac:dyDescent="0.3">
      <c r="A58" s="3159"/>
      <c r="B58" s="3110" t="s">
        <v>92</v>
      </c>
      <c r="C58" s="3204"/>
      <c r="D58" s="3204"/>
      <c r="E58" s="3204"/>
      <c r="F58" s="3205"/>
      <c r="G58" s="3204"/>
      <c r="H58" s="3204"/>
      <c r="I58" s="3204"/>
      <c r="J58" s="3205"/>
      <c r="K58" s="3204"/>
      <c r="L58" s="3204"/>
      <c r="M58" s="3204"/>
      <c r="N58" s="3205"/>
      <c r="O58" s="3204"/>
      <c r="P58" s="3204"/>
      <c r="Q58" s="3204"/>
      <c r="R58" s="3205"/>
      <c r="S58" s="3175"/>
      <c r="T58" s="3175"/>
      <c r="U58" s="3175"/>
      <c r="V58" s="3176"/>
      <c r="W58" s="3175"/>
      <c r="X58" s="3175"/>
      <c r="Y58" s="3175"/>
      <c r="Z58" s="3176"/>
      <c r="AA58" s="3175"/>
      <c r="AB58" s="3175"/>
      <c r="AC58" s="3175">
        <v>1</v>
      </c>
      <c r="AD58" s="3176">
        <v>1</v>
      </c>
      <c r="AE58" s="3175"/>
      <c r="AF58" s="3175"/>
      <c r="AG58" s="3175">
        <v>5</v>
      </c>
      <c r="AH58" s="3176">
        <v>5</v>
      </c>
      <c r="AI58" s="3175"/>
      <c r="AJ58" s="3175"/>
      <c r="AK58" s="3175">
        <v>6</v>
      </c>
      <c r="AL58" s="3176">
        <f>SUM(AI58:AK58)</f>
        <v>6</v>
      </c>
      <c r="AM58" s="3175"/>
      <c r="AN58" s="3175"/>
      <c r="AO58" s="3175">
        <v>9</v>
      </c>
      <c r="AP58" s="3176">
        <f>SUM(AM58:AO58)</f>
        <v>9</v>
      </c>
      <c r="AQ58" s="3175"/>
      <c r="AR58" s="3175"/>
      <c r="AS58" s="3175">
        <v>13</v>
      </c>
      <c r="AT58" s="3176">
        <f>SUM(AQ58:AS58)</f>
        <v>13</v>
      </c>
      <c r="AU58" s="3175"/>
      <c r="AV58" s="3175"/>
      <c r="AW58" s="3175">
        <v>13</v>
      </c>
      <c r="AX58" s="3176">
        <f>SUM(AU58:AW58)</f>
        <v>13</v>
      </c>
      <c r="AY58" s="3175"/>
      <c r="AZ58" s="3175">
        <v>1</v>
      </c>
      <c r="BA58" s="3175">
        <v>13</v>
      </c>
      <c r="BB58" s="3176">
        <f>SUM(AY58:BA58)</f>
        <v>14</v>
      </c>
      <c r="BC58" s="3175"/>
      <c r="BD58" s="3175">
        <v>2</v>
      </c>
      <c r="BE58" s="3175">
        <v>16</v>
      </c>
      <c r="BF58" s="3176">
        <f>SUM(BC58:BE58)</f>
        <v>18</v>
      </c>
      <c r="BG58" s="3175"/>
      <c r="BH58" s="3175">
        <v>2</v>
      </c>
      <c r="BI58" s="3175">
        <v>18</v>
      </c>
      <c r="BJ58" s="3176">
        <f>SUM(BG58:BI58)</f>
        <v>20</v>
      </c>
      <c r="BK58" s="3175">
        <v>0</v>
      </c>
      <c r="BL58" s="3175">
        <v>1</v>
      </c>
      <c r="BM58" s="3175">
        <v>19</v>
      </c>
      <c r="BN58" s="3176">
        <f>SUM(BK58:BM58)</f>
        <v>20</v>
      </c>
      <c r="BO58" s="3175">
        <f>SUM(BO93,BO128,BO163)</f>
        <v>0</v>
      </c>
      <c r="BP58" s="3175">
        <f>SUM(BP93,BP128,BP163)</f>
        <v>0</v>
      </c>
      <c r="BQ58" s="3175">
        <v>21</v>
      </c>
      <c r="BR58" s="3176">
        <f>SUM(BO58:BQ58)</f>
        <v>21</v>
      </c>
      <c r="BS58" s="3175"/>
      <c r="BT58" s="3175"/>
      <c r="BU58" s="3175">
        <v>22</v>
      </c>
      <c r="BV58" s="3176">
        <f>SUM(BS58:BU58)</f>
        <v>22</v>
      </c>
      <c r="BW58" s="3175">
        <v>0</v>
      </c>
      <c r="BX58" s="3175"/>
      <c r="BY58" s="3175">
        <v>21</v>
      </c>
      <c r="BZ58" s="3176">
        <f>SUM(BW58:BY58)</f>
        <v>21</v>
      </c>
      <c r="CA58" s="3175"/>
      <c r="CB58" s="3175">
        <v>3</v>
      </c>
      <c r="CC58" s="3175">
        <v>18</v>
      </c>
      <c r="CD58" s="3176">
        <f>SUM(CA58:CC58)</f>
        <v>21</v>
      </c>
    </row>
    <row r="59" spans="1:82" ht="18" customHeight="1" x14ac:dyDescent="0.3">
      <c r="A59" s="3159"/>
      <c r="B59" s="3144" t="s">
        <v>136</v>
      </c>
      <c r="C59" s="3206"/>
      <c r="D59" s="3206"/>
      <c r="E59" s="3206"/>
      <c r="F59" s="3207"/>
      <c r="G59" s="3206"/>
      <c r="H59" s="3206"/>
      <c r="I59" s="3206"/>
      <c r="J59" s="3207"/>
      <c r="K59" s="3206"/>
      <c r="L59" s="3206"/>
      <c r="M59" s="3206"/>
      <c r="N59" s="3207"/>
      <c r="O59" s="3206"/>
      <c r="P59" s="3206"/>
      <c r="Q59" s="3206"/>
      <c r="R59" s="3207"/>
      <c r="S59" s="3208"/>
      <c r="T59" s="3208"/>
      <c r="U59" s="3208"/>
      <c r="V59" s="3209"/>
      <c r="W59" s="3210"/>
      <c r="X59" s="3208"/>
      <c r="Y59" s="3208"/>
      <c r="Z59" s="3209"/>
      <c r="AA59" s="3210"/>
      <c r="AB59" s="3208"/>
      <c r="AC59" s="3208">
        <v>1</v>
      </c>
      <c r="AD59" s="3209">
        <v>1</v>
      </c>
      <c r="AE59" s="3210"/>
      <c r="AF59" s="3208"/>
      <c r="AG59" s="3208">
        <v>10</v>
      </c>
      <c r="AH59" s="3209">
        <v>10</v>
      </c>
      <c r="AI59" s="3210"/>
      <c r="AJ59" s="3208"/>
      <c r="AK59" s="3208">
        <f>SUM(AK56:AK58)</f>
        <v>13</v>
      </c>
      <c r="AL59" s="3209">
        <f>SUM(AL56:AL58)</f>
        <v>13</v>
      </c>
      <c r="AM59" s="3210"/>
      <c r="AN59" s="3208"/>
      <c r="AO59" s="3208">
        <f>SUM(AO56:AO58)</f>
        <v>22</v>
      </c>
      <c r="AP59" s="3209">
        <f>SUM(AP56:AP58)</f>
        <v>22</v>
      </c>
      <c r="AQ59" s="3210"/>
      <c r="AR59" s="3208">
        <f>SUM(AR56:AR58)</f>
        <v>2</v>
      </c>
      <c r="AS59" s="3208">
        <f>SUM(AS56:AS58)</f>
        <v>26</v>
      </c>
      <c r="AT59" s="3209">
        <f>SUM(AT56:AT58)</f>
        <v>28</v>
      </c>
      <c r="AU59" s="3210"/>
      <c r="AV59" s="3208">
        <f>SUM(AV56:AV58)</f>
        <v>7</v>
      </c>
      <c r="AW59" s="3208">
        <f>SUM(AW56:AW58)</f>
        <v>29</v>
      </c>
      <c r="AX59" s="3209">
        <f>SUM(AX56:AX58)</f>
        <v>36</v>
      </c>
      <c r="AY59" s="3210"/>
      <c r="AZ59" s="3208">
        <f>SUM(AZ56:AZ58)</f>
        <v>9</v>
      </c>
      <c r="BA59" s="3208">
        <f>SUM(BA56:BA58)</f>
        <v>33</v>
      </c>
      <c r="BB59" s="3209">
        <f>SUM(BB56:BB58)</f>
        <v>42</v>
      </c>
      <c r="BC59" s="3210"/>
      <c r="BD59" s="3208">
        <f>SUM(BD56:BD58)</f>
        <v>10</v>
      </c>
      <c r="BE59" s="3208">
        <f>SUM(BE56:BE58)</f>
        <v>45</v>
      </c>
      <c r="BF59" s="3209">
        <f>SUM(BF56:BF58)</f>
        <v>55</v>
      </c>
      <c r="BG59" s="3210"/>
      <c r="BH59" s="3208">
        <f>SUM(BH56:BH58)</f>
        <v>13</v>
      </c>
      <c r="BI59" s="3208">
        <f>SUM(BI56:BI58)</f>
        <v>53</v>
      </c>
      <c r="BJ59" s="3209">
        <f>SUM(BJ56:BJ58)</f>
        <v>66</v>
      </c>
      <c r="BK59" s="3210"/>
      <c r="BL59" s="3208">
        <f>SUM(BL56:BL58)</f>
        <v>11</v>
      </c>
      <c r="BM59" s="3208">
        <f>SUM(BM56:BM58)</f>
        <v>60</v>
      </c>
      <c r="BN59" s="3209">
        <f>SUM(BN56:BN58)</f>
        <v>71</v>
      </c>
      <c r="BO59" s="3210"/>
      <c r="BP59" s="3208">
        <f>SUM(BP56:BP58)</f>
        <v>11</v>
      </c>
      <c r="BQ59" s="3208">
        <f>SUM(BQ56:BQ58)</f>
        <v>63</v>
      </c>
      <c r="BR59" s="3209">
        <f>SUM(BR56:BR58)</f>
        <v>74</v>
      </c>
      <c r="BS59" s="3210"/>
      <c r="BT59" s="3208">
        <f>SUM(BT56:BT58)</f>
        <v>8</v>
      </c>
      <c r="BU59" s="3208">
        <f>SUM(BU56:BU58)</f>
        <v>67</v>
      </c>
      <c r="BV59" s="3209">
        <f>SUM(BV56:BV58)</f>
        <v>75</v>
      </c>
      <c r="BW59" s="3210"/>
      <c r="BX59" s="3208">
        <f>SUM(BX56:BX58)</f>
        <v>7</v>
      </c>
      <c r="BY59" s="3208">
        <f>SUM(BY56:BY58)</f>
        <v>67</v>
      </c>
      <c r="BZ59" s="3209">
        <f>SUM(BZ56:BZ58)</f>
        <v>74</v>
      </c>
      <c r="CA59" s="3210"/>
      <c r="CB59" s="3208">
        <f>SUM(CB56:CB58)</f>
        <v>11</v>
      </c>
      <c r="CC59" s="3208">
        <f>SUM(CC56:CC58)</f>
        <v>59</v>
      </c>
      <c r="CD59" s="3209">
        <f>SUM(CD56:CD58)</f>
        <v>70</v>
      </c>
    </row>
    <row r="60" spans="1:82" ht="18" customHeight="1" x14ac:dyDescent="0.3">
      <c r="A60" s="3159"/>
      <c r="B60" s="3104"/>
      <c r="C60" s="3211"/>
      <c r="D60" s="3211"/>
      <c r="E60" s="3211"/>
      <c r="F60" s="3211"/>
      <c r="G60" s="3211"/>
      <c r="H60" s="3211"/>
      <c r="I60" s="3211"/>
      <c r="J60" s="3211"/>
      <c r="K60" s="3211"/>
      <c r="L60" s="3211"/>
      <c r="M60" s="3211"/>
      <c r="N60" s="3211"/>
      <c r="O60" s="3211"/>
      <c r="P60" s="3211"/>
      <c r="Q60" s="3211"/>
      <c r="R60" s="3211"/>
      <c r="S60" s="3211"/>
      <c r="T60" s="3211"/>
      <c r="U60" s="3211"/>
      <c r="V60" s="3211"/>
      <c r="W60" s="3211"/>
      <c r="X60" s="3211"/>
      <c r="Y60" s="3211"/>
      <c r="Z60" s="3211"/>
      <c r="AA60" s="3211"/>
      <c r="AB60" s="3211"/>
      <c r="AC60" s="3211"/>
      <c r="AD60" s="3211"/>
      <c r="AE60" s="3211"/>
      <c r="AF60" s="3211"/>
      <c r="AG60" s="3211"/>
      <c r="AH60" s="3211"/>
      <c r="AI60" s="3211"/>
      <c r="AJ60" s="3211"/>
      <c r="AK60" s="3211"/>
      <c r="AL60" s="3211"/>
      <c r="AM60" s="3211"/>
      <c r="AN60" s="3211"/>
      <c r="AO60" s="3211"/>
      <c r="AP60" s="3211"/>
      <c r="AQ60" s="3211"/>
      <c r="AR60" s="3211"/>
      <c r="AS60" s="3211"/>
      <c r="AT60" s="3211"/>
      <c r="AU60" s="3211"/>
      <c r="AV60" s="3211"/>
      <c r="AW60" s="3211"/>
      <c r="AX60" s="3211"/>
      <c r="AY60" s="3211"/>
      <c r="AZ60" s="3211"/>
      <c r="BA60" s="3211"/>
      <c r="BB60" s="3211"/>
      <c r="BC60" s="3211"/>
      <c r="BD60" s="3211"/>
      <c r="BE60" s="3211"/>
      <c r="BF60" s="3211"/>
      <c r="BG60" s="3211"/>
      <c r="BH60" s="3211"/>
      <c r="BI60" s="3211"/>
      <c r="BJ60" s="3211"/>
      <c r="BK60" s="3211"/>
      <c r="BL60" s="3211"/>
      <c r="BM60" s="3211"/>
      <c r="BN60" s="3211"/>
      <c r="BO60" s="3104"/>
      <c r="BP60" s="3104"/>
      <c r="BQ60" s="3104"/>
      <c r="BR60" s="3104"/>
      <c r="BS60" s="3104"/>
      <c r="BT60" s="3104"/>
      <c r="BU60" s="3104"/>
      <c r="BV60" s="3104"/>
      <c r="BW60" s="3104"/>
      <c r="BX60" s="3104"/>
      <c r="BY60" s="3104"/>
      <c r="BZ60" s="3104"/>
      <c r="CA60" s="3104"/>
      <c r="CB60" s="3104"/>
      <c r="CC60" s="3104"/>
      <c r="CD60" s="3104"/>
    </row>
    <row r="61" spans="1:82" ht="18" customHeight="1" x14ac:dyDescent="0.3">
      <c r="A61" s="3159"/>
      <c r="B61" s="3105" t="s">
        <v>64</v>
      </c>
      <c r="C61" s="3166">
        <v>1</v>
      </c>
      <c r="D61" s="3167">
        <v>17</v>
      </c>
      <c r="E61" s="3167">
        <v>330</v>
      </c>
      <c r="F61" s="3168">
        <v>348</v>
      </c>
      <c r="G61" s="3166"/>
      <c r="H61" s="3167">
        <v>12</v>
      </c>
      <c r="I61" s="3167">
        <v>335</v>
      </c>
      <c r="J61" s="3168">
        <v>347</v>
      </c>
      <c r="K61" s="3166">
        <v>1</v>
      </c>
      <c r="L61" s="3167">
        <v>13</v>
      </c>
      <c r="M61" s="3167">
        <v>333</v>
      </c>
      <c r="N61" s="3169">
        <v>347</v>
      </c>
      <c r="O61" s="3166"/>
      <c r="P61" s="3167">
        <v>13</v>
      </c>
      <c r="Q61" s="3167">
        <v>327</v>
      </c>
      <c r="R61" s="3168">
        <v>340</v>
      </c>
      <c r="S61" s="3167"/>
      <c r="T61" s="3167">
        <v>12</v>
      </c>
      <c r="U61" s="3167">
        <v>314</v>
      </c>
      <c r="V61" s="3168">
        <v>326</v>
      </c>
      <c r="W61" s="3167"/>
      <c r="X61" s="3167">
        <v>24</v>
      </c>
      <c r="Y61" s="3167">
        <v>311</v>
      </c>
      <c r="Z61" s="3168">
        <v>335</v>
      </c>
      <c r="AA61" s="3167">
        <v>1</v>
      </c>
      <c r="AB61" s="3167">
        <v>29</v>
      </c>
      <c r="AC61" s="3167">
        <v>314</v>
      </c>
      <c r="AD61" s="3168">
        <v>344</v>
      </c>
      <c r="AE61" s="3167">
        <v>1</v>
      </c>
      <c r="AF61" s="3167">
        <v>27</v>
      </c>
      <c r="AG61" s="3167">
        <v>314</v>
      </c>
      <c r="AH61" s="3168">
        <v>342</v>
      </c>
      <c r="AI61" s="3167">
        <v>3</v>
      </c>
      <c r="AJ61" s="3167">
        <v>31</v>
      </c>
      <c r="AK61" s="3167">
        <v>322</v>
      </c>
      <c r="AL61" s="3168">
        <f>SUM(AI61:AK61)</f>
        <v>356</v>
      </c>
      <c r="AM61" s="3167">
        <v>3</v>
      </c>
      <c r="AN61" s="3167">
        <v>31</v>
      </c>
      <c r="AO61" s="3167">
        <v>329</v>
      </c>
      <c r="AP61" s="3168">
        <f>SUM(AM61:AO61)</f>
        <v>363</v>
      </c>
      <c r="AQ61" s="3167">
        <v>2</v>
      </c>
      <c r="AR61" s="3167">
        <v>29</v>
      </c>
      <c r="AS61" s="3167">
        <v>332</v>
      </c>
      <c r="AT61" s="3168">
        <f>SUM(AQ61:AS61)</f>
        <v>363</v>
      </c>
      <c r="AU61" s="3167">
        <v>2</v>
      </c>
      <c r="AV61" s="3167">
        <v>28</v>
      </c>
      <c r="AW61" s="3167">
        <v>331</v>
      </c>
      <c r="AX61" s="3168">
        <f>SUM(AU61:AW61)</f>
        <v>361</v>
      </c>
      <c r="AY61" s="3167">
        <v>2</v>
      </c>
      <c r="AZ61" s="3167">
        <v>29</v>
      </c>
      <c r="BA61" s="3167">
        <v>327</v>
      </c>
      <c r="BB61" s="3168">
        <f>SUM(AY61:BA61)</f>
        <v>358</v>
      </c>
      <c r="BC61" s="3167">
        <v>1</v>
      </c>
      <c r="BD61" s="3167">
        <v>30</v>
      </c>
      <c r="BE61" s="3167">
        <v>320</v>
      </c>
      <c r="BF61" s="3168">
        <f>SUM(BC61:BE61)</f>
        <v>351</v>
      </c>
      <c r="BG61" s="3167">
        <v>1</v>
      </c>
      <c r="BH61" s="3167">
        <v>33</v>
      </c>
      <c r="BI61" s="3167">
        <v>316</v>
      </c>
      <c r="BJ61" s="3168">
        <f>SUM(BG61:BI61)</f>
        <v>350</v>
      </c>
      <c r="BK61" s="3167">
        <v>1</v>
      </c>
      <c r="BL61" s="3167">
        <v>32</v>
      </c>
      <c r="BM61" s="3167">
        <v>320</v>
      </c>
      <c r="BN61" s="3168">
        <f>SUM(BK61:BM61)</f>
        <v>353</v>
      </c>
      <c r="BO61" s="3167">
        <v>2</v>
      </c>
      <c r="BP61" s="3167">
        <v>33</v>
      </c>
      <c r="BQ61" s="3167">
        <v>306</v>
      </c>
      <c r="BR61" s="3168">
        <f>SUM(BO61:BQ61)</f>
        <v>341</v>
      </c>
      <c r="BS61" s="3167">
        <v>2</v>
      </c>
      <c r="BT61" s="3167">
        <v>36</v>
      </c>
      <c r="BU61" s="3167">
        <v>299</v>
      </c>
      <c r="BV61" s="3168">
        <f>SUM(BS61:BU61)</f>
        <v>337</v>
      </c>
      <c r="BW61" s="3167">
        <v>1</v>
      </c>
      <c r="BX61" s="3167">
        <v>31</v>
      </c>
      <c r="BY61" s="3167">
        <v>298</v>
      </c>
      <c r="BZ61" s="3168">
        <f>SUM(BW61:BY61)</f>
        <v>330</v>
      </c>
      <c r="CA61" s="3167">
        <v>2</v>
      </c>
      <c r="CB61" s="3167">
        <v>30</v>
      </c>
      <c r="CC61" s="3167">
        <v>293</v>
      </c>
      <c r="CD61" s="3168">
        <f>SUM(CA61:CC61)</f>
        <v>325</v>
      </c>
    </row>
    <row r="62" spans="1:82" ht="18" customHeight="1" x14ac:dyDescent="0.3">
      <c r="A62" s="3159"/>
      <c r="B62" s="3110" t="s">
        <v>92</v>
      </c>
      <c r="C62" s="3170"/>
      <c r="D62" s="3171">
        <v>25</v>
      </c>
      <c r="E62" s="3171">
        <v>331</v>
      </c>
      <c r="F62" s="3172">
        <v>356</v>
      </c>
      <c r="G62" s="3170"/>
      <c r="H62" s="3171">
        <v>12</v>
      </c>
      <c r="I62" s="3171">
        <v>340</v>
      </c>
      <c r="J62" s="3172">
        <v>352</v>
      </c>
      <c r="K62" s="3170"/>
      <c r="L62" s="3171">
        <v>13</v>
      </c>
      <c r="M62" s="3171">
        <v>345</v>
      </c>
      <c r="N62" s="3173">
        <v>358</v>
      </c>
      <c r="O62" s="3170"/>
      <c r="P62" s="3171">
        <v>15</v>
      </c>
      <c r="Q62" s="3171">
        <v>340</v>
      </c>
      <c r="R62" s="3172">
        <v>355</v>
      </c>
      <c r="S62" s="3171"/>
      <c r="T62" s="3171">
        <v>15</v>
      </c>
      <c r="U62" s="3171">
        <v>336</v>
      </c>
      <c r="V62" s="3172">
        <v>351</v>
      </c>
      <c r="W62" s="3171"/>
      <c r="X62" s="3171">
        <v>15</v>
      </c>
      <c r="Y62" s="3171">
        <v>331</v>
      </c>
      <c r="Z62" s="3172">
        <v>346</v>
      </c>
      <c r="AA62" s="3171"/>
      <c r="AB62" s="3171">
        <v>16</v>
      </c>
      <c r="AC62" s="3171">
        <v>320</v>
      </c>
      <c r="AD62" s="3172">
        <v>336</v>
      </c>
      <c r="AE62" s="3171"/>
      <c r="AF62" s="3171">
        <v>17</v>
      </c>
      <c r="AG62" s="3171">
        <v>323</v>
      </c>
      <c r="AH62" s="3172">
        <v>340</v>
      </c>
      <c r="AI62" s="3171"/>
      <c r="AJ62" s="3171">
        <v>12</v>
      </c>
      <c r="AK62" s="3171">
        <v>328</v>
      </c>
      <c r="AL62" s="3172">
        <f>SUM(AI62:AK62)</f>
        <v>340</v>
      </c>
      <c r="AM62" s="3171"/>
      <c r="AN62" s="3171">
        <v>23</v>
      </c>
      <c r="AO62" s="3171">
        <v>325</v>
      </c>
      <c r="AP62" s="3172">
        <f>SUM(AM62:AO62)</f>
        <v>348</v>
      </c>
      <c r="AQ62" s="3171"/>
      <c r="AR62" s="3171">
        <v>29</v>
      </c>
      <c r="AS62" s="3171">
        <v>320</v>
      </c>
      <c r="AT62" s="3172">
        <f>SUM(AQ62:AS62)</f>
        <v>349</v>
      </c>
      <c r="AU62" s="3171"/>
      <c r="AV62" s="3171">
        <v>30</v>
      </c>
      <c r="AW62" s="3171">
        <v>323</v>
      </c>
      <c r="AX62" s="3172">
        <f>SUM(AU62:AW62)</f>
        <v>353</v>
      </c>
      <c r="AY62" s="3171">
        <v>0</v>
      </c>
      <c r="AZ62" s="3171">
        <v>34</v>
      </c>
      <c r="BA62" s="3171">
        <v>321</v>
      </c>
      <c r="BB62" s="3172">
        <f>SUM(AY62:BA62)</f>
        <v>355</v>
      </c>
      <c r="BC62" s="3171">
        <v>0</v>
      </c>
      <c r="BD62" s="3171">
        <v>30</v>
      </c>
      <c r="BE62" s="3171">
        <v>317</v>
      </c>
      <c r="BF62" s="3172">
        <f>SUM(BC62:BE62)</f>
        <v>347</v>
      </c>
      <c r="BG62" s="3171">
        <v>0</v>
      </c>
      <c r="BH62" s="3171">
        <v>34</v>
      </c>
      <c r="BI62" s="3171">
        <v>313</v>
      </c>
      <c r="BJ62" s="3172">
        <f>SUM(BG62:BI62)</f>
        <v>347</v>
      </c>
      <c r="BK62" s="3171">
        <v>1</v>
      </c>
      <c r="BL62" s="3171">
        <v>36</v>
      </c>
      <c r="BM62" s="3171">
        <v>306</v>
      </c>
      <c r="BN62" s="3172">
        <f>SUM(BK62:BM62)</f>
        <v>343</v>
      </c>
      <c r="BO62" s="3171">
        <v>1</v>
      </c>
      <c r="BP62" s="3171">
        <v>41</v>
      </c>
      <c r="BQ62" s="3171">
        <v>302</v>
      </c>
      <c r="BR62" s="3172">
        <f>SUM(BO62:BQ62)</f>
        <v>344</v>
      </c>
      <c r="BS62" s="3171">
        <v>1</v>
      </c>
      <c r="BT62" s="3171">
        <v>40</v>
      </c>
      <c r="BU62" s="3171">
        <v>291</v>
      </c>
      <c r="BV62" s="3172">
        <f>SUM(BS62:BU62)</f>
        <v>332</v>
      </c>
      <c r="BW62" s="3171">
        <v>1</v>
      </c>
      <c r="BX62" s="3171">
        <v>36</v>
      </c>
      <c r="BY62" s="3171">
        <v>289</v>
      </c>
      <c r="BZ62" s="3172">
        <f>SUM(BW62:BY62)</f>
        <v>326</v>
      </c>
      <c r="CA62" s="3171">
        <v>1</v>
      </c>
      <c r="CB62" s="3171">
        <v>38</v>
      </c>
      <c r="CC62" s="3171">
        <v>276</v>
      </c>
      <c r="CD62" s="3172">
        <f>SUM(CA62:CC62)</f>
        <v>315</v>
      </c>
    </row>
    <row r="63" spans="1:82" ht="18" customHeight="1" x14ac:dyDescent="0.3">
      <c r="A63" s="3159"/>
      <c r="B63" s="3110" t="s">
        <v>68</v>
      </c>
      <c r="C63" s="3174">
        <v>1</v>
      </c>
      <c r="D63" s="3175">
        <v>5</v>
      </c>
      <c r="E63" s="3175">
        <v>134</v>
      </c>
      <c r="F63" s="3176">
        <v>140</v>
      </c>
      <c r="G63" s="3174">
        <v>1</v>
      </c>
      <c r="H63" s="3175">
        <v>7</v>
      </c>
      <c r="I63" s="3175">
        <v>131</v>
      </c>
      <c r="J63" s="3176">
        <v>139</v>
      </c>
      <c r="K63" s="3174">
        <v>1</v>
      </c>
      <c r="L63" s="3175">
        <v>6</v>
      </c>
      <c r="M63" s="3175">
        <v>132</v>
      </c>
      <c r="N63" s="3177">
        <v>139</v>
      </c>
      <c r="O63" s="3174">
        <v>1</v>
      </c>
      <c r="P63" s="3175">
        <v>6</v>
      </c>
      <c r="Q63" s="3175">
        <v>132</v>
      </c>
      <c r="R63" s="3176">
        <v>139</v>
      </c>
      <c r="S63" s="3175">
        <v>1</v>
      </c>
      <c r="T63" s="3175">
        <v>10</v>
      </c>
      <c r="U63" s="3175">
        <v>128</v>
      </c>
      <c r="V63" s="3176">
        <v>139</v>
      </c>
      <c r="W63" s="3175">
        <v>1</v>
      </c>
      <c r="X63" s="3175">
        <v>10</v>
      </c>
      <c r="Y63" s="3175">
        <v>127</v>
      </c>
      <c r="Z63" s="3176">
        <v>138</v>
      </c>
      <c r="AA63" s="3175">
        <v>1</v>
      </c>
      <c r="AB63" s="3175">
        <v>10</v>
      </c>
      <c r="AC63" s="3175">
        <v>129</v>
      </c>
      <c r="AD63" s="3176">
        <v>140</v>
      </c>
      <c r="AE63" s="3175">
        <v>1</v>
      </c>
      <c r="AF63" s="3175">
        <v>8</v>
      </c>
      <c r="AG63" s="3175">
        <v>133</v>
      </c>
      <c r="AH63" s="3176">
        <v>142</v>
      </c>
      <c r="AI63" s="3175">
        <v>1</v>
      </c>
      <c r="AJ63" s="3175">
        <v>10</v>
      </c>
      <c r="AK63" s="3175">
        <v>132</v>
      </c>
      <c r="AL63" s="3176">
        <f>SUM(AI63:AK63)</f>
        <v>143</v>
      </c>
      <c r="AM63" s="3175">
        <v>1</v>
      </c>
      <c r="AN63" s="3175">
        <v>10</v>
      </c>
      <c r="AO63" s="3175">
        <v>130</v>
      </c>
      <c r="AP63" s="3176">
        <f>SUM(AM63:AO63)</f>
        <v>141</v>
      </c>
      <c r="AQ63" s="3175">
        <v>1</v>
      </c>
      <c r="AR63" s="3175">
        <v>11</v>
      </c>
      <c r="AS63" s="3175">
        <v>129</v>
      </c>
      <c r="AT63" s="3176">
        <f>SUM(AQ63:AS63)</f>
        <v>141</v>
      </c>
      <c r="AU63" s="3175">
        <v>1</v>
      </c>
      <c r="AV63" s="3175">
        <v>14</v>
      </c>
      <c r="AW63" s="3175">
        <v>131</v>
      </c>
      <c r="AX63" s="3176">
        <f>SUM(AU63:AW63)</f>
        <v>146</v>
      </c>
      <c r="AY63" s="3175">
        <v>1</v>
      </c>
      <c r="AZ63" s="3175">
        <v>13</v>
      </c>
      <c r="BA63" s="3175">
        <v>129</v>
      </c>
      <c r="BB63" s="3176">
        <f>SUM(AY63:BA63)</f>
        <v>143</v>
      </c>
      <c r="BC63" s="3175">
        <v>1</v>
      </c>
      <c r="BD63" s="3175">
        <v>14</v>
      </c>
      <c r="BE63" s="3175">
        <v>129</v>
      </c>
      <c r="BF63" s="3176">
        <f>SUM(BC63:BE63)</f>
        <v>144</v>
      </c>
      <c r="BG63" s="3175">
        <v>0</v>
      </c>
      <c r="BH63" s="3175">
        <v>16</v>
      </c>
      <c r="BI63" s="3175">
        <v>119</v>
      </c>
      <c r="BJ63" s="3176">
        <f>SUM(BG63:BI63)</f>
        <v>135</v>
      </c>
      <c r="BK63" s="3175"/>
      <c r="BL63" s="3175">
        <v>18</v>
      </c>
      <c r="BM63" s="3175">
        <v>115</v>
      </c>
      <c r="BN63" s="3176">
        <f>SUM(BK63:BM63)</f>
        <v>133</v>
      </c>
      <c r="BO63" s="3175">
        <v>1</v>
      </c>
      <c r="BP63" s="3175">
        <v>19</v>
      </c>
      <c r="BQ63" s="3175">
        <v>116</v>
      </c>
      <c r="BR63" s="3176">
        <f>SUM(BO63:BQ63)</f>
        <v>136</v>
      </c>
      <c r="BS63" s="3175">
        <v>1</v>
      </c>
      <c r="BT63" s="3175">
        <v>18</v>
      </c>
      <c r="BU63" s="3175">
        <v>115</v>
      </c>
      <c r="BV63" s="3176">
        <f>SUM(BS63:BU63)</f>
        <v>134</v>
      </c>
      <c r="BW63" s="3175">
        <v>1</v>
      </c>
      <c r="BX63" s="3175">
        <v>16</v>
      </c>
      <c r="BY63" s="3175">
        <v>117</v>
      </c>
      <c r="BZ63" s="3176">
        <f>SUM(BW63:BY63)</f>
        <v>134</v>
      </c>
      <c r="CA63" s="3175">
        <v>1</v>
      </c>
      <c r="CB63" s="3175">
        <v>18</v>
      </c>
      <c r="CC63" s="3175">
        <v>110</v>
      </c>
      <c r="CD63" s="3176">
        <f>SUM(CA63:CC63)</f>
        <v>129</v>
      </c>
    </row>
    <row r="64" spans="1:82" ht="18" customHeight="1" x14ac:dyDescent="0.3">
      <c r="A64" s="3159"/>
      <c r="B64" s="3151" t="s">
        <v>137</v>
      </c>
      <c r="C64" s="3212">
        <v>2</v>
      </c>
      <c r="D64" s="3213">
        <v>47</v>
      </c>
      <c r="E64" s="3213">
        <v>795</v>
      </c>
      <c r="F64" s="3214">
        <v>844</v>
      </c>
      <c r="G64" s="3212">
        <v>1</v>
      </c>
      <c r="H64" s="3213">
        <v>31</v>
      </c>
      <c r="I64" s="3213">
        <v>806</v>
      </c>
      <c r="J64" s="3214">
        <v>838</v>
      </c>
      <c r="K64" s="3212">
        <v>2</v>
      </c>
      <c r="L64" s="3213">
        <v>32</v>
      </c>
      <c r="M64" s="3213">
        <v>810</v>
      </c>
      <c r="N64" s="3213">
        <v>844</v>
      </c>
      <c r="O64" s="3212">
        <v>1</v>
      </c>
      <c r="P64" s="3213">
        <v>34</v>
      </c>
      <c r="Q64" s="3213">
        <v>799</v>
      </c>
      <c r="R64" s="3214">
        <v>834</v>
      </c>
      <c r="S64" s="3213">
        <v>1</v>
      </c>
      <c r="T64" s="3213">
        <v>37</v>
      </c>
      <c r="U64" s="3213">
        <v>778</v>
      </c>
      <c r="V64" s="3214">
        <v>816</v>
      </c>
      <c r="W64" s="3212">
        <v>1</v>
      </c>
      <c r="X64" s="3213">
        <v>49</v>
      </c>
      <c r="Y64" s="3213">
        <v>769</v>
      </c>
      <c r="Z64" s="3214">
        <v>819</v>
      </c>
      <c r="AA64" s="3212">
        <v>2</v>
      </c>
      <c r="AB64" s="3213">
        <v>55</v>
      </c>
      <c r="AC64" s="3213">
        <v>763</v>
      </c>
      <c r="AD64" s="3214">
        <v>820</v>
      </c>
      <c r="AE64" s="3212">
        <v>2</v>
      </c>
      <c r="AF64" s="3213">
        <v>52</v>
      </c>
      <c r="AG64" s="3213">
        <v>770</v>
      </c>
      <c r="AH64" s="3214">
        <v>824</v>
      </c>
      <c r="AI64" s="3212">
        <f t="shared" ref="AI64:BV64" si="93">SUM(AI61:AI63)</f>
        <v>4</v>
      </c>
      <c r="AJ64" s="3213">
        <f t="shared" si="93"/>
        <v>53</v>
      </c>
      <c r="AK64" s="3213">
        <f t="shared" si="93"/>
        <v>782</v>
      </c>
      <c r="AL64" s="3214">
        <f t="shared" si="93"/>
        <v>839</v>
      </c>
      <c r="AM64" s="3212">
        <f t="shared" si="93"/>
        <v>4</v>
      </c>
      <c r="AN64" s="3213">
        <f t="shared" si="93"/>
        <v>64</v>
      </c>
      <c r="AO64" s="3213">
        <f t="shared" si="93"/>
        <v>784</v>
      </c>
      <c r="AP64" s="3214">
        <f t="shared" si="93"/>
        <v>852</v>
      </c>
      <c r="AQ64" s="3212">
        <f t="shared" si="93"/>
        <v>3</v>
      </c>
      <c r="AR64" s="3213">
        <f t="shared" si="93"/>
        <v>69</v>
      </c>
      <c r="AS64" s="3213">
        <f t="shared" si="93"/>
        <v>781</v>
      </c>
      <c r="AT64" s="3214">
        <f t="shared" si="93"/>
        <v>853</v>
      </c>
      <c r="AU64" s="3212">
        <f t="shared" si="93"/>
        <v>3</v>
      </c>
      <c r="AV64" s="3213">
        <f t="shared" si="93"/>
        <v>72</v>
      </c>
      <c r="AW64" s="3213">
        <f t="shared" si="93"/>
        <v>785</v>
      </c>
      <c r="AX64" s="3214">
        <f t="shared" si="93"/>
        <v>860</v>
      </c>
      <c r="AY64" s="3212">
        <f t="shared" si="93"/>
        <v>3</v>
      </c>
      <c r="AZ64" s="3213">
        <f t="shared" si="93"/>
        <v>76</v>
      </c>
      <c r="BA64" s="3213">
        <f t="shared" si="93"/>
        <v>777</v>
      </c>
      <c r="BB64" s="3214">
        <f t="shared" si="93"/>
        <v>856</v>
      </c>
      <c r="BC64" s="3212">
        <f t="shared" si="93"/>
        <v>2</v>
      </c>
      <c r="BD64" s="3213">
        <f t="shared" si="93"/>
        <v>74</v>
      </c>
      <c r="BE64" s="3213">
        <f t="shared" si="93"/>
        <v>766</v>
      </c>
      <c r="BF64" s="3214">
        <f t="shared" si="93"/>
        <v>842</v>
      </c>
      <c r="BG64" s="3212">
        <f t="shared" si="93"/>
        <v>1</v>
      </c>
      <c r="BH64" s="3213">
        <f t="shared" si="93"/>
        <v>83</v>
      </c>
      <c r="BI64" s="3213">
        <f t="shared" si="93"/>
        <v>748</v>
      </c>
      <c r="BJ64" s="3214">
        <f t="shared" si="93"/>
        <v>832</v>
      </c>
      <c r="BK64" s="3212">
        <f t="shared" si="93"/>
        <v>2</v>
      </c>
      <c r="BL64" s="3213">
        <f t="shared" si="93"/>
        <v>86</v>
      </c>
      <c r="BM64" s="3213">
        <f t="shared" si="93"/>
        <v>741</v>
      </c>
      <c r="BN64" s="3214">
        <f t="shared" si="93"/>
        <v>829</v>
      </c>
      <c r="BO64" s="3212">
        <f t="shared" si="93"/>
        <v>4</v>
      </c>
      <c r="BP64" s="3213">
        <f t="shared" si="93"/>
        <v>93</v>
      </c>
      <c r="BQ64" s="3213">
        <f t="shared" si="93"/>
        <v>724</v>
      </c>
      <c r="BR64" s="3214">
        <f t="shared" si="93"/>
        <v>821</v>
      </c>
      <c r="BS64" s="3212">
        <f t="shared" si="93"/>
        <v>4</v>
      </c>
      <c r="BT64" s="3213">
        <f t="shared" si="93"/>
        <v>94</v>
      </c>
      <c r="BU64" s="3213">
        <f t="shared" si="93"/>
        <v>705</v>
      </c>
      <c r="BV64" s="3214">
        <f t="shared" si="93"/>
        <v>803</v>
      </c>
      <c r="BW64" s="3212">
        <f t="shared" ref="BW64:BZ64" si="94">SUM(BW61:BW63)</f>
        <v>3</v>
      </c>
      <c r="BX64" s="3213">
        <f t="shared" si="94"/>
        <v>83</v>
      </c>
      <c r="BY64" s="3213">
        <f t="shared" si="94"/>
        <v>704</v>
      </c>
      <c r="BZ64" s="3214">
        <f t="shared" si="94"/>
        <v>790</v>
      </c>
      <c r="CA64" s="3212">
        <f t="shared" ref="CA64:CD64" si="95">SUM(CA61:CA63)</f>
        <v>4</v>
      </c>
      <c r="CB64" s="3213">
        <f t="shared" si="95"/>
        <v>86</v>
      </c>
      <c r="CC64" s="3213">
        <f t="shared" si="95"/>
        <v>679</v>
      </c>
      <c r="CD64" s="3214">
        <f t="shared" si="95"/>
        <v>769</v>
      </c>
    </row>
    <row r="65" spans="1:82" x14ac:dyDescent="0.3">
      <c r="A65" s="3159"/>
      <c r="B65" s="3104"/>
      <c r="C65" s="3104"/>
      <c r="D65" s="3104"/>
      <c r="E65" s="3104"/>
      <c r="F65" s="3104"/>
      <c r="G65" s="3104"/>
      <c r="H65" s="3104"/>
      <c r="I65" s="3104"/>
      <c r="J65" s="3104"/>
      <c r="K65" s="3104"/>
      <c r="L65" s="3104"/>
      <c r="M65" s="3104"/>
      <c r="N65" s="3104"/>
      <c r="O65" s="3104"/>
      <c r="P65" s="3104"/>
      <c r="Q65" s="3104"/>
      <c r="R65" s="3104"/>
      <c r="S65" s="3104"/>
      <c r="T65" s="3104"/>
      <c r="U65" s="3104"/>
      <c r="V65" s="3104"/>
      <c r="W65" s="3104"/>
      <c r="X65" s="3104"/>
      <c r="Y65" s="3104"/>
      <c r="Z65" s="3104"/>
      <c r="AA65" s="3104"/>
      <c r="AB65" s="3104"/>
      <c r="AC65" s="3104"/>
      <c r="AD65" s="3104"/>
      <c r="AE65" s="3104"/>
      <c r="AF65" s="3104"/>
      <c r="AG65" s="3104"/>
      <c r="AH65" s="3104"/>
      <c r="AI65" s="3104"/>
      <c r="AJ65" s="3104"/>
      <c r="AK65" s="3104"/>
      <c r="AL65" s="3104"/>
      <c r="AM65" s="3104"/>
      <c r="AN65" s="3104"/>
      <c r="AO65" s="3104"/>
      <c r="AP65" s="3104"/>
      <c r="AQ65" s="3104"/>
      <c r="AR65" s="3104"/>
      <c r="AS65" s="3104"/>
      <c r="AT65" s="3104"/>
      <c r="AU65" s="3104"/>
      <c r="AV65" s="3104"/>
      <c r="AW65" s="3104"/>
      <c r="AX65" s="3104"/>
      <c r="AY65" s="3104"/>
      <c r="AZ65" s="3104"/>
      <c r="BA65" s="3104"/>
      <c r="BB65" s="3104"/>
      <c r="BC65" s="3104"/>
      <c r="BD65" s="3104"/>
      <c r="BE65" s="3104"/>
      <c r="BF65" s="3104"/>
      <c r="BG65" s="3104"/>
      <c r="BH65" s="3104"/>
      <c r="BI65" s="3104"/>
      <c r="BJ65" s="3104"/>
      <c r="BK65" s="3104"/>
      <c r="BL65" s="3104"/>
      <c r="BM65" s="3104"/>
      <c r="BN65" s="3104"/>
      <c r="BO65" s="3173"/>
      <c r="BP65" s="3173"/>
      <c r="BQ65" s="3173"/>
      <c r="BR65" s="3104"/>
      <c r="BS65" s="3173"/>
      <c r="BT65" s="3173"/>
      <c r="BU65" s="3173"/>
      <c r="BV65" s="3104"/>
      <c r="BW65" s="3173"/>
      <c r="BX65" s="3173"/>
      <c r="BY65" s="3173"/>
      <c r="BZ65" s="3104"/>
      <c r="CA65" s="3173"/>
      <c r="CB65" s="3173"/>
      <c r="CC65" s="3173"/>
      <c r="CD65" s="3104"/>
    </row>
    <row r="66" spans="1:82" ht="21.75" customHeight="1" x14ac:dyDescent="0.3">
      <c r="A66" s="3159"/>
      <c r="B66" s="3155" t="s">
        <v>431</v>
      </c>
      <c r="C66" s="3215">
        <v>15</v>
      </c>
      <c r="D66" s="3216">
        <v>148</v>
      </c>
      <c r="E66" s="3216">
        <v>2258</v>
      </c>
      <c r="F66" s="3217">
        <v>2421</v>
      </c>
      <c r="G66" s="3215">
        <v>13</v>
      </c>
      <c r="H66" s="3216">
        <v>93</v>
      </c>
      <c r="I66" s="3216">
        <v>2323</v>
      </c>
      <c r="J66" s="3217">
        <v>2429</v>
      </c>
      <c r="K66" s="3215">
        <v>18</v>
      </c>
      <c r="L66" s="3216">
        <v>98</v>
      </c>
      <c r="M66" s="3216">
        <v>2351</v>
      </c>
      <c r="N66" s="3216">
        <v>2467</v>
      </c>
      <c r="O66" s="3215">
        <v>21</v>
      </c>
      <c r="P66" s="3216">
        <v>116</v>
      </c>
      <c r="Q66" s="3216">
        <v>2331</v>
      </c>
      <c r="R66" s="3217">
        <v>2468</v>
      </c>
      <c r="S66" s="3216">
        <v>18</v>
      </c>
      <c r="T66" s="3216">
        <v>138</v>
      </c>
      <c r="U66" s="3216">
        <v>2339</v>
      </c>
      <c r="V66" s="3217">
        <v>2495</v>
      </c>
      <c r="W66" s="3216">
        <v>19</v>
      </c>
      <c r="X66" s="3216">
        <v>167</v>
      </c>
      <c r="Y66" s="3216">
        <v>2334</v>
      </c>
      <c r="Z66" s="3217">
        <v>2520</v>
      </c>
      <c r="AA66" s="3216">
        <v>25</v>
      </c>
      <c r="AB66" s="3216">
        <v>176</v>
      </c>
      <c r="AC66" s="3216">
        <v>2337</v>
      </c>
      <c r="AD66" s="3217">
        <v>2538</v>
      </c>
      <c r="AE66" s="3216">
        <v>23</v>
      </c>
      <c r="AF66" s="3216">
        <v>183</v>
      </c>
      <c r="AG66" s="3216">
        <v>2369</v>
      </c>
      <c r="AH66" s="3217">
        <v>2575</v>
      </c>
      <c r="AI66" s="3216">
        <f t="shared" ref="AI66:BF66" si="96">SUM(AI44,AI49,AI54,AI59,AI64)</f>
        <v>20</v>
      </c>
      <c r="AJ66" s="3216">
        <f t="shared" si="96"/>
        <v>190</v>
      </c>
      <c r="AK66" s="3216">
        <f t="shared" si="96"/>
        <v>2413</v>
      </c>
      <c r="AL66" s="3217">
        <f t="shared" si="96"/>
        <v>2623</v>
      </c>
      <c r="AM66" s="3216">
        <f t="shared" si="96"/>
        <v>19</v>
      </c>
      <c r="AN66" s="3216">
        <f t="shared" si="96"/>
        <v>208</v>
      </c>
      <c r="AO66" s="3216">
        <f t="shared" si="96"/>
        <v>2436</v>
      </c>
      <c r="AP66" s="3217">
        <f t="shared" si="96"/>
        <v>2663</v>
      </c>
      <c r="AQ66" s="3216">
        <f t="shared" si="96"/>
        <v>22</v>
      </c>
      <c r="AR66" s="3216">
        <f t="shared" si="96"/>
        <v>229</v>
      </c>
      <c r="AS66" s="3216">
        <f t="shared" si="96"/>
        <v>2454</v>
      </c>
      <c r="AT66" s="3217">
        <f t="shared" si="96"/>
        <v>2705</v>
      </c>
      <c r="AU66" s="3216">
        <f t="shared" si="96"/>
        <v>25</v>
      </c>
      <c r="AV66" s="3216">
        <f t="shared" si="96"/>
        <v>252</v>
      </c>
      <c r="AW66" s="3216">
        <f t="shared" si="96"/>
        <v>2482</v>
      </c>
      <c r="AX66" s="3217">
        <f t="shared" si="96"/>
        <v>2759</v>
      </c>
      <c r="AY66" s="3216">
        <f t="shared" si="96"/>
        <v>19</v>
      </c>
      <c r="AZ66" s="3216">
        <f t="shared" si="96"/>
        <v>247</v>
      </c>
      <c r="BA66" s="3216">
        <f t="shared" si="96"/>
        <v>2477</v>
      </c>
      <c r="BB66" s="3217">
        <f t="shared" si="96"/>
        <v>2743</v>
      </c>
      <c r="BC66" s="3216">
        <f t="shared" si="96"/>
        <v>19</v>
      </c>
      <c r="BD66" s="3216">
        <f t="shared" si="96"/>
        <v>239</v>
      </c>
      <c r="BE66" s="3216">
        <f t="shared" si="96"/>
        <v>2474</v>
      </c>
      <c r="BF66" s="3217">
        <f t="shared" si="96"/>
        <v>2732</v>
      </c>
      <c r="BG66" s="3216">
        <f>SUM(BG44,BG49,BG54,BG59,BG64)</f>
        <v>25</v>
      </c>
      <c r="BH66" s="3216">
        <f>SUM(BH44,BH49,BH54,BH59,BH64)</f>
        <v>271</v>
      </c>
      <c r="BI66" s="3216">
        <f>SUM(BI44,BI49,BI54,BI59,BI64)</f>
        <v>2458</v>
      </c>
      <c r="BJ66" s="3217">
        <f>SUM(BJ44,BJ49,BJ54,BJ59,BJ64)</f>
        <v>2754</v>
      </c>
      <c r="BK66" s="3216">
        <f t="shared" ref="BK66:BR66" si="97">SUM(BK44,BK49,BK54,BK59,BK64)</f>
        <v>26</v>
      </c>
      <c r="BL66" s="3216">
        <f t="shared" si="97"/>
        <v>290</v>
      </c>
      <c r="BM66" s="3216">
        <f t="shared" si="97"/>
        <v>2460</v>
      </c>
      <c r="BN66" s="3217">
        <f t="shared" si="97"/>
        <v>2776</v>
      </c>
      <c r="BO66" s="3215">
        <f t="shared" si="97"/>
        <v>26</v>
      </c>
      <c r="BP66" s="3216">
        <f t="shared" si="97"/>
        <v>300</v>
      </c>
      <c r="BQ66" s="3216">
        <f t="shared" si="97"/>
        <v>2417</v>
      </c>
      <c r="BR66" s="3217">
        <f t="shared" si="97"/>
        <v>2743</v>
      </c>
      <c r="BS66" s="3215">
        <f t="shared" ref="BS66:BZ66" si="98">SUM(BS44,BS49,BS54,BS59,BS64)</f>
        <v>27</v>
      </c>
      <c r="BT66" s="3216">
        <f t="shared" si="98"/>
        <v>299</v>
      </c>
      <c r="BU66" s="3216">
        <f t="shared" si="98"/>
        <v>2383</v>
      </c>
      <c r="BV66" s="3217">
        <f t="shared" si="98"/>
        <v>2709</v>
      </c>
      <c r="BW66" s="3215">
        <f t="shared" si="98"/>
        <v>23</v>
      </c>
      <c r="BX66" s="3216">
        <f t="shared" si="98"/>
        <v>268</v>
      </c>
      <c r="BY66" s="3216">
        <f t="shared" si="98"/>
        <v>2369</v>
      </c>
      <c r="BZ66" s="3217">
        <f t="shared" si="98"/>
        <v>2660</v>
      </c>
      <c r="CA66" s="3215">
        <f t="shared" ref="CA66:CD66" si="99">SUM(CA44,CA49,CA54,CA59,CA64)</f>
        <v>22</v>
      </c>
      <c r="CB66" s="3216">
        <f t="shared" si="99"/>
        <v>278</v>
      </c>
      <c r="CC66" s="3216">
        <f t="shared" si="99"/>
        <v>2313</v>
      </c>
      <c r="CD66" s="3217">
        <f t="shared" si="99"/>
        <v>2613</v>
      </c>
    </row>
    <row r="67" spans="1:82" ht="15" customHeight="1" x14ac:dyDescent="0.3">
      <c r="A67" s="3159"/>
      <c r="B67" s="3159" t="s">
        <v>768</v>
      </c>
      <c r="C67" s="3104"/>
      <c r="D67" s="3104"/>
      <c r="E67" s="3104"/>
      <c r="F67" s="3104"/>
      <c r="G67" s="3104"/>
      <c r="H67" s="3104"/>
      <c r="I67" s="3104"/>
      <c r="J67" s="3104"/>
      <c r="K67" s="3104"/>
      <c r="L67" s="3104"/>
      <c r="M67" s="3104"/>
      <c r="N67" s="3104"/>
      <c r="O67" s="3104"/>
      <c r="P67" s="3104"/>
      <c r="Q67" s="3104"/>
      <c r="R67" s="3104"/>
      <c r="S67" s="3104"/>
      <c r="T67" s="3104"/>
      <c r="U67" s="3104"/>
      <c r="V67" s="3104"/>
      <c r="W67" s="3104"/>
      <c r="X67" s="3104"/>
      <c r="Y67" s="3104"/>
      <c r="Z67" s="3104"/>
      <c r="AA67" s="3104"/>
      <c r="AB67" s="3104"/>
      <c r="AC67" s="3104"/>
      <c r="AD67" s="3104"/>
      <c r="AE67" s="3104"/>
      <c r="AF67" s="3104"/>
      <c r="AG67" s="3104"/>
      <c r="AH67" s="3104"/>
      <c r="AI67" s="3104"/>
      <c r="AJ67" s="3104"/>
      <c r="AK67" s="3104"/>
      <c r="AL67" s="3104"/>
      <c r="AM67" s="3104"/>
      <c r="AN67" s="3104"/>
      <c r="AO67" s="3104"/>
      <c r="AP67" s="3104"/>
      <c r="AQ67" s="3104"/>
      <c r="AR67" s="3104"/>
      <c r="AS67" s="3104"/>
      <c r="AT67" s="3104"/>
      <c r="AU67" s="3104"/>
      <c r="AV67" s="3104"/>
      <c r="AW67" s="3104"/>
      <c r="AX67" s="3104"/>
      <c r="AY67" s="3104"/>
      <c r="AZ67" s="3104"/>
      <c r="BA67" s="3104"/>
      <c r="BB67" s="3104"/>
    </row>
    <row r="68" spans="1:82" ht="15" customHeight="1" x14ac:dyDescent="0.3">
      <c r="A68" s="3159"/>
      <c r="B68" s="3159" t="s">
        <v>765</v>
      </c>
      <c r="C68" s="3104"/>
      <c r="D68" s="3104"/>
      <c r="E68" s="3104"/>
      <c r="F68" s="3104"/>
      <c r="G68" s="3104"/>
      <c r="H68" s="3104"/>
      <c r="I68" s="3104"/>
      <c r="J68" s="3104"/>
      <c r="K68" s="3104"/>
      <c r="L68" s="3104"/>
      <c r="M68" s="3104"/>
      <c r="N68" s="3104"/>
      <c r="O68" s="3104"/>
      <c r="P68" s="3104"/>
      <c r="Q68" s="3104"/>
      <c r="R68" s="3104"/>
      <c r="S68" s="3104"/>
      <c r="T68" s="3104"/>
      <c r="U68" s="3104"/>
      <c r="V68" s="3104"/>
      <c r="W68" s="3104"/>
      <c r="X68" s="3104"/>
      <c r="Y68" s="3104"/>
      <c r="Z68" s="3104"/>
      <c r="AA68" s="3104"/>
      <c r="AB68" s="3104"/>
      <c r="AC68" s="3104"/>
      <c r="AD68" s="3104"/>
      <c r="AE68" s="3104"/>
      <c r="AF68" s="3104"/>
      <c r="AG68" s="3104"/>
      <c r="AH68" s="3104"/>
      <c r="AI68" s="3104"/>
      <c r="AJ68" s="3104"/>
      <c r="AK68" s="3104"/>
      <c r="AL68" s="3104"/>
      <c r="AM68" s="3104"/>
      <c r="AN68" s="3104"/>
      <c r="AO68" s="3104"/>
      <c r="AP68" s="3104"/>
      <c r="AQ68" s="3104"/>
      <c r="AR68" s="3104"/>
      <c r="AS68" s="3104"/>
      <c r="AT68" s="3104"/>
      <c r="AU68" s="3104"/>
      <c r="AV68" s="3104"/>
      <c r="AW68" s="3104"/>
      <c r="AX68" s="3104"/>
      <c r="AY68" s="3104"/>
      <c r="AZ68" s="3104"/>
      <c r="BA68" s="3104"/>
      <c r="BB68" s="3104"/>
    </row>
    <row r="69" spans="1:82" x14ac:dyDescent="0.3">
      <c r="A69" s="3159"/>
      <c r="B69" s="3104"/>
      <c r="C69" s="3104"/>
      <c r="D69" s="3104"/>
      <c r="E69" s="3104"/>
      <c r="F69" s="3104"/>
      <c r="G69" s="3104"/>
      <c r="H69" s="3104"/>
      <c r="I69" s="3104"/>
      <c r="J69" s="3104"/>
      <c r="K69" s="3104"/>
      <c r="L69" s="3104"/>
      <c r="M69" s="3104"/>
      <c r="N69" s="3104"/>
      <c r="O69" s="3104"/>
      <c r="P69" s="3104"/>
      <c r="Q69" s="3104"/>
      <c r="R69" s="3104"/>
      <c r="S69" s="3104"/>
      <c r="T69" s="3104"/>
      <c r="U69" s="3104"/>
      <c r="V69" s="3104"/>
      <c r="W69" s="3104"/>
      <c r="X69" s="3104"/>
      <c r="Y69" s="3104"/>
      <c r="Z69" s="3104"/>
      <c r="AA69" s="3104"/>
      <c r="AB69" s="3104"/>
      <c r="AC69" s="3104"/>
      <c r="AD69" s="3104"/>
      <c r="AE69" s="3104"/>
      <c r="AF69" s="3104"/>
      <c r="AG69" s="3104"/>
      <c r="AH69" s="3104"/>
      <c r="AI69" s="3104"/>
      <c r="AJ69" s="3104"/>
      <c r="AK69" s="3104"/>
      <c r="AL69" s="3104"/>
      <c r="AM69" s="3104"/>
      <c r="AN69" s="3104"/>
      <c r="AO69" s="3104"/>
      <c r="AP69" s="3104"/>
      <c r="AQ69" s="3104"/>
      <c r="AR69" s="3104"/>
      <c r="AS69" s="3104"/>
      <c r="AT69" s="3104"/>
      <c r="AU69" s="3104"/>
      <c r="AV69" s="3104"/>
      <c r="AW69" s="3104"/>
      <c r="AX69" s="3104"/>
      <c r="AY69" s="3104"/>
      <c r="AZ69" s="3104"/>
      <c r="BA69" s="3104"/>
      <c r="BB69" s="3104"/>
    </row>
    <row r="70" spans="1:82" x14ac:dyDescent="0.3">
      <c r="A70" s="3159"/>
      <c r="B70" s="3104"/>
      <c r="C70" s="3104"/>
      <c r="D70" s="3104"/>
      <c r="E70" s="3104"/>
      <c r="F70" s="3104"/>
      <c r="G70" s="3104"/>
      <c r="H70" s="3104"/>
      <c r="I70" s="3104"/>
      <c r="J70" s="3104"/>
      <c r="K70" s="3104"/>
      <c r="L70" s="3104"/>
      <c r="M70" s="3104"/>
      <c r="N70" s="3104"/>
      <c r="O70" s="3104"/>
      <c r="P70" s="3104"/>
      <c r="Q70" s="3104"/>
      <c r="R70" s="3104"/>
      <c r="S70" s="3104"/>
      <c r="T70" s="3104"/>
      <c r="U70" s="3104"/>
      <c r="V70" s="3104"/>
      <c r="W70" s="3104"/>
      <c r="X70" s="3104"/>
      <c r="Y70" s="3104"/>
      <c r="Z70" s="3104"/>
      <c r="AA70" s="3104"/>
      <c r="AB70" s="3104"/>
      <c r="AC70" s="3104"/>
      <c r="AD70" s="3104"/>
      <c r="AE70" s="3104"/>
      <c r="AF70" s="3104"/>
      <c r="AG70" s="3104"/>
      <c r="AH70" s="3104"/>
      <c r="AI70" s="3104"/>
      <c r="AJ70" s="3104"/>
      <c r="AK70" s="3104"/>
      <c r="AL70" s="3104"/>
      <c r="AM70" s="3104"/>
      <c r="AN70" s="3104"/>
      <c r="AO70" s="3104"/>
      <c r="AP70" s="3104"/>
      <c r="AQ70" s="3104"/>
      <c r="AR70" s="3104"/>
      <c r="AS70" s="3104"/>
      <c r="AT70" s="3104"/>
      <c r="AU70" s="3104"/>
      <c r="AV70" s="3104"/>
      <c r="AW70" s="3104"/>
      <c r="AX70" s="3104"/>
      <c r="AY70" s="3104"/>
      <c r="AZ70" s="3104"/>
      <c r="BA70" s="3104"/>
      <c r="BB70" s="3104"/>
    </row>
    <row r="71" spans="1:82" ht="46.8" x14ac:dyDescent="0.3">
      <c r="A71" s="3159"/>
      <c r="B71" s="3162" t="s">
        <v>769</v>
      </c>
      <c r="C71" s="3162"/>
      <c r="D71" s="3218"/>
      <c r="E71" s="3218"/>
      <c r="F71" s="3218"/>
      <c r="G71" s="3218"/>
      <c r="H71" s="3218"/>
      <c r="I71" s="3218"/>
      <c r="J71" s="3218"/>
      <c r="K71" s="3218"/>
      <c r="L71" s="3218"/>
      <c r="M71" s="3218"/>
      <c r="N71" s="3218"/>
      <c r="O71" s="3218"/>
      <c r="P71" s="3218"/>
      <c r="Q71" s="3218"/>
      <c r="R71" s="3218"/>
      <c r="S71" s="3218"/>
      <c r="T71" s="3218"/>
      <c r="U71" s="3218"/>
      <c r="V71" s="3218"/>
      <c r="W71" s="3218"/>
      <c r="X71" s="3218"/>
      <c r="Y71" s="3218"/>
      <c r="Z71" s="3218"/>
      <c r="AB71" s="3218"/>
      <c r="AC71" s="3218"/>
      <c r="AD71" s="3218"/>
      <c r="AE71" s="3218"/>
      <c r="AF71" s="3218"/>
      <c r="AG71" s="3218"/>
      <c r="AH71" s="3218"/>
      <c r="AI71" s="3218"/>
      <c r="AJ71" s="3218"/>
      <c r="AK71" s="3218"/>
      <c r="AL71" s="3218"/>
      <c r="AM71" s="3218"/>
      <c r="AN71" s="3218"/>
      <c r="AO71" s="3218"/>
      <c r="AP71" s="3218"/>
      <c r="AQ71" s="3218"/>
      <c r="AR71" s="3218"/>
      <c r="AS71" s="3218"/>
      <c r="AT71" s="3218"/>
      <c r="AU71" s="3218"/>
      <c r="AV71" s="3218"/>
      <c r="AW71" s="3218"/>
      <c r="AX71" s="3164"/>
      <c r="AY71" s="3218"/>
      <c r="AZ71" s="3218"/>
      <c r="BA71" s="3218"/>
    </row>
    <row r="72" spans="1:82" ht="18" x14ac:dyDescent="0.35">
      <c r="A72" s="3159"/>
      <c r="B72" s="3104"/>
      <c r="C72" s="3104"/>
      <c r="D72" s="3104"/>
      <c r="E72" s="3104"/>
      <c r="F72" s="3104"/>
      <c r="G72" s="3104"/>
      <c r="H72" s="3104"/>
      <c r="I72" s="3104"/>
      <c r="J72" s="3104"/>
      <c r="K72" s="3104"/>
      <c r="L72" s="3104"/>
      <c r="M72" s="3104"/>
      <c r="N72" s="3104"/>
      <c r="O72" s="3104"/>
      <c r="P72" s="3104"/>
      <c r="Q72" s="3104"/>
      <c r="R72" s="3104"/>
      <c r="S72" s="3104"/>
      <c r="T72" s="3104"/>
      <c r="U72" s="3104"/>
      <c r="V72" s="3104"/>
      <c r="W72" s="3104"/>
      <c r="X72" s="3104"/>
      <c r="Y72" s="3104"/>
      <c r="Z72" s="3104"/>
      <c r="AA72" s="3104"/>
      <c r="AB72" s="3104"/>
      <c r="AC72" s="3104"/>
      <c r="AD72" s="3104"/>
      <c r="AE72" s="3104"/>
      <c r="AF72" s="3104"/>
      <c r="AG72" s="3104"/>
      <c r="AH72" s="3104"/>
      <c r="AI72" s="3104"/>
      <c r="AJ72" s="3104"/>
      <c r="AK72" s="3104"/>
      <c r="AL72" s="3104"/>
      <c r="AM72" s="3104"/>
      <c r="AN72" s="3104"/>
      <c r="AO72" s="3104"/>
      <c r="AP72" s="3104"/>
      <c r="AQ72" s="3104"/>
      <c r="AR72" s="3104"/>
      <c r="AS72" s="3104"/>
      <c r="AT72" s="3104"/>
      <c r="AU72" s="3104"/>
      <c r="AV72" s="3104"/>
      <c r="AW72" s="3104"/>
      <c r="AX72" s="3104"/>
      <c r="AY72" s="3104"/>
      <c r="AZ72" s="3104"/>
      <c r="BA72" s="3104"/>
      <c r="BB72" s="3104"/>
      <c r="BR72" s="3165"/>
      <c r="BV72" s="3165"/>
      <c r="BZ72" s="4835"/>
      <c r="CD72" s="4835" t="s">
        <v>770</v>
      </c>
    </row>
    <row r="73" spans="1:82" x14ac:dyDescent="0.3">
      <c r="A73" s="3159"/>
      <c r="B73" s="6155" t="s">
        <v>132</v>
      </c>
      <c r="C73" s="6152">
        <v>2003</v>
      </c>
      <c r="D73" s="6153"/>
      <c r="E73" s="6153"/>
      <c r="F73" s="6154"/>
      <c r="G73" s="6152">
        <v>2004</v>
      </c>
      <c r="H73" s="6153"/>
      <c r="I73" s="6153"/>
      <c r="J73" s="6154"/>
      <c r="K73" s="6152">
        <v>2005</v>
      </c>
      <c r="L73" s="6153"/>
      <c r="M73" s="6153"/>
      <c r="N73" s="6154"/>
      <c r="O73" s="6152">
        <v>2006</v>
      </c>
      <c r="P73" s="6153"/>
      <c r="Q73" s="6153"/>
      <c r="R73" s="6154"/>
      <c r="S73" s="6152">
        <v>2007</v>
      </c>
      <c r="T73" s="6153"/>
      <c r="U73" s="6153"/>
      <c r="V73" s="6154"/>
      <c r="W73" s="6152">
        <v>2008</v>
      </c>
      <c r="X73" s="6153"/>
      <c r="Y73" s="6153"/>
      <c r="Z73" s="6154"/>
      <c r="AA73" s="6152">
        <v>2009</v>
      </c>
      <c r="AB73" s="6153"/>
      <c r="AC73" s="6153"/>
      <c r="AD73" s="6154"/>
      <c r="AE73" s="6152">
        <v>2010</v>
      </c>
      <c r="AF73" s="6153"/>
      <c r="AG73" s="6153"/>
      <c r="AH73" s="6154"/>
      <c r="AI73" s="6152">
        <v>2011</v>
      </c>
      <c r="AJ73" s="6153"/>
      <c r="AK73" s="6153"/>
      <c r="AL73" s="6154"/>
      <c r="AM73" s="6152">
        <v>2012</v>
      </c>
      <c r="AN73" s="6153"/>
      <c r="AO73" s="6153"/>
      <c r="AP73" s="6154"/>
      <c r="AQ73" s="6152">
        <v>2013</v>
      </c>
      <c r="AR73" s="6153"/>
      <c r="AS73" s="6153"/>
      <c r="AT73" s="6154"/>
      <c r="AU73" s="6152">
        <v>2014</v>
      </c>
      <c r="AV73" s="6153"/>
      <c r="AW73" s="6153"/>
      <c r="AX73" s="6154"/>
      <c r="AY73" s="6152">
        <v>2015</v>
      </c>
      <c r="AZ73" s="6153"/>
      <c r="BA73" s="6153"/>
      <c r="BB73" s="6154"/>
      <c r="BC73" s="6152">
        <v>2016</v>
      </c>
      <c r="BD73" s="6153"/>
      <c r="BE73" s="6153"/>
      <c r="BF73" s="6154"/>
      <c r="BG73" s="6152">
        <v>2017</v>
      </c>
      <c r="BH73" s="6153"/>
      <c r="BI73" s="6153"/>
      <c r="BJ73" s="6154"/>
      <c r="BK73" s="6152">
        <v>2018</v>
      </c>
      <c r="BL73" s="6153"/>
      <c r="BM73" s="6153"/>
      <c r="BN73" s="6154"/>
      <c r="BO73" s="6152">
        <v>2019</v>
      </c>
      <c r="BP73" s="6153"/>
      <c r="BQ73" s="6153"/>
      <c r="BR73" s="6154"/>
      <c r="BS73" s="6152">
        <v>2020</v>
      </c>
      <c r="BT73" s="6153"/>
      <c r="BU73" s="6153"/>
      <c r="BV73" s="6154"/>
      <c r="BW73" s="6152">
        <v>2021</v>
      </c>
      <c r="BX73" s="6153"/>
      <c r="BY73" s="6153"/>
      <c r="BZ73" s="6154"/>
      <c r="CA73" s="6152">
        <v>2022</v>
      </c>
      <c r="CB73" s="6153"/>
      <c r="CC73" s="6153"/>
      <c r="CD73" s="6154"/>
    </row>
    <row r="74" spans="1:82" x14ac:dyDescent="0.3">
      <c r="A74" s="3159"/>
      <c r="B74" s="6156"/>
      <c r="C74" s="3100" t="s">
        <v>759</v>
      </c>
      <c r="D74" s="3101" t="s">
        <v>760</v>
      </c>
      <c r="E74" s="3102" t="s">
        <v>761</v>
      </c>
      <c r="F74" s="3103" t="s">
        <v>279</v>
      </c>
      <c r="G74" s="3100" t="s">
        <v>759</v>
      </c>
      <c r="H74" s="3101" t="s">
        <v>760</v>
      </c>
      <c r="I74" s="3102" t="s">
        <v>761</v>
      </c>
      <c r="J74" s="3103" t="s">
        <v>279</v>
      </c>
      <c r="K74" s="3100" t="s">
        <v>759</v>
      </c>
      <c r="L74" s="3101" t="s">
        <v>760</v>
      </c>
      <c r="M74" s="3102" t="s">
        <v>761</v>
      </c>
      <c r="N74" s="3103" t="s">
        <v>279</v>
      </c>
      <c r="O74" s="3100" t="s">
        <v>759</v>
      </c>
      <c r="P74" s="3101" t="s">
        <v>760</v>
      </c>
      <c r="Q74" s="3102" t="s">
        <v>761</v>
      </c>
      <c r="R74" s="3103" t="s">
        <v>279</v>
      </c>
      <c r="S74" s="3100" t="s">
        <v>759</v>
      </c>
      <c r="T74" s="3101" t="s">
        <v>760</v>
      </c>
      <c r="U74" s="3102" t="s">
        <v>761</v>
      </c>
      <c r="V74" s="3103" t="s">
        <v>279</v>
      </c>
      <c r="W74" s="3100" t="s">
        <v>759</v>
      </c>
      <c r="X74" s="3101" t="s">
        <v>760</v>
      </c>
      <c r="Y74" s="3102" t="s">
        <v>761</v>
      </c>
      <c r="Z74" s="3103" t="s">
        <v>279</v>
      </c>
      <c r="AA74" s="3100" t="s">
        <v>759</v>
      </c>
      <c r="AB74" s="3101" t="s">
        <v>760</v>
      </c>
      <c r="AC74" s="3102" t="s">
        <v>761</v>
      </c>
      <c r="AD74" s="3103" t="s">
        <v>279</v>
      </c>
      <c r="AE74" s="3100" t="s">
        <v>759</v>
      </c>
      <c r="AF74" s="3101" t="s">
        <v>760</v>
      </c>
      <c r="AG74" s="3102" t="s">
        <v>761</v>
      </c>
      <c r="AH74" s="3103" t="s">
        <v>279</v>
      </c>
      <c r="AI74" s="3100" t="s">
        <v>759</v>
      </c>
      <c r="AJ74" s="3101" t="s">
        <v>760</v>
      </c>
      <c r="AK74" s="3102" t="s">
        <v>761</v>
      </c>
      <c r="AL74" s="3103" t="s">
        <v>279</v>
      </c>
      <c r="AM74" s="3100" t="s">
        <v>759</v>
      </c>
      <c r="AN74" s="3101" t="s">
        <v>760</v>
      </c>
      <c r="AO74" s="3102" t="s">
        <v>761</v>
      </c>
      <c r="AP74" s="3103" t="s">
        <v>279</v>
      </c>
      <c r="AQ74" s="3100" t="s">
        <v>759</v>
      </c>
      <c r="AR74" s="3101" t="s">
        <v>760</v>
      </c>
      <c r="AS74" s="3102" t="s">
        <v>761</v>
      </c>
      <c r="AT74" s="3103" t="s">
        <v>279</v>
      </c>
      <c r="AU74" s="3100" t="s">
        <v>759</v>
      </c>
      <c r="AV74" s="3101" t="s">
        <v>760</v>
      </c>
      <c r="AW74" s="3102" t="s">
        <v>761</v>
      </c>
      <c r="AX74" s="3103" t="s">
        <v>279</v>
      </c>
      <c r="AY74" s="3100" t="s">
        <v>759</v>
      </c>
      <c r="AZ74" s="3101" t="s">
        <v>760</v>
      </c>
      <c r="BA74" s="3102" t="s">
        <v>761</v>
      </c>
      <c r="BB74" s="3103" t="s">
        <v>279</v>
      </c>
      <c r="BC74" s="3100" t="s">
        <v>759</v>
      </c>
      <c r="BD74" s="3101" t="s">
        <v>760</v>
      </c>
      <c r="BE74" s="3102" t="s">
        <v>761</v>
      </c>
      <c r="BF74" s="3103" t="s">
        <v>279</v>
      </c>
      <c r="BG74" s="3100" t="s">
        <v>759</v>
      </c>
      <c r="BH74" s="3101" t="s">
        <v>760</v>
      </c>
      <c r="BI74" s="3102" t="s">
        <v>761</v>
      </c>
      <c r="BJ74" s="3103" t="s">
        <v>279</v>
      </c>
      <c r="BK74" s="3100" t="s">
        <v>759</v>
      </c>
      <c r="BL74" s="3101" t="s">
        <v>760</v>
      </c>
      <c r="BM74" s="3102" t="s">
        <v>761</v>
      </c>
      <c r="BN74" s="3103" t="s">
        <v>279</v>
      </c>
      <c r="BO74" s="3100" t="s">
        <v>759</v>
      </c>
      <c r="BP74" s="3101" t="s">
        <v>760</v>
      </c>
      <c r="BQ74" s="3102" t="s">
        <v>761</v>
      </c>
      <c r="BR74" s="3103" t="s">
        <v>279</v>
      </c>
      <c r="BS74" s="3100" t="s">
        <v>759</v>
      </c>
      <c r="BT74" s="3101" t="s">
        <v>760</v>
      </c>
      <c r="BU74" s="3102" t="s">
        <v>761</v>
      </c>
      <c r="BV74" s="3103" t="s">
        <v>279</v>
      </c>
      <c r="BW74" s="3100" t="s">
        <v>759</v>
      </c>
      <c r="BX74" s="3101" t="s">
        <v>760</v>
      </c>
      <c r="BY74" s="3102" t="s">
        <v>761</v>
      </c>
      <c r="BZ74" s="3103" t="s">
        <v>279</v>
      </c>
      <c r="CA74" s="3100" t="s">
        <v>759</v>
      </c>
      <c r="CB74" s="3101" t="s">
        <v>760</v>
      </c>
      <c r="CC74" s="3102" t="s">
        <v>761</v>
      </c>
      <c r="CD74" s="3103" t="s">
        <v>279</v>
      </c>
    </row>
    <row r="75" spans="1:82" x14ac:dyDescent="0.3">
      <c r="A75" s="3159"/>
      <c r="B75" s="3104"/>
      <c r="C75" s="3104"/>
      <c r="D75" s="3104"/>
      <c r="E75" s="3104"/>
      <c r="F75" s="3104"/>
      <c r="G75" s="3104"/>
      <c r="H75" s="3104"/>
      <c r="I75" s="3104"/>
      <c r="J75" s="3104"/>
      <c r="K75" s="3104"/>
      <c r="L75" s="3104"/>
      <c r="M75" s="3104"/>
      <c r="N75" s="3104"/>
      <c r="O75" s="3104"/>
      <c r="P75" s="3104"/>
      <c r="Q75" s="3104"/>
      <c r="R75" s="3104"/>
      <c r="S75" s="3104"/>
      <c r="T75" s="3104"/>
      <c r="U75" s="3104"/>
      <c r="V75" s="3104"/>
      <c r="W75" s="3104"/>
      <c r="X75" s="3104"/>
      <c r="Y75" s="3104"/>
      <c r="Z75" s="3104"/>
      <c r="AA75" s="3104"/>
      <c r="AB75" s="3104"/>
      <c r="AC75" s="3104"/>
      <c r="AD75" s="3104"/>
      <c r="AE75" s="3104"/>
      <c r="AF75" s="3104"/>
      <c r="AG75" s="3104"/>
      <c r="AH75" s="3104"/>
      <c r="AI75" s="3104"/>
      <c r="AJ75" s="3104"/>
      <c r="AK75" s="3104"/>
      <c r="AL75" s="3104"/>
      <c r="AM75" s="3104"/>
      <c r="AN75" s="3104"/>
      <c r="AO75" s="3104"/>
      <c r="AP75" s="3104"/>
      <c r="AQ75" s="3104"/>
      <c r="AR75" s="3104"/>
      <c r="AS75" s="3104"/>
      <c r="AT75" s="3104"/>
      <c r="AU75" s="3104"/>
      <c r="AV75" s="3104"/>
      <c r="AW75" s="3104"/>
      <c r="AX75" s="3104"/>
      <c r="AY75" s="3104"/>
      <c r="AZ75" s="3104"/>
      <c r="BA75" s="3104"/>
      <c r="BB75" s="3104"/>
      <c r="BC75" s="3104"/>
      <c r="BD75" s="3104"/>
      <c r="BE75" s="3104"/>
      <c r="BF75" s="3104"/>
      <c r="BG75" s="3104"/>
      <c r="BH75" s="3104"/>
      <c r="BI75" s="3104"/>
      <c r="BJ75" s="3104"/>
      <c r="BK75" s="3104"/>
      <c r="BL75" s="3104"/>
      <c r="BM75" s="3104"/>
      <c r="BN75" s="3104"/>
      <c r="BO75" s="3104"/>
      <c r="BP75" s="3104"/>
      <c r="BQ75" s="3104"/>
      <c r="BR75" s="3104"/>
      <c r="BS75" s="3104"/>
      <c r="BT75" s="3104"/>
      <c r="BU75" s="3104"/>
      <c r="BV75" s="3104"/>
      <c r="BW75" s="3104"/>
      <c r="BX75" s="3104"/>
      <c r="BY75" s="3104"/>
      <c r="BZ75" s="3104"/>
      <c r="CA75" s="3104"/>
      <c r="CB75" s="3104"/>
      <c r="CC75" s="3104"/>
      <c r="CD75" s="3104"/>
    </row>
    <row r="76" spans="1:82" ht="15" customHeight="1" x14ac:dyDescent="0.3">
      <c r="A76" s="3159"/>
      <c r="B76" s="3105" t="s">
        <v>59</v>
      </c>
      <c r="C76" s="3166">
        <v>3</v>
      </c>
      <c r="D76" s="3167">
        <v>17</v>
      </c>
      <c r="E76" s="3167">
        <v>15</v>
      </c>
      <c r="F76" s="3168">
        <v>35</v>
      </c>
      <c r="G76" s="3166">
        <v>2</v>
      </c>
      <c r="H76" s="3167">
        <v>9</v>
      </c>
      <c r="I76" s="3167">
        <v>23</v>
      </c>
      <c r="J76" s="3168">
        <v>34</v>
      </c>
      <c r="K76" s="3166">
        <v>1</v>
      </c>
      <c r="L76" s="3167">
        <v>8</v>
      </c>
      <c r="M76" s="3167">
        <v>22</v>
      </c>
      <c r="N76" s="3169">
        <v>31</v>
      </c>
      <c r="O76" s="3166">
        <v>2</v>
      </c>
      <c r="P76" s="3167">
        <v>10</v>
      </c>
      <c r="Q76" s="3167">
        <v>22</v>
      </c>
      <c r="R76" s="3168">
        <v>34</v>
      </c>
      <c r="S76" s="3167">
        <v>2</v>
      </c>
      <c r="T76" s="3167">
        <v>9</v>
      </c>
      <c r="U76" s="3167">
        <v>22</v>
      </c>
      <c r="V76" s="3168">
        <v>33</v>
      </c>
      <c r="W76" s="3167">
        <v>2</v>
      </c>
      <c r="X76" s="3167">
        <v>8</v>
      </c>
      <c r="Y76" s="3167">
        <v>20</v>
      </c>
      <c r="Z76" s="3168">
        <v>30</v>
      </c>
      <c r="AA76" s="3167">
        <v>1</v>
      </c>
      <c r="AB76" s="3167">
        <v>8</v>
      </c>
      <c r="AC76" s="3167">
        <v>19</v>
      </c>
      <c r="AD76" s="3168">
        <f>SUM(AA76:AC76)</f>
        <v>28</v>
      </c>
      <c r="AE76" s="3167">
        <v>1</v>
      </c>
      <c r="AF76" s="3167">
        <v>8</v>
      </c>
      <c r="AG76" s="3167">
        <v>19</v>
      </c>
      <c r="AH76" s="3168">
        <f>SUM(AE76:AG76)</f>
        <v>28</v>
      </c>
      <c r="AI76" s="3167">
        <v>1</v>
      </c>
      <c r="AJ76" s="3167">
        <v>5</v>
      </c>
      <c r="AK76" s="3167">
        <v>18</v>
      </c>
      <c r="AL76" s="3168">
        <f>SUM(AI76:AK76)</f>
        <v>24</v>
      </c>
      <c r="AM76" s="3167">
        <v>1</v>
      </c>
      <c r="AN76" s="3167">
        <v>3</v>
      </c>
      <c r="AO76" s="3167">
        <v>18</v>
      </c>
      <c r="AP76" s="3168">
        <f>SUM(AM76:AO76)</f>
        <v>22</v>
      </c>
      <c r="AQ76" s="3167">
        <v>1</v>
      </c>
      <c r="AR76" s="3167">
        <v>3</v>
      </c>
      <c r="AS76" s="3167">
        <v>17</v>
      </c>
      <c r="AT76" s="3168">
        <f>SUM(AQ76:AS76)</f>
        <v>21</v>
      </c>
      <c r="AU76" s="3167">
        <v>1</v>
      </c>
      <c r="AV76" s="3167">
        <v>4</v>
      </c>
      <c r="AW76" s="3167">
        <v>16</v>
      </c>
      <c r="AX76" s="3168">
        <f>SUM(AU76:AW76)</f>
        <v>21</v>
      </c>
      <c r="AY76" s="3167">
        <v>1</v>
      </c>
      <c r="AZ76" s="3167">
        <v>3</v>
      </c>
      <c r="BA76" s="3167">
        <v>14</v>
      </c>
      <c r="BB76" s="3168">
        <f>SUM(AY76:BA76)</f>
        <v>18</v>
      </c>
      <c r="BC76" s="3167">
        <v>1</v>
      </c>
      <c r="BD76" s="3167">
        <v>3</v>
      </c>
      <c r="BE76" s="3167">
        <v>12</v>
      </c>
      <c r="BF76" s="3168">
        <f>SUM(BC76:BE76)</f>
        <v>16</v>
      </c>
      <c r="BG76" s="3167">
        <v>1</v>
      </c>
      <c r="BH76" s="3167">
        <v>1</v>
      </c>
      <c r="BI76" s="3167">
        <v>11</v>
      </c>
      <c r="BJ76" s="3168">
        <f>SUM(BG76:BI76)</f>
        <v>13</v>
      </c>
      <c r="BK76" s="3167">
        <v>1</v>
      </c>
      <c r="BL76" s="3167">
        <v>1</v>
      </c>
      <c r="BM76" s="3167">
        <v>11</v>
      </c>
      <c r="BN76" s="3168">
        <f>SUM(BK76:BM76)</f>
        <v>13</v>
      </c>
      <c r="BO76" s="3167">
        <v>1</v>
      </c>
      <c r="BP76" s="3167">
        <v>1</v>
      </c>
      <c r="BQ76" s="3167">
        <v>11</v>
      </c>
      <c r="BR76" s="3168">
        <f>SUM(BO76:BQ76)</f>
        <v>13</v>
      </c>
      <c r="BS76" s="3167">
        <v>1</v>
      </c>
      <c r="BT76" s="3167">
        <v>3</v>
      </c>
      <c r="BU76" s="3167">
        <v>11</v>
      </c>
      <c r="BV76" s="3168">
        <f>SUM(BS76:BU76)</f>
        <v>15</v>
      </c>
      <c r="BW76" s="3167">
        <v>1</v>
      </c>
      <c r="BX76" s="3167">
        <v>3</v>
      </c>
      <c r="BY76" s="3167">
        <v>11</v>
      </c>
      <c r="BZ76" s="3168">
        <f>SUM(BW76:BY76)</f>
        <v>15</v>
      </c>
      <c r="CA76" s="3167">
        <v>1</v>
      </c>
      <c r="CB76" s="3167">
        <v>3</v>
      </c>
      <c r="CC76" s="3167">
        <v>9</v>
      </c>
      <c r="CD76" s="3168">
        <f>SUM(CA76:CC76)</f>
        <v>13</v>
      </c>
    </row>
    <row r="77" spans="1:82" ht="15" customHeight="1" x14ac:dyDescent="0.3">
      <c r="A77" s="3159"/>
      <c r="B77" s="3110" t="s">
        <v>64</v>
      </c>
      <c r="C77" s="3170">
        <v>4</v>
      </c>
      <c r="D77" s="3171">
        <v>22</v>
      </c>
      <c r="E77" s="3171">
        <v>17</v>
      </c>
      <c r="F77" s="3172">
        <v>43</v>
      </c>
      <c r="G77" s="3170">
        <v>2</v>
      </c>
      <c r="H77" s="3171">
        <v>13</v>
      </c>
      <c r="I77" s="3171">
        <v>23</v>
      </c>
      <c r="J77" s="3172">
        <v>38</v>
      </c>
      <c r="K77" s="3170">
        <v>2</v>
      </c>
      <c r="L77" s="3171">
        <v>14</v>
      </c>
      <c r="M77" s="3171">
        <v>24</v>
      </c>
      <c r="N77" s="3173">
        <v>40</v>
      </c>
      <c r="O77" s="3170">
        <v>2</v>
      </c>
      <c r="P77" s="3171">
        <v>16</v>
      </c>
      <c r="Q77" s="3171">
        <v>28</v>
      </c>
      <c r="R77" s="3172">
        <v>46</v>
      </c>
      <c r="S77" s="3171">
        <v>2</v>
      </c>
      <c r="T77" s="3171">
        <v>16</v>
      </c>
      <c r="U77" s="3171">
        <v>28</v>
      </c>
      <c r="V77" s="3172">
        <v>46</v>
      </c>
      <c r="W77" s="3171">
        <v>2</v>
      </c>
      <c r="X77" s="3171">
        <v>16</v>
      </c>
      <c r="Y77" s="3171">
        <v>28</v>
      </c>
      <c r="Z77" s="3172">
        <v>46</v>
      </c>
      <c r="AA77" s="3171">
        <v>2</v>
      </c>
      <c r="AB77" s="3171">
        <v>16</v>
      </c>
      <c r="AC77" s="3171">
        <v>27</v>
      </c>
      <c r="AD77" s="3172">
        <f>SUM(AA77:AC77)</f>
        <v>45</v>
      </c>
      <c r="AE77" s="3171">
        <v>2</v>
      </c>
      <c r="AF77" s="3171">
        <v>16</v>
      </c>
      <c r="AG77" s="3171">
        <v>26</v>
      </c>
      <c r="AH77" s="3172">
        <f>SUM(AE77:AG77)</f>
        <v>44</v>
      </c>
      <c r="AI77" s="3171">
        <v>2</v>
      </c>
      <c r="AJ77" s="3171">
        <v>13</v>
      </c>
      <c r="AK77" s="3171">
        <v>27</v>
      </c>
      <c r="AL77" s="3172">
        <f>SUM(AI77:AK77)</f>
        <v>42</v>
      </c>
      <c r="AM77" s="3171">
        <v>2</v>
      </c>
      <c r="AN77" s="3171">
        <v>10</v>
      </c>
      <c r="AO77" s="3171">
        <v>27</v>
      </c>
      <c r="AP77" s="3172">
        <f>SUM(AM77:AO77)</f>
        <v>39</v>
      </c>
      <c r="AQ77" s="3171">
        <v>2</v>
      </c>
      <c r="AR77" s="3171">
        <v>10</v>
      </c>
      <c r="AS77" s="3171">
        <v>25</v>
      </c>
      <c r="AT77" s="3172">
        <f>SUM(AQ77:AS77)</f>
        <v>37</v>
      </c>
      <c r="AU77" s="3171">
        <v>2</v>
      </c>
      <c r="AV77" s="3171">
        <v>10</v>
      </c>
      <c r="AW77" s="3171">
        <v>25</v>
      </c>
      <c r="AX77" s="3172">
        <f>SUM(AU77:AW77)</f>
        <v>37</v>
      </c>
      <c r="AY77" s="3171">
        <v>2</v>
      </c>
      <c r="AZ77" s="3171">
        <v>7</v>
      </c>
      <c r="BA77" s="3171">
        <v>24</v>
      </c>
      <c r="BB77" s="3172">
        <f>SUM(AY77:BA77)</f>
        <v>33</v>
      </c>
      <c r="BC77" s="3171">
        <v>2</v>
      </c>
      <c r="BD77" s="3171">
        <v>8</v>
      </c>
      <c r="BE77" s="3171">
        <v>22</v>
      </c>
      <c r="BF77" s="3172">
        <f>SUM(BC77:BE77)</f>
        <v>32</v>
      </c>
      <c r="BG77" s="3171">
        <v>2</v>
      </c>
      <c r="BH77" s="3171">
        <v>8</v>
      </c>
      <c r="BI77" s="3171">
        <v>19</v>
      </c>
      <c r="BJ77" s="3172">
        <f>SUM(BG77:BI77)</f>
        <v>29</v>
      </c>
      <c r="BK77" s="3171">
        <v>2</v>
      </c>
      <c r="BL77" s="3171">
        <v>8</v>
      </c>
      <c r="BM77" s="3171">
        <v>17</v>
      </c>
      <c r="BN77" s="3172">
        <f>SUM(BK77:BM77)</f>
        <v>27</v>
      </c>
      <c r="BO77" s="3171">
        <v>2</v>
      </c>
      <c r="BP77" s="3171">
        <v>8</v>
      </c>
      <c r="BQ77" s="3171">
        <v>15</v>
      </c>
      <c r="BR77" s="3172">
        <f>SUM(BO77:BQ77)</f>
        <v>25</v>
      </c>
      <c r="BS77" s="3171">
        <v>2</v>
      </c>
      <c r="BT77" s="3171">
        <v>6</v>
      </c>
      <c r="BU77" s="3171">
        <v>15</v>
      </c>
      <c r="BV77" s="3172">
        <f>SUM(BS77:BU77)</f>
        <v>23</v>
      </c>
      <c r="BW77" s="3171">
        <v>2</v>
      </c>
      <c r="BX77" s="3171">
        <v>6</v>
      </c>
      <c r="BY77" s="3171">
        <v>15</v>
      </c>
      <c r="BZ77" s="3172">
        <f>SUM(BW77:BY77)</f>
        <v>23</v>
      </c>
      <c r="CA77" s="3171">
        <v>2</v>
      </c>
      <c r="CB77" s="3171">
        <v>5</v>
      </c>
      <c r="CC77" s="3171">
        <v>14</v>
      </c>
      <c r="CD77" s="3172">
        <f>SUM(CA77:CC77)</f>
        <v>21</v>
      </c>
    </row>
    <row r="78" spans="1:82" ht="15" customHeight="1" x14ac:dyDescent="0.3">
      <c r="A78" s="3159"/>
      <c r="B78" s="3115" t="s">
        <v>68</v>
      </c>
      <c r="C78" s="3170">
        <v>2</v>
      </c>
      <c r="D78" s="3171">
        <v>12</v>
      </c>
      <c r="E78" s="3171">
        <v>20</v>
      </c>
      <c r="F78" s="3172">
        <v>34</v>
      </c>
      <c r="G78" s="3170"/>
      <c r="H78" s="3171">
        <v>9</v>
      </c>
      <c r="I78" s="3171">
        <v>25</v>
      </c>
      <c r="J78" s="3172">
        <v>34</v>
      </c>
      <c r="K78" s="3170"/>
      <c r="L78" s="3171">
        <v>10</v>
      </c>
      <c r="M78" s="3171">
        <v>25</v>
      </c>
      <c r="N78" s="3173">
        <v>35</v>
      </c>
      <c r="O78" s="3170"/>
      <c r="P78" s="3171">
        <v>7</v>
      </c>
      <c r="Q78" s="3171">
        <v>25</v>
      </c>
      <c r="R78" s="3172">
        <v>32</v>
      </c>
      <c r="S78" s="3171"/>
      <c r="T78" s="3171">
        <v>8</v>
      </c>
      <c r="U78" s="3171">
        <v>24</v>
      </c>
      <c r="V78" s="3172">
        <v>32</v>
      </c>
      <c r="W78" s="3185"/>
      <c r="X78" s="3171">
        <v>8</v>
      </c>
      <c r="Y78" s="3171">
        <v>23</v>
      </c>
      <c r="Z78" s="3172">
        <v>31</v>
      </c>
      <c r="AA78" s="3171"/>
      <c r="AB78" s="3171">
        <v>6</v>
      </c>
      <c r="AC78" s="3171">
        <v>24</v>
      </c>
      <c r="AD78" s="3172">
        <f>SUM(AA78:AC78)</f>
        <v>30</v>
      </c>
      <c r="AE78" s="3171"/>
      <c r="AF78" s="3171">
        <v>6</v>
      </c>
      <c r="AG78" s="3171">
        <v>23</v>
      </c>
      <c r="AH78" s="3172">
        <f>SUM(AE78:AG78)</f>
        <v>29</v>
      </c>
      <c r="AI78" s="3171">
        <v>0</v>
      </c>
      <c r="AJ78" s="3171">
        <v>7</v>
      </c>
      <c r="AK78" s="3171">
        <v>22</v>
      </c>
      <c r="AL78" s="3172">
        <f>SUM(AI78:AK78)</f>
        <v>29</v>
      </c>
      <c r="AM78" s="3171"/>
      <c r="AN78" s="3171">
        <v>6</v>
      </c>
      <c r="AO78" s="3171">
        <v>18</v>
      </c>
      <c r="AP78" s="3172">
        <f>SUM(AM78:AO78)</f>
        <v>24</v>
      </c>
      <c r="AQ78" s="3171"/>
      <c r="AR78" s="3171">
        <v>5</v>
      </c>
      <c r="AS78" s="3171">
        <v>16</v>
      </c>
      <c r="AT78" s="3172">
        <f>SUM(AQ78:AS78)</f>
        <v>21</v>
      </c>
      <c r="AU78" s="3171"/>
      <c r="AV78" s="3171">
        <v>7</v>
      </c>
      <c r="AW78" s="3171">
        <v>15</v>
      </c>
      <c r="AX78" s="3172">
        <f>SUM(AU78:AW78)</f>
        <v>22</v>
      </c>
      <c r="AY78" s="3171">
        <v>0</v>
      </c>
      <c r="AZ78" s="3171">
        <v>8</v>
      </c>
      <c r="BA78" s="3171">
        <v>15</v>
      </c>
      <c r="BB78" s="3172">
        <f>SUM(AY78:BA78)</f>
        <v>23</v>
      </c>
      <c r="BC78" s="3171">
        <v>0</v>
      </c>
      <c r="BD78" s="3171">
        <v>7</v>
      </c>
      <c r="BE78" s="3171">
        <v>13</v>
      </c>
      <c r="BF78" s="3172">
        <f>SUM(BC78:BE78)</f>
        <v>20</v>
      </c>
      <c r="BG78" s="3171"/>
      <c r="BH78" s="3171">
        <v>9</v>
      </c>
      <c r="BI78" s="3171">
        <v>12</v>
      </c>
      <c r="BJ78" s="3172">
        <f>SUM(BG78:BI78)</f>
        <v>21</v>
      </c>
      <c r="BK78" s="3171"/>
      <c r="BL78" s="3171">
        <v>9</v>
      </c>
      <c r="BM78" s="3171">
        <v>12</v>
      </c>
      <c r="BN78" s="3172">
        <f>SUM(BK78:BM78)</f>
        <v>21</v>
      </c>
      <c r="BO78" s="3171"/>
      <c r="BP78" s="3171">
        <v>8</v>
      </c>
      <c r="BQ78" s="3171">
        <v>12</v>
      </c>
      <c r="BR78" s="3172">
        <f>SUM(BO78:BQ78)</f>
        <v>20</v>
      </c>
      <c r="BS78" s="3171"/>
      <c r="BT78" s="3171">
        <v>8</v>
      </c>
      <c r="BU78" s="3171">
        <v>11</v>
      </c>
      <c r="BV78" s="3172">
        <f>SUM(BS78:BU78)</f>
        <v>19</v>
      </c>
      <c r="BW78" s="3171">
        <v>0</v>
      </c>
      <c r="BX78" s="3171">
        <v>8</v>
      </c>
      <c r="BY78" s="3171">
        <v>10</v>
      </c>
      <c r="BZ78" s="3172">
        <f>SUM(BW78:BY78)</f>
        <v>18</v>
      </c>
      <c r="CA78" s="3171">
        <v>0</v>
      </c>
      <c r="CB78" s="3171">
        <v>9</v>
      </c>
      <c r="CC78" s="3171">
        <v>10</v>
      </c>
      <c r="CD78" s="3172">
        <f>SUM(CA78:CC78)</f>
        <v>19</v>
      </c>
    </row>
    <row r="79" spans="1:82" ht="15" customHeight="1" x14ac:dyDescent="0.3">
      <c r="A79" s="3159"/>
      <c r="B79" s="3118" t="s">
        <v>138</v>
      </c>
      <c r="C79" s="3178">
        <v>9</v>
      </c>
      <c r="D79" s="3179">
        <v>51</v>
      </c>
      <c r="E79" s="3179">
        <v>52</v>
      </c>
      <c r="F79" s="3180">
        <v>112</v>
      </c>
      <c r="G79" s="3178">
        <v>4</v>
      </c>
      <c r="H79" s="3179">
        <v>31</v>
      </c>
      <c r="I79" s="3179">
        <v>71</v>
      </c>
      <c r="J79" s="3180">
        <v>106</v>
      </c>
      <c r="K79" s="3178">
        <v>3</v>
      </c>
      <c r="L79" s="3179">
        <v>32</v>
      </c>
      <c r="M79" s="3179">
        <v>71</v>
      </c>
      <c r="N79" s="3179">
        <v>106</v>
      </c>
      <c r="O79" s="3178">
        <v>4</v>
      </c>
      <c r="P79" s="3179">
        <v>33</v>
      </c>
      <c r="Q79" s="3179">
        <v>75</v>
      </c>
      <c r="R79" s="3180">
        <v>112</v>
      </c>
      <c r="S79" s="3179">
        <v>4</v>
      </c>
      <c r="T79" s="3179">
        <v>33</v>
      </c>
      <c r="U79" s="3179">
        <v>74</v>
      </c>
      <c r="V79" s="3180">
        <v>111</v>
      </c>
      <c r="W79" s="3178">
        <v>4</v>
      </c>
      <c r="X79" s="3179">
        <v>32</v>
      </c>
      <c r="Y79" s="3179">
        <v>71</v>
      </c>
      <c r="Z79" s="3180">
        <v>107</v>
      </c>
      <c r="AA79" s="3178">
        <f t="shared" ref="AA79:BV79" si="100">SUM(AA76:AA78)</f>
        <v>3</v>
      </c>
      <c r="AB79" s="3179">
        <f t="shared" si="100"/>
        <v>30</v>
      </c>
      <c r="AC79" s="3179">
        <f t="shared" si="100"/>
        <v>70</v>
      </c>
      <c r="AD79" s="3180">
        <f t="shared" si="100"/>
        <v>103</v>
      </c>
      <c r="AE79" s="3178">
        <f t="shared" si="100"/>
        <v>3</v>
      </c>
      <c r="AF79" s="3179">
        <f t="shared" si="100"/>
        <v>30</v>
      </c>
      <c r="AG79" s="3179">
        <f t="shared" si="100"/>
        <v>68</v>
      </c>
      <c r="AH79" s="3180">
        <f t="shared" si="100"/>
        <v>101</v>
      </c>
      <c r="AI79" s="3178">
        <f t="shared" si="100"/>
        <v>3</v>
      </c>
      <c r="AJ79" s="3179">
        <f t="shared" si="100"/>
        <v>25</v>
      </c>
      <c r="AK79" s="3179">
        <f t="shared" si="100"/>
        <v>67</v>
      </c>
      <c r="AL79" s="3180">
        <f t="shared" si="100"/>
        <v>95</v>
      </c>
      <c r="AM79" s="3178">
        <f t="shared" si="100"/>
        <v>3</v>
      </c>
      <c r="AN79" s="3179">
        <f t="shared" si="100"/>
        <v>19</v>
      </c>
      <c r="AO79" s="3179">
        <f t="shared" si="100"/>
        <v>63</v>
      </c>
      <c r="AP79" s="3180">
        <f t="shared" si="100"/>
        <v>85</v>
      </c>
      <c r="AQ79" s="3178">
        <f t="shared" si="100"/>
        <v>3</v>
      </c>
      <c r="AR79" s="3179">
        <f t="shared" si="100"/>
        <v>18</v>
      </c>
      <c r="AS79" s="3179">
        <f t="shared" si="100"/>
        <v>58</v>
      </c>
      <c r="AT79" s="3180">
        <f t="shared" si="100"/>
        <v>79</v>
      </c>
      <c r="AU79" s="3178">
        <f t="shared" si="100"/>
        <v>3</v>
      </c>
      <c r="AV79" s="3179">
        <f t="shared" si="100"/>
        <v>21</v>
      </c>
      <c r="AW79" s="3179">
        <f t="shared" si="100"/>
        <v>56</v>
      </c>
      <c r="AX79" s="3180">
        <f t="shared" si="100"/>
        <v>80</v>
      </c>
      <c r="AY79" s="3178">
        <f t="shared" si="100"/>
        <v>3</v>
      </c>
      <c r="AZ79" s="3179">
        <f t="shared" si="100"/>
        <v>18</v>
      </c>
      <c r="BA79" s="3179">
        <f t="shared" si="100"/>
        <v>53</v>
      </c>
      <c r="BB79" s="3180">
        <f t="shared" si="100"/>
        <v>74</v>
      </c>
      <c r="BC79" s="3178">
        <f t="shared" si="100"/>
        <v>3</v>
      </c>
      <c r="BD79" s="3179">
        <f t="shared" si="100"/>
        <v>18</v>
      </c>
      <c r="BE79" s="3179">
        <f t="shared" si="100"/>
        <v>47</v>
      </c>
      <c r="BF79" s="3180">
        <f t="shared" si="100"/>
        <v>68</v>
      </c>
      <c r="BG79" s="3178">
        <f t="shared" si="100"/>
        <v>3</v>
      </c>
      <c r="BH79" s="3179">
        <f t="shared" si="100"/>
        <v>18</v>
      </c>
      <c r="BI79" s="3179">
        <f t="shared" si="100"/>
        <v>42</v>
      </c>
      <c r="BJ79" s="3180">
        <f t="shared" si="100"/>
        <v>63</v>
      </c>
      <c r="BK79" s="3178">
        <f t="shared" si="100"/>
        <v>3</v>
      </c>
      <c r="BL79" s="3179">
        <f t="shared" si="100"/>
        <v>18</v>
      </c>
      <c r="BM79" s="3179">
        <f t="shared" si="100"/>
        <v>40</v>
      </c>
      <c r="BN79" s="3180">
        <f t="shared" si="100"/>
        <v>61</v>
      </c>
      <c r="BO79" s="3178">
        <f t="shared" si="100"/>
        <v>3</v>
      </c>
      <c r="BP79" s="3179">
        <f t="shared" si="100"/>
        <v>17</v>
      </c>
      <c r="BQ79" s="3179">
        <f t="shared" si="100"/>
        <v>38</v>
      </c>
      <c r="BR79" s="3180">
        <f t="shared" si="100"/>
        <v>58</v>
      </c>
      <c r="BS79" s="3178">
        <f t="shared" si="100"/>
        <v>3</v>
      </c>
      <c r="BT79" s="3179">
        <f t="shared" si="100"/>
        <v>17</v>
      </c>
      <c r="BU79" s="3179">
        <f t="shared" si="100"/>
        <v>37</v>
      </c>
      <c r="BV79" s="3180">
        <f t="shared" si="100"/>
        <v>57</v>
      </c>
      <c r="BW79" s="3178">
        <f t="shared" ref="BW79:BZ79" si="101">SUM(BW76:BW78)</f>
        <v>3</v>
      </c>
      <c r="BX79" s="3179">
        <f t="shared" si="101"/>
        <v>17</v>
      </c>
      <c r="BY79" s="3179">
        <f t="shared" si="101"/>
        <v>36</v>
      </c>
      <c r="BZ79" s="3180">
        <f t="shared" si="101"/>
        <v>56</v>
      </c>
      <c r="CA79" s="3178">
        <f t="shared" ref="CA79:CD79" si="102">SUM(CA76:CA78)</f>
        <v>3</v>
      </c>
      <c r="CB79" s="3179">
        <f t="shared" si="102"/>
        <v>17</v>
      </c>
      <c r="CC79" s="3179">
        <f t="shared" si="102"/>
        <v>33</v>
      </c>
      <c r="CD79" s="3180">
        <f t="shared" si="102"/>
        <v>53</v>
      </c>
    </row>
    <row r="80" spans="1:82" x14ac:dyDescent="0.3">
      <c r="A80" s="3159"/>
      <c r="B80" s="3104"/>
      <c r="C80" s="3104"/>
      <c r="D80" s="3104"/>
      <c r="E80" s="3104"/>
      <c r="F80" s="3104"/>
      <c r="G80" s="3104"/>
      <c r="H80" s="3104"/>
      <c r="I80" s="3104"/>
      <c r="J80" s="3104"/>
      <c r="K80" s="3104"/>
      <c r="L80" s="3104"/>
      <c r="M80" s="3104"/>
      <c r="N80" s="3104"/>
      <c r="O80" s="3104"/>
      <c r="P80" s="3104"/>
      <c r="Q80" s="3104"/>
      <c r="R80" s="3104"/>
      <c r="S80" s="3104"/>
      <c r="T80" s="3104"/>
      <c r="U80" s="3104"/>
      <c r="V80" s="3104"/>
      <c r="W80" s="3104"/>
      <c r="X80" s="3104"/>
      <c r="Y80" s="3104"/>
      <c r="Z80" s="3104"/>
      <c r="AA80" s="3104"/>
      <c r="AB80" s="3104"/>
      <c r="AC80" s="3104"/>
      <c r="AD80" s="3104"/>
      <c r="AE80" s="3104"/>
      <c r="AF80" s="3104"/>
      <c r="AG80" s="3104"/>
      <c r="AH80" s="3104"/>
      <c r="AI80" s="3104"/>
      <c r="AJ80" s="3104"/>
      <c r="AK80" s="3104"/>
      <c r="AL80" s="3104"/>
      <c r="AM80" s="3104"/>
      <c r="AN80" s="3104"/>
      <c r="AO80" s="3104"/>
      <c r="AP80" s="3104"/>
      <c r="AQ80" s="3104"/>
      <c r="AR80" s="3104"/>
      <c r="AS80" s="3104"/>
      <c r="AT80" s="3104"/>
      <c r="AU80" s="3104"/>
      <c r="AV80" s="3104"/>
      <c r="AW80" s="3104"/>
      <c r="AX80" s="3104"/>
      <c r="AY80" s="3104"/>
      <c r="AZ80" s="3104"/>
      <c r="BA80" s="3104"/>
      <c r="BB80" s="3104"/>
      <c r="BC80" s="3104"/>
      <c r="BD80" s="3104"/>
      <c r="BE80" s="3104"/>
      <c r="BF80" s="3104"/>
      <c r="BG80" s="3104"/>
      <c r="BH80" s="3104"/>
      <c r="BI80" s="3104"/>
      <c r="BJ80" s="3104"/>
      <c r="BK80" s="3104"/>
      <c r="BL80" s="3104"/>
      <c r="BM80" s="3104"/>
      <c r="BN80" s="3104"/>
      <c r="BO80" s="3104"/>
      <c r="BP80" s="3104"/>
      <c r="BQ80" s="3104"/>
      <c r="BR80" s="3104"/>
      <c r="BS80" s="3104"/>
      <c r="BT80" s="3104"/>
      <c r="BU80" s="3104"/>
      <c r="BV80" s="3104"/>
      <c r="BW80" s="3104"/>
      <c r="BX80" s="3104"/>
      <c r="BY80" s="3104"/>
      <c r="BZ80" s="3104"/>
      <c r="CA80" s="3104"/>
      <c r="CB80" s="3104"/>
      <c r="CC80" s="3104"/>
      <c r="CD80" s="3104"/>
    </row>
    <row r="81" spans="1:82" ht="15" customHeight="1" x14ac:dyDescent="0.3">
      <c r="A81" s="3159"/>
      <c r="B81" s="3105" t="s">
        <v>64</v>
      </c>
      <c r="C81" s="3181"/>
      <c r="D81" s="3182"/>
      <c r="E81" s="3182"/>
      <c r="F81" s="3183"/>
      <c r="G81" s="3181"/>
      <c r="H81" s="3182"/>
      <c r="I81" s="3182"/>
      <c r="J81" s="3183"/>
      <c r="K81" s="3181"/>
      <c r="L81" s="3182"/>
      <c r="M81" s="3182"/>
      <c r="N81" s="3219"/>
      <c r="O81" s="3181"/>
      <c r="P81" s="3182"/>
      <c r="Q81" s="3182"/>
      <c r="R81" s="3183"/>
      <c r="S81" s="3167"/>
      <c r="T81" s="3167">
        <v>1</v>
      </c>
      <c r="U81" s="3167"/>
      <c r="V81" s="3168">
        <v>1</v>
      </c>
      <c r="W81" s="3167"/>
      <c r="X81" s="3167">
        <v>2</v>
      </c>
      <c r="Y81" s="3167"/>
      <c r="Z81" s="3168">
        <v>2</v>
      </c>
      <c r="AA81" s="3167"/>
      <c r="AB81" s="3167">
        <v>3</v>
      </c>
      <c r="AC81" s="3167"/>
      <c r="AD81" s="3168">
        <f>SUM(AA81:AC81)</f>
        <v>3</v>
      </c>
      <c r="AE81" s="3167"/>
      <c r="AF81" s="3167">
        <v>3</v>
      </c>
      <c r="AG81" s="3167"/>
      <c r="AH81" s="3168">
        <f>SUM(AE81:AG81)</f>
        <v>3</v>
      </c>
      <c r="AI81" s="3167"/>
      <c r="AJ81" s="3167">
        <v>3</v>
      </c>
      <c r="AK81" s="3167"/>
      <c r="AL81" s="3168">
        <f>SUM(AI81:AK81)</f>
        <v>3</v>
      </c>
      <c r="AM81" s="3167"/>
      <c r="AN81" s="3167">
        <v>2</v>
      </c>
      <c r="AO81" s="3167"/>
      <c r="AP81" s="3168">
        <f>SUM(AM81:AO81)</f>
        <v>2</v>
      </c>
      <c r="AQ81" s="3167"/>
      <c r="AR81" s="3167">
        <v>2</v>
      </c>
      <c r="AS81" s="3167"/>
      <c r="AT81" s="3168">
        <f>SUM(AQ81:AS81)</f>
        <v>2</v>
      </c>
      <c r="AU81" s="3167"/>
      <c r="AV81" s="3167">
        <v>2</v>
      </c>
      <c r="AW81" s="3167"/>
      <c r="AX81" s="3168">
        <f>SUM(AU81:AW81)</f>
        <v>2</v>
      </c>
      <c r="AY81" s="3167">
        <v>0</v>
      </c>
      <c r="AZ81" s="3167">
        <v>1</v>
      </c>
      <c r="BA81" s="3167">
        <v>0</v>
      </c>
      <c r="BB81" s="3168">
        <f>SUM(AY81:BA81)</f>
        <v>1</v>
      </c>
      <c r="BC81" s="3167">
        <v>0</v>
      </c>
      <c r="BD81" s="3167">
        <v>3</v>
      </c>
      <c r="BE81" s="3167">
        <v>1</v>
      </c>
      <c r="BF81" s="3168">
        <f>SUM(BC81:BE81)</f>
        <v>4</v>
      </c>
      <c r="BG81" s="3167"/>
      <c r="BH81" s="3167">
        <v>1</v>
      </c>
      <c r="BI81" s="3167">
        <v>1</v>
      </c>
      <c r="BJ81" s="3168">
        <f>SUM(BG81:BI81)</f>
        <v>2</v>
      </c>
      <c r="BK81" s="3167">
        <v>1</v>
      </c>
      <c r="BL81" s="3167">
        <v>1</v>
      </c>
      <c r="BM81" s="3167"/>
      <c r="BN81" s="3168">
        <f>SUM(BK81:BM81)</f>
        <v>2</v>
      </c>
      <c r="BO81" s="3167"/>
      <c r="BP81" s="3167"/>
      <c r="BQ81" s="3167">
        <v>1</v>
      </c>
      <c r="BR81" s="3168">
        <f>SUM(BO81:BQ81)</f>
        <v>1</v>
      </c>
      <c r="BS81" s="3167"/>
      <c r="BT81" s="3167"/>
      <c r="BU81" s="3167">
        <v>1</v>
      </c>
      <c r="BV81" s="3168">
        <f>SUM(BS81:BU81)</f>
        <v>1</v>
      </c>
      <c r="BW81" s="3167"/>
      <c r="BX81" s="3167"/>
      <c r="BY81" s="3167">
        <v>1</v>
      </c>
      <c r="BZ81" s="3168">
        <f>SUM(BW81:BY81)</f>
        <v>1</v>
      </c>
      <c r="CA81" s="3167">
        <v>0</v>
      </c>
      <c r="CB81" s="3167">
        <v>0</v>
      </c>
      <c r="CC81" s="3167">
        <v>0</v>
      </c>
      <c r="CD81" s="3168">
        <f>SUM(CA81:CC81)</f>
        <v>0</v>
      </c>
    </row>
    <row r="82" spans="1:82" ht="15" customHeight="1" x14ac:dyDescent="0.3">
      <c r="A82" s="3159"/>
      <c r="B82" s="3110" t="s">
        <v>111</v>
      </c>
      <c r="C82" s="3184"/>
      <c r="D82" s="3185"/>
      <c r="E82" s="3185"/>
      <c r="F82" s="3186"/>
      <c r="G82" s="3184"/>
      <c r="H82" s="3185"/>
      <c r="I82" s="3185"/>
      <c r="J82" s="3186"/>
      <c r="K82" s="3184"/>
      <c r="L82" s="3185"/>
      <c r="M82" s="3185"/>
      <c r="N82" s="3220"/>
      <c r="O82" s="3184"/>
      <c r="P82" s="3185"/>
      <c r="Q82" s="3185"/>
      <c r="R82" s="3186"/>
      <c r="S82" s="3171"/>
      <c r="T82" s="3171"/>
      <c r="U82" s="3171"/>
      <c r="V82" s="3172"/>
      <c r="W82" s="3171"/>
      <c r="X82" s="3171"/>
      <c r="Y82" s="3171"/>
      <c r="Z82" s="3172"/>
      <c r="AA82" s="3171"/>
      <c r="AB82" s="3171"/>
      <c r="AC82" s="3171"/>
      <c r="AD82" s="3172"/>
      <c r="AE82" s="3171"/>
      <c r="AF82" s="3171"/>
      <c r="AG82" s="3171"/>
      <c r="AH82" s="3172"/>
      <c r="AI82" s="3171"/>
      <c r="AJ82" s="3171"/>
      <c r="AK82" s="3171"/>
      <c r="AL82" s="3172"/>
      <c r="AM82" s="3171"/>
      <c r="AN82" s="3171"/>
      <c r="AO82" s="3171"/>
      <c r="AP82" s="3172"/>
      <c r="AQ82" s="3171"/>
      <c r="AR82" s="3171"/>
      <c r="AS82" s="3171"/>
      <c r="AT82" s="3172"/>
      <c r="AU82" s="3171"/>
      <c r="AV82" s="3171"/>
      <c r="AW82" s="3171"/>
      <c r="AX82" s="3172"/>
      <c r="AY82" s="3171"/>
      <c r="AZ82" s="3171"/>
      <c r="BA82" s="3171"/>
      <c r="BB82" s="3172"/>
      <c r="BC82" s="3171"/>
      <c r="BD82" s="3171"/>
      <c r="BE82" s="3171"/>
      <c r="BF82" s="3172"/>
      <c r="BG82" s="3171"/>
      <c r="BH82" s="3171"/>
      <c r="BI82" s="3171"/>
      <c r="BJ82" s="3172"/>
      <c r="BK82" s="3171"/>
      <c r="BL82" s="3171"/>
      <c r="BM82" s="3171"/>
      <c r="BN82" s="3172"/>
      <c r="BO82" s="3171"/>
      <c r="BP82" s="3171"/>
      <c r="BQ82" s="3171"/>
      <c r="BR82" s="3172"/>
      <c r="BS82" s="3171"/>
      <c r="BT82" s="3171"/>
      <c r="BU82" s="3171"/>
      <c r="BV82" s="3172"/>
      <c r="BW82" s="3171">
        <v>0</v>
      </c>
      <c r="BX82" s="3171"/>
      <c r="BY82" s="3171">
        <v>0</v>
      </c>
      <c r="BZ82" s="3172">
        <f>SUM(BW82:BY82)</f>
        <v>0</v>
      </c>
      <c r="CA82" s="3171">
        <v>0</v>
      </c>
      <c r="CB82" s="3171">
        <v>0</v>
      </c>
      <c r="CC82" s="3171">
        <v>0</v>
      </c>
      <c r="CD82" s="3172">
        <f>SUM(CA82:CC82)</f>
        <v>0</v>
      </c>
    </row>
    <row r="83" spans="1:82" ht="15" customHeight="1" x14ac:dyDescent="0.3">
      <c r="A83" s="3159"/>
      <c r="B83" s="3115" t="s">
        <v>115</v>
      </c>
      <c r="C83" s="3184"/>
      <c r="D83" s="3185"/>
      <c r="E83" s="3185"/>
      <c r="F83" s="3186"/>
      <c r="G83" s="3184"/>
      <c r="H83" s="3185"/>
      <c r="I83" s="3185"/>
      <c r="J83" s="3186"/>
      <c r="K83" s="3184"/>
      <c r="L83" s="3185"/>
      <c r="M83" s="3185"/>
      <c r="N83" s="3220"/>
      <c r="O83" s="3184"/>
      <c r="P83" s="3185"/>
      <c r="Q83" s="3185"/>
      <c r="R83" s="3186"/>
      <c r="S83" s="3171"/>
      <c r="T83" s="3171"/>
      <c r="U83" s="3171"/>
      <c r="V83" s="3172"/>
      <c r="W83" s="3171"/>
      <c r="X83" s="3171"/>
      <c r="Y83" s="3171"/>
      <c r="Z83" s="3172"/>
      <c r="AA83" s="3171"/>
      <c r="AB83" s="3171"/>
      <c r="AC83" s="3171"/>
      <c r="AD83" s="3172"/>
      <c r="AE83" s="3171"/>
      <c r="AF83" s="3171"/>
      <c r="AG83" s="3171"/>
      <c r="AH83" s="3172"/>
      <c r="AI83" s="3171"/>
      <c r="AJ83" s="3171"/>
      <c r="AK83" s="3171"/>
      <c r="AL83" s="3172"/>
      <c r="AM83" s="3171"/>
      <c r="AN83" s="3171"/>
      <c r="AO83" s="3171"/>
      <c r="AP83" s="3172"/>
      <c r="AQ83" s="3171"/>
      <c r="AR83" s="3171"/>
      <c r="AS83" s="3171">
        <v>1</v>
      </c>
      <c r="AT83" s="3172">
        <f>SUM(AQ83:AS83)</f>
        <v>1</v>
      </c>
      <c r="AU83" s="3171"/>
      <c r="AV83" s="3171"/>
      <c r="AW83" s="3171">
        <v>1</v>
      </c>
      <c r="AX83" s="3172">
        <f>SUM(AU83:AW83)</f>
        <v>1</v>
      </c>
      <c r="AY83" s="3171"/>
      <c r="AZ83" s="3171"/>
      <c r="BA83" s="3171">
        <v>1</v>
      </c>
      <c r="BB83" s="3172">
        <f>SUM(AY83:BA83)</f>
        <v>1</v>
      </c>
      <c r="BC83" s="3171"/>
      <c r="BD83" s="3171"/>
      <c r="BE83" s="3171">
        <v>1</v>
      </c>
      <c r="BF83" s="3172">
        <f>SUM(BC83:BE83)</f>
        <v>1</v>
      </c>
      <c r="BG83" s="3171"/>
      <c r="BH83" s="3171"/>
      <c r="BI83" s="3171">
        <v>1</v>
      </c>
      <c r="BJ83" s="3172">
        <f>SUM(BG83:BI83)</f>
        <v>1</v>
      </c>
      <c r="BK83" s="3171"/>
      <c r="BL83" s="3171">
        <v>1</v>
      </c>
      <c r="BM83" s="3171"/>
      <c r="BN83" s="3172">
        <f>SUM(BK83:BM83)</f>
        <v>1</v>
      </c>
      <c r="BO83" s="3171"/>
      <c r="BP83" s="3171">
        <v>1</v>
      </c>
      <c r="BQ83" s="3171"/>
      <c r="BR83" s="3172">
        <f>SUM(BO83:BQ83)</f>
        <v>1</v>
      </c>
      <c r="BS83" s="3171"/>
      <c r="BT83" s="3171">
        <v>1</v>
      </c>
      <c r="BU83" s="3171"/>
      <c r="BV83" s="3172">
        <f>SUM(BS83:BU83)</f>
        <v>1</v>
      </c>
      <c r="BW83" s="3171">
        <v>0</v>
      </c>
      <c r="BX83" s="3171">
        <v>1</v>
      </c>
      <c r="BY83" s="3171"/>
      <c r="BZ83" s="3172">
        <f>SUM(BW83:BY83)</f>
        <v>1</v>
      </c>
      <c r="CA83" s="3171">
        <v>0</v>
      </c>
      <c r="CB83" s="3171">
        <v>1</v>
      </c>
      <c r="CC83" s="3171">
        <v>0</v>
      </c>
      <c r="CD83" s="3172">
        <f>SUM(CA83:CC83)</f>
        <v>1</v>
      </c>
    </row>
    <row r="84" spans="1:82" ht="15" customHeight="1" x14ac:dyDescent="0.3">
      <c r="A84" s="3159"/>
      <c r="B84" s="3129" t="s">
        <v>134</v>
      </c>
      <c r="C84" s="3190"/>
      <c r="D84" s="3191"/>
      <c r="E84" s="3191"/>
      <c r="F84" s="3192"/>
      <c r="G84" s="3190"/>
      <c r="H84" s="3191"/>
      <c r="I84" s="3191"/>
      <c r="J84" s="3192"/>
      <c r="K84" s="3190"/>
      <c r="L84" s="3191"/>
      <c r="M84" s="3191"/>
      <c r="N84" s="3191"/>
      <c r="O84" s="3190"/>
      <c r="P84" s="3191"/>
      <c r="Q84" s="3191"/>
      <c r="R84" s="3192"/>
      <c r="S84" s="3193"/>
      <c r="T84" s="3193">
        <v>1</v>
      </c>
      <c r="U84" s="3193"/>
      <c r="V84" s="3194">
        <v>1</v>
      </c>
      <c r="W84" s="3195"/>
      <c r="X84" s="3193">
        <v>2</v>
      </c>
      <c r="Y84" s="3193"/>
      <c r="Z84" s="3194">
        <v>2</v>
      </c>
      <c r="AA84" s="3195"/>
      <c r="AB84" s="3193">
        <f t="shared" ref="AB84:AH84" si="103">SUM(AB81:AB81)</f>
        <v>3</v>
      </c>
      <c r="AC84" s="3193"/>
      <c r="AD84" s="3194">
        <f t="shared" si="103"/>
        <v>3</v>
      </c>
      <c r="AE84" s="3195"/>
      <c r="AF84" s="3193">
        <f t="shared" si="103"/>
        <v>3</v>
      </c>
      <c r="AG84" s="3193"/>
      <c r="AH84" s="3194">
        <f t="shared" si="103"/>
        <v>3</v>
      </c>
      <c r="AI84" s="3195"/>
      <c r="AJ84" s="3193">
        <f>SUM(AJ81:AJ81)</f>
        <v>3</v>
      </c>
      <c r="AK84" s="3193"/>
      <c r="AL84" s="3194">
        <f>SUM(AL81:AL81)</f>
        <v>3</v>
      </c>
      <c r="AM84" s="3195"/>
      <c r="AN84" s="3193">
        <f>SUM(AN81:AN81)</f>
        <v>2</v>
      </c>
      <c r="AO84" s="3193"/>
      <c r="AP84" s="3194">
        <f>SUM(AP81:AP81)</f>
        <v>2</v>
      </c>
      <c r="AQ84" s="3195"/>
      <c r="AR84" s="3193">
        <f>SUM(AR81:AR81)</f>
        <v>2</v>
      </c>
      <c r="AS84" s="3193">
        <f>SUM(AS81:AS83)</f>
        <v>1</v>
      </c>
      <c r="AT84" s="3194">
        <f>SUM(AT81:AT83)</f>
        <v>3</v>
      </c>
      <c r="AU84" s="3195"/>
      <c r="AV84" s="3193">
        <f>SUM(AV81:AV81)</f>
        <v>2</v>
      </c>
      <c r="AW84" s="3193">
        <f>SUM(AW81:AW83)</f>
        <v>1</v>
      </c>
      <c r="AX84" s="3194">
        <f>SUM(AX81:AX83)</f>
        <v>3</v>
      </c>
      <c r="AY84" s="3195"/>
      <c r="AZ84" s="3193">
        <f>SUM(AZ81:AZ81)</f>
        <v>1</v>
      </c>
      <c r="BA84" s="3193">
        <f>SUM(BA81:BA83)</f>
        <v>1</v>
      </c>
      <c r="BB84" s="3194">
        <f>SUM(BB81:BB83)</f>
        <v>2</v>
      </c>
      <c r="BC84" s="3195"/>
      <c r="BD84" s="3193">
        <f>SUM(BD81:BD81)</f>
        <v>3</v>
      </c>
      <c r="BE84" s="3193">
        <f>SUM(BE81:BE83)</f>
        <v>2</v>
      </c>
      <c r="BF84" s="3194">
        <f>SUM(BF81:BF83)</f>
        <v>5</v>
      </c>
      <c r="BG84" s="3195"/>
      <c r="BH84" s="3193">
        <f>SUM(BH81:BH81)</f>
        <v>1</v>
      </c>
      <c r="BI84" s="3193">
        <f t="shared" ref="BI84:BV84" si="104">SUM(BI81:BI83)</f>
        <v>2</v>
      </c>
      <c r="BJ84" s="3194">
        <f t="shared" si="104"/>
        <v>3</v>
      </c>
      <c r="BK84" s="3195">
        <f t="shared" si="104"/>
        <v>1</v>
      </c>
      <c r="BL84" s="3193">
        <f t="shared" si="104"/>
        <v>2</v>
      </c>
      <c r="BM84" s="3193">
        <f t="shared" si="104"/>
        <v>0</v>
      </c>
      <c r="BN84" s="3194">
        <f t="shared" si="104"/>
        <v>3</v>
      </c>
      <c r="BO84" s="3195">
        <f t="shared" si="104"/>
        <v>0</v>
      </c>
      <c r="BP84" s="3193">
        <f t="shared" si="104"/>
        <v>1</v>
      </c>
      <c r="BQ84" s="3193">
        <f t="shared" si="104"/>
        <v>1</v>
      </c>
      <c r="BR84" s="3194">
        <f t="shared" si="104"/>
        <v>2</v>
      </c>
      <c r="BS84" s="3195">
        <f t="shared" si="104"/>
        <v>0</v>
      </c>
      <c r="BT84" s="3193">
        <f t="shared" si="104"/>
        <v>1</v>
      </c>
      <c r="BU84" s="3193">
        <f t="shared" si="104"/>
        <v>1</v>
      </c>
      <c r="BV84" s="3194">
        <f t="shared" si="104"/>
        <v>2</v>
      </c>
      <c r="BW84" s="3195">
        <f t="shared" ref="BW84:BZ84" si="105">SUM(BW81:BW83)</f>
        <v>0</v>
      </c>
      <c r="BX84" s="3193">
        <f t="shared" si="105"/>
        <v>1</v>
      </c>
      <c r="BY84" s="3193">
        <f t="shared" si="105"/>
        <v>1</v>
      </c>
      <c r="BZ84" s="3194">
        <f t="shared" si="105"/>
        <v>2</v>
      </c>
      <c r="CA84" s="3195">
        <f t="shared" ref="CA84:CD84" si="106">SUM(CA81:CA83)</f>
        <v>0</v>
      </c>
      <c r="CB84" s="3193">
        <f t="shared" si="106"/>
        <v>1</v>
      </c>
      <c r="CC84" s="3193">
        <f t="shared" si="106"/>
        <v>0</v>
      </c>
      <c r="CD84" s="3194">
        <f t="shared" si="106"/>
        <v>1</v>
      </c>
    </row>
    <row r="85" spans="1:82" x14ac:dyDescent="0.3">
      <c r="A85" s="3159"/>
      <c r="B85" s="3104"/>
      <c r="C85" s="3104"/>
      <c r="D85" s="3104"/>
      <c r="E85" s="3104"/>
      <c r="F85" s="3104"/>
      <c r="G85" s="3104"/>
      <c r="H85" s="3104"/>
      <c r="I85" s="3104"/>
      <c r="J85" s="3104"/>
      <c r="K85" s="3104"/>
      <c r="L85" s="3104"/>
      <c r="M85" s="3104"/>
      <c r="N85" s="3104"/>
      <c r="O85" s="3104"/>
      <c r="P85" s="3104"/>
      <c r="Q85" s="3104"/>
      <c r="R85" s="3104"/>
      <c r="S85" s="3104"/>
      <c r="T85" s="3104"/>
      <c r="U85" s="3104"/>
      <c r="V85" s="3104"/>
      <c r="W85" s="3104"/>
      <c r="X85" s="3104"/>
      <c r="Y85" s="3104"/>
      <c r="Z85" s="3104"/>
      <c r="AA85" s="3104"/>
      <c r="AB85" s="3104"/>
      <c r="AC85" s="3104"/>
      <c r="AD85" s="3104"/>
      <c r="AE85" s="3104"/>
      <c r="AF85" s="3104"/>
      <c r="AG85" s="3104"/>
      <c r="AH85" s="3104"/>
      <c r="AI85" s="3104"/>
      <c r="AJ85" s="3104"/>
      <c r="AK85" s="3104"/>
      <c r="AL85" s="3104"/>
      <c r="AM85" s="3104"/>
      <c r="AN85" s="3104"/>
      <c r="AO85" s="3104"/>
      <c r="AP85" s="3104"/>
      <c r="AQ85" s="3104"/>
      <c r="AR85" s="3104"/>
      <c r="AS85" s="3104"/>
      <c r="AT85" s="3104"/>
      <c r="AU85" s="3104"/>
      <c r="AV85" s="3104"/>
      <c r="AW85" s="3104"/>
      <c r="AX85" s="3104"/>
      <c r="AY85" s="3104"/>
      <c r="AZ85" s="3104"/>
      <c r="BA85" s="3104"/>
      <c r="BB85" s="3104"/>
      <c r="BC85" s="3104"/>
      <c r="BD85" s="3104"/>
      <c r="BE85" s="3104"/>
      <c r="BF85" s="3104"/>
      <c r="BG85" s="3104"/>
      <c r="BH85" s="3104"/>
      <c r="BI85" s="3104"/>
      <c r="BJ85" s="3104"/>
      <c r="BK85" s="3104"/>
      <c r="BL85" s="3104"/>
      <c r="BM85" s="3104"/>
      <c r="BN85" s="3104"/>
      <c r="BO85" s="3104"/>
      <c r="BP85" s="3104"/>
      <c r="BQ85" s="3104"/>
      <c r="BR85" s="3104"/>
      <c r="BS85" s="3104"/>
      <c r="BT85" s="3104"/>
      <c r="BU85" s="3104"/>
      <c r="BV85" s="3104"/>
      <c r="BW85" s="3104"/>
      <c r="BX85" s="3104"/>
      <c r="BY85" s="3104"/>
      <c r="BZ85" s="3104"/>
      <c r="CA85" s="3104"/>
      <c r="CB85" s="3104"/>
      <c r="CC85" s="3104"/>
      <c r="CD85" s="3104"/>
    </row>
    <row r="86" spans="1:82" ht="15" customHeight="1" x14ac:dyDescent="0.3">
      <c r="A86" s="3159"/>
      <c r="B86" s="3105" t="s">
        <v>59</v>
      </c>
      <c r="C86" s="3166">
        <v>1</v>
      </c>
      <c r="D86" s="3167">
        <v>1</v>
      </c>
      <c r="E86" s="3167"/>
      <c r="F86" s="3168">
        <v>2</v>
      </c>
      <c r="G86" s="3166">
        <v>1</v>
      </c>
      <c r="H86" s="3167">
        <v>1</v>
      </c>
      <c r="I86" s="3167"/>
      <c r="J86" s="3168">
        <v>2</v>
      </c>
      <c r="K86" s="3166">
        <v>1</v>
      </c>
      <c r="L86" s="3167">
        <v>1</v>
      </c>
      <c r="M86" s="3167"/>
      <c r="N86" s="3169">
        <v>2</v>
      </c>
      <c r="O86" s="3166">
        <v>1</v>
      </c>
      <c r="P86" s="3167">
        <v>1</v>
      </c>
      <c r="Q86" s="3167"/>
      <c r="R86" s="3168">
        <v>2</v>
      </c>
      <c r="S86" s="3167">
        <v>1</v>
      </c>
      <c r="T86" s="3167">
        <v>1</v>
      </c>
      <c r="U86" s="3167"/>
      <c r="V86" s="3168">
        <v>2</v>
      </c>
      <c r="W86" s="3167">
        <v>1</v>
      </c>
      <c r="X86" s="3167">
        <v>1</v>
      </c>
      <c r="Y86" s="3167"/>
      <c r="Z86" s="3168">
        <v>2</v>
      </c>
      <c r="AA86" s="3167">
        <v>1</v>
      </c>
      <c r="AB86" s="3167"/>
      <c r="AC86" s="3167"/>
      <c r="AD86" s="3168">
        <f>SUM(AA86:AC86)</f>
        <v>1</v>
      </c>
      <c r="AE86" s="3167">
        <v>1</v>
      </c>
      <c r="AF86" s="3167"/>
      <c r="AG86" s="3167"/>
      <c r="AH86" s="3168">
        <f>SUM(AE86:AG86)</f>
        <v>1</v>
      </c>
      <c r="AI86" s="3167">
        <v>1</v>
      </c>
      <c r="AJ86" s="3167"/>
      <c r="AK86" s="3167"/>
      <c r="AL86" s="3168">
        <f>SUM(AI86:AK86)</f>
        <v>1</v>
      </c>
      <c r="AM86" s="3167">
        <v>1</v>
      </c>
      <c r="AN86" s="3167"/>
      <c r="AO86" s="3167"/>
      <c r="AP86" s="3168">
        <f>SUM(AM86:AO86)</f>
        <v>1</v>
      </c>
      <c r="AQ86" s="3167">
        <v>1</v>
      </c>
      <c r="AR86" s="3167"/>
      <c r="AS86" s="3167"/>
      <c r="AT86" s="3168">
        <f>SUM(AQ86:AS86)</f>
        <v>1</v>
      </c>
      <c r="AU86" s="3167">
        <v>1</v>
      </c>
      <c r="AV86" s="3167"/>
      <c r="AW86" s="3167"/>
      <c r="AX86" s="3168">
        <f>SUM(AU86:AW86)</f>
        <v>1</v>
      </c>
      <c r="AY86" s="3167">
        <v>1</v>
      </c>
      <c r="AZ86" s="3167">
        <v>0</v>
      </c>
      <c r="BA86" s="3167">
        <v>0</v>
      </c>
      <c r="BB86" s="3168">
        <f>SUM(AY86:BA86)</f>
        <v>1</v>
      </c>
      <c r="BC86" s="3167">
        <v>1</v>
      </c>
      <c r="BD86" s="3167">
        <v>0</v>
      </c>
      <c r="BE86" s="3167">
        <v>0</v>
      </c>
      <c r="BF86" s="3168">
        <f>SUM(BC86:BE86)</f>
        <v>1</v>
      </c>
      <c r="BG86" s="3167">
        <v>1</v>
      </c>
      <c r="BH86" s="3167"/>
      <c r="BI86" s="3167"/>
      <c r="BJ86" s="3168">
        <f>SUM(BG86:BI86)</f>
        <v>1</v>
      </c>
      <c r="BK86" s="3167">
        <v>1</v>
      </c>
      <c r="BL86" s="3167"/>
      <c r="BM86" s="3167"/>
      <c r="BN86" s="3168">
        <f>SUM(BK86:BM86)</f>
        <v>1</v>
      </c>
      <c r="BO86" s="3167">
        <v>1</v>
      </c>
      <c r="BP86" s="3167"/>
      <c r="BQ86" s="3167"/>
      <c r="BR86" s="3168">
        <f>SUM(BO86:BQ86)</f>
        <v>1</v>
      </c>
      <c r="BS86" s="3167">
        <v>1</v>
      </c>
      <c r="BT86" s="3167"/>
      <c r="BU86" s="3167"/>
      <c r="BV86" s="3168">
        <f>SUM(BS86:BU86)</f>
        <v>1</v>
      </c>
      <c r="BW86" s="3167">
        <v>1</v>
      </c>
      <c r="BX86" s="3167">
        <v>0</v>
      </c>
      <c r="BY86" s="3167">
        <v>0</v>
      </c>
      <c r="BZ86" s="3168">
        <f>SUM(BW86:BY86)</f>
        <v>1</v>
      </c>
      <c r="CA86" s="3167">
        <v>1</v>
      </c>
      <c r="CB86" s="3167">
        <v>0</v>
      </c>
      <c r="CC86" s="3167">
        <v>0</v>
      </c>
      <c r="CD86" s="3168">
        <f>SUM(CA86:CC86)</f>
        <v>1</v>
      </c>
    </row>
    <row r="87" spans="1:82" ht="15" customHeight="1" x14ac:dyDescent="0.3">
      <c r="A87" s="3159"/>
      <c r="B87" s="3110" t="s">
        <v>64</v>
      </c>
      <c r="C87" s="3170"/>
      <c r="D87" s="3171">
        <v>2</v>
      </c>
      <c r="E87" s="3171">
        <v>13</v>
      </c>
      <c r="F87" s="3172">
        <v>15</v>
      </c>
      <c r="G87" s="3170"/>
      <c r="H87" s="3171">
        <v>2</v>
      </c>
      <c r="I87" s="3171">
        <v>14</v>
      </c>
      <c r="J87" s="3172">
        <v>16</v>
      </c>
      <c r="K87" s="3170"/>
      <c r="L87" s="3171">
        <v>3</v>
      </c>
      <c r="M87" s="3171">
        <v>11</v>
      </c>
      <c r="N87" s="3173">
        <v>14</v>
      </c>
      <c r="O87" s="3170"/>
      <c r="P87" s="3171">
        <v>3</v>
      </c>
      <c r="Q87" s="3171">
        <v>12</v>
      </c>
      <c r="R87" s="3172">
        <v>15</v>
      </c>
      <c r="S87" s="3171"/>
      <c r="T87" s="3171">
        <v>2</v>
      </c>
      <c r="U87" s="3171">
        <v>12</v>
      </c>
      <c r="V87" s="3172">
        <v>14</v>
      </c>
      <c r="W87" s="3171"/>
      <c r="X87" s="3171">
        <v>2</v>
      </c>
      <c r="Y87" s="3171">
        <v>9</v>
      </c>
      <c r="Z87" s="3172">
        <v>11</v>
      </c>
      <c r="AA87" s="3171"/>
      <c r="AB87" s="3171">
        <v>1</v>
      </c>
      <c r="AC87" s="3171">
        <v>11</v>
      </c>
      <c r="AD87" s="3172">
        <f>SUM(AA87:AC87)</f>
        <v>12</v>
      </c>
      <c r="AE87" s="3171"/>
      <c r="AF87" s="3171">
        <v>2</v>
      </c>
      <c r="AG87" s="3171">
        <v>12</v>
      </c>
      <c r="AH87" s="3172">
        <f>SUM(AE87:AG87)</f>
        <v>14</v>
      </c>
      <c r="AI87" s="3171"/>
      <c r="AJ87" s="3171">
        <v>2</v>
      </c>
      <c r="AK87" s="3171">
        <v>12</v>
      </c>
      <c r="AL87" s="3172">
        <f>SUM(AI87:AK87)</f>
        <v>14</v>
      </c>
      <c r="AM87" s="3171"/>
      <c r="AN87" s="3171">
        <v>2</v>
      </c>
      <c r="AO87" s="3171">
        <v>12</v>
      </c>
      <c r="AP87" s="3172">
        <f>SUM(AM87:AO87)</f>
        <v>14</v>
      </c>
      <c r="AQ87" s="3171"/>
      <c r="AR87" s="3171">
        <v>3</v>
      </c>
      <c r="AS87" s="3171">
        <v>12</v>
      </c>
      <c r="AT87" s="3172">
        <f>SUM(AQ87:AS87)</f>
        <v>15</v>
      </c>
      <c r="AU87" s="3171"/>
      <c r="AV87" s="3171">
        <v>3</v>
      </c>
      <c r="AW87" s="3171">
        <v>8</v>
      </c>
      <c r="AX87" s="3172">
        <f>SUM(AU87:AW87)</f>
        <v>11</v>
      </c>
      <c r="AY87" s="3171">
        <v>0</v>
      </c>
      <c r="AZ87" s="3171">
        <v>3</v>
      </c>
      <c r="BA87" s="3171">
        <v>7</v>
      </c>
      <c r="BB87" s="3172">
        <f>SUM(AY87:BA87)</f>
        <v>10</v>
      </c>
      <c r="BC87" s="3171">
        <v>0</v>
      </c>
      <c r="BD87" s="3171">
        <v>3</v>
      </c>
      <c r="BE87" s="3171">
        <v>7</v>
      </c>
      <c r="BF87" s="3172">
        <f>SUM(BC87:BE87)</f>
        <v>10</v>
      </c>
      <c r="BG87" s="3171"/>
      <c r="BH87" s="3171">
        <v>2</v>
      </c>
      <c r="BI87" s="3171">
        <v>7</v>
      </c>
      <c r="BJ87" s="3172">
        <f>SUM(BG87:BI87)</f>
        <v>9</v>
      </c>
      <c r="BK87" s="3171"/>
      <c r="BL87" s="3171">
        <v>4</v>
      </c>
      <c r="BM87" s="3171">
        <v>6</v>
      </c>
      <c r="BN87" s="3172">
        <f>SUM(BK87:BM87)</f>
        <v>10</v>
      </c>
      <c r="BO87" s="3171"/>
      <c r="BP87" s="3171">
        <v>2</v>
      </c>
      <c r="BQ87" s="3171">
        <v>6</v>
      </c>
      <c r="BR87" s="3172">
        <f>SUM(BO87:BQ87)</f>
        <v>8</v>
      </c>
      <c r="BS87" s="3171"/>
      <c r="BT87" s="3171">
        <v>2</v>
      </c>
      <c r="BU87" s="3171">
        <v>7</v>
      </c>
      <c r="BV87" s="3172">
        <f>SUM(BS87:BU87)</f>
        <v>9</v>
      </c>
      <c r="BW87" s="3171">
        <v>0</v>
      </c>
      <c r="BX87" s="3171">
        <v>2</v>
      </c>
      <c r="BY87" s="3171">
        <v>7</v>
      </c>
      <c r="BZ87" s="3172">
        <f>SUM(BW87:BY87)</f>
        <v>9</v>
      </c>
      <c r="CA87" s="3171">
        <v>0</v>
      </c>
      <c r="CB87" s="3171">
        <v>1</v>
      </c>
      <c r="CC87" s="3171">
        <v>7</v>
      </c>
      <c r="CD87" s="3172">
        <f>SUM(CA87:CC87)</f>
        <v>8</v>
      </c>
    </row>
    <row r="88" spans="1:82" ht="15" customHeight="1" x14ac:dyDescent="0.3">
      <c r="A88" s="3159"/>
      <c r="B88" s="3110" t="s">
        <v>92</v>
      </c>
      <c r="C88" s="3170">
        <v>1</v>
      </c>
      <c r="D88" s="3171">
        <v>1</v>
      </c>
      <c r="E88" s="3171">
        <v>4</v>
      </c>
      <c r="F88" s="3172">
        <v>6</v>
      </c>
      <c r="G88" s="3170">
        <v>1</v>
      </c>
      <c r="H88" s="3171">
        <v>1</v>
      </c>
      <c r="I88" s="3171">
        <v>4</v>
      </c>
      <c r="J88" s="3172">
        <v>6</v>
      </c>
      <c r="K88" s="3170">
        <v>1</v>
      </c>
      <c r="L88" s="3171">
        <v>1</v>
      </c>
      <c r="M88" s="3171">
        <v>3</v>
      </c>
      <c r="N88" s="3173">
        <v>5</v>
      </c>
      <c r="O88" s="3170">
        <v>1</v>
      </c>
      <c r="P88" s="3171">
        <v>1</v>
      </c>
      <c r="Q88" s="3171">
        <v>4</v>
      </c>
      <c r="R88" s="3172">
        <v>6</v>
      </c>
      <c r="S88" s="3171">
        <v>1</v>
      </c>
      <c r="T88" s="3171">
        <v>2</v>
      </c>
      <c r="U88" s="3171">
        <v>4</v>
      </c>
      <c r="V88" s="3172">
        <v>7</v>
      </c>
      <c r="W88" s="3171">
        <v>1</v>
      </c>
      <c r="X88" s="3171">
        <v>2</v>
      </c>
      <c r="Y88" s="3171">
        <v>4</v>
      </c>
      <c r="Z88" s="3172">
        <v>7</v>
      </c>
      <c r="AA88" s="3171">
        <v>1</v>
      </c>
      <c r="AB88" s="3171">
        <v>2</v>
      </c>
      <c r="AC88" s="3171">
        <v>6</v>
      </c>
      <c r="AD88" s="3172">
        <f>SUM(AA88:AC88)</f>
        <v>9</v>
      </c>
      <c r="AE88" s="3171"/>
      <c r="AF88" s="3171">
        <v>2</v>
      </c>
      <c r="AG88" s="3171">
        <v>6</v>
      </c>
      <c r="AH88" s="3172">
        <f>SUM(AE88:AG88)</f>
        <v>8</v>
      </c>
      <c r="AI88" s="3171"/>
      <c r="AJ88" s="3171">
        <v>2</v>
      </c>
      <c r="AK88" s="3171">
        <v>6</v>
      </c>
      <c r="AL88" s="3172">
        <f>SUM(AI88:AK88)</f>
        <v>8</v>
      </c>
      <c r="AM88" s="3171"/>
      <c r="AN88" s="3171">
        <v>2</v>
      </c>
      <c r="AO88" s="3171">
        <v>6</v>
      </c>
      <c r="AP88" s="3172">
        <f>SUM(AM88:AO88)</f>
        <v>8</v>
      </c>
      <c r="AQ88" s="3171"/>
      <c r="AR88" s="3171">
        <v>2</v>
      </c>
      <c r="AS88" s="3171">
        <v>5</v>
      </c>
      <c r="AT88" s="3172">
        <f>SUM(AQ88:AS88)</f>
        <v>7</v>
      </c>
      <c r="AU88" s="3171"/>
      <c r="AV88" s="3171">
        <v>1</v>
      </c>
      <c r="AW88" s="3171">
        <v>6</v>
      </c>
      <c r="AX88" s="3172">
        <f>SUM(AU88:AW88)</f>
        <v>7</v>
      </c>
      <c r="AY88" s="3171"/>
      <c r="AZ88" s="3171">
        <v>1</v>
      </c>
      <c r="BA88" s="3171">
        <v>6</v>
      </c>
      <c r="BB88" s="3172">
        <f>SUM(AY88:BA88)</f>
        <v>7</v>
      </c>
      <c r="BC88" s="3171">
        <v>0</v>
      </c>
      <c r="BD88" s="3171">
        <v>1</v>
      </c>
      <c r="BE88" s="3171">
        <v>4</v>
      </c>
      <c r="BF88" s="3172">
        <f>SUM(BC88:BE88)</f>
        <v>5</v>
      </c>
      <c r="BG88" s="3171"/>
      <c r="BH88" s="3171">
        <v>2</v>
      </c>
      <c r="BI88" s="3171">
        <v>4</v>
      </c>
      <c r="BJ88" s="3172">
        <f>SUM(BG88:BI88)</f>
        <v>6</v>
      </c>
      <c r="BK88" s="3171"/>
      <c r="BL88" s="3171">
        <v>2</v>
      </c>
      <c r="BM88" s="3171">
        <v>4</v>
      </c>
      <c r="BN88" s="3172">
        <f>SUM(BK88:BM88)</f>
        <v>6</v>
      </c>
      <c r="BO88" s="3171"/>
      <c r="BP88" s="3171">
        <v>2</v>
      </c>
      <c r="BQ88" s="3171">
        <v>4</v>
      </c>
      <c r="BR88" s="3172">
        <f>SUM(BO88:BQ88)</f>
        <v>6</v>
      </c>
      <c r="BS88" s="3171"/>
      <c r="BT88" s="3171">
        <v>2</v>
      </c>
      <c r="BU88" s="3171">
        <v>4</v>
      </c>
      <c r="BV88" s="3172">
        <f>SUM(BS88:BU88)</f>
        <v>6</v>
      </c>
      <c r="BW88" s="3171">
        <v>0</v>
      </c>
      <c r="BX88" s="3171">
        <v>2</v>
      </c>
      <c r="BY88" s="3171">
        <v>4</v>
      </c>
      <c r="BZ88" s="3172">
        <f>SUM(BW88:BY88)</f>
        <v>6</v>
      </c>
      <c r="CA88" s="3171">
        <v>0</v>
      </c>
      <c r="CB88" s="3171">
        <v>2</v>
      </c>
      <c r="CC88" s="3171">
        <v>4</v>
      </c>
      <c r="CD88" s="3172">
        <f>SUM(CA88:CC88)</f>
        <v>6</v>
      </c>
    </row>
    <row r="89" spans="1:82" ht="15" customHeight="1" x14ac:dyDescent="0.3">
      <c r="A89" s="3159"/>
      <c r="B89" s="3136" t="s">
        <v>135</v>
      </c>
      <c r="C89" s="3196">
        <v>2</v>
      </c>
      <c r="D89" s="3197">
        <v>4</v>
      </c>
      <c r="E89" s="3197">
        <v>17</v>
      </c>
      <c r="F89" s="3198">
        <v>23</v>
      </c>
      <c r="G89" s="3196">
        <v>2</v>
      </c>
      <c r="H89" s="3197">
        <v>4</v>
      </c>
      <c r="I89" s="3197">
        <v>18</v>
      </c>
      <c r="J89" s="3198">
        <v>24</v>
      </c>
      <c r="K89" s="3196">
        <v>2</v>
      </c>
      <c r="L89" s="3197">
        <v>5</v>
      </c>
      <c r="M89" s="3197">
        <v>14</v>
      </c>
      <c r="N89" s="3197">
        <v>21</v>
      </c>
      <c r="O89" s="3196">
        <v>2</v>
      </c>
      <c r="P89" s="3197">
        <v>5</v>
      </c>
      <c r="Q89" s="3197">
        <v>16</v>
      </c>
      <c r="R89" s="3198">
        <v>23</v>
      </c>
      <c r="S89" s="3197">
        <v>2</v>
      </c>
      <c r="T89" s="3197">
        <v>5</v>
      </c>
      <c r="U89" s="3197">
        <v>16</v>
      </c>
      <c r="V89" s="3198">
        <v>23</v>
      </c>
      <c r="W89" s="3196">
        <v>2</v>
      </c>
      <c r="X89" s="3197">
        <v>5</v>
      </c>
      <c r="Y89" s="3197">
        <v>13</v>
      </c>
      <c r="Z89" s="3198">
        <v>20</v>
      </c>
      <c r="AA89" s="3196">
        <f t="shared" ref="AA89:BV89" si="107">SUM(AA86:AA88)</f>
        <v>2</v>
      </c>
      <c r="AB89" s="3197">
        <f t="shared" si="107"/>
        <v>3</v>
      </c>
      <c r="AC89" s="3197">
        <f t="shared" si="107"/>
        <v>17</v>
      </c>
      <c r="AD89" s="3198">
        <f t="shared" si="107"/>
        <v>22</v>
      </c>
      <c r="AE89" s="3196">
        <f t="shared" si="107"/>
        <v>1</v>
      </c>
      <c r="AF89" s="3197">
        <f t="shared" si="107"/>
        <v>4</v>
      </c>
      <c r="AG89" s="3197">
        <f t="shared" si="107"/>
        <v>18</v>
      </c>
      <c r="AH89" s="3198">
        <f t="shared" si="107"/>
        <v>23</v>
      </c>
      <c r="AI89" s="3196">
        <f t="shared" si="107"/>
        <v>1</v>
      </c>
      <c r="AJ89" s="3197">
        <f t="shared" si="107"/>
        <v>4</v>
      </c>
      <c r="AK89" s="3197">
        <f t="shared" si="107"/>
        <v>18</v>
      </c>
      <c r="AL89" s="3198">
        <f t="shared" si="107"/>
        <v>23</v>
      </c>
      <c r="AM89" s="3196">
        <f t="shared" si="107"/>
        <v>1</v>
      </c>
      <c r="AN89" s="3197">
        <f t="shared" si="107"/>
        <v>4</v>
      </c>
      <c r="AO89" s="3197">
        <f t="shared" si="107"/>
        <v>18</v>
      </c>
      <c r="AP89" s="3198">
        <f t="shared" si="107"/>
        <v>23</v>
      </c>
      <c r="AQ89" s="3196">
        <f t="shared" si="107"/>
        <v>1</v>
      </c>
      <c r="AR89" s="3197">
        <f t="shared" si="107"/>
        <v>5</v>
      </c>
      <c r="AS89" s="3197">
        <f t="shared" si="107"/>
        <v>17</v>
      </c>
      <c r="AT89" s="3198">
        <f t="shared" si="107"/>
        <v>23</v>
      </c>
      <c r="AU89" s="3196">
        <f t="shared" si="107"/>
        <v>1</v>
      </c>
      <c r="AV89" s="3197">
        <f t="shared" si="107"/>
        <v>4</v>
      </c>
      <c r="AW89" s="3197">
        <f t="shared" si="107"/>
        <v>14</v>
      </c>
      <c r="AX89" s="3198">
        <f t="shared" si="107"/>
        <v>19</v>
      </c>
      <c r="AY89" s="3196">
        <f t="shared" si="107"/>
        <v>1</v>
      </c>
      <c r="AZ89" s="3197">
        <f t="shared" si="107"/>
        <v>4</v>
      </c>
      <c r="BA89" s="3197">
        <f t="shared" si="107"/>
        <v>13</v>
      </c>
      <c r="BB89" s="3198">
        <f t="shared" si="107"/>
        <v>18</v>
      </c>
      <c r="BC89" s="3196">
        <f t="shared" si="107"/>
        <v>1</v>
      </c>
      <c r="BD89" s="3197">
        <f t="shared" si="107"/>
        <v>4</v>
      </c>
      <c r="BE89" s="3197">
        <f t="shared" si="107"/>
        <v>11</v>
      </c>
      <c r="BF89" s="3198">
        <f t="shared" si="107"/>
        <v>16</v>
      </c>
      <c r="BG89" s="3196">
        <f t="shared" si="107"/>
        <v>1</v>
      </c>
      <c r="BH89" s="3197">
        <f t="shared" si="107"/>
        <v>4</v>
      </c>
      <c r="BI89" s="3197">
        <f t="shared" si="107"/>
        <v>11</v>
      </c>
      <c r="BJ89" s="3198">
        <f t="shared" si="107"/>
        <v>16</v>
      </c>
      <c r="BK89" s="3196">
        <f t="shared" si="107"/>
        <v>1</v>
      </c>
      <c r="BL89" s="3197">
        <f t="shared" si="107"/>
        <v>6</v>
      </c>
      <c r="BM89" s="3197">
        <f t="shared" si="107"/>
        <v>10</v>
      </c>
      <c r="BN89" s="3198">
        <f t="shared" si="107"/>
        <v>17</v>
      </c>
      <c r="BO89" s="3196">
        <f t="shared" si="107"/>
        <v>1</v>
      </c>
      <c r="BP89" s="3197">
        <f t="shared" si="107"/>
        <v>4</v>
      </c>
      <c r="BQ89" s="3197">
        <f t="shared" si="107"/>
        <v>10</v>
      </c>
      <c r="BR89" s="3198">
        <f t="shared" si="107"/>
        <v>15</v>
      </c>
      <c r="BS89" s="3196">
        <f t="shared" si="107"/>
        <v>1</v>
      </c>
      <c r="BT89" s="3197">
        <f t="shared" si="107"/>
        <v>4</v>
      </c>
      <c r="BU89" s="3197">
        <f t="shared" si="107"/>
        <v>11</v>
      </c>
      <c r="BV89" s="3198">
        <f t="shared" si="107"/>
        <v>16</v>
      </c>
      <c r="BW89" s="3196">
        <f t="shared" ref="BW89:BZ89" si="108">SUM(BW86:BW88)</f>
        <v>1</v>
      </c>
      <c r="BX89" s="3197">
        <f t="shared" si="108"/>
        <v>4</v>
      </c>
      <c r="BY89" s="3197">
        <f t="shared" si="108"/>
        <v>11</v>
      </c>
      <c r="BZ89" s="3198">
        <f t="shared" si="108"/>
        <v>16</v>
      </c>
      <c r="CA89" s="3196">
        <f t="shared" ref="CA89:CD89" si="109">SUM(CA86:CA88)</f>
        <v>1</v>
      </c>
      <c r="CB89" s="3197">
        <f t="shared" si="109"/>
        <v>3</v>
      </c>
      <c r="CC89" s="3197">
        <f t="shared" si="109"/>
        <v>11</v>
      </c>
      <c r="CD89" s="3198">
        <f t="shared" si="109"/>
        <v>15</v>
      </c>
    </row>
    <row r="90" spans="1:82" ht="15" customHeight="1" x14ac:dyDescent="0.3">
      <c r="A90" s="3159"/>
      <c r="B90" s="3104"/>
      <c r="C90" s="3104"/>
      <c r="D90" s="3104"/>
      <c r="E90" s="3104"/>
      <c r="F90" s="3104"/>
      <c r="G90" s="3104"/>
      <c r="H90" s="3104"/>
      <c r="I90" s="3104"/>
      <c r="J90" s="3104"/>
      <c r="K90" s="3104"/>
      <c r="L90" s="3104"/>
      <c r="M90" s="3104"/>
      <c r="N90" s="3104"/>
      <c r="O90" s="3104"/>
      <c r="P90" s="3104"/>
      <c r="Q90" s="3104"/>
      <c r="R90" s="3104"/>
      <c r="S90" s="3104"/>
      <c r="T90" s="3104"/>
      <c r="U90" s="3104"/>
      <c r="V90" s="3104"/>
      <c r="W90" s="3104"/>
      <c r="X90" s="3104"/>
      <c r="Y90" s="3104"/>
      <c r="Z90" s="3104"/>
      <c r="AA90" s="3104"/>
      <c r="AB90" s="3104"/>
      <c r="AC90" s="3104"/>
      <c r="AD90" s="3104"/>
      <c r="AE90" s="3104"/>
      <c r="AF90" s="3104"/>
      <c r="AG90" s="3104"/>
      <c r="AH90" s="3104"/>
      <c r="AI90" s="3104"/>
      <c r="AJ90" s="3104"/>
      <c r="AK90" s="3104"/>
      <c r="AL90" s="3104"/>
      <c r="AM90" s="3104"/>
      <c r="AN90" s="3104"/>
      <c r="AO90" s="3104"/>
      <c r="AP90" s="3104"/>
      <c r="AQ90" s="3104"/>
      <c r="AR90" s="3104"/>
      <c r="AS90" s="3104"/>
      <c r="AT90" s="3104"/>
      <c r="AU90" s="3104"/>
      <c r="AV90" s="3104"/>
      <c r="AW90" s="3104"/>
      <c r="AX90" s="3104"/>
      <c r="AY90" s="3104"/>
      <c r="AZ90" s="3104"/>
      <c r="BA90" s="3104"/>
      <c r="BB90" s="3104"/>
      <c r="BC90" s="3104"/>
      <c r="BD90" s="3104"/>
      <c r="BE90" s="3104"/>
      <c r="BF90" s="3104"/>
      <c r="BG90" s="3104"/>
      <c r="BH90" s="3104"/>
      <c r="BI90" s="3104"/>
      <c r="BJ90" s="3104"/>
      <c r="BK90" s="3104"/>
      <c r="BL90" s="3104"/>
      <c r="BM90" s="3104"/>
      <c r="BN90" s="3104"/>
      <c r="BO90" s="3104"/>
      <c r="BP90" s="3104"/>
      <c r="BQ90" s="3104"/>
      <c r="BR90" s="3104"/>
      <c r="BS90" s="3104"/>
      <c r="BT90" s="3104"/>
      <c r="BU90" s="3104"/>
      <c r="BV90" s="3104"/>
      <c r="BW90" s="3104"/>
      <c r="BX90" s="3104"/>
      <c r="BY90" s="3104"/>
      <c r="BZ90" s="3104"/>
      <c r="CA90" s="3104"/>
      <c r="CB90" s="3104"/>
      <c r="CC90" s="3104"/>
      <c r="CD90" s="3104"/>
    </row>
    <row r="91" spans="1:82" ht="15" customHeight="1" x14ac:dyDescent="0.3">
      <c r="A91" s="3159"/>
      <c r="B91" s="3105" t="s">
        <v>59</v>
      </c>
      <c r="C91" s="3181"/>
      <c r="D91" s="3182"/>
      <c r="E91" s="3182"/>
      <c r="F91" s="3183"/>
      <c r="G91" s="3181"/>
      <c r="H91" s="3182"/>
      <c r="I91" s="3182"/>
      <c r="J91" s="3183"/>
      <c r="K91" s="3181"/>
      <c r="L91" s="3182"/>
      <c r="M91" s="3182"/>
      <c r="N91" s="3219"/>
      <c r="O91" s="3181"/>
      <c r="P91" s="3182"/>
      <c r="Q91" s="3182"/>
      <c r="R91" s="3183"/>
      <c r="S91" s="3182"/>
      <c r="T91" s="3182"/>
      <c r="U91" s="3182"/>
      <c r="V91" s="3183"/>
      <c r="W91" s="3182"/>
      <c r="X91" s="3182"/>
      <c r="Y91" s="3182"/>
      <c r="Z91" s="3183"/>
      <c r="AA91" s="3182"/>
      <c r="AB91" s="3182"/>
      <c r="AC91" s="3182"/>
      <c r="AD91" s="3183"/>
      <c r="AE91" s="3182"/>
      <c r="AF91" s="3182"/>
      <c r="AG91" s="3182"/>
      <c r="AH91" s="3183"/>
      <c r="AI91" s="3182"/>
      <c r="AJ91" s="3167"/>
      <c r="AK91" s="3167"/>
      <c r="AL91" s="3168"/>
      <c r="AM91" s="3221"/>
      <c r="AN91" s="3167"/>
      <c r="AO91" s="3167"/>
      <c r="AP91" s="3168"/>
      <c r="AQ91" s="3221"/>
      <c r="AR91" s="3167"/>
      <c r="AS91" s="3167"/>
      <c r="AT91" s="3168"/>
      <c r="AU91" s="3221"/>
      <c r="AV91" s="3167"/>
      <c r="AW91" s="3167"/>
      <c r="AX91" s="3168"/>
      <c r="AY91" s="3221"/>
      <c r="AZ91" s="3167"/>
      <c r="BA91" s="3167"/>
      <c r="BB91" s="3168"/>
      <c r="BC91" s="3221"/>
      <c r="BD91" s="3167"/>
      <c r="BE91" s="3167"/>
      <c r="BF91" s="3168"/>
      <c r="BG91" s="3221"/>
      <c r="BH91" s="3167"/>
      <c r="BI91" s="3167"/>
      <c r="BJ91" s="3168"/>
      <c r="BK91" s="3221"/>
      <c r="BL91" s="3167"/>
      <c r="BM91" s="3167"/>
      <c r="BN91" s="3168"/>
      <c r="BO91" s="3221"/>
      <c r="BP91" s="3167"/>
      <c r="BQ91" s="3167"/>
      <c r="BR91" s="3168"/>
      <c r="BS91" s="3221"/>
      <c r="BT91" s="3167"/>
      <c r="BU91" s="3167"/>
      <c r="BV91" s="3168"/>
      <c r="BW91" s="5082"/>
      <c r="BX91" s="5082"/>
      <c r="BY91" s="5082"/>
      <c r="BZ91" s="5083"/>
      <c r="CA91" s="5089">
        <v>0</v>
      </c>
      <c r="CB91" s="5089">
        <v>0</v>
      </c>
      <c r="CC91" s="5089">
        <v>0</v>
      </c>
      <c r="CD91" s="5090">
        <f>SUM(CA91:CC91)</f>
        <v>0</v>
      </c>
    </row>
    <row r="92" spans="1:82" ht="15" customHeight="1" x14ac:dyDescent="0.3">
      <c r="A92" s="3159"/>
      <c r="B92" s="3110" t="s">
        <v>64</v>
      </c>
      <c r="C92" s="3184"/>
      <c r="D92" s="3185"/>
      <c r="E92" s="3185"/>
      <c r="F92" s="3186"/>
      <c r="G92" s="3184"/>
      <c r="H92" s="3185"/>
      <c r="I92" s="3185"/>
      <c r="J92" s="3186"/>
      <c r="K92" s="3184"/>
      <c r="L92" s="3185"/>
      <c r="M92" s="3185"/>
      <c r="N92" s="3220"/>
      <c r="O92" s="3184"/>
      <c r="P92" s="3185"/>
      <c r="Q92" s="3185"/>
      <c r="R92" s="3186"/>
      <c r="S92" s="3185"/>
      <c r="T92" s="3185"/>
      <c r="U92" s="3185"/>
      <c r="V92" s="3186"/>
      <c r="W92" s="3185"/>
      <c r="X92" s="3185"/>
      <c r="Y92" s="3185"/>
      <c r="Z92" s="3186"/>
      <c r="AA92" s="3185"/>
      <c r="AB92" s="3185"/>
      <c r="AC92" s="3185"/>
      <c r="AD92" s="3186"/>
      <c r="AE92" s="3185"/>
      <c r="AF92" s="3185"/>
      <c r="AG92" s="3185"/>
      <c r="AH92" s="3186"/>
      <c r="AI92" s="3185"/>
      <c r="AJ92" s="3171"/>
      <c r="AK92" s="3171"/>
      <c r="AL92" s="3172"/>
      <c r="AM92" s="3222"/>
      <c r="AN92" s="3171"/>
      <c r="AO92" s="3171"/>
      <c r="AP92" s="3172"/>
      <c r="AQ92" s="3222"/>
      <c r="AR92" s="3171"/>
      <c r="AS92" s="3171"/>
      <c r="AT92" s="3172"/>
      <c r="AU92" s="3222"/>
      <c r="AV92" s="3171"/>
      <c r="AW92" s="3171"/>
      <c r="AX92" s="3172"/>
      <c r="AY92" s="3222"/>
      <c r="AZ92" s="3171"/>
      <c r="BA92" s="3171"/>
      <c r="BB92" s="3172"/>
      <c r="BC92" s="3222"/>
      <c r="BD92" s="3171"/>
      <c r="BE92" s="3171"/>
      <c r="BF92" s="3172"/>
      <c r="BG92" s="3222"/>
      <c r="BH92" s="3171"/>
      <c r="BI92" s="3171">
        <v>2</v>
      </c>
      <c r="BJ92" s="3172">
        <f>SUM(BG92:BI92)</f>
        <v>2</v>
      </c>
      <c r="BK92" s="3222"/>
      <c r="BL92" s="3171"/>
      <c r="BM92" s="3171">
        <v>2</v>
      </c>
      <c r="BN92" s="3172">
        <f>SUM(BK92:BM92)</f>
        <v>2</v>
      </c>
      <c r="BO92" s="3222"/>
      <c r="BP92" s="3171"/>
      <c r="BQ92" s="3171"/>
      <c r="BR92" s="3172">
        <f>SUM(BO92:BQ92)</f>
        <v>0</v>
      </c>
      <c r="BS92" s="3222"/>
      <c r="BT92" s="3171"/>
      <c r="BU92" s="3171"/>
      <c r="BV92" s="3172">
        <f>SUM(BS92:BU92)</f>
        <v>0</v>
      </c>
      <c r="BW92" s="5084">
        <v>0</v>
      </c>
      <c r="BX92" s="5084"/>
      <c r="BY92" s="5084"/>
      <c r="BZ92" s="5085">
        <f>SUM(BW92:BY92)</f>
        <v>0</v>
      </c>
      <c r="CA92" s="5091">
        <v>0</v>
      </c>
      <c r="CB92" s="5091">
        <v>0</v>
      </c>
      <c r="CC92" s="5091">
        <v>0</v>
      </c>
      <c r="CD92" s="5092">
        <f>SUM(CA92:CC92)</f>
        <v>0</v>
      </c>
    </row>
    <row r="93" spans="1:82" ht="15" customHeight="1" x14ac:dyDescent="0.3">
      <c r="A93" s="3159"/>
      <c r="B93" s="3110" t="s">
        <v>92</v>
      </c>
      <c r="C93" s="3184"/>
      <c r="D93" s="3185"/>
      <c r="E93" s="3185"/>
      <c r="F93" s="3186"/>
      <c r="G93" s="3184"/>
      <c r="H93" s="3185"/>
      <c r="I93" s="3185"/>
      <c r="J93" s="3186"/>
      <c r="K93" s="3184"/>
      <c r="L93" s="3185"/>
      <c r="M93" s="3185"/>
      <c r="N93" s="3220"/>
      <c r="O93" s="3184"/>
      <c r="P93" s="3185"/>
      <c r="Q93" s="3185"/>
      <c r="R93" s="3186"/>
      <c r="S93" s="3185"/>
      <c r="T93" s="3185"/>
      <c r="U93" s="3185"/>
      <c r="V93" s="3186"/>
      <c r="W93" s="3185"/>
      <c r="X93" s="3185"/>
      <c r="Y93" s="3185"/>
      <c r="Z93" s="3186"/>
      <c r="AA93" s="3185"/>
      <c r="AB93" s="3185"/>
      <c r="AC93" s="3185"/>
      <c r="AD93" s="3186"/>
      <c r="AE93" s="3185"/>
      <c r="AF93" s="3185"/>
      <c r="AG93" s="3185"/>
      <c r="AH93" s="3186"/>
      <c r="AI93" s="3185"/>
      <c r="AJ93" s="3171"/>
      <c r="AK93" s="3171"/>
      <c r="AL93" s="3172"/>
      <c r="AM93" s="3222"/>
      <c r="AN93" s="3171"/>
      <c r="AO93" s="3171"/>
      <c r="AP93" s="3172"/>
      <c r="AQ93" s="3222"/>
      <c r="AR93" s="3171"/>
      <c r="AS93" s="3171"/>
      <c r="AT93" s="3172"/>
      <c r="AU93" s="3222"/>
      <c r="AV93" s="3171"/>
      <c r="AW93" s="3171"/>
      <c r="AX93" s="3172"/>
      <c r="AY93" s="3222"/>
      <c r="AZ93" s="3171"/>
      <c r="BA93" s="3171"/>
      <c r="BB93" s="3172"/>
      <c r="BC93" s="3222"/>
      <c r="BD93" s="3171"/>
      <c r="BE93" s="3171"/>
      <c r="BF93" s="3172"/>
      <c r="BG93" s="3222"/>
      <c r="BH93" s="3171"/>
      <c r="BI93" s="3171"/>
      <c r="BJ93" s="3172"/>
      <c r="BK93" s="3222"/>
      <c r="BL93" s="3171"/>
      <c r="BM93" s="3171"/>
      <c r="BN93" s="3172"/>
      <c r="BO93" s="3222"/>
      <c r="BP93" s="3171"/>
      <c r="BQ93" s="3171"/>
      <c r="BR93" s="3172"/>
      <c r="BS93" s="3222"/>
      <c r="BT93" s="3171"/>
      <c r="BU93" s="3171"/>
      <c r="BV93" s="3172"/>
      <c r="BW93" s="5084"/>
      <c r="BX93" s="5084"/>
      <c r="BY93" s="5084"/>
      <c r="BZ93" s="5085"/>
      <c r="CA93" s="5091">
        <v>0</v>
      </c>
      <c r="CB93" s="5091">
        <v>0</v>
      </c>
      <c r="CC93" s="5091">
        <v>0</v>
      </c>
      <c r="CD93" s="5092"/>
    </row>
    <row r="94" spans="1:82" ht="15" customHeight="1" x14ac:dyDescent="0.3">
      <c r="A94" s="3159"/>
      <c r="B94" s="3144" t="s">
        <v>136</v>
      </c>
      <c r="C94" s="3223"/>
      <c r="D94" s="3224"/>
      <c r="E94" s="3224"/>
      <c r="F94" s="3225"/>
      <c r="G94" s="3223"/>
      <c r="H94" s="3224"/>
      <c r="I94" s="3224"/>
      <c r="J94" s="3225"/>
      <c r="K94" s="3223"/>
      <c r="L94" s="3224"/>
      <c r="M94" s="3224"/>
      <c r="N94" s="3224"/>
      <c r="O94" s="3223"/>
      <c r="P94" s="3224"/>
      <c r="Q94" s="3224"/>
      <c r="R94" s="3225"/>
      <c r="S94" s="3224"/>
      <c r="T94" s="3224"/>
      <c r="U94" s="3224"/>
      <c r="V94" s="3225"/>
      <c r="W94" s="3223"/>
      <c r="X94" s="3224"/>
      <c r="Y94" s="3224"/>
      <c r="Z94" s="3225"/>
      <c r="AA94" s="3223"/>
      <c r="AB94" s="3224"/>
      <c r="AC94" s="3224"/>
      <c r="AD94" s="3225"/>
      <c r="AE94" s="3223"/>
      <c r="AF94" s="3224"/>
      <c r="AG94" s="3224"/>
      <c r="AH94" s="3225"/>
      <c r="AI94" s="3223"/>
      <c r="AJ94" s="3208"/>
      <c r="AK94" s="3208"/>
      <c r="AL94" s="3209"/>
      <c r="AM94" s="3226"/>
      <c r="AN94" s="3208"/>
      <c r="AO94" s="3208"/>
      <c r="AP94" s="3209"/>
      <c r="AQ94" s="3226"/>
      <c r="AR94" s="3208"/>
      <c r="AS94" s="3208"/>
      <c r="AT94" s="3209"/>
      <c r="AU94" s="3226"/>
      <c r="AV94" s="3208"/>
      <c r="AW94" s="3208"/>
      <c r="AX94" s="3209"/>
      <c r="AY94" s="3226"/>
      <c r="AZ94" s="3208"/>
      <c r="BA94" s="3208"/>
      <c r="BB94" s="3209"/>
      <c r="BC94" s="3226"/>
      <c r="BD94" s="3208"/>
      <c r="BE94" s="3208"/>
      <c r="BF94" s="3209"/>
      <c r="BG94" s="3226"/>
      <c r="BH94" s="3208"/>
      <c r="BI94" s="3208">
        <f>SUM(BI91:BI93)</f>
        <v>2</v>
      </c>
      <c r="BJ94" s="3209">
        <f>SUM(BJ91:BJ93)</f>
        <v>2</v>
      </c>
      <c r="BK94" s="3226"/>
      <c r="BL94" s="3208"/>
      <c r="BM94" s="3208">
        <f>SUM(BM91:BM93)</f>
        <v>2</v>
      </c>
      <c r="BN94" s="3209">
        <f>SUM(BN91:BN93)</f>
        <v>2</v>
      </c>
      <c r="BO94" s="3226"/>
      <c r="BP94" s="3208"/>
      <c r="BQ94" s="3208">
        <f>SUM(BQ91:BQ93)</f>
        <v>0</v>
      </c>
      <c r="BR94" s="3209">
        <f>SUM(BR91:BR93)</f>
        <v>0</v>
      </c>
      <c r="BS94" s="3226"/>
      <c r="BT94" s="3208"/>
      <c r="BU94" s="3208">
        <f>SUM(BU91:BU93)</f>
        <v>0</v>
      </c>
      <c r="BV94" s="3209">
        <f>SUM(BV91:BV93)</f>
        <v>0</v>
      </c>
      <c r="BW94" s="5086"/>
      <c r="BX94" s="5087"/>
      <c r="BY94" s="5087">
        <f t="shared" ref="BY94:CD94" si="110">SUM(BY91:BY93)</f>
        <v>0</v>
      </c>
      <c r="BZ94" s="5088">
        <f t="shared" si="110"/>
        <v>0</v>
      </c>
      <c r="CA94" s="5093">
        <f t="shared" si="110"/>
        <v>0</v>
      </c>
      <c r="CB94" s="5094">
        <f t="shared" si="110"/>
        <v>0</v>
      </c>
      <c r="CC94" s="5094">
        <f t="shared" si="110"/>
        <v>0</v>
      </c>
      <c r="CD94" s="5095">
        <f t="shared" si="110"/>
        <v>0</v>
      </c>
    </row>
    <row r="95" spans="1:82" x14ac:dyDescent="0.3">
      <c r="A95" s="3159"/>
      <c r="B95" s="3104"/>
      <c r="C95" s="3104"/>
      <c r="D95" s="3104"/>
      <c r="E95" s="3104"/>
      <c r="F95" s="3104"/>
      <c r="G95" s="3104"/>
      <c r="H95" s="3104"/>
      <c r="I95" s="3104"/>
      <c r="J95" s="3104"/>
      <c r="K95" s="3104"/>
      <c r="L95" s="3104"/>
      <c r="M95" s="3104"/>
      <c r="N95" s="3104"/>
      <c r="O95" s="3104"/>
      <c r="P95" s="3104"/>
      <c r="Q95" s="3104"/>
      <c r="R95" s="3104"/>
      <c r="S95" s="3104"/>
      <c r="T95" s="3104"/>
      <c r="U95" s="3104"/>
      <c r="V95" s="3104"/>
      <c r="W95" s="3104"/>
      <c r="X95" s="3104"/>
      <c r="Y95" s="3104"/>
      <c r="Z95" s="3104"/>
      <c r="AA95" s="3104"/>
      <c r="AB95" s="3104"/>
      <c r="AC95" s="3104"/>
      <c r="AD95" s="3104"/>
      <c r="AE95" s="3104"/>
      <c r="AF95" s="3104"/>
      <c r="AG95" s="3104"/>
      <c r="AH95" s="3104"/>
      <c r="AI95" s="3104"/>
      <c r="AJ95" s="3104"/>
      <c r="AK95" s="3104"/>
      <c r="AL95" s="3104"/>
      <c r="AM95" s="3227"/>
      <c r="AN95" s="3104"/>
      <c r="AO95" s="3104"/>
      <c r="AP95" s="3104"/>
      <c r="AQ95" s="3227"/>
      <c r="AR95" s="3104"/>
      <c r="AS95" s="3104"/>
      <c r="AT95" s="3104"/>
      <c r="AU95" s="3227"/>
      <c r="AV95" s="3104"/>
      <c r="AW95" s="3104"/>
      <c r="AX95" s="3104"/>
      <c r="AY95" s="3227"/>
      <c r="AZ95" s="3104"/>
      <c r="BA95" s="3104"/>
      <c r="BB95" s="3104"/>
      <c r="BC95" s="3227"/>
      <c r="BD95" s="3104"/>
      <c r="BE95" s="3104"/>
      <c r="BF95" s="3104"/>
      <c r="BG95" s="3227"/>
      <c r="BH95" s="3104"/>
      <c r="BI95" s="3104"/>
      <c r="BJ95" s="3104"/>
      <c r="BK95" s="3227"/>
      <c r="BL95" s="3104"/>
      <c r="BM95" s="3104"/>
      <c r="BN95" s="3104"/>
      <c r="BO95" s="3227"/>
      <c r="BP95" s="3104"/>
      <c r="BQ95" s="3104"/>
      <c r="BR95" s="3104"/>
      <c r="BS95" s="3227"/>
      <c r="BT95" s="3104"/>
      <c r="BU95" s="3104"/>
      <c r="BV95" s="3104"/>
      <c r="BW95" s="3227"/>
      <c r="BX95" s="3104"/>
      <c r="BY95" s="3104"/>
      <c r="BZ95" s="3104"/>
      <c r="CA95" s="3227"/>
      <c r="CB95" s="3104"/>
      <c r="CC95" s="3104"/>
      <c r="CD95" s="3104"/>
    </row>
    <row r="96" spans="1:82" ht="15" customHeight="1" x14ac:dyDescent="0.3">
      <c r="A96" s="3159"/>
      <c r="B96" s="3105" t="s">
        <v>64</v>
      </c>
      <c r="C96" s="3166"/>
      <c r="D96" s="3167">
        <v>16</v>
      </c>
      <c r="E96" s="3167">
        <v>20</v>
      </c>
      <c r="F96" s="3168">
        <v>36</v>
      </c>
      <c r="G96" s="3166"/>
      <c r="H96" s="3167">
        <v>11</v>
      </c>
      <c r="I96" s="3167">
        <v>21</v>
      </c>
      <c r="J96" s="3168">
        <v>32</v>
      </c>
      <c r="K96" s="3166"/>
      <c r="L96" s="3167">
        <v>13</v>
      </c>
      <c r="M96" s="3167">
        <v>21</v>
      </c>
      <c r="N96" s="3169">
        <v>34</v>
      </c>
      <c r="O96" s="3166"/>
      <c r="P96" s="3167">
        <v>19</v>
      </c>
      <c r="Q96" s="3167">
        <v>21</v>
      </c>
      <c r="R96" s="3168">
        <v>40</v>
      </c>
      <c r="S96" s="3167"/>
      <c r="T96" s="3167">
        <v>15</v>
      </c>
      <c r="U96" s="3167">
        <v>22</v>
      </c>
      <c r="V96" s="3168">
        <v>37</v>
      </c>
      <c r="W96" s="3167"/>
      <c r="X96" s="3167">
        <v>14</v>
      </c>
      <c r="Y96" s="3167">
        <v>20</v>
      </c>
      <c r="Z96" s="3168">
        <v>34</v>
      </c>
      <c r="AA96" s="3167"/>
      <c r="AB96" s="3167">
        <v>16</v>
      </c>
      <c r="AC96" s="3167">
        <v>17</v>
      </c>
      <c r="AD96" s="3168">
        <f>SUM(AA96:AC96)</f>
        <v>33</v>
      </c>
      <c r="AE96" s="3167"/>
      <c r="AF96" s="3167">
        <v>17</v>
      </c>
      <c r="AG96" s="3167">
        <v>16</v>
      </c>
      <c r="AH96" s="3168">
        <f>SUM(AE96:AG96)</f>
        <v>33</v>
      </c>
      <c r="AI96" s="3167"/>
      <c r="AJ96" s="3167">
        <v>15</v>
      </c>
      <c r="AK96" s="3167">
        <v>16</v>
      </c>
      <c r="AL96" s="3168">
        <f>SUM(AI96:AK96)</f>
        <v>31</v>
      </c>
      <c r="AM96" s="3167"/>
      <c r="AN96" s="3167">
        <v>11</v>
      </c>
      <c r="AO96" s="3167">
        <v>15</v>
      </c>
      <c r="AP96" s="3168">
        <f>SUM(AM96:AO96)</f>
        <v>26</v>
      </c>
      <c r="AQ96" s="3167"/>
      <c r="AR96" s="3167">
        <v>8</v>
      </c>
      <c r="AS96" s="3167">
        <v>15</v>
      </c>
      <c r="AT96" s="3168">
        <f>SUM(AQ96:AS96)</f>
        <v>23</v>
      </c>
      <c r="AU96" s="3167"/>
      <c r="AV96" s="3167">
        <v>8</v>
      </c>
      <c r="AW96" s="3167">
        <v>15</v>
      </c>
      <c r="AX96" s="3168">
        <f>SUM(AU96:AW96)</f>
        <v>23</v>
      </c>
      <c r="AY96" s="3167">
        <v>0</v>
      </c>
      <c r="AZ96" s="3167">
        <v>9</v>
      </c>
      <c r="BA96" s="3167">
        <v>15</v>
      </c>
      <c r="BB96" s="3168">
        <f>SUM(AY96:BA96)</f>
        <v>24</v>
      </c>
      <c r="BC96" s="3167">
        <v>0</v>
      </c>
      <c r="BD96" s="3167">
        <v>10</v>
      </c>
      <c r="BE96" s="3167">
        <v>16</v>
      </c>
      <c r="BF96" s="3168">
        <f>SUM(BC96:BE96)</f>
        <v>26</v>
      </c>
      <c r="BG96" s="3167"/>
      <c r="BH96" s="3167">
        <v>12</v>
      </c>
      <c r="BI96" s="3167">
        <v>14</v>
      </c>
      <c r="BJ96" s="3168">
        <f>SUM(BG96:BI96)</f>
        <v>26</v>
      </c>
      <c r="BK96" s="3167"/>
      <c r="BL96" s="3167">
        <v>14</v>
      </c>
      <c r="BM96" s="3167">
        <v>13</v>
      </c>
      <c r="BN96" s="3168">
        <f>SUM(BK96:BM96)</f>
        <v>27</v>
      </c>
      <c r="BO96" s="3167"/>
      <c r="BP96" s="3167">
        <v>15</v>
      </c>
      <c r="BQ96" s="3167">
        <v>13</v>
      </c>
      <c r="BR96" s="3168">
        <f>SUM(BO96:BQ96)</f>
        <v>28</v>
      </c>
      <c r="BS96" s="3167"/>
      <c r="BT96" s="3167">
        <v>14</v>
      </c>
      <c r="BU96" s="3167">
        <v>11</v>
      </c>
      <c r="BV96" s="3168">
        <f>SUM(BS96:BU96)</f>
        <v>25</v>
      </c>
      <c r="BW96" s="3167">
        <v>0</v>
      </c>
      <c r="BX96" s="3167">
        <v>13</v>
      </c>
      <c r="BY96" s="3167">
        <v>11</v>
      </c>
      <c r="BZ96" s="3168">
        <f>SUM(BW96:BY96)</f>
        <v>24</v>
      </c>
      <c r="CA96" s="3167">
        <v>0</v>
      </c>
      <c r="CB96" s="3167">
        <v>12</v>
      </c>
      <c r="CC96" s="3167">
        <v>11</v>
      </c>
      <c r="CD96" s="3168">
        <f>SUM(CA96:CC96)</f>
        <v>23</v>
      </c>
    </row>
    <row r="97" spans="1:82" ht="15" customHeight="1" x14ac:dyDescent="0.3">
      <c r="A97" s="3159"/>
      <c r="B97" s="3110" t="s">
        <v>92</v>
      </c>
      <c r="C97" s="3170">
        <v>1</v>
      </c>
      <c r="D97" s="3171">
        <v>6</v>
      </c>
      <c r="E97" s="3171">
        <v>19</v>
      </c>
      <c r="F97" s="3172">
        <v>26</v>
      </c>
      <c r="G97" s="3170"/>
      <c r="H97" s="3171">
        <v>8</v>
      </c>
      <c r="I97" s="3171">
        <v>19</v>
      </c>
      <c r="J97" s="3172">
        <v>27</v>
      </c>
      <c r="K97" s="3170"/>
      <c r="L97" s="3171">
        <v>10</v>
      </c>
      <c r="M97" s="3171">
        <v>19</v>
      </c>
      <c r="N97" s="3173">
        <v>29</v>
      </c>
      <c r="O97" s="3170"/>
      <c r="P97" s="3171">
        <v>11</v>
      </c>
      <c r="Q97" s="3171">
        <v>19</v>
      </c>
      <c r="R97" s="3172">
        <v>30</v>
      </c>
      <c r="S97" s="3171"/>
      <c r="T97" s="3171">
        <v>10</v>
      </c>
      <c r="U97" s="3171">
        <v>19</v>
      </c>
      <c r="V97" s="3172">
        <v>29</v>
      </c>
      <c r="W97" s="3171"/>
      <c r="X97" s="3171">
        <v>13</v>
      </c>
      <c r="Y97" s="3171">
        <v>19</v>
      </c>
      <c r="Z97" s="3172">
        <v>32</v>
      </c>
      <c r="AA97" s="3171"/>
      <c r="AB97" s="3171">
        <v>14</v>
      </c>
      <c r="AC97" s="3171">
        <v>19</v>
      </c>
      <c r="AD97" s="3172">
        <f>SUM(AA97:AC97)</f>
        <v>33</v>
      </c>
      <c r="AE97" s="3171"/>
      <c r="AF97" s="3171">
        <v>14</v>
      </c>
      <c r="AG97" s="3171">
        <v>18</v>
      </c>
      <c r="AH97" s="3172">
        <f>SUM(AE97:AG97)</f>
        <v>32</v>
      </c>
      <c r="AI97" s="3171"/>
      <c r="AJ97" s="3171">
        <v>14</v>
      </c>
      <c r="AK97" s="3171">
        <v>17</v>
      </c>
      <c r="AL97" s="3172">
        <f>SUM(AI97:AK97)</f>
        <v>31</v>
      </c>
      <c r="AM97" s="3171"/>
      <c r="AN97" s="3171">
        <v>12</v>
      </c>
      <c r="AO97" s="3171">
        <v>16</v>
      </c>
      <c r="AP97" s="3172">
        <f>SUM(AM97:AO97)</f>
        <v>28</v>
      </c>
      <c r="AQ97" s="3171"/>
      <c r="AR97" s="3171">
        <v>17</v>
      </c>
      <c r="AS97" s="3171">
        <v>16</v>
      </c>
      <c r="AT97" s="3172">
        <f>SUM(AQ97:AS97)</f>
        <v>33</v>
      </c>
      <c r="AU97" s="3171"/>
      <c r="AV97" s="3171">
        <v>22</v>
      </c>
      <c r="AW97" s="3171">
        <v>16</v>
      </c>
      <c r="AX97" s="3172">
        <f>SUM(AU97:AW97)</f>
        <v>38</v>
      </c>
      <c r="AY97" s="3171">
        <v>0</v>
      </c>
      <c r="AZ97" s="3171">
        <v>22</v>
      </c>
      <c r="BA97" s="3171">
        <v>15</v>
      </c>
      <c r="BB97" s="3172">
        <f>SUM(AY97:BA97)</f>
        <v>37</v>
      </c>
      <c r="BC97" s="3171">
        <v>0</v>
      </c>
      <c r="BD97" s="3171">
        <v>22</v>
      </c>
      <c r="BE97" s="3171">
        <v>15</v>
      </c>
      <c r="BF97" s="3172">
        <f>SUM(BC97:BE97)</f>
        <v>37</v>
      </c>
      <c r="BG97" s="3171"/>
      <c r="BH97" s="3171">
        <v>19</v>
      </c>
      <c r="BI97" s="3171">
        <v>13</v>
      </c>
      <c r="BJ97" s="3172">
        <f>SUM(BG97:BI97)</f>
        <v>32</v>
      </c>
      <c r="BK97" s="3171"/>
      <c r="BL97" s="3171">
        <v>20</v>
      </c>
      <c r="BM97" s="3171">
        <v>12</v>
      </c>
      <c r="BN97" s="3172">
        <f>SUM(BK97:BM97)</f>
        <v>32</v>
      </c>
      <c r="BO97" s="3171"/>
      <c r="BP97" s="3171">
        <v>19</v>
      </c>
      <c r="BQ97" s="3171">
        <v>12</v>
      </c>
      <c r="BR97" s="3172">
        <f>SUM(BO97:BQ97)</f>
        <v>31</v>
      </c>
      <c r="BS97" s="3171"/>
      <c r="BT97" s="3171">
        <v>20</v>
      </c>
      <c r="BU97" s="3171">
        <v>12</v>
      </c>
      <c r="BV97" s="3172">
        <f>SUM(BS97:BU97)</f>
        <v>32</v>
      </c>
      <c r="BW97" s="3171">
        <v>0</v>
      </c>
      <c r="BX97" s="3171">
        <v>20</v>
      </c>
      <c r="BY97" s="3171">
        <v>12</v>
      </c>
      <c r="BZ97" s="3172">
        <f>SUM(BW97:BY97)</f>
        <v>32</v>
      </c>
      <c r="CA97" s="3171">
        <v>0</v>
      </c>
      <c r="CB97" s="3171">
        <v>19</v>
      </c>
      <c r="CC97" s="3171">
        <v>11</v>
      </c>
      <c r="CD97" s="3172">
        <f>SUM(CA97:CC97)</f>
        <v>30</v>
      </c>
    </row>
    <row r="98" spans="1:82" ht="15" customHeight="1" x14ac:dyDescent="0.3">
      <c r="A98" s="3159"/>
      <c r="B98" s="3110" t="s">
        <v>68</v>
      </c>
      <c r="C98" s="3170"/>
      <c r="D98" s="3171">
        <v>11</v>
      </c>
      <c r="E98" s="3171">
        <v>15</v>
      </c>
      <c r="F98" s="3172">
        <v>26</v>
      </c>
      <c r="G98" s="3170"/>
      <c r="H98" s="3171">
        <v>7</v>
      </c>
      <c r="I98" s="3171">
        <v>17</v>
      </c>
      <c r="J98" s="3172">
        <v>24</v>
      </c>
      <c r="K98" s="3170"/>
      <c r="L98" s="3171">
        <v>7</v>
      </c>
      <c r="M98" s="3171">
        <v>19</v>
      </c>
      <c r="N98" s="3173">
        <v>26</v>
      </c>
      <c r="O98" s="3170"/>
      <c r="P98" s="3171">
        <v>9</v>
      </c>
      <c r="Q98" s="3171">
        <v>18</v>
      </c>
      <c r="R98" s="3172">
        <v>27</v>
      </c>
      <c r="S98" s="3171"/>
      <c r="T98" s="3171">
        <v>7</v>
      </c>
      <c r="U98" s="3171">
        <v>19</v>
      </c>
      <c r="V98" s="3172">
        <v>26</v>
      </c>
      <c r="W98" s="3171"/>
      <c r="X98" s="3171">
        <v>7</v>
      </c>
      <c r="Y98" s="3171">
        <v>19</v>
      </c>
      <c r="Z98" s="3172">
        <v>26</v>
      </c>
      <c r="AA98" s="3171"/>
      <c r="AB98" s="3171">
        <v>9</v>
      </c>
      <c r="AC98" s="3171">
        <v>22</v>
      </c>
      <c r="AD98" s="3172">
        <f>SUM(AA98:AC98)</f>
        <v>31</v>
      </c>
      <c r="AE98" s="3171"/>
      <c r="AF98" s="3171">
        <v>10</v>
      </c>
      <c r="AG98" s="3171">
        <v>19</v>
      </c>
      <c r="AH98" s="3172">
        <f>SUM(AE98:AG98)</f>
        <v>29</v>
      </c>
      <c r="AI98" s="3171"/>
      <c r="AJ98" s="3171">
        <v>12</v>
      </c>
      <c r="AK98" s="3171">
        <v>20</v>
      </c>
      <c r="AL98" s="3172">
        <f>SUM(AI98:AK98)</f>
        <v>32</v>
      </c>
      <c r="AM98" s="3171"/>
      <c r="AN98" s="3171">
        <v>12</v>
      </c>
      <c r="AO98" s="3171">
        <v>20</v>
      </c>
      <c r="AP98" s="3172">
        <f>SUM(AM98:AO98)</f>
        <v>32</v>
      </c>
      <c r="AQ98" s="3171"/>
      <c r="AR98" s="3171">
        <v>12</v>
      </c>
      <c r="AS98" s="3171">
        <v>19</v>
      </c>
      <c r="AT98" s="3172">
        <f>SUM(AQ98:AS98)</f>
        <v>31</v>
      </c>
      <c r="AU98" s="3171"/>
      <c r="AV98" s="3171">
        <v>14</v>
      </c>
      <c r="AW98" s="3171">
        <v>17</v>
      </c>
      <c r="AX98" s="3172">
        <f>SUM(AU98:AW98)</f>
        <v>31</v>
      </c>
      <c r="AY98" s="3171">
        <v>0</v>
      </c>
      <c r="AZ98" s="3171">
        <v>15</v>
      </c>
      <c r="BA98" s="3171">
        <v>17</v>
      </c>
      <c r="BB98" s="3172">
        <f>SUM(AY98:BA98)</f>
        <v>32</v>
      </c>
      <c r="BC98" s="3171">
        <v>0</v>
      </c>
      <c r="BD98" s="3171">
        <v>11</v>
      </c>
      <c r="BE98" s="3171">
        <v>13</v>
      </c>
      <c r="BF98" s="3172">
        <f>SUM(BC98:BE98)</f>
        <v>24</v>
      </c>
      <c r="BG98" s="3171"/>
      <c r="BH98" s="3171">
        <v>13</v>
      </c>
      <c r="BI98" s="3171">
        <v>14</v>
      </c>
      <c r="BJ98" s="3172">
        <f>SUM(BG98:BI98)</f>
        <v>27</v>
      </c>
      <c r="BK98" s="3171"/>
      <c r="BL98" s="3171">
        <v>12</v>
      </c>
      <c r="BM98" s="3171">
        <v>14</v>
      </c>
      <c r="BN98" s="3172">
        <f>SUM(BK98:BM98)</f>
        <v>26</v>
      </c>
      <c r="BO98" s="3171"/>
      <c r="BP98" s="3171">
        <v>14</v>
      </c>
      <c r="BQ98" s="3171">
        <v>12</v>
      </c>
      <c r="BR98" s="3172">
        <f>SUM(BO98:BQ98)</f>
        <v>26</v>
      </c>
      <c r="BS98" s="3171"/>
      <c r="BT98" s="3171">
        <v>15</v>
      </c>
      <c r="BU98" s="3171">
        <v>11</v>
      </c>
      <c r="BV98" s="3172">
        <f>SUM(BS98:BU98)</f>
        <v>26</v>
      </c>
      <c r="BW98" s="3171">
        <v>0</v>
      </c>
      <c r="BX98" s="3171">
        <v>14</v>
      </c>
      <c r="BY98" s="3171">
        <v>9</v>
      </c>
      <c r="BZ98" s="3172">
        <f>SUM(BW98:BY98)</f>
        <v>23</v>
      </c>
      <c r="CA98" s="3171">
        <v>0</v>
      </c>
      <c r="CB98" s="3171">
        <v>8</v>
      </c>
      <c r="CC98" s="3171">
        <v>11</v>
      </c>
      <c r="CD98" s="3172">
        <f>SUM(CA98:CC98)</f>
        <v>19</v>
      </c>
    </row>
    <row r="99" spans="1:82" ht="15" customHeight="1" x14ac:dyDescent="0.3">
      <c r="A99" s="3159"/>
      <c r="B99" s="3151" t="s">
        <v>137</v>
      </c>
      <c r="C99" s="3212">
        <v>1</v>
      </c>
      <c r="D99" s="3213">
        <v>33</v>
      </c>
      <c r="E99" s="3213">
        <v>54</v>
      </c>
      <c r="F99" s="3214">
        <v>88</v>
      </c>
      <c r="G99" s="3228"/>
      <c r="H99" s="3213">
        <v>26</v>
      </c>
      <c r="I99" s="3213">
        <v>57</v>
      </c>
      <c r="J99" s="3214">
        <v>83</v>
      </c>
      <c r="K99" s="3228"/>
      <c r="L99" s="3213">
        <v>30</v>
      </c>
      <c r="M99" s="3213">
        <v>59</v>
      </c>
      <c r="N99" s="3213">
        <v>89</v>
      </c>
      <c r="O99" s="3228"/>
      <c r="P99" s="3213">
        <v>39</v>
      </c>
      <c r="Q99" s="3213">
        <v>58</v>
      </c>
      <c r="R99" s="3214">
        <v>97</v>
      </c>
      <c r="S99" s="3213"/>
      <c r="T99" s="3213">
        <v>32</v>
      </c>
      <c r="U99" s="3213">
        <v>60</v>
      </c>
      <c r="V99" s="3214">
        <v>92</v>
      </c>
      <c r="W99" s="3212"/>
      <c r="X99" s="3213">
        <v>34</v>
      </c>
      <c r="Y99" s="3213">
        <v>58</v>
      </c>
      <c r="Z99" s="3214">
        <v>92</v>
      </c>
      <c r="AA99" s="3212"/>
      <c r="AB99" s="3213">
        <f t="shared" ref="AB99:AH99" si="111">SUM(AB96:AB98)</f>
        <v>39</v>
      </c>
      <c r="AC99" s="3213">
        <f t="shared" si="111"/>
        <v>58</v>
      </c>
      <c r="AD99" s="3214">
        <f t="shared" si="111"/>
        <v>97</v>
      </c>
      <c r="AE99" s="3212"/>
      <c r="AF99" s="3213">
        <f t="shared" si="111"/>
        <v>41</v>
      </c>
      <c r="AG99" s="3213">
        <f t="shared" si="111"/>
        <v>53</v>
      </c>
      <c r="AH99" s="3214">
        <f t="shared" si="111"/>
        <v>94</v>
      </c>
      <c r="AI99" s="3212"/>
      <c r="AJ99" s="3213">
        <f>SUM(AJ96:AJ98)</f>
        <v>41</v>
      </c>
      <c r="AK99" s="3213">
        <f>SUM(AK96:AK98)</f>
        <v>53</v>
      </c>
      <c r="AL99" s="3214">
        <f>SUM(AL96:AL98)</f>
        <v>94</v>
      </c>
      <c r="AM99" s="3212"/>
      <c r="AN99" s="3213">
        <f>SUM(AN96:AN98)</f>
        <v>35</v>
      </c>
      <c r="AO99" s="3213">
        <f>SUM(AO96:AO98)</f>
        <v>51</v>
      </c>
      <c r="AP99" s="3214">
        <f>SUM(AP96:AP98)</f>
        <v>86</v>
      </c>
      <c r="AQ99" s="3212"/>
      <c r="AR99" s="3213">
        <f>SUM(AR96:AR98)</f>
        <v>37</v>
      </c>
      <c r="AS99" s="3213">
        <f>SUM(AS96:AS98)</f>
        <v>50</v>
      </c>
      <c r="AT99" s="3214">
        <f>SUM(AT96:AT98)</f>
        <v>87</v>
      </c>
      <c r="AU99" s="3212"/>
      <c r="AV99" s="3213">
        <f>SUM(AV96:AV98)</f>
        <v>44</v>
      </c>
      <c r="AW99" s="3213">
        <f>SUM(AW96:AW98)</f>
        <v>48</v>
      </c>
      <c r="AX99" s="3214">
        <f>SUM(AX96:AX98)</f>
        <v>92</v>
      </c>
      <c r="AY99" s="3212"/>
      <c r="AZ99" s="3213">
        <f>SUM(AZ96:AZ98)</f>
        <v>46</v>
      </c>
      <c r="BA99" s="3213">
        <f>SUM(BA96:BA98)</f>
        <v>47</v>
      </c>
      <c r="BB99" s="3214">
        <f>SUM(BB96:BB98)</f>
        <v>93</v>
      </c>
      <c r="BC99" s="3212"/>
      <c r="BD99" s="3213">
        <f>SUM(BD96:BD98)</f>
        <v>43</v>
      </c>
      <c r="BE99" s="3213">
        <f>SUM(BE96:BE98)</f>
        <v>44</v>
      </c>
      <c r="BF99" s="3214">
        <f>SUM(BF96:BF98)</f>
        <v>87</v>
      </c>
      <c r="BG99" s="3212"/>
      <c r="BH99" s="3213">
        <f>SUM(BH96:BH98)</f>
        <v>44</v>
      </c>
      <c r="BI99" s="3213">
        <f>SUM(BI96:BI98)</f>
        <v>41</v>
      </c>
      <c r="BJ99" s="3214">
        <f>SUM(BJ96:BJ98)</f>
        <v>85</v>
      </c>
      <c r="BK99" s="3212"/>
      <c r="BL99" s="3213">
        <f>SUM(BL96:BL98)</f>
        <v>46</v>
      </c>
      <c r="BM99" s="3213">
        <f>SUM(BM96:BM98)</f>
        <v>39</v>
      </c>
      <c r="BN99" s="3214">
        <f>SUM(BN96:BN98)</f>
        <v>85</v>
      </c>
      <c r="BO99" s="3212"/>
      <c r="BP99" s="3213">
        <f>SUM(BP96:BP98)</f>
        <v>48</v>
      </c>
      <c r="BQ99" s="3213">
        <f>SUM(BQ96:BQ98)</f>
        <v>37</v>
      </c>
      <c r="BR99" s="3214">
        <f>SUM(BR96:BR98)</f>
        <v>85</v>
      </c>
      <c r="BS99" s="3212"/>
      <c r="BT99" s="3213">
        <f>SUM(BT96:BT98)</f>
        <v>49</v>
      </c>
      <c r="BU99" s="3213">
        <f>SUM(BU96:BU98)</f>
        <v>34</v>
      </c>
      <c r="BV99" s="3214">
        <f>SUM(BV96:BV98)</f>
        <v>83</v>
      </c>
      <c r="BW99" s="3212"/>
      <c r="BX99" s="3213">
        <f>SUM(BX96:BX98)</f>
        <v>47</v>
      </c>
      <c r="BY99" s="3213">
        <f>SUM(BY96:BY98)</f>
        <v>32</v>
      </c>
      <c r="BZ99" s="3214">
        <f>SUM(BZ96:BZ98)</f>
        <v>79</v>
      </c>
      <c r="CA99" s="3212"/>
      <c r="CB99" s="3213">
        <f>SUM(CB96:CB98)</f>
        <v>39</v>
      </c>
      <c r="CC99" s="3213">
        <f>SUM(CC96:CC98)</f>
        <v>33</v>
      </c>
      <c r="CD99" s="3214">
        <f>SUM(CD96:CD98)</f>
        <v>72</v>
      </c>
    </row>
    <row r="100" spans="1:82" x14ac:dyDescent="0.3">
      <c r="A100" s="3159"/>
      <c r="B100" s="3104"/>
      <c r="C100" s="3104"/>
      <c r="D100" s="3104"/>
      <c r="E100" s="3104"/>
      <c r="F100" s="3104"/>
      <c r="G100" s="3104"/>
      <c r="H100" s="3104"/>
      <c r="I100" s="3104"/>
      <c r="J100" s="3104"/>
      <c r="K100" s="3104"/>
      <c r="L100" s="3104"/>
      <c r="M100" s="3104"/>
      <c r="N100" s="3104"/>
      <c r="O100" s="3104"/>
      <c r="P100" s="3104"/>
      <c r="Q100" s="3104"/>
      <c r="R100" s="3104"/>
      <c r="S100" s="3104"/>
      <c r="T100" s="3104"/>
      <c r="U100" s="3104"/>
      <c r="V100" s="3104"/>
      <c r="W100" s="3104"/>
      <c r="X100" s="3104"/>
      <c r="Y100" s="3104"/>
      <c r="Z100" s="3104"/>
      <c r="AA100" s="3104"/>
      <c r="AB100" s="3104"/>
      <c r="AC100" s="3104"/>
      <c r="AD100" s="3104"/>
      <c r="AE100" s="3104"/>
      <c r="AF100" s="3104"/>
      <c r="AG100" s="3104"/>
      <c r="AH100" s="3104"/>
      <c r="AI100" s="3104"/>
      <c r="AJ100" s="3104"/>
      <c r="AK100" s="3104"/>
      <c r="AL100" s="3104"/>
      <c r="AM100" s="3104"/>
      <c r="AN100" s="3104"/>
      <c r="AO100" s="3104"/>
      <c r="AP100" s="3104"/>
      <c r="AQ100" s="3104"/>
      <c r="AR100" s="3104"/>
      <c r="AS100" s="3104"/>
      <c r="AT100" s="3104"/>
      <c r="AU100" s="3104"/>
      <c r="AV100" s="3104"/>
      <c r="AW100" s="3104"/>
      <c r="AX100" s="3104"/>
      <c r="AY100" s="3104"/>
      <c r="AZ100" s="3104"/>
      <c r="BA100" s="3104"/>
      <c r="BB100" s="3104"/>
      <c r="BC100" s="3104"/>
      <c r="BD100" s="3104"/>
      <c r="BE100" s="3104"/>
      <c r="BF100" s="3104"/>
      <c r="BG100" s="3104"/>
      <c r="BH100" s="3104"/>
      <c r="BI100" s="3104"/>
      <c r="BJ100" s="3104"/>
      <c r="BK100" s="3104"/>
      <c r="BL100" s="3104"/>
      <c r="BM100" s="3104"/>
      <c r="BN100" s="3104"/>
      <c r="BO100" s="3104"/>
      <c r="BP100" s="3104"/>
      <c r="BQ100" s="3104"/>
      <c r="BR100" s="3104"/>
      <c r="BS100" s="3104"/>
      <c r="BT100" s="3104"/>
      <c r="BU100" s="3104"/>
      <c r="BV100" s="3104"/>
      <c r="BW100" s="3104"/>
      <c r="BX100" s="3104"/>
      <c r="BY100" s="3104"/>
      <c r="BZ100" s="3104"/>
      <c r="CA100" s="3104"/>
      <c r="CB100" s="3104"/>
      <c r="CC100" s="3104"/>
      <c r="CD100" s="3104"/>
    </row>
    <row r="101" spans="1:82" ht="24.9" customHeight="1" x14ac:dyDescent="0.3">
      <c r="A101" s="3159"/>
      <c r="B101" s="3155" t="s">
        <v>431</v>
      </c>
      <c r="C101" s="3215">
        <v>12</v>
      </c>
      <c r="D101" s="3216">
        <v>88</v>
      </c>
      <c r="E101" s="3216">
        <v>123</v>
      </c>
      <c r="F101" s="3217">
        <v>223</v>
      </c>
      <c r="G101" s="3215">
        <v>6</v>
      </c>
      <c r="H101" s="3216">
        <v>61</v>
      </c>
      <c r="I101" s="3216">
        <v>146</v>
      </c>
      <c r="J101" s="3217">
        <v>213</v>
      </c>
      <c r="K101" s="3215">
        <v>5</v>
      </c>
      <c r="L101" s="3216">
        <v>67</v>
      </c>
      <c r="M101" s="3216">
        <v>144</v>
      </c>
      <c r="N101" s="3216">
        <v>216</v>
      </c>
      <c r="O101" s="3215">
        <v>6</v>
      </c>
      <c r="P101" s="3216">
        <v>77</v>
      </c>
      <c r="Q101" s="3216">
        <v>149</v>
      </c>
      <c r="R101" s="3217">
        <v>232</v>
      </c>
      <c r="S101" s="3216">
        <v>6</v>
      </c>
      <c r="T101" s="3216">
        <v>71</v>
      </c>
      <c r="U101" s="3216">
        <v>150</v>
      </c>
      <c r="V101" s="3217">
        <v>227</v>
      </c>
      <c r="W101" s="3216">
        <v>6</v>
      </c>
      <c r="X101" s="3216">
        <v>73</v>
      </c>
      <c r="Y101" s="3216">
        <v>142</v>
      </c>
      <c r="Z101" s="3217">
        <v>221</v>
      </c>
      <c r="AA101" s="3216">
        <f t="shared" ref="AA101:BV101" si="112">AA79+AA84+AA89+AA94+AA99</f>
        <v>5</v>
      </c>
      <c r="AB101" s="3216">
        <f t="shared" si="112"/>
        <v>75</v>
      </c>
      <c r="AC101" s="3216">
        <f t="shared" si="112"/>
        <v>145</v>
      </c>
      <c r="AD101" s="3217">
        <f t="shared" si="112"/>
        <v>225</v>
      </c>
      <c r="AE101" s="3216">
        <f t="shared" si="112"/>
        <v>4</v>
      </c>
      <c r="AF101" s="3216">
        <f t="shared" si="112"/>
        <v>78</v>
      </c>
      <c r="AG101" s="3216">
        <f t="shared" si="112"/>
        <v>139</v>
      </c>
      <c r="AH101" s="3217">
        <f t="shared" si="112"/>
        <v>221</v>
      </c>
      <c r="AI101" s="3216">
        <f t="shared" si="112"/>
        <v>4</v>
      </c>
      <c r="AJ101" s="3216">
        <f t="shared" si="112"/>
        <v>73</v>
      </c>
      <c r="AK101" s="3216">
        <f t="shared" si="112"/>
        <v>138</v>
      </c>
      <c r="AL101" s="3217">
        <f t="shared" si="112"/>
        <v>215</v>
      </c>
      <c r="AM101" s="3216">
        <f t="shared" si="112"/>
        <v>4</v>
      </c>
      <c r="AN101" s="3216">
        <f t="shared" si="112"/>
        <v>60</v>
      </c>
      <c r="AO101" s="3216">
        <f t="shared" si="112"/>
        <v>132</v>
      </c>
      <c r="AP101" s="3217">
        <f t="shared" si="112"/>
        <v>196</v>
      </c>
      <c r="AQ101" s="3216">
        <f t="shared" si="112"/>
        <v>4</v>
      </c>
      <c r="AR101" s="3216">
        <f t="shared" si="112"/>
        <v>62</v>
      </c>
      <c r="AS101" s="3216">
        <f t="shared" si="112"/>
        <v>126</v>
      </c>
      <c r="AT101" s="3217">
        <f t="shared" si="112"/>
        <v>192</v>
      </c>
      <c r="AU101" s="3216">
        <f t="shared" si="112"/>
        <v>4</v>
      </c>
      <c r="AV101" s="3216">
        <f t="shared" si="112"/>
        <v>71</v>
      </c>
      <c r="AW101" s="3216">
        <f t="shared" si="112"/>
        <v>119</v>
      </c>
      <c r="AX101" s="3217">
        <f t="shared" si="112"/>
        <v>194</v>
      </c>
      <c r="AY101" s="3216">
        <f t="shared" si="112"/>
        <v>4</v>
      </c>
      <c r="AZ101" s="3216">
        <f t="shared" si="112"/>
        <v>69</v>
      </c>
      <c r="BA101" s="3216">
        <f t="shared" si="112"/>
        <v>114</v>
      </c>
      <c r="BB101" s="3217">
        <f t="shared" si="112"/>
        <v>187</v>
      </c>
      <c r="BC101" s="3216">
        <f t="shared" si="112"/>
        <v>4</v>
      </c>
      <c r="BD101" s="3216">
        <f t="shared" si="112"/>
        <v>68</v>
      </c>
      <c r="BE101" s="3216">
        <f t="shared" si="112"/>
        <v>104</v>
      </c>
      <c r="BF101" s="3217">
        <f t="shared" si="112"/>
        <v>176</v>
      </c>
      <c r="BG101" s="3216">
        <f t="shared" si="112"/>
        <v>4</v>
      </c>
      <c r="BH101" s="3216">
        <f t="shared" si="112"/>
        <v>67</v>
      </c>
      <c r="BI101" s="3216">
        <f t="shared" si="112"/>
        <v>98</v>
      </c>
      <c r="BJ101" s="3217">
        <f t="shared" si="112"/>
        <v>169</v>
      </c>
      <c r="BK101" s="3216">
        <f t="shared" si="112"/>
        <v>5</v>
      </c>
      <c r="BL101" s="3216">
        <f t="shared" si="112"/>
        <v>72</v>
      </c>
      <c r="BM101" s="3216">
        <f t="shared" si="112"/>
        <v>91</v>
      </c>
      <c r="BN101" s="3217">
        <f t="shared" si="112"/>
        <v>168</v>
      </c>
      <c r="BO101" s="3216">
        <f t="shared" si="112"/>
        <v>4</v>
      </c>
      <c r="BP101" s="3216">
        <f t="shared" si="112"/>
        <v>70</v>
      </c>
      <c r="BQ101" s="3216">
        <f t="shared" si="112"/>
        <v>86</v>
      </c>
      <c r="BR101" s="3217">
        <f t="shared" si="112"/>
        <v>160</v>
      </c>
      <c r="BS101" s="3216">
        <f t="shared" si="112"/>
        <v>4</v>
      </c>
      <c r="BT101" s="3216">
        <f t="shared" si="112"/>
        <v>71</v>
      </c>
      <c r="BU101" s="3216">
        <f t="shared" si="112"/>
        <v>83</v>
      </c>
      <c r="BV101" s="3217">
        <f t="shared" si="112"/>
        <v>158</v>
      </c>
      <c r="BW101" s="3216">
        <f t="shared" ref="BW101:BZ101" si="113">BW79+BW84+BW89+BW94+BW99</f>
        <v>4</v>
      </c>
      <c r="BX101" s="3216">
        <f t="shared" si="113"/>
        <v>69</v>
      </c>
      <c r="BY101" s="3216">
        <f t="shared" si="113"/>
        <v>80</v>
      </c>
      <c r="BZ101" s="3217">
        <f t="shared" si="113"/>
        <v>153</v>
      </c>
      <c r="CA101" s="3216">
        <f t="shared" ref="CA101:CD101" si="114">CA79+CA84+CA89+CA94+CA99</f>
        <v>4</v>
      </c>
      <c r="CB101" s="3216">
        <f t="shared" si="114"/>
        <v>60</v>
      </c>
      <c r="CC101" s="3216">
        <f t="shared" si="114"/>
        <v>77</v>
      </c>
      <c r="CD101" s="3217">
        <f t="shared" si="114"/>
        <v>141</v>
      </c>
    </row>
    <row r="102" spans="1:82" x14ac:dyDescent="0.3">
      <c r="A102" s="3159"/>
      <c r="B102" s="3159" t="s">
        <v>768</v>
      </c>
      <c r="C102" s="3104"/>
      <c r="D102" s="3104"/>
      <c r="E102" s="3104"/>
      <c r="F102" s="3104"/>
      <c r="G102" s="3104"/>
      <c r="H102" s="3104"/>
      <c r="I102" s="3104"/>
      <c r="J102" s="3104"/>
      <c r="K102" s="3104"/>
      <c r="L102" s="3104"/>
      <c r="M102" s="3104"/>
      <c r="N102" s="3104"/>
      <c r="O102" s="3104"/>
      <c r="P102" s="3104"/>
      <c r="Q102" s="3104"/>
      <c r="R102" s="3104"/>
      <c r="S102" s="3104"/>
      <c r="T102" s="3104"/>
      <c r="U102" s="3104"/>
      <c r="V102" s="3104"/>
      <c r="W102" s="3104"/>
      <c r="X102" s="3104"/>
      <c r="Y102" s="3104"/>
      <c r="Z102" s="3104"/>
      <c r="AA102" s="3104"/>
      <c r="AB102" s="3104"/>
      <c r="AC102" s="3104"/>
      <c r="AD102" s="3104"/>
      <c r="AE102" s="3104"/>
      <c r="AF102" s="3104"/>
      <c r="AG102" s="3104"/>
      <c r="AH102" s="3104"/>
      <c r="AI102" s="3104"/>
      <c r="AJ102" s="3104"/>
      <c r="AK102" s="3104"/>
      <c r="AL102" s="3104"/>
      <c r="AM102" s="3104"/>
      <c r="AN102" s="3104"/>
      <c r="AO102" s="3104"/>
      <c r="AP102" s="3104"/>
      <c r="AQ102" s="3104"/>
      <c r="AR102" s="3104"/>
      <c r="AS102" s="3104"/>
      <c r="AT102" s="3104"/>
      <c r="AU102" s="3104"/>
      <c r="AV102" s="3104"/>
      <c r="AW102" s="3104"/>
      <c r="AX102" s="3104"/>
      <c r="AY102" s="3104"/>
      <c r="AZ102" s="3104"/>
      <c r="BA102" s="3104"/>
      <c r="BB102" s="3104"/>
    </row>
    <row r="103" spans="1:82" x14ac:dyDescent="0.3">
      <c r="A103" s="3159"/>
      <c r="B103" s="3159" t="s">
        <v>765</v>
      </c>
      <c r="C103" s="3104"/>
      <c r="D103" s="3104"/>
      <c r="E103" s="3104"/>
      <c r="F103" s="3104"/>
      <c r="G103" s="3104"/>
      <c r="H103" s="3104"/>
      <c r="I103" s="3104"/>
      <c r="J103" s="3104"/>
      <c r="K103" s="3104"/>
      <c r="L103" s="3104"/>
      <c r="M103" s="3104"/>
      <c r="N103" s="3104"/>
      <c r="O103" s="3104"/>
      <c r="P103" s="3104"/>
      <c r="Q103" s="3104"/>
      <c r="R103" s="3104"/>
      <c r="S103" s="3104"/>
      <c r="T103" s="3104"/>
      <c r="U103" s="3104"/>
      <c r="V103" s="3104"/>
      <c r="W103" s="3104"/>
      <c r="X103" s="3104"/>
      <c r="Y103" s="3104"/>
      <c r="Z103" s="3104"/>
      <c r="AA103" s="3104"/>
      <c r="AB103" s="3104"/>
      <c r="AC103" s="3104"/>
      <c r="AD103" s="3104"/>
      <c r="AE103" s="3104"/>
      <c r="AF103" s="3104"/>
      <c r="AG103" s="3104"/>
      <c r="AH103" s="3104"/>
      <c r="AI103" s="3104"/>
      <c r="AJ103" s="3104"/>
      <c r="AK103" s="3104"/>
      <c r="AL103" s="3104"/>
      <c r="AM103" s="3104"/>
      <c r="AN103" s="3104"/>
      <c r="AO103" s="3104"/>
      <c r="AP103" s="3104"/>
      <c r="AQ103" s="3104"/>
      <c r="AR103" s="3104"/>
      <c r="AS103" s="3104"/>
      <c r="AT103" s="3104"/>
      <c r="AU103" s="3104"/>
      <c r="AV103" s="3104"/>
      <c r="AW103" s="3104"/>
      <c r="AX103" s="3104"/>
      <c r="AY103" s="3104"/>
      <c r="AZ103" s="3104"/>
      <c r="BA103" s="3104"/>
      <c r="BB103" s="3104"/>
    </row>
    <row r="104" spans="1:82" x14ac:dyDescent="0.3">
      <c r="A104" s="3159"/>
      <c r="B104" s="3104"/>
      <c r="C104" s="3104"/>
      <c r="D104" s="3104"/>
      <c r="E104" s="3104"/>
      <c r="F104" s="3104"/>
      <c r="G104" s="3104"/>
      <c r="H104" s="3104"/>
      <c r="I104" s="3104"/>
      <c r="J104" s="3104"/>
      <c r="K104" s="3104"/>
      <c r="L104" s="3104"/>
      <c r="M104" s="3104"/>
      <c r="N104" s="3104"/>
      <c r="O104" s="3104"/>
      <c r="P104" s="3104"/>
      <c r="Q104" s="3104"/>
      <c r="R104" s="3104"/>
      <c r="S104" s="3104"/>
      <c r="T104" s="3104"/>
      <c r="U104" s="3104"/>
      <c r="V104" s="3104"/>
      <c r="W104" s="3104"/>
      <c r="X104" s="3104"/>
      <c r="Y104" s="3104"/>
      <c r="Z104" s="3104"/>
      <c r="AA104" s="3104"/>
      <c r="AB104" s="3104"/>
      <c r="AC104" s="3104"/>
      <c r="AD104" s="3104"/>
      <c r="AE104" s="3104"/>
      <c r="AF104" s="3104"/>
      <c r="AG104" s="3104"/>
      <c r="AH104" s="3104"/>
      <c r="AI104" s="3104"/>
      <c r="AJ104" s="3104"/>
      <c r="AK104" s="3104"/>
      <c r="AL104" s="3104"/>
      <c r="AM104" s="3104"/>
      <c r="AN104" s="3104"/>
      <c r="AO104" s="3104"/>
      <c r="AP104" s="3104"/>
      <c r="AQ104" s="3104"/>
      <c r="AR104" s="3104"/>
      <c r="AS104" s="3104"/>
      <c r="AT104" s="3104"/>
      <c r="AU104" s="3104"/>
      <c r="AV104" s="3104"/>
      <c r="AW104" s="3104"/>
      <c r="AX104" s="3104"/>
      <c r="AY104" s="3104"/>
      <c r="AZ104" s="3104"/>
      <c r="BA104" s="3104"/>
      <c r="BB104" s="3104"/>
    </row>
    <row r="105" spans="1:82" x14ac:dyDescent="0.3">
      <c r="A105" s="3159"/>
      <c r="B105" s="3161"/>
      <c r="C105" s="3161"/>
      <c r="D105" s="3161"/>
      <c r="E105" s="3161"/>
      <c r="F105" s="3161"/>
      <c r="G105" s="3161"/>
      <c r="H105" s="3161"/>
      <c r="I105" s="3161"/>
      <c r="J105" s="3161"/>
      <c r="K105" s="3161"/>
      <c r="L105" s="3161"/>
      <c r="M105" s="3161"/>
      <c r="N105" s="3161"/>
      <c r="O105" s="3161"/>
      <c r="P105" s="3161"/>
      <c r="Q105" s="3161"/>
      <c r="R105" s="3161"/>
      <c r="S105" s="3161"/>
      <c r="T105" s="3161"/>
      <c r="U105" s="3161"/>
      <c r="V105" s="3161"/>
      <c r="W105" s="3161"/>
      <c r="X105" s="3161"/>
      <c r="Y105" s="3161"/>
      <c r="Z105" s="3161"/>
      <c r="AA105" s="3104"/>
      <c r="AB105" s="3104"/>
      <c r="AC105" s="3104"/>
      <c r="AD105" s="3104"/>
      <c r="AE105" s="3104"/>
      <c r="AF105" s="3104"/>
      <c r="AG105" s="3104"/>
      <c r="AH105" s="3104"/>
      <c r="AI105" s="3104"/>
      <c r="AJ105" s="3104"/>
      <c r="AK105" s="3104"/>
      <c r="AL105" s="3104"/>
      <c r="AM105" s="3104"/>
      <c r="AN105" s="3104"/>
      <c r="AO105" s="3104"/>
      <c r="AP105" s="3104"/>
      <c r="AQ105" s="3104"/>
      <c r="AR105" s="3104"/>
      <c r="AS105" s="3104"/>
      <c r="AT105" s="3104"/>
      <c r="AU105" s="3104"/>
      <c r="AV105" s="3104"/>
      <c r="AW105" s="3104"/>
      <c r="AX105" s="3104"/>
      <c r="AY105" s="3104"/>
      <c r="AZ105" s="3104"/>
      <c r="BA105" s="3104"/>
      <c r="BB105" s="3104"/>
    </row>
    <row r="106" spans="1:82" ht="46.8" x14ac:dyDescent="0.35">
      <c r="A106" s="3159"/>
      <c r="B106" s="3162" t="s">
        <v>771</v>
      </c>
      <c r="D106" s="3218"/>
      <c r="E106" s="3218"/>
      <c r="F106" s="3218"/>
      <c r="G106" s="3218"/>
      <c r="H106" s="3218"/>
      <c r="I106" s="3218"/>
      <c r="J106" s="3218"/>
      <c r="K106" s="3218"/>
      <c r="L106" s="3218"/>
      <c r="M106" s="3218"/>
      <c r="N106" s="3218"/>
      <c r="O106" s="3218"/>
      <c r="P106" s="3218"/>
      <c r="Q106" s="3218"/>
      <c r="R106" s="3218"/>
      <c r="S106" s="3218"/>
      <c r="T106" s="3218"/>
      <c r="U106" s="3218"/>
      <c r="V106" s="3218"/>
      <c r="W106" s="3218"/>
      <c r="X106" s="3218"/>
      <c r="Y106" s="3218"/>
      <c r="Z106" s="3218"/>
      <c r="AB106" s="3218"/>
      <c r="AC106" s="3218"/>
      <c r="AD106" s="3218"/>
      <c r="AE106" s="3218"/>
      <c r="AF106" s="3218"/>
      <c r="AG106" s="3218"/>
      <c r="AH106" s="3218"/>
      <c r="AI106" s="3218"/>
      <c r="AJ106" s="3218"/>
      <c r="AK106" s="3218"/>
      <c r="AL106" s="3218"/>
      <c r="AM106" s="3218"/>
      <c r="AN106" s="3218"/>
      <c r="AO106" s="3218"/>
      <c r="AP106" s="3218"/>
      <c r="AQ106" s="3218"/>
      <c r="AR106" s="3218"/>
      <c r="AS106" s="3218"/>
      <c r="AT106" s="3218"/>
      <c r="AU106" s="3218"/>
      <c r="AV106" s="3218"/>
      <c r="AW106" s="3218"/>
      <c r="AX106" s="3164"/>
      <c r="AY106" s="3218"/>
      <c r="AZ106" s="3218"/>
      <c r="BA106" s="3218"/>
      <c r="BF106" s="3229"/>
    </row>
    <row r="107" spans="1:82" ht="18" x14ac:dyDescent="0.35">
      <c r="A107" s="3159"/>
      <c r="B107" s="3104"/>
      <c r="C107" s="3104"/>
      <c r="D107" s="3104"/>
      <c r="E107" s="3104"/>
      <c r="F107" s="3104"/>
      <c r="G107" s="3104"/>
      <c r="H107" s="3104"/>
      <c r="I107" s="3104"/>
      <c r="J107" s="3104"/>
      <c r="K107" s="3104"/>
      <c r="L107" s="3104"/>
      <c r="M107" s="3104"/>
      <c r="N107" s="3104"/>
      <c r="O107" s="3104"/>
      <c r="P107" s="3104"/>
      <c r="Q107" s="3104"/>
      <c r="R107" s="3104"/>
      <c r="S107" s="3104"/>
      <c r="T107" s="3104"/>
      <c r="U107" s="3104"/>
      <c r="V107" s="3104"/>
      <c r="W107" s="3104"/>
      <c r="X107" s="3104"/>
      <c r="Y107" s="3104"/>
      <c r="Z107" s="3104"/>
      <c r="AA107" s="3104"/>
      <c r="AB107" s="3104"/>
      <c r="AC107" s="3104"/>
      <c r="AD107" s="3104"/>
      <c r="AE107" s="3104"/>
      <c r="AF107" s="3104"/>
      <c r="AG107" s="3104"/>
      <c r="AH107" s="3104"/>
      <c r="AI107" s="3104"/>
      <c r="AJ107" s="3104"/>
      <c r="AK107" s="3104"/>
      <c r="AL107" s="3104"/>
      <c r="AM107" s="3104"/>
      <c r="AN107" s="3104"/>
      <c r="AO107" s="3104"/>
      <c r="AP107" s="3104"/>
      <c r="AQ107" s="3104"/>
      <c r="AR107" s="3104"/>
      <c r="AS107" s="3104"/>
      <c r="AT107" s="3104"/>
      <c r="AU107" s="3104"/>
      <c r="AV107" s="3104"/>
      <c r="AW107" s="3104"/>
      <c r="AX107" s="3104"/>
      <c r="AY107" s="3104"/>
      <c r="AZ107" s="3104"/>
      <c r="BA107" s="3104"/>
      <c r="BB107" s="3104"/>
      <c r="BR107" s="3165"/>
      <c r="BV107" s="3165"/>
      <c r="BZ107" s="4835"/>
      <c r="CD107" s="4835" t="s">
        <v>772</v>
      </c>
    </row>
    <row r="108" spans="1:82" x14ac:dyDescent="0.3">
      <c r="A108" s="3159"/>
      <c r="B108" s="6155" t="s">
        <v>132</v>
      </c>
      <c r="C108" s="6152">
        <v>2003</v>
      </c>
      <c r="D108" s="6153"/>
      <c r="E108" s="6153"/>
      <c r="F108" s="6154"/>
      <c r="G108" s="6152">
        <v>2004</v>
      </c>
      <c r="H108" s="6153"/>
      <c r="I108" s="6153"/>
      <c r="J108" s="6154"/>
      <c r="K108" s="6152">
        <v>2005</v>
      </c>
      <c r="L108" s="6153"/>
      <c r="M108" s="6153"/>
      <c r="N108" s="6154"/>
      <c r="O108" s="6152">
        <v>2006</v>
      </c>
      <c r="P108" s="6153"/>
      <c r="Q108" s="6153"/>
      <c r="R108" s="6154"/>
      <c r="S108" s="6152">
        <v>2007</v>
      </c>
      <c r="T108" s="6153"/>
      <c r="U108" s="6153"/>
      <c r="V108" s="6154"/>
      <c r="W108" s="6152">
        <v>2008</v>
      </c>
      <c r="X108" s="6153"/>
      <c r="Y108" s="6153"/>
      <c r="Z108" s="6154"/>
      <c r="AA108" s="6152">
        <v>2009</v>
      </c>
      <c r="AB108" s="6153"/>
      <c r="AC108" s="6153"/>
      <c r="AD108" s="6154"/>
      <c r="AE108" s="6152">
        <v>2010</v>
      </c>
      <c r="AF108" s="6153"/>
      <c r="AG108" s="6153"/>
      <c r="AH108" s="6154"/>
      <c r="AI108" s="6152">
        <v>2011</v>
      </c>
      <c r="AJ108" s="6153"/>
      <c r="AK108" s="6153"/>
      <c r="AL108" s="6154"/>
      <c r="AM108" s="6152">
        <v>2012</v>
      </c>
      <c r="AN108" s="6153"/>
      <c r="AO108" s="6153"/>
      <c r="AP108" s="6154"/>
      <c r="AQ108" s="6152">
        <v>2013</v>
      </c>
      <c r="AR108" s="6153"/>
      <c r="AS108" s="6153"/>
      <c r="AT108" s="6154"/>
      <c r="AU108" s="6152">
        <v>2014</v>
      </c>
      <c r="AV108" s="6153"/>
      <c r="AW108" s="6153"/>
      <c r="AX108" s="6154"/>
      <c r="AY108" s="6152">
        <v>2015</v>
      </c>
      <c r="AZ108" s="6153"/>
      <c r="BA108" s="6153"/>
      <c r="BB108" s="6154"/>
      <c r="BC108" s="6152">
        <v>2016</v>
      </c>
      <c r="BD108" s="6153"/>
      <c r="BE108" s="6153"/>
      <c r="BF108" s="6154"/>
      <c r="BG108" s="6152">
        <v>2017</v>
      </c>
      <c r="BH108" s="6153"/>
      <c r="BI108" s="6153"/>
      <c r="BJ108" s="6154"/>
      <c r="BK108" s="6152">
        <v>2018</v>
      </c>
      <c r="BL108" s="6153"/>
      <c r="BM108" s="6153"/>
      <c r="BN108" s="6154"/>
      <c r="BO108" s="6152">
        <v>2019</v>
      </c>
      <c r="BP108" s="6153"/>
      <c r="BQ108" s="6153"/>
      <c r="BR108" s="6154"/>
      <c r="BS108" s="6152">
        <v>2020</v>
      </c>
      <c r="BT108" s="6153"/>
      <c r="BU108" s="6153"/>
      <c r="BV108" s="6154"/>
      <c r="BW108" s="6152">
        <v>2021</v>
      </c>
      <c r="BX108" s="6153"/>
      <c r="BY108" s="6153"/>
      <c r="BZ108" s="6154"/>
      <c r="CA108" s="6152">
        <v>2022</v>
      </c>
      <c r="CB108" s="6153"/>
      <c r="CC108" s="6153"/>
      <c r="CD108" s="6154"/>
    </row>
    <row r="109" spans="1:82" x14ac:dyDescent="0.3">
      <c r="A109" s="3159"/>
      <c r="B109" s="6156"/>
      <c r="C109" s="3100" t="s">
        <v>759</v>
      </c>
      <c r="D109" s="3101" t="s">
        <v>760</v>
      </c>
      <c r="E109" s="3102" t="s">
        <v>761</v>
      </c>
      <c r="F109" s="3103" t="s">
        <v>279</v>
      </c>
      <c r="G109" s="3100" t="s">
        <v>759</v>
      </c>
      <c r="H109" s="3101" t="s">
        <v>760</v>
      </c>
      <c r="I109" s="3102" t="s">
        <v>761</v>
      </c>
      <c r="J109" s="3103" t="s">
        <v>279</v>
      </c>
      <c r="K109" s="3100" t="s">
        <v>759</v>
      </c>
      <c r="L109" s="3101" t="s">
        <v>760</v>
      </c>
      <c r="M109" s="3102" t="s">
        <v>761</v>
      </c>
      <c r="N109" s="3103" t="s">
        <v>279</v>
      </c>
      <c r="O109" s="3100" t="s">
        <v>759</v>
      </c>
      <c r="P109" s="3101" t="s">
        <v>760</v>
      </c>
      <c r="Q109" s="3102" t="s">
        <v>761</v>
      </c>
      <c r="R109" s="3103" t="s">
        <v>279</v>
      </c>
      <c r="S109" s="3100" t="s">
        <v>759</v>
      </c>
      <c r="T109" s="3101" t="s">
        <v>760</v>
      </c>
      <c r="U109" s="3102" t="s">
        <v>761</v>
      </c>
      <c r="V109" s="3103" t="s">
        <v>279</v>
      </c>
      <c r="W109" s="3100" t="s">
        <v>759</v>
      </c>
      <c r="X109" s="3101" t="s">
        <v>760</v>
      </c>
      <c r="Y109" s="3102" t="s">
        <v>761</v>
      </c>
      <c r="Z109" s="3103" t="s">
        <v>279</v>
      </c>
      <c r="AA109" s="3100" t="s">
        <v>759</v>
      </c>
      <c r="AB109" s="3101" t="s">
        <v>760</v>
      </c>
      <c r="AC109" s="3102" t="s">
        <v>761</v>
      </c>
      <c r="AD109" s="3103" t="s">
        <v>279</v>
      </c>
      <c r="AE109" s="3100" t="s">
        <v>759</v>
      </c>
      <c r="AF109" s="3101" t="s">
        <v>760</v>
      </c>
      <c r="AG109" s="3102" t="s">
        <v>761</v>
      </c>
      <c r="AH109" s="3103" t="s">
        <v>279</v>
      </c>
      <c r="AI109" s="3100" t="s">
        <v>759</v>
      </c>
      <c r="AJ109" s="3101" t="s">
        <v>760</v>
      </c>
      <c r="AK109" s="3102" t="s">
        <v>761</v>
      </c>
      <c r="AL109" s="3103" t="s">
        <v>279</v>
      </c>
      <c r="AM109" s="3100" t="s">
        <v>759</v>
      </c>
      <c r="AN109" s="3101" t="s">
        <v>760</v>
      </c>
      <c r="AO109" s="3102" t="s">
        <v>761</v>
      </c>
      <c r="AP109" s="3103" t="s">
        <v>279</v>
      </c>
      <c r="AQ109" s="3100" t="s">
        <v>759</v>
      </c>
      <c r="AR109" s="3101" t="s">
        <v>760</v>
      </c>
      <c r="AS109" s="3102" t="s">
        <v>761</v>
      </c>
      <c r="AT109" s="3103" t="s">
        <v>279</v>
      </c>
      <c r="AU109" s="3100" t="s">
        <v>759</v>
      </c>
      <c r="AV109" s="3101" t="s">
        <v>760</v>
      </c>
      <c r="AW109" s="3102" t="s">
        <v>761</v>
      </c>
      <c r="AX109" s="3103" t="s">
        <v>279</v>
      </c>
      <c r="AY109" s="3100" t="s">
        <v>759</v>
      </c>
      <c r="AZ109" s="3101" t="s">
        <v>760</v>
      </c>
      <c r="BA109" s="3102" t="s">
        <v>761</v>
      </c>
      <c r="BB109" s="3103" t="s">
        <v>279</v>
      </c>
      <c r="BC109" s="3100" t="s">
        <v>759</v>
      </c>
      <c r="BD109" s="3101" t="s">
        <v>760</v>
      </c>
      <c r="BE109" s="3102" t="s">
        <v>761</v>
      </c>
      <c r="BF109" s="3103" t="s">
        <v>279</v>
      </c>
      <c r="BG109" s="3100" t="s">
        <v>759</v>
      </c>
      <c r="BH109" s="3101" t="s">
        <v>760</v>
      </c>
      <c r="BI109" s="3102" t="s">
        <v>761</v>
      </c>
      <c r="BJ109" s="3103" t="s">
        <v>279</v>
      </c>
      <c r="BK109" s="3100" t="s">
        <v>759</v>
      </c>
      <c r="BL109" s="3101" t="s">
        <v>760</v>
      </c>
      <c r="BM109" s="3102" t="s">
        <v>761</v>
      </c>
      <c r="BN109" s="3103" t="s">
        <v>279</v>
      </c>
      <c r="BO109" s="3100" t="s">
        <v>759</v>
      </c>
      <c r="BP109" s="3101" t="s">
        <v>760</v>
      </c>
      <c r="BQ109" s="3102" t="s">
        <v>761</v>
      </c>
      <c r="BR109" s="3103" t="s">
        <v>279</v>
      </c>
      <c r="BS109" s="3100" t="s">
        <v>759</v>
      </c>
      <c r="BT109" s="3101" t="s">
        <v>760</v>
      </c>
      <c r="BU109" s="3102" t="s">
        <v>761</v>
      </c>
      <c r="BV109" s="3103" t="s">
        <v>279</v>
      </c>
      <c r="BW109" s="3100" t="s">
        <v>759</v>
      </c>
      <c r="BX109" s="3101" t="s">
        <v>760</v>
      </c>
      <c r="BY109" s="3102" t="s">
        <v>761</v>
      </c>
      <c r="BZ109" s="3103" t="s">
        <v>279</v>
      </c>
      <c r="CA109" s="3100" t="s">
        <v>759</v>
      </c>
      <c r="CB109" s="3101" t="s">
        <v>760</v>
      </c>
      <c r="CC109" s="3102" t="s">
        <v>761</v>
      </c>
      <c r="CD109" s="3103" t="s">
        <v>279</v>
      </c>
    </row>
    <row r="110" spans="1:82" x14ac:dyDescent="0.3">
      <c r="A110" s="3159"/>
      <c r="B110" s="3104"/>
      <c r="C110" s="3104"/>
      <c r="D110" s="3104"/>
      <c r="E110" s="3104"/>
      <c r="F110" s="3104"/>
      <c r="G110" s="3104"/>
      <c r="H110" s="3104"/>
      <c r="I110" s="3104"/>
      <c r="J110" s="3104"/>
      <c r="K110" s="3104"/>
      <c r="L110" s="3104"/>
      <c r="M110" s="3104"/>
      <c r="N110" s="3104"/>
      <c r="O110" s="3104"/>
      <c r="P110" s="3104"/>
      <c r="Q110" s="3104"/>
      <c r="R110" s="3104"/>
      <c r="S110" s="3104"/>
      <c r="T110" s="3104"/>
      <c r="U110" s="3104"/>
      <c r="V110" s="3104"/>
      <c r="W110" s="3104"/>
      <c r="X110" s="3104"/>
      <c r="Y110" s="3104"/>
      <c r="Z110" s="3104"/>
      <c r="AA110" s="3104"/>
      <c r="AB110" s="3104"/>
      <c r="AC110" s="3104"/>
      <c r="AD110" s="3104"/>
      <c r="AE110" s="3104"/>
      <c r="AF110" s="3104"/>
      <c r="AG110" s="3104"/>
      <c r="AH110" s="3104"/>
      <c r="AI110" s="3104"/>
      <c r="AJ110" s="3104"/>
      <c r="AK110" s="3104"/>
      <c r="AL110" s="3104"/>
      <c r="AM110" s="3104"/>
      <c r="AN110" s="3104"/>
      <c r="AO110" s="3104"/>
      <c r="AP110" s="3104"/>
      <c r="AQ110" s="3104"/>
      <c r="AR110" s="3104"/>
      <c r="AS110" s="3104"/>
      <c r="AT110" s="3104"/>
      <c r="AU110" s="3104"/>
      <c r="AV110" s="3104"/>
      <c r="AW110" s="3104"/>
      <c r="AX110" s="3104"/>
      <c r="AY110" s="3104"/>
      <c r="AZ110" s="3104"/>
      <c r="BA110" s="3104"/>
      <c r="BB110" s="3104"/>
      <c r="BC110" s="3104"/>
      <c r="BD110" s="3104"/>
      <c r="BE110" s="3104"/>
      <c r="BF110" s="3104"/>
      <c r="BG110" s="3104"/>
      <c r="BH110" s="3104"/>
      <c r="BI110" s="3104"/>
      <c r="BJ110" s="3104"/>
      <c r="BK110" s="3104"/>
      <c r="BL110" s="3104"/>
      <c r="BM110" s="3104"/>
      <c r="BN110" s="3104"/>
      <c r="BO110" s="3104"/>
      <c r="BP110" s="3104"/>
      <c r="BQ110" s="3104"/>
      <c r="BR110" s="3104"/>
      <c r="BS110" s="3104"/>
      <c r="BT110" s="3104"/>
      <c r="BU110" s="3104"/>
      <c r="BV110" s="3104"/>
      <c r="BW110" s="3104"/>
      <c r="BX110" s="3104"/>
      <c r="BY110" s="3104"/>
      <c r="BZ110" s="3104"/>
      <c r="CA110" s="3104"/>
      <c r="CB110" s="3104"/>
      <c r="CC110" s="3104"/>
      <c r="CD110" s="3104"/>
    </row>
    <row r="111" spans="1:82" ht="15" customHeight="1" x14ac:dyDescent="0.3">
      <c r="A111" s="3159"/>
      <c r="B111" s="3105" t="s">
        <v>59</v>
      </c>
      <c r="C111" s="3166">
        <v>6</v>
      </c>
      <c r="D111" s="3167">
        <v>18</v>
      </c>
      <c r="E111" s="3167">
        <v>20</v>
      </c>
      <c r="F111" s="3168">
        <v>44</v>
      </c>
      <c r="G111" s="3166">
        <v>2</v>
      </c>
      <c r="H111" s="3167">
        <v>17</v>
      </c>
      <c r="I111" s="3167">
        <v>25</v>
      </c>
      <c r="J111" s="3168">
        <v>44</v>
      </c>
      <c r="K111" s="3166">
        <v>5</v>
      </c>
      <c r="L111" s="3167">
        <v>16</v>
      </c>
      <c r="M111" s="3167">
        <v>23</v>
      </c>
      <c r="N111" s="3169">
        <v>44</v>
      </c>
      <c r="O111" s="3166">
        <v>4</v>
      </c>
      <c r="P111" s="3167">
        <v>16</v>
      </c>
      <c r="Q111" s="3167">
        <v>26</v>
      </c>
      <c r="R111" s="3168">
        <v>46</v>
      </c>
      <c r="S111" s="3167">
        <v>5</v>
      </c>
      <c r="T111" s="3167">
        <v>17</v>
      </c>
      <c r="U111" s="3167">
        <v>24</v>
      </c>
      <c r="V111" s="3168">
        <v>46</v>
      </c>
      <c r="W111" s="3167">
        <v>4</v>
      </c>
      <c r="X111" s="3167">
        <v>17</v>
      </c>
      <c r="Y111" s="3167">
        <v>22</v>
      </c>
      <c r="Z111" s="3168">
        <v>43</v>
      </c>
      <c r="AA111" s="3167">
        <v>3</v>
      </c>
      <c r="AB111" s="3167">
        <v>16</v>
      </c>
      <c r="AC111" s="3167">
        <v>23</v>
      </c>
      <c r="AD111" s="3168">
        <v>42</v>
      </c>
      <c r="AE111" s="3167">
        <v>3</v>
      </c>
      <c r="AF111" s="3167">
        <v>15</v>
      </c>
      <c r="AG111" s="3167">
        <v>21</v>
      </c>
      <c r="AH111" s="3168">
        <v>39</v>
      </c>
      <c r="AI111" s="3167">
        <v>3</v>
      </c>
      <c r="AJ111" s="3167">
        <v>15</v>
      </c>
      <c r="AK111" s="3167">
        <v>21</v>
      </c>
      <c r="AL111" s="3168">
        <f>SUM(AI111:AK111)</f>
        <v>39</v>
      </c>
      <c r="AM111" s="3167">
        <v>3</v>
      </c>
      <c r="AN111" s="3167">
        <v>15</v>
      </c>
      <c r="AO111" s="3167">
        <v>20</v>
      </c>
      <c r="AP111" s="3168">
        <f>SUM(AM111:AO111)</f>
        <v>38</v>
      </c>
      <c r="AQ111" s="3167">
        <v>3</v>
      </c>
      <c r="AR111" s="3167">
        <v>15</v>
      </c>
      <c r="AS111" s="3167">
        <v>19</v>
      </c>
      <c r="AT111" s="3168">
        <f>SUM(AQ111:AS111)</f>
        <v>37</v>
      </c>
      <c r="AU111" s="3167">
        <v>3</v>
      </c>
      <c r="AV111" s="3167">
        <v>15</v>
      </c>
      <c r="AW111" s="3167">
        <v>18</v>
      </c>
      <c r="AX111" s="3168">
        <f>SUM(AU111:AW111)</f>
        <v>36</v>
      </c>
      <c r="AY111" s="3167">
        <v>3</v>
      </c>
      <c r="AZ111" s="3167">
        <v>14</v>
      </c>
      <c r="BA111" s="3167">
        <v>17</v>
      </c>
      <c r="BB111" s="3168">
        <f>SUM(AY111:BA111)</f>
        <v>34</v>
      </c>
      <c r="BC111" s="3167">
        <v>3</v>
      </c>
      <c r="BD111" s="3167">
        <v>13</v>
      </c>
      <c r="BE111" s="3167">
        <v>16</v>
      </c>
      <c r="BF111" s="3168">
        <f>SUM(BC111:BE111)</f>
        <v>32</v>
      </c>
      <c r="BG111" s="3167">
        <v>3</v>
      </c>
      <c r="BH111" s="3167">
        <v>11</v>
      </c>
      <c r="BI111" s="3167">
        <v>16</v>
      </c>
      <c r="BJ111" s="3168">
        <f>SUM(BG111:BI111)</f>
        <v>30</v>
      </c>
      <c r="BK111" s="3167">
        <v>3</v>
      </c>
      <c r="BL111" s="3167">
        <v>11</v>
      </c>
      <c r="BM111" s="3167">
        <v>15</v>
      </c>
      <c r="BN111" s="3168">
        <f>SUM(BK111:BM111)</f>
        <v>29</v>
      </c>
      <c r="BO111" s="3167">
        <v>3</v>
      </c>
      <c r="BP111" s="3167">
        <v>11</v>
      </c>
      <c r="BQ111" s="3167">
        <v>15</v>
      </c>
      <c r="BR111" s="3168">
        <f>SUM(BO111:BQ111)</f>
        <v>29</v>
      </c>
      <c r="BS111" s="3167">
        <v>3</v>
      </c>
      <c r="BT111" s="3167">
        <v>10</v>
      </c>
      <c r="BU111" s="3167">
        <v>14</v>
      </c>
      <c r="BV111" s="3168">
        <f>SUM(BS111:BU111)</f>
        <v>27</v>
      </c>
      <c r="BW111" s="3167">
        <v>3</v>
      </c>
      <c r="BX111" s="3167">
        <v>10</v>
      </c>
      <c r="BY111" s="3167">
        <v>14</v>
      </c>
      <c r="BZ111" s="3168">
        <f>SUM(BW111:BY111)</f>
        <v>27</v>
      </c>
      <c r="CA111" s="3167">
        <v>3</v>
      </c>
      <c r="CB111" s="3167">
        <v>9</v>
      </c>
      <c r="CC111" s="3167">
        <v>11</v>
      </c>
      <c r="CD111" s="3168">
        <f>SUM(CA111:CC111)</f>
        <v>23</v>
      </c>
    </row>
    <row r="112" spans="1:82" ht="15" customHeight="1" x14ac:dyDescent="0.3">
      <c r="A112" s="3159"/>
      <c r="B112" s="3110" t="s">
        <v>64</v>
      </c>
      <c r="C112" s="3170">
        <v>1</v>
      </c>
      <c r="D112" s="3171">
        <v>5</v>
      </c>
      <c r="E112" s="3171"/>
      <c r="F112" s="3172">
        <v>6</v>
      </c>
      <c r="G112" s="3170">
        <v>1</v>
      </c>
      <c r="H112" s="3171">
        <v>4</v>
      </c>
      <c r="I112" s="3171">
        <v>1</v>
      </c>
      <c r="J112" s="3172">
        <v>6</v>
      </c>
      <c r="K112" s="3170">
        <v>1</v>
      </c>
      <c r="L112" s="3171">
        <v>4</v>
      </c>
      <c r="M112" s="3171">
        <v>1</v>
      </c>
      <c r="N112" s="3173">
        <v>6</v>
      </c>
      <c r="O112" s="3170">
        <v>1</v>
      </c>
      <c r="P112" s="3171">
        <v>4</v>
      </c>
      <c r="Q112" s="3171"/>
      <c r="R112" s="3172">
        <v>5</v>
      </c>
      <c r="S112" s="3171">
        <v>1</v>
      </c>
      <c r="T112" s="3171">
        <v>4</v>
      </c>
      <c r="U112" s="3171"/>
      <c r="V112" s="3172">
        <v>5</v>
      </c>
      <c r="W112" s="3171">
        <v>1</v>
      </c>
      <c r="X112" s="3171">
        <v>3</v>
      </c>
      <c r="Y112" s="3171"/>
      <c r="Z112" s="3172">
        <v>4</v>
      </c>
      <c r="AA112" s="3171">
        <v>1</v>
      </c>
      <c r="AB112" s="3171">
        <v>3</v>
      </c>
      <c r="AC112" s="3171"/>
      <c r="AD112" s="3172">
        <v>4</v>
      </c>
      <c r="AE112" s="3171">
        <v>1</v>
      </c>
      <c r="AF112" s="3171">
        <v>5</v>
      </c>
      <c r="AG112" s="3171"/>
      <c r="AH112" s="3172">
        <v>6</v>
      </c>
      <c r="AI112" s="3171">
        <v>1</v>
      </c>
      <c r="AJ112" s="3171">
        <v>9</v>
      </c>
      <c r="AK112" s="3171"/>
      <c r="AL112" s="3172">
        <f>SUM(AI112:AK112)</f>
        <v>10</v>
      </c>
      <c r="AM112" s="3171">
        <v>1</v>
      </c>
      <c r="AN112" s="3171">
        <v>11</v>
      </c>
      <c r="AO112" s="3171"/>
      <c r="AP112" s="3172">
        <f>SUM(AM112:AO112)</f>
        <v>12</v>
      </c>
      <c r="AQ112" s="3171">
        <v>1</v>
      </c>
      <c r="AR112" s="3171">
        <v>10</v>
      </c>
      <c r="AS112" s="3171"/>
      <c r="AT112" s="3172">
        <f>SUM(AQ112:AS112)</f>
        <v>11</v>
      </c>
      <c r="AU112" s="3171">
        <v>1</v>
      </c>
      <c r="AV112" s="3171">
        <v>11</v>
      </c>
      <c r="AW112" s="3171"/>
      <c r="AX112" s="3172">
        <f>SUM(AU112:AW112)</f>
        <v>12</v>
      </c>
      <c r="AY112" s="3171">
        <v>1</v>
      </c>
      <c r="AZ112" s="3171">
        <v>14</v>
      </c>
      <c r="BA112" s="3171">
        <v>0</v>
      </c>
      <c r="BB112" s="3172">
        <f>SUM(AY112:BA112)</f>
        <v>15</v>
      </c>
      <c r="BC112" s="3171">
        <v>1</v>
      </c>
      <c r="BD112" s="3171">
        <v>14</v>
      </c>
      <c r="BE112" s="3171">
        <v>0</v>
      </c>
      <c r="BF112" s="3172">
        <f>SUM(BC112:BE112)</f>
        <v>15</v>
      </c>
      <c r="BG112" s="3171">
        <v>1</v>
      </c>
      <c r="BH112" s="3171">
        <v>14</v>
      </c>
      <c r="BI112" s="3171"/>
      <c r="BJ112" s="3172">
        <f>SUM(BG112:BI112)</f>
        <v>15</v>
      </c>
      <c r="BK112" s="3171">
        <v>1</v>
      </c>
      <c r="BL112" s="3171">
        <v>14</v>
      </c>
      <c r="BM112" s="3171"/>
      <c r="BN112" s="3172">
        <f>SUM(BK112:BM112)</f>
        <v>15</v>
      </c>
      <c r="BO112" s="3171"/>
      <c r="BP112" s="3171">
        <v>14</v>
      </c>
      <c r="BQ112" s="3171"/>
      <c r="BR112" s="3172">
        <f>SUM(BO112:BQ112)</f>
        <v>14</v>
      </c>
      <c r="BS112" s="3171"/>
      <c r="BT112" s="3171">
        <v>13</v>
      </c>
      <c r="BU112" s="3171">
        <v>1</v>
      </c>
      <c r="BV112" s="3172">
        <f>SUM(BS112:BU112)</f>
        <v>14</v>
      </c>
      <c r="BW112" s="3171">
        <v>0</v>
      </c>
      <c r="BX112" s="3171">
        <v>13</v>
      </c>
      <c r="BY112" s="3171">
        <v>1</v>
      </c>
      <c r="BZ112" s="3172">
        <f>SUM(BW112:BY112)</f>
        <v>14</v>
      </c>
      <c r="CA112" s="3171">
        <v>0</v>
      </c>
      <c r="CB112" s="3171">
        <v>11</v>
      </c>
      <c r="CC112" s="3171">
        <v>1</v>
      </c>
      <c r="CD112" s="3172">
        <f>SUM(CA112:CC112)</f>
        <v>12</v>
      </c>
    </row>
    <row r="113" spans="1:82" ht="15" customHeight="1" x14ac:dyDescent="0.3">
      <c r="A113" s="3159"/>
      <c r="B113" s="3115" t="s">
        <v>68</v>
      </c>
      <c r="C113" s="3170"/>
      <c r="D113" s="3171">
        <v>3</v>
      </c>
      <c r="E113" s="3171">
        <v>4</v>
      </c>
      <c r="F113" s="3172">
        <v>7</v>
      </c>
      <c r="G113" s="3170">
        <v>1</v>
      </c>
      <c r="H113" s="3171"/>
      <c r="I113" s="3171">
        <v>6</v>
      </c>
      <c r="J113" s="3172">
        <v>7</v>
      </c>
      <c r="K113" s="3170"/>
      <c r="L113" s="3171">
        <v>1</v>
      </c>
      <c r="M113" s="3171">
        <v>7</v>
      </c>
      <c r="N113" s="3173">
        <v>8</v>
      </c>
      <c r="O113" s="3170"/>
      <c r="P113" s="3171"/>
      <c r="Q113" s="3171">
        <v>6</v>
      </c>
      <c r="R113" s="3172">
        <v>6</v>
      </c>
      <c r="S113" s="3171"/>
      <c r="T113" s="3171">
        <v>1</v>
      </c>
      <c r="U113" s="3171">
        <v>6</v>
      </c>
      <c r="V113" s="3172">
        <v>7</v>
      </c>
      <c r="W113" s="3171"/>
      <c r="X113" s="3171">
        <v>1</v>
      </c>
      <c r="Y113" s="3171">
        <v>4</v>
      </c>
      <c r="Z113" s="3172">
        <v>5</v>
      </c>
      <c r="AA113" s="3171"/>
      <c r="AB113" s="3171">
        <v>1</v>
      </c>
      <c r="AC113" s="3171">
        <v>4</v>
      </c>
      <c r="AD113" s="3172">
        <v>5</v>
      </c>
      <c r="AE113" s="3171"/>
      <c r="AF113" s="3171">
        <v>1</v>
      </c>
      <c r="AG113" s="3171">
        <v>4</v>
      </c>
      <c r="AH113" s="3172">
        <v>5</v>
      </c>
      <c r="AI113" s="3171"/>
      <c r="AJ113" s="3171">
        <v>2</v>
      </c>
      <c r="AK113" s="3171">
        <v>4</v>
      </c>
      <c r="AL113" s="3172">
        <f>SUM(AI113:AK113)</f>
        <v>6</v>
      </c>
      <c r="AM113" s="3171"/>
      <c r="AN113" s="3171">
        <v>2</v>
      </c>
      <c r="AO113" s="3171">
        <v>4</v>
      </c>
      <c r="AP113" s="3172">
        <f>SUM(AM113:AO113)</f>
        <v>6</v>
      </c>
      <c r="AQ113" s="3171"/>
      <c r="AR113" s="3171">
        <v>2</v>
      </c>
      <c r="AS113" s="3171">
        <v>4</v>
      </c>
      <c r="AT113" s="3172">
        <f>SUM(AQ113:AS113)</f>
        <v>6</v>
      </c>
      <c r="AU113" s="3171"/>
      <c r="AV113" s="3171">
        <v>2</v>
      </c>
      <c r="AW113" s="3171">
        <v>6</v>
      </c>
      <c r="AX113" s="3172">
        <f>SUM(AU113:AW113)</f>
        <v>8</v>
      </c>
      <c r="AY113" s="3171">
        <v>0</v>
      </c>
      <c r="AZ113" s="3171">
        <v>2</v>
      </c>
      <c r="BA113" s="3171">
        <v>6</v>
      </c>
      <c r="BB113" s="3172">
        <f>SUM(AY113:BA113)</f>
        <v>8</v>
      </c>
      <c r="BC113" s="3171">
        <v>0</v>
      </c>
      <c r="BD113" s="3171">
        <v>2</v>
      </c>
      <c r="BE113" s="3171">
        <v>5</v>
      </c>
      <c r="BF113" s="3172">
        <f>SUM(BC113:BE113)</f>
        <v>7</v>
      </c>
      <c r="BG113" s="3171"/>
      <c r="BH113" s="3171">
        <v>2</v>
      </c>
      <c r="BI113" s="3171">
        <v>5</v>
      </c>
      <c r="BJ113" s="3172">
        <f>SUM(BG113:BI113)</f>
        <v>7</v>
      </c>
      <c r="BK113" s="3171"/>
      <c r="BL113" s="3171">
        <v>2</v>
      </c>
      <c r="BM113" s="3171">
        <v>5</v>
      </c>
      <c r="BN113" s="3172">
        <f>SUM(BK113:BM113)</f>
        <v>7</v>
      </c>
      <c r="BO113" s="3171"/>
      <c r="BP113" s="3171">
        <v>2</v>
      </c>
      <c r="BQ113" s="3171">
        <v>5</v>
      </c>
      <c r="BR113" s="3172">
        <f>SUM(BO113:BQ113)</f>
        <v>7</v>
      </c>
      <c r="BS113" s="3171"/>
      <c r="BT113" s="3171">
        <v>2</v>
      </c>
      <c r="BU113" s="3171">
        <v>5</v>
      </c>
      <c r="BV113" s="3172">
        <f>SUM(BS113:BU113)</f>
        <v>7</v>
      </c>
      <c r="BW113" s="3171">
        <v>0</v>
      </c>
      <c r="BX113" s="3171">
        <v>2</v>
      </c>
      <c r="BY113" s="3171">
        <v>5</v>
      </c>
      <c r="BZ113" s="3172">
        <f>SUM(BW113:BY113)</f>
        <v>7</v>
      </c>
      <c r="CA113" s="3171">
        <v>0</v>
      </c>
      <c r="CB113" s="3171">
        <v>2</v>
      </c>
      <c r="CC113" s="3171">
        <v>2</v>
      </c>
      <c r="CD113" s="3172">
        <f>SUM(CA113:CC113)</f>
        <v>4</v>
      </c>
    </row>
    <row r="114" spans="1:82" ht="15" customHeight="1" x14ac:dyDescent="0.3">
      <c r="A114" s="3159"/>
      <c r="B114" s="3118" t="s">
        <v>138</v>
      </c>
      <c r="C114" s="3178">
        <v>7</v>
      </c>
      <c r="D114" s="3179">
        <v>26</v>
      </c>
      <c r="E114" s="3179">
        <v>24</v>
      </c>
      <c r="F114" s="3180">
        <v>57</v>
      </c>
      <c r="G114" s="3178">
        <v>4</v>
      </c>
      <c r="H114" s="3179">
        <v>21</v>
      </c>
      <c r="I114" s="3179">
        <v>32</v>
      </c>
      <c r="J114" s="3180">
        <v>57</v>
      </c>
      <c r="K114" s="3178">
        <v>6</v>
      </c>
      <c r="L114" s="3179">
        <v>21</v>
      </c>
      <c r="M114" s="3179">
        <v>31</v>
      </c>
      <c r="N114" s="3179">
        <v>58</v>
      </c>
      <c r="O114" s="3178">
        <v>5</v>
      </c>
      <c r="P114" s="3179">
        <v>20</v>
      </c>
      <c r="Q114" s="3179">
        <v>32</v>
      </c>
      <c r="R114" s="3180">
        <v>57</v>
      </c>
      <c r="S114" s="3179">
        <v>6</v>
      </c>
      <c r="T114" s="3179">
        <v>22</v>
      </c>
      <c r="U114" s="3179">
        <v>30</v>
      </c>
      <c r="V114" s="3180">
        <v>58</v>
      </c>
      <c r="W114" s="3178">
        <v>5</v>
      </c>
      <c r="X114" s="3179">
        <v>21</v>
      </c>
      <c r="Y114" s="3179">
        <v>26</v>
      </c>
      <c r="Z114" s="3180">
        <v>52</v>
      </c>
      <c r="AA114" s="3178">
        <v>4</v>
      </c>
      <c r="AB114" s="3179">
        <v>20</v>
      </c>
      <c r="AC114" s="3179">
        <v>27</v>
      </c>
      <c r="AD114" s="3180">
        <v>51</v>
      </c>
      <c r="AE114" s="3178">
        <v>4</v>
      </c>
      <c r="AF114" s="3179">
        <v>21</v>
      </c>
      <c r="AG114" s="3179">
        <v>25</v>
      </c>
      <c r="AH114" s="3180">
        <v>50</v>
      </c>
      <c r="AI114" s="3178">
        <f t="shared" ref="AI114:BV114" si="115">SUM(AI111:AI113)</f>
        <v>4</v>
      </c>
      <c r="AJ114" s="3179">
        <f t="shared" si="115"/>
        <v>26</v>
      </c>
      <c r="AK114" s="3179">
        <f t="shared" si="115"/>
        <v>25</v>
      </c>
      <c r="AL114" s="3180">
        <f t="shared" si="115"/>
        <v>55</v>
      </c>
      <c r="AM114" s="3178">
        <f t="shared" si="115"/>
        <v>4</v>
      </c>
      <c r="AN114" s="3179">
        <f t="shared" si="115"/>
        <v>28</v>
      </c>
      <c r="AO114" s="3179">
        <f t="shared" si="115"/>
        <v>24</v>
      </c>
      <c r="AP114" s="3180">
        <f t="shared" si="115"/>
        <v>56</v>
      </c>
      <c r="AQ114" s="3178">
        <f t="shared" si="115"/>
        <v>4</v>
      </c>
      <c r="AR114" s="3179">
        <f t="shared" si="115"/>
        <v>27</v>
      </c>
      <c r="AS114" s="3179">
        <f t="shared" si="115"/>
        <v>23</v>
      </c>
      <c r="AT114" s="3180">
        <f t="shared" si="115"/>
        <v>54</v>
      </c>
      <c r="AU114" s="3178">
        <f t="shared" si="115"/>
        <v>4</v>
      </c>
      <c r="AV114" s="3179">
        <f t="shared" si="115"/>
        <v>28</v>
      </c>
      <c r="AW114" s="3179">
        <f t="shared" si="115"/>
        <v>24</v>
      </c>
      <c r="AX114" s="3180">
        <f t="shared" si="115"/>
        <v>56</v>
      </c>
      <c r="AY114" s="3178">
        <f t="shared" si="115"/>
        <v>4</v>
      </c>
      <c r="AZ114" s="3179">
        <f t="shared" si="115"/>
        <v>30</v>
      </c>
      <c r="BA114" s="3179">
        <f t="shared" si="115"/>
        <v>23</v>
      </c>
      <c r="BB114" s="3180">
        <f t="shared" si="115"/>
        <v>57</v>
      </c>
      <c r="BC114" s="3178">
        <f t="shared" si="115"/>
        <v>4</v>
      </c>
      <c r="BD114" s="3179">
        <f t="shared" si="115"/>
        <v>29</v>
      </c>
      <c r="BE114" s="3179">
        <f t="shared" si="115"/>
        <v>21</v>
      </c>
      <c r="BF114" s="3180">
        <f t="shared" si="115"/>
        <v>54</v>
      </c>
      <c r="BG114" s="3178">
        <f t="shared" si="115"/>
        <v>4</v>
      </c>
      <c r="BH114" s="3179">
        <f t="shared" si="115"/>
        <v>27</v>
      </c>
      <c r="BI114" s="3179">
        <f t="shared" si="115"/>
        <v>21</v>
      </c>
      <c r="BJ114" s="3180">
        <f t="shared" si="115"/>
        <v>52</v>
      </c>
      <c r="BK114" s="3178">
        <f t="shared" si="115"/>
        <v>4</v>
      </c>
      <c r="BL114" s="3179">
        <f t="shared" si="115"/>
        <v>27</v>
      </c>
      <c r="BM114" s="3179">
        <f t="shared" si="115"/>
        <v>20</v>
      </c>
      <c r="BN114" s="3180">
        <f t="shared" si="115"/>
        <v>51</v>
      </c>
      <c r="BO114" s="3178">
        <f t="shared" si="115"/>
        <v>3</v>
      </c>
      <c r="BP114" s="3179">
        <f t="shared" si="115"/>
        <v>27</v>
      </c>
      <c r="BQ114" s="3179">
        <f t="shared" si="115"/>
        <v>20</v>
      </c>
      <c r="BR114" s="3180">
        <f t="shared" si="115"/>
        <v>50</v>
      </c>
      <c r="BS114" s="3178">
        <f t="shared" si="115"/>
        <v>3</v>
      </c>
      <c r="BT114" s="3179">
        <f t="shared" si="115"/>
        <v>25</v>
      </c>
      <c r="BU114" s="3179">
        <f t="shared" si="115"/>
        <v>20</v>
      </c>
      <c r="BV114" s="3180">
        <f t="shared" si="115"/>
        <v>48</v>
      </c>
      <c r="BW114" s="3178">
        <f t="shared" ref="BW114:BZ114" si="116">SUM(BW111:BW113)</f>
        <v>3</v>
      </c>
      <c r="BX114" s="3179">
        <f t="shared" si="116"/>
        <v>25</v>
      </c>
      <c r="BY114" s="3179">
        <f t="shared" si="116"/>
        <v>20</v>
      </c>
      <c r="BZ114" s="3180">
        <f t="shared" si="116"/>
        <v>48</v>
      </c>
      <c r="CA114" s="3178">
        <f t="shared" ref="CA114:CD114" si="117">SUM(CA111:CA113)</f>
        <v>3</v>
      </c>
      <c r="CB114" s="3179">
        <f t="shared" si="117"/>
        <v>22</v>
      </c>
      <c r="CC114" s="3179">
        <f t="shared" si="117"/>
        <v>14</v>
      </c>
      <c r="CD114" s="3180">
        <f t="shared" si="117"/>
        <v>39</v>
      </c>
    </row>
    <row r="115" spans="1:82" ht="15.75" customHeight="1" x14ac:dyDescent="0.3">
      <c r="A115" s="3159"/>
      <c r="B115" s="3104"/>
      <c r="C115" s="3104"/>
      <c r="D115" s="3104"/>
      <c r="E115" s="3104"/>
      <c r="F115" s="3104"/>
      <c r="G115" s="3104"/>
      <c r="H115" s="3104"/>
      <c r="I115" s="3104"/>
      <c r="J115" s="3104"/>
      <c r="K115" s="3104"/>
      <c r="L115" s="3104"/>
      <c r="M115" s="3104"/>
      <c r="N115" s="3104"/>
      <c r="O115" s="3104"/>
      <c r="P115" s="3104"/>
      <c r="Q115" s="3104"/>
      <c r="R115" s="3104"/>
      <c r="S115" s="3104"/>
      <c r="T115" s="3104"/>
      <c r="U115" s="3104"/>
      <c r="V115" s="3104"/>
      <c r="W115" s="3104"/>
      <c r="X115" s="3104"/>
      <c r="Y115" s="3104"/>
      <c r="Z115" s="3104"/>
      <c r="AA115" s="3104"/>
      <c r="AB115" s="3104"/>
      <c r="AC115" s="3104"/>
      <c r="AD115" s="3104"/>
      <c r="AE115" s="3104"/>
      <c r="AF115" s="3104"/>
      <c r="AG115" s="3104"/>
      <c r="AH115" s="3104"/>
      <c r="AI115" s="3104"/>
      <c r="AJ115" s="3104"/>
      <c r="AK115" s="3104"/>
      <c r="AL115" s="3104"/>
      <c r="AM115" s="3104"/>
      <c r="AN115" s="3104"/>
      <c r="AO115" s="3104"/>
      <c r="AP115" s="3104"/>
      <c r="AQ115" s="3104"/>
      <c r="AR115" s="3104"/>
      <c r="AS115" s="3104"/>
      <c r="AT115" s="3104"/>
      <c r="AU115" s="3104"/>
      <c r="AV115" s="3104"/>
      <c r="AW115" s="3104"/>
      <c r="AX115" s="3104"/>
      <c r="AY115" s="3104"/>
      <c r="AZ115" s="3104"/>
      <c r="BA115" s="3104"/>
      <c r="BB115" s="3104"/>
      <c r="BC115" s="3104"/>
      <c r="BD115" s="3104"/>
      <c r="BE115" s="3104"/>
      <c r="BF115" s="3104"/>
      <c r="BG115" s="3104"/>
      <c r="BH115" s="3104"/>
      <c r="BI115" s="3104"/>
      <c r="BJ115" s="3104"/>
      <c r="BK115" s="3104"/>
      <c r="BL115" s="3104"/>
      <c r="BM115" s="3104"/>
      <c r="BN115" s="3104"/>
      <c r="BO115" s="3104"/>
      <c r="BP115" s="3104"/>
      <c r="BQ115" s="3104"/>
      <c r="BR115" s="3104"/>
      <c r="BS115" s="3104"/>
      <c r="BT115" s="3104"/>
      <c r="BU115" s="3104"/>
      <c r="BV115" s="3104"/>
      <c r="BW115" s="3104"/>
      <c r="BX115" s="3104"/>
      <c r="BY115" s="3104"/>
      <c r="BZ115" s="3104"/>
      <c r="CA115" s="3104"/>
      <c r="CB115" s="3104"/>
      <c r="CC115" s="3104"/>
      <c r="CD115" s="3104"/>
    </row>
    <row r="116" spans="1:82" ht="15" customHeight="1" x14ac:dyDescent="0.3">
      <c r="A116" s="3159"/>
      <c r="B116" s="3105" t="s">
        <v>64</v>
      </c>
      <c r="C116" s="3181"/>
      <c r="D116" s="3182"/>
      <c r="E116" s="3182"/>
      <c r="F116" s="3183"/>
      <c r="G116" s="3181"/>
      <c r="H116" s="3182"/>
      <c r="I116" s="3182"/>
      <c r="J116" s="3183"/>
      <c r="K116" s="3181"/>
      <c r="L116" s="3182"/>
      <c r="M116" s="3182"/>
      <c r="N116" s="3219"/>
      <c r="O116" s="3181"/>
      <c r="P116" s="3182"/>
      <c r="Q116" s="3182"/>
      <c r="R116" s="3183"/>
      <c r="S116" s="3167"/>
      <c r="T116" s="3167"/>
      <c r="U116" s="3167"/>
      <c r="V116" s="3168"/>
      <c r="W116" s="3167"/>
      <c r="X116" s="3167"/>
      <c r="Y116" s="3167"/>
      <c r="Z116" s="3168"/>
      <c r="AA116" s="3167"/>
      <c r="AB116" s="3167"/>
      <c r="AC116" s="3167"/>
      <c r="AD116" s="3168"/>
      <c r="AE116" s="3167"/>
      <c r="AF116" s="3167"/>
      <c r="AG116" s="3167"/>
      <c r="AH116" s="3168"/>
      <c r="AI116" s="3167"/>
      <c r="AJ116" s="3167">
        <v>1</v>
      </c>
      <c r="AK116" s="3167"/>
      <c r="AL116" s="3168">
        <f>SUM(AI116:AK116)</f>
        <v>1</v>
      </c>
      <c r="AM116" s="3167"/>
      <c r="AN116" s="3167">
        <v>1</v>
      </c>
      <c r="AO116" s="3167"/>
      <c r="AP116" s="3168">
        <f>SUM(AM116:AO116)</f>
        <v>1</v>
      </c>
      <c r="AQ116" s="3167"/>
      <c r="AR116" s="3167">
        <v>1</v>
      </c>
      <c r="AS116" s="3167"/>
      <c r="AT116" s="3168">
        <f>SUM(AQ116:AS116)</f>
        <v>1</v>
      </c>
      <c r="AU116" s="3167"/>
      <c r="AV116" s="3167"/>
      <c r="AW116" s="3167"/>
      <c r="AX116" s="3168"/>
      <c r="AY116" s="3167"/>
      <c r="AZ116" s="3167"/>
      <c r="BA116" s="3167"/>
      <c r="BB116" s="3168"/>
      <c r="BC116" s="3167"/>
      <c r="BD116" s="3167"/>
      <c r="BE116" s="3167"/>
      <c r="BF116" s="3168"/>
      <c r="BG116" s="3167"/>
      <c r="BH116" s="3167"/>
      <c r="BI116" s="3167"/>
      <c r="BJ116" s="3168"/>
      <c r="BK116" s="3167"/>
      <c r="BL116" s="3167"/>
      <c r="BM116" s="3167"/>
      <c r="BN116" s="3168"/>
      <c r="BO116" s="3167"/>
      <c r="BP116" s="3167"/>
      <c r="BQ116" s="3167"/>
      <c r="BR116" s="3168"/>
      <c r="BS116" s="3167"/>
      <c r="BT116" s="3167"/>
      <c r="BU116" s="3167"/>
      <c r="BV116" s="3168"/>
      <c r="BW116" s="3167"/>
      <c r="BX116" s="3167"/>
      <c r="BY116" s="3167"/>
      <c r="BZ116" s="3168"/>
      <c r="CA116" s="3167"/>
      <c r="CB116" s="3167"/>
      <c r="CC116" s="3167"/>
      <c r="CD116" s="3168"/>
    </row>
    <row r="117" spans="1:82" ht="15" customHeight="1" x14ac:dyDescent="0.3">
      <c r="A117" s="3159"/>
      <c r="B117" s="3110" t="s">
        <v>111</v>
      </c>
      <c r="C117" s="3184"/>
      <c r="D117" s="3185"/>
      <c r="E117" s="3185"/>
      <c r="F117" s="3186"/>
      <c r="G117" s="3184"/>
      <c r="H117" s="3185"/>
      <c r="I117" s="3185"/>
      <c r="J117" s="3186"/>
      <c r="K117" s="3184"/>
      <c r="L117" s="3185"/>
      <c r="M117" s="3185"/>
      <c r="N117" s="3220"/>
      <c r="O117" s="3184"/>
      <c r="P117" s="3185"/>
      <c r="Q117" s="3185"/>
      <c r="R117" s="3186"/>
      <c r="S117" s="3171"/>
      <c r="T117" s="3171"/>
      <c r="U117" s="3171"/>
      <c r="V117" s="3172"/>
      <c r="W117" s="3171"/>
      <c r="X117" s="3171"/>
      <c r="Y117" s="3171"/>
      <c r="Z117" s="3172"/>
      <c r="AA117" s="3171"/>
      <c r="AB117" s="3171"/>
      <c r="AC117" s="3171"/>
      <c r="AD117" s="3172"/>
      <c r="AE117" s="3171"/>
      <c r="AF117" s="3171"/>
      <c r="AG117" s="3171"/>
      <c r="AH117" s="3172"/>
      <c r="AI117" s="3171"/>
      <c r="AJ117" s="3171">
        <v>1</v>
      </c>
      <c r="AK117" s="3171"/>
      <c r="AL117" s="3172">
        <f>SUM(AI117:AK117)</f>
        <v>1</v>
      </c>
      <c r="AM117" s="3171"/>
      <c r="AN117" s="3171">
        <v>1</v>
      </c>
      <c r="AO117" s="3171"/>
      <c r="AP117" s="3172">
        <f>SUM(AM117:AO117)</f>
        <v>1</v>
      </c>
      <c r="AQ117" s="3171"/>
      <c r="AR117" s="3171">
        <v>1</v>
      </c>
      <c r="AS117" s="3171">
        <v>1</v>
      </c>
      <c r="AT117" s="3172">
        <f>SUM(AQ117:AS117)</f>
        <v>2</v>
      </c>
      <c r="AU117" s="3171"/>
      <c r="AV117" s="3171">
        <v>1</v>
      </c>
      <c r="AW117" s="3171"/>
      <c r="AX117" s="3172">
        <f>SUM(AU117:AW117)</f>
        <v>1</v>
      </c>
      <c r="AY117" s="3171">
        <v>0</v>
      </c>
      <c r="AZ117" s="3171">
        <v>1</v>
      </c>
      <c r="BA117" s="3171">
        <v>0</v>
      </c>
      <c r="BB117" s="3172">
        <f>SUM(AY117:BA117)</f>
        <v>1</v>
      </c>
      <c r="BC117" s="3171">
        <v>0</v>
      </c>
      <c r="BD117" s="3171">
        <v>1</v>
      </c>
      <c r="BE117" s="3171">
        <v>4</v>
      </c>
      <c r="BF117" s="3172">
        <f>SUM(BC117:BE117)</f>
        <v>5</v>
      </c>
      <c r="BG117" s="3171"/>
      <c r="BH117" s="3171"/>
      <c r="BI117" s="3171"/>
      <c r="BJ117" s="3172">
        <f>SUM(BG117:BI117)</f>
        <v>0</v>
      </c>
      <c r="BK117" s="3171"/>
      <c r="BL117" s="3171"/>
      <c r="BM117" s="3171"/>
      <c r="BN117" s="3172">
        <f>SUM(BK117:BM117)</f>
        <v>0</v>
      </c>
      <c r="BO117" s="3171"/>
      <c r="BP117" s="3171"/>
      <c r="BQ117" s="3171"/>
      <c r="BR117" s="3172">
        <f>SUM(BO117:BQ117)</f>
        <v>0</v>
      </c>
      <c r="BS117" s="3171"/>
      <c r="BT117" s="3171"/>
      <c r="BU117" s="3171"/>
      <c r="BV117" s="3172">
        <f>SUM(BS117:BU117)</f>
        <v>0</v>
      </c>
      <c r="BW117" s="3171">
        <v>0</v>
      </c>
      <c r="BX117" s="3171">
        <v>0</v>
      </c>
      <c r="BY117" s="3171"/>
      <c r="BZ117" s="3172">
        <f>SUM(BW117:BY117)</f>
        <v>0</v>
      </c>
      <c r="CA117" s="3171"/>
      <c r="CB117" s="3171"/>
      <c r="CC117" s="3171"/>
      <c r="CD117" s="3172">
        <f>SUM(CA117:CC117)</f>
        <v>0</v>
      </c>
    </row>
    <row r="118" spans="1:82" ht="15" customHeight="1" x14ac:dyDescent="0.3">
      <c r="A118" s="3159"/>
      <c r="B118" s="3115" t="s">
        <v>115</v>
      </c>
      <c r="C118" s="3184"/>
      <c r="D118" s="3185"/>
      <c r="E118" s="3185"/>
      <c r="F118" s="3186"/>
      <c r="G118" s="3184"/>
      <c r="H118" s="3185"/>
      <c r="I118" s="3185"/>
      <c r="J118" s="3186"/>
      <c r="K118" s="3184"/>
      <c r="L118" s="3185"/>
      <c r="M118" s="3185"/>
      <c r="N118" s="3220"/>
      <c r="O118" s="3184"/>
      <c r="P118" s="3185"/>
      <c r="Q118" s="3185"/>
      <c r="R118" s="3186"/>
      <c r="S118" s="3171"/>
      <c r="T118" s="3171"/>
      <c r="U118" s="3171"/>
      <c r="V118" s="3172"/>
      <c r="W118" s="3171"/>
      <c r="X118" s="3171"/>
      <c r="Y118" s="3171"/>
      <c r="Z118" s="3172"/>
      <c r="AA118" s="3171"/>
      <c r="AB118" s="3171"/>
      <c r="AC118" s="3171"/>
      <c r="AD118" s="3172"/>
      <c r="AE118" s="3171"/>
      <c r="AF118" s="3171"/>
      <c r="AG118" s="3171"/>
      <c r="AH118" s="3172"/>
      <c r="AI118" s="3171"/>
      <c r="AJ118" s="3171"/>
      <c r="AK118" s="3171"/>
      <c r="AL118" s="3172"/>
      <c r="AM118" s="3171"/>
      <c r="AN118" s="3171">
        <v>1</v>
      </c>
      <c r="AO118" s="3171"/>
      <c r="AP118" s="3172">
        <f>SUM(AM118:AO118)</f>
        <v>1</v>
      </c>
      <c r="AQ118" s="3171"/>
      <c r="AR118" s="3171"/>
      <c r="AS118" s="3171"/>
      <c r="AT118" s="3172"/>
      <c r="AU118" s="3171"/>
      <c r="AV118" s="3171">
        <v>1</v>
      </c>
      <c r="AW118" s="3171">
        <v>2</v>
      </c>
      <c r="AX118" s="3172">
        <f>SUM(AU118:AW118)</f>
        <v>3</v>
      </c>
      <c r="AY118" s="3171">
        <v>0</v>
      </c>
      <c r="AZ118" s="3171">
        <v>1</v>
      </c>
      <c r="BA118" s="3171">
        <v>4</v>
      </c>
      <c r="BB118" s="3172">
        <f>SUM(AY118:BA118)</f>
        <v>5</v>
      </c>
      <c r="BC118" s="3171"/>
      <c r="BD118" s="3171"/>
      <c r="BE118" s="3171"/>
      <c r="BF118" s="3172">
        <f>SUM(BC118:BE118)</f>
        <v>0</v>
      </c>
      <c r="BG118" s="3171"/>
      <c r="BH118" s="3171">
        <v>1</v>
      </c>
      <c r="BI118" s="3171">
        <v>4</v>
      </c>
      <c r="BJ118" s="3172">
        <f>SUM(BG118:BI118)</f>
        <v>5</v>
      </c>
      <c r="BK118" s="3171"/>
      <c r="BL118" s="3171"/>
      <c r="BM118" s="3171">
        <v>3</v>
      </c>
      <c r="BN118" s="3172">
        <f>SUM(BK118:BM118)</f>
        <v>3</v>
      </c>
      <c r="BO118" s="3171"/>
      <c r="BP118" s="3171"/>
      <c r="BQ118" s="3171">
        <v>2</v>
      </c>
      <c r="BR118" s="3172">
        <f>SUM(BO118:BQ118)</f>
        <v>2</v>
      </c>
      <c r="BS118" s="3171"/>
      <c r="BT118" s="3171"/>
      <c r="BU118" s="3171">
        <v>1</v>
      </c>
      <c r="BV118" s="3172">
        <f>SUM(BS118:BU118)</f>
        <v>1</v>
      </c>
      <c r="BW118" s="3171"/>
      <c r="BX118" s="3171"/>
      <c r="BY118" s="3171">
        <v>1</v>
      </c>
      <c r="BZ118" s="3172">
        <f>SUM(BW118:BY118)</f>
        <v>1</v>
      </c>
      <c r="CA118" s="3171">
        <v>0</v>
      </c>
      <c r="CB118" s="3171">
        <v>0</v>
      </c>
      <c r="CC118" s="3171">
        <v>1</v>
      </c>
      <c r="CD118" s="3172">
        <f>SUM(CA118:CC118)</f>
        <v>1</v>
      </c>
    </row>
    <row r="119" spans="1:82" ht="15" customHeight="1" x14ac:dyDescent="0.3">
      <c r="A119" s="3159"/>
      <c r="B119" s="3129" t="s">
        <v>134</v>
      </c>
      <c r="C119" s="3190"/>
      <c r="D119" s="3191"/>
      <c r="E119" s="3191"/>
      <c r="F119" s="3192"/>
      <c r="G119" s="3190"/>
      <c r="H119" s="3191"/>
      <c r="I119" s="3191"/>
      <c r="J119" s="3192"/>
      <c r="K119" s="3190"/>
      <c r="L119" s="3191"/>
      <c r="M119" s="3191"/>
      <c r="N119" s="3191"/>
      <c r="O119" s="3190"/>
      <c r="P119" s="3191"/>
      <c r="Q119" s="3191"/>
      <c r="R119" s="3192"/>
      <c r="S119" s="3193"/>
      <c r="T119" s="3193"/>
      <c r="U119" s="3193"/>
      <c r="V119" s="3194"/>
      <c r="W119" s="3195"/>
      <c r="X119" s="3193"/>
      <c r="Y119" s="3193"/>
      <c r="Z119" s="3194"/>
      <c r="AA119" s="3195"/>
      <c r="AB119" s="3193"/>
      <c r="AC119" s="3193"/>
      <c r="AD119" s="3194"/>
      <c r="AE119" s="3195"/>
      <c r="AF119" s="3193"/>
      <c r="AG119" s="3193"/>
      <c r="AH119" s="3194"/>
      <c r="AI119" s="3195"/>
      <c r="AJ119" s="3193">
        <f>SUM(AJ116:AJ118)</f>
        <v>2</v>
      </c>
      <c r="AK119" s="3193"/>
      <c r="AL119" s="3194">
        <f>SUM(AL116:AL118)</f>
        <v>2</v>
      </c>
      <c r="AM119" s="3195"/>
      <c r="AN119" s="3193">
        <f>SUM(AN116:AN118)</f>
        <v>3</v>
      </c>
      <c r="AO119" s="3193"/>
      <c r="AP119" s="3194">
        <f>SUM(AP116:AP118)</f>
        <v>3</v>
      </c>
      <c r="AQ119" s="3195"/>
      <c r="AR119" s="3193">
        <f>SUM(AR116:AR118)</f>
        <v>2</v>
      </c>
      <c r="AS119" s="3193">
        <f>SUM(AS116:AS118)</f>
        <v>1</v>
      </c>
      <c r="AT119" s="3194">
        <f>SUM(AT116:AT118)</f>
        <v>3</v>
      </c>
      <c r="AU119" s="3195"/>
      <c r="AV119" s="3193">
        <f>SUM(AV116:AV118)</f>
        <v>2</v>
      </c>
      <c r="AW119" s="3193">
        <f>SUM(AW116:AW118)</f>
        <v>2</v>
      </c>
      <c r="AX119" s="3194">
        <f>SUM(AX116:AX118)</f>
        <v>4</v>
      </c>
      <c r="AY119" s="3195"/>
      <c r="AZ119" s="3193">
        <f>SUM(AZ116:AZ118)</f>
        <v>2</v>
      </c>
      <c r="BA119" s="3193">
        <f>SUM(BA116:BA118)</f>
        <v>4</v>
      </c>
      <c r="BB119" s="3194">
        <f>SUM(BB116:BB118)</f>
        <v>6</v>
      </c>
      <c r="BC119" s="3195"/>
      <c r="BD119" s="3193">
        <f>SUM(BD116:BD118)</f>
        <v>1</v>
      </c>
      <c r="BE119" s="3193">
        <f>SUM(BE116:BE118)</f>
        <v>4</v>
      </c>
      <c r="BF119" s="3194">
        <f>SUM(BF116:BF118)</f>
        <v>5</v>
      </c>
      <c r="BG119" s="3195"/>
      <c r="BH119" s="3193">
        <f>SUM(BH116:BH118)</f>
        <v>1</v>
      </c>
      <c r="BI119" s="3193">
        <f>SUM(BI116:BI118)</f>
        <v>4</v>
      </c>
      <c r="BJ119" s="3194">
        <f>SUM(BJ116:BJ118)</f>
        <v>5</v>
      </c>
      <c r="BK119" s="3195"/>
      <c r="BL119" s="3193">
        <f>SUM(BL116:BL118)</f>
        <v>0</v>
      </c>
      <c r="BM119" s="3193">
        <f>SUM(BM116:BM118)</f>
        <v>3</v>
      </c>
      <c r="BN119" s="3194">
        <f>SUM(BN116:BN118)</f>
        <v>3</v>
      </c>
      <c r="BO119" s="3195"/>
      <c r="BP119" s="3193">
        <f>SUM(BP116:BP118)</f>
        <v>0</v>
      </c>
      <c r="BQ119" s="3193">
        <f>SUM(BQ116:BQ118)</f>
        <v>2</v>
      </c>
      <c r="BR119" s="3194">
        <f>SUM(BR116:BR118)</f>
        <v>2</v>
      </c>
      <c r="BS119" s="3195"/>
      <c r="BT119" s="3193">
        <f>SUM(BT116:BT118)</f>
        <v>0</v>
      </c>
      <c r="BU119" s="3193">
        <f>SUM(BU116:BU118)</f>
        <v>1</v>
      </c>
      <c r="BV119" s="3194">
        <f>SUM(BV116:BV118)</f>
        <v>1</v>
      </c>
      <c r="BW119" s="3195"/>
      <c r="BX119" s="3193">
        <f>SUM(BX116:BX118)</f>
        <v>0</v>
      </c>
      <c r="BY119" s="3193">
        <f>SUM(BY116:BY118)</f>
        <v>1</v>
      </c>
      <c r="BZ119" s="3194">
        <f>SUM(BZ116:BZ118)</f>
        <v>1</v>
      </c>
      <c r="CA119" s="3195"/>
      <c r="CB119" s="3193">
        <f>SUM(CB116:CB118)</f>
        <v>0</v>
      </c>
      <c r="CC119" s="3193">
        <f>SUM(CC116:CC118)</f>
        <v>1</v>
      </c>
      <c r="CD119" s="3194">
        <f>SUM(CD116:CD118)</f>
        <v>1</v>
      </c>
    </row>
    <row r="120" spans="1:82" ht="15.75" customHeight="1" x14ac:dyDescent="0.3">
      <c r="A120" s="3159"/>
      <c r="B120" s="3104"/>
      <c r="C120" s="3104"/>
      <c r="D120" s="3104"/>
      <c r="E120" s="3104"/>
      <c r="F120" s="3104"/>
      <c r="G120" s="3104"/>
      <c r="H120" s="3104"/>
      <c r="I120" s="3104"/>
      <c r="J120" s="3104"/>
      <c r="K120" s="3104"/>
      <c r="L120" s="3104"/>
      <c r="M120" s="3104"/>
      <c r="N120" s="3104"/>
      <c r="O120" s="3104"/>
      <c r="P120" s="3104"/>
      <c r="Q120" s="3104"/>
      <c r="R120" s="3104"/>
      <c r="S120" s="3104"/>
      <c r="T120" s="3104"/>
      <c r="U120" s="3104"/>
      <c r="V120" s="3104"/>
      <c r="W120" s="3104"/>
      <c r="X120" s="3104"/>
      <c r="Y120" s="3104"/>
      <c r="Z120" s="3104"/>
      <c r="AA120" s="3104"/>
      <c r="AB120" s="3104"/>
      <c r="AC120" s="3104"/>
      <c r="AD120" s="3104"/>
      <c r="AE120" s="3104"/>
      <c r="AF120" s="3104"/>
      <c r="AG120" s="3104"/>
      <c r="AH120" s="3104"/>
      <c r="AI120" s="3104"/>
      <c r="AJ120" s="3104"/>
      <c r="AK120" s="3104"/>
      <c r="AL120" s="3104"/>
      <c r="AM120" s="3104"/>
      <c r="AN120" s="3104"/>
      <c r="AO120" s="3104"/>
      <c r="AP120" s="3104"/>
      <c r="AQ120" s="3104"/>
      <c r="AR120" s="3104"/>
      <c r="AS120" s="3104"/>
      <c r="AT120" s="3104"/>
      <c r="AU120" s="3104"/>
      <c r="AV120" s="3104"/>
      <c r="AW120" s="3104"/>
      <c r="AX120" s="3104"/>
      <c r="AY120" s="3104"/>
      <c r="AZ120" s="3104"/>
      <c r="BA120" s="3104"/>
      <c r="BB120" s="3104"/>
      <c r="BC120" s="3104"/>
      <c r="BD120" s="3104"/>
      <c r="BE120" s="3104"/>
      <c r="BF120" s="3104"/>
      <c r="BG120" s="3104"/>
      <c r="BH120" s="3104"/>
      <c r="BI120" s="3104"/>
      <c r="BJ120" s="3104"/>
      <c r="BK120" s="3104"/>
      <c r="BL120" s="3104"/>
      <c r="BM120" s="3104"/>
      <c r="BN120" s="3104"/>
      <c r="BO120" s="3104"/>
      <c r="BP120" s="3104"/>
      <c r="BQ120" s="3104"/>
      <c r="BR120" s="3104"/>
      <c r="BS120" s="3104"/>
      <c r="BT120" s="3104"/>
      <c r="BU120" s="3104"/>
      <c r="BV120" s="3104"/>
      <c r="BW120" s="3104"/>
      <c r="BX120" s="3104"/>
      <c r="BY120" s="3104"/>
      <c r="BZ120" s="3104"/>
      <c r="CA120" s="3104"/>
      <c r="CB120" s="3104"/>
      <c r="CC120" s="3104"/>
      <c r="CD120" s="3104"/>
    </row>
    <row r="121" spans="1:82" ht="15" customHeight="1" x14ac:dyDescent="0.3">
      <c r="A121" s="3159"/>
      <c r="B121" s="3105" t="s">
        <v>59</v>
      </c>
      <c r="C121" s="3166">
        <v>1</v>
      </c>
      <c r="D121" s="3167">
        <v>9</v>
      </c>
      <c r="E121" s="3167">
        <v>7</v>
      </c>
      <c r="F121" s="3168">
        <v>17</v>
      </c>
      <c r="G121" s="3166"/>
      <c r="H121" s="3167">
        <v>10</v>
      </c>
      <c r="I121" s="3167">
        <v>8</v>
      </c>
      <c r="J121" s="3168">
        <v>18</v>
      </c>
      <c r="K121" s="3166"/>
      <c r="L121" s="3167">
        <v>12</v>
      </c>
      <c r="M121" s="3167">
        <v>8</v>
      </c>
      <c r="N121" s="3169">
        <v>20</v>
      </c>
      <c r="O121" s="3166"/>
      <c r="P121" s="3167">
        <v>11</v>
      </c>
      <c r="Q121" s="3167">
        <v>8</v>
      </c>
      <c r="R121" s="3168">
        <v>19</v>
      </c>
      <c r="S121" s="3167"/>
      <c r="T121" s="3167">
        <v>11</v>
      </c>
      <c r="U121" s="3167">
        <v>8</v>
      </c>
      <c r="V121" s="3168">
        <v>19</v>
      </c>
      <c r="W121" s="3167"/>
      <c r="X121" s="3167">
        <v>10</v>
      </c>
      <c r="Y121" s="3167">
        <v>7</v>
      </c>
      <c r="Z121" s="3168">
        <v>17</v>
      </c>
      <c r="AA121" s="3167"/>
      <c r="AB121" s="3167">
        <v>10</v>
      </c>
      <c r="AC121" s="3167">
        <v>7</v>
      </c>
      <c r="AD121" s="3168">
        <v>17</v>
      </c>
      <c r="AE121" s="3167"/>
      <c r="AF121" s="3167">
        <v>8</v>
      </c>
      <c r="AG121" s="3167">
        <v>8</v>
      </c>
      <c r="AH121" s="3168">
        <v>16</v>
      </c>
      <c r="AI121" s="3167"/>
      <c r="AJ121" s="3167">
        <v>8</v>
      </c>
      <c r="AK121" s="3167">
        <v>7</v>
      </c>
      <c r="AL121" s="3168">
        <f>SUM(AI121:AK121)</f>
        <v>15</v>
      </c>
      <c r="AM121" s="3167"/>
      <c r="AN121" s="3167">
        <v>8</v>
      </c>
      <c r="AO121" s="3167">
        <v>6</v>
      </c>
      <c r="AP121" s="3168">
        <f>SUM(AM121:AO121)</f>
        <v>14</v>
      </c>
      <c r="AQ121" s="3167"/>
      <c r="AR121" s="3167">
        <v>8</v>
      </c>
      <c r="AS121" s="3167">
        <v>6</v>
      </c>
      <c r="AT121" s="3168">
        <f>SUM(AQ121:AS121)</f>
        <v>14</v>
      </c>
      <c r="AU121" s="3167"/>
      <c r="AV121" s="3167">
        <v>8</v>
      </c>
      <c r="AW121" s="3167">
        <v>6</v>
      </c>
      <c r="AX121" s="3168">
        <f>SUM(AU121:AW121)</f>
        <v>14</v>
      </c>
      <c r="AY121" s="3167">
        <v>0</v>
      </c>
      <c r="AZ121" s="3167">
        <v>9</v>
      </c>
      <c r="BA121" s="3167">
        <v>6</v>
      </c>
      <c r="BB121" s="3168">
        <f>SUM(AY121:BA121)</f>
        <v>15</v>
      </c>
      <c r="BC121" s="3167">
        <v>0</v>
      </c>
      <c r="BD121" s="3167">
        <v>8</v>
      </c>
      <c r="BE121" s="3167">
        <v>6</v>
      </c>
      <c r="BF121" s="3168">
        <f>SUM(BC121:BE121)</f>
        <v>14</v>
      </c>
      <c r="BG121" s="3167"/>
      <c r="BH121" s="3167">
        <v>7</v>
      </c>
      <c r="BI121" s="3167">
        <v>6</v>
      </c>
      <c r="BJ121" s="3168">
        <f>SUM(BG121:BI121)</f>
        <v>13</v>
      </c>
      <c r="BK121" s="3167"/>
      <c r="BL121" s="3167">
        <v>7</v>
      </c>
      <c r="BM121" s="3167">
        <v>6</v>
      </c>
      <c r="BN121" s="3168">
        <f>SUM(BK121:BM121)</f>
        <v>13</v>
      </c>
      <c r="BO121" s="3167"/>
      <c r="BP121" s="3167">
        <v>7</v>
      </c>
      <c r="BQ121" s="3167">
        <v>6</v>
      </c>
      <c r="BR121" s="3168">
        <f>SUM(BO121:BQ121)</f>
        <v>13</v>
      </c>
      <c r="BS121" s="3167"/>
      <c r="BT121" s="3167">
        <v>5</v>
      </c>
      <c r="BU121" s="3167">
        <v>6</v>
      </c>
      <c r="BV121" s="3168">
        <f>SUM(BS121:BU121)</f>
        <v>11</v>
      </c>
      <c r="BW121" s="3167">
        <v>0</v>
      </c>
      <c r="BX121" s="3167">
        <v>4</v>
      </c>
      <c r="BY121" s="3167">
        <v>6</v>
      </c>
      <c r="BZ121" s="3168">
        <f>SUM(BW121:BY121)</f>
        <v>10</v>
      </c>
      <c r="CA121" s="3167">
        <v>0</v>
      </c>
      <c r="CB121" s="3167">
        <v>4</v>
      </c>
      <c r="CC121" s="3167">
        <v>6</v>
      </c>
      <c r="CD121" s="3168">
        <f>SUM(CA121:CC121)</f>
        <v>10</v>
      </c>
    </row>
    <row r="122" spans="1:82" ht="15" customHeight="1" x14ac:dyDescent="0.3">
      <c r="A122" s="3159"/>
      <c r="B122" s="3110" t="s">
        <v>64</v>
      </c>
      <c r="C122" s="3170">
        <v>1</v>
      </c>
      <c r="D122" s="3171">
        <v>21</v>
      </c>
      <c r="E122" s="3171">
        <v>19</v>
      </c>
      <c r="F122" s="3172">
        <v>41</v>
      </c>
      <c r="G122" s="3170"/>
      <c r="H122" s="3171">
        <v>21</v>
      </c>
      <c r="I122" s="3171">
        <v>24</v>
      </c>
      <c r="J122" s="3172">
        <v>45</v>
      </c>
      <c r="K122" s="3170"/>
      <c r="L122" s="3171">
        <v>19</v>
      </c>
      <c r="M122" s="3171">
        <v>23</v>
      </c>
      <c r="N122" s="3173">
        <v>42</v>
      </c>
      <c r="O122" s="3170"/>
      <c r="P122" s="3171">
        <v>18</v>
      </c>
      <c r="Q122" s="3171">
        <v>23</v>
      </c>
      <c r="R122" s="3172">
        <v>41</v>
      </c>
      <c r="S122" s="3171"/>
      <c r="T122" s="3171">
        <v>18</v>
      </c>
      <c r="U122" s="3171">
        <v>23</v>
      </c>
      <c r="V122" s="3172">
        <v>41</v>
      </c>
      <c r="W122" s="3171"/>
      <c r="X122" s="3171">
        <v>17</v>
      </c>
      <c r="Y122" s="3171">
        <v>23</v>
      </c>
      <c r="Z122" s="3172">
        <v>40</v>
      </c>
      <c r="AA122" s="3171"/>
      <c r="AB122" s="3171">
        <v>14</v>
      </c>
      <c r="AC122" s="3171">
        <v>23</v>
      </c>
      <c r="AD122" s="3172">
        <v>37</v>
      </c>
      <c r="AE122" s="3171"/>
      <c r="AF122" s="3171">
        <v>20</v>
      </c>
      <c r="AG122" s="3171">
        <v>23</v>
      </c>
      <c r="AH122" s="3172">
        <v>43</v>
      </c>
      <c r="AI122" s="3171"/>
      <c r="AJ122" s="3171">
        <v>18</v>
      </c>
      <c r="AK122" s="3171">
        <v>24</v>
      </c>
      <c r="AL122" s="3172">
        <f>SUM(AI122:AK122)</f>
        <v>42</v>
      </c>
      <c r="AM122" s="3171"/>
      <c r="AN122" s="3171">
        <v>22</v>
      </c>
      <c r="AO122" s="3171">
        <v>23</v>
      </c>
      <c r="AP122" s="3172">
        <f>SUM(AM122:AO122)</f>
        <v>45</v>
      </c>
      <c r="AQ122" s="3171"/>
      <c r="AR122" s="3171">
        <v>21</v>
      </c>
      <c r="AS122" s="3171">
        <v>22</v>
      </c>
      <c r="AT122" s="3172">
        <f>SUM(AQ122:AS122)</f>
        <v>43</v>
      </c>
      <c r="AU122" s="3171"/>
      <c r="AV122" s="3171">
        <v>23</v>
      </c>
      <c r="AW122" s="3171">
        <v>25</v>
      </c>
      <c r="AX122" s="3172">
        <f>SUM(AU122:AW122)</f>
        <v>48</v>
      </c>
      <c r="AY122" s="3171">
        <v>0</v>
      </c>
      <c r="AZ122" s="3171">
        <v>16</v>
      </c>
      <c r="BA122" s="3171">
        <v>23</v>
      </c>
      <c r="BB122" s="3172">
        <f>SUM(AY122:BA122)</f>
        <v>39</v>
      </c>
      <c r="BC122" s="3171">
        <v>0</v>
      </c>
      <c r="BD122" s="3171">
        <v>13</v>
      </c>
      <c r="BE122" s="3171">
        <v>24</v>
      </c>
      <c r="BF122" s="3172">
        <f>SUM(BC122:BE122)</f>
        <v>37</v>
      </c>
      <c r="BG122" s="3171"/>
      <c r="BH122" s="3171">
        <v>15</v>
      </c>
      <c r="BI122" s="3171">
        <v>22</v>
      </c>
      <c r="BJ122" s="3172">
        <f>SUM(BG122:BI122)</f>
        <v>37</v>
      </c>
      <c r="BK122" s="3171"/>
      <c r="BL122" s="3171">
        <v>13</v>
      </c>
      <c r="BM122" s="3171">
        <v>22</v>
      </c>
      <c r="BN122" s="3172">
        <f>SUM(BK122:BM122)</f>
        <v>35</v>
      </c>
      <c r="BO122" s="3171"/>
      <c r="BP122" s="3171">
        <v>10</v>
      </c>
      <c r="BQ122" s="3171">
        <v>21</v>
      </c>
      <c r="BR122" s="3172">
        <f>SUM(BO122:BQ122)</f>
        <v>31</v>
      </c>
      <c r="BS122" s="3171"/>
      <c r="BT122" s="3171">
        <v>8</v>
      </c>
      <c r="BU122" s="3171">
        <v>21</v>
      </c>
      <c r="BV122" s="3172">
        <f>SUM(BS122:BU122)</f>
        <v>29</v>
      </c>
      <c r="BW122" s="3171">
        <v>0</v>
      </c>
      <c r="BX122" s="3171">
        <v>8</v>
      </c>
      <c r="BY122" s="3171">
        <v>20</v>
      </c>
      <c r="BZ122" s="3172">
        <f>SUM(BW122:BY122)</f>
        <v>28</v>
      </c>
      <c r="CA122" s="3171">
        <v>0</v>
      </c>
      <c r="CB122" s="3171">
        <v>9</v>
      </c>
      <c r="CC122" s="3171">
        <v>18</v>
      </c>
      <c r="CD122" s="3172">
        <f>SUM(CA122:CC122)</f>
        <v>27</v>
      </c>
    </row>
    <row r="123" spans="1:82" ht="15" customHeight="1" x14ac:dyDescent="0.3">
      <c r="A123" s="3159"/>
      <c r="B123" s="3110" t="s">
        <v>92</v>
      </c>
      <c r="C123" s="3170">
        <v>5</v>
      </c>
      <c r="D123" s="3171">
        <v>6</v>
      </c>
      <c r="E123" s="3171">
        <v>32</v>
      </c>
      <c r="F123" s="3172">
        <v>43</v>
      </c>
      <c r="G123" s="3170">
        <v>5</v>
      </c>
      <c r="H123" s="3171">
        <v>6</v>
      </c>
      <c r="I123" s="3171">
        <v>32</v>
      </c>
      <c r="J123" s="3172">
        <v>43</v>
      </c>
      <c r="K123" s="3170">
        <v>4</v>
      </c>
      <c r="L123" s="3171">
        <v>4</v>
      </c>
      <c r="M123" s="3171">
        <v>30</v>
      </c>
      <c r="N123" s="3173">
        <v>38</v>
      </c>
      <c r="O123" s="3170">
        <v>3</v>
      </c>
      <c r="P123" s="3171">
        <v>4</v>
      </c>
      <c r="Q123" s="3171">
        <v>29</v>
      </c>
      <c r="R123" s="3172">
        <v>36</v>
      </c>
      <c r="S123" s="3171">
        <v>3</v>
      </c>
      <c r="T123" s="3171">
        <v>2</v>
      </c>
      <c r="U123" s="3171">
        <v>26</v>
      </c>
      <c r="V123" s="3172">
        <v>31</v>
      </c>
      <c r="W123" s="3171">
        <v>2</v>
      </c>
      <c r="X123" s="3171">
        <v>2</v>
      </c>
      <c r="Y123" s="3171">
        <v>24</v>
      </c>
      <c r="Z123" s="3172">
        <v>28</v>
      </c>
      <c r="AA123" s="3171">
        <v>2</v>
      </c>
      <c r="AB123" s="3171">
        <v>2</v>
      </c>
      <c r="AC123" s="3171">
        <v>23</v>
      </c>
      <c r="AD123" s="3172">
        <v>27</v>
      </c>
      <c r="AE123" s="3171">
        <v>2</v>
      </c>
      <c r="AF123" s="3171">
        <v>2</v>
      </c>
      <c r="AG123" s="3171">
        <v>23</v>
      </c>
      <c r="AH123" s="3172">
        <v>27</v>
      </c>
      <c r="AI123" s="3171">
        <v>2</v>
      </c>
      <c r="AJ123" s="3171">
        <v>1</v>
      </c>
      <c r="AK123" s="3171">
        <v>23</v>
      </c>
      <c r="AL123" s="3172">
        <f>SUM(AI123:AK123)</f>
        <v>26</v>
      </c>
      <c r="AM123" s="3171">
        <v>2</v>
      </c>
      <c r="AN123" s="3171">
        <v>1</v>
      </c>
      <c r="AO123" s="3171">
        <v>23</v>
      </c>
      <c r="AP123" s="3172">
        <f>SUM(AM123:AO123)</f>
        <v>26</v>
      </c>
      <c r="AQ123" s="3171">
        <v>2</v>
      </c>
      <c r="AR123" s="3171">
        <v>1</v>
      </c>
      <c r="AS123" s="3171">
        <v>19</v>
      </c>
      <c r="AT123" s="3172">
        <f>SUM(AQ123:AS123)</f>
        <v>22</v>
      </c>
      <c r="AU123" s="3171">
        <v>2</v>
      </c>
      <c r="AV123" s="3171">
        <v>1</v>
      </c>
      <c r="AW123" s="3171">
        <v>16</v>
      </c>
      <c r="AX123" s="3172">
        <f>SUM(AU123:AW123)</f>
        <v>19</v>
      </c>
      <c r="AY123" s="3171">
        <v>2</v>
      </c>
      <c r="AZ123" s="3171">
        <v>1</v>
      </c>
      <c r="BA123" s="3171">
        <v>16</v>
      </c>
      <c r="BB123" s="3172">
        <f>SUM(AY123:BA123)</f>
        <v>19</v>
      </c>
      <c r="BC123" s="3171">
        <v>2</v>
      </c>
      <c r="BD123" s="3171">
        <v>1</v>
      </c>
      <c r="BE123" s="3171">
        <v>16</v>
      </c>
      <c r="BF123" s="3172">
        <f>SUM(BC123:BE123)</f>
        <v>19</v>
      </c>
      <c r="BG123" s="3171">
        <v>2</v>
      </c>
      <c r="BH123" s="3171">
        <v>1</v>
      </c>
      <c r="BI123" s="3171">
        <v>15</v>
      </c>
      <c r="BJ123" s="3172">
        <f>SUM(BG123:BI123)</f>
        <v>18</v>
      </c>
      <c r="BK123" s="3171">
        <v>2</v>
      </c>
      <c r="BL123" s="3171">
        <v>1</v>
      </c>
      <c r="BM123" s="3171">
        <v>13</v>
      </c>
      <c r="BN123" s="3172">
        <f>SUM(BK123:BM123)</f>
        <v>16</v>
      </c>
      <c r="BO123" s="3171">
        <v>2</v>
      </c>
      <c r="BP123" s="3171">
        <v>1</v>
      </c>
      <c r="BQ123" s="3171">
        <v>13</v>
      </c>
      <c r="BR123" s="3172">
        <f>SUM(BO123:BQ123)</f>
        <v>16</v>
      </c>
      <c r="BS123" s="3171">
        <v>2</v>
      </c>
      <c r="BT123" s="3171">
        <v>1</v>
      </c>
      <c r="BU123" s="3171">
        <v>11</v>
      </c>
      <c r="BV123" s="3172">
        <f>SUM(BS123:BU123)</f>
        <v>14</v>
      </c>
      <c r="BW123" s="3171">
        <v>2</v>
      </c>
      <c r="BX123" s="3171">
        <v>1</v>
      </c>
      <c r="BY123" s="3171">
        <v>10</v>
      </c>
      <c r="BZ123" s="3172">
        <f>SUM(BW123:BY123)</f>
        <v>13</v>
      </c>
      <c r="CA123" s="3171">
        <v>2</v>
      </c>
      <c r="CB123" s="3171">
        <v>1</v>
      </c>
      <c r="CC123" s="3171">
        <v>10</v>
      </c>
      <c r="CD123" s="3172">
        <f>SUM(CA123:CC123)</f>
        <v>13</v>
      </c>
    </row>
    <row r="124" spans="1:82" ht="15" customHeight="1" x14ac:dyDescent="0.3">
      <c r="A124" s="3159"/>
      <c r="B124" s="3136" t="s">
        <v>135</v>
      </c>
      <c r="C124" s="3196">
        <v>7</v>
      </c>
      <c r="D124" s="3197">
        <v>36</v>
      </c>
      <c r="E124" s="3197">
        <v>58</v>
      </c>
      <c r="F124" s="3198">
        <v>101</v>
      </c>
      <c r="G124" s="3196">
        <v>5</v>
      </c>
      <c r="H124" s="3197">
        <v>37</v>
      </c>
      <c r="I124" s="3197">
        <v>64</v>
      </c>
      <c r="J124" s="3198">
        <v>106</v>
      </c>
      <c r="K124" s="3196">
        <v>4</v>
      </c>
      <c r="L124" s="3197">
        <v>35</v>
      </c>
      <c r="M124" s="3197">
        <v>61</v>
      </c>
      <c r="N124" s="3197">
        <v>100</v>
      </c>
      <c r="O124" s="3196">
        <v>3</v>
      </c>
      <c r="P124" s="3197">
        <v>33</v>
      </c>
      <c r="Q124" s="3197">
        <v>60</v>
      </c>
      <c r="R124" s="3198">
        <v>96</v>
      </c>
      <c r="S124" s="3197">
        <v>3</v>
      </c>
      <c r="T124" s="3197">
        <v>31</v>
      </c>
      <c r="U124" s="3197">
        <v>57</v>
      </c>
      <c r="V124" s="3198">
        <v>91</v>
      </c>
      <c r="W124" s="3196">
        <v>2</v>
      </c>
      <c r="X124" s="3197">
        <v>29</v>
      </c>
      <c r="Y124" s="3197">
        <v>54</v>
      </c>
      <c r="Z124" s="3198">
        <v>85</v>
      </c>
      <c r="AA124" s="3196">
        <v>2</v>
      </c>
      <c r="AB124" s="3197">
        <v>26</v>
      </c>
      <c r="AC124" s="3197">
        <v>53</v>
      </c>
      <c r="AD124" s="3198">
        <v>81</v>
      </c>
      <c r="AE124" s="3196">
        <v>2</v>
      </c>
      <c r="AF124" s="3197">
        <v>30</v>
      </c>
      <c r="AG124" s="3197">
        <v>54</v>
      </c>
      <c r="AH124" s="3198">
        <v>86</v>
      </c>
      <c r="AI124" s="3196">
        <f t="shared" ref="AI124:BV124" si="118">SUM(AI121:AI123)</f>
        <v>2</v>
      </c>
      <c r="AJ124" s="3197">
        <f t="shared" si="118"/>
        <v>27</v>
      </c>
      <c r="AK124" s="3197">
        <f t="shared" si="118"/>
        <v>54</v>
      </c>
      <c r="AL124" s="3198">
        <f t="shared" si="118"/>
        <v>83</v>
      </c>
      <c r="AM124" s="3196">
        <f t="shared" si="118"/>
        <v>2</v>
      </c>
      <c r="AN124" s="3197">
        <f t="shared" si="118"/>
        <v>31</v>
      </c>
      <c r="AO124" s="3197">
        <f t="shared" si="118"/>
        <v>52</v>
      </c>
      <c r="AP124" s="3198">
        <f t="shared" si="118"/>
        <v>85</v>
      </c>
      <c r="AQ124" s="3196">
        <f t="shared" si="118"/>
        <v>2</v>
      </c>
      <c r="AR124" s="3197">
        <f t="shared" si="118"/>
        <v>30</v>
      </c>
      <c r="AS124" s="3197">
        <f t="shared" si="118"/>
        <v>47</v>
      </c>
      <c r="AT124" s="3198">
        <f t="shared" si="118"/>
        <v>79</v>
      </c>
      <c r="AU124" s="3196">
        <f t="shared" si="118"/>
        <v>2</v>
      </c>
      <c r="AV124" s="3197">
        <f t="shared" si="118"/>
        <v>32</v>
      </c>
      <c r="AW124" s="3197">
        <f t="shared" si="118"/>
        <v>47</v>
      </c>
      <c r="AX124" s="3198">
        <f t="shared" si="118"/>
        <v>81</v>
      </c>
      <c r="AY124" s="3196">
        <f t="shared" si="118"/>
        <v>2</v>
      </c>
      <c r="AZ124" s="3197">
        <f t="shared" si="118"/>
        <v>26</v>
      </c>
      <c r="BA124" s="3197">
        <f t="shared" si="118"/>
        <v>45</v>
      </c>
      <c r="BB124" s="3198">
        <f t="shared" si="118"/>
        <v>73</v>
      </c>
      <c r="BC124" s="3196">
        <f t="shared" si="118"/>
        <v>2</v>
      </c>
      <c r="BD124" s="3197">
        <f t="shared" si="118"/>
        <v>22</v>
      </c>
      <c r="BE124" s="3197">
        <f t="shared" si="118"/>
        <v>46</v>
      </c>
      <c r="BF124" s="3198">
        <f t="shared" si="118"/>
        <v>70</v>
      </c>
      <c r="BG124" s="3196">
        <f t="shared" si="118"/>
        <v>2</v>
      </c>
      <c r="BH124" s="3197">
        <f t="shared" si="118"/>
        <v>23</v>
      </c>
      <c r="BI124" s="3197">
        <f t="shared" si="118"/>
        <v>43</v>
      </c>
      <c r="BJ124" s="3198">
        <f t="shared" si="118"/>
        <v>68</v>
      </c>
      <c r="BK124" s="3196">
        <f t="shared" si="118"/>
        <v>2</v>
      </c>
      <c r="BL124" s="3197">
        <f t="shared" si="118"/>
        <v>21</v>
      </c>
      <c r="BM124" s="3197">
        <f t="shared" si="118"/>
        <v>41</v>
      </c>
      <c r="BN124" s="3198">
        <f t="shared" si="118"/>
        <v>64</v>
      </c>
      <c r="BO124" s="3196">
        <f t="shared" si="118"/>
        <v>2</v>
      </c>
      <c r="BP124" s="3197">
        <f t="shared" si="118"/>
        <v>18</v>
      </c>
      <c r="BQ124" s="3197">
        <f t="shared" si="118"/>
        <v>40</v>
      </c>
      <c r="BR124" s="3198">
        <f t="shared" si="118"/>
        <v>60</v>
      </c>
      <c r="BS124" s="3196">
        <f t="shared" si="118"/>
        <v>2</v>
      </c>
      <c r="BT124" s="3197">
        <f t="shared" si="118"/>
        <v>14</v>
      </c>
      <c r="BU124" s="3197">
        <f t="shared" si="118"/>
        <v>38</v>
      </c>
      <c r="BV124" s="3198">
        <f t="shared" si="118"/>
        <v>54</v>
      </c>
      <c r="BW124" s="3196">
        <f t="shared" ref="BW124:BZ124" si="119">SUM(BW121:BW123)</f>
        <v>2</v>
      </c>
      <c r="BX124" s="3197">
        <f t="shared" si="119"/>
        <v>13</v>
      </c>
      <c r="BY124" s="3197">
        <f t="shared" si="119"/>
        <v>36</v>
      </c>
      <c r="BZ124" s="3198">
        <f t="shared" si="119"/>
        <v>51</v>
      </c>
      <c r="CA124" s="3196">
        <f t="shared" ref="CA124:CD124" si="120">SUM(CA121:CA123)</f>
        <v>2</v>
      </c>
      <c r="CB124" s="3197">
        <f t="shared" si="120"/>
        <v>14</v>
      </c>
      <c r="CC124" s="3197">
        <f t="shared" si="120"/>
        <v>34</v>
      </c>
      <c r="CD124" s="3198">
        <f t="shared" si="120"/>
        <v>50</v>
      </c>
    </row>
    <row r="125" spans="1:82" ht="15" hidden="1" customHeight="1" x14ac:dyDescent="0.3">
      <c r="A125" s="3159"/>
      <c r="B125" s="3104"/>
      <c r="C125" s="3104"/>
      <c r="D125" s="3104"/>
      <c r="E125" s="3104"/>
      <c r="F125" s="3104"/>
      <c r="G125" s="3104"/>
      <c r="H125" s="3104"/>
      <c r="I125" s="3104"/>
      <c r="J125" s="3104"/>
      <c r="K125" s="3104"/>
      <c r="L125" s="3104"/>
      <c r="M125" s="3104"/>
      <c r="N125" s="3104"/>
      <c r="O125" s="3104"/>
      <c r="P125" s="3104"/>
      <c r="Q125" s="3104"/>
      <c r="R125" s="3104"/>
      <c r="S125" s="3104"/>
      <c r="T125" s="3104"/>
      <c r="U125" s="3104"/>
      <c r="V125" s="3104"/>
      <c r="W125" s="3104"/>
      <c r="X125" s="3104"/>
      <c r="Y125" s="3104"/>
      <c r="Z125" s="3104"/>
      <c r="AA125" s="3104"/>
      <c r="AB125" s="3104"/>
      <c r="AC125" s="3104"/>
      <c r="AD125" s="3104"/>
      <c r="AE125" s="3104"/>
      <c r="AF125" s="3104"/>
      <c r="AG125" s="3104"/>
      <c r="AH125" s="3104"/>
      <c r="AI125" s="3104"/>
      <c r="AJ125" s="3104"/>
      <c r="AK125" s="3104"/>
      <c r="AL125" s="3104"/>
      <c r="AM125" s="3104"/>
      <c r="AN125" s="3104"/>
      <c r="AO125" s="3104"/>
      <c r="AP125" s="3104"/>
      <c r="AQ125" s="3104"/>
      <c r="AR125" s="3104"/>
      <c r="AS125" s="3104"/>
      <c r="AT125" s="3104"/>
      <c r="AU125" s="3104"/>
      <c r="AV125" s="3104"/>
      <c r="AW125" s="3104"/>
      <c r="AX125" s="3104"/>
      <c r="AY125" s="3104"/>
      <c r="AZ125" s="3104"/>
      <c r="BA125" s="3104"/>
      <c r="BB125" s="3104"/>
      <c r="BC125" s="3104"/>
      <c r="BD125" s="3104"/>
      <c r="BE125" s="3104"/>
      <c r="BF125" s="3104"/>
      <c r="BG125" s="3104"/>
      <c r="BH125" s="3104"/>
      <c r="BI125" s="3104"/>
      <c r="BJ125" s="3104"/>
      <c r="BK125" s="3104"/>
      <c r="BL125" s="3104"/>
      <c r="BM125" s="3104"/>
      <c r="BN125" s="3104"/>
      <c r="BO125" s="3104"/>
      <c r="BP125" s="3104"/>
      <c r="BQ125" s="3104"/>
      <c r="BR125" s="3104"/>
      <c r="BS125" s="3104"/>
      <c r="BT125" s="3104"/>
      <c r="BU125" s="3104"/>
      <c r="BV125" s="3104"/>
      <c r="BW125" s="3104"/>
      <c r="BX125" s="3104"/>
      <c r="BY125" s="3104"/>
      <c r="BZ125" s="3104"/>
      <c r="CA125" s="3104"/>
      <c r="CB125" s="3104"/>
      <c r="CC125" s="3104"/>
      <c r="CD125" s="3104"/>
    </row>
    <row r="126" spans="1:82" ht="15" hidden="1" customHeight="1" x14ac:dyDescent="0.3">
      <c r="A126" s="3159"/>
      <c r="B126" s="3105" t="s">
        <v>59</v>
      </c>
      <c r="C126" s="3181"/>
      <c r="D126" s="3182"/>
      <c r="E126" s="3182"/>
      <c r="F126" s="3183"/>
      <c r="G126" s="3181"/>
      <c r="H126" s="3182"/>
      <c r="I126" s="3182"/>
      <c r="J126" s="3183"/>
      <c r="K126" s="3181"/>
      <c r="L126" s="3182"/>
      <c r="M126" s="3182"/>
      <c r="N126" s="3219"/>
      <c r="O126" s="3181"/>
      <c r="P126" s="3182"/>
      <c r="Q126" s="3182"/>
      <c r="R126" s="3183"/>
      <c r="S126" s="3182"/>
      <c r="T126" s="3182"/>
      <c r="U126" s="3182"/>
      <c r="V126" s="3183"/>
      <c r="W126" s="3182"/>
      <c r="X126" s="3182"/>
      <c r="Y126" s="3182"/>
      <c r="Z126" s="3183"/>
      <c r="AA126" s="3182"/>
      <c r="AB126" s="3182"/>
      <c r="AC126" s="3182"/>
      <c r="AD126" s="3183"/>
      <c r="AE126" s="3182"/>
      <c r="AF126" s="3182"/>
      <c r="AG126" s="3182"/>
      <c r="AH126" s="3183"/>
      <c r="AI126" s="3167"/>
      <c r="AJ126" s="3167"/>
      <c r="AK126" s="3167"/>
      <c r="AL126" s="3168"/>
      <c r="AM126" s="3167"/>
      <c r="AN126" s="3167"/>
      <c r="AO126" s="3167"/>
      <c r="AP126" s="3168"/>
      <c r="AQ126" s="3167"/>
      <c r="AR126" s="3167"/>
      <c r="AS126" s="3167"/>
      <c r="AT126" s="3168"/>
      <c r="AU126" s="3167"/>
      <c r="AV126" s="3167"/>
      <c r="AW126" s="3167"/>
      <c r="AX126" s="3168"/>
      <c r="AY126" s="3167"/>
      <c r="AZ126" s="3167"/>
      <c r="BA126" s="3167"/>
      <c r="BB126" s="3168"/>
      <c r="BC126" s="3167"/>
      <c r="BD126" s="3167"/>
      <c r="BE126" s="3167"/>
      <c r="BF126" s="3168"/>
      <c r="BG126" s="3167"/>
      <c r="BH126" s="3167"/>
      <c r="BI126" s="3167"/>
      <c r="BJ126" s="3168"/>
      <c r="BK126" s="3167"/>
      <c r="BL126" s="3167"/>
      <c r="BM126" s="3167"/>
      <c r="BN126" s="3168"/>
      <c r="BO126" s="3167"/>
      <c r="BP126" s="3167"/>
      <c r="BQ126" s="3167"/>
      <c r="BR126" s="3168"/>
      <c r="BS126" s="3167"/>
      <c r="BT126" s="3167"/>
      <c r="BU126" s="3167"/>
      <c r="BV126" s="3168"/>
      <c r="BW126" s="3167"/>
      <c r="BX126" s="3167"/>
      <c r="BY126" s="3167"/>
      <c r="BZ126" s="3168"/>
      <c r="CA126" s="3167"/>
      <c r="CB126" s="3167"/>
      <c r="CC126" s="3167"/>
      <c r="CD126" s="3168"/>
    </row>
    <row r="127" spans="1:82" ht="15" hidden="1" customHeight="1" x14ac:dyDescent="0.3">
      <c r="A127" s="3159"/>
      <c r="B127" s="3110" t="s">
        <v>64</v>
      </c>
      <c r="C127" s="3184"/>
      <c r="D127" s="3185"/>
      <c r="E127" s="3185"/>
      <c r="F127" s="3186"/>
      <c r="G127" s="3184"/>
      <c r="H127" s="3185"/>
      <c r="I127" s="3185"/>
      <c r="J127" s="3186"/>
      <c r="K127" s="3184"/>
      <c r="L127" s="3185"/>
      <c r="M127" s="3185"/>
      <c r="N127" s="3220"/>
      <c r="O127" s="3184"/>
      <c r="P127" s="3185"/>
      <c r="Q127" s="3185"/>
      <c r="R127" s="3186"/>
      <c r="S127" s="3185"/>
      <c r="T127" s="3185"/>
      <c r="U127" s="3185"/>
      <c r="V127" s="3186"/>
      <c r="W127" s="3185"/>
      <c r="X127" s="3185"/>
      <c r="Y127" s="3185"/>
      <c r="Z127" s="3186"/>
      <c r="AA127" s="3185"/>
      <c r="AB127" s="3185"/>
      <c r="AC127" s="3185"/>
      <c r="AD127" s="3186"/>
      <c r="AE127" s="3185"/>
      <c r="AF127" s="3185"/>
      <c r="AG127" s="3185"/>
      <c r="AH127" s="3186"/>
      <c r="AI127" s="3171"/>
      <c r="AJ127" s="3171"/>
      <c r="AK127" s="3171"/>
      <c r="AL127" s="3172"/>
      <c r="AM127" s="3171"/>
      <c r="AN127" s="3171"/>
      <c r="AO127" s="3171"/>
      <c r="AP127" s="3172"/>
      <c r="AQ127" s="3171"/>
      <c r="AR127" s="3171"/>
      <c r="AS127" s="3171"/>
      <c r="AT127" s="3172"/>
      <c r="AU127" s="3171"/>
      <c r="AV127" s="3171"/>
      <c r="AW127" s="3171"/>
      <c r="AX127" s="3172"/>
      <c r="AY127" s="3171"/>
      <c r="AZ127" s="3171"/>
      <c r="BA127" s="3171"/>
      <c r="BB127" s="3172"/>
      <c r="BC127" s="3171"/>
      <c r="BD127" s="3171"/>
      <c r="BE127" s="3171"/>
      <c r="BF127" s="3172"/>
      <c r="BG127" s="3171"/>
      <c r="BH127" s="3171"/>
      <c r="BI127" s="3171"/>
      <c r="BJ127" s="3172"/>
      <c r="BK127" s="3171"/>
      <c r="BL127" s="3171"/>
      <c r="BM127" s="3171"/>
      <c r="BN127" s="3172"/>
      <c r="BO127" s="3171"/>
      <c r="BP127" s="3171"/>
      <c r="BQ127" s="3171"/>
      <c r="BR127" s="3172"/>
      <c r="BS127" s="3171"/>
      <c r="BT127" s="3171"/>
      <c r="BU127" s="3171"/>
      <c r="BV127" s="3172"/>
      <c r="BW127" s="3171"/>
      <c r="BX127" s="3171"/>
      <c r="BY127" s="3171"/>
      <c r="BZ127" s="3172"/>
      <c r="CA127" s="3171"/>
      <c r="CB127" s="3171"/>
      <c r="CC127" s="3171"/>
      <c r="CD127" s="3172"/>
    </row>
    <row r="128" spans="1:82" ht="15" hidden="1" customHeight="1" x14ac:dyDescent="0.3">
      <c r="A128" s="3159"/>
      <c r="B128" s="3110" t="s">
        <v>92</v>
      </c>
      <c r="C128" s="3184"/>
      <c r="D128" s="3185"/>
      <c r="E128" s="3185"/>
      <c r="F128" s="3186"/>
      <c r="G128" s="3184"/>
      <c r="H128" s="3185"/>
      <c r="I128" s="3185"/>
      <c r="J128" s="3186"/>
      <c r="K128" s="3184"/>
      <c r="L128" s="3185"/>
      <c r="M128" s="3185"/>
      <c r="N128" s="3220"/>
      <c r="O128" s="3184"/>
      <c r="P128" s="3185"/>
      <c r="Q128" s="3185"/>
      <c r="R128" s="3186"/>
      <c r="S128" s="3185"/>
      <c r="T128" s="3185"/>
      <c r="U128" s="3185"/>
      <c r="V128" s="3186"/>
      <c r="W128" s="3185"/>
      <c r="X128" s="3185"/>
      <c r="Y128" s="3185"/>
      <c r="Z128" s="3186"/>
      <c r="AA128" s="3185"/>
      <c r="AB128" s="3185"/>
      <c r="AC128" s="3185"/>
      <c r="AD128" s="3186"/>
      <c r="AE128" s="3185"/>
      <c r="AF128" s="3185"/>
      <c r="AG128" s="3185"/>
      <c r="AH128" s="3186"/>
      <c r="AI128" s="3171"/>
      <c r="AJ128" s="3171"/>
      <c r="AK128" s="3171"/>
      <c r="AL128" s="3172"/>
      <c r="AM128" s="3171"/>
      <c r="AN128" s="3171"/>
      <c r="AO128" s="3171"/>
      <c r="AP128" s="3172"/>
      <c r="AQ128" s="3171"/>
      <c r="AR128" s="3171"/>
      <c r="AS128" s="3171"/>
      <c r="AT128" s="3172"/>
      <c r="AU128" s="3171"/>
      <c r="AV128" s="3171"/>
      <c r="AW128" s="3171"/>
      <c r="AX128" s="3172"/>
      <c r="AY128" s="3171"/>
      <c r="AZ128" s="3171"/>
      <c r="BA128" s="3171"/>
      <c r="BB128" s="3172"/>
      <c r="BC128" s="3171"/>
      <c r="BD128" s="3171"/>
      <c r="BE128" s="3171"/>
      <c r="BF128" s="3172"/>
      <c r="BG128" s="3171"/>
      <c r="BH128" s="3171"/>
      <c r="BI128" s="3171"/>
      <c r="BJ128" s="3172"/>
      <c r="BK128" s="3171"/>
      <c r="BL128" s="3171"/>
      <c r="BM128" s="3171"/>
      <c r="BN128" s="3172"/>
      <c r="BO128" s="3171"/>
      <c r="BP128" s="3171"/>
      <c r="BQ128" s="3171"/>
      <c r="BR128" s="3172"/>
      <c r="BS128" s="3171"/>
      <c r="BT128" s="3171"/>
      <c r="BU128" s="3171"/>
      <c r="BV128" s="3172"/>
      <c r="BW128" s="3171"/>
      <c r="BX128" s="3171"/>
      <c r="BY128" s="3171"/>
      <c r="BZ128" s="3172"/>
      <c r="CA128" s="3171"/>
      <c r="CB128" s="3171"/>
      <c r="CC128" s="3171"/>
      <c r="CD128" s="3172"/>
    </row>
    <row r="129" spans="1:82" ht="15" hidden="1" customHeight="1" x14ac:dyDescent="0.3">
      <c r="A129" s="3159"/>
      <c r="B129" s="3144" t="s">
        <v>136</v>
      </c>
      <c r="C129" s="3223"/>
      <c r="D129" s="3224"/>
      <c r="E129" s="3224"/>
      <c r="F129" s="3225"/>
      <c r="G129" s="3223"/>
      <c r="H129" s="3224"/>
      <c r="I129" s="3224"/>
      <c r="J129" s="3225"/>
      <c r="K129" s="3223"/>
      <c r="L129" s="3224"/>
      <c r="M129" s="3224"/>
      <c r="N129" s="3224"/>
      <c r="O129" s="3223"/>
      <c r="P129" s="3224"/>
      <c r="Q129" s="3224"/>
      <c r="R129" s="3225"/>
      <c r="S129" s="3224"/>
      <c r="T129" s="3224"/>
      <c r="U129" s="3224"/>
      <c r="V129" s="3225"/>
      <c r="W129" s="3223"/>
      <c r="X129" s="3224"/>
      <c r="Y129" s="3224"/>
      <c r="Z129" s="3225"/>
      <c r="AA129" s="3223"/>
      <c r="AB129" s="3224"/>
      <c r="AC129" s="3224"/>
      <c r="AD129" s="3225"/>
      <c r="AE129" s="3223"/>
      <c r="AF129" s="3224"/>
      <c r="AG129" s="3224"/>
      <c r="AH129" s="3225"/>
      <c r="AI129" s="3210"/>
      <c r="AJ129" s="3208"/>
      <c r="AK129" s="3208"/>
      <c r="AL129" s="3209"/>
      <c r="AM129" s="3210"/>
      <c r="AN129" s="3208"/>
      <c r="AO129" s="3208"/>
      <c r="AP129" s="3209"/>
      <c r="AQ129" s="3210"/>
      <c r="AR129" s="3208"/>
      <c r="AS129" s="3208"/>
      <c r="AT129" s="3209"/>
      <c r="AU129" s="3210"/>
      <c r="AV129" s="3208"/>
      <c r="AW129" s="3208"/>
      <c r="AX129" s="3209"/>
      <c r="AY129" s="3210"/>
      <c r="AZ129" s="3208"/>
      <c r="BA129" s="3208"/>
      <c r="BB129" s="3209"/>
      <c r="BC129" s="3210"/>
      <c r="BD129" s="3208"/>
      <c r="BE129" s="3208"/>
      <c r="BF129" s="3209"/>
      <c r="BG129" s="3210"/>
      <c r="BH129" s="3208"/>
      <c r="BI129" s="3208"/>
      <c r="BJ129" s="3209"/>
      <c r="BK129" s="3210"/>
      <c r="BL129" s="3208"/>
      <c r="BM129" s="3208"/>
      <c r="BN129" s="3209"/>
      <c r="BO129" s="3210"/>
      <c r="BP129" s="3208"/>
      <c r="BQ129" s="3208"/>
      <c r="BR129" s="3209"/>
      <c r="BS129" s="3210"/>
      <c r="BT129" s="3208"/>
      <c r="BU129" s="3208"/>
      <c r="BV129" s="3209"/>
      <c r="BW129" s="3210"/>
      <c r="BX129" s="3208"/>
      <c r="BY129" s="3208"/>
      <c r="BZ129" s="3209"/>
      <c r="CA129" s="3210"/>
      <c r="CB129" s="3208"/>
      <c r="CC129" s="3208"/>
      <c r="CD129" s="3209"/>
    </row>
    <row r="130" spans="1:82" ht="15.75" customHeight="1" x14ac:dyDescent="0.3">
      <c r="A130" s="3159"/>
      <c r="B130" s="3104"/>
      <c r="C130" s="3104"/>
      <c r="D130" s="3104"/>
      <c r="E130" s="3104"/>
      <c r="F130" s="3104"/>
      <c r="G130" s="3104"/>
      <c r="H130" s="3104"/>
      <c r="I130" s="3104"/>
      <c r="J130" s="3104"/>
      <c r="K130" s="3104"/>
      <c r="L130" s="3104"/>
      <c r="M130" s="3104"/>
      <c r="N130" s="3104"/>
      <c r="O130" s="3104"/>
      <c r="P130" s="3104"/>
      <c r="Q130" s="3104"/>
      <c r="R130" s="3104"/>
      <c r="S130" s="3104"/>
      <c r="T130" s="3104"/>
      <c r="U130" s="3104"/>
      <c r="V130" s="3104"/>
      <c r="W130" s="3104"/>
      <c r="X130" s="3104"/>
      <c r="Y130" s="3104"/>
      <c r="Z130" s="3104"/>
      <c r="AA130" s="3104"/>
      <c r="AB130" s="3104"/>
      <c r="AC130" s="3104"/>
      <c r="AD130" s="3104"/>
      <c r="AE130" s="3104"/>
      <c r="AF130" s="3104"/>
      <c r="AG130" s="3104"/>
      <c r="AH130" s="3104"/>
      <c r="AI130" s="3104"/>
      <c r="AJ130" s="3104"/>
      <c r="AK130" s="3104"/>
      <c r="AL130" s="3104"/>
      <c r="AM130" s="3104"/>
      <c r="AN130" s="3104"/>
      <c r="AO130" s="3104"/>
      <c r="AP130" s="3104"/>
      <c r="AQ130" s="3104"/>
      <c r="AR130" s="3104"/>
      <c r="AS130" s="3104"/>
      <c r="AT130" s="3104"/>
      <c r="AU130" s="3104"/>
      <c r="AV130" s="3104"/>
      <c r="AW130" s="3104"/>
      <c r="AX130" s="3104"/>
      <c r="AY130" s="3104"/>
      <c r="AZ130" s="3104"/>
      <c r="BA130" s="3104"/>
      <c r="BB130" s="3104"/>
      <c r="BC130" s="3104"/>
      <c r="BD130" s="3104"/>
      <c r="BE130" s="3104"/>
      <c r="BF130" s="3104"/>
      <c r="BG130" s="3104"/>
      <c r="BH130" s="3104"/>
      <c r="BI130" s="3104"/>
      <c r="BJ130" s="3104"/>
      <c r="BK130" s="3104"/>
      <c r="BL130" s="3104"/>
      <c r="BM130" s="3104"/>
      <c r="BN130" s="3104"/>
      <c r="BO130" s="3104"/>
      <c r="BP130" s="3104"/>
      <c r="BQ130" s="3104"/>
      <c r="BR130" s="3104"/>
      <c r="BS130" s="3104"/>
      <c r="BT130" s="3104"/>
      <c r="BU130" s="3104"/>
      <c r="BV130" s="3104"/>
      <c r="BW130" s="3104"/>
      <c r="BX130" s="3104"/>
      <c r="BY130" s="3104"/>
      <c r="BZ130" s="3104"/>
      <c r="CA130" s="3104"/>
      <c r="CB130" s="3104"/>
      <c r="CC130" s="3104"/>
      <c r="CD130" s="3104"/>
    </row>
    <row r="131" spans="1:82" ht="15" customHeight="1" x14ac:dyDescent="0.3">
      <c r="A131" s="3159"/>
      <c r="B131" s="3105" t="s">
        <v>64</v>
      </c>
      <c r="C131" s="3166"/>
      <c r="D131" s="3167">
        <v>4</v>
      </c>
      <c r="E131" s="3167">
        <v>1</v>
      </c>
      <c r="F131" s="3168">
        <v>5</v>
      </c>
      <c r="G131" s="3166"/>
      <c r="H131" s="3167">
        <v>3</v>
      </c>
      <c r="I131" s="3167">
        <v>2</v>
      </c>
      <c r="J131" s="3168">
        <v>5</v>
      </c>
      <c r="K131" s="3166">
        <v>1</v>
      </c>
      <c r="L131" s="3167">
        <v>3</v>
      </c>
      <c r="M131" s="3167">
        <v>2</v>
      </c>
      <c r="N131" s="3169">
        <v>6</v>
      </c>
      <c r="O131" s="3166">
        <v>1</v>
      </c>
      <c r="P131" s="3167">
        <v>3</v>
      </c>
      <c r="Q131" s="3167">
        <v>2</v>
      </c>
      <c r="R131" s="3168">
        <v>6</v>
      </c>
      <c r="S131" s="3167">
        <v>1</v>
      </c>
      <c r="T131" s="3167">
        <v>3</v>
      </c>
      <c r="U131" s="3167">
        <v>1</v>
      </c>
      <c r="V131" s="3168">
        <v>5</v>
      </c>
      <c r="W131" s="3167">
        <v>1</v>
      </c>
      <c r="X131" s="3167">
        <v>4</v>
      </c>
      <c r="Y131" s="3167">
        <v>2</v>
      </c>
      <c r="Z131" s="3168">
        <v>7</v>
      </c>
      <c r="AA131" s="3167">
        <v>1</v>
      </c>
      <c r="AB131" s="3167">
        <v>3</v>
      </c>
      <c r="AC131" s="3167">
        <v>2</v>
      </c>
      <c r="AD131" s="3168">
        <v>6</v>
      </c>
      <c r="AE131" s="3167">
        <v>1</v>
      </c>
      <c r="AF131" s="3167">
        <v>12</v>
      </c>
      <c r="AG131" s="3167">
        <v>2</v>
      </c>
      <c r="AH131" s="3168">
        <v>15</v>
      </c>
      <c r="AI131" s="3167">
        <v>1</v>
      </c>
      <c r="AJ131" s="3167">
        <v>13</v>
      </c>
      <c r="AK131" s="3167">
        <v>2</v>
      </c>
      <c r="AL131" s="3168">
        <f>SUM(AI131:AK131)</f>
        <v>16</v>
      </c>
      <c r="AM131" s="3167">
        <v>1</v>
      </c>
      <c r="AN131" s="3167">
        <v>11</v>
      </c>
      <c r="AO131" s="3167">
        <v>2</v>
      </c>
      <c r="AP131" s="3168">
        <f>SUM(AM131:AO131)</f>
        <v>14</v>
      </c>
      <c r="AQ131" s="3167">
        <v>1</v>
      </c>
      <c r="AR131" s="3167">
        <v>11</v>
      </c>
      <c r="AS131" s="3167">
        <v>1</v>
      </c>
      <c r="AT131" s="3168">
        <f>SUM(AQ131:AS131)</f>
        <v>13</v>
      </c>
      <c r="AU131" s="3167">
        <v>1</v>
      </c>
      <c r="AV131" s="3167">
        <v>12</v>
      </c>
      <c r="AW131" s="3167">
        <v>1</v>
      </c>
      <c r="AX131" s="3168">
        <f>SUM(AU131:AW131)</f>
        <v>14</v>
      </c>
      <c r="AY131" s="3167">
        <v>1</v>
      </c>
      <c r="AZ131" s="3167">
        <v>8</v>
      </c>
      <c r="BA131" s="3167">
        <v>2</v>
      </c>
      <c r="BB131" s="3168">
        <f>SUM(AY131:BA131)</f>
        <v>11</v>
      </c>
      <c r="BC131" s="3167">
        <v>0</v>
      </c>
      <c r="BD131" s="3167">
        <v>7</v>
      </c>
      <c r="BE131" s="3167">
        <v>4</v>
      </c>
      <c r="BF131" s="3168">
        <f>SUM(BC131:BE131)</f>
        <v>11</v>
      </c>
      <c r="BG131" s="3167"/>
      <c r="BH131" s="3167">
        <v>8</v>
      </c>
      <c r="BI131" s="3167">
        <v>4</v>
      </c>
      <c r="BJ131" s="3168">
        <f>SUM(BG131:BI131)</f>
        <v>12</v>
      </c>
      <c r="BK131" s="3167"/>
      <c r="BL131" s="3167">
        <v>8</v>
      </c>
      <c r="BM131" s="3167">
        <v>5</v>
      </c>
      <c r="BN131" s="3168">
        <f>SUM(BK131:BM131)</f>
        <v>13</v>
      </c>
      <c r="BO131" s="3167"/>
      <c r="BP131" s="3167">
        <v>5</v>
      </c>
      <c r="BQ131" s="3167">
        <v>4</v>
      </c>
      <c r="BR131" s="3168">
        <f>SUM(BO131:BQ131)</f>
        <v>9</v>
      </c>
      <c r="BS131" s="3167"/>
      <c r="BT131" s="3167">
        <v>4</v>
      </c>
      <c r="BU131" s="3167">
        <v>5</v>
      </c>
      <c r="BV131" s="3168">
        <f>SUM(BS131:BU131)</f>
        <v>9</v>
      </c>
      <c r="BW131" s="3167">
        <v>0</v>
      </c>
      <c r="BX131" s="3167">
        <v>4</v>
      </c>
      <c r="BY131" s="3167">
        <v>5</v>
      </c>
      <c r="BZ131" s="3168">
        <f>SUM(BW131:BY131)</f>
        <v>9</v>
      </c>
      <c r="CA131" s="3167">
        <v>0</v>
      </c>
      <c r="CB131" s="3167">
        <v>4</v>
      </c>
      <c r="CC131" s="3167">
        <v>5</v>
      </c>
      <c r="CD131" s="3168">
        <f>SUM(CA131:CC131)</f>
        <v>9</v>
      </c>
    </row>
    <row r="132" spans="1:82" ht="15" customHeight="1" x14ac:dyDescent="0.3">
      <c r="A132" s="3159"/>
      <c r="B132" s="3110" t="s">
        <v>92</v>
      </c>
      <c r="C132" s="3170"/>
      <c r="D132" s="3171">
        <v>2</v>
      </c>
      <c r="E132" s="3171"/>
      <c r="F132" s="3172">
        <v>2</v>
      </c>
      <c r="G132" s="3170"/>
      <c r="H132" s="3171">
        <v>2</v>
      </c>
      <c r="I132" s="3171"/>
      <c r="J132" s="3172">
        <v>2</v>
      </c>
      <c r="K132" s="3170"/>
      <c r="L132" s="3171">
        <v>2</v>
      </c>
      <c r="M132" s="3171"/>
      <c r="N132" s="3173">
        <v>2</v>
      </c>
      <c r="O132" s="3170"/>
      <c r="P132" s="3171">
        <v>2</v>
      </c>
      <c r="Q132" s="3171"/>
      <c r="R132" s="3172">
        <v>2</v>
      </c>
      <c r="S132" s="3171"/>
      <c r="T132" s="3171">
        <v>2</v>
      </c>
      <c r="U132" s="3171"/>
      <c r="V132" s="3172">
        <v>2</v>
      </c>
      <c r="W132" s="3171"/>
      <c r="X132" s="3171">
        <v>2</v>
      </c>
      <c r="Y132" s="3171"/>
      <c r="Z132" s="3172">
        <v>2</v>
      </c>
      <c r="AA132" s="3171"/>
      <c r="AB132" s="3171">
        <v>2</v>
      </c>
      <c r="AC132" s="3171">
        <v>0</v>
      </c>
      <c r="AD132" s="3172">
        <v>2</v>
      </c>
      <c r="AE132" s="3171"/>
      <c r="AF132" s="3171">
        <v>3</v>
      </c>
      <c r="AG132" s="3171"/>
      <c r="AH132" s="3172">
        <v>3</v>
      </c>
      <c r="AI132" s="3171"/>
      <c r="AJ132" s="3171">
        <v>2</v>
      </c>
      <c r="AK132" s="3171"/>
      <c r="AL132" s="3172">
        <f>SUM(AI132:AK132)</f>
        <v>2</v>
      </c>
      <c r="AM132" s="3171"/>
      <c r="AN132" s="3171">
        <v>2</v>
      </c>
      <c r="AO132" s="3171"/>
      <c r="AP132" s="3172">
        <f>SUM(AM132:AO132)</f>
        <v>2</v>
      </c>
      <c r="AQ132" s="3171"/>
      <c r="AR132" s="3171">
        <v>4</v>
      </c>
      <c r="AS132" s="3171"/>
      <c r="AT132" s="3172">
        <f>SUM(AQ132:AS132)</f>
        <v>4</v>
      </c>
      <c r="AU132" s="3171"/>
      <c r="AV132" s="3171">
        <v>9</v>
      </c>
      <c r="AW132" s="3171"/>
      <c r="AX132" s="3172">
        <f>SUM(AU132:AW132)</f>
        <v>9</v>
      </c>
      <c r="AY132" s="3171">
        <v>0</v>
      </c>
      <c r="AZ132" s="3171">
        <v>7</v>
      </c>
      <c r="BA132" s="3171">
        <v>0</v>
      </c>
      <c r="BB132" s="3172">
        <f>SUM(AY132:BA132)</f>
        <v>7</v>
      </c>
      <c r="BC132" s="3171">
        <v>0</v>
      </c>
      <c r="BD132" s="3171">
        <v>8</v>
      </c>
      <c r="BE132" s="3171">
        <v>0</v>
      </c>
      <c r="BF132" s="3172">
        <f>SUM(BC132:BE132)</f>
        <v>8</v>
      </c>
      <c r="BG132" s="3171"/>
      <c r="BH132" s="3171">
        <v>6</v>
      </c>
      <c r="BI132" s="3171">
        <v>1</v>
      </c>
      <c r="BJ132" s="3172">
        <f>SUM(BG132:BI132)</f>
        <v>7</v>
      </c>
      <c r="BK132" s="3171"/>
      <c r="BL132" s="3171">
        <v>6</v>
      </c>
      <c r="BM132" s="3171">
        <v>1</v>
      </c>
      <c r="BN132" s="3172">
        <f>SUM(BK132:BM132)</f>
        <v>7</v>
      </c>
      <c r="BO132" s="3171"/>
      <c r="BP132" s="3171">
        <v>6</v>
      </c>
      <c r="BQ132" s="3171">
        <v>1</v>
      </c>
      <c r="BR132" s="3172">
        <f>SUM(BO132:BQ132)</f>
        <v>7</v>
      </c>
      <c r="BS132" s="3171"/>
      <c r="BT132" s="3171">
        <v>3</v>
      </c>
      <c r="BU132" s="3171">
        <v>1</v>
      </c>
      <c r="BV132" s="3172">
        <f>SUM(BS132:BU132)</f>
        <v>4</v>
      </c>
      <c r="BW132" s="3171">
        <v>0</v>
      </c>
      <c r="BX132" s="3171">
        <v>4</v>
      </c>
      <c r="BY132" s="3171">
        <v>1</v>
      </c>
      <c r="BZ132" s="3172">
        <f>SUM(BW132:BY132)</f>
        <v>5</v>
      </c>
      <c r="CA132" s="3171">
        <v>0</v>
      </c>
      <c r="CB132" s="3171">
        <v>4</v>
      </c>
      <c r="CC132" s="3171">
        <v>1</v>
      </c>
      <c r="CD132" s="3172">
        <f>SUM(CA132:CC132)</f>
        <v>5</v>
      </c>
    </row>
    <row r="133" spans="1:82" ht="15" customHeight="1" x14ac:dyDescent="0.3">
      <c r="A133" s="3159"/>
      <c r="B133" s="3110" t="s">
        <v>68</v>
      </c>
      <c r="C133" s="3170"/>
      <c r="D133" s="3171">
        <v>1</v>
      </c>
      <c r="E133" s="3171">
        <v>5</v>
      </c>
      <c r="F133" s="3172">
        <v>6</v>
      </c>
      <c r="G133" s="3170"/>
      <c r="H133" s="3171">
        <v>1</v>
      </c>
      <c r="I133" s="3171">
        <v>4</v>
      </c>
      <c r="J133" s="3172">
        <v>5</v>
      </c>
      <c r="K133" s="3170"/>
      <c r="L133" s="3171"/>
      <c r="M133" s="3171">
        <v>4</v>
      </c>
      <c r="N133" s="3173">
        <v>4</v>
      </c>
      <c r="O133" s="3170"/>
      <c r="P133" s="3171"/>
      <c r="Q133" s="3171">
        <v>4</v>
      </c>
      <c r="R133" s="3172">
        <v>4</v>
      </c>
      <c r="S133" s="3171"/>
      <c r="T133" s="3171"/>
      <c r="U133" s="3171">
        <v>4</v>
      </c>
      <c r="V133" s="3172">
        <v>4</v>
      </c>
      <c r="W133" s="3171"/>
      <c r="X133" s="3171"/>
      <c r="Y133" s="3171">
        <v>5</v>
      </c>
      <c r="Z133" s="3172">
        <v>5</v>
      </c>
      <c r="AA133" s="3171"/>
      <c r="AB133" s="3171">
        <v>2</v>
      </c>
      <c r="AC133" s="3171">
        <v>6</v>
      </c>
      <c r="AD133" s="3172">
        <v>8</v>
      </c>
      <c r="AE133" s="3171"/>
      <c r="AF133" s="3171">
        <v>2</v>
      </c>
      <c r="AG133" s="3171">
        <v>6</v>
      </c>
      <c r="AH133" s="3172">
        <v>8</v>
      </c>
      <c r="AI133" s="3171"/>
      <c r="AJ133" s="3171">
        <v>2</v>
      </c>
      <c r="AK133" s="3171">
        <v>6</v>
      </c>
      <c r="AL133" s="3172">
        <f>SUM(AI133:AK133)</f>
        <v>8</v>
      </c>
      <c r="AM133" s="3171"/>
      <c r="AN133" s="3171">
        <v>2</v>
      </c>
      <c r="AO133" s="3171">
        <v>5</v>
      </c>
      <c r="AP133" s="3172">
        <f>SUM(AM133:AO133)</f>
        <v>7</v>
      </c>
      <c r="AQ133" s="3171"/>
      <c r="AR133" s="3171">
        <v>2</v>
      </c>
      <c r="AS133" s="3171">
        <v>5</v>
      </c>
      <c r="AT133" s="3172">
        <f>SUM(AQ133:AS133)</f>
        <v>7</v>
      </c>
      <c r="AU133" s="3171"/>
      <c r="AV133" s="3171">
        <v>2</v>
      </c>
      <c r="AW133" s="3171">
        <v>5</v>
      </c>
      <c r="AX133" s="3172">
        <f>SUM(AU133:AW133)</f>
        <v>7</v>
      </c>
      <c r="AY133" s="3171">
        <v>0</v>
      </c>
      <c r="AZ133" s="3171">
        <v>1</v>
      </c>
      <c r="BA133" s="3171">
        <v>5</v>
      </c>
      <c r="BB133" s="3172">
        <f>SUM(AY133:BA133)</f>
        <v>6</v>
      </c>
      <c r="BC133" s="3171">
        <v>0</v>
      </c>
      <c r="BD133" s="3171">
        <v>1</v>
      </c>
      <c r="BE133" s="3171">
        <v>5</v>
      </c>
      <c r="BF133" s="3172">
        <f>SUM(BC133:BE133)</f>
        <v>6</v>
      </c>
      <c r="BG133" s="3171"/>
      <c r="BH133" s="3171">
        <v>1</v>
      </c>
      <c r="BI133" s="3171">
        <v>4</v>
      </c>
      <c r="BJ133" s="3172">
        <f>SUM(BG133:BI133)</f>
        <v>5</v>
      </c>
      <c r="BK133" s="3171"/>
      <c r="BL133" s="3171">
        <v>1</v>
      </c>
      <c r="BM133" s="3171">
        <v>5</v>
      </c>
      <c r="BN133" s="3172">
        <f>SUM(BK133:BM133)</f>
        <v>6</v>
      </c>
      <c r="BO133" s="3171"/>
      <c r="BP133" s="3171">
        <v>1</v>
      </c>
      <c r="BQ133" s="3171">
        <v>5</v>
      </c>
      <c r="BR133" s="3172">
        <f>SUM(BO133:BQ133)</f>
        <v>6</v>
      </c>
      <c r="BS133" s="3171"/>
      <c r="BT133" s="3171">
        <v>1</v>
      </c>
      <c r="BU133" s="3171">
        <v>4</v>
      </c>
      <c r="BV133" s="3172">
        <f>SUM(BS133:BU133)</f>
        <v>5</v>
      </c>
      <c r="BW133" s="3171">
        <v>0</v>
      </c>
      <c r="BX133" s="3171">
        <v>0</v>
      </c>
      <c r="BY133" s="3171">
        <v>4</v>
      </c>
      <c r="BZ133" s="3172">
        <f>SUM(BW133:BY133)</f>
        <v>4</v>
      </c>
      <c r="CA133" s="3171">
        <v>0</v>
      </c>
      <c r="CB133" s="3171">
        <v>0</v>
      </c>
      <c r="CC133" s="3171">
        <v>4</v>
      </c>
      <c r="CD133" s="3172">
        <f>SUM(CA133:CC133)</f>
        <v>4</v>
      </c>
    </row>
    <row r="134" spans="1:82" ht="15" customHeight="1" x14ac:dyDescent="0.3">
      <c r="A134" s="3159"/>
      <c r="B134" s="3151" t="s">
        <v>137</v>
      </c>
      <c r="C134" s="3228"/>
      <c r="D134" s="3213">
        <v>7</v>
      </c>
      <c r="E134" s="3213">
        <v>6</v>
      </c>
      <c r="F134" s="3214">
        <v>13</v>
      </c>
      <c r="G134" s="3228"/>
      <c r="H134" s="3213">
        <v>6</v>
      </c>
      <c r="I134" s="3213">
        <v>6</v>
      </c>
      <c r="J134" s="3214">
        <v>12</v>
      </c>
      <c r="K134" s="3212">
        <v>1</v>
      </c>
      <c r="L134" s="3213">
        <v>5</v>
      </c>
      <c r="M134" s="3213">
        <v>6</v>
      </c>
      <c r="N134" s="3213">
        <v>12</v>
      </c>
      <c r="O134" s="3212">
        <v>1</v>
      </c>
      <c r="P134" s="3213">
        <v>5</v>
      </c>
      <c r="Q134" s="3213">
        <v>6</v>
      </c>
      <c r="R134" s="3214">
        <v>12</v>
      </c>
      <c r="S134" s="3213">
        <v>1</v>
      </c>
      <c r="T134" s="3213">
        <v>5</v>
      </c>
      <c r="U134" s="3213">
        <v>5</v>
      </c>
      <c r="V134" s="3214">
        <v>11</v>
      </c>
      <c r="W134" s="3212">
        <v>1</v>
      </c>
      <c r="X134" s="3213">
        <v>6</v>
      </c>
      <c r="Y134" s="3213">
        <v>7</v>
      </c>
      <c r="Z134" s="3214">
        <v>14</v>
      </c>
      <c r="AA134" s="3212">
        <v>1</v>
      </c>
      <c r="AB134" s="3213">
        <v>7</v>
      </c>
      <c r="AC134" s="3213">
        <v>8</v>
      </c>
      <c r="AD134" s="3214">
        <v>16</v>
      </c>
      <c r="AE134" s="3212">
        <v>1</v>
      </c>
      <c r="AF134" s="3213">
        <v>17</v>
      </c>
      <c r="AG134" s="3213">
        <v>8</v>
      </c>
      <c r="AH134" s="3214">
        <v>26</v>
      </c>
      <c r="AI134" s="3212">
        <f>SUM(AI131:AI133)</f>
        <v>1</v>
      </c>
      <c r="AJ134" s="3213">
        <f>SUM(AJ131:AJ133)</f>
        <v>17</v>
      </c>
      <c r="AK134" s="3213">
        <f>SUM(AK131:AK133)</f>
        <v>8</v>
      </c>
      <c r="AL134" s="3214">
        <f>SUM(AL131:AL133)</f>
        <v>26</v>
      </c>
      <c r="AM134" s="3212">
        <v>1</v>
      </c>
      <c r="AN134" s="3213">
        <v>15</v>
      </c>
      <c r="AO134" s="3213">
        <v>7</v>
      </c>
      <c r="AP134" s="3214">
        <f>SUM(AP131:AP133)</f>
        <v>23</v>
      </c>
      <c r="AQ134" s="3212">
        <v>1</v>
      </c>
      <c r="AR134" s="3213">
        <f>SUM(AR131:AR133)</f>
        <v>17</v>
      </c>
      <c r="AS134" s="3213">
        <f>SUM(AS131:AS133)</f>
        <v>6</v>
      </c>
      <c r="AT134" s="3214">
        <f>SUM(AT131:AT133)</f>
        <v>24</v>
      </c>
      <c r="AU134" s="3212">
        <v>1</v>
      </c>
      <c r="AV134" s="3213">
        <f>SUM(AV131:AV133)</f>
        <v>23</v>
      </c>
      <c r="AW134" s="3213">
        <f>SUM(AW131:AW133)</f>
        <v>6</v>
      </c>
      <c r="AX134" s="3214">
        <f>SUM(AX131:AX133)</f>
        <v>30</v>
      </c>
      <c r="AY134" s="3212">
        <v>1</v>
      </c>
      <c r="AZ134" s="3213">
        <f>SUM(AZ131:AZ133)</f>
        <v>16</v>
      </c>
      <c r="BA134" s="3213">
        <f>SUM(BA131:BA133)</f>
        <v>7</v>
      </c>
      <c r="BB134" s="3214">
        <f>SUM(BB131:BB133)</f>
        <v>24</v>
      </c>
      <c r="BC134" s="3212">
        <v>1</v>
      </c>
      <c r="BD134" s="3213">
        <f>SUM(BD131:BD133)</f>
        <v>16</v>
      </c>
      <c r="BE134" s="3213">
        <f>SUM(BE131:BE133)</f>
        <v>9</v>
      </c>
      <c r="BF134" s="3214">
        <f>SUM(BF131:BF133)</f>
        <v>25</v>
      </c>
      <c r="BG134" s="3212"/>
      <c r="BH134" s="3213">
        <f>SUM(BH131:BH133)</f>
        <v>15</v>
      </c>
      <c r="BI134" s="3213">
        <f>SUM(BI131:BI133)</f>
        <v>9</v>
      </c>
      <c r="BJ134" s="3214">
        <f>SUM(BJ131:BJ133)</f>
        <v>24</v>
      </c>
      <c r="BK134" s="3212"/>
      <c r="BL134" s="3213">
        <f>SUM(BL131:BL133)</f>
        <v>15</v>
      </c>
      <c r="BM134" s="3213">
        <f>SUM(BM131:BM133)</f>
        <v>11</v>
      </c>
      <c r="BN134" s="3214">
        <f>SUM(BN131:BN133)</f>
        <v>26</v>
      </c>
      <c r="BO134" s="3212"/>
      <c r="BP134" s="3213">
        <f>SUM(BP131:BP133)</f>
        <v>12</v>
      </c>
      <c r="BQ134" s="3213">
        <f>SUM(BQ131:BQ133)</f>
        <v>10</v>
      </c>
      <c r="BR134" s="3214">
        <f>SUM(BR131:BR133)</f>
        <v>22</v>
      </c>
      <c r="BS134" s="3212"/>
      <c r="BT134" s="3213">
        <f>SUM(BT131:BT133)</f>
        <v>8</v>
      </c>
      <c r="BU134" s="3213">
        <f>SUM(BU131:BU133)</f>
        <v>10</v>
      </c>
      <c r="BV134" s="3214">
        <f>SUM(BV131:BV133)</f>
        <v>18</v>
      </c>
      <c r="BW134" s="3212"/>
      <c r="BX134" s="3213">
        <f>SUM(BX131:BX133)</f>
        <v>8</v>
      </c>
      <c r="BY134" s="3213">
        <f>SUM(BY131:BY133)</f>
        <v>10</v>
      </c>
      <c r="BZ134" s="3214">
        <f>SUM(BZ131:BZ133)</f>
        <v>18</v>
      </c>
      <c r="CA134" s="3212"/>
      <c r="CB134" s="3213">
        <f>SUM(CB131:CB133)</f>
        <v>8</v>
      </c>
      <c r="CC134" s="3213">
        <f>SUM(CC131:CC133)</f>
        <v>10</v>
      </c>
      <c r="CD134" s="3214">
        <f>SUM(CD131:CD133)</f>
        <v>18</v>
      </c>
    </row>
    <row r="135" spans="1:82" x14ac:dyDescent="0.3">
      <c r="A135" s="3159"/>
      <c r="B135" s="3104"/>
      <c r="C135" s="3104"/>
      <c r="D135" s="3104"/>
      <c r="E135" s="3104"/>
      <c r="F135" s="3104"/>
      <c r="G135" s="3104"/>
      <c r="H135" s="3104"/>
      <c r="I135" s="3104"/>
      <c r="J135" s="3104"/>
      <c r="K135" s="3104"/>
      <c r="L135" s="3104"/>
      <c r="M135" s="3104"/>
      <c r="N135" s="3104"/>
      <c r="O135" s="3104"/>
      <c r="P135" s="3104"/>
      <c r="Q135" s="3104"/>
      <c r="R135" s="3104"/>
      <c r="S135" s="3104"/>
      <c r="T135" s="3104"/>
      <c r="U135" s="3104"/>
      <c r="V135" s="3104"/>
      <c r="W135" s="3104"/>
      <c r="X135" s="3104"/>
      <c r="Y135" s="3104"/>
      <c r="Z135" s="3104"/>
      <c r="AA135" s="3104"/>
      <c r="AB135" s="3104"/>
      <c r="AC135" s="3104"/>
      <c r="AD135" s="3104"/>
      <c r="AE135" s="3104"/>
      <c r="AF135" s="3104"/>
      <c r="AG135" s="3104"/>
      <c r="AH135" s="3104"/>
      <c r="AI135" s="3104"/>
      <c r="AJ135" s="3104"/>
      <c r="AK135" s="3104"/>
      <c r="AL135" s="3104"/>
      <c r="AM135" s="3104"/>
      <c r="AN135" s="3104"/>
      <c r="AO135" s="3104"/>
      <c r="AP135" s="3104"/>
      <c r="AQ135" s="3104"/>
      <c r="AR135" s="3104"/>
      <c r="AS135" s="3104"/>
      <c r="AT135" s="3104"/>
      <c r="AU135" s="3104"/>
      <c r="AV135" s="3104"/>
      <c r="AW135" s="3104"/>
      <c r="AX135" s="3104"/>
      <c r="AY135" s="3104"/>
      <c r="AZ135" s="3104"/>
      <c r="BA135" s="3104"/>
      <c r="BB135" s="3104"/>
      <c r="BC135" s="3104"/>
      <c r="BD135" s="3104"/>
      <c r="BE135" s="3104"/>
      <c r="BF135" s="3104"/>
      <c r="BG135" s="3104"/>
      <c r="BH135" s="3104"/>
      <c r="BI135" s="3104"/>
      <c r="BJ135" s="3104"/>
      <c r="BK135" s="3104"/>
      <c r="BL135" s="3104"/>
      <c r="BM135" s="3104"/>
      <c r="BN135" s="3104"/>
      <c r="BO135" s="3104"/>
      <c r="BP135" s="3104"/>
      <c r="BQ135" s="3104"/>
      <c r="BR135" s="3104"/>
      <c r="BS135" s="3104"/>
      <c r="BT135" s="3104"/>
      <c r="BU135" s="3104"/>
      <c r="BV135" s="3104"/>
      <c r="BW135" s="3104"/>
      <c r="BX135" s="3104"/>
      <c r="BY135" s="3104"/>
      <c r="BZ135" s="3104"/>
      <c r="CA135" s="3104"/>
      <c r="CB135" s="3104"/>
      <c r="CC135" s="3104"/>
      <c r="CD135" s="3104"/>
    </row>
    <row r="136" spans="1:82" ht="24.9" customHeight="1" x14ac:dyDescent="0.3">
      <c r="A136" s="3159"/>
      <c r="B136" s="3155" t="s">
        <v>431</v>
      </c>
      <c r="C136" s="3215">
        <v>14</v>
      </c>
      <c r="D136" s="3216">
        <v>69</v>
      </c>
      <c r="E136" s="3216">
        <v>88</v>
      </c>
      <c r="F136" s="3217">
        <v>171</v>
      </c>
      <c r="G136" s="3215">
        <v>9</v>
      </c>
      <c r="H136" s="3216">
        <v>64</v>
      </c>
      <c r="I136" s="3216">
        <v>102</v>
      </c>
      <c r="J136" s="3217">
        <v>175</v>
      </c>
      <c r="K136" s="3215">
        <v>11</v>
      </c>
      <c r="L136" s="3216">
        <v>61</v>
      </c>
      <c r="M136" s="3216">
        <v>98</v>
      </c>
      <c r="N136" s="3216">
        <v>170</v>
      </c>
      <c r="O136" s="3215">
        <v>9</v>
      </c>
      <c r="P136" s="3216">
        <v>58</v>
      </c>
      <c r="Q136" s="3216">
        <v>98</v>
      </c>
      <c r="R136" s="3217">
        <v>165</v>
      </c>
      <c r="S136" s="3216">
        <v>10</v>
      </c>
      <c r="T136" s="3216">
        <v>58</v>
      </c>
      <c r="U136" s="3216">
        <v>92</v>
      </c>
      <c r="V136" s="3217">
        <v>160</v>
      </c>
      <c r="W136" s="3216">
        <v>8</v>
      </c>
      <c r="X136" s="3216">
        <v>56</v>
      </c>
      <c r="Y136" s="3216">
        <v>87</v>
      </c>
      <c r="Z136" s="3217">
        <v>151</v>
      </c>
      <c r="AA136" s="3216">
        <v>7</v>
      </c>
      <c r="AB136" s="3216">
        <v>53</v>
      </c>
      <c r="AC136" s="3216">
        <v>88</v>
      </c>
      <c r="AD136" s="3217">
        <v>148</v>
      </c>
      <c r="AE136" s="3216">
        <v>7</v>
      </c>
      <c r="AF136" s="3216">
        <v>68</v>
      </c>
      <c r="AG136" s="3216">
        <v>87</v>
      </c>
      <c r="AH136" s="3217">
        <v>162</v>
      </c>
      <c r="AI136" s="3215">
        <f t="shared" ref="AI136:AW136" si="121">SUM(AI114,AI119,AI124,AI134)</f>
        <v>7</v>
      </c>
      <c r="AJ136" s="3216">
        <f t="shared" si="121"/>
        <v>72</v>
      </c>
      <c r="AK136" s="3216">
        <f t="shared" si="121"/>
        <v>87</v>
      </c>
      <c r="AL136" s="3217">
        <f t="shared" si="121"/>
        <v>166</v>
      </c>
      <c r="AM136" s="3215">
        <f t="shared" si="121"/>
        <v>7</v>
      </c>
      <c r="AN136" s="3216">
        <f t="shared" si="121"/>
        <v>77</v>
      </c>
      <c r="AO136" s="3216">
        <f t="shared" si="121"/>
        <v>83</v>
      </c>
      <c r="AP136" s="3217">
        <f t="shared" si="121"/>
        <v>167</v>
      </c>
      <c r="AQ136" s="3215">
        <f t="shared" si="121"/>
        <v>7</v>
      </c>
      <c r="AR136" s="3216">
        <f t="shared" si="121"/>
        <v>76</v>
      </c>
      <c r="AS136" s="3216">
        <f t="shared" si="121"/>
        <v>77</v>
      </c>
      <c r="AT136" s="3217">
        <f t="shared" si="121"/>
        <v>160</v>
      </c>
      <c r="AU136" s="3215">
        <f t="shared" si="121"/>
        <v>7</v>
      </c>
      <c r="AV136" s="3216">
        <f t="shared" si="121"/>
        <v>85</v>
      </c>
      <c r="AW136" s="3216">
        <f t="shared" si="121"/>
        <v>79</v>
      </c>
      <c r="AX136" s="3217">
        <f>SUM(AX114,AX119,AX124,AX129,AX134)</f>
        <v>171</v>
      </c>
      <c r="AY136" s="3215">
        <f>SUM(AY114,AY119,AY124,AY134)</f>
        <v>7</v>
      </c>
      <c r="AZ136" s="3216">
        <f>SUM(AZ114,AZ119,AZ124,AZ134)</f>
        <v>74</v>
      </c>
      <c r="BA136" s="3216">
        <f>SUM(BA114,BA119,BA124,BA134)</f>
        <v>79</v>
      </c>
      <c r="BB136" s="3217">
        <f>SUM(BB114,BB119,BB124,BB129,BB134)</f>
        <v>160</v>
      </c>
      <c r="BC136" s="3215">
        <f>SUM(BC114,BC119,BC124,BC134)</f>
        <v>7</v>
      </c>
      <c r="BD136" s="3216">
        <f>SUM(BD114,BD119,BD124,BD134)</f>
        <v>68</v>
      </c>
      <c r="BE136" s="3216">
        <f>SUM(BE114,BE119,BE124,BE134)</f>
        <v>80</v>
      </c>
      <c r="BF136" s="3217">
        <f>SUM(BF114,BF119,BF124,BF129,BF134)</f>
        <v>154</v>
      </c>
      <c r="BG136" s="3215">
        <f t="shared" ref="BG136:BV136" si="122">SUM(BG114,BG119,BG124,BG134)</f>
        <v>6</v>
      </c>
      <c r="BH136" s="3216">
        <f t="shared" si="122"/>
        <v>66</v>
      </c>
      <c r="BI136" s="3216">
        <f t="shared" si="122"/>
        <v>77</v>
      </c>
      <c r="BJ136" s="3217">
        <f t="shared" si="122"/>
        <v>149</v>
      </c>
      <c r="BK136" s="3215">
        <f t="shared" si="122"/>
        <v>6</v>
      </c>
      <c r="BL136" s="3216">
        <f t="shared" si="122"/>
        <v>63</v>
      </c>
      <c r="BM136" s="3216">
        <f t="shared" si="122"/>
        <v>75</v>
      </c>
      <c r="BN136" s="3217">
        <f t="shared" si="122"/>
        <v>144</v>
      </c>
      <c r="BO136" s="3215">
        <f t="shared" si="122"/>
        <v>5</v>
      </c>
      <c r="BP136" s="3216">
        <f t="shared" si="122"/>
        <v>57</v>
      </c>
      <c r="BQ136" s="3216">
        <f t="shared" si="122"/>
        <v>72</v>
      </c>
      <c r="BR136" s="3217">
        <f t="shared" si="122"/>
        <v>134</v>
      </c>
      <c r="BS136" s="3215">
        <f t="shared" si="122"/>
        <v>5</v>
      </c>
      <c r="BT136" s="3216">
        <f t="shared" si="122"/>
        <v>47</v>
      </c>
      <c r="BU136" s="3216">
        <f t="shared" si="122"/>
        <v>69</v>
      </c>
      <c r="BV136" s="3217">
        <f t="shared" si="122"/>
        <v>121</v>
      </c>
      <c r="BW136" s="3215">
        <f t="shared" ref="BW136:BZ136" si="123">SUM(BW114,BW119,BW124,BW134)</f>
        <v>5</v>
      </c>
      <c r="BX136" s="3216">
        <f t="shared" si="123"/>
        <v>46</v>
      </c>
      <c r="BY136" s="3216">
        <f t="shared" si="123"/>
        <v>67</v>
      </c>
      <c r="BZ136" s="3217">
        <f t="shared" si="123"/>
        <v>118</v>
      </c>
      <c r="CA136" s="3215">
        <f t="shared" ref="CA136:CD136" si="124">SUM(CA114,CA119,CA124,CA134)</f>
        <v>5</v>
      </c>
      <c r="CB136" s="3216">
        <f t="shared" si="124"/>
        <v>44</v>
      </c>
      <c r="CC136" s="3216">
        <f t="shared" si="124"/>
        <v>59</v>
      </c>
      <c r="CD136" s="3217">
        <f t="shared" si="124"/>
        <v>108</v>
      </c>
    </row>
    <row r="137" spans="1:82" x14ac:dyDescent="0.3">
      <c r="A137" s="3159"/>
      <c r="B137" s="3230" t="s">
        <v>768</v>
      </c>
    </row>
    <row r="138" spans="1:82" x14ac:dyDescent="0.3">
      <c r="A138" s="3159"/>
      <c r="B138" s="3231" t="s">
        <v>765</v>
      </c>
    </row>
    <row r="139" spans="1:82" x14ac:dyDescent="0.3">
      <c r="A139" s="3159"/>
    </row>
    <row r="140" spans="1:82" x14ac:dyDescent="0.3">
      <c r="A140" s="3159"/>
    </row>
    <row r="141" spans="1:82" x14ac:dyDescent="0.3">
      <c r="A141" s="3159"/>
    </row>
    <row r="142" spans="1:82" x14ac:dyDescent="0.3">
      <c r="A142" s="3159"/>
    </row>
    <row r="143" spans="1:82" x14ac:dyDescent="0.3">
      <c r="A143" s="3159"/>
    </row>
    <row r="144" spans="1:82" x14ac:dyDescent="0.25">
      <c r="AY144" s="3232">
        <v>2003</v>
      </c>
    </row>
    <row r="145" spans="51:51" x14ac:dyDescent="0.25">
      <c r="AY145" s="3232">
        <v>2004</v>
      </c>
    </row>
    <row r="146" spans="51:51" x14ac:dyDescent="0.25">
      <c r="AY146" s="3232">
        <v>2005</v>
      </c>
    </row>
    <row r="147" spans="51:51" x14ac:dyDescent="0.25">
      <c r="AY147" s="3232">
        <v>2006</v>
      </c>
    </row>
    <row r="148" spans="51:51" x14ac:dyDescent="0.25">
      <c r="AY148" s="3232">
        <v>2007</v>
      </c>
    </row>
    <row r="149" spans="51:51" x14ac:dyDescent="0.25">
      <c r="AY149" s="3232">
        <v>2008</v>
      </c>
    </row>
    <row r="150" spans="51:51" x14ac:dyDescent="0.25">
      <c r="AY150" s="3232">
        <v>2009</v>
      </c>
    </row>
    <row r="151" spans="51:51" x14ac:dyDescent="0.25">
      <c r="AY151" s="3232">
        <v>2010</v>
      </c>
    </row>
    <row r="152" spans="51:51" x14ac:dyDescent="0.25">
      <c r="AY152" s="3232">
        <v>2011</v>
      </c>
    </row>
    <row r="153" spans="51:51" x14ac:dyDescent="0.25">
      <c r="AY153" s="3232">
        <v>2012</v>
      </c>
    </row>
    <row r="154" spans="51:51" x14ac:dyDescent="0.25">
      <c r="AY154" s="3232">
        <v>2013</v>
      </c>
    </row>
    <row r="155" spans="51:51" x14ac:dyDescent="0.25">
      <c r="AY155" s="3232">
        <v>2014</v>
      </c>
    </row>
    <row r="156" spans="51:51" x14ac:dyDescent="0.25">
      <c r="AY156" s="3232">
        <v>2015</v>
      </c>
    </row>
    <row r="157" spans="51:51" x14ac:dyDescent="0.25">
      <c r="AY157" s="3232">
        <v>2016</v>
      </c>
    </row>
    <row r="158" spans="51:51" x14ac:dyDescent="0.25">
      <c r="AY158" s="3232">
        <v>2017</v>
      </c>
    </row>
    <row r="159" spans="51:51" x14ac:dyDescent="0.25">
      <c r="AY159" s="3232">
        <v>2018</v>
      </c>
    </row>
    <row r="160" spans="51:51" x14ac:dyDescent="0.25">
      <c r="AY160" s="3232">
        <v>2019</v>
      </c>
    </row>
    <row r="161" spans="30:52" x14ac:dyDescent="0.25">
      <c r="AY161" s="3232">
        <v>2020</v>
      </c>
    </row>
    <row r="162" spans="30:52" x14ac:dyDescent="0.25">
      <c r="AY162" s="3232">
        <v>2021</v>
      </c>
    </row>
    <row r="163" spans="30:52" x14ac:dyDescent="0.25">
      <c r="AY163" s="3232">
        <v>2022</v>
      </c>
    </row>
    <row r="164" spans="30:52" x14ac:dyDescent="0.25">
      <c r="AY164" s="3232"/>
      <c r="AZ164" s="3232" t="s">
        <v>773</v>
      </c>
    </row>
    <row r="165" spans="30:52" x14ac:dyDescent="0.25">
      <c r="AZ165" s="3232" t="s">
        <v>774</v>
      </c>
    </row>
    <row r="166" spans="30:52" x14ac:dyDescent="0.25">
      <c r="AZ166" s="3232" t="s">
        <v>775</v>
      </c>
    </row>
    <row r="176" spans="30:52" x14ac:dyDescent="0.25">
      <c r="AD176" s="3233" t="s">
        <v>767</v>
      </c>
    </row>
    <row r="177" spans="30:30" x14ac:dyDescent="0.25">
      <c r="AD177" s="3233" t="s">
        <v>770</v>
      </c>
    </row>
    <row r="178" spans="30:30" x14ac:dyDescent="0.25">
      <c r="AD178" s="3233" t="s">
        <v>772</v>
      </c>
    </row>
  </sheetData>
  <mergeCells count="84">
    <mergeCell ref="BG108:BJ108"/>
    <mergeCell ref="BK108:BN108"/>
    <mergeCell ref="BO108:BR108"/>
    <mergeCell ref="BS108:BV108"/>
    <mergeCell ref="AI108:AL108"/>
    <mergeCell ref="AM108:AP108"/>
    <mergeCell ref="AQ108:AT108"/>
    <mergeCell ref="AU108:AX108"/>
    <mergeCell ref="AY108:BB108"/>
    <mergeCell ref="BC108:BF108"/>
    <mergeCell ref="S108:V108"/>
    <mergeCell ref="W108:Z108"/>
    <mergeCell ref="AA108:AD108"/>
    <mergeCell ref="AE108:AH108"/>
    <mergeCell ref="AU73:AX73"/>
    <mergeCell ref="S73:V73"/>
    <mergeCell ref="W73:Z73"/>
    <mergeCell ref="AA73:AD73"/>
    <mergeCell ref="AE73:AH73"/>
    <mergeCell ref="B108:B109"/>
    <mergeCell ref="C108:F108"/>
    <mergeCell ref="G108:J108"/>
    <mergeCell ref="K108:N108"/>
    <mergeCell ref="O108:R108"/>
    <mergeCell ref="B73:B74"/>
    <mergeCell ref="C73:F73"/>
    <mergeCell ref="G73:J73"/>
    <mergeCell ref="K73:N73"/>
    <mergeCell ref="O73:R73"/>
    <mergeCell ref="AI38:AL38"/>
    <mergeCell ref="AM38:AP38"/>
    <mergeCell ref="AQ38:AT38"/>
    <mergeCell ref="AU38:AX38"/>
    <mergeCell ref="AQ73:AT73"/>
    <mergeCell ref="AI73:AL73"/>
    <mergeCell ref="AM73:AP73"/>
    <mergeCell ref="AM3:AP3"/>
    <mergeCell ref="BS3:BV3"/>
    <mergeCell ref="B38:B39"/>
    <mergeCell ref="C38:F38"/>
    <mergeCell ref="G38:J38"/>
    <mergeCell ref="K38:N38"/>
    <mergeCell ref="O38:R38"/>
    <mergeCell ref="S38:V38"/>
    <mergeCell ref="W38:Z38"/>
    <mergeCell ref="AA38:AD38"/>
    <mergeCell ref="AE38:AH38"/>
    <mergeCell ref="AU3:AX3"/>
    <mergeCell ref="AY3:BB3"/>
    <mergeCell ref="BC3:BF3"/>
    <mergeCell ref="BG3:BJ3"/>
    <mergeCell ref="BK3:BN3"/>
    <mergeCell ref="S3:V3"/>
    <mergeCell ref="W3:Z3"/>
    <mergeCell ref="AA3:AD3"/>
    <mergeCell ref="AE3:AH3"/>
    <mergeCell ref="AI3:AL3"/>
    <mergeCell ref="B3:B4"/>
    <mergeCell ref="C3:F3"/>
    <mergeCell ref="G3:J3"/>
    <mergeCell ref="K3:N3"/>
    <mergeCell ref="O3:R3"/>
    <mergeCell ref="BS38:BV38"/>
    <mergeCell ref="AY38:BB38"/>
    <mergeCell ref="BC38:BF38"/>
    <mergeCell ref="BS73:BV73"/>
    <mergeCell ref="AY73:BB73"/>
    <mergeCell ref="BC73:BF73"/>
    <mergeCell ref="BG73:BJ73"/>
    <mergeCell ref="BK73:BN73"/>
    <mergeCell ref="BO73:BR73"/>
    <mergeCell ref="AQ3:AT3"/>
    <mergeCell ref="BO3:BR3"/>
    <mergeCell ref="BG38:BJ38"/>
    <mergeCell ref="BK38:BN38"/>
    <mergeCell ref="BO38:BR38"/>
    <mergeCell ref="CA3:CD3"/>
    <mergeCell ref="CA38:CD38"/>
    <mergeCell ref="CA73:CD73"/>
    <mergeCell ref="CA108:CD108"/>
    <mergeCell ref="BW3:BZ3"/>
    <mergeCell ref="BW38:BZ38"/>
    <mergeCell ref="BW73:BZ73"/>
    <mergeCell ref="BW108:BZ108"/>
  </mergeCells>
  <printOptions horizontalCentered="1" verticalCentered="1"/>
  <pageMargins left="0" right="0" top="0" bottom="0" header="0.31496062992125984" footer="0.31496062992125984"/>
  <pageSetup scale="60" firstPageNumber="134" pageOrder="overThenDown" orientation="landscape" useFirstPageNumber="1" r:id="rId1"/>
  <headerFooter scaleWithDoc="0" alignWithMargins="0">
    <oddFooter>&amp;R&amp;P</oddFooter>
  </headerFooter>
  <rowBreaks count="8" manualBreakCount="8">
    <brk id="34" max="49" man="1"/>
    <brk id="34" min="62" max="81" man="1"/>
    <brk id="69" max="49" man="1"/>
    <brk id="69" min="62" max="81" man="1"/>
    <brk id="104" max="49" man="1"/>
    <brk id="104" min="62" max="81" man="1"/>
    <brk id="140" max="16383" man="1"/>
    <brk id="179" max="16383" man="1"/>
  </rowBreaks>
  <colBreaks count="2" manualBreakCount="2">
    <brk id="26" max="137" man="1"/>
    <brk id="50" max="1048575" man="1"/>
  </colBreaks>
  <ignoredErrors>
    <ignoredError sqref="BF6:BV23 BZ6:BZ28 BF25:BV28 BF24:BN24 BT24:BV24 BP24:BR24" formula="1"/>
  </ignoredErrors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8200"/>
  </sheetPr>
  <dimension ref="B1:BD171"/>
  <sheetViews>
    <sheetView showGridLines="0" zoomScaleNormal="100" workbookViewId="0">
      <pane xSplit="2" ySplit="5" topLeftCell="AP111" activePane="bottomRight" state="frozen"/>
      <selection activeCell="Q31" sqref="Q31"/>
      <selection pane="topRight" activeCell="Q31" sqref="Q31"/>
      <selection pane="bottomLeft" activeCell="Q31" sqref="Q31"/>
      <selection pane="bottomRight" activeCell="Q31" sqref="Q31"/>
    </sheetView>
  </sheetViews>
  <sheetFormatPr baseColWidth="10" defaultColWidth="11.44140625" defaultRowHeight="14.4" x14ac:dyDescent="0.3"/>
  <cols>
    <col min="1" max="1" width="2.88671875" style="3235" customWidth="1"/>
    <col min="2" max="2" width="27.5546875" style="3235" customWidth="1"/>
    <col min="3" max="83" width="8.88671875" style="3235" customWidth="1"/>
    <col min="84" max="16384" width="11.44140625" style="3235"/>
  </cols>
  <sheetData>
    <row r="1" spans="2:56" ht="41.4" x14ac:dyDescent="0.3">
      <c r="B1" s="3234" t="s">
        <v>776</v>
      </c>
    </row>
    <row r="2" spans="2:56" ht="18" x14ac:dyDescent="0.35">
      <c r="AU2" s="3236"/>
      <c r="AX2" s="3236"/>
      <c r="BD2" s="3236" t="s">
        <v>767</v>
      </c>
    </row>
    <row r="3" spans="2:56" x14ac:dyDescent="0.3">
      <c r="B3" s="6160" t="s">
        <v>132</v>
      </c>
      <c r="C3" s="6157">
        <v>2005</v>
      </c>
      <c r="D3" s="6158"/>
      <c r="E3" s="6159"/>
      <c r="F3" s="6157">
        <v>2006</v>
      </c>
      <c r="G3" s="6158"/>
      <c r="H3" s="6159"/>
      <c r="I3" s="6157">
        <v>2007</v>
      </c>
      <c r="J3" s="6158"/>
      <c r="K3" s="6159"/>
      <c r="L3" s="6157">
        <v>2008</v>
      </c>
      <c r="M3" s="6158"/>
      <c r="N3" s="6159"/>
      <c r="O3" s="6157">
        <v>2009</v>
      </c>
      <c r="P3" s="6158"/>
      <c r="Q3" s="6159"/>
      <c r="R3" s="6157">
        <v>2010</v>
      </c>
      <c r="S3" s="6158"/>
      <c r="T3" s="6159"/>
      <c r="U3" s="6157">
        <v>2011</v>
      </c>
      <c r="V3" s="6158"/>
      <c r="W3" s="6159"/>
      <c r="X3" s="6157">
        <v>2012</v>
      </c>
      <c r="Y3" s="6158"/>
      <c r="Z3" s="6159"/>
      <c r="AA3" s="6157">
        <v>2013</v>
      </c>
      <c r="AB3" s="6158"/>
      <c r="AC3" s="6159"/>
      <c r="AD3" s="6157">
        <v>2014</v>
      </c>
      <c r="AE3" s="6158"/>
      <c r="AF3" s="6159"/>
      <c r="AG3" s="6157">
        <v>2015</v>
      </c>
      <c r="AH3" s="6158"/>
      <c r="AI3" s="6159"/>
      <c r="AJ3" s="6157">
        <v>2016</v>
      </c>
      <c r="AK3" s="6158"/>
      <c r="AL3" s="6159"/>
      <c r="AM3" s="6157">
        <v>2017</v>
      </c>
      <c r="AN3" s="6158"/>
      <c r="AO3" s="6159"/>
      <c r="AP3" s="6157">
        <v>2018</v>
      </c>
      <c r="AQ3" s="6158"/>
      <c r="AR3" s="6159"/>
      <c r="AS3" s="6157">
        <v>2019</v>
      </c>
      <c r="AT3" s="6158"/>
      <c r="AU3" s="6159"/>
      <c r="AV3" s="6157">
        <v>2020</v>
      </c>
      <c r="AW3" s="6158"/>
      <c r="AX3" s="6159"/>
      <c r="AY3" s="6157">
        <v>2021</v>
      </c>
      <c r="AZ3" s="6158"/>
      <c r="BA3" s="6159"/>
      <c r="BB3" s="6157">
        <v>2022</v>
      </c>
      <c r="BC3" s="6158"/>
      <c r="BD3" s="6159"/>
    </row>
    <row r="4" spans="2:56" x14ac:dyDescent="0.3">
      <c r="B4" s="5728"/>
      <c r="C4" s="3237" t="s">
        <v>140</v>
      </c>
      <c r="D4" s="3237" t="s">
        <v>141</v>
      </c>
      <c r="E4" s="3238" t="s">
        <v>279</v>
      </c>
      <c r="F4" s="3237" t="s">
        <v>140</v>
      </c>
      <c r="G4" s="3237" t="s">
        <v>141</v>
      </c>
      <c r="H4" s="3238" t="s">
        <v>279</v>
      </c>
      <c r="I4" s="3237" t="s">
        <v>140</v>
      </c>
      <c r="J4" s="3237" t="s">
        <v>141</v>
      </c>
      <c r="K4" s="3238" t="s">
        <v>279</v>
      </c>
      <c r="L4" s="3237" t="s">
        <v>140</v>
      </c>
      <c r="M4" s="3237" t="s">
        <v>141</v>
      </c>
      <c r="N4" s="3238" t="s">
        <v>279</v>
      </c>
      <c r="O4" s="3237" t="s">
        <v>140</v>
      </c>
      <c r="P4" s="3237" t="s">
        <v>141</v>
      </c>
      <c r="Q4" s="3238" t="s">
        <v>279</v>
      </c>
      <c r="R4" s="3237" t="s">
        <v>140</v>
      </c>
      <c r="S4" s="3237" t="s">
        <v>141</v>
      </c>
      <c r="T4" s="3238" t="s">
        <v>279</v>
      </c>
      <c r="U4" s="3237" t="s">
        <v>140</v>
      </c>
      <c r="V4" s="3237" t="s">
        <v>141</v>
      </c>
      <c r="W4" s="3238" t="s">
        <v>279</v>
      </c>
      <c r="X4" s="3237" t="s">
        <v>140</v>
      </c>
      <c r="Y4" s="3237" t="s">
        <v>141</v>
      </c>
      <c r="Z4" s="3238" t="s">
        <v>279</v>
      </c>
      <c r="AA4" s="3237" t="s">
        <v>140</v>
      </c>
      <c r="AB4" s="3237" t="s">
        <v>141</v>
      </c>
      <c r="AC4" s="3238" t="s">
        <v>279</v>
      </c>
      <c r="AD4" s="3237" t="s">
        <v>140</v>
      </c>
      <c r="AE4" s="3237" t="s">
        <v>141</v>
      </c>
      <c r="AF4" s="3238" t="s">
        <v>279</v>
      </c>
      <c r="AG4" s="3237" t="s">
        <v>140</v>
      </c>
      <c r="AH4" s="3237" t="s">
        <v>141</v>
      </c>
      <c r="AI4" s="3238" t="s">
        <v>279</v>
      </c>
      <c r="AJ4" s="3237" t="s">
        <v>140</v>
      </c>
      <c r="AK4" s="3237" t="s">
        <v>141</v>
      </c>
      <c r="AL4" s="3238" t="s">
        <v>279</v>
      </c>
      <c r="AM4" s="3237" t="s">
        <v>140</v>
      </c>
      <c r="AN4" s="3237" t="s">
        <v>141</v>
      </c>
      <c r="AO4" s="3238" t="s">
        <v>279</v>
      </c>
      <c r="AP4" s="3237" t="s">
        <v>140</v>
      </c>
      <c r="AQ4" s="3237" t="s">
        <v>141</v>
      </c>
      <c r="AR4" s="3238" t="s">
        <v>279</v>
      </c>
      <c r="AS4" s="3237" t="s">
        <v>140</v>
      </c>
      <c r="AT4" s="3237" t="s">
        <v>141</v>
      </c>
      <c r="AU4" s="3238" t="s">
        <v>279</v>
      </c>
      <c r="AV4" s="3237" t="s">
        <v>140</v>
      </c>
      <c r="AW4" s="3237" t="s">
        <v>141</v>
      </c>
      <c r="AX4" s="3238" t="s">
        <v>279</v>
      </c>
      <c r="AY4" s="3237" t="s">
        <v>140</v>
      </c>
      <c r="AZ4" s="3237" t="s">
        <v>141</v>
      </c>
      <c r="BA4" s="3238" t="s">
        <v>279</v>
      </c>
      <c r="BB4" s="3237" t="s">
        <v>140</v>
      </c>
      <c r="BC4" s="3237" t="s">
        <v>141</v>
      </c>
      <c r="BD4" s="3238" t="s">
        <v>279</v>
      </c>
    </row>
    <row r="5" spans="2:56" x14ac:dyDescent="0.3">
      <c r="B5" s="3239"/>
      <c r="C5" s="3239"/>
      <c r="D5" s="3239"/>
      <c r="E5" s="3239"/>
      <c r="F5" s="3239"/>
      <c r="G5" s="3239"/>
      <c r="H5" s="3239"/>
      <c r="I5" s="3239"/>
      <c r="J5" s="3239"/>
      <c r="K5" s="3239"/>
      <c r="L5" s="3239"/>
      <c r="M5" s="3239"/>
      <c r="N5" s="3239"/>
      <c r="O5" s="3239"/>
      <c r="P5" s="3239"/>
      <c r="Q5" s="3239"/>
    </row>
    <row r="6" spans="2:56" x14ac:dyDescent="0.3">
      <c r="B6" s="3240" t="s">
        <v>59</v>
      </c>
      <c r="C6" s="3241">
        <v>66</v>
      </c>
      <c r="D6" s="3242">
        <v>263</v>
      </c>
      <c r="E6" s="3243">
        <v>329</v>
      </c>
      <c r="F6" s="3242">
        <v>66</v>
      </c>
      <c r="G6" s="3242">
        <v>261</v>
      </c>
      <c r="H6" s="3242">
        <v>327</v>
      </c>
      <c r="I6" s="3241">
        <v>70</v>
      </c>
      <c r="J6" s="3242">
        <v>270</v>
      </c>
      <c r="K6" s="3243">
        <v>340</v>
      </c>
      <c r="L6" s="3244">
        <v>71</v>
      </c>
      <c r="M6" s="3245">
        <v>270</v>
      </c>
      <c r="N6" s="3246">
        <v>341</v>
      </c>
      <c r="O6" s="3244">
        <v>70</v>
      </c>
      <c r="P6" s="3245">
        <v>274</v>
      </c>
      <c r="Q6" s="3246">
        <v>344</v>
      </c>
      <c r="R6" s="3247">
        <v>73</v>
      </c>
      <c r="S6" s="3247">
        <v>269</v>
      </c>
      <c r="T6" s="3248">
        <f t="shared" ref="T6:T19" si="0">SUM(R6:S6)</f>
        <v>342</v>
      </c>
      <c r="U6" s="3247">
        <v>73</v>
      </c>
      <c r="V6" s="3247">
        <v>269</v>
      </c>
      <c r="W6" s="3248">
        <f t="shared" ref="W6:W19" si="1">SUM(U6:V6)</f>
        <v>342</v>
      </c>
      <c r="X6" s="3247">
        <v>76</v>
      </c>
      <c r="Y6" s="3247">
        <v>272</v>
      </c>
      <c r="Z6" s="3248">
        <f>SUM(X6:Y6)</f>
        <v>348</v>
      </c>
      <c r="AA6" s="3247">
        <v>77</v>
      </c>
      <c r="AB6" s="3247">
        <v>272</v>
      </c>
      <c r="AC6" s="3248">
        <f>SUM(AA6:AB6)</f>
        <v>349</v>
      </c>
      <c r="AD6" s="3247">
        <v>83</v>
      </c>
      <c r="AE6" s="3247">
        <v>274</v>
      </c>
      <c r="AF6" s="3248">
        <f>SUM(AD6:AE6)</f>
        <v>357</v>
      </c>
      <c r="AG6" s="3247">
        <v>81</v>
      </c>
      <c r="AH6" s="3247">
        <v>270</v>
      </c>
      <c r="AI6" s="3248">
        <f>SUM(AG6:AH6)</f>
        <v>351</v>
      </c>
      <c r="AJ6" s="3247">
        <v>80</v>
      </c>
      <c r="AK6" s="3247">
        <v>268</v>
      </c>
      <c r="AL6" s="3248">
        <f>SUM(AJ6:AK6)</f>
        <v>348</v>
      </c>
      <c r="AM6" s="3247">
        <v>87</v>
      </c>
      <c r="AN6" s="3247">
        <v>268</v>
      </c>
      <c r="AO6" s="3248">
        <f>SUM(AM6:AN6)</f>
        <v>355</v>
      </c>
      <c r="AP6" s="3247">
        <v>88</v>
      </c>
      <c r="AQ6" s="3247">
        <v>273</v>
      </c>
      <c r="AR6" s="3248">
        <f>SUM(AP6:AQ6)</f>
        <v>361</v>
      </c>
      <c r="AS6" s="3247">
        <v>88</v>
      </c>
      <c r="AT6" s="3247">
        <v>276</v>
      </c>
      <c r="AU6" s="3248">
        <f>SUM(AS6:AT6)</f>
        <v>364</v>
      </c>
      <c r="AV6" s="3247">
        <v>88</v>
      </c>
      <c r="AW6" s="3247">
        <v>272</v>
      </c>
      <c r="AX6" s="3248">
        <f>SUM(AV6:AW6)</f>
        <v>360</v>
      </c>
      <c r="AY6" s="3247">
        <v>88</v>
      </c>
      <c r="AZ6" s="3247">
        <v>265</v>
      </c>
      <c r="BA6" s="3248">
        <f>SUM(AY6:AZ6)</f>
        <v>353</v>
      </c>
      <c r="BB6" s="3247">
        <v>87</v>
      </c>
      <c r="BC6" s="3247">
        <v>262</v>
      </c>
      <c r="BD6" s="3248">
        <f>SUM(BB6:BC6)</f>
        <v>349</v>
      </c>
    </row>
    <row r="7" spans="2:56" x14ac:dyDescent="0.3">
      <c r="B7" s="3249" t="s">
        <v>64</v>
      </c>
      <c r="C7" s="3250">
        <v>127</v>
      </c>
      <c r="D7" s="3251">
        <v>178</v>
      </c>
      <c r="E7" s="3252">
        <v>305</v>
      </c>
      <c r="F7" s="3251">
        <v>128</v>
      </c>
      <c r="G7" s="3251">
        <v>182</v>
      </c>
      <c r="H7" s="3251">
        <v>310</v>
      </c>
      <c r="I7" s="3250">
        <v>134</v>
      </c>
      <c r="J7" s="3251">
        <v>180</v>
      </c>
      <c r="K7" s="3252">
        <v>314</v>
      </c>
      <c r="L7" s="3253">
        <v>134</v>
      </c>
      <c r="M7" s="3254">
        <v>180</v>
      </c>
      <c r="N7" s="3255">
        <v>314</v>
      </c>
      <c r="O7" s="3253">
        <v>131</v>
      </c>
      <c r="P7" s="3254">
        <v>181</v>
      </c>
      <c r="Q7" s="3255">
        <v>312</v>
      </c>
      <c r="R7" s="3256">
        <v>129</v>
      </c>
      <c r="S7" s="3256">
        <v>179</v>
      </c>
      <c r="T7" s="3257">
        <f t="shared" si="0"/>
        <v>308</v>
      </c>
      <c r="U7" s="3256">
        <v>130</v>
      </c>
      <c r="V7" s="3256">
        <v>185</v>
      </c>
      <c r="W7" s="3257">
        <f t="shared" si="1"/>
        <v>315</v>
      </c>
      <c r="X7" s="3256">
        <v>132</v>
      </c>
      <c r="Y7" s="3256">
        <v>182</v>
      </c>
      <c r="Z7" s="3257">
        <f>SUM(X7:Y7)</f>
        <v>314</v>
      </c>
      <c r="AA7" s="3256">
        <v>137</v>
      </c>
      <c r="AB7" s="3256">
        <v>189</v>
      </c>
      <c r="AC7" s="3257">
        <f>SUM(AA7:AB7)</f>
        <v>326</v>
      </c>
      <c r="AD7" s="3256">
        <v>137</v>
      </c>
      <c r="AE7" s="3256">
        <v>188</v>
      </c>
      <c r="AF7" s="3257">
        <f>SUM(AD7:AE7)</f>
        <v>325</v>
      </c>
      <c r="AG7" s="3256">
        <v>133</v>
      </c>
      <c r="AH7" s="3256">
        <v>186</v>
      </c>
      <c r="AI7" s="3257">
        <f>SUM(AG7:AH7)</f>
        <v>319</v>
      </c>
      <c r="AJ7" s="3256">
        <v>130</v>
      </c>
      <c r="AK7" s="3256">
        <v>181</v>
      </c>
      <c r="AL7" s="3257">
        <f>SUM(AJ7:AK7)</f>
        <v>311</v>
      </c>
      <c r="AM7" s="3256">
        <v>133</v>
      </c>
      <c r="AN7" s="3256">
        <v>191</v>
      </c>
      <c r="AO7" s="3257">
        <f>SUM(AM7:AN7)</f>
        <v>324</v>
      </c>
      <c r="AP7" s="3256">
        <v>135</v>
      </c>
      <c r="AQ7" s="3256">
        <v>195</v>
      </c>
      <c r="AR7" s="3257">
        <f>SUM(AP7:AQ7)</f>
        <v>330</v>
      </c>
      <c r="AS7" s="3256">
        <v>135</v>
      </c>
      <c r="AT7" s="3256">
        <v>188</v>
      </c>
      <c r="AU7" s="3257">
        <f>SUM(AS7:AT7)</f>
        <v>323</v>
      </c>
      <c r="AV7" s="3256">
        <v>134</v>
      </c>
      <c r="AW7" s="3256">
        <v>183</v>
      </c>
      <c r="AX7" s="3257">
        <f>SUM(AV7:AW7)</f>
        <v>317</v>
      </c>
      <c r="AY7" s="3256">
        <v>131</v>
      </c>
      <c r="AZ7" s="3256">
        <v>180</v>
      </c>
      <c r="BA7" s="3257">
        <f>SUM(AY7:AZ7)</f>
        <v>311</v>
      </c>
      <c r="BB7" s="3256">
        <v>127</v>
      </c>
      <c r="BC7" s="3256">
        <v>177</v>
      </c>
      <c r="BD7" s="3257">
        <f>SUM(BB7:BC7)</f>
        <v>304</v>
      </c>
    </row>
    <row r="8" spans="2:56" x14ac:dyDescent="0.3">
      <c r="B8" s="3249" t="s">
        <v>68</v>
      </c>
      <c r="C8" s="3250">
        <v>58</v>
      </c>
      <c r="D8" s="3251">
        <v>131</v>
      </c>
      <c r="E8" s="3252">
        <v>189</v>
      </c>
      <c r="F8" s="3251">
        <v>59</v>
      </c>
      <c r="G8" s="3251">
        <v>129</v>
      </c>
      <c r="H8" s="3251">
        <v>188</v>
      </c>
      <c r="I8" s="3250">
        <v>63</v>
      </c>
      <c r="J8" s="3251">
        <v>119</v>
      </c>
      <c r="K8" s="3252">
        <v>182</v>
      </c>
      <c r="L8" s="3253">
        <v>64</v>
      </c>
      <c r="M8" s="3254">
        <v>119</v>
      </c>
      <c r="N8" s="3255">
        <v>183</v>
      </c>
      <c r="O8" s="3253">
        <v>69</v>
      </c>
      <c r="P8" s="3254">
        <v>121</v>
      </c>
      <c r="Q8" s="3255">
        <v>190</v>
      </c>
      <c r="R8" s="3256">
        <v>74</v>
      </c>
      <c r="S8" s="3256">
        <v>125</v>
      </c>
      <c r="T8" s="3257">
        <f t="shared" si="0"/>
        <v>199</v>
      </c>
      <c r="U8" s="3256">
        <v>72</v>
      </c>
      <c r="V8" s="3256">
        <v>129</v>
      </c>
      <c r="W8" s="3257">
        <f t="shared" si="1"/>
        <v>201</v>
      </c>
      <c r="X8" s="3256">
        <v>76</v>
      </c>
      <c r="Y8" s="3256">
        <v>130</v>
      </c>
      <c r="Z8" s="3257">
        <f>SUM(X8:Y8)</f>
        <v>206</v>
      </c>
      <c r="AA8" s="3256">
        <v>78</v>
      </c>
      <c r="AB8" s="3256">
        <v>133</v>
      </c>
      <c r="AC8" s="3257">
        <f>SUM(AA8:AB8)</f>
        <v>211</v>
      </c>
      <c r="AD8" s="3256">
        <v>82</v>
      </c>
      <c r="AE8" s="3256">
        <v>139</v>
      </c>
      <c r="AF8" s="3257">
        <f>SUM(AD8:AE8)</f>
        <v>221</v>
      </c>
      <c r="AG8" s="3256">
        <v>79</v>
      </c>
      <c r="AH8" s="3256">
        <v>136</v>
      </c>
      <c r="AI8" s="3257">
        <f>SUM(AG8:AH8)</f>
        <v>215</v>
      </c>
      <c r="AJ8" s="3256">
        <v>80</v>
      </c>
      <c r="AK8" s="3256">
        <v>133</v>
      </c>
      <c r="AL8" s="3257">
        <f>SUM(AJ8:AK8)</f>
        <v>213</v>
      </c>
      <c r="AM8" s="3256">
        <v>77</v>
      </c>
      <c r="AN8" s="3256">
        <v>132</v>
      </c>
      <c r="AO8" s="3257">
        <f>SUM(AM8:AN8)</f>
        <v>209</v>
      </c>
      <c r="AP8" s="3256">
        <v>80</v>
      </c>
      <c r="AQ8" s="3256">
        <v>133</v>
      </c>
      <c r="AR8" s="3257">
        <f>SUM(AP8:AQ8)</f>
        <v>213</v>
      </c>
      <c r="AS8" s="3256">
        <v>78</v>
      </c>
      <c r="AT8" s="3256">
        <v>131</v>
      </c>
      <c r="AU8" s="3257">
        <f>SUM(AS8:AT8)</f>
        <v>209</v>
      </c>
      <c r="AV8" s="3256">
        <v>79</v>
      </c>
      <c r="AW8" s="3256">
        <v>130</v>
      </c>
      <c r="AX8" s="3257">
        <f>SUM(AV8:AW8)</f>
        <v>209</v>
      </c>
      <c r="AY8" s="3256">
        <v>78</v>
      </c>
      <c r="AZ8" s="3256">
        <v>127</v>
      </c>
      <c r="BA8" s="3257">
        <f>SUM(AY8:AZ8)</f>
        <v>205</v>
      </c>
      <c r="BB8" s="3256">
        <v>81</v>
      </c>
      <c r="BC8" s="3256">
        <v>120</v>
      </c>
      <c r="BD8" s="3257">
        <f>SUM(BB8:BC8)</f>
        <v>201</v>
      </c>
    </row>
    <row r="9" spans="2:56" x14ac:dyDescent="0.3">
      <c r="B9" s="3258" t="s">
        <v>138</v>
      </c>
      <c r="C9" s="3259">
        <v>251</v>
      </c>
      <c r="D9" s="3260">
        <v>572</v>
      </c>
      <c r="E9" s="3261">
        <v>823</v>
      </c>
      <c r="F9" s="3260">
        <v>253</v>
      </c>
      <c r="G9" s="3260">
        <v>572</v>
      </c>
      <c r="H9" s="3260">
        <v>825</v>
      </c>
      <c r="I9" s="3259">
        <v>267</v>
      </c>
      <c r="J9" s="3260">
        <v>569</v>
      </c>
      <c r="K9" s="3261">
        <v>836</v>
      </c>
      <c r="L9" s="3262">
        <v>269</v>
      </c>
      <c r="M9" s="3263">
        <v>569</v>
      </c>
      <c r="N9" s="3264">
        <v>838</v>
      </c>
      <c r="O9" s="3262">
        <v>270</v>
      </c>
      <c r="P9" s="3263">
        <v>576</v>
      </c>
      <c r="Q9" s="3264">
        <v>846</v>
      </c>
      <c r="R9" s="3265">
        <f>SUM(R6:R8)</f>
        <v>276</v>
      </c>
      <c r="S9" s="3265">
        <f>SUM(S6:S8)</f>
        <v>573</v>
      </c>
      <c r="T9" s="3266">
        <f t="shared" si="0"/>
        <v>849</v>
      </c>
      <c r="U9" s="3265">
        <f>SUM(U6:U8)</f>
        <v>275</v>
      </c>
      <c r="V9" s="3265">
        <f>SUM(V6:V8)</f>
        <v>583</v>
      </c>
      <c r="W9" s="3266">
        <f t="shared" si="1"/>
        <v>858</v>
      </c>
      <c r="X9" s="3265">
        <f>SUM(X6:X8)</f>
        <v>284</v>
      </c>
      <c r="Y9" s="3265">
        <f>SUM(Y6:Y8)</f>
        <v>584</v>
      </c>
      <c r="Z9" s="3266">
        <f>SUM(X9:Y9)</f>
        <v>868</v>
      </c>
      <c r="AA9" s="3265">
        <f>SUM(AA6:AA8)</f>
        <v>292</v>
      </c>
      <c r="AB9" s="3265">
        <f>SUM(AB6:AB8)</f>
        <v>594</v>
      </c>
      <c r="AC9" s="3266">
        <f>SUM(AA9:AB9)</f>
        <v>886</v>
      </c>
      <c r="AD9" s="3265">
        <f>SUM(AD6:AD8)</f>
        <v>302</v>
      </c>
      <c r="AE9" s="3265">
        <f>SUM(AE6:AE8)</f>
        <v>601</v>
      </c>
      <c r="AF9" s="3266">
        <f>SUM(AD9:AE9)</f>
        <v>903</v>
      </c>
      <c r="AG9" s="3265">
        <f>SUM(AG6:AG8)</f>
        <v>293</v>
      </c>
      <c r="AH9" s="3265">
        <f>SUM(AH6:AH8)</f>
        <v>592</v>
      </c>
      <c r="AI9" s="3266">
        <f>SUM(AG9:AH9)</f>
        <v>885</v>
      </c>
      <c r="AJ9" s="3265">
        <f>SUM(AJ6:AJ8)</f>
        <v>290</v>
      </c>
      <c r="AK9" s="3265">
        <f>SUM(AK6:AK8)</f>
        <v>582</v>
      </c>
      <c r="AL9" s="3266">
        <f>SUM(AJ9:AK9)</f>
        <v>872</v>
      </c>
      <c r="AM9" s="3265">
        <f>SUM(AM6:AM8)</f>
        <v>297</v>
      </c>
      <c r="AN9" s="3265">
        <f>SUM(AN6:AN8)</f>
        <v>591</v>
      </c>
      <c r="AO9" s="3266">
        <f>SUM(AM9:AN9)</f>
        <v>888</v>
      </c>
      <c r="AP9" s="3265">
        <f>SUM(AP6:AP8)</f>
        <v>303</v>
      </c>
      <c r="AQ9" s="3265">
        <f>SUM(AQ6:AQ8)</f>
        <v>601</v>
      </c>
      <c r="AR9" s="3266">
        <f>SUM(AP9:AQ9)</f>
        <v>904</v>
      </c>
      <c r="AS9" s="3265">
        <f>SUM(AS6:AS8)</f>
        <v>301</v>
      </c>
      <c r="AT9" s="3265">
        <f>SUM(AT6:AT8)</f>
        <v>595</v>
      </c>
      <c r="AU9" s="3266">
        <f>SUM(AS9:AT9)</f>
        <v>896</v>
      </c>
      <c r="AV9" s="3265">
        <f>SUM(AV6:AV8)</f>
        <v>301</v>
      </c>
      <c r="AW9" s="3265">
        <f>SUM(AW6:AW8)</f>
        <v>585</v>
      </c>
      <c r="AX9" s="3266">
        <f>SUM(AV9:AW9)</f>
        <v>886</v>
      </c>
      <c r="AY9" s="3265">
        <f>SUM(AY6:AY8)</f>
        <v>297</v>
      </c>
      <c r="AZ9" s="3265">
        <f>SUM(AZ6:AZ8)</f>
        <v>572</v>
      </c>
      <c r="BA9" s="3266">
        <f>SUM(AY9:AZ9)</f>
        <v>869</v>
      </c>
      <c r="BB9" s="3265">
        <f>SUM(BB6:BB8)</f>
        <v>295</v>
      </c>
      <c r="BC9" s="3265">
        <f>SUM(BC6:BC8)</f>
        <v>559</v>
      </c>
      <c r="BD9" s="3266">
        <f>SUM(BB9:BC9)</f>
        <v>854</v>
      </c>
    </row>
    <row r="10" spans="2:56" x14ac:dyDescent="0.3">
      <c r="C10" s="3267"/>
      <c r="D10" s="3267"/>
      <c r="E10" s="3267"/>
      <c r="F10" s="3267"/>
      <c r="G10" s="3267"/>
      <c r="H10" s="3267"/>
      <c r="I10" s="3267"/>
      <c r="J10" s="3267"/>
      <c r="K10" s="3267"/>
      <c r="L10" s="3267"/>
      <c r="M10" s="3267"/>
      <c r="N10" s="3267"/>
      <c r="O10" s="3267"/>
      <c r="P10" s="3267"/>
      <c r="Q10" s="3267"/>
      <c r="R10" s="3267"/>
      <c r="S10" s="3267"/>
      <c r="T10" s="3267"/>
      <c r="U10" s="3267"/>
      <c r="V10" s="3267"/>
      <c r="W10" s="3267"/>
      <c r="X10" s="3267"/>
      <c r="Y10" s="3267"/>
      <c r="Z10" s="3267"/>
      <c r="AA10" s="3267"/>
      <c r="AB10" s="3267"/>
      <c r="AC10" s="3267"/>
      <c r="AD10" s="3267"/>
      <c r="AE10" s="3267"/>
      <c r="AF10" s="3267"/>
      <c r="AG10" s="3267"/>
      <c r="AH10" s="3267"/>
      <c r="AI10" s="3267"/>
      <c r="AJ10" s="3267"/>
      <c r="AK10" s="3267"/>
      <c r="AL10" s="3267"/>
      <c r="AM10" s="3267"/>
      <c r="AN10" s="3267"/>
      <c r="AO10" s="3267"/>
      <c r="AP10" s="3267"/>
      <c r="AQ10" s="3267"/>
      <c r="AR10" s="3267"/>
      <c r="AS10" s="3267"/>
      <c r="AT10" s="3267"/>
      <c r="AU10" s="3267"/>
      <c r="AV10" s="3267"/>
      <c r="AW10" s="3267"/>
      <c r="AX10" s="3267"/>
      <c r="AY10" s="3267"/>
      <c r="AZ10" s="3267"/>
      <c r="BA10" s="3267"/>
      <c r="BB10" s="3267"/>
      <c r="BC10" s="3267"/>
      <c r="BD10" s="3267"/>
    </row>
    <row r="11" spans="2:56" x14ac:dyDescent="0.3">
      <c r="B11" s="3240" t="s">
        <v>64</v>
      </c>
      <c r="C11" s="3241">
        <v>2</v>
      </c>
      <c r="D11" s="3242">
        <v>2</v>
      </c>
      <c r="E11" s="3243">
        <v>4</v>
      </c>
      <c r="F11" s="3242">
        <v>2</v>
      </c>
      <c r="G11" s="3242">
        <v>5</v>
      </c>
      <c r="H11" s="3242">
        <v>7</v>
      </c>
      <c r="I11" s="3241">
        <v>7</v>
      </c>
      <c r="J11" s="3242">
        <v>14</v>
      </c>
      <c r="K11" s="3243">
        <v>21</v>
      </c>
      <c r="L11" s="3244">
        <v>7</v>
      </c>
      <c r="M11" s="3245">
        <v>16</v>
      </c>
      <c r="N11" s="3246">
        <v>23</v>
      </c>
      <c r="O11" s="3244">
        <v>9</v>
      </c>
      <c r="P11" s="3245">
        <v>19</v>
      </c>
      <c r="Q11" s="3246">
        <v>28</v>
      </c>
      <c r="R11" s="3247">
        <v>17</v>
      </c>
      <c r="S11" s="3247">
        <v>21</v>
      </c>
      <c r="T11" s="3248">
        <f>SUM(R11:S11)</f>
        <v>38</v>
      </c>
      <c r="U11" s="3247">
        <v>21</v>
      </c>
      <c r="V11" s="3247">
        <v>24</v>
      </c>
      <c r="W11" s="3248">
        <f>SUM(U11:V11)</f>
        <v>45</v>
      </c>
      <c r="X11" s="3247">
        <v>19</v>
      </c>
      <c r="Y11" s="3247">
        <v>23</v>
      </c>
      <c r="Z11" s="3248">
        <f>SUM(X11:Y11)</f>
        <v>42</v>
      </c>
      <c r="AA11" s="3247">
        <v>21</v>
      </c>
      <c r="AB11" s="3247">
        <v>25</v>
      </c>
      <c r="AC11" s="3248">
        <f>SUM(AA11:AB11)</f>
        <v>46</v>
      </c>
      <c r="AD11" s="3247">
        <v>23</v>
      </c>
      <c r="AE11" s="3247">
        <v>26</v>
      </c>
      <c r="AF11" s="3248">
        <f>SUM(AD11:AE11)</f>
        <v>49</v>
      </c>
      <c r="AG11" s="3247">
        <v>22</v>
      </c>
      <c r="AH11" s="3247">
        <v>28</v>
      </c>
      <c r="AI11" s="3248">
        <f>SUM(AG11:AH11)</f>
        <v>50</v>
      </c>
      <c r="AJ11" s="3247">
        <v>24</v>
      </c>
      <c r="AK11" s="3247">
        <v>30</v>
      </c>
      <c r="AL11" s="3248">
        <f>SUM(AJ11:AK11)</f>
        <v>54</v>
      </c>
      <c r="AM11" s="3247">
        <v>27</v>
      </c>
      <c r="AN11" s="3247">
        <v>34</v>
      </c>
      <c r="AO11" s="3248">
        <f>SUM(AM11:AN11)</f>
        <v>61</v>
      </c>
      <c r="AP11" s="3247">
        <v>26</v>
      </c>
      <c r="AQ11" s="3247">
        <v>34</v>
      </c>
      <c r="AR11" s="3248">
        <f>SUM(AP11:AQ11)</f>
        <v>60</v>
      </c>
      <c r="AS11" s="3247">
        <v>26</v>
      </c>
      <c r="AT11" s="3247">
        <v>33</v>
      </c>
      <c r="AU11" s="3248">
        <f>SUM(AS11:AT11)</f>
        <v>59</v>
      </c>
      <c r="AV11" s="3247">
        <v>27</v>
      </c>
      <c r="AW11" s="3247">
        <v>32</v>
      </c>
      <c r="AX11" s="3248">
        <f>SUM(AV11:AW11)</f>
        <v>59</v>
      </c>
      <c r="AY11" s="3247">
        <v>27</v>
      </c>
      <c r="AZ11" s="3247">
        <v>32</v>
      </c>
      <c r="BA11" s="3248">
        <f>SUM(AY11:AZ11)</f>
        <v>59</v>
      </c>
      <c r="BB11" s="3247">
        <v>26</v>
      </c>
      <c r="BC11" s="3247">
        <v>33</v>
      </c>
      <c r="BD11" s="3248">
        <f>SUM(BB11:BC11)</f>
        <v>59</v>
      </c>
    </row>
    <row r="12" spans="2:56" x14ac:dyDescent="0.3">
      <c r="B12" s="3249" t="s">
        <v>111</v>
      </c>
      <c r="C12" s="3250">
        <v>1</v>
      </c>
      <c r="D12" s="3251">
        <v>2</v>
      </c>
      <c r="E12" s="3252">
        <v>3</v>
      </c>
      <c r="F12" s="3251">
        <v>2</v>
      </c>
      <c r="G12" s="3251">
        <v>7</v>
      </c>
      <c r="H12" s="3251">
        <v>9</v>
      </c>
      <c r="I12" s="3250">
        <v>4</v>
      </c>
      <c r="J12" s="3251">
        <v>9</v>
      </c>
      <c r="K12" s="3252">
        <v>13</v>
      </c>
      <c r="L12" s="3253">
        <v>7</v>
      </c>
      <c r="M12" s="3254">
        <v>17</v>
      </c>
      <c r="N12" s="3255">
        <v>24</v>
      </c>
      <c r="O12" s="3253">
        <v>8</v>
      </c>
      <c r="P12" s="3254">
        <v>22</v>
      </c>
      <c r="Q12" s="3255">
        <v>30</v>
      </c>
      <c r="R12" s="3256">
        <v>13</v>
      </c>
      <c r="S12" s="3256">
        <v>25</v>
      </c>
      <c r="T12" s="3257">
        <f>SUM(R12:S12)</f>
        <v>38</v>
      </c>
      <c r="U12" s="3256">
        <v>15</v>
      </c>
      <c r="V12" s="3256">
        <v>26</v>
      </c>
      <c r="W12" s="3257">
        <f>SUM(U12:V12)</f>
        <v>41</v>
      </c>
      <c r="X12" s="3256">
        <v>17</v>
      </c>
      <c r="Y12" s="3256">
        <v>35</v>
      </c>
      <c r="Z12" s="3257">
        <f>SUM(X12:Y12)</f>
        <v>52</v>
      </c>
      <c r="AA12" s="3256">
        <v>15</v>
      </c>
      <c r="AB12" s="3256">
        <v>36</v>
      </c>
      <c r="AC12" s="3257">
        <f>SUM(AA12:AB12)</f>
        <v>51</v>
      </c>
      <c r="AD12" s="3256">
        <v>13</v>
      </c>
      <c r="AE12" s="3256">
        <v>39</v>
      </c>
      <c r="AF12" s="3257">
        <f>SUM(AD12:AE12)</f>
        <v>52</v>
      </c>
      <c r="AG12" s="3256">
        <v>13</v>
      </c>
      <c r="AH12" s="3256">
        <v>41</v>
      </c>
      <c r="AI12" s="3257">
        <f>SUM(AG12:AH12)</f>
        <v>54</v>
      </c>
      <c r="AJ12" s="3256">
        <v>14</v>
      </c>
      <c r="AK12" s="3256">
        <v>39</v>
      </c>
      <c r="AL12" s="3257">
        <f>SUM(AJ12:AK12)</f>
        <v>53</v>
      </c>
      <c r="AM12" s="3256">
        <v>15</v>
      </c>
      <c r="AN12" s="3256">
        <v>37</v>
      </c>
      <c r="AO12" s="3257">
        <f>SUM(AM12:AN12)</f>
        <v>52</v>
      </c>
      <c r="AP12" s="3256">
        <v>15</v>
      </c>
      <c r="AQ12" s="3256">
        <v>36</v>
      </c>
      <c r="AR12" s="3257">
        <f>SUM(AP12:AQ12)</f>
        <v>51</v>
      </c>
      <c r="AS12" s="3256">
        <v>15</v>
      </c>
      <c r="AT12" s="3256">
        <v>38</v>
      </c>
      <c r="AU12" s="3257">
        <f>SUM(AS12:AT12)</f>
        <v>53</v>
      </c>
      <c r="AV12" s="3256">
        <v>17</v>
      </c>
      <c r="AW12" s="3256">
        <v>38</v>
      </c>
      <c r="AX12" s="3257">
        <f>SUM(AV12:AW12)</f>
        <v>55</v>
      </c>
      <c r="AY12" s="3256">
        <v>17</v>
      </c>
      <c r="AZ12" s="3256">
        <v>40</v>
      </c>
      <c r="BA12" s="3257">
        <f>SUM(AY12:AZ12)</f>
        <v>57</v>
      </c>
      <c r="BB12" s="3256">
        <v>18</v>
      </c>
      <c r="BC12" s="3256">
        <v>41</v>
      </c>
      <c r="BD12" s="3257">
        <f>SUM(BB12:BC12)</f>
        <v>59</v>
      </c>
    </row>
    <row r="13" spans="2:56" x14ac:dyDescent="0.3">
      <c r="B13" s="3249" t="s">
        <v>115</v>
      </c>
      <c r="C13" s="3250">
        <v>1</v>
      </c>
      <c r="D13" s="3251">
        <v>5</v>
      </c>
      <c r="E13" s="3252">
        <v>6</v>
      </c>
      <c r="F13" s="3251">
        <v>1</v>
      </c>
      <c r="G13" s="3251">
        <v>5</v>
      </c>
      <c r="H13" s="3251">
        <v>6</v>
      </c>
      <c r="I13" s="3250">
        <v>5</v>
      </c>
      <c r="J13" s="3251">
        <v>13</v>
      </c>
      <c r="K13" s="3252">
        <v>18</v>
      </c>
      <c r="L13" s="3253">
        <v>8</v>
      </c>
      <c r="M13" s="3254">
        <v>15</v>
      </c>
      <c r="N13" s="3255">
        <v>23</v>
      </c>
      <c r="O13" s="3253">
        <v>8</v>
      </c>
      <c r="P13" s="3254">
        <v>16</v>
      </c>
      <c r="Q13" s="3255">
        <v>24</v>
      </c>
      <c r="R13" s="3256">
        <v>9</v>
      </c>
      <c r="S13" s="3256">
        <v>18</v>
      </c>
      <c r="T13" s="3257">
        <f>SUM(R13:S13)</f>
        <v>27</v>
      </c>
      <c r="U13" s="3256">
        <v>10</v>
      </c>
      <c r="V13" s="3256">
        <v>23</v>
      </c>
      <c r="W13" s="3257">
        <f>SUM(U13:V13)</f>
        <v>33</v>
      </c>
      <c r="X13" s="3256">
        <v>13</v>
      </c>
      <c r="Y13" s="3256">
        <v>23</v>
      </c>
      <c r="Z13" s="3257">
        <f>SUM(X13:Y13)</f>
        <v>36</v>
      </c>
      <c r="AA13" s="3256">
        <v>14</v>
      </c>
      <c r="AB13" s="3256">
        <v>23</v>
      </c>
      <c r="AC13" s="3257">
        <f>SUM(AA13:AB13)</f>
        <v>37</v>
      </c>
      <c r="AD13" s="3256">
        <v>16</v>
      </c>
      <c r="AE13" s="3256">
        <v>26</v>
      </c>
      <c r="AF13" s="3257">
        <f>SUM(AD13:AE13)</f>
        <v>42</v>
      </c>
      <c r="AG13" s="3256">
        <v>17</v>
      </c>
      <c r="AH13" s="3256">
        <v>26</v>
      </c>
      <c r="AI13" s="3257">
        <f>SUM(AG13:AH13)</f>
        <v>43</v>
      </c>
      <c r="AJ13" s="3256">
        <v>17</v>
      </c>
      <c r="AK13" s="3256">
        <v>29</v>
      </c>
      <c r="AL13" s="3257">
        <f>SUM(AJ13:AK13)</f>
        <v>46</v>
      </c>
      <c r="AM13" s="3256">
        <v>17</v>
      </c>
      <c r="AN13" s="3256">
        <v>32</v>
      </c>
      <c r="AO13" s="3257">
        <f>SUM(AM13:AN13)</f>
        <v>49</v>
      </c>
      <c r="AP13" s="3256">
        <v>18</v>
      </c>
      <c r="AQ13" s="3256">
        <v>31</v>
      </c>
      <c r="AR13" s="3257">
        <f>SUM(AP13:AQ13)</f>
        <v>49</v>
      </c>
      <c r="AS13" s="3256">
        <v>19</v>
      </c>
      <c r="AT13" s="3256">
        <v>31</v>
      </c>
      <c r="AU13" s="3257">
        <f>SUM(AS13:AT13)</f>
        <v>50</v>
      </c>
      <c r="AV13" s="3256">
        <v>19</v>
      </c>
      <c r="AW13" s="3256">
        <v>33</v>
      </c>
      <c r="AX13" s="3257">
        <f>SUM(AV13:AW13)</f>
        <v>52</v>
      </c>
      <c r="AY13" s="3256">
        <v>19</v>
      </c>
      <c r="AZ13" s="3256">
        <v>33</v>
      </c>
      <c r="BA13" s="3257">
        <f>SUM(AY13:AZ13)</f>
        <v>52</v>
      </c>
      <c r="BB13" s="3256">
        <v>19</v>
      </c>
      <c r="BC13" s="3256">
        <v>32</v>
      </c>
      <c r="BD13" s="3257">
        <f>SUM(BB13:BC13)</f>
        <v>51</v>
      </c>
    </row>
    <row r="14" spans="2:56" x14ac:dyDescent="0.3">
      <c r="B14" s="3268" t="s">
        <v>134</v>
      </c>
      <c r="C14" s="3269">
        <v>4</v>
      </c>
      <c r="D14" s="3270">
        <v>9</v>
      </c>
      <c r="E14" s="3271">
        <v>13</v>
      </c>
      <c r="F14" s="3270">
        <v>5</v>
      </c>
      <c r="G14" s="3270">
        <v>17</v>
      </c>
      <c r="H14" s="3270">
        <v>22</v>
      </c>
      <c r="I14" s="3269">
        <v>16</v>
      </c>
      <c r="J14" s="3270">
        <v>36</v>
      </c>
      <c r="K14" s="3271">
        <v>52</v>
      </c>
      <c r="L14" s="3272">
        <v>22</v>
      </c>
      <c r="M14" s="3273">
        <v>48</v>
      </c>
      <c r="N14" s="3274">
        <v>70</v>
      </c>
      <c r="O14" s="3272">
        <v>25</v>
      </c>
      <c r="P14" s="3273">
        <v>57</v>
      </c>
      <c r="Q14" s="3274">
        <v>82</v>
      </c>
      <c r="R14" s="3275">
        <f>SUM(R11:R13)</f>
        <v>39</v>
      </c>
      <c r="S14" s="3275">
        <f>SUM(S11:S13)</f>
        <v>64</v>
      </c>
      <c r="T14" s="3276">
        <f>SUM(R14:S14)</f>
        <v>103</v>
      </c>
      <c r="U14" s="3275">
        <f>SUM(U11:U13)</f>
        <v>46</v>
      </c>
      <c r="V14" s="3275">
        <f>SUM(V11:V13)</f>
        <v>73</v>
      </c>
      <c r="W14" s="3276">
        <f>SUM(U14:V14)</f>
        <v>119</v>
      </c>
      <c r="X14" s="3275">
        <f>SUM(X11:X13)</f>
        <v>49</v>
      </c>
      <c r="Y14" s="3275">
        <f>SUM(Y11:Y13)</f>
        <v>81</v>
      </c>
      <c r="Z14" s="3276">
        <f>SUM(X14:Y14)</f>
        <v>130</v>
      </c>
      <c r="AA14" s="3275">
        <f>SUM(AA11:AA13)</f>
        <v>50</v>
      </c>
      <c r="AB14" s="3275">
        <f>SUM(AB11:AB13)</f>
        <v>84</v>
      </c>
      <c r="AC14" s="3276">
        <f>SUM(AA14:AB14)</f>
        <v>134</v>
      </c>
      <c r="AD14" s="3275">
        <f>SUM(AD11:AD13)</f>
        <v>52</v>
      </c>
      <c r="AE14" s="3275">
        <f>SUM(AE11:AE13)</f>
        <v>91</v>
      </c>
      <c r="AF14" s="3276">
        <f>SUM(AD14:AE14)</f>
        <v>143</v>
      </c>
      <c r="AG14" s="3275">
        <f>SUM(AG11:AG13)</f>
        <v>52</v>
      </c>
      <c r="AH14" s="3275">
        <f>SUM(AH11:AH13)</f>
        <v>95</v>
      </c>
      <c r="AI14" s="3276">
        <f>SUM(AG14:AH14)</f>
        <v>147</v>
      </c>
      <c r="AJ14" s="3275">
        <f>SUM(AJ11:AJ13)</f>
        <v>55</v>
      </c>
      <c r="AK14" s="3275">
        <f>SUM(AK11:AK13)</f>
        <v>98</v>
      </c>
      <c r="AL14" s="3276">
        <f>SUM(AJ14:AK14)</f>
        <v>153</v>
      </c>
      <c r="AM14" s="3275">
        <f>SUM(AM11:AM13)</f>
        <v>59</v>
      </c>
      <c r="AN14" s="3275">
        <f>SUM(AN11:AN13)</f>
        <v>103</v>
      </c>
      <c r="AO14" s="3276">
        <f>SUM(AM14:AN14)</f>
        <v>162</v>
      </c>
      <c r="AP14" s="3275">
        <f>SUM(AP11:AP13)</f>
        <v>59</v>
      </c>
      <c r="AQ14" s="3275">
        <f>SUM(AQ11:AQ13)</f>
        <v>101</v>
      </c>
      <c r="AR14" s="3276">
        <f>SUM(AP14:AQ14)</f>
        <v>160</v>
      </c>
      <c r="AS14" s="3275">
        <f>SUM(AS11:AS13)</f>
        <v>60</v>
      </c>
      <c r="AT14" s="3275">
        <f>SUM(AT11:AT13)</f>
        <v>102</v>
      </c>
      <c r="AU14" s="3276">
        <f>SUM(AS14:AT14)</f>
        <v>162</v>
      </c>
      <c r="AV14" s="3275">
        <f>SUM(AV11:AV13)</f>
        <v>63</v>
      </c>
      <c r="AW14" s="3275">
        <f>SUM(AW11:AW13)</f>
        <v>103</v>
      </c>
      <c r="AX14" s="3276">
        <f>SUM(AV14:AW14)</f>
        <v>166</v>
      </c>
      <c r="AY14" s="3275">
        <f>SUM(AY11:AY13)</f>
        <v>63</v>
      </c>
      <c r="AZ14" s="3275">
        <f>SUM(AZ11:AZ13)</f>
        <v>105</v>
      </c>
      <c r="BA14" s="3276">
        <f>SUM(AY14:AZ14)</f>
        <v>168</v>
      </c>
      <c r="BB14" s="3275">
        <f>SUM(BB11:BB13)</f>
        <v>63</v>
      </c>
      <c r="BC14" s="3275">
        <f>SUM(BC11:BC13)</f>
        <v>106</v>
      </c>
      <c r="BD14" s="3276">
        <f>SUM(BB14:BC14)</f>
        <v>169</v>
      </c>
    </row>
    <row r="15" spans="2:56" x14ac:dyDescent="0.3">
      <c r="C15" s="3267"/>
      <c r="D15" s="3267"/>
      <c r="E15" s="3267"/>
      <c r="F15" s="3267"/>
      <c r="G15" s="3267"/>
      <c r="H15" s="3267"/>
      <c r="I15" s="3267"/>
      <c r="J15" s="3267"/>
      <c r="K15" s="3267"/>
      <c r="L15" s="3267"/>
      <c r="M15" s="3267"/>
      <c r="N15" s="3267"/>
      <c r="O15" s="3267"/>
      <c r="P15" s="3267"/>
      <c r="Q15" s="3267"/>
      <c r="R15" s="3267"/>
      <c r="S15" s="3267"/>
      <c r="T15" s="3267"/>
      <c r="U15" s="3267"/>
      <c r="V15" s="3267"/>
      <c r="W15" s="3267"/>
      <c r="X15" s="3267"/>
      <c r="Y15" s="3267"/>
      <c r="Z15" s="3267"/>
      <c r="AA15" s="3267"/>
      <c r="AB15" s="3267"/>
      <c r="AC15" s="3267"/>
      <c r="AD15" s="3267"/>
      <c r="AE15" s="3267"/>
      <c r="AF15" s="3267"/>
      <c r="AG15" s="3267"/>
      <c r="AH15" s="3267"/>
      <c r="AI15" s="3267"/>
      <c r="AJ15" s="3267"/>
      <c r="AK15" s="3267"/>
      <c r="AL15" s="3267"/>
      <c r="AM15" s="3267"/>
      <c r="AN15" s="3267"/>
      <c r="AO15" s="3267"/>
      <c r="AP15" s="3267"/>
      <c r="AQ15" s="3267"/>
      <c r="AR15" s="3267"/>
      <c r="AS15" s="3267"/>
      <c r="AT15" s="3267"/>
      <c r="AU15" s="3267"/>
      <c r="AV15" s="3267"/>
      <c r="AW15" s="3267"/>
      <c r="AX15" s="3267"/>
      <c r="AY15" s="3267"/>
      <c r="AZ15" s="3267"/>
      <c r="BA15" s="3267"/>
      <c r="BB15" s="3267"/>
      <c r="BC15" s="3267"/>
      <c r="BD15" s="3267"/>
    </row>
    <row r="16" spans="2:56" x14ac:dyDescent="0.3">
      <c r="B16" s="3240" t="s">
        <v>59</v>
      </c>
      <c r="C16" s="3241">
        <v>54</v>
      </c>
      <c r="D16" s="3242">
        <v>220</v>
      </c>
      <c r="E16" s="3243">
        <v>274</v>
      </c>
      <c r="F16" s="3242">
        <v>52</v>
      </c>
      <c r="G16" s="3242">
        <v>223</v>
      </c>
      <c r="H16" s="3242">
        <v>275</v>
      </c>
      <c r="I16" s="3241">
        <v>53</v>
      </c>
      <c r="J16" s="3242">
        <v>224</v>
      </c>
      <c r="K16" s="3243">
        <v>277</v>
      </c>
      <c r="L16" s="3244">
        <v>54</v>
      </c>
      <c r="M16" s="3245">
        <v>225</v>
      </c>
      <c r="N16" s="3246">
        <v>279</v>
      </c>
      <c r="O16" s="3244">
        <v>54</v>
      </c>
      <c r="P16" s="3245">
        <v>224</v>
      </c>
      <c r="Q16" s="3246">
        <v>278</v>
      </c>
      <c r="R16" s="3247">
        <v>56</v>
      </c>
      <c r="S16" s="3247">
        <v>220</v>
      </c>
      <c r="T16" s="3248">
        <f t="shared" si="0"/>
        <v>276</v>
      </c>
      <c r="U16" s="3247">
        <v>56</v>
      </c>
      <c r="V16" s="3247">
        <v>222</v>
      </c>
      <c r="W16" s="3248">
        <f t="shared" si="1"/>
        <v>278</v>
      </c>
      <c r="X16" s="3247">
        <v>55</v>
      </c>
      <c r="Y16" s="3247">
        <v>224</v>
      </c>
      <c r="Z16" s="3248">
        <f>SUM(X16:Y16)</f>
        <v>279</v>
      </c>
      <c r="AA16" s="3247">
        <v>56</v>
      </c>
      <c r="AB16" s="3247">
        <v>228</v>
      </c>
      <c r="AC16" s="3248">
        <f>SUM(AA16:AB16)</f>
        <v>284</v>
      </c>
      <c r="AD16" s="3247">
        <v>57</v>
      </c>
      <c r="AE16" s="3247">
        <v>229</v>
      </c>
      <c r="AF16" s="3248">
        <f>SUM(AD16:AE16)</f>
        <v>286</v>
      </c>
      <c r="AG16" s="3247">
        <v>58</v>
      </c>
      <c r="AH16" s="3247">
        <v>225</v>
      </c>
      <c r="AI16" s="3248">
        <f>SUM(AG16:AH16)</f>
        <v>283</v>
      </c>
      <c r="AJ16" s="3247">
        <v>57</v>
      </c>
      <c r="AK16" s="3247">
        <v>224</v>
      </c>
      <c r="AL16" s="3248">
        <f>SUM(AJ16:AK16)</f>
        <v>281</v>
      </c>
      <c r="AM16" s="3247">
        <v>59</v>
      </c>
      <c r="AN16" s="3247">
        <v>217</v>
      </c>
      <c r="AO16" s="3248">
        <f>SUM(AM16:AN16)</f>
        <v>276</v>
      </c>
      <c r="AP16" s="3247">
        <v>58</v>
      </c>
      <c r="AQ16" s="3247">
        <v>218</v>
      </c>
      <c r="AR16" s="3248">
        <f>SUM(AP16:AQ16)</f>
        <v>276</v>
      </c>
      <c r="AS16" s="3247">
        <v>55</v>
      </c>
      <c r="AT16" s="3247">
        <v>214</v>
      </c>
      <c r="AU16" s="3248">
        <f>SUM(AS16:AT16)</f>
        <v>269</v>
      </c>
      <c r="AV16" s="3247">
        <v>55</v>
      </c>
      <c r="AW16" s="3247">
        <v>213</v>
      </c>
      <c r="AX16" s="3248">
        <f>SUM(AV16:AW16)</f>
        <v>268</v>
      </c>
      <c r="AY16" s="3247">
        <v>53</v>
      </c>
      <c r="AZ16" s="3247">
        <v>209</v>
      </c>
      <c r="BA16" s="3248">
        <f>SUM(AY16:AZ16)</f>
        <v>262</v>
      </c>
      <c r="BB16" s="3247">
        <v>56</v>
      </c>
      <c r="BC16" s="3247">
        <v>203</v>
      </c>
      <c r="BD16" s="3248">
        <f>SUM(BB16:BC16)</f>
        <v>259</v>
      </c>
    </row>
    <row r="17" spans="2:56" x14ac:dyDescent="0.3">
      <c r="B17" s="3249" t="s">
        <v>64</v>
      </c>
      <c r="C17" s="3250">
        <v>110</v>
      </c>
      <c r="D17" s="3251">
        <v>184</v>
      </c>
      <c r="E17" s="3252">
        <v>294</v>
      </c>
      <c r="F17" s="3251">
        <v>109</v>
      </c>
      <c r="G17" s="3251">
        <v>187</v>
      </c>
      <c r="H17" s="3251">
        <v>296</v>
      </c>
      <c r="I17" s="3250">
        <v>108</v>
      </c>
      <c r="J17" s="3251">
        <v>186</v>
      </c>
      <c r="K17" s="3252">
        <v>294</v>
      </c>
      <c r="L17" s="3253">
        <v>111</v>
      </c>
      <c r="M17" s="3254">
        <v>188</v>
      </c>
      <c r="N17" s="3255">
        <v>299</v>
      </c>
      <c r="O17" s="3253">
        <v>111</v>
      </c>
      <c r="P17" s="3254">
        <v>190</v>
      </c>
      <c r="Q17" s="3255">
        <v>301</v>
      </c>
      <c r="R17" s="3256">
        <v>113</v>
      </c>
      <c r="S17" s="3256">
        <v>194</v>
      </c>
      <c r="T17" s="3257">
        <f t="shared" si="0"/>
        <v>307</v>
      </c>
      <c r="U17" s="3256">
        <v>111</v>
      </c>
      <c r="V17" s="3256">
        <v>191</v>
      </c>
      <c r="W17" s="3257">
        <f t="shared" si="1"/>
        <v>302</v>
      </c>
      <c r="X17" s="3256">
        <v>111</v>
      </c>
      <c r="Y17" s="3256">
        <v>187</v>
      </c>
      <c r="Z17" s="3257">
        <f>SUM(X17:Y17)</f>
        <v>298</v>
      </c>
      <c r="AA17" s="3256">
        <v>114</v>
      </c>
      <c r="AB17" s="3256">
        <v>185</v>
      </c>
      <c r="AC17" s="3257">
        <f>SUM(AA17:AB17)</f>
        <v>299</v>
      </c>
      <c r="AD17" s="3256">
        <v>115</v>
      </c>
      <c r="AE17" s="3256">
        <v>188</v>
      </c>
      <c r="AF17" s="3257">
        <f>SUM(AD17:AE17)</f>
        <v>303</v>
      </c>
      <c r="AG17" s="3256">
        <v>115</v>
      </c>
      <c r="AH17" s="3256">
        <v>186</v>
      </c>
      <c r="AI17" s="3257">
        <f>SUM(AG17:AH17)</f>
        <v>301</v>
      </c>
      <c r="AJ17" s="3256">
        <v>114</v>
      </c>
      <c r="AK17" s="3256">
        <v>184</v>
      </c>
      <c r="AL17" s="3257">
        <f>SUM(AJ17:AK17)</f>
        <v>298</v>
      </c>
      <c r="AM17" s="3256">
        <v>118</v>
      </c>
      <c r="AN17" s="3256">
        <v>185</v>
      </c>
      <c r="AO17" s="3257">
        <f>SUM(AM17:AN17)</f>
        <v>303</v>
      </c>
      <c r="AP17" s="3256">
        <v>123</v>
      </c>
      <c r="AQ17" s="3256">
        <v>186</v>
      </c>
      <c r="AR17" s="3257">
        <f>SUM(AP17:AQ17)</f>
        <v>309</v>
      </c>
      <c r="AS17" s="3256">
        <v>116</v>
      </c>
      <c r="AT17" s="3256">
        <v>181</v>
      </c>
      <c r="AU17" s="3257">
        <f>SUM(AS17:AT17)</f>
        <v>297</v>
      </c>
      <c r="AV17" s="3256">
        <v>115</v>
      </c>
      <c r="AW17" s="3256">
        <v>174</v>
      </c>
      <c r="AX17" s="3257">
        <f>SUM(AV17:AW17)</f>
        <v>289</v>
      </c>
      <c r="AY17" s="3256">
        <v>110</v>
      </c>
      <c r="AZ17" s="3256">
        <v>168</v>
      </c>
      <c r="BA17" s="3257">
        <f>SUM(AY17:AZ17)</f>
        <v>278</v>
      </c>
      <c r="BB17" s="3256">
        <v>112</v>
      </c>
      <c r="BC17" s="3256">
        <v>167</v>
      </c>
      <c r="BD17" s="3257">
        <f>SUM(BB17:BC17)</f>
        <v>279</v>
      </c>
    </row>
    <row r="18" spans="2:56" x14ac:dyDescent="0.3">
      <c r="B18" s="3249" t="s">
        <v>92</v>
      </c>
      <c r="C18" s="3250">
        <v>103</v>
      </c>
      <c r="D18" s="3251">
        <v>116</v>
      </c>
      <c r="E18" s="3252">
        <v>219</v>
      </c>
      <c r="F18" s="3251">
        <v>103</v>
      </c>
      <c r="G18" s="3251">
        <v>113</v>
      </c>
      <c r="H18" s="3251">
        <v>216</v>
      </c>
      <c r="I18" s="3250">
        <v>106</v>
      </c>
      <c r="J18" s="3251">
        <v>114</v>
      </c>
      <c r="K18" s="3252">
        <v>220</v>
      </c>
      <c r="L18" s="3253">
        <v>106</v>
      </c>
      <c r="M18" s="3254">
        <v>109</v>
      </c>
      <c r="N18" s="3255">
        <v>215</v>
      </c>
      <c r="O18" s="3253">
        <v>105</v>
      </c>
      <c r="P18" s="3254">
        <v>105</v>
      </c>
      <c r="Q18" s="3255">
        <v>210</v>
      </c>
      <c r="R18" s="3256">
        <v>103</v>
      </c>
      <c r="S18" s="3256">
        <v>103</v>
      </c>
      <c r="T18" s="3257">
        <f t="shared" si="0"/>
        <v>206</v>
      </c>
      <c r="U18" s="3256">
        <v>106</v>
      </c>
      <c r="V18" s="3256">
        <v>108</v>
      </c>
      <c r="W18" s="3257">
        <f t="shared" si="1"/>
        <v>214</v>
      </c>
      <c r="X18" s="3256">
        <v>103</v>
      </c>
      <c r="Y18" s="3256">
        <v>111</v>
      </c>
      <c r="Z18" s="3257">
        <f>SUM(X18:Y18)</f>
        <v>214</v>
      </c>
      <c r="AA18" s="3256">
        <v>109</v>
      </c>
      <c r="AB18" s="3256">
        <v>112</v>
      </c>
      <c r="AC18" s="3257">
        <f>SUM(AA18:AB18)</f>
        <v>221</v>
      </c>
      <c r="AD18" s="3256">
        <v>111</v>
      </c>
      <c r="AE18" s="3256">
        <v>117</v>
      </c>
      <c r="AF18" s="3257">
        <f>SUM(AD18:AE18)</f>
        <v>228</v>
      </c>
      <c r="AG18" s="3256">
        <v>109</v>
      </c>
      <c r="AH18" s="3256">
        <v>120</v>
      </c>
      <c r="AI18" s="3257">
        <f>SUM(AG18:AH18)</f>
        <v>229</v>
      </c>
      <c r="AJ18" s="3256">
        <v>110</v>
      </c>
      <c r="AK18" s="3256">
        <v>121</v>
      </c>
      <c r="AL18" s="3257">
        <f>SUM(AJ18:AK18)</f>
        <v>231</v>
      </c>
      <c r="AM18" s="3256">
        <v>109</v>
      </c>
      <c r="AN18" s="3256">
        <v>119</v>
      </c>
      <c r="AO18" s="3257">
        <f>SUM(AM18:AN18)</f>
        <v>228</v>
      </c>
      <c r="AP18" s="3256">
        <v>112</v>
      </c>
      <c r="AQ18" s="3256">
        <v>115</v>
      </c>
      <c r="AR18" s="3257">
        <f>SUM(AP18:AQ18)</f>
        <v>227</v>
      </c>
      <c r="AS18" s="3256">
        <v>109</v>
      </c>
      <c r="AT18" s="3256">
        <v>115</v>
      </c>
      <c r="AU18" s="3257">
        <f>SUM(AS18:AT18)</f>
        <v>224</v>
      </c>
      <c r="AV18" s="3256">
        <v>109</v>
      </c>
      <c r="AW18" s="3256">
        <v>113</v>
      </c>
      <c r="AX18" s="3257">
        <f>SUM(AV18:AW18)</f>
        <v>222</v>
      </c>
      <c r="AY18" s="3256">
        <v>108</v>
      </c>
      <c r="AZ18" s="3256">
        <v>111</v>
      </c>
      <c r="BA18" s="3257">
        <f>SUM(AY18:AZ18)</f>
        <v>219</v>
      </c>
      <c r="BB18" s="3256">
        <v>106</v>
      </c>
      <c r="BC18" s="3256">
        <v>107</v>
      </c>
      <c r="BD18" s="3257">
        <f>SUM(BB18:BC18)</f>
        <v>213</v>
      </c>
    </row>
    <row r="19" spans="2:56" x14ac:dyDescent="0.3">
      <c r="B19" s="3277" t="s">
        <v>135</v>
      </c>
      <c r="C19" s="3278">
        <v>267</v>
      </c>
      <c r="D19" s="3279">
        <v>520</v>
      </c>
      <c r="E19" s="3280">
        <v>787</v>
      </c>
      <c r="F19" s="3279">
        <v>264</v>
      </c>
      <c r="G19" s="3279">
        <v>523</v>
      </c>
      <c r="H19" s="3279">
        <v>787</v>
      </c>
      <c r="I19" s="3278">
        <v>267</v>
      </c>
      <c r="J19" s="3279">
        <v>524</v>
      </c>
      <c r="K19" s="3280">
        <v>791</v>
      </c>
      <c r="L19" s="3281">
        <v>271</v>
      </c>
      <c r="M19" s="3282">
        <v>522</v>
      </c>
      <c r="N19" s="3283">
        <v>793</v>
      </c>
      <c r="O19" s="3281">
        <v>270</v>
      </c>
      <c r="P19" s="3282">
        <v>519</v>
      </c>
      <c r="Q19" s="3283">
        <v>789</v>
      </c>
      <c r="R19" s="3284">
        <f>SUM(R16:R18)</f>
        <v>272</v>
      </c>
      <c r="S19" s="3284">
        <f>SUM(S16:S18)</f>
        <v>517</v>
      </c>
      <c r="T19" s="3285">
        <f t="shared" si="0"/>
        <v>789</v>
      </c>
      <c r="U19" s="3284">
        <f>SUM(U16:U18)</f>
        <v>273</v>
      </c>
      <c r="V19" s="3284">
        <f>SUM(V16:V18)</f>
        <v>521</v>
      </c>
      <c r="W19" s="3285">
        <f t="shared" si="1"/>
        <v>794</v>
      </c>
      <c r="X19" s="3284">
        <f>SUM(X16:X18)</f>
        <v>269</v>
      </c>
      <c r="Y19" s="3284">
        <f>SUM(Y16:Y18)</f>
        <v>522</v>
      </c>
      <c r="Z19" s="3285">
        <f>SUM(X19:Y19)</f>
        <v>791</v>
      </c>
      <c r="AA19" s="3284">
        <f>SUM(AA16:AA18)</f>
        <v>279</v>
      </c>
      <c r="AB19" s="3284">
        <f>SUM(AB16:AB18)</f>
        <v>525</v>
      </c>
      <c r="AC19" s="3285">
        <f>SUM(AA19:AB19)</f>
        <v>804</v>
      </c>
      <c r="AD19" s="3284">
        <f>SUM(AD16:AD18)</f>
        <v>283</v>
      </c>
      <c r="AE19" s="3284">
        <f>SUM(AE16:AE18)</f>
        <v>534</v>
      </c>
      <c r="AF19" s="3285">
        <f>SUM(AD19:AE19)</f>
        <v>817</v>
      </c>
      <c r="AG19" s="3284">
        <f>SUM(AG16:AG18)</f>
        <v>282</v>
      </c>
      <c r="AH19" s="3284">
        <f>SUM(AH16:AH18)</f>
        <v>531</v>
      </c>
      <c r="AI19" s="3285">
        <f>SUM(AG19:AH19)</f>
        <v>813</v>
      </c>
      <c r="AJ19" s="3284">
        <f>SUM(AJ16:AJ18)</f>
        <v>281</v>
      </c>
      <c r="AK19" s="3284">
        <f>SUM(AK16:AK18)</f>
        <v>529</v>
      </c>
      <c r="AL19" s="3285">
        <f>SUM(AJ19:AK19)</f>
        <v>810</v>
      </c>
      <c r="AM19" s="3284">
        <f>SUM(AM16:AM18)</f>
        <v>286</v>
      </c>
      <c r="AN19" s="3284">
        <f>SUM(AN16:AN18)</f>
        <v>521</v>
      </c>
      <c r="AO19" s="3285">
        <f>SUM(AM19:AN19)</f>
        <v>807</v>
      </c>
      <c r="AP19" s="3284">
        <f>SUM(AP16:AP18)</f>
        <v>293</v>
      </c>
      <c r="AQ19" s="3284">
        <f>SUM(AQ16:AQ18)</f>
        <v>519</v>
      </c>
      <c r="AR19" s="3285">
        <f>SUM(AP19:AQ19)</f>
        <v>812</v>
      </c>
      <c r="AS19" s="3284">
        <f>SUM(AS16:AS18)</f>
        <v>280</v>
      </c>
      <c r="AT19" s="3284">
        <f>SUM(AT16:AT18)</f>
        <v>510</v>
      </c>
      <c r="AU19" s="3285">
        <f>SUM(AS19:AT19)</f>
        <v>790</v>
      </c>
      <c r="AV19" s="3284">
        <f>SUM(AV16:AV18)</f>
        <v>279</v>
      </c>
      <c r="AW19" s="3284">
        <f>SUM(AW16:AW18)</f>
        <v>500</v>
      </c>
      <c r="AX19" s="3285">
        <f>SUM(AV19:AW19)</f>
        <v>779</v>
      </c>
      <c r="AY19" s="3284">
        <f>SUM(AY16:AY18)</f>
        <v>271</v>
      </c>
      <c r="AZ19" s="3284">
        <f>SUM(AZ16:AZ18)</f>
        <v>488</v>
      </c>
      <c r="BA19" s="3285">
        <f>SUM(AY19:AZ19)</f>
        <v>759</v>
      </c>
      <c r="BB19" s="3284">
        <f>SUM(BB16:BB18)</f>
        <v>274</v>
      </c>
      <c r="BC19" s="3284">
        <f>SUM(BC16:BC18)</f>
        <v>477</v>
      </c>
      <c r="BD19" s="3285">
        <f>SUM(BB19:BC19)</f>
        <v>751</v>
      </c>
    </row>
    <row r="20" spans="2:56" x14ac:dyDescent="0.3">
      <c r="C20" s="3267"/>
      <c r="D20" s="3267"/>
      <c r="E20" s="3267"/>
      <c r="F20" s="3267"/>
      <c r="G20" s="3267"/>
      <c r="H20" s="3267"/>
      <c r="I20" s="3267"/>
      <c r="J20" s="3267"/>
      <c r="K20" s="3267"/>
      <c r="L20" s="3267"/>
      <c r="M20" s="3267"/>
      <c r="N20" s="3267"/>
      <c r="O20" s="3267"/>
      <c r="P20" s="3267"/>
      <c r="Q20" s="3267"/>
      <c r="R20" s="3267"/>
      <c r="S20" s="3267"/>
      <c r="T20" s="3267"/>
      <c r="U20" s="3267"/>
      <c r="V20" s="3267"/>
      <c r="W20" s="3267"/>
      <c r="X20" s="3267"/>
      <c r="Y20" s="3267"/>
      <c r="Z20" s="3267"/>
      <c r="AA20" s="3267"/>
      <c r="AB20" s="3267"/>
      <c r="AC20" s="3267"/>
      <c r="AD20" s="3267"/>
      <c r="AE20" s="3267"/>
      <c r="AF20" s="3267"/>
      <c r="AG20" s="3267"/>
      <c r="AH20" s="3267"/>
      <c r="AI20" s="3267"/>
      <c r="AJ20" s="3267"/>
      <c r="AK20" s="3267"/>
      <c r="AL20" s="3267"/>
      <c r="AM20" s="3267"/>
      <c r="AN20" s="3267"/>
      <c r="AO20" s="3267"/>
      <c r="AP20" s="3267"/>
      <c r="AQ20" s="3267"/>
      <c r="AR20" s="3267"/>
      <c r="AS20" s="3267"/>
      <c r="AT20" s="3267"/>
      <c r="AU20" s="3267"/>
      <c r="AV20" s="3267"/>
      <c r="AW20" s="3267"/>
      <c r="AX20" s="3267"/>
      <c r="AY20" s="3267"/>
      <c r="AZ20" s="3267"/>
      <c r="BA20" s="3267"/>
      <c r="BB20" s="3267"/>
      <c r="BC20" s="3267"/>
      <c r="BD20" s="3267"/>
    </row>
    <row r="21" spans="2:56" x14ac:dyDescent="0.3">
      <c r="B21" s="3240" t="s">
        <v>59</v>
      </c>
      <c r="C21" s="3241"/>
      <c r="D21" s="3242"/>
      <c r="E21" s="3243"/>
      <c r="F21" s="3242"/>
      <c r="G21" s="3242"/>
      <c r="H21" s="3242"/>
      <c r="I21" s="3241"/>
      <c r="J21" s="3242"/>
      <c r="K21" s="3243"/>
      <c r="L21" s="3244"/>
      <c r="M21" s="3245"/>
      <c r="N21" s="3246"/>
      <c r="O21" s="3244"/>
      <c r="P21" s="3245"/>
      <c r="Q21" s="3246"/>
      <c r="R21" s="3247"/>
      <c r="S21" s="3247">
        <v>3</v>
      </c>
      <c r="T21" s="3248">
        <f>SUM(R21:S21)</f>
        <v>3</v>
      </c>
      <c r="U21" s="3247"/>
      <c r="V21" s="3247">
        <v>4</v>
      </c>
      <c r="W21" s="3248">
        <f>SUM(U21:V21)</f>
        <v>4</v>
      </c>
      <c r="X21" s="3247">
        <v>1</v>
      </c>
      <c r="Y21" s="3247">
        <v>6</v>
      </c>
      <c r="Z21" s="3248">
        <f>SUM(X21:Y21)</f>
        <v>7</v>
      </c>
      <c r="AA21" s="3247">
        <v>1</v>
      </c>
      <c r="AB21" s="3247">
        <v>7</v>
      </c>
      <c r="AC21" s="3248">
        <f>SUM(AA21:AB21)</f>
        <v>8</v>
      </c>
      <c r="AD21" s="3247">
        <v>1</v>
      </c>
      <c r="AE21" s="3247">
        <v>9</v>
      </c>
      <c r="AF21" s="3248">
        <f>SUM(AD21:AE21)</f>
        <v>10</v>
      </c>
      <c r="AG21" s="3247">
        <v>2</v>
      </c>
      <c r="AH21" s="3247">
        <v>13</v>
      </c>
      <c r="AI21" s="3248">
        <f>SUM(AG21:AH21)</f>
        <v>15</v>
      </c>
      <c r="AJ21" s="3247">
        <v>3</v>
      </c>
      <c r="AK21" s="3247">
        <v>13</v>
      </c>
      <c r="AL21" s="3248">
        <f>SUM(AJ21:AK21)</f>
        <v>16</v>
      </c>
      <c r="AM21" s="3247">
        <v>3</v>
      </c>
      <c r="AN21" s="3247">
        <v>16</v>
      </c>
      <c r="AO21" s="3248">
        <f>SUM(AM21:AN21)</f>
        <v>19</v>
      </c>
      <c r="AP21" s="3247">
        <v>4</v>
      </c>
      <c r="AQ21" s="3247">
        <v>17</v>
      </c>
      <c r="AR21" s="3248">
        <f>SUM(AP21:AQ21)</f>
        <v>21</v>
      </c>
      <c r="AS21" s="3247">
        <v>4</v>
      </c>
      <c r="AT21" s="3247">
        <v>19</v>
      </c>
      <c r="AU21" s="3248">
        <f>SUM(AS21:AT21)</f>
        <v>23</v>
      </c>
      <c r="AV21" s="3247">
        <v>4</v>
      </c>
      <c r="AW21" s="3247">
        <v>18</v>
      </c>
      <c r="AX21" s="3248">
        <f>SUM(AV21:AW21)</f>
        <v>22</v>
      </c>
      <c r="AY21" s="3247">
        <v>4</v>
      </c>
      <c r="AZ21" s="3247">
        <v>18</v>
      </c>
      <c r="BA21" s="3248">
        <f>SUM(AY21:AZ21)</f>
        <v>22</v>
      </c>
      <c r="BB21" s="3247">
        <v>4</v>
      </c>
      <c r="BC21" s="3247">
        <v>15</v>
      </c>
      <c r="BD21" s="3248">
        <f>SUM(BB21:BC21)</f>
        <v>19</v>
      </c>
    </row>
    <row r="22" spans="2:56" x14ac:dyDescent="0.3">
      <c r="B22" s="3249" t="s">
        <v>64</v>
      </c>
      <c r="C22" s="3250"/>
      <c r="D22" s="3251"/>
      <c r="E22" s="3252"/>
      <c r="F22" s="3251"/>
      <c r="G22" s="3251"/>
      <c r="H22" s="3251"/>
      <c r="I22" s="3250"/>
      <c r="J22" s="3251"/>
      <c r="K22" s="3252"/>
      <c r="L22" s="3253"/>
      <c r="M22" s="3254"/>
      <c r="N22" s="3255"/>
      <c r="O22" s="3253"/>
      <c r="P22" s="3254"/>
      <c r="Q22" s="3255"/>
      <c r="R22" s="3256">
        <v>1</v>
      </c>
      <c r="S22" s="3256">
        <v>1</v>
      </c>
      <c r="T22" s="3257">
        <f>SUM(R22:S22)</f>
        <v>2</v>
      </c>
      <c r="U22" s="3256">
        <v>1</v>
      </c>
      <c r="V22" s="3256">
        <v>2</v>
      </c>
      <c r="W22" s="3257">
        <f>SUM(U22:V22)</f>
        <v>3</v>
      </c>
      <c r="X22" s="3256">
        <v>3</v>
      </c>
      <c r="Y22" s="3256">
        <v>3</v>
      </c>
      <c r="Z22" s="3257">
        <f>SUM(X22:Y22)</f>
        <v>6</v>
      </c>
      <c r="AA22" s="3256">
        <v>3</v>
      </c>
      <c r="AB22" s="3256">
        <v>4</v>
      </c>
      <c r="AC22" s="3257">
        <f>SUM(AA22:AB22)</f>
        <v>7</v>
      </c>
      <c r="AD22" s="3256">
        <v>4</v>
      </c>
      <c r="AE22" s="3256">
        <v>9</v>
      </c>
      <c r="AF22" s="3257">
        <f>SUM(AD22:AE22)</f>
        <v>13</v>
      </c>
      <c r="AG22" s="3256">
        <v>5</v>
      </c>
      <c r="AH22" s="3256">
        <v>8</v>
      </c>
      <c r="AI22" s="3257">
        <f>SUM(AG22:AH22)</f>
        <v>13</v>
      </c>
      <c r="AJ22" s="3256">
        <v>9</v>
      </c>
      <c r="AK22" s="3256">
        <v>12</v>
      </c>
      <c r="AL22" s="3257">
        <f>SUM(AJ22:AK22)</f>
        <v>21</v>
      </c>
      <c r="AM22" s="3256">
        <v>11</v>
      </c>
      <c r="AN22" s="3256">
        <v>16</v>
      </c>
      <c r="AO22" s="3257">
        <f>SUM(AM22:AN22)</f>
        <v>27</v>
      </c>
      <c r="AP22" s="3256">
        <v>12</v>
      </c>
      <c r="AQ22" s="3256">
        <v>18</v>
      </c>
      <c r="AR22" s="3257">
        <f>SUM(AP22:AQ22)</f>
        <v>30</v>
      </c>
      <c r="AS22" s="3256">
        <v>13</v>
      </c>
      <c r="AT22" s="3256">
        <v>17</v>
      </c>
      <c r="AU22" s="3257">
        <f>SUM(AS22:AT22)</f>
        <v>30</v>
      </c>
      <c r="AV22" s="3256">
        <v>12</v>
      </c>
      <c r="AW22" s="3256">
        <v>19</v>
      </c>
      <c r="AX22" s="3257">
        <f>SUM(AV22:AW22)</f>
        <v>31</v>
      </c>
      <c r="AY22" s="3256">
        <v>13</v>
      </c>
      <c r="AZ22" s="3256">
        <v>18</v>
      </c>
      <c r="BA22" s="3257">
        <f>SUM(AY22:AZ22)</f>
        <v>31</v>
      </c>
      <c r="BB22" s="3256">
        <v>14</v>
      </c>
      <c r="BC22" s="3256">
        <v>16</v>
      </c>
      <c r="BD22" s="3257">
        <f>SUM(BB22:BC22)</f>
        <v>30</v>
      </c>
    </row>
    <row r="23" spans="2:56" x14ac:dyDescent="0.3">
      <c r="B23" s="3249" t="s">
        <v>92</v>
      </c>
      <c r="C23" s="3250"/>
      <c r="D23" s="3251"/>
      <c r="E23" s="3252"/>
      <c r="F23" s="3251"/>
      <c r="G23" s="3251"/>
      <c r="H23" s="3251"/>
      <c r="I23" s="3250"/>
      <c r="J23" s="3251"/>
      <c r="K23" s="3252"/>
      <c r="L23" s="3253"/>
      <c r="M23" s="3254"/>
      <c r="N23" s="3255"/>
      <c r="O23" s="3253"/>
      <c r="P23" s="3254">
        <v>1</v>
      </c>
      <c r="Q23" s="3255">
        <v>1</v>
      </c>
      <c r="R23" s="3256">
        <v>1</v>
      </c>
      <c r="S23" s="3256">
        <v>4</v>
      </c>
      <c r="T23" s="3257">
        <f>SUM(R23:S23)</f>
        <v>5</v>
      </c>
      <c r="U23" s="3256">
        <v>1</v>
      </c>
      <c r="V23" s="3256">
        <v>5</v>
      </c>
      <c r="W23" s="3257">
        <f>SUM(U23:V23)</f>
        <v>6</v>
      </c>
      <c r="X23" s="3256">
        <v>2</v>
      </c>
      <c r="Y23" s="3256">
        <v>7</v>
      </c>
      <c r="Z23" s="3257">
        <f>SUM(X23:Y23)</f>
        <v>9</v>
      </c>
      <c r="AA23" s="3256">
        <v>3</v>
      </c>
      <c r="AB23" s="3256">
        <v>10</v>
      </c>
      <c r="AC23" s="3257">
        <f>SUM(AA23:AB23)</f>
        <v>13</v>
      </c>
      <c r="AD23" s="3256">
        <v>3</v>
      </c>
      <c r="AE23" s="3256">
        <v>10</v>
      </c>
      <c r="AF23" s="3257">
        <f>SUM(AD23:AE23)</f>
        <v>13</v>
      </c>
      <c r="AG23" s="3256">
        <v>5</v>
      </c>
      <c r="AH23" s="3256">
        <v>9</v>
      </c>
      <c r="AI23" s="3257">
        <f>SUM(AG23:AH23)</f>
        <v>14</v>
      </c>
      <c r="AJ23" s="3256">
        <v>6</v>
      </c>
      <c r="AK23" s="3256">
        <v>12</v>
      </c>
      <c r="AL23" s="3257">
        <f>SUM(AJ23:AK23)</f>
        <v>18</v>
      </c>
      <c r="AM23" s="3256">
        <v>7</v>
      </c>
      <c r="AN23" s="3256">
        <v>13</v>
      </c>
      <c r="AO23" s="3257">
        <f>SUM(AM23:AN23)</f>
        <v>20</v>
      </c>
      <c r="AP23" s="3256">
        <v>7</v>
      </c>
      <c r="AQ23" s="3256">
        <v>13</v>
      </c>
      <c r="AR23" s="3257">
        <f>SUM(AP23:AQ23)</f>
        <v>20</v>
      </c>
      <c r="AS23" s="3256">
        <v>6</v>
      </c>
      <c r="AT23" s="3256">
        <v>15</v>
      </c>
      <c r="AU23" s="3257">
        <f>SUM(AS23:AT23)</f>
        <v>21</v>
      </c>
      <c r="AV23" s="3256">
        <v>8</v>
      </c>
      <c r="AW23" s="3256">
        <v>14</v>
      </c>
      <c r="AX23" s="3257">
        <f>SUM(AV23:AW23)</f>
        <v>22</v>
      </c>
      <c r="AY23" s="3256">
        <v>7</v>
      </c>
      <c r="AZ23" s="3256">
        <v>14</v>
      </c>
      <c r="BA23" s="3257">
        <f>SUM(AY23:AZ23)</f>
        <v>21</v>
      </c>
      <c r="BB23" s="3256">
        <v>7</v>
      </c>
      <c r="BC23" s="3256">
        <v>14</v>
      </c>
      <c r="BD23" s="3257">
        <f>SUM(BB23:BC23)</f>
        <v>21</v>
      </c>
    </row>
    <row r="24" spans="2:56" x14ac:dyDescent="0.3">
      <c r="B24" s="3286" t="s">
        <v>136</v>
      </c>
      <c r="C24" s="3287"/>
      <c r="D24" s="3288"/>
      <c r="E24" s="3289"/>
      <c r="F24" s="3288"/>
      <c r="G24" s="3288"/>
      <c r="H24" s="3288"/>
      <c r="I24" s="3287"/>
      <c r="J24" s="3288"/>
      <c r="K24" s="3289"/>
      <c r="L24" s="3290"/>
      <c r="M24" s="3291"/>
      <c r="N24" s="3292"/>
      <c r="O24" s="3290">
        <v>0</v>
      </c>
      <c r="P24" s="3291">
        <v>1</v>
      </c>
      <c r="Q24" s="3292">
        <v>1</v>
      </c>
      <c r="R24" s="3293">
        <f>SUM(R21:R23)</f>
        <v>2</v>
      </c>
      <c r="S24" s="3293">
        <f>SUM(S21:S23)</f>
        <v>8</v>
      </c>
      <c r="T24" s="3294">
        <f>SUM(R24:S24)</f>
        <v>10</v>
      </c>
      <c r="U24" s="3293">
        <f>SUM(U21:U23)</f>
        <v>2</v>
      </c>
      <c r="V24" s="3293">
        <f>SUM(V21:V23)</f>
        <v>11</v>
      </c>
      <c r="W24" s="3294">
        <f>SUM(U24:V24)</f>
        <v>13</v>
      </c>
      <c r="X24" s="3293">
        <f>SUM(X21:X23)</f>
        <v>6</v>
      </c>
      <c r="Y24" s="3293">
        <f>SUM(Y21:Y23)</f>
        <v>16</v>
      </c>
      <c r="Z24" s="3294">
        <f>SUM(X24:Y24)</f>
        <v>22</v>
      </c>
      <c r="AA24" s="3293">
        <f>SUM(AA21:AA23)</f>
        <v>7</v>
      </c>
      <c r="AB24" s="3293">
        <f>SUM(AB21:AB23)</f>
        <v>21</v>
      </c>
      <c r="AC24" s="3294">
        <f>SUM(AA24:AB24)</f>
        <v>28</v>
      </c>
      <c r="AD24" s="3293">
        <f>SUM(AD21:AD23)</f>
        <v>8</v>
      </c>
      <c r="AE24" s="3293">
        <f>SUM(AE21:AE23)</f>
        <v>28</v>
      </c>
      <c r="AF24" s="3294">
        <f>SUM(AD24:AE24)</f>
        <v>36</v>
      </c>
      <c r="AG24" s="3293">
        <f>SUM(AG21:AG23)</f>
        <v>12</v>
      </c>
      <c r="AH24" s="3293">
        <f>SUM(AH21:AH23)</f>
        <v>30</v>
      </c>
      <c r="AI24" s="3294">
        <f>SUM(AG24:AH24)</f>
        <v>42</v>
      </c>
      <c r="AJ24" s="3293">
        <f>SUM(AJ21:AJ23)</f>
        <v>18</v>
      </c>
      <c r="AK24" s="3293">
        <f>SUM(AK21:AK23)</f>
        <v>37</v>
      </c>
      <c r="AL24" s="3294">
        <f>SUM(AJ24:AK24)</f>
        <v>55</v>
      </c>
      <c r="AM24" s="3293">
        <f>SUM(AM21:AM23)</f>
        <v>21</v>
      </c>
      <c r="AN24" s="3293">
        <f>SUM(AN21:AN23)</f>
        <v>45</v>
      </c>
      <c r="AO24" s="3294">
        <f>SUM(AM24:AN24)</f>
        <v>66</v>
      </c>
      <c r="AP24" s="3293">
        <f>SUM(AP21:AP23)</f>
        <v>23</v>
      </c>
      <c r="AQ24" s="3293">
        <f>SUM(AQ21:AQ23)</f>
        <v>48</v>
      </c>
      <c r="AR24" s="3294">
        <f>SUM(AP24:AQ24)</f>
        <v>71</v>
      </c>
      <c r="AS24" s="3293">
        <f>SUM(AS21:AS23)</f>
        <v>23</v>
      </c>
      <c r="AT24" s="3293">
        <f>SUM(AT21:AT23)</f>
        <v>51</v>
      </c>
      <c r="AU24" s="3294">
        <f>SUM(AS24:AT24)</f>
        <v>74</v>
      </c>
      <c r="AV24" s="3293">
        <f>SUM(AV21:AV23)</f>
        <v>24</v>
      </c>
      <c r="AW24" s="3293">
        <f>SUM(AW21:AW23)</f>
        <v>51</v>
      </c>
      <c r="AX24" s="3294">
        <f>SUM(AV24:AW24)</f>
        <v>75</v>
      </c>
      <c r="AY24" s="3293">
        <f>SUM(AY21:AY23)</f>
        <v>24</v>
      </c>
      <c r="AZ24" s="3293">
        <f>SUM(AZ21:AZ23)</f>
        <v>50</v>
      </c>
      <c r="BA24" s="3294">
        <f>SUM(AY24:AZ24)</f>
        <v>74</v>
      </c>
      <c r="BB24" s="3293">
        <f>SUM(BB21:BB23)</f>
        <v>25</v>
      </c>
      <c r="BC24" s="3293">
        <f>SUM(BC21:BC23)</f>
        <v>45</v>
      </c>
      <c r="BD24" s="3294">
        <f>SUM(BB24:BC24)</f>
        <v>70</v>
      </c>
    </row>
    <row r="25" spans="2:56" x14ac:dyDescent="0.3">
      <c r="B25" s="3295"/>
      <c r="C25" s="3296"/>
      <c r="D25" s="3296"/>
      <c r="E25" s="3296"/>
      <c r="F25" s="3296"/>
      <c r="G25" s="3296"/>
      <c r="H25" s="3296"/>
      <c r="I25" s="3296"/>
      <c r="J25" s="3296"/>
      <c r="K25" s="3296"/>
      <c r="L25" s="3296"/>
      <c r="M25" s="3296"/>
      <c r="N25" s="3296"/>
      <c r="O25" s="3296"/>
      <c r="P25" s="3296"/>
      <c r="Q25" s="3296"/>
      <c r="R25" s="3296"/>
      <c r="S25" s="3296"/>
      <c r="T25" s="3296"/>
      <c r="U25" s="3296"/>
      <c r="V25" s="3296"/>
      <c r="W25" s="3296"/>
      <c r="X25" s="3296"/>
      <c r="Y25" s="3296"/>
      <c r="Z25" s="3296"/>
      <c r="AA25" s="3296"/>
      <c r="AB25" s="3296"/>
      <c r="AC25" s="3296"/>
      <c r="AD25" s="3296"/>
      <c r="AE25" s="3296"/>
      <c r="AF25" s="3296"/>
      <c r="AG25" s="3296"/>
      <c r="AH25" s="3296"/>
      <c r="AI25" s="3296"/>
      <c r="AJ25" s="3296"/>
      <c r="AK25" s="3296"/>
      <c r="AL25" s="3296"/>
      <c r="AM25" s="3296"/>
      <c r="AN25" s="3296"/>
      <c r="AO25" s="3296"/>
      <c r="AP25" s="3296"/>
      <c r="AQ25" s="3296"/>
      <c r="AR25" s="3296"/>
      <c r="AS25" s="3296"/>
      <c r="AT25" s="3296"/>
      <c r="AU25" s="3296"/>
      <c r="AV25" s="3296"/>
      <c r="AW25" s="3296"/>
      <c r="AX25" s="3296"/>
      <c r="AY25" s="3296"/>
      <c r="AZ25" s="3296"/>
      <c r="BA25" s="3296"/>
      <c r="BB25" s="3296"/>
      <c r="BC25" s="3296"/>
      <c r="BD25" s="3296"/>
    </row>
    <row r="26" spans="2:56" x14ac:dyDescent="0.3">
      <c r="B26" s="3240" t="s">
        <v>64</v>
      </c>
      <c r="C26" s="3241">
        <v>160</v>
      </c>
      <c r="D26" s="3242">
        <v>187</v>
      </c>
      <c r="E26" s="3243">
        <v>347</v>
      </c>
      <c r="F26" s="3242">
        <v>159</v>
      </c>
      <c r="G26" s="3242">
        <v>181</v>
      </c>
      <c r="H26" s="3242">
        <v>340</v>
      </c>
      <c r="I26" s="3241">
        <v>155</v>
      </c>
      <c r="J26" s="3242">
        <v>171</v>
      </c>
      <c r="K26" s="3243">
        <v>326</v>
      </c>
      <c r="L26" s="3244">
        <v>160</v>
      </c>
      <c r="M26" s="3245">
        <v>175</v>
      </c>
      <c r="N26" s="3246">
        <v>335</v>
      </c>
      <c r="O26" s="3244">
        <v>161</v>
      </c>
      <c r="P26" s="3245">
        <v>183</v>
      </c>
      <c r="Q26" s="3246">
        <v>344</v>
      </c>
      <c r="R26" s="3247">
        <v>160</v>
      </c>
      <c r="S26" s="3247">
        <v>182</v>
      </c>
      <c r="T26" s="3248">
        <f>SUM(R26:S26)</f>
        <v>342</v>
      </c>
      <c r="U26" s="3247">
        <v>168</v>
      </c>
      <c r="V26" s="3247">
        <v>188</v>
      </c>
      <c r="W26" s="3248">
        <f>SUM(U26:V26)</f>
        <v>356</v>
      </c>
      <c r="X26" s="3247">
        <v>172</v>
      </c>
      <c r="Y26" s="3247">
        <v>191</v>
      </c>
      <c r="Z26" s="3248">
        <f>SUM(X26:Y26)</f>
        <v>363</v>
      </c>
      <c r="AA26" s="3247">
        <v>169</v>
      </c>
      <c r="AB26" s="3247">
        <v>194</v>
      </c>
      <c r="AC26" s="3248">
        <f>SUM(AA26:AB26)</f>
        <v>363</v>
      </c>
      <c r="AD26" s="3247">
        <v>170</v>
      </c>
      <c r="AE26" s="3247">
        <v>191</v>
      </c>
      <c r="AF26" s="3248">
        <f>SUM(AD26:AE26)</f>
        <v>361</v>
      </c>
      <c r="AG26" s="3247">
        <v>167</v>
      </c>
      <c r="AH26" s="3247">
        <v>191</v>
      </c>
      <c r="AI26" s="3248">
        <f>SUM(AG26:AH26)</f>
        <v>358</v>
      </c>
      <c r="AJ26" s="3247">
        <v>164</v>
      </c>
      <c r="AK26" s="3247">
        <v>187</v>
      </c>
      <c r="AL26" s="3248">
        <f>SUM(AJ26:AK26)</f>
        <v>351</v>
      </c>
      <c r="AM26" s="3247">
        <v>178</v>
      </c>
      <c r="AN26" s="3247">
        <v>169</v>
      </c>
      <c r="AO26" s="3248">
        <f>SUM(AM26:AN26)</f>
        <v>347</v>
      </c>
      <c r="AP26" s="3247">
        <v>162</v>
      </c>
      <c r="AQ26" s="3247">
        <v>191</v>
      </c>
      <c r="AR26" s="3248">
        <f>SUM(AP26:AQ26)</f>
        <v>353</v>
      </c>
      <c r="AS26" s="3247">
        <v>151</v>
      </c>
      <c r="AT26" s="3247">
        <v>190</v>
      </c>
      <c r="AU26" s="3248">
        <f>SUM(AS26:AT26)</f>
        <v>341</v>
      </c>
      <c r="AV26" s="3247">
        <v>152</v>
      </c>
      <c r="AW26" s="3247">
        <v>185</v>
      </c>
      <c r="AX26" s="3248">
        <f>SUM(AV26:AW26)</f>
        <v>337</v>
      </c>
      <c r="AY26" s="3247">
        <v>150</v>
      </c>
      <c r="AZ26" s="3247">
        <v>180</v>
      </c>
      <c r="BA26" s="3248">
        <f>SUM(AY26:AZ26)</f>
        <v>330</v>
      </c>
      <c r="BB26" s="3247">
        <v>145</v>
      </c>
      <c r="BC26" s="3247">
        <v>180</v>
      </c>
      <c r="BD26" s="3248">
        <f>SUM(BB26:BC26)</f>
        <v>325</v>
      </c>
    </row>
    <row r="27" spans="2:56" x14ac:dyDescent="0.3">
      <c r="B27" s="3249" t="s">
        <v>92</v>
      </c>
      <c r="C27" s="3250">
        <v>172</v>
      </c>
      <c r="D27" s="3251">
        <v>186</v>
      </c>
      <c r="E27" s="3252">
        <v>358</v>
      </c>
      <c r="F27" s="3251">
        <v>173</v>
      </c>
      <c r="G27" s="3251">
        <v>182</v>
      </c>
      <c r="H27" s="3251">
        <v>355</v>
      </c>
      <c r="I27" s="3250">
        <v>171</v>
      </c>
      <c r="J27" s="3251">
        <v>180</v>
      </c>
      <c r="K27" s="3252">
        <v>351</v>
      </c>
      <c r="L27" s="3253">
        <v>173</v>
      </c>
      <c r="M27" s="3254">
        <v>173</v>
      </c>
      <c r="N27" s="3255">
        <v>346</v>
      </c>
      <c r="O27" s="3253">
        <v>171</v>
      </c>
      <c r="P27" s="3254">
        <v>165</v>
      </c>
      <c r="Q27" s="3255">
        <v>336</v>
      </c>
      <c r="R27" s="3256">
        <v>175</v>
      </c>
      <c r="S27" s="3256">
        <v>165</v>
      </c>
      <c r="T27" s="3257">
        <f>SUM(R27:S27)</f>
        <v>340</v>
      </c>
      <c r="U27" s="3256">
        <v>174</v>
      </c>
      <c r="V27" s="3256">
        <v>166</v>
      </c>
      <c r="W27" s="3257">
        <f>SUM(U27:V27)</f>
        <v>340</v>
      </c>
      <c r="X27" s="3256">
        <v>180</v>
      </c>
      <c r="Y27" s="3256">
        <v>168</v>
      </c>
      <c r="Z27" s="3257">
        <f>SUM(X27:Y27)</f>
        <v>348</v>
      </c>
      <c r="AA27" s="3256">
        <v>181</v>
      </c>
      <c r="AB27" s="3256">
        <v>168</v>
      </c>
      <c r="AC27" s="3257">
        <f>SUM(AA27:AB27)</f>
        <v>349</v>
      </c>
      <c r="AD27" s="3256">
        <v>182</v>
      </c>
      <c r="AE27" s="3256">
        <v>171</v>
      </c>
      <c r="AF27" s="3257">
        <f>SUM(AD27:AE27)</f>
        <v>353</v>
      </c>
      <c r="AG27" s="3256">
        <v>182</v>
      </c>
      <c r="AH27" s="3256">
        <v>173</v>
      </c>
      <c r="AI27" s="3257">
        <f>SUM(AG27:AH27)</f>
        <v>355</v>
      </c>
      <c r="AJ27" s="3256">
        <v>180</v>
      </c>
      <c r="AK27" s="3256">
        <v>167</v>
      </c>
      <c r="AL27" s="3257">
        <f>SUM(AJ27:AK27)</f>
        <v>347</v>
      </c>
      <c r="AM27" s="3256">
        <v>34</v>
      </c>
      <c r="AN27" s="3256">
        <v>101</v>
      </c>
      <c r="AO27" s="3257">
        <f>SUM(AM27:AN27)</f>
        <v>135</v>
      </c>
      <c r="AP27" s="3256">
        <v>176</v>
      </c>
      <c r="AQ27" s="3256">
        <v>167</v>
      </c>
      <c r="AR27" s="3257">
        <f>SUM(AP27:AQ27)</f>
        <v>343</v>
      </c>
      <c r="AS27" s="3256">
        <v>176</v>
      </c>
      <c r="AT27" s="3256">
        <v>168</v>
      </c>
      <c r="AU27" s="3257">
        <f>SUM(AS27:AT27)</f>
        <v>344</v>
      </c>
      <c r="AV27" s="3256">
        <v>167</v>
      </c>
      <c r="AW27" s="3256">
        <v>165</v>
      </c>
      <c r="AX27" s="3257">
        <f>SUM(AV27:AW27)</f>
        <v>332</v>
      </c>
      <c r="AY27" s="3256">
        <v>166</v>
      </c>
      <c r="AZ27" s="3256">
        <v>160</v>
      </c>
      <c r="BA27" s="3257">
        <f>SUM(AY27:AZ27)</f>
        <v>326</v>
      </c>
      <c r="BB27" s="3256">
        <v>159</v>
      </c>
      <c r="BC27" s="3256">
        <v>156</v>
      </c>
      <c r="BD27" s="3257">
        <f>SUM(BB27:BC27)</f>
        <v>315</v>
      </c>
    </row>
    <row r="28" spans="2:56" x14ac:dyDescent="0.3">
      <c r="B28" s="3249" t="s">
        <v>68</v>
      </c>
      <c r="C28" s="3250">
        <v>30</v>
      </c>
      <c r="D28" s="3251">
        <v>109</v>
      </c>
      <c r="E28" s="3252">
        <v>139</v>
      </c>
      <c r="F28" s="3251">
        <v>31</v>
      </c>
      <c r="G28" s="3251">
        <v>108</v>
      </c>
      <c r="H28" s="3251">
        <v>139</v>
      </c>
      <c r="I28" s="3250">
        <v>30</v>
      </c>
      <c r="J28" s="3251">
        <v>109</v>
      </c>
      <c r="K28" s="3252">
        <v>139</v>
      </c>
      <c r="L28" s="3253">
        <v>29</v>
      </c>
      <c r="M28" s="3254">
        <v>109</v>
      </c>
      <c r="N28" s="3255">
        <v>138</v>
      </c>
      <c r="O28" s="3253">
        <v>32</v>
      </c>
      <c r="P28" s="3254">
        <v>108</v>
      </c>
      <c r="Q28" s="3255">
        <v>140</v>
      </c>
      <c r="R28" s="3256">
        <v>33</v>
      </c>
      <c r="S28" s="3256">
        <v>109</v>
      </c>
      <c r="T28" s="3257">
        <f>SUM(R28:S28)</f>
        <v>142</v>
      </c>
      <c r="U28" s="3256">
        <v>32</v>
      </c>
      <c r="V28" s="3256">
        <v>111</v>
      </c>
      <c r="W28" s="3257">
        <f>SUM(U28:V28)</f>
        <v>143</v>
      </c>
      <c r="X28" s="3256">
        <v>31</v>
      </c>
      <c r="Y28" s="3256">
        <v>110</v>
      </c>
      <c r="Z28" s="3257">
        <f>SUM(X28:Y28)</f>
        <v>141</v>
      </c>
      <c r="AA28" s="3256">
        <v>33</v>
      </c>
      <c r="AB28" s="3256">
        <v>108</v>
      </c>
      <c r="AC28" s="3257">
        <f>SUM(AA28:AB28)</f>
        <v>141</v>
      </c>
      <c r="AD28" s="3256">
        <v>35</v>
      </c>
      <c r="AE28" s="3256">
        <v>111</v>
      </c>
      <c r="AF28" s="3257">
        <f>SUM(AD28:AE28)</f>
        <v>146</v>
      </c>
      <c r="AG28" s="3256">
        <v>33</v>
      </c>
      <c r="AH28" s="3256">
        <v>110</v>
      </c>
      <c r="AI28" s="3257">
        <f>SUM(AG28:AH28)</f>
        <v>143</v>
      </c>
      <c r="AJ28" s="3256">
        <v>34</v>
      </c>
      <c r="AK28" s="3256">
        <v>110</v>
      </c>
      <c r="AL28" s="3257">
        <f>SUM(AJ28:AK28)</f>
        <v>144</v>
      </c>
      <c r="AM28" s="3256">
        <v>160</v>
      </c>
      <c r="AN28" s="3256">
        <v>189</v>
      </c>
      <c r="AO28" s="3257">
        <f>SUM(AM28:AN28)</f>
        <v>349</v>
      </c>
      <c r="AP28" s="3256">
        <v>35</v>
      </c>
      <c r="AQ28" s="3256">
        <v>98</v>
      </c>
      <c r="AR28" s="3257">
        <f>SUM(AP28:AQ28)</f>
        <v>133</v>
      </c>
      <c r="AS28" s="3256">
        <v>36</v>
      </c>
      <c r="AT28" s="3256">
        <v>100</v>
      </c>
      <c r="AU28" s="3257">
        <f>SUM(AS28:AT28)</f>
        <v>136</v>
      </c>
      <c r="AV28" s="3256">
        <v>38</v>
      </c>
      <c r="AW28" s="3256">
        <v>96</v>
      </c>
      <c r="AX28" s="3257">
        <f>SUM(AV28:AW28)</f>
        <v>134</v>
      </c>
      <c r="AY28" s="3256">
        <v>38</v>
      </c>
      <c r="AZ28" s="3256">
        <v>96</v>
      </c>
      <c r="BA28" s="3257">
        <f>SUM(AY28:AZ28)</f>
        <v>134</v>
      </c>
      <c r="BB28" s="3256">
        <v>34</v>
      </c>
      <c r="BC28" s="3256">
        <v>95</v>
      </c>
      <c r="BD28" s="3257">
        <f>SUM(BB28:BC28)</f>
        <v>129</v>
      </c>
    </row>
    <row r="29" spans="2:56" x14ac:dyDescent="0.3">
      <c r="B29" s="3297" t="s">
        <v>137</v>
      </c>
      <c r="C29" s="3298">
        <v>362</v>
      </c>
      <c r="D29" s="3299">
        <v>482</v>
      </c>
      <c r="E29" s="3300">
        <v>844</v>
      </c>
      <c r="F29" s="3299">
        <v>363</v>
      </c>
      <c r="G29" s="3299">
        <v>471</v>
      </c>
      <c r="H29" s="3299">
        <v>834</v>
      </c>
      <c r="I29" s="3298">
        <v>356</v>
      </c>
      <c r="J29" s="3299">
        <v>460</v>
      </c>
      <c r="K29" s="3300">
        <v>816</v>
      </c>
      <c r="L29" s="3301">
        <v>362</v>
      </c>
      <c r="M29" s="3302">
        <v>457</v>
      </c>
      <c r="N29" s="3303">
        <v>819</v>
      </c>
      <c r="O29" s="3301">
        <v>364</v>
      </c>
      <c r="P29" s="3302">
        <v>456</v>
      </c>
      <c r="Q29" s="3303">
        <v>820</v>
      </c>
      <c r="R29" s="3304">
        <f>SUM(R26:R28)</f>
        <v>368</v>
      </c>
      <c r="S29" s="3304">
        <f>SUM(S26:S28)</f>
        <v>456</v>
      </c>
      <c r="T29" s="3305">
        <f>SUM(R29:S29)</f>
        <v>824</v>
      </c>
      <c r="U29" s="3304">
        <f>SUM(U26:U28)</f>
        <v>374</v>
      </c>
      <c r="V29" s="3304">
        <f>SUM(V26:V28)</f>
        <v>465</v>
      </c>
      <c r="W29" s="3305">
        <f>SUM(U29:V29)</f>
        <v>839</v>
      </c>
      <c r="X29" s="3304">
        <f>SUM(X26:X28)</f>
        <v>383</v>
      </c>
      <c r="Y29" s="3304">
        <f>SUM(Y26:Y28)</f>
        <v>469</v>
      </c>
      <c r="Z29" s="3305">
        <f>SUM(X29:Y29)</f>
        <v>852</v>
      </c>
      <c r="AA29" s="3304">
        <f>SUM(AA26:AA28)</f>
        <v>383</v>
      </c>
      <c r="AB29" s="3304">
        <f>SUM(AB26:AB28)</f>
        <v>470</v>
      </c>
      <c r="AC29" s="3305">
        <f>SUM(AA29:AB29)</f>
        <v>853</v>
      </c>
      <c r="AD29" s="3304">
        <f>SUM(AD26:AD28)</f>
        <v>387</v>
      </c>
      <c r="AE29" s="3304">
        <f>SUM(AE26:AE28)</f>
        <v>473</v>
      </c>
      <c r="AF29" s="3305">
        <f>SUM(AD29:AE29)</f>
        <v>860</v>
      </c>
      <c r="AG29" s="3304">
        <f>SUM(AG26:AG28)</f>
        <v>382</v>
      </c>
      <c r="AH29" s="3304">
        <f>SUM(AH26:AH28)</f>
        <v>474</v>
      </c>
      <c r="AI29" s="3305">
        <f>SUM(AG29:AH29)</f>
        <v>856</v>
      </c>
      <c r="AJ29" s="3304">
        <f>SUM(AJ26:AJ28)</f>
        <v>378</v>
      </c>
      <c r="AK29" s="3304">
        <f>SUM(AK26:AK28)</f>
        <v>464</v>
      </c>
      <c r="AL29" s="3305">
        <f>SUM(AJ29:AK29)</f>
        <v>842</v>
      </c>
      <c r="AM29" s="3304">
        <f>SUM(AM26:AM28)</f>
        <v>372</v>
      </c>
      <c r="AN29" s="3304">
        <f>SUM(AN26:AN28)</f>
        <v>459</v>
      </c>
      <c r="AO29" s="3305">
        <f>SUM(AM29:AN29)</f>
        <v>831</v>
      </c>
      <c r="AP29" s="3304">
        <f>SUM(AP26:AP28)</f>
        <v>373</v>
      </c>
      <c r="AQ29" s="3304">
        <f>SUM(AQ26:AQ28)</f>
        <v>456</v>
      </c>
      <c r="AR29" s="3305">
        <f>SUM(AP29:AQ29)</f>
        <v>829</v>
      </c>
      <c r="AS29" s="3304">
        <f>SUM(AS26:AS28)</f>
        <v>363</v>
      </c>
      <c r="AT29" s="3304">
        <f>SUM(AT26:AT28)</f>
        <v>458</v>
      </c>
      <c r="AU29" s="3305">
        <f>SUM(AS29:AT29)</f>
        <v>821</v>
      </c>
      <c r="AV29" s="3304">
        <f>SUM(AV26:AV28)</f>
        <v>357</v>
      </c>
      <c r="AW29" s="3304">
        <f>SUM(AW26:AW28)</f>
        <v>446</v>
      </c>
      <c r="AX29" s="3305">
        <f>SUM(AV29:AW29)</f>
        <v>803</v>
      </c>
      <c r="AY29" s="3304">
        <f>SUM(AY26:AY28)</f>
        <v>354</v>
      </c>
      <c r="AZ29" s="3304">
        <f>SUM(AZ26:AZ28)</f>
        <v>436</v>
      </c>
      <c r="BA29" s="3305">
        <f>SUM(AY29:AZ29)</f>
        <v>790</v>
      </c>
      <c r="BB29" s="3304">
        <f>SUM(BB26:BB28)</f>
        <v>338</v>
      </c>
      <c r="BC29" s="3304">
        <f>SUM(BC26:BC28)</f>
        <v>431</v>
      </c>
      <c r="BD29" s="3305">
        <f>SUM(BB29:BC29)</f>
        <v>769</v>
      </c>
    </row>
    <row r="30" spans="2:56" x14ac:dyDescent="0.3">
      <c r="B30" s="3306"/>
      <c r="C30" s="3307"/>
      <c r="D30" s="3307"/>
      <c r="E30" s="3307"/>
      <c r="F30" s="3307"/>
      <c r="G30" s="3307"/>
      <c r="H30" s="3307"/>
      <c r="I30" s="3307"/>
      <c r="J30" s="3307"/>
      <c r="K30" s="3307"/>
      <c r="L30" s="3307"/>
      <c r="M30" s="3307"/>
      <c r="N30" s="3307"/>
      <c r="O30" s="3307"/>
      <c r="P30" s="3307"/>
      <c r="Q30" s="3307"/>
      <c r="R30" s="3267"/>
      <c r="S30" s="3267"/>
      <c r="T30" s="3267"/>
      <c r="U30" s="3267"/>
      <c r="V30" s="3267"/>
      <c r="W30" s="3267"/>
      <c r="X30" s="3267"/>
      <c r="Y30" s="3267"/>
      <c r="Z30" s="3267"/>
      <c r="AA30" s="3267"/>
      <c r="AB30" s="3267"/>
      <c r="AC30" s="3267"/>
      <c r="AD30" s="3267"/>
      <c r="AE30" s="3267"/>
      <c r="AF30" s="3267"/>
      <c r="AG30" s="3267"/>
      <c r="AH30" s="3267"/>
      <c r="AI30" s="3267"/>
      <c r="AJ30" s="3267"/>
      <c r="AK30" s="3267"/>
      <c r="AL30" s="3267"/>
      <c r="AM30" s="3267"/>
      <c r="AN30" s="3267"/>
      <c r="AO30" s="3267"/>
      <c r="AP30" s="3267"/>
      <c r="AQ30" s="3267"/>
      <c r="AR30" s="3267"/>
      <c r="AS30" s="3267"/>
      <c r="AT30" s="3267"/>
      <c r="AU30" s="3267"/>
      <c r="AV30" s="3267"/>
      <c r="AW30" s="3267"/>
      <c r="AX30" s="3267"/>
      <c r="AY30" s="3267"/>
      <c r="AZ30" s="3267"/>
      <c r="BA30" s="3267"/>
      <c r="BB30" s="3267"/>
      <c r="BC30" s="3267"/>
      <c r="BD30" s="3267"/>
    </row>
    <row r="31" spans="2:56" x14ac:dyDescent="0.3">
      <c r="B31" s="3308" t="s">
        <v>59</v>
      </c>
      <c r="C31" s="3244">
        <v>120</v>
      </c>
      <c r="D31" s="3245">
        <v>483</v>
      </c>
      <c r="E31" s="3245">
        <v>603</v>
      </c>
      <c r="F31" s="3244">
        <v>118</v>
      </c>
      <c r="G31" s="3245">
        <v>484</v>
      </c>
      <c r="H31" s="3246">
        <v>602</v>
      </c>
      <c r="I31" s="3245">
        <v>123</v>
      </c>
      <c r="J31" s="3245">
        <v>494</v>
      </c>
      <c r="K31" s="3245">
        <v>617</v>
      </c>
      <c r="L31" s="3244">
        <v>125</v>
      </c>
      <c r="M31" s="3245">
        <v>495</v>
      </c>
      <c r="N31" s="3246">
        <v>620</v>
      </c>
      <c r="O31" s="3245">
        <v>124</v>
      </c>
      <c r="P31" s="3245">
        <v>498</v>
      </c>
      <c r="Q31" s="3246">
        <v>622</v>
      </c>
      <c r="R31" s="3247">
        <f>SUM(R6,R16,R21)</f>
        <v>129</v>
      </c>
      <c r="S31" s="3247">
        <f>SUM(S6,S16,S21)</f>
        <v>492</v>
      </c>
      <c r="T31" s="3248">
        <f t="shared" ref="T31:T37" si="2">SUM(R31:S31)</f>
        <v>621</v>
      </c>
      <c r="U31" s="3247">
        <f>SUM(U6,U16,U21)</f>
        <v>129</v>
      </c>
      <c r="V31" s="3247">
        <f>SUM(V6,V16,V21)</f>
        <v>495</v>
      </c>
      <c r="W31" s="3248">
        <f t="shared" ref="W31:W37" si="3">SUM(U31:V31)</f>
        <v>624</v>
      </c>
      <c r="X31" s="3247">
        <f>SUM(X6,X16,X21)</f>
        <v>132</v>
      </c>
      <c r="Y31" s="3247">
        <f>SUM(Y6,Y16,Y21)</f>
        <v>502</v>
      </c>
      <c r="Z31" s="3248">
        <f t="shared" ref="Z31:Z37" si="4">SUM(X31:Y31)</f>
        <v>634</v>
      </c>
      <c r="AA31" s="3247">
        <f>SUM(AA6,AA16,AA21)</f>
        <v>134</v>
      </c>
      <c r="AB31" s="3247">
        <f>SUM(AB6,AB16,AB21)</f>
        <v>507</v>
      </c>
      <c r="AC31" s="3248">
        <f t="shared" ref="AC31:AC37" si="5">SUM(AA31:AB31)</f>
        <v>641</v>
      </c>
      <c r="AD31" s="3247">
        <f>SUM(AD6,AD16,AD21)</f>
        <v>141</v>
      </c>
      <c r="AE31" s="3247">
        <f>SUM(AE6,AE16,AE21)</f>
        <v>512</v>
      </c>
      <c r="AF31" s="3248">
        <f t="shared" ref="AF31:AF37" si="6">SUM(AD31:AE31)</f>
        <v>653</v>
      </c>
      <c r="AG31" s="3247">
        <f>SUM(AG6,AG16,AG21)</f>
        <v>141</v>
      </c>
      <c r="AH31" s="3247">
        <f>SUM(AH6,AH16,AH21)</f>
        <v>508</v>
      </c>
      <c r="AI31" s="3248">
        <f t="shared" ref="AI31:AI37" si="7">SUM(AG31:AH31)</f>
        <v>649</v>
      </c>
      <c r="AJ31" s="3247">
        <f>SUM(AJ6,AJ16,AJ21)</f>
        <v>140</v>
      </c>
      <c r="AK31" s="3247">
        <f>SUM(AK6,AK16,AK21)</f>
        <v>505</v>
      </c>
      <c r="AL31" s="3248">
        <f t="shared" ref="AL31:AL37" si="8">SUM(AJ31:AK31)</f>
        <v>645</v>
      </c>
      <c r="AM31" s="3247">
        <f>SUM(AM6,AM16,AM21)</f>
        <v>149</v>
      </c>
      <c r="AN31" s="3247">
        <f>SUM(AN6,AN16,AN21)</f>
        <v>501</v>
      </c>
      <c r="AO31" s="3248">
        <f t="shared" ref="AO31:AO37" si="9">SUM(AM31:AN31)</f>
        <v>650</v>
      </c>
      <c r="AP31" s="3247">
        <f>SUM(AP6,AP16,AP21)</f>
        <v>150</v>
      </c>
      <c r="AQ31" s="3247">
        <f>SUM(AQ6,AQ16,AQ21)</f>
        <v>508</v>
      </c>
      <c r="AR31" s="3248">
        <f t="shared" ref="AR31:AR37" si="10">SUM(AP31:AQ31)</f>
        <v>658</v>
      </c>
      <c r="AS31" s="3247">
        <f>SUM(AS6,AS16,AS21)</f>
        <v>147</v>
      </c>
      <c r="AT31" s="3247">
        <f>SUM(AT6,AT16,AT21)</f>
        <v>509</v>
      </c>
      <c r="AU31" s="3248">
        <f t="shared" ref="AU31:AU37" si="11">SUM(AS31:AT31)</f>
        <v>656</v>
      </c>
      <c r="AV31" s="3247">
        <f>SUM(AV6,AV16,AV21)</f>
        <v>147</v>
      </c>
      <c r="AW31" s="3247">
        <f>SUM(AW6,AW16,AW21)</f>
        <v>503</v>
      </c>
      <c r="AX31" s="3248">
        <f t="shared" ref="AX31:AX37" si="12">SUM(AV31:AW31)</f>
        <v>650</v>
      </c>
      <c r="AY31" s="3247">
        <f>SUM(AY6,AY16,AY21)</f>
        <v>145</v>
      </c>
      <c r="AZ31" s="3247">
        <f>SUM(AZ6,AZ16,AZ21)</f>
        <v>492</v>
      </c>
      <c r="BA31" s="3248">
        <f t="shared" ref="BA31:BA37" si="13">SUM(AY31:AZ31)</f>
        <v>637</v>
      </c>
      <c r="BB31" s="3247">
        <f>SUM(BB6,BB16,BB21)</f>
        <v>147</v>
      </c>
      <c r="BC31" s="3247">
        <f>SUM(BC6,BC16,BC21)</f>
        <v>480</v>
      </c>
      <c r="BD31" s="3248">
        <f t="shared" ref="BD31:BD37" si="14">SUM(BB31:BC31)</f>
        <v>627</v>
      </c>
    </row>
    <row r="32" spans="2:56" x14ac:dyDescent="0.3">
      <c r="B32" s="3309" t="s">
        <v>64</v>
      </c>
      <c r="C32" s="3253">
        <v>399</v>
      </c>
      <c r="D32" s="3254">
        <v>551</v>
      </c>
      <c r="E32" s="3254">
        <v>950</v>
      </c>
      <c r="F32" s="3253">
        <v>398</v>
      </c>
      <c r="G32" s="3254">
        <v>555</v>
      </c>
      <c r="H32" s="3255">
        <v>953</v>
      </c>
      <c r="I32" s="3254">
        <v>404</v>
      </c>
      <c r="J32" s="3254">
        <v>551</v>
      </c>
      <c r="K32" s="3254">
        <v>955</v>
      </c>
      <c r="L32" s="3253">
        <v>412</v>
      </c>
      <c r="M32" s="3254">
        <v>559</v>
      </c>
      <c r="N32" s="3255">
        <v>971</v>
      </c>
      <c r="O32" s="3254">
        <v>412</v>
      </c>
      <c r="P32" s="3254">
        <v>573</v>
      </c>
      <c r="Q32" s="3255">
        <v>985</v>
      </c>
      <c r="R32" s="3256">
        <f>SUM(R7,R11,R17,R22,R26)</f>
        <v>420</v>
      </c>
      <c r="S32" s="3256">
        <f>SUM(S7,S11,S17,S22,S26)</f>
        <v>577</v>
      </c>
      <c r="T32" s="3257">
        <f t="shared" si="2"/>
        <v>997</v>
      </c>
      <c r="U32" s="3256">
        <f>SUM(U7,U11,U17,U22,U26)</f>
        <v>431</v>
      </c>
      <c r="V32" s="3256">
        <f>SUM(V7,V11,V17,V22,V26)</f>
        <v>590</v>
      </c>
      <c r="W32" s="3257">
        <f t="shared" si="3"/>
        <v>1021</v>
      </c>
      <c r="X32" s="3256">
        <f>SUM(X7,X11,X17,X22,X26)</f>
        <v>437</v>
      </c>
      <c r="Y32" s="3256">
        <f>SUM(Y7,Y11,Y17,Y22,Y26)</f>
        <v>586</v>
      </c>
      <c r="Z32" s="3257">
        <f t="shared" si="4"/>
        <v>1023</v>
      </c>
      <c r="AA32" s="3256">
        <f>SUM(AA7,AA11,AA17,AA22,AA26)</f>
        <v>444</v>
      </c>
      <c r="AB32" s="3256">
        <f>SUM(AB7,AB11,AB17,AB22,AB26)</f>
        <v>597</v>
      </c>
      <c r="AC32" s="3257">
        <f t="shared" si="5"/>
        <v>1041</v>
      </c>
      <c r="AD32" s="3256">
        <f>SUM(AD7,AD11,AD17,AD22,AD26)</f>
        <v>449</v>
      </c>
      <c r="AE32" s="3256">
        <f>SUM(AE7,AE11,AE17,AE22,AE26)</f>
        <v>602</v>
      </c>
      <c r="AF32" s="3257">
        <f t="shared" si="6"/>
        <v>1051</v>
      </c>
      <c r="AG32" s="3256">
        <f>SUM(AG7,AG11,AG17,AG22,AG26)</f>
        <v>442</v>
      </c>
      <c r="AH32" s="3256">
        <f>SUM(AH7,AH11,AH17,AH22,AH26)</f>
        <v>599</v>
      </c>
      <c r="AI32" s="3257">
        <f t="shared" si="7"/>
        <v>1041</v>
      </c>
      <c r="AJ32" s="3256">
        <f>SUM(AJ7,AJ11,AJ17,AJ22,AJ26)</f>
        <v>441</v>
      </c>
      <c r="AK32" s="3256">
        <f>SUM(AK7,AK11,AK17,AK22,AK26)</f>
        <v>594</v>
      </c>
      <c r="AL32" s="3257">
        <f t="shared" si="8"/>
        <v>1035</v>
      </c>
      <c r="AM32" s="3256">
        <f>SUM(AM7,AM11,AM17,AM22,AM26)</f>
        <v>467</v>
      </c>
      <c r="AN32" s="3256">
        <f>SUM(AN7,AN11,AN17,AN22,AN26)</f>
        <v>595</v>
      </c>
      <c r="AO32" s="3257">
        <f t="shared" si="9"/>
        <v>1062</v>
      </c>
      <c r="AP32" s="3256">
        <f>SUM(AP7,AP11,AP17,AP22,AP26)</f>
        <v>458</v>
      </c>
      <c r="AQ32" s="3256">
        <f>SUM(AQ7,AQ11,AQ17,AQ22,AQ26)</f>
        <v>624</v>
      </c>
      <c r="AR32" s="3257">
        <f t="shared" si="10"/>
        <v>1082</v>
      </c>
      <c r="AS32" s="3256">
        <f>SUM(AS7,AS11,AS17,AS22,AS26)</f>
        <v>441</v>
      </c>
      <c r="AT32" s="3256">
        <f>SUM(AT7,AT11,AT17,AT22,AT26)</f>
        <v>609</v>
      </c>
      <c r="AU32" s="3257">
        <f t="shared" si="11"/>
        <v>1050</v>
      </c>
      <c r="AV32" s="3256">
        <f>SUM(AV7,AV11,AV17,AV22,AV26)</f>
        <v>440</v>
      </c>
      <c r="AW32" s="3256">
        <f>SUM(AW7,AW11,AW17,AW22,AW26)</f>
        <v>593</v>
      </c>
      <c r="AX32" s="3257">
        <f t="shared" si="12"/>
        <v>1033</v>
      </c>
      <c r="AY32" s="3256">
        <f>SUM(AY7,AY11,AY17,AY22,AY26)</f>
        <v>431</v>
      </c>
      <c r="AZ32" s="3256">
        <f>SUM(AZ7,AZ11,AZ17,AZ22,AZ26)</f>
        <v>578</v>
      </c>
      <c r="BA32" s="3257">
        <f t="shared" si="13"/>
        <v>1009</v>
      </c>
      <c r="BB32" s="3256">
        <f>SUM(BB7,BB11,BB17,BB22,BB26)</f>
        <v>424</v>
      </c>
      <c r="BC32" s="3256">
        <f>SUM(BC7,BC11,BC17,BC22,BC26)</f>
        <v>573</v>
      </c>
      <c r="BD32" s="3257">
        <f t="shared" si="14"/>
        <v>997</v>
      </c>
    </row>
    <row r="33" spans="2:56" x14ac:dyDescent="0.3">
      <c r="B33" s="3309" t="s">
        <v>92</v>
      </c>
      <c r="C33" s="3253">
        <v>275</v>
      </c>
      <c r="D33" s="3254">
        <v>302</v>
      </c>
      <c r="E33" s="3254">
        <v>577</v>
      </c>
      <c r="F33" s="3253">
        <v>276</v>
      </c>
      <c r="G33" s="3254">
        <v>295</v>
      </c>
      <c r="H33" s="3255">
        <v>571</v>
      </c>
      <c r="I33" s="3254">
        <v>277</v>
      </c>
      <c r="J33" s="3254">
        <v>294</v>
      </c>
      <c r="K33" s="3254">
        <v>571</v>
      </c>
      <c r="L33" s="3253">
        <v>279</v>
      </c>
      <c r="M33" s="3254">
        <v>282</v>
      </c>
      <c r="N33" s="3255">
        <v>561</v>
      </c>
      <c r="O33" s="3254">
        <v>276</v>
      </c>
      <c r="P33" s="3254">
        <v>271</v>
      </c>
      <c r="Q33" s="3255">
        <v>547</v>
      </c>
      <c r="R33" s="3256">
        <f>SUM(R18,R23,R27)</f>
        <v>279</v>
      </c>
      <c r="S33" s="3256">
        <f>SUM(S18,S23,S27)</f>
        <v>272</v>
      </c>
      <c r="T33" s="3257">
        <f t="shared" si="2"/>
        <v>551</v>
      </c>
      <c r="U33" s="3256">
        <f>SUM(U18,U23,U27)</f>
        <v>281</v>
      </c>
      <c r="V33" s="3256">
        <f>SUM(V18,V23,V27)</f>
        <v>279</v>
      </c>
      <c r="W33" s="3257">
        <f t="shared" si="3"/>
        <v>560</v>
      </c>
      <c r="X33" s="3256">
        <f>SUM(X18,X23,X27)</f>
        <v>285</v>
      </c>
      <c r="Y33" s="3256">
        <f>SUM(Y18,Y23,Y27)</f>
        <v>286</v>
      </c>
      <c r="Z33" s="3257">
        <f t="shared" si="4"/>
        <v>571</v>
      </c>
      <c r="AA33" s="3256">
        <f>SUM(AA18,AA23,AA27)</f>
        <v>293</v>
      </c>
      <c r="AB33" s="3256">
        <f>SUM(AB18,AB23,AB27)</f>
        <v>290</v>
      </c>
      <c r="AC33" s="3257">
        <f t="shared" si="5"/>
        <v>583</v>
      </c>
      <c r="AD33" s="3256">
        <f>SUM(AD18,AD23,AD27)</f>
        <v>296</v>
      </c>
      <c r="AE33" s="3256">
        <f>SUM(AE18,AE23,AE27)</f>
        <v>298</v>
      </c>
      <c r="AF33" s="3257">
        <f t="shared" si="6"/>
        <v>594</v>
      </c>
      <c r="AG33" s="3256">
        <f>SUM(AG18,AG23,AG27)</f>
        <v>296</v>
      </c>
      <c r="AH33" s="3256">
        <f>SUM(AH18,AH23,AH27)</f>
        <v>302</v>
      </c>
      <c r="AI33" s="3257">
        <f t="shared" si="7"/>
        <v>598</v>
      </c>
      <c r="AJ33" s="3256">
        <f>SUM(AJ18,AJ23,AJ27)</f>
        <v>296</v>
      </c>
      <c r="AK33" s="3256">
        <f>SUM(AK18,AK23,AK27)</f>
        <v>300</v>
      </c>
      <c r="AL33" s="3257">
        <f t="shared" si="8"/>
        <v>596</v>
      </c>
      <c r="AM33" s="3256">
        <f>SUM(AM18,AM23,AM27)</f>
        <v>150</v>
      </c>
      <c r="AN33" s="3256">
        <f>SUM(AN18,AN23,AN27)</f>
        <v>233</v>
      </c>
      <c r="AO33" s="3257">
        <f t="shared" si="9"/>
        <v>383</v>
      </c>
      <c r="AP33" s="3256">
        <f>SUM(AP18,AP23,AP27)</f>
        <v>295</v>
      </c>
      <c r="AQ33" s="3256">
        <f>SUM(AQ18,AQ23,AQ27)</f>
        <v>295</v>
      </c>
      <c r="AR33" s="3257">
        <f t="shared" si="10"/>
        <v>590</v>
      </c>
      <c r="AS33" s="3256">
        <f>SUM(AS18,AS23,AS27)</f>
        <v>291</v>
      </c>
      <c r="AT33" s="3256">
        <f>SUM(AT18,AT23,AT27)</f>
        <v>298</v>
      </c>
      <c r="AU33" s="3257">
        <f t="shared" si="11"/>
        <v>589</v>
      </c>
      <c r="AV33" s="3256">
        <f>SUM(AV18,AV23,AV27)</f>
        <v>284</v>
      </c>
      <c r="AW33" s="3256">
        <f>SUM(AW18,AW23,AW27)</f>
        <v>292</v>
      </c>
      <c r="AX33" s="3257">
        <f t="shared" si="12"/>
        <v>576</v>
      </c>
      <c r="AY33" s="3256">
        <f>SUM(AY18,AY23,AY27)</f>
        <v>281</v>
      </c>
      <c r="AZ33" s="3256">
        <f>SUM(AZ18,AZ23,AZ27)</f>
        <v>285</v>
      </c>
      <c r="BA33" s="3257">
        <f t="shared" si="13"/>
        <v>566</v>
      </c>
      <c r="BB33" s="3256">
        <f>SUM(BB18,BB23,BB27)</f>
        <v>272</v>
      </c>
      <c r="BC33" s="3256">
        <f>SUM(BC18,BC23,BC27)</f>
        <v>277</v>
      </c>
      <c r="BD33" s="3257">
        <f t="shared" si="14"/>
        <v>549</v>
      </c>
    </row>
    <row r="34" spans="2:56" x14ac:dyDescent="0.3">
      <c r="B34" s="3309" t="s">
        <v>68</v>
      </c>
      <c r="C34" s="3253">
        <v>88</v>
      </c>
      <c r="D34" s="3254">
        <v>240</v>
      </c>
      <c r="E34" s="3254">
        <v>328</v>
      </c>
      <c r="F34" s="3253">
        <v>90</v>
      </c>
      <c r="G34" s="3254">
        <v>237</v>
      </c>
      <c r="H34" s="3255">
        <v>327</v>
      </c>
      <c r="I34" s="3254">
        <v>93</v>
      </c>
      <c r="J34" s="3254">
        <v>228</v>
      </c>
      <c r="K34" s="3254">
        <v>321</v>
      </c>
      <c r="L34" s="3253">
        <v>93</v>
      </c>
      <c r="M34" s="3254">
        <v>228</v>
      </c>
      <c r="N34" s="3255">
        <v>321</v>
      </c>
      <c r="O34" s="3254">
        <v>101</v>
      </c>
      <c r="P34" s="3254">
        <v>229</v>
      </c>
      <c r="Q34" s="3255">
        <v>330</v>
      </c>
      <c r="R34" s="3256">
        <f>SUM(R8,R28)</f>
        <v>107</v>
      </c>
      <c r="S34" s="3256">
        <f>SUM(S8,S28)</f>
        <v>234</v>
      </c>
      <c r="T34" s="3257">
        <f t="shared" si="2"/>
        <v>341</v>
      </c>
      <c r="U34" s="3256">
        <f>SUM(U8,U28)</f>
        <v>104</v>
      </c>
      <c r="V34" s="3256">
        <f>SUM(V8,V28)</f>
        <v>240</v>
      </c>
      <c r="W34" s="3257">
        <f t="shared" si="3"/>
        <v>344</v>
      </c>
      <c r="X34" s="3256">
        <f>SUM(X8,X28)</f>
        <v>107</v>
      </c>
      <c r="Y34" s="3256">
        <f>SUM(Y8,Y28)</f>
        <v>240</v>
      </c>
      <c r="Z34" s="3257">
        <f t="shared" si="4"/>
        <v>347</v>
      </c>
      <c r="AA34" s="3256">
        <f>SUM(AA8,AA28)</f>
        <v>111</v>
      </c>
      <c r="AB34" s="3256">
        <f>SUM(AB8,AB28)</f>
        <v>241</v>
      </c>
      <c r="AC34" s="3257">
        <f t="shared" si="5"/>
        <v>352</v>
      </c>
      <c r="AD34" s="3256">
        <f>SUM(AD8,AD28)</f>
        <v>117</v>
      </c>
      <c r="AE34" s="3256">
        <f>SUM(AE8,AE28)</f>
        <v>250</v>
      </c>
      <c r="AF34" s="3257">
        <f t="shared" si="6"/>
        <v>367</v>
      </c>
      <c r="AG34" s="3256">
        <f>SUM(AG8,AG28)</f>
        <v>112</v>
      </c>
      <c r="AH34" s="3256">
        <f>SUM(AH8,AH28)</f>
        <v>246</v>
      </c>
      <c r="AI34" s="3257">
        <f t="shared" si="7"/>
        <v>358</v>
      </c>
      <c r="AJ34" s="3256">
        <f>SUM(AJ8,AJ28)</f>
        <v>114</v>
      </c>
      <c r="AK34" s="3256">
        <f>SUM(AK8,AK28)</f>
        <v>243</v>
      </c>
      <c r="AL34" s="3257">
        <f t="shared" si="8"/>
        <v>357</v>
      </c>
      <c r="AM34" s="3256">
        <f>SUM(AM8,AM28)</f>
        <v>237</v>
      </c>
      <c r="AN34" s="3256">
        <f>SUM(AN8,AN28)</f>
        <v>321</v>
      </c>
      <c r="AO34" s="3257">
        <f t="shared" si="9"/>
        <v>558</v>
      </c>
      <c r="AP34" s="3256">
        <f>SUM(AP8,AP28)</f>
        <v>115</v>
      </c>
      <c r="AQ34" s="3256">
        <f>SUM(AQ8,AQ28)</f>
        <v>231</v>
      </c>
      <c r="AR34" s="3257">
        <f t="shared" si="10"/>
        <v>346</v>
      </c>
      <c r="AS34" s="3256">
        <f>SUM(AS8,AS28)</f>
        <v>114</v>
      </c>
      <c r="AT34" s="3256">
        <f>SUM(AT8,AT28)</f>
        <v>231</v>
      </c>
      <c r="AU34" s="3257">
        <f t="shared" si="11"/>
        <v>345</v>
      </c>
      <c r="AV34" s="3256">
        <f>SUM(AV8,AV28)</f>
        <v>117</v>
      </c>
      <c r="AW34" s="3256">
        <f>SUM(AW8,AW28)</f>
        <v>226</v>
      </c>
      <c r="AX34" s="3257">
        <f t="shared" si="12"/>
        <v>343</v>
      </c>
      <c r="AY34" s="3256">
        <f>SUM(AY8,AY28)</f>
        <v>116</v>
      </c>
      <c r="AZ34" s="3256">
        <f>SUM(AZ8,AZ28)</f>
        <v>223</v>
      </c>
      <c r="BA34" s="3257">
        <f t="shared" si="13"/>
        <v>339</v>
      </c>
      <c r="BB34" s="3256">
        <f>SUM(BB8,BB28)</f>
        <v>115</v>
      </c>
      <c r="BC34" s="3256">
        <f>SUM(BC8,BC28)</f>
        <v>215</v>
      </c>
      <c r="BD34" s="3257">
        <f t="shared" si="14"/>
        <v>330</v>
      </c>
    </row>
    <row r="35" spans="2:56" x14ac:dyDescent="0.3">
      <c r="B35" s="3309" t="s">
        <v>111</v>
      </c>
      <c r="C35" s="3253">
        <v>1</v>
      </c>
      <c r="D35" s="3254">
        <v>2</v>
      </c>
      <c r="E35" s="3254">
        <v>3</v>
      </c>
      <c r="F35" s="3253">
        <v>2</v>
      </c>
      <c r="G35" s="3254">
        <v>7</v>
      </c>
      <c r="H35" s="3255">
        <v>9</v>
      </c>
      <c r="I35" s="3254">
        <v>4</v>
      </c>
      <c r="J35" s="3254">
        <v>9</v>
      </c>
      <c r="K35" s="3254">
        <v>13</v>
      </c>
      <c r="L35" s="3253">
        <v>7</v>
      </c>
      <c r="M35" s="3254">
        <v>17</v>
      </c>
      <c r="N35" s="3255">
        <v>24</v>
      </c>
      <c r="O35" s="3254">
        <v>8</v>
      </c>
      <c r="P35" s="3254">
        <v>22</v>
      </c>
      <c r="Q35" s="3255">
        <v>30</v>
      </c>
      <c r="R35" s="3256">
        <f>SUM(R12)</f>
        <v>13</v>
      </c>
      <c r="S35" s="3256">
        <f>SUM(S12)</f>
        <v>25</v>
      </c>
      <c r="T35" s="3257">
        <f t="shared" si="2"/>
        <v>38</v>
      </c>
      <c r="U35" s="3256">
        <f>SUM(U12)</f>
        <v>15</v>
      </c>
      <c r="V35" s="3256">
        <f>SUM(V12)</f>
        <v>26</v>
      </c>
      <c r="W35" s="3257">
        <f t="shared" si="3"/>
        <v>41</v>
      </c>
      <c r="X35" s="3256">
        <f>SUM(X12)</f>
        <v>17</v>
      </c>
      <c r="Y35" s="3256">
        <f>SUM(Y12)</f>
        <v>35</v>
      </c>
      <c r="Z35" s="3257">
        <f t="shared" si="4"/>
        <v>52</v>
      </c>
      <c r="AA35" s="3256">
        <f>SUM(AA12)</f>
        <v>15</v>
      </c>
      <c r="AB35" s="3256">
        <f>SUM(AB12)</f>
        <v>36</v>
      </c>
      <c r="AC35" s="3257">
        <f t="shared" si="5"/>
        <v>51</v>
      </c>
      <c r="AD35" s="3256">
        <f>SUM(AD12)</f>
        <v>13</v>
      </c>
      <c r="AE35" s="3256">
        <f>SUM(AE12)</f>
        <v>39</v>
      </c>
      <c r="AF35" s="3257">
        <f t="shared" si="6"/>
        <v>52</v>
      </c>
      <c r="AG35" s="3256">
        <f>SUM(AG12)</f>
        <v>13</v>
      </c>
      <c r="AH35" s="3256">
        <f>SUM(AH12)</f>
        <v>41</v>
      </c>
      <c r="AI35" s="3257">
        <f t="shared" si="7"/>
        <v>54</v>
      </c>
      <c r="AJ35" s="3256">
        <f>SUM(AJ12)</f>
        <v>14</v>
      </c>
      <c r="AK35" s="3256">
        <f>SUM(AK12)</f>
        <v>39</v>
      </c>
      <c r="AL35" s="3257">
        <f t="shared" si="8"/>
        <v>53</v>
      </c>
      <c r="AM35" s="3256">
        <f>SUM(AM12)</f>
        <v>15</v>
      </c>
      <c r="AN35" s="3256">
        <f>SUM(AN12)</f>
        <v>37</v>
      </c>
      <c r="AO35" s="3257">
        <f t="shared" si="9"/>
        <v>52</v>
      </c>
      <c r="AP35" s="3256">
        <f>SUM(AP12)</f>
        <v>15</v>
      </c>
      <c r="AQ35" s="3256">
        <f>SUM(AQ12)</f>
        <v>36</v>
      </c>
      <c r="AR35" s="3257">
        <f t="shared" si="10"/>
        <v>51</v>
      </c>
      <c r="AS35" s="3256">
        <f>SUM(AS12)</f>
        <v>15</v>
      </c>
      <c r="AT35" s="3256">
        <f>SUM(AT12)</f>
        <v>38</v>
      </c>
      <c r="AU35" s="3257">
        <f t="shared" si="11"/>
        <v>53</v>
      </c>
      <c r="AV35" s="3256">
        <f>SUM(AV12)</f>
        <v>17</v>
      </c>
      <c r="AW35" s="3256">
        <f>SUM(AW12)</f>
        <v>38</v>
      </c>
      <c r="AX35" s="3257">
        <f t="shared" si="12"/>
        <v>55</v>
      </c>
      <c r="AY35" s="3256">
        <f>SUM(AY12)</f>
        <v>17</v>
      </c>
      <c r="AZ35" s="3256">
        <f>SUM(AZ12)</f>
        <v>40</v>
      </c>
      <c r="BA35" s="3257">
        <f t="shared" si="13"/>
        <v>57</v>
      </c>
      <c r="BB35" s="3256">
        <f>SUM(BB12)</f>
        <v>18</v>
      </c>
      <c r="BC35" s="3256">
        <f>SUM(BC12)</f>
        <v>41</v>
      </c>
      <c r="BD35" s="3257">
        <f t="shared" si="14"/>
        <v>59</v>
      </c>
    </row>
    <row r="36" spans="2:56" x14ac:dyDescent="0.3">
      <c r="B36" s="3310" t="s">
        <v>115</v>
      </c>
      <c r="C36" s="3311">
        <v>1</v>
      </c>
      <c r="D36" s="3312">
        <v>5</v>
      </c>
      <c r="E36" s="3312">
        <v>6</v>
      </c>
      <c r="F36" s="3311">
        <v>1</v>
      </c>
      <c r="G36" s="3312">
        <v>5</v>
      </c>
      <c r="H36" s="3313">
        <v>6</v>
      </c>
      <c r="I36" s="3312">
        <v>5</v>
      </c>
      <c r="J36" s="3312">
        <v>13</v>
      </c>
      <c r="K36" s="3312">
        <v>18</v>
      </c>
      <c r="L36" s="3311">
        <v>8</v>
      </c>
      <c r="M36" s="3312">
        <v>15</v>
      </c>
      <c r="N36" s="3313">
        <v>23</v>
      </c>
      <c r="O36" s="3312">
        <v>8</v>
      </c>
      <c r="P36" s="3312">
        <v>16</v>
      </c>
      <c r="Q36" s="3313">
        <v>24</v>
      </c>
      <c r="R36" s="3314">
        <f>SUM(R13)</f>
        <v>9</v>
      </c>
      <c r="S36" s="3314">
        <f>SUM(S13)</f>
        <v>18</v>
      </c>
      <c r="T36" s="3315">
        <f t="shared" si="2"/>
        <v>27</v>
      </c>
      <c r="U36" s="3314">
        <f>SUM(U13)</f>
        <v>10</v>
      </c>
      <c r="V36" s="3314">
        <f>SUM(V13)</f>
        <v>23</v>
      </c>
      <c r="W36" s="3315">
        <f t="shared" si="3"/>
        <v>33</v>
      </c>
      <c r="X36" s="3314">
        <f>SUM(X13)</f>
        <v>13</v>
      </c>
      <c r="Y36" s="3314">
        <f>SUM(Y13)</f>
        <v>23</v>
      </c>
      <c r="Z36" s="3315">
        <f t="shared" si="4"/>
        <v>36</v>
      </c>
      <c r="AA36" s="3314">
        <f>SUM(AA13)</f>
        <v>14</v>
      </c>
      <c r="AB36" s="3314">
        <f>SUM(AB13)</f>
        <v>23</v>
      </c>
      <c r="AC36" s="3315">
        <f t="shared" si="5"/>
        <v>37</v>
      </c>
      <c r="AD36" s="3314">
        <f>SUM(AD13)</f>
        <v>16</v>
      </c>
      <c r="AE36" s="3314">
        <f>SUM(AE13)</f>
        <v>26</v>
      </c>
      <c r="AF36" s="3315">
        <f t="shared" si="6"/>
        <v>42</v>
      </c>
      <c r="AG36" s="3314">
        <f>SUM(AG13)</f>
        <v>17</v>
      </c>
      <c r="AH36" s="3314">
        <f>SUM(AH13)</f>
        <v>26</v>
      </c>
      <c r="AI36" s="3315">
        <f t="shared" si="7"/>
        <v>43</v>
      </c>
      <c r="AJ36" s="3314">
        <f>SUM(AJ13)</f>
        <v>17</v>
      </c>
      <c r="AK36" s="3314">
        <f>SUM(AK13)</f>
        <v>29</v>
      </c>
      <c r="AL36" s="3315">
        <f t="shared" si="8"/>
        <v>46</v>
      </c>
      <c r="AM36" s="3314">
        <f>SUM(AM13)</f>
        <v>17</v>
      </c>
      <c r="AN36" s="3314">
        <f>SUM(AN13)</f>
        <v>32</v>
      </c>
      <c r="AO36" s="3315">
        <f t="shared" si="9"/>
        <v>49</v>
      </c>
      <c r="AP36" s="3314">
        <f>SUM(AP13)</f>
        <v>18</v>
      </c>
      <c r="AQ36" s="3314">
        <f>SUM(AQ13)</f>
        <v>31</v>
      </c>
      <c r="AR36" s="3315">
        <f t="shared" si="10"/>
        <v>49</v>
      </c>
      <c r="AS36" s="3314">
        <f>SUM(AS13)</f>
        <v>19</v>
      </c>
      <c r="AT36" s="3314">
        <f>SUM(AT13)</f>
        <v>31</v>
      </c>
      <c r="AU36" s="3315">
        <f t="shared" si="11"/>
        <v>50</v>
      </c>
      <c r="AV36" s="3314">
        <f>SUM(AV13)</f>
        <v>19</v>
      </c>
      <c r="AW36" s="3314">
        <f>SUM(AW13)</f>
        <v>33</v>
      </c>
      <c r="AX36" s="3315">
        <f t="shared" si="12"/>
        <v>52</v>
      </c>
      <c r="AY36" s="3314">
        <f>SUM(AY13)</f>
        <v>19</v>
      </c>
      <c r="AZ36" s="3314">
        <f>SUM(AZ13)</f>
        <v>33</v>
      </c>
      <c r="BA36" s="3315">
        <f t="shared" si="13"/>
        <v>52</v>
      </c>
      <c r="BB36" s="3314">
        <f>SUM(BB13)</f>
        <v>19</v>
      </c>
      <c r="BC36" s="3314">
        <f>SUM(BC13)</f>
        <v>32</v>
      </c>
      <c r="BD36" s="3315">
        <f t="shared" si="14"/>
        <v>51</v>
      </c>
    </row>
    <row r="37" spans="2:56" x14ac:dyDescent="0.3">
      <c r="B37" s="3316" t="s">
        <v>431</v>
      </c>
      <c r="C37" s="3317">
        <v>884</v>
      </c>
      <c r="D37" s="3318">
        <v>1583</v>
      </c>
      <c r="E37" s="3319">
        <v>2467</v>
      </c>
      <c r="F37" s="3318">
        <v>885</v>
      </c>
      <c r="G37" s="3318">
        <v>1583</v>
      </c>
      <c r="H37" s="3318">
        <v>2468</v>
      </c>
      <c r="I37" s="3317">
        <v>906</v>
      </c>
      <c r="J37" s="3318">
        <v>1589</v>
      </c>
      <c r="K37" s="3319">
        <v>2495</v>
      </c>
      <c r="L37" s="3320">
        <v>924</v>
      </c>
      <c r="M37" s="3320">
        <v>1596</v>
      </c>
      <c r="N37" s="3320">
        <v>2520</v>
      </c>
      <c r="O37" s="3321">
        <v>929</v>
      </c>
      <c r="P37" s="3320">
        <v>1609</v>
      </c>
      <c r="Q37" s="3322">
        <v>2538</v>
      </c>
      <c r="R37" s="3323">
        <f>SUM(R31:R36)</f>
        <v>957</v>
      </c>
      <c r="S37" s="3323">
        <f>SUM(S31:S36)</f>
        <v>1618</v>
      </c>
      <c r="T37" s="3324">
        <f t="shared" si="2"/>
        <v>2575</v>
      </c>
      <c r="U37" s="3323">
        <f>SUM(U31:U36)</f>
        <v>970</v>
      </c>
      <c r="V37" s="3323">
        <f>SUM(V31:V36)</f>
        <v>1653</v>
      </c>
      <c r="W37" s="3324">
        <f t="shared" si="3"/>
        <v>2623</v>
      </c>
      <c r="X37" s="3323">
        <f>SUM(X31:X36)</f>
        <v>991</v>
      </c>
      <c r="Y37" s="3323">
        <f>SUM(Y31:Y36)</f>
        <v>1672</v>
      </c>
      <c r="Z37" s="3324">
        <f t="shared" si="4"/>
        <v>2663</v>
      </c>
      <c r="AA37" s="3323">
        <f>SUM(AA31:AA36)</f>
        <v>1011</v>
      </c>
      <c r="AB37" s="3323">
        <f>SUM(AB31:AB36)</f>
        <v>1694</v>
      </c>
      <c r="AC37" s="3324">
        <f t="shared" si="5"/>
        <v>2705</v>
      </c>
      <c r="AD37" s="3323">
        <f>SUM(AD31:AD36)</f>
        <v>1032</v>
      </c>
      <c r="AE37" s="3323">
        <f>SUM(AE31:AE36)</f>
        <v>1727</v>
      </c>
      <c r="AF37" s="3324">
        <f t="shared" si="6"/>
        <v>2759</v>
      </c>
      <c r="AG37" s="3323">
        <f>SUM(AG31:AG36)</f>
        <v>1021</v>
      </c>
      <c r="AH37" s="3323">
        <f>SUM(AH31:AH36)</f>
        <v>1722</v>
      </c>
      <c r="AI37" s="3324">
        <f t="shared" si="7"/>
        <v>2743</v>
      </c>
      <c r="AJ37" s="3323">
        <f>SUM(AJ31:AJ36)</f>
        <v>1022</v>
      </c>
      <c r="AK37" s="3323">
        <f>SUM(AK31:AK36)</f>
        <v>1710</v>
      </c>
      <c r="AL37" s="3324">
        <f t="shared" si="8"/>
        <v>2732</v>
      </c>
      <c r="AM37" s="3323">
        <f>SUM(AM31:AM36)</f>
        <v>1035</v>
      </c>
      <c r="AN37" s="3323">
        <f>SUM(AN31:AN36)</f>
        <v>1719</v>
      </c>
      <c r="AO37" s="3324">
        <f t="shared" si="9"/>
        <v>2754</v>
      </c>
      <c r="AP37" s="3323">
        <f>SUM(AP31:AP36)</f>
        <v>1051</v>
      </c>
      <c r="AQ37" s="3323">
        <f>SUM(AQ31:AQ36)</f>
        <v>1725</v>
      </c>
      <c r="AR37" s="3324">
        <f t="shared" si="10"/>
        <v>2776</v>
      </c>
      <c r="AS37" s="3323">
        <f>SUM(AS31:AS36)</f>
        <v>1027</v>
      </c>
      <c r="AT37" s="3323">
        <f>SUM(AT31:AT36)</f>
        <v>1716</v>
      </c>
      <c r="AU37" s="3324">
        <f t="shared" si="11"/>
        <v>2743</v>
      </c>
      <c r="AV37" s="3323">
        <f>SUM(AV31:AV36)</f>
        <v>1024</v>
      </c>
      <c r="AW37" s="3323">
        <f>SUM(AW31:AW36)</f>
        <v>1685</v>
      </c>
      <c r="AX37" s="3324">
        <f t="shared" si="12"/>
        <v>2709</v>
      </c>
      <c r="AY37" s="3323">
        <f>SUM(AY31:AY36)</f>
        <v>1009</v>
      </c>
      <c r="AZ37" s="3323">
        <f>SUM(AZ31:AZ36)</f>
        <v>1651</v>
      </c>
      <c r="BA37" s="3324">
        <f t="shared" si="13"/>
        <v>2660</v>
      </c>
      <c r="BB37" s="3323">
        <f>SUM(BB31:BB36)</f>
        <v>995</v>
      </c>
      <c r="BC37" s="3323">
        <f>SUM(BC31:BC36)</f>
        <v>1618</v>
      </c>
      <c r="BD37" s="3324">
        <f t="shared" si="14"/>
        <v>2613</v>
      </c>
    </row>
    <row r="39" spans="2:56" ht="41.4" x14ac:dyDescent="0.35">
      <c r="B39" s="3234" t="s">
        <v>777</v>
      </c>
      <c r="AF39" s="3325"/>
      <c r="AL39" s="3326"/>
    </row>
    <row r="40" spans="2:56" ht="18" x14ac:dyDescent="0.35">
      <c r="AU40" s="3236"/>
      <c r="AX40" s="3236"/>
      <c r="BA40" s="3236"/>
      <c r="BD40" s="3236" t="s">
        <v>770</v>
      </c>
    </row>
    <row r="41" spans="2:56" x14ac:dyDescent="0.3">
      <c r="B41" s="6160" t="s">
        <v>132</v>
      </c>
      <c r="C41" s="6157">
        <v>2005</v>
      </c>
      <c r="D41" s="6158"/>
      <c r="E41" s="6159"/>
      <c r="F41" s="6157">
        <v>2006</v>
      </c>
      <c r="G41" s="6158"/>
      <c r="H41" s="6159"/>
      <c r="I41" s="6157">
        <v>2007</v>
      </c>
      <c r="J41" s="6158"/>
      <c r="K41" s="6159"/>
      <c r="L41" s="6157">
        <v>2008</v>
      </c>
      <c r="M41" s="6158"/>
      <c r="N41" s="6159"/>
      <c r="O41" s="6157">
        <v>2009</v>
      </c>
      <c r="P41" s="6158"/>
      <c r="Q41" s="6159"/>
      <c r="R41" s="6157">
        <v>2010</v>
      </c>
      <c r="S41" s="6158"/>
      <c r="T41" s="6159"/>
      <c r="U41" s="6157">
        <v>2011</v>
      </c>
      <c r="V41" s="6158"/>
      <c r="W41" s="6159"/>
      <c r="X41" s="6157">
        <v>2012</v>
      </c>
      <c r="Y41" s="6158"/>
      <c r="Z41" s="6159"/>
      <c r="AA41" s="6157">
        <v>2013</v>
      </c>
      <c r="AB41" s="6158"/>
      <c r="AC41" s="6159"/>
      <c r="AD41" s="6157">
        <v>2014</v>
      </c>
      <c r="AE41" s="6158"/>
      <c r="AF41" s="6159"/>
      <c r="AG41" s="6157">
        <v>2015</v>
      </c>
      <c r="AH41" s="6158"/>
      <c r="AI41" s="6159"/>
      <c r="AJ41" s="6157">
        <v>2016</v>
      </c>
      <c r="AK41" s="6158"/>
      <c r="AL41" s="6159"/>
      <c r="AM41" s="6157">
        <v>2017</v>
      </c>
      <c r="AN41" s="6158"/>
      <c r="AO41" s="6159"/>
      <c r="AP41" s="6157">
        <v>2018</v>
      </c>
      <c r="AQ41" s="6158"/>
      <c r="AR41" s="6159"/>
      <c r="AS41" s="6157">
        <v>2019</v>
      </c>
      <c r="AT41" s="6158"/>
      <c r="AU41" s="6159"/>
      <c r="AV41" s="6157">
        <v>2020</v>
      </c>
      <c r="AW41" s="6158"/>
      <c r="AX41" s="6159"/>
      <c r="AY41" s="6157">
        <v>2021</v>
      </c>
      <c r="AZ41" s="6158"/>
      <c r="BA41" s="6159"/>
      <c r="BB41" s="6157">
        <v>2022</v>
      </c>
      <c r="BC41" s="6158"/>
      <c r="BD41" s="6159"/>
    </row>
    <row r="42" spans="2:56" x14ac:dyDescent="0.3">
      <c r="B42" s="5728"/>
      <c r="C42" s="3237" t="s">
        <v>140</v>
      </c>
      <c r="D42" s="3237" t="s">
        <v>141</v>
      </c>
      <c r="E42" s="3238" t="s">
        <v>279</v>
      </c>
      <c r="F42" s="3237" t="s">
        <v>140</v>
      </c>
      <c r="G42" s="3237" t="s">
        <v>141</v>
      </c>
      <c r="H42" s="3238" t="s">
        <v>279</v>
      </c>
      <c r="I42" s="3237" t="s">
        <v>140</v>
      </c>
      <c r="J42" s="3237" t="s">
        <v>141</v>
      </c>
      <c r="K42" s="3238" t="s">
        <v>279</v>
      </c>
      <c r="L42" s="3237" t="s">
        <v>140</v>
      </c>
      <c r="M42" s="3237" t="s">
        <v>141</v>
      </c>
      <c r="N42" s="3238" t="s">
        <v>279</v>
      </c>
      <c r="O42" s="3237" t="s">
        <v>140</v>
      </c>
      <c r="P42" s="3237" t="s">
        <v>141</v>
      </c>
      <c r="Q42" s="3238" t="s">
        <v>279</v>
      </c>
      <c r="R42" s="3237" t="s">
        <v>140</v>
      </c>
      <c r="S42" s="3237" t="s">
        <v>141</v>
      </c>
      <c r="T42" s="3238" t="s">
        <v>279</v>
      </c>
      <c r="U42" s="3237" t="s">
        <v>140</v>
      </c>
      <c r="V42" s="3237" t="s">
        <v>141</v>
      </c>
      <c r="W42" s="3238" t="s">
        <v>279</v>
      </c>
      <c r="X42" s="3237" t="s">
        <v>140</v>
      </c>
      <c r="Y42" s="3237" t="s">
        <v>141</v>
      </c>
      <c r="Z42" s="3238" t="s">
        <v>279</v>
      </c>
      <c r="AA42" s="3237" t="s">
        <v>140</v>
      </c>
      <c r="AB42" s="3237" t="s">
        <v>141</v>
      </c>
      <c r="AC42" s="3238" t="s">
        <v>279</v>
      </c>
      <c r="AD42" s="3237" t="s">
        <v>140</v>
      </c>
      <c r="AE42" s="3237" t="s">
        <v>141</v>
      </c>
      <c r="AF42" s="3238" t="s">
        <v>279</v>
      </c>
      <c r="AG42" s="3237" t="s">
        <v>140</v>
      </c>
      <c r="AH42" s="3237" t="s">
        <v>141</v>
      </c>
      <c r="AI42" s="3238" t="s">
        <v>279</v>
      </c>
      <c r="AJ42" s="3237" t="s">
        <v>140</v>
      </c>
      <c r="AK42" s="3237" t="s">
        <v>141</v>
      </c>
      <c r="AL42" s="3238" t="s">
        <v>279</v>
      </c>
      <c r="AM42" s="3237" t="s">
        <v>140</v>
      </c>
      <c r="AN42" s="3237" t="s">
        <v>141</v>
      </c>
      <c r="AO42" s="3238" t="s">
        <v>279</v>
      </c>
      <c r="AP42" s="3237" t="s">
        <v>140</v>
      </c>
      <c r="AQ42" s="3237" t="s">
        <v>141</v>
      </c>
      <c r="AR42" s="3238" t="s">
        <v>279</v>
      </c>
      <c r="AS42" s="3237" t="s">
        <v>140</v>
      </c>
      <c r="AT42" s="3237" t="s">
        <v>141</v>
      </c>
      <c r="AU42" s="3238" t="s">
        <v>279</v>
      </c>
      <c r="AV42" s="3237" t="s">
        <v>140</v>
      </c>
      <c r="AW42" s="3237" t="s">
        <v>141</v>
      </c>
      <c r="AX42" s="3238" t="s">
        <v>279</v>
      </c>
      <c r="AY42" s="3237" t="s">
        <v>140</v>
      </c>
      <c r="AZ42" s="3237" t="s">
        <v>141</v>
      </c>
      <c r="BA42" s="3238" t="s">
        <v>279</v>
      </c>
      <c r="BB42" s="3237" t="s">
        <v>140</v>
      </c>
      <c r="BC42" s="3237" t="s">
        <v>141</v>
      </c>
      <c r="BD42" s="3238" t="s">
        <v>279</v>
      </c>
    </row>
    <row r="43" spans="2:56" x14ac:dyDescent="0.3">
      <c r="B43" s="3239"/>
    </row>
    <row r="44" spans="2:56" x14ac:dyDescent="0.3">
      <c r="B44" s="3240" t="s">
        <v>59</v>
      </c>
      <c r="C44" s="3327">
        <v>5</v>
      </c>
      <c r="D44" s="3328">
        <v>26</v>
      </c>
      <c r="E44" s="3328">
        <f>SUM(C44:D44)</f>
        <v>31</v>
      </c>
      <c r="F44" s="3327">
        <v>5</v>
      </c>
      <c r="G44" s="3328">
        <v>29</v>
      </c>
      <c r="H44" s="3329">
        <f>SUM(F44:G44)</f>
        <v>34</v>
      </c>
      <c r="I44" s="3328">
        <v>5</v>
      </c>
      <c r="J44" s="3328">
        <v>28</v>
      </c>
      <c r="K44" s="3328">
        <f>SUM(I44:J44)</f>
        <v>33</v>
      </c>
      <c r="L44" s="3330">
        <v>7</v>
      </c>
      <c r="M44" s="3247">
        <v>23</v>
      </c>
      <c r="N44" s="3248">
        <f t="shared" ref="N44:N67" si="15">SUM(L44:M44)</f>
        <v>30</v>
      </c>
      <c r="O44" s="3247">
        <v>5</v>
      </c>
      <c r="P44" s="3247">
        <v>23</v>
      </c>
      <c r="Q44" s="3248">
        <f t="shared" ref="Q44:Q67" si="16">SUM(O44:P44)</f>
        <v>28</v>
      </c>
      <c r="R44" s="3247">
        <v>5</v>
      </c>
      <c r="S44" s="3247">
        <v>23</v>
      </c>
      <c r="T44" s="3248">
        <f t="shared" ref="T44:T67" si="17">SUM(R44:S44)</f>
        <v>28</v>
      </c>
      <c r="U44" s="3247">
        <v>4</v>
      </c>
      <c r="V44" s="3247">
        <v>20</v>
      </c>
      <c r="W44" s="3248">
        <f t="shared" ref="W44:W67" si="18">SUM(U44:V44)</f>
        <v>24</v>
      </c>
      <c r="X44" s="3247">
        <v>3</v>
      </c>
      <c r="Y44" s="3247">
        <v>19</v>
      </c>
      <c r="Z44" s="3248">
        <f>SUM(X44:Y44)</f>
        <v>22</v>
      </c>
      <c r="AA44" s="3247">
        <v>3</v>
      </c>
      <c r="AB44" s="3247">
        <v>18</v>
      </c>
      <c r="AC44" s="3248">
        <f>SUM(AA44:AB44)</f>
        <v>21</v>
      </c>
      <c r="AD44" s="3247">
        <v>4</v>
      </c>
      <c r="AE44" s="3247">
        <v>17</v>
      </c>
      <c r="AF44" s="3248">
        <f>SUM(AD44:AE44)</f>
        <v>21</v>
      </c>
      <c r="AG44" s="3247">
        <v>4</v>
      </c>
      <c r="AH44" s="3247">
        <v>14</v>
      </c>
      <c r="AI44" s="3248">
        <f>SUM(AG44:AH44)</f>
        <v>18</v>
      </c>
      <c r="AJ44" s="3247">
        <v>4</v>
      </c>
      <c r="AK44" s="3247">
        <v>12</v>
      </c>
      <c r="AL44" s="3248">
        <f>SUM(AJ44:AK44)</f>
        <v>16</v>
      </c>
      <c r="AM44" s="3247">
        <v>2</v>
      </c>
      <c r="AN44" s="3247">
        <v>11</v>
      </c>
      <c r="AO44" s="3248">
        <f>SUM(AM44:AN44)</f>
        <v>13</v>
      </c>
      <c r="AP44" s="3247">
        <v>2</v>
      </c>
      <c r="AQ44" s="3247">
        <v>11</v>
      </c>
      <c r="AR44" s="3248">
        <f>SUM(AP44:AQ44)</f>
        <v>13</v>
      </c>
      <c r="AS44" s="3247">
        <v>2</v>
      </c>
      <c r="AT44" s="3247">
        <v>11</v>
      </c>
      <c r="AU44" s="3248">
        <f>SUM(AS44:AT44)</f>
        <v>13</v>
      </c>
      <c r="AV44" s="3247">
        <v>4</v>
      </c>
      <c r="AW44" s="3247">
        <v>11</v>
      </c>
      <c r="AX44" s="3248">
        <f>SUM(AV44:AW44)</f>
        <v>15</v>
      </c>
      <c r="AY44" s="3247">
        <v>4</v>
      </c>
      <c r="AZ44" s="3247">
        <v>11</v>
      </c>
      <c r="BA44" s="3248">
        <f>SUM(AY44:AZ44)</f>
        <v>15</v>
      </c>
      <c r="BB44" s="3247">
        <v>4</v>
      </c>
      <c r="BC44" s="3247">
        <v>9</v>
      </c>
      <c r="BD44" s="3248">
        <f>SUM(BB44:BC44)</f>
        <v>13</v>
      </c>
    </row>
    <row r="45" spans="2:56" x14ac:dyDescent="0.3">
      <c r="B45" s="3249" t="s">
        <v>64</v>
      </c>
      <c r="C45" s="3331">
        <v>6</v>
      </c>
      <c r="D45" s="3332">
        <v>34</v>
      </c>
      <c r="E45" s="3332">
        <f>SUM(C45:D45)</f>
        <v>40</v>
      </c>
      <c r="F45" s="3331">
        <v>9</v>
      </c>
      <c r="G45" s="3332">
        <v>37</v>
      </c>
      <c r="H45" s="3333">
        <f>SUM(F45:G45)</f>
        <v>46</v>
      </c>
      <c r="I45" s="3332">
        <v>9</v>
      </c>
      <c r="J45" s="3332">
        <v>37</v>
      </c>
      <c r="K45" s="3332">
        <f>SUM(I45:J45)</f>
        <v>46</v>
      </c>
      <c r="L45" s="3334">
        <v>11</v>
      </c>
      <c r="M45" s="3256">
        <v>35</v>
      </c>
      <c r="N45" s="3257">
        <f t="shared" si="15"/>
        <v>46</v>
      </c>
      <c r="O45" s="3256">
        <v>11</v>
      </c>
      <c r="P45" s="3256">
        <v>34</v>
      </c>
      <c r="Q45" s="3257">
        <f t="shared" si="16"/>
        <v>45</v>
      </c>
      <c r="R45" s="3256">
        <v>11</v>
      </c>
      <c r="S45" s="3256">
        <v>33</v>
      </c>
      <c r="T45" s="3257">
        <f t="shared" si="17"/>
        <v>44</v>
      </c>
      <c r="U45" s="3256">
        <v>10</v>
      </c>
      <c r="V45" s="3256">
        <v>32</v>
      </c>
      <c r="W45" s="3257">
        <f t="shared" si="18"/>
        <v>42</v>
      </c>
      <c r="X45" s="3256">
        <v>8</v>
      </c>
      <c r="Y45" s="3256">
        <v>31</v>
      </c>
      <c r="Z45" s="3257">
        <f>SUM(X45:Y45)</f>
        <v>39</v>
      </c>
      <c r="AA45" s="3256">
        <v>7</v>
      </c>
      <c r="AB45" s="3256">
        <v>30</v>
      </c>
      <c r="AC45" s="3257">
        <f>SUM(AA45:AB45)</f>
        <v>37</v>
      </c>
      <c r="AD45" s="3256">
        <v>7</v>
      </c>
      <c r="AE45" s="3256">
        <v>30</v>
      </c>
      <c r="AF45" s="3257">
        <f>SUM(AD45:AE45)</f>
        <v>37</v>
      </c>
      <c r="AG45" s="3256">
        <v>6</v>
      </c>
      <c r="AH45" s="3256">
        <v>27</v>
      </c>
      <c r="AI45" s="3257">
        <f>SUM(AG45:AH45)</f>
        <v>33</v>
      </c>
      <c r="AJ45" s="3256">
        <v>6</v>
      </c>
      <c r="AK45" s="3256">
        <v>26</v>
      </c>
      <c r="AL45" s="3257">
        <f>SUM(AJ45:AK45)</f>
        <v>32</v>
      </c>
      <c r="AM45" s="3256">
        <v>3</v>
      </c>
      <c r="AN45" s="3256">
        <v>26</v>
      </c>
      <c r="AO45" s="3257">
        <f>SUM(AM45:AN45)</f>
        <v>29</v>
      </c>
      <c r="AP45" s="3256">
        <v>3</v>
      </c>
      <c r="AQ45" s="3256">
        <v>24</v>
      </c>
      <c r="AR45" s="3257">
        <f>SUM(AP45:AQ45)</f>
        <v>27</v>
      </c>
      <c r="AS45" s="3256">
        <v>3</v>
      </c>
      <c r="AT45" s="3256">
        <v>22</v>
      </c>
      <c r="AU45" s="3257">
        <f>SUM(AS45:AT45)</f>
        <v>25</v>
      </c>
      <c r="AV45" s="3256">
        <v>3</v>
      </c>
      <c r="AW45" s="3256">
        <v>20</v>
      </c>
      <c r="AX45" s="3257">
        <f>SUM(AV45:AW45)</f>
        <v>23</v>
      </c>
      <c r="AY45" s="3256">
        <v>3</v>
      </c>
      <c r="AZ45" s="3256">
        <v>20</v>
      </c>
      <c r="BA45" s="3257">
        <f>SUM(AY45:AZ45)</f>
        <v>23</v>
      </c>
      <c r="BB45" s="3256">
        <v>3</v>
      </c>
      <c r="BC45" s="3256">
        <v>18</v>
      </c>
      <c r="BD45" s="3257">
        <f>SUM(BB45:BC45)</f>
        <v>21</v>
      </c>
    </row>
    <row r="46" spans="2:56" x14ac:dyDescent="0.3">
      <c r="B46" s="3249" t="s">
        <v>68</v>
      </c>
      <c r="C46" s="3331">
        <v>15</v>
      </c>
      <c r="D46" s="3332">
        <v>20</v>
      </c>
      <c r="E46" s="3332">
        <f>SUM(C46:D46)</f>
        <v>35</v>
      </c>
      <c r="F46" s="3331">
        <v>13</v>
      </c>
      <c r="G46" s="3332">
        <v>19</v>
      </c>
      <c r="H46" s="3333">
        <f>SUM(F46:G46)</f>
        <v>32</v>
      </c>
      <c r="I46" s="3332">
        <v>14</v>
      </c>
      <c r="J46" s="3332">
        <v>18</v>
      </c>
      <c r="K46" s="3332">
        <f>SUM(I46:J46)</f>
        <v>32</v>
      </c>
      <c r="L46" s="3334">
        <v>15</v>
      </c>
      <c r="M46" s="3256">
        <v>16</v>
      </c>
      <c r="N46" s="3257">
        <f t="shared" si="15"/>
        <v>31</v>
      </c>
      <c r="O46" s="3256">
        <v>15</v>
      </c>
      <c r="P46" s="3256">
        <v>15</v>
      </c>
      <c r="Q46" s="3257">
        <f t="shared" si="16"/>
        <v>30</v>
      </c>
      <c r="R46" s="3256">
        <v>15</v>
      </c>
      <c r="S46" s="3256">
        <v>14</v>
      </c>
      <c r="T46" s="3257">
        <f t="shared" si="17"/>
        <v>29</v>
      </c>
      <c r="U46" s="3256">
        <v>16</v>
      </c>
      <c r="V46" s="3256">
        <v>13</v>
      </c>
      <c r="W46" s="3257">
        <f t="shared" si="18"/>
        <v>29</v>
      </c>
      <c r="X46" s="3256">
        <v>11</v>
      </c>
      <c r="Y46" s="3256">
        <v>13</v>
      </c>
      <c r="Z46" s="3257">
        <f>SUM(X46:Y46)</f>
        <v>24</v>
      </c>
      <c r="AA46" s="3256">
        <v>9</v>
      </c>
      <c r="AB46" s="3256">
        <v>12</v>
      </c>
      <c r="AC46" s="3257">
        <f>SUM(AA46:AB46)</f>
        <v>21</v>
      </c>
      <c r="AD46" s="3256">
        <v>10</v>
      </c>
      <c r="AE46" s="3256">
        <v>12</v>
      </c>
      <c r="AF46" s="3257">
        <f>SUM(AD46:AE46)</f>
        <v>22</v>
      </c>
      <c r="AG46" s="3256">
        <v>11</v>
      </c>
      <c r="AH46" s="3256">
        <v>12</v>
      </c>
      <c r="AI46" s="3257">
        <f>SUM(AG46:AH46)</f>
        <v>23</v>
      </c>
      <c r="AJ46" s="3256">
        <v>10</v>
      </c>
      <c r="AK46" s="3256">
        <v>10</v>
      </c>
      <c r="AL46" s="3257">
        <f>SUM(AJ46:AK46)</f>
        <v>20</v>
      </c>
      <c r="AM46" s="3256">
        <v>11</v>
      </c>
      <c r="AN46" s="3256">
        <v>10</v>
      </c>
      <c r="AO46" s="3257">
        <f>SUM(AM46:AN46)</f>
        <v>21</v>
      </c>
      <c r="AP46" s="3256">
        <v>11</v>
      </c>
      <c r="AQ46" s="3256">
        <v>10</v>
      </c>
      <c r="AR46" s="3257">
        <f>SUM(AP46:AQ46)</f>
        <v>21</v>
      </c>
      <c r="AS46" s="3256">
        <v>11</v>
      </c>
      <c r="AT46" s="3256">
        <v>9</v>
      </c>
      <c r="AU46" s="3257">
        <f>SUM(AS46:AT46)</f>
        <v>20</v>
      </c>
      <c r="AV46" s="3256">
        <v>11</v>
      </c>
      <c r="AW46" s="3256">
        <v>8</v>
      </c>
      <c r="AX46" s="3257">
        <f>SUM(AV46:AW46)</f>
        <v>19</v>
      </c>
      <c r="AY46" s="3256">
        <v>11</v>
      </c>
      <c r="AZ46" s="3256">
        <v>7</v>
      </c>
      <c r="BA46" s="3257">
        <f>SUM(AY46:AZ46)</f>
        <v>18</v>
      </c>
      <c r="BB46" s="3256">
        <v>11</v>
      </c>
      <c r="BC46" s="3256">
        <v>8</v>
      </c>
      <c r="BD46" s="3257">
        <f>SUM(BB46:BC46)</f>
        <v>19</v>
      </c>
    </row>
    <row r="47" spans="2:56" x14ac:dyDescent="0.3">
      <c r="B47" s="3258" t="s">
        <v>138</v>
      </c>
      <c r="C47" s="3335">
        <f t="shared" ref="C47:M47" si="19">SUM(C44:C46)</f>
        <v>26</v>
      </c>
      <c r="D47" s="3336">
        <f t="shared" si="19"/>
        <v>80</v>
      </c>
      <c r="E47" s="3336">
        <f t="shared" si="19"/>
        <v>106</v>
      </c>
      <c r="F47" s="3335">
        <f t="shared" si="19"/>
        <v>27</v>
      </c>
      <c r="G47" s="3336">
        <f t="shared" si="19"/>
        <v>85</v>
      </c>
      <c r="H47" s="3337">
        <f t="shared" si="19"/>
        <v>112</v>
      </c>
      <c r="I47" s="3336">
        <f t="shared" si="19"/>
        <v>28</v>
      </c>
      <c r="J47" s="3336">
        <f t="shared" si="19"/>
        <v>83</v>
      </c>
      <c r="K47" s="3336">
        <f t="shared" si="19"/>
        <v>111</v>
      </c>
      <c r="L47" s="3338">
        <f t="shared" si="19"/>
        <v>33</v>
      </c>
      <c r="M47" s="3265">
        <f t="shared" si="19"/>
        <v>74</v>
      </c>
      <c r="N47" s="3266">
        <f t="shared" si="15"/>
        <v>107</v>
      </c>
      <c r="O47" s="3265">
        <f>SUM(O44:O46)</f>
        <v>31</v>
      </c>
      <c r="P47" s="3265">
        <f>SUM(P44:P46)</f>
        <v>72</v>
      </c>
      <c r="Q47" s="3266">
        <f t="shared" si="16"/>
        <v>103</v>
      </c>
      <c r="R47" s="3265">
        <f>SUM(R44:R46)</f>
        <v>31</v>
      </c>
      <c r="S47" s="3265">
        <f>SUM(S44:S46)</f>
        <v>70</v>
      </c>
      <c r="T47" s="3266">
        <f t="shared" si="17"/>
        <v>101</v>
      </c>
      <c r="U47" s="3265">
        <f>SUM(U44:U46)</f>
        <v>30</v>
      </c>
      <c r="V47" s="3265">
        <f>SUM(V44:V46)</f>
        <v>65</v>
      </c>
      <c r="W47" s="3266">
        <f t="shared" si="18"/>
        <v>95</v>
      </c>
      <c r="X47" s="3265">
        <f>SUM(X44:X46)</f>
        <v>22</v>
      </c>
      <c r="Y47" s="3265">
        <f>SUM(Y44:Y46)</f>
        <v>63</v>
      </c>
      <c r="Z47" s="3266">
        <f>SUM(X47:Y47)</f>
        <v>85</v>
      </c>
      <c r="AA47" s="3265">
        <f>SUM(AA44:AA46)</f>
        <v>19</v>
      </c>
      <c r="AB47" s="3265">
        <f>SUM(AB44:AB46)</f>
        <v>60</v>
      </c>
      <c r="AC47" s="3266">
        <f>SUM(AA47:AB47)</f>
        <v>79</v>
      </c>
      <c r="AD47" s="3265">
        <f>SUM(AD44:AD46)</f>
        <v>21</v>
      </c>
      <c r="AE47" s="3265">
        <f>SUM(AE44:AE46)</f>
        <v>59</v>
      </c>
      <c r="AF47" s="3266">
        <f>SUM(AD47:AE47)</f>
        <v>80</v>
      </c>
      <c r="AG47" s="3265">
        <f>SUM(AG44:AG46)</f>
        <v>21</v>
      </c>
      <c r="AH47" s="3265">
        <f>SUM(AH44:AH46)</f>
        <v>53</v>
      </c>
      <c r="AI47" s="3266">
        <f>SUM(AG47:AH47)</f>
        <v>74</v>
      </c>
      <c r="AJ47" s="3265">
        <f>SUM(AJ44:AJ46)</f>
        <v>20</v>
      </c>
      <c r="AK47" s="3265">
        <f>SUM(AK44:AK46)</f>
        <v>48</v>
      </c>
      <c r="AL47" s="3266">
        <f>SUM(AJ47:AK47)</f>
        <v>68</v>
      </c>
      <c r="AM47" s="3265">
        <f>SUM(AM44:AM46)</f>
        <v>16</v>
      </c>
      <c r="AN47" s="3265">
        <f>SUM(AN44:AN46)</f>
        <v>47</v>
      </c>
      <c r="AO47" s="3266">
        <f>SUM(AM47:AN47)</f>
        <v>63</v>
      </c>
      <c r="AP47" s="3265">
        <f>SUM(AP44:AP46)</f>
        <v>16</v>
      </c>
      <c r="AQ47" s="3265">
        <f>SUM(AQ44:AQ46)</f>
        <v>45</v>
      </c>
      <c r="AR47" s="3266">
        <f>SUM(AP47:AQ47)</f>
        <v>61</v>
      </c>
      <c r="AS47" s="3265">
        <f>SUM(AS44:AS46)</f>
        <v>16</v>
      </c>
      <c r="AT47" s="3265">
        <f>SUM(AT44:AT46)</f>
        <v>42</v>
      </c>
      <c r="AU47" s="3266">
        <f>SUM(AS47:AT47)</f>
        <v>58</v>
      </c>
      <c r="AV47" s="3265">
        <f>SUM(AV44:AV46)</f>
        <v>18</v>
      </c>
      <c r="AW47" s="3265">
        <f>SUM(AW44:AW46)</f>
        <v>39</v>
      </c>
      <c r="AX47" s="3266">
        <f>SUM(AV47:AW47)</f>
        <v>57</v>
      </c>
      <c r="AY47" s="3265">
        <f>SUM(AY44:AY46)</f>
        <v>18</v>
      </c>
      <c r="AZ47" s="3265">
        <f>SUM(AZ44:AZ46)</f>
        <v>38</v>
      </c>
      <c r="BA47" s="3266">
        <f>SUM(AY47:AZ47)</f>
        <v>56</v>
      </c>
      <c r="BB47" s="3265">
        <f>SUM(BB44:BB46)</f>
        <v>18</v>
      </c>
      <c r="BC47" s="3265">
        <f>SUM(BC44:BC46)</f>
        <v>35</v>
      </c>
      <c r="BD47" s="3266">
        <f>SUM(BB47:BC47)</f>
        <v>53</v>
      </c>
    </row>
    <row r="48" spans="2:56" x14ac:dyDescent="0.3">
      <c r="C48" s="3267"/>
      <c r="D48" s="3267"/>
      <c r="E48" s="3267"/>
      <c r="F48" s="3267"/>
      <c r="G48" s="3267"/>
      <c r="H48" s="3267"/>
      <c r="I48" s="3267"/>
      <c r="J48" s="3267"/>
      <c r="K48" s="3267"/>
      <c r="L48" s="3267"/>
      <c r="M48" s="3267"/>
      <c r="N48" s="3267"/>
      <c r="O48" s="3267"/>
      <c r="P48" s="3267"/>
      <c r="Q48" s="3267"/>
      <c r="R48" s="3267"/>
      <c r="S48" s="3267"/>
      <c r="T48" s="3267"/>
      <c r="U48" s="3267"/>
      <c r="V48" s="3267"/>
      <c r="W48" s="3267"/>
      <c r="X48" s="3267"/>
      <c r="Y48" s="3267"/>
      <c r="Z48" s="3267"/>
      <c r="AA48" s="3267"/>
      <c r="AB48" s="3267"/>
      <c r="AC48" s="3267"/>
      <c r="AD48" s="3267"/>
      <c r="AE48" s="3267"/>
      <c r="AF48" s="3267"/>
      <c r="AG48" s="3267"/>
      <c r="AH48" s="3267"/>
      <c r="AI48" s="3267"/>
      <c r="AJ48" s="3267"/>
      <c r="AK48" s="3267"/>
      <c r="AL48" s="3267"/>
      <c r="AM48" s="3267"/>
      <c r="AN48" s="3267"/>
      <c r="AO48" s="3267"/>
      <c r="AP48" s="3267"/>
      <c r="AQ48" s="3267"/>
      <c r="AR48" s="3267"/>
      <c r="AS48" s="3267"/>
      <c r="AT48" s="3267"/>
      <c r="AU48" s="3267"/>
      <c r="AV48" s="3267"/>
      <c r="AW48" s="3267"/>
      <c r="AX48" s="3267"/>
      <c r="AY48" s="3267"/>
      <c r="AZ48" s="3267"/>
      <c r="BA48" s="3267"/>
      <c r="BB48" s="3267"/>
      <c r="BC48" s="3267"/>
      <c r="BD48" s="3267"/>
    </row>
    <row r="49" spans="2:56" x14ac:dyDescent="0.3">
      <c r="B49" s="3240" t="s">
        <v>64</v>
      </c>
      <c r="C49" s="3327"/>
      <c r="D49" s="3328"/>
      <c r="E49" s="3328"/>
      <c r="F49" s="3327"/>
      <c r="G49" s="3328"/>
      <c r="H49" s="3329"/>
      <c r="I49" s="3328">
        <v>1</v>
      </c>
      <c r="J49" s="3328"/>
      <c r="K49" s="3328">
        <f>SUM(I49:J49)</f>
        <v>1</v>
      </c>
      <c r="L49" s="3330">
        <v>1</v>
      </c>
      <c r="M49" s="3247">
        <v>1</v>
      </c>
      <c r="N49" s="3248">
        <f>SUM(L49:M49)</f>
        <v>2</v>
      </c>
      <c r="O49" s="3247">
        <v>2</v>
      </c>
      <c r="P49" s="3247">
        <v>1</v>
      </c>
      <c r="Q49" s="3248">
        <f>SUM(O49:P49)</f>
        <v>3</v>
      </c>
      <c r="R49" s="3247">
        <v>2</v>
      </c>
      <c r="S49" s="3247">
        <v>1</v>
      </c>
      <c r="T49" s="3248">
        <f>SUM(R49:S49)</f>
        <v>3</v>
      </c>
      <c r="U49" s="3247">
        <v>2</v>
      </c>
      <c r="V49" s="3247">
        <v>1</v>
      </c>
      <c r="W49" s="3248">
        <f>SUM(U49:V49)</f>
        <v>3</v>
      </c>
      <c r="X49" s="3247">
        <v>1</v>
      </c>
      <c r="Y49" s="3247">
        <v>1</v>
      </c>
      <c r="Z49" s="3248">
        <f>SUM(X49:Y49)</f>
        <v>2</v>
      </c>
      <c r="AA49" s="3247">
        <v>1</v>
      </c>
      <c r="AB49" s="3247">
        <v>1</v>
      </c>
      <c r="AC49" s="3248">
        <f>SUM(AA49:AB49)</f>
        <v>2</v>
      </c>
      <c r="AD49" s="3247">
        <v>1</v>
      </c>
      <c r="AE49" s="3247">
        <v>1</v>
      </c>
      <c r="AF49" s="3248">
        <f>SUM(AD49:AE49)</f>
        <v>2</v>
      </c>
      <c r="AG49" s="3247">
        <v>1</v>
      </c>
      <c r="AH49" s="3247"/>
      <c r="AI49" s="3248">
        <f>SUM(AG49:AH49)</f>
        <v>1</v>
      </c>
      <c r="AJ49" s="3247">
        <v>2</v>
      </c>
      <c r="AK49" s="3247">
        <v>2</v>
      </c>
      <c r="AL49" s="3248">
        <f>SUM(AJ49:AK49)</f>
        <v>4</v>
      </c>
      <c r="AM49" s="3247"/>
      <c r="AN49" s="3247">
        <v>2</v>
      </c>
      <c r="AO49" s="3248">
        <f>SUM(AM49:AN49)</f>
        <v>2</v>
      </c>
      <c r="AP49" s="3247"/>
      <c r="AQ49" s="3247">
        <v>2</v>
      </c>
      <c r="AR49" s="3248">
        <f>SUM(AP49:AQ49)</f>
        <v>2</v>
      </c>
      <c r="AS49" s="3247"/>
      <c r="AT49" s="3247">
        <v>1</v>
      </c>
      <c r="AU49" s="3248">
        <f>SUM(AS49:AT49)</f>
        <v>1</v>
      </c>
      <c r="AV49" s="3247"/>
      <c r="AW49" s="3247">
        <v>1</v>
      </c>
      <c r="AX49" s="3248">
        <f>SUM(AV49:AW49)</f>
        <v>1</v>
      </c>
      <c r="AY49" s="3328"/>
      <c r="AZ49" s="3328">
        <v>1</v>
      </c>
      <c r="BA49" s="3248">
        <f>SUM(AY49:AZ49)</f>
        <v>1</v>
      </c>
      <c r="BB49" s="5096">
        <v>0</v>
      </c>
      <c r="BC49" s="5096">
        <v>0</v>
      </c>
      <c r="BD49" s="5107">
        <f>SUM(BB49:BC49)</f>
        <v>0</v>
      </c>
    </row>
    <row r="50" spans="2:56" x14ac:dyDescent="0.3">
      <c r="B50" s="3249" t="s">
        <v>111</v>
      </c>
      <c r="C50" s="3331"/>
      <c r="D50" s="3332"/>
      <c r="E50" s="3332"/>
      <c r="F50" s="3331"/>
      <c r="G50" s="3332"/>
      <c r="H50" s="3333"/>
      <c r="I50" s="3332"/>
      <c r="J50" s="3332"/>
      <c r="K50" s="3332">
        <f>SUM(I50:J50)</f>
        <v>0</v>
      </c>
      <c r="L50" s="3334"/>
      <c r="M50" s="3256"/>
      <c r="N50" s="3257">
        <f>SUM(L50:M50)</f>
        <v>0</v>
      </c>
      <c r="O50" s="3256"/>
      <c r="P50" s="3256"/>
      <c r="Q50" s="3257">
        <f>SUM(O50:P50)</f>
        <v>0</v>
      </c>
      <c r="R50" s="3256"/>
      <c r="S50" s="3256"/>
      <c r="T50" s="3257">
        <f>SUM(R50:S50)</f>
        <v>0</v>
      </c>
      <c r="U50" s="3256"/>
      <c r="V50" s="3256"/>
      <c r="W50" s="3257">
        <f>SUM(U50:V50)</f>
        <v>0</v>
      </c>
      <c r="X50" s="3256"/>
      <c r="Y50" s="3256"/>
      <c r="Z50" s="3257">
        <f>SUM(X50:Y50)</f>
        <v>0</v>
      </c>
      <c r="AA50" s="3256"/>
      <c r="AB50" s="3256"/>
      <c r="AC50" s="3257">
        <f>SUM(AA50:AB50)</f>
        <v>0</v>
      </c>
      <c r="AD50" s="3256"/>
      <c r="AE50" s="3256"/>
      <c r="AF50" s="3257">
        <f>SUM(AD50:AE50)</f>
        <v>0</v>
      </c>
      <c r="AG50" s="3256"/>
      <c r="AH50" s="3256"/>
      <c r="AI50" s="3257">
        <f>SUM(AG50:AH50)</f>
        <v>0</v>
      </c>
      <c r="AJ50" s="3256"/>
      <c r="AK50" s="3256"/>
      <c r="AL50" s="3257">
        <f>SUM(AJ50:AK50)</f>
        <v>0</v>
      </c>
      <c r="AM50" s="3256"/>
      <c r="AN50" s="3256"/>
      <c r="AO50" s="3257">
        <f>SUM(AM50:AN50)</f>
        <v>0</v>
      </c>
      <c r="AP50" s="3256"/>
      <c r="AQ50" s="3256"/>
      <c r="AR50" s="3257">
        <f>SUM(AP50:AQ50)</f>
        <v>0</v>
      </c>
      <c r="AS50" s="3256"/>
      <c r="AT50" s="3256"/>
      <c r="AU50" s="3257">
        <f>SUM(AS50:AT50)</f>
        <v>0</v>
      </c>
      <c r="AV50" s="3256"/>
      <c r="AW50" s="3256"/>
      <c r="AX50" s="3257">
        <f>SUM(AV50:AW50)</f>
        <v>0</v>
      </c>
      <c r="AY50" s="3332"/>
      <c r="AZ50" s="3332"/>
      <c r="BA50" s="3257">
        <f>SUM(AY50:AZ50)</f>
        <v>0</v>
      </c>
      <c r="BB50" s="5097">
        <v>0</v>
      </c>
      <c r="BC50" s="5097">
        <v>0</v>
      </c>
      <c r="BD50" s="5108">
        <f>SUM(BB50:BC50)</f>
        <v>0</v>
      </c>
    </row>
    <row r="51" spans="2:56" x14ac:dyDescent="0.3">
      <c r="B51" s="3249" t="s">
        <v>115</v>
      </c>
      <c r="C51" s="3331"/>
      <c r="D51" s="3332"/>
      <c r="E51" s="3332"/>
      <c r="F51" s="3331"/>
      <c r="G51" s="3332"/>
      <c r="H51" s="3333"/>
      <c r="I51" s="3332"/>
      <c r="J51" s="3332"/>
      <c r="K51" s="3332">
        <f>SUM(I51:J51)</f>
        <v>0</v>
      </c>
      <c r="L51" s="3334"/>
      <c r="M51" s="3256"/>
      <c r="N51" s="3257">
        <f>SUM(L51:M51)</f>
        <v>0</v>
      </c>
      <c r="O51" s="3256"/>
      <c r="P51" s="3256"/>
      <c r="Q51" s="3257">
        <f>SUM(O51:P51)</f>
        <v>0</v>
      </c>
      <c r="R51" s="3256"/>
      <c r="S51" s="3256"/>
      <c r="T51" s="3257">
        <f>SUM(R51:S51)</f>
        <v>0</v>
      </c>
      <c r="U51" s="3256"/>
      <c r="V51" s="3256"/>
      <c r="W51" s="3257">
        <f>SUM(U51:V51)</f>
        <v>0</v>
      </c>
      <c r="X51" s="3256"/>
      <c r="Y51" s="3256"/>
      <c r="Z51" s="3257">
        <f>SUM(X51:Y51)</f>
        <v>0</v>
      </c>
      <c r="AA51" s="3256">
        <v>1</v>
      </c>
      <c r="AB51" s="3256"/>
      <c r="AC51" s="3257">
        <f>SUM(AA51:AB51)</f>
        <v>1</v>
      </c>
      <c r="AD51" s="3256">
        <v>1</v>
      </c>
      <c r="AE51" s="3256"/>
      <c r="AF51" s="3257">
        <f>SUM(AD51:AE51)</f>
        <v>1</v>
      </c>
      <c r="AG51" s="3256">
        <v>1</v>
      </c>
      <c r="AH51" s="3256"/>
      <c r="AI51" s="3257">
        <f>SUM(AG51:AH51)</f>
        <v>1</v>
      </c>
      <c r="AJ51" s="3256">
        <v>1</v>
      </c>
      <c r="AK51" s="3256"/>
      <c r="AL51" s="3257">
        <f>SUM(AJ51:AK51)</f>
        <v>1</v>
      </c>
      <c r="AM51" s="3256">
        <v>1</v>
      </c>
      <c r="AN51" s="3256"/>
      <c r="AO51" s="3257">
        <f>SUM(AM51:AN51)</f>
        <v>1</v>
      </c>
      <c r="AP51" s="3256"/>
      <c r="AQ51" s="3256">
        <v>1</v>
      </c>
      <c r="AR51" s="3257">
        <f>SUM(AP51:AQ51)</f>
        <v>1</v>
      </c>
      <c r="AS51" s="3256"/>
      <c r="AT51" s="3256">
        <v>1</v>
      </c>
      <c r="AU51" s="3257">
        <f>SUM(AS51:AT51)</f>
        <v>1</v>
      </c>
      <c r="AV51" s="3256"/>
      <c r="AW51" s="3256">
        <v>1</v>
      </c>
      <c r="AX51" s="3257">
        <f>SUM(AV51:AW51)</f>
        <v>1</v>
      </c>
      <c r="AY51" s="3332"/>
      <c r="AZ51" s="3332">
        <v>1</v>
      </c>
      <c r="BA51" s="3257">
        <f>SUM(AY51:AZ51)</f>
        <v>1</v>
      </c>
      <c r="BB51" s="5097">
        <v>0</v>
      </c>
      <c r="BC51" s="5097">
        <v>1</v>
      </c>
      <c r="BD51" s="5108">
        <f>SUM(BB51:BC51)</f>
        <v>1</v>
      </c>
    </row>
    <row r="52" spans="2:56" x14ac:dyDescent="0.3">
      <c r="B52" s="3268" t="s">
        <v>134</v>
      </c>
      <c r="C52" s="3339"/>
      <c r="D52" s="3340"/>
      <c r="E52" s="3340"/>
      <c r="F52" s="3339"/>
      <c r="G52" s="3340"/>
      <c r="H52" s="3341"/>
      <c r="I52" s="3340">
        <f>SUM(I49:I51)</f>
        <v>1</v>
      </c>
      <c r="J52" s="3340">
        <f>SUM(J49:J51)</f>
        <v>0</v>
      </c>
      <c r="K52" s="3340">
        <f>SUM(K49:K51)</f>
        <v>1</v>
      </c>
      <c r="L52" s="3342">
        <f>SUM(L49:L51)</f>
        <v>1</v>
      </c>
      <c r="M52" s="3275">
        <f>SUM(M49:M51)</f>
        <v>1</v>
      </c>
      <c r="N52" s="3276">
        <f>SUM(L52:M52)</f>
        <v>2</v>
      </c>
      <c r="O52" s="3275">
        <f>SUM(O49:O51)</f>
        <v>2</v>
      </c>
      <c r="P52" s="3275">
        <f>SUM(P49:P51)</f>
        <v>1</v>
      </c>
      <c r="Q52" s="3276">
        <f>SUM(O52:P52)</f>
        <v>3</v>
      </c>
      <c r="R52" s="3275">
        <f>SUM(R49:R51)</f>
        <v>2</v>
      </c>
      <c r="S52" s="3275">
        <f>SUM(S49:S51)</f>
        <v>1</v>
      </c>
      <c r="T52" s="3276">
        <f>SUM(R52:S52)</f>
        <v>3</v>
      </c>
      <c r="U52" s="3275">
        <f>SUM(U49:U51)</f>
        <v>2</v>
      </c>
      <c r="V52" s="3275">
        <f>SUM(V49:V51)</f>
        <v>1</v>
      </c>
      <c r="W52" s="3276">
        <f>SUM(U52:V52)</f>
        <v>3</v>
      </c>
      <c r="X52" s="3275">
        <f>SUM(X49:X51)</f>
        <v>1</v>
      </c>
      <c r="Y52" s="3275">
        <f>SUM(Y49:Y51)</f>
        <v>1</v>
      </c>
      <c r="Z52" s="3276">
        <f>SUM(X52:Y52)</f>
        <v>2</v>
      </c>
      <c r="AA52" s="3275">
        <f>SUM(AA49:AA51)</f>
        <v>2</v>
      </c>
      <c r="AB52" s="3275">
        <f>SUM(AB49:AB51)</f>
        <v>1</v>
      </c>
      <c r="AC52" s="3276">
        <f>SUM(AA52:AB52)</f>
        <v>3</v>
      </c>
      <c r="AD52" s="3275">
        <f>SUM(AD49:AD51)</f>
        <v>2</v>
      </c>
      <c r="AE52" s="3275">
        <f>SUM(AE49:AE51)</f>
        <v>1</v>
      </c>
      <c r="AF52" s="3276">
        <f>SUM(AD52:AE52)</f>
        <v>3</v>
      </c>
      <c r="AG52" s="3275">
        <f>SUM(AG49:AG51)</f>
        <v>2</v>
      </c>
      <c r="AH52" s="3275">
        <f>SUM(AH49:AH51)</f>
        <v>0</v>
      </c>
      <c r="AI52" s="3276">
        <f>SUM(AG52:AH52)</f>
        <v>2</v>
      </c>
      <c r="AJ52" s="3275">
        <f>SUM(AJ49:AJ51)</f>
        <v>3</v>
      </c>
      <c r="AK52" s="3275">
        <f>SUM(AK49:AK51)</f>
        <v>2</v>
      </c>
      <c r="AL52" s="3276">
        <f>SUM(AJ52:AK52)</f>
        <v>5</v>
      </c>
      <c r="AM52" s="3275">
        <f>SUM(AM49:AM51)</f>
        <v>1</v>
      </c>
      <c r="AN52" s="3275">
        <f>SUM(AN49:AN51)</f>
        <v>2</v>
      </c>
      <c r="AO52" s="3276">
        <f>SUM(AM52:AN52)</f>
        <v>3</v>
      </c>
      <c r="AP52" s="3275">
        <f>SUM(AP49:AP51)</f>
        <v>0</v>
      </c>
      <c r="AQ52" s="3275">
        <f>SUM(AQ49:AQ51)</f>
        <v>3</v>
      </c>
      <c r="AR52" s="3276">
        <f>SUM(AP52:AQ52)</f>
        <v>3</v>
      </c>
      <c r="AS52" s="3275">
        <f>SUM(AS49:AS51)</f>
        <v>0</v>
      </c>
      <c r="AT52" s="3275">
        <f>SUM(AT49:AT51)</f>
        <v>2</v>
      </c>
      <c r="AU52" s="3276">
        <f>SUM(AS52:AT52)</f>
        <v>2</v>
      </c>
      <c r="AV52" s="3275"/>
      <c r="AW52" s="3275">
        <f>SUM(AW49:AW51)</f>
        <v>2</v>
      </c>
      <c r="AX52" s="3276">
        <f>SUM(AV52:AW52)</f>
        <v>2</v>
      </c>
      <c r="AY52" s="3275"/>
      <c r="AZ52" s="3275">
        <f>SUM(AZ49:AZ51)</f>
        <v>2</v>
      </c>
      <c r="BA52" s="3276">
        <f>SUM(AY52:AZ52)</f>
        <v>2</v>
      </c>
      <c r="BB52" s="5109">
        <v>0</v>
      </c>
      <c r="BC52" s="5109">
        <f>SUM(BC49:BC51)</f>
        <v>1</v>
      </c>
      <c r="BD52" s="5110">
        <f>SUM(BB52:BC52)</f>
        <v>1</v>
      </c>
    </row>
    <row r="53" spans="2:56" x14ac:dyDescent="0.3">
      <c r="C53" s="3267"/>
      <c r="D53" s="3267"/>
      <c r="E53" s="3267"/>
      <c r="F53" s="3267"/>
      <c r="G53" s="3267"/>
      <c r="H53" s="3267"/>
      <c r="I53" s="3267"/>
      <c r="J53" s="3267"/>
      <c r="K53" s="3267"/>
      <c r="L53" s="3267"/>
      <c r="M53" s="3267"/>
      <c r="N53" s="3267"/>
      <c r="O53" s="3267"/>
      <c r="P53" s="3267"/>
      <c r="Q53" s="3267"/>
      <c r="R53" s="3267"/>
      <c r="S53" s="3267"/>
      <c r="T53" s="3267"/>
      <c r="U53" s="3267"/>
      <c r="V53" s="3267"/>
      <c r="W53" s="3267"/>
      <c r="X53" s="3267"/>
      <c r="Y53" s="3267"/>
      <c r="Z53" s="3267"/>
      <c r="AA53" s="3267"/>
      <c r="AB53" s="3267"/>
      <c r="AC53" s="3267"/>
      <c r="AD53" s="3267"/>
      <c r="AE53" s="3267"/>
      <c r="AF53" s="3267"/>
      <c r="AG53" s="3267"/>
      <c r="AH53" s="3267"/>
      <c r="AI53" s="3267"/>
      <c r="AJ53" s="3267"/>
      <c r="AK53" s="3267"/>
      <c r="AL53" s="3267"/>
      <c r="AM53" s="3267"/>
      <c r="AN53" s="3267"/>
      <c r="AO53" s="3267"/>
      <c r="AP53" s="3267"/>
      <c r="AQ53" s="3267"/>
      <c r="AR53" s="3267"/>
      <c r="AS53" s="3267"/>
      <c r="AT53" s="3267"/>
      <c r="AU53" s="3267"/>
      <c r="AV53" s="3267"/>
      <c r="AW53" s="3267"/>
      <c r="AX53" s="3267"/>
      <c r="AY53" s="3267"/>
      <c r="AZ53" s="3267"/>
    </row>
    <row r="54" spans="2:56" x14ac:dyDescent="0.3">
      <c r="B54" s="3240" t="s">
        <v>59</v>
      </c>
      <c r="C54" s="3327">
        <v>1</v>
      </c>
      <c r="D54" s="3328">
        <v>1</v>
      </c>
      <c r="E54" s="3328">
        <f>SUM(C54:D54)</f>
        <v>2</v>
      </c>
      <c r="F54" s="3327">
        <v>1</v>
      </c>
      <c r="G54" s="3328">
        <v>1</v>
      </c>
      <c r="H54" s="3329">
        <f>SUM(F54:G54)</f>
        <v>2</v>
      </c>
      <c r="I54" s="3328">
        <v>1</v>
      </c>
      <c r="J54" s="3328">
        <v>1</v>
      </c>
      <c r="K54" s="3328">
        <f>SUM(I54:J54)</f>
        <v>2</v>
      </c>
      <c r="L54" s="3330">
        <v>1</v>
      </c>
      <c r="M54" s="3247">
        <v>1</v>
      </c>
      <c r="N54" s="3248">
        <f t="shared" si="15"/>
        <v>2</v>
      </c>
      <c r="O54" s="3247">
        <v>1</v>
      </c>
      <c r="P54" s="3247"/>
      <c r="Q54" s="3248">
        <f t="shared" si="16"/>
        <v>1</v>
      </c>
      <c r="R54" s="3247">
        <v>1</v>
      </c>
      <c r="S54" s="3247"/>
      <c r="T54" s="3248">
        <f t="shared" si="17"/>
        <v>1</v>
      </c>
      <c r="U54" s="3247">
        <v>1</v>
      </c>
      <c r="V54" s="3247"/>
      <c r="W54" s="3248">
        <f t="shared" si="18"/>
        <v>1</v>
      </c>
      <c r="X54" s="3247">
        <v>1</v>
      </c>
      <c r="Y54" s="3247">
        <v>0</v>
      </c>
      <c r="Z54" s="3248">
        <f>SUM(X54:Y54)</f>
        <v>1</v>
      </c>
      <c r="AA54" s="3247">
        <v>1</v>
      </c>
      <c r="AB54" s="3247"/>
      <c r="AC54" s="3248">
        <f>SUM(AA54:AB54)</f>
        <v>1</v>
      </c>
      <c r="AD54" s="3247">
        <v>1</v>
      </c>
      <c r="AE54" s="3247"/>
      <c r="AF54" s="3248">
        <f>SUM(AD54:AE54)</f>
        <v>1</v>
      </c>
      <c r="AG54" s="3247">
        <v>1</v>
      </c>
      <c r="AH54" s="3247">
        <v>0</v>
      </c>
      <c r="AI54" s="3248">
        <f>SUM(AG54:AH54)</f>
        <v>1</v>
      </c>
      <c r="AJ54" s="3247">
        <v>1</v>
      </c>
      <c r="AK54" s="3247"/>
      <c r="AL54" s="3248">
        <f>SUM(AJ54:AK54)</f>
        <v>1</v>
      </c>
      <c r="AM54" s="3247">
        <v>1</v>
      </c>
      <c r="AN54" s="3247"/>
      <c r="AO54" s="3248">
        <f>SUM(AM54:AN54)</f>
        <v>1</v>
      </c>
      <c r="AP54" s="3247">
        <v>1</v>
      </c>
      <c r="AQ54" s="3247"/>
      <c r="AR54" s="3248">
        <f>SUM(AP54:AQ54)</f>
        <v>1</v>
      </c>
      <c r="AS54" s="3247">
        <v>1</v>
      </c>
      <c r="AT54" s="3247"/>
      <c r="AU54" s="3248">
        <f>SUM(AS54:AT54)</f>
        <v>1</v>
      </c>
      <c r="AV54" s="3247">
        <v>1</v>
      </c>
      <c r="AW54" s="3247"/>
      <c r="AX54" s="3248">
        <f>SUM(AV54:AW54)</f>
        <v>1</v>
      </c>
      <c r="AY54" s="3247">
        <v>1</v>
      </c>
      <c r="AZ54" s="3247"/>
      <c r="BA54" s="3248">
        <f>SUM(AY54:AZ54)</f>
        <v>1</v>
      </c>
      <c r="BB54" s="5096">
        <v>1</v>
      </c>
      <c r="BC54" s="5096">
        <v>0</v>
      </c>
      <c r="BD54" s="5107">
        <f>SUM(BB54:BC54)</f>
        <v>1</v>
      </c>
    </row>
    <row r="55" spans="2:56" x14ac:dyDescent="0.3">
      <c r="B55" s="3249" t="s">
        <v>64</v>
      </c>
      <c r="C55" s="3331">
        <v>5</v>
      </c>
      <c r="D55" s="3332">
        <v>9</v>
      </c>
      <c r="E55" s="3332">
        <f>SUM(C55:D55)</f>
        <v>14</v>
      </c>
      <c r="F55" s="3331">
        <v>5</v>
      </c>
      <c r="G55" s="3332">
        <v>10</v>
      </c>
      <c r="H55" s="3333">
        <f>SUM(F55:G55)</f>
        <v>15</v>
      </c>
      <c r="I55" s="3332">
        <v>4</v>
      </c>
      <c r="J55" s="3332">
        <v>10</v>
      </c>
      <c r="K55" s="3332">
        <f>SUM(I55:J55)</f>
        <v>14</v>
      </c>
      <c r="L55" s="3334">
        <v>1</v>
      </c>
      <c r="M55" s="3256">
        <v>10</v>
      </c>
      <c r="N55" s="3257">
        <f t="shared" si="15"/>
        <v>11</v>
      </c>
      <c r="O55" s="3256">
        <v>1</v>
      </c>
      <c r="P55" s="3256">
        <v>11</v>
      </c>
      <c r="Q55" s="3257">
        <f t="shared" si="16"/>
        <v>12</v>
      </c>
      <c r="R55" s="3256">
        <v>1</v>
      </c>
      <c r="S55" s="3256">
        <v>13</v>
      </c>
      <c r="T55" s="3257">
        <f t="shared" si="17"/>
        <v>14</v>
      </c>
      <c r="U55" s="3256">
        <v>1</v>
      </c>
      <c r="V55" s="3256">
        <v>7</v>
      </c>
      <c r="W55" s="3257">
        <f t="shared" si="18"/>
        <v>8</v>
      </c>
      <c r="X55" s="3256">
        <v>1</v>
      </c>
      <c r="Y55" s="3256">
        <v>13</v>
      </c>
      <c r="Z55" s="3257">
        <f>SUM(X55:Y55)</f>
        <v>14</v>
      </c>
      <c r="AA55" s="3256">
        <v>2</v>
      </c>
      <c r="AB55" s="3256">
        <v>13</v>
      </c>
      <c r="AC55" s="3257">
        <f>SUM(AA55:AB55)</f>
        <v>15</v>
      </c>
      <c r="AD55" s="3256">
        <v>2</v>
      </c>
      <c r="AE55" s="3256">
        <v>9</v>
      </c>
      <c r="AF55" s="3257">
        <f>SUM(AD55:AE55)</f>
        <v>11</v>
      </c>
      <c r="AG55" s="3256">
        <v>2</v>
      </c>
      <c r="AH55" s="3256">
        <v>8</v>
      </c>
      <c r="AI55" s="3257">
        <f>SUM(AG55:AH55)</f>
        <v>10</v>
      </c>
      <c r="AJ55" s="3256">
        <v>2</v>
      </c>
      <c r="AK55" s="3256">
        <v>8</v>
      </c>
      <c r="AL55" s="3257">
        <f>SUM(AJ55:AK55)</f>
        <v>10</v>
      </c>
      <c r="AM55" s="3256">
        <v>2</v>
      </c>
      <c r="AN55" s="3256">
        <v>7</v>
      </c>
      <c r="AO55" s="3257">
        <f>SUM(AM55:AN55)</f>
        <v>9</v>
      </c>
      <c r="AP55" s="3256">
        <v>1</v>
      </c>
      <c r="AQ55" s="3256">
        <v>9</v>
      </c>
      <c r="AR55" s="3257">
        <f>SUM(AP55:AQ55)</f>
        <v>10</v>
      </c>
      <c r="AS55" s="3256"/>
      <c r="AT55" s="3256">
        <v>8</v>
      </c>
      <c r="AU55" s="3257">
        <f>SUM(AS55:AT55)</f>
        <v>8</v>
      </c>
      <c r="AV55" s="3256"/>
      <c r="AW55" s="3256">
        <v>9</v>
      </c>
      <c r="AX55" s="3257">
        <f>SUM(AV55:AW55)</f>
        <v>9</v>
      </c>
      <c r="AY55" s="3256"/>
      <c r="AZ55" s="3256">
        <v>9</v>
      </c>
      <c r="BA55" s="3257">
        <f>SUM(AY55:AZ55)</f>
        <v>9</v>
      </c>
      <c r="BB55" s="5097">
        <v>0</v>
      </c>
      <c r="BC55" s="5097">
        <v>8</v>
      </c>
      <c r="BD55" s="5108">
        <f>SUM(BB55:BC55)</f>
        <v>8</v>
      </c>
    </row>
    <row r="56" spans="2:56" x14ac:dyDescent="0.3">
      <c r="B56" s="3249" t="s">
        <v>92</v>
      </c>
      <c r="C56" s="3331"/>
      <c r="D56" s="3332">
        <v>5</v>
      </c>
      <c r="E56" s="3332">
        <f>SUM(C56:D56)</f>
        <v>5</v>
      </c>
      <c r="F56" s="3331"/>
      <c r="G56" s="3332">
        <v>6</v>
      </c>
      <c r="H56" s="3333">
        <f>SUM(F56:G56)</f>
        <v>6</v>
      </c>
      <c r="I56" s="3332">
        <v>1</v>
      </c>
      <c r="J56" s="3332">
        <v>6</v>
      </c>
      <c r="K56" s="3332">
        <f>SUM(I56:J56)</f>
        <v>7</v>
      </c>
      <c r="L56" s="3334">
        <v>1</v>
      </c>
      <c r="M56" s="3256">
        <v>6</v>
      </c>
      <c r="N56" s="3257">
        <f t="shared" si="15"/>
        <v>7</v>
      </c>
      <c r="O56" s="3256">
        <v>1</v>
      </c>
      <c r="P56" s="3256">
        <v>8</v>
      </c>
      <c r="Q56" s="3257">
        <f t="shared" si="16"/>
        <v>9</v>
      </c>
      <c r="R56" s="3256">
        <v>1</v>
      </c>
      <c r="S56" s="3256">
        <v>7</v>
      </c>
      <c r="T56" s="3257">
        <f t="shared" si="17"/>
        <v>8</v>
      </c>
      <c r="U56" s="3256">
        <v>1</v>
      </c>
      <c r="V56" s="3256">
        <v>13</v>
      </c>
      <c r="W56" s="3257">
        <f t="shared" si="18"/>
        <v>14</v>
      </c>
      <c r="X56" s="3256">
        <v>1</v>
      </c>
      <c r="Y56" s="3256">
        <v>7</v>
      </c>
      <c r="Z56" s="3257">
        <f>SUM(X56:Y56)</f>
        <v>8</v>
      </c>
      <c r="AA56" s="3256">
        <v>1</v>
      </c>
      <c r="AB56" s="3256">
        <v>6</v>
      </c>
      <c r="AC56" s="3257">
        <f>SUM(AA56:AB56)</f>
        <v>7</v>
      </c>
      <c r="AD56" s="3256">
        <v>1</v>
      </c>
      <c r="AE56" s="3256">
        <v>6</v>
      </c>
      <c r="AF56" s="3257">
        <f>SUM(AD56:AE56)</f>
        <v>7</v>
      </c>
      <c r="AG56" s="3256">
        <v>1</v>
      </c>
      <c r="AH56" s="3256">
        <v>6</v>
      </c>
      <c r="AI56" s="3257">
        <f>SUM(AG56:AH56)</f>
        <v>7</v>
      </c>
      <c r="AJ56" s="3256">
        <v>1</v>
      </c>
      <c r="AK56" s="3256">
        <v>4</v>
      </c>
      <c r="AL56" s="3257">
        <f>SUM(AJ56:AK56)</f>
        <v>5</v>
      </c>
      <c r="AM56" s="3256">
        <v>2</v>
      </c>
      <c r="AN56" s="3256">
        <v>4</v>
      </c>
      <c r="AO56" s="3257">
        <f>SUM(AM56:AN56)</f>
        <v>6</v>
      </c>
      <c r="AP56" s="3256">
        <v>2</v>
      </c>
      <c r="AQ56" s="3256">
        <v>4</v>
      </c>
      <c r="AR56" s="3257">
        <f>SUM(AP56:AQ56)</f>
        <v>6</v>
      </c>
      <c r="AS56" s="3256">
        <v>2</v>
      </c>
      <c r="AT56" s="3256">
        <v>4</v>
      </c>
      <c r="AU56" s="3257">
        <f>SUM(AS56:AT56)</f>
        <v>6</v>
      </c>
      <c r="AV56" s="3256">
        <v>2</v>
      </c>
      <c r="AW56" s="3256">
        <v>4</v>
      </c>
      <c r="AX56" s="3257">
        <f>SUM(AV56:AW56)</f>
        <v>6</v>
      </c>
      <c r="AY56" s="3256">
        <v>2</v>
      </c>
      <c r="AZ56" s="3256">
        <v>4</v>
      </c>
      <c r="BA56" s="3257">
        <f>SUM(AY56:AZ56)</f>
        <v>6</v>
      </c>
      <c r="BB56" s="5097">
        <v>2</v>
      </c>
      <c r="BC56" s="5097">
        <v>4</v>
      </c>
      <c r="BD56" s="5108">
        <f>SUM(BB56:BC56)</f>
        <v>6</v>
      </c>
    </row>
    <row r="57" spans="2:56" x14ac:dyDescent="0.3">
      <c r="B57" s="3277" t="s">
        <v>135</v>
      </c>
      <c r="C57" s="3343">
        <f t="shared" ref="C57:M57" si="20">SUM(C54:C56)</f>
        <v>6</v>
      </c>
      <c r="D57" s="3344">
        <f t="shared" si="20"/>
        <v>15</v>
      </c>
      <c r="E57" s="3344">
        <f t="shared" si="20"/>
        <v>21</v>
      </c>
      <c r="F57" s="3343">
        <f t="shared" si="20"/>
        <v>6</v>
      </c>
      <c r="G57" s="3344">
        <f t="shared" si="20"/>
        <v>17</v>
      </c>
      <c r="H57" s="3345">
        <f t="shared" si="20"/>
        <v>23</v>
      </c>
      <c r="I57" s="3344">
        <f t="shared" si="20"/>
        <v>6</v>
      </c>
      <c r="J57" s="3344">
        <f t="shared" si="20"/>
        <v>17</v>
      </c>
      <c r="K57" s="3344">
        <f t="shared" si="20"/>
        <v>23</v>
      </c>
      <c r="L57" s="3346">
        <f t="shared" si="20"/>
        <v>3</v>
      </c>
      <c r="M57" s="3284">
        <f t="shared" si="20"/>
        <v>17</v>
      </c>
      <c r="N57" s="3285">
        <f t="shared" si="15"/>
        <v>20</v>
      </c>
      <c r="O57" s="3284">
        <f>SUM(O54:O56)</f>
        <v>3</v>
      </c>
      <c r="P57" s="3284">
        <f>SUM(P54:P56)</f>
        <v>19</v>
      </c>
      <c r="Q57" s="3285">
        <f t="shared" si="16"/>
        <v>22</v>
      </c>
      <c r="R57" s="3284">
        <f>SUM(R54:R56)</f>
        <v>3</v>
      </c>
      <c r="S57" s="3284">
        <f>SUM(S54:S56)</f>
        <v>20</v>
      </c>
      <c r="T57" s="3285">
        <f t="shared" si="17"/>
        <v>23</v>
      </c>
      <c r="U57" s="3284">
        <f>SUM(U54:U56)</f>
        <v>3</v>
      </c>
      <c r="V57" s="3284">
        <f>SUM(V54:V56)</f>
        <v>20</v>
      </c>
      <c r="W57" s="3285">
        <f t="shared" si="18"/>
        <v>23</v>
      </c>
      <c r="X57" s="3284">
        <f>SUM(X54:X56)</f>
        <v>3</v>
      </c>
      <c r="Y57" s="3284">
        <f>SUM(Y54:Y56)</f>
        <v>20</v>
      </c>
      <c r="Z57" s="3285">
        <f>SUM(X57:Y57)</f>
        <v>23</v>
      </c>
      <c r="AA57" s="3284">
        <f>SUM(AA54:AA56)</f>
        <v>4</v>
      </c>
      <c r="AB57" s="3284">
        <f>SUM(AB54:AB56)</f>
        <v>19</v>
      </c>
      <c r="AC57" s="3285">
        <f>SUM(AA57:AB57)</f>
        <v>23</v>
      </c>
      <c r="AD57" s="3284">
        <f>SUM(AD54:AD56)</f>
        <v>4</v>
      </c>
      <c r="AE57" s="3284">
        <f>SUM(AE54:AE56)</f>
        <v>15</v>
      </c>
      <c r="AF57" s="3285">
        <f>SUM(AD57:AE57)</f>
        <v>19</v>
      </c>
      <c r="AG57" s="3284">
        <f>SUM(AG54:AG56)</f>
        <v>4</v>
      </c>
      <c r="AH57" s="3284">
        <f>SUM(AH54:AH56)</f>
        <v>14</v>
      </c>
      <c r="AI57" s="3285">
        <f>SUM(AG57:AH57)</f>
        <v>18</v>
      </c>
      <c r="AJ57" s="3284">
        <f>SUM(AJ54:AJ56)</f>
        <v>4</v>
      </c>
      <c r="AK57" s="3284">
        <f>SUM(AK54:AK56)</f>
        <v>12</v>
      </c>
      <c r="AL57" s="3285">
        <f>SUM(AJ57:AK57)</f>
        <v>16</v>
      </c>
      <c r="AM57" s="3284">
        <f>SUM(AM54:AM56)</f>
        <v>5</v>
      </c>
      <c r="AN57" s="3284">
        <f>SUM(AN54:AN56)</f>
        <v>11</v>
      </c>
      <c r="AO57" s="3285">
        <f>SUM(AM57:AN57)</f>
        <v>16</v>
      </c>
      <c r="AP57" s="3284">
        <f>SUM(AP54:AP56)</f>
        <v>4</v>
      </c>
      <c r="AQ57" s="3284">
        <f>SUM(AQ54:AQ56)</f>
        <v>13</v>
      </c>
      <c r="AR57" s="3285">
        <f>SUM(AP57:AQ57)</f>
        <v>17</v>
      </c>
      <c r="AS57" s="3284">
        <f>SUM(AS54:AS56)</f>
        <v>3</v>
      </c>
      <c r="AT57" s="3284">
        <f>SUM(AT54:AT56)</f>
        <v>12</v>
      </c>
      <c r="AU57" s="3285">
        <f>SUM(AS57:AT57)</f>
        <v>15</v>
      </c>
      <c r="AV57" s="3284">
        <f>SUM(AV54:AV56)</f>
        <v>3</v>
      </c>
      <c r="AW57" s="3284">
        <f>SUM(AW54:AW56)</f>
        <v>13</v>
      </c>
      <c r="AX57" s="3285">
        <f>SUM(AV57:AW57)</f>
        <v>16</v>
      </c>
      <c r="AY57" s="3284">
        <f>SUM(AY54:AY56)</f>
        <v>3</v>
      </c>
      <c r="AZ57" s="3284">
        <f>SUM(AZ54:AZ56)</f>
        <v>13</v>
      </c>
      <c r="BA57" s="3285">
        <f>SUM(AY57:AZ57)</f>
        <v>16</v>
      </c>
      <c r="BB57" s="5111">
        <f>SUM(BB54:BB56)</f>
        <v>3</v>
      </c>
      <c r="BC57" s="5111">
        <f>SUM(BB53:BD53)</f>
        <v>0</v>
      </c>
      <c r="BD57" s="5112">
        <f>SUM(BB57:BC57)</f>
        <v>3</v>
      </c>
    </row>
    <row r="58" spans="2:56" x14ac:dyDescent="0.3">
      <c r="C58" s="3267"/>
      <c r="D58" s="3267"/>
      <c r="E58" s="3267"/>
      <c r="F58" s="3267"/>
      <c r="G58" s="3267"/>
      <c r="H58" s="3267"/>
      <c r="I58" s="3267"/>
      <c r="J58" s="3267"/>
      <c r="K58" s="3267"/>
      <c r="L58" s="3267"/>
      <c r="M58" s="3267"/>
      <c r="N58" s="3267"/>
      <c r="O58" s="3267"/>
      <c r="P58" s="3267"/>
      <c r="Q58" s="3267"/>
      <c r="R58" s="3267"/>
      <c r="S58" s="3267"/>
      <c r="T58" s="3267"/>
      <c r="U58" s="3267"/>
      <c r="V58" s="3267"/>
      <c r="W58" s="3267"/>
      <c r="X58" s="3267"/>
      <c r="Y58" s="3267"/>
      <c r="Z58" s="3267"/>
      <c r="AA58" s="3267"/>
      <c r="AB58" s="3267"/>
      <c r="AC58" s="3267"/>
      <c r="AD58" s="3267"/>
      <c r="AE58" s="3267"/>
      <c r="AF58" s="3267"/>
      <c r="AG58" s="3267"/>
      <c r="AH58" s="3267"/>
      <c r="AI58" s="3267"/>
      <c r="AJ58" s="3267"/>
      <c r="AK58" s="3267"/>
      <c r="AL58" s="3267"/>
      <c r="AM58" s="3267"/>
      <c r="AN58" s="3267"/>
      <c r="AO58" s="3267"/>
      <c r="AP58" s="3267"/>
      <c r="AQ58" s="3267"/>
      <c r="AR58" s="3267"/>
      <c r="AS58" s="3267"/>
      <c r="AT58" s="3267"/>
      <c r="AU58" s="3267"/>
      <c r="AV58" s="3267"/>
      <c r="AW58" s="3267"/>
      <c r="AX58" s="3267"/>
      <c r="AY58" s="3267"/>
      <c r="AZ58" s="3267"/>
    </row>
    <row r="59" spans="2:56" ht="15" customHeight="1" x14ac:dyDescent="0.3">
      <c r="B59" s="3240" t="s">
        <v>59</v>
      </c>
      <c r="C59" s="3347"/>
      <c r="D59" s="3348"/>
      <c r="E59" s="3348"/>
      <c r="F59" s="3348"/>
      <c r="G59" s="3348"/>
      <c r="H59" s="3348"/>
      <c r="I59" s="3348"/>
      <c r="J59" s="3348"/>
      <c r="K59" s="3348"/>
      <c r="L59" s="3349"/>
      <c r="M59" s="3349"/>
      <c r="N59" s="3349"/>
      <c r="O59" s="3349"/>
      <c r="P59" s="3349"/>
      <c r="Q59" s="3349"/>
      <c r="R59" s="3349"/>
      <c r="S59" s="3349"/>
      <c r="T59" s="3349"/>
      <c r="U59" s="3349"/>
      <c r="V59" s="3349"/>
      <c r="W59" s="3349"/>
      <c r="X59" s="3349"/>
      <c r="Y59" s="3349"/>
      <c r="Z59" s="3349"/>
      <c r="AA59" s="3349"/>
      <c r="AB59" s="3349"/>
      <c r="AC59" s="3349"/>
      <c r="AD59" s="3349"/>
      <c r="AE59" s="3349"/>
      <c r="AF59" s="3349"/>
      <c r="AG59" s="3349"/>
      <c r="AH59" s="3349"/>
      <c r="AI59" s="3349"/>
      <c r="AJ59" s="3349"/>
      <c r="AK59" s="3349"/>
      <c r="AL59" s="3349"/>
      <c r="AM59" s="3330"/>
      <c r="AN59" s="3247"/>
      <c r="AO59" s="3248">
        <f>SUM(AM59:AN59)</f>
        <v>0</v>
      </c>
      <c r="AP59" s="3330"/>
      <c r="AQ59" s="3247"/>
      <c r="AR59" s="3248">
        <f>SUM(AP59:AQ59)</f>
        <v>0</v>
      </c>
      <c r="AS59" s="3330"/>
      <c r="AT59" s="3247"/>
      <c r="AU59" s="3248">
        <f>SUM(AS59:AT59)</f>
        <v>0</v>
      </c>
      <c r="AV59" s="3330"/>
      <c r="AW59" s="3247"/>
      <c r="AX59" s="3248">
        <f>SUM(AV59:AW59)</f>
        <v>0</v>
      </c>
      <c r="AY59" s="3330"/>
      <c r="AZ59" s="3247"/>
      <c r="BA59" s="3248">
        <f>SUM(AY59:AZ59)</f>
        <v>0</v>
      </c>
      <c r="BB59" s="5102">
        <v>0</v>
      </c>
      <c r="BC59" s="5100">
        <v>0</v>
      </c>
      <c r="BD59" s="5101">
        <f>SUM(BB59:BC59)</f>
        <v>0</v>
      </c>
    </row>
    <row r="60" spans="2:56" ht="15" customHeight="1" x14ac:dyDescent="0.3">
      <c r="B60" s="3249" t="s">
        <v>64</v>
      </c>
      <c r="C60" s="3350"/>
      <c r="D60" s="3351"/>
      <c r="E60" s="3351"/>
      <c r="F60" s="3351"/>
      <c r="G60" s="3351"/>
      <c r="H60" s="3351"/>
      <c r="I60" s="3351"/>
      <c r="J60" s="3351"/>
      <c r="K60" s="3351"/>
      <c r="L60" s="3352"/>
      <c r="M60" s="3352"/>
      <c r="N60" s="3352"/>
      <c r="O60" s="3352"/>
      <c r="P60" s="3352"/>
      <c r="Q60" s="3352"/>
      <c r="R60" s="3352"/>
      <c r="S60" s="3352"/>
      <c r="T60" s="3352"/>
      <c r="U60" s="3352"/>
      <c r="V60" s="3352"/>
      <c r="W60" s="3352"/>
      <c r="X60" s="3352"/>
      <c r="Y60" s="3352"/>
      <c r="Z60" s="3352"/>
      <c r="AA60" s="3352"/>
      <c r="AB60" s="3352"/>
      <c r="AC60" s="3352"/>
      <c r="AD60" s="3352"/>
      <c r="AE60" s="3352"/>
      <c r="AF60" s="3352"/>
      <c r="AG60" s="3352"/>
      <c r="AH60" s="3352"/>
      <c r="AI60" s="3352"/>
      <c r="AJ60" s="3352"/>
      <c r="AK60" s="3352"/>
      <c r="AL60" s="3352"/>
      <c r="AM60" s="3334"/>
      <c r="AN60" s="3256">
        <v>2</v>
      </c>
      <c r="AO60" s="3257">
        <f>SUM(AM60:AN60)</f>
        <v>2</v>
      </c>
      <c r="AP60" s="3334"/>
      <c r="AQ60" s="3256">
        <v>2</v>
      </c>
      <c r="AR60" s="3257">
        <f>SUM(AP60:AQ60)</f>
        <v>2</v>
      </c>
      <c r="AS60" s="3334"/>
      <c r="AT60" s="3256"/>
      <c r="AU60" s="3257">
        <f>SUM(AS60:AT60)</f>
        <v>0</v>
      </c>
      <c r="AV60" s="3334"/>
      <c r="AW60" s="3256"/>
      <c r="AX60" s="3257">
        <f>SUM(AV60:AW60)</f>
        <v>0</v>
      </c>
      <c r="AY60" s="3334"/>
      <c r="AZ60" s="3256"/>
      <c r="BA60" s="3257">
        <f>SUM(AY60:AZ60)</f>
        <v>0</v>
      </c>
      <c r="BB60" s="5103">
        <v>0</v>
      </c>
      <c r="BC60" s="5098">
        <v>0</v>
      </c>
      <c r="BD60" s="5099">
        <f>SUM(BB60:BC60)</f>
        <v>0</v>
      </c>
    </row>
    <row r="61" spans="2:56" ht="15" customHeight="1" x14ac:dyDescent="0.3">
      <c r="B61" s="3249" t="s">
        <v>92</v>
      </c>
      <c r="C61" s="3350"/>
      <c r="D61" s="3351"/>
      <c r="E61" s="3351"/>
      <c r="F61" s="3351"/>
      <c r="G61" s="3351"/>
      <c r="H61" s="3351"/>
      <c r="I61" s="3351"/>
      <c r="J61" s="3351"/>
      <c r="K61" s="3351"/>
      <c r="L61" s="3352"/>
      <c r="M61" s="3352"/>
      <c r="N61" s="3352"/>
      <c r="O61" s="3352"/>
      <c r="P61" s="3352"/>
      <c r="Q61" s="3352"/>
      <c r="R61" s="3352"/>
      <c r="S61" s="3352"/>
      <c r="T61" s="3352"/>
      <c r="U61" s="3352"/>
      <c r="V61" s="3352"/>
      <c r="W61" s="3352"/>
      <c r="X61" s="3352"/>
      <c r="Y61" s="3352"/>
      <c r="Z61" s="3352"/>
      <c r="AA61" s="3352"/>
      <c r="AB61" s="3352"/>
      <c r="AC61" s="3352"/>
      <c r="AD61" s="3352"/>
      <c r="AE61" s="3352"/>
      <c r="AF61" s="3352"/>
      <c r="AG61" s="3352"/>
      <c r="AH61" s="3352"/>
      <c r="AI61" s="3352"/>
      <c r="AJ61" s="3352"/>
      <c r="AK61" s="3352"/>
      <c r="AL61" s="3352"/>
      <c r="AM61" s="3334"/>
      <c r="AN61" s="3256"/>
      <c r="AO61" s="3257">
        <f>SUM(AM61:AN61)</f>
        <v>0</v>
      </c>
      <c r="AP61" s="3334"/>
      <c r="AQ61" s="3256"/>
      <c r="AR61" s="3257">
        <f>SUM(AP61:AQ61)</f>
        <v>0</v>
      </c>
      <c r="AS61" s="3334"/>
      <c r="AT61" s="3256"/>
      <c r="AU61" s="3257">
        <f>SUM(AS61:AT61)</f>
        <v>0</v>
      </c>
      <c r="AV61" s="3334"/>
      <c r="AW61" s="3256"/>
      <c r="AX61" s="3257">
        <f>SUM(AV61:AW61)</f>
        <v>0</v>
      </c>
      <c r="AY61" s="3334"/>
      <c r="AZ61" s="3256"/>
      <c r="BA61" s="3257">
        <f>SUM(AY61:AZ61)</f>
        <v>0</v>
      </c>
      <c r="BB61" s="5103">
        <v>0</v>
      </c>
      <c r="BC61" s="5098">
        <v>0</v>
      </c>
      <c r="BD61" s="5099">
        <f>SUM(BB61:BC61)</f>
        <v>0</v>
      </c>
    </row>
    <row r="62" spans="2:56" ht="15" customHeight="1" x14ac:dyDescent="0.3">
      <c r="B62" s="3286" t="s">
        <v>136</v>
      </c>
      <c r="C62" s="3353"/>
      <c r="D62" s="3354"/>
      <c r="E62" s="3354"/>
      <c r="F62" s="3354"/>
      <c r="G62" s="3354"/>
      <c r="H62" s="3354"/>
      <c r="I62" s="3354"/>
      <c r="J62" s="3354"/>
      <c r="K62" s="3354"/>
      <c r="L62" s="3355"/>
      <c r="M62" s="3355"/>
      <c r="N62" s="3355"/>
      <c r="O62" s="3355"/>
      <c r="P62" s="3355"/>
      <c r="Q62" s="3355"/>
      <c r="R62" s="3355"/>
      <c r="S62" s="3355"/>
      <c r="T62" s="3355"/>
      <c r="U62" s="3355"/>
      <c r="V62" s="3355"/>
      <c r="W62" s="3355"/>
      <c r="X62" s="3355"/>
      <c r="Y62" s="3355"/>
      <c r="Z62" s="3355"/>
      <c r="AA62" s="3355"/>
      <c r="AB62" s="3355"/>
      <c r="AC62" s="3355"/>
      <c r="AD62" s="3355"/>
      <c r="AE62" s="3355"/>
      <c r="AF62" s="3355"/>
      <c r="AG62" s="3355"/>
      <c r="AH62" s="3355"/>
      <c r="AI62" s="3355"/>
      <c r="AJ62" s="3355"/>
      <c r="AK62" s="3355"/>
      <c r="AL62" s="3355"/>
      <c r="AM62" s="3356">
        <f t="shared" ref="AM62:AR62" si="21">SUM(AM59:AM61)</f>
        <v>0</v>
      </c>
      <c r="AN62" s="3293">
        <f t="shared" si="21"/>
        <v>2</v>
      </c>
      <c r="AO62" s="3294">
        <f t="shared" si="21"/>
        <v>2</v>
      </c>
      <c r="AP62" s="3356">
        <f t="shared" si="21"/>
        <v>0</v>
      </c>
      <c r="AQ62" s="3293">
        <f t="shared" si="21"/>
        <v>2</v>
      </c>
      <c r="AR62" s="3294">
        <f t="shared" si="21"/>
        <v>2</v>
      </c>
      <c r="AS62" s="3356">
        <f>SUM(AS59:AS61)</f>
        <v>0</v>
      </c>
      <c r="AT62" s="3293">
        <f>SUM(AT59:AT61)</f>
        <v>0</v>
      </c>
      <c r="AU62" s="3294">
        <f>SUM(AU59:AU61)</f>
        <v>0</v>
      </c>
      <c r="AV62" s="3356"/>
      <c r="AW62" s="3293"/>
      <c r="AX62" s="3294">
        <f>SUM(AX59:AX61)</f>
        <v>0</v>
      </c>
      <c r="AY62" s="3356"/>
      <c r="AZ62" s="3293"/>
      <c r="BA62" s="3294">
        <f>SUM(BA59:BA61)</f>
        <v>0</v>
      </c>
      <c r="BB62" s="5104">
        <v>0</v>
      </c>
      <c r="BC62" s="5105">
        <v>0</v>
      </c>
      <c r="BD62" s="5106">
        <f>SUM(BD59:BD61)</f>
        <v>0</v>
      </c>
    </row>
    <row r="63" spans="2:56" x14ac:dyDescent="0.3">
      <c r="B63" s="3295"/>
      <c r="C63" s="3267"/>
      <c r="D63" s="3267"/>
      <c r="E63" s="3267"/>
      <c r="F63" s="3267"/>
      <c r="G63" s="3267"/>
      <c r="H63" s="3267"/>
      <c r="I63" s="3267"/>
      <c r="J63" s="3267"/>
      <c r="K63" s="3267"/>
      <c r="L63" s="3267"/>
      <c r="M63" s="3267"/>
      <c r="N63" s="3267"/>
      <c r="O63" s="3267"/>
      <c r="P63" s="3267"/>
      <c r="Q63" s="3267"/>
      <c r="R63" s="3267"/>
      <c r="S63" s="3267"/>
      <c r="T63" s="3267"/>
      <c r="U63" s="3267"/>
      <c r="V63" s="3267"/>
      <c r="W63" s="3267"/>
      <c r="X63" s="3267"/>
      <c r="Y63" s="3267"/>
      <c r="Z63" s="3267"/>
      <c r="AA63" s="3267"/>
      <c r="AB63" s="3267"/>
      <c r="AC63" s="3267"/>
      <c r="AD63" s="3267"/>
      <c r="AE63" s="3267"/>
      <c r="AF63" s="3267"/>
      <c r="AG63" s="3267"/>
      <c r="AH63" s="3267"/>
      <c r="AI63" s="3267"/>
      <c r="AJ63" s="3267"/>
      <c r="AK63" s="3267"/>
      <c r="AL63" s="3267"/>
      <c r="AM63" s="3267"/>
      <c r="AN63" s="3267"/>
      <c r="AO63" s="3267"/>
      <c r="AP63" s="3267"/>
      <c r="AQ63" s="3267"/>
      <c r="AR63" s="3267"/>
      <c r="AS63" s="3267"/>
      <c r="AT63" s="3267"/>
      <c r="AU63" s="3267"/>
      <c r="AV63" s="3267"/>
      <c r="AW63" s="3267"/>
      <c r="AX63" s="3267"/>
      <c r="AY63" s="3267"/>
      <c r="AZ63" s="3267"/>
      <c r="BA63" s="3267"/>
      <c r="BB63" s="3267"/>
      <c r="BC63" s="3267"/>
      <c r="BD63" s="3267"/>
    </row>
    <row r="64" spans="2:56" x14ac:dyDescent="0.3">
      <c r="B64" s="3240" t="s">
        <v>64</v>
      </c>
      <c r="C64" s="3327">
        <v>14</v>
      </c>
      <c r="D64" s="3328">
        <v>20</v>
      </c>
      <c r="E64" s="3328">
        <f>SUM(C64:D64)</f>
        <v>34</v>
      </c>
      <c r="F64" s="3327">
        <v>20</v>
      </c>
      <c r="G64" s="3328">
        <v>20</v>
      </c>
      <c r="H64" s="3329">
        <f>SUM(F64:G64)</f>
        <v>40</v>
      </c>
      <c r="I64" s="3328">
        <v>18</v>
      </c>
      <c r="J64" s="3328">
        <v>19</v>
      </c>
      <c r="K64" s="3328">
        <f>SUM(I64:J64)</f>
        <v>37</v>
      </c>
      <c r="L64" s="3330">
        <v>14</v>
      </c>
      <c r="M64" s="3247">
        <v>20</v>
      </c>
      <c r="N64" s="3248">
        <f t="shared" si="15"/>
        <v>34</v>
      </c>
      <c r="O64" s="3247">
        <v>14</v>
      </c>
      <c r="P64" s="3247">
        <v>19</v>
      </c>
      <c r="Q64" s="3248">
        <f t="shared" si="16"/>
        <v>33</v>
      </c>
      <c r="R64" s="3247">
        <v>13</v>
      </c>
      <c r="S64" s="3247">
        <v>20</v>
      </c>
      <c r="T64" s="3248">
        <f t="shared" si="17"/>
        <v>33</v>
      </c>
      <c r="U64" s="3247">
        <v>10</v>
      </c>
      <c r="V64" s="3247">
        <v>21</v>
      </c>
      <c r="W64" s="3248">
        <f t="shared" si="18"/>
        <v>31</v>
      </c>
      <c r="X64" s="3247">
        <v>9</v>
      </c>
      <c r="Y64" s="3247">
        <v>17</v>
      </c>
      <c r="Z64" s="3248">
        <f>SUM(X64:Y64)</f>
        <v>26</v>
      </c>
      <c r="AA64" s="3247">
        <v>8</v>
      </c>
      <c r="AB64" s="3247">
        <v>15</v>
      </c>
      <c r="AC64" s="3248">
        <f>SUM(AA64:AB64)</f>
        <v>23</v>
      </c>
      <c r="AD64" s="3247">
        <v>8</v>
      </c>
      <c r="AE64" s="3247">
        <v>15</v>
      </c>
      <c r="AF64" s="3248">
        <f>SUM(AD64:AE64)</f>
        <v>23</v>
      </c>
      <c r="AG64" s="3247">
        <v>10</v>
      </c>
      <c r="AH64" s="3247">
        <v>14</v>
      </c>
      <c r="AI64" s="3248">
        <f>SUM(AG64:AH64)</f>
        <v>24</v>
      </c>
      <c r="AJ64" s="3247">
        <v>10</v>
      </c>
      <c r="AK64" s="3247">
        <v>16</v>
      </c>
      <c r="AL64" s="3248">
        <f>SUM(AJ64:AK64)</f>
        <v>26</v>
      </c>
      <c r="AM64" s="3247">
        <v>11</v>
      </c>
      <c r="AN64" s="3247">
        <v>15</v>
      </c>
      <c r="AO64" s="3248">
        <f>SUM(AM64:AN64)</f>
        <v>26</v>
      </c>
      <c r="AP64" s="3247">
        <v>12</v>
      </c>
      <c r="AQ64" s="3247">
        <v>15</v>
      </c>
      <c r="AR64" s="3248">
        <f>SUM(AP64:AQ64)</f>
        <v>27</v>
      </c>
      <c r="AS64" s="3247">
        <v>12</v>
      </c>
      <c r="AT64" s="3247">
        <v>16</v>
      </c>
      <c r="AU64" s="3248">
        <f>SUM(AS64:AT64)</f>
        <v>28</v>
      </c>
      <c r="AV64" s="3247">
        <v>11</v>
      </c>
      <c r="AW64" s="3247">
        <v>14</v>
      </c>
      <c r="AX64" s="3248">
        <f>SUM(AV64:AW64)</f>
        <v>25</v>
      </c>
      <c r="AY64" s="3247">
        <v>11</v>
      </c>
      <c r="AZ64" s="3247">
        <v>13</v>
      </c>
      <c r="BA64" s="3248">
        <f>SUM(AY64:AZ64)</f>
        <v>24</v>
      </c>
      <c r="BB64" s="3247">
        <v>11</v>
      </c>
      <c r="BC64" s="3247">
        <v>12</v>
      </c>
      <c r="BD64" s="3248">
        <f>SUM(BB64:BC64)</f>
        <v>23</v>
      </c>
    </row>
    <row r="65" spans="2:56" x14ac:dyDescent="0.3">
      <c r="B65" s="3249" t="s">
        <v>92</v>
      </c>
      <c r="C65" s="3331">
        <v>15</v>
      </c>
      <c r="D65" s="3332">
        <v>14</v>
      </c>
      <c r="E65" s="3332">
        <f>SUM(C65:D65)</f>
        <v>29</v>
      </c>
      <c r="F65" s="3331">
        <v>16</v>
      </c>
      <c r="G65" s="3332">
        <v>14</v>
      </c>
      <c r="H65" s="3333">
        <f>SUM(F65:G65)</f>
        <v>30</v>
      </c>
      <c r="I65" s="3332">
        <v>15</v>
      </c>
      <c r="J65" s="3332">
        <v>14</v>
      </c>
      <c r="K65" s="3332">
        <f>SUM(I65:J65)</f>
        <v>29</v>
      </c>
      <c r="L65" s="3334">
        <v>15</v>
      </c>
      <c r="M65" s="3256">
        <v>17</v>
      </c>
      <c r="N65" s="3257">
        <f t="shared" si="15"/>
        <v>32</v>
      </c>
      <c r="O65" s="3256">
        <v>17</v>
      </c>
      <c r="P65" s="3256">
        <v>16</v>
      </c>
      <c r="Q65" s="3257">
        <f t="shared" si="16"/>
        <v>33</v>
      </c>
      <c r="R65" s="3256">
        <v>16</v>
      </c>
      <c r="S65" s="3256">
        <v>16</v>
      </c>
      <c r="T65" s="3257">
        <f t="shared" si="17"/>
        <v>32</v>
      </c>
      <c r="U65" s="3256">
        <v>15</v>
      </c>
      <c r="V65" s="3256">
        <v>16</v>
      </c>
      <c r="W65" s="3257">
        <f t="shared" si="18"/>
        <v>31</v>
      </c>
      <c r="X65" s="3256">
        <v>13</v>
      </c>
      <c r="Y65" s="3256">
        <v>15</v>
      </c>
      <c r="Z65" s="3257">
        <f>SUM(X65:Y65)</f>
        <v>28</v>
      </c>
      <c r="AA65" s="3256">
        <v>17</v>
      </c>
      <c r="AB65" s="3256">
        <v>16</v>
      </c>
      <c r="AC65" s="3257">
        <f>SUM(AA65:AB65)</f>
        <v>33</v>
      </c>
      <c r="AD65" s="3256">
        <v>17</v>
      </c>
      <c r="AE65" s="3256">
        <v>21</v>
      </c>
      <c r="AF65" s="3257">
        <f>SUM(AD65:AE65)</f>
        <v>38</v>
      </c>
      <c r="AG65" s="3256">
        <v>16</v>
      </c>
      <c r="AH65" s="3256">
        <v>21</v>
      </c>
      <c r="AI65" s="3257">
        <f>SUM(AG65:AH65)</f>
        <v>37</v>
      </c>
      <c r="AJ65" s="3256">
        <v>16</v>
      </c>
      <c r="AK65" s="3256">
        <v>21</v>
      </c>
      <c r="AL65" s="3257">
        <f>SUM(AJ65:AK65)</f>
        <v>37</v>
      </c>
      <c r="AM65" s="3256">
        <v>14</v>
      </c>
      <c r="AN65" s="3256">
        <v>18</v>
      </c>
      <c r="AO65" s="3257">
        <f>SUM(AM65:AN65)</f>
        <v>32</v>
      </c>
      <c r="AP65" s="3256">
        <v>14</v>
      </c>
      <c r="AQ65" s="3256">
        <v>18</v>
      </c>
      <c r="AR65" s="3257">
        <f>SUM(AP65:AQ65)</f>
        <v>32</v>
      </c>
      <c r="AS65" s="3256">
        <v>13</v>
      </c>
      <c r="AT65" s="3256">
        <v>18</v>
      </c>
      <c r="AU65" s="3257">
        <f>SUM(AS65:AT65)</f>
        <v>31</v>
      </c>
      <c r="AV65" s="3256">
        <v>13</v>
      </c>
      <c r="AW65" s="3256">
        <v>19</v>
      </c>
      <c r="AX65" s="3257">
        <f>SUM(AV65:AW65)</f>
        <v>32</v>
      </c>
      <c r="AY65" s="3256">
        <v>13</v>
      </c>
      <c r="AZ65" s="3256">
        <v>19</v>
      </c>
      <c r="BA65" s="3257">
        <f>SUM(AY65:AZ65)</f>
        <v>32</v>
      </c>
      <c r="BB65" s="3256">
        <v>13</v>
      </c>
      <c r="BC65" s="3256">
        <v>17</v>
      </c>
      <c r="BD65" s="3257">
        <f>SUM(BB65:BC65)</f>
        <v>30</v>
      </c>
    </row>
    <row r="66" spans="2:56" x14ac:dyDescent="0.3">
      <c r="B66" s="3249" t="s">
        <v>68</v>
      </c>
      <c r="C66" s="3331">
        <v>5</v>
      </c>
      <c r="D66" s="3332">
        <v>21</v>
      </c>
      <c r="E66" s="3332">
        <f>SUM(C66:D66)</f>
        <v>26</v>
      </c>
      <c r="F66" s="3331">
        <v>5</v>
      </c>
      <c r="G66" s="3332">
        <v>22</v>
      </c>
      <c r="H66" s="3333">
        <f>SUM(F66:G66)</f>
        <v>27</v>
      </c>
      <c r="I66" s="3332">
        <v>5</v>
      </c>
      <c r="J66" s="3332">
        <v>21</v>
      </c>
      <c r="K66" s="3332">
        <f>SUM(I66:J66)</f>
        <v>26</v>
      </c>
      <c r="L66" s="3334">
        <v>6</v>
      </c>
      <c r="M66" s="3256">
        <v>20</v>
      </c>
      <c r="N66" s="3257">
        <f t="shared" si="15"/>
        <v>26</v>
      </c>
      <c r="O66" s="3256">
        <v>6</v>
      </c>
      <c r="P66" s="3256">
        <v>25</v>
      </c>
      <c r="Q66" s="3257">
        <f t="shared" si="16"/>
        <v>31</v>
      </c>
      <c r="R66" s="3256">
        <v>7</v>
      </c>
      <c r="S66" s="3256">
        <v>22</v>
      </c>
      <c r="T66" s="3257">
        <f t="shared" si="17"/>
        <v>29</v>
      </c>
      <c r="U66" s="3256">
        <v>8</v>
      </c>
      <c r="V66" s="3256">
        <v>24</v>
      </c>
      <c r="W66" s="3257">
        <f t="shared" si="18"/>
        <v>32</v>
      </c>
      <c r="X66" s="3256">
        <v>7</v>
      </c>
      <c r="Y66" s="3256">
        <v>25</v>
      </c>
      <c r="Z66" s="3257">
        <f>SUM(X66:Y66)</f>
        <v>32</v>
      </c>
      <c r="AA66" s="3256">
        <v>6</v>
      </c>
      <c r="AB66" s="3256">
        <v>25</v>
      </c>
      <c r="AC66" s="3257">
        <f>SUM(AA66:AB66)</f>
        <v>31</v>
      </c>
      <c r="AD66" s="3256">
        <v>7</v>
      </c>
      <c r="AE66" s="3256">
        <v>24</v>
      </c>
      <c r="AF66" s="3257">
        <f>SUM(AD66:AE66)</f>
        <v>31</v>
      </c>
      <c r="AG66" s="3256">
        <v>7</v>
      </c>
      <c r="AH66" s="3256">
        <v>25</v>
      </c>
      <c r="AI66" s="3257">
        <f>SUM(AG66:AH66)</f>
        <v>32</v>
      </c>
      <c r="AJ66" s="3256">
        <v>6</v>
      </c>
      <c r="AK66" s="3256">
        <v>18</v>
      </c>
      <c r="AL66" s="3257">
        <f>SUM(AJ66:AK66)</f>
        <v>24</v>
      </c>
      <c r="AM66" s="3256">
        <v>5</v>
      </c>
      <c r="AN66" s="3256">
        <v>22</v>
      </c>
      <c r="AO66" s="3257">
        <f>SUM(AM66:AN66)</f>
        <v>27</v>
      </c>
      <c r="AP66" s="3256">
        <v>3</v>
      </c>
      <c r="AQ66" s="3256">
        <v>23</v>
      </c>
      <c r="AR66" s="3257">
        <f>SUM(AP66:AQ66)</f>
        <v>26</v>
      </c>
      <c r="AS66" s="3256">
        <v>5</v>
      </c>
      <c r="AT66" s="3256">
        <v>21</v>
      </c>
      <c r="AU66" s="3257">
        <f>SUM(AS66:AT66)</f>
        <v>26</v>
      </c>
      <c r="AV66" s="3256">
        <v>6</v>
      </c>
      <c r="AW66" s="3256">
        <v>20</v>
      </c>
      <c r="AX66" s="3257">
        <f>SUM(AV66:AW66)</f>
        <v>26</v>
      </c>
      <c r="AY66" s="3256">
        <v>4</v>
      </c>
      <c r="AZ66" s="3256">
        <v>19</v>
      </c>
      <c r="BA66" s="3257">
        <f>SUM(AY66:AZ66)</f>
        <v>23</v>
      </c>
      <c r="BB66" s="3256">
        <v>5</v>
      </c>
      <c r="BC66" s="3256">
        <v>14</v>
      </c>
      <c r="BD66" s="3257">
        <f>SUM(BB66:BC66)</f>
        <v>19</v>
      </c>
    </row>
    <row r="67" spans="2:56" x14ac:dyDescent="0.3">
      <c r="B67" s="3297" t="s">
        <v>137</v>
      </c>
      <c r="C67" s="3357">
        <f t="shared" ref="C67:M67" si="22">SUM(C64:C66)</f>
        <v>34</v>
      </c>
      <c r="D67" s="3358">
        <f t="shared" si="22"/>
        <v>55</v>
      </c>
      <c r="E67" s="3358">
        <f t="shared" si="22"/>
        <v>89</v>
      </c>
      <c r="F67" s="3357">
        <f t="shared" si="22"/>
        <v>41</v>
      </c>
      <c r="G67" s="3358">
        <f t="shared" si="22"/>
        <v>56</v>
      </c>
      <c r="H67" s="3359">
        <f t="shared" si="22"/>
        <v>97</v>
      </c>
      <c r="I67" s="3358">
        <f t="shared" si="22"/>
        <v>38</v>
      </c>
      <c r="J67" s="3358">
        <f t="shared" si="22"/>
        <v>54</v>
      </c>
      <c r="K67" s="3358">
        <f t="shared" si="22"/>
        <v>92</v>
      </c>
      <c r="L67" s="3360">
        <f t="shared" si="22"/>
        <v>35</v>
      </c>
      <c r="M67" s="3361">
        <f t="shared" si="22"/>
        <v>57</v>
      </c>
      <c r="N67" s="3362">
        <f t="shared" si="15"/>
        <v>92</v>
      </c>
      <c r="O67" s="3361">
        <f>SUM(O64:O66)</f>
        <v>37</v>
      </c>
      <c r="P67" s="3361">
        <f>SUM(P64:P66)</f>
        <v>60</v>
      </c>
      <c r="Q67" s="3362">
        <f t="shared" si="16"/>
        <v>97</v>
      </c>
      <c r="R67" s="3361">
        <f>SUM(R64:R66)</f>
        <v>36</v>
      </c>
      <c r="S67" s="3361">
        <f>SUM(S64:S66)</f>
        <v>58</v>
      </c>
      <c r="T67" s="3362">
        <f t="shared" si="17"/>
        <v>94</v>
      </c>
      <c r="U67" s="3361">
        <f>SUM(U64:U66)</f>
        <v>33</v>
      </c>
      <c r="V67" s="3361">
        <f>SUM(V64:V66)</f>
        <v>61</v>
      </c>
      <c r="W67" s="3362">
        <f t="shared" si="18"/>
        <v>94</v>
      </c>
      <c r="X67" s="3361">
        <f>SUM(X64:X66)</f>
        <v>29</v>
      </c>
      <c r="Y67" s="3361">
        <f>SUM(Y64:Y66)</f>
        <v>57</v>
      </c>
      <c r="Z67" s="3362">
        <f>SUM(X67:Y67)</f>
        <v>86</v>
      </c>
      <c r="AA67" s="3361">
        <f>SUM(AA64:AA66)</f>
        <v>31</v>
      </c>
      <c r="AB67" s="3361">
        <f>SUM(AB64:AB66)</f>
        <v>56</v>
      </c>
      <c r="AC67" s="3362">
        <f>SUM(AA67:AB67)</f>
        <v>87</v>
      </c>
      <c r="AD67" s="3361">
        <f>SUM(AD64:AD66)</f>
        <v>32</v>
      </c>
      <c r="AE67" s="3361">
        <f>SUM(AE64:AE66)</f>
        <v>60</v>
      </c>
      <c r="AF67" s="3362">
        <f>SUM(AD67:AE67)</f>
        <v>92</v>
      </c>
      <c r="AG67" s="3361">
        <f>SUM(AG64:AG66)</f>
        <v>33</v>
      </c>
      <c r="AH67" s="3361">
        <f>SUM(AH64:AH66)</f>
        <v>60</v>
      </c>
      <c r="AI67" s="3362">
        <f>SUM(AG67:AH67)</f>
        <v>93</v>
      </c>
      <c r="AJ67" s="3361">
        <f>SUM(AJ64:AJ66)</f>
        <v>32</v>
      </c>
      <c r="AK67" s="3361">
        <f>SUM(AK64:AK66)</f>
        <v>55</v>
      </c>
      <c r="AL67" s="3362">
        <f>SUM(AJ67:AK67)</f>
        <v>87</v>
      </c>
      <c r="AM67" s="3361">
        <f>SUM(AM64:AM66)</f>
        <v>30</v>
      </c>
      <c r="AN67" s="3361">
        <f>SUM(AN64:AN66)</f>
        <v>55</v>
      </c>
      <c r="AO67" s="3362">
        <f>SUM(AM67:AN67)</f>
        <v>85</v>
      </c>
      <c r="AP67" s="3361">
        <f>SUM(AP64:AP66)</f>
        <v>29</v>
      </c>
      <c r="AQ67" s="3361">
        <f>SUM(AQ64:AQ66)</f>
        <v>56</v>
      </c>
      <c r="AR67" s="3362">
        <f>SUM(AP67:AQ67)</f>
        <v>85</v>
      </c>
      <c r="AS67" s="3361">
        <f>SUM(AS64:AS66)</f>
        <v>30</v>
      </c>
      <c r="AT67" s="3361">
        <f>SUM(AT64:AT66)</f>
        <v>55</v>
      </c>
      <c r="AU67" s="3362">
        <f>SUM(AS67:AT67)</f>
        <v>85</v>
      </c>
      <c r="AV67" s="3361">
        <f>SUM(AV64:AV66)</f>
        <v>30</v>
      </c>
      <c r="AW67" s="3361">
        <f>SUM(AW64:AW66)</f>
        <v>53</v>
      </c>
      <c r="AX67" s="3362">
        <f>SUM(AV67:AW67)</f>
        <v>83</v>
      </c>
      <c r="AY67" s="3361">
        <f>SUM(AY64:AY66)</f>
        <v>28</v>
      </c>
      <c r="AZ67" s="3361">
        <f>SUM(AZ64:AZ66)</f>
        <v>51</v>
      </c>
      <c r="BA67" s="3362">
        <f>SUM(AY67:AZ67)</f>
        <v>79</v>
      </c>
      <c r="BB67" s="3361">
        <f>SUM(BB64:BB66)</f>
        <v>29</v>
      </c>
      <c r="BC67" s="3361">
        <f>SUM(BC64:BC66)</f>
        <v>43</v>
      </c>
      <c r="BD67" s="3362">
        <f>SUM(BB67:BC67)</f>
        <v>72</v>
      </c>
    </row>
    <row r="68" spans="2:56" x14ac:dyDescent="0.3">
      <c r="B68" s="3306"/>
      <c r="C68" s="3267"/>
      <c r="D68" s="3267"/>
      <c r="E68" s="3267"/>
      <c r="F68" s="3267"/>
      <c r="G68" s="3267"/>
      <c r="H68" s="3267"/>
      <c r="I68" s="3267"/>
      <c r="J68" s="3267"/>
      <c r="K68" s="3267"/>
      <c r="L68" s="3267"/>
      <c r="M68" s="3267"/>
      <c r="N68" s="3267"/>
      <c r="O68" s="3267"/>
      <c r="P68" s="3267"/>
      <c r="Q68" s="3267"/>
      <c r="R68" s="3267"/>
      <c r="S68" s="3267"/>
      <c r="T68" s="3267"/>
      <c r="U68" s="3267"/>
      <c r="V68" s="3267"/>
      <c r="W68" s="3267"/>
      <c r="X68" s="3267"/>
      <c r="Y68" s="3267"/>
      <c r="Z68" s="3267"/>
      <c r="AA68" s="3267"/>
      <c r="AB68" s="3267"/>
      <c r="AC68" s="3267"/>
      <c r="AD68" s="3267"/>
      <c r="AE68" s="3267"/>
      <c r="AF68" s="3267"/>
      <c r="AG68" s="3267"/>
      <c r="AH68" s="3267"/>
      <c r="AI68" s="3267"/>
      <c r="AJ68" s="3267"/>
      <c r="AK68" s="3267"/>
      <c r="AL68" s="3267"/>
      <c r="AM68" s="3267"/>
      <c r="AN68" s="3267"/>
      <c r="AO68" s="3267"/>
      <c r="AP68" s="3267"/>
      <c r="AQ68" s="3267"/>
      <c r="AR68" s="3267"/>
      <c r="AS68" s="3267"/>
      <c r="AT68" s="3267"/>
      <c r="AU68" s="3267"/>
      <c r="AV68" s="3267"/>
      <c r="AW68" s="3267"/>
      <c r="AX68" s="3267"/>
      <c r="AY68" s="3267"/>
      <c r="AZ68" s="3267"/>
      <c r="BA68" s="3267"/>
      <c r="BB68" s="3267"/>
      <c r="BC68" s="3267"/>
      <c r="BD68" s="3267"/>
    </row>
    <row r="69" spans="2:56" x14ac:dyDescent="0.3">
      <c r="B69" s="3308" t="s">
        <v>59</v>
      </c>
      <c r="C69" s="3330">
        <f t="shared" ref="C69:M69" si="23">SUM(C44,C54)</f>
        <v>6</v>
      </c>
      <c r="D69" s="3247">
        <f t="shared" si="23"/>
        <v>27</v>
      </c>
      <c r="E69" s="3247">
        <f t="shared" si="23"/>
        <v>33</v>
      </c>
      <c r="F69" s="3330">
        <f t="shared" si="23"/>
        <v>6</v>
      </c>
      <c r="G69" s="3247">
        <f t="shared" si="23"/>
        <v>30</v>
      </c>
      <c r="H69" s="3248">
        <f t="shared" si="23"/>
        <v>36</v>
      </c>
      <c r="I69" s="3247">
        <f t="shared" si="23"/>
        <v>6</v>
      </c>
      <c r="J69" s="3247">
        <f t="shared" si="23"/>
        <v>29</v>
      </c>
      <c r="K69" s="3247">
        <f t="shared" si="23"/>
        <v>35</v>
      </c>
      <c r="L69" s="3330">
        <f t="shared" si="23"/>
        <v>8</v>
      </c>
      <c r="M69" s="3247">
        <f t="shared" si="23"/>
        <v>24</v>
      </c>
      <c r="N69" s="3248">
        <f t="shared" ref="N69:N75" si="24">SUM(L69:M69)</f>
        <v>32</v>
      </c>
      <c r="O69" s="3247">
        <f>SUM(O44,O54)</f>
        <v>6</v>
      </c>
      <c r="P69" s="3247">
        <f>SUM(P44,P54)</f>
        <v>23</v>
      </c>
      <c r="Q69" s="3248">
        <f t="shared" ref="Q69:Q75" si="25">SUM(O69:P69)</f>
        <v>29</v>
      </c>
      <c r="R69" s="3247">
        <f>SUM(R44,R54)</f>
        <v>6</v>
      </c>
      <c r="S69" s="3247">
        <f>SUM(S44,S54)</f>
        <v>23</v>
      </c>
      <c r="T69" s="3248">
        <f t="shared" ref="T69:T75" si="26">SUM(R69:S69)</f>
        <v>29</v>
      </c>
      <c r="U69" s="3247">
        <f>SUM(U44,U54)</f>
        <v>5</v>
      </c>
      <c r="V69" s="3247">
        <f>SUM(V44,V54)</f>
        <v>20</v>
      </c>
      <c r="W69" s="3248">
        <f t="shared" ref="W69:W75" si="27">SUM(U69:V69)</f>
        <v>25</v>
      </c>
      <c r="X69" s="3247">
        <f>SUM(X44,X54)</f>
        <v>4</v>
      </c>
      <c r="Y69" s="3247">
        <f>SUM(Y44,Y54)</f>
        <v>19</v>
      </c>
      <c r="Z69" s="3248">
        <f t="shared" ref="Z69:Z75" si="28">SUM(X69:Y69)</f>
        <v>23</v>
      </c>
      <c r="AA69" s="3247">
        <f>SUM(AA44,AA54)</f>
        <v>4</v>
      </c>
      <c r="AB69" s="3247">
        <f>SUM(AB44,AB54)</f>
        <v>18</v>
      </c>
      <c r="AC69" s="3248">
        <f t="shared" ref="AC69:AC75" si="29">SUM(AA69:AB69)</f>
        <v>22</v>
      </c>
      <c r="AD69" s="3247">
        <f>SUM(AD44,AD54)</f>
        <v>5</v>
      </c>
      <c r="AE69" s="3247">
        <f>SUM(AE44,AE54)</f>
        <v>17</v>
      </c>
      <c r="AF69" s="3248">
        <f t="shared" ref="AF69:AF75" si="30">SUM(AD69:AE69)</f>
        <v>22</v>
      </c>
      <c r="AG69" s="3247">
        <f>SUM(AG44,AG54)</f>
        <v>5</v>
      </c>
      <c r="AH69" s="3247">
        <f>SUM(AH44,AH54)</f>
        <v>14</v>
      </c>
      <c r="AI69" s="3248">
        <f t="shared" ref="AI69:AI75" si="31">SUM(AG69:AH69)</f>
        <v>19</v>
      </c>
      <c r="AJ69" s="3247">
        <f>SUM(AJ44,AJ54)</f>
        <v>5</v>
      </c>
      <c r="AK69" s="3247">
        <f>SUM(AK44,AK54)</f>
        <v>12</v>
      </c>
      <c r="AL69" s="3248">
        <f t="shared" ref="AL69:AL75" si="32">SUM(AJ69:AK69)</f>
        <v>17</v>
      </c>
      <c r="AM69" s="3247">
        <f>SUM(AM44,AM54)</f>
        <v>3</v>
      </c>
      <c r="AN69" s="3247">
        <f>SUM(AN44,AN54)</f>
        <v>11</v>
      </c>
      <c r="AO69" s="3248">
        <f t="shared" ref="AO69:AO75" si="33">SUM(AM69:AN69)</f>
        <v>14</v>
      </c>
      <c r="AP69" s="3247">
        <f>SUM(AP44,AP54)</f>
        <v>3</v>
      </c>
      <c r="AQ69" s="3247">
        <f>SUM(AQ44,AQ54)</f>
        <v>11</v>
      </c>
      <c r="AR69" s="3248">
        <f t="shared" ref="AR69:AR75" si="34">SUM(AP69:AQ69)</f>
        <v>14</v>
      </c>
      <c r="AS69" s="3247">
        <f>SUM(AS44,AS54)</f>
        <v>3</v>
      </c>
      <c r="AT69" s="3247">
        <f>SUM(AT44,AT54)</f>
        <v>11</v>
      </c>
      <c r="AU69" s="3248">
        <f t="shared" ref="AU69:AU75" si="35">SUM(AS69:AT69)</f>
        <v>14</v>
      </c>
      <c r="AV69" s="3247">
        <f>SUM(AV44,AV54)</f>
        <v>5</v>
      </c>
      <c r="AW69" s="3247">
        <f>SUM(AW44,AW54)</f>
        <v>11</v>
      </c>
      <c r="AX69" s="3248">
        <f t="shared" ref="AX69:AX75" si="36">SUM(AV69:AW69)</f>
        <v>16</v>
      </c>
      <c r="AY69" s="3247">
        <f>SUM(AY44,AY54)</f>
        <v>5</v>
      </c>
      <c r="AZ69" s="3247">
        <f>SUM(AZ44,AZ54)</f>
        <v>11</v>
      </c>
      <c r="BA69" s="3248">
        <f t="shared" ref="BA69:BA75" si="37">SUM(AY69:AZ69)</f>
        <v>16</v>
      </c>
      <c r="BB69" s="3247">
        <f>SUM(BB44,BB54)</f>
        <v>5</v>
      </c>
      <c r="BC69" s="3247">
        <f>SUM(BC44,BC54)</f>
        <v>9</v>
      </c>
      <c r="BD69" s="3248">
        <f t="shared" ref="BD69:BD75" si="38">SUM(BB69:BC69)</f>
        <v>14</v>
      </c>
    </row>
    <row r="70" spans="2:56" x14ac:dyDescent="0.3">
      <c r="B70" s="3309" t="s">
        <v>64</v>
      </c>
      <c r="C70" s="3334">
        <f t="shared" ref="C70:M70" si="39">SUM(C45,C49,C55,C64)</f>
        <v>25</v>
      </c>
      <c r="D70" s="3256">
        <f t="shared" si="39"/>
        <v>63</v>
      </c>
      <c r="E70" s="3256">
        <f t="shared" si="39"/>
        <v>88</v>
      </c>
      <c r="F70" s="3334">
        <f t="shared" si="39"/>
        <v>34</v>
      </c>
      <c r="G70" s="3256">
        <f t="shared" si="39"/>
        <v>67</v>
      </c>
      <c r="H70" s="3257">
        <f t="shared" si="39"/>
        <v>101</v>
      </c>
      <c r="I70" s="3256">
        <f t="shared" si="39"/>
        <v>32</v>
      </c>
      <c r="J70" s="3256">
        <f t="shared" si="39"/>
        <v>66</v>
      </c>
      <c r="K70" s="3256">
        <f t="shared" si="39"/>
        <v>98</v>
      </c>
      <c r="L70" s="3334">
        <f t="shared" si="39"/>
        <v>27</v>
      </c>
      <c r="M70" s="3256">
        <f t="shared" si="39"/>
        <v>66</v>
      </c>
      <c r="N70" s="3257">
        <f t="shared" si="24"/>
        <v>93</v>
      </c>
      <c r="O70" s="3256">
        <f>SUM(O45,O49,O55,O64)</f>
        <v>28</v>
      </c>
      <c r="P70" s="3256">
        <f>SUM(P45,P49,P55,P64)</f>
        <v>65</v>
      </c>
      <c r="Q70" s="3257">
        <f t="shared" si="25"/>
        <v>93</v>
      </c>
      <c r="R70" s="3256">
        <f>SUM(R45,R49,R55,R64)</f>
        <v>27</v>
      </c>
      <c r="S70" s="3256">
        <f>SUM(S45,S49,S55,S64)</f>
        <v>67</v>
      </c>
      <c r="T70" s="3257">
        <f t="shared" si="26"/>
        <v>94</v>
      </c>
      <c r="U70" s="3256">
        <f>SUM(U45,U49,U55,U64)</f>
        <v>23</v>
      </c>
      <c r="V70" s="3256">
        <f>SUM(V45,V49,V55,V64)</f>
        <v>61</v>
      </c>
      <c r="W70" s="3257">
        <f t="shared" si="27"/>
        <v>84</v>
      </c>
      <c r="X70" s="3256">
        <f>SUM(X45,X49,X55,X64)</f>
        <v>19</v>
      </c>
      <c r="Y70" s="3256">
        <f>SUM(Y45,Y49,Y55,Y64)</f>
        <v>62</v>
      </c>
      <c r="Z70" s="3257">
        <f t="shared" si="28"/>
        <v>81</v>
      </c>
      <c r="AA70" s="3256">
        <f>SUM(AA45,AA49,AA55,AA64)</f>
        <v>18</v>
      </c>
      <c r="AB70" s="3256">
        <f>SUM(AB45,AB49,AB55,AB64)</f>
        <v>59</v>
      </c>
      <c r="AC70" s="3257">
        <f t="shared" si="29"/>
        <v>77</v>
      </c>
      <c r="AD70" s="3256">
        <f>SUM(AD45,AD49,AD55,AD64)</f>
        <v>18</v>
      </c>
      <c r="AE70" s="3256">
        <f>SUM(AE45,AE49,AE55,AE64)</f>
        <v>55</v>
      </c>
      <c r="AF70" s="3257">
        <f t="shared" si="30"/>
        <v>73</v>
      </c>
      <c r="AG70" s="3256">
        <f>SUM(AG45,AG49,AG55,AG64)</f>
        <v>19</v>
      </c>
      <c r="AH70" s="3256">
        <f>SUM(AH45,AH49,AH55,AH64)</f>
        <v>49</v>
      </c>
      <c r="AI70" s="3257">
        <f t="shared" si="31"/>
        <v>68</v>
      </c>
      <c r="AJ70" s="3256">
        <f>SUM(AJ45,AJ49,AJ55,AJ64)</f>
        <v>20</v>
      </c>
      <c r="AK70" s="3256">
        <f>SUM(AK45,AK49,AK55,AK64)</f>
        <v>52</v>
      </c>
      <c r="AL70" s="3257">
        <f t="shared" si="32"/>
        <v>72</v>
      </c>
      <c r="AM70" s="3256">
        <f>SUM(AM45,AM49,AM55,AM60,AM64)</f>
        <v>16</v>
      </c>
      <c r="AN70" s="3256">
        <f>SUM(AN45,AN49,AN55,AN60,AN64)</f>
        <v>52</v>
      </c>
      <c r="AO70" s="3257">
        <f t="shared" si="33"/>
        <v>68</v>
      </c>
      <c r="AP70" s="3256">
        <f>SUM(AP45,AP49,AP55,AP60,AP64)</f>
        <v>16</v>
      </c>
      <c r="AQ70" s="3256">
        <f>SUM(AQ45,AQ49,AQ55,AQ60,AQ64)</f>
        <v>52</v>
      </c>
      <c r="AR70" s="3257">
        <f t="shared" si="34"/>
        <v>68</v>
      </c>
      <c r="AS70" s="3256">
        <f>SUM(AS45,AS49,AS55,AS60,AS64)</f>
        <v>15</v>
      </c>
      <c r="AT70" s="3256">
        <f>SUM(AT45,AT49,AT55,AT60,AT64)</f>
        <v>47</v>
      </c>
      <c r="AU70" s="3257">
        <f t="shared" si="35"/>
        <v>62</v>
      </c>
      <c r="AV70" s="3256">
        <f>SUM(AV45,AV49,AV55,AV60,AV64)</f>
        <v>14</v>
      </c>
      <c r="AW70" s="3256">
        <f>SUM(AW45,AW49,AW55,AW60,AW64)</f>
        <v>44</v>
      </c>
      <c r="AX70" s="3257">
        <f t="shared" si="36"/>
        <v>58</v>
      </c>
      <c r="AY70" s="3256">
        <f>SUM(AY45,AY49,AY55,AY60,AY64)</f>
        <v>14</v>
      </c>
      <c r="AZ70" s="3256">
        <f>SUM(AZ45,AZ49,AZ55,AZ60,AZ64)</f>
        <v>43</v>
      </c>
      <c r="BA70" s="3257">
        <f t="shared" si="37"/>
        <v>57</v>
      </c>
      <c r="BB70" s="3256">
        <f>SUM(BB45,BB49,BB55,BB60,BB64)</f>
        <v>14</v>
      </c>
      <c r="BC70" s="3256">
        <f>SUM(BC45,BC49,BC55,BC60,BC64)</f>
        <v>38</v>
      </c>
      <c r="BD70" s="3257">
        <f t="shared" si="38"/>
        <v>52</v>
      </c>
    </row>
    <row r="71" spans="2:56" x14ac:dyDescent="0.3">
      <c r="B71" s="3309" t="s">
        <v>92</v>
      </c>
      <c r="C71" s="3334">
        <f t="shared" ref="C71:M71" si="40">SUM(C56,C65)</f>
        <v>15</v>
      </c>
      <c r="D71" s="3256">
        <f t="shared" si="40"/>
        <v>19</v>
      </c>
      <c r="E71" s="3256">
        <f t="shared" si="40"/>
        <v>34</v>
      </c>
      <c r="F71" s="3334">
        <f t="shared" si="40"/>
        <v>16</v>
      </c>
      <c r="G71" s="3256">
        <f t="shared" si="40"/>
        <v>20</v>
      </c>
      <c r="H71" s="3257">
        <f t="shared" si="40"/>
        <v>36</v>
      </c>
      <c r="I71" s="3256">
        <f t="shared" si="40"/>
        <v>16</v>
      </c>
      <c r="J71" s="3256">
        <f t="shared" si="40"/>
        <v>20</v>
      </c>
      <c r="K71" s="3256">
        <f t="shared" si="40"/>
        <v>36</v>
      </c>
      <c r="L71" s="3334">
        <f t="shared" si="40"/>
        <v>16</v>
      </c>
      <c r="M71" s="3256">
        <f t="shared" si="40"/>
        <v>23</v>
      </c>
      <c r="N71" s="3257">
        <f t="shared" si="24"/>
        <v>39</v>
      </c>
      <c r="O71" s="3256">
        <f>SUM(O56,O65)</f>
        <v>18</v>
      </c>
      <c r="P71" s="3256">
        <f>SUM(P56,P65)</f>
        <v>24</v>
      </c>
      <c r="Q71" s="3257">
        <f t="shared" si="25"/>
        <v>42</v>
      </c>
      <c r="R71" s="3256">
        <f>SUM(R56,R65)</f>
        <v>17</v>
      </c>
      <c r="S71" s="3256">
        <f>SUM(S56,S65)</f>
        <v>23</v>
      </c>
      <c r="T71" s="3257">
        <f t="shared" si="26"/>
        <v>40</v>
      </c>
      <c r="U71" s="3256">
        <f>SUM(U56,U65)</f>
        <v>16</v>
      </c>
      <c r="V71" s="3256">
        <f>SUM(V56,V65)</f>
        <v>29</v>
      </c>
      <c r="W71" s="3257">
        <f t="shared" si="27"/>
        <v>45</v>
      </c>
      <c r="X71" s="3256">
        <f>SUM(X56,X65)</f>
        <v>14</v>
      </c>
      <c r="Y71" s="3256">
        <f>SUM(Y56,Y65)</f>
        <v>22</v>
      </c>
      <c r="Z71" s="3257">
        <f t="shared" si="28"/>
        <v>36</v>
      </c>
      <c r="AA71" s="3256">
        <f>SUM(AA56,AA65)</f>
        <v>18</v>
      </c>
      <c r="AB71" s="3256">
        <f>SUM(AB56,AB65)</f>
        <v>22</v>
      </c>
      <c r="AC71" s="3257">
        <f t="shared" si="29"/>
        <v>40</v>
      </c>
      <c r="AD71" s="3256">
        <f>SUM(AD56,AD65)</f>
        <v>18</v>
      </c>
      <c r="AE71" s="3256">
        <f>SUM(AE56,AE65)</f>
        <v>27</v>
      </c>
      <c r="AF71" s="3257">
        <f t="shared" si="30"/>
        <v>45</v>
      </c>
      <c r="AG71" s="3256">
        <f>SUM(AG56,AG65)</f>
        <v>17</v>
      </c>
      <c r="AH71" s="3256">
        <f>SUM(AH56,AH65)</f>
        <v>27</v>
      </c>
      <c r="AI71" s="3257">
        <f t="shared" si="31"/>
        <v>44</v>
      </c>
      <c r="AJ71" s="3256">
        <f>SUM(AJ56,AJ65)</f>
        <v>17</v>
      </c>
      <c r="AK71" s="3256">
        <f>SUM(AK56,AK65)</f>
        <v>25</v>
      </c>
      <c r="AL71" s="3257">
        <f t="shared" si="32"/>
        <v>42</v>
      </c>
      <c r="AM71" s="3256">
        <f>SUM(AM56,AM65)</f>
        <v>16</v>
      </c>
      <c r="AN71" s="3256">
        <f>SUM(AN56,AN65)</f>
        <v>22</v>
      </c>
      <c r="AO71" s="3257">
        <f t="shared" si="33"/>
        <v>38</v>
      </c>
      <c r="AP71" s="3256">
        <f>SUM(AP56,AP65)</f>
        <v>16</v>
      </c>
      <c r="AQ71" s="3256">
        <f>SUM(AQ56,AQ65)</f>
        <v>22</v>
      </c>
      <c r="AR71" s="3257">
        <f t="shared" si="34"/>
        <v>38</v>
      </c>
      <c r="AS71" s="3256">
        <f>SUM(AS56,AS65)</f>
        <v>15</v>
      </c>
      <c r="AT71" s="3256">
        <f>SUM(AT56,AT65)</f>
        <v>22</v>
      </c>
      <c r="AU71" s="3257">
        <f t="shared" si="35"/>
        <v>37</v>
      </c>
      <c r="AV71" s="3256">
        <f>SUM(AV56,AV65)</f>
        <v>15</v>
      </c>
      <c r="AW71" s="3256">
        <f>SUM(AW56,AW65)</f>
        <v>23</v>
      </c>
      <c r="AX71" s="3257">
        <f t="shared" si="36"/>
        <v>38</v>
      </c>
      <c r="AY71" s="3256">
        <f>SUM(AY56,AY65)</f>
        <v>15</v>
      </c>
      <c r="AZ71" s="3256">
        <f>SUM(AZ56,AZ65)</f>
        <v>23</v>
      </c>
      <c r="BA71" s="3257">
        <f t="shared" si="37"/>
        <v>38</v>
      </c>
      <c r="BB71" s="3256">
        <f>SUM(BB56,BB65)</f>
        <v>15</v>
      </c>
      <c r="BC71" s="3256">
        <f>SUM(BC56,BC65)</f>
        <v>21</v>
      </c>
      <c r="BD71" s="3257">
        <f t="shared" si="38"/>
        <v>36</v>
      </c>
    </row>
    <row r="72" spans="2:56" x14ac:dyDescent="0.3">
      <c r="B72" s="3309" t="s">
        <v>68</v>
      </c>
      <c r="C72" s="3334">
        <f t="shared" ref="C72:M72" si="41">SUM(C46,C66)</f>
        <v>20</v>
      </c>
      <c r="D72" s="3256">
        <f t="shared" si="41"/>
        <v>41</v>
      </c>
      <c r="E72" s="3256">
        <f t="shared" si="41"/>
        <v>61</v>
      </c>
      <c r="F72" s="3334">
        <f t="shared" si="41"/>
        <v>18</v>
      </c>
      <c r="G72" s="3256">
        <f t="shared" si="41"/>
        <v>41</v>
      </c>
      <c r="H72" s="3257">
        <f t="shared" si="41"/>
        <v>59</v>
      </c>
      <c r="I72" s="3256">
        <f t="shared" si="41"/>
        <v>19</v>
      </c>
      <c r="J72" s="3256">
        <f t="shared" si="41"/>
        <v>39</v>
      </c>
      <c r="K72" s="3256">
        <f t="shared" si="41"/>
        <v>58</v>
      </c>
      <c r="L72" s="3334">
        <f t="shared" si="41"/>
        <v>21</v>
      </c>
      <c r="M72" s="3256">
        <f t="shared" si="41"/>
        <v>36</v>
      </c>
      <c r="N72" s="3257">
        <f t="shared" si="24"/>
        <v>57</v>
      </c>
      <c r="O72" s="3256">
        <f>SUM(O46,O66)</f>
        <v>21</v>
      </c>
      <c r="P72" s="3256">
        <f>SUM(P46,P66)</f>
        <v>40</v>
      </c>
      <c r="Q72" s="3257">
        <f t="shared" si="25"/>
        <v>61</v>
      </c>
      <c r="R72" s="3256">
        <f>SUM(R46,R66)</f>
        <v>22</v>
      </c>
      <c r="S72" s="3256">
        <f>SUM(S46,S66)</f>
        <v>36</v>
      </c>
      <c r="T72" s="3257">
        <f t="shared" si="26"/>
        <v>58</v>
      </c>
      <c r="U72" s="3256">
        <f>SUM(U46,U66)</f>
        <v>24</v>
      </c>
      <c r="V72" s="3256">
        <f>SUM(V46,V66)</f>
        <v>37</v>
      </c>
      <c r="W72" s="3257">
        <f t="shared" si="27"/>
        <v>61</v>
      </c>
      <c r="X72" s="3256">
        <f>SUM(X46,X66)</f>
        <v>18</v>
      </c>
      <c r="Y72" s="3256">
        <f>SUM(Y46,Y66)</f>
        <v>38</v>
      </c>
      <c r="Z72" s="3257">
        <f t="shared" si="28"/>
        <v>56</v>
      </c>
      <c r="AA72" s="3256">
        <f>SUM(AA46,AA66)</f>
        <v>15</v>
      </c>
      <c r="AB72" s="3256">
        <f>SUM(AB46,AB66)</f>
        <v>37</v>
      </c>
      <c r="AC72" s="3257">
        <f t="shared" si="29"/>
        <v>52</v>
      </c>
      <c r="AD72" s="3256">
        <f>SUM(AD46,AD66)</f>
        <v>17</v>
      </c>
      <c r="AE72" s="3256">
        <f>SUM(AE46,AE66)</f>
        <v>36</v>
      </c>
      <c r="AF72" s="3257">
        <f t="shared" si="30"/>
        <v>53</v>
      </c>
      <c r="AG72" s="3256">
        <f>SUM(AG46,AG66)</f>
        <v>18</v>
      </c>
      <c r="AH72" s="3256">
        <f>SUM(AH46,AH66)</f>
        <v>37</v>
      </c>
      <c r="AI72" s="3257">
        <f t="shared" si="31"/>
        <v>55</v>
      </c>
      <c r="AJ72" s="3256">
        <f>SUM(AJ46,AJ66)</f>
        <v>16</v>
      </c>
      <c r="AK72" s="3256">
        <f>SUM(AK46,AK66)</f>
        <v>28</v>
      </c>
      <c r="AL72" s="3257">
        <f t="shared" si="32"/>
        <v>44</v>
      </c>
      <c r="AM72" s="3256">
        <f>SUM(AM46,AM66)</f>
        <v>16</v>
      </c>
      <c r="AN72" s="3256">
        <f>SUM(AN46,AN66)</f>
        <v>32</v>
      </c>
      <c r="AO72" s="3257">
        <f t="shared" si="33"/>
        <v>48</v>
      </c>
      <c r="AP72" s="3256">
        <f>SUM(AP46,AP66)</f>
        <v>14</v>
      </c>
      <c r="AQ72" s="3256">
        <f>SUM(AQ46,AQ66)</f>
        <v>33</v>
      </c>
      <c r="AR72" s="3257">
        <f t="shared" si="34"/>
        <v>47</v>
      </c>
      <c r="AS72" s="3256">
        <f>SUM(AS46,AS66)</f>
        <v>16</v>
      </c>
      <c r="AT72" s="3256">
        <f>SUM(AT46,AT66)</f>
        <v>30</v>
      </c>
      <c r="AU72" s="3257">
        <f t="shared" si="35"/>
        <v>46</v>
      </c>
      <c r="AV72" s="3256">
        <f>SUM(AV46,AV66)</f>
        <v>17</v>
      </c>
      <c r="AW72" s="3256">
        <f>SUM(AW46,AW66)</f>
        <v>28</v>
      </c>
      <c r="AX72" s="3257">
        <f t="shared" si="36"/>
        <v>45</v>
      </c>
      <c r="AY72" s="3256">
        <f>SUM(AY46,AY66)</f>
        <v>15</v>
      </c>
      <c r="AZ72" s="3256">
        <f>SUM(AZ46,AZ66)</f>
        <v>26</v>
      </c>
      <c r="BA72" s="3257">
        <f t="shared" si="37"/>
        <v>41</v>
      </c>
      <c r="BB72" s="3256">
        <f>SUM(BB46,BB66)</f>
        <v>16</v>
      </c>
      <c r="BC72" s="3256">
        <f>SUM(BC46,BC66)</f>
        <v>22</v>
      </c>
      <c r="BD72" s="3257">
        <f t="shared" si="38"/>
        <v>38</v>
      </c>
    </row>
    <row r="73" spans="2:56" x14ac:dyDescent="0.3">
      <c r="B73" s="3309" t="s">
        <v>111</v>
      </c>
      <c r="C73" s="3334">
        <f t="shared" ref="C73:M74" si="42">SUM(C50)</f>
        <v>0</v>
      </c>
      <c r="D73" s="3256">
        <f t="shared" si="42"/>
        <v>0</v>
      </c>
      <c r="E73" s="3256">
        <f t="shared" si="42"/>
        <v>0</v>
      </c>
      <c r="F73" s="3334">
        <f t="shared" si="42"/>
        <v>0</v>
      </c>
      <c r="G73" s="3256">
        <f t="shared" si="42"/>
        <v>0</v>
      </c>
      <c r="H73" s="3257">
        <f t="shared" si="42"/>
        <v>0</v>
      </c>
      <c r="I73" s="3256">
        <f t="shared" si="42"/>
        <v>0</v>
      </c>
      <c r="J73" s="3256">
        <f t="shared" si="42"/>
        <v>0</v>
      </c>
      <c r="K73" s="3256">
        <f t="shared" si="42"/>
        <v>0</v>
      </c>
      <c r="L73" s="3334">
        <f t="shared" si="42"/>
        <v>0</v>
      </c>
      <c r="M73" s="3256">
        <f t="shared" si="42"/>
        <v>0</v>
      </c>
      <c r="N73" s="3257">
        <f t="shared" si="24"/>
        <v>0</v>
      </c>
      <c r="O73" s="3256">
        <f>SUM(O50)</f>
        <v>0</v>
      </c>
      <c r="P73" s="3256">
        <f>SUM(P50)</f>
        <v>0</v>
      </c>
      <c r="Q73" s="3257">
        <f t="shared" si="25"/>
        <v>0</v>
      </c>
      <c r="R73" s="3256">
        <f>SUM(R50)</f>
        <v>0</v>
      </c>
      <c r="S73" s="3256">
        <f>SUM(S50)</f>
        <v>0</v>
      </c>
      <c r="T73" s="3257">
        <f t="shared" si="26"/>
        <v>0</v>
      </c>
      <c r="U73" s="3256">
        <f>SUM(U50)</f>
        <v>0</v>
      </c>
      <c r="V73" s="3256">
        <f>SUM(V50)</f>
        <v>0</v>
      </c>
      <c r="W73" s="3257">
        <f t="shared" si="27"/>
        <v>0</v>
      </c>
      <c r="X73" s="3256">
        <f>SUM(X50)</f>
        <v>0</v>
      </c>
      <c r="Y73" s="3256">
        <f>SUM(Y50)</f>
        <v>0</v>
      </c>
      <c r="Z73" s="3257">
        <f t="shared" si="28"/>
        <v>0</v>
      </c>
      <c r="AA73" s="3256">
        <f>SUM(AA50)</f>
        <v>0</v>
      </c>
      <c r="AB73" s="3256">
        <f>SUM(AB50)</f>
        <v>0</v>
      </c>
      <c r="AC73" s="3257">
        <f t="shared" si="29"/>
        <v>0</v>
      </c>
      <c r="AD73" s="3256">
        <f>SUM(AD50)</f>
        <v>0</v>
      </c>
      <c r="AE73" s="3256">
        <f>SUM(AE50)</f>
        <v>0</v>
      </c>
      <c r="AF73" s="3257">
        <f t="shared" si="30"/>
        <v>0</v>
      </c>
      <c r="AG73" s="3256">
        <f>SUM(AG50)</f>
        <v>0</v>
      </c>
      <c r="AH73" s="3256">
        <f>SUM(AH50)</f>
        <v>0</v>
      </c>
      <c r="AI73" s="3257">
        <f t="shared" si="31"/>
        <v>0</v>
      </c>
      <c r="AJ73" s="3256">
        <f>SUM(AJ50)</f>
        <v>0</v>
      </c>
      <c r="AK73" s="3256">
        <f>SUM(AK50)</f>
        <v>0</v>
      </c>
      <c r="AL73" s="3257">
        <f t="shared" si="32"/>
        <v>0</v>
      </c>
      <c r="AM73" s="3256">
        <f>SUM(AM50)</f>
        <v>0</v>
      </c>
      <c r="AN73" s="3256">
        <f>SUM(AN50)</f>
        <v>0</v>
      </c>
      <c r="AO73" s="3257">
        <f t="shared" si="33"/>
        <v>0</v>
      </c>
      <c r="AP73" s="3256">
        <f>SUM(AP50)</f>
        <v>0</v>
      </c>
      <c r="AQ73" s="3256">
        <f>SUM(AQ50)</f>
        <v>0</v>
      </c>
      <c r="AR73" s="3257">
        <f t="shared" si="34"/>
        <v>0</v>
      </c>
      <c r="AS73" s="3256">
        <f>SUM(AS50)</f>
        <v>0</v>
      </c>
      <c r="AT73" s="3256">
        <f>SUM(AT50)</f>
        <v>0</v>
      </c>
      <c r="AU73" s="3257">
        <f t="shared" si="35"/>
        <v>0</v>
      </c>
      <c r="AV73" s="3256">
        <f>SUM(AV50)</f>
        <v>0</v>
      </c>
      <c r="AW73" s="3256">
        <f>SUM(AW50)</f>
        <v>0</v>
      </c>
      <c r="AX73" s="3257">
        <f t="shared" si="36"/>
        <v>0</v>
      </c>
      <c r="AY73" s="3256">
        <f>SUM(AY50)</f>
        <v>0</v>
      </c>
      <c r="AZ73" s="3256">
        <f>SUM(AZ50)</f>
        <v>0</v>
      </c>
      <c r="BA73" s="3257">
        <f t="shared" si="37"/>
        <v>0</v>
      </c>
      <c r="BB73" s="3256">
        <f>SUM(BB50)</f>
        <v>0</v>
      </c>
      <c r="BC73" s="3256">
        <f>SUM(BC50)</f>
        <v>0</v>
      </c>
      <c r="BD73" s="3257">
        <f t="shared" si="38"/>
        <v>0</v>
      </c>
    </row>
    <row r="74" spans="2:56" x14ac:dyDescent="0.3">
      <c r="B74" s="3310" t="s">
        <v>115</v>
      </c>
      <c r="C74" s="3363">
        <f t="shared" si="42"/>
        <v>0</v>
      </c>
      <c r="D74" s="3314">
        <f t="shared" si="42"/>
        <v>0</v>
      </c>
      <c r="E74" s="3314">
        <f t="shared" si="42"/>
        <v>0</v>
      </c>
      <c r="F74" s="3363">
        <f t="shared" si="42"/>
        <v>0</v>
      </c>
      <c r="G74" s="3314">
        <f t="shared" si="42"/>
        <v>0</v>
      </c>
      <c r="H74" s="3315">
        <f t="shared" si="42"/>
        <v>0</v>
      </c>
      <c r="I74" s="3314">
        <f t="shared" si="42"/>
        <v>0</v>
      </c>
      <c r="J74" s="3314">
        <f t="shared" si="42"/>
        <v>0</v>
      </c>
      <c r="K74" s="3314">
        <f t="shared" si="42"/>
        <v>0</v>
      </c>
      <c r="L74" s="3363">
        <f t="shared" si="42"/>
        <v>0</v>
      </c>
      <c r="M74" s="3314">
        <f t="shared" si="42"/>
        <v>0</v>
      </c>
      <c r="N74" s="3315">
        <f t="shared" si="24"/>
        <v>0</v>
      </c>
      <c r="O74" s="3314">
        <f>SUM(O51)</f>
        <v>0</v>
      </c>
      <c r="P74" s="3314">
        <f>SUM(P51)</f>
        <v>0</v>
      </c>
      <c r="Q74" s="3315">
        <f t="shared" si="25"/>
        <v>0</v>
      </c>
      <c r="R74" s="3314">
        <f>SUM(R51)</f>
        <v>0</v>
      </c>
      <c r="S74" s="3314">
        <f>SUM(S51)</f>
        <v>0</v>
      </c>
      <c r="T74" s="3315">
        <f t="shared" si="26"/>
        <v>0</v>
      </c>
      <c r="U74" s="3314">
        <f>SUM(U51)</f>
        <v>0</v>
      </c>
      <c r="V74" s="3314">
        <f>SUM(V51)</f>
        <v>0</v>
      </c>
      <c r="W74" s="3315">
        <f t="shared" si="27"/>
        <v>0</v>
      </c>
      <c r="X74" s="3314">
        <f>SUM(X51)</f>
        <v>0</v>
      </c>
      <c r="Y74" s="3314">
        <f>SUM(Y51)</f>
        <v>0</v>
      </c>
      <c r="Z74" s="3315">
        <f t="shared" si="28"/>
        <v>0</v>
      </c>
      <c r="AA74" s="3314">
        <f>SUM(AA51)</f>
        <v>1</v>
      </c>
      <c r="AB74" s="3314">
        <f>SUM(AB51)</f>
        <v>0</v>
      </c>
      <c r="AC74" s="3315">
        <f t="shared" si="29"/>
        <v>1</v>
      </c>
      <c r="AD74" s="3314">
        <f>SUM(AD51)</f>
        <v>1</v>
      </c>
      <c r="AE74" s="3314">
        <f>SUM(AE51)</f>
        <v>0</v>
      </c>
      <c r="AF74" s="3315">
        <f t="shared" si="30"/>
        <v>1</v>
      </c>
      <c r="AG74" s="3314">
        <f>SUM(AG51)</f>
        <v>1</v>
      </c>
      <c r="AH74" s="3314">
        <f>SUM(AH51)</f>
        <v>0</v>
      </c>
      <c r="AI74" s="3315">
        <f t="shared" si="31"/>
        <v>1</v>
      </c>
      <c r="AJ74" s="3314">
        <f>SUM(AJ51)</f>
        <v>1</v>
      </c>
      <c r="AK74" s="3314">
        <f>SUM(AK51)</f>
        <v>0</v>
      </c>
      <c r="AL74" s="3315">
        <f t="shared" si="32"/>
        <v>1</v>
      </c>
      <c r="AM74" s="3314">
        <f>SUM(AM51)</f>
        <v>1</v>
      </c>
      <c r="AN74" s="3314">
        <f>SUM(AN51)</f>
        <v>0</v>
      </c>
      <c r="AO74" s="3315">
        <f t="shared" si="33"/>
        <v>1</v>
      </c>
      <c r="AP74" s="3314">
        <f>SUM(AP51)</f>
        <v>0</v>
      </c>
      <c r="AQ74" s="3314">
        <f>SUM(AQ51)</f>
        <v>1</v>
      </c>
      <c r="AR74" s="3315">
        <f t="shared" si="34"/>
        <v>1</v>
      </c>
      <c r="AS74" s="3314">
        <f>SUM(AS51)</f>
        <v>0</v>
      </c>
      <c r="AT74" s="3314">
        <f>SUM(AT51)</f>
        <v>1</v>
      </c>
      <c r="AU74" s="3315">
        <f t="shared" si="35"/>
        <v>1</v>
      </c>
      <c r="AV74" s="3314">
        <f>SUM(AV51)</f>
        <v>0</v>
      </c>
      <c r="AW74" s="3314">
        <f>SUM(AW51)</f>
        <v>1</v>
      </c>
      <c r="AX74" s="3315">
        <f t="shared" si="36"/>
        <v>1</v>
      </c>
      <c r="AY74" s="3314">
        <f>SUM(AY51)</f>
        <v>0</v>
      </c>
      <c r="AZ74" s="3314">
        <f>SUM(AZ51)</f>
        <v>1</v>
      </c>
      <c r="BA74" s="3315">
        <f t="shared" si="37"/>
        <v>1</v>
      </c>
      <c r="BB74" s="3314">
        <f>SUM(BB51)</f>
        <v>0</v>
      </c>
      <c r="BC74" s="3314">
        <f>SUM(BC51)</f>
        <v>1</v>
      </c>
      <c r="BD74" s="3315">
        <f t="shared" si="38"/>
        <v>1</v>
      </c>
    </row>
    <row r="75" spans="2:56" x14ac:dyDescent="0.3">
      <c r="B75" s="3316" t="s">
        <v>431</v>
      </c>
      <c r="C75" s="3364">
        <f t="shared" ref="C75:M75" si="43">SUM(C69:C74)</f>
        <v>66</v>
      </c>
      <c r="D75" s="3365">
        <f t="shared" si="43"/>
        <v>150</v>
      </c>
      <c r="E75" s="3365">
        <f t="shared" si="43"/>
        <v>216</v>
      </c>
      <c r="F75" s="3364">
        <f t="shared" si="43"/>
        <v>74</v>
      </c>
      <c r="G75" s="3365">
        <f t="shared" si="43"/>
        <v>158</v>
      </c>
      <c r="H75" s="3366">
        <f t="shared" si="43"/>
        <v>232</v>
      </c>
      <c r="I75" s="3365">
        <f t="shared" si="43"/>
        <v>73</v>
      </c>
      <c r="J75" s="3365">
        <f t="shared" si="43"/>
        <v>154</v>
      </c>
      <c r="K75" s="3365">
        <f t="shared" si="43"/>
        <v>227</v>
      </c>
      <c r="L75" s="3367">
        <f t="shared" si="43"/>
        <v>72</v>
      </c>
      <c r="M75" s="3323">
        <f t="shared" si="43"/>
        <v>149</v>
      </c>
      <c r="N75" s="3324">
        <f t="shared" si="24"/>
        <v>221</v>
      </c>
      <c r="O75" s="3323">
        <f>SUM(O69:O74)</f>
        <v>73</v>
      </c>
      <c r="P75" s="3323">
        <f>SUM(P69:P74)</f>
        <v>152</v>
      </c>
      <c r="Q75" s="3324">
        <f t="shared" si="25"/>
        <v>225</v>
      </c>
      <c r="R75" s="3323">
        <f>SUM(R69:R74)</f>
        <v>72</v>
      </c>
      <c r="S75" s="3323">
        <f>SUM(S69:S74)</f>
        <v>149</v>
      </c>
      <c r="T75" s="3324">
        <f t="shared" si="26"/>
        <v>221</v>
      </c>
      <c r="U75" s="3323">
        <f>SUM(U69:U74)</f>
        <v>68</v>
      </c>
      <c r="V75" s="3323">
        <f>SUM(V69:V74)</f>
        <v>147</v>
      </c>
      <c r="W75" s="3324">
        <f t="shared" si="27"/>
        <v>215</v>
      </c>
      <c r="X75" s="3323">
        <f>SUM(X69:X74)</f>
        <v>55</v>
      </c>
      <c r="Y75" s="3323">
        <f>SUM(Y69:Y74)</f>
        <v>141</v>
      </c>
      <c r="Z75" s="3324">
        <f t="shared" si="28"/>
        <v>196</v>
      </c>
      <c r="AA75" s="3323">
        <f>SUM(AA69:AA74)</f>
        <v>56</v>
      </c>
      <c r="AB75" s="3323">
        <f>SUM(AB69:AB74)</f>
        <v>136</v>
      </c>
      <c r="AC75" s="3324">
        <f t="shared" si="29"/>
        <v>192</v>
      </c>
      <c r="AD75" s="3323">
        <f>SUM(AD69:AD74)</f>
        <v>59</v>
      </c>
      <c r="AE75" s="3323">
        <f>SUM(AE69:AE74)</f>
        <v>135</v>
      </c>
      <c r="AF75" s="3324">
        <f t="shared" si="30"/>
        <v>194</v>
      </c>
      <c r="AG75" s="3323">
        <f>SUM(AG69:AG74)</f>
        <v>60</v>
      </c>
      <c r="AH75" s="3323">
        <f>SUM(AH69:AH74)</f>
        <v>127</v>
      </c>
      <c r="AI75" s="3324">
        <f t="shared" si="31"/>
        <v>187</v>
      </c>
      <c r="AJ75" s="3323">
        <f>SUM(AJ69:AJ74)</f>
        <v>59</v>
      </c>
      <c r="AK75" s="3323">
        <f>SUM(AK69:AK74)</f>
        <v>117</v>
      </c>
      <c r="AL75" s="3324">
        <f t="shared" si="32"/>
        <v>176</v>
      </c>
      <c r="AM75" s="3323">
        <f>SUM(AM69:AM74)</f>
        <v>52</v>
      </c>
      <c r="AN75" s="3323">
        <f>SUM(AN69:AN74)</f>
        <v>117</v>
      </c>
      <c r="AO75" s="3324">
        <f t="shared" si="33"/>
        <v>169</v>
      </c>
      <c r="AP75" s="3323">
        <f>SUM(AP69:AP74)</f>
        <v>49</v>
      </c>
      <c r="AQ75" s="3323">
        <f>SUM(AQ69:AQ74)</f>
        <v>119</v>
      </c>
      <c r="AR75" s="3324">
        <f t="shared" si="34"/>
        <v>168</v>
      </c>
      <c r="AS75" s="3323">
        <f>SUM(AS69:AS74)</f>
        <v>49</v>
      </c>
      <c r="AT75" s="3323">
        <f>SUM(AT69:AT74)</f>
        <v>111</v>
      </c>
      <c r="AU75" s="3324">
        <f t="shared" si="35"/>
        <v>160</v>
      </c>
      <c r="AV75" s="3323">
        <f>SUM(AV69:AV74)</f>
        <v>51</v>
      </c>
      <c r="AW75" s="3323">
        <f>SUM(AW69:AW74)</f>
        <v>107</v>
      </c>
      <c r="AX75" s="3324">
        <f t="shared" si="36"/>
        <v>158</v>
      </c>
      <c r="AY75" s="3323">
        <f>SUM(AY69:AY74)</f>
        <v>49</v>
      </c>
      <c r="AZ75" s="3323">
        <f>SUM(AZ69:AZ74)</f>
        <v>104</v>
      </c>
      <c r="BA75" s="3324">
        <f t="shared" si="37"/>
        <v>153</v>
      </c>
      <c r="BB75" s="3323">
        <f>SUM(BB69:BB74)</f>
        <v>50</v>
      </c>
      <c r="BC75" s="3323">
        <f>SUM(BC69:BC74)</f>
        <v>91</v>
      </c>
      <c r="BD75" s="3324">
        <f t="shared" si="38"/>
        <v>141</v>
      </c>
    </row>
    <row r="77" spans="2:56" ht="41.4" x14ac:dyDescent="0.35">
      <c r="B77" s="3368" t="s">
        <v>778</v>
      </c>
      <c r="C77" s="3369"/>
      <c r="AF77" s="3325"/>
      <c r="AL77" s="3326"/>
    </row>
    <row r="78" spans="2:56" ht="18" x14ac:dyDescent="0.35">
      <c r="AU78" s="3236"/>
      <c r="AX78" s="3236"/>
      <c r="BA78" s="3236"/>
      <c r="BD78" s="3236" t="s">
        <v>772</v>
      </c>
    </row>
    <row r="79" spans="2:56" x14ac:dyDescent="0.3">
      <c r="B79" s="6160" t="s">
        <v>132</v>
      </c>
      <c r="C79" s="6157">
        <v>2005</v>
      </c>
      <c r="D79" s="6158"/>
      <c r="E79" s="6159"/>
      <c r="F79" s="6157">
        <v>2006</v>
      </c>
      <c r="G79" s="6158"/>
      <c r="H79" s="6159"/>
      <c r="I79" s="6157">
        <v>2007</v>
      </c>
      <c r="J79" s="6158"/>
      <c r="K79" s="6159"/>
      <c r="L79" s="6157">
        <v>2008</v>
      </c>
      <c r="M79" s="6158"/>
      <c r="N79" s="6159"/>
      <c r="O79" s="6157">
        <v>2009</v>
      </c>
      <c r="P79" s="6158"/>
      <c r="Q79" s="6159"/>
      <c r="R79" s="6157">
        <v>2010</v>
      </c>
      <c r="S79" s="6158"/>
      <c r="T79" s="6159"/>
      <c r="U79" s="6157">
        <v>2011</v>
      </c>
      <c r="V79" s="6158"/>
      <c r="W79" s="6159"/>
      <c r="X79" s="6157">
        <v>2012</v>
      </c>
      <c r="Y79" s="6158"/>
      <c r="Z79" s="6159"/>
      <c r="AA79" s="6157">
        <v>2013</v>
      </c>
      <c r="AB79" s="6158"/>
      <c r="AC79" s="6159"/>
      <c r="AD79" s="6157">
        <v>2014</v>
      </c>
      <c r="AE79" s="6158"/>
      <c r="AF79" s="6159"/>
      <c r="AG79" s="6157">
        <v>2015</v>
      </c>
      <c r="AH79" s="6158"/>
      <c r="AI79" s="6159"/>
      <c r="AJ79" s="6157">
        <v>2016</v>
      </c>
      <c r="AK79" s="6158"/>
      <c r="AL79" s="6159"/>
      <c r="AM79" s="6157">
        <v>2017</v>
      </c>
      <c r="AN79" s="6158"/>
      <c r="AO79" s="6159"/>
      <c r="AP79" s="6157">
        <v>2018</v>
      </c>
      <c r="AQ79" s="6158"/>
      <c r="AR79" s="6159"/>
      <c r="AS79" s="6157">
        <v>2019</v>
      </c>
      <c r="AT79" s="6158"/>
      <c r="AU79" s="6159"/>
      <c r="AV79" s="6157">
        <v>2020</v>
      </c>
      <c r="AW79" s="6158"/>
      <c r="AX79" s="6159"/>
      <c r="AY79" s="6157">
        <v>2021</v>
      </c>
      <c r="AZ79" s="6158"/>
      <c r="BA79" s="6159"/>
      <c r="BB79" s="6157">
        <v>2022</v>
      </c>
      <c r="BC79" s="6158"/>
      <c r="BD79" s="6159"/>
    </row>
    <row r="80" spans="2:56" x14ac:dyDescent="0.3">
      <c r="B80" s="5728"/>
      <c r="C80" s="3237" t="s">
        <v>140</v>
      </c>
      <c r="D80" s="3237" t="s">
        <v>141</v>
      </c>
      <c r="E80" s="3238" t="s">
        <v>279</v>
      </c>
      <c r="F80" s="3237" t="s">
        <v>140</v>
      </c>
      <c r="G80" s="3237" t="s">
        <v>141</v>
      </c>
      <c r="H80" s="3238" t="s">
        <v>279</v>
      </c>
      <c r="I80" s="3237" t="s">
        <v>140</v>
      </c>
      <c r="J80" s="3237" t="s">
        <v>141</v>
      </c>
      <c r="K80" s="3238" t="s">
        <v>279</v>
      </c>
      <c r="L80" s="3237" t="s">
        <v>140</v>
      </c>
      <c r="M80" s="3237" t="s">
        <v>141</v>
      </c>
      <c r="N80" s="3238" t="s">
        <v>279</v>
      </c>
      <c r="O80" s="3237" t="s">
        <v>140</v>
      </c>
      <c r="P80" s="3237" t="s">
        <v>141</v>
      </c>
      <c r="Q80" s="3238" t="s">
        <v>279</v>
      </c>
      <c r="R80" s="3237" t="s">
        <v>140</v>
      </c>
      <c r="S80" s="3237" t="s">
        <v>141</v>
      </c>
      <c r="T80" s="3238" t="s">
        <v>279</v>
      </c>
      <c r="U80" s="3237" t="s">
        <v>140</v>
      </c>
      <c r="V80" s="3237" t="s">
        <v>141</v>
      </c>
      <c r="W80" s="3238" t="s">
        <v>279</v>
      </c>
      <c r="X80" s="3237" t="s">
        <v>140</v>
      </c>
      <c r="Y80" s="3237" t="s">
        <v>141</v>
      </c>
      <c r="Z80" s="3238" t="s">
        <v>279</v>
      </c>
      <c r="AA80" s="3237" t="s">
        <v>140</v>
      </c>
      <c r="AB80" s="3237" t="s">
        <v>141</v>
      </c>
      <c r="AC80" s="3238" t="s">
        <v>279</v>
      </c>
      <c r="AD80" s="3237" t="s">
        <v>140</v>
      </c>
      <c r="AE80" s="3237" t="s">
        <v>141</v>
      </c>
      <c r="AF80" s="3238" t="s">
        <v>279</v>
      </c>
      <c r="AG80" s="3237" t="s">
        <v>140</v>
      </c>
      <c r="AH80" s="3237" t="s">
        <v>141</v>
      </c>
      <c r="AI80" s="3238" t="s">
        <v>279</v>
      </c>
      <c r="AJ80" s="3237" t="s">
        <v>140</v>
      </c>
      <c r="AK80" s="3237" t="s">
        <v>141</v>
      </c>
      <c r="AL80" s="3238" t="s">
        <v>279</v>
      </c>
      <c r="AM80" s="3237" t="s">
        <v>140</v>
      </c>
      <c r="AN80" s="3237" t="s">
        <v>141</v>
      </c>
      <c r="AO80" s="3238" t="s">
        <v>279</v>
      </c>
      <c r="AP80" s="3237" t="s">
        <v>140</v>
      </c>
      <c r="AQ80" s="3237" t="s">
        <v>141</v>
      </c>
      <c r="AR80" s="3238" t="s">
        <v>279</v>
      </c>
      <c r="AS80" s="3237" t="s">
        <v>140</v>
      </c>
      <c r="AT80" s="3237" t="s">
        <v>141</v>
      </c>
      <c r="AU80" s="3238" t="s">
        <v>279</v>
      </c>
      <c r="AV80" s="3237" t="s">
        <v>140</v>
      </c>
      <c r="AW80" s="3237" t="s">
        <v>141</v>
      </c>
      <c r="AX80" s="3238" t="s">
        <v>279</v>
      </c>
      <c r="AY80" s="3237" t="s">
        <v>140</v>
      </c>
      <c r="AZ80" s="3237" t="s">
        <v>141</v>
      </c>
      <c r="BA80" s="3238" t="s">
        <v>279</v>
      </c>
      <c r="BB80" s="3237" t="s">
        <v>140</v>
      </c>
      <c r="BC80" s="3237" t="s">
        <v>141</v>
      </c>
      <c r="BD80" s="3238" t="s">
        <v>279</v>
      </c>
    </row>
    <row r="81" spans="2:56" x14ac:dyDescent="0.3">
      <c r="B81" s="3239"/>
    </row>
    <row r="82" spans="2:56" x14ac:dyDescent="0.3">
      <c r="B82" s="3240" t="s">
        <v>59</v>
      </c>
      <c r="C82" s="3327">
        <v>8</v>
      </c>
      <c r="D82" s="3328">
        <v>36</v>
      </c>
      <c r="E82" s="3328">
        <f>SUM(C82:D82)</f>
        <v>44</v>
      </c>
      <c r="F82" s="3327">
        <v>10</v>
      </c>
      <c r="G82" s="3328">
        <v>36</v>
      </c>
      <c r="H82" s="3329">
        <f>SUM(F82:G82)</f>
        <v>46</v>
      </c>
      <c r="I82" s="3328">
        <v>10</v>
      </c>
      <c r="J82" s="3328">
        <v>36</v>
      </c>
      <c r="K82" s="3328">
        <f>SUM(I82:J82)</f>
        <v>46</v>
      </c>
      <c r="L82" s="3330">
        <v>9</v>
      </c>
      <c r="M82" s="3247">
        <v>34</v>
      </c>
      <c r="N82" s="3248">
        <f t="shared" ref="N82:N100" si="44">SUM(L82:M82)</f>
        <v>43</v>
      </c>
      <c r="O82" s="3247">
        <v>9</v>
      </c>
      <c r="P82" s="3247">
        <v>33</v>
      </c>
      <c r="Q82" s="3248">
        <f t="shared" ref="Q82:Q100" si="45">SUM(O82:P82)</f>
        <v>42</v>
      </c>
      <c r="R82" s="3247">
        <v>9</v>
      </c>
      <c r="S82" s="3247">
        <v>30</v>
      </c>
      <c r="T82" s="3248">
        <f t="shared" ref="T82:T100" si="46">SUM(R82:S82)</f>
        <v>39</v>
      </c>
      <c r="U82" s="3247">
        <v>9</v>
      </c>
      <c r="V82" s="3247">
        <v>30</v>
      </c>
      <c r="W82" s="3248">
        <f t="shared" ref="W82:W100" si="47">SUM(U82:V82)</f>
        <v>39</v>
      </c>
      <c r="X82" s="3247">
        <v>8</v>
      </c>
      <c r="Y82" s="3247">
        <v>30</v>
      </c>
      <c r="Z82" s="3248">
        <f>SUM(X82:Y82)</f>
        <v>38</v>
      </c>
      <c r="AA82" s="3247">
        <v>7</v>
      </c>
      <c r="AB82" s="3247">
        <v>30</v>
      </c>
      <c r="AC82" s="3248">
        <f>SUM(AA82:AB82)</f>
        <v>37</v>
      </c>
      <c r="AD82" s="3247">
        <v>7</v>
      </c>
      <c r="AE82" s="3247">
        <v>29</v>
      </c>
      <c r="AF82" s="3248">
        <f>SUM(AD82:AE82)</f>
        <v>36</v>
      </c>
      <c r="AG82" s="3247">
        <v>7</v>
      </c>
      <c r="AH82" s="3247">
        <v>27</v>
      </c>
      <c r="AI82" s="3248">
        <f>SUM(AG82:AH82)</f>
        <v>34</v>
      </c>
      <c r="AJ82" s="3247">
        <v>7</v>
      </c>
      <c r="AK82" s="3247">
        <v>25</v>
      </c>
      <c r="AL82" s="3248">
        <f>SUM(AJ82:AK82)</f>
        <v>32</v>
      </c>
      <c r="AM82" s="3247">
        <v>6</v>
      </c>
      <c r="AN82" s="3247">
        <v>24</v>
      </c>
      <c r="AO82" s="3248">
        <f>SUM(AM82:AN82)</f>
        <v>30</v>
      </c>
      <c r="AP82" s="3247">
        <v>6</v>
      </c>
      <c r="AQ82" s="3247">
        <v>23</v>
      </c>
      <c r="AR82" s="3248">
        <f>SUM(AP82:AQ82)</f>
        <v>29</v>
      </c>
      <c r="AS82" s="3247">
        <v>6</v>
      </c>
      <c r="AT82" s="3247">
        <v>23</v>
      </c>
      <c r="AU82" s="3248">
        <f>SUM(AS82:AT82)</f>
        <v>29</v>
      </c>
      <c r="AV82" s="3247">
        <v>6</v>
      </c>
      <c r="AW82" s="3247">
        <v>21</v>
      </c>
      <c r="AX82" s="3248">
        <f>SUM(AV82:AW82)</f>
        <v>27</v>
      </c>
      <c r="AY82" s="3247">
        <v>6</v>
      </c>
      <c r="AZ82" s="3247">
        <v>21</v>
      </c>
      <c r="BA82" s="3248">
        <f>SUM(AY82:AZ82)</f>
        <v>27</v>
      </c>
      <c r="BB82" s="3247">
        <v>3</v>
      </c>
      <c r="BC82" s="3247">
        <v>20</v>
      </c>
      <c r="BD82" s="3248">
        <f>SUM(BB82:BC82)</f>
        <v>23</v>
      </c>
    </row>
    <row r="83" spans="2:56" x14ac:dyDescent="0.3">
      <c r="B83" s="3249" t="s">
        <v>64</v>
      </c>
      <c r="C83" s="3331">
        <v>2</v>
      </c>
      <c r="D83" s="3332">
        <v>4</v>
      </c>
      <c r="E83" s="3332">
        <f>SUM(C83:D83)</f>
        <v>6</v>
      </c>
      <c r="F83" s="3331">
        <v>1</v>
      </c>
      <c r="G83" s="3332">
        <v>4</v>
      </c>
      <c r="H83" s="3333">
        <f>SUM(F83:G83)</f>
        <v>5</v>
      </c>
      <c r="I83" s="3332">
        <v>1</v>
      </c>
      <c r="J83" s="3332">
        <v>4</v>
      </c>
      <c r="K83" s="3332">
        <f>SUM(I83:J83)</f>
        <v>5</v>
      </c>
      <c r="L83" s="3334"/>
      <c r="M83" s="3256">
        <v>4</v>
      </c>
      <c r="N83" s="3257">
        <f t="shared" si="44"/>
        <v>4</v>
      </c>
      <c r="O83" s="3256"/>
      <c r="P83" s="3256">
        <v>4</v>
      </c>
      <c r="Q83" s="3257">
        <f t="shared" si="45"/>
        <v>4</v>
      </c>
      <c r="R83" s="3256">
        <v>2</v>
      </c>
      <c r="S83" s="3256">
        <v>4</v>
      </c>
      <c r="T83" s="3257">
        <f t="shared" si="46"/>
        <v>6</v>
      </c>
      <c r="U83" s="3256">
        <v>4</v>
      </c>
      <c r="V83" s="3256">
        <v>6</v>
      </c>
      <c r="W83" s="3257">
        <f t="shared" si="47"/>
        <v>10</v>
      </c>
      <c r="X83" s="3256">
        <v>5</v>
      </c>
      <c r="Y83" s="3256">
        <v>7</v>
      </c>
      <c r="Z83" s="3257">
        <f>SUM(X83:Y83)</f>
        <v>12</v>
      </c>
      <c r="AA83" s="3256">
        <v>5</v>
      </c>
      <c r="AB83" s="3256">
        <v>6</v>
      </c>
      <c r="AC83" s="3257">
        <f>SUM(AA83:AB83)</f>
        <v>11</v>
      </c>
      <c r="AD83" s="3256">
        <v>6</v>
      </c>
      <c r="AE83" s="3256">
        <v>6</v>
      </c>
      <c r="AF83" s="3257">
        <f>SUM(AD83:AE83)</f>
        <v>12</v>
      </c>
      <c r="AG83" s="3256">
        <v>7</v>
      </c>
      <c r="AH83" s="3256">
        <v>8</v>
      </c>
      <c r="AI83" s="3257">
        <f>SUM(AG83:AH83)</f>
        <v>15</v>
      </c>
      <c r="AJ83" s="3256">
        <v>7</v>
      </c>
      <c r="AK83" s="3256">
        <v>8</v>
      </c>
      <c r="AL83" s="3257">
        <f>SUM(AJ83:AK83)</f>
        <v>15</v>
      </c>
      <c r="AM83" s="3256">
        <v>7</v>
      </c>
      <c r="AN83" s="3256">
        <v>8</v>
      </c>
      <c r="AO83" s="3257">
        <f>SUM(AM83:AN83)</f>
        <v>15</v>
      </c>
      <c r="AP83" s="3256">
        <v>7</v>
      </c>
      <c r="AQ83" s="3256">
        <v>8</v>
      </c>
      <c r="AR83" s="3257">
        <f>SUM(AP83:AQ83)</f>
        <v>15</v>
      </c>
      <c r="AS83" s="3256">
        <v>7</v>
      </c>
      <c r="AT83" s="3256">
        <v>7</v>
      </c>
      <c r="AU83" s="3257">
        <f>SUM(AS83:AT83)</f>
        <v>14</v>
      </c>
      <c r="AV83" s="3256">
        <v>7</v>
      </c>
      <c r="AW83" s="3256">
        <v>7</v>
      </c>
      <c r="AX83" s="3257">
        <f>SUM(AV83:AW83)</f>
        <v>14</v>
      </c>
      <c r="AY83" s="3256">
        <v>7</v>
      </c>
      <c r="AZ83" s="3256">
        <v>7</v>
      </c>
      <c r="BA83" s="3257">
        <f>SUM(AY83:AZ83)</f>
        <v>14</v>
      </c>
      <c r="BB83" s="3256">
        <v>6</v>
      </c>
      <c r="BC83" s="3256">
        <v>6</v>
      </c>
      <c r="BD83" s="3257">
        <f>SUM(BB83:BC83)</f>
        <v>12</v>
      </c>
    </row>
    <row r="84" spans="2:56" x14ac:dyDescent="0.3">
      <c r="B84" s="3249" t="s">
        <v>68</v>
      </c>
      <c r="C84" s="3331">
        <v>3</v>
      </c>
      <c r="D84" s="3332">
        <v>5</v>
      </c>
      <c r="E84" s="3332">
        <f>SUM(C84:D84)</f>
        <v>8</v>
      </c>
      <c r="F84" s="3331">
        <v>1</v>
      </c>
      <c r="G84" s="3332">
        <v>5</v>
      </c>
      <c r="H84" s="3333">
        <f>SUM(F84:G84)</f>
        <v>6</v>
      </c>
      <c r="I84" s="3332">
        <v>2</v>
      </c>
      <c r="J84" s="3332">
        <v>5</v>
      </c>
      <c r="K84" s="3332">
        <f>SUM(I84:J84)</f>
        <v>7</v>
      </c>
      <c r="L84" s="3334">
        <v>2</v>
      </c>
      <c r="M84" s="3256">
        <v>3</v>
      </c>
      <c r="N84" s="3257">
        <f t="shared" si="44"/>
        <v>5</v>
      </c>
      <c r="O84" s="3256">
        <v>1</v>
      </c>
      <c r="P84" s="3256">
        <v>4</v>
      </c>
      <c r="Q84" s="3257">
        <f t="shared" si="45"/>
        <v>5</v>
      </c>
      <c r="R84" s="3256">
        <v>1</v>
      </c>
      <c r="S84" s="3256">
        <v>4</v>
      </c>
      <c r="T84" s="3257">
        <f t="shared" si="46"/>
        <v>5</v>
      </c>
      <c r="U84" s="3256">
        <v>1</v>
      </c>
      <c r="V84" s="3256">
        <v>5</v>
      </c>
      <c r="W84" s="3257">
        <f t="shared" si="47"/>
        <v>6</v>
      </c>
      <c r="X84" s="3256">
        <v>1</v>
      </c>
      <c r="Y84" s="3256">
        <v>5</v>
      </c>
      <c r="Z84" s="3257">
        <f>SUM(X84:Y84)</f>
        <v>6</v>
      </c>
      <c r="AA84" s="3256">
        <v>2</v>
      </c>
      <c r="AB84" s="3256">
        <v>4</v>
      </c>
      <c r="AC84" s="3257">
        <f>SUM(AA84:AB84)</f>
        <v>6</v>
      </c>
      <c r="AD84" s="3256">
        <v>3</v>
      </c>
      <c r="AE84" s="3256">
        <v>5</v>
      </c>
      <c r="AF84" s="3257">
        <f>SUM(AD84:AE84)</f>
        <v>8</v>
      </c>
      <c r="AG84" s="3256">
        <v>3</v>
      </c>
      <c r="AH84" s="3256">
        <v>5</v>
      </c>
      <c r="AI84" s="3257">
        <f>SUM(AG84:AH84)</f>
        <v>8</v>
      </c>
      <c r="AJ84" s="3256">
        <v>2</v>
      </c>
      <c r="AK84" s="3256">
        <v>5</v>
      </c>
      <c r="AL84" s="3257">
        <f>SUM(AJ84:AK84)</f>
        <v>7</v>
      </c>
      <c r="AM84" s="3256">
        <v>2</v>
      </c>
      <c r="AN84" s="3256">
        <v>5</v>
      </c>
      <c r="AO84" s="3257">
        <f>SUM(AM84:AN84)</f>
        <v>7</v>
      </c>
      <c r="AP84" s="3256">
        <v>3</v>
      </c>
      <c r="AQ84" s="3256">
        <v>4</v>
      </c>
      <c r="AR84" s="3257">
        <f>SUM(AP84:AQ84)</f>
        <v>7</v>
      </c>
      <c r="AS84" s="3256">
        <v>3</v>
      </c>
      <c r="AT84" s="3256">
        <v>4</v>
      </c>
      <c r="AU84" s="3257">
        <f>SUM(AS84:AT84)</f>
        <v>7</v>
      </c>
      <c r="AV84" s="3256">
        <v>3</v>
      </c>
      <c r="AW84" s="3256">
        <v>4</v>
      </c>
      <c r="AX84" s="3257">
        <f>SUM(AV84:AW84)</f>
        <v>7</v>
      </c>
      <c r="AY84" s="3256">
        <v>3</v>
      </c>
      <c r="AZ84" s="3256">
        <v>4</v>
      </c>
      <c r="BA84" s="3257">
        <f>SUM(AY84:AZ84)</f>
        <v>7</v>
      </c>
      <c r="BB84" s="3256">
        <v>1</v>
      </c>
      <c r="BC84" s="3256">
        <v>3</v>
      </c>
      <c r="BD84" s="3257">
        <f>SUM(BB84:BC84)</f>
        <v>4</v>
      </c>
    </row>
    <row r="85" spans="2:56" x14ac:dyDescent="0.3">
      <c r="B85" s="3258" t="s">
        <v>138</v>
      </c>
      <c r="C85" s="3335">
        <f t="shared" ref="C85:M85" si="48">SUM(C82:C84)</f>
        <v>13</v>
      </c>
      <c r="D85" s="3336">
        <f t="shared" si="48"/>
        <v>45</v>
      </c>
      <c r="E85" s="3336">
        <f t="shared" si="48"/>
        <v>58</v>
      </c>
      <c r="F85" s="3335">
        <f t="shared" si="48"/>
        <v>12</v>
      </c>
      <c r="G85" s="3336">
        <f t="shared" si="48"/>
        <v>45</v>
      </c>
      <c r="H85" s="3337">
        <f t="shared" si="48"/>
        <v>57</v>
      </c>
      <c r="I85" s="3336">
        <f t="shared" si="48"/>
        <v>13</v>
      </c>
      <c r="J85" s="3336">
        <f t="shared" si="48"/>
        <v>45</v>
      </c>
      <c r="K85" s="3336">
        <f t="shared" si="48"/>
        <v>58</v>
      </c>
      <c r="L85" s="3338">
        <f t="shared" si="48"/>
        <v>11</v>
      </c>
      <c r="M85" s="3265">
        <f t="shared" si="48"/>
        <v>41</v>
      </c>
      <c r="N85" s="3266">
        <f t="shared" si="44"/>
        <v>52</v>
      </c>
      <c r="O85" s="3265">
        <f>SUM(O82:O84)</f>
        <v>10</v>
      </c>
      <c r="P85" s="3265">
        <f>SUM(P82:P84)</f>
        <v>41</v>
      </c>
      <c r="Q85" s="3266">
        <f t="shared" si="45"/>
        <v>51</v>
      </c>
      <c r="R85" s="3265">
        <f>SUM(R82:R84)</f>
        <v>12</v>
      </c>
      <c r="S85" s="3265">
        <f>SUM(S82:S84)</f>
        <v>38</v>
      </c>
      <c r="T85" s="3266">
        <f t="shared" si="46"/>
        <v>50</v>
      </c>
      <c r="U85" s="3265">
        <f>SUM(U82:U84)</f>
        <v>14</v>
      </c>
      <c r="V85" s="3265">
        <f>SUM(V82:V84)</f>
        <v>41</v>
      </c>
      <c r="W85" s="3266">
        <f t="shared" si="47"/>
        <v>55</v>
      </c>
      <c r="X85" s="3265">
        <f>SUM(X82:X84)</f>
        <v>14</v>
      </c>
      <c r="Y85" s="3265">
        <f>SUM(Y82:Y84)</f>
        <v>42</v>
      </c>
      <c r="Z85" s="3266">
        <f>SUM(X85:Y85)</f>
        <v>56</v>
      </c>
      <c r="AA85" s="3265">
        <f>SUM(AA82:AA84)</f>
        <v>14</v>
      </c>
      <c r="AB85" s="3265">
        <f>SUM(AB82:AB84)</f>
        <v>40</v>
      </c>
      <c r="AC85" s="3266">
        <f>SUM(AA85:AB85)</f>
        <v>54</v>
      </c>
      <c r="AD85" s="3265">
        <f>SUM(AD82:AD84)</f>
        <v>16</v>
      </c>
      <c r="AE85" s="3265">
        <f>SUM(AE82:AE84)</f>
        <v>40</v>
      </c>
      <c r="AF85" s="3266">
        <f>SUM(AD85:AE85)</f>
        <v>56</v>
      </c>
      <c r="AG85" s="3265">
        <f>SUM(AG82:AG84)</f>
        <v>17</v>
      </c>
      <c r="AH85" s="3265">
        <f>SUM(AH82:AH84)</f>
        <v>40</v>
      </c>
      <c r="AI85" s="3266">
        <f>SUM(AG85:AH85)</f>
        <v>57</v>
      </c>
      <c r="AJ85" s="3265">
        <f>SUM(AJ82:AJ84)</f>
        <v>16</v>
      </c>
      <c r="AK85" s="3265">
        <f>SUM(AK82:AK84)</f>
        <v>38</v>
      </c>
      <c r="AL85" s="3266">
        <f>SUM(AJ85:AK85)</f>
        <v>54</v>
      </c>
      <c r="AM85" s="3265">
        <f>SUM(AM82:AM84)</f>
        <v>15</v>
      </c>
      <c r="AN85" s="3265">
        <f>SUM(AN82:AN84)</f>
        <v>37</v>
      </c>
      <c r="AO85" s="3266">
        <f>SUM(AM85:AN85)</f>
        <v>52</v>
      </c>
      <c r="AP85" s="3265">
        <f>SUM(AP82:AP84)</f>
        <v>16</v>
      </c>
      <c r="AQ85" s="3265">
        <f>SUM(AQ82:AQ84)</f>
        <v>35</v>
      </c>
      <c r="AR85" s="3266">
        <f>SUM(AP85:AQ85)</f>
        <v>51</v>
      </c>
      <c r="AS85" s="3265">
        <f>SUM(AS82:AS84)</f>
        <v>16</v>
      </c>
      <c r="AT85" s="3265">
        <f>SUM(AT82:AT84)</f>
        <v>34</v>
      </c>
      <c r="AU85" s="3266">
        <f>SUM(AS85:AT85)</f>
        <v>50</v>
      </c>
      <c r="AV85" s="3265">
        <f>SUM(AV82:AV84)</f>
        <v>16</v>
      </c>
      <c r="AW85" s="3265">
        <f>SUM(AW82:AW84)</f>
        <v>32</v>
      </c>
      <c r="AX85" s="3266">
        <f>SUM(AV85:AW85)</f>
        <v>48</v>
      </c>
      <c r="AY85" s="3265">
        <f>SUM(AY82:AY84)</f>
        <v>16</v>
      </c>
      <c r="AZ85" s="3265">
        <f>SUM(AZ82:AZ84)</f>
        <v>32</v>
      </c>
      <c r="BA85" s="3266">
        <f>SUM(AY85:AZ85)</f>
        <v>48</v>
      </c>
      <c r="BB85" s="3265">
        <f>SUM(BB82:BB84)</f>
        <v>10</v>
      </c>
      <c r="BC85" s="3265">
        <f>SUM(BC82:BC84)</f>
        <v>29</v>
      </c>
      <c r="BD85" s="3266">
        <f>SUM(BB85:BC85)</f>
        <v>39</v>
      </c>
    </row>
    <row r="86" spans="2:56" x14ac:dyDescent="0.3">
      <c r="C86" s="3267"/>
      <c r="D86" s="3267"/>
      <c r="E86" s="3267"/>
      <c r="F86" s="3267"/>
      <c r="G86" s="3267"/>
      <c r="H86" s="3267"/>
      <c r="I86" s="3267"/>
      <c r="J86" s="3267"/>
      <c r="K86" s="3267"/>
      <c r="L86" s="3267"/>
      <c r="M86" s="3267"/>
      <c r="N86" s="3267"/>
      <c r="O86" s="3267"/>
      <c r="P86" s="3267"/>
      <c r="Q86" s="3267"/>
      <c r="R86" s="3267"/>
      <c r="S86" s="3267"/>
      <c r="T86" s="3267"/>
      <c r="U86" s="3267"/>
      <c r="V86" s="3267"/>
      <c r="W86" s="3267"/>
      <c r="X86" s="3267"/>
      <c r="Y86" s="3267"/>
      <c r="Z86" s="3267"/>
      <c r="AA86" s="3267"/>
      <c r="AB86" s="3267"/>
      <c r="AC86" s="3267"/>
      <c r="AD86" s="3267"/>
      <c r="AE86" s="3267"/>
      <c r="AF86" s="3267"/>
      <c r="AG86" s="3267"/>
      <c r="AH86" s="3267"/>
      <c r="AI86" s="3267"/>
      <c r="AJ86" s="3267"/>
      <c r="AK86" s="3267"/>
      <c r="AL86" s="3267"/>
      <c r="AM86" s="3267"/>
      <c r="AN86" s="3267"/>
      <c r="AO86" s="3267"/>
      <c r="AP86" s="3267"/>
      <c r="AQ86" s="3267"/>
      <c r="AR86" s="3267"/>
      <c r="AS86" s="3267"/>
      <c r="AT86" s="3267"/>
      <c r="AU86" s="3267"/>
      <c r="AV86" s="3267"/>
      <c r="AW86" s="3267"/>
      <c r="AX86" s="3267"/>
      <c r="AY86" s="3267"/>
      <c r="AZ86" s="3267"/>
      <c r="BA86" s="3267"/>
      <c r="BB86" s="3267"/>
      <c r="BC86" s="3267"/>
      <c r="BD86" s="3267"/>
    </row>
    <row r="87" spans="2:56" x14ac:dyDescent="0.3">
      <c r="B87" s="3240" t="s">
        <v>64</v>
      </c>
      <c r="C87" s="3327"/>
      <c r="D87" s="3328"/>
      <c r="E87" s="3328"/>
      <c r="F87" s="3327"/>
      <c r="G87" s="3328"/>
      <c r="H87" s="3329"/>
      <c r="I87" s="3328"/>
      <c r="J87" s="3328"/>
      <c r="K87" s="3328"/>
      <c r="L87" s="3330"/>
      <c r="M87" s="3247"/>
      <c r="N87" s="3248"/>
      <c r="O87" s="3247"/>
      <c r="P87" s="3247"/>
      <c r="Q87" s="3248"/>
      <c r="R87" s="3247"/>
      <c r="S87" s="3247"/>
      <c r="T87" s="3248"/>
      <c r="U87" s="3247">
        <v>1</v>
      </c>
      <c r="V87" s="3247"/>
      <c r="W87" s="3248">
        <f>SUM(U87:V87)</f>
        <v>1</v>
      </c>
      <c r="X87" s="3247">
        <v>1</v>
      </c>
      <c r="Y87" s="3247"/>
      <c r="Z87" s="3248">
        <f>SUM(X87:Y87)</f>
        <v>1</v>
      </c>
      <c r="AA87" s="3247">
        <v>1</v>
      </c>
      <c r="AB87" s="3247"/>
      <c r="AC87" s="3248">
        <f>SUM(AA87:AB87)</f>
        <v>1</v>
      </c>
      <c r="AD87" s="3247"/>
      <c r="AE87" s="3247"/>
      <c r="AF87" s="3248">
        <f>SUM(AD87:AE87)</f>
        <v>0</v>
      </c>
      <c r="AG87" s="3247"/>
      <c r="AH87" s="3247"/>
      <c r="AI87" s="3248">
        <f>SUM(AG87:AH87)</f>
        <v>0</v>
      </c>
      <c r="AJ87" s="3247"/>
      <c r="AK87" s="3247"/>
      <c r="AL87" s="3248">
        <f>SUM(AJ87:AK87)</f>
        <v>0</v>
      </c>
      <c r="AM87" s="3247"/>
      <c r="AN87" s="3247"/>
      <c r="AO87" s="3248">
        <f>SUM(AM87:AN87)</f>
        <v>0</v>
      </c>
      <c r="AP87" s="3247"/>
      <c r="AQ87" s="3247"/>
      <c r="AR87" s="3248">
        <f>SUM(AP87:AQ87)</f>
        <v>0</v>
      </c>
      <c r="AS87" s="3247"/>
      <c r="AT87" s="3247"/>
      <c r="AU87" s="3248">
        <f>SUM(AS87:AT87)</f>
        <v>0</v>
      </c>
      <c r="AV87" s="3247"/>
      <c r="AW87" s="3247"/>
      <c r="AX87" s="3248">
        <f>SUM(AV87:AW87)</f>
        <v>0</v>
      </c>
      <c r="AY87" s="3247"/>
      <c r="AZ87" s="3247"/>
      <c r="BA87" s="3248">
        <f>SUM(AY87:AZ87)</f>
        <v>0</v>
      </c>
      <c r="BB87" s="5113">
        <v>0</v>
      </c>
      <c r="BC87" s="5113">
        <v>0</v>
      </c>
      <c r="BD87" s="5114">
        <f>SUM(BB87:BC87)</f>
        <v>0</v>
      </c>
    </row>
    <row r="88" spans="2:56" x14ac:dyDescent="0.3">
      <c r="B88" s="3249" t="s">
        <v>111</v>
      </c>
      <c r="C88" s="3331"/>
      <c r="D88" s="3332"/>
      <c r="E88" s="3332"/>
      <c r="F88" s="3331"/>
      <c r="G88" s="3332"/>
      <c r="H88" s="3333"/>
      <c r="I88" s="3332"/>
      <c r="J88" s="3332"/>
      <c r="K88" s="3332"/>
      <c r="L88" s="3334"/>
      <c r="M88" s="3256"/>
      <c r="N88" s="3257"/>
      <c r="O88" s="3256"/>
      <c r="P88" s="3256"/>
      <c r="Q88" s="3257"/>
      <c r="R88" s="3256"/>
      <c r="S88" s="3256"/>
      <c r="T88" s="3257"/>
      <c r="U88" s="3256">
        <v>1</v>
      </c>
      <c r="V88" s="3256"/>
      <c r="W88" s="3257">
        <f>SUM(U88:V88)</f>
        <v>1</v>
      </c>
      <c r="X88" s="3256">
        <v>1</v>
      </c>
      <c r="Y88" s="3256"/>
      <c r="Z88" s="3257">
        <f>SUM(X88:Y88)</f>
        <v>1</v>
      </c>
      <c r="AA88" s="3256">
        <v>2</v>
      </c>
      <c r="AB88" s="3256"/>
      <c r="AC88" s="3257">
        <f>SUM(AA88:AB88)</f>
        <v>2</v>
      </c>
      <c r="AD88" s="3256">
        <v>1</v>
      </c>
      <c r="AE88" s="3256"/>
      <c r="AF88" s="3257">
        <f>SUM(AD88:AE88)</f>
        <v>1</v>
      </c>
      <c r="AG88" s="3256">
        <v>1</v>
      </c>
      <c r="AH88" s="3256"/>
      <c r="AI88" s="3257">
        <f>SUM(AG88:AH88)</f>
        <v>1</v>
      </c>
      <c r="AJ88" s="3256"/>
      <c r="AK88" s="3256"/>
      <c r="AL88" s="3257">
        <f>SUM(AJ88:AK88)</f>
        <v>0</v>
      </c>
      <c r="AM88" s="3256"/>
      <c r="AN88" s="3256"/>
      <c r="AO88" s="3257">
        <f>SUM(AM88:AN88)</f>
        <v>0</v>
      </c>
      <c r="AP88" s="3256"/>
      <c r="AQ88" s="3256"/>
      <c r="AR88" s="3257">
        <f>SUM(AP88:AQ88)</f>
        <v>0</v>
      </c>
      <c r="AS88" s="3256"/>
      <c r="AT88" s="3256"/>
      <c r="AU88" s="3257">
        <f>SUM(AS88:AT88)</f>
        <v>0</v>
      </c>
      <c r="AV88" s="3256"/>
      <c r="AW88" s="3256"/>
      <c r="AX88" s="3257">
        <f>SUM(AV88:AW88)</f>
        <v>0</v>
      </c>
      <c r="AY88" s="3256"/>
      <c r="AZ88" s="3256"/>
      <c r="BA88" s="3257">
        <f>SUM(AY88:AZ88)</f>
        <v>0</v>
      </c>
      <c r="BB88" s="5115">
        <v>0</v>
      </c>
      <c r="BC88" s="5115">
        <v>0</v>
      </c>
      <c r="BD88" s="5116">
        <f>SUM(BB88:BC88)</f>
        <v>0</v>
      </c>
    </row>
    <row r="89" spans="2:56" x14ac:dyDescent="0.3">
      <c r="B89" s="3249" t="s">
        <v>115</v>
      </c>
      <c r="C89" s="3331"/>
      <c r="D89" s="3332"/>
      <c r="E89" s="3332"/>
      <c r="F89" s="3331"/>
      <c r="G89" s="3332"/>
      <c r="H89" s="3333"/>
      <c r="I89" s="3332"/>
      <c r="J89" s="3332"/>
      <c r="K89" s="3332"/>
      <c r="L89" s="3334"/>
      <c r="M89" s="3256"/>
      <c r="N89" s="3257"/>
      <c r="O89" s="3256"/>
      <c r="P89" s="3256"/>
      <c r="Q89" s="3257"/>
      <c r="R89" s="3256"/>
      <c r="S89" s="3256"/>
      <c r="T89" s="3257"/>
      <c r="U89" s="3256"/>
      <c r="V89" s="3256"/>
      <c r="W89" s="3257"/>
      <c r="X89" s="3256">
        <v>1</v>
      </c>
      <c r="Y89" s="3256"/>
      <c r="Z89" s="3257">
        <f>SUM(X89:Y89)</f>
        <v>1</v>
      </c>
      <c r="AA89" s="3256"/>
      <c r="AB89" s="3256"/>
      <c r="AC89" s="3257">
        <f>SUM(AA89:AB89)</f>
        <v>0</v>
      </c>
      <c r="AD89" s="3256">
        <v>2</v>
      </c>
      <c r="AE89" s="3256">
        <v>1</v>
      </c>
      <c r="AF89" s="3257">
        <f>SUM(AD89:AE89)</f>
        <v>3</v>
      </c>
      <c r="AG89" s="3256">
        <v>2</v>
      </c>
      <c r="AH89" s="3256">
        <v>3</v>
      </c>
      <c r="AI89" s="3257">
        <f>SUM(AG89:AH89)</f>
        <v>5</v>
      </c>
      <c r="AJ89" s="3256">
        <v>2</v>
      </c>
      <c r="AK89" s="3256">
        <v>3</v>
      </c>
      <c r="AL89" s="3257">
        <f>SUM(AJ89:AK89)</f>
        <v>5</v>
      </c>
      <c r="AM89" s="3256">
        <v>2</v>
      </c>
      <c r="AN89" s="3256">
        <v>3</v>
      </c>
      <c r="AO89" s="3257">
        <f>SUM(AM89:AN89)</f>
        <v>5</v>
      </c>
      <c r="AP89" s="3256">
        <v>1</v>
      </c>
      <c r="AQ89" s="3256">
        <v>2</v>
      </c>
      <c r="AR89" s="3257">
        <f>SUM(AP89:AQ89)</f>
        <v>3</v>
      </c>
      <c r="AS89" s="3256">
        <v>1</v>
      </c>
      <c r="AT89" s="3256">
        <v>1</v>
      </c>
      <c r="AU89" s="3257">
        <f>SUM(AS89:AT89)</f>
        <v>2</v>
      </c>
      <c r="AV89" s="3256">
        <v>1</v>
      </c>
      <c r="AW89" s="3256"/>
      <c r="AX89" s="3257">
        <f>SUM(AV89:AW89)</f>
        <v>1</v>
      </c>
      <c r="AY89" s="3256">
        <v>1</v>
      </c>
      <c r="AZ89" s="3256"/>
      <c r="BA89" s="3257">
        <f>SUM(AY89:AZ89)</f>
        <v>1</v>
      </c>
      <c r="BB89" s="5115">
        <v>1</v>
      </c>
      <c r="BC89" s="5115">
        <v>0</v>
      </c>
      <c r="BD89" s="5116">
        <f>SUM(BB89:BC89)</f>
        <v>1</v>
      </c>
    </row>
    <row r="90" spans="2:56" x14ac:dyDescent="0.3">
      <c r="B90" s="3268" t="s">
        <v>134</v>
      </c>
      <c r="C90" s="3339"/>
      <c r="D90" s="3340"/>
      <c r="E90" s="3340"/>
      <c r="F90" s="3339"/>
      <c r="G90" s="3340"/>
      <c r="H90" s="3341"/>
      <c r="I90" s="3340"/>
      <c r="J90" s="3340"/>
      <c r="K90" s="3340"/>
      <c r="L90" s="3342"/>
      <c r="M90" s="3275"/>
      <c r="N90" s="3276"/>
      <c r="O90" s="3275"/>
      <c r="P90" s="3275"/>
      <c r="Q90" s="3276"/>
      <c r="R90" s="3275"/>
      <c r="S90" s="3275"/>
      <c r="T90" s="3276"/>
      <c r="U90" s="3275">
        <f>SUM(U87:U89)</f>
        <v>2</v>
      </c>
      <c r="V90" s="3275">
        <f>SUM(V87:V89)</f>
        <v>0</v>
      </c>
      <c r="W90" s="3276">
        <f>SUM(U90:V90)</f>
        <v>2</v>
      </c>
      <c r="X90" s="3275">
        <f>SUM(X87:X89)</f>
        <v>3</v>
      </c>
      <c r="Y90" s="3275">
        <f>SUM(Y87:Y89)</f>
        <v>0</v>
      </c>
      <c r="Z90" s="3276">
        <f>SUM(X90:Y90)</f>
        <v>3</v>
      </c>
      <c r="AA90" s="3275">
        <f>SUM(AA87:AA89)</f>
        <v>3</v>
      </c>
      <c r="AB90" s="3275">
        <f>SUM(AB87:AB89)</f>
        <v>0</v>
      </c>
      <c r="AC90" s="3276">
        <f>SUM(AA90:AB90)</f>
        <v>3</v>
      </c>
      <c r="AD90" s="3275">
        <f>SUM(AD87:AD89)</f>
        <v>3</v>
      </c>
      <c r="AE90" s="3275">
        <f>SUM(AE87:AE89)</f>
        <v>1</v>
      </c>
      <c r="AF90" s="3276">
        <f>SUM(AD90:AE90)</f>
        <v>4</v>
      </c>
      <c r="AG90" s="3275">
        <f>SUM(AG87:AG89)</f>
        <v>3</v>
      </c>
      <c r="AH90" s="3275">
        <f>SUM(AH87:AH89)</f>
        <v>3</v>
      </c>
      <c r="AI90" s="3276">
        <f>SUM(AG90:AH90)</f>
        <v>6</v>
      </c>
      <c r="AJ90" s="3275">
        <f>SUM(AJ87:AJ89)</f>
        <v>2</v>
      </c>
      <c r="AK90" s="3275">
        <f>SUM(AK87:AK89)</f>
        <v>3</v>
      </c>
      <c r="AL90" s="3276">
        <f>SUM(AJ90:AK90)</f>
        <v>5</v>
      </c>
      <c r="AM90" s="3275">
        <f>SUM(AM87:AM89)</f>
        <v>2</v>
      </c>
      <c r="AN90" s="3275">
        <f>SUM(AN87:AN89)</f>
        <v>3</v>
      </c>
      <c r="AO90" s="3276">
        <f>SUM(AM90:AN90)</f>
        <v>5</v>
      </c>
      <c r="AP90" s="3275">
        <f>SUM(AP87:AP89)</f>
        <v>1</v>
      </c>
      <c r="AQ90" s="3275">
        <f>SUM(AQ87:AQ89)</f>
        <v>2</v>
      </c>
      <c r="AR90" s="3276">
        <f>SUM(AP90:AQ90)</f>
        <v>3</v>
      </c>
      <c r="AS90" s="3275">
        <f>SUM(AS87:AS89)</f>
        <v>1</v>
      </c>
      <c r="AT90" s="3275">
        <f>SUM(AT87:AT89)</f>
        <v>1</v>
      </c>
      <c r="AU90" s="3276">
        <f>SUM(AS90:AT90)</f>
        <v>2</v>
      </c>
      <c r="AV90" s="3275">
        <f>SUM(AV87:AV89)</f>
        <v>1</v>
      </c>
      <c r="AW90" s="3275">
        <v>0</v>
      </c>
      <c r="AX90" s="3276">
        <f>SUM(AV90:AW90)</f>
        <v>1</v>
      </c>
      <c r="AY90" s="3275">
        <f>SUM(AY87:AY89)</f>
        <v>1</v>
      </c>
      <c r="AZ90" s="3275">
        <v>0</v>
      </c>
      <c r="BA90" s="3276">
        <f>SUM(AY90:AZ90)</f>
        <v>1</v>
      </c>
      <c r="BB90" s="5117">
        <f>SUM(BB87:BB89)</f>
        <v>1</v>
      </c>
      <c r="BC90" s="5117">
        <v>0</v>
      </c>
      <c r="BD90" s="5118">
        <f>SUM(BB90:BC90)</f>
        <v>1</v>
      </c>
    </row>
    <row r="91" spans="2:56" x14ac:dyDescent="0.3">
      <c r="C91" s="3267"/>
      <c r="D91" s="3267"/>
      <c r="E91" s="3267"/>
      <c r="F91" s="3267"/>
      <c r="G91" s="3267"/>
      <c r="H91" s="3267"/>
      <c r="I91" s="3267"/>
      <c r="J91" s="3267"/>
      <c r="K91" s="3267"/>
      <c r="L91" s="3267"/>
      <c r="M91" s="3267"/>
      <c r="N91" s="3267"/>
      <c r="O91" s="3267"/>
      <c r="P91" s="3267"/>
      <c r="Q91" s="3267"/>
      <c r="R91" s="3267"/>
      <c r="S91" s="3267"/>
      <c r="T91" s="3267"/>
      <c r="U91" s="3267"/>
      <c r="V91" s="3267"/>
      <c r="W91" s="3267"/>
      <c r="X91" s="3267"/>
      <c r="Y91" s="3267"/>
      <c r="Z91" s="3267"/>
      <c r="AA91" s="3267"/>
      <c r="AB91" s="3267"/>
      <c r="AC91" s="3267"/>
      <c r="AD91" s="3267"/>
      <c r="AE91" s="3267"/>
      <c r="AF91" s="3267"/>
      <c r="AG91" s="3267"/>
      <c r="AH91" s="3267"/>
      <c r="AI91" s="3267"/>
      <c r="AJ91" s="3267"/>
      <c r="AK91" s="3267"/>
      <c r="AL91" s="3267"/>
      <c r="AM91" s="3267"/>
      <c r="AN91" s="3267"/>
      <c r="AO91" s="3267"/>
      <c r="AP91" s="3267"/>
      <c r="AQ91" s="3267"/>
      <c r="AR91" s="3267"/>
      <c r="AS91" s="3267"/>
      <c r="AT91" s="3267"/>
      <c r="AU91" s="3267"/>
      <c r="AV91" s="3267"/>
      <c r="AW91" s="3267"/>
      <c r="AX91" s="3267"/>
      <c r="AY91" s="3267"/>
      <c r="AZ91" s="3267"/>
    </row>
    <row r="92" spans="2:56" x14ac:dyDescent="0.3">
      <c r="B92" s="3240" t="s">
        <v>59</v>
      </c>
      <c r="C92" s="3327">
        <v>6</v>
      </c>
      <c r="D92" s="3328">
        <v>14</v>
      </c>
      <c r="E92" s="3328">
        <f>SUM(C92:D92)</f>
        <v>20</v>
      </c>
      <c r="F92" s="3327">
        <v>6</v>
      </c>
      <c r="G92" s="3328">
        <v>13</v>
      </c>
      <c r="H92" s="3329">
        <f>SUM(F92:G92)</f>
        <v>19</v>
      </c>
      <c r="I92" s="3328">
        <v>6</v>
      </c>
      <c r="J92" s="3328">
        <v>13</v>
      </c>
      <c r="K92" s="3328">
        <f>SUM(I92:J92)</f>
        <v>19</v>
      </c>
      <c r="L92" s="3330">
        <v>5</v>
      </c>
      <c r="M92" s="3247">
        <v>12</v>
      </c>
      <c r="N92" s="3248">
        <f t="shared" si="44"/>
        <v>17</v>
      </c>
      <c r="O92" s="3247">
        <v>5</v>
      </c>
      <c r="P92" s="3247">
        <v>12</v>
      </c>
      <c r="Q92" s="3248">
        <f t="shared" si="45"/>
        <v>17</v>
      </c>
      <c r="R92" s="3247">
        <v>5</v>
      </c>
      <c r="S92" s="3247">
        <v>11</v>
      </c>
      <c r="T92" s="3248">
        <f t="shared" si="46"/>
        <v>16</v>
      </c>
      <c r="U92" s="3247">
        <v>5</v>
      </c>
      <c r="V92" s="3247">
        <v>10</v>
      </c>
      <c r="W92" s="3248">
        <f t="shared" si="47"/>
        <v>15</v>
      </c>
      <c r="X92" s="3247">
        <v>5</v>
      </c>
      <c r="Y92" s="3247">
        <v>9</v>
      </c>
      <c r="Z92" s="3248">
        <f>SUM(X92:Y92)</f>
        <v>14</v>
      </c>
      <c r="AA92" s="3247">
        <v>5</v>
      </c>
      <c r="AB92" s="3247">
        <v>9</v>
      </c>
      <c r="AC92" s="3248">
        <f>SUM(AA92:AB92)</f>
        <v>14</v>
      </c>
      <c r="AD92" s="3247">
        <v>5</v>
      </c>
      <c r="AE92" s="3247">
        <v>9</v>
      </c>
      <c r="AF92" s="3248">
        <f>SUM(AD92:AE92)</f>
        <v>14</v>
      </c>
      <c r="AG92" s="3247">
        <v>6</v>
      </c>
      <c r="AH92" s="3247">
        <v>9</v>
      </c>
      <c r="AI92" s="3248">
        <f>SUM(AG92:AH92)</f>
        <v>15</v>
      </c>
      <c r="AJ92" s="3247">
        <v>6</v>
      </c>
      <c r="AK92" s="3247">
        <v>8</v>
      </c>
      <c r="AL92" s="3248">
        <f>SUM(AJ92:AK92)</f>
        <v>14</v>
      </c>
      <c r="AM92" s="3247">
        <v>6</v>
      </c>
      <c r="AN92" s="3247">
        <v>7</v>
      </c>
      <c r="AO92" s="3248">
        <f>SUM(AM92:AN92)</f>
        <v>13</v>
      </c>
      <c r="AP92" s="3247">
        <v>6</v>
      </c>
      <c r="AQ92" s="3247">
        <v>7</v>
      </c>
      <c r="AR92" s="3248">
        <f>SUM(AP92:AQ92)</f>
        <v>13</v>
      </c>
      <c r="AS92" s="3247">
        <v>6</v>
      </c>
      <c r="AT92" s="3247">
        <v>7</v>
      </c>
      <c r="AU92" s="3248">
        <f>SUM(AS92:AT92)</f>
        <v>13</v>
      </c>
      <c r="AV92" s="3247">
        <v>5</v>
      </c>
      <c r="AW92" s="3247">
        <v>6</v>
      </c>
      <c r="AX92" s="3248">
        <f>SUM(AV92:AW92)</f>
        <v>11</v>
      </c>
      <c r="AY92" s="3247">
        <v>4</v>
      </c>
      <c r="AZ92" s="3247">
        <v>6</v>
      </c>
      <c r="BA92" s="3248">
        <f>SUM(AY92:AZ92)</f>
        <v>10</v>
      </c>
      <c r="BB92" s="5113">
        <v>4</v>
      </c>
      <c r="BC92" s="5113">
        <v>6</v>
      </c>
      <c r="BD92" s="5114">
        <f>SUM(BB92:BC92)</f>
        <v>10</v>
      </c>
    </row>
    <row r="93" spans="2:56" x14ac:dyDescent="0.3">
      <c r="B93" s="3249" t="s">
        <v>64</v>
      </c>
      <c r="C93" s="3331">
        <v>13</v>
      </c>
      <c r="D93" s="3332">
        <v>29</v>
      </c>
      <c r="E93" s="3332">
        <f>SUM(C93:D93)</f>
        <v>42</v>
      </c>
      <c r="F93" s="3331">
        <v>14</v>
      </c>
      <c r="G93" s="3332">
        <v>27</v>
      </c>
      <c r="H93" s="3333">
        <f>SUM(F93:G93)</f>
        <v>41</v>
      </c>
      <c r="I93" s="3332">
        <v>15</v>
      </c>
      <c r="J93" s="3332">
        <v>26</v>
      </c>
      <c r="K93" s="3332">
        <f>SUM(I93:J93)</f>
        <v>41</v>
      </c>
      <c r="L93" s="3334">
        <v>13</v>
      </c>
      <c r="M93" s="3256">
        <v>27</v>
      </c>
      <c r="N93" s="3257">
        <f t="shared" si="44"/>
        <v>40</v>
      </c>
      <c r="O93" s="3256">
        <v>11</v>
      </c>
      <c r="P93" s="3256">
        <v>26</v>
      </c>
      <c r="Q93" s="3257">
        <f t="shared" si="45"/>
        <v>37</v>
      </c>
      <c r="R93" s="3256">
        <v>15</v>
      </c>
      <c r="S93" s="3256">
        <v>28</v>
      </c>
      <c r="T93" s="3257">
        <f t="shared" si="46"/>
        <v>43</v>
      </c>
      <c r="U93" s="3256">
        <v>15</v>
      </c>
      <c r="V93" s="3256">
        <v>27</v>
      </c>
      <c r="W93" s="3257">
        <f t="shared" si="47"/>
        <v>42</v>
      </c>
      <c r="X93" s="3256">
        <v>16</v>
      </c>
      <c r="Y93" s="3256">
        <v>29</v>
      </c>
      <c r="Z93" s="3257">
        <f>SUM(X93:Y93)</f>
        <v>45</v>
      </c>
      <c r="AA93" s="3256">
        <v>15</v>
      </c>
      <c r="AB93" s="3256">
        <v>28</v>
      </c>
      <c r="AC93" s="3257">
        <f>SUM(AA93:AB93)</f>
        <v>43</v>
      </c>
      <c r="AD93" s="3256">
        <v>17</v>
      </c>
      <c r="AE93" s="3256">
        <v>31</v>
      </c>
      <c r="AF93" s="3257">
        <f>SUM(AD93:AE93)</f>
        <v>48</v>
      </c>
      <c r="AG93" s="3256">
        <v>15</v>
      </c>
      <c r="AH93" s="3256">
        <v>24</v>
      </c>
      <c r="AI93" s="3257">
        <f>SUM(AG93:AH93)</f>
        <v>39</v>
      </c>
      <c r="AJ93" s="3256">
        <v>15</v>
      </c>
      <c r="AK93" s="3256">
        <v>22</v>
      </c>
      <c r="AL93" s="3257">
        <f>SUM(AJ93:AK93)</f>
        <v>37</v>
      </c>
      <c r="AM93" s="3256">
        <v>16</v>
      </c>
      <c r="AN93" s="3256">
        <v>21</v>
      </c>
      <c r="AO93" s="3257">
        <f>SUM(AM93:AN93)</f>
        <v>37</v>
      </c>
      <c r="AP93" s="3256">
        <v>14</v>
      </c>
      <c r="AQ93" s="3256">
        <v>21</v>
      </c>
      <c r="AR93" s="3257">
        <f>SUM(AP93:AQ93)</f>
        <v>35</v>
      </c>
      <c r="AS93" s="3256">
        <v>12</v>
      </c>
      <c r="AT93" s="3256">
        <v>19</v>
      </c>
      <c r="AU93" s="3257">
        <f>SUM(AS93:AT93)</f>
        <v>31</v>
      </c>
      <c r="AV93" s="3256">
        <v>12</v>
      </c>
      <c r="AW93" s="3256">
        <v>17</v>
      </c>
      <c r="AX93" s="3257">
        <f>SUM(AV93:AW93)</f>
        <v>29</v>
      </c>
      <c r="AY93" s="3256">
        <v>12</v>
      </c>
      <c r="AZ93" s="3256">
        <v>16</v>
      </c>
      <c r="BA93" s="3257">
        <f>SUM(AY93:AZ93)</f>
        <v>28</v>
      </c>
      <c r="BB93" s="5115">
        <v>12</v>
      </c>
      <c r="BC93" s="5115">
        <v>15</v>
      </c>
      <c r="BD93" s="5116">
        <f>SUM(BB93:BC93)</f>
        <v>27</v>
      </c>
    </row>
    <row r="94" spans="2:56" x14ac:dyDescent="0.3">
      <c r="B94" s="3249" t="s">
        <v>92</v>
      </c>
      <c r="C94" s="3331">
        <v>18</v>
      </c>
      <c r="D94" s="3332">
        <v>20</v>
      </c>
      <c r="E94" s="3332">
        <f>SUM(C94:D94)</f>
        <v>38</v>
      </c>
      <c r="F94" s="3331">
        <v>18</v>
      </c>
      <c r="G94" s="3332">
        <v>18</v>
      </c>
      <c r="H94" s="3333">
        <f>SUM(F94:G94)</f>
        <v>36</v>
      </c>
      <c r="I94" s="3332">
        <v>15</v>
      </c>
      <c r="J94" s="3332">
        <v>16</v>
      </c>
      <c r="K94" s="3332">
        <f>SUM(I94:J94)</f>
        <v>31</v>
      </c>
      <c r="L94" s="3334">
        <v>14</v>
      </c>
      <c r="M94" s="3256">
        <v>14</v>
      </c>
      <c r="N94" s="3257">
        <f t="shared" si="44"/>
        <v>28</v>
      </c>
      <c r="O94" s="3256">
        <v>13</v>
      </c>
      <c r="P94" s="3256">
        <v>14</v>
      </c>
      <c r="Q94" s="3257">
        <f t="shared" si="45"/>
        <v>27</v>
      </c>
      <c r="R94" s="3256">
        <v>13</v>
      </c>
      <c r="S94" s="3256">
        <v>14</v>
      </c>
      <c r="T94" s="3257">
        <f t="shared" si="46"/>
        <v>27</v>
      </c>
      <c r="U94" s="3256">
        <v>13</v>
      </c>
      <c r="V94" s="3256">
        <v>13</v>
      </c>
      <c r="W94" s="3257">
        <f t="shared" si="47"/>
        <v>26</v>
      </c>
      <c r="X94" s="3256">
        <v>13</v>
      </c>
      <c r="Y94" s="3256">
        <v>13</v>
      </c>
      <c r="Z94" s="3257">
        <f>SUM(X94:Y94)</f>
        <v>26</v>
      </c>
      <c r="AA94" s="3256">
        <v>12</v>
      </c>
      <c r="AB94" s="3256">
        <v>10</v>
      </c>
      <c r="AC94" s="3257">
        <f>SUM(AA94:AB94)</f>
        <v>22</v>
      </c>
      <c r="AD94" s="3256">
        <v>10</v>
      </c>
      <c r="AE94" s="3256">
        <v>9</v>
      </c>
      <c r="AF94" s="3257">
        <f>SUM(AD94:AE94)</f>
        <v>19</v>
      </c>
      <c r="AG94" s="3256">
        <v>10</v>
      </c>
      <c r="AH94" s="3256">
        <v>9</v>
      </c>
      <c r="AI94" s="3257">
        <f>SUM(AG94:AH94)</f>
        <v>19</v>
      </c>
      <c r="AJ94" s="3256">
        <v>10</v>
      </c>
      <c r="AK94" s="3256">
        <v>9</v>
      </c>
      <c r="AL94" s="3257">
        <f>SUM(AJ94:AK94)</f>
        <v>19</v>
      </c>
      <c r="AM94" s="3256">
        <v>9</v>
      </c>
      <c r="AN94" s="3256">
        <v>9</v>
      </c>
      <c r="AO94" s="3257">
        <f>SUM(AM94:AN94)</f>
        <v>18</v>
      </c>
      <c r="AP94" s="3256">
        <v>7</v>
      </c>
      <c r="AQ94" s="3256">
        <v>9</v>
      </c>
      <c r="AR94" s="3257">
        <f>SUM(AP94:AQ94)</f>
        <v>16</v>
      </c>
      <c r="AS94" s="3256">
        <v>7</v>
      </c>
      <c r="AT94" s="3256">
        <v>9</v>
      </c>
      <c r="AU94" s="3257">
        <f>SUM(AS94:AT94)</f>
        <v>16</v>
      </c>
      <c r="AV94" s="3256">
        <v>7</v>
      </c>
      <c r="AW94" s="3256">
        <v>7</v>
      </c>
      <c r="AX94" s="3257">
        <f>SUM(AV94:AW94)</f>
        <v>14</v>
      </c>
      <c r="AY94" s="3256">
        <v>6</v>
      </c>
      <c r="AZ94" s="3256">
        <v>7</v>
      </c>
      <c r="BA94" s="3257">
        <f>SUM(AY94:AZ94)</f>
        <v>13</v>
      </c>
      <c r="BB94" s="5115">
        <v>6</v>
      </c>
      <c r="BC94" s="5115">
        <v>7</v>
      </c>
      <c r="BD94" s="5116">
        <f>SUM(BB94:BC94)</f>
        <v>13</v>
      </c>
    </row>
    <row r="95" spans="2:56" x14ac:dyDescent="0.3">
      <c r="B95" s="3277" t="s">
        <v>135</v>
      </c>
      <c r="C95" s="3343">
        <f t="shared" ref="C95:M95" si="49">SUM(C92:C94)</f>
        <v>37</v>
      </c>
      <c r="D95" s="3344">
        <f t="shared" si="49"/>
        <v>63</v>
      </c>
      <c r="E95" s="3344">
        <f t="shared" si="49"/>
        <v>100</v>
      </c>
      <c r="F95" s="3343">
        <f t="shared" si="49"/>
        <v>38</v>
      </c>
      <c r="G95" s="3344">
        <f t="shared" si="49"/>
        <v>58</v>
      </c>
      <c r="H95" s="3345">
        <f t="shared" si="49"/>
        <v>96</v>
      </c>
      <c r="I95" s="3344">
        <f t="shared" si="49"/>
        <v>36</v>
      </c>
      <c r="J95" s="3344">
        <f t="shared" si="49"/>
        <v>55</v>
      </c>
      <c r="K95" s="3344">
        <f t="shared" si="49"/>
        <v>91</v>
      </c>
      <c r="L95" s="3346">
        <f t="shared" si="49"/>
        <v>32</v>
      </c>
      <c r="M95" s="3284">
        <f t="shared" si="49"/>
        <v>53</v>
      </c>
      <c r="N95" s="3285">
        <f t="shared" si="44"/>
        <v>85</v>
      </c>
      <c r="O95" s="3284">
        <f>SUM(O92:O94)</f>
        <v>29</v>
      </c>
      <c r="P95" s="3284">
        <f>SUM(P92:P94)</f>
        <v>52</v>
      </c>
      <c r="Q95" s="3285">
        <f t="shared" si="45"/>
        <v>81</v>
      </c>
      <c r="R95" s="3284">
        <f>SUM(R92:R94)</f>
        <v>33</v>
      </c>
      <c r="S95" s="3284">
        <f>SUM(S92:S94)</f>
        <v>53</v>
      </c>
      <c r="T95" s="3285">
        <f t="shared" si="46"/>
        <v>86</v>
      </c>
      <c r="U95" s="3284">
        <f>SUM(U92:U94)</f>
        <v>33</v>
      </c>
      <c r="V95" s="3284">
        <f>SUM(V92:V94)</f>
        <v>50</v>
      </c>
      <c r="W95" s="3285">
        <f t="shared" si="47"/>
        <v>83</v>
      </c>
      <c r="X95" s="3284">
        <f>SUM(X92:X94)</f>
        <v>34</v>
      </c>
      <c r="Y95" s="3284">
        <f>SUM(Y92:Y94)</f>
        <v>51</v>
      </c>
      <c r="Z95" s="3285">
        <f>SUM(X95:Y95)</f>
        <v>85</v>
      </c>
      <c r="AA95" s="3284">
        <f>SUM(AA92:AA94)</f>
        <v>32</v>
      </c>
      <c r="AB95" s="3284">
        <f>SUM(AB92:AB94)</f>
        <v>47</v>
      </c>
      <c r="AC95" s="3285">
        <f>SUM(AA95:AB95)</f>
        <v>79</v>
      </c>
      <c r="AD95" s="3284">
        <f>SUM(AD92:AD94)</f>
        <v>32</v>
      </c>
      <c r="AE95" s="3284">
        <f>SUM(AE92:AE94)</f>
        <v>49</v>
      </c>
      <c r="AF95" s="3285">
        <f>SUM(AD95:AE95)</f>
        <v>81</v>
      </c>
      <c r="AG95" s="3284">
        <f>SUM(AG92:AG94)</f>
        <v>31</v>
      </c>
      <c r="AH95" s="3284">
        <f>SUM(AH92:AH94)</f>
        <v>42</v>
      </c>
      <c r="AI95" s="3285">
        <f>SUM(AG95:AH95)</f>
        <v>73</v>
      </c>
      <c r="AJ95" s="3284">
        <f>SUM(AJ92:AJ94)</f>
        <v>31</v>
      </c>
      <c r="AK95" s="3284">
        <f>SUM(AK92:AK94)</f>
        <v>39</v>
      </c>
      <c r="AL95" s="3285">
        <f>SUM(AJ95:AK95)</f>
        <v>70</v>
      </c>
      <c r="AM95" s="3284">
        <f>SUM(AM92:AM94)</f>
        <v>31</v>
      </c>
      <c r="AN95" s="3284">
        <f>SUM(AN92:AN94)</f>
        <v>37</v>
      </c>
      <c r="AO95" s="3285">
        <f>SUM(AM95:AN95)</f>
        <v>68</v>
      </c>
      <c r="AP95" s="3284">
        <f>SUM(AP92:AP94)</f>
        <v>27</v>
      </c>
      <c r="AQ95" s="3284">
        <f>SUM(AQ92:AQ94)</f>
        <v>37</v>
      </c>
      <c r="AR95" s="3285">
        <f>SUM(AP95:AQ95)</f>
        <v>64</v>
      </c>
      <c r="AS95" s="3284">
        <f>SUM(AS92:AS94)</f>
        <v>25</v>
      </c>
      <c r="AT95" s="3284">
        <f>SUM(AT92:AT94)</f>
        <v>35</v>
      </c>
      <c r="AU95" s="3285">
        <f>SUM(AS95:AT95)</f>
        <v>60</v>
      </c>
      <c r="AV95" s="3284">
        <f>SUM(AV92:AV94)</f>
        <v>24</v>
      </c>
      <c r="AW95" s="3284">
        <f>SUM(AW92:AW94)</f>
        <v>30</v>
      </c>
      <c r="AX95" s="3285">
        <f>SUM(AV95:AW95)</f>
        <v>54</v>
      </c>
      <c r="AY95" s="3284">
        <f>SUM(AY92:AY94)</f>
        <v>22</v>
      </c>
      <c r="AZ95" s="3284">
        <f>SUM(AZ92:AZ94)</f>
        <v>29</v>
      </c>
      <c r="BA95" s="3285">
        <f>SUM(AY95:AZ95)</f>
        <v>51</v>
      </c>
      <c r="BB95" s="5119">
        <f>SUM(BB92:BB94)</f>
        <v>22</v>
      </c>
      <c r="BC95" s="5119">
        <f>SUM(BC92:BC94)</f>
        <v>28</v>
      </c>
      <c r="BD95" s="5120">
        <f>SUM(BB95:BC95)</f>
        <v>50</v>
      </c>
    </row>
    <row r="96" spans="2:56" x14ac:dyDescent="0.3">
      <c r="C96" s="3267"/>
      <c r="D96" s="3267"/>
      <c r="E96" s="3267"/>
      <c r="F96" s="3267"/>
      <c r="G96" s="3267"/>
      <c r="H96" s="3267"/>
      <c r="I96" s="3267"/>
      <c r="J96" s="3267"/>
      <c r="K96" s="3267"/>
      <c r="L96" s="3267"/>
      <c r="M96" s="3267"/>
      <c r="N96" s="3267"/>
      <c r="O96" s="3267"/>
      <c r="P96" s="3267"/>
      <c r="Q96" s="3267"/>
      <c r="R96" s="3267"/>
      <c r="S96" s="3267"/>
      <c r="T96" s="3267"/>
      <c r="U96" s="3267"/>
      <c r="V96" s="3267"/>
      <c r="W96" s="3267"/>
      <c r="X96" s="3267"/>
      <c r="Y96" s="3267"/>
      <c r="Z96" s="3267"/>
      <c r="AA96" s="3267"/>
      <c r="AB96" s="3267"/>
      <c r="AC96" s="3267"/>
      <c r="AD96" s="3267"/>
      <c r="AE96" s="3267"/>
      <c r="AF96" s="3267"/>
      <c r="AG96" s="3267"/>
      <c r="AH96" s="3267"/>
      <c r="AI96" s="3267"/>
      <c r="AJ96" s="3267"/>
      <c r="AK96" s="3267"/>
      <c r="AL96" s="3267"/>
      <c r="AM96" s="3267"/>
      <c r="AN96" s="3267"/>
      <c r="AO96" s="3267"/>
      <c r="AP96" s="3267"/>
      <c r="AQ96" s="3267"/>
      <c r="AR96" s="3267"/>
      <c r="AS96" s="3267"/>
      <c r="AT96" s="3267"/>
      <c r="AU96" s="3267"/>
      <c r="AV96" s="3267"/>
      <c r="AW96" s="3267"/>
      <c r="AX96" s="3267"/>
      <c r="AY96" s="3267"/>
      <c r="AZ96" s="3267"/>
    </row>
    <row r="97" spans="2:56" x14ac:dyDescent="0.3">
      <c r="B97" s="3240" t="s">
        <v>64</v>
      </c>
      <c r="C97" s="3327">
        <v>2</v>
      </c>
      <c r="D97" s="3328">
        <v>4</v>
      </c>
      <c r="E97" s="3328">
        <f>SUM(C97:D97)</f>
        <v>6</v>
      </c>
      <c r="F97" s="3327">
        <v>2</v>
      </c>
      <c r="G97" s="3328">
        <v>4</v>
      </c>
      <c r="H97" s="3329">
        <f>SUM(F97:G97)</f>
        <v>6</v>
      </c>
      <c r="I97" s="3327">
        <v>2</v>
      </c>
      <c r="J97" s="3328">
        <v>3</v>
      </c>
      <c r="K97" s="3329">
        <f>SUM(I97:J97)</f>
        <v>5</v>
      </c>
      <c r="L97" s="3330">
        <v>4</v>
      </c>
      <c r="M97" s="3247">
        <v>3</v>
      </c>
      <c r="N97" s="3248">
        <f t="shared" si="44"/>
        <v>7</v>
      </c>
      <c r="O97" s="3247">
        <v>4</v>
      </c>
      <c r="P97" s="3247">
        <v>2</v>
      </c>
      <c r="Q97" s="3248">
        <f t="shared" si="45"/>
        <v>6</v>
      </c>
      <c r="R97" s="3247">
        <v>9</v>
      </c>
      <c r="S97" s="3247">
        <v>6</v>
      </c>
      <c r="T97" s="3248">
        <f t="shared" si="46"/>
        <v>15</v>
      </c>
      <c r="U97" s="3247">
        <v>11</v>
      </c>
      <c r="V97" s="3247">
        <v>5</v>
      </c>
      <c r="W97" s="3248">
        <f t="shared" si="47"/>
        <v>16</v>
      </c>
      <c r="X97" s="3247">
        <v>10</v>
      </c>
      <c r="Y97" s="3247">
        <v>4</v>
      </c>
      <c r="Z97" s="3248">
        <f>SUM(X97:Y97)</f>
        <v>14</v>
      </c>
      <c r="AA97" s="3247">
        <v>9</v>
      </c>
      <c r="AB97" s="3247">
        <v>4</v>
      </c>
      <c r="AC97" s="3248">
        <f>SUM(AA97:AB97)</f>
        <v>13</v>
      </c>
      <c r="AD97" s="3247">
        <v>10</v>
      </c>
      <c r="AE97" s="3247">
        <v>4</v>
      </c>
      <c r="AF97" s="3248">
        <f>SUM(AD97:AE97)</f>
        <v>14</v>
      </c>
      <c r="AG97" s="3247">
        <v>8</v>
      </c>
      <c r="AH97" s="3247">
        <v>3</v>
      </c>
      <c r="AI97" s="3248">
        <f>SUM(AG97:AH97)</f>
        <v>11</v>
      </c>
      <c r="AJ97" s="3247">
        <v>8</v>
      </c>
      <c r="AK97" s="3247">
        <v>3</v>
      </c>
      <c r="AL97" s="3248">
        <f>SUM(AJ97:AK97)</f>
        <v>11</v>
      </c>
      <c r="AM97" s="3247">
        <v>9</v>
      </c>
      <c r="AN97" s="3247">
        <v>3</v>
      </c>
      <c r="AO97" s="3248">
        <f>SUM(AM97:AN97)</f>
        <v>12</v>
      </c>
      <c r="AP97" s="3247">
        <v>10</v>
      </c>
      <c r="AQ97" s="3247">
        <v>3</v>
      </c>
      <c r="AR97" s="3248">
        <f>SUM(AP97:AQ97)</f>
        <v>13</v>
      </c>
      <c r="AS97" s="3247">
        <v>6</v>
      </c>
      <c r="AT97" s="3247">
        <v>3</v>
      </c>
      <c r="AU97" s="3248">
        <f>SUM(AS97:AT97)</f>
        <v>9</v>
      </c>
      <c r="AV97" s="3247">
        <v>6</v>
      </c>
      <c r="AW97" s="3247">
        <v>3</v>
      </c>
      <c r="AX97" s="3248">
        <f>SUM(AV97:AW97)</f>
        <v>9</v>
      </c>
      <c r="AY97" s="3247">
        <v>6</v>
      </c>
      <c r="AZ97" s="3247">
        <v>3</v>
      </c>
      <c r="BA97" s="3248">
        <f>SUM(AY97:AZ97)</f>
        <v>9</v>
      </c>
      <c r="BB97" s="5113">
        <v>6</v>
      </c>
      <c r="BC97" s="5113">
        <v>3</v>
      </c>
      <c r="BD97" s="5114">
        <f>SUM(BB97:BC97)</f>
        <v>9</v>
      </c>
    </row>
    <row r="98" spans="2:56" x14ac:dyDescent="0.3">
      <c r="B98" s="3249" t="s">
        <v>92</v>
      </c>
      <c r="C98" s="3331"/>
      <c r="D98" s="3332">
        <v>2</v>
      </c>
      <c r="E98" s="3332">
        <f>SUM(C98:D98)</f>
        <v>2</v>
      </c>
      <c r="F98" s="3331"/>
      <c r="G98" s="3332">
        <v>2</v>
      </c>
      <c r="H98" s="3333">
        <f>SUM(F98:G98)</f>
        <v>2</v>
      </c>
      <c r="I98" s="3331"/>
      <c r="J98" s="3332">
        <v>2</v>
      </c>
      <c r="K98" s="3333">
        <f>SUM(I98:J98)</f>
        <v>2</v>
      </c>
      <c r="L98" s="3334"/>
      <c r="M98" s="3256">
        <v>2</v>
      </c>
      <c r="N98" s="3257">
        <f t="shared" si="44"/>
        <v>2</v>
      </c>
      <c r="O98" s="3256"/>
      <c r="P98" s="3256">
        <v>2</v>
      </c>
      <c r="Q98" s="3257">
        <f t="shared" si="45"/>
        <v>2</v>
      </c>
      <c r="R98" s="3256"/>
      <c r="S98" s="3256">
        <v>3</v>
      </c>
      <c r="T98" s="3257">
        <f t="shared" si="46"/>
        <v>3</v>
      </c>
      <c r="U98" s="3256"/>
      <c r="V98" s="3256">
        <v>2</v>
      </c>
      <c r="W98" s="3257">
        <f t="shared" si="47"/>
        <v>2</v>
      </c>
      <c r="X98" s="3256"/>
      <c r="Y98" s="3256">
        <v>2</v>
      </c>
      <c r="Z98" s="3257">
        <f>SUM(X98:Y98)</f>
        <v>2</v>
      </c>
      <c r="AA98" s="3256">
        <v>1</v>
      </c>
      <c r="AB98" s="3256">
        <v>3</v>
      </c>
      <c r="AC98" s="3257">
        <f>SUM(AA98:AB98)</f>
        <v>4</v>
      </c>
      <c r="AD98" s="3256">
        <v>4</v>
      </c>
      <c r="AE98" s="3256">
        <v>5</v>
      </c>
      <c r="AF98" s="3257">
        <f>SUM(AD98:AE98)</f>
        <v>9</v>
      </c>
      <c r="AG98" s="3256">
        <v>3</v>
      </c>
      <c r="AH98" s="3256">
        <v>4</v>
      </c>
      <c r="AI98" s="3257">
        <f>SUM(AG98:AH98)</f>
        <v>7</v>
      </c>
      <c r="AJ98" s="3256">
        <v>3</v>
      </c>
      <c r="AK98" s="3256">
        <v>5</v>
      </c>
      <c r="AL98" s="3257">
        <f>SUM(AJ98:AK98)</f>
        <v>8</v>
      </c>
      <c r="AM98" s="3256">
        <v>2</v>
      </c>
      <c r="AN98" s="3256">
        <v>5</v>
      </c>
      <c r="AO98" s="3257">
        <f>SUM(AM98:AN98)</f>
        <v>7</v>
      </c>
      <c r="AP98" s="3256">
        <v>2</v>
      </c>
      <c r="AQ98" s="3256">
        <v>5</v>
      </c>
      <c r="AR98" s="3257">
        <f>SUM(AP98:AQ98)</f>
        <v>7</v>
      </c>
      <c r="AS98" s="3256">
        <v>2</v>
      </c>
      <c r="AT98" s="3256">
        <v>5</v>
      </c>
      <c r="AU98" s="3257">
        <f>SUM(AS98:AT98)</f>
        <v>7</v>
      </c>
      <c r="AV98" s="3256">
        <v>1</v>
      </c>
      <c r="AW98" s="3256">
        <v>3</v>
      </c>
      <c r="AX98" s="3257">
        <f>SUM(AV98:AW98)</f>
        <v>4</v>
      </c>
      <c r="AY98" s="3256">
        <v>1</v>
      </c>
      <c r="AZ98" s="3256">
        <v>4</v>
      </c>
      <c r="BA98" s="3257">
        <f>SUM(AY98:AZ98)</f>
        <v>5</v>
      </c>
      <c r="BB98" s="5115">
        <v>2</v>
      </c>
      <c r="BC98" s="5115">
        <v>3</v>
      </c>
      <c r="BD98" s="5116">
        <f>SUM(BB98:BC98)</f>
        <v>5</v>
      </c>
    </row>
    <row r="99" spans="2:56" x14ac:dyDescent="0.3">
      <c r="B99" s="3249" t="s">
        <v>68</v>
      </c>
      <c r="C99" s="3331">
        <v>1</v>
      </c>
      <c r="D99" s="3332">
        <v>3</v>
      </c>
      <c r="E99" s="3332">
        <f>SUM(C99:D99)</f>
        <v>4</v>
      </c>
      <c r="F99" s="3331">
        <v>1</v>
      </c>
      <c r="G99" s="3332">
        <v>3</v>
      </c>
      <c r="H99" s="3333">
        <f>SUM(F99:G99)</f>
        <v>4</v>
      </c>
      <c r="I99" s="3331">
        <v>1</v>
      </c>
      <c r="J99" s="3332">
        <v>3</v>
      </c>
      <c r="K99" s="3333">
        <f>SUM(I99:J99)</f>
        <v>4</v>
      </c>
      <c r="L99" s="3334">
        <v>1</v>
      </c>
      <c r="M99" s="3256">
        <v>4</v>
      </c>
      <c r="N99" s="3257">
        <f t="shared" si="44"/>
        <v>5</v>
      </c>
      <c r="O99" s="3256">
        <v>1</v>
      </c>
      <c r="P99" s="3256">
        <v>7</v>
      </c>
      <c r="Q99" s="3257">
        <f t="shared" si="45"/>
        <v>8</v>
      </c>
      <c r="R99" s="3256">
        <v>1</v>
      </c>
      <c r="S99" s="3256">
        <v>7</v>
      </c>
      <c r="T99" s="3257">
        <f t="shared" si="46"/>
        <v>8</v>
      </c>
      <c r="U99" s="3256">
        <v>1</v>
      </c>
      <c r="V99" s="3256">
        <v>7</v>
      </c>
      <c r="W99" s="3257">
        <f t="shared" si="47"/>
        <v>8</v>
      </c>
      <c r="X99" s="3256">
        <v>1</v>
      </c>
      <c r="Y99" s="3256">
        <v>6</v>
      </c>
      <c r="Z99" s="3257">
        <f>SUM(X99:Y99)</f>
        <v>7</v>
      </c>
      <c r="AA99" s="3256">
        <v>1</v>
      </c>
      <c r="AB99" s="3256">
        <v>6</v>
      </c>
      <c r="AC99" s="3257">
        <f>SUM(AA99:AB99)</f>
        <v>7</v>
      </c>
      <c r="AD99" s="3256">
        <v>1</v>
      </c>
      <c r="AE99" s="3256">
        <v>6</v>
      </c>
      <c r="AF99" s="3257">
        <f>SUM(AD99:AE99)</f>
        <v>7</v>
      </c>
      <c r="AG99" s="3256">
        <v>1</v>
      </c>
      <c r="AH99" s="3256">
        <v>5</v>
      </c>
      <c r="AI99" s="3257">
        <f>SUM(AG99:AH99)</f>
        <v>6</v>
      </c>
      <c r="AJ99" s="3256">
        <v>1</v>
      </c>
      <c r="AK99" s="3256">
        <v>5</v>
      </c>
      <c r="AL99" s="3257">
        <f>SUM(AJ99:AK99)</f>
        <v>6</v>
      </c>
      <c r="AM99" s="3256">
        <v>1</v>
      </c>
      <c r="AN99" s="3256">
        <v>4</v>
      </c>
      <c r="AO99" s="3257">
        <f>SUM(AM99:AN99)</f>
        <v>5</v>
      </c>
      <c r="AP99" s="3256">
        <v>1</v>
      </c>
      <c r="AQ99" s="3256">
        <v>5</v>
      </c>
      <c r="AR99" s="3257">
        <f>SUM(AP99:AQ99)</f>
        <v>6</v>
      </c>
      <c r="AS99" s="3256">
        <v>1</v>
      </c>
      <c r="AT99" s="3256">
        <v>5</v>
      </c>
      <c r="AU99" s="3257">
        <f>SUM(AS99:AT99)</f>
        <v>6</v>
      </c>
      <c r="AV99" s="3256">
        <v>1</v>
      </c>
      <c r="AW99" s="3256">
        <v>4</v>
      </c>
      <c r="AX99" s="3257">
        <f>SUM(AV99:AW99)</f>
        <v>5</v>
      </c>
      <c r="AY99" s="3256">
        <v>1</v>
      </c>
      <c r="AZ99" s="3256">
        <v>3</v>
      </c>
      <c r="BA99" s="3257">
        <f>SUM(AY99:AZ99)</f>
        <v>4</v>
      </c>
      <c r="BB99" s="5115">
        <v>1</v>
      </c>
      <c r="BC99" s="5115">
        <v>3</v>
      </c>
      <c r="BD99" s="5116">
        <f>SUM(BB99:BC99)</f>
        <v>4</v>
      </c>
    </row>
    <row r="100" spans="2:56" x14ac:dyDescent="0.3">
      <c r="B100" s="3297" t="s">
        <v>137</v>
      </c>
      <c r="C100" s="3370">
        <f t="shared" ref="C100:M100" si="50">SUM(C97:C99)</f>
        <v>3</v>
      </c>
      <c r="D100" s="3371">
        <f t="shared" si="50"/>
        <v>9</v>
      </c>
      <c r="E100" s="3371">
        <f t="shared" si="50"/>
        <v>12</v>
      </c>
      <c r="F100" s="3370">
        <f t="shared" si="50"/>
        <v>3</v>
      </c>
      <c r="G100" s="3371">
        <f t="shared" si="50"/>
        <v>9</v>
      </c>
      <c r="H100" s="3372">
        <f t="shared" si="50"/>
        <v>12</v>
      </c>
      <c r="I100" s="3370">
        <f t="shared" si="50"/>
        <v>3</v>
      </c>
      <c r="J100" s="3371">
        <f t="shared" si="50"/>
        <v>8</v>
      </c>
      <c r="K100" s="3372">
        <f t="shared" si="50"/>
        <v>11</v>
      </c>
      <c r="L100" s="3373">
        <f t="shared" si="50"/>
        <v>5</v>
      </c>
      <c r="M100" s="3304">
        <f t="shared" si="50"/>
        <v>9</v>
      </c>
      <c r="N100" s="3305">
        <f t="shared" si="44"/>
        <v>14</v>
      </c>
      <c r="O100" s="3304">
        <f>SUM(O97:O99)</f>
        <v>5</v>
      </c>
      <c r="P100" s="3304">
        <f>SUM(P97:P99)</f>
        <v>11</v>
      </c>
      <c r="Q100" s="3305">
        <f t="shared" si="45"/>
        <v>16</v>
      </c>
      <c r="R100" s="3304">
        <f>SUM(R97:R99)</f>
        <v>10</v>
      </c>
      <c r="S100" s="3304">
        <f>SUM(S97:S99)</f>
        <v>16</v>
      </c>
      <c r="T100" s="3305">
        <f t="shared" si="46"/>
        <v>26</v>
      </c>
      <c r="U100" s="3304">
        <f>SUM(U97:U99)</f>
        <v>12</v>
      </c>
      <c r="V100" s="3304">
        <f>SUM(V97:V99)</f>
        <v>14</v>
      </c>
      <c r="W100" s="3305">
        <f t="shared" si="47"/>
        <v>26</v>
      </c>
      <c r="X100" s="3304">
        <f>SUM(X97:X99)</f>
        <v>11</v>
      </c>
      <c r="Y100" s="3304">
        <f>SUM(Y97:Y99)</f>
        <v>12</v>
      </c>
      <c r="Z100" s="3305">
        <f>SUM(X100:Y100)</f>
        <v>23</v>
      </c>
      <c r="AA100" s="3304">
        <f>SUM(AA97:AA99)</f>
        <v>11</v>
      </c>
      <c r="AB100" s="3304">
        <f>SUM(AB97:AB99)</f>
        <v>13</v>
      </c>
      <c r="AC100" s="3305">
        <f>SUM(AA100:AB100)</f>
        <v>24</v>
      </c>
      <c r="AD100" s="3304">
        <f>SUM(AD97:AD99)</f>
        <v>15</v>
      </c>
      <c r="AE100" s="3304">
        <f>SUM(AE97:AE99)</f>
        <v>15</v>
      </c>
      <c r="AF100" s="3305">
        <f>SUM(AD100:AE100)</f>
        <v>30</v>
      </c>
      <c r="AG100" s="3304">
        <f>SUM(AG97:AG99)</f>
        <v>12</v>
      </c>
      <c r="AH100" s="3304">
        <f>SUM(AH97:AH99)</f>
        <v>12</v>
      </c>
      <c r="AI100" s="3305">
        <f>SUM(AG100:AH100)</f>
        <v>24</v>
      </c>
      <c r="AJ100" s="3304">
        <f>SUM(AJ97:AJ99)</f>
        <v>12</v>
      </c>
      <c r="AK100" s="3304">
        <f>SUM(AK97:AK99)</f>
        <v>13</v>
      </c>
      <c r="AL100" s="3305">
        <f>SUM(AJ100:AK100)</f>
        <v>25</v>
      </c>
      <c r="AM100" s="3304">
        <f>SUM(AM97:AM99)</f>
        <v>12</v>
      </c>
      <c r="AN100" s="3304">
        <f>SUM(AN97:AN99)</f>
        <v>12</v>
      </c>
      <c r="AO100" s="3305">
        <f>SUM(AM100:AN100)</f>
        <v>24</v>
      </c>
      <c r="AP100" s="3304">
        <f>SUM(AP97:AP99)</f>
        <v>13</v>
      </c>
      <c r="AQ100" s="3304">
        <f>SUM(AQ97:AQ99)</f>
        <v>13</v>
      </c>
      <c r="AR100" s="3305">
        <f>SUM(AP100:AQ100)</f>
        <v>26</v>
      </c>
      <c r="AS100" s="3304">
        <f>SUM(AS97:AS99)</f>
        <v>9</v>
      </c>
      <c r="AT100" s="3304">
        <f>SUM(AT97:AT99)</f>
        <v>13</v>
      </c>
      <c r="AU100" s="3305">
        <f>SUM(AS100:AT100)</f>
        <v>22</v>
      </c>
      <c r="AV100" s="3304">
        <f>SUM(AV97:AV99)</f>
        <v>8</v>
      </c>
      <c r="AW100" s="3304">
        <f>SUM(AW97:AW99)</f>
        <v>10</v>
      </c>
      <c r="AX100" s="3305">
        <f>SUM(AV100:AW100)</f>
        <v>18</v>
      </c>
      <c r="AY100" s="3304">
        <f>SUM(AY97:AY99)</f>
        <v>8</v>
      </c>
      <c r="AZ100" s="3304">
        <f>SUM(AZ97:AZ99)</f>
        <v>10</v>
      </c>
      <c r="BA100" s="3305">
        <f>SUM(AY100:AZ100)</f>
        <v>18</v>
      </c>
      <c r="BB100" s="5121">
        <f>SUM(BB97:BB99)</f>
        <v>9</v>
      </c>
      <c r="BC100" s="5121">
        <f>SUM(BC97:BC99)</f>
        <v>9</v>
      </c>
      <c r="BD100" s="5122">
        <f>SUM(BB100:BC100)</f>
        <v>18</v>
      </c>
    </row>
    <row r="101" spans="2:56" x14ac:dyDescent="0.3">
      <c r="B101" s="3306"/>
      <c r="C101" s="3267"/>
      <c r="D101" s="3267"/>
      <c r="E101" s="3267"/>
      <c r="F101" s="3267"/>
      <c r="G101" s="3267"/>
      <c r="H101" s="3267"/>
      <c r="I101" s="3267"/>
      <c r="J101" s="3267"/>
      <c r="K101" s="3267"/>
      <c r="L101" s="3267"/>
      <c r="M101" s="3267"/>
      <c r="N101" s="3267"/>
      <c r="O101" s="3267"/>
      <c r="P101" s="3267"/>
      <c r="Q101" s="3267"/>
      <c r="R101" s="3267"/>
      <c r="S101" s="3267"/>
      <c r="T101" s="3267"/>
      <c r="U101" s="3267"/>
      <c r="V101" s="3267"/>
      <c r="W101" s="3267"/>
      <c r="X101" s="3267"/>
      <c r="Y101" s="3267"/>
      <c r="Z101" s="3267"/>
      <c r="AA101" s="3267"/>
      <c r="AB101" s="3267"/>
      <c r="AC101" s="3267"/>
      <c r="AD101" s="3267"/>
      <c r="AE101" s="3267"/>
      <c r="AF101" s="3267"/>
      <c r="AG101" s="3267"/>
      <c r="AH101" s="3267"/>
      <c r="AI101" s="3267"/>
      <c r="AJ101" s="3267"/>
      <c r="AK101" s="3267"/>
      <c r="AL101" s="3267"/>
      <c r="AM101" s="3267"/>
      <c r="AN101" s="3267"/>
      <c r="AO101" s="3267"/>
      <c r="AP101" s="3267"/>
      <c r="AQ101" s="3267"/>
      <c r="AR101" s="3267"/>
      <c r="AS101" s="3267"/>
      <c r="AT101" s="3267"/>
      <c r="AU101" s="3267"/>
      <c r="AV101" s="3267"/>
      <c r="AW101" s="3267"/>
      <c r="AX101" s="3267"/>
      <c r="AY101" s="3267"/>
      <c r="AZ101" s="3267"/>
    </row>
    <row r="102" spans="2:56" x14ac:dyDescent="0.3">
      <c r="B102" s="3308" t="s">
        <v>59</v>
      </c>
      <c r="C102" s="3330">
        <f t="shared" ref="C102:AX102" si="51">SUM(C82,C92)</f>
        <v>14</v>
      </c>
      <c r="D102" s="3247">
        <f t="shared" si="51"/>
        <v>50</v>
      </c>
      <c r="E102" s="3247">
        <f t="shared" si="51"/>
        <v>64</v>
      </c>
      <c r="F102" s="3330">
        <f t="shared" si="51"/>
        <v>16</v>
      </c>
      <c r="G102" s="3247">
        <f t="shared" si="51"/>
        <v>49</v>
      </c>
      <c r="H102" s="3247">
        <f t="shared" si="51"/>
        <v>65</v>
      </c>
      <c r="I102" s="3330">
        <f t="shared" si="51"/>
        <v>16</v>
      </c>
      <c r="J102" s="3247">
        <f t="shared" si="51"/>
        <v>49</v>
      </c>
      <c r="K102" s="3248">
        <f t="shared" si="51"/>
        <v>65</v>
      </c>
      <c r="L102" s="3247">
        <f t="shared" si="51"/>
        <v>14</v>
      </c>
      <c r="M102" s="3247">
        <f t="shared" si="51"/>
        <v>46</v>
      </c>
      <c r="N102" s="3247">
        <f t="shared" si="51"/>
        <v>60</v>
      </c>
      <c r="O102" s="3330">
        <f t="shared" si="51"/>
        <v>14</v>
      </c>
      <c r="P102" s="3247">
        <f t="shared" si="51"/>
        <v>45</v>
      </c>
      <c r="Q102" s="3248">
        <f t="shared" si="51"/>
        <v>59</v>
      </c>
      <c r="R102" s="3247">
        <f t="shared" si="51"/>
        <v>14</v>
      </c>
      <c r="S102" s="3247">
        <f t="shared" si="51"/>
        <v>41</v>
      </c>
      <c r="T102" s="3248">
        <f t="shared" si="51"/>
        <v>55</v>
      </c>
      <c r="U102" s="3330">
        <f t="shared" si="51"/>
        <v>14</v>
      </c>
      <c r="V102" s="3247">
        <f t="shared" si="51"/>
        <v>40</v>
      </c>
      <c r="W102" s="3248">
        <f t="shared" si="51"/>
        <v>54</v>
      </c>
      <c r="X102" s="3330">
        <f t="shared" si="51"/>
        <v>13</v>
      </c>
      <c r="Y102" s="3247">
        <f t="shared" si="51"/>
        <v>39</v>
      </c>
      <c r="Z102" s="3248">
        <f t="shared" si="51"/>
        <v>52</v>
      </c>
      <c r="AA102" s="3330">
        <f t="shared" si="51"/>
        <v>12</v>
      </c>
      <c r="AB102" s="3247">
        <f t="shared" si="51"/>
        <v>39</v>
      </c>
      <c r="AC102" s="3248">
        <f t="shared" si="51"/>
        <v>51</v>
      </c>
      <c r="AD102" s="3330">
        <f t="shared" si="51"/>
        <v>12</v>
      </c>
      <c r="AE102" s="3247">
        <f t="shared" si="51"/>
        <v>38</v>
      </c>
      <c r="AF102" s="3248">
        <f t="shared" si="51"/>
        <v>50</v>
      </c>
      <c r="AG102" s="3330">
        <f t="shared" si="51"/>
        <v>13</v>
      </c>
      <c r="AH102" s="3247">
        <f t="shared" si="51"/>
        <v>36</v>
      </c>
      <c r="AI102" s="3248">
        <f t="shared" si="51"/>
        <v>49</v>
      </c>
      <c r="AJ102" s="3330">
        <f t="shared" si="51"/>
        <v>13</v>
      </c>
      <c r="AK102" s="3247">
        <f t="shared" si="51"/>
        <v>33</v>
      </c>
      <c r="AL102" s="3248">
        <f t="shared" si="51"/>
        <v>46</v>
      </c>
      <c r="AM102" s="3330">
        <f t="shared" si="51"/>
        <v>12</v>
      </c>
      <c r="AN102" s="3247">
        <f t="shared" si="51"/>
        <v>31</v>
      </c>
      <c r="AO102" s="3248">
        <f t="shared" si="51"/>
        <v>43</v>
      </c>
      <c r="AP102" s="3330">
        <f t="shared" si="51"/>
        <v>12</v>
      </c>
      <c r="AQ102" s="3247">
        <f t="shared" si="51"/>
        <v>30</v>
      </c>
      <c r="AR102" s="3248">
        <f t="shared" si="51"/>
        <v>42</v>
      </c>
      <c r="AS102" s="3330">
        <f t="shared" si="51"/>
        <v>12</v>
      </c>
      <c r="AT102" s="3247">
        <f t="shared" si="51"/>
        <v>30</v>
      </c>
      <c r="AU102" s="3248">
        <f t="shared" si="51"/>
        <v>42</v>
      </c>
      <c r="AV102" s="3330">
        <f t="shared" si="51"/>
        <v>11</v>
      </c>
      <c r="AW102" s="3247">
        <f t="shared" si="51"/>
        <v>27</v>
      </c>
      <c r="AX102" s="3248">
        <f t="shared" si="51"/>
        <v>38</v>
      </c>
      <c r="AY102" s="3330">
        <f t="shared" ref="AY102:BA102" si="52">SUM(AY82,AY92)</f>
        <v>10</v>
      </c>
      <c r="AZ102" s="3247">
        <f t="shared" si="52"/>
        <v>27</v>
      </c>
      <c r="BA102" s="3248">
        <f t="shared" si="52"/>
        <v>37</v>
      </c>
      <c r="BB102" s="5123">
        <f t="shared" ref="BB102:BD102" si="53">SUM(BB82,BB92)</f>
        <v>7</v>
      </c>
      <c r="BC102" s="5113">
        <f t="shared" si="53"/>
        <v>26</v>
      </c>
      <c r="BD102" s="5114">
        <f t="shared" si="53"/>
        <v>33</v>
      </c>
    </row>
    <row r="103" spans="2:56" x14ac:dyDescent="0.3">
      <c r="B103" s="3309" t="s">
        <v>64</v>
      </c>
      <c r="C103" s="3334">
        <f t="shared" ref="C103:T103" si="54">SUM(C83,C93,C97)</f>
        <v>17</v>
      </c>
      <c r="D103" s="3256">
        <f t="shared" si="54"/>
        <v>37</v>
      </c>
      <c r="E103" s="3256">
        <f t="shared" si="54"/>
        <v>54</v>
      </c>
      <c r="F103" s="3334">
        <f t="shared" si="54"/>
        <v>17</v>
      </c>
      <c r="G103" s="3256">
        <f t="shared" si="54"/>
        <v>35</v>
      </c>
      <c r="H103" s="3256">
        <f t="shared" si="54"/>
        <v>52</v>
      </c>
      <c r="I103" s="3334">
        <f t="shared" si="54"/>
        <v>18</v>
      </c>
      <c r="J103" s="3256">
        <f t="shared" si="54"/>
        <v>33</v>
      </c>
      <c r="K103" s="3257">
        <f t="shared" si="54"/>
        <v>51</v>
      </c>
      <c r="L103" s="3256">
        <f t="shared" si="54"/>
        <v>17</v>
      </c>
      <c r="M103" s="3256">
        <f t="shared" si="54"/>
        <v>34</v>
      </c>
      <c r="N103" s="3256">
        <f t="shared" si="54"/>
        <v>51</v>
      </c>
      <c r="O103" s="3334">
        <f t="shared" si="54"/>
        <v>15</v>
      </c>
      <c r="P103" s="3256">
        <f t="shared" si="54"/>
        <v>32</v>
      </c>
      <c r="Q103" s="3257">
        <f t="shared" si="54"/>
        <v>47</v>
      </c>
      <c r="R103" s="3256">
        <f t="shared" si="54"/>
        <v>26</v>
      </c>
      <c r="S103" s="3256">
        <f t="shared" si="54"/>
        <v>38</v>
      </c>
      <c r="T103" s="3257">
        <f t="shared" si="54"/>
        <v>64</v>
      </c>
      <c r="U103" s="3334">
        <f t="shared" ref="U103:AX103" si="55">SUM(U83,U87,U93,U97)</f>
        <v>31</v>
      </c>
      <c r="V103" s="3256">
        <f t="shared" si="55"/>
        <v>38</v>
      </c>
      <c r="W103" s="3257">
        <f t="shared" si="55"/>
        <v>69</v>
      </c>
      <c r="X103" s="3334">
        <f t="shared" si="55"/>
        <v>32</v>
      </c>
      <c r="Y103" s="3256">
        <f t="shared" si="55"/>
        <v>40</v>
      </c>
      <c r="Z103" s="3257">
        <f t="shared" si="55"/>
        <v>72</v>
      </c>
      <c r="AA103" s="3334">
        <f t="shared" si="55"/>
        <v>30</v>
      </c>
      <c r="AB103" s="3256">
        <f t="shared" si="55"/>
        <v>38</v>
      </c>
      <c r="AC103" s="3257">
        <f t="shared" si="55"/>
        <v>68</v>
      </c>
      <c r="AD103" s="3334">
        <f t="shared" si="55"/>
        <v>33</v>
      </c>
      <c r="AE103" s="3256">
        <f t="shared" si="55"/>
        <v>41</v>
      </c>
      <c r="AF103" s="3257">
        <f t="shared" si="55"/>
        <v>74</v>
      </c>
      <c r="AG103" s="3334">
        <f t="shared" si="55"/>
        <v>30</v>
      </c>
      <c r="AH103" s="3256">
        <f t="shared" si="55"/>
        <v>35</v>
      </c>
      <c r="AI103" s="3257">
        <f t="shared" si="55"/>
        <v>65</v>
      </c>
      <c r="AJ103" s="3334">
        <f t="shared" si="55"/>
        <v>30</v>
      </c>
      <c r="AK103" s="3256">
        <f t="shared" si="55"/>
        <v>33</v>
      </c>
      <c r="AL103" s="3257">
        <f t="shared" si="55"/>
        <v>63</v>
      </c>
      <c r="AM103" s="3334">
        <f t="shared" si="55"/>
        <v>32</v>
      </c>
      <c r="AN103" s="3256">
        <f t="shared" si="55"/>
        <v>32</v>
      </c>
      <c r="AO103" s="3257">
        <f t="shared" si="55"/>
        <v>64</v>
      </c>
      <c r="AP103" s="3334">
        <f t="shared" si="55"/>
        <v>31</v>
      </c>
      <c r="AQ103" s="3256">
        <f t="shared" si="55"/>
        <v>32</v>
      </c>
      <c r="AR103" s="3257">
        <f t="shared" si="55"/>
        <v>63</v>
      </c>
      <c r="AS103" s="3334">
        <f t="shared" si="55"/>
        <v>25</v>
      </c>
      <c r="AT103" s="3256">
        <f t="shared" si="55"/>
        <v>29</v>
      </c>
      <c r="AU103" s="3257">
        <f t="shared" si="55"/>
        <v>54</v>
      </c>
      <c r="AV103" s="3334">
        <f t="shared" si="55"/>
        <v>25</v>
      </c>
      <c r="AW103" s="3256">
        <f t="shared" si="55"/>
        <v>27</v>
      </c>
      <c r="AX103" s="3257">
        <f t="shared" si="55"/>
        <v>52</v>
      </c>
      <c r="AY103" s="3334">
        <f t="shared" ref="AY103:BA103" si="56">SUM(AY83,AY87,AY93,AY97)</f>
        <v>25</v>
      </c>
      <c r="AZ103" s="3256">
        <f t="shared" si="56"/>
        <v>26</v>
      </c>
      <c r="BA103" s="3257">
        <f t="shared" si="56"/>
        <v>51</v>
      </c>
      <c r="BB103" s="5124">
        <f t="shared" ref="BB103:BD103" si="57">SUM(BB83,BB87,BB93,BB97)</f>
        <v>24</v>
      </c>
      <c r="BC103" s="5115">
        <f t="shared" si="57"/>
        <v>24</v>
      </c>
      <c r="BD103" s="5116">
        <f t="shared" si="57"/>
        <v>48</v>
      </c>
    </row>
    <row r="104" spans="2:56" x14ac:dyDescent="0.3">
      <c r="B104" s="3309" t="s">
        <v>92</v>
      </c>
      <c r="C104" s="3334">
        <f t="shared" ref="C104:AX104" si="58">SUM(C94,C98)</f>
        <v>18</v>
      </c>
      <c r="D104" s="3256">
        <f t="shared" si="58"/>
        <v>22</v>
      </c>
      <c r="E104" s="3256">
        <f t="shared" si="58"/>
        <v>40</v>
      </c>
      <c r="F104" s="3334">
        <f t="shared" si="58"/>
        <v>18</v>
      </c>
      <c r="G104" s="3256">
        <f t="shared" si="58"/>
        <v>20</v>
      </c>
      <c r="H104" s="3256">
        <f t="shared" si="58"/>
        <v>38</v>
      </c>
      <c r="I104" s="3334">
        <f t="shared" si="58"/>
        <v>15</v>
      </c>
      <c r="J104" s="3256">
        <f t="shared" si="58"/>
        <v>18</v>
      </c>
      <c r="K104" s="3257">
        <f t="shared" si="58"/>
        <v>33</v>
      </c>
      <c r="L104" s="3256">
        <f t="shared" si="58"/>
        <v>14</v>
      </c>
      <c r="M104" s="3256">
        <f t="shared" si="58"/>
        <v>16</v>
      </c>
      <c r="N104" s="3256">
        <f t="shared" si="58"/>
        <v>30</v>
      </c>
      <c r="O104" s="3334">
        <f t="shared" si="58"/>
        <v>13</v>
      </c>
      <c r="P104" s="3256">
        <f t="shared" si="58"/>
        <v>16</v>
      </c>
      <c r="Q104" s="3257">
        <f t="shared" si="58"/>
        <v>29</v>
      </c>
      <c r="R104" s="3256">
        <f t="shared" si="58"/>
        <v>13</v>
      </c>
      <c r="S104" s="3256">
        <f t="shared" si="58"/>
        <v>17</v>
      </c>
      <c r="T104" s="3257">
        <f t="shared" si="58"/>
        <v>30</v>
      </c>
      <c r="U104" s="3334">
        <f t="shared" si="58"/>
        <v>13</v>
      </c>
      <c r="V104" s="3256">
        <f t="shared" si="58"/>
        <v>15</v>
      </c>
      <c r="W104" s="3257">
        <f t="shared" si="58"/>
        <v>28</v>
      </c>
      <c r="X104" s="3334">
        <f t="shared" si="58"/>
        <v>13</v>
      </c>
      <c r="Y104" s="3256">
        <f t="shared" si="58"/>
        <v>15</v>
      </c>
      <c r="Z104" s="3257">
        <f t="shared" si="58"/>
        <v>28</v>
      </c>
      <c r="AA104" s="3334">
        <f t="shared" si="58"/>
        <v>13</v>
      </c>
      <c r="AB104" s="3256">
        <f t="shared" si="58"/>
        <v>13</v>
      </c>
      <c r="AC104" s="3257">
        <f t="shared" si="58"/>
        <v>26</v>
      </c>
      <c r="AD104" s="3334">
        <f t="shared" si="58"/>
        <v>14</v>
      </c>
      <c r="AE104" s="3256">
        <f t="shared" si="58"/>
        <v>14</v>
      </c>
      <c r="AF104" s="3257">
        <f t="shared" si="58"/>
        <v>28</v>
      </c>
      <c r="AG104" s="3334">
        <f t="shared" si="58"/>
        <v>13</v>
      </c>
      <c r="AH104" s="3256">
        <f t="shared" si="58"/>
        <v>13</v>
      </c>
      <c r="AI104" s="3257">
        <f t="shared" si="58"/>
        <v>26</v>
      </c>
      <c r="AJ104" s="3334">
        <f t="shared" si="58"/>
        <v>13</v>
      </c>
      <c r="AK104" s="3256">
        <f t="shared" si="58"/>
        <v>14</v>
      </c>
      <c r="AL104" s="3257">
        <f t="shared" si="58"/>
        <v>27</v>
      </c>
      <c r="AM104" s="3334">
        <f t="shared" si="58"/>
        <v>11</v>
      </c>
      <c r="AN104" s="3256">
        <f t="shared" si="58"/>
        <v>14</v>
      </c>
      <c r="AO104" s="3257">
        <f t="shared" si="58"/>
        <v>25</v>
      </c>
      <c r="AP104" s="3334">
        <f t="shared" si="58"/>
        <v>9</v>
      </c>
      <c r="AQ104" s="3256">
        <f t="shared" si="58"/>
        <v>14</v>
      </c>
      <c r="AR104" s="3257">
        <f t="shared" si="58"/>
        <v>23</v>
      </c>
      <c r="AS104" s="3334">
        <f t="shared" si="58"/>
        <v>9</v>
      </c>
      <c r="AT104" s="3256">
        <f t="shared" si="58"/>
        <v>14</v>
      </c>
      <c r="AU104" s="3257">
        <f t="shared" si="58"/>
        <v>23</v>
      </c>
      <c r="AV104" s="3334">
        <f t="shared" si="58"/>
        <v>8</v>
      </c>
      <c r="AW104" s="3256">
        <f t="shared" si="58"/>
        <v>10</v>
      </c>
      <c r="AX104" s="3257">
        <f t="shared" si="58"/>
        <v>18</v>
      </c>
      <c r="AY104" s="3334">
        <f t="shared" ref="AY104:BA104" si="59">SUM(AY94,AY98)</f>
        <v>7</v>
      </c>
      <c r="AZ104" s="3256">
        <f t="shared" si="59"/>
        <v>11</v>
      </c>
      <c r="BA104" s="3257">
        <f t="shared" si="59"/>
        <v>18</v>
      </c>
      <c r="BB104" s="5124">
        <f t="shared" ref="BB104:BD104" si="60">SUM(BB94,BB98)</f>
        <v>8</v>
      </c>
      <c r="BC104" s="5115">
        <f t="shared" si="60"/>
        <v>10</v>
      </c>
      <c r="BD104" s="5116">
        <f t="shared" si="60"/>
        <v>18</v>
      </c>
    </row>
    <row r="105" spans="2:56" x14ac:dyDescent="0.3">
      <c r="B105" s="3309" t="s">
        <v>68</v>
      </c>
      <c r="C105" s="3334">
        <f t="shared" ref="C105:AX105" si="61">SUM(C84,C99)</f>
        <v>4</v>
      </c>
      <c r="D105" s="3256">
        <f t="shared" si="61"/>
        <v>8</v>
      </c>
      <c r="E105" s="3256">
        <f t="shared" si="61"/>
        <v>12</v>
      </c>
      <c r="F105" s="3334">
        <f t="shared" si="61"/>
        <v>2</v>
      </c>
      <c r="G105" s="3256">
        <f t="shared" si="61"/>
        <v>8</v>
      </c>
      <c r="H105" s="3256">
        <f t="shared" si="61"/>
        <v>10</v>
      </c>
      <c r="I105" s="3334">
        <f t="shared" si="61"/>
        <v>3</v>
      </c>
      <c r="J105" s="3256">
        <f t="shared" si="61"/>
        <v>8</v>
      </c>
      <c r="K105" s="3257">
        <f t="shared" si="61"/>
        <v>11</v>
      </c>
      <c r="L105" s="3256">
        <f t="shared" si="61"/>
        <v>3</v>
      </c>
      <c r="M105" s="3256">
        <f t="shared" si="61"/>
        <v>7</v>
      </c>
      <c r="N105" s="3256">
        <f t="shared" si="61"/>
        <v>10</v>
      </c>
      <c r="O105" s="3334">
        <f t="shared" si="61"/>
        <v>2</v>
      </c>
      <c r="P105" s="3256">
        <f t="shared" si="61"/>
        <v>11</v>
      </c>
      <c r="Q105" s="3257">
        <f t="shared" si="61"/>
        <v>13</v>
      </c>
      <c r="R105" s="3256">
        <f t="shared" si="61"/>
        <v>2</v>
      </c>
      <c r="S105" s="3256">
        <f t="shared" si="61"/>
        <v>11</v>
      </c>
      <c r="T105" s="3257">
        <f t="shared" si="61"/>
        <v>13</v>
      </c>
      <c r="U105" s="3334">
        <f t="shared" si="61"/>
        <v>2</v>
      </c>
      <c r="V105" s="3256">
        <f t="shared" si="61"/>
        <v>12</v>
      </c>
      <c r="W105" s="3257">
        <f t="shared" si="61"/>
        <v>14</v>
      </c>
      <c r="X105" s="3334">
        <f t="shared" si="61"/>
        <v>2</v>
      </c>
      <c r="Y105" s="3256">
        <f t="shared" si="61"/>
        <v>11</v>
      </c>
      <c r="Z105" s="3257">
        <f t="shared" si="61"/>
        <v>13</v>
      </c>
      <c r="AA105" s="3334">
        <f t="shared" si="61"/>
        <v>3</v>
      </c>
      <c r="AB105" s="3256">
        <f t="shared" si="61"/>
        <v>10</v>
      </c>
      <c r="AC105" s="3257">
        <f t="shared" si="61"/>
        <v>13</v>
      </c>
      <c r="AD105" s="3334">
        <f t="shared" si="61"/>
        <v>4</v>
      </c>
      <c r="AE105" s="3256">
        <f t="shared" si="61"/>
        <v>11</v>
      </c>
      <c r="AF105" s="3257">
        <f t="shared" si="61"/>
        <v>15</v>
      </c>
      <c r="AG105" s="3334">
        <f t="shared" si="61"/>
        <v>4</v>
      </c>
      <c r="AH105" s="3256">
        <f t="shared" si="61"/>
        <v>10</v>
      </c>
      <c r="AI105" s="3257">
        <f t="shared" si="61"/>
        <v>14</v>
      </c>
      <c r="AJ105" s="3334">
        <f t="shared" si="61"/>
        <v>3</v>
      </c>
      <c r="AK105" s="3256">
        <f t="shared" si="61"/>
        <v>10</v>
      </c>
      <c r="AL105" s="3257">
        <f t="shared" si="61"/>
        <v>13</v>
      </c>
      <c r="AM105" s="3334">
        <f t="shared" si="61"/>
        <v>3</v>
      </c>
      <c r="AN105" s="3256">
        <f t="shared" si="61"/>
        <v>9</v>
      </c>
      <c r="AO105" s="3257">
        <f t="shared" si="61"/>
        <v>12</v>
      </c>
      <c r="AP105" s="3334">
        <f t="shared" si="61"/>
        <v>4</v>
      </c>
      <c r="AQ105" s="3256">
        <f t="shared" si="61"/>
        <v>9</v>
      </c>
      <c r="AR105" s="3257">
        <f t="shared" si="61"/>
        <v>13</v>
      </c>
      <c r="AS105" s="3334">
        <f t="shared" si="61"/>
        <v>4</v>
      </c>
      <c r="AT105" s="3256">
        <f t="shared" si="61"/>
        <v>9</v>
      </c>
      <c r="AU105" s="3257">
        <f t="shared" si="61"/>
        <v>13</v>
      </c>
      <c r="AV105" s="3334">
        <f t="shared" si="61"/>
        <v>4</v>
      </c>
      <c r="AW105" s="3256">
        <f t="shared" si="61"/>
        <v>8</v>
      </c>
      <c r="AX105" s="3257">
        <f t="shared" si="61"/>
        <v>12</v>
      </c>
      <c r="AY105" s="3334">
        <f t="shared" ref="AY105:BA105" si="62">SUM(AY84,AY99)</f>
        <v>4</v>
      </c>
      <c r="AZ105" s="3256">
        <f t="shared" si="62"/>
        <v>7</v>
      </c>
      <c r="BA105" s="3257">
        <f t="shared" si="62"/>
        <v>11</v>
      </c>
      <c r="BB105" s="5124">
        <f t="shared" ref="BB105:BD105" si="63">SUM(BB84,BB99)</f>
        <v>2</v>
      </c>
      <c r="BC105" s="5115">
        <f t="shared" si="63"/>
        <v>6</v>
      </c>
      <c r="BD105" s="5116">
        <f t="shared" si="63"/>
        <v>8</v>
      </c>
    </row>
    <row r="106" spans="2:56" x14ac:dyDescent="0.3">
      <c r="B106" s="3309" t="s">
        <v>111</v>
      </c>
      <c r="C106" s="3363"/>
      <c r="D106" s="3314"/>
      <c r="E106" s="3314"/>
      <c r="F106" s="3363"/>
      <c r="G106" s="3314"/>
      <c r="H106" s="3314"/>
      <c r="I106" s="3334"/>
      <c r="J106" s="3256"/>
      <c r="K106" s="3257"/>
      <c r="L106" s="3256"/>
      <c r="M106" s="3256"/>
      <c r="N106" s="3256"/>
      <c r="O106" s="3334"/>
      <c r="P106" s="3256"/>
      <c r="Q106" s="3257"/>
      <c r="R106" s="3256"/>
      <c r="S106" s="3256"/>
      <c r="T106" s="3257"/>
      <c r="U106" s="3334">
        <f t="shared" ref="U106:AF106" si="64">SUM(U88)</f>
        <v>1</v>
      </c>
      <c r="V106" s="3256">
        <f t="shared" si="64"/>
        <v>0</v>
      </c>
      <c r="W106" s="3257">
        <f t="shared" si="64"/>
        <v>1</v>
      </c>
      <c r="X106" s="3334">
        <f t="shared" si="64"/>
        <v>1</v>
      </c>
      <c r="Y106" s="3256">
        <f t="shared" si="64"/>
        <v>0</v>
      </c>
      <c r="Z106" s="3257">
        <f t="shared" si="64"/>
        <v>1</v>
      </c>
      <c r="AA106" s="3334">
        <f t="shared" si="64"/>
        <v>2</v>
      </c>
      <c r="AB106" s="3256">
        <f t="shared" si="64"/>
        <v>0</v>
      </c>
      <c r="AC106" s="3257">
        <f t="shared" si="64"/>
        <v>2</v>
      </c>
      <c r="AD106" s="3334">
        <f t="shared" si="64"/>
        <v>1</v>
      </c>
      <c r="AE106" s="3256">
        <f t="shared" si="64"/>
        <v>0</v>
      </c>
      <c r="AF106" s="3257">
        <f t="shared" si="64"/>
        <v>1</v>
      </c>
      <c r="AG106" s="3334">
        <f t="shared" ref="AG106:AX107" si="65">SUM(AG88)</f>
        <v>1</v>
      </c>
      <c r="AH106" s="3256">
        <f t="shared" si="65"/>
        <v>0</v>
      </c>
      <c r="AI106" s="3257">
        <f t="shared" si="65"/>
        <v>1</v>
      </c>
      <c r="AJ106" s="3334">
        <f t="shared" si="65"/>
        <v>0</v>
      </c>
      <c r="AK106" s="3256">
        <f t="shared" si="65"/>
        <v>0</v>
      </c>
      <c r="AL106" s="3257">
        <f t="shared" si="65"/>
        <v>0</v>
      </c>
      <c r="AM106" s="3334">
        <f t="shared" si="65"/>
        <v>0</v>
      </c>
      <c r="AN106" s="3256">
        <f t="shared" si="65"/>
        <v>0</v>
      </c>
      <c r="AO106" s="3257">
        <f t="shared" si="65"/>
        <v>0</v>
      </c>
      <c r="AP106" s="3334">
        <f t="shared" si="65"/>
        <v>0</v>
      </c>
      <c r="AQ106" s="3256">
        <f t="shared" si="65"/>
        <v>0</v>
      </c>
      <c r="AR106" s="3257">
        <f t="shared" si="65"/>
        <v>0</v>
      </c>
      <c r="AS106" s="3334">
        <f t="shared" si="65"/>
        <v>0</v>
      </c>
      <c r="AT106" s="3256">
        <f t="shared" si="65"/>
        <v>0</v>
      </c>
      <c r="AU106" s="3257">
        <f t="shared" si="65"/>
        <v>0</v>
      </c>
      <c r="AV106" s="3334">
        <f t="shared" si="65"/>
        <v>0</v>
      </c>
      <c r="AW106" s="3256">
        <f t="shared" si="65"/>
        <v>0</v>
      </c>
      <c r="AX106" s="3257">
        <f t="shared" si="65"/>
        <v>0</v>
      </c>
      <c r="AY106" s="3334">
        <f t="shared" ref="AY106:BA106" si="66">SUM(AY88)</f>
        <v>0</v>
      </c>
      <c r="AZ106" s="3256">
        <f t="shared" si="66"/>
        <v>0</v>
      </c>
      <c r="BA106" s="3257">
        <f t="shared" si="66"/>
        <v>0</v>
      </c>
      <c r="BB106" s="5124">
        <f t="shared" ref="BB106:BD106" si="67">SUM(BB88)</f>
        <v>0</v>
      </c>
      <c r="BC106" s="5115">
        <f t="shared" si="67"/>
        <v>0</v>
      </c>
      <c r="BD106" s="5116">
        <f t="shared" si="67"/>
        <v>0</v>
      </c>
    </row>
    <row r="107" spans="2:56" x14ac:dyDescent="0.3">
      <c r="B107" s="3310" t="s">
        <v>115</v>
      </c>
      <c r="C107" s="3374"/>
      <c r="D107" s="3375"/>
      <c r="E107" s="3375"/>
      <c r="F107" s="3374"/>
      <c r="G107" s="3375"/>
      <c r="H107" s="3375"/>
      <c r="I107" s="3334"/>
      <c r="J107" s="3256"/>
      <c r="K107" s="3257"/>
      <c r="L107" s="3256"/>
      <c r="M107" s="3256"/>
      <c r="N107" s="3256"/>
      <c r="O107" s="3334"/>
      <c r="P107" s="3256"/>
      <c r="Q107" s="3257"/>
      <c r="R107" s="3256"/>
      <c r="S107" s="3256"/>
      <c r="T107" s="3257"/>
      <c r="U107" s="3334"/>
      <c r="V107" s="3256"/>
      <c r="W107" s="3257"/>
      <c r="X107" s="3334">
        <f t="shared" ref="X107:AF107" si="68">SUM(X89)</f>
        <v>1</v>
      </c>
      <c r="Y107" s="3256">
        <f t="shared" si="68"/>
        <v>0</v>
      </c>
      <c r="Z107" s="3257">
        <f t="shared" si="68"/>
        <v>1</v>
      </c>
      <c r="AA107" s="3334">
        <f t="shared" si="68"/>
        <v>0</v>
      </c>
      <c r="AB107" s="3256">
        <f t="shared" si="68"/>
        <v>0</v>
      </c>
      <c r="AC107" s="3257">
        <f t="shared" si="68"/>
        <v>0</v>
      </c>
      <c r="AD107" s="3334">
        <f t="shared" si="68"/>
        <v>2</v>
      </c>
      <c r="AE107" s="3256">
        <f t="shared" si="68"/>
        <v>1</v>
      </c>
      <c r="AF107" s="3257">
        <f t="shared" si="68"/>
        <v>3</v>
      </c>
      <c r="AG107" s="3334">
        <f t="shared" si="65"/>
        <v>2</v>
      </c>
      <c r="AH107" s="3256">
        <f t="shared" si="65"/>
        <v>3</v>
      </c>
      <c r="AI107" s="3257">
        <f t="shared" si="65"/>
        <v>5</v>
      </c>
      <c r="AJ107" s="3334">
        <f t="shared" si="65"/>
        <v>2</v>
      </c>
      <c r="AK107" s="3256">
        <f t="shared" si="65"/>
        <v>3</v>
      </c>
      <c r="AL107" s="3257">
        <f t="shared" si="65"/>
        <v>5</v>
      </c>
      <c r="AM107" s="3334">
        <f t="shared" si="65"/>
        <v>2</v>
      </c>
      <c r="AN107" s="3256">
        <f t="shared" si="65"/>
        <v>3</v>
      </c>
      <c r="AO107" s="3257">
        <f t="shared" si="65"/>
        <v>5</v>
      </c>
      <c r="AP107" s="3334">
        <f t="shared" si="65"/>
        <v>1</v>
      </c>
      <c r="AQ107" s="3256">
        <f t="shared" si="65"/>
        <v>2</v>
      </c>
      <c r="AR107" s="3257">
        <f t="shared" si="65"/>
        <v>3</v>
      </c>
      <c r="AS107" s="3334">
        <f t="shared" si="65"/>
        <v>1</v>
      </c>
      <c r="AT107" s="3256">
        <f t="shared" si="65"/>
        <v>1</v>
      </c>
      <c r="AU107" s="3257">
        <f t="shared" si="65"/>
        <v>2</v>
      </c>
      <c r="AV107" s="3334">
        <f t="shared" si="65"/>
        <v>1</v>
      </c>
      <c r="AW107" s="3256">
        <f t="shared" si="65"/>
        <v>0</v>
      </c>
      <c r="AX107" s="3257">
        <f t="shared" si="65"/>
        <v>1</v>
      </c>
      <c r="AY107" s="3334">
        <f t="shared" ref="AY107:BA107" si="69">SUM(AY89)</f>
        <v>1</v>
      </c>
      <c r="AZ107" s="3256">
        <f t="shared" si="69"/>
        <v>0</v>
      </c>
      <c r="BA107" s="3257">
        <f t="shared" si="69"/>
        <v>1</v>
      </c>
      <c r="BB107" s="5124">
        <f t="shared" ref="BB107:BD107" si="70">SUM(BB89)</f>
        <v>1</v>
      </c>
      <c r="BC107" s="5115">
        <f t="shared" si="70"/>
        <v>0</v>
      </c>
      <c r="BD107" s="5116">
        <f t="shared" si="70"/>
        <v>1</v>
      </c>
    </row>
    <row r="108" spans="2:56" x14ac:dyDescent="0.3">
      <c r="B108" s="3316" t="s">
        <v>431</v>
      </c>
      <c r="C108" s="3364">
        <f t="shared" ref="C108:M108" si="71">SUM(C102:C105)</f>
        <v>53</v>
      </c>
      <c r="D108" s="3365">
        <f t="shared" si="71"/>
        <v>117</v>
      </c>
      <c r="E108" s="3365">
        <f t="shared" si="71"/>
        <v>170</v>
      </c>
      <c r="F108" s="3364">
        <f t="shared" si="71"/>
        <v>53</v>
      </c>
      <c r="G108" s="3365">
        <f t="shared" si="71"/>
        <v>112</v>
      </c>
      <c r="H108" s="3366">
        <f t="shared" si="71"/>
        <v>165</v>
      </c>
      <c r="I108" s="3365">
        <f t="shared" si="71"/>
        <v>52</v>
      </c>
      <c r="J108" s="3365">
        <f t="shared" si="71"/>
        <v>108</v>
      </c>
      <c r="K108" s="3365">
        <f t="shared" si="71"/>
        <v>160</v>
      </c>
      <c r="L108" s="3367">
        <f t="shared" si="71"/>
        <v>48</v>
      </c>
      <c r="M108" s="3323">
        <f t="shared" si="71"/>
        <v>103</v>
      </c>
      <c r="N108" s="3324">
        <f>SUM(L108:M108)</f>
        <v>151</v>
      </c>
      <c r="O108" s="3323">
        <f>SUM(O102:O105)</f>
        <v>44</v>
      </c>
      <c r="P108" s="3323">
        <f>SUM(P102:P105)</f>
        <v>104</v>
      </c>
      <c r="Q108" s="3324">
        <f>SUM(O108:P108)</f>
        <v>148</v>
      </c>
      <c r="R108" s="3323">
        <f>SUM(R102:R105)</f>
        <v>55</v>
      </c>
      <c r="S108" s="3323">
        <f>SUM(S102:S105)</f>
        <v>107</v>
      </c>
      <c r="T108" s="3324">
        <f>SUM(R108:S108)</f>
        <v>162</v>
      </c>
      <c r="U108" s="3367">
        <f>SUM(U102:U106)</f>
        <v>61</v>
      </c>
      <c r="V108" s="3323">
        <f>SUM(V102:V106)</f>
        <v>105</v>
      </c>
      <c r="W108" s="3324">
        <f>SUM(U108:V108)</f>
        <v>166</v>
      </c>
      <c r="X108" s="3367">
        <f>SUM(X102:X107)</f>
        <v>62</v>
      </c>
      <c r="Y108" s="3323">
        <f>SUM(Y102:Y106)</f>
        <v>105</v>
      </c>
      <c r="Z108" s="3324">
        <f>SUM(X108:Y108)</f>
        <v>167</v>
      </c>
      <c r="AA108" s="3367">
        <f>SUM(AA102:AA107)</f>
        <v>60</v>
      </c>
      <c r="AB108" s="3323">
        <f>SUM(AB102:AB106)</f>
        <v>100</v>
      </c>
      <c r="AC108" s="3324">
        <f>SUM(AA108:AB108)</f>
        <v>160</v>
      </c>
      <c r="AD108" s="3367">
        <f t="shared" ref="AD108:AX108" si="72">SUM(AD102:AD107)</f>
        <v>66</v>
      </c>
      <c r="AE108" s="3323">
        <f t="shared" si="72"/>
        <v>105</v>
      </c>
      <c r="AF108" s="3324">
        <f t="shared" si="72"/>
        <v>171</v>
      </c>
      <c r="AG108" s="3367">
        <f t="shared" si="72"/>
        <v>63</v>
      </c>
      <c r="AH108" s="3323">
        <f t="shared" si="72"/>
        <v>97</v>
      </c>
      <c r="AI108" s="3324">
        <f t="shared" si="72"/>
        <v>160</v>
      </c>
      <c r="AJ108" s="3367">
        <f t="shared" si="72"/>
        <v>61</v>
      </c>
      <c r="AK108" s="3323">
        <f t="shared" si="72"/>
        <v>93</v>
      </c>
      <c r="AL108" s="3324">
        <f t="shared" si="72"/>
        <v>154</v>
      </c>
      <c r="AM108" s="3367">
        <f t="shared" si="72"/>
        <v>60</v>
      </c>
      <c r="AN108" s="3323">
        <f t="shared" si="72"/>
        <v>89</v>
      </c>
      <c r="AO108" s="3324">
        <f t="shared" si="72"/>
        <v>149</v>
      </c>
      <c r="AP108" s="3367">
        <f t="shared" si="72"/>
        <v>57</v>
      </c>
      <c r="AQ108" s="3323">
        <f t="shared" si="72"/>
        <v>87</v>
      </c>
      <c r="AR108" s="3324">
        <f t="shared" si="72"/>
        <v>144</v>
      </c>
      <c r="AS108" s="3367">
        <f t="shared" si="72"/>
        <v>51</v>
      </c>
      <c r="AT108" s="3323">
        <f t="shared" si="72"/>
        <v>83</v>
      </c>
      <c r="AU108" s="3324">
        <f t="shared" si="72"/>
        <v>134</v>
      </c>
      <c r="AV108" s="3367">
        <f t="shared" si="72"/>
        <v>49</v>
      </c>
      <c r="AW108" s="3323">
        <f t="shared" si="72"/>
        <v>72</v>
      </c>
      <c r="AX108" s="3324">
        <f t="shared" si="72"/>
        <v>121</v>
      </c>
      <c r="AY108" s="3367">
        <f t="shared" ref="AY108:BA108" si="73">SUM(AY102:AY107)</f>
        <v>47</v>
      </c>
      <c r="AZ108" s="3323">
        <f t="shared" si="73"/>
        <v>71</v>
      </c>
      <c r="BA108" s="3324">
        <f t="shared" si="73"/>
        <v>118</v>
      </c>
      <c r="BB108" s="3367">
        <f t="shared" ref="BB108:BD108" si="74">SUM(BB102:BB107)</f>
        <v>42</v>
      </c>
      <c r="BC108" s="3323">
        <f t="shared" si="74"/>
        <v>66</v>
      </c>
      <c r="BD108" s="3324">
        <f t="shared" si="74"/>
        <v>108</v>
      </c>
    </row>
    <row r="109" spans="2:56" x14ac:dyDescent="0.3">
      <c r="B109" s="3376"/>
      <c r="C109" s="3376"/>
      <c r="D109" s="3376"/>
      <c r="E109" s="3376"/>
      <c r="F109" s="3376"/>
      <c r="G109" s="3376"/>
      <c r="H109" s="3376"/>
      <c r="I109" s="3376"/>
      <c r="J109" s="3376"/>
      <c r="K109" s="3376"/>
      <c r="L109" s="3376"/>
      <c r="M109" s="3376"/>
      <c r="N109" s="3376"/>
      <c r="O109" s="3376"/>
      <c r="P109" s="3376"/>
      <c r="Q109" s="3376"/>
      <c r="R109" s="3376"/>
      <c r="S109" s="3376"/>
      <c r="T109" s="3376"/>
      <c r="U109" s="3376"/>
      <c r="V109" s="3376"/>
      <c r="W109" s="3376"/>
      <c r="X109" s="3376"/>
      <c r="Y109" s="3376"/>
      <c r="Z109" s="3376"/>
      <c r="AA109" s="3376"/>
      <c r="AB109" s="3376"/>
      <c r="AC109" s="3376"/>
      <c r="AD109" s="3376"/>
      <c r="AE109" s="3376"/>
      <c r="AF109" s="3376"/>
      <c r="AG109" s="3376"/>
      <c r="AH109" s="3376"/>
      <c r="AI109" s="3376"/>
      <c r="AJ109" s="3376"/>
      <c r="AK109" s="3376"/>
      <c r="AL109" s="3376"/>
      <c r="AM109" s="3376"/>
      <c r="AN109" s="3376"/>
      <c r="AO109" s="3376"/>
      <c r="AP109" s="3376"/>
      <c r="AQ109" s="3376"/>
      <c r="AR109" s="3376"/>
      <c r="AS109" s="3376"/>
      <c r="AT109" s="3376"/>
      <c r="AU109" s="3376"/>
      <c r="AV109" s="3376"/>
      <c r="AW109" s="3376"/>
      <c r="AX109" s="3376"/>
      <c r="AY109" s="3376"/>
      <c r="AZ109" s="3376"/>
      <c r="BA109" s="3376"/>
      <c r="BB109" s="3376"/>
      <c r="BC109" s="3376"/>
      <c r="BD109" s="3376"/>
    </row>
    <row r="110" spans="2:56" ht="15.75" customHeight="1" x14ac:dyDescent="0.3"/>
    <row r="111" spans="2:56" ht="41.4" x14ac:dyDescent="0.35">
      <c r="B111" s="3377" t="s">
        <v>779</v>
      </c>
      <c r="AF111" s="3325"/>
      <c r="AL111" s="3326"/>
    </row>
    <row r="112" spans="2:56" ht="18" x14ac:dyDescent="0.35">
      <c r="AU112" s="3236"/>
      <c r="AX112" s="3236"/>
      <c r="BA112" s="3236"/>
      <c r="BD112" s="3236" t="s">
        <v>128</v>
      </c>
    </row>
    <row r="113" spans="2:56" x14ac:dyDescent="0.3">
      <c r="B113" s="6160" t="s">
        <v>132</v>
      </c>
      <c r="C113" s="6157">
        <v>2005</v>
      </c>
      <c r="D113" s="6158"/>
      <c r="E113" s="6159"/>
      <c r="F113" s="6157">
        <v>2006</v>
      </c>
      <c r="G113" s="6158"/>
      <c r="H113" s="6159"/>
      <c r="I113" s="6157">
        <v>2007</v>
      </c>
      <c r="J113" s="6158"/>
      <c r="K113" s="6159"/>
      <c r="L113" s="6157">
        <v>2008</v>
      </c>
      <c r="M113" s="6158"/>
      <c r="N113" s="6159"/>
      <c r="O113" s="6157">
        <v>2009</v>
      </c>
      <c r="P113" s="6158"/>
      <c r="Q113" s="6159"/>
      <c r="R113" s="6157">
        <v>2010</v>
      </c>
      <c r="S113" s="6158"/>
      <c r="T113" s="6159"/>
      <c r="U113" s="6157">
        <v>2011</v>
      </c>
      <c r="V113" s="6158"/>
      <c r="W113" s="6159"/>
      <c r="X113" s="6157">
        <v>2012</v>
      </c>
      <c r="Y113" s="6158"/>
      <c r="Z113" s="6159"/>
      <c r="AA113" s="6157">
        <v>2013</v>
      </c>
      <c r="AB113" s="6158"/>
      <c r="AC113" s="6159"/>
      <c r="AD113" s="6157">
        <v>2014</v>
      </c>
      <c r="AE113" s="6158"/>
      <c r="AF113" s="6159"/>
      <c r="AG113" s="6157">
        <v>2015</v>
      </c>
      <c r="AH113" s="6158"/>
      <c r="AI113" s="6159"/>
      <c r="AJ113" s="6157">
        <v>2016</v>
      </c>
      <c r="AK113" s="6158"/>
      <c r="AL113" s="6159"/>
      <c r="AM113" s="6157">
        <v>2017</v>
      </c>
      <c r="AN113" s="6158"/>
      <c r="AO113" s="6159"/>
      <c r="AP113" s="6157">
        <v>2018</v>
      </c>
      <c r="AQ113" s="6158"/>
      <c r="AR113" s="6159"/>
      <c r="AS113" s="6157">
        <v>2019</v>
      </c>
      <c r="AT113" s="6158"/>
      <c r="AU113" s="6159"/>
      <c r="AV113" s="6157">
        <v>2020</v>
      </c>
      <c r="AW113" s="6158"/>
      <c r="AX113" s="6159"/>
      <c r="AY113" s="6157">
        <v>2021</v>
      </c>
      <c r="AZ113" s="6158"/>
      <c r="BA113" s="6159"/>
      <c r="BB113" s="6157">
        <v>2022</v>
      </c>
      <c r="BC113" s="6158"/>
      <c r="BD113" s="6159"/>
    </row>
    <row r="114" spans="2:56" x14ac:dyDescent="0.3">
      <c r="B114" s="5728"/>
      <c r="C114" s="3237" t="s">
        <v>140</v>
      </c>
      <c r="D114" s="3237" t="s">
        <v>141</v>
      </c>
      <c r="E114" s="3238" t="s">
        <v>279</v>
      </c>
      <c r="F114" s="3237" t="s">
        <v>140</v>
      </c>
      <c r="G114" s="3237" t="s">
        <v>141</v>
      </c>
      <c r="H114" s="3238" t="s">
        <v>279</v>
      </c>
      <c r="I114" s="3237" t="s">
        <v>140</v>
      </c>
      <c r="J114" s="3237" t="s">
        <v>141</v>
      </c>
      <c r="K114" s="3238" t="s">
        <v>279</v>
      </c>
      <c r="L114" s="3237" t="s">
        <v>140</v>
      </c>
      <c r="M114" s="3237" t="s">
        <v>141</v>
      </c>
      <c r="N114" s="3238" t="s">
        <v>279</v>
      </c>
      <c r="O114" s="3237" t="s">
        <v>140</v>
      </c>
      <c r="P114" s="3237" t="s">
        <v>141</v>
      </c>
      <c r="Q114" s="3238" t="s">
        <v>279</v>
      </c>
      <c r="R114" s="3237" t="s">
        <v>140</v>
      </c>
      <c r="S114" s="3237" t="s">
        <v>141</v>
      </c>
      <c r="T114" s="3238" t="s">
        <v>279</v>
      </c>
      <c r="U114" s="3237" t="s">
        <v>140</v>
      </c>
      <c r="V114" s="3237" t="s">
        <v>141</v>
      </c>
      <c r="W114" s="3238" t="s">
        <v>279</v>
      </c>
      <c r="X114" s="3237" t="s">
        <v>140</v>
      </c>
      <c r="Y114" s="3237" t="s">
        <v>141</v>
      </c>
      <c r="Z114" s="3238" t="s">
        <v>279</v>
      </c>
      <c r="AA114" s="3237" t="s">
        <v>140</v>
      </c>
      <c r="AB114" s="3237" t="s">
        <v>141</v>
      </c>
      <c r="AC114" s="3238" t="s">
        <v>279</v>
      </c>
      <c r="AD114" s="3237" t="s">
        <v>140</v>
      </c>
      <c r="AE114" s="3237" t="s">
        <v>141</v>
      </c>
      <c r="AF114" s="3238" t="s">
        <v>279</v>
      </c>
      <c r="AG114" s="3237" t="s">
        <v>140</v>
      </c>
      <c r="AH114" s="3237" t="s">
        <v>141</v>
      </c>
      <c r="AI114" s="3238" t="s">
        <v>279</v>
      </c>
      <c r="AJ114" s="3237" t="s">
        <v>140</v>
      </c>
      <c r="AK114" s="3237" t="s">
        <v>141</v>
      </c>
      <c r="AL114" s="3238" t="s">
        <v>279</v>
      </c>
      <c r="AM114" s="3237" t="s">
        <v>140</v>
      </c>
      <c r="AN114" s="3237" t="s">
        <v>141</v>
      </c>
      <c r="AO114" s="3238" t="s">
        <v>279</v>
      </c>
      <c r="AP114" s="3237" t="s">
        <v>140</v>
      </c>
      <c r="AQ114" s="3237" t="s">
        <v>141</v>
      </c>
      <c r="AR114" s="3238" t="s">
        <v>279</v>
      </c>
      <c r="AS114" s="3237" t="s">
        <v>140</v>
      </c>
      <c r="AT114" s="3237" t="s">
        <v>141</v>
      </c>
      <c r="AU114" s="3238" t="s">
        <v>279</v>
      </c>
      <c r="AV114" s="3237" t="s">
        <v>140</v>
      </c>
      <c r="AW114" s="3237" t="s">
        <v>141</v>
      </c>
      <c r="AX114" s="3238" t="s">
        <v>279</v>
      </c>
      <c r="AY114" s="3237" t="s">
        <v>140</v>
      </c>
      <c r="AZ114" s="3237" t="s">
        <v>141</v>
      </c>
      <c r="BA114" s="3238" t="s">
        <v>279</v>
      </c>
      <c r="BB114" s="3237" t="s">
        <v>140</v>
      </c>
      <c r="BC114" s="3237" t="s">
        <v>141</v>
      </c>
      <c r="BD114" s="3238" t="s">
        <v>279</v>
      </c>
    </row>
    <row r="115" spans="2:56" x14ac:dyDescent="0.3">
      <c r="B115" s="3239"/>
    </row>
    <row r="116" spans="2:56" x14ac:dyDescent="0.3">
      <c r="B116" s="3240" t="s">
        <v>59</v>
      </c>
      <c r="C116" s="3327">
        <f t="shared" ref="C116:AE118" si="75">SUM(C6,C44,C82)</f>
        <v>79</v>
      </c>
      <c r="D116" s="3328">
        <f t="shared" si="75"/>
        <v>325</v>
      </c>
      <c r="E116" s="3328">
        <f t="shared" si="75"/>
        <v>404</v>
      </c>
      <c r="F116" s="3327">
        <f t="shared" si="75"/>
        <v>81</v>
      </c>
      <c r="G116" s="3328">
        <f t="shared" si="75"/>
        <v>326</v>
      </c>
      <c r="H116" s="3329">
        <f t="shared" si="75"/>
        <v>407</v>
      </c>
      <c r="I116" s="3327">
        <f t="shared" si="75"/>
        <v>85</v>
      </c>
      <c r="J116" s="3328">
        <f t="shared" si="75"/>
        <v>334</v>
      </c>
      <c r="K116" s="3329">
        <f t="shared" si="75"/>
        <v>419</v>
      </c>
      <c r="L116" s="3330">
        <f t="shared" si="75"/>
        <v>87</v>
      </c>
      <c r="M116" s="3247">
        <f t="shared" si="75"/>
        <v>327</v>
      </c>
      <c r="N116" s="3248">
        <f t="shared" si="75"/>
        <v>414</v>
      </c>
      <c r="O116" s="3247">
        <f t="shared" si="75"/>
        <v>84</v>
      </c>
      <c r="P116" s="3247">
        <f t="shared" si="75"/>
        <v>330</v>
      </c>
      <c r="Q116" s="3248">
        <f t="shared" si="75"/>
        <v>414</v>
      </c>
      <c r="R116" s="3330">
        <f t="shared" si="75"/>
        <v>87</v>
      </c>
      <c r="S116" s="3247">
        <f t="shared" si="75"/>
        <v>322</v>
      </c>
      <c r="T116" s="3248">
        <f t="shared" si="75"/>
        <v>409</v>
      </c>
      <c r="U116" s="3330">
        <f t="shared" si="75"/>
        <v>86</v>
      </c>
      <c r="V116" s="3247">
        <f t="shared" si="75"/>
        <v>319</v>
      </c>
      <c r="W116" s="3248">
        <f t="shared" si="75"/>
        <v>405</v>
      </c>
      <c r="X116" s="3330">
        <f t="shared" si="75"/>
        <v>87</v>
      </c>
      <c r="Y116" s="3247">
        <f t="shared" si="75"/>
        <v>321</v>
      </c>
      <c r="Z116" s="3248">
        <f t="shared" si="75"/>
        <v>408</v>
      </c>
      <c r="AA116" s="3330">
        <f t="shared" si="75"/>
        <v>87</v>
      </c>
      <c r="AB116" s="3247">
        <f t="shared" si="75"/>
        <v>320</v>
      </c>
      <c r="AC116" s="3248">
        <f t="shared" si="75"/>
        <v>407</v>
      </c>
      <c r="AD116" s="3330">
        <f t="shared" si="75"/>
        <v>94</v>
      </c>
      <c r="AE116" s="3247">
        <f t="shared" si="75"/>
        <v>320</v>
      </c>
      <c r="AF116" s="3248">
        <f>SUM(AD116:AE116)</f>
        <v>414</v>
      </c>
      <c r="AG116" s="3330">
        <f t="shared" ref="AG116:AH118" si="76">SUM(AG6,AG44,AG82)</f>
        <v>92</v>
      </c>
      <c r="AH116" s="3247">
        <f t="shared" si="76"/>
        <v>311</v>
      </c>
      <c r="AI116" s="3248">
        <f>SUM(AG116:AH116)</f>
        <v>403</v>
      </c>
      <c r="AJ116" s="3330">
        <f t="shared" ref="AJ116:AK118" si="77">SUM(AJ6,AJ44,AJ82)</f>
        <v>91</v>
      </c>
      <c r="AK116" s="3247">
        <f t="shared" si="77"/>
        <v>305</v>
      </c>
      <c r="AL116" s="3248">
        <f>SUM(AJ116:AK116)</f>
        <v>396</v>
      </c>
      <c r="AM116" s="3330">
        <f t="shared" ref="AM116:AN118" si="78">SUM(AM6,AM44,AM82)</f>
        <v>95</v>
      </c>
      <c r="AN116" s="3247">
        <f t="shared" si="78"/>
        <v>303</v>
      </c>
      <c r="AO116" s="3248">
        <f>SUM(AM116:AN116)</f>
        <v>398</v>
      </c>
      <c r="AP116" s="3330">
        <f t="shared" ref="AP116:AQ118" si="79">SUM(AP6,AP44,AP82)</f>
        <v>96</v>
      </c>
      <c r="AQ116" s="3247">
        <f t="shared" si="79"/>
        <v>307</v>
      </c>
      <c r="AR116" s="3248">
        <f>SUM(AP116:AQ116)</f>
        <v>403</v>
      </c>
      <c r="AS116" s="3330">
        <f t="shared" ref="AS116:AT118" si="80">SUM(AS6,AS44,AS82)</f>
        <v>96</v>
      </c>
      <c r="AT116" s="3247">
        <f t="shared" si="80"/>
        <v>310</v>
      </c>
      <c r="AU116" s="3248">
        <f>SUM(AS116:AT116)</f>
        <v>406</v>
      </c>
      <c r="AV116" s="3330">
        <f t="shared" ref="AV116:AW118" si="81">SUM(AV6,AV44,AV82)</f>
        <v>98</v>
      </c>
      <c r="AW116" s="3247">
        <f t="shared" si="81"/>
        <v>304</v>
      </c>
      <c r="AX116" s="3248">
        <f>SUM(AV116:AW116)</f>
        <v>402</v>
      </c>
      <c r="AY116" s="3330">
        <f t="shared" ref="AY116:AZ116" si="82">SUM(AY6,AY44,AY82)</f>
        <v>98</v>
      </c>
      <c r="AZ116" s="3247">
        <f t="shared" si="82"/>
        <v>297</v>
      </c>
      <c r="BA116" s="3248">
        <f>SUM(AY116:AZ116)</f>
        <v>395</v>
      </c>
      <c r="BB116" s="3330">
        <f t="shared" ref="BB116:BC116" si="83">SUM(BB6,BB44,BB82)</f>
        <v>94</v>
      </c>
      <c r="BC116" s="3247">
        <f t="shared" si="83"/>
        <v>291</v>
      </c>
      <c r="BD116" s="3248">
        <f>SUM(BB116:BC116)</f>
        <v>385</v>
      </c>
    </row>
    <row r="117" spans="2:56" x14ac:dyDescent="0.3">
      <c r="B117" s="3249" t="s">
        <v>64</v>
      </c>
      <c r="C117" s="3331">
        <f t="shared" si="75"/>
        <v>135</v>
      </c>
      <c r="D117" s="3332">
        <f t="shared" si="75"/>
        <v>216</v>
      </c>
      <c r="E117" s="3332">
        <f t="shared" si="75"/>
        <v>351</v>
      </c>
      <c r="F117" s="3331">
        <f t="shared" si="75"/>
        <v>138</v>
      </c>
      <c r="G117" s="3332">
        <f t="shared" si="75"/>
        <v>223</v>
      </c>
      <c r="H117" s="3333">
        <f t="shared" si="75"/>
        <v>361</v>
      </c>
      <c r="I117" s="3331">
        <f t="shared" si="75"/>
        <v>144</v>
      </c>
      <c r="J117" s="3332">
        <f t="shared" si="75"/>
        <v>221</v>
      </c>
      <c r="K117" s="3333">
        <f t="shared" si="75"/>
        <v>365</v>
      </c>
      <c r="L117" s="3334">
        <f t="shared" si="75"/>
        <v>145</v>
      </c>
      <c r="M117" s="3256">
        <f t="shared" si="75"/>
        <v>219</v>
      </c>
      <c r="N117" s="3257">
        <f t="shared" si="75"/>
        <v>364</v>
      </c>
      <c r="O117" s="3256">
        <f t="shared" si="75"/>
        <v>142</v>
      </c>
      <c r="P117" s="3256">
        <f t="shared" si="75"/>
        <v>219</v>
      </c>
      <c r="Q117" s="3257">
        <f t="shared" si="75"/>
        <v>361</v>
      </c>
      <c r="R117" s="3334">
        <f t="shared" si="75"/>
        <v>142</v>
      </c>
      <c r="S117" s="3256">
        <f t="shared" si="75"/>
        <v>216</v>
      </c>
      <c r="T117" s="3257">
        <f t="shared" si="75"/>
        <v>358</v>
      </c>
      <c r="U117" s="3334">
        <f t="shared" si="75"/>
        <v>144</v>
      </c>
      <c r="V117" s="3256">
        <f t="shared" si="75"/>
        <v>223</v>
      </c>
      <c r="W117" s="3257">
        <f t="shared" si="75"/>
        <v>367</v>
      </c>
      <c r="X117" s="3334">
        <f t="shared" si="75"/>
        <v>145</v>
      </c>
      <c r="Y117" s="3256">
        <f t="shared" si="75"/>
        <v>220</v>
      </c>
      <c r="Z117" s="3257">
        <f t="shared" si="75"/>
        <v>365</v>
      </c>
      <c r="AA117" s="3334">
        <f t="shared" si="75"/>
        <v>149</v>
      </c>
      <c r="AB117" s="3256">
        <f t="shared" si="75"/>
        <v>225</v>
      </c>
      <c r="AC117" s="3257">
        <f t="shared" si="75"/>
        <v>374</v>
      </c>
      <c r="AD117" s="3334">
        <f t="shared" si="75"/>
        <v>150</v>
      </c>
      <c r="AE117" s="3256">
        <f t="shared" si="75"/>
        <v>224</v>
      </c>
      <c r="AF117" s="3257">
        <f>SUM(AD117:AE117)</f>
        <v>374</v>
      </c>
      <c r="AG117" s="3334">
        <f t="shared" si="76"/>
        <v>146</v>
      </c>
      <c r="AH117" s="3256">
        <f t="shared" si="76"/>
        <v>221</v>
      </c>
      <c r="AI117" s="3257">
        <f>SUM(AG117:AH117)</f>
        <v>367</v>
      </c>
      <c r="AJ117" s="3334">
        <f t="shared" si="77"/>
        <v>143</v>
      </c>
      <c r="AK117" s="3256">
        <f t="shared" si="77"/>
        <v>215</v>
      </c>
      <c r="AL117" s="3257">
        <f>SUM(AJ117:AK117)</f>
        <v>358</v>
      </c>
      <c r="AM117" s="3334">
        <f t="shared" si="78"/>
        <v>143</v>
      </c>
      <c r="AN117" s="3256">
        <f t="shared" si="78"/>
        <v>225</v>
      </c>
      <c r="AO117" s="3257">
        <f>SUM(AM117:AN117)</f>
        <v>368</v>
      </c>
      <c r="AP117" s="3334">
        <f t="shared" si="79"/>
        <v>145</v>
      </c>
      <c r="AQ117" s="3256">
        <f t="shared" si="79"/>
        <v>227</v>
      </c>
      <c r="AR117" s="3257">
        <f>SUM(AP117:AQ117)</f>
        <v>372</v>
      </c>
      <c r="AS117" s="3334">
        <f t="shared" si="80"/>
        <v>145</v>
      </c>
      <c r="AT117" s="3256">
        <f t="shared" si="80"/>
        <v>217</v>
      </c>
      <c r="AU117" s="3257">
        <f>SUM(AS117:AT117)</f>
        <v>362</v>
      </c>
      <c r="AV117" s="3334">
        <f t="shared" si="81"/>
        <v>144</v>
      </c>
      <c r="AW117" s="3256">
        <f t="shared" si="81"/>
        <v>210</v>
      </c>
      <c r="AX117" s="3257">
        <f>SUM(AV117:AW117)</f>
        <v>354</v>
      </c>
      <c r="AY117" s="3334">
        <f t="shared" ref="AY117:AZ117" si="84">SUM(AY7,AY45,AY83)</f>
        <v>141</v>
      </c>
      <c r="AZ117" s="3256">
        <f t="shared" si="84"/>
        <v>207</v>
      </c>
      <c r="BA117" s="3257">
        <f>SUM(AY117:AZ117)</f>
        <v>348</v>
      </c>
      <c r="BB117" s="3334">
        <f t="shared" ref="BB117:BC117" si="85">SUM(BB7,BB45,BB83)</f>
        <v>136</v>
      </c>
      <c r="BC117" s="3256">
        <f t="shared" si="85"/>
        <v>201</v>
      </c>
      <c r="BD117" s="3257">
        <f>SUM(BB117:BC117)</f>
        <v>337</v>
      </c>
    </row>
    <row r="118" spans="2:56" x14ac:dyDescent="0.3">
      <c r="B118" s="3249" t="s">
        <v>68</v>
      </c>
      <c r="C118" s="3331">
        <f t="shared" si="75"/>
        <v>76</v>
      </c>
      <c r="D118" s="3332">
        <f t="shared" si="75"/>
        <v>156</v>
      </c>
      <c r="E118" s="3332">
        <f t="shared" si="75"/>
        <v>232</v>
      </c>
      <c r="F118" s="3331">
        <f t="shared" si="75"/>
        <v>73</v>
      </c>
      <c r="G118" s="3332">
        <f t="shared" si="75"/>
        <v>153</v>
      </c>
      <c r="H118" s="3333">
        <f t="shared" si="75"/>
        <v>226</v>
      </c>
      <c r="I118" s="3331">
        <f t="shared" si="75"/>
        <v>79</v>
      </c>
      <c r="J118" s="3332">
        <f t="shared" si="75"/>
        <v>142</v>
      </c>
      <c r="K118" s="3333">
        <f t="shared" si="75"/>
        <v>221</v>
      </c>
      <c r="L118" s="3334">
        <f t="shared" si="75"/>
        <v>81</v>
      </c>
      <c r="M118" s="3256">
        <f t="shared" si="75"/>
        <v>138</v>
      </c>
      <c r="N118" s="3257">
        <f t="shared" si="75"/>
        <v>219</v>
      </c>
      <c r="O118" s="3256">
        <f t="shared" si="75"/>
        <v>85</v>
      </c>
      <c r="P118" s="3256">
        <f t="shared" si="75"/>
        <v>140</v>
      </c>
      <c r="Q118" s="3257">
        <f t="shared" si="75"/>
        <v>225</v>
      </c>
      <c r="R118" s="3334">
        <f t="shared" si="75"/>
        <v>90</v>
      </c>
      <c r="S118" s="3256">
        <f t="shared" si="75"/>
        <v>143</v>
      </c>
      <c r="T118" s="3257">
        <f t="shared" si="75"/>
        <v>233</v>
      </c>
      <c r="U118" s="3334">
        <f t="shared" si="75"/>
        <v>89</v>
      </c>
      <c r="V118" s="3256">
        <f t="shared" si="75"/>
        <v>147</v>
      </c>
      <c r="W118" s="3257">
        <f t="shared" si="75"/>
        <v>236</v>
      </c>
      <c r="X118" s="3334">
        <f t="shared" si="75"/>
        <v>88</v>
      </c>
      <c r="Y118" s="3256">
        <f t="shared" si="75"/>
        <v>148</v>
      </c>
      <c r="Z118" s="3257">
        <f t="shared" si="75"/>
        <v>236</v>
      </c>
      <c r="AA118" s="3334">
        <f t="shared" si="75"/>
        <v>89</v>
      </c>
      <c r="AB118" s="3256">
        <f t="shared" si="75"/>
        <v>149</v>
      </c>
      <c r="AC118" s="3257">
        <f t="shared" si="75"/>
        <v>238</v>
      </c>
      <c r="AD118" s="3334">
        <f t="shared" si="75"/>
        <v>95</v>
      </c>
      <c r="AE118" s="3256">
        <f t="shared" si="75"/>
        <v>156</v>
      </c>
      <c r="AF118" s="3257">
        <f>SUM(AD118:AE118)</f>
        <v>251</v>
      </c>
      <c r="AG118" s="3334">
        <f t="shared" si="76"/>
        <v>93</v>
      </c>
      <c r="AH118" s="3256">
        <f t="shared" si="76"/>
        <v>153</v>
      </c>
      <c r="AI118" s="3257">
        <f>SUM(AG118:AH118)</f>
        <v>246</v>
      </c>
      <c r="AJ118" s="3334">
        <f t="shared" si="77"/>
        <v>92</v>
      </c>
      <c r="AK118" s="3256">
        <f t="shared" si="77"/>
        <v>148</v>
      </c>
      <c r="AL118" s="3257">
        <f>SUM(AJ118:AK118)</f>
        <v>240</v>
      </c>
      <c r="AM118" s="3334">
        <f t="shared" si="78"/>
        <v>90</v>
      </c>
      <c r="AN118" s="3256">
        <f t="shared" si="78"/>
        <v>147</v>
      </c>
      <c r="AO118" s="3257">
        <f>SUM(AM118:AN118)</f>
        <v>237</v>
      </c>
      <c r="AP118" s="3334">
        <f t="shared" si="79"/>
        <v>94</v>
      </c>
      <c r="AQ118" s="3256">
        <f t="shared" si="79"/>
        <v>147</v>
      </c>
      <c r="AR118" s="3257">
        <f>SUM(AP118:AQ118)</f>
        <v>241</v>
      </c>
      <c r="AS118" s="3334">
        <f t="shared" si="80"/>
        <v>92</v>
      </c>
      <c r="AT118" s="3256">
        <f t="shared" si="80"/>
        <v>144</v>
      </c>
      <c r="AU118" s="3257">
        <f>SUM(AS118:AT118)</f>
        <v>236</v>
      </c>
      <c r="AV118" s="3334">
        <f t="shared" si="81"/>
        <v>93</v>
      </c>
      <c r="AW118" s="3256">
        <f t="shared" si="81"/>
        <v>142</v>
      </c>
      <c r="AX118" s="3257">
        <f>SUM(AV118:AW118)</f>
        <v>235</v>
      </c>
      <c r="AY118" s="3334">
        <f t="shared" ref="AY118:AZ118" si="86">SUM(AY8,AY46,AY84)</f>
        <v>92</v>
      </c>
      <c r="AZ118" s="3256">
        <f t="shared" si="86"/>
        <v>138</v>
      </c>
      <c r="BA118" s="3257">
        <f>SUM(AY118:AZ118)</f>
        <v>230</v>
      </c>
      <c r="BB118" s="3334">
        <f t="shared" ref="BB118:BC118" si="87">SUM(BB8,BB46,BB84)</f>
        <v>93</v>
      </c>
      <c r="BC118" s="3256">
        <f t="shared" si="87"/>
        <v>131</v>
      </c>
      <c r="BD118" s="3257">
        <f>SUM(BB118:BC118)</f>
        <v>224</v>
      </c>
    </row>
    <row r="119" spans="2:56" x14ac:dyDescent="0.3">
      <c r="B119" s="3258" t="s">
        <v>138</v>
      </c>
      <c r="C119" s="3335">
        <f>SUM(C116:C118)</f>
        <v>290</v>
      </c>
      <c r="D119" s="3336">
        <f t="shared" ref="D119:Q119" si="88">SUM(D116:D118)</f>
        <v>697</v>
      </c>
      <c r="E119" s="3336">
        <f t="shared" si="88"/>
        <v>987</v>
      </c>
      <c r="F119" s="3335">
        <f t="shared" si="88"/>
        <v>292</v>
      </c>
      <c r="G119" s="3336">
        <f t="shared" si="88"/>
        <v>702</v>
      </c>
      <c r="H119" s="3337">
        <f t="shared" si="88"/>
        <v>994</v>
      </c>
      <c r="I119" s="3335">
        <f t="shared" si="88"/>
        <v>308</v>
      </c>
      <c r="J119" s="3336">
        <f t="shared" si="88"/>
        <v>697</v>
      </c>
      <c r="K119" s="3337">
        <f t="shared" si="88"/>
        <v>1005</v>
      </c>
      <c r="L119" s="3338">
        <f t="shared" si="88"/>
        <v>313</v>
      </c>
      <c r="M119" s="3265">
        <f t="shared" si="88"/>
        <v>684</v>
      </c>
      <c r="N119" s="3266">
        <f t="shared" si="88"/>
        <v>997</v>
      </c>
      <c r="O119" s="3265">
        <f t="shared" si="88"/>
        <v>311</v>
      </c>
      <c r="P119" s="3265">
        <f t="shared" si="88"/>
        <v>689</v>
      </c>
      <c r="Q119" s="3266">
        <f t="shared" si="88"/>
        <v>1000</v>
      </c>
      <c r="R119" s="3338">
        <f>SUM(R116:R118)</f>
        <v>319</v>
      </c>
      <c r="S119" s="3265">
        <f>SUM(S116:S118)</f>
        <v>681</v>
      </c>
      <c r="T119" s="3266">
        <f>SUM(R119:S119)</f>
        <v>1000</v>
      </c>
      <c r="U119" s="3338">
        <f>SUM(U116:U118)</f>
        <v>319</v>
      </c>
      <c r="V119" s="3265">
        <f>SUM(V116:V118)</f>
        <v>689</v>
      </c>
      <c r="W119" s="3266">
        <f>SUM(U119:V119)</f>
        <v>1008</v>
      </c>
      <c r="X119" s="3338">
        <f>SUM(X116:X118)</f>
        <v>320</v>
      </c>
      <c r="Y119" s="3265">
        <f>SUM(Y116:Y118)</f>
        <v>689</v>
      </c>
      <c r="Z119" s="3266">
        <f>SUM(X119:Y119)</f>
        <v>1009</v>
      </c>
      <c r="AA119" s="3338">
        <f>SUM(AA116:AA118)</f>
        <v>325</v>
      </c>
      <c r="AB119" s="3265">
        <f>SUM(AB116:AB118)</f>
        <v>694</v>
      </c>
      <c r="AC119" s="3266">
        <f>SUM(AA119:AB119)</f>
        <v>1019</v>
      </c>
      <c r="AD119" s="3265">
        <f>SUM(AD116:AD118)</f>
        <v>339</v>
      </c>
      <c r="AE119" s="3265">
        <f>SUM(AE116:AE118)</f>
        <v>700</v>
      </c>
      <c r="AF119" s="3266">
        <f>SUM(AD119:AE119)</f>
        <v>1039</v>
      </c>
      <c r="AG119" s="3265">
        <f>SUM(AG116:AG118)</f>
        <v>331</v>
      </c>
      <c r="AH119" s="3265">
        <f>SUM(AH116:AH118)</f>
        <v>685</v>
      </c>
      <c r="AI119" s="3266">
        <f>SUM(AG119:AH119)</f>
        <v>1016</v>
      </c>
      <c r="AJ119" s="3265">
        <f>SUM(AJ116:AJ118)</f>
        <v>326</v>
      </c>
      <c r="AK119" s="3265">
        <f>SUM(AK116:AK118)</f>
        <v>668</v>
      </c>
      <c r="AL119" s="3266">
        <f>SUM(AJ119:AK119)</f>
        <v>994</v>
      </c>
      <c r="AM119" s="3265">
        <f>SUM(AM116:AM118)</f>
        <v>328</v>
      </c>
      <c r="AN119" s="3265">
        <f>SUM(AN116:AN118)</f>
        <v>675</v>
      </c>
      <c r="AO119" s="3266">
        <f>SUM(AM119:AN119)</f>
        <v>1003</v>
      </c>
      <c r="AP119" s="3265">
        <f>SUM(AP116:AP118)</f>
        <v>335</v>
      </c>
      <c r="AQ119" s="3265">
        <f>SUM(AQ116:AQ118)</f>
        <v>681</v>
      </c>
      <c r="AR119" s="3266">
        <f>SUM(AP119:AQ119)</f>
        <v>1016</v>
      </c>
      <c r="AS119" s="3265">
        <f>SUM(AS116:AS118)</f>
        <v>333</v>
      </c>
      <c r="AT119" s="3265">
        <f>SUM(AT116:AT118)</f>
        <v>671</v>
      </c>
      <c r="AU119" s="3266">
        <f>SUM(AS119:AT119)</f>
        <v>1004</v>
      </c>
      <c r="AV119" s="3265">
        <f>SUM(AV116:AV118)</f>
        <v>335</v>
      </c>
      <c r="AW119" s="3265">
        <f>SUM(AW116:AW118)</f>
        <v>656</v>
      </c>
      <c r="AX119" s="3266">
        <f>SUM(AV119:AW119)</f>
        <v>991</v>
      </c>
      <c r="AY119" s="3265">
        <f>SUM(AY116:AY118)</f>
        <v>331</v>
      </c>
      <c r="AZ119" s="3265">
        <f>SUM(AZ116:AZ118)</f>
        <v>642</v>
      </c>
      <c r="BA119" s="3266">
        <f>SUM(AY119:AZ119)</f>
        <v>973</v>
      </c>
      <c r="BB119" s="3265">
        <f>SUM(BB116:BB118)</f>
        <v>323</v>
      </c>
      <c r="BC119" s="3265">
        <f>SUM(BC116:BC118)</f>
        <v>623</v>
      </c>
      <c r="BD119" s="3266">
        <f>SUM(BB119:BC119)</f>
        <v>946</v>
      </c>
    </row>
    <row r="120" spans="2:56" x14ac:dyDescent="0.3">
      <c r="C120" s="3267"/>
      <c r="D120" s="3267"/>
      <c r="E120" s="3267"/>
      <c r="F120" s="3267"/>
      <c r="G120" s="3267"/>
      <c r="H120" s="3267"/>
      <c r="I120" s="3267"/>
      <c r="J120" s="3267"/>
      <c r="K120" s="3267"/>
      <c r="L120" s="3267"/>
      <c r="M120" s="3267"/>
      <c r="N120" s="3267"/>
      <c r="O120" s="3267"/>
      <c r="P120" s="3267"/>
      <c r="Q120" s="3267"/>
      <c r="R120" s="3267"/>
      <c r="S120" s="3267"/>
      <c r="T120" s="3267"/>
      <c r="U120" s="3267"/>
      <c r="V120" s="3267"/>
      <c r="W120" s="3267"/>
      <c r="X120" s="3267"/>
      <c r="Y120" s="3267"/>
      <c r="Z120" s="3267"/>
      <c r="AA120" s="3267"/>
      <c r="AB120" s="3267"/>
      <c r="AC120" s="3267"/>
      <c r="AD120" s="3267"/>
      <c r="AE120" s="3267"/>
      <c r="AF120" s="3267"/>
      <c r="AG120" s="3267"/>
      <c r="AH120" s="3267"/>
      <c r="AI120" s="3267"/>
      <c r="AJ120" s="3267"/>
      <c r="AK120" s="3267"/>
      <c r="AL120" s="3267"/>
      <c r="AM120" s="3267"/>
      <c r="AN120" s="3267"/>
      <c r="AO120" s="3267"/>
      <c r="AP120" s="3267"/>
      <c r="AQ120" s="3267"/>
      <c r="AR120" s="3267"/>
      <c r="AS120" s="3267"/>
      <c r="AT120" s="3267"/>
      <c r="AU120" s="3267"/>
      <c r="AV120" s="3267"/>
      <c r="AW120" s="3267"/>
      <c r="AX120" s="3267"/>
      <c r="AY120" s="3267"/>
      <c r="AZ120" s="3267"/>
      <c r="BA120" s="3267"/>
      <c r="BB120" s="3267"/>
      <c r="BC120" s="3267"/>
      <c r="BD120" s="3267"/>
    </row>
    <row r="121" spans="2:56" x14ac:dyDescent="0.3">
      <c r="B121" s="3240" t="s">
        <v>64</v>
      </c>
      <c r="C121" s="3327">
        <f t="shared" ref="C121:AE123" si="89">SUM(C11,C49,C87)</f>
        <v>2</v>
      </c>
      <c r="D121" s="3328">
        <f t="shared" si="89"/>
        <v>2</v>
      </c>
      <c r="E121" s="3328">
        <f t="shared" si="89"/>
        <v>4</v>
      </c>
      <c r="F121" s="3327">
        <f t="shared" si="89"/>
        <v>2</v>
      </c>
      <c r="G121" s="3328">
        <f t="shared" si="89"/>
        <v>5</v>
      </c>
      <c r="H121" s="3329">
        <f t="shared" si="89"/>
        <v>7</v>
      </c>
      <c r="I121" s="3327">
        <f t="shared" si="89"/>
        <v>8</v>
      </c>
      <c r="J121" s="3328">
        <f t="shared" si="89"/>
        <v>14</v>
      </c>
      <c r="K121" s="3329">
        <f t="shared" si="89"/>
        <v>22</v>
      </c>
      <c r="L121" s="3330">
        <f t="shared" si="89"/>
        <v>8</v>
      </c>
      <c r="M121" s="3247">
        <f t="shared" si="89"/>
        <v>17</v>
      </c>
      <c r="N121" s="3248">
        <f t="shared" si="89"/>
        <v>25</v>
      </c>
      <c r="O121" s="3247">
        <f t="shared" si="89"/>
        <v>11</v>
      </c>
      <c r="P121" s="3247">
        <f t="shared" si="89"/>
        <v>20</v>
      </c>
      <c r="Q121" s="3248">
        <f t="shared" si="89"/>
        <v>31</v>
      </c>
      <c r="R121" s="3330">
        <f t="shared" si="89"/>
        <v>19</v>
      </c>
      <c r="S121" s="3247">
        <f t="shared" si="89"/>
        <v>22</v>
      </c>
      <c r="T121" s="3248">
        <f t="shared" si="89"/>
        <v>41</v>
      </c>
      <c r="U121" s="3330">
        <f t="shared" si="89"/>
        <v>24</v>
      </c>
      <c r="V121" s="3247">
        <f t="shared" si="89"/>
        <v>25</v>
      </c>
      <c r="W121" s="3248">
        <f t="shared" si="89"/>
        <v>49</v>
      </c>
      <c r="X121" s="3330">
        <f t="shared" si="89"/>
        <v>21</v>
      </c>
      <c r="Y121" s="3247">
        <f t="shared" si="89"/>
        <v>24</v>
      </c>
      <c r="Z121" s="3248">
        <f t="shared" si="89"/>
        <v>45</v>
      </c>
      <c r="AA121" s="3330">
        <f t="shared" si="89"/>
        <v>23</v>
      </c>
      <c r="AB121" s="3247">
        <f t="shared" si="89"/>
        <v>26</v>
      </c>
      <c r="AC121" s="3248">
        <f t="shared" si="89"/>
        <v>49</v>
      </c>
      <c r="AD121" s="3330">
        <f t="shared" si="89"/>
        <v>24</v>
      </c>
      <c r="AE121" s="3247">
        <f t="shared" si="89"/>
        <v>27</v>
      </c>
      <c r="AF121" s="3248">
        <f>SUM(AD121:AE121)</f>
        <v>51</v>
      </c>
      <c r="AG121" s="3330">
        <f t="shared" ref="AG121:AH123" si="90">SUM(AG11,AG49,AG87)</f>
        <v>23</v>
      </c>
      <c r="AH121" s="3247">
        <f t="shared" si="90"/>
        <v>28</v>
      </c>
      <c r="AI121" s="3248">
        <f>SUM(AG121:AH121)</f>
        <v>51</v>
      </c>
      <c r="AJ121" s="3330">
        <f t="shared" ref="AJ121:AK123" si="91">SUM(AJ11,AJ49,AJ87)</f>
        <v>26</v>
      </c>
      <c r="AK121" s="3247">
        <f t="shared" si="91"/>
        <v>32</v>
      </c>
      <c r="AL121" s="3248">
        <f>SUM(AJ121:AK121)</f>
        <v>58</v>
      </c>
      <c r="AM121" s="3330">
        <f t="shared" ref="AM121:AN123" si="92">SUM(AM11,AM49,AM87)</f>
        <v>27</v>
      </c>
      <c r="AN121" s="3247">
        <f t="shared" si="92"/>
        <v>36</v>
      </c>
      <c r="AO121" s="3248">
        <f>SUM(AM121:AN121)</f>
        <v>63</v>
      </c>
      <c r="AP121" s="3330">
        <f t="shared" ref="AP121:AQ123" si="93">SUM(AP11,AP49,AP87)</f>
        <v>26</v>
      </c>
      <c r="AQ121" s="3247">
        <f t="shared" si="93"/>
        <v>36</v>
      </c>
      <c r="AR121" s="3248">
        <f>SUM(AP121:AQ121)</f>
        <v>62</v>
      </c>
      <c r="AS121" s="3330">
        <f t="shared" ref="AS121:AT123" si="94">SUM(AS11,AS49,AS87)</f>
        <v>26</v>
      </c>
      <c r="AT121" s="3247">
        <f t="shared" si="94"/>
        <v>34</v>
      </c>
      <c r="AU121" s="3248">
        <f>SUM(AS121:AT121)</f>
        <v>60</v>
      </c>
      <c r="AV121" s="3330">
        <f t="shared" ref="AV121:AW123" si="95">SUM(AV11,AV49,AV87)</f>
        <v>27</v>
      </c>
      <c r="AW121" s="3247">
        <f t="shared" si="95"/>
        <v>33</v>
      </c>
      <c r="AX121" s="3248">
        <f>SUM(AV121:AW121)</f>
        <v>60</v>
      </c>
      <c r="AY121" s="3330">
        <f t="shared" ref="AY121:AZ121" si="96">SUM(AY11,AY49,AY87)</f>
        <v>27</v>
      </c>
      <c r="AZ121" s="3247">
        <f t="shared" si="96"/>
        <v>33</v>
      </c>
      <c r="BA121" s="3248">
        <f>SUM(AY121:AZ121)</f>
        <v>60</v>
      </c>
      <c r="BB121" s="3330">
        <f t="shared" ref="BB121:BC121" si="97">SUM(BB11,BB49,BB87)</f>
        <v>26</v>
      </c>
      <c r="BC121" s="3247">
        <f t="shared" si="97"/>
        <v>33</v>
      </c>
      <c r="BD121" s="3248">
        <f>SUM(BB121:BC121)</f>
        <v>59</v>
      </c>
    </row>
    <row r="122" spans="2:56" x14ac:dyDescent="0.3">
      <c r="B122" s="3249" t="s">
        <v>111</v>
      </c>
      <c r="C122" s="3331">
        <f t="shared" si="89"/>
        <v>1</v>
      </c>
      <c r="D122" s="3332">
        <f t="shared" si="89"/>
        <v>2</v>
      </c>
      <c r="E122" s="3332">
        <f t="shared" si="89"/>
        <v>3</v>
      </c>
      <c r="F122" s="3331">
        <f t="shared" si="89"/>
        <v>2</v>
      </c>
      <c r="G122" s="3332">
        <f t="shared" si="89"/>
        <v>7</v>
      </c>
      <c r="H122" s="3333">
        <f t="shared" si="89"/>
        <v>9</v>
      </c>
      <c r="I122" s="3331">
        <f t="shared" si="89"/>
        <v>4</v>
      </c>
      <c r="J122" s="3332">
        <f t="shared" si="89"/>
        <v>9</v>
      </c>
      <c r="K122" s="3333">
        <f t="shared" si="89"/>
        <v>13</v>
      </c>
      <c r="L122" s="3334">
        <f t="shared" si="89"/>
        <v>7</v>
      </c>
      <c r="M122" s="3256">
        <f t="shared" si="89"/>
        <v>17</v>
      </c>
      <c r="N122" s="3257">
        <f t="shared" si="89"/>
        <v>24</v>
      </c>
      <c r="O122" s="3256">
        <f t="shared" si="89"/>
        <v>8</v>
      </c>
      <c r="P122" s="3256">
        <f t="shared" si="89"/>
        <v>22</v>
      </c>
      <c r="Q122" s="3257">
        <f t="shared" si="89"/>
        <v>30</v>
      </c>
      <c r="R122" s="3334">
        <f t="shared" si="89"/>
        <v>13</v>
      </c>
      <c r="S122" s="3256">
        <f t="shared" si="89"/>
        <v>25</v>
      </c>
      <c r="T122" s="3257">
        <f t="shared" si="89"/>
        <v>38</v>
      </c>
      <c r="U122" s="3334">
        <f t="shared" si="89"/>
        <v>16</v>
      </c>
      <c r="V122" s="3256">
        <f t="shared" si="89"/>
        <v>26</v>
      </c>
      <c r="W122" s="3257">
        <f t="shared" si="89"/>
        <v>42</v>
      </c>
      <c r="X122" s="3334">
        <f t="shared" si="89"/>
        <v>18</v>
      </c>
      <c r="Y122" s="3256">
        <f t="shared" si="89"/>
        <v>35</v>
      </c>
      <c r="Z122" s="3257">
        <f t="shared" si="89"/>
        <v>53</v>
      </c>
      <c r="AA122" s="3334">
        <f t="shared" si="89"/>
        <v>17</v>
      </c>
      <c r="AB122" s="3256">
        <f t="shared" si="89"/>
        <v>36</v>
      </c>
      <c r="AC122" s="3257">
        <f t="shared" si="89"/>
        <v>53</v>
      </c>
      <c r="AD122" s="3334">
        <f t="shared" si="89"/>
        <v>14</v>
      </c>
      <c r="AE122" s="3256">
        <f t="shared" si="89"/>
        <v>39</v>
      </c>
      <c r="AF122" s="3257">
        <f>SUM(AD122:AE122)</f>
        <v>53</v>
      </c>
      <c r="AG122" s="3334">
        <f t="shared" si="90"/>
        <v>14</v>
      </c>
      <c r="AH122" s="3256">
        <f t="shared" si="90"/>
        <v>41</v>
      </c>
      <c r="AI122" s="3257">
        <f>SUM(AG122:AH122)</f>
        <v>55</v>
      </c>
      <c r="AJ122" s="3334">
        <f t="shared" si="91"/>
        <v>14</v>
      </c>
      <c r="AK122" s="3256">
        <f t="shared" si="91"/>
        <v>39</v>
      </c>
      <c r="AL122" s="3257">
        <f>SUM(AJ122:AK122)</f>
        <v>53</v>
      </c>
      <c r="AM122" s="3334">
        <f t="shared" si="92"/>
        <v>15</v>
      </c>
      <c r="AN122" s="3256">
        <f t="shared" si="92"/>
        <v>37</v>
      </c>
      <c r="AO122" s="3257">
        <f>SUM(AM122:AN122)</f>
        <v>52</v>
      </c>
      <c r="AP122" s="3334">
        <f t="shared" si="93"/>
        <v>15</v>
      </c>
      <c r="AQ122" s="3256">
        <f t="shared" si="93"/>
        <v>36</v>
      </c>
      <c r="AR122" s="3257">
        <f>SUM(AP122:AQ122)</f>
        <v>51</v>
      </c>
      <c r="AS122" s="3334">
        <f t="shared" si="94"/>
        <v>15</v>
      </c>
      <c r="AT122" s="3256">
        <f t="shared" si="94"/>
        <v>38</v>
      </c>
      <c r="AU122" s="3257">
        <f>SUM(AS122:AT122)</f>
        <v>53</v>
      </c>
      <c r="AV122" s="3334">
        <f t="shared" si="95"/>
        <v>17</v>
      </c>
      <c r="AW122" s="3256">
        <f t="shared" si="95"/>
        <v>38</v>
      </c>
      <c r="AX122" s="3257">
        <f>SUM(AV122:AW122)</f>
        <v>55</v>
      </c>
      <c r="AY122" s="3334">
        <f t="shared" ref="AY122:AZ122" si="98">SUM(AY12,AY50,AY88)</f>
        <v>17</v>
      </c>
      <c r="AZ122" s="3256">
        <f t="shared" si="98"/>
        <v>40</v>
      </c>
      <c r="BA122" s="3257">
        <f>SUM(AY122:AZ122)</f>
        <v>57</v>
      </c>
      <c r="BB122" s="3334">
        <f t="shared" ref="BB122:BC122" si="99">SUM(BB12,BB50,BB88)</f>
        <v>18</v>
      </c>
      <c r="BC122" s="3256">
        <f t="shared" si="99"/>
        <v>41</v>
      </c>
      <c r="BD122" s="3257">
        <f>SUM(BB122:BC122)</f>
        <v>59</v>
      </c>
    </row>
    <row r="123" spans="2:56" x14ac:dyDescent="0.3">
      <c r="B123" s="3249" t="s">
        <v>115</v>
      </c>
      <c r="C123" s="3331">
        <f t="shared" si="89"/>
        <v>1</v>
      </c>
      <c r="D123" s="3332">
        <f t="shared" si="89"/>
        <v>5</v>
      </c>
      <c r="E123" s="3332">
        <f t="shared" si="89"/>
        <v>6</v>
      </c>
      <c r="F123" s="3331">
        <f t="shared" si="89"/>
        <v>1</v>
      </c>
      <c r="G123" s="3332">
        <f t="shared" si="89"/>
        <v>5</v>
      </c>
      <c r="H123" s="3333">
        <f t="shared" si="89"/>
        <v>6</v>
      </c>
      <c r="I123" s="3331">
        <f t="shared" si="89"/>
        <v>5</v>
      </c>
      <c r="J123" s="3332">
        <f t="shared" si="89"/>
        <v>13</v>
      </c>
      <c r="K123" s="3333">
        <f t="shared" si="89"/>
        <v>18</v>
      </c>
      <c r="L123" s="3334">
        <f t="shared" si="89"/>
        <v>8</v>
      </c>
      <c r="M123" s="3256">
        <f t="shared" si="89"/>
        <v>15</v>
      </c>
      <c r="N123" s="3257">
        <f t="shared" si="89"/>
        <v>23</v>
      </c>
      <c r="O123" s="3256">
        <f t="shared" si="89"/>
        <v>8</v>
      </c>
      <c r="P123" s="3256">
        <f t="shared" si="89"/>
        <v>16</v>
      </c>
      <c r="Q123" s="3257">
        <f t="shared" si="89"/>
        <v>24</v>
      </c>
      <c r="R123" s="3334">
        <f t="shared" si="89"/>
        <v>9</v>
      </c>
      <c r="S123" s="3256">
        <f t="shared" si="89"/>
        <v>18</v>
      </c>
      <c r="T123" s="3257">
        <f t="shared" si="89"/>
        <v>27</v>
      </c>
      <c r="U123" s="3334">
        <f t="shared" si="89"/>
        <v>10</v>
      </c>
      <c r="V123" s="3256">
        <f t="shared" si="89"/>
        <v>23</v>
      </c>
      <c r="W123" s="3257">
        <f t="shared" si="89"/>
        <v>33</v>
      </c>
      <c r="X123" s="3334">
        <f t="shared" si="89"/>
        <v>14</v>
      </c>
      <c r="Y123" s="3256">
        <f t="shared" si="89"/>
        <v>23</v>
      </c>
      <c r="Z123" s="3257">
        <f t="shared" si="89"/>
        <v>37</v>
      </c>
      <c r="AA123" s="3334">
        <f t="shared" si="89"/>
        <v>15</v>
      </c>
      <c r="AB123" s="3256">
        <f t="shared" si="89"/>
        <v>23</v>
      </c>
      <c r="AC123" s="3257">
        <f t="shared" si="89"/>
        <v>38</v>
      </c>
      <c r="AD123" s="3334">
        <f t="shared" si="89"/>
        <v>19</v>
      </c>
      <c r="AE123" s="3256">
        <f t="shared" si="89"/>
        <v>27</v>
      </c>
      <c r="AF123" s="3257">
        <f>SUM(AD123:AE123)</f>
        <v>46</v>
      </c>
      <c r="AG123" s="3334">
        <f t="shared" si="90"/>
        <v>20</v>
      </c>
      <c r="AH123" s="3256">
        <f t="shared" si="90"/>
        <v>29</v>
      </c>
      <c r="AI123" s="3257">
        <f>SUM(AG123:AH123)</f>
        <v>49</v>
      </c>
      <c r="AJ123" s="3334">
        <f t="shared" si="91"/>
        <v>20</v>
      </c>
      <c r="AK123" s="3256">
        <f t="shared" si="91"/>
        <v>32</v>
      </c>
      <c r="AL123" s="3257">
        <f>SUM(AJ123:AK123)</f>
        <v>52</v>
      </c>
      <c r="AM123" s="3334">
        <f t="shared" si="92"/>
        <v>20</v>
      </c>
      <c r="AN123" s="3256">
        <f t="shared" si="92"/>
        <v>35</v>
      </c>
      <c r="AO123" s="3257">
        <f>SUM(AM123:AN123)</f>
        <v>55</v>
      </c>
      <c r="AP123" s="3334">
        <f t="shared" si="93"/>
        <v>19</v>
      </c>
      <c r="AQ123" s="3256">
        <f t="shared" si="93"/>
        <v>34</v>
      </c>
      <c r="AR123" s="3257">
        <f>SUM(AP123:AQ123)</f>
        <v>53</v>
      </c>
      <c r="AS123" s="3334">
        <f t="shared" si="94"/>
        <v>20</v>
      </c>
      <c r="AT123" s="3256">
        <f t="shared" si="94"/>
        <v>33</v>
      </c>
      <c r="AU123" s="3257">
        <f>SUM(AS123:AT123)</f>
        <v>53</v>
      </c>
      <c r="AV123" s="3334">
        <f t="shared" si="95"/>
        <v>20</v>
      </c>
      <c r="AW123" s="3256">
        <f t="shared" si="95"/>
        <v>34</v>
      </c>
      <c r="AX123" s="3257">
        <f>SUM(AV123:AW123)</f>
        <v>54</v>
      </c>
      <c r="AY123" s="3334">
        <f t="shared" ref="AY123:AZ123" si="100">SUM(AY13,AY51,AY89)</f>
        <v>20</v>
      </c>
      <c r="AZ123" s="3256">
        <f t="shared" si="100"/>
        <v>34</v>
      </c>
      <c r="BA123" s="3257">
        <f>SUM(AY123:AZ123)</f>
        <v>54</v>
      </c>
      <c r="BB123" s="3334">
        <f t="shared" ref="BB123:BC123" si="101">SUM(BB13,BB51,BB89)</f>
        <v>20</v>
      </c>
      <c r="BC123" s="3256">
        <f t="shared" si="101"/>
        <v>33</v>
      </c>
      <c r="BD123" s="3257">
        <f>SUM(BB123:BC123)</f>
        <v>53</v>
      </c>
    </row>
    <row r="124" spans="2:56" x14ac:dyDescent="0.3">
      <c r="B124" s="3268" t="s">
        <v>134</v>
      </c>
      <c r="C124" s="3339">
        <f t="shared" ref="C124:V124" si="102">SUM(C121:C123)</f>
        <v>4</v>
      </c>
      <c r="D124" s="3340">
        <f t="shared" si="102"/>
        <v>9</v>
      </c>
      <c r="E124" s="3340">
        <f t="shared" si="102"/>
        <v>13</v>
      </c>
      <c r="F124" s="3339">
        <f t="shared" si="102"/>
        <v>5</v>
      </c>
      <c r="G124" s="3340">
        <f t="shared" si="102"/>
        <v>17</v>
      </c>
      <c r="H124" s="3341">
        <f t="shared" si="102"/>
        <v>22</v>
      </c>
      <c r="I124" s="3339">
        <f t="shared" si="102"/>
        <v>17</v>
      </c>
      <c r="J124" s="3340">
        <f t="shared" si="102"/>
        <v>36</v>
      </c>
      <c r="K124" s="3341">
        <f t="shared" si="102"/>
        <v>53</v>
      </c>
      <c r="L124" s="3342">
        <f t="shared" si="102"/>
        <v>23</v>
      </c>
      <c r="M124" s="3275">
        <f t="shared" si="102"/>
        <v>49</v>
      </c>
      <c r="N124" s="3276">
        <f t="shared" si="102"/>
        <v>72</v>
      </c>
      <c r="O124" s="3275">
        <f t="shared" si="102"/>
        <v>27</v>
      </c>
      <c r="P124" s="3275">
        <f t="shared" si="102"/>
        <v>58</v>
      </c>
      <c r="Q124" s="3276">
        <f t="shared" si="102"/>
        <v>85</v>
      </c>
      <c r="R124" s="3342">
        <f t="shared" si="102"/>
        <v>41</v>
      </c>
      <c r="S124" s="3275">
        <f t="shared" si="102"/>
        <v>65</v>
      </c>
      <c r="T124" s="3276">
        <f t="shared" si="102"/>
        <v>106</v>
      </c>
      <c r="U124" s="3342">
        <f t="shared" si="102"/>
        <v>50</v>
      </c>
      <c r="V124" s="3275">
        <f t="shared" si="102"/>
        <v>74</v>
      </c>
      <c r="W124" s="3276">
        <f>SUM(U124:V124)</f>
        <v>124</v>
      </c>
      <c r="X124" s="3342">
        <f>SUM(X121:X123)</f>
        <v>53</v>
      </c>
      <c r="Y124" s="3275">
        <f>SUM(Y121:Y123)</f>
        <v>82</v>
      </c>
      <c r="Z124" s="3276">
        <f>SUM(X124:Y124)</f>
        <v>135</v>
      </c>
      <c r="AA124" s="3342">
        <f>SUM(AA121:AA123)</f>
        <v>55</v>
      </c>
      <c r="AB124" s="3275">
        <f>SUM(AB121:AB123)</f>
        <v>85</v>
      </c>
      <c r="AC124" s="3276">
        <f>SUM(AA124:AB124)</f>
        <v>140</v>
      </c>
      <c r="AD124" s="3275">
        <f>SUM(AD121:AD123)</f>
        <v>57</v>
      </c>
      <c r="AE124" s="3275">
        <f>SUM(AE121:AE123)</f>
        <v>93</v>
      </c>
      <c r="AF124" s="3276">
        <f>SUM(AD124:AE124)</f>
        <v>150</v>
      </c>
      <c r="AG124" s="3275">
        <f>SUM(AG121:AG123)</f>
        <v>57</v>
      </c>
      <c r="AH124" s="3275">
        <f>SUM(AH121:AH123)</f>
        <v>98</v>
      </c>
      <c r="AI124" s="3276">
        <f>SUM(AG124:AH124)</f>
        <v>155</v>
      </c>
      <c r="AJ124" s="3275">
        <f>SUM(AJ121:AJ123)</f>
        <v>60</v>
      </c>
      <c r="AK124" s="3275">
        <f>SUM(AK121:AK123)</f>
        <v>103</v>
      </c>
      <c r="AL124" s="3276">
        <f>SUM(AJ124:AK124)</f>
        <v>163</v>
      </c>
      <c r="AM124" s="3275">
        <f>SUM(AM121:AM123)</f>
        <v>62</v>
      </c>
      <c r="AN124" s="3275">
        <f>SUM(AN121:AN123)</f>
        <v>108</v>
      </c>
      <c r="AO124" s="3276">
        <f>SUM(AM124:AN124)</f>
        <v>170</v>
      </c>
      <c r="AP124" s="3275">
        <f>SUM(AP121:AP123)</f>
        <v>60</v>
      </c>
      <c r="AQ124" s="3275">
        <f>SUM(AQ121:AQ123)</f>
        <v>106</v>
      </c>
      <c r="AR124" s="3276">
        <f>SUM(AP124:AQ124)</f>
        <v>166</v>
      </c>
      <c r="AS124" s="3275">
        <f>SUM(AS121:AS123)</f>
        <v>61</v>
      </c>
      <c r="AT124" s="3275">
        <f>SUM(AT121:AT123)</f>
        <v>105</v>
      </c>
      <c r="AU124" s="3276">
        <f>SUM(AS124:AT124)</f>
        <v>166</v>
      </c>
      <c r="AV124" s="3275">
        <f>SUM(AV121:AV123)</f>
        <v>64</v>
      </c>
      <c r="AW124" s="3275">
        <f>SUM(AW121:AW123)</f>
        <v>105</v>
      </c>
      <c r="AX124" s="3276">
        <f>SUM(AV124:AW124)</f>
        <v>169</v>
      </c>
      <c r="AY124" s="3275">
        <f>SUM(AY121:AY123)</f>
        <v>64</v>
      </c>
      <c r="AZ124" s="3275">
        <f>SUM(AZ121:AZ123)</f>
        <v>107</v>
      </c>
      <c r="BA124" s="3276">
        <f>SUM(AY124:AZ124)</f>
        <v>171</v>
      </c>
      <c r="BB124" s="3275">
        <f>SUM(BB121:BB123)</f>
        <v>64</v>
      </c>
      <c r="BC124" s="3275">
        <f>SUM(BC121:BC123)</f>
        <v>107</v>
      </c>
      <c r="BD124" s="3276">
        <f>SUM(BB124:BC124)</f>
        <v>171</v>
      </c>
    </row>
    <row r="125" spans="2:56" x14ac:dyDescent="0.3">
      <c r="C125" s="3267"/>
      <c r="D125" s="3267"/>
      <c r="E125" s="3267"/>
      <c r="F125" s="3267"/>
      <c r="G125" s="3267"/>
      <c r="H125" s="3267"/>
      <c r="I125" s="3267"/>
      <c r="J125" s="3267"/>
      <c r="K125" s="3267"/>
      <c r="L125" s="3267"/>
      <c r="M125" s="3267"/>
      <c r="N125" s="3267"/>
      <c r="O125" s="3267"/>
      <c r="P125" s="3267"/>
      <c r="Q125" s="3267"/>
      <c r="R125" s="3267"/>
      <c r="S125" s="3267"/>
      <c r="T125" s="3267"/>
      <c r="U125" s="3267"/>
      <c r="V125" s="3267"/>
      <c r="W125" s="3267"/>
      <c r="X125" s="3267"/>
      <c r="Y125" s="3267"/>
      <c r="Z125" s="3267"/>
      <c r="AA125" s="3267"/>
      <c r="AB125" s="3267"/>
      <c r="AC125" s="3267"/>
      <c r="AD125" s="3267"/>
      <c r="AE125" s="3267"/>
      <c r="AF125" s="3267"/>
      <c r="AG125" s="3267"/>
      <c r="AH125" s="3267"/>
      <c r="AI125" s="3267"/>
      <c r="AJ125" s="3267"/>
      <c r="AK125" s="3267"/>
      <c r="AL125" s="3267"/>
      <c r="AM125" s="3267"/>
      <c r="AN125" s="3267"/>
      <c r="AO125" s="3267"/>
      <c r="AP125" s="3267"/>
      <c r="AQ125" s="3267"/>
      <c r="AR125" s="3267"/>
      <c r="AS125" s="3267"/>
      <c r="AT125" s="3267"/>
      <c r="AU125" s="3267"/>
      <c r="AV125" s="3267"/>
      <c r="AW125" s="3267"/>
      <c r="AX125" s="3267"/>
      <c r="AY125" s="3267"/>
      <c r="AZ125" s="3267"/>
      <c r="BA125" s="3267"/>
      <c r="BB125" s="3267"/>
      <c r="BC125" s="3267"/>
      <c r="BD125" s="3267"/>
    </row>
    <row r="126" spans="2:56" x14ac:dyDescent="0.3">
      <c r="B126" s="3240" t="s">
        <v>59</v>
      </c>
      <c r="C126" s="3327">
        <f t="shared" ref="C126:AE128" si="103">SUM(C16,C54,C92)</f>
        <v>61</v>
      </c>
      <c r="D126" s="3328">
        <f t="shared" si="103"/>
        <v>235</v>
      </c>
      <c r="E126" s="3328">
        <f t="shared" si="103"/>
        <v>296</v>
      </c>
      <c r="F126" s="3327">
        <f t="shared" si="103"/>
        <v>59</v>
      </c>
      <c r="G126" s="3328">
        <f t="shared" si="103"/>
        <v>237</v>
      </c>
      <c r="H126" s="3329">
        <f t="shared" si="103"/>
        <v>296</v>
      </c>
      <c r="I126" s="3327">
        <f t="shared" si="103"/>
        <v>60</v>
      </c>
      <c r="J126" s="3328">
        <f t="shared" si="103"/>
        <v>238</v>
      </c>
      <c r="K126" s="3329">
        <f t="shared" si="103"/>
        <v>298</v>
      </c>
      <c r="L126" s="3330">
        <f t="shared" si="103"/>
        <v>60</v>
      </c>
      <c r="M126" s="3247">
        <f t="shared" si="103"/>
        <v>238</v>
      </c>
      <c r="N126" s="3248">
        <f t="shared" si="103"/>
        <v>298</v>
      </c>
      <c r="O126" s="3247">
        <f t="shared" si="103"/>
        <v>60</v>
      </c>
      <c r="P126" s="3247">
        <f t="shared" si="103"/>
        <v>236</v>
      </c>
      <c r="Q126" s="3248">
        <f t="shared" si="103"/>
        <v>296</v>
      </c>
      <c r="R126" s="3330">
        <f t="shared" si="103"/>
        <v>62</v>
      </c>
      <c r="S126" s="3247">
        <f t="shared" si="103"/>
        <v>231</v>
      </c>
      <c r="T126" s="3248">
        <f t="shared" si="103"/>
        <v>293</v>
      </c>
      <c r="U126" s="3330">
        <f t="shared" si="103"/>
        <v>62</v>
      </c>
      <c r="V126" s="3247">
        <f t="shared" si="103"/>
        <v>232</v>
      </c>
      <c r="W126" s="3248">
        <f t="shared" si="103"/>
        <v>294</v>
      </c>
      <c r="X126" s="3330">
        <f t="shared" si="103"/>
        <v>61</v>
      </c>
      <c r="Y126" s="3247">
        <f t="shared" si="103"/>
        <v>233</v>
      </c>
      <c r="Z126" s="3248">
        <f t="shared" si="103"/>
        <v>294</v>
      </c>
      <c r="AA126" s="3330">
        <f t="shared" si="103"/>
        <v>62</v>
      </c>
      <c r="AB126" s="3247">
        <f t="shared" si="103"/>
        <v>237</v>
      </c>
      <c r="AC126" s="3248">
        <f t="shared" si="103"/>
        <v>299</v>
      </c>
      <c r="AD126" s="3330">
        <f t="shared" si="103"/>
        <v>63</v>
      </c>
      <c r="AE126" s="3247">
        <f t="shared" si="103"/>
        <v>238</v>
      </c>
      <c r="AF126" s="3248">
        <f>SUM(AD126:AE126)</f>
        <v>301</v>
      </c>
      <c r="AG126" s="3330">
        <f t="shared" ref="AG126:AH128" si="104">SUM(AG16,AG54,AG92)</f>
        <v>65</v>
      </c>
      <c r="AH126" s="3247">
        <f t="shared" si="104"/>
        <v>234</v>
      </c>
      <c r="AI126" s="3248">
        <f>SUM(AG126:AH126)</f>
        <v>299</v>
      </c>
      <c r="AJ126" s="3330">
        <f t="shared" ref="AJ126:AK128" si="105">SUM(AJ16,AJ54,AJ92)</f>
        <v>64</v>
      </c>
      <c r="AK126" s="3247">
        <f t="shared" si="105"/>
        <v>232</v>
      </c>
      <c r="AL126" s="3248">
        <f>SUM(AJ126:AK126)</f>
        <v>296</v>
      </c>
      <c r="AM126" s="3330">
        <f t="shared" ref="AM126:AN128" si="106">SUM(AM16,AM54,AM92)</f>
        <v>66</v>
      </c>
      <c r="AN126" s="3247">
        <f t="shared" si="106"/>
        <v>224</v>
      </c>
      <c r="AO126" s="3248">
        <f>SUM(AM126:AN126)</f>
        <v>290</v>
      </c>
      <c r="AP126" s="3330">
        <f t="shared" ref="AP126:AQ128" si="107">SUM(AP16,AP54,AP92)</f>
        <v>65</v>
      </c>
      <c r="AQ126" s="3247">
        <f t="shared" si="107"/>
        <v>225</v>
      </c>
      <c r="AR126" s="3248">
        <f>SUM(AP126:AQ126)</f>
        <v>290</v>
      </c>
      <c r="AS126" s="3330">
        <f t="shared" ref="AS126:AT128" si="108">SUM(AS16,AS54,AS92)</f>
        <v>62</v>
      </c>
      <c r="AT126" s="3247">
        <f t="shared" si="108"/>
        <v>221</v>
      </c>
      <c r="AU126" s="3248">
        <f>SUM(AS126:AT126)</f>
        <v>283</v>
      </c>
      <c r="AV126" s="3330">
        <f t="shared" ref="AV126:AW128" si="109">SUM(AV16,AV54,AV92)</f>
        <v>61</v>
      </c>
      <c r="AW126" s="3247">
        <f t="shared" si="109"/>
        <v>219</v>
      </c>
      <c r="AX126" s="3248">
        <f>SUM(AV126:AW126)</f>
        <v>280</v>
      </c>
      <c r="AY126" s="3330">
        <f t="shared" ref="AY126:AZ126" si="110">SUM(AY16,AY54,AY92)</f>
        <v>58</v>
      </c>
      <c r="AZ126" s="3247">
        <f t="shared" si="110"/>
        <v>215</v>
      </c>
      <c r="BA126" s="3248">
        <f>SUM(AY126:AZ126)</f>
        <v>273</v>
      </c>
      <c r="BB126" s="3330">
        <f t="shared" ref="BB126:BC126" si="111">SUM(BB16,BB54,BB92)</f>
        <v>61</v>
      </c>
      <c r="BC126" s="3247">
        <f t="shared" si="111"/>
        <v>209</v>
      </c>
      <c r="BD126" s="3248">
        <f>SUM(BB126:BC126)</f>
        <v>270</v>
      </c>
    </row>
    <row r="127" spans="2:56" x14ac:dyDescent="0.3">
      <c r="B127" s="3249" t="s">
        <v>64</v>
      </c>
      <c r="C127" s="3331">
        <f t="shared" si="103"/>
        <v>128</v>
      </c>
      <c r="D127" s="3332">
        <f t="shared" si="103"/>
        <v>222</v>
      </c>
      <c r="E127" s="3332">
        <f t="shared" si="103"/>
        <v>350</v>
      </c>
      <c r="F127" s="3331">
        <f t="shared" si="103"/>
        <v>128</v>
      </c>
      <c r="G127" s="3332">
        <f t="shared" si="103"/>
        <v>224</v>
      </c>
      <c r="H127" s="3333">
        <f t="shared" si="103"/>
        <v>352</v>
      </c>
      <c r="I127" s="3331">
        <f t="shared" si="103"/>
        <v>127</v>
      </c>
      <c r="J127" s="3332">
        <f t="shared" si="103"/>
        <v>222</v>
      </c>
      <c r="K127" s="3333">
        <f t="shared" si="103"/>
        <v>349</v>
      </c>
      <c r="L127" s="3334">
        <f t="shared" si="103"/>
        <v>125</v>
      </c>
      <c r="M127" s="3256">
        <f t="shared" si="103"/>
        <v>225</v>
      </c>
      <c r="N127" s="3257">
        <f t="shared" si="103"/>
        <v>350</v>
      </c>
      <c r="O127" s="3256">
        <f t="shared" si="103"/>
        <v>123</v>
      </c>
      <c r="P127" s="3256">
        <f t="shared" si="103"/>
        <v>227</v>
      </c>
      <c r="Q127" s="3257">
        <f t="shared" si="103"/>
        <v>350</v>
      </c>
      <c r="R127" s="3334">
        <f t="shared" si="103"/>
        <v>129</v>
      </c>
      <c r="S127" s="3256">
        <f t="shared" si="103"/>
        <v>235</v>
      </c>
      <c r="T127" s="3257">
        <f t="shared" si="103"/>
        <v>364</v>
      </c>
      <c r="U127" s="3334">
        <f t="shared" si="103"/>
        <v>127</v>
      </c>
      <c r="V127" s="3256">
        <f t="shared" si="103"/>
        <v>225</v>
      </c>
      <c r="W127" s="3257">
        <f t="shared" si="103"/>
        <v>352</v>
      </c>
      <c r="X127" s="3334">
        <f t="shared" si="103"/>
        <v>128</v>
      </c>
      <c r="Y127" s="3256">
        <f t="shared" si="103"/>
        <v>229</v>
      </c>
      <c r="Z127" s="3257">
        <f t="shared" si="103"/>
        <v>357</v>
      </c>
      <c r="AA127" s="3334">
        <f t="shared" si="103"/>
        <v>131</v>
      </c>
      <c r="AB127" s="3256">
        <f t="shared" si="103"/>
        <v>226</v>
      </c>
      <c r="AC127" s="3257">
        <f t="shared" si="103"/>
        <v>357</v>
      </c>
      <c r="AD127" s="3334">
        <f t="shared" si="103"/>
        <v>134</v>
      </c>
      <c r="AE127" s="3256">
        <f t="shared" si="103"/>
        <v>228</v>
      </c>
      <c r="AF127" s="3257">
        <f>SUM(AD127:AE127)</f>
        <v>362</v>
      </c>
      <c r="AG127" s="3334">
        <f t="shared" si="104"/>
        <v>132</v>
      </c>
      <c r="AH127" s="3256">
        <f t="shared" si="104"/>
        <v>218</v>
      </c>
      <c r="AI127" s="3257">
        <f>SUM(AG127:AH127)</f>
        <v>350</v>
      </c>
      <c r="AJ127" s="3334">
        <f t="shared" si="105"/>
        <v>131</v>
      </c>
      <c r="AK127" s="3256">
        <f t="shared" si="105"/>
        <v>214</v>
      </c>
      <c r="AL127" s="3257">
        <f>SUM(AJ127:AK127)</f>
        <v>345</v>
      </c>
      <c r="AM127" s="3334">
        <f t="shared" si="106"/>
        <v>136</v>
      </c>
      <c r="AN127" s="3256">
        <f t="shared" si="106"/>
        <v>213</v>
      </c>
      <c r="AO127" s="3257">
        <f>SUM(AM127:AN127)</f>
        <v>349</v>
      </c>
      <c r="AP127" s="3334">
        <f t="shared" si="107"/>
        <v>138</v>
      </c>
      <c r="AQ127" s="3256">
        <f t="shared" si="107"/>
        <v>216</v>
      </c>
      <c r="AR127" s="3257">
        <f>SUM(AP127:AQ127)</f>
        <v>354</v>
      </c>
      <c r="AS127" s="3334">
        <f t="shared" si="108"/>
        <v>128</v>
      </c>
      <c r="AT127" s="3256">
        <f t="shared" si="108"/>
        <v>208</v>
      </c>
      <c r="AU127" s="3257">
        <f>SUM(AS127:AT127)</f>
        <v>336</v>
      </c>
      <c r="AV127" s="3334">
        <f t="shared" si="109"/>
        <v>127</v>
      </c>
      <c r="AW127" s="3256">
        <f t="shared" si="109"/>
        <v>200</v>
      </c>
      <c r="AX127" s="3257">
        <f>SUM(AV127:AW127)</f>
        <v>327</v>
      </c>
      <c r="AY127" s="3334">
        <f t="shared" ref="AY127:AZ127" si="112">SUM(AY17,AY55,AY93)</f>
        <v>122</v>
      </c>
      <c r="AZ127" s="3256">
        <f t="shared" si="112"/>
        <v>193</v>
      </c>
      <c r="BA127" s="3257">
        <f>SUM(AY127:AZ127)</f>
        <v>315</v>
      </c>
      <c r="BB127" s="3334">
        <f t="shared" ref="BB127:BC127" si="113">SUM(BB17,BB55,BB93)</f>
        <v>124</v>
      </c>
      <c r="BC127" s="3256">
        <f t="shared" si="113"/>
        <v>190</v>
      </c>
      <c r="BD127" s="3257">
        <f>SUM(BB127:BC127)</f>
        <v>314</v>
      </c>
    </row>
    <row r="128" spans="2:56" x14ac:dyDescent="0.3">
      <c r="B128" s="3249" t="s">
        <v>92</v>
      </c>
      <c r="C128" s="3331">
        <f t="shared" si="103"/>
        <v>121</v>
      </c>
      <c r="D128" s="3332">
        <f t="shared" si="103"/>
        <v>141</v>
      </c>
      <c r="E128" s="3332">
        <f t="shared" si="103"/>
        <v>262</v>
      </c>
      <c r="F128" s="3331">
        <f t="shared" si="103"/>
        <v>121</v>
      </c>
      <c r="G128" s="3332">
        <f t="shared" si="103"/>
        <v>137</v>
      </c>
      <c r="H128" s="3333">
        <f t="shared" si="103"/>
        <v>258</v>
      </c>
      <c r="I128" s="3331">
        <f t="shared" si="103"/>
        <v>122</v>
      </c>
      <c r="J128" s="3332">
        <f t="shared" si="103"/>
        <v>136</v>
      </c>
      <c r="K128" s="3333">
        <f t="shared" si="103"/>
        <v>258</v>
      </c>
      <c r="L128" s="3334">
        <f t="shared" si="103"/>
        <v>121</v>
      </c>
      <c r="M128" s="3256">
        <f t="shared" si="103"/>
        <v>129</v>
      </c>
      <c r="N128" s="3257">
        <f t="shared" si="103"/>
        <v>250</v>
      </c>
      <c r="O128" s="3256">
        <f t="shared" si="103"/>
        <v>119</v>
      </c>
      <c r="P128" s="3256">
        <f t="shared" si="103"/>
        <v>127</v>
      </c>
      <c r="Q128" s="3257">
        <f t="shared" si="103"/>
        <v>246</v>
      </c>
      <c r="R128" s="3334">
        <f t="shared" si="103"/>
        <v>117</v>
      </c>
      <c r="S128" s="3256">
        <f t="shared" si="103"/>
        <v>124</v>
      </c>
      <c r="T128" s="3257">
        <f t="shared" si="103"/>
        <v>241</v>
      </c>
      <c r="U128" s="3334">
        <f t="shared" si="103"/>
        <v>120</v>
      </c>
      <c r="V128" s="3256">
        <f t="shared" si="103"/>
        <v>134</v>
      </c>
      <c r="W128" s="3257">
        <f t="shared" si="103"/>
        <v>254</v>
      </c>
      <c r="X128" s="3334">
        <f t="shared" si="103"/>
        <v>117</v>
      </c>
      <c r="Y128" s="3256">
        <f t="shared" si="103"/>
        <v>131</v>
      </c>
      <c r="Z128" s="3257">
        <f t="shared" si="103"/>
        <v>248</v>
      </c>
      <c r="AA128" s="3334">
        <f t="shared" si="103"/>
        <v>122</v>
      </c>
      <c r="AB128" s="3256">
        <f t="shared" si="103"/>
        <v>128</v>
      </c>
      <c r="AC128" s="3257">
        <f t="shared" si="103"/>
        <v>250</v>
      </c>
      <c r="AD128" s="3334">
        <f t="shared" si="103"/>
        <v>122</v>
      </c>
      <c r="AE128" s="3256">
        <f t="shared" si="103"/>
        <v>132</v>
      </c>
      <c r="AF128" s="3257">
        <f>SUM(AD128:AE128)</f>
        <v>254</v>
      </c>
      <c r="AG128" s="3334">
        <f t="shared" si="104"/>
        <v>120</v>
      </c>
      <c r="AH128" s="3256">
        <f t="shared" si="104"/>
        <v>135</v>
      </c>
      <c r="AI128" s="3257">
        <f>SUM(AG128:AH128)</f>
        <v>255</v>
      </c>
      <c r="AJ128" s="3334">
        <f t="shared" si="105"/>
        <v>121</v>
      </c>
      <c r="AK128" s="3256">
        <f t="shared" si="105"/>
        <v>134</v>
      </c>
      <c r="AL128" s="3257">
        <f>SUM(AJ128:AK128)</f>
        <v>255</v>
      </c>
      <c r="AM128" s="3334">
        <f t="shared" si="106"/>
        <v>120</v>
      </c>
      <c r="AN128" s="3256">
        <f t="shared" si="106"/>
        <v>132</v>
      </c>
      <c r="AO128" s="3257">
        <f>SUM(AM128:AN128)</f>
        <v>252</v>
      </c>
      <c r="AP128" s="3334">
        <f t="shared" si="107"/>
        <v>121</v>
      </c>
      <c r="AQ128" s="3256">
        <f t="shared" si="107"/>
        <v>128</v>
      </c>
      <c r="AR128" s="3257">
        <f>SUM(AP128:AQ128)</f>
        <v>249</v>
      </c>
      <c r="AS128" s="3334">
        <f t="shared" si="108"/>
        <v>118</v>
      </c>
      <c r="AT128" s="3256">
        <f t="shared" si="108"/>
        <v>128</v>
      </c>
      <c r="AU128" s="3257">
        <f>SUM(AS128:AT128)</f>
        <v>246</v>
      </c>
      <c r="AV128" s="3334">
        <f t="shared" si="109"/>
        <v>118</v>
      </c>
      <c r="AW128" s="3256">
        <f t="shared" si="109"/>
        <v>124</v>
      </c>
      <c r="AX128" s="3257">
        <f>SUM(AV128:AW128)</f>
        <v>242</v>
      </c>
      <c r="AY128" s="3334">
        <f t="shared" ref="AY128:AZ128" si="114">SUM(AY18,AY56,AY94)</f>
        <v>116</v>
      </c>
      <c r="AZ128" s="3256">
        <f t="shared" si="114"/>
        <v>122</v>
      </c>
      <c r="BA128" s="3257">
        <f>SUM(AY128:AZ128)</f>
        <v>238</v>
      </c>
      <c r="BB128" s="3334">
        <f t="shared" ref="BB128:BC128" si="115">SUM(BB18,BB56,BB94)</f>
        <v>114</v>
      </c>
      <c r="BC128" s="3256">
        <f t="shared" si="115"/>
        <v>118</v>
      </c>
      <c r="BD128" s="3257">
        <f>SUM(BB128:BC128)</f>
        <v>232</v>
      </c>
    </row>
    <row r="129" spans="2:56" x14ac:dyDescent="0.3">
      <c r="B129" s="3277" t="s">
        <v>135</v>
      </c>
      <c r="C129" s="3343">
        <f t="shared" ref="C129:AB129" si="116">SUM(C126:C128)</f>
        <v>310</v>
      </c>
      <c r="D129" s="3344">
        <f t="shared" si="116"/>
        <v>598</v>
      </c>
      <c r="E129" s="3344">
        <f t="shared" si="116"/>
        <v>908</v>
      </c>
      <c r="F129" s="3343">
        <f t="shared" si="116"/>
        <v>308</v>
      </c>
      <c r="G129" s="3344">
        <f t="shared" si="116"/>
        <v>598</v>
      </c>
      <c r="H129" s="3345">
        <f t="shared" si="116"/>
        <v>906</v>
      </c>
      <c r="I129" s="3343">
        <f t="shared" si="116"/>
        <v>309</v>
      </c>
      <c r="J129" s="3344">
        <f t="shared" si="116"/>
        <v>596</v>
      </c>
      <c r="K129" s="3345">
        <f t="shared" si="116"/>
        <v>905</v>
      </c>
      <c r="L129" s="3346">
        <f t="shared" si="116"/>
        <v>306</v>
      </c>
      <c r="M129" s="3284">
        <f t="shared" si="116"/>
        <v>592</v>
      </c>
      <c r="N129" s="3285">
        <f t="shared" si="116"/>
        <v>898</v>
      </c>
      <c r="O129" s="3284">
        <f t="shared" si="116"/>
        <v>302</v>
      </c>
      <c r="P129" s="3284">
        <f t="shared" si="116"/>
        <v>590</v>
      </c>
      <c r="Q129" s="3285">
        <f t="shared" si="116"/>
        <v>892</v>
      </c>
      <c r="R129" s="3346">
        <f t="shared" si="116"/>
        <v>308</v>
      </c>
      <c r="S129" s="3284">
        <f t="shared" si="116"/>
        <v>590</v>
      </c>
      <c r="T129" s="3285">
        <f t="shared" si="116"/>
        <v>898</v>
      </c>
      <c r="U129" s="3346">
        <f t="shared" si="116"/>
        <v>309</v>
      </c>
      <c r="V129" s="3284">
        <f t="shared" si="116"/>
        <v>591</v>
      </c>
      <c r="W129" s="3285">
        <f t="shared" si="116"/>
        <v>900</v>
      </c>
      <c r="X129" s="3346">
        <f t="shared" si="116"/>
        <v>306</v>
      </c>
      <c r="Y129" s="3284">
        <f t="shared" si="116"/>
        <v>593</v>
      </c>
      <c r="Z129" s="3285">
        <f t="shared" si="116"/>
        <v>899</v>
      </c>
      <c r="AA129" s="3346">
        <f t="shared" si="116"/>
        <v>315</v>
      </c>
      <c r="AB129" s="3284">
        <f t="shared" si="116"/>
        <v>591</v>
      </c>
      <c r="AC129" s="3285">
        <f>SUM(AA129:AB129)</f>
        <v>906</v>
      </c>
      <c r="AD129" s="3284">
        <f>SUM(AD126:AD128)</f>
        <v>319</v>
      </c>
      <c r="AE129" s="3284">
        <f>SUM(AE126:AE128)</f>
        <v>598</v>
      </c>
      <c r="AF129" s="3285">
        <f>SUM(AD129:AE129)</f>
        <v>917</v>
      </c>
      <c r="AG129" s="3284">
        <f>SUM(AG126:AG128)</f>
        <v>317</v>
      </c>
      <c r="AH129" s="3284">
        <f>SUM(AH126:AH128)</f>
        <v>587</v>
      </c>
      <c r="AI129" s="3285">
        <f>SUM(AG129:AH129)</f>
        <v>904</v>
      </c>
      <c r="AJ129" s="3284">
        <f>SUM(AJ126:AJ128)</f>
        <v>316</v>
      </c>
      <c r="AK129" s="3284">
        <f>SUM(AK126:AK128)</f>
        <v>580</v>
      </c>
      <c r="AL129" s="3285">
        <f>SUM(AJ129:AK129)</f>
        <v>896</v>
      </c>
      <c r="AM129" s="3284">
        <f>SUM(AM126:AM128)</f>
        <v>322</v>
      </c>
      <c r="AN129" s="3284">
        <f>SUM(AN126:AN128)</f>
        <v>569</v>
      </c>
      <c r="AO129" s="3285">
        <f>SUM(AM129:AN129)</f>
        <v>891</v>
      </c>
      <c r="AP129" s="3284">
        <f>SUM(AP126:AP128)</f>
        <v>324</v>
      </c>
      <c r="AQ129" s="3284">
        <f>SUM(AQ126:AQ128)</f>
        <v>569</v>
      </c>
      <c r="AR129" s="3285">
        <f>SUM(AP129:AQ129)</f>
        <v>893</v>
      </c>
      <c r="AS129" s="3284">
        <f>SUM(AS126:AS128)</f>
        <v>308</v>
      </c>
      <c r="AT129" s="3284">
        <f>SUM(AT126:AT128)</f>
        <v>557</v>
      </c>
      <c r="AU129" s="3285">
        <f>SUM(AS129:AT129)</f>
        <v>865</v>
      </c>
      <c r="AV129" s="3284">
        <f>SUM(AV126:AV128)</f>
        <v>306</v>
      </c>
      <c r="AW129" s="3284">
        <f>SUM(AW126:AW128)</f>
        <v>543</v>
      </c>
      <c r="AX129" s="3285">
        <f>SUM(AV129:AW129)</f>
        <v>849</v>
      </c>
      <c r="AY129" s="3284">
        <f>SUM(AY126:AY128)</f>
        <v>296</v>
      </c>
      <c r="AZ129" s="3284">
        <f>SUM(AZ126:AZ128)</f>
        <v>530</v>
      </c>
      <c r="BA129" s="3285">
        <f>SUM(AY129:AZ129)</f>
        <v>826</v>
      </c>
      <c r="BB129" s="3284">
        <f>SUM(BB126:BB128)</f>
        <v>299</v>
      </c>
      <c r="BC129" s="3284">
        <f>SUM(BC126:BC128)</f>
        <v>517</v>
      </c>
      <c r="BD129" s="3285">
        <f>SUM(BB129:BC129)</f>
        <v>816</v>
      </c>
    </row>
    <row r="130" spans="2:56" x14ac:dyDescent="0.3">
      <c r="C130" s="3267"/>
      <c r="D130" s="3267"/>
      <c r="E130" s="3267"/>
      <c r="F130" s="3267"/>
      <c r="G130" s="3267"/>
      <c r="H130" s="3267"/>
      <c r="I130" s="3267"/>
      <c r="J130" s="3267"/>
      <c r="K130" s="3267"/>
      <c r="L130" s="3267"/>
      <c r="M130" s="3267"/>
      <c r="N130" s="3267"/>
      <c r="O130" s="3267"/>
      <c r="P130" s="3267"/>
      <c r="Q130" s="3267"/>
      <c r="R130" s="3267"/>
      <c r="S130" s="3267"/>
      <c r="T130" s="3267"/>
      <c r="U130" s="3267"/>
      <c r="V130" s="3267"/>
      <c r="W130" s="3267"/>
      <c r="X130" s="3267"/>
      <c r="Y130" s="3267"/>
      <c r="Z130" s="3267"/>
      <c r="AA130" s="3267"/>
      <c r="AB130" s="3267"/>
      <c r="AC130" s="3267"/>
      <c r="AD130" s="3267"/>
      <c r="AE130" s="3267"/>
      <c r="AF130" s="3267"/>
      <c r="AG130" s="3267"/>
      <c r="AH130" s="3267"/>
      <c r="AI130" s="3267"/>
      <c r="AJ130" s="3267"/>
      <c r="AK130" s="3267"/>
      <c r="AL130" s="3267"/>
      <c r="AM130" s="3267"/>
      <c r="AN130" s="3267"/>
      <c r="AO130" s="3267"/>
      <c r="AP130" s="3267"/>
      <c r="AQ130" s="3267"/>
      <c r="AR130" s="3267"/>
      <c r="AS130" s="3267"/>
      <c r="AT130" s="3267"/>
      <c r="AU130" s="3267"/>
      <c r="AV130" s="3267"/>
      <c r="AW130" s="3267"/>
      <c r="AX130" s="3267"/>
      <c r="AY130" s="3267"/>
      <c r="AZ130" s="3267"/>
      <c r="BA130" s="3267"/>
      <c r="BB130" s="3267"/>
      <c r="BC130" s="3267"/>
      <c r="BD130" s="3267"/>
    </row>
    <row r="131" spans="2:56" x14ac:dyDescent="0.3">
      <c r="B131" s="3240" t="s">
        <v>59</v>
      </c>
      <c r="C131" s="3330"/>
      <c r="D131" s="3247"/>
      <c r="E131" s="3248"/>
      <c r="F131" s="3330"/>
      <c r="G131" s="3247"/>
      <c r="H131" s="3248"/>
      <c r="I131" s="3330"/>
      <c r="J131" s="3247"/>
      <c r="K131" s="3248"/>
      <c r="L131" s="3330"/>
      <c r="M131" s="3247"/>
      <c r="N131" s="3248"/>
      <c r="O131" s="3330">
        <f t="shared" ref="O131:AE133" si="117">SUM(O21)</f>
        <v>0</v>
      </c>
      <c r="P131" s="3247">
        <f t="shared" si="117"/>
        <v>0</v>
      </c>
      <c r="Q131" s="3248">
        <f t="shared" si="117"/>
        <v>0</v>
      </c>
      <c r="R131" s="3330">
        <f t="shared" si="117"/>
        <v>0</v>
      </c>
      <c r="S131" s="3247">
        <f t="shared" si="117"/>
        <v>3</v>
      </c>
      <c r="T131" s="3248">
        <f t="shared" si="117"/>
        <v>3</v>
      </c>
      <c r="U131" s="3330">
        <f t="shared" si="117"/>
        <v>0</v>
      </c>
      <c r="V131" s="3247">
        <f t="shared" si="117"/>
        <v>4</v>
      </c>
      <c r="W131" s="3248">
        <f t="shared" si="117"/>
        <v>4</v>
      </c>
      <c r="X131" s="3330">
        <f t="shared" si="117"/>
        <v>1</v>
      </c>
      <c r="Y131" s="3247">
        <f t="shared" si="117"/>
        <v>6</v>
      </c>
      <c r="Z131" s="3248">
        <f t="shared" si="117"/>
        <v>7</v>
      </c>
      <c r="AA131" s="3330">
        <f t="shared" si="117"/>
        <v>1</v>
      </c>
      <c r="AB131" s="3247">
        <f t="shared" si="117"/>
        <v>7</v>
      </c>
      <c r="AC131" s="3248">
        <f t="shared" si="117"/>
        <v>8</v>
      </c>
      <c r="AD131" s="3330">
        <f t="shared" si="117"/>
        <v>1</v>
      </c>
      <c r="AE131" s="3247">
        <f t="shared" si="117"/>
        <v>9</v>
      </c>
      <c r="AF131" s="3248">
        <f>SUM(AD131:AE131)</f>
        <v>10</v>
      </c>
      <c r="AG131" s="3330">
        <f t="shared" ref="AG131:AH133" si="118">SUM(AG21)</f>
        <v>2</v>
      </c>
      <c r="AH131" s="3247">
        <f t="shared" si="118"/>
        <v>13</v>
      </c>
      <c r="AI131" s="3248">
        <f>SUM(AG131:AH131)</f>
        <v>15</v>
      </c>
      <c r="AJ131" s="3330">
        <f t="shared" ref="AJ131:AK133" si="119">SUM(AJ21)</f>
        <v>3</v>
      </c>
      <c r="AK131" s="3247">
        <f t="shared" si="119"/>
        <v>13</v>
      </c>
      <c r="AL131" s="3248">
        <f>SUM(AJ131:AK131)</f>
        <v>16</v>
      </c>
      <c r="AM131" s="3330">
        <f>SUM(AM21)</f>
        <v>3</v>
      </c>
      <c r="AN131" s="3247">
        <f>SUM(AN21)</f>
        <v>16</v>
      </c>
      <c r="AO131" s="3248">
        <f>SUM(AM131:AN131)</f>
        <v>19</v>
      </c>
      <c r="AP131" s="3330">
        <f>SUM(AP21)</f>
        <v>4</v>
      </c>
      <c r="AQ131" s="3247">
        <f>SUM(AQ21)</f>
        <v>17</v>
      </c>
      <c r="AR131" s="3248">
        <f>SUM(AP131:AQ131)</f>
        <v>21</v>
      </c>
      <c r="AS131" s="3330">
        <f>SUM(AS21)</f>
        <v>4</v>
      </c>
      <c r="AT131" s="3247">
        <f>SUM(AT21)</f>
        <v>19</v>
      </c>
      <c r="AU131" s="3248">
        <f>SUM(AS131:AT131)</f>
        <v>23</v>
      </c>
      <c r="AV131" s="3330">
        <f>SUM(AV21)</f>
        <v>4</v>
      </c>
      <c r="AW131" s="3247">
        <f>SUM(AW21)</f>
        <v>18</v>
      </c>
      <c r="AX131" s="3248">
        <f>SUM(AV131:AW131)</f>
        <v>22</v>
      </c>
      <c r="AY131" s="3330">
        <f>SUM(AY21)</f>
        <v>4</v>
      </c>
      <c r="AZ131" s="3247">
        <f>SUM(AZ21)</f>
        <v>18</v>
      </c>
      <c r="BA131" s="3248">
        <f>SUM(AY131:AZ131)</f>
        <v>22</v>
      </c>
      <c r="BB131" s="3330">
        <f>SUM(BB21)</f>
        <v>4</v>
      </c>
      <c r="BC131" s="3247">
        <f>SUM(BC21)</f>
        <v>15</v>
      </c>
      <c r="BD131" s="3248">
        <f>SUM(BB131:BC131)</f>
        <v>19</v>
      </c>
    </row>
    <row r="132" spans="2:56" x14ac:dyDescent="0.3">
      <c r="B132" s="3249" t="s">
        <v>64</v>
      </c>
      <c r="C132" s="3334"/>
      <c r="D132" s="3256"/>
      <c r="E132" s="3257"/>
      <c r="F132" s="3334"/>
      <c r="G132" s="3256"/>
      <c r="H132" s="3257"/>
      <c r="I132" s="3334"/>
      <c r="J132" s="3256"/>
      <c r="K132" s="3257"/>
      <c r="L132" s="3334"/>
      <c r="M132" s="3256"/>
      <c r="N132" s="3257"/>
      <c r="O132" s="3334">
        <f t="shared" si="117"/>
        <v>0</v>
      </c>
      <c r="P132" s="3256">
        <f t="shared" si="117"/>
        <v>0</v>
      </c>
      <c r="Q132" s="3257">
        <f t="shared" si="117"/>
        <v>0</v>
      </c>
      <c r="R132" s="3334">
        <f t="shared" si="117"/>
        <v>1</v>
      </c>
      <c r="S132" s="3256">
        <f t="shared" si="117"/>
        <v>1</v>
      </c>
      <c r="T132" s="3257">
        <f t="shared" si="117"/>
        <v>2</v>
      </c>
      <c r="U132" s="3334">
        <f t="shared" si="117"/>
        <v>1</v>
      </c>
      <c r="V132" s="3256">
        <f t="shared" si="117"/>
        <v>2</v>
      </c>
      <c r="W132" s="3257">
        <f t="shared" si="117"/>
        <v>3</v>
      </c>
      <c r="X132" s="3334">
        <f t="shared" si="117"/>
        <v>3</v>
      </c>
      <c r="Y132" s="3256">
        <f t="shared" si="117"/>
        <v>3</v>
      </c>
      <c r="Z132" s="3257">
        <f t="shared" si="117"/>
        <v>6</v>
      </c>
      <c r="AA132" s="3334">
        <f t="shared" si="117"/>
        <v>3</v>
      </c>
      <c r="AB132" s="3256">
        <f t="shared" si="117"/>
        <v>4</v>
      </c>
      <c r="AC132" s="3257">
        <f t="shared" si="117"/>
        <v>7</v>
      </c>
      <c r="AD132" s="3334">
        <f t="shared" si="117"/>
        <v>4</v>
      </c>
      <c r="AE132" s="3256">
        <f t="shared" si="117"/>
        <v>9</v>
      </c>
      <c r="AF132" s="3257">
        <f>SUM(AD132:AE132)</f>
        <v>13</v>
      </c>
      <c r="AG132" s="3334">
        <f t="shared" si="118"/>
        <v>5</v>
      </c>
      <c r="AH132" s="3256">
        <f t="shared" si="118"/>
        <v>8</v>
      </c>
      <c r="AI132" s="3257">
        <f>SUM(AG132:AH132)</f>
        <v>13</v>
      </c>
      <c r="AJ132" s="3334">
        <f t="shared" si="119"/>
        <v>9</v>
      </c>
      <c r="AK132" s="3256">
        <f t="shared" si="119"/>
        <v>12</v>
      </c>
      <c r="AL132" s="3257">
        <f>SUM(AJ132:AK132)</f>
        <v>21</v>
      </c>
      <c r="AM132" s="3334">
        <f>SUM(AM22,AM60)</f>
        <v>11</v>
      </c>
      <c r="AN132" s="3256">
        <f>SUM(AN22,AN60)</f>
        <v>18</v>
      </c>
      <c r="AO132" s="3257">
        <f>SUM(AM132:AN132)</f>
        <v>29</v>
      </c>
      <c r="AP132" s="3334">
        <f>SUM(AP22,AP60)</f>
        <v>12</v>
      </c>
      <c r="AQ132" s="3256">
        <f>SUM(AQ22,AQ60)</f>
        <v>20</v>
      </c>
      <c r="AR132" s="3257">
        <f>SUM(AP132:AQ132)</f>
        <v>32</v>
      </c>
      <c r="AS132" s="3334">
        <f>SUM(AS22,AS60)</f>
        <v>13</v>
      </c>
      <c r="AT132" s="3256">
        <f>SUM(AT22,AT60)</f>
        <v>17</v>
      </c>
      <c r="AU132" s="3257">
        <f>SUM(AS132:AT132)</f>
        <v>30</v>
      </c>
      <c r="AV132" s="3334">
        <f>SUM(AV22,AV60)</f>
        <v>12</v>
      </c>
      <c r="AW132" s="3256">
        <f>SUM(AW22,AW60)</f>
        <v>19</v>
      </c>
      <c r="AX132" s="3257">
        <f>SUM(AV132:AW132)</f>
        <v>31</v>
      </c>
      <c r="AY132" s="3334">
        <f>SUM(AY22,AY60)</f>
        <v>13</v>
      </c>
      <c r="AZ132" s="3256">
        <f>SUM(AZ22,AZ60)</f>
        <v>18</v>
      </c>
      <c r="BA132" s="3257">
        <f>SUM(AY132:AZ132)</f>
        <v>31</v>
      </c>
      <c r="BB132" s="3334">
        <f>SUM(BB22,BB60)</f>
        <v>14</v>
      </c>
      <c r="BC132" s="3256">
        <f>SUM(BC22,BC60)</f>
        <v>16</v>
      </c>
      <c r="BD132" s="3257">
        <f>SUM(BB132:BC132)</f>
        <v>30</v>
      </c>
    </row>
    <row r="133" spans="2:56" x14ac:dyDescent="0.3">
      <c r="B133" s="3249" t="s">
        <v>92</v>
      </c>
      <c r="C133" s="3334"/>
      <c r="D133" s="3256"/>
      <c r="E133" s="3257"/>
      <c r="F133" s="3334"/>
      <c r="G133" s="3256"/>
      <c r="H133" s="3257"/>
      <c r="I133" s="3334"/>
      <c r="J133" s="3256"/>
      <c r="K133" s="3257"/>
      <c r="L133" s="3334"/>
      <c r="M133" s="3256"/>
      <c r="N133" s="3257"/>
      <c r="O133" s="3334">
        <f t="shared" si="117"/>
        <v>0</v>
      </c>
      <c r="P133" s="3256">
        <f t="shared" si="117"/>
        <v>1</v>
      </c>
      <c r="Q133" s="3257">
        <f t="shared" si="117"/>
        <v>1</v>
      </c>
      <c r="R133" s="3334">
        <f t="shared" si="117"/>
        <v>1</v>
      </c>
      <c r="S133" s="3256">
        <f t="shared" si="117"/>
        <v>4</v>
      </c>
      <c r="T133" s="3257">
        <f t="shared" si="117"/>
        <v>5</v>
      </c>
      <c r="U133" s="3334">
        <f t="shared" si="117"/>
        <v>1</v>
      </c>
      <c r="V133" s="3256">
        <f t="shared" si="117"/>
        <v>5</v>
      </c>
      <c r="W133" s="3257">
        <f t="shared" si="117"/>
        <v>6</v>
      </c>
      <c r="X133" s="3334">
        <f t="shared" si="117"/>
        <v>2</v>
      </c>
      <c r="Y133" s="3256">
        <f t="shared" si="117"/>
        <v>7</v>
      </c>
      <c r="Z133" s="3257">
        <f t="shared" si="117"/>
        <v>9</v>
      </c>
      <c r="AA133" s="3334">
        <f t="shared" si="117"/>
        <v>3</v>
      </c>
      <c r="AB133" s="3256">
        <f t="shared" si="117"/>
        <v>10</v>
      </c>
      <c r="AC133" s="3257">
        <f t="shared" si="117"/>
        <v>13</v>
      </c>
      <c r="AD133" s="3334">
        <f t="shared" si="117"/>
        <v>3</v>
      </c>
      <c r="AE133" s="3256">
        <f t="shared" si="117"/>
        <v>10</v>
      </c>
      <c r="AF133" s="3257">
        <f>SUM(AD133:AE133)</f>
        <v>13</v>
      </c>
      <c r="AG133" s="3334">
        <f t="shared" si="118"/>
        <v>5</v>
      </c>
      <c r="AH133" s="3256">
        <f t="shared" si="118"/>
        <v>9</v>
      </c>
      <c r="AI133" s="3257">
        <f>SUM(AG133:AH133)</f>
        <v>14</v>
      </c>
      <c r="AJ133" s="3334">
        <f t="shared" si="119"/>
        <v>6</v>
      </c>
      <c r="AK133" s="3256">
        <f t="shared" si="119"/>
        <v>12</v>
      </c>
      <c r="AL133" s="3257">
        <f>SUM(AJ133:AK133)</f>
        <v>18</v>
      </c>
      <c r="AM133" s="3334">
        <f>SUM(AM23)</f>
        <v>7</v>
      </c>
      <c r="AN133" s="3256">
        <f>SUM(AN23)</f>
        <v>13</v>
      </c>
      <c r="AO133" s="3257">
        <f>SUM(AM133:AN133)</f>
        <v>20</v>
      </c>
      <c r="AP133" s="3334">
        <f>SUM(AP23)</f>
        <v>7</v>
      </c>
      <c r="AQ133" s="3256">
        <f>SUM(AQ23)</f>
        <v>13</v>
      </c>
      <c r="AR133" s="3257">
        <f>SUM(AP133:AQ133)</f>
        <v>20</v>
      </c>
      <c r="AS133" s="3334">
        <f>SUM(AS23)</f>
        <v>6</v>
      </c>
      <c r="AT133" s="3256">
        <f>SUM(AT23)</f>
        <v>15</v>
      </c>
      <c r="AU133" s="3257">
        <f>SUM(AS133:AT133)</f>
        <v>21</v>
      </c>
      <c r="AV133" s="3334">
        <f>SUM(AV23)</f>
        <v>8</v>
      </c>
      <c r="AW133" s="3256">
        <f>SUM(AW23)</f>
        <v>14</v>
      </c>
      <c r="AX133" s="3257">
        <f>SUM(AV133:AW133)</f>
        <v>22</v>
      </c>
      <c r="AY133" s="3334">
        <f>SUM(AY23)</f>
        <v>7</v>
      </c>
      <c r="AZ133" s="3256">
        <f>SUM(AZ23)</f>
        <v>14</v>
      </c>
      <c r="BA133" s="3257">
        <f>SUM(AY133:AZ133)</f>
        <v>21</v>
      </c>
      <c r="BB133" s="3334">
        <f>SUM(BB23)</f>
        <v>7</v>
      </c>
      <c r="BC133" s="3256">
        <f>SUM(BC23)</f>
        <v>14</v>
      </c>
      <c r="BD133" s="3257">
        <f>SUM(BB133:BC133)</f>
        <v>21</v>
      </c>
    </row>
    <row r="134" spans="2:56" x14ac:dyDescent="0.3">
      <c r="B134" s="3286" t="s">
        <v>136</v>
      </c>
      <c r="C134" s="3356"/>
      <c r="D134" s="3293"/>
      <c r="E134" s="3294"/>
      <c r="F134" s="3356"/>
      <c r="G134" s="3293"/>
      <c r="H134" s="3294"/>
      <c r="I134" s="3356"/>
      <c r="J134" s="3293"/>
      <c r="K134" s="3294"/>
      <c r="L134" s="3356"/>
      <c r="M134" s="3293"/>
      <c r="N134" s="3294"/>
      <c r="O134" s="3356">
        <f t="shared" ref="O134:Z134" si="120">SUM(O131:O133)</f>
        <v>0</v>
      </c>
      <c r="P134" s="3293">
        <f t="shared" si="120"/>
        <v>1</v>
      </c>
      <c r="Q134" s="3294">
        <f t="shared" si="120"/>
        <v>1</v>
      </c>
      <c r="R134" s="3356">
        <f t="shared" si="120"/>
        <v>2</v>
      </c>
      <c r="S134" s="3293">
        <f t="shared" si="120"/>
        <v>8</v>
      </c>
      <c r="T134" s="3294">
        <f t="shared" si="120"/>
        <v>10</v>
      </c>
      <c r="U134" s="3356">
        <f t="shared" si="120"/>
        <v>2</v>
      </c>
      <c r="V134" s="3293">
        <f t="shared" si="120"/>
        <v>11</v>
      </c>
      <c r="W134" s="3294">
        <f t="shared" si="120"/>
        <v>13</v>
      </c>
      <c r="X134" s="3356">
        <f t="shared" si="120"/>
        <v>6</v>
      </c>
      <c r="Y134" s="3293">
        <f t="shared" si="120"/>
        <v>16</v>
      </c>
      <c r="Z134" s="3294">
        <f t="shared" si="120"/>
        <v>22</v>
      </c>
      <c r="AA134" s="3356">
        <f>SUM(AA131:AA133)</f>
        <v>7</v>
      </c>
      <c r="AB134" s="3293">
        <f>SUM(AB131:AB133)</f>
        <v>21</v>
      </c>
      <c r="AC134" s="3294">
        <f>SUM(AA134:AB134)</f>
        <v>28</v>
      </c>
      <c r="AD134" s="3293">
        <f>SUM(AD131:AD133)</f>
        <v>8</v>
      </c>
      <c r="AE134" s="3293">
        <f>SUM(AE131:AE133)</f>
        <v>28</v>
      </c>
      <c r="AF134" s="3294">
        <f>SUM(AD134:AE134)</f>
        <v>36</v>
      </c>
      <c r="AG134" s="3293">
        <f>SUM(AG131:AG133)</f>
        <v>12</v>
      </c>
      <c r="AH134" s="3293">
        <f>SUM(AH131:AH133)</f>
        <v>30</v>
      </c>
      <c r="AI134" s="3294">
        <f>SUM(AG134:AH134)</f>
        <v>42</v>
      </c>
      <c r="AJ134" s="3293">
        <f>SUM(AJ131:AJ133)</f>
        <v>18</v>
      </c>
      <c r="AK134" s="3293">
        <f>SUM(AK131:AK133)</f>
        <v>37</v>
      </c>
      <c r="AL134" s="3294">
        <f>SUM(AJ134:AK134)</f>
        <v>55</v>
      </c>
      <c r="AM134" s="3293">
        <f>SUM(AM131:AM133)</f>
        <v>21</v>
      </c>
      <c r="AN134" s="3293">
        <f>SUM(AN131:AN133)</f>
        <v>47</v>
      </c>
      <c r="AO134" s="3294">
        <f>SUM(AM134:AN134)</f>
        <v>68</v>
      </c>
      <c r="AP134" s="3293">
        <f>SUM(AP131:AP133)</f>
        <v>23</v>
      </c>
      <c r="AQ134" s="3293">
        <f>SUM(AQ131:AQ133)</f>
        <v>50</v>
      </c>
      <c r="AR134" s="3294">
        <f>SUM(AP134:AQ134)</f>
        <v>73</v>
      </c>
      <c r="AS134" s="3293">
        <f>SUM(AS131:AS133)</f>
        <v>23</v>
      </c>
      <c r="AT134" s="3293">
        <f>SUM(AT131:AT133)</f>
        <v>51</v>
      </c>
      <c r="AU134" s="3294">
        <f>SUM(AS134:AT134)</f>
        <v>74</v>
      </c>
      <c r="AV134" s="3293">
        <f>SUM(AV131:AV133)</f>
        <v>24</v>
      </c>
      <c r="AW134" s="3293">
        <f>SUM(AW131:AW133)</f>
        <v>51</v>
      </c>
      <c r="AX134" s="3294">
        <f>SUM(AV134:AW134)</f>
        <v>75</v>
      </c>
      <c r="AY134" s="3293">
        <f>SUM(AY131:AY133)</f>
        <v>24</v>
      </c>
      <c r="AZ134" s="3293">
        <f>SUM(AZ131:AZ133)</f>
        <v>50</v>
      </c>
      <c r="BA134" s="3294">
        <f>SUM(AY134:AZ134)</f>
        <v>74</v>
      </c>
      <c r="BB134" s="3293">
        <f>SUM(BB131:BB133)</f>
        <v>25</v>
      </c>
      <c r="BC134" s="3293">
        <f>SUM(BC131:BC133)</f>
        <v>45</v>
      </c>
      <c r="BD134" s="3294">
        <f>SUM(BB134:BC134)</f>
        <v>70</v>
      </c>
    </row>
    <row r="135" spans="2:56" x14ac:dyDescent="0.3">
      <c r="B135" s="3295"/>
      <c r="C135" s="3296"/>
      <c r="D135" s="3296"/>
      <c r="E135" s="3296"/>
      <c r="F135" s="3296"/>
      <c r="G135" s="3296"/>
      <c r="H135" s="3296"/>
      <c r="I135" s="3296"/>
      <c r="J135" s="3296"/>
      <c r="K135" s="3296"/>
      <c r="L135" s="3296"/>
      <c r="M135" s="3296"/>
      <c r="N135" s="3296"/>
      <c r="O135" s="3296"/>
      <c r="P135" s="3296"/>
      <c r="Q135" s="3296"/>
      <c r="R135" s="3296"/>
      <c r="S135" s="3296"/>
      <c r="T135" s="3296"/>
      <c r="U135" s="3296"/>
      <c r="V135" s="3296"/>
      <c r="W135" s="3296"/>
      <c r="X135" s="3296"/>
      <c r="Y135" s="3296"/>
      <c r="Z135" s="3296"/>
      <c r="AA135" s="3296"/>
      <c r="AB135" s="3296"/>
      <c r="AC135" s="3296"/>
      <c r="AD135" s="3296"/>
      <c r="AE135" s="3296"/>
      <c r="AF135" s="3296"/>
      <c r="AG135" s="3296"/>
      <c r="AH135" s="3296"/>
      <c r="AI135" s="3296"/>
      <c r="AJ135" s="3296"/>
      <c r="AK135" s="3296"/>
      <c r="AL135" s="3296"/>
      <c r="AM135" s="3296"/>
      <c r="AN135" s="3296"/>
      <c r="AO135" s="3296"/>
      <c r="AP135" s="3296"/>
      <c r="AQ135" s="3296"/>
      <c r="AR135" s="3296"/>
      <c r="AS135" s="3296"/>
      <c r="AT135" s="3296"/>
      <c r="AU135" s="3296"/>
      <c r="AV135" s="3296"/>
      <c r="AW135" s="3296"/>
      <c r="AX135" s="3296"/>
      <c r="AY135" s="3296"/>
      <c r="AZ135" s="3296"/>
      <c r="BA135" s="3296"/>
      <c r="BB135" s="3296"/>
      <c r="BC135" s="3296"/>
      <c r="BD135" s="3296"/>
    </row>
    <row r="136" spans="2:56" x14ac:dyDescent="0.3">
      <c r="B136" s="3240" t="s">
        <v>64</v>
      </c>
      <c r="C136" s="3327">
        <f t="shared" ref="C136:AE139" si="121">SUM(C26,C64,C97)</f>
        <v>176</v>
      </c>
      <c r="D136" s="3328">
        <f t="shared" si="121"/>
        <v>211</v>
      </c>
      <c r="E136" s="3328">
        <f t="shared" si="121"/>
        <v>387</v>
      </c>
      <c r="F136" s="3327">
        <f t="shared" si="121"/>
        <v>181</v>
      </c>
      <c r="G136" s="3328">
        <f t="shared" si="121"/>
        <v>205</v>
      </c>
      <c r="H136" s="3329">
        <f t="shared" si="121"/>
        <v>386</v>
      </c>
      <c r="I136" s="3327">
        <f t="shared" si="121"/>
        <v>175</v>
      </c>
      <c r="J136" s="3328">
        <f t="shared" si="121"/>
        <v>193</v>
      </c>
      <c r="K136" s="3329">
        <f t="shared" si="121"/>
        <v>368</v>
      </c>
      <c r="L136" s="3330">
        <f t="shared" si="121"/>
        <v>178</v>
      </c>
      <c r="M136" s="3247">
        <f t="shared" si="121"/>
        <v>198</v>
      </c>
      <c r="N136" s="3248">
        <f t="shared" si="121"/>
        <v>376</v>
      </c>
      <c r="O136" s="3247">
        <f t="shared" si="121"/>
        <v>179</v>
      </c>
      <c r="P136" s="3247">
        <f t="shared" si="121"/>
        <v>204</v>
      </c>
      <c r="Q136" s="3248">
        <f t="shared" si="121"/>
        <v>383</v>
      </c>
      <c r="R136" s="3330">
        <f t="shared" si="121"/>
        <v>182</v>
      </c>
      <c r="S136" s="3247">
        <f t="shared" si="121"/>
        <v>208</v>
      </c>
      <c r="T136" s="3248">
        <f t="shared" si="121"/>
        <v>390</v>
      </c>
      <c r="U136" s="3330">
        <f t="shared" si="121"/>
        <v>189</v>
      </c>
      <c r="V136" s="3247">
        <f t="shared" si="121"/>
        <v>214</v>
      </c>
      <c r="W136" s="3248">
        <f t="shared" si="121"/>
        <v>403</v>
      </c>
      <c r="X136" s="3330">
        <f t="shared" si="121"/>
        <v>191</v>
      </c>
      <c r="Y136" s="3247">
        <f t="shared" si="121"/>
        <v>212</v>
      </c>
      <c r="Z136" s="3248">
        <f t="shared" si="121"/>
        <v>403</v>
      </c>
      <c r="AA136" s="3330">
        <f t="shared" si="121"/>
        <v>186</v>
      </c>
      <c r="AB136" s="3247">
        <f t="shared" si="121"/>
        <v>213</v>
      </c>
      <c r="AC136" s="3248">
        <f t="shared" si="121"/>
        <v>399</v>
      </c>
      <c r="AD136" s="3330">
        <f t="shared" si="121"/>
        <v>188</v>
      </c>
      <c r="AE136" s="3247">
        <f t="shared" si="121"/>
        <v>210</v>
      </c>
      <c r="AF136" s="3248">
        <f>SUM(AD136:AE136)</f>
        <v>398</v>
      </c>
      <c r="AG136" s="3330">
        <f t="shared" ref="AG136:AH138" si="122">SUM(AG26,AG64,AG97)</f>
        <v>185</v>
      </c>
      <c r="AH136" s="3247">
        <f t="shared" si="122"/>
        <v>208</v>
      </c>
      <c r="AI136" s="3248">
        <f>SUM(AG136:AH136)</f>
        <v>393</v>
      </c>
      <c r="AJ136" s="3330">
        <f t="shared" ref="AJ136:AK138" si="123">SUM(AJ26,AJ64,AJ97)</f>
        <v>182</v>
      </c>
      <c r="AK136" s="3247">
        <f t="shared" si="123"/>
        <v>206</v>
      </c>
      <c r="AL136" s="3248">
        <f>SUM(AJ136:AK136)</f>
        <v>388</v>
      </c>
      <c r="AM136" s="3330">
        <f t="shared" ref="AM136:AN138" si="124">SUM(AM26,AM64,AM97)</f>
        <v>198</v>
      </c>
      <c r="AN136" s="3247">
        <f t="shared" si="124"/>
        <v>187</v>
      </c>
      <c r="AO136" s="3248">
        <f>SUM(AM136:AN136)</f>
        <v>385</v>
      </c>
      <c r="AP136" s="3330">
        <f t="shared" ref="AP136:AQ138" si="125">SUM(AP26,AP64,AP97)</f>
        <v>184</v>
      </c>
      <c r="AQ136" s="3247">
        <f t="shared" si="125"/>
        <v>209</v>
      </c>
      <c r="AR136" s="3248">
        <f>SUM(AP136:AQ136)</f>
        <v>393</v>
      </c>
      <c r="AS136" s="3330">
        <f t="shared" ref="AS136:AT138" si="126">SUM(AS26,AS64,AS97)</f>
        <v>169</v>
      </c>
      <c r="AT136" s="3247">
        <f t="shared" si="126"/>
        <v>209</v>
      </c>
      <c r="AU136" s="3248">
        <f>SUM(AS136:AT136)</f>
        <v>378</v>
      </c>
      <c r="AV136" s="3330">
        <f t="shared" ref="AV136:AW138" si="127">SUM(AV26,AV64,AV97)</f>
        <v>169</v>
      </c>
      <c r="AW136" s="3247">
        <f t="shared" si="127"/>
        <v>202</v>
      </c>
      <c r="AX136" s="3248">
        <f>SUM(AV136:AW136)</f>
        <v>371</v>
      </c>
      <c r="AY136" s="3330">
        <f t="shared" ref="AY136:AZ136" si="128">SUM(AY26,AY64,AY97)</f>
        <v>167</v>
      </c>
      <c r="AZ136" s="3247">
        <f t="shared" si="128"/>
        <v>196</v>
      </c>
      <c r="BA136" s="3248">
        <f>SUM(AY136:AZ136)</f>
        <v>363</v>
      </c>
      <c r="BB136" s="3330">
        <f t="shared" ref="BB136:BC136" si="129">SUM(BB26,BB64,BB97)</f>
        <v>162</v>
      </c>
      <c r="BC136" s="3247">
        <f t="shared" si="129"/>
        <v>195</v>
      </c>
      <c r="BD136" s="3248">
        <f>SUM(BB136:BC136)</f>
        <v>357</v>
      </c>
    </row>
    <row r="137" spans="2:56" x14ac:dyDescent="0.3">
      <c r="B137" s="3249" t="s">
        <v>92</v>
      </c>
      <c r="C137" s="3331">
        <f t="shared" si="121"/>
        <v>187</v>
      </c>
      <c r="D137" s="3332">
        <f t="shared" si="121"/>
        <v>202</v>
      </c>
      <c r="E137" s="3332">
        <f t="shared" si="121"/>
        <v>389</v>
      </c>
      <c r="F137" s="3331">
        <f t="shared" si="121"/>
        <v>189</v>
      </c>
      <c r="G137" s="3332">
        <f t="shared" si="121"/>
        <v>198</v>
      </c>
      <c r="H137" s="3333">
        <f t="shared" si="121"/>
        <v>387</v>
      </c>
      <c r="I137" s="3331">
        <f t="shared" si="121"/>
        <v>186</v>
      </c>
      <c r="J137" s="3332">
        <f t="shared" si="121"/>
        <v>196</v>
      </c>
      <c r="K137" s="3333">
        <f t="shared" si="121"/>
        <v>382</v>
      </c>
      <c r="L137" s="3334">
        <f t="shared" si="121"/>
        <v>188</v>
      </c>
      <c r="M137" s="3256">
        <f t="shared" si="121"/>
        <v>192</v>
      </c>
      <c r="N137" s="3257">
        <f t="shared" si="121"/>
        <v>380</v>
      </c>
      <c r="O137" s="3256">
        <f t="shared" si="121"/>
        <v>188</v>
      </c>
      <c r="P137" s="3256">
        <f t="shared" si="121"/>
        <v>183</v>
      </c>
      <c r="Q137" s="3257">
        <f t="shared" si="121"/>
        <v>371</v>
      </c>
      <c r="R137" s="3334">
        <f t="shared" si="121"/>
        <v>191</v>
      </c>
      <c r="S137" s="3256">
        <f t="shared" si="121"/>
        <v>184</v>
      </c>
      <c r="T137" s="3257">
        <f t="shared" si="121"/>
        <v>375</v>
      </c>
      <c r="U137" s="3334">
        <f t="shared" si="121"/>
        <v>189</v>
      </c>
      <c r="V137" s="3256">
        <f t="shared" si="121"/>
        <v>184</v>
      </c>
      <c r="W137" s="3257">
        <f t="shared" si="121"/>
        <v>373</v>
      </c>
      <c r="X137" s="3334">
        <f t="shared" si="121"/>
        <v>193</v>
      </c>
      <c r="Y137" s="3256">
        <f t="shared" si="121"/>
        <v>185</v>
      </c>
      <c r="Z137" s="3257">
        <f t="shared" si="121"/>
        <v>378</v>
      </c>
      <c r="AA137" s="3334">
        <f t="shared" si="121"/>
        <v>199</v>
      </c>
      <c r="AB137" s="3256">
        <f t="shared" si="121"/>
        <v>187</v>
      </c>
      <c r="AC137" s="3257">
        <f t="shared" si="121"/>
        <v>386</v>
      </c>
      <c r="AD137" s="3334">
        <f t="shared" si="121"/>
        <v>203</v>
      </c>
      <c r="AE137" s="3256">
        <f t="shared" si="121"/>
        <v>197</v>
      </c>
      <c r="AF137" s="3257">
        <f>SUM(AD137:AE137)</f>
        <v>400</v>
      </c>
      <c r="AG137" s="3334">
        <f t="shared" si="122"/>
        <v>201</v>
      </c>
      <c r="AH137" s="3256">
        <f t="shared" si="122"/>
        <v>198</v>
      </c>
      <c r="AI137" s="3257">
        <f>SUM(AG137:AH137)</f>
        <v>399</v>
      </c>
      <c r="AJ137" s="3334">
        <f t="shared" si="123"/>
        <v>199</v>
      </c>
      <c r="AK137" s="3256">
        <f t="shared" si="123"/>
        <v>193</v>
      </c>
      <c r="AL137" s="3257">
        <f>SUM(AJ137:AK137)</f>
        <v>392</v>
      </c>
      <c r="AM137" s="3334">
        <f t="shared" si="124"/>
        <v>50</v>
      </c>
      <c r="AN137" s="3256">
        <f t="shared" si="124"/>
        <v>124</v>
      </c>
      <c r="AO137" s="3257">
        <f>SUM(AM137:AN137)</f>
        <v>174</v>
      </c>
      <c r="AP137" s="3334">
        <f t="shared" si="125"/>
        <v>192</v>
      </c>
      <c r="AQ137" s="3256">
        <f t="shared" si="125"/>
        <v>190</v>
      </c>
      <c r="AR137" s="3257">
        <f>SUM(AP137:AQ137)</f>
        <v>382</v>
      </c>
      <c r="AS137" s="3334">
        <f t="shared" si="126"/>
        <v>191</v>
      </c>
      <c r="AT137" s="3256">
        <f t="shared" si="126"/>
        <v>191</v>
      </c>
      <c r="AU137" s="3257">
        <f>SUM(AS137:AT137)</f>
        <v>382</v>
      </c>
      <c r="AV137" s="3334">
        <f t="shared" si="127"/>
        <v>181</v>
      </c>
      <c r="AW137" s="3256">
        <f t="shared" si="127"/>
        <v>187</v>
      </c>
      <c r="AX137" s="3257">
        <f>SUM(AV137:AW137)</f>
        <v>368</v>
      </c>
      <c r="AY137" s="3334">
        <f t="shared" ref="AY137:AZ137" si="130">SUM(AY27,AY65,AY98)</f>
        <v>180</v>
      </c>
      <c r="AZ137" s="3256">
        <f t="shared" si="130"/>
        <v>183</v>
      </c>
      <c r="BA137" s="3257">
        <f>SUM(AY137:AZ137)</f>
        <v>363</v>
      </c>
      <c r="BB137" s="3334">
        <f t="shared" ref="BB137:BC137" si="131">SUM(BB27,BB65,BB98)</f>
        <v>174</v>
      </c>
      <c r="BC137" s="3256">
        <f t="shared" si="131"/>
        <v>176</v>
      </c>
      <c r="BD137" s="3257">
        <f>SUM(BB137:BC137)</f>
        <v>350</v>
      </c>
    </row>
    <row r="138" spans="2:56" x14ac:dyDescent="0.3">
      <c r="B138" s="3249" t="s">
        <v>68</v>
      </c>
      <c r="C138" s="3331">
        <f t="shared" si="121"/>
        <v>36</v>
      </c>
      <c r="D138" s="3332">
        <f t="shared" si="121"/>
        <v>133</v>
      </c>
      <c r="E138" s="3332">
        <f t="shared" si="121"/>
        <v>169</v>
      </c>
      <c r="F138" s="3331">
        <f t="shared" si="121"/>
        <v>37</v>
      </c>
      <c r="G138" s="3332">
        <f t="shared" si="121"/>
        <v>133</v>
      </c>
      <c r="H138" s="3333">
        <f t="shared" si="121"/>
        <v>170</v>
      </c>
      <c r="I138" s="3331">
        <f t="shared" si="121"/>
        <v>36</v>
      </c>
      <c r="J138" s="3332">
        <f t="shared" si="121"/>
        <v>133</v>
      </c>
      <c r="K138" s="3333">
        <f t="shared" si="121"/>
        <v>169</v>
      </c>
      <c r="L138" s="3334">
        <f t="shared" si="121"/>
        <v>36</v>
      </c>
      <c r="M138" s="3256">
        <f t="shared" si="121"/>
        <v>133</v>
      </c>
      <c r="N138" s="3257">
        <f t="shared" si="121"/>
        <v>169</v>
      </c>
      <c r="O138" s="3256">
        <f t="shared" si="121"/>
        <v>39</v>
      </c>
      <c r="P138" s="3256">
        <f t="shared" si="121"/>
        <v>140</v>
      </c>
      <c r="Q138" s="3257">
        <f t="shared" si="121"/>
        <v>179</v>
      </c>
      <c r="R138" s="3334">
        <f t="shared" si="121"/>
        <v>41</v>
      </c>
      <c r="S138" s="3256">
        <f t="shared" si="121"/>
        <v>138</v>
      </c>
      <c r="T138" s="3257">
        <f t="shared" si="121"/>
        <v>179</v>
      </c>
      <c r="U138" s="3334">
        <f t="shared" si="121"/>
        <v>41</v>
      </c>
      <c r="V138" s="3256">
        <f t="shared" si="121"/>
        <v>142</v>
      </c>
      <c r="W138" s="3257">
        <f t="shared" si="121"/>
        <v>183</v>
      </c>
      <c r="X138" s="3334">
        <f t="shared" si="121"/>
        <v>39</v>
      </c>
      <c r="Y138" s="3256">
        <f t="shared" si="121"/>
        <v>141</v>
      </c>
      <c r="Z138" s="3257">
        <f t="shared" si="121"/>
        <v>180</v>
      </c>
      <c r="AA138" s="3334">
        <f t="shared" si="121"/>
        <v>40</v>
      </c>
      <c r="AB138" s="3256">
        <f t="shared" si="121"/>
        <v>139</v>
      </c>
      <c r="AC138" s="3257">
        <f t="shared" si="121"/>
        <v>179</v>
      </c>
      <c r="AD138" s="3334">
        <f t="shared" si="121"/>
        <v>43</v>
      </c>
      <c r="AE138" s="3256">
        <f t="shared" si="121"/>
        <v>141</v>
      </c>
      <c r="AF138" s="3257">
        <f>SUM(AD138:AE138)</f>
        <v>184</v>
      </c>
      <c r="AG138" s="3334">
        <f t="shared" si="122"/>
        <v>41</v>
      </c>
      <c r="AH138" s="3256">
        <f t="shared" si="122"/>
        <v>140</v>
      </c>
      <c r="AI138" s="3257">
        <f>SUM(AG138:AH138)</f>
        <v>181</v>
      </c>
      <c r="AJ138" s="3334">
        <f t="shared" si="123"/>
        <v>41</v>
      </c>
      <c r="AK138" s="3256">
        <f t="shared" si="123"/>
        <v>133</v>
      </c>
      <c r="AL138" s="3257">
        <f>SUM(AJ138:AK138)</f>
        <v>174</v>
      </c>
      <c r="AM138" s="3334">
        <f t="shared" si="124"/>
        <v>166</v>
      </c>
      <c r="AN138" s="3256">
        <f t="shared" si="124"/>
        <v>215</v>
      </c>
      <c r="AO138" s="3257">
        <f>SUM(AM138:AN138)</f>
        <v>381</v>
      </c>
      <c r="AP138" s="3334">
        <f t="shared" si="125"/>
        <v>39</v>
      </c>
      <c r="AQ138" s="3256">
        <f t="shared" si="125"/>
        <v>126</v>
      </c>
      <c r="AR138" s="3257">
        <f>SUM(AP138:AQ138)</f>
        <v>165</v>
      </c>
      <c r="AS138" s="3334">
        <f t="shared" si="126"/>
        <v>42</v>
      </c>
      <c r="AT138" s="3256">
        <f t="shared" si="126"/>
        <v>126</v>
      </c>
      <c r="AU138" s="3257">
        <f>SUM(AS138:AT138)</f>
        <v>168</v>
      </c>
      <c r="AV138" s="3334">
        <f t="shared" si="127"/>
        <v>45</v>
      </c>
      <c r="AW138" s="3256">
        <f t="shared" si="127"/>
        <v>120</v>
      </c>
      <c r="AX138" s="3257">
        <f>SUM(AV138:AW138)</f>
        <v>165</v>
      </c>
      <c r="AY138" s="3334">
        <f t="shared" ref="AY138:AZ138" si="132">SUM(AY28,AY66,AY99)</f>
        <v>43</v>
      </c>
      <c r="AZ138" s="3256">
        <f t="shared" si="132"/>
        <v>118</v>
      </c>
      <c r="BA138" s="3257">
        <f>SUM(AY138:AZ138)</f>
        <v>161</v>
      </c>
      <c r="BB138" s="3334">
        <f t="shared" ref="BB138:BC138" si="133">SUM(BB28,BB66,BB99)</f>
        <v>40</v>
      </c>
      <c r="BC138" s="3256">
        <f t="shared" si="133"/>
        <v>112</v>
      </c>
      <c r="BD138" s="3257">
        <f>SUM(BB138:BC138)</f>
        <v>152</v>
      </c>
    </row>
    <row r="139" spans="2:56" x14ac:dyDescent="0.3">
      <c r="B139" s="3297" t="s">
        <v>137</v>
      </c>
      <c r="C139" s="3370">
        <f t="shared" si="121"/>
        <v>399</v>
      </c>
      <c r="D139" s="3371">
        <f t="shared" si="121"/>
        <v>546</v>
      </c>
      <c r="E139" s="3371">
        <f t="shared" si="121"/>
        <v>945</v>
      </c>
      <c r="F139" s="3370">
        <f t="shared" si="121"/>
        <v>407</v>
      </c>
      <c r="G139" s="3371">
        <f t="shared" si="121"/>
        <v>536</v>
      </c>
      <c r="H139" s="3372">
        <f t="shared" si="121"/>
        <v>943</v>
      </c>
      <c r="I139" s="3370">
        <f t="shared" si="121"/>
        <v>397</v>
      </c>
      <c r="J139" s="3371">
        <f t="shared" si="121"/>
        <v>522</v>
      </c>
      <c r="K139" s="3372">
        <f t="shared" si="121"/>
        <v>919</v>
      </c>
      <c r="L139" s="3373">
        <f t="shared" si="121"/>
        <v>402</v>
      </c>
      <c r="M139" s="3304">
        <f t="shared" si="121"/>
        <v>523</v>
      </c>
      <c r="N139" s="3305">
        <f t="shared" si="121"/>
        <v>925</v>
      </c>
      <c r="O139" s="3304">
        <f t="shared" si="121"/>
        <v>406</v>
      </c>
      <c r="P139" s="3304">
        <f t="shared" si="121"/>
        <v>527</v>
      </c>
      <c r="Q139" s="3305">
        <f t="shared" si="121"/>
        <v>933</v>
      </c>
      <c r="R139" s="3373">
        <f t="shared" ref="R139:Z139" si="134">SUM(R136:R138)</f>
        <v>414</v>
      </c>
      <c r="S139" s="3304">
        <f t="shared" si="134"/>
        <v>530</v>
      </c>
      <c r="T139" s="3305">
        <f t="shared" si="134"/>
        <v>944</v>
      </c>
      <c r="U139" s="3373">
        <f t="shared" si="134"/>
        <v>419</v>
      </c>
      <c r="V139" s="3304">
        <f t="shared" si="134"/>
        <v>540</v>
      </c>
      <c r="W139" s="3305">
        <f t="shared" si="134"/>
        <v>959</v>
      </c>
      <c r="X139" s="3373">
        <f t="shared" si="134"/>
        <v>423</v>
      </c>
      <c r="Y139" s="3304">
        <f t="shared" si="134"/>
        <v>538</v>
      </c>
      <c r="Z139" s="3305">
        <f t="shared" si="134"/>
        <v>961</v>
      </c>
      <c r="AA139" s="3373">
        <f>SUM(AA136:AA138)</f>
        <v>425</v>
      </c>
      <c r="AB139" s="3304">
        <f>SUM(AB136:AB138)</f>
        <v>539</v>
      </c>
      <c r="AC139" s="3305">
        <f>SUM(AA139:AB139)</f>
        <v>964</v>
      </c>
      <c r="AD139" s="3304">
        <f>SUM(AD136:AD138)</f>
        <v>434</v>
      </c>
      <c r="AE139" s="3304">
        <f>SUM(AE136:AE138)</f>
        <v>548</v>
      </c>
      <c r="AF139" s="3305">
        <f>SUM(AD139:AE139)</f>
        <v>982</v>
      </c>
      <c r="AG139" s="3304">
        <f>SUM(AG136:AG138)</f>
        <v>427</v>
      </c>
      <c r="AH139" s="3304">
        <f>SUM(AH136:AH138)</f>
        <v>546</v>
      </c>
      <c r="AI139" s="3305">
        <f>SUM(AG139:AH139)</f>
        <v>973</v>
      </c>
      <c r="AJ139" s="3304">
        <f>SUM(AJ136:AJ138)</f>
        <v>422</v>
      </c>
      <c r="AK139" s="3304">
        <f>SUM(AK136:AK138)</f>
        <v>532</v>
      </c>
      <c r="AL139" s="3305">
        <f>SUM(AJ139:AK139)</f>
        <v>954</v>
      </c>
      <c r="AM139" s="3304">
        <f>SUM(AM136:AM138)</f>
        <v>414</v>
      </c>
      <c r="AN139" s="3304">
        <f>SUM(AN136:AN138)</f>
        <v>526</v>
      </c>
      <c r="AO139" s="3305">
        <f>SUM(AM139:AN139)</f>
        <v>940</v>
      </c>
      <c r="AP139" s="3304">
        <f>SUM(AP136:AP138)</f>
        <v>415</v>
      </c>
      <c r="AQ139" s="3304">
        <f>SUM(AQ136:AQ138)</f>
        <v>525</v>
      </c>
      <c r="AR139" s="3305">
        <f>SUM(AP139:AQ139)</f>
        <v>940</v>
      </c>
      <c r="AS139" s="3304">
        <f>SUM(AS136:AS138)</f>
        <v>402</v>
      </c>
      <c r="AT139" s="3304">
        <f>SUM(AT136:AT138)</f>
        <v>526</v>
      </c>
      <c r="AU139" s="3305">
        <f>SUM(AS139:AT139)</f>
        <v>928</v>
      </c>
      <c r="AV139" s="3304">
        <f>SUM(AV136:AV138)</f>
        <v>395</v>
      </c>
      <c r="AW139" s="3304">
        <f>SUM(AW136:AW138)</f>
        <v>509</v>
      </c>
      <c r="AX139" s="3305">
        <f>SUM(AV139:AW139)</f>
        <v>904</v>
      </c>
      <c r="AY139" s="3304">
        <f>SUM(AY136:AY138)</f>
        <v>390</v>
      </c>
      <c r="AZ139" s="3304">
        <f>SUM(AZ136:AZ138)</f>
        <v>497</v>
      </c>
      <c r="BA139" s="3305">
        <f>SUM(AY139:AZ139)</f>
        <v>887</v>
      </c>
      <c r="BB139" s="3304">
        <f>SUM(BB136:BB138)</f>
        <v>376</v>
      </c>
      <c r="BC139" s="3304">
        <f>SUM(BC136:BC138)</f>
        <v>483</v>
      </c>
      <c r="BD139" s="3305">
        <f>SUM(BB139:BC139)</f>
        <v>859</v>
      </c>
    </row>
    <row r="140" spans="2:56" x14ac:dyDescent="0.3">
      <c r="B140" s="3306"/>
      <c r="C140" s="3267"/>
      <c r="D140" s="3267"/>
      <c r="E140" s="3267"/>
      <c r="F140" s="3267"/>
      <c r="G140" s="3267"/>
      <c r="H140" s="3267"/>
      <c r="I140" s="3267"/>
      <c r="J140" s="3267"/>
      <c r="K140" s="3267"/>
      <c r="L140" s="3267"/>
      <c r="M140" s="3267"/>
      <c r="N140" s="3267"/>
      <c r="O140" s="3267"/>
      <c r="P140" s="3267"/>
      <c r="Q140" s="3267"/>
      <c r="R140" s="3267"/>
      <c r="S140" s="3267"/>
      <c r="T140" s="3267"/>
      <c r="U140" s="3267"/>
      <c r="V140" s="3267"/>
      <c r="W140" s="3267"/>
      <c r="X140" s="3267"/>
      <c r="Y140" s="3267"/>
      <c r="Z140" s="3267"/>
      <c r="AA140" s="3267"/>
      <c r="AB140" s="3267"/>
      <c r="AC140" s="3267"/>
      <c r="AD140" s="3267"/>
      <c r="AE140" s="3267"/>
      <c r="AF140" s="3267"/>
      <c r="AG140" s="3267"/>
      <c r="AH140" s="3267"/>
      <c r="AI140" s="3267"/>
      <c r="AJ140" s="3267"/>
      <c r="AK140" s="3267"/>
      <c r="AL140" s="3267"/>
      <c r="AM140" s="3267"/>
      <c r="AN140" s="3267"/>
      <c r="AO140" s="3267"/>
      <c r="AP140" s="3267"/>
      <c r="AQ140" s="3267"/>
      <c r="AR140" s="3267"/>
      <c r="AS140" s="3267"/>
      <c r="AT140" s="3267"/>
      <c r="AU140" s="3267"/>
      <c r="AV140" s="3267"/>
      <c r="AW140" s="3267"/>
      <c r="AX140" s="3267"/>
      <c r="AY140" s="3267"/>
      <c r="AZ140" s="3267"/>
      <c r="BA140" s="3267"/>
      <c r="BB140" s="3267"/>
      <c r="BC140" s="3267"/>
      <c r="BD140" s="3267"/>
    </row>
    <row r="141" spans="2:56" x14ac:dyDescent="0.3">
      <c r="B141" s="3308" t="s">
        <v>59</v>
      </c>
      <c r="C141" s="3330">
        <f t="shared" ref="C141:Q141" si="135">SUM(C116,C126,C131)</f>
        <v>140</v>
      </c>
      <c r="D141" s="3247">
        <f t="shared" si="135"/>
        <v>560</v>
      </c>
      <c r="E141" s="3248">
        <f t="shared" si="135"/>
        <v>700</v>
      </c>
      <c r="F141" s="3247">
        <f t="shared" si="135"/>
        <v>140</v>
      </c>
      <c r="G141" s="3247">
        <f t="shared" si="135"/>
        <v>563</v>
      </c>
      <c r="H141" s="3247">
        <f t="shared" si="135"/>
        <v>703</v>
      </c>
      <c r="I141" s="3330">
        <f t="shared" si="135"/>
        <v>145</v>
      </c>
      <c r="J141" s="3247">
        <f t="shared" si="135"/>
        <v>572</v>
      </c>
      <c r="K141" s="3248">
        <f t="shared" si="135"/>
        <v>717</v>
      </c>
      <c r="L141" s="3247">
        <f t="shared" si="135"/>
        <v>147</v>
      </c>
      <c r="M141" s="3247">
        <f t="shared" si="135"/>
        <v>565</v>
      </c>
      <c r="N141" s="3247">
        <f t="shared" si="135"/>
        <v>712</v>
      </c>
      <c r="O141" s="3330">
        <f t="shared" si="135"/>
        <v>144</v>
      </c>
      <c r="P141" s="3247">
        <f t="shared" si="135"/>
        <v>566</v>
      </c>
      <c r="Q141" s="3248">
        <f t="shared" si="135"/>
        <v>710</v>
      </c>
      <c r="R141" s="3330">
        <f>SUM(R116,R126,R131)</f>
        <v>149</v>
      </c>
      <c r="S141" s="3247">
        <f>SUM(S116,S126,S131)</f>
        <v>556</v>
      </c>
      <c r="T141" s="3248">
        <f t="shared" ref="T141:T147" si="136">SUM(R141:S141)</f>
        <v>705</v>
      </c>
      <c r="U141" s="3247">
        <f>SUM(U116,U126,U131)</f>
        <v>148</v>
      </c>
      <c r="V141" s="3247">
        <f>SUM(V116,V126,V131)</f>
        <v>555</v>
      </c>
      <c r="W141" s="3248">
        <f t="shared" ref="W141:W147" si="137">SUM(U141:V141)</f>
        <v>703</v>
      </c>
      <c r="X141" s="3247">
        <f>SUM(X116,X126,X131)</f>
        <v>149</v>
      </c>
      <c r="Y141" s="3247">
        <f>SUM(Y116,Y126,Y131)</f>
        <v>560</v>
      </c>
      <c r="Z141" s="3248">
        <f t="shared" ref="Z141:Z147" si="138">SUM(X141:Y141)</f>
        <v>709</v>
      </c>
      <c r="AA141" s="3247">
        <f>SUM(AA116,AA126,AA131)</f>
        <v>150</v>
      </c>
      <c r="AB141" s="3247">
        <f>SUM(AB116,AB126,AB131)</f>
        <v>564</v>
      </c>
      <c r="AC141" s="3248">
        <f t="shared" ref="AC141:AC147" si="139">SUM(AA141:AB141)</f>
        <v>714</v>
      </c>
      <c r="AD141" s="3247">
        <f>SUM(AD116,AD126,AD131)</f>
        <v>158</v>
      </c>
      <c r="AE141" s="3247">
        <f>SUM(AE116,AE126,AE131)</f>
        <v>567</v>
      </c>
      <c r="AF141" s="3248">
        <f t="shared" ref="AF141:AF147" si="140">SUM(AD141:AE141)</f>
        <v>725</v>
      </c>
      <c r="AG141" s="3247">
        <f>SUM(AG116,AG126,AG131)</f>
        <v>159</v>
      </c>
      <c r="AH141" s="3247">
        <f>SUM(AH116,AH126,AH131)</f>
        <v>558</v>
      </c>
      <c r="AI141" s="3248">
        <f t="shared" ref="AI141:AI147" si="141">SUM(AG141:AH141)</f>
        <v>717</v>
      </c>
      <c r="AJ141" s="3247">
        <f>SUM(AJ116,AJ126,AJ131)</f>
        <v>158</v>
      </c>
      <c r="AK141" s="3247">
        <f>SUM(AK116,AK126,AK131)</f>
        <v>550</v>
      </c>
      <c r="AL141" s="3248">
        <f t="shared" ref="AL141:AL147" si="142">SUM(AJ141:AK141)</f>
        <v>708</v>
      </c>
      <c r="AM141" s="3247">
        <f>SUM(AM116,AM126,AM131)</f>
        <v>164</v>
      </c>
      <c r="AN141" s="3247">
        <f>SUM(AN116,AN126,AN131)</f>
        <v>543</v>
      </c>
      <c r="AO141" s="3248">
        <f t="shared" ref="AO141:AO147" si="143">SUM(AM141:AN141)</f>
        <v>707</v>
      </c>
      <c r="AP141" s="3247">
        <f>SUM(AP116,AP126,AP131)</f>
        <v>165</v>
      </c>
      <c r="AQ141" s="3247">
        <f>SUM(AQ116,AQ126,AQ131)</f>
        <v>549</v>
      </c>
      <c r="AR141" s="3248">
        <f t="shared" ref="AR141:AR147" si="144">SUM(AP141:AQ141)</f>
        <v>714</v>
      </c>
      <c r="AS141" s="3247">
        <f>SUM(AS116,AS126,AS131)</f>
        <v>162</v>
      </c>
      <c r="AT141" s="3247">
        <f>SUM(AT116,AT126,AT131)</f>
        <v>550</v>
      </c>
      <c r="AU141" s="3248">
        <f t="shared" ref="AU141:AU147" si="145">SUM(AS141:AT141)</f>
        <v>712</v>
      </c>
      <c r="AV141" s="3247">
        <f>SUM(AV116,AV126,AV131)</f>
        <v>163</v>
      </c>
      <c r="AW141" s="3247">
        <f>SUM(AW116,AW126,AW131)</f>
        <v>541</v>
      </c>
      <c r="AX141" s="3248">
        <f t="shared" ref="AX141:AX147" si="146">SUM(AV141:AW141)</f>
        <v>704</v>
      </c>
      <c r="AY141" s="3247">
        <f>SUM(AY116,AY126,AY131)</f>
        <v>160</v>
      </c>
      <c r="AZ141" s="3247">
        <f>SUM(AZ116,AZ126,AZ131)</f>
        <v>530</v>
      </c>
      <c r="BA141" s="3248">
        <f t="shared" ref="BA141:BA147" si="147">SUM(AY141:AZ141)</f>
        <v>690</v>
      </c>
      <c r="BB141" s="3247">
        <f>SUM(BB116,BB126,BB131)</f>
        <v>159</v>
      </c>
      <c r="BC141" s="3247">
        <f>SUM(BC116,BC126,BC131)</f>
        <v>515</v>
      </c>
      <c r="BD141" s="3248">
        <f t="shared" ref="BD141:BD147" si="148">SUM(BB141:BC141)</f>
        <v>674</v>
      </c>
    </row>
    <row r="142" spans="2:56" x14ac:dyDescent="0.3">
      <c r="B142" s="3309" t="s">
        <v>64</v>
      </c>
      <c r="C142" s="3334">
        <f t="shared" ref="C142:Q142" si="149">SUM(C117,C121,C127,C132,C136)</f>
        <v>441</v>
      </c>
      <c r="D142" s="3256">
        <f t="shared" si="149"/>
        <v>651</v>
      </c>
      <c r="E142" s="3257">
        <f t="shared" si="149"/>
        <v>1092</v>
      </c>
      <c r="F142" s="3256">
        <f t="shared" si="149"/>
        <v>449</v>
      </c>
      <c r="G142" s="3256">
        <f t="shared" si="149"/>
        <v>657</v>
      </c>
      <c r="H142" s="3256">
        <f t="shared" si="149"/>
        <v>1106</v>
      </c>
      <c r="I142" s="3334">
        <f t="shared" si="149"/>
        <v>454</v>
      </c>
      <c r="J142" s="3256">
        <f t="shared" si="149"/>
        <v>650</v>
      </c>
      <c r="K142" s="3257">
        <f t="shared" si="149"/>
        <v>1104</v>
      </c>
      <c r="L142" s="3256">
        <f t="shared" si="149"/>
        <v>456</v>
      </c>
      <c r="M142" s="3256">
        <f t="shared" si="149"/>
        <v>659</v>
      </c>
      <c r="N142" s="3256">
        <f t="shared" si="149"/>
        <v>1115</v>
      </c>
      <c r="O142" s="3334">
        <f t="shared" si="149"/>
        <v>455</v>
      </c>
      <c r="P142" s="3256">
        <f t="shared" si="149"/>
        <v>670</v>
      </c>
      <c r="Q142" s="3257">
        <f t="shared" si="149"/>
        <v>1125</v>
      </c>
      <c r="R142" s="3334">
        <f>SUM(R117,R121,R127,R132,R136)</f>
        <v>473</v>
      </c>
      <c r="S142" s="3256">
        <f>SUM(S117,S121,S127,S132,S136)</f>
        <v>682</v>
      </c>
      <c r="T142" s="3257">
        <f t="shared" si="136"/>
        <v>1155</v>
      </c>
      <c r="U142" s="3256">
        <f>SUM(U117,U121,U127,U132,U136)</f>
        <v>485</v>
      </c>
      <c r="V142" s="3256">
        <f>SUM(V117,V121,V127,V132,V136)</f>
        <v>689</v>
      </c>
      <c r="W142" s="3257">
        <f t="shared" si="137"/>
        <v>1174</v>
      </c>
      <c r="X142" s="3256">
        <f>SUM(X117,X121,X127,X132,X136)</f>
        <v>488</v>
      </c>
      <c r="Y142" s="3256">
        <f>SUM(Y117,Y121,Y127,Y132,Y136)</f>
        <v>688</v>
      </c>
      <c r="Z142" s="3257">
        <f t="shared" si="138"/>
        <v>1176</v>
      </c>
      <c r="AA142" s="3256">
        <f>SUM(AA117,AA121,AA127,AA132,AA136)</f>
        <v>492</v>
      </c>
      <c r="AB142" s="3256">
        <f>SUM(AB117,AB121,AB127,AB132,AB136)</f>
        <v>694</v>
      </c>
      <c r="AC142" s="3257">
        <f t="shared" si="139"/>
        <v>1186</v>
      </c>
      <c r="AD142" s="3256">
        <f>SUM(AD117,AD121,AD127,AD132,AD136)</f>
        <v>500</v>
      </c>
      <c r="AE142" s="3256">
        <f>SUM(AE117,AE121,AE127,AE132,AE136)</f>
        <v>698</v>
      </c>
      <c r="AF142" s="3257">
        <f t="shared" si="140"/>
        <v>1198</v>
      </c>
      <c r="AG142" s="3256">
        <f>SUM(AG117,AG121,AG127,AG132,AG136)</f>
        <v>491</v>
      </c>
      <c r="AH142" s="3256">
        <f>SUM(AH117,AH121,AH127,AH132,AH136)</f>
        <v>683</v>
      </c>
      <c r="AI142" s="3257">
        <f t="shared" si="141"/>
        <v>1174</v>
      </c>
      <c r="AJ142" s="3256">
        <f>SUM(AJ117,AJ121,AJ127,AJ132,AJ136)</f>
        <v>491</v>
      </c>
      <c r="AK142" s="3256">
        <f>SUM(AK117,AK121,AK127,AK132,AK136)</f>
        <v>679</v>
      </c>
      <c r="AL142" s="3257">
        <f t="shared" si="142"/>
        <v>1170</v>
      </c>
      <c r="AM142" s="3256">
        <f>SUM(AM117,AM121,AM127,AM132,AM136)</f>
        <v>515</v>
      </c>
      <c r="AN142" s="3256">
        <f>SUM(AN117,AN121,AN127,AN132,AN136)</f>
        <v>679</v>
      </c>
      <c r="AO142" s="3257">
        <f t="shared" si="143"/>
        <v>1194</v>
      </c>
      <c r="AP142" s="3256">
        <f>SUM(AP117,AP121,AP127,AP132,AP136)</f>
        <v>505</v>
      </c>
      <c r="AQ142" s="3256">
        <f>SUM(AQ117,AQ121,AQ127,AQ132,AQ136)</f>
        <v>708</v>
      </c>
      <c r="AR142" s="3257">
        <f t="shared" si="144"/>
        <v>1213</v>
      </c>
      <c r="AS142" s="3256">
        <f>SUM(AS117,AS121,AS127,AS132,AS136)</f>
        <v>481</v>
      </c>
      <c r="AT142" s="3256">
        <f>SUM(AT117,AT121,AT127,AT132,AT136)</f>
        <v>685</v>
      </c>
      <c r="AU142" s="3257">
        <f t="shared" si="145"/>
        <v>1166</v>
      </c>
      <c r="AV142" s="3256">
        <f>SUM(AV117,AV121,AV127,AV132,AV136)</f>
        <v>479</v>
      </c>
      <c r="AW142" s="3256">
        <f>SUM(AW117,AW121,AW127,AW132,AW136)</f>
        <v>664</v>
      </c>
      <c r="AX142" s="3257">
        <f t="shared" si="146"/>
        <v>1143</v>
      </c>
      <c r="AY142" s="3256">
        <f>SUM(AY117,AY121,AY127,AY132,AY136)</f>
        <v>470</v>
      </c>
      <c r="AZ142" s="3256">
        <f>SUM(AZ117,AZ121,AZ127,AZ132,AZ136)</f>
        <v>647</v>
      </c>
      <c r="BA142" s="3257">
        <f t="shared" si="147"/>
        <v>1117</v>
      </c>
      <c r="BB142" s="3256">
        <f>SUM(BB117,BB121,BB127,BB132,BB136)</f>
        <v>462</v>
      </c>
      <c r="BC142" s="3256">
        <f>SUM(BC117,BC121,BC127,BC132,BC136)</f>
        <v>635</v>
      </c>
      <c r="BD142" s="3257">
        <f t="shared" si="148"/>
        <v>1097</v>
      </c>
    </row>
    <row r="143" spans="2:56" x14ac:dyDescent="0.3">
      <c r="B143" s="3309" t="s">
        <v>92</v>
      </c>
      <c r="C143" s="3334">
        <f t="shared" ref="C143:Q143" si="150">SUM(C128,C133,C137)</f>
        <v>308</v>
      </c>
      <c r="D143" s="3256">
        <f t="shared" si="150"/>
        <v>343</v>
      </c>
      <c r="E143" s="3257">
        <f t="shared" si="150"/>
        <v>651</v>
      </c>
      <c r="F143" s="3256">
        <f t="shared" si="150"/>
        <v>310</v>
      </c>
      <c r="G143" s="3256">
        <f t="shared" si="150"/>
        <v>335</v>
      </c>
      <c r="H143" s="3256">
        <f t="shared" si="150"/>
        <v>645</v>
      </c>
      <c r="I143" s="3334">
        <f t="shared" si="150"/>
        <v>308</v>
      </c>
      <c r="J143" s="3256">
        <f t="shared" si="150"/>
        <v>332</v>
      </c>
      <c r="K143" s="3257">
        <f t="shared" si="150"/>
        <v>640</v>
      </c>
      <c r="L143" s="3256">
        <f t="shared" si="150"/>
        <v>309</v>
      </c>
      <c r="M143" s="3256">
        <f t="shared" si="150"/>
        <v>321</v>
      </c>
      <c r="N143" s="3256">
        <f t="shared" si="150"/>
        <v>630</v>
      </c>
      <c r="O143" s="3334">
        <f t="shared" si="150"/>
        <v>307</v>
      </c>
      <c r="P143" s="3256">
        <f t="shared" si="150"/>
        <v>311</v>
      </c>
      <c r="Q143" s="3257">
        <f t="shared" si="150"/>
        <v>618</v>
      </c>
      <c r="R143" s="3334">
        <f>SUM(R128,R133,R137)</f>
        <v>309</v>
      </c>
      <c r="S143" s="3256">
        <f>SUM(S128,S133,S137)</f>
        <v>312</v>
      </c>
      <c r="T143" s="3257">
        <f t="shared" si="136"/>
        <v>621</v>
      </c>
      <c r="U143" s="3256">
        <f>SUM(U128,U133,U137)</f>
        <v>310</v>
      </c>
      <c r="V143" s="3256">
        <f>SUM(V128,V133,V137)</f>
        <v>323</v>
      </c>
      <c r="W143" s="3257">
        <f t="shared" si="137"/>
        <v>633</v>
      </c>
      <c r="X143" s="3256">
        <f>SUM(X128,X133,X137)</f>
        <v>312</v>
      </c>
      <c r="Y143" s="3256">
        <f>SUM(Y128,Y133,Y137)</f>
        <v>323</v>
      </c>
      <c r="Z143" s="3257">
        <f t="shared" si="138"/>
        <v>635</v>
      </c>
      <c r="AA143" s="3256">
        <f>SUM(AA128,AA133,AA137)</f>
        <v>324</v>
      </c>
      <c r="AB143" s="3256">
        <f>SUM(AB128,AB133,AB137)</f>
        <v>325</v>
      </c>
      <c r="AC143" s="3257">
        <f t="shared" si="139"/>
        <v>649</v>
      </c>
      <c r="AD143" s="3256">
        <f>SUM(AD128,AD133,AD137)</f>
        <v>328</v>
      </c>
      <c r="AE143" s="3256">
        <f>SUM(AE128,AE133,AE137)</f>
        <v>339</v>
      </c>
      <c r="AF143" s="3257">
        <f t="shared" si="140"/>
        <v>667</v>
      </c>
      <c r="AG143" s="3256">
        <f>SUM(AG128,AG133,AG137)</f>
        <v>326</v>
      </c>
      <c r="AH143" s="3256">
        <f>SUM(AH128,AH133,AH137)</f>
        <v>342</v>
      </c>
      <c r="AI143" s="3257">
        <f t="shared" si="141"/>
        <v>668</v>
      </c>
      <c r="AJ143" s="3256">
        <f>SUM(AJ128,AJ133,AJ137)</f>
        <v>326</v>
      </c>
      <c r="AK143" s="3256">
        <f>SUM(AK128,AK133,AK137)</f>
        <v>339</v>
      </c>
      <c r="AL143" s="3257">
        <f t="shared" si="142"/>
        <v>665</v>
      </c>
      <c r="AM143" s="3256">
        <f>SUM(AM128,AM133,AM137)</f>
        <v>177</v>
      </c>
      <c r="AN143" s="3256">
        <f>SUM(AN128,AN133,AN137)</f>
        <v>269</v>
      </c>
      <c r="AO143" s="3257">
        <f t="shared" si="143"/>
        <v>446</v>
      </c>
      <c r="AP143" s="3256">
        <f>SUM(AP128,AP133,AP137)</f>
        <v>320</v>
      </c>
      <c r="AQ143" s="3256">
        <f>SUM(AQ128,AQ133,AQ137)</f>
        <v>331</v>
      </c>
      <c r="AR143" s="3257">
        <f t="shared" si="144"/>
        <v>651</v>
      </c>
      <c r="AS143" s="3256">
        <f>SUM(AS128,AS133,AS137)</f>
        <v>315</v>
      </c>
      <c r="AT143" s="3256">
        <f>SUM(AT128,AT133,AT137)</f>
        <v>334</v>
      </c>
      <c r="AU143" s="3257">
        <f t="shared" si="145"/>
        <v>649</v>
      </c>
      <c r="AV143" s="3256">
        <f>SUM(AV128,AV133,AV137)</f>
        <v>307</v>
      </c>
      <c r="AW143" s="3256">
        <f>SUM(AW128,AW133,AW137)</f>
        <v>325</v>
      </c>
      <c r="AX143" s="3257">
        <f t="shared" si="146"/>
        <v>632</v>
      </c>
      <c r="AY143" s="3256">
        <f>SUM(AY128,AY133,AY137)</f>
        <v>303</v>
      </c>
      <c r="AZ143" s="3256">
        <f>SUM(AZ128,AZ133,AZ137)</f>
        <v>319</v>
      </c>
      <c r="BA143" s="3257">
        <f t="shared" si="147"/>
        <v>622</v>
      </c>
      <c r="BB143" s="3256">
        <f>SUM(BB128,BB133,BB137)</f>
        <v>295</v>
      </c>
      <c r="BC143" s="3256">
        <f>SUM(BC128,BC133,BC137)</f>
        <v>308</v>
      </c>
      <c r="BD143" s="3257">
        <f t="shared" si="148"/>
        <v>603</v>
      </c>
    </row>
    <row r="144" spans="2:56" x14ac:dyDescent="0.3">
      <c r="B144" s="3309" t="s">
        <v>68</v>
      </c>
      <c r="C144" s="3334">
        <f t="shared" ref="C144:Q144" si="151">SUM(C118,C138)</f>
        <v>112</v>
      </c>
      <c r="D144" s="3256">
        <f t="shared" si="151"/>
        <v>289</v>
      </c>
      <c r="E144" s="3257">
        <f t="shared" si="151"/>
        <v>401</v>
      </c>
      <c r="F144" s="3256">
        <f t="shared" si="151"/>
        <v>110</v>
      </c>
      <c r="G144" s="3256">
        <f t="shared" si="151"/>
        <v>286</v>
      </c>
      <c r="H144" s="3256">
        <f t="shared" si="151"/>
        <v>396</v>
      </c>
      <c r="I144" s="3334">
        <f t="shared" si="151"/>
        <v>115</v>
      </c>
      <c r="J144" s="3256">
        <f t="shared" si="151"/>
        <v>275</v>
      </c>
      <c r="K144" s="3257">
        <f t="shared" si="151"/>
        <v>390</v>
      </c>
      <c r="L144" s="3256">
        <f t="shared" si="151"/>
        <v>117</v>
      </c>
      <c r="M144" s="3256">
        <f t="shared" si="151"/>
        <v>271</v>
      </c>
      <c r="N144" s="3256">
        <f t="shared" si="151"/>
        <v>388</v>
      </c>
      <c r="O144" s="3334">
        <f t="shared" si="151"/>
        <v>124</v>
      </c>
      <c r="P144" s="3256">
        <f t="shared" si="151"/>
        <v>280</v>
      </c>
      <c r="Q144" s="3257">
        <f t="shared" si="151"/>
        <v>404</v>
      </c>
      <c r="R144" s="3334">
        <f>SUM(R118,R138)</f>
        <v>131</v>
      </c>
      <c r="S144" s="3256">
        <f>SUM(S118,S138)</f>
        <v>281</v>
      </c>
      <c r="T144" s="3257">
        <f t="shared" si="136"/>
        <v>412</v>
      </c>
      <c r="U144" s="3256">
        <f>SUM(U118,U138)</f>
        <v>130</v>
      </c>
      <c r="V144" s="3256">
        <f>SUM(V118,V138)</f>
        <v>289</v>
      </c>
      <c r="W144" s="3257">
        <f t="shared" si="137"/>
        <v>419</v>
      </c>
      <c r="X144" s="3256">
        <f>SUM(X118,X138)</f>
        <v>127</v>
      </c>
      <c r="Y144" s="3256">
        <f>SUM(Y118,Y138)</f>
        <v>289</v>
      </c>
      <c r="Z144" s="3257">
        <f t="shared" si="138"/>
        <v>416</v>
      </c>
      <c r="AA144" s="3256">
        <f>SUM(AA118,AA138)</f>
        <v>129</v>
      </c>
      <c r="AB144" s="3256">
        <f>SUM(AB118,AB138)</f>
        <v>288</v>
      </c>
      <c r="AC144" s="3257">
        <f t="shared" si="139"/>
        <v>417</v>
      </c>
      <c r="AD144" s="3256">
        <f>SUM(AD118,AD138)</f>
        <v>138</v>
      </c>
      <c r="AE144" s="3256">
        <f>SUM(AE118,AE138)</f>
        <v>297</v>
      </c>
      <c r="AF144" s="3257">
        <f t="shared" si="140"/>
        <v>435</v>
      </c>
      <c r="AG144" s="3256">
        <f>SUM(AG118,AG138)</f>
        <v>134</v>
      </c>
      <c r="AH144" s="3256">
        <f>SUM(AH118,AH138)</f>
        <v>293</v>
      </c>
      <c r="AI144" s="3257">
        <f t="shared" si="141"/>
        <v>427</v>
      </c>
      <c r="AJ144" s="3256">
        <f>SUM(AJ118,AJ138)</f>
        <v>133</v>
      </c>
      <c r="AK144" s="3256">
        <f>SUM(AK118,AK138)</f>
        <v>281</v>
      </c>
      <c r="AL144" s="3257">
        <f t="shared" si="142"/>
        <v>414</v>
      </c>
      <c r="AM144" s="3256">
        <f>SUM(AM118,AM138)</f>
        <v>256</v>
      </c>
      <c r="AN144" s="3256">
        <f>SUM(AN118,AN138)</f>
        <v>362</v>
      </c>
      <c r="AO144" s="3257">
        <f t="shared" si="143"/>
        <v>618</v>
      </c>
      <c r="AP144" s="3256">
        <f>SUM(AP118,AP138)</f>
        <v>133</v>
      </c>
      <c r="AQ144" s="3256">
        <f>SUM(AQ118,AQ138)</f>
        <v>273</v>
      </c>
      <c r="AR144" s="3257">
        <f t="shared" si="144"/>
        <v>406</v>
      </c>
      <c r="AS144" s="3256">
        <f>SUM(AS118,AS138)</f>
        <v>134</v>
      </c>
      <c r="AT144" s="3256">
        <f>SUM(AT118,AT138)</f>
        <v>270</v>
      </c>
      <c r="AU144" s="3257">
        <f t="shared" si="145"/>
        <v>404</v>
      </c>
      <c r="AV144" s="3256">
        <f>SUM(AV118,AV138)</f>
        <v>138</v>
      </c>
      <c r="AW144" s="3256">
        <f>SUM(AW118,AW138)</f>
        <v>262</v>
      </c>
      <c r="AX144" s="3257">
        <f t="shared" si="146"/>
        <v>400</v>
      </c>
      <c r="AY144" s="3256">
        <f>SUM(AY118,AY138)</f>
        <v>135</v>
      </c>
      <c r="AZ144" s="3256">
        <f>SUM(AZ118,AZ138)</f>
        <v>256</v>
      </c>
      <c r="BA144" s="3257">
        <f t="shared" si="147"/>
        <v>391</v>
      </c>
      <c r="BB144" s="3256">
        <f>SUM(BB118,BB138)</f>
        <v>133</v>
      </c>
      <c r="BC144" s="3256">
        <f>SUM(BC118,BC138)</f>
        <v>243</v>
      </c>
      <c r="BD144" s="3257">
        <f t="shared" si="148"/>
        <v>376</v>
      </c>
    </row>
    <row r="145" spans="2:56" x14ac:dyDescent="0.3">
      <c r="B145" s="3309" t="s">
        <v>111</v>
      </c>
      <c r="C145" s="3334">
        <f t="shared" ref="C145:Q146" si="152">SUM(C122)</f>
        <v>1</v>
      </c>
      <c r="D145" s="3256">
        <f t="shared" si="152"/>
        <v>2</v>
      </c>
      <c r="E145" s="3257">
        <f t="shared" si="152"/>
        <v>3</v>
      </c>
      <c r="F145" s="3256">
        <f t="shared" si="152"/>
        <v>2</v>
      </c>
      <c r="G145" s="3256">
        <f t="shared" si="152"/>
        <v>7</v>
      </c>
      <c r="H145" s="3256">
        <f t="shared" si="152"/>
        <v>9</v>
      </c>
      <c r="I145" s="3334">
        <f t="shared" si="152"/>
        <v>4</v>
      </c>
      <c r="J145" s="3256">
        <f t="shared" si="152"/>
        <v>9</v>
      </c>
      <c r="K145" s="3257">
        <f t="shared" si="152"/>
        <v>13</v>
      </c>
      <c r="L145" s="3256">
        <f t="shared" si="152"/>
        <v>7</v>
      </c>
      <c r="M145" s="3256">
        <f t="shared" si="152"/>
        <v>17</v>
      </c>
      <c r="N145" s="3256">
        <f t="shared" si="152"/>
        <v>24</v>
      </c>
      <c r="O145" s="3334">
        <f t="shared" si="152"/>
        <v>8</v>
      </c>
      <c r="P145" s="3256">
        <f t="shared" si="152"/>
        <v>22</v>
      </c>
      <c r="Q145" s="3257">
        <f t="shared" si="152"/>
        <v>30</v>
      </c>
      <c r="R145" s="3334">
        <f>SUM(R122)</f>
        <v>13</v>
      </c>
      <c r="S145" s="3256">
        <f>SUM(S122)</f>
        <v>25</v>
      </c>
      <c r="T145" s="3257">
        <f t="shared" si="136"/>
        <v>38</v>
      </c>
      <c r="U145" s="3256">
        <f>SUM(U122)</f>
        <v>16</v>
      </c>
      <c r="V145" s="3256">
        <f>SUM(V122)</f>
        <v>26</v>
      </c>
      <c r="W145" s="3257">
        <f t="shared" si="137"/>
        <v>42</v>
      </c>
      <c r="X145" s="3256">
        <f>SUM(X122)</f>
        <v>18</v>
      </c>
      <c r="Y145" s="3256">
        <f>SUM(Y122)</f>
        <v>35</v>
      </c>
      <c r="Z145" s="3257">
        <f t="shared" si="138"/>
        <v>53</v>
      </c>
      <c r="AA145" s="3256">
        <f>SUM(AA122)</f>
        <v>17</v>
      </c>
      <c r="AB145" s="3256">
        <f>SUM(AB122)</f>
        <v>36</v>
      </c>
      <c r="AC145" s="3257">
        <f t="shared" si="139"/>
        <v>53</v>
      </c>
      <c r="AD145" s="3256">
        <f>SUM(AD122)</f>
        <v>14</v>
      </c>
      <c r="AE145" s="3256">
        <f>SUM(AE122)</f>
        <v>39</v>
      </c>
      <c r="AF145" s="3257">
        <f t="shared" si="140"/>
        <v>53</v>
      </c>
      <c r="AG145" s="3256">
        <f>SUM(AG122)</f>
        <v>14</v>
      </c>
      <c r="AH145" s="3256">
        <f>SUM(AH122)</f>
        <v>41</v>
      </c>
      <c r="AI145" s="3257">
        <f t="shared" si="141"/>
        <v>55</v>
      </c>
      <c r="AJ145" s="3256">
        <f>SUM(AJ122)</f>
        <v>14</v>
      </c>
      <c r="AK145" s="3256">
        <f>SUM(AK122)</f>
        <v>39</v>
      </c>
      <c r="AL145" s="3257">
        <f t="shared" si="142"/>
        <v>53</v>
      </c>
      <c r="AM145" s="3256">
        <f>SUM(AM122)</f>
        <v>15</v>
      </c>
      <c r="AN145" s="3256">
        <f>SUM(AN122)</f>
        <v>37</v>
      </c>
      <c r="AO145" s="3257">
        <f t="shared" si="143"/>
        <v>52</v>
      </c>
      <c r="AP145" s="3256">
        <f>SUM(AP122)</f>
        <v>15</v>
      </c>
      <c r="AQ145" s="3256">
        <f>SUM(AQ122)</f>
        <v>36</v>
      </c>
      <c r="AR145" s="3257">
        <f t="shared" si="144"/>
        <v>51</v>
      </c>
      <c r="AS145" s="3256">
        <f>SUM(AS122)</f>
        <v>15</v>
      </c>
      <c r="AT145" s="3256">
        <f>SUM(AT122)</f>
        <v>38</v>
      </c>
      <c r="AU145" s="3257">
        <f t="shared" si="145"/>
        <v>53</v>
      </c>
      <c r="AV145" s="3256">
        <f>SUM(AV122)</f>
        <v>17</v>
      </c>
      <c r="AW145" s="3256">
        <f>SUM(AW122)</f>
        <v>38</v>
      </c>
      <c r="AX145" s="3257">
        <f t="shared" si="146"/>
        <v>55</v>
      </c>
      <c r="AY145" s="3256">
        <f>SUM(AY122)</f>
        <v>17</v>
      </c>
      <c r="AZ145" s="3256">
        <f>SUM(AZ122)</f>
        <v>40</v>
      </c>
      <c r="BA145" s="3257">
        <f t="shared" si="147"/>
        <v>57</v>
      </c>
      <c r="BB145" s="3256">
        <f>SUM(BB122)</f>
        <v>18</v>
      </c>
      <c r="BC145" s="3256">
        <f>SUM(BC122)</f>
        <v>41</v>
      </c>
      <c r="BD145" s="3257">
        <f t="shared" si="148"/>
        <v>59</v>
      </c>
    </row>
    <row r="146" spans="2:56" x14ac:dyDescent="0.3">
      <c r="B146" s="3310" t="s">
        <v>115</v>
      </c>
      <c r="C146" s="3363">
        <f t="shared" si="152"/>
        <v>1</v>
      </c>
      <c r="D146" s="3314">
        <f t="shared" si="152"/>
        <v>5</v>
      </c>
      <c r="E146" s="3315">
        <f t="shared" si="152"/>
        <v>6</v>
      </c>
      <c r="F146" s="3314">
        <f t="shared" si="152"/>
        <v>1</v>
      </c>
      <c r="G146" s="3314">
        <f t="shared" si="152"/>
        <v>5</v>
      </c>
      <c r="H146" s="3314">
        <f t="shared" si="152"/>
        <v>6</v>
      </c>
      <c r="I146" s="3363">
        <f t="shared" si="152"/>
        <v>5</v>
      </c>
      <c r="J146" s="3314">
        <f t="shared" si="152"/>
        <v>13</v>
      </c>
      <c r="K146" s="3315">
        <f t="shared" si="152"/>
        <v>18</v>
      </c>
      <c r="L146" s="3314">
        <f t="shared" si="152"/>
        <v>8</v>
      </c>
      <c r="M146" s="3314">
        <f t="shared" si="152"/>
        <v>15</v>
      </c>
      <c r="N146" s="3314">
        <f t="shared" si="152"/>
        <v>23</v>
      </c>
      <c r="O146" s="3363">
        <f t="shared" si="152"/>
        <v>8</v>
      </c>
      <c r="P146" s="3314">
        <f t="shared" si="152"/>
        <v>16</v>
      </c>
      <c r="Q146" s="3315">
        <f t="shared" si="152"/>
        <v>24</v>
      </c>
      <c r="R146" s="3363">
        <f>SUM(R123)</f>
        <v>9</v>
      </c>
      <c r="S146" s="3314">
        <f>SUM(S123)</f>
        <v>18</v>
      </c>
      <c r="T146" s="3315">
        <f t="shared" si="136"/>
        <v>27</v>
      </c>
      <c r="U146" s="3314">
        <f>SUM(U123)</f>
        <v>10</v>
      </c>
      <c r="V146" s="3314">
        <f>SUM(V123)</f>
        <v>23</v>
      </c>
      <c r="W146" s="3315">
        <f t="shared" si="137"/>
        <v>33</v>
      </c>
      <c r="X146" s="3314">
        <f>SUM(X123)</f>
        <v>14</v>
      </c>
      <c r="Y146" s="3314">
        <f>SUM(Y123)</f>
        <v>23</v>
      </c>
      <c r="Z146" s="3315">
        <f t="shared" si="138"/>
        <v>37</v>
      </c>
      <c r="AA146" s="3314">
        <f>SUM(AA123)</f>
        <v>15</v>
      </c>
      <c r="AB146" s="3314">
        <f>SUM(AB123)</f>
        <v>23</v>
      </c>
      <c r="AC146" s="3315">
        <f t="shared" si="139"/>
        <v>38</v>
      </c>
      <c r="AD146" s="3314">
        <f>SUM(AD123)</f>
        <v>19</v>
      </c>
      <c r="AE146" s="3314">
        <f>SUM(AE123)</f>
        <v>27</v>
      </c>
      <c r="AF146" s="3315">
        <f t="shared" si="140"/>
        <v>46</v>
      </c>
      <c r="AG146" s="3314">
        <f>SUM(AG123)</f>
        <v>20</v>
      </c>
      <c r="AH146" s="3314">
        <f>SUM(AH123)</f>
        <v>29</v>
      </c>
      <c r="AI146" s="3315">
        <f t="shared" si="141"/>
        <v>49</v>
      </c>
      <c r="AJ146" s="3314">
        <f>SUM(AJ123)</f>
        <v>20</v>
      </c>
      <c r="AK146" s="3314">
        <f>SUM(AK123)</f>
        <v>32</v>
      </c>
      <c r="AL146" s="3315">
        <f t="shared" si="142"/>
        <v>52</v>
      </c>
      <c r="AM146" s="3314">
        <f>SUM(AM123)</f>
        <v>20</v>
      </c>
      <c r="AN146" s="3314">
        <f>SUM(AN123)</f>
        <v>35</v>
      </c>
      <c r="AO146" s="3315">
        <f t="shared" si="143"/>
        <v>55</v>
      </c>
      <c r="AP146" s="3314">
        <f>SUM(AP123)</f>
        <v>19</v>
      </c>
      <c r="AQ146" s="3314">
        <f>SUM(AQ123)</f>
        <v>34</v>
      </c>
      <c r="AR146" s="3315">
        <f t="shared" si="144"/>
        <v>53</v>
      </c>
      <c r="AS146" s="3314">
        <f>SUM(AS123)</f>
        <v>20</v>
      </c>
      <c r="AT146" s="3314">
        <f>SUM(AT123)</f>
        <v>33</v>
      </c>
      <c r="AU146" s="3315">
        <f t="shared" si="145"/>
        <v>53</v>
      </c>
      <c r="AV146" s="3314">
        <f>SUM(AV123)</f>
        <v>20</v>
      </c>
      <c r="AW146" s="3314">
        <f>SUM(AW123)</f>
        <v>34</v>
      </c>
      <c r="AX146" s="3315">
        <f t="shared" si="146"/>
        <v>54</v>
      </c>
      <c r="AY146" s="3314">
        <f>SUM(AY123)</f>
        <v>20</v>
      </c>
      <c r="AZ146" s="3314">
        <f>SUM(AZ123)</f>
        <v>34</v>
      </c>
      <c r="BA146" s="3315">
        <f t="shared" si="147"/>
        <v>54</v>
      </c>
      <c r="BB146" s="3314">
        <f>SUM(BB123)</f>
        <v>20</v>
      </c>
      <c r="BC146" s="3314">
        <f>SUM(BC123)</f>
        <v>33</v>
      </c>
      <c r="BD146" s="3315">
        <f t="shared" si="148"/>
        <v>53</v>
      </c>
    </row>
    <row r="147" spans="2:56" x14ac:dyDescent="0.3">
      <c r="B147" s="3316" t="s">
        <v>431</v>
      </c>
      <c r="C147" s="3367">
        <f t="shared" ref="C147:Q147" si="153">SUM(C141:C146)</f>
        <v>1003</v>
      </c>
      <c r="D147" s="3323">
        <f t="shared" si="153"/>
        <v>1850</v>
      </c>
      <c r="E147" s="3324">
        <f t="shared" si="153"/>
        <v>2853</v>
      </c>
      <c r="F147" s="3323">
        <f t="shared" si="153"/>
        <v>1012</v>
      </c>
      <c r="G147" s="3323">
        <f t="shared" si="153"/>
        <v>1853</v>
      </c>
      <c r="H147" s="3323">
        <f t="shared" si="153"/>
        <v>2865</v>
      </c>
      <c r="I147" s="3367">
        <f t="shared" si="153"/>
        <v>1031</v>
      </c>
      <c r="J147" s="3323">
        <f t="shared" si="153"/>
        <v>1851</v>
      </c>
      <c r="K147" s="3324">
        <f t="shared" si="153"/>
        <v>2882</v>
      </c>
      <c r="L147" s="3323">
        <f t="shared" si="153"/>
        <v>1044</v>
      </c>
      <c r="M147" s="3323">
        <f t="shared" si="153"/>
        <v>1848</v>
      </c>
      <c r="N147" s="3323">
        <f t="shared" si="153"/>
        <v>2892</v>
      </c>
      <c r="O147" s="3367">
        <f t="shared" si="153"/>
        <v>1046</v>
      </c>
      <c r="P147" s="3323">
        <f t="shared" si="153"/>
        <v>1865</v>
      </c>
      <c r="Q147" s="3324">
        <f t="shared" si="153"/>
        <v>2911</v>
      </c>
      <c r="R147" s="3367">
        <f>SUM(R141:R146)</f>
        <v>1084</v>
      </c>
      <c r="S147" s="3323">
        <f>SUM(S141:S146)</f>
        <v>1874</v>
      </c>
      <c r="T147" s="3324">
        <f t="shared" si="136"/>
        <v>2958</v>
      </c>
      <c r="U147" s="3323">
        <f>SUM(U141:U146)</f>
        <v>1099</v>
      </c>
      <c r="V147" s="3323">
        <f>SUM(V141:V146)</f>
        <v>1905</v>
      </c>
      <c r="W147" s="3324">
        <f t="shared" si="137"/>
        <v>3004</v>
      </c>
      <c r="X147" s="3323">
        <f>SUM(X141:X146)</f>
        <v>1108</v>
      </c>
      <c r="Y147" s="3323">
        <f>SUM(Y141:Y146)</f>
        <v>1918</v>
      </c>
      <c r="Z147" s="3324">
        <f t="shared" si="138"/>
        <v>3026</v>
      </c>
      <c r="AA147" s="3323">
        <f>SUM(AA141:AA146)</f>
        <v>1127</v>
      </c>
      <c r="AB147" s="3323">
        <f>SUM(AB141:AB146)</f>
        <v>1930</v>
      </c>
      <c r="AC147" s="3324">
        <f t="shared" si="139"/>
        <v>3057</v>
      </c>
      <c r="AD147" s="3323">
        <f>SUM(AD141:AD146)</f>
        <v>1157</v>
      </c>
      <c r="AE147" s="3323">
        <f>SUM(AE141:AE146)</f>
        <v>1967</v>
      </c>
      <c r="AF147" s="3324">
        <f t="shared" si="140"/>
        <v>3124</v>
      </c>
      <c r="AG147" s="3323">
        <f>SUM(AG141:AG146)</f>
        <v>1144</v>
      </c>
      <c r="AH147" s="3323">
        <f>SUM(AH141:AH146)</f>
        <v>1946</v>
      </c>
      <c r="AI147" s="3324">
        <f t="shared" si="141"/>
        <v>3090</v>
      </c>
      <c r="AJ147" s="3323">
        <f>SUM(AJ141:AJ146)</f>
        <v>1142</v>
      </c>
      <c r="AK147" s="3323">
        <f>SUM(AK141:AK146)</f>
        <v>1920</v>
      </c>
      <c r="AL147" s="3324">
        <f t="shared" si="142"/>
        <v>3062</v>
      </c>
      <c r="AM147" s="3323">
        <f>SUM(AM141:AM146)</f>
        <v>1147</v>
      </c>
      <c r="AN147" s="3323">
        <f>SUM(AN141:AN146)</f>
        <v>1925</v>
      </c>
      <c r="AO147" s="3324">
        <f t="shared" si="143"/>
        <v>3072</v>
      </c>
      <c r="AP147" s="3323">
        <f>SUM(AP141:AP146)</f>
        <v>1157</v>
      </c>
      <c r="AQ147" s="3323">
        <f>SUM(AQ141:AQ146)</f>
        <v>1931</v>
      </c>
      <c r="AR147" s="3324">
        <f t="shared" si="144"/>
        <v>3088</v>
      </c>
      <c r="AS147" s="3323">
        <f>SUM(AS141:AS146)</f>
        <v>1127</v>
      </c>
      <c r="AT147" s="3323">
        <f>SUM(AT141:AT146)</f>
        <v>1910</v>
      </c>
      <c r="AU147" s="3324">
        <f t="shared" si="145"/>
        <v>3037</v>
      </c>
      <c r="AV147" s="3323">
        <f>SUM(AV141:AV146)</f>
        <v>1124</v>
      </c>
      <c r="AW147" s="3323">
        <f>SUM(AW141:AW146)</f>
        <v>1864</v>
      </c>
      <c r="AX147" s="3324">
        <f t="shared" si="146"/>
        <v>2988</v>
      </c>
      <c r="AY147" s="3323">
        <f>SUM(AY141:AY146)</f>
        <v>1105</v>
      </c>
      <c r="AZ147" s="3323">
        <f>SUM(AZ141:AZ146)</f>
        <v>1826</v>
      </c>
      <c r="BA147" s="3324">
        <f t="shared" si="147"/>
        <v>2931</v>
      </c>
      <c r="BB147" s="3323">
        <f>SUM(BB141:BB146)</f>
        <v>1087</v>
      </c>
      <c r="BC147" s="3323">
        <f>SUM(BC141:BC146)</f>
        <v>1775</v>
      </c>
      <c r="BD147" s="3324">
        <f t="shared" si="148"/>
        <v>2862</v>
      </c>
    </row>
    <row r="154" spans="2:56" x14ac:dyDescent="0.3">
      <c r="AF154" s="3378">
        <v>2005</v>
      </c>
    </row>
    <row r="155" spans="2:56" x14ac:dyDescent="0.3">
      <c r="AF155" s="3378">
        <v>2006</v>
      </c>
    </row>
    <row r="156" spans="2:56" x14ac:dyDescent="0.3">
      <c r="AF156" s="3378">
        <v>2007</v>
      </c>
    </row>
    <row r="157" spans="2:56" x14ac:dyDescent="0.3">
      <c r="AF157" s="3378">
        <v>2008</v>
      </c>
    </row>
    <row r="158" spans="2:56" x14ac:dyDescent="0.3">
      <c r="AF158" s="3378">
        <v>2009</v>
      </c>
    </row>
    <row r="159" spans="2:56" x14ac:dyDescent="0.3">
      <c r="AF159" s="3378">
        <v>2010</v>
      </c>
    </row>
    <row r="160" spans="2:56" x14ac:dyDescent="0.3">
      <c r="AF160" s="3378">
        <v>2011</v>
      </c>
    </row>
    <row r="161" spans="32:32" x14ac:dyDescent="0.3">
      <c r="AF161" s="3378">
        <v>2012</v>
      </c>
    </row>
    <row r="162" spans="32:32" x14ac:dyDescent="0.3">
      <c r="AF162" s="3378">
        <v>2013</v>
      </c>
    </row>
    <row r="163" spans="32:32" x14ac:dyDescent="0.3">
      <c r="AF163" s="3378">
        <v>2014</v>
      </c>
    </row>
    <row r="164" spans="32:32" x14ac:dyDescent="0.3">
      <c r="AF164" s="3378">
        <v>2015</v>
      </c>
    </row>
    <row r="165" spans="32:32" x14ac:dyDescent="0.3">
      <c r="AF165" s="3378">
        <v>2016</v>
      </c>
    </row>
    <row r="166" spans="32:32" x14ac:dyDescent="0.3">
      <c r="AF166" s="3378">
        <v>2017</v>
      </c>
    </row>
    <row r="167" spans="32:32" x14ac:dyDescent="0.3">
      <c r="AF167" s="3378">
        <v>2018</v>
      </c>
    </row>
    <row r="168" spans="32:32" x14ac:dyDescent="0.3">
      <c r="AF168" s="3378">
        <v>2019</v>
      </c>
    </row>
    <row r="169" spans="32:32" x14ac:dyDescent="0.3">
      <c r="AF169" s="3378">
        <v>2020</v>
      </c>
    </row>
    <row r="170" spans="32:32" x14ac:dyDescent="0.3">
      <c r="AF170" s="3378">
        <v>2021</v>
      </c>
    </row>
    <row r="171" spans="32:32" x14ac:dyDescent="0.3">
      <c r="AF171" s="3378">
        <v>2022</v>
      </c>
    </row>
  </sheetData>
  <mergeCells count="76">
    <mergeCell ref="AV113:AX113"/>
    <mergeCell ref="O113:Q113"/>
    <mergeCell ref="R113:T113"/>
    <mergeCell ref="U113:W113"/>
    <mergeCell ref="X113:Z113"/>
    <mergeCell ref="AA113:AC113"/>
    <mergeCell ref="AD113:AF113"/>
    <mergeCell ref="AG113:AI113"/>
    <mergeCell ref="AJ113:AL113"/>
    <mergeCell ref="AM113:AO113"/>
    <mergeCell ref="AP113:AR113"/>
    <mergeCell ref="AS113:AU113"/>
    <mergeCell ref="AJ79:AL79"/>
    <mergeCell ref="AM79:AO79"/>
    <mergeCell ref="AP79:AR79"/>
    <mergeCell ref="AS79:AU79"/>
    <mergeCell ref="AV79:AX79"/>
    <mergeCell ref="B113:B114"/>
    <mergeCell ref="C113:E113"/>
    <mergeCell ref="F113:H113"/>
    <mergeCell ref="I113:K113"/>
    <mergeCell ref="L113:N113"/>
    <mergeCell ref="AG79:AI79"/>
    <mergeCell ref="B79:B80"/>
    <mergeCell ref="C79:E79"/>
    <mergeCell ref="F79:H79"/>
    <mergeCell ref="I79:K79"/>
    <mergeCell ref="L79:N79"/>
    <mergeCell ref="O79:Q79"/>
    <mergeCell ref="R79:T79"/>
    <mergeCell ref="U79:W79"/>
    <mergeCell ref="X79:Z79"/>
    <mergeCell ref="AA79:AC79"/>
    <mergeCell ref="AD79:AF79"/>
    <mergeCell ref="AD3:AF3"/>
    <mergeCell ref="B41:B42"/>
    <mergeCell ref="C41:E41"/>
    <mergeCell ref="F41:H41"/>
    <mergeCell ref="I41:K41"/>
    <mergeCell ref="L41:N41"/>
    <mergeCell ref="O41:Q41"/>
    <mergeCell ref="R41:T41"/>
    <mergeCell ref="U41:W41"/>
    <mergeCell ref="X41:Z41"/>
    <mergeCell ref="AA41:AC41"/>
    <mergeCell ref="AD41:AF41"/>
    <mergeCell ref="O3:Q3"/>
    <mergeCell ref="R3:T3"/>
    <mergeCell ref="U3:W3"/>
    <mergeCell ref="X3:Z3"/>
    <mergeCell ref="AA3:AC3"/>
    <mergeCell ref="B3:B4"/>
    <mergeCell ref="C3:E3"/>
    <mergeCell ref="F3:H3"/>
    <mergeCell ref="I3:K3"/>
    <mergeCell ref="L3:N3"/>
    <mergeCell ref="AV3:AX3"/>
    <mergeCell ref="AV41:AX41"/>
    <mergeCell ref="AG41:AI41"/>
    <mergeCell ref="AJ41:AL41"/>
    <mergeCell ref="AM41:AO41"/>
    <mergeCell ref="AP41:AR41"/>
    <mergeCell ref="AS41:AU41"/>
    <mergeCell ref="AG3:AI3"/>
    <mergeCell ref="AJ3:AL3"/>
    <mergeCell ref="AM3:AO3"/>
    <mergeCell ref="AP3:AR3"/>
    <mergeCell ref="AS3:AU3"/>
    <mergeCell ref="BB3:BD3"/>
    <mergeCell ref="BB41:BD41"/>
    <mergeCell ref="BB79:BD79"/>
    <mergeCell ref="BB113:BD113"/>
    <mergeCell ref="AY3:BA3"/>
    <mergeCell ref="AY41:BA41"/>
    <mergeCell ref="AY79:BA79"/>
    <mergeCell ref="AY113:BA11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70" firstPageNumber="140" pageOrder="overThenDown" orientation="landscape" useFirstPageNumber="1" r:id="rId1"/>
  <headerFooter scaleWithDoc="0" alignWithMargins="0">
    <oddFooter>&amp;R&amp;P</oddFooter>
  </headerFooter>
  <rowBreaks count="5" manualBreakCount="5">
    <brk id="38" max="31" man="1"/>
    <brk id="38" min="41" max="55" man="1"/>
    <brk id="76" max="16383" man="1"/>
    <brk id="110" max="16383" man="1"/>
    <brk id="147" min="41" max="55" man="1"/>
  </rowBreaks>
  <colBreaks count="2" manualBreakCount="2">
    <brk id="17" max="141" man="1"/>
    <brk id="32" max="1048575" man="1"/>
  </colBreaks>
  <ignoredErrors>
    <ignoredError sqref="AO9:AX37 AO47:AX75 AO116:AX116 AO85:AX100 AO147:AX147 AY132:AZ132 AO117:AX146 AF117:AN146 AY117:BA131 AY133:BA146 BA132 W6:AL37 BA6:BA37 BA67:BA75 BC132" formula="1"/>
    <ignoredError sqref="T6:T18" formulaRange="1"/>
    <ignoredError sqref="T19:T37" formula="1" formulaRange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B1:BJ93"/>
  <sheetViews>
    <sheetView showGridLines="0" zoomScaleNormal="100" zoomScaleSheetLayoutView="70" workbookViewId="0">
      <pane xSplit="2" ySplit="5" topLeftCell="AO6" activePane="bottomRight" state="frozen"/>
      <selection activeCell="Q31" sqref="Q31"/>
      <selection pane="topRight" activeCell="Q31" sqref="Q31"/>
      <selection pane="bottomLeft" activeCell="Q31" sqref="Q31"/>
      <selection pane="bottomRight" activeCell="Q31" sqref="Q31"/>
    </sheetView>
  </sheetViews>
  <sheetFormatPr baseColWidth="10" defaultColWidth="11.44140625" defaultRowHeight="13.2" x14ac:dyDescent="0.25"/>
  <cols>
    <col min="1" max="1" width="2.88671875" style="25" customWidth="1"/>
    <col min="2" max="2" width="17.5546875" style="25" customWidth="1"/>
    <col min="3" max="40" width="8.88671875" style="25" customWidth="1"/>
    <col min="41" max="41" width="9.5546875" style="25" customWidth="1"/>
    <col min="42" max="43" width="8.88671875" style="25" customWidth="1"/>
    <col min="44" max="44" width="9.5546875" style="25" customWidth="1"/>
    <col min="45" max="46" width="8.88671875" style="25" customWidth="1"/>
    <col min="47" max="47" width="9.5546875" style="25" customWidth="1"/>
    <col min="48" max="86" width="8.88671875" style="25" customWidth="1"/>
    <col min="87" max="255" width="11.44140625" style="25"/>
    <col min="256" max="256" width="0.109375" style="25" customWidth="1"/>
    <col min="257" max="257" width="23.88671875" style="25" customWidth="1"/>
    <col min="258" max="258" width="13" style="25" customWidth="1"/>
    <col min="259" max="260" width="9.88671875" style="25" bestFit="1" customWidth="1"/>
    <col min="261" max="261" width="10.88671875" style="25" customWidth="1"/>
    <col min="262" max="263" width="9.88671875" style="25" bestFit="1" customWidth="1"/>
    <col min="264" max="264" width="10.88671875" style="25" customWidth="1"/>
    <col min="265" max="266" width="9.88671875" style="25" bestFit="1" customWidth="1"/>
    <col min="267" max="267" width="10.88671875" style="25" customWidth="1"/>
    <col min="268" max="269" width="9.88671875" style="25" bestFit="1" customWidth="1"/>
    <col min="270" max="270" width="10.88671875" style="25" customWidth="1"/>
    <col min="271" max="272" width="9.88671875" style="25" bestFit="1" customWidth="1"/>
    <col min="273" max="273" width="10.88671875" style="25" customWidth="1"/>
    <col min="274" max="274" width="9.109375" style="25" bestFit="1" customWidth="1"/>
    <col min="275" max="275" width="9.88671875" style="25" bestFit="1" customWidth="1"/>
    <col min="276" max="276" width="10.88671875" style="25" customWidth="1"/>
    <col min="277" max="278" width="9.88671875" style="25" bestFit="1" customWidth="1"/>
    <col min="279" max="279" width="10.88671875" style="25" customWidth="1"/>
    <col min="280" max="280" width="9.88671875" style="25" bestFit="1" customWidth="1"/>
    <col min="281" max="281" width="7.109375" style="25" bestFit="1" customWidth="1"/>
    <col min="282" max="282" width="10.88671875" style="25" customWidth="1"/>
    <col min="283" max="511" width="11.44140625" style="25"/>
    <col min="512" max="512" width="0.109375" style="25" customWidth="1"/>
    <col min="513" max="513" width="23.88671875" style="25" customWidth="1"/>
    <col min="514" max="514" width="13" style="25" customWidth="1"/>
    <col min="515" max="516" width="9.88671875" style="25" bestFit="1" customWidth="1"/>
    <col min="517" max="517" width="10.88671875" style="25" customWidth="1"/>
    <col min="518" max="519" width="9.88671875" style="25" bestFit="1" customWidth="1"/>
    <col min="520" max="520" width="10.88671875" style="25" customWidth="1"/>
    <col min="521" max="522" width="9.88671875" style="25" bestFit="1" customWidth="1"/>
    <col min="523" max="523" width="10.88671875" style="25" customWidth="1"/>
    <col min="524" max="525" width="9.88671875" style="25" bestFit="1" customWidth="1"/>
    <col min="526" max="526" width="10.88671875" style="25" customWidth="1"/>
    <col min="527" max="528" width="9.88671875" style="25" bestFit="1" customWidth="1"/>
    <col min="529" max="529" width="10.88671875" style="25" customWidth="1"/>
    <col min="530" max="530" width="9.109375" style="25" bestFit="1" customWidth="1"/>
    <col min="531" max="531" width="9.88671875" style="25" bestFit="1" customWidth="1"/>
    <col min="532" max="532" width="10.88671875" style="25" customWidth="1"/>
    <col min="533" max="534" width="9.88671875" style="25" bestFit="1" customWidth="1"/>
    <col min="535" max="535" width="10.88671875" style="25" customWidth="1"/>
    <col min="536" max="536" width="9.88671875" style="25" bestFit="1" customWidth="1"/>
    <col min="537" max="537" width="7.109375" style="25" bestFit="1" customWidth="1"/>
    <col min="538" max="538" width="10.88671875" style="25" customWidth="1"/>
    <col min="539" max="767" width="11.44140625" style="25"/>
    <col min="768" max="768" width="0.109375" style="25" customWidth="1"/>
    <col min="769" max="769" width="23.88671875" style="25" customWidth="1"/>
    <col min="770" max="770" width="13" style="25" customWidth="1"/>
    <col min="771" max="772" width="9.88671875" style="25" bestFit="1" customWidth="1"/>
    <col min="773" max="773" width="10.88671875" style="25" customWidth="1"/>
    <col min="774" max="775" width="9.88671875" style="25" bestFit="1" customWidth="1"/>
    <col min="776" max="776" width="10.88671875" style="25" customWidth="1"/>
    <col min="777" max="778" width="9.88671875" style="25" bestFit="1" customWidth="1"/>
    <col min="779" max="779" width="10.88671875" style="25" customWidth="1"/>
    <col min="780" max="781" width="9.88671875" style="25" bestFit="1" customWidth="1"/>
    <col min="782" max="782" width="10.88671875" style="25" customWidth="1"/>
    <col min="783" max="784" width="9.88671875" style="25" bestFit="1" customWidth="1"/>
    <col min="785" max="785" width="10.88671875" style="25" customWidth="1"/>
    <col min="786" max="786" width="9.109375" style="25" bestFit="1" customWidth="1"/>
    <col min="787" max="787" width="9.88671875" style="25" bestFit="1" customWidth="1"/>
    <col min="788" max="788" width="10.88671875" style="25" customWidth="1"/>
    <col min="789" max="790" width="9.88671875" style="25" bestFit="1" customWidth="1"/>
    <col min="791" max="791" width="10.88671875" style="25" customWidth="1"/>
    <col min="792" max="792" width="9.88671875" style="25" bestFit="1" customWidth="1"/>
    <col min="793" max="793" width="7.109375" style="25" bestFit="1" customWidth="1"/>
    <col min="794" max="794" width="10.88671875" style="25" customWidth="1"/>
    <col min="795" max="1023" width="11.44140625" style="25"/>
    <col min="1024" max="1024" width="0.109375" style="25" customWidth="1"/>
    <col min="1025" max="1025" width="23.88671875" style="25" customWidth="1"/>
    <col min="1026" max="1026" width="13" style="25" customWidth="1"/>
    <col min="1027" max="1028" width="9.88671875" style="25" bestFit="1" customWidth="1"/>
    <col min="1029" max="1029" width="10.88671875" style="25" customWidth="1"/>
    <col min="1030" max="1031" width="9.88671875" style="25" bestFit="1" customWidth="1"/>
    <col min="1032" max="1032" width="10.88671875" style="25" customWidth="1"/>
    <col min="1033" max="1034" width="9.88671875" style="25" bestFit="1" customWidth="1"/>
    <col min="1035" max="1035" width="10.88671875" style="25" customWidth="1"/>
    <col min="1036" max="1037" width="9.88671875" style="25" bestFit="1" customWidth="1"/>
    <col min="1038" max="1038" width="10.88671875" style="25" customWidth="1"/>
    <col min="1039" max="1040" width="9.88671875" style="25" bestFit="1" customWidth="1"/>
    <col min="1041" max="1041" width="10.88671875" style="25" customWidth="1"/>
    <col min="1042" max="1042" width="9.109375" style="25" bestFit="1" customWidth="1"/>
    <col min="1043" max="1043" width="9.88671875" style="25" bestFit="1" customWidth="1"/>
    <col min="1044" max="1044" width="10.88671875" style="25" customWidth="1"/>
    <col min="1045" max="1046" width="9.88671875" style="25" bestFit="1" customWidth="1"/>
    <col min="1047" max="1047" width="10.88671875" style="25" customWidth="1"/>
    <col min="1048" max="1048" width="9.88671875" style="25" bestFit="1" customWidth="1"/>
    <col min="1049" max="1049" width="7.109375" style="25" bestFit="1" customWidth="1"/>
    <col min="1050" max="1050" width="10.88671875" style="25" customWidth="1"/>
    <col min="1051" max="1279" width="11.44140625" style="25"/>
    <col min="1280" max="1280" width="0.109375" style="25" customWidth="1"/>
    <col min="1281" max="1281" width="23.88671875" style="25" customWidth="1"/>
    <col min="1282" max="1282" width="13" style="25" customWidth="1"/>
    <col min="1283" max="1284" width="9.88671875" style="25" bestFit="1" customWidth="1"/>
    <col min="1285" max="1285" width="10.88671875" style="25" customWidth="1"/>
    <col min="1286" max="1287" width="9.88671875" style="25" bestFit="1" customWidth="1"/>
    <col min="1288" max="1288" width="10.88671875" style="25" customWidth="1"/>
    <col min="1289" max="1290" width="9.88671875" style="25" bestFit="1" customWidth="1"/>
    <col min="1291" max="1291" width="10.88671875" style="25" customWidth="1"/>
    <col min="1292" max="1293" width="9.88671875" style="25" bestFit="1" customWidth="1"/>
    <col min="1294" max="1294" width="10.88671875" style="25" customWidth="1"/>
    <col min="1295" max="1296" width="9.88671875" style="25" bestFit="1" customWidth="1"/>
    <col min="1297" max="1297" width="10.88671875" style="25" customWidth="1"/>
    <col min="1298" max="1298" width="9.109375" style="25" bestFit="1" customWidth="1"/>
    <col min="1299" max="1299" width="9.88671875" style="25" bestFit="1" customWidth="1"/>
    <col min="1300" max="1300" width="10.88671875" style="25" customWidth="1"/>
    <col min="1301" max="1302" width="9.88671875" style="25" bestFit="1" customWidth="1"/>
    <col min="1303" max="1303" width="10.88671875" style="25" customWidth="1"/>
    <col min="1304" max="1304" width="9.88671875" style="25" bestFit="1" customWidth="1"/>
    <col min="1305" max="1305" width="7.109375" style="25" bestFit="1" customWidth="1"/>
    <col min="1306" max="1306" width="10.88671875" style="25" customWidth="1"/>
    <col min="1307" max="1535" width="11.44140625" style="25"/>
    <col min="1536" max="1536" width="0.109375" style="25" customWidth="1"/>
    <col min="1537" max="1537" width="23.88671875" style="25" customWidth="1"/>
    <col min="1538" max="1538" width="13" style="25" customWidth="1"/>
    <col min="1539" max="1540" width="9.88671875" style="25" bestFit="1" customWidth="1"/>
    <col min="1541" max="1541" width="10.88671875" style="25" customWidth="1"/>
    <col min="1542" max="1543" width="9.88671875" style="25" bestFit="1" customWidth="1"/>
    <col min="1544" max="1544" width="10.88671875" style="25" customWidth="1"/>
    <col min="1545" max="1546" width="9.88671875" style="25" bestFit="1" customWidth="1"/>
    <col min="1547" max="1547" width="10.88671875" style="25" customWidth="1"/>
    <col min="1548" max="1549" width="9.88671875" style="25" bestFit="1" customWidth="1"/>
    <col min="1550" max="1550" width="10.88671875" style="25" customWidth="1"/>
    <col min="1551" max="1552" width="9.88671875" style="25" bestFit="1" customWidth="1"/>
    <col min="1553" max="1553" width="10.88671875" style="25" customWidth="1"/>
    <col min="1554" max="1554" width="9.109375" style="25" bestFit="1" customWidth="1"/>
    <col min="1555" max="1555" width="9.88671875" style="25" bestFit="1" customWidth="1"/>
    <col min="1556" max="1556" width="10.88671875" style="25" customWidth="1"/>
    <col min="1557" max="1558" width="9.88671875" style="25" bestFit="1" customWidth="1"/>
    <col min="1559" max="1559" width="10.88671875" style="25" customWidth="1"/>
    <col min="1560" max="1560" width="9.88671875" style="25" bestFit="1" customWidth="1"/>
    <col min="1561" max="1561" width="7.109375" style="25" bestFit="1" customWidth="1"/>
    <col min="1562" max="1562" width="10.88671875" style="25" customWidth="1"/>
    <col min="1563" max="1791" width="11.44140625" style="25"/>
    <col min="1792" max="1792" width="0.109375" style="25" customWidth="1"/>
    <col min="1793" max="1793" width="23.88671875" style="25" customWidth="1"/>
    <col min="1794" max="1794" width="13" style="25" customWidth="1"/>
    <col min="1795" max="1796" width="9.88671875" style="25" bestFit="1" customWidth="1"/>
    <col min="1797" max="1797" width="10.88671875" style="25" customWidth="1"/>
    <col min="1798" max="1799" width="9.88671875" style="25" bestFit="1" customWidth="1"/>
    <col min="1800" max="1800" width="10.88671875" style="25" customWidth="1"/>
    <col min="1801" max="1802" width="9.88671875" style="25" bestFit="1" customWidth="1"/>
    <col min="1803" max="1803" width="10.88671875" style="25" customWidth="1"/>
    <col min="1804" max="1805" width="9.88671875" style="25" bestFit="1" customWidth="1"/>
    <col min="1806" max="1806" width="10.88671875" style="25" customWidth="1"/>
    <col min="1807" max="1808" width="9.88671875" style="25" bestFit="1" customWidth="1"/>
    <col min="1809" max="1809" width="10.88671875" style="25" customWidth="1"/>
    <col min="1810" max="1810" width="9.109375" style="25" bestFit="1" customWidth="1"/>
    <col min="1811" max="1811" width="9.88671875" style="25" bestFit="1" customWidth="1"/>
    <col min="1812" max="1812" width="10.88671875" style="25" customWidth="1"/>
    <col min="1813" max="1814" width="9.88671875" style="25" bestFit="1" customWidth="1"/>
    <col min="1815" max="1815" width="10.88671875" style="25" customWidth="1"/>
    <col min="1816" max="1816" width="9.88671875" style="25" bestFit="1" customWidth="1"/>
    <col min="1817" max="1817" width="7.109375" style="25" bestFit="1" customWidth="1"/>
    <col min="1818" max="1818" width="10.88671875" style="25" customWidth="1"/>
    <col min="1819" max="2047" width="11.44140625" style="25"/>
    <col min="2048" max="2048" width="0.109375" style="25" customWidth="1"/>
    <col min="2049" max="2049" width="23.88671875" style="25" customWidth="1"/>
    <col min="2050" max="2050" width="13" style="25" customWidth="1"/>
    <col min="2051" max="2052" width="9.88671875" style="25" bestFit="1" customWidth="1"/>
    <col min="2053" max="2053" width="10.88671875" style="25" customWidth="1"/>
    <col min="2054" max="2055" width="9.88671875" style="25" bestFit="1" customWidth="1"/>
    <col min="2056" max="2056" width="10.88671875" style="25" customWidth="1"/>
    <col min="2057" max="2058" width="9.88671875" style="25" bestFit="1" customWidth="1"/>
    <col min="2059" max="2059" width="10.88671875" style="25" customWidth="1"/>
    <col min="2060" max="2061" width="9.88671875" style="25" bestFit="1" customWidth="1"/>
    <col min="2062" max="2062" width="10.88671875" style="25" customWidth="1"/>
    <col min="2063" max="2064" width="9.88671875" style="25" bestFit="1" customWidth="1"/>
    <col min="2065" max="2065" width="10.88671875" style="25" customWidth="1"/>
    <col min="2066" max="2066" width="9.109375" style="25" bestFit="1" customWidth="1"/>
    <col min="2067" max="2067" width="9.88671875" style="25" bestFit="1" customWidth="1"/>
    <col min="2068" max="2068" width="10.88671875" style="25" customWidth="1"/>
    <col min="2069" max="2070" width="9.88671875" style="25" bestFit="1" customWidth="1"/>
    <col min="2071" max="2071" width="10.88671875" style="25" customWidth="1"/>
    <col min="2072" max="2072" width="9.88671875" style="25" bestFit="1" customWidth="1"/>
    <col min="2073" max="2073" width="7.109375" style="25" bestFit="1" customWidth="1"/>
    <col min="2074" max="2074" width="10.88671875" style="25" customWidth="1"/>
    <col min="2075" max="2303" width="11.44140625" style="25"/>
    <col min="2304" max="2304" width="0.109375" style="25" customWidth="1"/>
    <col min="2305" max="2305" width="23.88671875" style="25" customWidth="1"/>
    <col min="2306" max="2306" width="13" style="25" customWidth="1"/>
    <col min="2307" max="2308" width="9.88671875" style="25" bestFit="1" customWidth="1"/>
    <col min="2309" max="2309" width="10.88671875" style="25" customWidth="1"/>
    <col min="2310" max="2311" width="9.88671875" style="25" bestFit="1" customWidth="1"/>
    <col min="2312" max="2312" width="10.88671875" style="25" customWidth="1"/>
    <col min="2313" max="2314" width="9.88671875" style="25" bestFit="1" customWidth="1"/>
    <col min="2315" max="2315" width="10.88671875" style="25" customWidth="1"/>
    <col min="2316" max="2317" width="9.88671875" style="25" bestFit="1" customWidth="1"/>
    <col min="2318" max="2318" width="10.88671875" style="25" customWidth="1"/>
    <col min="2319" max="2320" width="9.88671875" style="25" bestFit="1" customWidth="1"/>
    <col min="2321" max="2321" width="10.88671875" style="25" customWidth="1"/>
    <col min="2322" max="2322" width="9.109375" style="25" bestFit="1" customWidth="1"/>
    <col min="2323" max="2323" width="9.88671875" style="25" bestFit="1" customWidth="1"/>
    <col min="2324" max="2324" width="10.88671875" style="25" customWidth="1"/>
    <col min="2325" max="2326" width="9.88671875" style="25" bestFit="1" customWidth="1"/>
    <col min="2327" max="2327" width="10.88671875" style="25" customWidth="1"/>
    <col min="2328" max="2328" width="9.88671875" style="25" bestFit="1" customWidth="1"/>
    <col min="2329" max="2329" width="7.109375" style="25" bestFit="1" customWidth="1"/>
    <col min="2330" max="2330" width="10.88671875" style="25" customWidth="1"/>
    <col min="2331" max="2559" width="11.44140625" style="25"/>
    <col min="2560" max="2560" width="0.109375" style="25" customWidth="1"/>
    <col min="2561" max="2561" width="23.88671875" style="25" customWidth="1"/>
    <col min="2562" max="2562" width="13" style="25" customWidth="1"/>
    <col min="2563" max="2564" width="9.88671875" style="25" bestFit="1" customWidth="1"/>
    <col min="2565" max="2565" width="10.88671875" style="25" customWidth="1"/>
    <col min="2566" max="2567" width="9.88671875" style="25" bestFit="1" customWidth="1"/>
    <col min="2568" max="2568" width="10.88671875" style="25" customWidth="1"/>
    <col min="2569" max="2570" width="9.88671875" style="25" bestFit="1" customWidth="1"/>
    <col min="2571" max="2571" width="10.88671875" style="25" customWidth="1"/>
    <col min="2572" max="2573" width="9.88671875" style="25" bestFit="1" customWidth="1"/>
    <col min="2574" max="2574" width="10.88671875" style="25" customWidth="1"/>
    <col min="2575" max="2576" width="9.88671875" style="25" bestFit="1" customWidth="1"/>
    <col min="2577" max="2577" width="10.88671875" style="25" customWidth="1"/>
    <col min="2578" max="2578" width="9.109375" style="25" bestFit="1" customWidth="1"/>
    <col min="2579" max="2579" width="9.88671875" style="25" bestFit="1" customWidth="1"/>
    <col min="2580" max="2580" width="10.88671875" style="25" customWidth="1"/>
    <col min="2581" max="2582" width="9.88671875" style="25" bestFit="1" customWidth="1"/>
    <col min="2583" max="2583" width="10.88671875" style="25" customWidth="1"/>
    <col min="2584" max="2584" width="9.88671875" style="25" bestFit="1" customWidth="1"/>
    <col min="2585" max="2585" width="7.109375" style="25" bestFit="1" customWidth="1"/>
    <col min="2586" max="2586" width="10.88671875" style="25" customWidth="1"/>
    <col min="2587" max="2815" width="11.44140625" style="25"/>
    <col min="2816" max="2816" width="0.109375" style="25" customWidth="1"/>
    <col min="2817" max="2817" width="23.88671875" style="25" customWidth="1"/>
    <col min="2818" max="2818" width="13" style="25" customWidth="1"/>
    <col min="2819" max="2820" width="9.88671875" style="25" bestFit="1" customWidth="1"/>
    <col min="2821" max="2821" width="10.88671875" style="25" customWidth="1"/>
    <col min="2822" max="2823" width="9.88671875" style="25" bestFit="1" customWidth="1"/>
    <col min="2824" max="2824" width="10.88671875" style="25" customWidth="1"/>
    <col min="2825" max="2826" width="9.88671875" style="25" bestFit="1" customWidth="1"/>
    <col min="2827" max="2827" width="10.88671875" style="25" customWidth="1"/>
    <col min="2828" max="2829" width="9.88671875" style="25" bestFit="1" customWidth="1"/>
    <col min="2830" max="2830" width="10.88671875" style="25" customWidth="1"/>
    <col min="2831" max="2832" width="9.88671875" style="25" bestFit="1" customWidth="1"/>
    <col min="2833" max="2833" width="10.88671875" style="25" customWidth="1"/>
    <col min="2834" max="2834" width="9.109375" style="25" bestFit="1" customWidth="1"/>
    <col min="2835" max="2835" width="9.88671875" style="25" bestFit="1" customWidth="1"/>
    <col min="2836" max="2836" width="10.88671875" style="25" customWidth="1"/>
    <col min="2837" max="2838" width="9.88671875" style="25" bestFit="1" customWidth="1"/>
    <col min="2839" max="2839" width="10.88671875" style="25" customWidth="1"/>
    <col min="2840" max="2840" width="9.88671875" style="25" bestFit="1" customWidth="1"/>
    <col min="2841" max="2841" width="7.109375" style="25" bestFit="1" customWidth="1"/>
    <col min="2842" max="2842" width="10.88671875" style="25" customWidth="1"/>
    <col min="2843" max="3071" width="11.44140625" style="25"/>
    <col min="3072" max="3072" width="0.109375" style="25" customWidth="1"/>
    <col min="3073" max="3073" width="23.88671875" style="25" customWidth="1"/>
    <col min="3074" max="3074" width="13" style="25" customWidth="1"/>
    <col min="3075" max="3076" width="9.88671875" style="25" bestFit="1" customWidth="1"/>
    <col min="3077" max="3077" width="10.88671875" style="25" customWidth="1"/>
    <col min="3078" max="3079" width="9.88671875" style="25" bestFit="1" customWidth="1"/>
    <col min="3080" max="3080" width="10.88671875" style="25" customWidth="1"/>
    <col min="3081" max="3082" width="9.88671875" style="25" bestFit="1" customWidth="1"/>
    <col min="3083" max="3083" width="10.88671875" style="25" customWidth="1"/>
    <col min="3084" max="3085" width="9.88671875" style="25" bestFit="1" customWidth="1"/>
    <col min="3086" max="3086" width="10.88671875" style="25" customWidth="1"/>
    <col min="3087" max="3088" width="9.88671875" style="25" bestFit="1" customWidth="1"/>
    <col min="3089" max="3089" width="10.88671875" style="25" customWidth="1"/>
    <col min="3090" max="3090" width="9.109375" style="25" bestFit="1" customWidth="1"/>
    <col min="3091" max="3091" width="9.88671875" style="25" bestFit="1" customWidth="1"/>
    <col min="3092" max="3092" width="10.88671875" style="25" customWidth="1"/>
    <col min="3093" max="3094" width="9.88671875" style="25" bestFit="1" customWidth="1"/>
    <col min="3095" max="3095" width="10.88671875" style="25" customWidth="1"/>
    <col min="3096" max="3096" width="9.88671875" style="25" bestFit="1" customWidth="1"/>
    <col min="3097" max="3097" width="7.109375" style="25" bestFit="1" customWidth="1"/>
    <col min="3098" max="3098" width="10.88671875" style="25" customWidth="1"/>
    <col min="3099" max="3327" width="11.44140625" style="25"/>
    <col min="3328" max="3328" width="0.109375" style="25" customWidth="1"/>
    <col min="3329" max="3329" width="23.88671875" style="25" customWidth="1"/>
    <col min="3330" max="3330" width="13" style="25" customWidth="1"/>
    <col min="3331" max="3332" width="9.88671875" style="25" bestFit="1" customWidth="1"/>
    <col min="3333" max="3333" width="10.88671875" style="25" customWidth="1"/>
    <col min="3334" max="3335" width="9.88671875" style="25" bestFit="1" customWidth="1"/>
    <col min="3336" max="3336" width="10.88671875" style="25" customWidth="1"/>
    <col min="3337" max="3338" width="9.88671875" style="25" bestFit="1" customWidth="1"/>
    <col min="3339" max="3339" width="10.88671875" style="25" customWidth="1"/>
    <col min="3340" max="3341" width="9.88671875" style="25" bestFit="1" customWidth="1"/>
    <col min="3342" max="3342" width="10.88671875" style="25" customWidth="1"/>
    <col min="3343" max="3344" width="9.88671875" style="25" bestFit="1" customWidth="1"/>
    <col min="3345" max="3345" width="10.88671875" style="25" customWidth="1"/>
    <col min="3346" max="3346" width="9.109375" style="25" bestFit="1" customWidth="1"/>
    <col min="3347" max="3347" width="9.88671875" style="25" bestFit="1" customWidth="1"/>
    <col min="3348" max="3348" width="10.88671875" style="25" customWidth="1"/>
    <col min="3349" max="3350" width="9.88671875" style="25" bestFit="1" customWidth="1"/>
    <col min="3351" max="3351" width="10.88671875" style="25" customWidth="1"/>
    <col min="3352" max="3352" width="9.88671875" style="25" bestFit="1" customWidth="1"/>
    <col min="3353" max="3353" width="7.109375" style="25" bestFit="1" customWidth="1"/>
    <col min="3354" max="3354" width="10.88671875" style="25" customWidth="1"/>
    <col min="3355" max="3583" width="11.44140625" style="25"/>
    <col min="3584" max="3584" width="0.109375" style="25" customWidth="1"/>
    <col min="3585" max="3585" width="23.88671875" style="25" customWidth="1"/>
    <col min="3586" max="3586" width="13" style="25" customWidth="1"/>
    <col min="3587" max="3588" width="9.88671875" style="25" bestFit="1" customWidth="1"/>
    <col min="3589" max="3589" width="10.88671875" style="25" customWidth="1"/>
    <col min="3590" max="3591" width="9.88671875" style="25" bestFit="1" customWidth="1"/>
    <col min="3592" max="3592" width="10.88671875" style="25" customWidth="1"/>
    <col min="3593" max="3594" width="9.88671875" style="25" bestFit="1" customWidth="1"/>
    <col min="3595" max="3595" width="10.88671875" style="25" customWidth="1"/>
    <col min="3596" max="3597" width="9.88671875" style="25" bestFit="1" customWidth="1"/>
    <col min="3598" max="3598" width="10.88671875" style="25" customWidth="1"/>
    <col min="3599" max="3600" width="9.88671875" style="25" bestFit="1" customWidth="1"/>
    <col min="3601" max="3601" width="10.88671875" style="25" customWidth="1"/>
    <col min="3602" max="3602" width="9.109375" style="25" bestFit="1" customWidth="1"/>
    <col min="3603" max="3603" width="9.88671875" style="25" bestFit="1" customWidth="1"/>
    <col min="3604" max="3604" width="10.88671875" style="25" customWidth="1"/>
    <col min="3605" max="3606" width="9.88671875" style="25" bestFit="1" customWidth="1"/>
    <col min="3607" max="3607" width="10.88671875" style="25" customWidth="1"/>
    <col min="3608" max="3608" width="9.88671875" style="25" bestFit="1" customWidth="1"/>
    <col min="3609" max="3609" width="7.109375" style="25" bestFit="1" customWidth="1"/>
    <col min="3610" max="3610" width="10.88671875" style="25" customWidth="1"/>
    <col min="3611" max="3839" width="11.44140625" style="25"/>
    <col min="3840" max="3840" width="0.109375" style="25" customWidth="1"/>
    <col min="3841" max="3841" width="23.88671875" style="25" customWidth="1"/>
    <col min="3842" max="3842" width="13" style="25" customWidth="1"/>
    <col min="3843" max="3844" width="9.88671875" style="25" bestFit="1" customWidth="1"/>
    <col min="3845" max="3845" width="10.88671875" style="25" customWidth="1"/>
    <col min="3846" max="3847" width="9.88671875" style="25" bestFit="1" customWidth="1"/>
    <col min="3848" max="3848" width="10.88671875" style="25" customWidth="1"/>
    <col min="3849" max="3850" width="9.88671875" style="25" bestFit="1" customWidth="1"/>
    <col min="3851" max="3851" width="10.88671875" style="25" customWidth="1"/>
    <col min="3852" max="3853" width="9.88671875" style="25" bestFit="1" customWidth="1"/>
    <col min="3854" max="3854" width="10.88671875" style="25" customWidth="1"/>
    <col min="3855" max="3856" width="9.88671875" style="25" bestFit="1" customWidth="1"/>
    <col min="3857" max="3857" width="10.88671875" style="25" customWidth="1"/>
    <col min="3858" max="3858" width="9.109375" style="25" bestFit="1" customWidth="1"/>
    <col min="3859" max="3859" width="9.88671875" style="25" bestFit="1" customWidth="1"/>
    <col min="3860" max="3860" width="10.88671875" style="25" customWidth="1"/>
    <col min="3861" max="3862" width="9.88671875" style="25" bestFit="1" customWidth="1"/>
    <col min="3863" max="3863" width="10.88671875" style="25" customWidth="1"/>
    <col min="3864" max="3864" width="9.88671875" style="25" bestFit="1" customWidth="1"/>
    <col min="3865" max="3865" width="7.109375" style="25" bestFit="1" customWidth="1"/>
    <col min="3866" max="3866" width="10.88671875" style="25" customWidth="1"/>
    <col min="3867" max="4095" width="11.44140625" style="25"/>
    <col min="4096" max="4096" width="0.109375" style="25" customWidth="1"/>
    <col min="4097" max="4097" width="23.88671875" style="25" customWidth="1"/>
    <col min="4098" max="4098" width="13" style="25" customWidth="1"/>
    <col min="4099" max="4100" width="9.88671875" style="25" bestFit="1" customWidth="1"/>
    <col min="4101" max="4101" width="10.88671875" style="25" customWidth="1"/>
    <col min="4102" max="4103" width="9.88671875" style="25" bestFit="1" customWidth="1"/>
    <col min="4104" max="4104" width="10.88671875" style="25" customWidth="1"/>
    <col min="4105" max="4106" width="9.88671875" style="25" bestFit="1" customWidth="1"/>
    <col min="4107" max="4107" width="10.88671875" style="25" customWidth="1"/>
    <col min="4108" max="4109" width="9.88671875" style="25" bestFit="1" customWidth="1"/>
    <col min="4110" max="4110" width="10.88671875" style="25" customWidth="1"/>
    <col min="4111" max="4112" width="9.88671875" style="25" bestFit="1" customWidth="1"/>
    <col min="4113" max="4113" width="10.88671875" style="25" customWidth="1"/>
    <col min="4114" max="4114" width="9.109375" style="25" bestFit="1" customWidth="1"/>
    <col min="4115" max="4115" width="9.88671875" style="25" bestFit="1" customWidth="1"/>
    <col min="4116" max="4116" width="10.88671875" style="25" customWidth="1"/>
    <col min="4117" max="4118" width="9.88671875" style="25" bestFit="1" customWidth="1"/>
    <col min="4119" max="4119" width="10.88671875" style="25" customWidth="1"/>
    <col min="4120" max="4120" width="9.88671875" style="25" bestFit="1" customWidth="1"/>
    <col min="4121" max="4121" width="7.109375" style="25" bestFit="1" customWidth="1"/>
    <col min="4122" max="4122" width="10.88671875" style="25" customWidth="1"/>
    <col min="4123" max="4351" width="11.44140625" style="25"/>
    <col min="4352" max="4352" width="0.109375" style="25" customWidth="1"/>
    <col min="4353" max="4353" width="23.88671875" style="25" customWidth="1"/>
    <col min="4354" max="4354" width="13" style="25" customWidth="1"/>
    <col min="4355" max="4356" width="9.88671875" style="25" bestFit="1" customWidth="1"/>
    <col min="4357" max="4357" width="10.88671875" style="25" customWidth="1"/>
    <col min="4358" max="4359" width="9.88671875" style="25" bestFit="1" customWidth="1"/>
    <col min="4360" max="4360" width="10.88671875" style="25" customWidth="1"/>
    <col min="4361" max="4362" width="9.88671875" style="25" bestFit="1" customWidth="1"/>
    <col min="4363" max="4363" width="10.88671875" style="25" customWidth="1"/>
    <col min="4364" max="4365" width="9.88671875" style="25" bestFit="1" customWidth="1"/>
    <col min="4366" max="4366" width="10.88671875" style="25" customWidth="1"/>
    <col min="4367" max="4368" width="9.88671875" style="25" bestFit="1" customWidth="1"/>
    <col min="4369" max="4369" width="10.88671875" style="25" customWidth="1"/>
    <col min="4370" max="4370" width="9.109375" style="25" bestFit="1" customWidth="1"/>
    <col min="4371" max="4371" width="9.88671875" style="25" bestFit="1" customWidth="1"/>
    <col min="4372" max="4372" width="10.88671875" style="25" customWidth="1"/>
    <col min="4373" max="4374" width="9.88671875" style="25" bestFit="1" customWidth="1"/>
    <col min="4375" max="4375" width="10.88671875" style="25" customWidth="1"/>
    <col min="4376" max="4376" width="9.88671875" style="25" bestFit="1" customWidth="1"/>
    <col min="4377" max="4377" width="7.109375" style="25" bestFit="1" customWidth="1"/>
    <col min="4378" max="4378" width="10.88671875" style="25" customWidth="1"/>
    <col min="4379" max="4607" width="11.44140625" style="25"/>
    <col min="4608" max="4608" width="0.109375" style="25" customWidth="1"/>
    <col min="4609" max="4609" width="23.88671875" style="25" customWidth="1"/>
    <col min="4610" max="4610" width="13" style="25" customWidth="1"/>
    <col min="4611" max="4612" width="9.88671875" style="25" bestFit="1" customWidth="1"/>
    <col min="4613" max="4613" width="10.88671875" style="25" customWidth="1"/>
    <col min="4614" max="4615" width="9.88671875" style="25" bestFit="1" customWidth="1"/>
    <col min="4616" max="4616" width="10.88671875" style="25" customWidth="1"/>
    <col min="4617" max="4618" width="9.88671875" style="25" bestFit="1" customWidth="1"/>
    <col min="4619" max="4619" width="10.88671875" style="25" customWidth="1"/>
    <col min="4620" max="4621" width="9.88671875" style="25" bestFit="1" customWidth="1"/>
    <col min="4622" max="4622" width="10.88671875" style="25" customWidth="1"/>
    <col min="4623" max="4624" width="9.88671875" style="25" bestFit="1" customWidth="1"/>
    <col min="4625" max="4625" width="10.88671875" style="25" customWidth="1"/>
    <col min="4626" max="4626" width="9.109375" style="25" bestFit="1" customWidth="1"/>
    <col min="4627" max="4627" width="9.88671875" style="25" bestFit="1" customWidth="1"/>
    <col min="4628" max="4628" width="10.88671875" style="25" customWidth="1"/>
    <col min="4629" max="4630" width="9.88671875" style="25" bestFit="1" customWidth="1"/>
    <col min="4631" max="4631" width="10.88671875" style="25" customWidth="1"/>
    <col min="4632" max="4632" width="9.88671875" style="25" bestFit="1" customWidth="1"/>
    <col min="4633" max="4633" width="7.109375" style="25" bestFit="1" customWidth="1"/>
    <col min="4634" max="4634" width="10.88671875" style="25" customWidth="1"/>
    <col min="4635" max="4863" width="11.44140625" style="25"/>
    <col min="4864" max="4864" width="0.109375" style="25" customWidth="1"/>
    <col min="4865" max="4865" width="23.88671875" style="25" customWidth="1"/>
    <col min="4866" max="4866" width="13" style="25" customWidth="1"/>
    <col min="4867" max="4868" width="9.88671875" style="25" bestFit="1" customWidth="1"/>
    <col min="4869" max="4869" width="10.88671875" style="25" customWidth="1"/>
    <col min="4870" max="4871" width="9.88671875" style="25" bestFit="1" customWidth="1"/>
    <col min="4872" max="4872" width="10.88671875" style="25" customWidth="1"/>
    <col min="4873" max="4874" width="9.88671875" style="25" bestFit="1" customWidth="1"/>
    <col min="4875" max="4875" width="10.88671875" style="25" customWidth="1"/>
    <col min="4876" max="4877" width="9.88671875" style="25" bestFit="1" customWidth="1"/>
    <col min="4878" max="4878" width="10.88671875" style="25" customWidth="1"/>
    <col min="4879" max="4880" width="9.88671875" style="25" bestFit="1" customWidth="1"/>
    <col min="4881" max="4881" width="10.88671875" style="25" customWidth="1"/>
    <col min="4882" max="4882" width="9.109375" style="25" bestFit="1" customWidth="1"/>
    <col min="4883" max="4883" width="9.88671875" style="25" bestFit="1" customWidth="1"/>
    <col min="4884" max="4884" width="10.88671875" style="25" customWidth="1"/>
    <col min="4885" max="4886" width="9.88671875" style="25" bestFit="1" customWidth="1"/>
    <col min="4887" max="4887" width="10.88671875" style="25" customWidth="1"/>
    <col min="4888" max="4888" width="9.88671875" style="25" bestFit="1" customWidth="1"/>
    <col min="4889" max="4889" width="7.109375" style="25" bestFit="1" customWidth="1"/>
    <col min="4890" max="4890" width="10.88671875" style="25" customWidth="1"/>
    <col min="4891" max="5119" width="11.44140625" style="25"/>
    <col min="5120" max="5120" width="0.109375" style="25" customWidth="1"/>
    <col min="5121" max="5121" width="23.88671875" style="25" customWidth="1"/>
    <col min="5122" max="5122" width="13" style="25" customWidth="1"/>
    <col min="5123" max="5124" width="9.88671875" style="25" bestFit="1" customWidth="1"/>
    <col min="5125" max="5125" width="10.88671875" style="25" customWidth="1"/>
    <col min="5126" max="5127" width="9.88671875" style="25" bestFit="1" customWidth="1"/>
    <col min="5128" max="5128" width="10.88671875" style="25" customWidth="1"/>
    <col min="5129" max="5130" width="9.88671875" style="25" bestFit="1" customWidth="1"/>
    <col min="5131" max="5131" width="10.88671875" style="25" customWidth="1"/>
    <col min="5132" max="5133" width="9.88671875" style="25" bestFit="1" customWidth="1"/>
    <col min="5134" max="5134" width="10.88671875" style="25" customWidth="1"/>
    <col min="5135" max="5136" width="9.88671875" style="25" bestFit="1" customWidth="1"/>
    <col min="5137" max="5137" width="10.88671875" style="25" customWidth="1"/>
    <col min="5138" max="5138" width="9.109375" style="25" bestFit="1" customWidth="1"/>
    <col min="5139" max="5139" width="9.88671875" style="25" bestFit="1" customWidth="1"/>
    <col min="5140" max="5140" width="10.88671875" style="25" customWidth="1"/>
    <col min="5141" max="5142" width="9.88671875" style="25" bestFit="1" customWidth="1"/>
    <col min="5143" max="5143" width="10.88671875" style="25" customWidth="1"/>
    <col min="5144" max="5144" width="9.88671875" style="25" bestFit="1" customWidth="1"/>
    <col min="5145" max="5145" width="7.109375" style="25" bestFit="1" customWidth="1"/>
    <col min="5146" max="5146" width="10.88671875" style="25" customWidth="1"/>
    <col min="5147" max="5375" width="11.44140625" style="25"/>
    <col min="5376" max="5376" width="0.109375" style="25" customWidth="1"/>
    <col min="5377" max="5377" width="23.88671875" style="25" customWidth="1"/>
    <col min="5378" max="5378" width="13" style="25" customWidth="1"/>
    <col min="5379" max="5380" width="9.88671875" style="25" bestFit="1" customWidth="1"/>
    <col min="5381" max="5381" width="10.88671875" style="25" customWidth="1"/>
    <col min="5382" max="5383" width="9.88671875" style="25" bestFit="1" customWidth="1"/>
    <col min="5384" max="5384" width="10.88671875" style="25" customWidth="1"/>
    <col min="5385" max="5386" width="9.88671875" style="25" bestFit="1" customWidth="1"/>
    <col min="5387" max="5387" width="10.88671875" style="25" customWidth="1"/>
    <col min="5388" max="5389" width="9.88671875" style="25" bestFit="1" customWidth="1"/>
    <col min="5390" max="5390" width="10.88671875" style="25" customWidth="1"/>
    <col min="5391" max="5392" width="9.88671875" style="25" bestFit="1" customWidth="1"/>
    <col min="5393" max="5393" width="10.88671875" style="25" customWidth="1"/>
    <col min="5394" max="5394" width="9.109375" style="25" bestFit="1" customWidth="1"/>
    <col min="5395" max="5395" width="9.88671875" style="25" bestFit="1" customWidth="1"/>
    <col min="5396" max="5396" width="10.88671875" style="25" customWidth="1"/>
    <col min="5397" max="5398" width="9.88671875" style="25" bestFit="1" customWidth="1"/>
    <col min="5399" max="5399" width="10.88671875" style="25" customWidth="1"/>
    <col min="5400" max="5400" width="9.88671875" style="25" bestFit="1" customWidth="1"/>
    <col min="5401" max="5401" width="7.109375" style="25" bestFit="1" customWidth="1"/>
    <col min="5402" max="5402" width="10.88671875" style="25" customWidth="1"/>
    <col min="5403" max="5631" width="11.44140625" style="25"/>
    <col min="5632" max="5632" width="0.109375" style="25" customWidth="1"/>
    <col min="5633" max="5633" width="23.88671875" style="25" customWidth="1"/>
    <col min="5634" max="5634" width="13" style="25" customWidth="1"/>
    <col min="5635" max="5636" width="9.88671875" style="25" bestFit="1" customWidth="1"/>
    <col min="5637" max="5637" width="10.88671875" style="25" customWidth="1"/>
    <col min="5638" max="5639" width="9.88671875" style="25" bestFit="1" customWidth="1"/>
    <col min="5640" max="5640" width="10.88671875" style="25" customWidth="1"/>
    <col min="5641" max="5642" width="9.88671875" style="25" bestFit="1" customWidth="1"/>
    <col min="5643" max="5643" width="10.88671875" style="25" customWidth="1"/>
    <col min="5644" max="5645" width="9.88671875" style="25" bestFit="1" customWidth="1"/>
    <col min="5646" max="5646" width="10.88671875" style="25" customWidth="1"/>
    <col min="5647" max="5648" width="9.88671875" style="25" bestFit="1" customWidth="1"/>
    <col min="5649" max="5649" width="10.88671875" style="25" customWidth="1"/>
    <col min="5650" max="5650" width="9.109375" style="25" bestFit="1" customWidth="1"/>
    <col min="5651" max="5651" width="9.88671875" style="25" bestFit="1" customWidth="1"/>
    <col min="5652" max="5652" width="10.88671875" style="25" customWidth="1"/>
    <col min="5653" max="5654" width="9.88671875" style="25" bestFit="1" customWidth="1"/>
    <col min="5655" max="5655" width="10.88671875" style="25" customWidth="1"/>
    <col min="5656" max="5656" width="9.88671875" style="25" bestFit="1" customWidth="1"/>
    <col min="5657" max="5657" width="7.109375" style="25" bestFit="1" customWidth="1"/>
    <col min="5658" max="5658" width="10.88671875" style="25" customWidth="1"/>
    <col min="5659" max="5887" width="11.44140625" style="25"/>
    <col min="5888" max="5888" width="0.109375" style="25" customWidth="1"/>
    <col min="5889" max="5889" width="23.88671875" style="25" customWidth="1"/>
    <col min="5890" max="5890" width="13" style="25" customWidth="1"/>
    <col min="5891" max="5892" width="9.88671875" style="25" bestFit="1" customWidth="1"/>
    <col min="5893" max="5893" width="10.88671875" style="25" customWidth="1"/>
    <col min="5894" max="5895" width="9.88671875" style="25" bestFit="1" customWidth="1"/>
    <col min="5896" max="5896" width="10.88671875" style="25" customWidth="1"/>
    <col min="5897" max="5898" width="9.88671875" style="25" bestFit="1" customWidth="1"/>
    <col min="5899" max="5899" width="10.88671875" style="25" customWidth="1"/>
    <col min="5900" max="5901" width="9.88671875" style="25" bestFit="1" customWidth="1"/>
    <col min="5902" max="5902" width="10.88671875" style="25" customWidth="1"/>
    <col min="5903" max="5904" width="9.88671875" style="25" bestFit="1" customWidth="1"/>
    <col min="5905" max="5905" width="10.88671875" style="25" customWidth="1"/>
    <col min="5906" max="5906" width="9.109375" style="25" bestFit="1" customWidth="1"/>
    <col min="5907" max="5907" width="9.88671875" style="25" bestFit="1" customWidth="1"/>
    <col min="5908" max="5908" width="10.88671875" style="25" customWidth="1"/>
    <col min="5909" max="5910" width="9.88671875" style="25" bestFit="1" customWidth="1"/>
    <col min="5911" max="5911" width="10.88671875" style="25" customWidth="1"/>
    <col min="5912" max="5912" width="9.88671875" style="25" bestFit="1" customWidth="1"/>
    <col min="5913" max="5913" width="7.109375" style="25" bestFit="1" customWidth="1"/>
    <col min="5914" max="5914" width="10.88671875" style="25" customWidth="1"/>
    <col min="5915" max="6143" width="11.44140625" style="25"/>
    <col min="6144" max="6144" width="0.109375" style="25" customWidth="1"/>
    <col min="6145" max="6145" width="23.88671875" style="25" customWidth="1"/>
    <col min="6146" max="6146" width="13" style="25" customWidth="1"/>
    <col min="6147" max="6148" width="9.88671875" style="25" bestFit="1" customWidth="1"/>
    <col min="6149" max="6149" width="10.88671875" style="25" customWidth="1"/>
    <col min="6150" max="6151" width="9.88671875" style="25" bestFit="1" customWidth="1"/>
    <col min="6152" max="6152" width="10.88671875" style="25" customWidth="1"/>
    <col min="6153" max="6154" width="9.88671875" style="25" bestFit="1" customWidth="1"/>
    <col min="6155" max="6155" width="10.88671875" style="25" customWidth="1"/>
    <col min="6156" max="6157" width="9.88671875" style="25" bestFit="1" customWidth="1"/>
    <col min="6158" max="6158" width="10.88671875" style="25" customWidth="1"/>
    <col min="6159" max="6160" width="9.88671875" style="25" bestFit="1" customWidth="1"/>
    <col min="6161" max="6161" width="10.88671875" style="25" customWidth="1"/>
    <col min="6162" max="6162" width="9.109375" style="25" bestFit="1" customWidth="1"/>
    <col min="6163" max="6163" width="9.88671875" style="25" bestFit="1" customWidth="1"/>
    <col min="6164" max="6164" width="10.88671875" style="25" customWidth="1"/>
    <col min="6165" max="6166" width="9.88671875" style="25" bestFit="1" customWidth="1"/>
    <col min="6167" max="6167" width="10.88671875" style="25" customWidth="1"/>
    <col min="6168" max="6168" width="9.88671875" style="25" bestFit="1" customWidth="1"/>
    <col min="6169" max="6169" width="7.109375" style="25" bestFit="1" customWidth="1"/>
    <col min="6170" max="6170" width="10.88671875" style="25" customWidth="1"/>
    <col min="6171" max="6399" width="11.44140625" style="25"/>
    <col min="6400" max="6400" width="0.109375" style="25" customWidth="1"/>
    <col min="6401" max="6401" width="23.88671875" style="25" customWidth="1"/>
    <col min="6402" max="6402" width="13" style="25" customWidth="1"/>
    <col min="6403" max="6404" width="9.88671875" style="25" bestFit="1" customWidth="1"/>
    <col min="6405" max="6405" width="10.88671875" style="25" customWidth="1"/>
    <col min="6406" max="6407" width="9.88671875" style="25" bestFit="1" customWidth="1"/>
    <col min="6408" max="6408" width="10.88671875" style="25" customWidth="1"/>
    <col min="6409" max="6410" width="9.88671875" style="25" bestFit="1" customWidth="1"/>
    <col min="6411" max="6411" width="10.88671875" style="25" customWidth="1"/>
    <col min="6412" max="6413" width="9.88671875" style="25" bestFit="1" customWidth="1"/>
    <col min="6414" max="6414" width="10.88671875" style="25" customWidth="1"/>
    <col min="6415" max="6416" width="9.88671875" style="25" bestFit="1" customWidth="1"/>
    <col min="6417" max="6417" width="10.88671875" style="25" customWidth="1"/>
    <col min="6418" max="6418" width="9.109375" style="25" bestFit="1" customWidth="1"/>
    <col min="6419" max="6419" width="9.88671875" style="25" bestFit="1" customWidth="1"/>
    <col min="6420" max="6420" width="10.88671875" style="25" customWidth="1"/>
    <col min="6421" max="6422" width="9.88671875" style="25" bestFit="1" customWidth="1"/>
    <col min="6423" max="6423" width="10.88671875" style="25" customWidth="1"/>
    <col min="6424" max="6424" width="9.88671875" style="25" bestFit="1" customWidth="1"/>
    <col min="6425" max="6425" width="7.109375" style="25" bestFit="1" customWidth="1"/>
    <col min="6426" max="6426" width="10.88671875" style="25" customWidth="1"/>
    <col min="6427" max="6655" width="11.44140625" style="25"/>
    <col min="6656" max="6656" width="0.109375" style="25" customWidth="1"/>
    <col min="6657" max="6657" width="23.88671875" style="25" customWidth="1"/>
    <col min="6658" max="6658" width="13" style="25" customWidth="1"/>
    <col min="6659" max="6660" width="9.88671875" style="25" bestFit="1" customWidth="1"/>
    <col min="6661" max="6661" width="10.88671875" style="25" customWidth="1"/>
    <col min="6662" max="6663" width="9.88671875" style="25" bestFit="1" customWidth="1"/>
    <col min="6664" max="6664" width="10.88671875" style="25" customWidth="1"/>
    <col min="6665" max="6666" width="9.88671875" style="25" bestFit="1" customWidth="1"/>
    <col min="6667" max="6667" width="10.88671875" style="25" customWidth="1"/>
    <col min="6668" max="6669" width="9.88671875" style="25" bestFit="1" customWidth="1"/>
    <col min="6670" max="6670" width="10.88671875" style="25" customWidth="1"/>
    <col min="6671" max="6672" width="9.88671875" style="25" bestFit="1" customWidth="1"/>
    <col min="6673" max="6673" width="10.88671875" style="25" customWidth="1"/>
    <col min="6674" max="6674" width="9.109375" style="25" bestFit="1" customWidth="1"/>
    <col min="6675" max="6675" width="9.88671875" style="25" bestFit="1" customWidth="1"/>
    <col min="6676" max="6676" width="10.88671875" style="25" customWidth="1"/>
    <col min="6677" max="6678" width="9.88671875" style="25" bestFit="1" customWidth="1"/>
    <col min="6679" max="6679" width="10.88671875" style="25" customWidth="1"/>
    <col min="6680" max="6680" width="9.88671875" style="25" bestFit="1" customWidth="1"/>
    <col min="6681" max="6681" width="7.109375" style="25" bestFit="1" customWidth="1"/>
    <col min="6682" max="6682" width="10.88671875" style="25" customWidth="1"/>
    <col min="6683" max="6911" width="11.44140625" style="25"/>
    <col min="6912" max="6912" width="0.109375" style="25" customWidth="1"/>
    <col min="6913" max="6913" width="23.88671875" style="25" customWidth="1"/>
    <col min="6914" max="6914" width="13" style="25" customWidth="1"/>
    <col min="6915" max="6916" width="9.88671875" style="25" bestFit="1" customWidth="1"/>
    <col min="6917" max="6917" width="10.88671875" style="25" customWidth="1"/>
    <col min="6918" max="6919" width="9.88671875" style="25" bestFit="1" customWidth="1"/>
    <col min="6920" max="6920" width="10.88671875" style="25" customWidth="1"/>
    <col min="6921" max="6922" width="9.88671875" style="25" bestFit="1" customWidth="1"/>
    <col min="6923" max="6923" width="10.88671875" style="25" customWidth="1"/>
    <col min="6924" max="6925" width="9.88671875" style="25" bestFit="1" customWidth="1"/>
    <col min="6926" max="6926" width="10.88671875" style="25" customWidth="1"/>
    <col min="6927" max="6928" width="9.88671875" style="25" bestFit="1" customWidth="1"/>
    <col min="6929" max="6929" width="10.88671875" style="25" customWidth="1"/>
    <col min="6930" max="6930" width="9.109375" style="25" bestFit="1" customWidth="1"/>
    <col min="6931" max="6931" width="9.88671875" style="25" bestFit="1" customWidth="1"/>
    <col min="6932" max="6932" width="10.88671875" style="25" customWidth="1"/>
    <col min="6933" max="6934" width="9.88671875" style="25" bestFit="1" customWidth="1"/>
    <col min="6935" max="6935" width="10.88671875" style="25" customWidth="1"/>
    <col min="6936" max="6936" width="9.88671875" style="25" bestFit="1" customWidth="1"/>
    <col min="6937" max="6937" width="7.109375" style="25" bestFit="1" customWidth="1"/>
    <col min="6938" max="6938" width="10.88671875" style="25" customWidth="1"/>
    <col min="6939" max="7167" width="11.44140625" style="25"/>
    <col min="7168" max="7168" width="0.109375" style="25" customWidth="1"/>
    <col min="7169" max="7169" width="23.88671875" style="25" customWidth="1"/>
    <col min="7170" max="7170" width="13" style="25" customWidth="1"/>
    <col min="7171" max="7172" width="9.88671875" style="25" bestFit="1" customWidth="1"/>
    <col min="7173" max="7173" width="10.88671875" style="25" customWidth="1"/>
    <col min="7174" max="7175" width="9.88671875" style="25" bestFit="1" customWidth="1"/>
    <col min="7176" max="7176" width="10.88671875" style="25" customWidth="1"/>
    <col min="7177" max="7178" width="9.88671875" style="25" bestFit="1" customWidth="1"/>
    <col min="7179" max="7179" width="10.88671875" style="25" customWidth="1"/>
    <col min="7180" max="7181" width="9.88671875" style="25" bestFit="1" customWidth="1"/>
    <col min="7182" max="7182" width="10.88671875" style="25" customWidth="1"/>
    <col min="7183" max="7184" width="9.88671875" style="25" bestFit="1" customWidth="1"/>
    <col min="7185" max="7185" width="10.88671875" style="25" customWidth="1"/>
    <col min="7186" max="7186" width="9.109375" style="25" bestFit="1" customWidth="1"/>
    <col min="7187" max="7187" width="9.88671875" style="25" bestFit="1" customWidth="1"/>
    <col min="7188" max="7188" width="10.88671875" style="25" customWidth="1"/>
    <col min="7189" max="7190" width="9.88671875" style="25" bestFit="1" customWidth="1"/>
    <col min="7191" max="7191" width="10.88671875" style="25" customWidth="1"/>
    <col min="7192" max="7192" width="9.88671875" style="25" bestFit="1" customWidth="1"/>
    <col min="7193" max="7193" width="7.109375" style="25" bestFit="1" customWidth="1"/>
    <col min="7194" max="7194" width="10.88671875" style="25" customWidth="1"/>
    <col min="7195" max="7423" width="11.44140625" style="25"/>
    <col min="7424" max="7424" width="0.109375" style="25" customWidth="1"/>
    <col min="7425" max="7425" width="23.88671875" style="25" customWidth="1"/>
    <col min="7426" max="7426" width="13" style="25" customWidth="1"/>
    <col min="7427" max="7428" width="9.88671875" style="25" bestFit="1" customWidth="1"/>
    <col min="7429" max="7429" width="10.88671875" style="25" customWidth="1"/>
    <col min="7430" max="7431" width="9.88671875" style="25" bestFit="1" customWidth="1"/>
    <col min="7432" max="7432" width="10.88671875" style="25" customWidth="1"/>
    <col min="7433" max="7434" width="9.88671875" style="25" bestFit="1" customWidth="1"/>
    <col min="7435" max="7435" width="10.88671875" style="25" customWidth="1"/>
    <col min="7436" max="7437" width="9.88671875" style="25" bestFit="1" customWidth="1"/>
    <col min="7438" max="7438" width="10.88671875" style="25" customWidth="1"/>
    <col min="7439" max="7440" width="9.88671875" style="25" bestFit="1" customWidth="1"/>
    <col min="7441" max="7441" width="10.88671875" style="25" customWidth="1"/>
    <col min="7442" max="7442" width="9.109375" style="25" bestFit="1" customWidth="1"/>
    <col min="7443" max="7443" width="9.88671875" style="25" bestFit="1" customWidth="1"/>
    <col min="7444" max="7444" width="10.88671875" style="25" customWidth="1"/>
    <col min="7445" max="7446" width="9.88671875" style="25" bestFit="1" customWidth="1"/>
    <col min="7447" max="7447" width="10.88671875" style="25" customWidth="1"/>
    <col min="7448" max="7448" width="9.88671875" style="25" bestFit="1" customWidth="1"/>
    <col min="7449" max="7449" width="7.109375" style="25" bestFit="1" customWidth="1"/>
    <col min="7450" max="7450" width="10.88671875" style="25" customWidth="1"/>
    <col min="7451" max="7679" width="11.44140625" style="25"/>
    <col min="7680" max="7680" width="0.109375" style="25" customWidth="1"/>
    <col min="7681" max="7681" width="23.88671875" style="25" customWidth="1"/>
    <col min="7682" max="7682" width="13" style="25" customWidth="1"/>
    <col min="7683" max="7684" width="9.88671875" style="25" bestFit="1" customWidth="1"/>
    <col min="7685" max="7685" width="10.88671875" style="25" customWidth="1"/>
    <col min="7686" max="7687" width="9.88671875" style="25" bestFit="1" customWidth="1"/>
    <col min="7688" max="7688" width="10.88671875" style="25" customWidth="1"/>
    <col min="7689" max="7690" width="9.88671875" style="25" bestFit="1" customWidth="1"/>
    <col min="7691" max="7691" width="10.88671875" style="25" customWidth="1"/>
    <col min="7692" max="7693" width="9.88671875" style="25" bestFit="1" customWidth="1"/>
    <col min="7694" max="7694" width="10.88671875" style="25" customWidth="1"/>
    <col min="7695" max="7696" width="9.88671875" style="25" bestFit="1" customWidth="1"/>
    <col min="7697" max="7697" width="10.88671875" style="25" customWidth="1"/>
    <col min="7698" max="7698" width="9.109375" style="25" bestFit="1" customWidth="1"/>
    <col min="7699" max="7699" width="9.88671875" style="25" bestFit="1" customWidth="1"/>
    <col min="7700" max="7700" width="10.88671875" style="25" customWidth="1"/>
    <col min="7701" max="7702" width="9.88671875" style="25" bestFit="1" customWidth="1"/>
    <col min="7703" max="7703" width="10.88671875" style="25" customWidth="1"/>
    <col min="7704" max="7704" width="9.88671875" style="25" bestFit="1" customWidth="1"/>
    <col min="7705" max="7705" width="7.109375" style="25" bestFit="1" customWidth="1"/>
    <col min="7706" max="7706" width="10.88671875" style="25" customWidth="1"/>
    <col min="7707" max="7935" width="11.44140625" style="25"/>
    <col min="7936" max="7936" width="0.109375" style="25" customWidth="1"/>
    <col min="7937" max="7937" width="23.88671875" style="25" customWidth="1"/>
    <col min="7938" max="7938" width="13" style="25" customWidth="1"/>
    <col min="7939" max="7940" width="9.88671875" style="25" bestFit="1" customWidth="1"/>
    <col min="7941" max="7941" width="10.88671875" style="25" customWidth="1"/>
    <col min="7942" max="7943" width="9.88671875" style="25" bestFit="1" customWidth="1"/>
    <col min="7944" max="7944" width="10.88671875" style="25" customWidth="1"/>
    <col min="7945" max="7946" width="9.88671875" style="25" bestFit="1" customWidth="1"/>
    <col min="7947" max="7947" width="10.88671875" style="25" customWidth="1"/>
    <col min="7948" max="7949" width="9.88671875" style="25" bestFit="1" customWidth="1"/>
    <col min="7950" max="7950" width="10.88671875" style="25" customWidth="1"/>
    <col min="7951" max="7952" width="9.88671875" style="25" bestFit="1" customWidth="1"/>
    <col min="7953" max="7953" width="10.88671875" style="25" customWidth="1"/>
    <col min="7954" max="7954" width="9.109375" style="25" bestFit="1" customWidth="1"/>
    <col min="7955" max="7955" width="9.88671875" style="25" bestFit="1" customWidth="1"/>
    <col min="7956" max="7956" width="10.88671875" style="25" customWidth="1"/>
    <col min="7957" max="7958" width="9.88671875" style="25" bestFit="1" customWidth="1"/>
    <col min="7959" max="7959" width="10.88671875" style="25" customWidth="1"/>
    <col min="7960" max="7960" width="9.88671875" style="25" bestFit="1" customWidth="1"/>
    <col min="7961" max="7961" width="7.109375" style="25" bestFit="1" customWidth="1"/>
    <col min="7962" max="7962" width="10.88671875" style="25" customWidth="1"/>
    <col min="7963" max="8191" width="11.44140625" style="25"/>
    <col min="8192" max="8192" width="0.109375" style="25" customWidth="1"/>
    <col min="8193" max="8193" width="23.88671875" style="25" customWidth="1"/>
    <col min="8194" max="8194" width="13" style="25" customWidth="1"/>
    <col min="8195" max="8196" width="9.88671875" style="25" bestFit="1" customWidth="1"/>
    <col min="8197" max="8197" width="10.88671875" style="25" customWidth="1"/>
    <col min="8198" max="8199" width="9.88671875" style="25" bestFit="1" customWidth="1"/>
    <col min="8200" max="8200" width="10.88671875" style="25" customWidth="1"/>
    <col min="8201" max="8202" width="9.88671875" style="25" bestFit="1" customWidth="1"/>
    <col min="8203" max="8203" width="10.88671875" style="25" customWidth="1"/>
    <col min="8204" max="8205" width="9.88671875" style="25" bestFit="1" customWidth="1"/>
    <col min="8206" max="8206" width="10.88671875" style="25" customWidth="1"/>
    <col min="8207" max="8208" width="9.88671875" style="25" bestFit="1" customWidth="1"/>
    <col min="8209" max="8209" width="10.88671875" style="25" customWidth="1"/>
    <col min="8210" max="8210" width="9.109375" style="25" bestFit="1" customWidth="1"/>
    <col min="8211" max="8211" width="9.88671875" style="25" bestFit="1" customWidth="1"/>
    <col min="8212" max="8212" width="10.88671875" style="25" customWidth="1"/>
    <col min="8213" max="8214" width="9.88671875" style="25" bestFit="1" customWidth="1"/>
    <col min="8215" max="8215" width="10.88671875" style="25" customWidth="1"/>
    <col min="8216" max="8216" width="9.88671875" style="25" bestFit="1" customWidth="1"/>
    <col min="8217" max="8217" width="7.109375" style="25" bestFit="1" customWidth="1"/>
    <col min="8218" max="8218" width="10.88671875" style="25" customWidth="1"/>
    <col min="8219" max="8447" width="11.44140625" style="25"/>
    <col min="8448" max="8448" width="0.109375" style="25" customWidth="1"/>
    <col min="8449" max="8449" width="23.88671875" style="25" customWidth="1"/>
    <col min="8450" max="8450" width="13" style="25" customWidth="1"/>
    <col min="8451" max="8452" width="9.88671875" style="25" bestFit="1" customWidth="1"/>
    <col min="8453" max="8453" width="10.88671875" style="25" customWidth="1"/>
    <col min="8454" max="8455" width="9.88671875" style="25" bestFit="1" customWidth="1"/>
    <col min="8456" max="8456" width="10.88671875" style="25" customWidth="1"/>
    <col min="8457" max="8458" width="9.88671875" style="25" bestFit="1" customWidth="1"/>
    <col min="8459" max="8459" width="10.88671875" style="25" customWidth="1"/>
    <col min="8460" max="8461" width="9.88671875" style="25" bestFit="1" customWidth="1"/>
    <col min="8462" max="8462" width="10.88671875" style="25" customWidth="1"/>
    <col min="8463" max="8464" width="9.88671875" style="25" bestFit="1" customWidth="1"/>
    <col min="8465" max="8465" width="10.88671875" style="25" customWidth="1"/>
    <col min="8466" max="8466" width="9.109375" style="25" bestFit="1" customWidth="1"/>
    <col min="8467" max="8467" width="9.88671875" style="25" bestFit="1" customWidth="1"/>
    <col min="8468" max="8468" width="10.88671875" style="25" customWidth="1"/>
    <col min="8469" max="8470" width="9.88671875" style="25" bestFit="1" customWidth="1"/>
    <col min="8471" max="8471" width="10.88671875" style="25" customWidth="1"/>
    <col min="8472" max="8472" width="9.88671875" style="25" bestFit="1" customWidth="1"/>
    <col min="8473" max="8473" width="7.109375" style="25" bestFit="1" customWidth="1"/>
    <col min="8474" max="8474" width="10.88671875" style="25" customWidth="1"/>
    <col min="8475" max="8703" width="11.44140625" style="25"/>
    <col min="8704" max="8704" width="0.109375" style="25" customWidth="1"/>
    <col min="8705" max="8705" width="23.88671875" style="25" customWidth="1"/>
    <col min="8706" max="8706" width="13" style="25" customWidth="1"/>
    <col min="8707" max="8708" width="9.88671875" style="25" bestFit="1" customWidth="1"/>
    <col min="8709" max="8709" width="10.88671875" style="25" customWidth="1"/>
    <col min="8710" max="8711" width="9.88671875" style="25" bestFit="1" customWidth="1"/>
    <col min="8712" max="8712" width="10.88671875" style="25" customWidth="1"/>
    <col min="8713" max="8714" width="9.88671875" style="25" bestFit="1" customWidth="1"/>
    <col min="8715" max="8715" width="10.88671875" style="25" customWidth="1"/>
    <col min="8716" max="8717" width="9.88671875" style="25" bestFit="1" customWidth="1"/>
    <col min="8718" max="8718" width="10.88671875" style="25" customWidth="1"/>
    <col min="8719" max="8720" width="9.88671875" style="25" bestFit="1" customWidth="1"/>
    <col min="8721" max="8721" width="10.88671875" style="25" customWidth="1"/>
    <col min="8722" max="8722" width="9.109375" style="25" bestFit="1" customWidth="1"/>
    <col min="8723" max="8723" width="9.88671875" style="25" bestFit="1" customWidth="1"/>
    <col min="8724" max="8724" width="10.88671875" style="25" customWidth="1"/>
    <col min="8725" max="8726" width="9.88671875" style="25" bestFit="1" customWidth="1"/>
    <col min="8727" max="8727" width="10.88671875" style="25" customWidth="1"/>
    <col min="8728" max="8728" width="9.88671875" style="25" bestFit="1" customWidth="1"/>
    <col min="8729" max="8729" width="7.109375" style="25" bestFit="1" customWidth="1"/>
    <col min="8730" max="8730" width="10.88671875" style="25" customWidth="1"/>
    <col min="8731" max="8959" width="11.44140625" style="25"/>
    <col min="8960" max="8960" width="0.109375" style="25" customWidth="1"/>
    <col min="8961" max="8961" width="23.88671875" style="25" customWidth="1"/>
    <col min="8962" max="8962" width="13" style="25" customWidth="1"/>
    <col min="8963" max="8964" width="9.88671875" style="25" bestFit="1" customWidth="1"/>
    <col min="8965" max="8965" width="10.88671875" style="25" customWidth="1"/>
    <col min="8966" max="8967" width="9.88671875" style="25" bestFit="1" customWidth="1"/>
    <col min="8968" max="8968" width="10.88671875" style="25" customWidth="1"/>
    <col min="8969" max="8970" width="9.88671875" style="25" bestFit="1" customWidth="1"/>
    <col min="8971" max="8971" width="10.88671875" style="25" customWidth="1"/>
    <col min="8972" max="8973" width="9.88671875" style="25" bestFit="1" customWidth="1"/>
    <col min="8974" max="8974" width="10.88671875" style="25" customWidth="1"/>
    <col min="8975" max="8976" width="9.88671875" style="25" bestFit="1" customWidth="1"/>
    <col min="8977" max="8977" width="10.88671875" style="25" customWidth="1"/>
    <col min="8978" max="8978" width="9.109375" style="25" bestFit="1" customWidth="1"/>
    <col min="8979" max="8979" width="9.88671875" style="25" bestFit="1" customWidth="1"/>
    <col min="8980" max="8980" width="10.88671875" style="25" customWidth="1"/>
    <col min="8981" max="8982" width="9.88671875" style="25" bestFit="1" customWidth="1"/>
    <col min="8983" max="8983" width="10.88671875" style="25" customWidth="1"/>
    <col min="8984" max="8984" width="9.88671875" style="25" bestFit="1" customWidth="1"/>
    <col min="8985" max="8985" width="7.109375" style="25" bestFit="1" customWidth="1"/>
    <col min="8986" max="8986" width="10.88671875" style="25" customWidth="1"/>
    <col min="8987" max="9215" width="11.44140625" style="25"/>
    <col min="9216" max="9216" width="0.109375" style="25" customWidth="1"/>
    <col min="9217" max="9217" width="23.88671875" style="25" customWidth="1"/>
    <col min="9218" max="9218" width="13" style="25" customWidth="1"/>
    <col min="9219" max="9220" width="9.88671875" style="25" bestFit="1" customWidth="1"/>
    <col min="9221" max="9221" width="10.88671875" style="25" customWidth="1"/>
    <col min="9222" max="9223" width="9.88671875" style="25" bestFit="1" customWidth="1"/>
    <col min="9224" max="9224" width="10.88671875" style="25" customWidth="1"/>
    <col min="9225" max="9226" width="9.88671875" style="25" bestFit="1" customWidth="1"/>
    <col min="9227" max="9227" width="10.88671875" style="25" customWidth="1"/>
    <col min="9228" max="9229" width="9.88671875" style="25" bestFit="1" customWidth="1"/>
    <col min="9230" max="9230" width="10.88671875" style="25" customWidth="1"/>
    <col min="9231" max="9232" width="9.88671875" style="25" bestFit="1" customWidth="1"/>
    <col min="9233" max="9233" width="10.88671875" style="25" customWidth="1"/>
    <col min="9234" max="9234" width="9.109375" style="25" bestFit="1" customWidth="1"/>
    <col min="9235" max="9235" width="9.88671875" style="25" bestFit="1" customWidth="1"/>
    <col min="9236" max="9236" width="10.88671875" style="25" customWidth="1"/>
    <col min="9237" max="9238" width="9.88671875" style="25" bestFit="1" customWidth="1"/>
    <col min="9239" max="9239" width="10.88671875" style="25" customWidth="1"/>
    <col min="9240" max="9240" width="9.88671875" style="25" bestFit="1" customWidth="1"/>
    <col min="9241" max="9241" width="7.109375" style="25" bestFit="1" customWidth="1"/>
    <col min="9242" max="9242" width="10.88671875" style="25" customWidth="1"/>
    <col min="9243" max="9471" width="11.44140625" style="25"/>
    <col min="9472" max="9472" width="0.109375" style="25" customWidth="1"/>
    <col min="9473" max="9473" width="23.88671875" style="25" customWidth="1"/>
    <col min="9474" max="9474" width="13" style="25" customWidth="1"/>
    <col min="9475" max="9476" width="9.88671875" style="25" bestFit="1" customWidth="1"/>
    <col min="9477" max="9477" width="10.88671875" style="25" customWidth="1"/>
    <col min="9478" max="9479" width="9.88671875" style="25" bestFit="1" customWidth="1"/>
    <col min="9480" max="9480" width="10.88671875" style="25" customWidth="1"/>
    <col min="9481" max="9482" width="9.88671875" style="25" bestFit="1" customWidth="1"/>
    <col min="9483" max="9483" width="10.88671875" style="25" customWidth="1"/>
    <col min="9484" max="9485" width="9.88671875" style="25" bestFit="1" customWidth="1"/>
    <col min="9486" max="9486" width="10.88671875" style="25" customWidth="1"/>
    <col min="9487" max="9488" width="9.88671875" style="25" bestFit="1" customWidth="1"/>
    <col min="9489" max="9489" width="10.88671875" style="25" customWidth="1"/>
    <col min="9490" max="9490" width="9.109375" style="25" bestFit="1" customWidth="1"/>
    <col min="9491" max="9491" width="9.88671875" style="25" bestFit="1" customWidth="1"/>
    <col min="9492" max="9492" width="10.88671875" style="25" customWidth="1"/>
    <col min="9493" max="9494" width="9.88671875" style="25" bestFit="1" customWidth="1"/>
    <col min="9495" max="9495" width="10.88671875" style="25" customWidth="1"/>
    <col min="9496" max="9496" width="9.88671875" style="25" bestFit="1" customWidth="1"/>
    <col min="9497" max="9497" width="7.109375" style="25" bestFit="1" customWidth="1"/>
    <col min="9498" max="9498" width="10.88671875" style="25" customWidth="1"/>
    <col min="9499" max="9727" width="11.44140625" style="25"/>
    <col min="9728" max="9728" width="0.109375" style="25" customWidth="1"/>
    <col min="9729" max="9729" width="23.88671875" style="25" customWidth="1"/>
    <col min="9730" max="9730" width="13" style="25" customWidth="1"/>
    <col min="9731" max="9732" width="9.88671875" style="25" bestFit="1" customWidth="1"/>
    <col min="9733" max="9733" width="10.88671875" style="25" customWidth="1"/>
    <col min="9734" max="9735" width="9.88671875" style="25" bestFit="1" customWidth="1"/>
    <col min="9736" max="9736" width="10.88671875" style="25" customWidth="1"/>
    <col min="9737" max="9738" width="9.88671875" style="25" bestFit="1" customWidth="1"/>
    <col min="9739" max="9739" width="10.88671875" style="25" customWidth="1"/>
    <col min="9740" max="9741" width="9.88671875" style="25" bestFit="1" customWidth="1"/>
    <col min="9742" max="9742" width="10.88671875" style="25" customWidth="1"/>
    <col min="9743" max="9744" width="9.88671875" style="25" bestFit="1" customWidth="1"/>
    <col min="9745" max="9745" width="10.88671875" style="25" customWidth="1"/>
    <col min="9746" max="9746" width="9.109375" style="25" bestFit="1" customWidth="1"/>
    <col min="9747" max="9747" width="9.88671875" style="25" bestFit="1" customWidth="1"/>
    <col min="9748" max="9748" width="10.88671875" style="25" customWidth="1"/>
    <col min="9749" max="9750" width="9.88671875" style="25" bestFit="1" customWidth="1"/>
    <col min="9751" max="9751" width="10.88671875" style="25" customWidth="1"/>
    <col min="9752" max="9752" width="9.88671875" style="25" bestFit="1" customWidth="1"/>
    <col min="9753" max="9753" width="7.109375" style="25" bestFit="1" customWidth="1"/>
    <col min="9754" max="9754" width="10.88671875" style="25" customWidth="1"/>
    <col min="9755" max="9983" width="11.44140625" style="25"/>
    <col min="9984" max="9984" width="0.109375" style="25" customWidth="1"/>
    <col min="9985" max="9985" width="23.88671875" style="25" customWidth="1"/>
    <col min="9986" max="9986" width="13" style="25" customWidth="1"/>
    <col min="9987" max="9988" width="9.88671875" style="25" bestFit="1" customWidth="1"/>
    <col min="9989" max="9989" width="10.88671875" style="25" customWidth="1"/>
    <col min="9990" max="9991" width="9.88671875" style="25" bestFit="1" customWidth="1"/>
    <col min="9992" max="9992" width="10.88671875" style="25" customWidth="1"/>
    <col min="9993" max="9994" width="9.88671875" style="25" bestFit="1" customWidth="1"/>
    <col min="9995" max="9995" width="10.88671875" style="25" customWidth="1"/>
    <col min="9996" max="9997" width="9.88671875" style="25" bestFit="1" customWidth="1"/>
    <col min="9998" max="9998" width="10.88671875" style="25" customWidth="1"/>
    <col min="9999" max="10000" width="9.88671875" style="25" bestFit="1" customWidth="1"/>
    <col min="10001" max="10001" width="10.88671875" style="25" customWidth="1"/>
    <col min="10002" max="10002" width="9.109375" style="25" bestFit="1" customWidth="1"/>
    <col min="10003" max="10003" width="9.88671875" style="25" bestFit="1" customWidth="1"/>
    <col min="10004" max="10004" width="10.88671875" style="25" customWidth="1"/>
    <col min="10005" max="10006" width="9.88671875" style="25" bestFit="1" customWidth="1"/>
    <col min="10007" max="10007" width="10.88671875" style="25" customWidth="1"/>
    <col min="10008" max="10008" width="9.88671875" style="25" bestFit="1" customWidth="1"/>
    <col min="10009" max="10009" width="7.109375" style="25" bestFit="1" customWidth="1"/>
    <col min="10010" max="10010" width="10.88671875" style="25" customWidth="1"/>
    <col min="10011" max="10239" width="11.44140625" style="25"/>
    <col min="10240" max="10240" width="0.109375" style="25" customWidth="1"/>
    <col min="10241" max="10241" width="23.88671875" style="25" customWidth="1"/>
    <col min="10242" max="10242" width="13" style="25" customWidth="1"/>
    <col min="10243" max="10244" width="9.88671875" style="25" bestFit="1" customWidth="1"/>
    <col min="10245" max="10245" width="10.88671875" style="25" customWidth="1"/>
    <col min="10246" max="10247" width="9.88671875" style="25" bestFit="1" customWidth="1"/>
    <col min="10248" max="10248" width="10.88671875" style="25" customWidth="1"/>
    <col min="10249" max="10250" width="9.88671875" style="25" bestFit="1" customWidth="1"/>
    <col min="10251" max="10251" width="10.88671875" style="25" customWidth="1"/>
    <col min="10252" max="10253" width="9.88671875" style="25" bestFit="1" customWidth="1"/>
    <col min="10254" max="10254" width="10.88671875" style="25" customWidth="1"/>
    <col min="10255" max="10256" width="9.88671875" style="25" bestFit="1" customWidth="1"/>
    <col min="10257" max="10257" width="10.88671875" style="25" customWidth="1"/>
    <col min="10258" max="10258" width="9.109375" style="25" bestFit="1" customWidth="1"/>
    <col min="10259" max="10259" width="9.88671875" style="25" bestFit="1" customWidth="1"/>
    <col min="10260" max="10260" width="10.88671875" style="25" customWidth="1"/>
    <col min="10261" max="10262" width="9.88671875" style="25" bestFit="1" customWidth="1"/>
    <col min="10263" max="10263" width="10.88671875" style="25" customWidth="1"/>
    <col min="10264" max="10264" width="9.88671875" style="25" bestFit="1" customWidth="1"/>
    <col min="10265" max="10265" width="7.109375" style="25" bestFit="1" customWidth="1"/>
    <col min="10266" max="10266" width="10.88671875" style="25" customWidth="1"/>
    <col min="10267" max="10495" width="11.44140625" style="25"/>
    <col min="10496" max="10496" width="0.109375" style="25" customWidth="1"/>
    <col min="10497" max="10497" width="23.88671875" style="25" customWidth="1"/>
    <col min="10498" max="10498" width="13" style="25" customWidth="1"/>
    <col min="10499" max="10500" width="9.88671875" style="25" bestFit="1" customWidth="1"/>
    <col min="10501" max="10501" width="10.88671875" style="25" customWidth="1"/>
    <col min="10502" max="10503" width="9.88671875" style="25" bestFit="1" customWidth="1"/>
    <col min="10504" max="10504" width="10.88671875" style="25" customWidth="1"/>
    <col min="10505" max="10506" width="9.88671875" style="25" bestFit="1" customWidth="1"/>
    <col min="10507" max="10507" width="10.88671875" style="25" customWidth="1"/>
    <col min="10508" max="10509" width="9.88671875" style="25" bestFit="1" customWidth="1"/>
    <col min="10510" max="10510" width="10.88671875" style="25" customWidth="1"/>
    <col min="10511" max="10512" width="9.88671875" style="25" bestFit="1" customWidth="1"/>
    <col min="10513" max="10513" width="10.88671875" style="25" customWidth="1"/>
    <col min="10514" max="10514" width="9.109375" style="25" bestFit="1" customWidth="1"/>
    <col min="10515" max="10515" width="9.88671875" style="25" bestFit="1" customWidth="1"/>
    <col min="10516" max="10516" width="10.88671875" style="25" customWidth="1"/>
    <col min="10517" max="10518" width="9.88671875" style="25" bestFit="1" customWidth="1"/>
    <col min="10519" max="10519" width="10.88671875" style="25" customWidth="1"/>
    <col min="10520" max="10520" width="9.88671875" style="25" bestFit="1" customWidth="1"/>
    <col min="10521" max="10521" width="7.109375" style="25" bestFit="1" customWidth="1"/>
    <col min="10522" max="10522" width="10.88671875" style="25" customWidth="1"/>
    <col min="10523" max="10751" width="11.44140625" style="25"/>
    <col min="10752" max="10752" width="0.109375" style="25" customWidth="1"/>
    <col min="10753" max="10753" width="23.88671875" style="25" customWidth="1"/>
    <col min="10754" max="10754" width="13" style="25" customWidth="1"/>
    <col min="10755" max="10756" width="9.88671875" style="25" bestFit="1" customWidth="1"/>
    <col min="10757" max="10757" width="10.88671875" style="25" customWidth="1"/>
    <col min="10758" max="10759" width="9.88671875" style="25" bestFit="1" customWidth="1"/>
    <col min="10760" max="10760" width="10.88671875" style="25" customWidth="1"/>
    <col min="10761" max="10762" width="9.88671875" style="25" bestFit="1" customWidth="1"/>
    <col min="10763" max="10763" width="10.88671875" style="25" customWidth="1"/>
    <col min="10764" max="10765" width="9.88671875" style="25" bestFit="1" customWidth="1"/>
    <col min="10766" max="10766" width="10.88671875" style="25" customWidth="1"/>
    <col min="10767" max="10768" width="9.88671875" style="25" bestFit="1" customWidth="1"/>
    <col min="10769" max="10769" width="10.88671875" style="25" customWidth="1"/>
    <col min="10770" max="10770" width="9.109375" style="25" bestFit="1" customWidth="1"/>
    <col min="10771" max="10771" width="9.88671875" style="25" bestFit="1" customWidth="1"/>
    <col min="10772" max="10772" width="10.88671875" style="25" customWidth="1"/>
    <col min="10773" max="10774" width="9.88671875" style="25" bestFit="1" customWidth="1"/>
    <col min="10775" max="10775" width="10.88671875" style="25" customWidth="1"/>
    <col min="10776" max="10776" width="9.88671875" style="25" bestFit="1" customWidth="1"/>
    <col min="10777" max="10777" width="7.109375" style="25" bestFit="1" customWidth="1"/>
    <col min="10778" max="10778" width="10.88671875" style="25" customWidth="1"/>
    <col min="10779" max="11007" width="11.44140625" style="25"/>
    <col min="11008" max="11008" width="0.109375" style="25" customWidth="1"/>
    <col min="11009" max="11009" width="23.88671875" style="25" customWidth="1"/>
    <col min="11010" max="11010" width="13" style="25" customWidth="1"/>
    <col min="11011" max="11012" width="9.88671875" style="25" bestFit="1" customWidth="1"/>
    <col min="11013" max="11013" width="10.88671875" style="25" customWidth="1"/>
    <col min="11014" max="11015" width="9.88671875" style="25" bestFit="1" customWidth="1"/>
    <col min="11016" max="11016" width="10.88671875" style="25" customWidth="1"/>
    <col min="11017" max="11018" width="9.88671875" style="25" bestFit="1" customWidth="1"/>
    <col min="11019" max="11019" width="10.88671875" style="25" customWidth="1"/>
    <col min="11020" max="11021" width="9.88671875" style="25" bestFit="1" customWidth="1"/>
    <col min="11022" max="11022" width="10.88671875" style="25" customWidth="1"/>
    <col min="11023" max="11024" width="9.88671875" style="25" bestFit="1" customWidth="1"/>
    <col min="11025" max="11025" width="10.88671875" style="25" customWidth="1"/>
    <col min="11026" max="11026" width="9.109375" style="25" bestFit="1" customWidth="1"/>
    <col min="11027" max="11027" width="9.88671875" style="25" bestFit="1" customWidth="1"/>
    <col min="11028" max="11028" width="10.88671875" style="25" customWidth="1"/>
    <col min="11029" max="11030" width="9.88671875" style="25" bestFit="1" customWidth="1"/>
    <col min="11031" max="11031" width="10.88671875" style="25" customWidth="1"/>
    <col min="11032" max="11032" width="9.88671875" style="25" bestFit="1" customWidth="1"/>
    <col min="11033" max="11033" width="7.109375" style="25" bestFit="1" customWidth="1"/>
    <col min="11034" max="11034" width="10.88671875" style="25" customWidth="1"/>
    <col min="11035" max="11263" width="11.44140625" style="25"/>
    <col min="11264" max="11264" width="0.109375" style="25" customWidth="1"/>
    <col min="11265" max="11265" width="23.88671875" style="25" customWidth="1"/>
    <col min="11266" max="11266" width="13" style="25" customWidth="1"/>
    <col min="11267" max="11268" width="9.88671875" style="25" bestFit="1" customWidth="1"/>
    <col min="11269" max="11269" width="10.88671875" style="25" customWidth="1"/>
    <col min="11270" max="11271" width="9.88671875" style="25" bestFit="1" customWidth="1"/>
    <col min="11272" max="11272" width="10.88671875" style="25" customWidth="1"/>
    <col min="11273" max="11274" width="9.88671875" style="25" bestFit="1" customWidth="1"/>
    <col min="11275" max="11275" width="10.88671875" style="25" customWidth="1"/>
    <col min="11276" max="11277" width="9.88671875" style="25" bestFit="1" customWidth="1"/>
    <col min="11278" max="11278" width="10.88671875" style="25" customWidth="1"/>
    <col min="11279" max="11280" width="9.88671875" style="25" bestFit="1" customWidth="1"/>
    <col min="11281" max="11281" width="10.88671875" style="25" customWidth="1"/>
    <col min="11282" max="11282" width="9.109375" style="25" bestFit="1" customWidth="1"/>
    <col min="11283" max="11283" width="9.88671875" style="25" bestFit="1" customWidth="1"/>
    <col min="11284" max="11284" width="10.88671875" style="25" customWidth="1"/>
    <col min="11285" max="11286" width="9.88671875" style="25" bestFit="1" customWidth="1"/>
    <col min="11287" max="11287" width="10.88671875" style="25" customWidth="1"/>
    <col min="11288" max="11288" width="9.88671875" style="25" bestFit="1" customWidth="1"/>
    <col min="11289" max="11289" width="7.109375" style="25" bestFit="1" customWidth="1"/>
    <col min="11290" max="11290" width="10.88671875" style="25" customWidth="1"/>
    <col min="11291" max="11519" width="11.44140625" style="25"/>
    <col min="11520" max="11520" width="0.109375" style="25" customWidth="1"/>
    <col min="11521" max="11521" width="23.88671875" style="25" customWidth="1"/>
    <col min="11522" max="11522" width="13" style="25" customWidth="1"/>
    <col min="11523" max="11524" width="9.88671875" style="25" bestFit="1" customWidth="1"/>
    <col min="11525" max="11525" width="10.88671875" style="25" customWidth="1"/>
    <col min="11526" max="11527" width="9.88671875" style="25" bestFit="1" customWidth="1"/>
    <col min="11528" max="11528" width="10.88671875" style="25" customWidth="1"/>
    <col min="11529" max="11530" width="9.88671875" style="25" bestFit="1" customWidth="1"/>
    <col min="11531" max="11531" width="10.88671875" style="25" customWidth="1"/>
    <col min="11532" max="11533" width="9.88671875" style="25" bestFit="1" customWidth="1"/>
    <col min="11534" max="11534" width="10.88671875" style="25" customWidth="1"/>
    <col min="11535" max="11536" width="9.88671875" style="25" bestFit="1" customWidth="1"/>
    <col min="11537" max="11537" width="10.88671875" style="25" customWidth="1"/>
    <col min="11538" max="11538" width="9.109375" style="25" bestFit="1" customWidth="1"/>
    <col min="11539" max="11539" width="9.88671875" style="25" bestFit="1" customWidth="1"/>
    <col min="11540" max="11540" width="10.88671875" style="25" customWidth="1"/>
    <col min="11541" max="11542" width="9.88671875" style="25" bestFit="1" customWidth="1"/>
    <col min="11543" max="11543" width="10.88671875" style="25" customWidth="1"/>
    <col min="11544" max="11544" width="9.88671875" style="25" bestFit="1" customWidth="1"/>
    <col min="11545" max="11545" width="7.109375" style="25" bestFit="1" customWidth="1"/>
    <col min="11546" max="11546" width="10.88671875" style="25" customWidth="1"/>
    <col min="11547" max="11775" width="11.44140625" style="25"/>
    <col min="11776" max="11776" width="0.109375" style="25" customWidth="1"/>
    <col min="11777" max="11777" width="23.88671875" style="25" customWidth="1"/>
    <col min="11778" max="11778" width="13" style="25" customWidth="1"/>
    <col min="11779" max="11780" width="9.88671875" style="25" bestFit="1" customWidth="1"/>
    <col min="11781" max="11781" width="10.88671875" style="25" customWidth="1"/>
    <col min="11782" max="11783" width="9.88671875" style="25" bestFit="1" customWidth="1"/>
    <col min="11784" max="11784" width="10.88671875" style="25" customWidth="1"/>
    <col min="11785" max="11786" width="9.88671875" style="25" bestFit="1" customWidth="1"/>
    <col min="11787" max="11787" width="10.88671875" style="25" customWidth="1"/>
    <col min="11788" max="11789" width="9.88671875" style="25" bestFit="1" customWidth="1"/>
    <col min="11790" max="11790" width="10.88671875" style="25" customWidth="1"/>
    <col min="11791" max="11792" width="9.88671875" style="25" bestFit="1" customWidth="1"/>
    <col min="11793" max="11793" width="10.88671875" style="25" customWidth="1"/>
    <col min="11794" max="11794" width="9.109375" style="25" bestFit="1" customWidth="1"/>
    <col min="11795" max="11795" width="9.88671875" style="25" bestFit="1" customWidth="1"/>
    <col min="11796" max="11796" width="10.88671875" style="25" customWidth="1"/>
    <col min="11797" max="11798" width="9.88671875" style="25" bestFit="1" customWidth="1"/>
    <col min="11799" max="11799" width="10.88671875" style="25" customWidth="1"/>
    <col min="11800" max="11800" width="9.88671875" style="25" bestFit="1" customWidth="1"/>
    <col min="11801" max="11801" width="7.109375" style="25" bestFit="1" customWidth="1"/>
    <col min="11802" max="11802" width="10.88671875" style="25" customWidth="1"/>
    <col min="11803" max="12031" width="11.44140625" style="25"/>
    <col min="12032" max="12032" width="0.109375" style="25" customWidth="1"/>
    <col min="12033" max="12033" width="23.88671875" style="25" customWidth="1"/>
    <col min="12034" max="12034" width="13" style="25" customWidth="1"/>
    <col min="12035" max="12036" width="9.88671875" style="25" bestFit="1" customWidth="1"/>
    <col min="12037" max="12037" width="10.88671875" style="25" customWidth="1"/>
    <col min="12038" max="12039" width="9.88671875" style="25" bestFit="1" customWidth="1"/>
    <col min="12040" max="12040" width="10.88671875" style="25" customWidth="1"/>
    <col min="12041" max="12042" width="9.88671875" style="25" bestFit="1" customWidth="1"/>
    <col min="12043" max="12043" width="10.88671875" style="25" customWidth="1"/>
    <col min="12044" max="12045" width="9.88671875" style="25" bestFit="1" customWidth="1"/>
    <col min="12046" max="12046" width="10.88671875" style="25" customWidth="1"/>
    <col min="12047" max="12048" width="9.88671875" style="25" bestFit="1" customWidth="1"/>
    <col min="12049" max="12049" width="10.88671875" style="25" customWidth="1"/>
    <col min="12050" max="12050" width="9.109375" style="25" bestFit="1" customWidth="1"/>
    <col min="12051" max="12051" width="9.88671875" style="25" bestFit="1" customWidth="1"/>
    <col min="12052" max="12052" width="10.88671875" style="25" customWidth="1"/>
    <col min="12053" max="12054" width="9.88671875" style="25" bestFit="1" customWidth="1"/>
    <col min="12055" max="12055" width="10.88671875" style="25" customWidth="1"/>
    <col min="12056" max="12056" width="9.88671875" style="25" bestFit="1" customWidth="1"/>
    <col min="12057" max="12057" width="7.109375" style="25" bestFit="1" customWidth="1"/>
    <col min="12058" max="12058" width="10.88671875" style="25" customWidth="1"/>
    <col min="12059" max="12287" width="11.44140625" style="25"/>
    <col min="12288" max="12288" width="0.109375" style="25" customWidth="1"/>
    <col min="12289" max="12289" width="23.88671875" style="25" customWidth="1"/>
    <col min="12290" max="12290" width="13" style="25" customWidth="1"/>
    <col min="12291" max="12292" width="9.88671875" style="25" bestFit="1" customWidth="1"/>
    <col min="12293" max="12293" width="10.88671875" style="25" customWidth="1"/>
    <col min="12294" max="12295" width="9.88671875" style="25" bestFit="1" customWidth="1"/>
    <col min="12296" max="12296" width="10.88671875" style="25" customWidth="1"/>
    <col min="12297" max="12298" width="9.88671875" style="25" bestFit="1" customWidth="1"/>
    <col min="12299" max="12299" width="10.88671875" style="25" customWidth="1"/>
    <col min="12300" max="12301" width="9.88671875" style="25" bestFit="1" customWidth="1"/>
    <col min="12302" max="12302" width="10.88671875" style="25" customWidth="1"/>
    <col min="12303" max="12304" width="9.88671875" style="25" bestFit="1" customWidth="1"/>
    <col min="12305" max="12305" width="10.88671875" style="25" customWidth="1"/>
    <col min="12306" max="12306" width="9.109375" style="25" bestFit="1" customWidth="1"/>
    <col min="12307" max="12307" width="9.88671875" style="25" bestFit="1" customWidth="1"/>
    <col min="12308" max="12308" width="10.88671875" style="25" customWidth="1"/>
    <col min="12309" max="12310" width="9.88671875" style="25" bestFit="1" customWidth="1"/>
    <col min="12311" max="12311" width="10.88671875" style="25" customWidth="1"/>
    <col min="12312" max="12312" width="9.88671875" style="25" bestFit="1" customWidth="1"/>
    <col min="12313" max="12313" width="7.109375" style="25" bestFit="1" customWidth="1"/>
    <col min="12314" max="12314" width="10.88671875" style="25" customWidth="1"/>
    <col min="12315" max="12543" width="11.44140625" style="25"/>
    <col min="12544" max="12544" width="0.109375" style="25" customWidth="1"/>
    <col min="12545" max="12545" width="23.88671875" style="25" customWidth="1"/>
    <col min="12546" max="12546" width="13" style="25" customWidth="1"/>
    <col min="12547" max="12548" width="9.88671875" style="25" bestFit="1" customWidth="1"/>
    <col min="12549" max="12549" width="10.88671875" style="25" customWidth="1"/>
    <col min="12550" max="12551" width="9.88671875" style="25" bestFit="1" customWidth="1"/>
    <col min="12552" max="12552" width="10.88671875" style="25" customWidth="1"/>
    <col min="12553" max="12554" width="9.88671875" style="25" bestFit="1" customWidth="1"/>
    <col min="12555" max="12555" width="10.88671875" style="25" customWidth="1"/>
    <col min="12556" max="12557" width="9.88671875" style="25" bestFit="1" customWidth="1"/>
    <col min="12558" max="12558" width="10.88671875" style="25" customWidth="1"/>
    <col min="12559" max="12560" width="9.88671875" style="25" bestFit="1" customWidth="1"/>
    <col min="12561" max="12561" width="10.88671875" style="25" customWidth="1"/>
    <col min="12562" max="12562" width="9.109375" style="25" bestFit="1" customWidth="1"/>
    <col min="12563" max="12563" width="9.88671875" style="25" bestFit="1" customWidth="1"/>
    <col min="12564" max="12564" width="10.88671875" style="25" customWidth="1"/>
    <col min="12565" max="12566" width="9.88671875" style="25" bestFit="1" customWidth="1"/>
    <col min="12567" max="12567" width="10.88671875" style="25" customWidth="1"/>
    <col min="12568" max="12568" width="9.88671875" style="25" bestFit="1" customWidth="1"/>
    <col min="12569" max="12569" width="7.109375" style="25" bestFit="1" customWidth="1"/>
    <col min="12570" max="12570" width="10.88671875" style="25" customWidth="1"/>
    <col min="12571" max="12799" width="11.44140625" style="25"/>
    <col min="12800" max="12800" width="0.109375" style="25" customWidth="1"/>
    <col min="12801" max="12801" width="23.88671875" style="25" customWidth="1"/>
    <col min="12802" max="12802" width="13" style="25" customWidth="1"/>
    <col min="12803" max="12804" width="9.88671875" style="25" bestFit="1" customWidth="1"/>
    <col min="12805" max="12805" width="10.88671875" style="25" customWidth="1"/>
    <col min="12806" max="12807" width="9.88671875" style="25" bestFit="1" customWidth="1"/>
    <col min="12808" max="12808" width="10.88671875" style="25" customWidth="1"/>
    <col min="12809" max="12810" width="9.88671875" style="25" bestFit="1" customWidth="1"/>
    <col min="12811" max="12811" width="10.88671875" style="25" customWidth="1"/>
    <col min="12812" max="12813" width="9.88671875" style="25" bestFit="1" customWidth="1"/>
    <col min="12814" max="12814" width="10.88671875" style="25" customWidth="1"/>
    <col min="12815" max="12816" width="9.88671875" style="25" bestFit="1" customWidth="1"/>
    <col min="12817" max="12817" width="10.88671875" style="25" customWidth="1"/>
    <col min="12818" max="12818" width="9.109375" style="25" bestFit="1" customWidth="1"/>
    <col min="12819" max="12819" width="9.88671875" style="25" bestFit="1" customWidth="1"/>
    <col min="12820" max="12820" width="10.88671875" style="25" customWidth="1"/>
    <col min="12821" max="12822" width="9.88671875" style="25" bestFit="1" customWidth="1"/>
    <col min="12823" max="12823" width="10.88671875" style="25" customWidth="1"/>
    <col min="12824" max="12824" width="9.88671875" style="25" bestFit="1" customWidth="1"/>
    <col min="12825" max="12825" width="7.109375" style="25" bestFit="1" customWidth="1"/>
    <col min="12826" max="12826" width="10.88671875" style="25" customWidth="1"/>
    <col min="12827" max="13055" width="11.44140625" style="25"/>
    <col min="13056" max="13056" width="0.109375" style="25" customWidth="1"/>
    <col min="13057" max="13057" width="23.88671875" style="25" customWidth="1"/>
    <col min="13058" max="13058" width="13" style="25" customWidth="1"/>
    <col min="13059" max="13060" width="9.88671875" style="25" bestFit="1" customWidth="1"/>
    <col min="13061" max="13061" width="10.88671875" style="25" customWidth="1"/>
    <col min="13062" max="13063" width="9.88671875" style="25" bestFit="1" customWidth="1"/>
    <col min="13064" max="13064" width="10.88671875" style="25" customWidth="1"/>
    <col min="13065" max="13066" width="9.88671875" style="25" bestFit="1" customWidth="1"/>
    <col min="13067" max="13067" width="10.88671875" style="25" customWidth="1"/>
    <col min="13068" max="13069" width="9.88671875" style="25" bestFit="1" customWidth="1"/>
    <col min="13070" max="13070" width="10.88671875" style="25" customWidth="1"/>
    <col min="13071" max="13072" width="9.88671875" style="25" bestFit="1" customWidth="1"/>
    <col min="13073" max="13073" width="10.88671875" style="25" customWidth="1"/>
    <col min="13074" max="13074" width="9.109375" style="25" bestFit="1" customWidth="1"/>
    <col min="13075" max="13075" width="9.88671875" style="25" bestFit="1" customWidth="1"/>
    <col min="13076" max="13076" width="10.88671875" style="25" customWidth="1"/>
    <col min="13077" max="13078" width="9.88671875" style="25" bestFit="1" customWidth="1"/>
    <col min="13079" max="13079" width="10.88671875" style="25" customWidth="1"/>
    <col min="13080" max="13080" width="9.88671875" style="25" bestFit="1" customWidth="1"/>
    <col min="13081" max="13081" width="7.109375" style="25" bestFit="1" customWidth="1"/>
    <col min="13082" max="13082" width="10.88671875" style="25" customWidth="1"/>
    <col min="13083" max="13311" width="11.44140625" style="25"/>
    <col min="13312" max="13312" width="0.109375" style="25" customWidth="1"/>
    <col min="13313" max="13313" width="23.88671875" style="25" customWidth="1"/>
    <col min="13314" max="13314" width="13" style="25" customWidth="1"/>
    <col min="13315" max="13316" width="9.88671875" style="25" bestFit="1" customWidth="1"/>
    <col min="13317" max="13317" width="10.88671875" style="25" customWidth="1"/>
    <col min="13318" max="13319" width="9.88671875" style="25" bestFit="1" customWidth="1"/>
    <col min="13320" max="13320" width="10.88671875" style="25" customWidth="1"/>
    <col min="13321" max="13322" width="9.88671875" style="25" bestFit="1" customWidth="1"/>
    <col min="13323" max="13323" width="10.88671875" style="25" customWidth="1"/>
    <col min="13324" max="13325" width="9.88671875" style="25" bestFit="1" customWidth="1"/>
    <col min="13326" max="13326" width="10.88671875" style="25" customWidth="1"/>
    <col min="13327" max="13328" width="9.88671875" style="25" bestFit="1" customWidth="1"/>
    <col min="13329" max="13329" width="10.88671875" style="25" customWidth="1"/>
    <col min="13330" max="13330" width="9.109375" style="25" bestFit="1" customWidth="1"/>
    <col min="13331" max="13331" width="9.88671875" style="25" bestFit="1" customWidth="1"/>
    <col min="13332" max="13332" width="10.88671875" style="25" customWidth="1"/>
    <col min="13333" max="13334" width="9.88671875" style="25" bestFit="1" customWidth="1"/>
    <col min="13335" max="13335" width="10.88671875" style="25" customWidth="1"/>
    <col min="13336" max="13336" width="9.88671875" style="25" bestFit="1" customWidth="1"/>
    <col min="13337" max="13337" width="7.109375" style="25" bestFit="1" customWidth="1"/>
    <col min="13338" max="13338" width="10.88671875" style="25" customWidth="1"/>
    <col min="13339" max="13567" width="11.44140625" style="25"/>
    <col min="13568" max="13568" width="0.109375" style="25" customWidth="1"/>
    <col min="13569" max="13569" width="23.88671875" style="25" customWidth="1"/>
    <col min="13570" max="13570" width="13" style="25" customWidth="1"/>
    <col min="13571" max="13572" width="9.88671875" style="25" bestFit="1" customWidth="1"/>
    <col min="13573" max="13573" width="10.88671875" style="25" customWidth="1"/>
    <col min="13574" max="13575" width="9.88671875" style="25" bestFit="1" customWidth="1"/>
    <col min="13576" max="13576" width="10.88671875" style="25" customWidth="1"/>
    <col min="13577" max="13578" width="9.88671875" style="25" bestFit="1" customWidth="1"/>
    <col min="13579" max="13579" width="10.88671875" style="25" customWidth="1"/>
    <col min="13580" max="13581" width="9.88671875" style="25" bestFit="1" customWidth="1"/>
    <col min="13582" max="13582" width="10.88671875" style="25" customWidth="1"/>
    <col min="13583" max="13584" width="9.88671875" style="25" bestFit="1" customWidth="1"/>
    <col min="13585" max="13585" width="10.88671875" style="25" customWidth="1"/>
    <col min="13586" max="13586" width="9.109375" style="25" bestFit="1" customWidth="1"/>
    <col min="13587" max="13587" width="9.88671875" style="25" bestFit="1" customWidth="1"/>
    <col min="13588" max="13588" width="10.88671875" style="25" customWidth="1"/>
    <col min="13589" max="13590" width="9.88671875" style="25" bestFit="1" customWidth="1"/>
    <col min="13591" max="13591" width="10.88671875" style="25" customWidth="1"/>
    <col min="13592" max="13592" width="9.88671875" style="25" bestFit="1" customWidth="1"/>
    <col min="13593" max="13593" width="7.109375" style="25" bestFit="1" customWidth="1"/>
    <col min="13594" max="13594" width="10.88671875" style="25" customWidth="1"/>
    <col min="13595" max="13823" width="11.44140625" style="25"/>
    <col min="13824" max="13824" width="0.109375" style="25" customWidth="1"/>
    <col min="13825" max="13825" width="23.88671875" style="25" customWidth="1"/>
    <col min="13826" max="13826" width="13" style="25" customWidth="1"/>
    <col min="13827" max="13828" width="9.88671875" style="25" bestFit="1" customWidth="1"/>
    <col min="13829" max="13829" width="10.88671875" style="25" customWidth="1"/>
    <col min="13830" max="13831" width="9.88671875" style="25" bestFit="1" customWidth="1"/>
    <col min="13832" max="13832" width="10.88671875" style="25" customWidth="1"/>
    <col min="13833" max="13834" width="9.88671875" style="25" bestFit="1" customWidth="1"/>
    <col min="13835" max="13835" width="10.88671875" style="25" customWidth="1"/>
    <col min="13836" max="13837" width="9.88671875" style="25" bestFit="1" customWidth="1"/>
    <col min="13838" max="13838" width="10.88671875" style="25" customWidth="1"/>
    <col min="13839" max="13840" width="9.88671875" style="25" bestFit="1" customWidth="1"/>
    <col min="13841" max="13841" width="10.88671875" style="25" customWidth="1"/>
    <col min="13842" max="13842" width="9.109375" style="25" bestFit="1" customWidth="1"/>
    <col min="13843" max="13843" width="9.88671875" style="25" bestFit="1" customWidth="1"/>
    <col min="13844" max="13844" width="10.88671875" style="25" customWidth="1"/>
    <col min="13845" max="13846" width="9.88671875" style="25" bestFit="1" customWidth="1"/>
    <col min="13847" max="13847" width="10.88671875" style="25" customWidth="1"/>
    <col min="13848" max="13848" width="9.88671875" style="25" bestFit="1" customWidth="1"/>
    <col min="13849" max="13849" width="7.109375" style="25" bestFit="1" customWidth="1"/>
    <col min="13850" max="13850" width="10.88671875" style="25" customWidth="1"/>
    <col min="13851" max="14079" width="11.44140625" style="25"/>
    <col min="14080" max="14080" width="0.109375" style="25" customWidth="1"/>
    <col min="14081" max="14081" width="23.88671875" style="25" customWidth="1"/>
    <col min="14082" max="14082" width="13" style="25" customWidth="1"/>
    <col min="14083" max="14084" width="9.88671875" style="25" bestFit="1" customWidth="1"/>
    <col min="14085" max="14085" width="10.88671875" style="25" customWidth="1"/>
    <col min="14086" max="14087" width="9.88671875" style="25" bestFit="1" customWidth="1"/>
    <col min="14088" max="14088" width="10.88671875" style="25" customWidth="1"/>
    <col min="14089" max="14090" width="9.88671875" style="25" bestFit="1" customWidth="1"/>
    <col min="14091" max="14091" width="10.88671875" style="25" customWidth="1"/>
    <col min="14092" max="14093" width="9.88671875" style="25" bestFit="1" customWidth="1"/>
    <col min="14094" max="14094" width="10.88671875" style="25" customWidth="1"/>
    <col min="14095" max="14096" width="9.88671875" style="25" bestFit="1" customWidth="1"/>
    <col min="14097" max="14097" width="10.88671875" style="25" customWidth="1"/>
    <col min="14098" max="14098" width="9.109375" style="25" bestFit="1" customWidth="1"/>
    <col min="14099" max="14099" width="9.88671875" style="25" bestFit="1" customWidth="1"/>
    <col min="14100" max="14100" width="10.88671875" style="25" customWidth="1"/>
    <col min="14101" max="14102" width="9.88671875" style="25" bestFit="1" customWidth="1"/>
    <col min="14103" max="14103" width="10.88671875" style="25" customWidth="1"/>
    <col min="14104" max="14104" width="9.88671875" style="25" bestFit="1" customWidth="1"/>
    <col min="14105" max="14105" width="7.109375" style="25" bestFit="1" customWidth="1"/>
    <col min="14106" max="14106" width="10.88671875" style="25" customWidth="1"/>
    <col min="14107" max="14335" width="11.44140625" style="25"/>
    <col min="14336" max="14336" width="0.109375" style="25" customWidth="1"/>
    <col min="14337" max="14337" width="23.88671875" style="25" customWidth="1"/>
    <col min="14338" max="14338" width="13" style="25" customWidth="1"/>
    <col min="14339" max="14340" width="9.88671875" style="25" bestFit="1" customWidth="1"/>
    <col min="14341" max="14341" width="10.88671875" style="25" customWidth="1"/>
    <col min="14342" max="14343" width="9.88671875" style="25" bestFit="1" customWidth="1"/>
    <col min="14344" max="14344" width="10.88671875" style="25" customWidth="1"/>
    <col min="14345" max="14346" width="9.88671875" style="25" bestFit="1" customWidth="1"/>
    <col min="14347" max="14347" width="10.88671875" style="25" customWidth="1"/>
    <col min="14348" max="14349" width="9.88671875" style="25" bestFit="1" customWidth="1"/>
    <col min="14350" max="14350" width="10.88671875" style="25" customWidth="1"/>
    <col min="14351" max="14352" width="9.88671875" style="25" bestFit="1" customWidth="1"/>
    <col min="14353" max="14353" width="10.88671875" style="25" customWidth="1"/>
    <col min="14354" max="14354" width="9.109375" style="25" bestFit="1" customWidth="1"/>
    <col min="14355" max="14355" width="9.88671875" style="25" bestFit="1" customWidth="1"/>
    <col min="14356" max="14356" width="10.88671875" style="25" customWidth="1"/>
    <col min="14357" max="14358" width="9.88671875" style="25" bestFit="1" customWidth="1"/>
    <col min="14359" max="14359" width="10.88671875" style="25" customWidth="1"/>
    <col min="14360" max="14360" width="9.88671875" style="25" bestFit="1" customWidth="1"/>
    <col min="14361" max="14361" width="7.109375" style="25" bestFit="1" customWidth="1"/>
    <col min="14362" max="14362" width="10.88671875" style="25" customWidth="1"/>
    <col min="14363" max="14591" width="11.44140625" style="25"/>
    <col min="14592" max="14592" width="0.109375" style="25" customWidth="1"/>
    <col min="14593" max="14593" width="23.88671875" style="25" customWidth="1"/>
    <col min="14594" max="14594" width="13" style="25" customWidth="1"/>
    <col min="14595" max="14596" width="9.88671875" style="25" bestFit="1" customWidth="1"/>
    <col min="14597" max="14597" width="10.88671875" style="25" customWidth="1"/>
    <col min="14598" max="14599" width="9.88671875" style="25" bestFit="1" customWidth="1"/>
    <col min="14600" max="14600" width="10.88671875" style="25" customWidth="1"/>
    <col min="14601" max="14602" width="9.88671875" style="25" bestFit="1" customWidth="1"/>
    <col min="14603" max="14603" width="10.88671875" style="25" customWidth="1"/>
    <col min="14604" max="14605" width="9.88671875" style="25" bestFit="1" customWidth="1"/>
    <col min="14606" max="14606" width="10.88671875" style="25" customWidth="1"/>
    <col min="14607" max="14608" width="9.88671875" style="25" bestFit="1" customWidth="1"/>
    <col min="14609" max="14609" width="10.88671875" style="25" customWidth="1"/>
    <col min="14610" max="14610" width="9.109375" style="25" bestFit="1" customWidth="1"/>
    <col min="14611" max="14611" width="9.88671875" style="25" bestFit="1" customWidth="1"/>
    <col min="14612" max="14612" width="10.88671875" style="25" customWidth="1"/>
    <col min="14613" max="14614" width="9.88671875" style="25" bestFit="1" customWidth="1"/>
    <col min="14615" max="14615" width="10.88671875" style="25" customWidth="1"/>
    <col min="14616" max="14616" width="9.88671875" style="25" bestFit="1" customWidth="1"/>
    <col min="14617" max="14617" width="7.109375" style="25" bestFit="1" customWidth="1"/>
    <col min="14618" max="14618" width="10.88671875" style="25" customWidth="1"/>
    <col min="14619" max="14847" width="11.44140625" style="25"/>
    <col min="14848" max="14848" width="0.109375" style="25" customWidth="1"/>
    <col min="14849" max="14849" width="23.88671875" style="25" customWidth="1"/>
    <col min="14850" max="14850" width="13" style="25" customWidth="1"/>
    <col min="14851" max="14852" width="9.88671875" style="25" bestFit="1" customWidth="1"/>
    <col min="14853" max="14853" width="10.88671875" style="25" customWidth="1"/>
    <col min="14854" max="14855" width="9.88671875" style="25" bestFit="1" customWidth="1"/>
    <col min="14856" max="14856" width="10.88671875" style="25" customWidth="1"/>
    <col min="14857" max="14858" width="9.88671875" style="25" bestFit="1" customWidth="1"/>
    <col min="14859" max="14859" width="10.88671875" style="25" customWidth="1"/>
    <col min="14860" max="14861" width="9.88671875" style="25" bestFit="1" customWidth="1"/>
    <col min="14862" max="14862" width="10.88671875" style="25" customWidth="1"/>
    <col min="14863" max="14864" width="9.88671875" style="25" bestFit="1" customWidth="1"/>
    <col min="14865" max="14865" width="10.88671875" style="25" customWidth="1"/>
    <col min="14866" max="14866" width="9.109375" style="25" bestFit="1" customWidth="1"/>
    <col min="14867" max="14867" width="9.88671875" style="25" bestFit="1" customWidth="1"/>
    <col min="14868" max="14868" width="10.88671875" style="25" customWidth="1"/>
    <col min="14869" max="14870" width="9.88671875" style="25" bestFit="1" customWidth="1"/>
    <col min="14871" max="14871" width="10.88671875" style="25" customWidth="1"/>
    <col min="14872" max="14872" width="9.88671875" style="25" bestFit="1" customWidth="1"/>
    <col min="14873" max="14873" width="7.109375" style="25" bestFit="1" customWidth="1"/>
    <col min="14874" max="14874" width="10.88671875" style="25" customWidth="1"/>
    <col min="14875" max="15103" width="11.44140625" style="25"/>
    <col min="15104" max="15104" width="0.109375" style="25" customWidth="1"/>
    <col min="15105" max="15105" width="23.88671875" style="25" customWidth="1"/>
    <col min="15106" max="15106" width="13" style="25" customWidth="1"/>
    <col min="15107" max="15108" width="9.88671875" style="25" bestFit="1" customWidth="1"/>
    <col min="15109" max="15109" width="10.88671875" style="25" customWidth="1"/>
    <col min="15110" max="15111" width="9.88671875" style="25" bestFit="1" customWidth="1"/>
    <col min="15112" max="15112" width="10.88671875" style="25" customWidth="1"/>
    <col min="15113" max="15114" width="9.88671875" style="25" bestFit="1" customWidth="1"/>
    <col min="15115" max="15115" width="10.88671875" style="25" customWidth="1"/>
    <col min="15116" max="15117" width="9.88671875" style="25" bestFit="1" customWidth="1"/>
    <col min="15118" max="15118" width="10.88671875" style="25" customWidth="1"/>
    <col min="15119" max="15120" width="9.88671875" style="25" bestFit="1" customWidth="1"/>
    <col min="15121" max="15121" width="10.88671875" style="25" customWidth="1"/>
    <col min="15122" max="15122" width="9.109375" style="25" bestFit="1" customWidth="1"/>
    <col min="15123" max="15123" width="9.88671875" style="25" bestFit="1" customWidth="1"/>
    <col min="15124" max="15124" width="10.88671875" style="25" customWidth="1"/>
    <col min="15125" max="15126" width="9.88671875" style="25" bestFit="1" customWidth="1"/>
    <col min="15127" max="15127" width="10.88671875" style="25" customWidth="1"/>
    <col min="15128" max="15128" width="9.88671875" style="25" bestFit="1" customWidth="1"/>
    <col min="15129" max="15129" width="7.109375" style="25" bestFit="1" customWidth="1"/>
    <col min="15130" max="15130" width="10.88671875" style="25" customWidth="1"/>
    <col min="15131" max="15359" width="11.44140625" style="25"/>
    <col min="15360" max="15360" width="0.109375" style="25" customWidth="1"/>
    <col min="15361" max="15361" width="23.88671875" style="25" customWidth="1"/>
    <col min="15362" max="15362" width="13" style="25" customWidth="1"/>
    <col min="15363" max="15364" width="9.88671875" style="25" bestFit="1" customWidth="1"/>
    <col min="15365" max="15365" width="10.88671875" style="25" customWidth="1"/>
    <col min="15366" max="15367" width="9.88671875" style="25" bestFit="1" customWidth="1"/>
    <col min="15368" max="15368" width="10.88671875" style="25" customWidth="1"/>
    <col min="15369" max="15370" width="9.88671875" style="25" bestFit="1" customWidth="1"/>
    <col min="15371" max="15371" width="10.88671875" style="25" customWidth="1"/>
    <col min="15372" max="15373" width="9.88671875" style="25" bestFit="1" customWidth="1"/>
    <col min="15374" max="15374" width="10.88671875" style="25" customWidth="1"/>
    <col min="15375" max="15376" width="9.88671875" style="25" bestFit="1" customWidth="1"/>
    <col min="15377" max="15377" width="10.88671875" style="25" customWidth="1"/>
    <col min="15378" max="15378" width="9.109375" style="25" bestFit="1" customWidth="1"/>
    <col min="15379" max="15379" width="9.88671875" style="25" bestFit="1" customWidth="1"/>
    <col min="15380" max="15380" width="10.88671875" style="25" customWidth="1"/>
    <col min="15381" max="15382" width="9.88671875" style="25" bestFit="1" customWidth="1"/>
    <col min="15383" max="15383" width="10.88671875" style="25" customWidth="1"/>
    <col min="15384" max="15384" width="9.88671875" style="25" bestFit="1" customWidth="1"/>
    <col min="15385" max="15385" width="7.109375" style="25" bestFit="1" customWidth="1"/>
    <col min="15386" max="15386" width="10.88671875" style="25" customWidth="1"/>
    <col min="15387" max="15615" width="11.44140625" style="25"/>
    <col min="15616" max="15616" width="0.109375" style="25" customWidth="1"/>
    <col min="15617" max="15617" width="23.88671875" style="25" customWidth="1"/>
    <col min="15618" max="15618" width="13" style="25" customWidth="1"/>
    <col min="15619" max="15620" width="9.88671875" style="25" bestFit="1" customWidth="1"/>
    <col min="15621" max="15621" width="10.88671875" style="25" customWidth="1"/>
    <col min="15622" max="15623" width="9.88671875" style="25" bestFit="1" customWidth="1"/>
    <col min="15624" max="15624" width="10.88671875" style="25" customWidth="1"/>
    <col min="15625" max="15626" width="9.88671875" style="25" bestFit="1" customWidth="1"/>
    <col min="15627" max="15627" width="10.88671875" style="25" customWidth="1"/>
    <col min="15628" max="15629" width="9.88671875" style="25" bestFit="1" customWidth="1"/>
    <col min="15630" max="15630" width="10.88671875" style="25" customWidth="1"/>
    <col min="15631" max="15632" width="9.88671875" style="25" bestFit="1" customWidth="1"/>
    <col min="15633" max="15633" width="10.88671875" style="25" customWidth="1"/>
    <col min="15634" max="15634" width="9.109375" style="25" bestFit="1" customWidth="1"/>
    <col min="15635" max="15635" width="9.88671875" style="25" bestFit="1" customWidth="1"/>
    <col min="15636" max="15636" width="10.88671875" style="25" customWidth="1"/>
    <col min="15637" max="15638" width="9.88671875" style="25" bestFit="1" customWidth="1"/>
    <col min="15639" max="15639" width="10.88671875" style="25" customWidth="1"/>
    <col min="15640" max="15640" width="9.88671875" style="25" bestFit="1" customWidth="1"/>
    <col min="15641" max="15641" width="7.109375" style="25" bestFit="1" customWidth="1"/>
    <col min="15642" max="15642" width="10.88671875" style="25" customWidth="1"/>
    <col min="15643" max="15871" width="11.44140625" style="25"/>
    <col min="15872" max="15872" width="0.109375" style="25" customWidth="1"/>
    <col min="15873" max="15873" width="23.88671875" style="25" customWidth="1"/>
    <col min="15874" max="15874" width="13" style="25" customWidth="1"/>
    <col min="15875" max="15876" width="9.88671875" style="25" bestFit="1" customWidth="1"/>
    <col min="15877" max="15877" width="10.88671875" style="25" customWidth="1"/>
    <col min="15878" max="15879" width="9.88671875" style="25" bestFit="1" customWidth="1"/>
    <col min="15880" max="15880" width="10.88671875" style="25" customWidth="1"/>
    <col min="15881" max="15882" width="9.88671875" style="25" bestFit="1" customWidth="1"/>
    <col min="15883" max="15883" width="10.88671875" style="25" customWidth="1"/>
    <col min="15884" max="15885" width="9.88671875" style="25" bestFit="1" customWidth="1"/>
    <col min="15886" max="15886" width="10.88671875" style="25" customWidth="1"/>
    <col min="15887" max="15888" width="9.88671875" style="25" bestFit="1" customWidth="1"/>
    <col min="15889" max="15889" width="10.88671875" style="25" customWidth="1"/>
    <col min="15890" max="15890" width="9.109375" style="25" bestFit="1" customWidth="1"/>
    <col min="15891" max="15891" width="9.88671875" style="25" bestFit="1" customWidth="1"/>
    <col min="15892" max="15892" width="10.88671875" style="25" customWidth="1"/>
    <col min="15893" max="15894" width="9.88671875" style="25" bestFit="1" customWidth="1"/>
    <col min="15895" max="15895" width="10.88671875" style="25" customWidth="1"/>
    <col min="15896" max="15896" width="9.88671875" style="25" bestFit="1" customWidth="1"/>
    <col min="15897" max="15897" width="7.109375" style="25" bestFit="1" customWidth="1"/>
    <col min="15898" max="15898" width="10.88671875" style="25" customWidth="1"/>
    <col min="15899" max="16127" width="11.44140625" style="25"/>
    <col min="16128" max="16128" width="0.109375" style="25" customWidth="1"/>
    <col min="16129" max="16129" width="23.88671875" style="25" customWidth="1"/>
    <col min="16130" max="16130" width="13" style="25" customWidth="1"/>
    <col min="16131" max="16132" width="9.88671875" style="25" bestFit="1" customWidth="1"/>
    <col min="16133" max="16133" width="10.88671875" style="25" customWidth="1"/>
    <col min="16134" max="16135" width="9.88671875" style="25" bestFit="1" customWidth="1"/>
    <col min="16136" max="16136" width="10.88671875" style="25" customWidth="1"/>
    <col min="16137" max="16138" width="9.88671875" style="25" bestFit="1" customWidth="1"/>
    <col min="16139" max="16139" width="10.88671875" style="25" customWidth="1"/>
    <col min="16140" max="16141" width="9.88671875" style="25" bestFit="1" customWidth="1"/>
    <col min="16142" max="16142" width="10.88671875" style="25" customWidth="1"/>
    <col min="16143" max="16144" width="9.88671875" style="25" bestFit="1" customWidth="1"/>
    <col min="16145" max="16145" width="10.88671875" style="25" customWidth="1"/>
    <col min="16146" max="16146" width="9.109375" style="25" bestFit="1" customWidth="1"/>
    <col min="16147" max="16147" width="9.88671875" style="25" bestFit="1" customWidth="1"/>
    <col min="16148" max="16148" width="10.88671875" style="25" customWidth="1"/>
    <col min="16149" max="16150" width="9.88671875" style="25" bestFit="1" customWidth="1"/>
    <col min="16151" max="16151" width="10.88671875" style="25" customWidth="1"/>
    <col min="16152" max="16152" width="9.88671875" style="25" bestFit="1" customWidth="1"/>
    <col min="16153" max="16153" width="7.109375" style="25" bestFit="1" customWidth="1"/>
    <col min="16154" max="16154" width="10.88671875" style="25" customWidth="1"/>
    <col min="16155" max="16384" width="11.44140625" style="25"/>
  </cols>
  <sheetData>
    <row r="1" spans="2:62" ht="41.4" x14ac:dyDescent="0.25">
      <c r="B1" s="327" t="s">
        <v>145</v>
      </c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</row>
    <row r="2" spans="2:62" ht="15.6" x14ac:dyDescent="0.25"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</row>
    <row r="3" spans="2:62" ht="15" customHeight="1" x14ac:dyDescent="0.25">
      <c r="B3" s="5727" t="s">
        <v>132</v>
      </c>
      <c r="C3" s="5724">
        <v>2003</v>
      </c>
      <c r="D3" s="5725"/>
      <c r="E3" s="5726"/>
      <c r="F3" s="5724">
        <v>2004</v>
      </c>
      <c r="G3" s="5725"/>
      <c r="H3" s="5726"/>
      <c r="I3" s="5724">
        <v>2005</v>
      </c>
      <c r="J3" s="5725"/>
      <c r="K3" s="5726"/>
      <c r="L3" s="5724">
        <v>2006</v>
      </c>
      <c r="M3" s="5725"/>
      <c r="N3" s="5726"/>
      <c r="O3" s="5724">
        <v>2007</v>
      </c>
      <c r="P3" s="5725"/>
      <c r="Q3" s="5726"/>
      <c r="R3" s="5724">
        <v>2008</v>
      </c>
      <c r="S3" s="5725"/>
      <c r="T3" s="5726"/>
      <c r="U3" s="5724">
        <v>2009</v>
      </c>
      <c r="V3" s="5725"/>
      <c r="W3" s="5726"/>
      <c r="X3" s="5724">
        <v>2010</v>
      </c>
      <c r="Y3" s="5725"/>
      <c r="Z3" s="5726"/>
      <c r="AA3" s="5724">
        <v>2011</v>
      </c>
      <c r="AB3" s="5725"/>
      <c r="AC3" s="5726"/>
      <c r="AD3" s="5724">
        <v>2012</v>
      </c>
      <c r="AE3" s="5725"/>
      <c r="AF3" s="5726"/>
      <c r="AG3" s="5724">
        <v>2013</v>
      </c>
      <c r="AH3" s="5725"/>
      <c r="AI3" s="5726"/>
      <c r="AJ3" s="5724">
        <v>2014</v>
      </c>
      <c r="AK3" s="5725"/>
      <c r="AL3" s="5726"/>
      <c r="AM3" s="5724">
        <v>2015</v>
      </c>
      <c r="AN3" s="5725"/>
      <c r="AO3" s="5726"/>
      <c r="AP3" s="5724">
        <v>2016</v>
      </c>
      <c r="AQ3" s="5725"/>
      <c r="AR3" s="5726"/>
      <c r="AS3" s="5724">
        <v>2017</v>
      </c>
      <c r="AT3" s="5725"/>
      <c r="AU3" s="5726"/>
      <c r="AV3" s="5724">
        <v>2018</v>
      </c>
      <c r="AW3" s="5725"/>
      <c r="AX3" s="5726"/>
      <c r="AY3" s="5724">
        <v>2019</v>
      </c>
      <c r="AZ3" s="5725"/>
      <c r="BA3" s="5726"/>
      <c r="BB3" s="5724">
        <v>2020</v>
      </c>
      <c r="BC3" s="5725"/>
      <c r="BD3" s="5726"/>
      <c r="BE3" s="5724">
        <v>2021</v>
      </c>
      <c r="BF3" s="5725"/>
      <c r="BG3" s="5726"/>
      <c r="BH3" s="5724">
        <v>2022</v>
      </c>
      <c r="BI3" s="5725"/>
      <c r="BJ3" s="5726"/>
    </row>
    <row r="4" spans="2:62" ht="14.4" x14ac:dyDescent="0.25">
      <c r="B4" s="5728"/>
      <c r="C4" s="28" t="s">
        <v>46</v>
      </c>
      <c r="D4" s="29" t="s">
        <v>47</v>
      </c>
      <c r="E4" s="30" t="s">
        <v>48</v>
      </c>
      <c r="F4" s="28" t="s">
        <v>46</v>
      </c>
      <c r="G4" s="29" t="s">
        <v>47</v>
      </c>
      <c r="H4" s="30" t="s">
        <v>48</v>
      </c>
      <c r="I4" s="28" t="s">
        <v>46</v>
      </c>
      <c r="J4" s="29" t="s">
        <v>47</v>
      </c>
      <c r="K4" s="30" t="s">
        <v>48</v>
      </c>
      <c r="L4" s="28" t="s">
        <v>46</v>
      </c>
      <c r="M4" s="29" t="s">
        <v>47</v>
      </c>
      <c r="N4" s="30" t="s">
        <v>48</v>
      </c>
      <c r="O4" s="28" t="s">
        <v>46</v>
      </c>
      <c r="P4" s="29" t="s">
        <v>47</v>
      </c>
      <c r="Q4" s="30" t="s">
        <v>48</v>
      </c>
      <c r="R4" s="28" t="s">
        <v>46</v>
      </c>
      <c r="S4" s="29" t="s">
        <v>47</v>
      </c>
      <c r="T4" s="30" t="s">
        <v>48</v>
      </c>
      <c r="U4" s="28" t="s">
        <v>46</v>
      </c>
      <c r="V4" s="29" t="s">
        <v>47</v>
      </c>
      <c r="W4" s="30" t="s">
        <v>48</v>
      </c>
      <c r="X4" s="28" t="s">
        <v>46</v>
      </c>
      <c r="Y4" s="29" t="s">
        <v>47</v>
      </c>
      <c r="Z4" s="30" t="s">
        <v>48</v>
      </c>
      <c r="AA4" s="28" t="s">
        <v>46</v>
      </c>
      <c r="AB4" s="29" t="s">
        <v>47</v>
      </c>
      <c r="AC4" s="30" t="s">
        <v>48</v>
      </c>
      <c r="AD4" s="28" t="s">
        <v>46</v>
      </c>
      <c r="AE4" s="29" t="s">
        <v>47</v>
      </c>
      <c r="AF4" s="30" t="s">
        <v>48</v>
      </c>
      <c r="AG4" s="28" t="s">
        <v>46</v>
      </c>
      <c r="AH4" s="29" t="s">
        <v>47</v>
      </c>
      <c r="AI4" s="30" t="s">
        <v>48</v>
      </c>
      <c r="AJ4" s="28" t="s">
        <v>46</v>
      </c>
      <c r="AK4" s="29" t="s">
        <v>47</v>
      </c>
      <c r="AL4" s="30" t="s">
        <v>48</v>
      </c>
      <c r="AM4" s="28" t="s">
        <v>46</v>
      </c>
      <c r="AN4" s="29" t="s">
        <v>47</v>
      </c>
      <c r="AO4" s="30" t="s">
        <v>48</v>
      </c>
      <c r="AP4" s="28" t="s">
        <v>46</v>
      </c>
      <c r="AQ4" s="29" t="s">
        <v>47</v>
      </c>
      <c r="AR4" s="30" t="s">
        <v>48</v>
      </c>
      <c r="AS4" s="28" t="s">
        <v>46</v>
      </c>
      <c r="AT4" s="29" t="s">
        <v>47</v>
      </c>
      <c r="AU4" s="30" t="s">
        <v>48</v>
      </c>
      <c r="AV4" s="28" t="s">
        <v>46</v>
      </c>
      <c r="AW4" s="29" t="s">
        <v>47</v>
      </c>
      <c r="AX4" s="30" t="s">
        <v>48</v>
      </c>
      <c r="AY4" s="28" t="s">
        <v>46</v>
      </c>
      <c r="AZ4" s="29" t="s">
        <v>47</v>
      </c>
      <c r="BA4" s="30" t="s">
        <v>48</v>
      </c>
      <c r="BB4" s="28" t="s">
        <v>46</v>
      </c>
      <c r="BC4" s="29" t="s">
        <v>47</v>
      </c>
      <c r="BD4" s="30" t="s">
        <v>48</v>
      </c>
      <c r="BE4" s="28" t="s">
        <v>46</v>
      </c>
      <c r="BF4" s="29" t="s">
        <v>47</v>
      </c>
      <c r="BG4" s="30" t="s">
        <v>48</v>
      </c>
      <c r="BH4" s="28" t="s">
        <v>46</v>
      </c>
      <c r="BI4" s="29" t="s">
        <v>47</v>
      </c>
      <c r="BJ4" s="30" t="s">
        <v>48</v>
      </c>
    </row>
    <row r="5" spans="2:62" ht="14.4" x14ac:dyDescent="0.25">
      <c r="B5" s="149"/>
      <c r="C5" s="328"/>
      <c r="D5" s="328"/>
      <c r="E5" s="328"/>
      <c r="F5" s="328"/>
      <c r="G5" s="328"/>
      <c r="H5" s="328"/>
      <c r="I5" s="328"/>
      <c r="J5" s="328"/>
      <c r="K5" s="328"/>
      <c r="L5" s="328"/>
      <c r="M5" s="328"/>
      <c r="N5" s="328"/>
      <c r="O5" s="328"/>
      <c r="P5" s="328"/>
      <c r="Q5" s="328"/>
      <c r="R5" s="328"/>
      <c r="S5" s="328"/>
      <c r="T5" s="328"/>
      <c r="U5" s="328"/>
      <c r="V5" s="328"/>
      <c r="W5" s="328"/>
      <c r="X5" s="328"/>
      <c r="Y5" s="328"/>
      <c r="Z5" s="328"/>
      <c r="AA5" s="328"/>
      <c r="AB5" s="328"/>
      <c r="AC5" s="328"/>
      <c r="AD5" s="328"/>
      <c r="AE5" s="328"/>
      <c r="AF5" s="328"/>
      <c r="AG5" s="328"/>
      <c r="AH5" s="328"/>
      <c r="AI5" s="328"/>
      <c r="AJ5" s="328"/>
      <c r="AK5" s="328"/>
      <c r="AL5" s="328"/>
      <c r="AM5" s="328"/>
      <c r="AN5" s="328"/>
      <c r="AO5" s="328"/>
      <c r="AP5" s="328"/>
      <c r="AQ5" s="328"/>
      <c r="AR5" s="328"/>
      <c r="AS5" s="328"/>
      <c r="AT5" s="328"/>
      <c r="AU5" s="328"/>
      <c r="AV5" s="328"/>
      <c r="AW5" s="328"/>
      <c r="AX5" s="328"/>
      <c r="AY5" s="328"/>
      <c r="AZ5" s="328"/>
      <c r="BA5" s="328"/>
      <c r="BB5" s="328"/>
      <c r="BC5" s="328"/>
      <c r="BD5" s="328"/>
      <c r="BE5" s="328"/>
      <c r="BF5" s="328"/>
      <c r="BG5" s="328"/>
      <c r="BH5" s="328"/>
      <c r="BI5" s="328"/>
      <c r="BJ5" s="328"/>
    </row>
    <row r="6" spans="2:62" ht="15" customHeight="1" x14ac:dyDescent="0.25">
      <c r="B6" s="150" t="s">
        <v>59</v>
      </c>
      <c r="C6" s="329">
        <v>420</v>
      </c>
      <c r="D6" s="330">
        <v>994</v>
      </c>
      <c r="E6" s="331">
        <f>SUM(C6:D6)</f>
        <v>1414</v>
      </c>
      <c r="F6" s="329">
        <v>776</v>
      </c>
      <c r="G6" s="330">
        <v>1217</v>
      </c>
      <c r="H6" s="35">
        <f>SUM(F6:G6)</f>
        <v>1993</v>
      </c>
      <c r="I6" s="329">
        <v>757</v>
      </c>
      <c r="J6" s="330">
        <v>1266</v>
      </c>
      <c r="K6" s="35">
        <f>SUM(I6:J6)</f>
        <v>2023</v>
      </c>
      <c r="L6" s="329">
        <v>802</v>
      </c>
      <c r="M6" s="330">
        <v>1354</v>
      </c>
      <c r="N6" s="35">
        <f>SUM(L6:M6)</f>
        <v>2156</v>
      </c>
      <c r="O6" s="329">
        <v>711</v>
      </c>
      <c r="P6" s="330">
        <v>1380</v>
      </c>
      <c r="Q6" s="35">
        <f>SUM(O6:P6)</f>
        <v>2091</v>
      </c>
      <c r="R6" s="329">
        <v>722</v>
      </c>
      <c r="S6" s="330">
        <v>1398</v>
      </c>
      <c r="T6" s="35">
        <f>SUM(R6:S6)</f>
        <v>2120</v>
      </c>
      <c r="U6" s="329">
        <v>784</v>
      </c>
      <c r="V6" s="330">
        <v>1259</v>
      </c>
      <c r="W6" s="35">
        <f>SUM(U6:V6)</f>
        <v>2043</v>
      </c>
      <c r="X6" s="329">
        <v>925</v>
      </c>
      <c r="Y6" s="330">
        <v>1460</v>
      </c>
      <c r="Z6" s="35">
        <f>SUM(X6:Y6)</f>
        <v>2385</v>
      </c>
      <c r="AA6" s="329">
        <v>1058</v>
      </c>
      <c r="AB6" s="330">
        <v>978</v>
      </c>
      <c r="AC6" s="35">
        <f>SUM(AA6:AB6)</f>
        <v>2036</v>
      </c>
      <c r="AD6" s="329">
        <f>SUM('Admitidos plan'!AD6:AD15)</f>
        <v>515</v>
      </c>
      <c r="AE6" s="330">
        <f>SUM('Admitidos plan'!AE6:AE15)</f>
        <v>934</v>
      </c>
      <c r="AF6" s="35">
        <f>SUM(AD6:AE6)</f>
        <v>1449</v>
      </c>
      <c r="AG6" s="329">
        <f>SUM('Admitidos plan'!AG6:AG15)</f>
        <v>600</v>
      </c>
      <c r="AH6" s="330">
        <f>SUM('Admitidos plan'!AH6:AH15)</f>
        <v>948</v>
      </c>
      <c r="AI6" s="35">
        <f>SUM(AG6:AH6)</f>
        <v>1548</v>
      </c>
      <c r="AJ6" s="329">
        <f>SUM('Admitidos plan'!AJ6:AJ15)</f>
        <v>454</v>
      </c>
      <c r="AK6" s="330">
        <f>SUM('Admitidos plan'!AK6:AK15)</f>
        <v>1000</v>
      </c>
      <c r="AL6" s="35">
        <f>SUM(AJ6:AK6)</f>
        <v>1454</v>
      </c>
      <c r="AM6" s="329">
        <f>SUM('Admitidos plan'!AM6:AM15)</f>
        <v>395</v>
      </c>
      <c r="AN6" s="330">
        <f>SUM('Admitidos plan'!AN6:AN15)</f>
        <v>854</v>
      </c>
      <c r="AO6" s="35">
        <f>SUM(AM6:AN6)</f>
        <v>1249</v>
      </c>
      <c r="AP6" s="329">
        <f>SUM('Admitidos plan'!AP6:AP15)</f>
        <v>598</v>
      </c>
      <c r="AQ6" s="330">
        <f>SUM('Admitidos plan'!AQ6:AQ15)</f>
        <v>970</v>
      </c>
      <c r="AR6" s="35">
        <f>SUM(AP6:AQ6)</f>
        <v>1568</v>
      </c>
      <c r="AS6" s="329">
        <f>SUM('Admitidos plan'!AS6:AS15)</f>
        <v>610</v>
      </c>
      <c r="AT6" s="330">
        <f>SUM('Admitidos plan'!AT6:AT15)</f>
        <v>1051</v>
      </c>
      <c r="AU6" s="35">
        <f>SUM(AS6:AT6)</f>
        <v>1661</v>
      </c>
      <c r="AV6" s="329">
        <f>SUM('Admitidos plan'!AV6:AV15)</f>
        <v>617</v>
      </c>
      <c r="AW6" s="330">
        <f>SUM('Admitidos plan'!AW6:AW15)</f>
        <v>1225</v>
      </c>
      <c r="AX6" s="35">
        <f>SUM(AV6:AW6)</f>
        <v>1842</v>
      </c>
      <c r="AY6" s="329">
        <f>SUM('Admitidos plan'!AY6:AY15)</f>
        <v>1122</v>
      </c>
      <c r="AZ6" s="330">
        <f>SUM('Admitidos plan'!AZ6:AZ15)</f>
        <v>1163</v>
      </c>
      <c r="BA6" s="35">
        <f>SUM(AY6:AZ6)</f>
        <v>2285</v>
      </c>
      <c r="BB6" s="329">
        <f>SUM('Admitidos plan'!BB6:BB15)</f>
        <v>605</v>
      </c>
      <c r="BC6" s="330">
        <f>SUM('Admitidos plan'!BC6:BC15)</f>
        <v>831</v>
      </c>
      <c r="BD6" s="35">
        <f>SUM(BB6:BC6)</f>
        <v>1436</v>
      </c>
      <c r="BE6" s="329">
        <f>SUM('Admitidos plan'!BE6:BE15)</f>
        <v>713</v>
      </c>
      <c r="BF6" s="330">
        <f>SUM('Admitidos plan'!BF6:BF15)</f>
        <v>748</v>
      </c>
      <c r="BG6" s="35">
        <f>SUM(BE6:BF6)</f>
        <v>1461</v>
      </c>
      <c r="BH6" s="329">
        <f>SUM('Admitidos plan'!BH6:BH15)</f>
        <v>648</v>
      </c>
      <c r="BI6" s="330">
        <f>SUM('Admitidos plan'!BI6:BI15)</f>
        <v>917</v>
      </c>
      <c r="BJ6" s="35">
        <f>SUM(BH6:BI6)</f>
        <v>1565</v>
      </c>
    </row>
    <row r="7" spans="2:62" ht="15" customHeight="1" x14ac:dyDescent="0.25">
      <c r="B7" s="154" t="s">
        <v>64</v>
      </c>
      <c r="C7" s="82">
        <v>507</v>
      </c>
      <c r="D7" s="83">
        <v>709</v>
      </c>
      <c r="E7" s="332">
        <f>SUM(C7:D7)</f>
        <v>1216</v>
      </c>
      <c r="F7" s="82">
        <v>484</v>
      </c>
      <c r="G7" s="83">
        <v>793</v>
      </c>
      <c r="H7" s="42">
        <f>SUM(F7:G7)</f>
        <v>1277</v>
      </c>
      <c r="I7" s="82">
        <v>542</v>
      </c>
      <c r="J7" s="83">
        <v>733</v>
      </c>
      <c r="K7" s="42">
        <f>SUM(I7:J7)</f>
        <v>1275</v>
      </c>
      <c r="L7" s="82">
        <v>448</v>
      </c>
      <c r="M7" s="83">
        <v>800</v>
      </c>
      <c r="N7" s="42">
        <f>SUM(L7:M7)</f>
        <v>1248</v>
      </c>
      <c r="O7" s="82">
        <v>621</v>
      </c>
      <c r="P7" s="83">
        <v>713</v>
      </c>
      <c r="Q7" s="42">
        <f>SUM(O7:P7)</f>
        <v>1334</v>
      </c>
      <c r="R7" s="82">
        <v>702</v>
      </c>
      <c r="S7" s="83">
        <v>695</v>
      </c>
      <c r="T7" s="42">
        <f>SUM(R7:S7)</f>
        <v>1397</v>
      </c>
      <c r="U7" s="82">
        <v>625</v>
      </c>
      <c r="V7" s="83">
        <v>817</v>
      </c>
      <c r="W7" s="42">
        <f>SUM(U7:V7)</f>
        <v>1442</v>
      </c>
      <c r="X7" s="82">
        <v>626</v>
      </c>
      <c r="Y7" s="83">
        <v>723</v>
      </c>
      <c r="Z7" s="42">
        <f>SUM(X7:Y7)</f>
        <v>1349</v>
      </c>
      <c r="AA7" s="82">
        <v>649</v>
      </c>
      <c r="AB7" s="83">
        <v>756</v>
      </c>
      <c r="AC7" s="42">
        <f>SUM(AA7:AB7)</f>
        <v>1405</v>
      </c>
      <c r="AD7" s="82">
        <f>SUM('Admitidos plan'!AD17:AD20)</f>
        <v>704</v>
      </c>
      <c r="AE7" s="83">
        <f>SUM('Admitidos plan'!AE17:AE20)</f>
        <v>882</v>
      </c>
      <c r="AF7" s="42">
        <f>SUM(AD7:AE7)</f>
        <v>1586</v>
      </c>
      <c r="AG7" s="82">
        <f>SUM('Admitidos plan'!AG17:AG20)</f>
        <v>661</v>
      </c>
      <c r="AH7" s="83">
        <f>SUM('Admitidos plan'!AH17:AH20)</f>
        <v>851</v>
      </c>
      <c r="AI7" s="42">
        <f>SUM(AG7:AH7)</f>
        <v>1512</v>
      </c>
      <c r="AJ7" s="82">
        <f>SUM('Admitidos plan'!AJ17:AJ20)</f>
        <v>644</v>
      </c>
      <c r="AK7" s="83">
        <f>SUM('Admitidos plan'!AK17:AK20)</f>
        <v>810</v>
      </c>
      <c r="AL7" s="42">
        <f>SUM(AJ7:AK7)</f>
        <v>1454</v>
      </c>
      <c r="AM7" s="82">
        <f>SUM('Admitidos plan'!AM17:AM20)</f>
        <v>718</v>
      </c>
      <c r="AN7" s="83">
        <f>SUM('Admitidos plan'!AN17:AN20)</f>
        <v>898</v>
      </c>
      <c r="AO7" s="42">
        <f>SUM(AM7:AN7)</f>
        <v>1616</v>
      </c>
      <c r="AP7" s="82">
        <f>SUM('Admitidos plan'!AP17:AP20)</f>
        <v>686</v>
      </c>
      <c r="AQ7" s="83">
        <f>SUM('Admitidos plan'!AQ17:AQ20)</f>
        <v>896</v>
      </c>
      <c r="AR7" s="42">
        <f>SUM(AP7:AQ7)</f>
        <v>1582</v>
      </c>
      <c r="AS7" s="82">
        <f>SUM('Admitidos plan'!AS17:AS20)</f>
        <v>673</v>
      </c>
      <c r="AT7" s="83">
        <f>SUM('Admitidos plan'!AT17:AT20)</f>
        <v>893</v>
      </c>
      <c r="AU7" s="42">
        <f>SUM(AS7:AT7)</f>
        <v>1566</v>
      </c>
      <c r="AV7" s="82">
        <f>SUM('Admitidos plan'!AV17:AV20)</f>
        <v>673</v>
      </c>
      <c r="AW7" s="83">
        <f>SUM('Admitidos plan'!AW17:AW20)</f>
        <v>926</v>
      </c>
      <c r="AX7" s="42">
        <f>SUM(AV7:AW7)</f>
        <v>1599</v>
      </c>
      <c r="AY7" s="82">
        <f>SUM('Admitidos plan'!AY17:AY20)</f>
        <v>865</v>
      </c>
      <c r="AZ7" s="83">
        <f>SUM('Admitidos plan'!AZ17:AZ20)</f>
        <v>895</v>
      </c>
      <c r="BA7" s="42">
        <f>SUM(AY7:AZ7)</f>
        <v>1760</v>
      </c>
      <c r="BB7" s="82">
        <f>SUM('Admitidos plan'!BB17:BB20)</f>
        <v>713</v>
      </c>
      <c r="BC7" s="83">
        <f>SUM('Admitidos plan'!BC17:BC20)</f>
        <v>669</v>
      </c>
      <c r="BD7" s="42">
        <f>SUM(BB7:BC7)</f>
        <v>1382</v>
      </c>
      <c r="BE7" s="82">
        <f>SUM('Admitidos plan'!BE17:BE20)</f>
        <v>663</v>
      </c>
      <c r="BF7" s="83">
        <f>SUM('Admitidos plan'!BF17:BF20)</f>
        <v>782</v>
      </c>
      <c r="BG7" s="42">
        <f>SUM(BE7:BF7)</f>
        <v>1445</v>
      </c>
      <c r="BH7" s="82">
        <f>SUM('Admitidos plan'!BH17:BH20)</f>
        <v>711</v>
      </c>
      <c r="BI7" s="83">
        <f>SUM('Admitidos plan'!BI17:BI20)</f>
        <v>760</v>
      </c>
      <c r="BJ7" s="42">
        <f>SUM(BH7:BI7)</f>
        <v>1471</v>
      </c>
    </row>
    <row r="8" spans="2:62" ht="15" customHeight="1" x14ac:dyDescent="0.25">
      <c r="B8" s="154" t="s">
        <v>68</v>
      </c>
      <c r="C8" s="333">
        <v>348</v>
      </c>
      <c r="D8" s="334">
        <v>464</v>
      </c>
      <c r="E8" s="335">
        <f>SUM(C8:D8)</f>
        <v>812</v>
      </c>
      <c r="F8" s="333">
        <v>348</v>
      </c>
      <c r="G8" s="334">
        <v>379</v>
      </c>
      <c r="H8" s="48">
        <f>SUM(F8:G8)</f>
        <v>727</v>
      </c>
      <c r="I8" s="333">
        <v>328</v>
      </c>
      <c r="J8" s="334">
        <v>389</v>
      </c>
      <c r="K8" s="48">
        <f>SUM(I8:J8)</f>
        <v>717</v>
      </c>
      <c r="L8" s="333">
        <v>278</v>
      </c>
      <c r="M8" s="334">
        <v>370</v>
      </c>
      <c r="N8" s="48">
        <f>SUM(L8:M8)</f>
        <v>648</v>
      </c>
      <c r="O8" s="333">
        <v>293</v>
      </c>
      <c r="P8" s="334">
        <v>370</v>
      </c>
      <c r="Q8" s="48">
        <f>SUM(O8:P8)</f>
        <v>663</v>
      </c>
      <c r="R8" s="333">
        <v>286</v>
      </c>
      <c r="S8" s="334">
        <v>330</v>
      </c>
      <c r="T8" s="48">
        <f>SUM(R8:S8)</f>
        <v>616</v>
      </c>
      <c r="U8" s="333">
        <v>290</v>
      </c>
      <c r="V8" s="334">
        <v>357</v>
      </c>
      <c r="W8" s="48">
        <f>SUM(U8:V8)</f>
        <v>647</v>
      </c>
      <c r="X8" s="333">
        <v>284</v>
      </c>
      <c r="Y8" s="334">
        <v>338</v>
      </c>
      <c r="Z8" s="48">
        <f>SUM(X8:Y8)</f>
        <v>622</v>
      </c>
      <c r="AA8" s="333">
        <v>300</v>
      </c>
      <c r="AB8" s="334">
        <v>358</v>
      </c>
      <c r="AC8" s="48">
        <f>SUM(AA8:AB8)</f>
        <v>658</v>
      </c>
      <c r="AD8" s="333">
        <f>SUM('Admitidos plan'!AD22:AD24)</f>
        <v>292</v>
      </c>
      <c r="AE8" s="334">
        <f>SUM('Admitidos plan'!AE22:AE24)</f>
        <v>348</v>
      </c>
      <c r="AF8" s="48">
        <f>SUM(AD8:AE8)</f>
        <v>640</v>
      </c>
      <c r="AG8" s="333">
        <f>SUM('Admitidos plan'!AG22:AG24)</f>
        <v>317</v>
      </c>
      <c r="AH8" s="334">
        <f>SUM('Admitidos plan'!AH22:AH24)</f>
        <v>374</v>
      </c>
      <c r="AI8" s="48">
        <f>SUM(AG8:AH8)</f>
        <v>691</v>
      </c>
      <c r="AJ8" s="333">
        <f>SUM('Admitidos plan'!AJ22:AJ24)</f>
        <v>312</v>
      </c>
      <c r="AK8" s="334">
        <f>SUM('Admitidos plan'!AK22:AK24)</f>
        <v>355</v>
      </c>
      <c r="AL8" s="48">
        <f>SUM(AJ8:AK8)</f>
        <v>667</v>
      </c>
      <c r="AM8" s="333">
        <f>SUM('Admitidos plan'!AM22:AM24)</f>
        <v>323</v>
      </c>
      <c r="AN8" s="334">
        <f>SUM('Admitidos plan'!AN22:AN24)</f>
        <v>402</v>
      </c>
      <c r="AO8" s="48">
        <f>SUM(AM8:AN8)</f>
        <v>725</v>
      </c>
      <c r="AP8" s="333">
        <f>SUM('Admitidos plan'!AP22:AP24)</f>
        <v>299</v>
      </c>
      <c r="AQ8" s="334">
        <f>SUM('Admitidos plan'!AQ22:AQ24)</f>
        <v>424</v>
      </c>
      <c r="AR8" s="48">
        <f>SUM(AP8:AQ8)</f>
        <v>723</v>
      </c>
      <c r="AS8" s="333">
        <f>SUM('Admitidos plan'!AS22:AS24)</f>
        <v>380</v>
      </c>
      <c r="AT8" s="334">
        <f>SUM('Admitidos plan'!AT22:AT24)</f>
        <v>435</v>
      </c>
      <c r="AU8" s="48">
        <f>SUM(AS8:AT8)</f>
        <v>815</v>
      </c>
      <c r="AV8" s="333">
        <f>SUM('Admitidos plan'!AV22:AV24)</f>
        <v>393</v>
      </c>
      <c r="AW8" s="334">
        <f>SUM('Admitidos plan'!AW22:AW24)</f>
        <v>451</v>
      </c>
      <c r="AX8" s="48">
        <f>SUM(AV8:AW8)</f>
        <v>844</v>
      </c>
      <c r="AY8" s="333">
        <f>SUM('Admitidos plan'!AY22:AY24)</f>
        <v>414</v>
      </c>
      <c r="AZ8" s="334">
        <f>SUM('Admitidos plan'!AZ22:AZ24)</f>
        <v>415</v>
      </c>
      <c r="BA8" s="48">
        <f>SUM(AY8:AZ8)</f>
        <v>829</v>
      </c>
      <c r="BB8" s="333">
        <f>SUM('Admitidos plan'!BB22:BB24)</f>
        <v>374</v>
      </c>
      <c r="BC8" s="334">
        <f>SUM('Admitidos plan'!BC22:BC24)</f>
        <v>392</v>
      </c>
      <c r="BD8" s="48">
        <f>SUM(BB8:BC8)</f>
        <v>766</v>
      </c>
      <c r="BE8" s="333">
        <f>SUM('Admitidos plan'!BE22:BE24)</f>
        <v>367</v>
      </c>
      <c r="BF8" s="334">
        <f>SUM('Admitidos plan'!BF22:BF24)</f>
        <v>408</v>
      </c>
      <c r="BG8" s="48">
        <f>SUM(BE8:BF8)</f>
        <v>775</v>
      </c>
      <c r="BH8" s="333">
        <f>SUM('Admitidos plan'!BH22:BH24)</f>
        <v>391</v>
      </c>
      <c r="BI8" s="334">
        <f>SUM('Admitidos plan'!BI22:BI24)</f>
        <v>411</v>
      </c>
      <c r="BJ8" s="48">
        <f>SUM(BH8:BI8)</f>
        <v>802</v>
      </c>
    </row>
    <row r="9" spans="2:62" ht="15" customHeight="1" x14ac:dyDescent="0.25">
      <c r="B9" s="157" t="s">
        <v>133</v>
      </c>
      <c r="C9" s="336">
        <f t="shared" ref="C9:X9" si="0">SUM(C6:C8)</f>
        <v>1275</v>
      </c>
      <c r="D9" s="337">
        <f t="shared" si="0"/>
        <v>2167</v>
      </c>
      <c r="E9" s="338">
        <f t="shared" si="0"/>
        <v>3442</v>
      </c>
      <c r="F9" s="336">
        <f t="shared" si="0"/>
        <v>1608</v>
      </c>
      <c r="G9" s="337">
        <f t="shared" si="0"/>
        <v>2389</v>
      </c>
      <c r="H9" s="338">
        <f t="shared" si="0"/>
        <v>3997</v>
      </c>
      <c r="I9" s="336">
        <f t="shared" si="0"/>
        <v>1627</v>
      </c>
      <c r="J9" s="337">
        <f t="shared" si="0"/>
        <v>2388</v>
      </c>
      <c r="K9" s="338">
        <f t="shared" si="0"/>
        <v>4015</v>
      </c>
      <c r="L9" s="336">
        <f t="shared" si="0"/>
        <v>1528</v>
      </c>
      <c r="M9" s="337">
        <f t="shared" si="0"/>
        <v>2524</v>
      </c>
      <c r="N9" s="338">
        <f t="shared" si="0"/>
        <v>4052</v>
      </c>
      <c r="O9" s="336">
        <f t="shared" si="0"/>
        <v>1625</v>
      </c>
      <c r="P9" s="337">
        <f t="shared" si="0"/>
        <v>2463</v>
      </c>
      <c r="Q9" s="338">
        <f t="shared" si="0"/>
        <v>4088</v>
      </c>
      <c r="R9" s="336">
        <f t="shared" si="0"/>
        <v>1710</v>
      </c>
      <c r="S9" s="337">
        <f t="shared" si="0"/>
        <v>2423</v>
      </c>
      <c r="T9" s="338">
        <f t="shared" si="0"/>
        <v>4133</v>
      </c>
      <c r="U9" s="336">
        <f t="shared" si="0"/>
        <v>1699</v>
      </c>
      <c r="V9" s="337">
        <f t="shared" si="0"/>
        <v>2433</v>
      </c>
      <c r="W9" s="338">
        <f t="shared" si="0"/>
        <v>4132</v>
      </c>
      <c r="X9" s="336">
        <f t="shared" si="0"/>
        <v>1835</v>
      </c>
      <c r="Y9" s="337">
        <v>2521</v>
      </c>
      <c r="Z9" s="338">
        <f>SUM(X9:Y9)</f>
        <v>4356</v>
      </c>
      <c r="AA9" s="336">
        <f>SUM(AA6:AA8)</f>
        <v>2007</v>
      </c>
      <c r="AB9" s="337">
        <f>SUM(AB6:AB8)</f>
        <v>2092</v>
      </c>
      <c r="AC9" s="338">
        <f>SUM(AA9:AB9)</f>
        <v>4099</v>
      </c>
      <c r="AD9" s="336">
        <f>SUM(AD6:AD8)</f>
        <v>1511</v>
      </c>
      <c r="AE9" s="337">
        <f>SUM(AE6:AE8)</f>
        <v>2164</v>
      </c>
      <c r="AF9" s="338">
        <f>SUM(AD9:AE9)</f>
        <v>3675</v>
      </c>
      <c r="AG9" s="336">
        <f>SUM(AG6:AG8)</f>
        <v>1578</v>
      </c>
      <c r="AH9" s="337">
        <f>SUM(AH6:AH8)</f>
        <v>2173</v>
      </c>
      <c r="AI9" s="338">
        <f>SUM(AG9:AH9)</f>
        <v>3751</v>
      </c>
      <c r="AJ9" s="336">
        <f>SUM(AJ6:AJ8)</f>
        <v>1410</v>
      </c>
      <c r="AK9" s="337">
        <f>SUM(AK6:AK8)</f>
        <v>2165</v>
      </c>
      <c r="AL9" s="338">
        <f>SUM(AJ9:AK9)</f>
        <v>3575</v>
      </c>
      <c r="AM9" s="336">
        <f>SUM(AM6:AM8)</f>
        <v>1436</v>
      </c>
      <c r="AN9" s="337">
        <f>SUM(AN6:AN8)</f>
        <v>2154</v>
      </c>
      <c r="AO9" s="338">
        <f>SUM(AM9:AN9)</f>
        <v>3590</v>
      </c>
      <c r="AP9" s="336">
        <f>SUM(AP6:AP8)</f>
        <v>1583</v>
      </c>
      <c r="AQ9" s="337">
        <f>SUM(AQ6:AQ8)</f>
        <v>2290</v>
      </c>
      <c r="AR9" s="338">
        <f>SUM(AP9:AQ9)</f>
        <v>3873</v>
      </c>
      <c r="AS9" s="336">
        <f>SUM(AS6:AS8)</f>
        <v>1663</v>
      </c>
      <c r="AT9" s="337">
        <f>SUM(AT6:AT8)</f>
        <v>2379</v>
      </c>
      <c r="AU9" s="338">
        <f>SUM(AS9:AT9)</f>
        <v>4042</v>
      </c>
      <c r="AV9" s="336">
        <f>SUM(AV6:AV8)</f>
        <v>1683</v>
      </c>
      <c r="AW9" s="337">
        <f>SUM(AW6:AW8)</f>
        <v>2602</v>
      </c>
      <c r="AX9" s="338">
        <f>SUM(AV9:AW9)</f>
        <v>4285</v>
      </c>
      <c r="AY9" s="336">
        <f>SUM(AY6:AY8)</f>
        <v>2401</v>
      </c>
      <c r="AZ9" s="337">
        <f>SUM(AZ6:AZ8)</f>
        <v>2473</v>
      </c>
      <c r="BA9" s="338">
        <f>SUM(AY9:AZ9)</f>
        <v>4874</v>
      </c>
      <c r="BB9" s="336">
        <f>SUM(BB6:BB8)</f>
        <v>1692</v>
      </c>
      <c r="BC9" s="337">
        <f>SUM(BC6:BC8)</f>
        <v>1892</v>
      </c>
      <c r="BD9" s="338">
        <f>SUM(BB9:BC9)</f>
        <v>3584</v>
      </c>
      <c r="BE9" s="336">
        <f>SUM(BE6:BE8)</f>
        <v>1743</v>
      </c>
      <c r="BF9" s="337">
        <f>SUM(BF6:BF8)</f>
        <v>1938</v>
      </c>
      <c r="BG9" s="338">
        <f>SUM(BE9:BF9)</f>
        <v>3681</v>
      </c>
      <c r="BH9" s="336">
        <f>SUM(BH6:BH8)</f>
        <v>1750</v>
      </c>
      <c r="BI9" s="337">
        <f>SUM(BI6:BI8)</f>
        <v>2088</v>
      </c>
      <c r="BJ9" s="338">
        <f>SUM(BH9:BI9)</f>
        <v>3838</v>
      </c>
    </row>
    <row r="10" spans="2:62" ht="14.4" x14ac:dyDescent="0.25">
      <c r="B10" s="162"/>
      <c r="C10" s="163"/>
      <c r="D10" s="163"/>
      <c r="E10" s="163"/>
      <c r="F10" s="163"/>
      <c r="G10" s="163"/>
      <c r="H10" s="163"/>
      <c r="I10" s="163"/>
      <c r="J10" s="163"/>
      <c r="K10" s="163"/>
      <c r="L10" s="163"/>
      <c r="M10" s="163"/>
      <c r="N10" s="163"/>
      <c r="O10" s="163"/>
      <c r="P10" s="163"/>
      <c r="Q10" s="163"/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3"/>
      <c r="BB10" s="163"/>
      <c r="BC10" s="163"/>
      <c r="BD10" s="163"/>
      <c r="BE10" s="163"/>
      <c r="BF10" s="163"/>
      <c r="BG10" s="163"/>
      <c r="BH10" s="163"/>
      <c r="BI10" s="163"/>
      <c r="BJ10" s="163"/>
    </row>
    <row r="11" spans="2:62" ht="15" customHeight="1" x14ac:dyDescent="0.25">
      <c r="B11" s="150" t="s">
        <v>64</v>
      </c>
      <c r="C11" s="329"/>
      <c r="D11" s="330"/>
      <c r="E11" s="331"/>
      <c r="F11" s="329"/>
      <c r="G11" s="330"/>
      <c r="H11" s="35"/>
      <c r="I11" s="329"/>
      <c r="J11" s="330">
        <v>134</v>
      </c>
      <c r="K11" s="35">
        <v>134</v>
      </c>
      <c r="L11" s="329"/>
      <c r="M11" s="330">
        <v>52</v>
      </c>
      <c r="N11" s="35">
        <v>52</v>
      </c>
      <c r="O11" s="329"/>
      <c r="P11" s="330">
        <v>137</v>
      </c>
      <c r="Q11" s="35">
        <v>137</v>
      </c>
      <c r="R11" s="329"/>
      <c r="S11" s="330">
        <v>122</v>
      </c>
      <c r="T11" s="35">
        <v>122</v>
      </c>
      <c r="U11" s="329"/>
      <c r="V11" s="330">
        <v>90</v>
      </c>
      <c r="W11" s="35">
        <v>90</v>
      </c>
      <c r="X11" s="329"/>
      <c r="Y11" s="330">
        <v>94</v>
      </c>
      <c r="Z11" s="35">
        <f>SUM(X11:Y11)</f>
        <v>94</v>
      </c>
      <c r="AA11" s="329"/>
      <c r="AB11" s="330">
        <v>105</v>
      </c>
      <c r="AC11" s="35">
        <f>SUM(AA11:AB11)</f>
        <v>105</v>
      </c>
      <c r="AD11" s="329">
        <f>SUM('Admitidos plan'!AD80:AD83)</f>
        <v>0</v>
      </c>
      <c r="AE11" s="330">
        <f>SUM('Admitidos plan'!AE80:AE83)</f>
        <v>106</v>
      </c>
      <c r="AF11" s="35">
        <f>SUM(AD11:AE11)</f>
        <v>106</v>
      </c>
      <c r="AG11" s="329">
        <f>SUM('Admitidos plan'!AG80:AG83)</f>
        <v>0</v>
      </c>
      <c r="AH11" s="330">
        <f>SUM('Admitidos plan'!AH80:AH83)</f>
        <v>123</v>
      </c>
      <c r="AI11" s="35">
        <f>SUM(AG11:AH11)</f>
        <v>123</v>
      </c>
      <c r="AJ11" s="329">
        <f>SUM('Admitidos plan'!AJ80:AJ83)</f>
        <v>105</v>
      </c>
      <c r="AK11" s="330">
        <f>SUM('Admitidos plan'!AK80:AK83)</f>
        <v>122</v>
      </c>
      <c r="AL11" s="35">
        <f>SUM(AJ11:AK11)</f>
        <v>227</v>
      </c>
      <c r="AM11" s="329">
        <f>SUM('Admitidos plan'!AM80:AM83)</f>
        <v>104</v>
      </c>
      <c r="AN11" s="330">
        <f>SUM('Admitidos plan'!AN80:AN83)</f>
        <v>171</v>
      </c>
      <c r="AO11" s="35">
        <f>SUM(AM11:AN11)</f>
        <v>275</v>
      </c>
      <c r="AP11" s="329">
        <f>SUM('Admitidos plan'!AP80:AP83)</f>
        <v>107</v>
      </c>
      <c r="AQ11" s="330">
        <f>SUM('Admitidos plan'!AQ80:AQ83)</f>
        <v>161</v>
      </c>
      <c r="AR11" s="35">
        <f>SUM(AP11:AQ11)</f>
        <v>268</v>
      </c>
      <c r="AS11" s="329">
        <f>SUM('Admitidos plan'!AS80:AS83)</f>
        <v>107</v>
      </c>
      <c r="AT11" s="330">
        <f>SUM('Admitidos plan'!AT80:AT83)</f>
        <v>159</v>
      </c>
      <c r="AU11" s="35">
        <f>SUM(AS11:AT11)</f>
        <v>266</v>
      </c>
      <c r="AV11" s="329">
        <f>SUM('Admitidos plan'!AV80:AV83)</f>
        <v>109</v>
      </c>
      <c r="AW11" s="330">
        <f>SUM('Admitidos plan'!AW80:AW83)</f>
        <v>173</v>
      </c>
      <c r="AX11" s="35">
        <f>SUM(AV11:AW11)</f>
        <v>282</v>
      </c>
      <c r="AY11" s="329">
        <f>SUM('Admitidos plan'!AY80:AY83)</f>
        <v>120</v>
      </c>
      <c r="AZ11" s="330">
        <f>SUM('Admitidos plan'!AZ80:AZ83)</f>
        <v>147</v>
      </c>
      <c r="BA11" s="35">
        <f>SUM(AY11:AZ11)</f>
        <v>267</v>
      </c>
      <c r="BB11" s="329">
        <f>SUM('Admitidos plan'!BB80:BB83)</f>
        <v>102</v>
      </c>
      <c r="BC11" s="330">
        <f>SUM('Admitidos plan'!BC80:BC83)</f>
        <v>142</v>
      </c>
      <c r="BD11" s="35">
        <f>SUM(BB11:BC11)</f>
        <v>244</v>
      </c>
      <c r="BE11" s="329">
        <f>SUM('Admitidos plan'!BE80:BE83)</f>
        <v>92</v>
      </c>
      <c r="BF11" s="330">
        <f>SUM('Admitidos plan'!BF80:BF83)</f>
        <v>142</v>
      </c>
      <c r="BG11" s="35">
        <f>SUM(BE11:BF11)</f>
        <v>234</v>
      </c>
      <c r="BH11" s="329">
        <f>SUM('Admitidos plan'!BH80:BH83)</f>
        <v>88</v>
      </c>
      <c r="BI11" s="330">
        <f>SUM('Admitidos plan'!BI80:BI83)</f>
        <v>129</v>
      </c>
      <c r="BJ11" s="35">
        <f>SUM(BH11:BI11)</f>
        <v>217</v>
      </c>
    </row>
    <row r="12" spans="2:62" ht="15" customHeight="1" x14ac:dyDescent="0.25">
      <c r="B12" s="154" t="s">
        <v>111</v>
      </c>
      <c r="C12" s="82"/>
      <c r="D12" s="83"/>
      <c r="E12" s="332"/>
      <c r="F12" s="82"/>
      <c r="G12" s="83"/>
      <c r="H12" s="42"/>
      <c r="I12" s="82"/>
      <c r="J12" s="83">
        <v>41</v>
      </c>
      <c r="K12" s="42">
        <v>41</v>
      </c>
      <c r="L12" s="82"/>
      <c r="M12" s="83">
        <v>37</v>
      </c>
      <c r="N12" s="42">
        <v>37</v>
      </c>
      <c r="O12" s="82"/>
      <c r="P12" s="83">
        <v>163</v>
      </c>
      <c r="Q12" s="42">
        <v>163</v>
      </c>
      <c r="R12" s="82"/>
      <c r="S12" s="83">
        <v>144</v>
      </c>
      <c r="T12" s="42">
        <v>144</v>
      </c>
      <c r="U12" s="82"/>
      <c r="V12" s="83">
        <v>122</v>
      </c>
      <c r="W12" s="42">
        <v>122</v>
      </c>
      <c r="X12" s="82"/>
      <c r="Y12" s="83">
        <v>159</v>
      </c>
      <c r="Z12" s="42">
        <f>SUM(X12:Y12)</f>
        <v>159</v>
      </c>
      <c r="AA12" s="82"/>
      <c r="AB12" s="83">
        <v>158</v>
      </c>
      <c r="AC12" s="42">
        <f>SUM(AA12:AB12)</f>
        <v>158</v>
      </c>
      <c r="AD12" s="82">
        <f>SUM('Admitidos plan'!AD85:AD87)</f>
        <v>0</v>
      </c>
      <c r="AE12" s="83">
        <f>SUM('Admitidos plan'!AE85:AE87)</f>
        <v>153</v>
      </c>
      <c r="AF12" s="42">
        <f>SUM(AD12:AE12)</f>
        <v>153</v>
      </c>
      <c r="AG12" s="82">
        <f>SUM('Admitidos plan'!AG85:AG87)</f>
        <v>0</v>
      </c>
      <c r="AH12" s="83">
        <f>SUM('Admitidos plan'!AH85:AH87)</f>
        <v>158</v>
      </c>
      <c r="AI12" s="42">
        <f>SUM(AG12:AH12)</f>
        <v>158</v>
      </c>
      <c r="AJ12" s="82">
        <f>SUM('Admitidos plan'!AJ85:AJ87)</f>
        <v>0</v>
      </c>
      <c r="AK12" s="83">
        <f>SUM('Admitidos plan'!AK85:AK87)</f>
        <v>189</v>
      </c>
      <c r="AL12" s="42">
        <f>SUM(AJ12:AK12)</f>
        <v>189</v>
      </c>
      <c r="AM12" s="82">
        <f>SUM('Admitidos plan'!AM85:AM87)</f>
        <v>0</v>
      </c>
      <c r="AN12" s="83">
        <f>SUM('Admitidos plan'!AN85:AN87)</f>
        <v>234</v>
      </c>
      <c r="AO12" s="42">
        <f>SUM(AM12:AN12)</f>
        <v>234</v>
      </c>
      <c r="AP12" s="82">
        <f>SUM('Admitidos plan'!AP85:AP87)</f>
        <v>0</v>
      </c>
      <c r="AQ12" s="83">
        <f>SUM('Admitidos plan'!AQ85:AQ87)</f>
        <v>251</v>
      </c>
      <c r="AR12" s="42">
        <f>SUM(AP12:AQ12)</f>
        <v>251</v>
      </c>
      <c r="AS12" s="82">
        <f>SUM('Admitidos plan'!AS85:AS87)</f>
        <v>0</v>
      </c>
      <c r="AT12" s="83">
        <f>SUM('Admitidos plan'!AT85:AT87)</f>
        <v>257</v>
      </c>
      <c r="AU12" s="42">
        <f>SUM(AS12:AT12)</f>
        <v>257</v>
      </c>
      <c r="AV12" s="82">
        <f>SUM('Admitidos plan'!AV85:AV87)</f>
        <v>0</v>
      </c>
      <c r="AW12" s="83">
        <f>SUM('Admitidos plan'!AW85:AW87)</f>
        <v>272</v>
      </c>
      <c r="AX12" s="42">
        <f>SUM(AV12:AW12)</f>
        <v>272</v>
      </c>
      <c r="AY12" s="82">
        <f>SUM('Admitidos plan'!AY85:AY87)</f>
        <v>0</v>
      </c>
      <c r="AZ12" s="83">
        <f>SUM('Admitidos plan'!AZ85:AZ87)</f>
        <v>257</v>
      </c>
      <c r="BA12" s="42">
        <f>SUM(AY12:AZ12)</f>
        <v>257</v>
      </c>
      <c r="BB12" s="82">
        <f>SUM('Admitidos plan'!BB85:BB87)</f>
        <v>0</v>
      </c>
      <c r="BC12" s="83">
        <f>SUM('Admitidos plan'!BC85:BC87)</f>
        <v>241</v>
      </c>
      <c r="BD12" s="42">
        <f>SUM(BB12:BC12)</f>
        <v>241</v>
      </c>
      <c r="BE12" s="82">
        <f>SUM('Admitidos plan'!BE85:BE87)</f>
        <v>0</v>
      </c>
      <c r="BF12" s="83">
        <f>SUM('Admitidos plan'!BF85:BF87)</f>
        <v>255</v>
      </c>
      <c r="BG12" s="42">
        <f>SUM(BE12:BF12)</f>
        <v>255</v>
      </c>
      <c r="BH12" s="82">
        <f>SUM('Admitidos plan'!BH85:BH87)</f>
        <v>0</v>
      </c>
      <c r="BI12" s="83">
        <f>SUM('Admitidos plan'!BI85:BI87)</f>
        <v>263</v>
      </c>
      <c r="BJ12" s="42">
        <f>SUM(BH12:BI12)</f>
        <v>263</v>
      </c>
    </row>
    <row r="13" spans="2:62" ht="15" customHeight="1" x14ac:dyDescent="0.25">
      <c r="B13" s="154" t="s">
        <v>115</v>
      </c>
      <c r="C13" s="333"/>
      <c r="D13" s="334"/>
      <c r="E13" s="335"/>
      <c r="F13" s="333"/>
      <c r="G13" s="334"/>
      <c r="H13" s="48"/>
      <c r="I13" s="333"/>
      <c r="J13" s="334">
        <v>77</v>
      </c>
      <c r="K13" s="48">
        <v>77</v>
      </c>
      <c r="L13" s="333"/>
      <c r="M13" s="334">
        <v>34</v>
      </c>
      <c r="N13" s="48">
        <v>34</v>
      </c>
      <c r="O13" s="333"/>
      <c r="P13" s="334">
        <v>82</v>
      </c>
      <c r="Q13" s="48">
        <v>82</v>
      </c>
      <c r="R13" s="333"/>
      <c r="S13" s="334">
        <v>137</v>
      </c>
      <c r="T13" s="48">
        <v>137</v>
      </c>
      <c r="U13" s="333"/>
      <c r="V13" s="334">
        <v>103</v>
      </c>
      <c r="W13" s="48">
        <v>103</v>
      </c>
      <c r="X13" s="333"/>
      <c r="Y13" s="334">
        <v>146</v>
      </c>
      <c r="Z13" s="48">
        <f>SUM(X13:Y13)</f>
        <v>146</v>
      </c>
      <c r="AA13" s="333"/>
      <c r="AB13" s="334">
        <v>166</v>
      </c>
      <c r="AC13" s="48">
        <f>SUM(AA13:AB13)</f>
        <v>166</v>
      </c>
      <c r="AD13" s="333">
        <f>SUM('Admitidos plan'!AD89:AD92)</f>
        <v>0</v>
      </c>
      <c r="AE13" s="334">
        <f>SUM('Admitidos plan'!AE89:AE92)</f>
        <v>175</v>
      </c>
      <c r="AF13" s="48">
        <f>SUM(AD13:AE13)</f>
        <v>175</v>
      </c>
      <c r="AG13" s="333">
        <f>SUM('Admitidos plan'!AG89:AG92)</f>
        <v>0</v>
      </c>
      <c r="AH13" s="334">
        <f>SUM('Admitidos plan'!AH89:AH92)</f>
        <v>222</v>
      </c>
      <c r="AI13" s="48">
        <f>SUM(AG13:AH13)</f>
        <v>222</v>
      </c>
      <c r="AJ13" s="333">
        <f>SUM('Admitidos plan'!AJ89:AJ92)</f>
        <v>0</v>
      </c>
      <c r="AK13" s="334">
        <f>SUM('Admitidos plan'!AK89:AK92)</f>
        <v>293</v>
      </c>
      <c r="AL13" s="48">
        <f>SUM(AJ13:AK13)</f>
        <v>293</v>
      </c>
      <c r="AM13" s="333">
        <f>SUM('Admitidos plan'!AM89:AM92)</f>
        <v>0</v>
      </c>
      <c r="AN13" s="334">
        <f>SUM('Admitidos plan'!AN89:AN92)</f>
        <v>283</v>
      </c>
      <c r="AO13" s="48">
        <f>SUM(AM13:AN13)</f>
        <v>283</v>
      </c>
      <c r="AP13" s="333">
        <f>SUM('Admitidos plan'!AP89:AP92)</f>
        <v>0</v>
      </c>
      <c r="AQ13" s="334">
        <f>SUM('Admitidos plan'!AQ89:AQ92)</f>
        <v>310</v>
      </c>
      <c r="AR13" s="48">
        <f>SUM(AP13:AQ13)</f>
        <v>310</v>
      </c>
      <c r="AS13" s="333">
        <f>SUM('Admitidos plan'!AS89:AS92)</f>
        <v>0</v>
      </c>
      <c r="AT13" s="334">
        <f>SUM('Admitidos plan'!AT89:AT92)</f>
        <v>322</v>
      </c>
      <c r="AU13" s="48">
        <f>SUM(AS13:AT13)</f>
        <v>322</v>
      </c>
      <c r="AV13" s="333">
        <f>SUM('Admitidos plan'!AV89:AV92)</f>
        <v>0</v>
      </c>
      <c r="AW13" s="334">
        <f>SUM('Admitidos plan'!AW89:AW92)</f>
        <v>337</v>
      </c>
      <c r="AX13" s="48">
        <f>SUM(AV13:AW13)</f>
        <v>337</v>
      </c>
      <c r="AY13" s="333">
        <f>SUM('Admitidos plan'!AY89:AY92)</f>
        <v>0</v>
      </c>
      <c r="AZ13" s="334">
        <f>SUM('Admitidos plan'!AZ89:AZ92)</f>
        <v>297</v>
      </c>
      <c r="BA13" s="48">
        <f>SUM(AY13:AZ13)</f>
        <v>297</v>
      </c>
      <c r="BB13" s="333">
        <f>SUM('Admitidos plan'!BB89:BB92)</f>
        <v>0</v>
      </c>
      <c r="BC13" s="334">
        <f>SUM('Admitidos plan'!BC89:BC92)</f>
        <v>290</v>
      </c>
      <c r="BD13" s="48">
        <f>SUM(BB13:BC13)</f>
        <v>290</v>
      </c>
      <c r="BE13" s="333">
        <f>SUM('Admitidos plan'!BE89:BE92)</f>
        <v>0</v>
      </c>
      <c r="BF13" s="334">
        <f>SUM('Admitidos plan'!BF89:BF92)</f>
        <v>278</v>
      </c>
      <c r="BG13" s="48">
        <f>SUM(BE13:BF13)</f>
        <v>278</v>
      </c>
      <c r="BH13" s="333">
        <f>SUM('Admitidos plan'!BH89:BH92)</f>
        <v>0</v>
      </c>
      <c r="BI13" s="334">
        <f>SUM('Admitidos plan'!BI89:BI92)</f>
        <v>299</v>
      </c>
      <c r="BJ13" s="48">
        <f>SUM(BH13:BI13)</f>
        <v>299</v>
      </c>
    </row>
    <row r="14" spans="2:62" ht="15" customHeight="1" x14ac:dyDescent="0.25">
      <c r="B14" s="166" t="s">
        <v>134</v>
      </c>
      <c r="C14" s="339"/>
      <c r="D14" s="340"/>
      <c r="E14" s="341"/>
      <c r="F14" s="339"/>
      <c r="G14" s="340"/>
      <c r="H14" s="341"/>
      <c r="I14" s="339"/>
      <c r="J14" s="340">
        <v>252</v>
      </c>
      <c r="K14" s="341">
        <v>252</v>
      </c>
      <c r="L14" s="340"/>
      <c r="M14" s="340">
        <v>123</v>
      </c>
      <c r="N14" s="341">
        <v>123</v>
      </c>
      <c r="O14" s="340"/>
      <c r="P14" s="340">
        <v>382</v>
      </c>
      <c r="Q14" s="341">
        <v>382</v>
      </c>
      <c r="R14" s="340"/>
      <c r="S14" s="340">
        <v>403</v>
      </c>
      <c r="T14" s="341">
        <v>403</v>
      </c>
      <c r="U14" s="339"/>
      <c r="V14" s="340">
        <v>315</v>
      </c>
      <c r="W14" s="341">
        <v>315</v>
      </c>
      <c r="X14" s="339"/>
      <c r="Y14" s="340">
        <v>399</v>
      </c>
      <c r="Z14" s="341">
        <f>SUM(Z11:Z13)</f>
        <v>399</v>
      </c>
      <c r="AA14" s="339"/>
      <c r="AB14" s="340">
        <f>SUM(AB11:AB13)</f>
        <v>429</v>
      </c>
      <c r="AC14" s="341">
        <f>SUM(AA14:AB14)</f>
        <v>429</v>
      </c>
      <c r="AD14" s="339">
        <f>SUM(AD11:AD13)</f>
        <v>0</v>
      </c>
      <c r="AE14" s="340">
        <f>SUM(AE11:AE13)</f>
        <v>434</v>
      </c>
      <c r="AF14" s="341">
        <f>SUM(AD14:AE14)</f>
        <v>434</v>
      </c>
      <c r="AG14" s="339">
        <f>SUM(AG11:AG13)</f>
        <v>0</v>
      </c>
      <c r="AH14" s="340">
        <f>SUM(AH11:AH13)</f>
        <v>503</v>
      </c>
      <c r="AI14" s="341">
        <f>SUM(AG14:AH14)</f>
        <v>503</v>
      </c>
      <c r="AJ14" s="339">
        <f>SUM(AJ11:AJ13)</f>
        <v>105</v>
      </c>
      <c r="AK14" s="340">
        <f>SUM(AK11:AK13)</f>
        <v>604</v>
      </c>
      <c r="AL14" s="341">
        <f>SUM(AJ14:AK14)</f>
        <v>709</v>
      </c>
      <c r="AM14" s="339">
        <f>SUM(AM11:AM13)</f>
        <v>104</v>
      </c>
      <c r="AN14" s="340">
        <f>SUM(AN11:AN13)</f>
        <v>688</v>
      </c>
      <c r="AO14" s="341">
        <f>SUM(AM14:AN14)</f>
        <v>792</v>
      </c>
      <c r="AP14" s="339">
        <f>SUM(AP11:AP13)</f>
        <v>107</v>
      </c>
      <c r="AQ14" s="340">
        <f>SUM(AQ11:AQ13)</f>
        <v>722</v>
      </c>
      <c r="AR14" s="341">
        <f>SUM(AP14:AQ14)</f>
        <v>829</v>
      </c>
      <c r="AS14" s="339">
        <f t="shared" ref="AS14:BD14" si="1">SUM(AS11:AS13)</f>
        <v>107</v>
      </c>
      <c r="AT14" s="340">
        <f t="shared" si="1"/>
        <v>738</v>
      </c>
      <c r="AU14" s="341">
        <f t="shared" si="1"/>
        <v>845</v>
      </c>
      <c r="AV14" s="339">
        <f t="shared" si="1"/>
        <v>109</v>
      </c>
      <c r="AW14" s="340">
        <f t="shared" si="1"/>
        <v>782</v>
      </c>
      <c r="AX14" s="341">
        <f t="shared" si="1"/>
        <v>891</v>
      </c>
      <c r="AY14" s="339">
        <f t="shared" si="1"/>
        <v>120</v>
      </c>
      <c r="AZ14" s="340">
        <f t="shared" si="1"/>
        <v>701</v>
      </c>
      <c r="BA14" s="341">
        <f t="shared" si="1"/>
        <v>821</v>
      </c>
      <c r="BB14" s="339">
        <f t="shared" si="1"/>
        <v>102</v>
      </c>
      <c r="BC14" s="340">
        <f t="shared" si="1"/>
        <v>673</v>
      </c>
      <c r="BD14" s="341">
        <f t="shared" si="1"/>
        <v>775</v>
      </c>
      <c r="BE14" s="339">
        <f t="shared" ref="BE14:BG14" si="2">SUM(BE11:BE13)</f>
        <v>92</v>
      </c>
      <c r="BF14" s="340">
        <f t="shared" si="2"/>
        <v>675</v>
      </c>
      <c r="BG14" s="341">
        <f t="shared" si="2"/>
        <v>767</v>
      </c>
      <c r="BH14" s="339">
        <f t="shared" ref="BH14:BJ14" si="3">SUM(BH11:BH13)</f>
        <v>88</v>
      </c>
      <c r="BI14" s="340">
        <f t="shared" si="3"/>
        <v>691</v>
      </c>
      <c r="BJ14" s="341">
        <f t="shared" si="3"/>
        <v>779</v>
      </c>
    </row>
    <row r="15" spans="2:62" ht="14.4" x14ac:dyDescent="0.25">
      <c r="B15" s="170"/>
      <c r="C15" s="342"/>
      <c r="D15" s="342"/>
      <c r="E15" s="342"/>
      <c r="F15" s="342"/>
      <c r="G15" s="342"/>
      <c r="H15" s="342"/>
      <c r="I15" s="342"/>
      <c r="J15" s="342"/>
      <c r="K15" s="342"/>
      <c r="L15" s="342"/>
      <c r="M15" s="342"/>
      <c r="N15" s="342"/>
      <c r="O15" s="342"/>
      <c r="P15" s="342"/>
      <c r="Q15" s="342"/>
      <c r="R15" s="342"/>
      <c r="S15" s="342"/>
      <c r="T15" s="342"/>
      <c r="U15" s="342"/>
      <c r="V15" s="342"/>
      <c r="W15" s="342"/>
      <c r="X15" s="342"/>
      <c r="Y15" s="342"/>
      <c r="Z15" s="342"/>
      <c r="AA15" s="342"/>
      <c r="AB15" s="342"/>
      <c r="AC15" s="342"/>
      <c r="AD15" s="342"/>
      <c r="AE15" s="342"/>
      <c r="AF15" s="342"/>
      <c r="AG15" s="342"/>
      <c r="AH15" s="342"/>
      <c r="AI15" s="342"/>
      <c r="AJ15" s="342"/>
      <c r="AK15" s="342"/>
      <c r="AL15" s="342"/>
      <c r="AM15" s="342"/>
      <c r="AN15" s="342"/>
      <c r="AO15" s="342"/>
      <c r="AP15" s="342"/>
      <c r="AQ15" s="342"/>
      <c r="AR15" s="342"/>
      <c r="AS15" s="342"/>
      <c r="AT15" s="342"/>
      <c r="AU15" s="342"/>
      <c r="AV15" s="342"/>
      <c r="AW15" s="342"/>
      <c r="AX15" s="342"/>
      <c r="AY15" s="342"/>
      <c r="AZ15" s="342"/>
      <c r="BA15" s="342"/>
      <c r="BB15" s="342"/>
      <c r="BC15" s="342"/>
      <c r="BD15" s="342"/>
      <c r="BE15" s="342"/>
      <c r="BF15" s="342"/>
      <c r="BG15" s="342"/>
      <c r="BH15" s="342"/>
      <c r="BI15" s="342"/>
      <c r="BJ15" s="342"/>
    </row>
    <row r="16" spans="2:62" ht="15" customHeight="1" x14ac:dyDescent="0.25">
      <c r="B16" s="150" t="s">
        <v>59</v>
      </c>
      <c r="C16" s="329">
        <v>321</v>
      </c>
      <c r="D16" s="330">
        <v>514</v>
      </c>
      <c r="E16" s="331">
        <f>SUM(C16:D16)</f>
        <v>835</v>
      </c>
      <c r="F16" s="329">
        <v>293</v>
      </c>
      <c r="G16" s="330">
        <v>558</v>
      </c>
      <c r="H16" s="35">
        <f>SUM(F16:G16)</f>
        <v>851</v>
      </c>
      <c r="I16" s="329">
        <v>318</v>
      </c>
      <c r="J16" s="330">
        <v>630</v>
      </c>
      <c r="K16" s="35">
        <f>SUM(I16:J16)</f>
        <v>948</v>
      </c>
      <c r="L16" s="329">
        <v>397</v>
      </c>
      <c r="M16" s="330">
        <v>605</v>
      </c>
      <c r="N16" s="35">
        <f>SUM(L16:M16)</f>
        <v>1002</v>
      </c>
      <c r="O16" s="329">
        <v>296</v>
      </c>
      <c r="P16" s="330">
        <v>566</v>
      </c>
      <c r="Q16" s="35">
        <f>SUM(O16:P16)</f>
        <v>862</v>
      </c>
      <c r="R16" s="329">
        <v>306</v>
      </c>
      <c r="S16" s="330">
        <v>608</v>
      </c>
      <c r="T16" s="35">
        <f>SUM(R16:S16)</f>
        <v>914</v>
      </c>
      <c r="U16" s="329">
        <v>261</v>
      </c>
      <c r="V16" s="330">
        <v>625</v>
      </c>
      <c r="W16" s="35">
        <f>SUM(U16:V16)</f>
        <v>886</v>
      </c>
      <c r="X16" s="329">
        <v>137</v>
      </c>
      <c r="Y16" s="330">
        <v>895</v>
      </c>
      <c r="Z16" s="35">
        <f>SUM(X16:Y16)</f>
        <v>1032</v>
      </c>
      <c r="AA16" s="329">
        <v>218</v>
      </c>
      <c r="AB16" s="330">
        <v>880</v>
      </c>
      <c r="AC16" s="35">
        <f>SUM(AA16:AB16)</f>
        <v>1098</v>
      </c>
      <c r="AD16" s="329">
        <f>SUM('Admitidos plan'!AD27:AD35)</f>
        <v>216</v>
      </c>
      <c r="AE16" s="330">
        <f>SUM('Admitidos plan'!AE27:AE35)</f>
        <v>903</v>
      </c>
      <c r="AF16" s="35">
        <f>SUM(AD16:AE16)</f>
        <v>1119</v>
      </c>
      <c r="AG16" s="329">
        <f>SUM('Admitidos plan'!AG27:AG35)</f>
        <v>269</v>
      </c>
      <c r="AH16" s="330">
        <f>SUM('Admitidos plan'!AH27:AH35)</f>
        <v>1021</v>
      </c>
      <c r="AI16" s="35">
        <f>SUM(AG16:AH16)</f>
        <v>1290</v>
      </c>
      <c r="AJ16" s="329">
        <f>SUM('Admitidos plan'!AJ27:AJ35)</f>
        <v>214</v>
      </c>
      <c r="AK16" s="330">
        <f>SUM('Admitidos plan'!AK27:AK35)</f>
        <v>838</v>
      </c>
      <c r="AL16" s="35">
        <f>SUM(AJ16:AK16)</f>
        <v>1052</v>
      </c>
      <c r="AM16" s="329">
        <f>SUM('Admitidos plan'!AM27:AM35)</f>
        <v>197</v>
      </c>
      <c r="AN16" s="330">
        <f>SUM('Admitidos plan'!AN27:AN35)</f>
        <v>781</v>
      </c>
      <c r="AO16" s="35">
        <f>SUM(AM16:AN16)</f>
        <v>978</v>
      </c>
      <c r="AP16" s="329">
        <f>SUM('Admitidos plan'!AP27:AP35)</f>
        <v>154</v>
      </c>
      <c r="AQ16" s="330">
        <f>SUM('Admitidos plan'!AQ27:AQ36)</f>
        <v>940</v>
      </c>
      <c r="AR16" s="35">
        <f>SUM(AP16:AQ16)</f>
        <v>1094</v>
      </c>
      <c r="AS16" s="329">
        <f>SUM('Admitidos plan'!AS27:AS35)</f>
        <v>0</v>
      </c>
      <c r="AT16" s="330">
        <f>SUM('Admitidos plan'!AT27:AT36)</f>
        <v>907</v>
      </c>
      <c r="AU16" s="35">
        <f>SUM(AS16:AT16)</f>
        <v>907</v>
      </c>
      <c r="AV16" s="329">
        <f>SUM('Admitidos plan'!AV27:AV35)</f>
        <v>0</v>
      </c>
      <c r="AW16" s="330">
        <f>SUM('Admitidos plan'!AW27:AW36)</f>
        <v>938</v>
      </c>
      <c r="AX16" s="35">
        <f>SUM(AV16:AW16)</f>
        <v>938</v>
      </c>
      <c r="AY16" s="329">
        <f>SUM('Admitidos plan'!AY27:AY35)</f>
        <v>0</v>
      </c>
      <c r="AZ16" s="330">
        <f>SUM('Admitidos plan'!AZ27:AZ36)</f>
        <v>969</v>
      </c>
      <c r="BA16" s="35">
        <f>SUM(AY16:AZ16)</f>
        <v>969</v>
      </c>
      <c r="BB16" s="329">
        <f>SUM('Admitidos plan'!BB27:BB35)</f>
        <v>0</v>
      </c>
      <c r="BC16" s="330">
        <f>SUM('Admitidos plan'!BC27:BC36)</f>
        <v>794</v>
      </c>
      <c r="BD16" s="35">
        <f>SUM(BB16:BC16)</f>
        <v>794</v>
      </c>
      <c r="BE16" s="329">
        <f>SUM('Admitidos plan'!BE27:BE35)</f>
        <v>0</v>
      </c>
      <c r="BF16" s="330">
        <f>SUM('Admitidos plan'!BF27:BF36)</f>
        <v>630</v>
      </c>
      <c r="BG16" s="35">
        <f>SUM(BE16:BF16)</f>
        <v>630</v>
      </c>
      <c r="BH16" s="329">
        <f>SUM('Admitidos plan'!BH27:BH35)</f>
        <v>0</v>
      </c>
      <c r="BI16" s="330">
        <f>SUM('Admitidos plan'!BI27:BI36)</f>
        <v>869</v>
      </c>
      <c r="BJ16" s="35">
        <f>SUM(BH16:BI16)</f>
        <v>869</v>
      </c>
    </row>
    <row r="17" spans="2:62" ht="15" customHeight="1" x14ac:dyDescent="0.25">
      <c r="B17" s="154" t="s">
        <v>64</v>
      </c>
      <c r="C17" s="82">
        <v>176</v>
      </c>
      <c r="D17" s="83">
        <v>904</v>
      </c>
      <c r="E17" s="332">
        <f>SUM(C17:D17)</f>
        <v>1080</v>
      </c>
      <c r="F17" s="82">
        <v>216</v>
      </c>
      <c r="G17" s="83">
        <v>979</v>
      </c>
      <c r="H17" s="42">
        <f>SUM(F17:G17)</f>
        <v>1195</v>
      </c>
      <c r="I17" s="82">
        <v>178</v>
      </c>
      <c r="J17" s="83">
        <v>1121</v>
      </c>
      <c r="K17" s="42">
        <f>SUM(I17:J17)</f>
        <v>1299</v>
      </c>
      <c r="L17" s="82">
        <v>206</v>
      </c>
      <c r="M17" s="83">
        <v>1122</v>
      </c>
      <c r="N17" s="42">
        <f>SUM(L17:M17)</f>
        <v>1328</v>
      </c>
      <c r="O17" s="82">
        <v>239</v>
      </c>
      <c r="P17" s="83">
        <v>1235</v>
      </c>
      <c r="Q17" s="42">
        <f>SUM(O17:P17)</f>
        <v>1474</v>
      </c>
      <c r="R17" s="82">
        <v>211</v>
      </c>
      <c r="S17" s="83">
        <v>1080</v>
      </c>
      <c r="T17" s="42">
        <f>SUM(R17:S17)</f>
        <v>1291</v>
      </c>
      <c r="U17" s="82">
        <v>196</v>
      </c>
      <c r="V17" s="83">
        <v>1165</v>
      </c>
      <c r="W17" s="42">
        <f>SUM(U17:V17)</f>
        <v>1361</v>
      </c>
      <c r="X17" s="82">
        <v>182</v>
      </c>
      <c r="Y17" s="83">
        <v>1210</v>
      </c>
      <c r="Z17" s="42">
        <f>SUM(X17:Y17)</f>
        <v>1392</v>
      </c>
      <c r="AA17" s="82">
        <v>183</v>
      </c>
      <c r="AB17" s="83">
        <v>1192</v>
      </c>
      <c r="AC17" s="42">
        <f>SUM(AA17:AB17)</f>
        <v>1375</v>
      </c>
      <c r="AD17" s="82">
        <f>SUM('Admitidos plan'!AD38:AD48)</f>
        <v>192</v>
      </c>
      <c r="AE17" s="83">
        <f>SUM('Admitidos plan'!AE38:AE48)</f>
        <v>1193</v>
      </c>
      <c r="AF17" s="42">
        <f>SUM(AD17:AE17)</f>
        <v>1385</v>
      </c>
      <c r="AG17" s="82">
        <f>SUM('Admitidos plan'!AG38:AG48)</f>
        <v>161</v>
      </c>
      <c r="AH17" s="83">
        <f>SUM('Admitidos plan'!AH38:AH48)</f>
        <v>1151</v>
      </c>
      <c r="AI17" s="42">
        <f>SUM(AG17:AH17)</f>
        <v>1312</v>
      </c>
      <c r="AJ17" s="82">
        <f>SUM('Admitidos plan'!AJ38:AJ48)</f>
        <v>159</v>
      </c>
      <c r="AK17" s="83">
        <f>SUM('Admitidos plan'!AK38:AK48)</f>
        <v>1156</v>
      </c>
      <c r="AL17" s="42">
        <f>SUM(AJ17:AK17)</f>
        <v>1315</v>
      </c>
      <c r="AM17" s="82">
        <f>SUM('Admitidos plan'!AM38:AM48)</f>
        <v>151</v>
      </c>
      <c r="AN17" s="83">
        <f>SUM('Admitidos plan'!AN38:AN48)</f>
        <v>1155</v>
      </c>
      <c r="AO17" s="42">
        <f>SUM(AM17:AN17)</f>
        <v>1306</v>
      </c>
      <c r="AP17" s="82">
        <f>SUM('Admitidos plan'!AP38:AP48)</f>
        <v>164</v>
      </c>
      <c r="AQ17" s="83">
        <f>SUM('Admitidos plan'!AQ38:AQ48)</f>
        <v>1186</v>
      </c>
      <c r="AR17" s="42">
        <f>SUM(AP17:AQ17)</f>
        <v>1350</v>
      </c>
      <c r="AS17" s="82">
        <f>SUM('Admitidos plan'!AS38:AS48)</f>
        <v>162</v>
      </c>
      <c r="AT17" s="83">
        <f>SUM('Admitidos plan'!AT38:AT48)</f>
        <v>1202</v>
      </c>
      <c r="AU17" s="42">
        <f>SUM(AS17:AT17)</f>
        <v>1364</v>
      </c>
      <c r="AV17" s="82">
        <f>SUM('Admitidos plan'!AV38:AV48)</f>
        <v>167</v>
      </c>
      <c r="AW17" s="83">
        <f>SUM('Admitidos plan'!AW38:AW48)</f>
        <v>1258</v>
      </c>
      <c r="AX17" s="42">
        <f>SUM(AV17:AW17)</f>
        <v>1425</v>
      </c>
      <c r="AY17" s="82">
        <f>SUM('Admitidos plan'!AY38:AY48)</f>
        <v>188</v>
      </c>
      <c r="AZ17" s="83">
        <f>SUM('Admitidos plan'!AZ38:AZ48)</f>
        <v>1066</v>
      </c>
      <c r="BA17" s="42">
        <f>SUM(AY17:AZ17)</f>
        <v>1254</v>
      </c>
      <c r="BB17" s="82">
        <f>SUM('Admitidos plan'!BB38:BB48)</f>
        <v>155</v>
      </c>
      <c r="BC17" s="83">
        <f>SUM('Admitidos plan'!BC38:BC48)</f>
        <v>1012</v>
      </c>
      <c r="BD17" s="42">
        <f>SUM(BB17:BC17)</f>
        <v>1167</v>
      </c>
      <c r="BE17" s="82">
        <f>SUM('Admitidos plan'!BE38:BE48)</f>
        <v>167</v>
      </c>
      <c r="BF17" s="83">
        <f>SUM('Admitidos plan'!BF38:BF48)</f>
        <v>1020</v>
      </c>
      <c r="BG17" s="42">
        <f>SUM(BE17:BF17)</f>
        <v>1187</v>
      </c>
      <c r="BH17" s="82">
        <f>SUM('Admitidos plan'!BH38:BH48)</f>
        <v>173</v>
      </c>
      <c r="BI17" s="83">
        <f>SUM('Admitidos plan'!BI38:BI48)</f>
        <v>981</v>
      </c>
      <c r="BJ17" s="42">
        <f>SUM(BH17:BI17)</f>
        <v>1154</v>
      </c>
    </row>
    <row r="18" spans="2:62" ht="15" customHeight="1" x14ac:dyDescent="0.25">
      <c r="B18" s="154" t="s">
        <v>92</v>
      </c>
      <c r="C18" s="333">
        <v>175</v>
      </c>
      <c r="D18" s="334">
        <v>404</v>
      </c>
      <c r="E18" s="335">
        <f>SUM(C18:D18)</f>
        <v>579</v>
      </c>
      <c r="F18" s="333">
        <v>193</v>
      </c>
      <c r="G18" s="334">
        <v>433</v>
      </c>
      <c r="H18" s="48">
        <f>SUM(F18:G18)</f>
        <v>626</v>
      </c>
      <c r="I18" s="333">
        <v>213</v>
      </c>
      <c r="J18" s="334">
        <v>468</v>
      </c>
      <c r="K18" s="48">
        <f>SUM(I18:J18)</f>
        <v>681</v>
      </c>
      <c r="L18" s="333">
        <v>264</v>
      </c>
      <c r="M18" s="334">
        <v>489</v>
      </c>
      <c r="N18" s="48">
        <f>SUM(L18:M18)</f>
        <v>753</v>
      </c>
      <c r="O18" s="333">
        <v>232</v>
      </c>
      <c r="P18" s="334">
        <v>525</v>
      </c>
      <c r="Q18" s="48">
        <f>SUM(O18:P18)</f>
        <v>757</v>
      </c>
      <c r="R18" s="333">
        <v>280</v>
      </c>
      <c r="S18" s="334">
        <v>482</v>
      </c>
      <c r="T18" s="48">
        <f>SUM(R18:S18)</f>
        <v>762</v>
      </c>
      <c r="U18" s="333">
        <v>368</v>
      </c>
      <c r="V18" s="334">
        <v>551</v>
      </c>
      <c r="W18" s="48">
        <f>SUM(U18:V18)</f>
        <v>919</v>
      </c>
      <c r="X18" s="333">
        <v>412</v>
      </c>
      <c r="Y18" s="334">
        <v>546</v>
      </c>
      <c r="Z18" s="48">
        <f>SUM(X18:Y18)</f>
        <v>958</v>
      </c>
      <c r="AA18" s="333">
        <v>453</v>
      </c>
      <c r="AB18" s="334">
        <v>553</v>
      </c>
      <c r="AC18" s="48">
        <f>SUM(AA18:AB18)</f>
        <v>1006</v>
      </c>
      <c r="AD18" s="333">
        <f>SUM('Admitidos plan'!AD50:AD55)</f>
        <v>467</v>
      </c>
      <c r="AE18" s="334">
        <f>SUM('Admitidos plan'!AE50:AE55)</f>
        <v>539</v>
      </c>
      <c r="AF18" s="48">
        <f>SUM(AD18:AE18)</f>
        <v>1006</v>
      </c>
      <c r="AG18" s="333">
        <f>SUM('Admitidos plan'!AG50:AG55)</f>
        <v>442</v>
      </c>
      <c r="AH18" s="334">
        <f>SUM('Admitidos plan'!AH50:AH55)</f>
        <v>526</v>
      </c>
      <c r="AI18" s="48">
        <f>SUM(AG18:AH18)</f>
        <v>968</v>
      </c>
      <c r="AJ18" s="333">
        <f>SUM('Admitidos plan'!AJ50:AJ55)</f>
        <v>365</v>
      </c>
      <c r="AK18" s="334">
        <f>SUM('Admitidos plan'!AK50:AK55)</f>
        <v>496</v>
      </c>
      <c r="AL18" s="48">
        <f>SUM(AJ18:AK18)</f>
        <v>861</v>
      </c>
      <c r="AM18" s="333">
        <f>SUM('Admitidos plan'!AM50:AM55)</f>
        <v>337</v>
      </c>
      <c r="AN18" s="334">
        <f>SUM('Admitidos plan'!AN50:AN55)</f>
        <v>468</v>
      </c>
      <c r="AO18" s="48">
        <f>SUM(AM18:AN18)</f>
        <v>805</v>
      </c>
      <c r="AP18" s="333">
        <f>SUM('Admitidos plan'!AP50:AP55)</f>
        <v>317</v>
      </c>
      <c r="AQ18" s="334">
        <f>SUM('Admitidos plan'!AQ50:AQ55)</f>
        <v>487</v>
      </c>
      <c r="AR18" s="48">
        <f>SUM(AP18:AQ18)</f>
        <v>804</v>
      </c>
      <c r="AS18" s="333">
        <f>SUM('Admitidos plan'!AS50:AS55)</f>
        <v>316</v>
      </c>
      <c r="AT18" s="334">
        <f>SUM('Admitidos plan'!AT50:AT55)</f>
        <v>494</v>
      </c>
      <c r="AU18" s="48">
        <f>SUM(AS18:AT18)</f>
        <v>810</v>
      </c>
      <c r="AV18" s="333">
        <f>SUM('Admitidos plan'!AV50:AV55)</f>
        <v>259</v>
      </c>
      <c r="AW18" s="334">
        <f>SUM('Admitidos plan'!AW50:AW55)</f>
        <v>382</v>
      </c>
      <c r="AX18" s="48">
        <f>SUM(AV18:AW18)</f>
        <v>641</v>
      </c>
      <c r="AY18" s="333">
        <f>SUM('Admitidos plan'!AY50:AY55)</f>
        <v>303</v>
      </c>
      <c r="AZ18" s="334">
        <f>SUM('Admitidos plan'!AZ50:AZ55)</f>
        <v>331</v>
      </c>
      <c r="BA18" s="48">
        <f>SUM(AY18:AZ18)</f>
        <v>634</v>
      </c>
      <c r="BB18" s="333">
        <f>SUM('Admitidos plan'!BB50:BB55)</f>
        <v>332</v>
      </c>
      <c r="BC18" s="334">
        <f>SUM('Admitidos plan'!BC50:BC55)</f>
        <v>282</v>
      </c>
      <c r="BD18" s="48">
        <f>SUM(BB18:BC18)</f>
        <v>614</v>
      </c>
      <c r="BE18" s="333">
        <f>SUM('Admitidos plan'!BE50:BE55)</f>
        <v>323</v>
      </c>
      <c r="BF18" s="334">
        <f>SUM('Admitidos plan'!BF50:BF55)</f>
        <v>299</v>
      </c>
      <c r="BG18" s="48">
        <f>SUM(BE18:BF18)</f>
        <v>622</v>
      </c>
      <c r="BH18" s="333">
        <f>SUM('Admitidos plan'!BH50:BH55)</f>
        <v>334</v>
      </c>
      <c r="BI18" s="334">
        <f>SUM('Admitidos plan'!BI50:BI55)</f>
        <v>304</v>
      </c>
      <c r="BJ18" s="48">
        <f>SUM(BH18:BI18)</f>
        <v>638</v>
      </c>
    </row>
    <row r="19" spans="2:62" ht="15" customHeight="1" x14ac:dyDescent="0.25">
      <c r="B19" s="174" t="s">
        <v>135</v>
      </c>
      <c r="C19" s="343">
        <f t="shared" ref="C19:X19" si="4">SUM(C16:C18)</f>
        <v>672</v>
      </c>
      <c r="D19" s="344">
        <f t="shared" si="4"/>
        <v>1822</v>
      </c>
      <c r="E19" s="345">
        <f t="shared" si="4"/>
        <v>2494</v>
      </c>
      <c r="F19" s="343">
        <f t="shared" si="4"/>
        <v>702</v>
      </c>
      <c r="G19" s="344">
        <f t="shared" si="4"/>
        <v>1970</v>
      </c>
      <c r="H19" s="345">
        <f t="shared" si="4"/>
        <v>2672</v>
      </c>
      <c r="I19" s="343">
        <f t="shared" si="4"/>
        <v>709</v>
      </c>
      <c r="J19" s="344">
        <f t="shared" si="4"/>
        <v>2219</v>
      </c>
      <c r="K19" s="345">
        <f t="shared" si="4"/>
        <v>2928</v>
      </c>
      <c r="L19" s="343">
        <f t="shared" si="4"/>
        <v>867</v>
      </c>
      <c r="M19" s="344">
        <f t="shared" si="4"/>
        <v>2216</v>
      </c>
      <c r="N19" s="345">
        <f t="shared" si="4"/>
        <v>3083</v>
      </c>
      <c r="O19" s="343">
        <f t="shared" si="4"/>
        <v>767</v>
      </c>
      <c r="P19" s="344">
        <f t="shared" si="4"/>
        <v>2326</v>
      </c>
      <c r="Q19" s="345">
        <f t="shared" si="4"/>
        <v>3093</v>
      </c>
      <c r="R19" s="343">
        <f t="shared" si="4"/>
        <v>797</v>
      </c>
      <c r="S19" s="344">
        <f t="shared" si="4"/>
        <v>2170</v>
      </c>
      <c r="T19" s="345">
        <f t="shared" si="4"/>
        <v>2967</v>
      </c>
      <c r="U19" s="343">
        <f t="shared" si="4"/>
        <v>825</v>
      </c>
      <c r="V19" s="344">
        <f t="shared" si="4"/>
        <v>2341</v>
      </c>
      <c r="W19" s="345">
        <f t="shared" si="4"/>
        <v>3166</v>
      </c>
      <c r="X19" s="343">
        <f t="shared" si="4"/>
        <v>731</v>
      </c>
      <c r="Y19" s="344">
        <v>2651</v>
      </c>
      <c r="Z19" s="345">
        <f>SUM(X19:Y19)</f>
        <v>3382</v>
      </c>
      <c r="AA19" s="343">
        <v>854</v>
      </c>
      <c r="AB19" s="344">
        <f>SUM(AB16:AB18)</f>
        <v>2625</v>
      </c>
      <c r="AC19" s="345">
        <f>SUM(AA19:AB19)</f>
        <v>3479</v>
      </c>
      <c r="AD19" s="343">
        <f>SUM(AD16:AD18)</f>
        <v>875</v>
      </c>
      <c r="AE19" s="344">
        <f>SUM(AE16:AE18)</f>
        <v>2635</v>
      </c>
      <c r="AF19" s="345">
        <f>SUM(AD19:AE19)</f>
        <v>3510</v>
      </c>
      <c r="AG19" s="343">
        <f>SUM(AG16:AG18)</f>
        <v>872</v>
      </c>
      <c r="AH19" s="344">
        <f>SUM(AH16:AH18)</f>
        <v>2698</v>
      </c>
      <c r="AI19" s="345">
        <f>SUM(AG19:AH19)</f>
        <v>3570</v>
      </c>
      <c r="AJ19" s="343">
        <f>SUM(AJ16:AJ18)</f>
        <v>738</v>
      </c>
      <c r="AK19" s="344">
        <f>SUM(AK16:AK18)</f>
        <v>2490</v>
      </c>
      <c r="AL19" s="345">
        <f>SUM(AJ19:AK19)</f>
        <v>3228</v>
      </c>
      <c r="AM19" s="343">
        <f>SUM(AM16:AM18)</f>
        <v>685</v>
      </c>
      <c r="AN19" s="344">
        <f>SUM(AN16:AN18)</f>
        <v>2404</v>
      </c>
      <c r="AO19" s="345">
        <f>SUM(AM19:AN19)</f>
        <v>3089</v>
      </c>
      <c r="AP19" s="343">
        <f>SUM(AP16:AP18)</f>
        <v>635</v>
      </c>
      <c r="AQ19" s="344">
        <f>SUM(AQ16:AQ18)</f>
        <v>2613</v>
      </c>
      <c r="AR19" s="345">
        <f>SUM(AP19:AQ19)</f>
        <v>3248</v>
      </c>
      <c r="AS19" s="343">
        <f>SUM(AS16:AS18)</f>
        <v>478</v>
      </c>
      <c r="AT19" s="344">
        <f>SUM(AT16:AT18)</f>
        <v>2603</v>
      </c>
      <c r="AU19" s="345">
        <f>SUM(AS19:AT19)</f>
        <v>3081</v>
      </c>
      <c r="AV19" s="343">
        <f>SUM(AV16:AV18)</f>
        <v>426</v>
      </c>
      <c r="AW19" s="344">
        <f>SUM(AW16:AW18)</f>
        <v>2578</v>
      </c>
      <c r="AX19" s="345">
        <f>SUM(AV19:AW19)</f>
        <v>3004</v>
      </c>
      <c r="AY19" s="343">
        <f>SUM(AY16:AY18)</f>
        <v>491</v>
      </c>
      <c r="AZ19" s="344">
        <f>SUM(AZ16:AZ18)</f>
        <v>2366</v>
      </c>
      <c r="BA19" s="345">
        <f>SUM(AY19:AZ19)</f>
        <v>2857</v>
      </c>
      <c r="BB19" s="343">
        <f>SUM(BB16:BB18)</f>
        <v>487</v>
      </c>
      <c r="BC19" s="344">
        <f>SUM(BC16:BC18)</f>
        <v>2088</v>
      </c>
      <c r="BD19" s="345">
        <f>SUM(BB19:BC19)</f>
        <v>2575</v>
      </c>
      <c r="BE19" s="343">
        <f>SUM(BE16:BE18)</f>
        <v>490</v>
      </c>
      <c r="BF19" s="344">
        <f>SUM(BF16:BF18)</f>
        <v>1949</v>
      </c>
      <c r="BG19" s="345">
        <f>SUM(BE19:BF19)</f>
        <v>2439</v>
      </c>
      <c r="BH19" s="343">
        <f>SUM(BH16:BH18)</f>
        <v>507</v>
      </c>
      <c r="BI19" s="344">
        <f>SUM(BI16:BI18)</f>
        <v>2154</v>
      </c>
      <c r="BJ19" s="345">
        <f>SUM(BH19:BI19)</f>
        <v>2661</v>
      </c>
    </row>
    <row r="20" spans="2:62" ht="14.4" x14ac:dyDescent="0.25">
      <c r="B20" s="162"/>
      <c r="C20" s="342"/>
      <c r="D20" s="342"/>
      <c r="E20" s="342"/>
      <c r="F20" s="342"/>
      <c r="G20" s="342"/>
      <c r="H20" s="342"/>
      <c r="I20" s="342"/>
      <c r="J20" s="342"/>
      <c r="K20" s="342"/>
      <c r="L20" s="342"/>
      <c r="M20" s="342"/>
      <c r="N20" s="342"/>
      <c r="O20" s="342"/>
      <c r="P20" s="342"/>
      <c r="Q20" s="342"/>
      <c r="R20" s="342"/>
      <c r="S20" s="342"/>
      <c r="T20" s="342"/>
      <c r="U20" s="342"/>
      <c r="V20" s="342"/>
      <c r="W20" s="342"/>
      <c r="X20" s="342"/>
      <c r="Y20" s="342"/>
      <c r="Z20" s="342"/>
      <c r="AA20" s="342"/>
      <c r="AB20" s="342"/>
      <c r="AC20" s="342"/>
      <c r="AD20" s="342"/>
      <c r="AE20" s="342"/>
      <c r="AF20" s="342"/>
      <c r="AG20" s="342"/>
      <c r="AH20" s="342"/>
      <c r="AI20" s="342"/>
      <c r="AJ20" s="342"/>
      <c r="AK20" s="342"/>
      <c r="AL20" s="342"/>
      <c r="AM20" s="342"/>
      <c r="AN20" s="342"/>
      <c r="AO20" s="342"/>
      <c r="AP20" s="342"/>
      <c r="AQ20" s="342"/>
      <c r="AR20" s="342"/>
      <c r="AS20" s="342"/>
      <c r="AT20" s="342"/>
      <c r="AU20" s="342"/>
      <c r="AV20" s="342"/>
      <c r="AW20" s="342"/>
      <c r="AX20" s="342"/>
      <c r="AY20" s="342"/>
      <c r="AZ20" s="342"/>
      <c r="BA20" s="342"/>
      <c r="BB20" s="342"/>
      <c r="BC20" s="342"/>
      <c r="BD20" s="342"/>
      <c r="BE20" s="342"/>
      <c r="BF20" s="342"/>
      <c r="BG20" s="342"/>
      <c r="BH20" s="342"/>
      <c r="BI20" s="342"/>
      <c r="BJ20" s="342"/>
    </row>
    <row r="21" spans="2:62" ht="15" customHeight="1" x14ac:dyDescent="0.25">
      <c r="B21" s="150" t="s">
        <v>59</v>
      </c>
      <c r="C21" s="329"/>
      <c r="D21" s="330"/>
      <c r="E21" s="331"/>
      <c r="F21" s="330"/>
      <c r="G21" s="330"/>
      <c r="H21" s="346"/>
      <c r="I21" s="329"/>
      <c r="J21" s="330"/>
      <c r="K21" s="35"/>
      <c r="L21" s="330"/>
      <c r="M21" s="330"/>
      <c r="N21" s="346"/>
      <c r="O21" s="329"/>
      <c r="P21" s="330"/>
      <c r="Q21" s="35"/>
      <c r="R21" s="330"/>
      <c r="S21" s="330"/>
      <c r="T21" s="346"/>
      <c r="U21" s="329"/>
      <c r="V21" s="330"/>
      <c r="W21" s="35"/>
      <c r="X21" s="330"/>
      <c r="Y21" s="330"/>
      <c r="Z21" s="35"/>
      <c r="AA21" s="329">
        <v>37</v>
      </c>
      <c r="AB21" s="330">
        <v>40</v>
      </c>
      <c r="AC21" s="35">
        <f>SUM(AA21:AB21)</f>
        <v>77</v>
      </c>
      <c r="AD21" s="329">
        <f>SUM('Admitidos plan'!AD95)</f>
        <v>0</v>
      </c>
      <c r="AE21" s="330">
        <f>SUM('Admitidos plan'!AE95)</f>
        <v>32</v>
      </c>
      <c r="AF21" s="35">
        <f>SUM(AD21:AE21)</f>
        <v>32</v>
      </c>
      <c r="AG21" s="329">
        <f>SUM('Admitidos plan'!AG95)</f>
        <v>35</v>
      </c>
      <c r="AH21" s="330">
        <f>SUM('Admitidos plan'!AH95)</f>
        <v>38</v>
      </c>
      <c r="AI21" s="35">
        <f>SUM(AG21:AH21)</f>
        <v>73</v>
      </c>
      <c r="AJ21" s="329">
        <f>SUM('Admitidos plan'!AJ95)</f>
        <v>21</v>
      </c>
      <c r="AK21" s="330">
        <f>SUM('Admitidos plan'!AK95)</f>
        <v>35</v>
      </c>
      <c r="AL21" s="35">
        <f>SUM(AJ21:AK21)</f>
        <v>56</v>
      </c>
      <c r="AM21" s="329">
        <f>SUM('Admitidos plan'!AM95)</f>
        <v>23</v>
      </c>
      <c r="AN21" s="330">
        <f>SUM('Admitidos plan'!AN95)</f>
        <v>56</v>
      </c>
      <c r="AO21" s="35">
        <f>SUM(AM21:AN21)</f>
        <v>79</v>
      </c>
      <c r="AP21" s="329">
        <f>SUM('Admitidos plan'!AP95)</f>
        <v>19</v>
      </c>
      <c r="AQ21" s="330">
        <f>SUM('Admitidos plan'!AQ95)</f>
        <v>43</v>
      </c>
      <c r="AR21" s="35">
        <f>SUM(AP21:AQ21)</f>
        <v>62</v>
      </c>
      <c r="AS21" s="329">
        <f>+'Admitidos plan'!AS98</f>
        <v>59</v>
      </c>
      <c r="AT21" s="330">
        <f>+'Admitidos plan'!AT98</f>
        <v>75</v>
      </c>
      <c r="AU21" s="35">
        <f>SUM(AS21:AT21)</f>
        <v>134</v>
      </c>
      <c r="AV21" s="329">
        <f>+'Admitidos plan'!AV98</f>
        <v>0</v>
      </c>
      <c r="AW21" s="330">
        <f>+'Admitidos plan'!AW98</f>
        <v>156</v>
      </c>
      <c r="AX21" s="35">
        <f>SUM(AV21:AW21)</f>
        <v>156</v>
      </c>
      <c r="AY21" s="329">
        <f>+'Admitidos plan'!AY98</f>
        <v>0</v>
      </c>
      <c r="AZ21" s="330">
        <f>+'Admitidos plan'!AZ98</f>
        <v>195</v>
      </c>
      <c r="BA21" s="35">
        <f>SUM(AY21:AZ21)</f>
        <v>195</v>
      </c>
      <c r="BB21" s="329">
        <f>+'Admitidos plan'!BB98</f>
        <v>0</v>
      </c>
      <c r="BC21" s="330">
        <f>+'Admitidos plan'!BC98</f>
        <v>166</v>
      </c>
      <c r="BD21" s="35">
        <f>SUM(BB21:BC21)</f>
        <v>166</v>
      </c>
      <c r="BE21" s="329">
        <f>+'Admitidos plan'!BE98</f>
        <v>0</v>
      </c>
      <c r="BF21" s="330">
        <f>+'Admitidos plan'!BF98</f>
        <v>152</v>
      </c>
      <c r="BG21" s="35">
        <f>SUM(BE21:BF21)</f>
        <v>152</v>
      </c>
      <c r="BH21" s="329">
        <f>+'Admitidos plan'!BH98</f>
        <v>0</v>
      </c>
      <c r="BI21" s="330">
        <f>+'Admitidos plan'!BI98</f>
        <v>204</v>
      </c>
      <c r="BJ21" s="35">
        <f>SUM(BH21:BI21)</f>
        <v>204</v>
      </c>
    </row>
    <row r="22" spans="2:62" ht="15" customHeight="1" x14ac:dyDescent="0.25">
      <c r="B22" s="154" t="s">
        <v>64</v>
      </c>
      <c r="C22" s="82"/>
      <c r="D22" s="83"/>
      <c r="E22" s="332"/>
      <c r="F22" s="83"/>
      <c r="G22" s="83"/>
      <c r="H22" s="347"/>
      <c r="I22" s="82"/>
      <c r="J22" s="83"/>
      <c r="K22" s="42"/>
      <c r="L22" s="83"/>
      <c r="M22" s="83"/>
      <c r="N22" s="347"/>
      <c r="O22" s="82"/>
      <c r="P22" s="83"/>
      <c r="Q22" s="42"/>
      <c r="R22" s="83"/>
      <c r="S22" s="83"/>
      <c r="T22" s="347"/>
      <c r="U22" s="82"/>
      <c r="V22" s="83"/>
      <c r="W22" s="42"/>
      <c r="X22" s="83"/>
      <c r="Y22" s="83"/>
      <c r="Z22" s="42"/>
      <c r="AA22" s="82">
        <v>38</v>
      </c>
      <c r="AB22" s="83">
        <v>43</v>
      </c>
      <c r="AC22" s="42">
        <f>SUM(AA22:AB22)</f>
        <v>81</v>
      </c>
      <c r="AD22" s="82">
        <f>SUM('Admitidos plan'!AD99)</f>
        <v>0</v>
      </c>
      <c r="AE22" s="83">
        <f>SUM('Admitidos plan'!AE99)</f>
        <v>37</v>
      </c>
      <c r="AF22" s="42">
        <f>SUM(AD22:AE22)</f>
        <v>37</v>
      </c>
      <c r="AG22" s="82">
        <f>SUM('Admitidos plan'!AG99)</f>
        <v>27</v>
      </c>
      <c r="AH22" s="83">
        <f>'Admitidos plan'!AH102</f>
        <v>61</v>
      </c>
      <c r="AI22" s="42">
        <f>SUM(AG22:AH22)</f>
        <v>88</v>
      </c>
      <c r="AJ22" s="82">
        <f>SUM('Admitidos plan'!AJ99)</f>
        <v>0</v>
      </c>
      <c r="AK22" s="83">
        <f>'Admitidos plan'!AK102</f>
        <v>65</v>
      </c>
      <c r="AL22" s="42">
        <f>SUM(AJ22:AK22)</f>
        <v>65</v>
      </c>
      <c r="AM22" s="82">
        <f>SUM('Admitidos plan'!AM99)</f>
        <v>0</v>
      </c>
      <c r="AN22" s="83">
        <f>'Admitidos plan'!AN102</f>
        <v>76</v>
      </c>
      <c r="AO22" s="42">
        <f>SUM(AM22:AN22)</f>
        <v>76</v>
      </c>
      <c r="AP22" s="82">
        <f>SUM('Admitidos plan'!AP99)</f>
        <v>32</v>
      </c>
      <c r="AQ22" s="83">
        <f>'Admitidos plan'!AQ102</f>
        <v>73</v>
      </c>
      <c r="AR22" s="42">
        <f>SUM(AP22:AQ22)</f>
        <v>105</v>
      </c>
      <c r="AS22" s="82">
        <f>+'Admitidos plan'!AS102</f>
        <v>33</v>
      </c>
      <c r="AT22" s="83">
        <f>+'Admitidos plan'!AT102</f>
        <v>88</v>
      </c>
      <c r="AU22" s="42">
        <f>SUM(AS22:AT22)</f>
        <v>121</v>
      </c>
      <c r="AV22" s="82">
        <f>+'Admitidos plan'!AV102</f>
        <v>51</v>
      </c>
      <c r="AW22" s="83">
        <f>+'Admitidos plan'!AW102</f>
        <v>111</v>
      </c>
      <c r="AX22" s="42">
        <f>SUM(AV22:AW22)</f>
        <v>162</v>
      </c>
      <c r="AY22" s="82">
        <f>+'Admitidos plan'!AY102</f>
        <v>36</v>
      </c>
      <c r="AZ22" s="83">
        <f>+'Admitidos plan'!AZ102</f>
        <v>100</v>
      </c>
      <c r="BA22" s="42">
        <f>SUM(AY22:AZ22)</f>
        <v>136</v>
      </c>
      <c r="BB22" s="82">
        <f>+'Admitidos plan'!BB102</f>
        <v>32</v>
      </c>
      <c r="BC22" s="83">
        <f>+'Admitidos plan'!BC102</f>
        <v>127</v>
      </c>
      <c r="BD22" s="42">
        <f>SUM(BB22:BC22)</f>
        <v>159</v>
      </c>
      <c r="BE22" s="82">
        <f>+'Admitidos plan'!BE102</f>
        <v>32</v>
      </c>
      <c r="BF22" s="83">
        <f>+'Admitidos plan'!BF102</f>
        <v>126</v>
      </c>
      <c r="BG22" s="42">
        <f>SUM(BE22:BF22)</f>
        <v>158</v>
      </c>
      <c r="BH22" s="82">
        <f>+'Admitidos plan'!BH102</f>
        <v>35</v>
      </c>
      <c r="BI22" s="83">
        <f>+'Admitidos plan'!BI102</f>
        <v>113</v>
      </c>
      <c r="BJ22" s="42">
        <f>SUM(BH22:BI22)</f>
        <v>148</v>
      </c>
    </row>
    <row r="23" spans="2:62" ht="15" customHeight="1" x14ac:dyDescent="0.25">
      <c r="B23" s="154" t="s">
        <v>92</v>
      </c>
      <c r="C23" s="333"/>
      <c r="D23" s="334"/>
      <c r="E23" s="335"/>
      <c r="F23" s="334"/>
      <c r="G23" s="334"/>
      <c r="H23" s="314"/>
      <c r="I23" s="333"/>
      <c r="J23" s="334"/>
      <c r="K23" s="48"/>
      <c r="L23" s="334"/>
      <c r="M23" s="334"/>
      <c r="N23" s="314"/>
      <c r="O23" s="333"/>
      <c r="P23" s="334"/>
      <c r="Q23" s="48"/>
      <c r="R23" s="334"/>
      <c r="S23" s="334"/>
      <c r="T23" s="314"/>
      <c r="U23" s="333"/>
      <c r="V23" s="334"/>
      <c r="W23" s="48"/>
      <c r="X23" s="334"/>
      <c r="Y23" s="334"/>
      <c r="Z23" s="48"/>
      <c r="AA23" s="333">
        <v>39</v>
      </c>
      <c r="AB23" s="334">
        <v>41</v>
      </c>
      <c r="AC23" s="48">
        <f>SUM(AA23:AB23)</f>
        <v>80</v>
      </c>
      <c r="AD23" s="333">
        <f>SUM('Admitidos plan'!AD103)</f>
        <v>0</v>
      </c>
      <c r="AE23" s="334">
        <f>SUM('Admitidos plan'!AE103)</f>
        <v>38</v>
      </c>
      <c r="AF23" s="48">
        <f>SUM(AD23:AE23)</f>
        <v>38</v>
      </c>
      <c r="AG23" s="333">
        <f>SUM('Admitidos plan'!AG103)</f>
        <v>25</v>
      </c>
      <c r="AH23" s="334">
        <f>SUM('Admitidos plan'!AH103)</f>
        <v>48</v>
      </c>
      <c r="AI23" s="48">
        <f>SUM(AG23:AH23)</f>
        <v>73</v>
      </c>
      <c r="AJ23" s="333">
        <f>SUM('Admitidos plan'!AJ103)</f>
        <v>35</v>
      </c>
      <c r="AK23" s="334">
        <f>SUM('Admitidos plan'!AK103)</f>
        <v>31</v>
      </c>
      <c r="AL23" s="48">
        <f>SUM(AJ23:AK23)</f>
        <v>66</v>
      </c>
      <c r="AM23" s="333">
        <f>SUM('Admitidos plan'!AM103)</f>
        <v>38</v>
      </c>
      <c r="AN23" s="334">
        <f>SUM('Admitidos plan'!AN103)</f>
        <v>47</v>
      </c>
      <c r="AO23" s="48">
        <f>SUM(AM23:AN23)</f>
        <v>85</v>
      </c>
      <c r="AP23" s="333">
        <f>SUM('Admitidos plan'!AP103)</f>
        <v>33</v>
      </c>
      <c r="AQ23" s="334">
        <f>SUM('Admitidos plan'!AQ103)</f>
        <v>66</v>
      </c>
      <c r="AR23" s="48">
        <f>SUM(AP23:AQ23)</f>
        <v>99</v>
      </c>
      <c r="AS23" s="333">
        <f>+'Admitidos plan'!AS106</f>
        <v>47</v>
      </c>
      <c r="AT23" s="334">
        <f>+'Admitidos plan'!AT106</f>
        <v>78</v>
      </c>
      <c r="AU23" s="48">
        <f>SUM(AS23:AT23)</f>
        <v>125</v>
      </c>
      <c r="AV23" s="333">
        <f>+'Admitidos plan'!AV106</f>
        <v>0</v>
      </c>
      <c r="AW23" s="334">
        <f>+'Admitidos plan'!AW106</f>
        <v>132</v>
      </c>
      <c r="AX23" s="48">
        <f>SUM(AV23:AW23)</f>
        <v>132</v>
      </c>
      <c r="AY23" s="333">
        <f>+'Admitidos plan'!AY106</f>
        <v>0</v>
      </c>
      <c r="AZ23" s="334">
        <f>+'Admitidos plan'!AZ106</f>
        <v>140</v>
      </c>
      <c r="BA23" s="48">
        <f>SUM(AY23:AZ23)</f>
        <v>140</v>
      </c>
      <c r="BB23" s="333">
        <f>+'Admitidos plan'!BB106</f>
        <v>0</v>
      </c>
      <c r="BC23" s="334">
        <f>+'Admitidos plan'!BC106</f>
        <v>152</v>
      </c>
      <c r="BD23" s="48">
        <f>SUM(BB23:BC23)</f>
        <v>152</v>
      </c>
      <c r="BE23" s="333">
        <f>+'Admitidos plan'!BE106</f>
        <v>0</v>
      </c>
      <c r="BF23" s="334">
        <f>+'Admitidos plan'!BF106</f>
        <v>152</v>
      </c>
      <c r="BG23" s="48">
        <f>SUM(BE23:BF23)</f>
        <v>152</v>
      </c>
      <c r="BH23" s="333">
        <f>+'Admitidos plan'!BH106</f>
        <v>0</v>
      </c>
      <c r="BI23" s="334">
        <f>+'Admitidos plan'!BI106</f>
        <v>162</v>
      </c>
      <c r="BJ23" s="48">
        <f>SUM(BH23:BI23)</f>
        <v>162</v>
      </c>
    </row>
    <row r="24" spans="2:62" ht="15" customHeight="1" x14ac:dyDescent="0.25">
      <c r="B24" s="178" t="s">
        <v>136</v>
      </c>
      <c r="C24" s="348"/>
      <c r="D24" s="349"/>
      <c r="E24" s="350"/>
      <c r="F24" s="349"/>
      <c r="G24" s="349"/>
      <c r="H24" s="349"/>
      <c r="I24" s="348"/>
      <c r="J24" s="349"/>
      <c r="K24" s="350"/>
      <c r="L24" s="349"/>
      <c r="M24" s="349"/>
      <c r="N24" s="349"/>
      <c r="O24" s="348"/>
      <c r="P24" s="349"/>
      <c r="Q24" s="350"/>
      <c r="R24" s="349"/>
      <c r="S24" s="349"/>
      <c r="T24" s="349"/>
      <c r="U24" s="348"/>
      <c r="V24" s="349"/>
      <c r="W24" s="350"/>
      <c r="X24" s="349"/>
      <c r="Y24" s="349"/>
      <c r="Z24" s="350"/>
      <c r="AA24" s="179">
        <v>114</v>
      </c>
      <c r="AB24" s="180">
        <f>SUM(AB21:AB23)</f>
        <v>124</v>
      </c>
      <c r="AC24" s="181">
        <f>SUM(AA24:AB24)</f>
        <v>238</v>
      </c>
      <c r="AD24" s="179">
        <f>SUM(AD21:AD23)</f>
        <v>0</v>
      </c>
      <c r="AE24" s="180">
        <f>SUM(AE21:AE23)</f>
        <v>107</v>
      </c>
      <c r="AF24" s="181">
        <f>SUM(AD24:AE24)</f>
        <v>107</v>
      </c>
      <c r="AG24" s="179">
        <f>SUM(AG21:AG23)</f>
        <v>87</v>
      </c>
      <c r="AH24" s="180">
        <f>SUM(AH21:AH23)</f>
        <v>147</v>
      </c>
      <c r="AI24" s="181">
        <f>SUM(AG24:AH24)</f>
        <v>234</v>
      </c>
      <c r="AJ24" s="179">
        <f>SUM(AJ21:AJ23)</f>
        <v>56</v>
      </c>
      <c r="AK24" s="180">
        <f>SUM(AK21:AK23)</f>
        <v>131</v>
      </c>
      <c r="AL24" s="181">
        <f>SUM(AJ24:AK24)</f>
        <v>187</v>
      </c>
      <c r="AM24" s="179">
        <f>SUM(AM21:AM23)</f>
        <v>61</v>
      </c>
      <c r="AN24" s="180">
        <f>SUM(AN21:AN23)</f>
        <v>179</v>
      </c>
      <c r="AO24" s="181">
        <f>SUM(AM24:AN24)</f>
        <v>240</v>
      </c>
      <c r="AP24" s="179">
        <f>SUM(AP21:AP23)</f>
        <v>84</v>
      </c>
      <c r="AQ24" s="180">
        <f>SUM(AQ21:AQ23)</f>
        <v>182</v>
      </c>
      <c r="AR24" s="181">
        <f>SUM(AP24:AQ24)</f>
        <v>266</v>
      </c>
      <c r="AS24" s="179">
        <f>SUM(AS21:AS23)</f>
        <v>139</v>
      </c>
      <c r="AT24" s="180">
        <f>SUM(AT21:AT23)</f>
        <v>241</v>
      </c>
      <c r="AU24" s="181">
        <f>SUM(AS24:AT24)</f>
        <v>380</v>
      </c>
      <c r="AV24" s="179">
        <f>SUM(AV21:AV23)</f>
        <v>51</v>
      </c>
      <c r="AW24" s="180">
        <f>SUM(AW21:AW23)</f>
        <v>399</v>
      </c>
      <c r="AX24" s="181">
        <f>SUM(AV24:AW24)</f>
        <v>450</v>
      </c>
      <c r="AY24" s="179">
        <f>SUM(AY21:AY23)</f>
        <v>36</v>
      </c>
      <c r="AZ24" s="180">
        <f>SUM(AZ21:AZ23)</f>
        <v>435</v>
      </c>
      <c r="BA24" s="181">
        <f>SUM(AY24:AZ24)</f>
        <v>471</v>
      </c>
      <c r="BB24" s="179">
        <f>SUM(BB21:BB23)</f>
        <v>32</v>
      </c>
      <c r="BC24" s="180">
        <f>SUM(BC21:BC23)</f>
        <v>445</v>
      </c>
      <c r="BD24" s="181">
        <f>SUM(BB24:BC24)</f>
        <v>477</v>
      </c>
      <c r="BE24" s="179">
        <f>SUM(BE21:BE23)</f>
        <v>32</v>
      </c>
      <c r="BF24" s="180">
        <f>SUM(BF21:BF23)</f>
        <v>430</v>
      </c>
      <c r="BG24" s="181">
        <f>SUM(BE24:BF24)</f>
        <v>462</v>
      </c>
      <c r="BH24" s="179">
        <f>SUM(BH21:BH23)</f>
        <v>35</v>
      </c>
      <c r="BI24" s="180">
        <f>SUM(BI21:BI23)</f>
        <v>479</v>
      </c>
      <c r="BJ24" s="181">
        <f>SUM(BH24:BI24)</f>
        <v>514</v>
      </c>
    </row>
    <row r="25" spans="2:62" ht="14.4" x14ac:dyDescent="0.25">
      <c r="B25" s="170"/>
      <c r="C25" s="185"/>
      <c r="D25" s="185"/>
      <c r="E25" s="185"/>
      <c r="F25" s="185"/>
      <c r="G25" s="185"/>
      <c r="H25" s="185"/>
      <c r="I25" s="185"/>
      <c r="J25" s="185"/>
      <c r="K25" s="185"/>
      <c r="L25" s="185"/>
      <c r="M25" s="185"/>
      <c r="N25" s="185"/>
      <c r="O25" s="185"/>
      <c r="P25" s="185"/>
      <c r="Q25" s="185"/>
      <c r="R25" s="185"/>
      <c r="S25" s="185"/>
      <c r="T25" s="185"/>
      <c r="U25" s="185"/>
      <c r="V25" s="185"/>
      <c r="W25" s="185"/>
      <c r="X25" s="185"/>
      <c r="Y25" s="185"/>
      <c r="Z25" s="185"/>
      <c r="AA25" s="185"/>
      <c r="AB25" s="185"/>
      <c r="AC25" s="185"/>
      <c r="AD25" s="185"/>
      <c r="AE25" s="185"/>
      <c r="AF25" s="185"/>
      <c r="AG25" s="185"/>
      <c r="AH25" s="185"/>
      <c r="AI25" s="185"/>
      <c r="AJ25" s="185"/>
      <c r="AK25" s="185"/>
      <c r="AL25" s="185"/>
      <c r="AM25" s="185"/>
      <c r="AN25" s="185"/>
      <c r="AO25" s="185"/>
      <c r="AP25" s="185"/>
      <c r="AQ25" s="185"/>
      <c r="AR25" s="185"/>
      <c r="AS25" s="185"/>
      <c r="AT25" s="185"/>
      <c r="AU25" s="185"/>
      <c r="AV25" s="185"/>
      <c r="AW25" s="185"/>
      <c r="AX25" s="185"/>
      <c r="AY25" s="185"/>
      <c r="AZ25" s="185"/>
      <c r="BA25" s="185"/>
      <c r="BB25" s="185"/>
      <c r="BC25" s="185"/>
      <c r="BD25" s="185"/>
      <c r="BE25" s="185"/>
      <c r="BF25" s="185"/>
      <c r="BG25" s="185"/>
      <c r="BH25" s="185"/>
      <c r="BI25" s="185"/>
      <c r="BJ25" s="185"/>
    </row>
    <row r="26" spans="2:62" ht="15" customHeight="1" x14ac:dyDescent="0.25">
      <c r="B26" s="150" t="s">
        <v>64</v>
      </c>
      <c r="C26" s="329">
        <v>689</v>
      </c>
      <c r="D26" s="330">
        <v>844</v>
      </c>
      <c r="E26" s="331">
        <v>1533</v>
      </c>
      <c r="F26" s="329">
        <v>888</v>
      </c>
      <c r="G26" s="330">
        <v>823</v>
      </c>
      <c r="H26" s="35">
        <v>1711</v>
      </c>
      <c r="I26" s="329">
        <v>857</v>
      </c>
      <c r="J26" s="330">
        <v>960</v>
      </c>
      <c r="K26" s="35">
        <v>1817</v>
      </c>
      <c r="L26" s="329">
        <v>685</v>
      </c>
      <c r="M26" s="330">
        <v>926</v>
      </c>
      <c r="N26" s="35">
        <v>1611</v>
      </c>
      <c r="O26" s="329">
        <v>785</v>
      </c>
      <c r="P26" s="330">
        <v>931</v>
      </c>
      <c r="Q26" s="35">
        <v>1716</v>
      </c>
      <c r="R26" s="329">
        <v>737</v>
      </c>
      <c r="S26" s="330">
        <v>787</v>
      </c>
      <c r="T26" s="35">
        <v>1524</v>
      </c>
      <c r="U26" s="329">
        <v>708</v>
      </c>
      <c r="V26" s="330">
        <v>838</v>
      </c>
      <c r="W26" s="35">
        <v>1546</v>
      </c>
      <c r="X26" s="329">
        <v>729</v>
      </c>
      <c r="Y26" s="330">
        <v>887</v>
      </c>
      <c r="Z26" s="35">
        <f>SUM(X26:Y26)</f>
        <v>1616</v>
      </c>
      <c r="AA26" s="329">
        <v>749</v>
      </c>
      <c r="AB26" s="330">
        <v>862</v>
      </c>
      <c r="AC26" s="35">
        <f>SUM(AA26:AB26)</f>
        <v>1611</v>
      </c>
      <c r="AD26" s="329">
        <f>SUM('Admitidos plan'!AD58:AD63)</f>
        <v>775</v>
      </c>
      <c r="AE26" s="330">
        <f>SUM('Admitidos plan'!AE58:AE63)</f>
        <v>888</v>
      </c>
      <c r="AF26" s="35">
        <f>SUM(AD26:AE26)</f>
        <v>1663</v>
      </c>
      <c r="AG26" s="329">
        <f>SUM('Admitidos plan'!AG58:AG63)</f>
        <v>700</v>
      </c>
      <c r="AH26" s="330">
        <f>SUM('Admitidos plan'!AH58:AH63)</f>
        <v>847</v>
      </c>
      <c r="AI26" s="35">
        <f>SUM(AG26:AH26)</f>
        <v>1547</v>
      </c>
      <c r="AJ26" s="329">
        <f>SUM('Admitidos plan'!AJ58:AJ63)</f>
        <v>734</v>
      </c>
      <c r="AK26" s="330">
        <f>SUM('Admitidos plan'!AK58:AK63)</f>
        <v>838</v>
      </c>
      <c r="AL26" s="35">
        <f>SUM(AJ26:AK26)</f>
        <v>1572</v>
      </c>
      <c r="AM26" s="329">
        <f>SUM('Admitidos plan'!AM58:AM63)</f>
        <v>774</v>
      </c>
      <c r="AN26" s="330">
        <f>SUM('Admitidos plan'!AN58:AN63)</f>
        <v>832</v>
      </c>
      <c r="AO26" s="35">
        <f>SUM(AM26:AN26)</f>
        <v>1606</v>
      </c>
      <c r="AP26" s="329">
        <f>SUM('Admitidos plan'!AP58:AP63)</f>
        <v>756</v>
      </c>
      <c r="AQ26" s="330">
        <f>SUM('Admitidos plan'!AQ58:AQ63)</f>
        <v>962</v>
      </c>
      <c r="AR26" s="35">
        <f>SUM(AP26:AQ26)</f>
        <v>1718</v>
      </c>
      <c r="AS26" s="329">
        <f>SUM('Admitidos plan'!AS58:AS63)</f>
        <v>790</v>
      </c>
      <c r="AT26" s="330">
        <f>SUM('Admitidos plan'!AT58:AT63)</f>
        <v>868</v>
      </c>
      <c r="AU26" s="35">
        <f>SUM(AS26:AT26)</f>
        <v>1658</v>
      </c>
      <c r="AV26" s="329">
        <f>SUM('Admitidos plan'!AV58:AV63)</f>
        <v>783</v>
      </c>
      <c r="AW26" s="330">
        <f>SUM('Admitidos plan'!AW58:AW63)</f>
        <v>865</v>
      </c>
      <c r="AX26" s="35">
        <f>SUM(AV26:AW26)</f>
        <v>1648</v>
      </c>
      <c r="AY26" s="329">
        <f>SUM('Admitidos plan'!AY58:AY63)</f>
        <v>864</v>
      </c>
      <c r="AZ26" s="330">
        <f>SUM('Admitidos plan'!AZ58:AZ63)</f>
        <v>832</v>
      </c>
      <c r="BA26" s="35">
        <f>SUM(AY26:AZ26)</f>
        <v>1696</v>
      </c>
      <c r="BB26" s="329">
        <f>SUM('Admitidos plan'!BB58:BB63)</f>
        <v>723</v>
      </c>
      <c r="BC26" s="330">
        <f>SUM('Admitidos plan'!BC58:BC63)</f>
        <v>753</v>
      </c>
      <c r="BD26" s="35">
        <f>SUM(BB26:BC26)</f>
        <v>1476</v>
      </c>
      <c r="BE26" s="329">
        <f>SUM('Admitidos plan'!BE58:BE63)</f>
        <v>666</v>
      </c>
      <c r="BF26" s="330">
        <f>SUM('Admitidos plan'!BF58:BF63)</f>
        <v>713</v>
      </c>
      <c r="BG26" s="35">
        <f>SUM(BE26:BF26)</f>
        <v>1379</v>
      </c>
      <c r="BH26" s="329">
        <f>SUM('Admitidos plan'!BH58:BH63)</f>
        <v>682</v>
      </c>
      <c r="BI26" s="330">
        <f>SUM('Admitidos plan'!BI58:BI63)</f>
        <v>799</v>
      </c>
      <c r="BJ26" s="35">
        <f>SUM(BH26:BI26)</f>
        <v>1481</v>
      </c>
    </row>
    <row r="27" spans="2:62" ht="15" customHeight="1" x14ac:dyDescent="0.25">
      <c r="B27" s="154" t="s">
        <v>92</v>
      </c>
      <c r="C27" s="82">
        <v>864</v>
      </c>
      <c r="D27" s="83">
        <v>1137</v>
      </c>
      <c r="E27" s="332">
        <v>2001</v>
      </c>
      <c r="F27" s="82">
        <v>1129</v>
      </c>
      <c r="G27" s="83">
        <v>1130</v>
      </c>
      <c r="H27" s="42">
        <v>2259</v>
      </c>
      <c r="I27" s="82">
        <v>1086</v>
      </c>
      <c r="J27" s="83">
        <v>1319</v>
      </c>
      <c r="K27" s="42">
        <v>2405</v>
      </c>
      <c r="L27" s="82">
        <v>1030</v>
      </c>
      <c r="M27" s="83">
        <v>1281</v>
      </c>
      <c r="N27" s="42">
        <v>2311</v>
      </c>
      <c r="O27" s="82">
        <v>941</v>
      </c>
      <c r="P27" s="83">
        <v>1151</v>
      </c>
      <c r="Q27" s="42">
        <v>2092</v>
      </c>
      <c r="R27" s="82">
        <v>896</v>
      </c>
      <c r="S27" s="83">
        <v>998</v>
      </c>
      <c r="T27" s="42">
        <v>1894</v>
      </c>
      <c r="U27" s="82">
        <v>892</v>
      </c>
      <c r="V27" s="83">
        <v>1065</v>
      </c>
      <c r="W27" s="42">
        <v>1957</v>
      </c>
      <c r="X27" s="82">
        <v>945</v>
      </c>
      <c r="Y27" s="83">
        <v>1205</v>
      </c>
      <c r="Z27" s="42">
        <f>SUM(X27:Y27)</f>
        <v>2150</v>
      </c>
      <c r="AA27" s="82">
        <v>955</v>
      </c>
      <c r="AB27" s="83">
        <v>1126</v>
      </c>
      <c r="AC27" s="42">
        <f>SUM(AA27:AB27)</f>
        <v>2081</v>
      </c>
      <c r="AD27" s="82">
        <f>SUM('Admitidos plan'!AD65:AD72)</f>
        <v>956</v>
      </c>
      <c r="AE27" s="83">
        <f>SUM('Admitidos plan'!AE65:AE72)</f>
        <v>1111</v>
      </c>
      <c r="AF27" s="42">
        <f>SUM(AD27:AE27)</f>
        <v>2067</v>
      </c>
      <c r="AG27" s="82">
        <f>SUM('Admitidos plan'!AG65:AG72)</f>
        <v>927</v>
      </c>
      <c r="AH27" s="83">
        <f>SUM('Admitidos plan'!AH65:AH72)</f>
        <v>1160</v>
      </c>
      <c r="AI27" s="42">
        <f>SUM(AG27:AH27)</f>
        <v>2087</v>
      </c>
      <c r="AJ27" s="82">
        <f>SUM('Admitidos plan'!AJ65:AJ72)</f>
        <v>909</v>
      </c>
      <c r="AK27" s="83">
        <f>SUM('Admitidos plan'!AK65:AK72)</f>
        <v>1035</v>
      </c>
      <c r="AL27" s="42">
        <f>SUM(AJ27:AK27)</f>
        <v>1944</v>
      </c>
      <c r="AM27" s="82">
        <f>SUM('Admitidos plan'!AM65:AM72)</f>
        <v>973</v>
      </c>
      <c r="AN27" s="83">
        <f>SUM('Admitidos plan'!AN65:AN72)</f>
        <v>1045</v>
      </c>
      <c r="AO27" s="42">
        <f>SUM(AM27:AN27)</f>
        <v>2018</v>
      </c>
      <c r="AP27" s="82">
        <f>SUM('Admitidos plan'!AP65:AP72)</f>
        <v>998</v>
      </c>
      <c r="AQ27" s="83">
        <f>SUM('Admitidos plan'!AQ65:AQ72)</f>
        <v>1220</v>
      </c>
      <c r="AR27" s="42">
        <f>SUM(AP27:AQ27)</f>
        <v>2218</v>
      </c>
      <c r="AS27" s="82">
        <f>SUM('Admitidos plan'!AS65:AS72)</f>
        <v>1063</v>
      </c>
      <c r="AT27" s="83">
        <f>SUM('Admitidos plan'!AT65:AT72)</f>
        <v>1190</v>
      </c>
      <c r="AU27" s="42">
        <f>SUM(AS27:AT27)</f>
        <v>2253</v>
      </c>
      <c r="AV27" s="82">
        <f>SUM('Admitidos plan'!AV65:AV72)</f>
        <v>1073</v>
      </c>
      <c r="AW27" s="83">
        <f>SUM('Admitidos plan'!AW65:AW72)</f>
        <v>1153</v>
      </c>
      <c r="AX27" s="42">
        <f>SUM(AV27:AW27)</f>
        <v>2226</v>
      </c>
      <c r="AY27" s="82">
        <f>SUM('Admitidos plan'!AY65:AY72)</f>
        <v>1032</v>
      </c>
      <c r="AZ27" s="83">
        <f>SUM('Admitidos plan'!AZ65:AZ72)</f>
        <v>994</v>
      </c>
      <c r="BA27" s="42">
        <f>SUM(AY27:AZ27)</f>
        <v>2026</v>
      </c>
      <c r="BB27" s="82">
        <f>SUM('Admitidos plan'!BB65:BB72)</f>
        <v>869</v>
      </c>
      <c r="BC27" s="83">
        <f>SUM('Admitidos plan'!BC65:BC72)</f>
        <v>929</v>
      </c>
      <c r="BD27" s="42">
        <f>SUM(BB27:BC27)</f>
        <v>1798</v>
      </c>
      <c r="BE27" s="82">
        <f>SUM('Admitidos plan'!BE65:BE72)</f>
        <v>866</v>
      </c>
      <c r="BF27" s="83">
        <f>SUM('Admitidos plan'!BF65:BF72)</f>
        <v>946</v>
      </c>
      <c r="BG27" s="42">
        <f>SUM(BE27:BF27)</f>
        <v>1812</v>
      </c>
      <c r="BH27" s="82">
        <f>SUM('Admitidos plan'!BH65:BH72)</f>
        <v>902</v>
      </c>
      <c r="BI27" s="83">
        <f>SUM('Admitidos plan'!BI65:BI72)</f>
        <v>992</v>
      </c>
      <c r="BJ27" s="42">
        <f>SUM(BH27:BI27)</f>
        <v>1894</v>
      </c>
    </row>
    <row r="28" spans="2:62" ht="15" customHeight="1" x14ac:dyDescent="0.25">
      <c r="B28" s="154" t="s">
        <v>68</v>
      </c>
      <c r="C28" s="333">
        <v>369</v>
      </c>
      <c r="D28" s="334">
        <v>490</v>
      </c>
      <c r="E28" s="335">
        <v>859</v>
      </c>
      <c r="F28" s="333">
        <v>388</v>
      </c>
      <c r="G28" s="334">
        <v>436</v>
      </c>
      <c r="H28" s="48">
        <v>824</v>
      </c>
      <c r="I28" s="333">
        <v>414</v>
      </c>
      <c r="J28" s="334">
        <v>533</v>
      </c>
      <c r="K28" s="48">
        <v>947</v>
      </c>
      <c r="L28" s="333">
        <v>361</v>
      </c>
      <c r="M28" s="334">
        <v>486</v>
      </c>
      <c r="N28" s="48">
        <v>847</v>
      </c>
      <c r="O28" s="333">
        <v>379</v>
      </c>
      <c r="P28" s="334">
        <v>488</v>
      </c>
      <c r="Q28" s="48">
        <v>867</v>
      </c>
      <c r="R28" s="333">
        <v>377</v>
      </c>
      <c r="S28" s="334">
        <v>406</v>
      </c>
      <c r="T28" s="48">
        <v>783</v>
      </c>
      <c r="U28" s="333">
        <v>330</v>
      </c>
      <c r="V28" s="334">
        <v>404</v>
      </c>
      <c r="W28" s="48">
        <v>734</v>
      </c>
      <c r="X28" s="333">
        <v>342</v>
      </c>
      <c r="Y28" s="334">
        <v>402</v>
      </c>
      <c r="Z28" s="48">
        <f>SUM(X28:Y28)</f>
        <v>744</v>
      </c>
      <c r="AA28" s="333">
        <v>364</v>
      </c>
      <c r="AB28" s="334">
        <v>412</v>
      </c>
      <c r="AC28" s="48">
        <f>SUM(AA28:AB28)</f>
        <v>776</v>
      </c>
      <c r="AD28" s="333">
        <f>SUM('Admitidos plan'!AD74:AD77)</f>
        <v>350</v>
      </c>
      <c r="AE28" s="334">
        <f>SUM('Admitidos plan'!AE74:AE77)</f>
        <v>421</v>
      </c>
      <c r="AF28" s="48">
        <f>SUM(AD28:AE28)</f>
        <v>771</v>
      </c>
      <c r="AG28" s="333">
        <f>SUM('Admitidos plan'!AG74:AG77)</f>
        <v>334</v>
      </c>
      <c r="AH28" s="334">
        <f>SUM('Admitidos plan'!AH74:AH77)</f>
        <v>384</v>
      </c>
      <c r="AI28" s="48">
        <f>SUM(AG28:AH28)</f>
        <v>718</v>
      </c>
      <c r="AJ28" s="333">
        <f>SUM('Admitidos plan'!AJ74:AJ77)</f>
        <v>336</v>
      </c>
      <c r="AK28" s="334">
        <f>SUM('Admitidos plan'!AK74:AK77)</f>
        <v>360</v>
      </c>
      <c r="AL28" s="48">
        <f>SUM(AJ28:AK28)</f>
        <v>696</v>
      </c>
      <c r="AM28" s="333">
        <f>SUM('Admitidos plan'!AM74:AM77)</f>
        <v>359</v>
      </c>
      <c r="AN28" s="334">
        <f>SUM('Admitidos plan'!AN74:AN77)</f>
        <v>391</v>
      </c>
      <c r="AO28" s="48">
        <f>SUM(AM28:AN28)</f>
        <v>750</v>
      </c>
      <c r="AP28" s="333">
        <f>SUM('Admitidos plan'!AP74:AP77)</f>
        <v>341</v>
      </c>
      <c r="AQ28" s="334">
        <f>SUM('Admitidos plan'!AQ74:AQ77)</f>
        <v>453</v>
      </c>
      <c r="AR28" s="48">
        <f>SUM(AP28:AQ28)</f>
        <v>794</v>
      </c>
      <c r="AS28" s="333">
        <f>SUM('Admitidos plan'!AS74:AS77)</f>
        <v>351</v>
      </c>
      <c r="AT28" s="334">
        <f>SUM('Admitidos plan'!AT74:AT77)</f>
        <v>399</v>
      </c>
      <c r="AU28" s="48">
        <f>SUM(AS28:AT28)</f>
        <v>750</v>
      </c>
      <c r="AV28" s="333">
        <f>SUM('Admitidos plan'!AV74:AV77)</f>
        <v>360</v>
      </c>
      <c r="AW28" s="334">
        <f>SUM('Admitidos plan'!AW74:AW77)</f>
        <v>391</v>
      </c>
      <c r="AX28" s="48">
        <f>SUM(AV28:AW28)</f>
        <v>751</v>
      </c>
      <c r="AY28" s="333">
        <f>SUM('Admitidos plan'!AY74:AY77)</f>
        <v>387</v>
      </c>
      <c r="AZ28" s="334">
        <f>SUM('Admitidos plan'!AZ74:AZ77)</f>
        <v>381</v>
      </c>
      <c r="BA28" s="48">
        <f>SUM(AY28:AZ28)</f>
        <v>768</v>
      </c>
      <c r="BB28" s="333">
        <f>SUM('Admitidos plan'!BB74:BB77)</f>
        <v>334</v>
      </c>
      <c r="BC28" s="334">
        <f>SUM('Admitidos plan'!BC74:BC77)</f>
        <v>345</v>
      </c>
      <c r="BD28" s="48">
        <f>SUM(BB28:BC28)</f>
        <v>679</v>
      </c>
      <c r="BE28" s="333">
        <f>SUM('Admitidos plan'!BE74:BE77)</f>
        <v>312</v>
      </c>
      <c r="BF28" s="334">
        <f>SUM('Admitidos plan'!BF74:BF77)</f>
        <v>354</v>
      </c>
      <c r="BG28" s="48">
        <f>SUM(BE28:BF28)</f>
        <v>666</v>
      </c>
      <c r="BH28" s="333">
        <f>SUM('Admitidos plan'!BH74:BH77)</f>
        <v>339</v>
      </c>
      <c r="BI28" s="334">
        <f>SUM('Admitidos plan'!BI74:BI77)</f>
        <v>365</v>
      </c>
      <c r="BJ28" s="48">
        <f>SUM(BH28:BI28)</f>
        <v>704</v>
      </c>
    </row>
    <row r="29" spans="2:62" ht="15" customHeight="1" x14ac:dyDescent="0.25">
      <c r="B29" s="188" t="s">
        <v>137</v>
      </c>
      <c r="C29" s="351">
        <v>1922</v>
      </c>
      <c r="D29" s="352">
        <v>2471</v>
      </c>
      <c r="E29" s="353">
        <v>4393</v>
      </c>
      <c r="F29" s="351">
        <v>2405</v>
      </c>
      <c r="G29" s="352">
        <v>2389</v>
      </c>
      <c r="H29" s="353">
        <v>4794</v>
      </c>
      <c r="I29" s="351">
        <v>2357</v>
      </c>
      <c r="J29" s="352">
        <v>2812</v>
      </c>
      <c r="K29" s="353">
        <v>5169</v>
      </c>
      <c r="L29" s="352">
        <v>2076</v>
      </c>
      <c r="M29" s="352">
        <v>2693</v>
      </c>
      <c r="N29" s="353">
        <v>4769</v>
      </c>
      <c r="O29" s="352">
        <v>2105</v>
      </c>
      <c r="P29" s="352">
        <v>2570</v>
      </c>
      <c r="Q29" s="353">
        <v>4675</v>
      </c>
      <c r="R29" s="352">
        <v>2010</v>
      </c>
      <c r="S29" s="352">
        <v>2191</v>
      </c>
      <c r="T29" s="353">
        <v>4201</v>
      </c>
      <c r="U29" s="351">
        <v>1930</v>
      </c>
      <c r="V29" s="352">
        <v>2307</v>
      </c>
      <c r="W29" s="353">
        <v>4237</v>
      </c>
      <c r="X29" s="351">
        <f>SUM(X26:X28)</f>
        <v>2016</v>
      </c>
      <c r="Y29" s="352">
        <v>2494</v>
      </c>
      <c r="Z29" s="353">
        <f>SUM(X29:Y29)</f>
        <v>4510</v>
      </c>
      <c r="AA29" s="351">
        <v>2068</v>
      </c>
      <c r="AB29" s="352">
        <f>SUM(AB26:AB28)</f>
        <v>2400</v>
      </c>
      <c r="AC29" s="353">
        <f>SUM(AA29:AB29)</f>
        <v>4468</v>
      </c>
      <c r="AD29" s="351">
        <f>SUM(AD26:AD28)</f>
        <v>2081</v>
      </c>
      <c r="AE29" s="352">
        <f>SUM(AE26:AE28)</f>
        <v>2420</v>
      </c>
      <c r="AF29" s="353">
        <f>SUM(AD29:AE29)</f>
        <v>4501</v>
      </c>
      <c r="AG29" s="351">
        <f>SUM(AG26:AG28)</f>
        <v>1961</v>
      </c>
      <c r="AH29" s="352">
        <f>SUM(AH26:AH28)</f>
        <v>2391</v>
      </c>
      <c r="AI29" s="353">
        <f>SUM(AG29:AH29)</f>
        <v>4352</v>
      </c>
      <c r="AJ29" s="351">
        <f>SUM(AJ26:AJ28)</f>
        <v>1979</v>
      </c>
      <c r="AK29" s="352">
        <f>SUM(AK26:AK28)</f>
        <v>2233</v>
      </c>
      <c r="AL29" s="353">
        <f>SUM(AJ29:AK29)</f>
        <v>4212</v>
      </c>
      <c r="AM29" s="351">
        <f>SUM(AM26:AM28)</f>
        <v>2106</v>
      </c>
      <c r="AN29" s="352">
        <f>SUM(AN26:AN28)</f>
        <v>2268</v>
      </c>
      <c r="AO29" s="353">
        <f>SUM(AM29:AN29)</f>
        <v>4374</v>
      </c>
      <c r="AP29" s="351">
        <f>SUM(AP26:AP28)</f>
        <v>2095</v>
      </c>
      <c r="AQ29" s="352">
        <f>SUM(AQ26:AQ28)</f>
        <v>2635</v>
      </c>
      <c r="AR29" s="353">
        <f>SUM(AP29:AQ29)</f>
        <v>4730</v>
      </c>
      <c r="AS29" s="351">
        <f>SUM(AS26:AS28)</f>
        <v>2204</v>
      </c>
      <c r="AT29" s="352">
        <f>SUM(AT26:AT28)</f>
        <v>2457</v>
      </c>
      <c r="AU29" s="353">
        <f>SUM(AS29:AT29)</f>
        <v>4661</v>
      </c>
      <c r="AV29" s="351">
        <f>SUM(AV26:AV28)</f>
        <v>2216</v>
      </c>
      <c r="AW29" s="352">
        <f>SUM(AW26:AW28)</f>
        <v>2409</v>
      </c>
      <c r="AX29" s="353">
        <f>SUM(AV29:AW29)</f>
        <v>4625</v>
      </c>
      <c r="AY29" s="351">
        <f>SUM(AY26:AY28)</f>
        <v>2283</v>
      </c>
      <c r="AZ29" s="352">
        <f>SUM(AZ26:AZ28)</f>
        <v>2207</v>
      </c>
      <c r="BA29" s="353">
        <f>SUM(AY29:AZ29)</f>
        <v>4490</v>
      </c>
      <c r="BB29" s="351">
        <f>SUM(BB26:BB28)</f>
        <v>1926</v>
      </c>
      <c r="BC29" s="352">
        <f>SUM(BC26:BC28)</f>
        <v>2027</v>
      </c>
      <c r="BD29" s="353">
        <f>SUM(BB29:BC29)</f>
        <v>3953</v>
      </c>
      <c r="BE29" s="351">
        <f>SUM(BE26:BE28)</f>
        <v>1844</v>
      </c>
      <c r="BF29" s="352">
        <f>SUM(BF26:BF28)</f>
        <v>2013</v>
      </c>
      <c r="BG29" s="353">
        <f>SUM(BE29:BF29)</f>
        <v>3857</v>
      </c>
      <c r="BH29" s="351">
        <f>SUM(BH26:BH28)</f>
        <v>1923</v>
      </c>
      <c r="BI29" s="352">
        <f>SUM(BI26:BI28)</f>
        <v>2156</v>
      </c>
      <c r="BJ29" s="353">
        <f>SUM(BH29:BI29)</f>
        <v>4079</v>
      </c>
    </row>
    <row r="30" spans="2:62" ht="14.4" x14ac:dyDescent="0.25">
      <c r="B30" s="3"/>
      <c r="C30" s="342"/>
      <c r="D30" s="342"/>
      <c r="E30" s="342"/>
      <c r="F30" s="342"/>
      <c r="G30" s="342"/>
      <c r="H30" s="342"/>
      <c r="I30" s="342"/>
      <c r="J30" s="342"/>
      <c r="K30" s="342"/>
      <c r="L30" s="342"/>
      <c r="M30" s="342"/>
      <c r="N30" s="342"/>
      <c r="O30" s="342"/>
      <c r="P30" s="342"/>
      <c r="Q30" s="342"/>
      <c r="R30" s="342"/>
      <c r="S30" s="342"/>
      <c r="T30" s="342"/>
      <c r="U30" s="342"/>
      <c r="V30" s="342"/>
      <c r="W30" s="342"/>
      <c r="X30" s="342"/>
      <c r="Y30" s="342"/>
      <c r="Z30" s="342"/>
      <c r="AA30" s="342"/>
      <c r="AB30" s="342"/>
      <c r="AC30" s="342"/>
      <c r="AD30" s="342"/>
      <c r="AE30" s="342"/>
      <c r="AF30" s="342"/>
      <c r="AG30" s="342"/>
      <c r="AH30" s="342"/>
      <c r="AI30" s="342"/>
      <c r="AJ30" s="342"/>
      <c r="AK30" s="342"/>
      <c r="AL30" s="342"/>
      <c r="AM30" s="342"/>
      <c r="AN30" s="342"/>
      <c r="AO30" s="342"/>
      <c r="AP30" s="342"/>
      <c r="AQ30" s="342"/>
      <c r="AR30" s="342"/>
      <c r="AS30" s="342"/>
      <c r="AT30" s="342"/>
      <c r="AU30" s="342"/>
      <c r="AV30" s="342"/>
      <c r="AW30" s="342"/>
      <c r="AX30" s="342"/>
      <c r="AY30" s="342"/>
      <c r="AZ30" s="342"/>
      <c r="BA30" s="342"/>
      <c r="BB30" s="342"/>
      <c r="BC30" s="342"/>
      <c r="BD30" s="342"/>
      <c r="BE30" s="342"/>
      <c r="BF30" s="342"/>
      <c r="BG30" s="342"/>
      <c r="BH30" s="342"/>
      <c r="BI30" s="342"/>
      <c r="BJ30" s="342"/>
    </row>
    <row r="31" spans="2:62" ht="14.4" x14ac:dyDescent="0.25">
      <c r="B31" s="150" t="s">
        <v>59</v>
      </c>
      <c r="C31" s="329">
        <v>741</v>
      </c>
      <c r="D31" s="330">
        <v>1508</v>
      </c>
      <c r="E31" s="331">
        <v>2249</v>
      </c>
      <c r="F31" s="329">
        <v>1069</v>
      </c>
      <c r="G31" s="330">
        <v>1775</v>
      </c>
      <c r="H31" s="35">
        <v>2844</v>
      </c>
      <c r="I31" s="329">
        <v>1075</v>
      </c>
      <c r="J31" s="330">
        <v>1896</v>
      </c>
      <c r="K31" s="35">
        <v>2971</v>
      </c>
      <c r="L31" s="329">
        <v>1199</v>
      </c>
      <c r="M31" s="330">
        <v>1959</v>
      </c>
      <c r="N31" s="35">
        <v>3158</v>
      </c>
      <c r="O31" s="329">
        <v>1007</v>
      </c>
      <c r="P31" s="330">
        <v>1946</v>
      </c>
      <c r="Q31" s="35">
        <v>2953</v>
      </c>
      <c r="R31" s="329">
        <v>1028</v>
      </c>
      <c r="S31" s="330">
        <v>2006</v>
      </c>
      <c r="T31" s="35">
        <v>3034</v>
      </c>
      <c r="U31" s="329">
        <v>1045</v>
      </c>
      <c r="V31" s="330">
        <v>1884</v>
      </c>
      <c r="W31" s="35">
        <v>2929</v>
      </c>
      <c r="X31" s="329">
        <f>X6+X16</f>
        <v>1062</v>
      </c>
      <c r="Y31" s="330">
        <v>2355</v>
      </c>
      <c r="Z31" s="35">
        <f t="shared" ref="Z31:Z37" si="5">SUM(X31:Y31)</f>
        <v>3417</v>
      </c>
      <c r="AA31" s="329">
        <f>SUM(AA6,AA16,AA21)</f>
        <v>1313</v>
      </c>
      <c r="AB31" s="330">
        <f>SUM(AB6,AB16,AB21)</f>
        <v>1898</v>
      </c>
      <c r="AC31" s="35">
        <f t="shared" ref="AC31:AC36" si="6">SUM(AA31:AB31)</f>
        <v>3211</v>
      </c>
      <c r="AD31" s="329">
        <f>SUM(AD6,AD16,AD21)</f>
        <v>731</v>
      </c>
      <c r="AE31" s="330">
        <f>SUM(AE6,AE16,AE21)</f>
        <v>1869</v>
      </c>
      <c r="AF31" s="35">
        <f t="shared" ref="AF31:AF36" si="7">SUM(AD31:AE31)</f>
        <v>2600</v>
      </c>
      <c r="AG31" s="329">
        <f>SUM(AG6,AG16,AG21)</f>
        <v>904</v>
      </c>
      <c r="AH31" s="330">
        <f>SUM(AH6,AH16,AH21)</f>
        <v>2007</v>
      </c>
      <c r="AI31" s="35">
        <f t="shared" ref="AI31:AI36" si="8">SUM(AG31:AH31)</f>
        <v>2911</v>
      </c>
      <c r="AJ31" s="329">
        <f>SUM(AJ6,AJ16,AJ21)</f>
        <v>689</v>
      </c>
      <c r="AK31" s="330">
        <f>SUM(AK6,AK16,AK21)</f>
        <v>1873</v>
      </c>
      <c r="AL31" s="35">
        <f t="shared" ref="AL31:AL36" si="9">SUM(AJ31:AK31)</f>
        <v>2562</v>
      </c>
      <c r="AM31" s="329">
        <f>SUM(AM6,AM16,AM21)</f>
        <v>615</v>
      </c>
      <c r="AN31" s="330">
        <f>SUM(AN6,AN16,AN21)</f>
        <v>1691</v>
      </c>
      <c r="AO31" s="35">
        <f t="shared" ref="AO31:AO36" si="10">SUM(AM31:AN31)</f>
        <v>2306</v>
      </c>
      <c r="AP31" s="329">
        <f>SUM(AP6,AP16,AP21)</f>
        <v>771</v>
      </c>
      <c r="AQ31" s="330">
        <f>SUM(AQ6,AQ16,AQ21)</f>
        <v>1953</v>
      </c>
      <c r="AR31" s="35">
        <f t="shared" ref="AR31:AR36" si="11">SUM(AP31:AQ31)</f>
        <v>2724</v>
      </c>
      <c r="AS31" s="329">
        <f>SUM(AS6,AS16,AS21)</f>
        <v>669</v>
      </c>
      <c r="AT31" s="330">
        <f>SUM(AT6,AT16,AT21)</f>
        <v>2033</v>
      </c>
      <c r="AU31" s="35">
        <f t="shared" ref="AU31:AU36" si="12">SUM(AS31:AT31)</f>
        <v>2702</v>
      </c>
      <c r="AV31" s="329">
        <f>SUM(AV6,AV16,AV21)</f>
        <v>617</v>
      </c>
      <c r="AW31" s="330">
        <f>SUM(AW6,AW16,AW21)</f>
        <v>2319</v>
      </c>
      <c r="AX31" s="35">
        <f t="shared" ref="AX31:AX36" si="13">SUM(AV31:AW31)</f>
        <v>2936</v>
      </c>
      <c r="AY31" s="329">
        <f>SUM(AY6,AY16,AY21)</f>
        <v>1122</v>
      </c>
      <c r="AZ31" s="330">
        <f>SUM(AZ6,AZ16,AZ21)</f>
        <v>2327</v>
      </c>
      <c r="BA31" s="35">
        <f t="shared" ref="BA31:BA36" si="14">SUM(AY31:AZ31)</f>
        <v>3449</v>
      </c>
      <c r="BB31" s="329">
        <f>SUM(BB6,BB16,BB21)</f>
        <v>605</v>
      </c>
      <c r="BC31" s="330">
        <f>SUM(BC6,BC16,BC21)</f>
        <v>1791</v>
      </c>
      <c r="BD31" s="35">
        <f t="shared" ref="BD31:BD36" si="15">SUM(BB31:BC31)</f>
        <v>2396</v>
      </c>
      <c r="BE31" s="329">
        <f>SUM(BE6,BE16,BE21)</f>
        <v>713</v>
      </c>
      <c r="BF31" s="330">
        <f>SUM(BF6,BF16,BF21)</f>
        <v>1530</v>
      </c>
      <c r="BG31" s="35">
        <f t="shared" ref="BG31:BG36" si="16">SUM(BE31:BF31)</f>
        <v>2243</v>
      </c>
      <c r="BH31" s="329">
        <f>SUM(BH6,BH16,BH21)</f>
        <v>648</v>
      </c>
      <c r="BI31" s="330">
        <f>SUM(BI6,BI16,BI21)</f>
        <v>1990</v>
      </c>
      <c r="BJ31" s="35">
        <f t="shared" ref="BJ31:BJ36" si="17">SUM(BH31:BI31)</f>
        <v>2638</v>
      </c>
    </row>
    <row r="32" spans="2:62" ht="14.4" x14ac:dyDescent="0.25">
      <c r="B32" s="154" t="s">
        <v>64</v>
      </c>
      <c r="C32" s="82">
        <v>1372</v>
      </c>
      <c r="D32" s="83">
        <v>2457</v>
      </c>
      <c r="E32" s="332">
        <v>3829</v>
      </c>
      <c r="F32" s="82">
        <v>1588</v>
      </c>
      <c r="G32" s="83">
        <v>2595</v>
      </c>
      <c r="H32" s="42">
        <v>4183</v>
      </c>
      <c r="I32" s="82">
        <v>1577</v>
      </c>
      <c r="J32" s="83">
        <v>2948</v>
      </c>
      <c r="K32" s="42">
        <v>4525</v>
      </c>
      <c r="L32" s="82">
        <v>1339</v>
      </c>
      <c r="M32" s="83">
        <v>2900</v>
      </c>
      <c r="N32" s="42">
        <v>4239</v>
      </c>
      <c r="O32" s="82">
        <v>1645</v>
      </c>
      <c r="P32" s="83">
        <v>3016</v>
      </c>
      <c r="Q32" s="42">
        <v>4661</v>
      </c>
      <c r="R32" s="82">
        <v>1650</v>
      </c>
      <c r="S32" s="83">
        <v>2684</v>
      </c>
      <c r="T32" s="42">
        <v>4334</v>
      </c>
      <c r="U32" s="82">
        <v>1529</v>
      </c>
      <c r="V32" s="83">
        <v>2910</v>
      </c>
      <c r="W32" s="42">
        <v>4439</v>
      </c>
      <c r="X32" s="82">
        <f>X7+X11+X17+X26</f>
        <v>1537</v>
      </c>
      <c r="Y32" s="83">
        <v>2914</v>
      </c>
      <c r="Z32" s="42">
        <f t="shared" si="5"/>
        <v>4451</v>
      </c>
      <c r="AA32" s="82">
        <f>SUM(AA7,AA11,AA17,AA26,AA22)</f>
        <v>1619</v>
      </c>
      <c r="AB32" s="83">
        <f>SUM(AB7,AB11,AB17,AB26,AB22)</f>
        <v>2958</v>
      </c>
      <c r="AC32" s="42">
        <f t="shared" si="6"/>
        <v>4577</v>
      </c>
      <c r="AD32" s="82">
        <f>SUM(AD7,AD11,AD17,AD26,AD22)</f>
        <v>1671</v>
      </c>
      <c r="AE32" s="83">
        <f>SUM(AE7,AE11,AE17,AE26,AE22)</f>
        <v>3106</v>
      </c>
      <c r="AF32" s="42">
        <f t="shared" si="7"/>
        <v>4777</v>
      </c>
      <c r="AG32" s="82">
        <f>SUM(AG7,AG11,AG17,AG26,AG22)</f>
        <v>1549</v>
      </c>
      <c r="AH32" s="83">
        <f>SUM(AH7,AH11,AH17,AH26,AH22)</f>
        <v>3033</v>
      </c>
      <c r="AI32" s="42">
        <f t="shared" si="8"/>
        <v>4582</v>
      </c>
      <c r="AJ32" s="82">
        <f>SUM(AJ7,AJ11,AJ17,AJ26,AJ22)</f>
        <v>1642</v>
      </c>
      <c r="AK32" s="83">
        <f>SUM(AK7,AK11,AK17,AK26,AK22)</f>
        <v>2991</v>
      </c>
      <c r="AL32" s="42">
        <f t="shared" si="9"/>
        <v>4633</v>
      </c>
      <c r="AM32" s="82">
        <f>SUM(AM7,AM11,AM17,AM26,AM22)</f>
        <v>1747</v>
      </c>
      <c r="AN32" s="83">
        <f>SUM(AN7,AN11,AN17,AN26,AN22)</f>
        <v>3132</v>
      </c>
      <c r="AO32" s="42">
        <f t="shared" si="10"/>
        <v>4879</v>
      </c>
      <c r="AP32" s="82">
        <f>SUM(AP7,AP11,AP17,AP26,AP22)</f>
        <v>1745</v>
      </c>
      <c r="AQ32" s="83">
        <f>SUM(AQ7,AQ11,AQ17,AQ26,AQ22)</f>
        <v>3278</v>
      </c>
      <c r="AR32" s="42">
        <f t="shared" si="11"/>
        <v>5023</v>
      </c>
      <c r="AS32" s="82">
        <f>SUM(AS7,AS11,AS17,AS26,AS22)</f>
        <v>1765</v>
      </c>
      <c r="AT32" s="83">
        <f>SUM(AT7,AT11,AT17,AT26,AT22)</f>
        <v>3210</v>
      </c>
      <c r="AU32" s="42">
        <f t="shared" si="12"/>
        <v>4975</v>
      </c>
      <c r="AV32" s="82">
        <f>SUM(AV7,AV11,AV17,AV26,AV22)</f>
        <v>1783</v>
      </c>
      <c r="AW32" s="83">
        <f>SUM(AW7,AW11,AW17,AW26,AW22)</f>
        <v>3333</v>
      </c>
      <c r="AX32" s="42">
        <f t="shared" si="13"/>
        <v>5116</v>
      </c>
      <c r="AY32" s="82">
        <f>SUM(AY7,AY11,AY17,AY26,AY22)</f>
        <v>2073</v>
      </c>
      <c r="AZ32" s="83">
        <f>SUM(AZ7,AZ11,AZ17,AZ26,AZ22)</f>
        <v>3040</v>
      </c>
      <c r="BA32" s="42">
        <f t="shared" si="14"/>
        <v>5113</v>
      </c>
      <c r="BB32" s="82">
        <f>SUM(BB7,BB11,BB17,BB26,BB22)</f>
        <v>1725</v>
      </c>
      <c r="BC32" s="83">
        <f>SUM(BC7,BC11,BC17,BC26,BC22)</f>
        <v>2703</v>
      </c>
      <c r="BD32" s="42">
        <f t="shared" si="15"/>
        <v>4428</v>
      </c>
      <c r="BE32" s="82">
        <f>SUM(BE7,BE11,BE17,BE26,BE22)</f>
        <v>1620</v>
      </c>
      <c r="BF32" s="83">
        <f>SUM(BF7,BF11,BF17,BF26,BF22)</f>
        <v>2783</v>
      </c>
      <c r="BG32" s="42">
        <f t="shared" si="16"/>
        <v>4403</v>
      </c>
      <c r="BH32" s="82">
        <f>SUM(BH7,BH11,BH17,BH26,BH22)</f>
        <v>1689</v>
      </c>
      <c r="BI32" s="83">
        <f>SUM(BI7,BI11,BI17,BI26,BI22)</f>
        <v>2782</v>
      </c>
      <c r="BJ32" s="42">
        <f t="shared" si="17"/>
        <v>4471</v>
      </c>
    </row>
    <row r="33" spans="2:62" ht="14.4" x14ac:dyDescent="0.25">
      <c r="B33" s="154" t="s">
        <v>92</v>
      </c>
      <c r="C33" s="82">
        <v>1039</v>
      </c>
      <c r="D33" s="83">
        <v>1541</v>
      </c>
      <c r="E33" s="332">
        <v>2580</v>
      </c>
      <c r="F33" s="82">
        <v>1322</v>
      </c>
      <c r="G33" s="83">
        <v>1563</v>
      </c>
      <c r="H33" s="42">
        <v>2885</v>
      </c>
      <c r="I33" s="82">
        <v>1299</v>
      </c>
      <c r="J33" s="83">
        <v>1787</v>
      </c>
      <c r="K33" s="42">
        <v>3086</v>
      </c>
      <c r="L33" s="82">
        <v>1294</v>
      </c>
      <c r="M33" s="83">
        <v>1770</v>
      </c>
      <c r="N33" s="42">
        <v>3064</v>
      </c>
      <c r="O33" s="82">
        <v>1173</v>
      </c>
      <c r="P33" s="83">
        <v>1676</v>
      </c>
      <c r="Q33" s="42">
        <v>2849</v>
      </c>
      <c r="R33" s="82">
        <v>1176</v>
      </c>
      <c r="S33" s="83">
        <v>1480</v>
      </c>
      <c r="T33" s="42">
        <v>2656</v>
      </c>
      <c r="U33" s="82">
        <v>1260</v>
      </c>
      <c r="V33" s="83">
        <v>1616</v>
      </c>
      <c r="W33" s="42">
        <v>2876</v>
      </c>
      <c r="X33" s="82">
        <f>X18+X27</f>
        <v>1357</v>
      </c>
      <c r="Y33" s="83">
        <v>1751</v>
      </c>
      <c r="Z33" s="42">
        <f t="shared" si="5"/>
        <v>3108</v>
      </c>
      <c r="AA33" s="82">
        <f>SUM(AA18,AA27,AA23)</f>
        <v>1447</v>
      </c>
      <c r="AB33" s="83">
        <f>SUM(AB18,AB27,AB23)</f>
        <v>1720</v>
      </c>
      <c r="AC33" s="42">
        <f t="shared" si="6"/>
        <v>3167</v>
      </c>
      <c r="AD33" s="82">
        <f>SUM(AD18,AD27,AD23)</f>
        <v>1423</v>
      </c>
      <c r="AE33" s="83">
        <f>SUM(AE18,AE27,AE23)</f>
        <v>1688</v>
      </c>
      <c r="AF33" s="42">
        <f t="shared" si="7"/>
        <v>3111</v>
      </c>
      <c r="AG33" s="82">
        <f>SUM(AG18,AG27,AG23)</f>
        <v>1394</v>
      </c>
      <c r="AH33" s="83">
        <f>SUM(AH18,AH27,AH23)</f>
        <v>1734</v>
      </c>
      <c r="AI33" s="42">
        <f t="shared" si="8"/>
        <v>3128</v>
      </c>
      <c r="AJ33" s="82">
        <f>SUM(AJ18,AJ27,AJ23)</f>
        <v>1309</v>
      </c>
      <c r="AK33" s="83">
        <f>SUM(AK18,AK27,AK23)</f>
        <v>1562</v>
      </c>
      <c r="AL33" s="42">
        <f t="shared" si="9"/>
        <v>2871</v>
      </c>
      <c r="AM33" s="82">
        <f>SUM(AM18,AM27,AM23)</f>
        <v>1348</v>
      </c>
      <c r="AN33" s="83">
        <f>SUM(AN18,AN27,AN23)</f>
        <v>1560</v>
      </c>
      <c r="AO33" s="42">
        <f t="shared" si="10"/>
        <v>2908</v>
      </c>
      <c r="AP33" s="82">
        <f>SUM(AP18,AP27,AP23)</f>
        <v>1348</v>
      </c>
      <c r="AQ33" s="83">
        <f>SUM(AQ18,AQ27,AQ23)</f>
        <v>1773</v>
      </c>
      <c r="AR33" s="42">
        <f t="shared" si="11"/>
        <v>3121</v>
      </c>
      <c r="AS33" s="82">
        <f>SUM(AS18,AS27,AS23)</f>
        <v>1426</v>
      </c>
      <c r="AT33" s="83">
        <f>SUM(AT18,AT27,AT23)</f>
        <v>1762</v>
      </c>
      <c r="AU33" s="42">
        <f t="shared" si="12"/>
        <v>3188</v>
      </c>
      <c r="AV33" s="82">
        <f>SUM(AV18,AV27,AV23)</f>
        <v>1332</v>
      </c>
      <c r="AW33" s="83">
        <f>SUM(AW18,AW27,AW23)</f>
        <v>1667</v>
      </c>
      <c r="AX33" s="42">
        <f t="shared" si="13"/>
        <v>2999</v>
      </c>
      <c r="AY33" s="82">
        <f>SUM(AY18,AY27,AY23)</f>
        <v>1335</v>
      </c>
      <c r="AZ33" s="83">
        <f>SUM(AZ18,AZ27,AZ23)</f>
        <v>1465</v>
      </c>
      <c r="BA33" s="42">
        <f t="shared" si="14"/>
        <v>2800</v>
      </c>
      <c r="BB33" s="82">
        <f>SUM(BB18,BB27,BB23)</f>
        <v>1201</v>
      </c>
      <c r="BC33" s="83">
        <f>SUM(BC18,BC27,BC23)</f>
        <v>1363</v>
      </c>
      <c r="BD33" s="42">
        <f t="shared" si="15"/>
        <v>2564</v>
      </c>
      <c r="BE33" s="82">
        <f>SUM(BE18,BE27,BE23)</f>
        <v>1189</v>
      </c>
      <c r="BF33" s="83">
        <f>SUM(BF18,BF27,BF23)</f>
        <v>1397</v>
      </c>
      <c r="BG33" s="42">
        <f t="shared" si="16"/>
        <v>2586</v>
      </c>
      <c r="BH33" s="82">
        <f>SUM(BH18,BH27,BH23)</f>
        <v>1236</v>
      </c>
      <c r="BI33" s="83">
        <f>SUM(BI18,BI27,BI23)</f>
        <v>1458</v>
      </c>
      <c r="BJ33" s="42">
        <f t="shared" si="17"/>
        <v>2694</v>
      </c>
    </row>
    <row r="34" spans="2:62" ht="14.4" x14ac:dyDescent="0.25">
      <c r="B34" s="154" t="s">
        <v>68</v>
      </c>
      <c r="C34" s="82">
        <v>717</v>
      </c>
      <c r="D34" s="83">
        <v>954</v>
      </c>
      <c r="E34" s="332">
        <v>1671</v>
      </c>
      <c r="F34" s="82">
        <v>736</v>
      </c>
      <c r="G34" s="83">
        <v>815</v>
      </c>
      <c r="H34" s="42">
        <v>1551</v>
      </c>
      <c r="I34" s="82">
        <v>742</v>
      </c>
      <c r="J34" s="83">
        <v>922</v>
      </c>
      <c r="K34" s="42">
        <v>1664</v>
      </c>
      <c r="L34" s="82">
        <v>639</v>
      </c>
      <c r="M34" s="83">
        <v>856</v>
      </c>
      <c r="N34" s="42">
        <v>1495</v>
      </c>
      <c r="O34" s="82">
        <v>672</v>
      </c>
      <c r="P34" s="83">
        <v>858</v>
      </c>
      <c r="Q34" s="42">
        <v>1530</v>
      </c>
      <c r="R34" s="82">
        <v>663</v>
      </c>
      <c r="S34" s="83">
        <v>736</v>
      </c>
      <c r="T34" s="42">
        <v>1399</v>
      </c>
      <c r="U34" s="82">
        <v>620</v>
      </c>
      <c r="V34" s="83">
        <v>761</v>
      </c>
      <c r="W34" s="42">
        <v>1381</v>
      </c>
      <c r="X34" s="82">
        <f>X8+X28</f>
        <v>626</v>
      </c>
      <c r="Y34" s="83">
        <v>740</v>
      </c>
      <c r="Z34" s="42">
        <f t="shared" si="5"/>
        <v>1366</v>
      </c>
      <c r="AA34" s="82">
        <f>SUM(AA8,AA28)</f>
        <v>664</v>
      </c>
      <c r="AB34" s="83">
        <f>SUM(AB8,AB28)</f>
        <v>770</v>
      </c>
      <c r="AC34" s="42">
        <f t="shared" si="6"/>
        <v>1434</v>
      </c>
      <c r="AD34" s="82">
        <f>SUM(AD8,AD28)</f>
        <v>642</v>
      </c>
      <c r="AE34" s="83">
        <f>SUM(AE8,AE28)</f>
        <v>769</v>
      </c>
      <c r="AF34" s="42">
        <f t="shared" si="7"/>
        <v>1411</v>
      </c>
      <c r="AG34" s="82">
        <f>SUM(AG8,AG28)</f>
        <v>651</v>
      </c>
      <c r="AH34" s="83">
        <f>SUM(AH8,AH28)</f>
        <v>758</v>
      </c>
      <c r="AI34" s="42">
        <f t="shared" si="8"/>
        <v>1409</v>
      </c>
      <c r="AJ34" s="82">
        <f>SUM(AJ8,AJ28)</f>
        <v>648</v>
      </c>
      <c r="AK34" s="83">
        <f>SUM(AK8,AK28)</f>
        <v>715</v>
      </c>
      <c r="AL34" s="42">
        <f t="shared" si="9"/>
        <v>1363</v>
      </c>
      <c r="AM34" s="82">
        <f>SUM(AM8,AM28)</f>
        <v>682</v>
      </c>
      <c r="AN34" s="83">
        <f>SUM(AN8,AN28)</f>
        <v>793</v>
      </c>
      <c r="AO34" s="42">
        <f t="shared" si="10"/>
        <v>1475</v>
      </c>
      <c r="AP34" s="82">
        <f>SUM(AP8,AP28)</f>
        <v>640</v>
      </c>
      <c r="AQ34" s="83">
        <f>SUM(AQ8,AQ28)</f>
        <v>877</v>
      </c>
      <c r="AR34" s="42">
        <f t="shared" si="11"/>
        <v>1517</v>
      </c>
      <c r="AS34" s="82">
        <f>SUM(AS8,AS28)</f>
        <v>731</v>
      </c>
      <c r="AT34" s="83">
        <f>SUM(AT8,AT28)</f>
        <v>834</v>
      </c>
      <c r="AU34" s="42">
        <f t="shared" si="12"/>
        <v>1565</v>
      </c>
      <c r="AV34" s="82">
        <f>SUM(AV8,AV28)</f>
        <v>753</v>
      </c>
      <c r="AW34" s="83">
        <f>SUM(AW8,AW28)</f>
        <v>842</v>
      </c>
      <c r="AX34" s="42">
        <f t="shared" si="13"/>
        <v>1595</v>
      </c>
      <c r="AY34" s="82">
        <f>SUM(AY8,AY28)</f>
        <v>801</v>
      </c>
      <c r="AZ34" s="83">
        <f>SUM(AZ8,AZ28)</f>
        <v>796</v>
      </c>
      <c r="BA34" s="42">
        <f t="shared" si="14"/>
        <v>1597</v>
      </c>
      <c r="BB34" s="82">
        <f>SUM(BB8,BB28)</f>
        <v>708</v>
      </c>
      <c r="BC34" s="83">
        <f>SUM(BC8,BC28)</f>
        <v>737</v>
      </c>
      <c r="BD34" s="42">
        <f t="shared" si="15"/>
        <v>1445</v>
      </c>
      <c r="BE34" s="82">
        <f>SUM(BE8,BE28)</f>
        <v>679</v>
      </c>
      <c r="BF34" s="83">
        <f>SUM(BF8,BF28)</f>
        <v>762</v>
      </c>
      <c r="BG34" s="42">
        <f t="shared" si="16"/>
        <v>1441</v>
      </c>
      <c r="BH34" s="82">
        <f>SUM(BH8,BH28)</f>
        <v>730</v>
      </c>
      <c r="BI34" s="83">
        <f>SUM(BI8,BI28)</f>
        <v>776</v>
      </c>
      <c r="BJ34" s="42">
        <f t="shared" si="17"/>
        <v>1506</v>
      </c>
    </row>
    <row r="35" spans="2:62" ht="14.4" x14ac:dyDescent="0.25">
      <c r="B35" s="154" t="s">
        <v>111</v>
      </c>
      <c r="C35" s="82"/>
      <c r="D35" s="83"/>
      <c r="E35" s="332"/>
      <c r="F35" s="82"/>
      <c r="G35" s="83"/>
      <c r="H35" s="42"/>
      <c r="I35" s="82"/>
      <c r="J35" s="83"/>
      <c r="K35" s="42">
        <v>41</v>
      </c>
      <c r="L35" s="82"/>
      <c r="M35" s="83"/>
      <c r="N35" s="42">
        <v>37</v>
      </c>
      <c r="O35" s="82"/>
      <c r="P35" s="83">
        <v>163</v>
      </c>
      <c r="Q35" s="42">
        <v>163</v>
      </c>
      <c r="R35" s="82"/>
      <c r="S35" s="83">
        <v>144</v>
      </c>
      <c r="T35" s="42">
        <v>144</v>
      </c>
      <c r="U35" s="82"/>
      <c r="V35" s="83">
        <v>122</v>
      </c>
      <c r="W35" s="42">
        <v>122</v>
      </c>
      <c r="X35" s="82"/>
      <c r="Y35" s="83">
        <v>159</v>
      </c>
      <c r="Z35" s="42">
        <f t="shared" si="5"/>
        <v>159</v>
      </c>
      <c r="AA35" s="82"/>
      <c r="AB35" s="83">
        <f>SUM(AB12)</f>
        <v>158</v>
      </c>
      <c r="AC35" s="42">
        <f t="shared" si="6"/>
        <v>158</v>
      </c>
      <c r="AD35" s="82">
        <f>SUM(AD12)</f>
        <v>0</v>
      </c>
      <c r="AE35" s="83">
        <f>SUM(AE12)</f>
        <v>153</v>
      </c>
      <c r="AF35" s="42">
        <f t="shared" si="7"/>
        <v>153</v>
      </c>
      <c r="AG35" s="82">
        <f>SUM(AG12)</f>
        <v>0</v>
      </c>
      <c r="AH35" s="83">
        <f>SUM(AH12)</f>
        <v>158</v>
      </c>
      <c r="AI35" s="42">
        <f t="shared" si="8"/>
        <v>158</v>
      </c>
      <c r="AJ35" s="82">
        <f>SUM(AJ12)</f>
        <v>0</v>
      </c>
      <c r="AK35" s="83">
        <f>SUM(AK12)</f>
        <v>189</v>
      </c>
      <c r="AL35" s="42">
        <f t="shared" si="9"/>
        <v>189</v>
      </c>
      <c r="AM35" s="82">
        <f>SUM(AM12)</f>
        <v>0</v>
      </c>
      <c r="AN35" s="83">
        <f>SUM(AN12)</f>
        <v>234</v>
      </c>
      <c r="AO35" s="42">
        <f t="shared" si="10"/>
        <v>234</v>
      </c>
      <c r="AP35" s="82">
        <f>SUM(AP12)</f>
        <v>0</v>
      </c>
      <c r="AQ35" s="83">
        <f>SUM(AQ12)</f>
        <v>251</v>
      </c>
      <c r="AR35" s="42">
        <f t="shared" si="11"/>
        <v>251</v>
      </c>
      <c r="AS35" s="82">
        <f>SUM(AS12)</f>
        <v>0</v>
      </c>
      <c r="AT35" s="83">
        <f>SUM(AT12)</f>
        <v>257</v>
      </c>
      <c r="AU35" s="42">
        <f t="shared" si="12"/>
        <v>257</v>
      </c>
      <c r="AV35" s="82">
        <f>SUM(AV12)</f>
        <v>0</v>
      </c>
      <c r="AW35" s="83">
        <f>SUM(AW12)</f>
        <v>272</v>
      </c>
      <c r="AX35" s="42">
        <f t="shared" si="13"/>
        <v>272</v>
      </c>
      <c r="AY35" s="82">
        <f>SUM(AY12)</f>
        <v>0</v>
      </c>
      <c r="AZ35" s="83">
        <f>SUM(AZ12)</f>
        <v>257</v>
      </c>
      <c r="BA35" s="42">
        <f t="shared" si="14"/>
        <v>257</v>
      </c>
      <c r="BB35" s="82">
        <f>SUM(BB12)</f>
        <v>0</v>
      </c>
      <c r="BC35" s="83">
        <f>SUM(BC12)</f>
        <v>241</v>
      </c>
      <c r="BD35" s="42">
        <f t="shared" si="15"/>
        <v>241</v>
      </c>
      <c r="BE35" s="82">
        <f>SUM(BE12)</f>
        <v>0</v>
      </c>
      <c r="BF35" s="83">
        <f>SUM(BF12)</f>
        <v>255</v>
      </c>
      <c r="BG35" s="42">
        <f t="shared" si="16"/>
        <v>255</v>
      </c>
      <c r="BH35" s="82">
        <f>SUM(BH12)</f>
        <v>0</v>
      </c>
      <c r="BI35" s="83">
        <f>SUM(BI12)</f>
        <v>263</v>
      </c>
      <c r="BJ35" s="42">
        <f t="shared" si="17"/>
        <v>263</v>
      </c>
    </row>
    <row r="36" spans="2:62" s="161" customFormat="1" ht="14.4" x14ac:dyDescent="0.25">
      <c r="B36" s="195" t="s">
        <v>115</v>
      </c>
      <c r="C36" s="333"/>
      <c r="D36" s="334"/>
      <c r="E36" s="335"/>
      <c r="F36" s="333"/>
      <c r="G36" s="334"/>
      <c r="H36" s="48"/>
      <c r="I36" s="333"/>
      <c r="J36" s="334"/>
      <c r="K36" s="48">
        <v>77</v>
      </c>
      <c r="L36" s="333"/>
      <c r="M36" s="334"/>
      <c r="N36" s="48">
        <v>34</v>
      </c>
      <c r="O36" s="333"/>
      <c r="P36" s="334">
        <v>82</v>
      </c>
      <c r="Q36" s="48">
        <v>82</v>
      </c>
      <c r="R36" s="333"/>
      <c r="S36" s="334">
        <v>137</v>
      </c>
      <c r="T36" s="48">
        <v>137</v>
      </c>
      <c r="U36" s="333"/>
      <c r="V36" s="334">
        <v>103</v>
      </c>
      <c r="W36" s="48">
        <v>103</v>
      </c>
      <c r="X36" s="333"/>
      <c r="Y36" s="334">
        <v>146</v>
      </c>
      <c r="Z36" s="48">
        <f t="shared" si="5"/>
        <v>146</v>
      </c>
      <c r="AA36" s="333"/>
      <c r="AB36" s="334">
        <f>SUM(AB13)</f>
        <v>166</v>
      </c>
      <c r="AC36" s="48">
        <f t="shared" si="6"/>
        <v>166</v>
      </c>
      <c r="AD36" s="333">
        <f>SUM(AD13)</f>
        <v>0</v>
      </c>
      <c r="AE36" s="334">
        <f>SUM(AE13)</f>
        <v>175</v>
      </c>
      <c r="AF36" s="48">
        <f t="shared" si="7"/>
        <v>175</v>
      </c>
      <c r="AG36" s="333">
        <f>SUM(AG13)</f>
        <v>0</v>
      </c>
      <c r="AH36" s="334">
        <f>SUM(AH13)</f>
        <v>222</v>
      </c>
      <c r="AI36" s="48">
        <f t="shared" si="8"/>
        <v>222</v>
      </c>
      <c r="AJ36" s="333">
        <f>SUM(AJ13)</f>
        <v>0</v>
      </c>
      <c r="AK36" s="334">
        <f>SUM(AK13)</f>
        <v>293</v>
      </c>
      <c r="AL36" s="48">
        <f t="shared" si="9"/>
        <v>293</v>
      </c>
      <c r="AM36" s="333">
        <f>SUM(AM13)</f>
        <v>0</v>
      </c>
      <c r="AN36" s="334">
        <f>SUM(AN13)</f>
        <v>283</v>
      </c>
      <c r="AO36" s="48">
        <f t="shared" si="10"/>
        <v>283</v>
      </c>
      <c r="AP36" s="333">
        <f>SUM(AP13)</f>
        <v>0</v>
      </c>
      <c r="AQ36" s="334">
        <f>SUM(AQ13)</f>
        <v>310</v>
      </c>
      <c r="AR36" s="48">
        <f t="shared" si="11"/>
        <v>310</v>
      </c>
      <c r="AS36" s="333">
        <f>SUM(AS13)</f>
        <v>0</v>
      </c>
      <c r="AT36" s="334">
        <f>SUM(AT13)</f>
        <v>322</v>
      </c>
      <c r="AU36" s="48">
        <f t="shared" si="12"/>
        <v>322</v>
      </c>
      <c r="AV36" s="333">
        <f>SUM(AV13)</f>
        <v>0</v>
      </c>
      <c r="AW36" s="334">
        <f>SUM(AW13)</f>
        <v>337</v>
      </c>
      <c r="AX36" s="48">
        <f t="shared" si="13"/>
        <v>337</v>
      </c>
      <c r="AY36" s="333">
        <f>SUM(AY13)</f>
        <v>0</v>
      </c>
      <c r="AZ36" s="334">
        <f>SUM(AZ13)</f>
        <v>297</v>
      </c>
      <c r="BA36" s="48">
        <f t="shared" si="14"/>
        <v>297</v>
      </c>
      <c r="BB36" s="333">
        <f>SUM(BB13)</f>
        <v>0</v>
      </c>
      <c r="BC36" s="334">
        <f>SUM(BC13)</f>
        <v>290</v>
      </c>
      <c r="BD36" s="48">
        <f t="shared" si="15"/>
        <v>290</v>
      </c>
      <c r="BE36" s="333">
        <f>SUM(BE13)</f>
        <v>0</v>
      </c>
      <c r="BF36" s="334">
        <f>SUM(BF13)</f>
        <v>278</v>
      </c>
      <c r="BG36" s="48">
        <f t="shared" si="16"/>
        <v>278</v>
      </c>
      <c r="BH36" s="333">
        <f>SUM(BH13)</f>
        <v>0</v>
      </c>
      <c r="BI36" s="334">
        <f>SUM(BI13)</f>
        <v>299</v>
      </c>
      <c r="BJ36" s="48">
        <f t="shared" si="17"/>
        <v>299</v>
      </c>
    </row>
    <row r="37" spans="2:62" ht="14.4" x14ac:dyDescent="0.25">
      <c r="B37" s="200" t="s">
        <v>128</v>
      </c>
      <c r="C37" s="201">
        <v>3869</v>
      </c>
      <c r="D37" s="202">
        <v>6460</v>
      </c>
      <c r="E37" s="202">
        <v>10329</v>
      </c>
      <c r="F37" s="201">
        <v>4715</v>
      </c>
      <c r="G37" s="202">
        <v>6748</v>
      </c>
      <c r="H37" s="203">
        <v>11463</v>
      </c>
      <c r="I37" s="202">
        <v>4693</v>
      </c>
      <c r="J37" s="202">
        <v>7671</v>
      </c>
      <c r="K37" s="203">
        <v>12364</v>
      </c>
      <c r="L37" s="202">
        <v>4471</v>
      </c>
      <c r="M37" s="202">
        <v>7556</v>
      </c>
      <c r="N37" s="203">
        <v>12027</v>
      </c>
      <c r="O37" s="202">
        <v>4497</v>
      </c>
      <c r="P37" s="202">
        <v>7741</v>
      </c>
      <c r="Q37" s="203">
        <v>12238</v>
      </c>
      <c r="R37" s="202">
        <v>4517</v>
      </c>
      <c r="S37" s="202">
        <v>7187</v>
      </c>
      <c r="T37" s="203">
        <v>11704</v>
      </c>
      <c r="U37" s="201">
        <v>4454</v>
      </c>
      <c r="V37" s="202">
        <v>7396</v>
      </c>
      <c r="W37" s="203">
        <v>11850</v>
      </c>
      <c r="X37" s="201">
        <f>SUM(X31:X36)</f>
        <v>4582</v>
      </c>
      <c r="Y37" s="202">
        <v>8065</v>
      </c>
      <c r="Z37" s="203">
        <f t="shared" si="5"/>
        <v>12647</v>
      </c>
      <c r="AA37" s="201">
        <f t="shared" ref="AA37:BD37" si="18">SUM(AA31:AA36)</f>
        <v>5043</v>
      </c>
      <c r="AB37" s="202">
        <f t="shared" si="18"/>
        <v>7670</v>
      </c>
      <c r="AC37" s="203">
        <f t="shared" si="18"/>
        <v>12713</v>
      </c>
      <c r="AD37" s="201">
        <f t="shared" si="18"/>
        <v>4467</v>
      </c>
      <c r="AE37" s="202">
        <f t="shared" si="18"/>
        <v>7760</v>
      </c>
      <c r="AF37" s="203">
        <f t="shared" si="18"/>
        <v>12227</v>
      </c>
      <c r="AG37" s="201">
        <f t="shared" si="18"/>
        <v>4498</v>
      </c>
      <c r="AH37" s="202">
        <f t="shared" si="18"/>
        <v>7912</v>
      </c>
      <c r="AI37" s="203">
        <f t="shared" si="18"/>
        <v>12410</v>
      </c>
      <c r="AJ37" s="201">
        <f t="shared" si="18"/>
        <v>4288</v>
      </c>
      <c r="AK37" s="202">
        <f t="shared" si="18"/>
        <v>7623</v>
      </c>
      <c r="AL37" s="203">
        <f t="shared" si="18"/>
        <v>11911</v>
      </c>
      <c r="AM37" s="201">
        <f t="shared" si="18"/>
        <v>4392</v>
      </c>
      <c r="AN37" s="202">
        <f t="shared" si="18"/>
        <v>7693</v>
      </c>
      <c r="AO37" s="203">
        <f t="shared" si="18"/>
        <v>12085</v>
      </c>
      <c r="AP37" s="201">
        <f t="shared" si="18"/>
        <v>4504</v>
      </c>
      <c r="AQ37" s="202">
        <f t="shared" si="18"/>
        <v>8442</v>
      </c>
      <c r="AR37" s="203">
        <f t="shared" si="18"/>
        <v>12946</v>
      </c>
      <c r="AS37" s="201">
        <f t="shared" si="18"/>
        <v>4591</v>
      </c>
      <c r="AT37" s="202">
        <f t="shared" si="18"/>
        <v>8418</v>
      </c>
      <c r="AU37" s="203">
        <f t="shared" si="18"/>
        <v>13009</v>
      </c>
      <c r="AV37" s="201">
        <f t="shared" si="18"/>
        <v>4485</v>
      </c>
      <c r="AW37" s="202">
        <f t="shared" si="18"/>
        <v>8770</v>
      </c>
      <c r="AX37" s="203">
        <f t="shared" si="18"/>
        <v>13255</v>
      </c>
      <c r="AY37" s="201">
        <f t="shared" si="18"/>
        <v>5331</v>
      </c>
      <c r="AZ37" s="202">
        <f t="shared" si="18"/>
        <v>8182</v>
      </c>
      <c r="BA37" s="203">
        <f t="shared" si="18"/>
        <v>13513</v>
      </c>
      <c r="BB37" s="201">
        <f t="shared" si="18"/>
        <v>4239</v>
      </c>
      <c r="BC37" s="202">
        <f t="shared" si="18"/>
        <v>7125</v>
      </c>
      <c r="BD37" s="203">
        <f t="shared" si="18"/>
        <v>11364</v>
      </c>
      <c r="BE37" s="201">
        <f t="shared" ref="BE37:BG37" si="19">SUM(BE31:BE36)</f>
        <v>4201</v>
      </c>
      <c r="BF37" s="202">
        <f t="shared" si="19"/>
        <v>7005</v>
      </c>
      <c r="BG37" s="203">
        <f t="shared" si="19"/>
        <v>11206</v>
      </c>
      <c r="BH37" s="201">
        <f t="shared" ref="BH37:BJ37" si="20">SUM(BH31:BH36)</f>
        <v>4303</v>
      </c>
      <c r="BI37" s="202">
        <f t="shared" si="20"/>
        <v>7568</v>
      </c>
      <c r="BJ37" s="203">
        <f t="shared" si="20"/>
        <v>11871</v>
      </c>
    </row>
    <row r="38" spans="2:62" ht="13.8" x14ac:dyDescent="0.25">
      <c r="B38" s="5734"/>
      <c r="C38" s="5734"/>
      <c r="D38" s="5734"/>
      <c r="E38" s="5734"/>
      <c r="F38" s="5734"/>
      <c r="G38" s="5734"/>
      <c r="H38" s="5734"/>
      <c r="I38" s="5734"/>
    </row>
    <row r="39" spans="2:62" ht="13.8" x14ac:dyDescent="0.25">
      <c r="B39" s="5735"/>
      <c r="C39" s="5735"/>
      <c r="D39" s="5735"/>
      <c r="E39" s="5735"/>
      <c r="F39" s="5735"/>
      <c r="G39" s="5735"/>
      <c r="H39" s="5735"/>
      <c r="I39" s="5735"/>
    </row>
    <row r="40" spans="2:62" ht="13.8" x14ac:dyDescent="0.25">
      <c r="B40" s="5736"/>
      <c r="C40" s="5736"/>
      <c r="D40" s="5736"/>
      <c r="E40" s="5736"/>
      <c r="F40" s="354"/>
      <c r="G40" s="354"/>
      <c r="H40" s="354"/>
      <c r="I40" s="354"/>
      <c r="AF40" s="146"/>
    </row>
    <row r="41" spans="2:62" x14ac:dyDescent="0.25">
      <c r="W41" s="146"/>
    </row>
    <row r="44" spans="2:62" x14ac:dyDescent="0.25">
      <c r="AP44" s="205">
        <v>2003</v>
      </c>
    </row>
    <row r="45" spans="2:62" x14ac:dyDescent="0.25">
      <c r="AP45" s="205">
        <v>2004</v>
      </c>
    </row>
    <row r="46" spans="2:62" x14ac:dyDescent="0.25">
      <c r="AP46" s="205">
        <v>2005</v>
      </c>
    </row>
    <row r="47" spans="2:62" x14ac:dyDescent="0.25">
      <c r="AP47" s="205">
        <v>2006</v>
      </c>
    </row>
    <row r="48" spans="2:62" x14ac:dyDescent="0.25">
      <c r="AP48" s="205">
        <v>2007</v>
      </c>
    </row>
    <row r="49" spans="42:42" x14ac:dyDescent="0.25">
      <c r="AP49" s="205">
        <v>2008</v>
      </c>
    </row>
    <row r="50" spans="42:42" x14ac:dyDescent="0.25">
      <c r="AP50" s="205">
        <v>2009</v>
      </c>
    </row>
    <row r="51" spans="42:42" x14ac:dyDescent="0.25">
      <c r="AP51" s="205">
        <v>2010</v>
      </c>
    </row>
    <row r="52" spans="42:42" x14ac:dyDescent="0.25">
      <c r="AP52" s="205">
        <v>2011</v>
      </c>
    </row>
    <row r="53" spans="42:42" x14ac:dyDescent="0.25">
      <c r="AP53" s="205">
        <v>2012</v>
      </c>
    </row>
    <row r="54" spans="42:42" x14ac:dyDescent="0.25">
      <c r="AP54" s="205">
        <v>2013</v>
      </c>
    </row>
    <row r="55" spans="42:42" x14ac:dyDescent="0.25">
      <c r="AP55" s="205">
        <v>2014</v>
      </c>
    </row>
    <row r="56" spans="42:42" x14ac:dyDescent="0.25">
      <c r="AP56" s="205">
        <v>2015</v>
      </c>
    </row>
    <row r="57" spans="42:42" x14ac:dyDescent="0.25">
      <c r="AP57" s="205">
        <v>2016</v>
      </c>
    </row>
    <row r="58" spans="42:42" x14ac:dyDescent="0.25">
      <c r="AP58" s="205">
        <v>2017</v>
      </c>
    </row>
    <row r="59" spans="42:42" x14ac:dyDescent="0.25">
      <c r="AP59" s="205">
        <v>2018</v>
      </c>
    </row>
    <row r="60" spans="42:42" x14ac:dyDescent="0.25">
      <c r="AP60" s="205">
        <v>2019</v>
      </c>
    </row>
    <row r="61" spans="42:42" x14ac:dyDescent="0.25">
      <c r="AP61" s="205">
        <v>2020</v>
      </c>
    </row>
    <row r="62" spans="42:42" x14ac:dyDescent="0.25">
      <c r="AP62" s="205">
        <v>2021</v>
      </c>
    </row>
    <row r="63" spans="42:42" x14ac:dyDescent="0.25">
      <c r="AP63" s="205">
        <v>2022</v>
      </c>
    </row>
    <row r="65" spans="41:41" x14ac:dyDescent="0.25">
      <c r="AO65" s="205" t="s">
        <v>138</v>
      </c>
    </row>
    <row r="66" spans="41:41" x14ac:dyDescent="0.25">
      <c r="AO66" s="205" t="s">
        <v>134</v>
      </c>
    </row>
    <row r="67" spans="41:41" x14ac:dyDescent="0.25">
      <c r="AO67" s="205" t="s">
        <v>135</v>
      </c>
    </row>
    <row r="68" spans="41:41" x14ac:dyDescent="0.25">
      <c r="AO68" s="205" t="s">
        <v>136</v>
      </c>
    </row>
    <row r="69" spans="41:41" x14ac:dyDescent="0.25">
      <c r="AO69" s="205" t="s">
        <v>137</v>
      </c>
    </row>
    <row r="75" spans="41:41" hidden="1" x14ac:dyDescent="0.25"/>
    <row r="76" spans="41:41" hidden="1" x14ac:dyDescent="0.25"/>
    <row r="77" spans="41:41" hidden="1" x14ac:dyDescent="0.25"/>
    <row r="78" spans="41:41" hidden="1" x14ac:dyDescent="0.25"/>
    <row r="79" spans="41:41" hidden="1" x14ac:dyDescent="0.25"/>
    <row r="80" spans="41:41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</sheetData>
  <mergeCells count="24">
    <mergeCell ref="BH3:BJ3"/>
    <mergeCell ref="BE3:BG3"/>
    <mergeCell ref="O3:Q3"/>
    <mergeCell ref="B3:B4"/>
    <mergeCell ref="C3:E3"/>
    <mergeCell ref="F3:H3"/>
    <mergeCell ref="I3:K3"/>
    <mergeCell ref="L3:N3"/>
    <mergeCell ref="BB3:BD3"/>
    <mergeCell ref="AP3:AR3"/>
    <mergeCell ref="AS3:AU3"/>
    <mergeCell ref="AV3:AX3"/>
    <mergeCell ref="AY3:BA3"/>
    <mergeCell ref="B38:I38"/>
    <mergeCell ref="B39:I39"/>
    <mergeCell ref="B40:E40"/>
    <mergeCell ref="AJ3:AL3"/>
    <mergeCell ref="AM3:AO3"/>
    <mergeCell ref="R3:T3"/>
    <mergeCell ref="U3:W3"/>
    <mergeCell ref="X3:Z3"/>
    <mergeCell ref="AA3:AC3"/>
    <mergeCell ref="AD3:AF3"/>
    <mergeCell ref="AG3:AI3"/>
  </mergeCells>
  <printOptions horizontalCentered="1" verticalCentered="1"/>
  <pageMargins left="0.15748031496062992" right="0.19685039370078741" top="0.31496062992125984" bottom="0.19685039370078741" header="0" footer="0.31496062992125984"/>
  <pageSetup scale="75" firstPageNumber="9" pageOrder="overThenDown" orientation="landscape" useFirstPageNumber="1" r:id="rId1"/>
  <headerFooter scaleWithDoc="0" alignWithMargins="0">
    <oddFooter>&amp;R&amp;P</oddFooter>
  </headerFooter>
  <rowBreaks count="1" manualBreakCount="1">
    <brk id="37" max="16383" man="1"/>
  </rowBreaks>
  <colBreaks count="1" manualBreakCount="1">
    <brk id="20" max="38" man="1"/>
  </colBreaks>
  <ignoredErrors>
    <ignoredError sqref="AO31:BG36 AU29:BD29" formula="1"/>
  </ignoredErrors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8200"/>
  </sheetPr>
  <dimension ref="A1:V93"/>
  <sheetViews>
    <sheetView showGridLines="0" zoomScaleNormal="100" workbookViewId="0">
      <pane xSplit="2" ySplit="3" topLeftCell="F4" activePane="bottomRight" state="frozen"/>
      <selection activeCell="Q31" sqref="Q31"/>
      <selection pane="topRight" activeCell="Q31" sqref="Q31"/>
      <selection pane="bottomLeft" activeCell="Q31" sqref="Q31"/>
      <selection pane="bottomRight" activeCell="Q31" sqref="Q31"/>
    </sheetView>
  </sheetViews>
  <sheetFormatPr baseColWidth="10" defaultColWidth="11.44140625" defaultRowHeight="13.2" x14ac:dyDescent="0.25"/>
  <cols>
    <col min="1" max="1" width="22.88671875" customWidth="1"/>
    <col min="2" max="2" width="1.109375" customWidth="1"/>
    <col min="3" max="16" width="10.88671875" customWidth="1"/>
    <col min="18" max="18" width="11.44140625" customWidth="1"/>
  </cols>
  <sheetData>
    <row r="1" spans="1:22" ht="62.4" x14ac:dyDescent="0.3">
      <c r="A1" s="4856" t="s">
        <v>780</v>
      </c>
      <c r="B1" s="3379"/>
      <c r="C1" s="3380"/>
      <c r="D1" s="3381"/>
      <c r="E1" s="3381"/>
      <c r="F1" s="3381"/>
      <c r="G1" s="3381"/>
      <c r="H1" s="3381"/>
      <c r="I1" s="3381"/>
      <c r="J1" s="3381"/>
      <c r="K1" s="3381"/>
      <c r="L1" s="3381"/>
      <c r="M1" s="3381"/>
      <c r="N1" s="3380"/>
      <c r="O1" s="3380"/>
      <c r="P1" s="3380"/>
      <c r="Q1" s="3380"/>
      <c r="R1" s="3380"/>
      <c r="S1" s="3380"/>
      <c r="T1" s="3380"/>
    </row>
    <row r="2" spans="1:22" ht="14.4" x14ac:dyDescent="0.3">
      <c r="A2" s="3380"/>
      <c r="B2" s="3379"/>
      <c r="C2" s="3380"/>
      <c r="D2" s="3380"/>
      <c r="E2" s="3380"/>
      <c r="F2" s="3380"/>
      <c r="G2" s="3380"/>
      <c r="H2" s="3380"/>
      <c r="I2" s="3380"/>
      <c r="J2" s="3380"/>
      <c r="K2" s="3380"/>
      <c r="L2" s="3380"/>
      <c r="M2" s="3380"/>
      <c r="N2" s="3380"/>
      <c r="O2" s="3380"/>
      <c r="P2" s="3380"/>
      <c r="Q2" s="3380"/>
      <c r="R2" s="3380"/>
      <c r="S2" s="3380"/>
      <c r="T2" s="3380"/>
    </row>
    <row r="3" spans="1:22" ht="33.75" customHeight="1" thickBot="1" x14ac:dyDescent="0.3">
      <c r="A3" s="3382" t="s">
        <v>781</v>
      </c>
      <c r="B3" s="3379"/>
      <c r="C3" s="3383">
        <v>2003</v>
      </c>
      <c r="D3" s="3383">
        <v>2004</v>
      </c>
      <c r="E3" s="3383">
        <v>2005</v>
      </c>
      <c r="F3" s="3383">
        <v>2006</v>
      </c>
      <c r="G3" s="3383">
        <v>2007</v>
      </c>
      <c r="H3" s="3383">
        <v>2008</v>
      </c>
      <c r="I3" s="3383">
        <v>2009</v>
      </c>
      <c r="J3" s="3383">
        <v>2010</v>
      </c>
      <c r="K3" s="3383">
        <v>2011</v>
      </c>
      <c r="L3" s="3383">
        <v>2012</v>
      </c>
      <c r="M3" s="3383">
        <v>2013</v>
      </c>
      <c r="N3" s="3383">
        <v>2014</v>
      </c>
      <c r="O3" s="3383">
        <v>2015</v>
      </c>
      <c r="P3" s="3383">
        <v>2016</v>
      </c>
      <c r="Q3" s="3383">
        <v>2017</v>
      </c>
      <c r="R3" s="3383">
        <v>2018</v>
      </c>
      <c r="S3" s="3383">
        <v>2019</v>
      </c>
      <c r="T3" s="3383">
        <v>2020</v>
      </c>
      <c r="U3" s="3383">
        <v>2021</v>
      </c>
      <c r="V3" s="3383">
        <v>2022</v>
      </c>
    </row>
    <row r="4" spans="1:22" ht="11.25" customHeight="1" x14ac:dyDescent="0.3">
      <c r="A4" s="3380"/>
      <c r="B4" s="3379"/>
      <c r="C4" s="3380"/>
      <c r="D4" s="3380"/>
      <c r="E4" s="3380"/>
      <c r="F4" s="3380"/>
      <c r="G4" s="3380"/>
      <c r="H4" s="3380"/>
      <c r="I4" s="3380"/>
      <c r="J4" s="3380"/>
      <c r="K4" s="3380"/>
      <c r="L4" s="3380"/>
      <c r="M4" s="3380"/>
      <c r="N4" s="3380"/>
      <c r="O4" s="3380"/>
      <c r="P4" s="3380"/>
      <c r="Q4" s="3380"/>
      <c r="R4" s="3380"/>
      <c r="S4" s="3380"/>
      <c r="T4" s="3380"/>
      <c r="U4" s="3380"/>
      <c r="V4" s="3380"/>
    </row>
    <row r="5" spans="1:22" ht="21" customHeight="1" x14ac:dyDescent="0.25">
      <c r="A5" s="3384" t="s">
        <v>782</v>
      </c>
      <c r="B5" s="3379"/>
      <c r="C5" s="3385">
        <v>13</v>
      </c>
      <c r="D5" s="3385">
        <f>11</f>
        <v>11</v>
      </c>
      <c r="E5" s="3385">
        <f>13</f>
        <v>13</v>
      </c>
      <c r="F5" s="3385">
        <f>12</f>
        <v>12</v>
      </c>
      <c r="G5" s="3385">
        <f>10</f>
        <v>10</v>
      </c>
      <c r="H5" s="3385">
        <f>14</f>
        <v>14</v>
      </c>
      <c r="I5" s="3385">
        <v>11</v>
      </c>
      <c r="J5" s="3385">
        <v>8</v>
      </c>
      <c r="K5" s="3385">
        <v>12</v>
      </c>
      <c r="L5" s="3385">
        <v>11</v>
      </c>
      <c r="M5" s="3385">
        <v>12</v>
      </c>
      <c r="N5" s="3385">
        <v>18</v>
      </c>
      <c r="O5" s="3385">
        <v>11</v>
      </c>
      <c r="P5" s="3385">
        <v>9</v>
      </c>
      <c r="Q5" s="3385">
        <v>12</v>
      </c>
      <c r="R5" s="3385">
        <v>10</v>
      </c>
      <c r="S5" s="3385">
        <v>6</v>
      </c>
      <c r="T5" s="3385">
        <v>5</v>
      </c>
      <c r="U5" s="3385">
        <v>2</v>
      </c>
      <c r="V5" s="3385">
        <v>2</v>
      </c>
    </row>
    <row r="6" spans="1:22" ht="21" customHeight="1" x14ac:dyDescent="0.25">
      <c r="A6" s="3386" t="s">
        <v>783</v>
      </c>
      <c r="B6" s="3379"/>
      <c r="C6" s="3387">
        <v>96</v>
      </c>
      <c r="D6" s="3387">
        <f>74</f>
        <v>74</v>
      </c>
      <c r="E6" s="3387">
        <f>61</f>
        <v>61</v>
      </c>
      <c r="F6" s="3387">
        <f>63</f>
        <v>63</v>
      </c>
      <c r="G6" s="3387">
        <f>69</f>
        <v>69</v>
      </c>
      <c r="H6" s="3387">
        <f>72</f>
        <v>72</v>
      </c>
      <c r="I6" s="3387">
        <v>70</v>
      </c>
      <c r="J6" s="3387">
        <v>70</v>
      </c>
      <c r="K6" s="3387">
        <v>67</v>
      </c>
      <c r="L6" s="3387">
        <v>67</v>
      </c>
      <c r="M6" s="3387">
        <v>76</v>
      </c>
      <c r="N6" s="3387">
        <v>80</v>
      </c>
      <c r="O6" s="3387">
        <v>75</v>
      </c>
      <c r="P6" s="3387">
        <v>63</v>
      </c>
      <c r="Q6" s="3387">
        <v>57</v>
      </c>
      <c r="R6" s="3387">
        <v>52</v>
      </c>
      <c r="S6" s="3387">
        <v>48</v>
      </c>
      <c r="T6" s="3387">
        <v>47</v>
      </c>
      <c r="U6" s="3387">
        <v>32</v>
      </c>
      <c r="V6" s="3387">
        <v>27</v>
      </c>
    </row>
    <row r="7" spans="1:22" ht="21" customHeight="1" x14ac:dyDescent="0.25">
      <c r="A7" s="3386" t="s">
        <v>784</v>
      </c>
      <c r="B7" s="3379"/>
      <c r="C7" s="3387">
        <f>263</f>
        <v>263</v>
      </c>
      <c r="D7" s="3387">
        <f>233</f>
        <v>233</v>
      </c>
      <c r="E7" s="3387">
        <f>205</f>
        <v>205</v>
      </c>
      <c r="F7" s="3387">
        <f>181</f>
        <v>181</v>
      </c>
      <c r="G7" s="3387">
        <f>177</f>
        <v>177</v>
      </c>
      <c r="H7" s="3387">
        <f>180</f>
        <v>180</v>
      </c>
      <c r="I7" s="3387">
        <v>169</v>
      </c>
      <c r="J7" s="3387">
        <v>164</v>
      </c>
      <c r="K7" s="3387">
        <v>155</v>
      </c>
      <c r="L7" s="3387">
        <v>155</v>
      </c>
      <c r="M7" s="3387">
        <v>153</v>
      </c>
      <c r="N7" s="3387">
        <v>158</v>
      </c>
      <c r="O7" s="3387">
        <v>154</v>
      </c>
      <c r="P7" s="3387">
        <v>154</v>
      </c>
      <c r="Q7" s="3387">
        <v>145</v>
      </c>
      <c r="R7" s="3387">
        <v>155</v>
      </c>
      <c r="S7" s="3387">
        <v>145</v>
      </c>
      <c r="T7" s="3387">
        <v>121</v>
      </c>
      <c r="U7" s="3387">
        <v>109</v>
      </c>
      <c r="V7" s="3387">
        <v>90</v>
      </c>
    </row>
    <row r="8" spans="1:22" ht="21" customHeight="1" x14ac:dyDescent="0.25">
      <c r="A8" s="3386" t="s">
        <v>785</v>
      </c>
      <c r="B8" s="3379"/>
      <c r="C8" s="3387">
        <f>479</f>
        <v>479</v>
      </c>
      <c r="D8" s="3387">
        <f>449</f>
        <v>449</v>
      </c>
      <c r="E8" s="3387">
        <f>410</f>
        <v>410</v>
      </c>
      <c r="F8" s="3387">
        <f>371</f>
        <v>371</v>
      </c>
      <c r="G8" s="3387">
        <f>363</f>
        <v>363</v>
      </c>
      <c r="H8" s="3387">
        <f>319</f>
        <v>319</v>
      </c>
      <c r="I8" s="3387">
        <v>302</v>
      </c>
      <c r="J8" s="3387">
        <v>284</v>
      </c>
      <c r="K8" s="3387">
        <v>274</v>
      </c>
      <c r="L8" s="3387">
        <v>250</v>
      </c>
      <c r="M8" s="3387">
        <v>259</v>
      </c>
      <c r="N8" s="3387">
        <v>256</v>
      </c>
      <c r="O8" s="3387">
        <v>238</v>
      </c>
      <c r="P8" s="3387">
        <v>226</v>
      </c>
      <c r="Q8" s="3387">
        <v>241</v>
      </c>
      <c r="R8" s="3387">
        <v>233</v>
      </c>
      <c r="S8" s="3387">
        <v>224</v>
      </c>
      <c r="T8" s="3387">
        <v>228</v>
      </c>
      <c r="U8" s="3387">
        <v>208</v>
      </c>
      <c r="V8" s="3387">
        <v>183</v>
      </c>
    </row>
    <row r="9" spans="1:22" ht="21" customHeight="1" x14ac:dyDescent="0.25">
      <c r="A9" s="3386" t="s">
        <v>786</v>
      </c>
      <c r="B9" s="3379"/>
      <c r="C9" s="3387">
        <f>640</f>
        <v>640</v>
      </c>
      <c r="D9" s="3387">
        <f>622</f>
        <v>622</v>
      </c>
      <c r="E9" s="3387">
        <f>622</f>
        <v>622</v>
      </c>
      <c r="F9" s="3387">
        <f>596</f>
        <v>596</v>
      </c>
      <c r="G9" s="3387">
        <f>566</f>
        <v>566</v>
      </c>
      <c r="H9" s="3387">
        <f>521</f>
        <v>521</v>
      </c>
      <c r="I9" s="3387">
        <v>493</v>
      </c>
      <c r="J9" s="3387">
        <v>461</v>
      </c>
      <c r="K9" s="3387">
        <v>437</v>
      </c>
      <c r="L9" s="3387">
        <v>414</v>
      </c>
      <c r="M9" s="3387">
        <v>377</v>
      </c>
      <c r="N9" s="3387">
        <v>365</v>
      </c>
      <c r="O9" s="3387">
        <v>327</v>
      </c>
      <c r="P9" s="3387">
        <v>313</v>
      </c>
      <c r="Q9" s="3387">
        <v>292</v>
      </c>
      <c r="R9" s="3387">
        <v>310</v>
      </c>
      <c r="S9" s="3387">
        <v>290</v>
      </c>
      <c r="T9" s="3387">
        <v>283</v>
      </c>
      <c r="U9" s="3387">
        <v>272</v>
      </c>
      <c r="V9" s="5081">
        <v>279</v>
      </c>
    </row>
    <row r="10" spans="1:22" ht="21" customHeight="1" x14ac:dyDescent="0.25">
      <c r="A10" s="3386" t="s">
        <v>787</v>
      </c>
      <c r="B10" s="3379"/>
      <c r="C10" s="3387">
        <f>589</f>
        <v>589</v>
      </c>
      <c r="D10" s="3387">
        <f>594</f>
        <v>594</v>
      </c>
      <c r="E10" s="3387">
        <f>609</f>
        <v>609</v>
      </c>
      <c r="F10" s="3387">
        <f>617</f>
        <v>617</v>
      </c>
      <c r="G10" s="3387">
        <f>638</f>
        <v>638</v>
      </c>
      <c r="H10" s="3387">
        <f>661</f>
        <v>661</v>
      </c>
      <c r="I10" s="3387">
        <v>660</v>
      </c>
      <c r="J10" s="3387">
        <v>649</v>
      </c>
      <c r="K10" s="3387">
        <v>614</v>
      </c>
      <c r="L10" s="3387">
        <v>582</v>
      </c>
      <c r="M10" s="3387">
        <v>543</v>
      </c>
      <c r="N10" s="3387">
        <v>524</v>
      </c>
      <c r="O10" s="3387">
        <v>486</v>
      </c>
      <c r="P10" s="3387">
        <v>453</v>
      </c>
      <c r="Q10" s="3387">
        <v>441</v>
      </c>
      <c r="R10" s="3387">
        <v>389</v>
      </c>
      <c r="S10" s="3387">
        <v>368</v>
      </c>
      <c r="T10" s="3387">
        <v>334</v>
      </c>
      <c r="U10" s="3387">
        <v>323</v>
      </c>
      <c r="V10" s="3387">
        <v>289</v>
      </c>
    </row>
    <row r="11" spans="1:22" ht="21" customHeight="1" x14ac:dyDescent="0.25">
      <c r="A11" s="3386" t="s">
        <v>788</v>
      </c>
      <c r="B11" s="3379"/>
      <c r="C11" s="3387">
        <f>419</f>
        <v>419</v>
      </c>
      <c r="D11" s="3387">
        <f>458</f>
        <v>458</v>
      </c>
      <c r="E11" s="3387">
        <f>505</f>
        <v>505</v>
      </c>
      <c r="F11" s="3387">
        <f>536</f>
        <v>536</v>
      </c>
      <c r="G11" s="3387">
        <f>540</f>
        <v>540</v>
      </c>
      <c r="H11" s="3387">
        <f>550</f>
        <v>550</v>
      </c>
      <c r="I11" s="3387">
        <v>558</v>
      </c>
      <c r="J11" s="3387">
        <v>585</v>
      </c>
      <c r="K11" s="3387">
        <v>604</v>
      </c>
      <c r="L11" s="3387">
        <v>631</v>
      </c>
      <c r="M11" s="3387">
        <v>652</v>
      </c>
      <c r="N11" s="3387">
        <v>645</v>
      </c>
      <c r="O11" s="3387">
        <v>646</v>
      </c>
      <c r="P11" s="3387">
        <v>602</v>
      </c>
      <c r="Q11" s="3387">
        <v>564</v>
      </c>
      <c r="R11" s="3387">
        <v>523</v>
      </c>
      <c r="S11" s="3387">
        <v>508</v>
      </c>
      <c r="T11" s="3387">
        <v>469</v>
      </c>
      <c r="U11" s="3387">
        <v>439</v>
      </c>
      <c r="V11" s="5081">
        <v>421</v>
      </c>
    </row>
    <row r="12" spans="1:22" ht="21" customHeight="1" x14ac:dyDescent="0.25">
      <c r="A12" s="3386" t="s">
        <v>789</v>
      </c>
      <c r="B12" s="3379"/>
      <c r="C12" s="3387">
        <f>201</f>
        <v>201</v>
      </c>
      <c r="D12" s="3387">
        <f>237</f>
        <v>237</v>
      </c>
      <c r="E12" s="3387">
        <f>274</f>
        <v>274</v>
      </c>
      <c r="F12" s="3387">
        <v>318</v>
      </c>
      <c r="G12" s="3387">
        <f>335</f>
        <v>335</v>
      </c>
      <c r="H12" s="3387">
        <f>357</f>
        <v>357</v>
      </c>
      <c r="I12" s="3387">
        <v>394</v>
      </c>
      <c r="J12" s="3387">
        <v>438</v>
      </c>
      <c r="K12" s="3387">
        <v>474</v>
      </c>
      <c r="L12" s="3387">
        <v>499</v>
      </c>
      <c r="M12" s="3387">
        <v>506</v>
      </c>
      <c r="N12" s="3387">
        <v>527</v>
      </c>
      <c r="O12" s="3387">
        <v>535</v>
      </c>
      <c r="P12" s="3387">
        <v>552</v>
      </c>
      <c r="Q12" s="3387">
        <v>580</v>
      </c>
      <c r="R12" s="3387">
        <v>603</v>
      </c>
      <c r="S12" s="3387">
        <v>590</v>
      </c>
      <c r="T12" s="3387">
        <v>593</v>
      </c>
      <c r="U12" s="3387">
        <v>562</v>
      </c>
      <c r="V12" s="3387">
        <v>514</v>
      </c>
    </row>
    <row r="13" spans="1:22" ht="21" customHeight="1" x14ac:dyDescent="0.25">
      <c r="A13" s="3386" t="s">
        <v>790</v>
      </c>
      <c r="B13" s="3379"/>
      <c r="C13" s="3387">
        <f>72</f>
        <v>72</v>
      </c>
      <c r="D13" s="3387">
        <f>87</f>
        <v>87</v>
      </c>
      <c r="E13" s="3387">
        <f>92</f>
        <v>92</v>
      </c>
      <c r="F13" s="3387">
        <f>116</f>
        <v>116</v>
      </c>
      <c r="G13" s="3387">
        <f>132</f>
        <v>132</v>
      </c>
      <c r="H13" s="3387">
        <f>158</f>
        <v>158</v>
      </c>
      <c r="I13" s="3387">
        <v>178</v>
      </c>
      <c r="J13" s="3387">
        <v>211</v>
      </c>
      <c r="K13" s="3387">
        <v>254</v>
      </c>
      <c r="L13" s="3387">
        <v>283</v>
      </c>
      <c r="M13" s="3387">
        <v>321</v>
      </c>
      <c r="N13" s="3387">
        <v>351</v>
      </c>
      <c r="O13" s="3387">
        <v>382</v>
      </c>
      <c r="P13" s="3387">
        <v>410</v>
      </c>
      <c r="Q13" s="3387">
        <v>435</v>
      </c>
      <c r="R13" s="3387">
        <v>435</v>
      </c>
      <c r="S13" s="3387">
        <v>457</v>
      </c>
      <c r="T13" s="3387">
        <v>458</v>
      </c>
      <c r="U13" s="3387">
        <v>479</v>
      </c>
      <c r="V13" s="3387">
        <v>507</v>
      </c>
    </row>
    <row r="14" spans="1:22" ht="21" customHeight="1" x14ac:dyDescent="0.25">
      <c r="A14" s="3386" t="s">
        <v>791</v>
      </c>
      <c r="B14" s="3379"/>
      <c r="C14" s="3387">
        <f>43</f>
        <v>43</v>
      </c>
      <c r="D14" s="3387">
        <v>52</v>
      </c>
      <c r="E14" s="3387">
        <f>62</f>
        <v>62</v>
      </c>
      <c r="F14" s="3387">
        <f>55</f>
        <v>55</v>
      </c>
      <c r="G14" s="3387">
        <f>52</f>
        <v>52</v>
      </c>
      <c r="H14" s="3387">
        <f>60</f>
        <v>60</v>
      </c>
      <c r="I14" s="3387">
        <v>76</v>
      </c>
      <c r="J14" s="3387">
        <v>88</v>
      </c>
      <c r="K14" s="3387">
        <v>113</v>
      </c>
      <c r="L14" s="3387">
        <v>134</v>
      </c>
      <c r="M14" s="3387">
        <v>158</v>
      </c>
      <c r="N14" s="3387">
        <v>200</v>
      </c>
      <c r="O14" s="3387">
        <v>236</v>
      </c>
      <c r="P14" s="3387">
        <v>280</v>
      </c>
      <c r="Q14" s="3387">
        <v>305</v>
      </c>
      <c r="R14" s="3387">
        <v>378</v>
      </c>
      <c r="S14" s="3387">
        <v>401</v>
      </c>
      <c r="T14" s="3387">
        <v>450</v>
      </c>
      <c r="U14" s="3387">
        <v>505</v>
      </c>
      <c r="V14" s="3387">
        <v>550</v>
      </c>
    </row>
    <row r="15" spans="1:22" ht="11.25" customHeight="1" x14ac:dyDescent="0.3">
      <c r="A15" s="3380"/>
      <c r="B15" s="3379"/>
      <c r="C15" s="3388"/>
      <c r="D15" s="3388"/>
      <c r="E15" s="3388"/>
      <c r="F15" s="3388"/>
      <c r="G15" s="3388"/>
      <c r="H15" s="3388"/>
      <c r="I15" s="3388"/>
      <c r="J15" s="3389"/>
      <c r="K15" s="3389"/>
      <c r="L15" s="3389"/>
      <c r="M15" s="3389"/>
      <c r="N15" s="3389"/>
      <c r="O15" s="3389"/>
      <c r="P15" s="3389"/>
      <c r="Q15" s="3389"/>
      <c r="R15" s="3389"/>
      <c r="S15" s="3389"/>
      <c r="T15" s="3389"/>
      <c r="U15" s="3389"/>
      <c r="V15" s="3389"/>
    </row>
    <row r="16" spans="1:22" ht="21.75" customHeight="1" x14ac:dyDescent="0.25">
      <c r="A16" s="3390" t="s">
        <v>279</v>
      </c>
      <c r="B16" s="3379"/>
      <c r="C16" s="3391">
        <f t="shared" ref="C16:R16" si="0">SUM(C5:C14)</f>
        <v>2815</v>
      </c>
      <c r="D16" s="3391">
        <f t="shared" si="0"/>
        <v>2817</v>
      </c>
      <c r="E16" s="3391">
        <f t="shared" si="0"/>
        <v>2853</v>
      </c>
      <c r="F16" s="3391">
        <f t="shared" si="0"/>
        <v>2865</v>
      </c>
      <c r="G16" s="3391">
        <f t="shared" si="0"/>
        <v>2882</v>
      </c>
      <c r="H16" s="3391">
        <f>SUM(H5:H14)</f>
        <v>2892</v>
      </c>
      <c r="I16" s="3391">
        <f>SUM(I5:I14)</f>
        <v>2911</v>
      </c>
      <c r="J16" s="3391">
        <f>SUM(J5:J14)</f>
        <v>2958</v>
      </c>
      <c r="K16" s="3391">
        <f>SUM(K5:K14)</f>
        <v>3004</v>
      </c>
      <c r="L16" s="3391">
        <f t="shared" si="0"/>
        <v>3026</v>
      </c>
      <c r="M16" s="3391">
        <f t="shared" si="0"/>
        <v>3057</v>
      </c>
      <c r="N16" s="3391">
        <f t="shared" si="0"/>
        <v>3124</v>
      </c>
      <c r="O16" s="3391">
        <f t="shared" si="0"/>
        <v>3090</v>
      </c>
      <c r="P16" s="3391">
        <f t="shared" si="0"/>
        <v>3062</v>
      </c>
      <c r="Q16" s="3391">
        <f t="shared" si="0"/>
        <v>3072</v>
      </c>
      <c r="R16" s="3391">
        <f t="shared" si="0"/>
        <v>3088</v>
      </c>
      <c r="S16" s="3391">
        <f>SUM(S5:S14)</f>
        <v>3037</v>
      </c>
      <c r="T16" s="3391">
        <f>SUM(T5:T14)</f>
        <v>2988</v>
      </c>
      <c r="U16" s="3391">
        <f>SUM(U5:U14)</f>
        <v>2931</v>
      </c>
      <c r="V16" s="3391">
        <f>SUM(V5:V14)</f>
        <v>2862</v>
      </c>
    </row>
    <row r="17" spans="1:22" ht="11.25" customHeight="1" x14ac:dyDescent="0.3">
      <c r="A17" s="3380"/>
      <c r="B17" s="3380"/>
      <c r="C17" s="3389"/>
      <c r="D17" s="3389"/>
      <c r="E17" s="3389"/>
      <c r="F17" s="3389"/>
      <c r="G17" s="3389"/>
      <c r="H17" s="3389"/>
      <c r="I17" s="3389"/>
      <c r="J17" s="3389"/>
      <c r="K17" s="3389"/>
      <c r="L17" s="3389"/>
      <c r="M17" s="3389"/>
      <c r="N17" s="3389"/>
      <c r="O17" s="3389"/>
      <c r="P17" s="3389"/>
      <c r="Q17" s="3389"/>
      <c r="R17" s="3389"/>
      <c r="S17" s="3389"/>
      <c r="T17" s="3389"/>
      <c r="U17" s="3389"/>
      <c r="V17" s="3389"/>
    </row>
    <row r="18" spans="1:22" ht="21.75" customHeight="1" x14ac:dyDescent="0.25">
      <c r="A18" s="3392" t="s">
        <v>792</v>
      </c>
      <c r="B18" s="3393"/>
      <c r="C18" s="3394">
        <v>50.155595026642999</v>
      </c>
      <c r="D18" s="3394">
        <v>50.969826056088003</v>
      </c>
      <c r="E18" s="3394">
        <v>51.682089029092197</v>
      </c>
      <c r="F18" s="3394">
        <v>52.225130890052398</v>
      </c>
      <c r="G18" s="3394">
        <v>52.436502428868799</v>
      </c>
      <c r="H18" s="3394">
        <v>52.921507607192297</v>
      </c>
      <c r="I18" s="3394">
        <v>53.4709721745105</v>
      </c>
      <c r="J18" s="3394">
        <v>54.115280594996598</v>
      </c>
      <c r="K18" s="3394">
        <v>54.703728362183803</v>
      </c>
      <c r="L18" s="3394">
        <v>55.208856576338398</v>
      </c>
      <c r="M18" s="3394">
        <v>55.6</v>
      </c>
      <c r="N18" s="3395">
        <v>55.969910371318797</v>
      </c>
      <c r="O18" s="3395">
        <v>56.724919093851099</v>
      </c>
      <c r="P18" s="3395">
        <v>57.299150881776598</v>
      </c>
      <c r="Q18" s="3395">
        <v>57.607421875</v>
      </c>
      <c r="R18" s="3395">
        <v>58.149287564766801</v>
      </c>
      <c r="S18" s="3395">
        <v>58.653934804083001</v>
      </c>
      <c r="T18" s="3395">
        <v>59.212851405622501</v>
      </c>
      <c r="U18" s="3395">
        <v>60.013306038894598</v>
      </c>
      <c r="V18" s="3395">
        <v>60.66</v>
      </c>
    </row>
    <row r="19" spans="1:22" ht="8.25" customHeight="1" x14ac:dyDescent="0.3">
      <c r="A19" s="3380"/>
      <c r="B19" s="3380"/>
      <c r="C19" s="3380"/>
      <c r="D19" s="3380"/>
      <c r="E19" s="3380"/>
      <c r="F19" s="3380"/>
      <c r="G19" s="3380"/>
      <c r="H19" s="3380"/>
      <c r="I19" s="3380"/>
      <c r="J19" s="3380"/>
      <c r="K19" s="3380"/>
      <c r="L19" s="3380"/>
      <c r="M19" s="3380"/>
      <c r="N19" s="3380"/>
      <c r="O19" s="3380"/>
      <c r="P19" s="3380"/>
      <c r="Q19" s="3380"/>
      <c r="R19" s="3380"/>
      <c r="S19" s="3380"/>
      <c r="T19" s="3380"/>
    </row>
    <row r="20" spans="1:22" ht="11.25" customHeight="1" x14ac:dyDescent="0.3">
      <c r="A20" s="3396" t="s">
        <v>793</v>
      </c>
      <c r="B20" s="3380"/>
      <c r="C20" s="3380"/>
      <c r="D20" s="3380"/>
      <c r="E20" s="3380"/>
      <c r="F20" s="3380"/>
      <c r="G20" s="3380"/>
      <c r="H20" s="3380"/>
      <c r="I20" s="3380"/>
      <c r="J20" s="3380"/>
      <c r="K20" s="3380"/>
      <c r="L20" s="3380"/>
      <c r="M20" s="3380"/>
      <c r="N20" s="3380"/>
      <c r="O20" s="3380"/>
      <c r="P20" s="3380"/>
      <c r="Q20" s="3380"/>
      <c r="R20" s="3380"/>
      <c r="S20" s="3380"/>
      <c r="T20" s="3380"/>
    </row>
    <row r="21" spans="1:22" ht="14.4" x14ac:dyDescent="0.3">
      <c r="A21" s="3396" t="s">
        <v>765</v>
      </c>
      <c r="B21" s="3380"/>
      <c r="C21" s="3380"/>
      <c r="D21" s="3380"/>
      <c r="E21" s="3380"/>
      <c r="F21" s="3380"/>
      <c r="G21" s="3380"/>
      <c r="H21" s="3380"/>
      <c r="I21" s="3380"/>
      <c r="J21" s="3380"/>
      <c r="K21" s="3380"/>
      <c r="L21" s="3380"/>
      <c r="M21" s="3380"/>
      <c r="N21" s="3380"/>
      <c r="O21" s="3380"/>
      <c r="P21" s="3380"/>
      <c r="Q21" s="3380"/>
      <c r="R21" s="3380"/>
      <c r="S21" s="3380"/>
      <c r="T21" s="3380"/>
    </row>
    <row r="23" spans="1:22" ht="12" customHeight="1" x14ac:dyDescent="0.25">
      <c r="A23" s="3397" t="s">
        <v>781</v>
      </c>
      <c r="B23" s="3398"/>
      <c r="C23" s="3399">
        <v>2003</v>
      </c>
      <c r="D23" s="3399">
        <v>2004</v>
      </c>
      <c r="E23" s="3399">
        <v>2005</v>
      </c>
      <c r="F23" s="3399">
        <v>2006</v>
      </c>
      <c r="G23" s="3399">
        <v>2007</v>
      </c>
      <c r="H23" s="3399">
        <v>2008</v>
      </c>
      <c r="I23" s="3399">
        <v>2009</v>
      </c>
      <c r="J23" s="3399">
        <v>2010</v>
      </c>
      <c r="K23" s="3399">
        <v>2011</v>
      </c>
      <c r="L23" s="3399">
        <v>2012</v>
      </c>
      <c r="M23" s="3399">
        <v>2013</v>
      </c>
      <c r="N23" s="3399">
        <v>2014</v>
      </c>
      <c r="O23" s="3399">
        <v>2015</v>
      </c>
      <c r="P23" s="3399">
        <v>2016</v>
      </c>
      <c r="Q23" s="3399">
        <v>2017</v>
      </c>
      <c r="R23" s="3399">
        <v>2018</v>
      </c>
      <c r="S23" s="3399">
        <v>2019</v>
      </c>
      <c r="T23" s="3399">
        <v>2020</v>
      </c>
      <c r="U23" s="3399">
        <v>2021</v>
      </c>
      <c r="V23" s="3399">
        <v>2022</v>
      </c>
    </row>
    <row r="24" spans="1:22" ht="12" customHeight="1" x14ac:dyDescent="0.25">
      <c r="A24" s="3400" t="s">
        <v>782</v>
      </c>
      <c r="B24" s="3401"/>
      <c r="C24" s="3402">
        <v>13</v>
      </c>
      <c r="D24" s="3402">
        <f>11</f>
        <v>11</v>
      </c>
      <c r="E24" s="3402">
        <f>13</f>
        <v>13</v>
      </c>
      <c r="F24" s="3402">
        <f>12</f>
        <v>12</v>
      </c>
      <c r="G24" s="3402">
        <f>10</f>
        <v>10</v>
      </c>
      <c r="H24" s="3402">
        <f>14</f>
        <v>14</v>
      </c>
      <c r="I24" s="3402">
        <v>11</v>
      </c>
      <c r="J24" s="3402">
        <v>8</v>
      </c>
      <c r="K24" s="3402">
        <v>12</v>
      </c>
      <c r="L24" s="3402">
        <v>11</v>
      </c>
      <c r="M24" s="3402">
        <v>12</v>
      </c>
      <c r="N24" s="3402">
        <f t="shared" ref="N24:S24" si="1">+N5</f>
        <v>18</v>
      </c>
      <c r="O24" s="3402">
        <f t="shared" si="1"/>
        <v>11</v>
      </c>
      <c r="P24" s="3402">
        <f t="shared" si="1"/>
        <v>9</v>
      </c>
      <c r="Q24" s="3402">
        <f t="shared" si="1"/>
        <v>12</v>
      </c>
      <c r="R24" s="3402">
        <f t="shared" si="1"/>
        <v>10</v>
      </c>
      <c r="S24" s="3402">
        <f t="shared" si="1"/>
        <v>6</v>
      </c>
      <c r="T24" s="3402">
        <f>+T5</f>
        <v>5</v>
      </c>
      <c r="U24" s="3402">
        <f>+U5</f>
        <v>2</v>
      </c>
      <c r="V24" s="3402">
        <f>+V5</f>
        <v>2</v>
      </c>
    </row>
    <row r="25" spans="1:22" ht="12" customHeight="1" x14ac:dyDescent="0.25">
      <c r="A25" s="3403" t="s">
        <v>794</v>
      </c>
      <c r="B25" s="3401"/>
      <c r="C25" s="3404">
        <f t="shared" ref="C25:T25" si="2">SUM(C6:C7)</f>
        <v>359</v>
      </c>
      <c r="D25" s="3404">
        <f t="shared" si="2"/>
        <v>307</v>
      </c>
      <c r="E25" s="3404">
        <f t="shared" si="2"/>
        <v>266</v>
      </c>
      <c r="F25" s="3404">
        <f t="shared" si="2"/>
        <v>244</v>
      </c>
      <c r="G25" s="3404">
        <f t="shared" si="2"/>
        <v>246</v>
      </c>
      <c r="H25" s="3404">
        <f t="shared" si="2"/>
        <v>252</v>
      </c>
      <c r="I25" s="3404">
        <f t="shared" si="2"/>
        <v>239</v>
      </c>
      <c r="J25" s="3404">
        <f t="shared" si="2"/>
        <v>234</v>
      </c>
      <c r="K25" s="3404">
        <f t="shared" si="2"/>
        <v>222</v>
      </c>
      <c r="L25" s="3404">
        <f t="shared" si="2"/>
        <v>222</v>
      </c>
      <c r="M25" s="3404">
        <f t="shared" si="2"/>
        <v>229</v>
      </c>
      <c r="N25" s="3404">
        <f t="shared" si="2"/>
        <v>238</v>
      </c>
      <c r="O25" s="3404">
        <f t="shared" si="2"/>
        <v>229</v>
      </c>
      <c r="P25" s="3404">
        <f t="shared" si="2"/>
        <v>217</v>
      </c>
      <c r="Q25" s="3404">
        <f t="shared" si="2"/>
        <v>202</v>
      </c>
      <c r="R25" s="3404">
        <f t="shared" si="2"/>
        <v>207</v>
      </c>
      <c r="S25" s="3404">
        <f t="shared" si="2"/>
        <v>193</v>
      </c>
      <c r="T25" s="3404">
        <f t="shared" si="2"/>
        <v>168</v>
      </c>
      <c r="U25" s="3404">
        <f t="shared" ref="U25:V25" si="3">SUM(U6:U7)</f>
        <v>141</v>
      </c>
      <c r="V25" s="3404">
        <f t="shared" si="3"/>
        <v>117</v>
      </c>
    </row>
    <row r="26" spans="1:22" ht="12" customHeight="1" x14ac:dyDescent="0.25">
      <c r="A26" s="3403" t="s">
        <v>795</v>
      </c>
      <c r="B26" s="3401"/>
      <c r="C26" s="3404">
        <f t="shared" ref="C26:T26" si="4">SUM(C8:C9)</f>
        <v>1119</v>
      </c>
      <c r="D26" s="3404">
        <f t="shared" si="4"/>
        <v>1071</v>
      </c>
      <c r="E26" s="3404">
        <f t="shared" si="4"/>
        <v>1032</v>
      </c>
      <c r="F26" s="3404">
        <f t="shared" si="4"/>
        <v>967</v>
      </c>
      <c r="G26" s="3404">
        <f t="shared" si="4"/>
        <v>929</v>
      </c>
      <c r="H26" s="3404">
        <f t="shared" si="4"/>
        <v>840</v>
      </c>
      <c r="I26" s="3404">
        <f t="shared" si="4"/>
        <v>795</v>
      </c>
      <c r="J26" s="3404">
        <f t="shared" si="4"/>
        <v>745</v>
      </c>
      <c r="K26" s="3404">
        <f t="shared" si="4"/>
        <v>711</v>
      </c>
      <c r="L26" s="3404">
        <f t="shared" si="4"/>
        <v>664</v>
      </c>
      <c r="M26" s="3404">
        <f t="shared" si="4"/>
        <v>636</v>
      </c>
      <c r="N26" s="3404">
        <f t="shared" si="4"/>
        <v>621</v>
      </c>
      <c r="O26" s="3404">
        <f t="shared" si="4"/>
        <v>565</v>
      </c>
      <c r="P26" s="3404">
        <f t="shared" si="4"/>
        <v>539</v>
      </c>
      <c r="Q26" s="3404">
        <f t="shared" si="4"/>
        <v>533</v>
      </c>
      <c r="R26" s="3404">
        <f t="shared" si="4"/>
        <v>543</v>
      </c>
      <c r="S26" s="3404">
        <f t="shared" si="4"/>
        <v>514</v>
      </c>
      <c r="T26" s="3404">
        <f t="shared" si="4"/>
        <v>511</v>
      </c>
      <c r="U26" s="3404">
        <f t="shared" ref="U26:V26" si="5">SUM(U8:U9)</f>
        <v>480</v>
      </c>
      <c r="V26" s="3404">
        <f t="shared" si="5"/>
        <v>462</v>
      </c>
    </row>
    <row r="27" spans="1:22" ht="12" customHeight="1" x14ac:dyDescent="0.25">
      <c r="A27" s="3403" t="s">
        <v>796</v>
      </c>
      <c r="B27" s="3401"/>
      <c r="C27" s="3404">
        <f t="shared" ref="C27:T27" si="6">SUM(C10:C11)</f>
        <v>1008</v>
      </c>
      <c r="D27" s="3404">
        <f t="shared" si="6"/>
        <v>1052</v>
      </c>
      <c r="E27" s="3404">
        <f t="shared" si="6"/>
        <v>1114</v>
      </c>
      <c r="F27" s="3404">
        <f t="shared" si="6"/>
        <v>1153</v>
      </c>
      <c r="G27" s="3404">
        <f t="shared" si="6"/>
        <v>1178</v>
      </c>
      <c r="H27" s="3404">
        <f t="shared" si="6"/>
        <v>1211</v>
      </c>
      <c r="I27" s="3404">
        <f t="shared" si="6"/>
        <v>1218</v>
      </c>
      <c r="J27" s="3404">
        <f t="shared" si="6"/>
        <v>1234</v>
      </c>
      <c r="K27" s="3404">
        <f t="shared" si="6"/>
        <v>1218</v>
      </c>
      <c r="L27" s="3404">
        <f t="shared" si="6"/>
        <v>1213</v>
      </c>
      <c r="M27" s="3404">
        <f t="shared" si="6"/>
        <v>1195</v>
      </c>
      <c r="N27" s="3404">
        <f t="shared" si="6"/>
        <v>1169</v>
      </c>
      <c r="O27" s="3404">
        <f t="shared" si="6"/>
        <v>1132</v>
      </c>
      <c r="P27" s="3404">
        <f t="shared" si="6"/>
        <v>1055</v>
      </c>
      <c r="Q27" s="3404">
        <f t="shared" si="6"/>
        <v>1005</v>
      </c>
      <c r="R27" s="3404">
        <f t="shared" si="6"/>
        <v>912</v>
      </c>
      <c r="S27" s="3404">
        <f t="shared" si="6"/>
        <v>876</v>
      </c>
      <c r="T27" s="3404">
        <f t="shared" si="6"/>
        <v>803</v>
      </c>
      <c r="U27" s="3404">
        <f t="shared" ref="U27:V27" si="7">SUM(U10:U11)</f>
        <v>762</v>
      </c>
      <c r="V27" s="3404">
        <f t="shared" si="7"/>
        <v>710</v>
      </c>
    </row>
    <row r="28" spans="1:22" ht="12" customHeight="1" x14ac:dyDescent="0.25">
      <c r="A28" s="3403" t="s">
        <v>797</v>
      </c>
      <c r="B28" s="3401"/>
      <c r="C28" s="3404">
        <f t="shared" ref="C28:T28" si="8">SUM(C12:C13)</f>
        <v>273</v>
      </c>
      <c r="D28" s="3404">
        <f t="shared" si="8"/>
        <v>324</v>
      </c>
      <c r="E28" s="3404">
        <f t="shared" si="8"/>
        <v>366</v>
      </c>
      <c r="F28" s="3404">
        <f t="shared" si="8"/>
        <v>434</v>
      </c>
      <c r="G28" s="3404">
        <f t="shared" si="8"/>
        <v>467</v>
      </c>
      <c r="H28" s="3404">
        <f t="shared" si="8"/>
        <v>515</v>
      </c>
      <c r="I28" s="3404">
        <f t="shared" si="8"/>
        <v>572</v>
      </c>
      <c r="J28" s="3404">
        <f t="shared" si="8"/>
        <v>649</v>
      </c>
      <c r="K28" s="3404">
        <f t="shared" si="8"/>
        <v>728</v>
      </c>
      <c r="L28" s="3404">
        <f t="shared" si="8"/>
        <v>782</v>
      </c>
      <c r="M28" s="3404">
        <f t="shared" si="8"/>
        <v>827</v>
      </c>
      <c r="N28" s="3404">
        <f t="shared" si="8"/>
        <v>878</v>
      </c>
      <c r="O28" s="3404">
        <f t="shared" si="8"/>
        <v>917</v>
      </c>
      <c r="P28" s="3404">
        <f t="shared" si="8"/>
        <v>962</v>
      </c>
      <c r="Q28" s="3404">
        <f t="shared" si="8"/>
        <v>1015</v>
      </c>
      <c r="R28" s="3404">
        <f t="shared" si="8"/>
        <v>1038</v>
      </c>
      <c r="S28" s="3404">
        <f t="shared" si="8"/>
        <v>1047</v>
      </c>
      <c r="T28" s="3404">
        <f t="shared" si="8"/>
        <v>1051</v>
      </c>
      <c r="U28" s="3404">
        <f t="shared" ref="U28:V28" si="9">SUM(U12:U13)</f>
        <v>1041</v>
      </c>
      <c r="V28" s="3404">
        <f t="shared" si="9"/>
        <v>1021</v>
      </c>
    </row>
    <row r="29" spans="1:22" ht="12" customHeight="1" x14ac:dyDescent="0.25">
      <c r="A29" s="3405" t="s">
        <v>791</v>
      </c>
      <c r="B29" s="3401"/>
      <c r="C29" s="3406">
        <f>43</f>
        <v>43</v>
      </c>
      <c r="D29" s="3406">
        <v>52</v>
      </c>
      <c r="E29" s="3406">
        <f>62</f>
        <v>62</v>
      </c>
      <c r="F29" s="3406">
        <f>55</f>
        <v>55</v>
      </c>
      <c r="G29" s="3406">
        <f>52</f>
        <v>52</v>
      </c>
      <c r="H29" s="3406">
        <f>60</f>
        <v>60</v>
      </c>
      <c r="I29" s="3406">
        <v>76</v>
      </c>
      <c r="J29" s="3406">
        <v>88</v>
      </c>
      <c r="K29" s="3406">
        <v>113</v>
      </c>
      <c r="L29" s="3406">
        <v>134</v>
      </c>
      <c r="M29" s="3406">
        <v>158</v>
      </c>
      <c r="N29" s="3406">
        <f t="shared" ref="N29:S29" si="10">+N14</f>
        <v>200</v>
      </c>
      <c r="O29" s="3406">
        <f t="shared" si="10"/>
        <v>236</v>
      </c>
      <c r="P29" s="3406">
        <f t="shared" si="10"/>
        <v>280</v>
      </c>
      <c r="Q29" s="3406">
        <f t="shared" si="10"/>
        <v>305</v>
      </c>
      <c r="R29" s="3406">
        <f t="shared" si="10"/>
        <v>378</v>
      </c>
      <c r="S29" s="3406">
        <f t="shared" si="10"/>
        <v>401</v>
      </c>
      <c r="T29" s="3406">
        <f>+T14</f>
        <v>450</v>
      </c>
      <c r="U29" s="3406">
        <f>+U14</f>
        <v>505</v>
      </c>
      <c r="V29" s="3406">
        <f>+V14</f>
        <v>550</v>
      </c>
    </row>
    <row r="30" spans="1:22" ht="12" customHeight="1" x14ac:dyDescent="0.25">
      <c r="A30" s="3407" t="s">
        <v>279</v>
      </c>
      <c r="B30" s="3401"/>
      <c r="C30" s="3408">
        <f t="shared" ref="C30:S30" si="11">SUM(C24:C29)</f>
        <v>2815</v>
      </c>
      <c r="D30" s="3408">
        <f t="shared" si="11"/>
        <v>2817</v>
      </c>
      <c r="E30" s="3408">
        <f t="shared" si="11"/>
        <v>2853</v>
      </c>
      <c r="F30" s="3408">
        <f t="shared" si="11"/>
        <v>2865</v>
      </c>
      <c r="G30" s="3408">
        <f t="shared" si="11"/>
        <v>2882</v>
      </c>
      <c r="H30" s="3408">
        <f t="shared" si="11"/>
        <v>2892</v>
      </c>
      <c r="I30" s="3408">
        <f t="shared" si="11"/>
        <v>2911</v>
      </c>
      <c r="J30" s="3408">
        <f t="shared" si="11"/>
        <v>2958</v>
      </c>
      <c r="K30" s="3408">
        <f t="shared" si="11"/>
        <v>3004</v>
      </c>
      <c r="L30" s="3408">
        <f t="shared" si="11"/>
        <v>3026</v>
      </c>
      <c r="M30" s="3408">
        <f t="shared" si="11"/>
        <v>3057</v>
      </c>
      <c r="N30" s="3408">
        <f t="shared" si="11"/>
        <v>3124</v>
      </c>
      <c r="O30" s="3408">
        <f t="shared" si="11"/>
        <v>3090</v>
      </c>
      <c r="P30" s="3408">
        <f t="shared" si="11"/>
        <v>3062</v>
      </c>
      <c r="Q30" s="3408">
        <f t="shared" si="11"/>
        <v>3072</v>
      </c>
      <c r="R30" s="3408">
        <f t="shared" si="11"/>
        <v>3088</v>
      </c>
      <c r="S30" s="3408">
        <f t="shared" si="11"/>
        <v>3037</v>
      </c>
      <c r="T30" s="3408">
        <f>SUM(T24:T29)</f>
        <v>2988</v>
      </c>
      <c r="U30" s="3408">
        <f>SUM(U24:U29)</f>
        <v>2931</v>
      </c>
      <c r="V30" s="3408">
        <f>SUM(V24:V29)</f>
        <v>2862</v>
      </c>
    </row>
    <row r="31" spans="1:22" ht="12" customHeight="1" x14ac:dyDescent="0.25">
      <c r="A31" s="3401"/>
      <c r="B31" s="3401"/>
      <c r="C31" s="3401"/>
      <c r="D31" s="3401"/>
      <c r="E31" s="3401"/>
      <c r="F31" s="3401"/>
      <c r="G31" s="3401"/>
      <c r="H31" s="3401"/>
      <c r="I31" s="3401"/>
      <c r="J31" s="3401"/>
      <c r="K31" s="3401"/>
      <c r="L31" s="3401"/>
      <c r="M31" s="3401"/>
      <c r="N31" s="3401"/>
      <c r="O31" s="3401"/>
      <c r="P31" s="3401"/>
      <c r="Q31" s="3401"/>
      <c r="R31" s="3401"/>
      <c r="S31" s="3401"/>
      <c r="T31" s="3401"/>
      <c r="U31" s="3401"/>
      <c r="V31" s="3401"/>
    </row>
    <row r="32" spans="1:22" ht="12" customHeight="1" x14ac:dyDescent="0.25">
      <c r="A32" s="3397" t="s">
        <v>781</v>
      </c>
      <c r="B32" s="3398"/>
      <c r="C32" s="3409">
        <v>2003</v>
      </c>
      <c r="D32" s="3409">
        <v>2004</v>
      </c>
      <c r="E32" s="3409">
        <v>2005</v>
      </c>
      <c r="F32" s="3409">
        <v>2006</v>
      </c>
      <c r="G32" s="3409">
        <v>2007</v>
      </c>
      <c r="H32" s="3409">
        <v>2008</v>
      </c>
      <c r="I32" s="3409">
        <v>2009</v>
      </c>
      <c r="J32" s="3409">
        <v>2010</v>
      </c>
      <c r="K32" s="3409">
        <v>2011</v>
      </c>
      <c r="L32" s="3409">
        <v>2012</v>
      </c>
      <c r="M32" s="3409">
        <v>2013</v>
      </c>
      <c r="N32" s="3409">
        <v>2014</v>
      </c>
      <c r="O32" s="3409">
        <v>2015</v>
      </c>
      <c r="P32" s="3409">
        <v>2016</v>
      </c>
      <c r="Q32" s="3409">
        <v>2017</v>
      </c>
      <c r="R32" s="3409">
        <v>2018</v>
      </c>
      <c r="S32" s="3409">
        <v>2019</v>
      </c>
      <c r="T32" s="3409">
        <v>2020</v>
      </c>
      <c r="U32" s="3409">
        <v>2021</v>
      </c>
      <c r="V32" s="3409">
        <v>2022</v>
      </c>
    </row>
    <row r="33" spans="1:22" ht="12" customHeight="1" x14ac:dyDescent="0.25">
      <c r="A33" s="3400" t="s">
        <v>782</v>
      </c>
      <c r="B33" s="3401"/>
      <c r="C33" s="3410">
        <f t="shared" ref="C33:C38" si="12">C24/$C$30</f>
        <v>4.6181172291296629E-3</v>
      </c>
      <c r="D33" s="3410">
        <f t="shared" ref="D33:D38" si="13">D24/$D$30</f>
        <v>3.9048633297834577E-3</v>
      </c>
      <c r="E33" s="3410">
        <f t="shared" ref="E33:E38" si="14">E24/$E$30</f>
        <v>4.5566070802663863E-3</v>
      </c>
      <c r="F33" s="3410">
        <f t="shared" ref="F33:F38" si="15">F24/$F$30</f>
        <v>4.1884816753926706E-3</v>
      </c>
      <c r="G33" s="3410">
        <f t="shared" ref="G33:G38" si="16">G24/$G$30</f>
        <v>3.4698126301179735E-3</v>
      </c>
      <c r="H33" s="3410">
        <f t="shared" ref="H33:H38" si="17">H24/$H$30</f>
        <v>4.8409405255878286E-3</v>
      </c>
      <c r="I33" s="3410">
        <f t="shared" ref="I33:I38" si="18">I24/$I$30</f>
        <v>3.7787701820680177E-3</v>
      </c>
      <c r="J33" s="3410">
        <f t="shared" ref="J33:J38" si="19">J24/$J$30</f>
        <v>2.7045300878972278E-3</v>
      </c>
      <c r="K33" s="3410">
        <f t="shared" ref="K33:K38" si="20">K24/$K$30</f>
        <v>3.9946737683089215E-3</v>
      </c>
      <c r="L33" s="3410">
        <f t="shared" ref="L33:L38" si="21">L24/$L$30</f>
        <v>3.6351619299405157E-3</v>
      </c>
      <c r="M33" s="3410">
        <f t="shared" ref="M33:M38" si="22">M24/$M$30</f>
        <v>3.9254170755642784E-3</v>
      </c>
      <c r="N33" s="3410">
        <f t="shared" ref="N33:N38" si="23">N24/$N$30</f>
        <v>5.7618437900128043E-3</v>
      </c>
      <c r="O33" s="3410">
        <f t="shared" ref="O33:O38" si="24">O24/$O$30</f>
        <v>3.5598705501618125E-3</v>
      </c>
      <c r="P33" s="3410">
        <f t="shared" ref="P33:P38" si="25">P24/$P$30</f>
        <v>2.939255388634879E-3</v>
      </c>
      <c r="Q33" s="3410">
        <f t="shared" ref="Q33:Q38" si="26">Q24/$Q$30</f>
        <v>3.90625E-3</v>
      </c>
      <c r="R33" s="3410">
        <f t="shared" ref="R33:R38" si="27">R24/$R$30</f>
        <v>3.2383419689119169E-3</v>
      </c>
      <c r="S33" s="3410">
        <f t="shared" ref="S33:S38" si="28">S24/$S$30</f>
        <v>1.975633849193283E-3</v>
      </c>
      <c r="T33" s="3410">
        <f t="shared" ref="T33:T38" si="29">T24/$T$30</f>
        <v>1.6733601070950468E-3</v>
      </c>
      <c r="U33" s="3410">
        <f>U24/$U$30</f>
        <v>6.8236096895257596E-4</v>
      </c>
      <c r="V33" s="3410">
        <f>V24/$V$30</f>
        <v>6.9881201956673651E-4</v>
      </c>
    </row>
    <row r="34" spans="1:22" ht="12" customHeight="1" x14ac:dyDescent="0.25">
      <c r="A34" s="3403" t="s">
        <v>794</v>
      </c>
      <c r="B34" s="3401"/>
      <c r="C34" s="3411">
        <f t="shared" si="12"/>
        <v>0.12753108348134992</v>
      </c>
      <c r="D34" s="3411">
        <f t="shared" si="13"/>
        <v>0.10898118565850196</v>
      </c>
      <c r="E34" s="3411">
        <f t="shared" si="14"/>
        <v>9.3235191026989128E-2</v>
      </c>
      <c r="F34" s="3411">
        <f t="shared" si="15"/>
        <v>8.5165794066317621E-2</v>
      </c>
      <c r="G34" s="3411">
        <f t="shared" si="16"/>
        <v>8.5357390700902147E-2</v>
      </c>
      <c r="H34" s="3411">
        <f t="shared" si="17"/>
        <v>8.7136929460580909E-2</v>
      </c>
      <c r="I34" s="3411">
        <f t="shared" si="18"/>
        <v>8.2102370319477841E-2</v>
      </c>
      <c r="J34" s="3411">
        <f t="shared" si="19"/>
        <v>7.9107505070993914E-2</v>
      </c>
      <c r="K34" s="3411">
        <f t="shared" si="20"/>
        <v>7.3901464713715045E-2</v>
      </c>
      <c r="L34" s="3411">
        <f t="shared" si="21"/>
        <v>7.3364177131526764E-2</v>
      </c>
      <c r="M34" s="3411">
        <f t="shared" si="22"/>
        <v>7.4910042525351647E-2</v>
      </c>
      <c r="N34" s="3411">
        <f t="shared" si="23"/>
        <v>7.6184379001280403E-2</v>
      </c>
      <c r="O34" s="3411">
        <f t="shared" si="24"/>
        <v>7.4110032362459541E-2</v>
      </c>
      <c r="P34" s="3411">
        <f t="shared" si="25"/>
        <v>7.0868713259307645E-2</v>
      </c>
      <c r="Q34" s="3411">
        <f t="shared" si="26"/>
        <v>6.5755208333333329E-2</v>
      </c>
      <c r="R34" s="3411">
        <f t="shared" si="27"/>
        <v>6.7033678756476686E-2</v>
      </c>
      <c r="S34" s="3411">
        <f t="shared" si="28"/>
        <v>6.3549555482383932E-2</v>
      </c>
      <c r="T34" s="3411">
        <f t="shared" si="29"/>
        <v>5.6224899598393573E-2</v>
      </c>
      <c r="U34" s="3411">
        <f t="shared" ref="U34:U38" si="30">U25/$U$30</f>
        <v>4.8106448311156604E-2</v>
      </c>
      <c r="V34" s="3411">
        <f>V25/$V$30</f>
        <v>4.0880503144654086E-2</v>
      </c>
    </row>
    <row r="35" spans="1:22" ht="12" customHeight="1" x14ac:dyDescent="0.25">
      <c r="A35" s="3403" t="s">
        <v>795</v>
      </c>
      <c r="B35" s="3401"/>
      <c r="C35" s="3411">
        <f t="shared" si="12"/>
        <v>0.39751332149200713</v>
      </c>
      <c r="D35" s="3411">
        <f t="shared" si="13"/>
        <v>0.38019169329073482</v>
      </c>
      <c r="E35" s="3411">
        <f t="shared" si="14"/>
        <v>0.36172450052576238</v>
      </c>
      <c r="F35" s="3411">
        <f t="shared" si="15"/>
        <v>0.33752181500872602</v>
      </c>
      <c r="G35" s="3411">
        <f t="shared" si="16"/>
        <v>0.32234559333795976</v>
      </c>
      <c r="H35" s="3411">
        <f t="shared" si="17"/>
        <v>0.29045643153526973</v>
      </c>
      <c r="I35" s="3411">
        <f t="shared" si="18"/>
        <v>0.27310202679491585</v>
      </c>
      <c r="J35" s="3411">
        <f t="shared" si="19"/>
        <v>0.25185936443542933</v>
      </c>
      <c r="K35" s="3411">
        <f t="shared" si="20"/>
        <v>0.23668442077230359</v>
      </c>
      <c r="L35" s="3411">
        <f t="shared" si="21"/>
        <v>0.21943159286186384</v>
      </c>
      <c r="M35" s="3411">
        <f t="shared" si="22"/>
        <v>0.20804710500490678</v>
      </c>
      <c r="N35" s="3411">
        <f t="shared" si="23"/>
        <v>0.19878361075544174</v>
      </c>
      <c r="O35" s="3411">
        <f t="shared" si="24"/>
        <v>0.18284789644012944</v>
      </c>
      <c r="P35" s="3411">
        <f t="shared" si="25"/>
        <v>0.1760287393860222</v>
      </c>
      <c r="Q35" s="3411">
        <f t="shared" si="26"/>
        <v>0.17350260416666666</v>
      </c>
      <c r="R35" s="3411">
        <f t="shared" si="27"/>
        <v>0.17584196891191708</v>
      </c>
      <c r="S35" s="3411">
        <f t="shared" si="28"/>
        <v>0.16924596641422457</v>
      </c>
      <c r="T35" s="3411">
        <f t="shared" si="29"/>
        <v>0.17101740294511378</v>
      </c>
      <c r="U35" s="3411">
        <f t="shared" si="30"/>
        <v>0.16376663254861823</v>
      </c>
      <c r="V35" s="3411">
        <f t="shared" ref="V35:V38" si="31">V26/$V$30</f>
        <v>0.16142557651991615</v>
      </c>
    </row>
    <row r="36" spans="1:22" ht="12" customHeight="1" x14ac:dyDescent="0.25">
      <c r="A36" s="3403" t="s">
        <v>796</v>
      </c>
      <c r="B36" s="3401"/>
      <c r="C36" s="3411">
        <f t="shared" si="12"/>
        <v>0.35808170515097693</v>
      </c>
      <c r="D36" s="3411">
        <f t="shared" si="13"/>
        <v>0.37344692935747248</v>
      </c>
      <c r="E36" s="3411">
        <f t="shared" si="14"/>
        <v>0.39046617595513494</v>
      </c>
      <c r="F36" s="3411">
        <f t="shared" si="15"/>
        <v>0.40244328097731241</v>
      </c>
      <c r="G36" s="3411">
        <f t="shared" si="16"/>
        <v>0.40874392782789731</v>
      </c>
      <c r="H36" s="3411">
        <f t="shared" si="17"/>
        <v>0.41874135546334718</v>
      </c>
      <c r="I36" s="3411">
        <f t="shared" si="18"/>
        <v>0.41841291652353141</v>
      </c>
      <c r="J36" s="3411">
        <f t="shared" si="19"/>
        <v>0.41717376605814738</v>
      </c>
      <c r="K36" s="3411">
        <f t="shared" si="20"/>
        <v>0.40545938748335553</v>
      </c>
      <c r="L36" s="3411">
        <f t="shared" si="21"/>
        <v>0.40085922009253139</v>
      </c>
      <c r="M36" s="3411">
        <f t="shared" si="22"/>
        <v>0.39090611710827611</v>
      </c>
      <c r="N36" s="3411">
        <f t="shared" si="23"/>
        <v>0.37419974391805377</v>
      </c>
      <c r="O36" s="3411">
        <f t="shared" si="24"/>
        <v>0.36634304207119739</v>
      </c>
      <c r="P36" s="3411">
        <f t="shared" si="25"/>
        <v>0.34454604833442193</v>
      </c>
      <c r="Q36" s="3411">
        <f t="shared" si="26"/>
        <v>0.3271484375</v>
      </c>
      <c r="R36" s="3411">
        <f t="shared" si="27"/>
        <v>0.29533678756476683</v>
      </c>
      <c r="S36" s="3411">
        <f t="shared" si="28"/>
        <v>0.2884425419822193</v>
      </c>
      <c r="T36" s="3411">
        <f t="shared" si="29"/>
        <v>0.26874163319946454</v>
      </c>
      <c r="U36" s="3411">
        <f t="shared" si="30"/>
        <v>0.25997952917093142</v>
      </c>
      <c r="V36" s="3411">
        <f t="shared" si="31"/>
        <v>0.24807826694619148</v>
      </c>
    </row>
    <row r="37" spans="1:22" ht="12" customHeight="1" x14ac:dyDescent="0.25">
      <c r="A37" s="3403" t="s">
        <v>797</v>
      </c>
      <c r="B37" s="3401"/>
      <c r="C37" s="3411">
        <f t="shared" si="12"/>
        <v>9.6980461811722915E-2</v>
      </c>
      <c r="D37" s="3411">
        <f t="shared" si="13"/>
        <v>0.11501597444089456</v>
      </c>
      <c r="E37" s="3411">
        <f t="shared" si="14"/>
        <v>0.12828601472134596</v>
      </c>
      <c r="F37" s="3411">
        <f t="shared" si="15"/>
        <v>0.15148342059336825</v>
      </c>
      <c r="G37" s="3411">
        <f t="shared" si="16"/>
        <v>0.16204024982650936</v>
      </c>
      <c r="H37" s="3411">
        <f t="shared" si="17"/>
        <v>0.17807745504840941</v>
      </c>
      <c r="I37" s="3411">
        <f t="shared" si="18"/>
        <v>0.19649604946753693</v>
      </c>
      <c r="J37" s="3411">
        <f t="shared" si="19"/>
        <v>0.2194050033806626</v>
      </c>
      <c r="K37" s="3411">
        <f t="shared" si="20"/>
        <v>0.24234354194407456</v>
      </c>
      <c r="L37" s="3411">
        <f t="shared" si="21"/>
        <v>0.25842696629213485</v>
      </c>
      <c r="M37" s="3411">
        <f t="shared" si="22"/>
        <v>0.27052666012430487</v>
      </c>
      <c r="N37" s="3411">
        <f t="shared" si="23"/>
        <v>0.28104993597951344</v>
      </c>
      <c r="O37" s="3411">
        <f t="shared" si="24"/>
        <v>0.29676375404530747</v>
      </c>
      <c r="P37" s="3411">
        <f t="shared" si="25"/>
        <v>0.31417374265186154</v>
      </c>
      <c r="Q37" s="3411">
        <f t="shared" si="26"/>
        <v>0.33040364583333331</v>
      </c>
      <c r="R37" s="3411">
        <f t="shared" si="27"/>
        <v>0.33613989637305697</v>
      </c>
      <c r="S37" s="3411">
        <f t="shared" si="28"/>
        <v>0.34474810668422784</v>
      </c>
      <c r="T37" s="3411">
        <f t="shared" si="29"/>
        <v>0.35174029451137884</v>
      </c>
      <c r="U37" s="3411">
        <f t="shared" si="30"/>
        <v>0.35516888433981575</v>
      </c>
      <c r="V37" s="3411">
        <f t="shared" si="31"/>
        <v>0.35674353598881903</v>
      </c>
    </row>
    <row r="38" spans="1:22" ht="12" customHeight="1" x14ac:dyDescent="0.25">
      <c r="A38" s="3405" t="s">
        <v>791</v>
      </c>
      <c r="B38" s="3401"/>
      <c r="C38" s="3412">
        <f t="shared" si="12"/>
        <v>1.52753108348135E-2</v>
      </c>
      <c r="D38" s="3412">
        <f t="shared" si="13"/>
        <v>1.845935392261271E-2</v>
      </c>
      <c r="E38" s="3412">
        <f t="shared" si="14"/>
        <v>2.1731510690501228E-2</v>
      </c>
      <c r="F38" s="3412">
        <f t="shared" si="15"/>
        <v>1.9197207678883072E-2</v>
      </c>
      <c r="G38" s="3412">
        <f t="shared" si="16"/>
        <v>1.8043025676613464E-2</v>
      </c>
      <c r="H38" s="3412">
        <f t="shared" si="17"/>
        <v>2.0746887966804978E-2</v>
      </c>
      <c r="I38" s="3412">
        <f t="shared" si="18"/>
        <v>2.6107866712469941E-2</v>
      </c>
      <c r="J38" s="3412">
        <f t="shared" si="19"/>
        <v>2.9749830966869506E-2</v>
      </c>
      <c r="K38" s="3412">
        <f t="shared" si="20"/>
        <v>3.7616511318242341E-2</v>
      </c>
      <c r="L38" s="3412">
        <f t="shared" si="21"/>
        <v>4.4282881692002646E-2</v>
      </c>
      <c r="M38" s="3412">
        <f t="shared" si="22"/>
        <v>5.1684658161596335E-2</v>
      </c>
      <c r="N38" s="3412">
        <f t="shared" si="23"/>
        <v>6.4020486555697823E-2</v>
      </c>
      <c r="O38" s="3412">
        <f t="shared" si="24"/>
        <v>7.6375404530744331E-2</v>
      </c>
      <c r="P38" s="3412">
        <f t="shared" si="25"/>
        <v>9.1443500979751791E-2</v>
      </c>
      <c r="Q38" s="3412">
        <f t="shared" si="26"/>
        <v>9.9283854166666671E-2</v>
      </c>
      <c r="R38" s="3412">
        <f t="shared" si="27"/>
        <v>0.12240932642487047</v>
      </c>
      <c r="S38" s="3412">
        <f t="shared" si="28"/>
        <v>0.13203819558775107</v>
      </c>
      <c r="T38" s="3412">
        <f t="shared" si="29"/>
        <v>0.15060240963855423</v>
      </c>
      <c r="U38" s="3412">
        <f t="shared" si="30"/>
        <v>0.17229614466052542</v>
      </c>
      <c r="V38" s="3411">
        <f t="shared" si="31"/>
        <v>0.19217330538085256</v>
      </c>
    </row>
    <row r="39" spans="1:22" ht="12" customHeight="1" x14ac:dyDescent="0.25">
      <c r="A39" s="3407" t="s">
        <v>279</v>
      </c>
      <c r="B39" s="3401"/>
      <c r="C39" s="3413">
        <f>SUM(C33:C38)</f>
        <v>1</v>
      </c>
      <c r="D39" s="3413">
        <f t="shared" ref="D39:S39" si="32">SUM(D33:D38)</f>
        <v>0.99999999999999989</v>
      </c>
      <c r="E39" s="3413">
        <f t="shared" si="32"/>
        <v>1</v>
      </c>
      <c r="F39" s="3413">
        <f t="shared" si="32"/>
        <v>1</v>
      </c>
      <c r="G39" s="3413">
        <f t="shared" si="32"/>
        <v>1</v>
      </c>
      <c r="H39" s="3413">
        <f t="shared" si="32"/>
        <v>1</v>
      </c>
      <c r="I39" s="3413">
        <f t="shared" si="32"/>
        <v>1</v>
      </c>
      <c r="J39" s="3413">
        <f t="shared" si="32"/>
        <v>1</v>
      </c>
      <c r="K39" s="3413">
        <f t="shared" si="32"/>
        <v>1</v>
      </c>
      <c r="L39" s="3413">
        <f t="shared" si="32"/>
        <v>1</v>
      </c>
      <c r="M39" s="3413">
        <f t="shared" si="32"/>
        <v>0.99999999999999989</v>
      </c>
      <c r="N39" s="3413">
        <f t="shared" si="32"/>
        <v>1</v>
      </c>
      <c r="O39" s="3413">
        <f t="shared" si="32"/>
        <v>1</v>
      </c>
      <c r="P39" s="3413">
        <f t="shared" si="32"/>
        <v>1</v>
      </c>
      <c r="Q39" s="3413">
        <f t="shared" si="32"/>
        <v>0.99999999999999989</v>
      </c>
      <c r="R39" s="3413">
        <f t="shared" si="32"/>
        <v>0.99999999999999989</v>
      </c>
      <c r="S39" s="3413">
        <f t="shared" si="32"/>
        <v>1</v>
      </c>
      <c r="T39" s="3413">
        <f>SUM(T33:T38)</f>
        <v>0.99999999999999989</v>
      </c>
      <c r="U39" s="3413">
        <f>SUM(U33:U38)</f>
        <v>1</v>
      </c>
      <c r="V39" s="3413">
        <f>SUM(V33:V38)</f>
        <v>1</v>
      </c>
    </row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</sheetData>
  <printOptions horizontalCentered="1" verticalCentered="1"/>
  <pageMargins left="0.70866141732283472" right="0.70866141732283472" top="0.35433070866141736" bottom="0.35433070866141736" header="0.31496062992125984" footer="0.31496062992125984"/>
  <pageSetup scale="70" firstPageNumber="145" orientation="landscape" useFirstPageNumber="1" r:id="rId1"/>
  <headerFooter scaleWithDoc="0" alignWithMargins="0">
    <oddFooter>&amp;R&amp;P</oddFooter>
  </headerFooter>
  <rowBreaks count="3" manualBreakCount="3">
    <brk id="21" max="16383" man="1"/>
    <brk id="41" max="16383" man="1"/>
    <brk id="101" max="17" man="1"/>
  </rowBreaks>
  <ignoredErrors>
    <ignoredError sqref="I25:T28 U25:U28 V25:V28" formulaRange="1"/>
  </ignoredErrors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8200"/>
  </sheetPr>
  <dimension ref="A1:V87"/>
  <sheetViews>
    <sheetView showGridLines="0" zoomScaleNormal="100" zoomScaleSheetLayoutView="80" workbookViewId="0">
      <pane xSplit="2" ySplit="3" topLeftCell="G4" activePane="bottomRight" state="frozen"/>
      <selection activeCell="Q31" sqref="Q31"/>
      <selection pane="topRight" activeCell="Q31" sqref="Q31"/>
      <selection pane="bottomLeft" activeCell="Q31" sqref="Q31"/>
      <selection pane="bottomRight" activeCell="Q31" sqref="Q31"/>
    </sheetView>
  </sheetViews>
  <sheetFormatPr baseColWidth="10" defaultColWidth="11.44140625" defaultRowHeight="13.2" x14ac:dyDescent="0.25"/>
  <cols>
    <col min="1" max="1" width="27.44140625" customWidth="1"/>
    <col min="2" max="2" width="1.109375" customWidth="1"/>
    <col min="3" max="18" width="10.88671875" customWidth="1"/>
  </cols>
  <sheetData>
    <row r="1" spans="1:22" ht="46.8" x14ac:dyDescent="0.3">
      <c r="A1" s="4856" t="s">
        <v>798</v>
      </c>
      <c r="B1" s="3379"/>
      <c r="C1" s="3380"/>
      <c r="D1" s="3381"/>
      <c r="E1" s="3381"/>
      <c r="F1" s="3381"/>
      <c r="G1" s="3381"/>
      <c r="H1" s="3381"/>
      <c r="I1" s="3381"/>
      <c r="J1" s="3381"/>
      <c r="K1" s="3381"/>
      <c r="L1" s="3381"/>
      <c r="M1" s="3381"/>
      <c r="N1" s="3380"/>
      <c r="O1" s="3380"/>
      <c r="P1" s="3380"/>
      <c r="Q1" s="3380"/>
      <c r="R1" s="3380"/>
      <c r="S1" s="3380"/>
      <c r="T1" s="3380"/>
    </row>
    <row r="2" spans="1:22" ht="11.25" customHeight="1" x14ac:dyDescent="0.3">
      <c r="A2" s="3380"/>
      <c r="B2" s="3380"/>
      <c r="C2" s="3380"/>
      <c r="D2" s="3380"/>
      <c r="E2" s="3380"/>
      <c r="F2" s="3380"/>
      <c r="G2" s="3380"/>
      <c r="H2" s="3380"/>
      <c r="I2" s="3380"/>
      <c r="J2" s="3380"/>
      <c r="K2" s="3380"/>
      <c r="L2" s="3380"/>
      <c r="M2" s="3380"/>
      <c r="N2" s="3380"/>
      <c r="O2" s="3380"/>
      <c r="P2" s="3380"/>
      <c r="Q2" s="3380"/>
      <c r="R2" s="3380"/>
      <c r="S2" s="3380"/>
      <c r="T2" s="3380"/>
    </row>
    <row r="3" spans="1:22" ht="33.75" customHeight="1" thickBot="1" x14ac:dyDescent="0.3">
      <c r="A3" s="3382" t="s">
        <v>799</v>
      </c>
      <c r="B3" s="3379"/>
      <c r="C3" s="3383">
        <v>2003</v>
      </c>
      <c r="D3" s="3383">
        <v>2004</v>
      </c>
      <c r="E3" s="3383">
        <v>2005</v>
      </c>
      <c r="F3" s="3383">
        <v>2006</v>
      </c>
      <c r="G3" s="3383">
        <v>2007</v>
      </c>
      <c r="H3" s="3383">
        <v>2008</v>
      </c>
      <c r="I3" s="3383">
        <v>2009</v>
      </c>
      <c r="J3" s="3383">
        <v>2010</v>
      </c>
      <c r="K3" s="3383">
        <v>2011</v>
      </c>
      <c r="L3" s="3383">
        <v>2012</v>
      </c>
      <c r="M3" s="3383">
        <v>2013</v>
      </c>
      <c r="N3" s="3383">
        <v>2014</v>
      </c>
      <c r="O3" s="3383">
        <v>2015</v>
      </c>
      <c r="P3" s="3383">
        <v>2016</v>
      </c>
      <c r="Q3" s="3383">
        <v>2017</v>
      </c>
      <c r="R3" s="3383">
        <v>2018</v>
      </c>
      <c r="S3" s="3383">
        <v>2019</v>
      </c>
      <c r="T3" s="3383">
        <v>2020</v>
      </c>
      <c r="U3" s="3383">
        <v>2021</v>
      </c>
      <c r="V3" s="3383">
        <v>2022</v>
      </c>
    </row>
    <row r="4" spans="1:22" ht="11.25" customHeight="1" x14ac:dyDescent="0.3">
      <c r="A4" s="3380"/>
      <c r="B4" s="3379"/>
      <c r="C4" s="3380"/>
      <c r="D4" s="3380"/>
      <c r="E4" s="3380"/>
      <c r="F4" s="3380"/>
      <c r="G4" s="3380"/>
      <c r="H4" s="3380"/>
      <c r="I4" s="3380"/>
      <c r="J4" s="3380"/>
      <c r="K4" s="3380"/>
      <c r="L4" s="3380"/>
      <c r="M4" s="3380"/>
      <c r="N4" s="3380"/>
      <c r="O4" s="3380"/>
      <c r="P4" s="3380"/>
      <c r="Q4" s="3380"/>
      <c r="R4" s="3380"/>
      <c r="S4" s="3380"/>
      <c r="T4" s="3380"/>
      <c r="U4" s="3380"/>
      <c r="V4" s="3380"/>
    </row>
    <row r="5" spans="1:22" ht="21" customHeight="1" x14ac:dyDescent="0.25">
      <c r="A5" s="3384" t="s">
        <v>800</v>
      </c>
      <c r="B5" s="3379"/>
      <c r="C5" s="3385">
        <v>151</v>
      </c>
      <c r="D5" s="3385">
        <f>116+1</f>
        <v>117</v>
      </c>
      <c r="E5" s="3385">
        <f>118+1</f>
        <v>119</v>
      </c>
      <c r="F5" s="3385">
        <f>131</f>
        <v>131</v>
      </c>
      <c r="G5" s="3385">
        <v>163</v>
      </c>
      <c r="H5" s="3385">
        <v>185</v>
      </c>
      <c r="I5" s="3385">
        <v>200</v>
      </c>
      <c r="J5" s="3385">
        <v>238</v>
      </c>
      <c r="K5" s="3385">
        <v>245</v>
      </c>
      <c r="L5" s="3385">
        <v>237</v>
      </c>
      <c r="M5" s="3385">
        <v>259</v>
      </c>
      <c r="N5" s="3385">
        <v>273</v>
      </c>
      <c r="O5" s="3385">
        <v>234</v>
      </c>
      <c r="P5" s="3385">
        <v>212</v>
      </c>
      <c r="Q5" s="3385">
        <v>185</v>
      </c>
      <c r="R5" s="3385">
        <v>189</v>
      </c>
      <c r="S5" s="3385">
        <v>163</v>
      </c>
      <c r="T5" s="3385">
        <v>128</v>
      </c>
      <c r="U5" s="3385">
        <v>84</v>
      </c>
      <c r="V5" s="3385">
        <v>75</v>
      </c>
    </row>
    <row r="6" spans="1:22" ht="21" customHeight="1" x14ac:dyDescent="0.25">
      <c r="A6" s="3386" t="s">
        <v>801</v>
      </c>
      <c r="B6" s="3379"/>
      <c r="C6" s="3387">
        <v>285</v>
      </c>
      <c r="D6" s="3387">
        <f>278+5</f>
        <v>283</v>
      </c>
      <c r="E6" s="3387">
        <f>255+3</f>
        <v>258</v>
      </c>
      <c r="F6" s="3387">
        <f>228+2</f>
        <v>230</v>
      </c>
      <c r="G6" s="3387">
        <v>223</v>
      </c>
      <c r="H6" s="3387">
        <v>207</v>
      </c>
      <c r="I6" s="3387">
        <v>193</v>
      </c>
      <c r="J6" s="3387">
        <v>190</v>
      </c>
      <c r="K6" s="3387">
        <v>201</v>
      </c>
      <c r="L6" s="3387">
        <v>234</v>
      </c>
      <c r="M6" s="3387">
        <v>257</v>
      </c>
      <c r="N6" s="3387">
        <v>296</v>
      </c>
      <c r="O6" s="3387">
        <v>312</v>
      </c>
      <c r="P6" s="3387">
        <v>319</v>
      </c>
      <c r="Q6" s="3387">
        <v>349</v>
      </c>
      <c r="R6" s="3387">
        <v>343</v>
      </c>
      <c r="S6" s="3387">
        <v>331</v>
      </c>
      <c r="T6" s="3387">
        <v>324</v>
      </c>
      <c r="U6" s="3387">
        <v>297</v>
      </c>
      <c r="V6" s="3387">
        <v>236</v>
      </c>
    </row>
    <row r="7" spans="1:22" ht="21" customHeight="1" x14ac:dyDescent="0.25">
      <c r="A7" s="3386" t="s">
        <v>802</v>
      </c>
      <c r="B7" s="3379"/>
      <c r="C7" s="3387">
        <v>501</v>
      </c>
      <c r="D7" s="3387">
        <f>441</f>
        <v>441</v>
      </c>
      <c r="E7" s="3387">
        <f>390+2</f>
        <v>392</v>
      </c>
      <c r="F7" s="3387">
        <f>355</f>
        <v>355</v>
      </c>
      <c r="G7" s="3387">
        <v>337</v>
      </c>
      <c r="H7" s="3387">
        <v>316</v>
      </c>
      <c r="I7" s="3387">
        <v>299</v>
      </c>
      <c r="J7" s="3387">
        <v>271</v>
      </c>
      <c r="K7" s="3387">
        <v>248</v>
      </c>
      <c r="L7" s="3387">
        <v>240</v>
      </c>
      <c r="M7" s="3387">
        <v>217</v>
      </c>
      <c r="N7" s="3387">
        <v>206</v>
      </c>
      <c r="O7" s="3387">
        <v>200</v>
      </c>
      <c r="P7" s="3387">
        <v>208</v>
      </c>
      <c r="Q7" s="3387">
        <v>246</v>
      </c>
      <c r="R7" s="3387">
        <v>275</v>
      </c>
      <c r="S7" s="3387">
        <v>298</v>
      </c>
      <c r="T7" s="3387">
        <v>328</v>
      </c>
      <c r="U7" s="3387">
        <v>341</v>
      </c>
      <c r="V7" s="3387">
        <v>360</v>
      </c>
    </row>
    <row r="8" spans="1:22" ht="21" customHeight="1" x14ac:dyDescent="0.25">
      <c r="A8" s="3386" t="s">
        <v>803</v>
      </c>
      <c r="B8" s="3379"/>
      <c r="C8" s="3387">
        <v>612</v>
      </c>
      <c r="D8" s="3387">
        <f>601+6</f>
        <v>607</v>
      </c>
      <c r="E8" s="3387">
        <f>590+4</f>
        <v>594</v>
      </c>
      <c r="F8" s="3387">
        <f>568+3</f>
        <v>571</v>
      </c>
      <c r="G8" s="3387">
        <v>549</v>
      </c>
      <c r="H8" s="3387">
        <v>495</v>
      </c>
      <c r="I8" s="3387">
        <v>453</v>
      </c>
      <c r="J8" s="3387">
        <v>402</v>
      </c>
      <c r="K8" s="3387">
        <v>363</v>
      </c>
      <c r="L8" s="3387">
        <v>327</v>
      </c>
      <c r="M8" s="3387">
        <v>308</v>
      </c>
      <c r="N8" s="3387">
        <v>290</v>
      </c>
      <c r="O8" s="3387">
        <v>272</v>
      </c>
      <c r="P8" s="3387">
        <v>241</v>
      </c>
      <c r="Q8" s="3387">
        <v>236</v>
      </c>
      <c r="R8" s="3387">
        <v>213</v>
      </c>
      <c r="S8" s="3387">
        <v>203</v>
      </c>
      <c r="T8" s="3387">
        <v>199</v>
      </c>
      <c r="U8" s="3387">
        <v>209</v>
      </c>
      <c r="V8" s="3387">
        <v>233</v>
      </c>
    </row>
    <row r="9" spans="1:22" ht="21" customHeight="1" x14ac:dyDescent="0.25">
      <c r="A9" s="3386" t="s">
        <v>804</v>
      </c>
      <c r="B9" s="3379"/>
      <c r="C9" s="3387">
        <v>764</v>
      </c>
      <c r="D9" s="3387">
        <f>709+23</f>
        <v>732</v>
      </c>
      <c r="E9" s="3387">
        <f>687+17</f>
        <v>704</v>
      </c>
      <c r="F9" s="3387">
        <f>673+6</f>
        <v>679</v>
      </c>
      <c r="G9" s="3387">
        <v>630</v>
      </c>
      <c r="H9" s="3387">
        <v>610</v>
      </c>
      <c r="I9" s="3387">
        <v>599</v>
      </c>
      <c r="J9" s="3387">
        <v>581</v>
      </c>
      <c r="K9" s="3387">
        <v>560</v>
      </c>
      <c r="L9" s="3387">
        <v>526</v>
      </c>
      <c r="M9" s="3387">
        <v>482</v>
      </c>
      <c r="N9" s="3387">
        <v>441</v>
      </c>
      <c r="O9" s="3387">
        <v>387</v>
      </c>
      <c r="P9" s="3387">
        <v>348</v>
      </c>
      <c r="Q9" s="3387">
        <v>308</v>
      </c>
      <c r="R9" s="3387">
        <v>289</v>
      </c>
      <c r="S9" s="3387">
        <v>274</v>
      </c>
      <c r="T9" s="3387">
        <v>251</v>
      </c>
      <c r="U9" s="3387">
        <v>231</v>
      </c>
      <c r="V9" s="3387">
        <v>219</v>
      </c>
    </row>
    <row r="10" spans="1:22" ht="21" customHeight="1" x14ac:dyDescent="0.25">
      <c r="A10" s="3386" t="s">
        <v>805</v>
      </c>
      <c r="B10" s="3379"/>
      <c r="C10" s="3387">
        <v>437</v>
      </c>
      <c r="D10" s="3387">
        <f>509+59+3</f>
        <v>571</v>
      </c>
      <c r="E10" s="3387">
        <f>563+49+3</f>
        <v>615</v>
      </c>
      <c r="F10" s="3387">
        <f>564+36+3</f>
        <v>603</v>
      </c>
      <c r="G10" s="3387">
        <v>630</v>
      </c>
      <c r="H10" s="3387">
        <v>690</v>
      </c>
      <c r="I10" s="3387">
        <v>680</v>
      </c>
      <c r="J10" s="3387">
        <v>663</v>
      </c>
      <c r="K10" s="3387">
        <v>644</v>
      </c>
      <c r="L10" s="3387">
        <v>595</v>
      </c>
      <c r="M10" s="3387">
        <v>572</v>
      </c>
      <c r="N10" s="3387">
        <v>561</v>
      </c>
      <c r="O10" s="3387">
        <v>553</v>
      </c>
      <c r="P10" s="3387">
        <v>522</v>
      </c>
      <c r="Q10" s="3387">
        <v>491</v>
      </c>
      <c r="R10" s="3387">
        <v>448</v>
      </c>
      <c r="S10" s="3387">
        <v>406</v>
      </c>
      <c r="T10" s="3387">
        <v>357</v>
      </c>
      <c r="U10" s="3387">
        <v>323</v>
      </c>
      <c r="V10" s="3387">
        <v>279</v>
      </c>
    </row>
    <row r="11" spans="1:22" ht="21" customHeight="1" x14ac:dyDescent="0.25">
      <c r="A11" s="3386" t="s">
        <v>783</v>
      </c>
      <c r="B11" s="3379"/>
      <c r="C11" s="3387">
        <v>36</v>
      </c>
      <c r="D11" s="3387">
        <v>32</v>
      </c>
      <c r="E11" s="3387">
        <v>130</v>
      </c>
      <c r="F11" s="3387">
        <v>244</v>
      </c>
      <c r="G11" s="3387">
        <v>294</v>
      </c>
      <c r="H11" s="3387">
        <v>334</v>
      </c>
      <c r="I11" s="3387">
        <v>433</v>
      </c>
      <c r="J11" s="3387">
        <v>481</v>
      </c>
      <c r="K11" s="3387">
        <v>515</v>
      </c>
      <c r="L11" s="3387">
        <v>564</v>
      </c>
      <c r="M11" s="3387">
        <v>612</v>
      </c>
      <c r="N11" s="3387">
        <v>617</v>
      </c>
      <c r="O11" s="3387">
        <v>590</v>
      </c>
      <c r="P11" s="3387">
        <v>571</v>
      </c>
      <c r="Q11" s="3387">
        <v>531</v>
      </c>
      <c r="R11" s="3387">
        <v>521</v>
      </c>
      <c r="S11" s="3387">
        <v>499</v>
      </c>
      <c r="T11" s="3387">
        <v>486</v>
      </c>
      <c r="U11" s="3387">
        <v>463</v>
      </c>
      <c r="V11" s="3387">
        <v>433</v>
      </c>
    </row>
    <row r="12" spans="1:22" ht="21" customHeight="1" x14ac:dyDescent="0.25">
      <c r="A12" s="3386" t="s">
        <v>784</v>
      </c>
      <c r="B12" s="3379"/>
      <c r="C12" s="3387">
        <v>16</v>
      </c>
      <c r="D12" s="3387">
        <v>20</v>
      </c>
      <c r="E12" s="3387">
        <v>25</v>
      </c>
      <c r="F12" s="3387">
        <v>32</v>
      </c>
      <c r="G12" s="3387">
        <v>33</v>
      </c>
      <c r="H12" s="3387">
        <v>30</v>
      </c>
      <c r="I12" s="3387">
        <v>25</v>
      </c>
      <c r="J12" s="3387">
        <v>99</v>
      </c>
      <c r="K12" s="3387">
        <v>187</v>
      </c>
      <c r="L12" s="3387">
        <v>262</v>
      </c>
      <c r="M12" s="3387">
        <v>308</v>
      </c>
      <c r="N12" s="3387">
        <v>395</v>
      </c>
      <c r="O12" s="3387">
        <v>428</v>
      </c>
      <c r="P12" s="3387">
        <v>447</v>
      </c>
      <c r="Q12" s="3387">
        <v>472</v>
      </c>
      <c r="R12" s="3387">
        <v>522</v>
      </c>
      <c r="S12" s="3387">
        <v>515</v>
      </c>
      <c r="T12" s="3387">
        <v>496</v>
      </c>
      <c r="U12" s="3387">
        <v>491</v>
      </c>
      <c r="V12" s="3387">
        <v>459</v>
      </c>
    </row>
    <row r="13" spans="1:22" ht="21" customHeight="1" x14ac:dyDescent="0.25">
      <c r="A13" s="3386" t="s">
        <v>806</v>
      </c>
      <c r="B13" s="3379"/>
      <c r="C13" s="3387">
        <v>13</v>
      </c>
      <c r="D13" s="3387">
        <v>14</v>
      </c>
      <c r="E13" s="3387">
        <v>16</v>
      </c>
      <c r="F13" s="3387">
        <v>20</v>
      </c>
      <c r="G13" s="3387">
        <v>23</v>
      </c>
      <c r="H13" s="3387">
        <v>25</v>
      </c>
      <c r="I13" s="3387">
        <v>29</v>
      </c>
      <c r="J13" s="3387">
        <v>33</v>
      </c>
      <c r="K13" s="3387">
        <v>41</v>
      </c>
      <c r="L13" s="3387">
        <v>41</v>
      </c>
      <c r="M13" s="3387">
        <v>42</v>
      </c>
      <c r="N13" s="3387">
        <v>45</v>
      </c>
      <c r="O13" s="3387">
        <v>114</v>
      </c>
      <c r="P13" s="3387">
        <v>194</v>
      </c>
      <c r="Q13" s="3387">
        <v>254</v>
      </c>
      <c r="R13" s="3387">
        <v>288</v>
      </c>
      <c r="S13" s="3387">
        <v>348</v>
      </c>
      <c r="T13" s="3387">
        <v>419</v>
      </c>
      <c r="U13" s="3387">
        <v>492</v>
      </c>
      <c r="V13" s="3387">
        <v>568</v>
      </c>
    </row>
    <row r="14" spans="1:22" ht="11.25" customHeight="1" x14ac:dyDescent="0.3">
      <c r="A14" s="3380"/>
      <c r="B14" s="3380"/>
      <c r="C14" s="3388"/>
      <c r="D14" s="3388"/>
      <c r="E14" s="3388"/>
      <c r="F14" s="3388"/>
      <c r="G14" s="3388"/>
      <c r="H14" s="3388"/>
      <c r="I14" s="3388"/>
      <c r="J14" s="3389"/>
      <c r="K14" s="3389"/>
      <c r="L14" s="3389"/>
      <c r="M14" s="3389"/>
      <c r="N14" s="3389"/>
      <c r="O14" s="3389"/>
      <c r="P14" s="3389"/>
      <c r="Q14" s="3389"/>
      <c r="R14" s="3389"/>
      <c r="S14" s="3389"/>
      <c r="T14" s="3389"/>
      <c r="U14" s="3389"/>
      <c r="V14" s="3389"/>
    </row>
    <row r="15" spans="1:22" ht="21.75" customHeight="1" x14ac:dyDescent="0.25">
      <c r="A15" s="3390" t="s">
        <v>279</v>
      </c>
      <c r="B15" s="3379"/>
      <c r="C15" s="3391">
        <f>SUM(C5:C13)</f>
        <v>2815</v>
      </c>
      <c r="D15" s="3391">
        <f t="shared" ref="D15:P15" si="0">SUM(D5:D13)</f>
        <v>2817</v>
      </c>
      <c r="E15" s="3391">
        <f t="shared" si="0"/>
        <v>2853</v>
      </c>
      <c r="F15" s="3391">
        <f t="shared" si="0"/>
        <v>2865</v>
      </c>
      <c r="G15" s="3391">
        <f t="shared" si="0"/>
        <v>2882</v>
      </c>
      <c r="H15" s="3391">
        <f t="shared" si="0"/>
        <v>2892</v>
      </c>
      <c r="I15" s="3391">
        <f t="shared" si="0"/>
        <v>2911</v>
      </c>
      <c r="J15" s="3391">
        <f t="shared" si="0"/>
        <v>2958</v>
      </c>
      <c r="K15" s="3391">
        <f t="shared" si="0"/>
        <v>3004</v>
      </c>
      <c r="L15" s="3391">
        <f t="shared" si="0"/>
        <v>3026</v>
      </c>
      <c r="M15" s="3391">
        <f t="shared" si="0"/>
        <v>3057</v>
      </c>
      <c r="N15" s="3391">
        <f t="shared" si="0"/>
        <v>3124</v>
      </c>
      <c r="O15" s="3391">
        <f t="shared" si="0"/>
        <v>3090</v>
      </c>
      <c r="P15" s="3391">
        <f t="shared" si="0"/>
        <v>3062</v>
      </c>
      <c r="Q15" s="3391">
        <f t="shared" ref="Q15:V15" si="1">SUM(Q5:Q13)</f>
        <v>3072</v>
      </c>
      <c r="R15" s="3391">
        <f t="shared" si="1"/>
        <v>3088</v>
      </c>
      <c r="S15" s="3391">
        <f t="shared" si="1"/>
        <v>3037</v>
      </c>
      <c r="T15" s="3391">
        <f t="shared" si="1"/>
        <v>2988</v>
      </c>
      <c r="U15" s="3391">
        <f t="shared" si="1"/>
        <v>2931</v>
      </c>
      <c r="V15" s="3391">
        <f t="shared" si="1"/>
        <v>2862</v>
      </c>
    </row>
    <row r="16" spans="1:22" ht="11.25" customHeight="1" x14ac:dyDescent="0.3">
      <c r="A16" s="3380"/>
      <c r="B16" s="3380"/>
      <c r="C16" s="3389"/>
      <c r="D16" s="3389"/>
      <c r="E16" s="3389"/>
      <c r="F16" s="3389"/>
      <c r="G16" s="3389"/>
      <c r="H16" s="3389"/>
      <c r="I16" s="3389"/>
      <c r="J16" s="3389"/>
      <c r="K16" s="3389"/>
      <c r="L16" s="3389"/>
      <c r="M16" s="3389"/>
      <c r="N16" s="3389"/>
      <c r="O16" s="3389"/>
      <c r="P16" s="3389"/>
      <c r="Q16" s="3389"/>
      <c r="R16" s="3389"/>
      <c r="S16" s="3389"/>
      <c r="T16" s="3389"/>
      <c r="U16" s="3389"/>
      <c r="V16" s="3389"/>
    </row>
    <row r="17" spans="1:22" ht="21" customHeight="1" x14ac:dyDescent="0.25">
      <c r="A17" s="3414" t="s">
        <v>807</v>
      </c>
      <c r="B17" s="3379"/>
      <c r="C17" s="3415">
        <v>17.842454394693199</v>
      </c>
      <c r="D17" s="3415">
        <v>18.5973651708522</v>
      </c>
      <c r="E17" s="3415">
        <v>19.370731707317098</v>
      </c>
      <c r="F17" s="3394">
        <v>19.9131652661064</v>
      </c>
      <c r="G17" s="3394">
        <v>20.247968571428601</v>
      </c>
      <c r="H17" s="3394">
        <v>21.378284923928099</v>
      </c>
      <c r="I17" s="3394">
        <v>21.884575747165901</v>
      </c>
      <c r="J17" s="3394">
        <v>22.3404327248141</v>
      </c>
      <c r="K17" s="3394">
        <v>22.863848202396799</v>
      </c>
      <c r="L17" s="3394">
        <v>23.299735624586912</v>
      </c>
      <c r="M17" s="3394">
        <v>23.6</v>
      </c>
      <c r="N17" s="3395">
        <v>23.86</v>
      </c>
      <c r="O17" s="3395">
        <v>24.5809061488673</v>
      </c>
      <c r="P17" s="3395">
        <v>25.152841280209</v>
      </c>
      <c r="Q17" s="3395">
        <v>25.3942057291667</v>
      </c>
      <c r="R17" s="3395">
        <v>25.787564766839399</v>
      </c>
      <c r="S17" s="3395">
        <v>26.273296015805101</v>
      </c>
      <c r="T17" s="3395">
        <v>26.820281124497999</v>
      </c>
      <c r="U17" s="3395">
        <v>27.622995564653699</v>
      </c>
      <c r="V17" s="3395">
        <v>28.2728860936408</v>
      </c>
    </row>
    <row r="18" spans="1:22" ht="11.25" customHeight="1" x14ac:dyDescent="0.3">
      <c r="A18" s="3380"/>
      <c r="B18" s="3380"/>
      <c r="C18" s="3380"/>
      <c r="D18" s="3380"/>
      <c r="E18" s="3380"/>
      <c r="F18" s="3380"/>
      <c r="G18" s="3380"/>
      <c r="H18" s="3380"/>
      <c r="I18" s="3380"/>
      <c r="J18" s="3380"/>
      <c r="K18" s="3380"/>
      <c r="L18" s="3380"/>
      <c r="M18" s="3380"/>
      <c r="N18" s="3380"/>
      <c r="O18" s="3380"/>
      <c r="P18" s="3380"/>
      <c r="Q18" s="3380"/>
      <c r="R18" s="3380"/>
      <c r="S18" s="3380"/>
      <c r="T18" s="3380"/>
    </row>
    <row r="19" spans="1:22" ht="14.4" x14ac:dyDescent="0.3">
      <c r="A19" s="3396" t="s">
        <v>793</v>
      </c>
      <c r="B19" s="3380"/>
      <c r="C19" s="3380"/>
      <c r="D19" s="3380"/>
      <c r="E19" s="3380"/>
      <c r="F19" s="3380"/>
      <c r="G19" s="3380"/>
      <c r="H19" s="3380"/>
      <c r="I19" s="3380"/>
      <c r="J19" s="3380"/>
      <c r="K19" s="3380"/>
      <c r="L19" s="3380"/>
      <c r="M19" s="3380"/>
      <c r="N19" s="3380"/>
      <c r="O19" s="3380"/>
      <c r="P19" s="3380"/>
      <c r="Q19" s="3380"/>
      <c r="R19" s="3380"/>
      <c r="S19" s="3380"/>
      <c r="T19" s="3380"/>
    </row>
    <row r="20" spans="1:22" ht="14.4" x14ac:dyDescent="0.3">
      <c r="A20" s="3396" t="s">
        <v>765</v>
      </c>
      <c r="B20" s="3380"/>
      <c r="C20" s="3380"/>
      <c r="D20" s="3380"/>
      <c r="E20" s="3380"/>
      <c r="F20" s="3380"/>
      <c r="G20" s="3380"/>
      <c r="H20" s="3380"/>
      <c r="I20" s="3380"/>
      <c r="J20" s="3380"/>
      <c r="K20" s="3380"/>
      <c r="L20" s="3380"/>
      <c r="M20" s="3380"/>
      <c r="N20" s="3380"/>
      <c r="O20" s="3380"/>
      <c r="P20" s="3380"/>
      <c r="Q20" s="3380"/>
      <c r="R20" s="3380"/>
      <c r="S20" s="3380"/>
      <c r="T20" s="3380"/>
    </row>
    <row r="21" spans="1:22" s="3401" customFormat="1" ht="10.199999999999999" x14ac:dyDescent="0.2">
      <c r="A21" s="3416"/>
      <c r="C21" s="3417"/>
      <c r="D21" s="3417"/>
      <c r="E21" s="3417"/>
      <c r="F21" s="3417"/>
      <c r="G21" s="3417"/>
      <c r="H21" s="3417"/>
      <c r="I21" s="3417"/>
      <c r="J21" s="3417"/>
      <c r="K21" s="3417"/>
      <c r="L21" s="3417"/>
      <c r="M21" s="3417"/>
      <c r="N21" s="3417"/>
      <c r="O21" s="3418"/>
      <c r="P21" s="3418"/>
      <c r="Q21" s="3418"/>
      <c r="R21" s="3418"/>
      <c r="S21" s="3418"/>
      <c r="T21" s="3418"/>
    </row>
    <row r="22" spans="1:22" ht="14.4" x14ac:dyDescent="0.3">
      <c r="A22" s="3396"/>
      <c r="B22" s="3380"/>
      <c r="C22" s="3380"/>
      <c r="D22" s="3380"/>
      <c r="E22" s="3380"/>
      <c r="F22" s="3380"/>
      <c r="G22" s="3380"/>
      <c r="H22" s="3380"/>
      <c r="I22" s="3380"/>
      <c r="J22" s="3380"/>
      <c r="K22" s="3380"/>
      <c r="L22" s="3380"/>
      <c r="M22" s="3380"/>
      <c r="N22" s="3380"/>
      <c r="O22" s="3380"/>
      <c r="P22" s="3380"/>
      <c r="Q22" s="3380"/>
      <c r="R22" s="3380"/>
      <c r="S22" s="3380"/>
      <c r="T22" s="3380"/>
    </row>
    <row r="24" spans="1:22" ht="12" customHeight="1" x14ac:dyDescent="0.25">
      <c r="A24" s="3419" t="s">
        <v>799</v>
      </c>
      <c r="B24" s="3401"/>
      <c r="C24" s="3409">
        <v>2003</v>
      </c>
      <c r="D24" s="3409">
        <v>2004</v>
      </c>
      <c r="E24" s="3409">
        <v>2005</v>
      </c>
      <c r="F24" s="3409">
        <v>2006</v>
      </c>
      <c r="G24" s="3409">
        <v>2007</v>
      </c>
      <c r="H24" s="3409">
        <v>2008</v>
      </c>
      <c r="I24" s="3409">
        <v>2009</v>
      </c>
      <c r="J24" s="3409">
        <v>2010</v>
      </c>
      <c r="K24" s="3409">
        <v>2011</v>
      </c>
      <c r="L24" s="3409">
        <v>2012</v>
      </c>
      <c r="M24" s="3409">
        <v>2013</v>
      </c>
      <c r="N24" s="3409">
        <v>2014</v>
      </c>
      <c r="O24" s="3409">
        <v>2015</v>
      </c>
      <c r="P24" s="3409">
        <v>2016</v>
      </c>
      <c r="Q24" s="3409">
        <v>2017</v>
      </c>
      <c r="R24" s="3409">
        <v>2018</v>
      </c>
      <c r="S24" s="3409">
        <v>2019</v>
      </c>
      <c r="T24" s="3409">
        <v>2020</v>
      </c>
      <c r="U24" s="3409">
        <v>2021</v>
      </c>
      <c r="V24" s="3409">
        <v>2022</v>
      </c>
    </row>
    <row r="25" spans="1:22" ht="12" customHeight="1" x14ac:dyDescent="0.25">
      <c r="A25" s="3400" t="s">
        <v>800</v>
      </c>
      <c r="B25" s="3401"/>
      <c r="C25" s="3410">
        <f t="shared" ref="C25:C33" si="2">C5/$C$15</f>
        <v>5.3641207815275309E-2</v>
      </c>
      <c r="D25" s="3410">
        <f t="shared" ref="D25:D33" si="3">D5/$D$15</f>
        <v>4.1533546325878593E-2</v>
      </c>
      <c r="E25" s="3410">
        <f t="shared" ref="E25:E33" si="4">E5/$E$15</f>
        <v>4.1710480196284615E-2</v>
      </c>
      <c r="F25" s="3410">
        <f t="shared" ref="F25:F33" si="5">F5/$F$15</f>
        <v>4.5724258289703314E-2</v>
      </c>
      <c r="G25" s="3410">
        <f t="shared" ref="G25:G33" si="6">G5/$G$15</f>
        <v>5.6557945870922971E-2</v>
      </c>
      <c r="H25" s="3410">
        <f t="shared" ref="H25:H33" si="7">H5/$H$15</f>
        <v>6.3969571230982014E-2</v>
      </c>
      <c r="I25" s="3410">
        <f t="shared" ref="I25:I33" si="8">I5/$I$15</f>
        <v>6.870491240123669E-2</v>
      </c>
      <c r="J25" s="3410">
        <f t="shared" ref="J25:J33" si="9">J5/$J$15</f>
        <v>8.0459770114942528E-2</v>
      </c>
      <c r="K25" s="3410">
        <f t="shared" ref="K25:K33" si="10">K5/$K$15</f>
        <v>8.1557922769640481E-2</v>
      </c>
      <c r="L25" s="3410">
        <f t="shared" ref="L25:L33" si="11">L5/$L$15</f>
        <v>7.8321216126900198E-2</v>
      </c>
      <c r="M25" s="3410">
        <f t="shared" ref="M25:M33" si="12">M5/$M$15</f>
        <v>8.4723585214262348E-2</v>
      </c>
      <c r="N25" s="3410">
        <f t="shared" ref="N25:N33" si="13">N5/$N$15</f>
        <v>8.7387964148527522E-2</v>
      </c>
      <c r="O25" s="3410">
        <f t="shared" ref="O25:O33" si="14">O5/$O$15</f>
        <v>7.5728155339805828E-2</v>
      </c>
      <c r="P25" s="3410">
        <f t="shared" ref="P25:P33" si="15">P5/$P$15</f>
        <v>6.9235793598954931E-2</v>
      </c>
      <c r="Q25" s="3410">
        <f>Q5/$Q$15</f>
        <v>6.0221354166666664E-2</v>
      </c>
      <c r="R25" s="3410">
        <f t="shared" ref="R25:R33" si="16">R5/$R$15</f>
        <v>6.1204663212435235E-2</v>
      </c>
      <c r="S25" s="3410">
        <f>S5/$S$15</f>
        <v>5.3671386236417519E-2</v>
      </c>
      <c r="T25" s="3410">
        <f t="shared" ref="T25:T33" si="17">T5/$T$15</f>
        <v>4.2838018741633198E-2</v>
      </c>
      <c r="U25" s="3410">
        <f>U5/$U$15</f>
        <v>2.8659160696008188E-2</v>
      </c>
      <c r="V25" s="3410">
        <f>V5/$V$15</f>
        <v>2.6205450733752619E-2</v>
      </c>
    </row>
    <row r="26" spans="1:22" ht="12" customHeight="1" x14ac:dyDescent="0.25">
      <c r="A26" s="3403" t="s">
        <v>801</v>
      </c>
      <c r="B26" s="3401"/>
      <c r="C26" s="3411">
        <f t="shared" si="2"/>
        <v>0.10124333925399645</v>
      </c>
      <c r="D26" s="3411">
        <f t="shared" si="3"/>
        <v>0.10046148384806532</v>
      </c>
      <c r="E26" s="3411">
        <f t="shared" si="4"/>
        <v>9.0431125131440596E-2</v>
      </c>
      <c r="F26" s="3411">
        <f t="shared" si="5"/>
        <v>8.0279232111692841E-2</v>
      </c>
      <c r="G26" s="3411">
        <f t="shared" si="6"/>
        <v>7.7376821651630817E-2</v>
      </c>
      <c r="H26" s="3411">
        <f t="shared" si="7"/>
        <v>7.1576763485477174E-2</v>
      </c>
      <c r="I26" s="3411">
        <f t="shared" si="8"/>
        <v>6.6300240467193405E-2</v>
      </c>
      <c r="J26" s="3411">
        <f t="shared" si="9"/>
        <v>6.4232589587559161E-2</v>
      </c>
      <c r="K26" s="3411">
        <f t="shared" si="10"/>
        <v>6.6910785619174434E-2</v>
      </c>
      <c r="L26" s="3411">
        <f t="shared" si="11"/>
        <v>7.7329808327825517E-2</v>
      </c>
      <c r="M26" s="3411">
        <f t="shared" si="12"/>
        <v>8.4069349035001642E-2</v>
      </c>
      <c r="N26" s="3411">
        <f t="shared" si="13"/>
        <v>9.4750320102432783E-2</v>
      </c>
      <c r="O26" s="3411">
        <f t="shared" si="14"/>
        <v>0.10097087378640776</v>
      </c>
      <c r="P26" s="3411">
        <f t="shared" si="15"/>
        <v>0.10418027433050293</v>
      </c>
      <c r="Q26" s="3411">
        <f t="shared" ref="Q26:Q33" si="18">Q6/$Q$15</f>
        <v>0.11360677083333333</v>
      </c>
      <c r="R26" s="3411">
        <f t="shared" si="16"/>
        <v>0.11107512953367876</v>
      </c>
      <c r="S26" s="3411">
        <f t="shared" ref="S26:S33" si="19">S6/$S$15</f>
        <v>0.10898913401382944</v>
      </c>
      <c r="T26" s="3411">
        <f t="shared" si="17"/>
        <v>0.10843373493975904</v>
      </c>
      <c r="U26" s="3411">
        <f t="shared" ref="U26:U33" si="20">U6/$U$15</f>
        <v>0.10133060388945753</v>
      </c>
      <c r="V26" s="3411">
        <f t="shared" ref="V26:V33" si="21">V6/$V$15</f>
        <v>8.2459818308874916E-2</v>
      </c>
    </row>
    <row r="27" spans="1:22" ht="12" customHeight="1" x14ac:dyDescent="0.25">
      <c r="A27" s="3403" t="s">
        <v>802</v>
      </c>
      <c r="B27" s="3401"/>
      <c r="C27" s="3411">
        <f t="shared" si="2"/>
        <v>0.17797513321492006</v>
      </c>
      <c r="D27" s="3411">
        <f t="shared" si="3"/>
        <v>0.15654952076677317</v>
      </c>
      <c r="E27" s="3411">
        <f t="shared" si="4"/>
        <v>0.13739922888187872</v>
      </c>
      <c r="F27" s="3411">
        <f t="shared" si="5"/>
        <v>0.12390924956369982</v>
      </c>
      <c r="G27" s="3411">
        <f t="shared" si="6"/>
        <v>0.11693268563497571</v>
      </c>
      <c r="H27" s="3411">
        <f t="shared" si="7"/>
        <v>0.10926694329183956</v>
      </c>
      <c r="I27" s="3411">
        <f t="shared" si="8"/>
        <v>0.10271384403984885</v>
      </c>
      <c r="J27" s="3411">
        <f t="shared" si="9"/>
        <v>9.1615956727518599E-2</v>
      </c>
      <c r="K27" s="3411">
        <f t="shared" si="10"/>
        <v>8.2556591211717711E-2</v>
      </c>
      <c r="L27" s="3411">
        <f t="shared" si="11"/>
        <v>7.9312623925974879E-2</v>
      </c>
      <c r="M27" s="3411">
        <f t="shared" si="12"/>
        <v>7.098462544978737E-2</v>
      </c>
      <c r="N27" s="3411">
        <f t="shared" si="13"/>
        <v>6.5941101152368758E-2</v>
      </c>
      <c r="O27" s="3411">
        <f t="shared" si="14"/>
        <v>6.4724919093851127E-2</v>
      </c>
      <c r="P27" s="3411">
        <f t="shared" si="15"/>
        <v>6.7929457870672769E-2</v>
      </c>
      <c r="Q27" s="3411">
        <f t="shared" si="18"/>
        <v>8.0078125E-2</v>
      </c>
      <c r="R27" s="3411">
        <f t="shared" si="16"/>
        <v>8.9054404145077717E-2</v>
      </c>
      <c r="S27" s="3411">
        <f t="shared" si="19"/>
        <v>9.8123147843266381E-2</v>
      </c>
      <c r="T27" s="3411">
        <f t="shared" si="17"/>
        <v>0.10977242302543508</v>
      </c>
      <c r="U27" s="3411">
        <f t="shared" si="20"/>
        <v>0.1163425452064142</v>
      </c>
      <c r="V27" s="3411">
        <f t="shared" si="21"/>
        <v>0.12578616352201258</v>
      </c>
    </row>
    <row r="28" spans="1:22" ht="12" customHeight="1" x14ac:dyDescent="0.25">
      <c r="A28" s="3403" t="s">
        <v>803</v>
      </c>
      <c r="B28" s="3401"/>
      <c r="C28" s="3411">
        <f t="shared" si="2"/>
        <v>0.21740674955595027</v>
      </c>
      <c r="D28" s="3411">
        <f t="shared" si="3"/>
        <v>0.21547745828895989</v>
      </c>
      <c r="E28" s="3411">
        <f t="shared" si="4"/>
        <v>0.20820189274447951</v>
      </c>
      <c r="F28" s="3411">
        <f t="shared" si="5"/>
        <v>0.19930191972076788</v>
      </c>
      <c r="G28" s="3411">
        <f t="shared" si="6"/>
        <v>0.19049271339347676</v>
      </c>
      <c r="H28" s="3411">
        <f t="shared" si="7"/>
        <v>0.17116182572614108</v>
      </c>
      <c r="I28" s="3411">
        <f t="shared" si="8"/>
        <v>0.1556166265888011</v>
      </c>
      <c r="J28" s="3411">
        <f t="shared" si="9"/>
        <v>0.13590263691683571</v>
      </c>
      <c r="K28" s="3411">
        <f t="shared" si="10"/>
        <v>0.12083888149134488</v>
      </c>
      <c r="L28" s="3411">
        <f t="shared" si="11"/>
        <v>0.10806345009914078</v>
      </c>
      <c r="M28" s="3411">
        <f t="shared" si="12"/>
        <v>0.10075237160614982</v>
      </c>
      <c r="N28" s="3411">
        <f t="shared" si="13"/>
        <v>9.2829705505761848E-2</v>
      </c>
      <c r="O28" s="3411">
        <f t="shared" si="14"/>
        <v>8.8025889967637536E-2</v>
      </c>
      <c r="P28" s="3411">
        <f t="shared" si="15"/>
        <v>7.8706727629000647E-2</v>
      </c>
      <c r="Q28" s="3411">
        <f t="shared" si="18"/>
        <v>7.6822916666666671E-2</v>
      </c>
      <c r="R28" s="3411">
        <f t="shared" si="16"/>
        <v>6.8976683937823829E-2</v>
      </c>
      <c r="S28" s="3411">
        <f t="shared" si="19"/>
        <v>6.6842278564372734E-2</v>
      </c>
      <c r="T28" s="3411">
        <f t="shared" si="17"/>
        <v>6.659973226238286E-2</v>
      </c>
      <c r="U28" s="3411">
        <f t="shared" si="20"/>
        <v>7.1306721255544186E-2</v>
      </c>
      <c r="V28" s="3411">
        <f t="shared" si="21"/>
        <v>8.1411600279524807E-2</v>
      </c>
    </row>
    <row r="29" spans="1:22" ht="12" customHeight="1" x14ac:dyDescent="0.25">
      <c r="A29" s="3403" t="s">
        <v>804</v>
      </c>
      <c r="B29" s="3401"/>
      <c r="C29" s="3411">
        <f t="shared" si="2"/>
        <v>0.2714031971580817</v>
      </c>
      <c r="D29" s="3411">
        <f t="shared" si="3"/>
        <v>0.25985090521831739</v>
      </c>
      <c r="E29" s="3411">
        <f t="shared" si="4"/>
        <v>0.24675779880827201</v>
      </c>
      <c r="F29" s="3411">
        <f t="shared" si="5"/>
        <v>0.23699825479930192</v>
      </c>
      <c r="G29" s="3411">
        <f t="shared" si="6"/>
        <v>0.21859819569743233</v>
      </c>
      <c r="H29" s="3411">
        <f t="shared" si="7"/>
        <v>0.21092669432918396</v>
      </c>
      <c r="I29" s="3411">
        <f t="shared" si="8"/>
        <v>0.20577121264170389</v>
      </c>
      <c r="J29" s="3411">
        <f t="shared" si="9"/>
        <v>0.19641649763353616</v>
      </c>
      <c r="K29" s="3411">
        <f t="shared" si="10"/>
        <v>0.18641810918774968</v>
      </c>
      <c r="L29" s="3411">
        <f t="shared" si="11"/>
        <v>0.17382683410442828</v>
      </c>
      <c r="M29" s="3411">
        <f t="shared" si="12"/>
        <v>0.15767091920183185</v>
      </c>
      <c r="N29" s="3411">
        <f t="shared" si="13"/>
        <v>0.14116517285531371</v>
      </c>
      <c r="O29" s="3411">
        <f t="shared" si="14"/>
        <v>0.12524271844660195</v>
      </c>
      <c r="P29" s="3411">
        <f t="shared" si="15"/>
        <v>0.11365120836054866</v>
      </c>
      <c r="Q29" s="3411">
        <f t="shared" si="18"/>
        <v>0.10026041666666667</v>
      </c>
      <c r="R29" s="3411">
        <f t="shared" si="16"/>
        <v>9.3588082901554404E-2</v>
      </c>
      <c r="S29" s="3411">
        <f t="shared" si="19"/>
        <v>9.0220612446493251E-2</v>
      </c>
      <c r="T29" s="3411">
        <f t="shared" si="17"/>
        <v>8.4002677376171356E-2</v>
      </c>
      <c r="U29" s="3411">
        <f t="shared" si="20"/>
        <v>7.8812691914022515E-2</v>
      </c>
      <c r="V29" s="3411">
        <f t="shared" si="21"/>
        <v>7.6519916142557654E-2</v>
      </c>
    </row>
    <row r="30" spans="1:22" ht="12" customHeight="1" x14ac:dyDescent="0.25">
      <c r="A30" s="3403" t="s">
        <v>805</v>
      </c>
      <c r="B30" s="3401"/>
      <c r="C30" s="3411">
        <f t="shared" si="2"/>
        <v>0.15523978685612788</v>
      </c>
      <c r="D30" s="3411">
        <f t="shared" si="3"/>
        <v>0.20269790557330494</v>
      </c>
      <c r="E30" s="3411">
        <f t="shared" si="4"/>
        <v>0.21556256572029442</v>
      </c>
      <c r="F30" s="3411">
        <f t="shared" si="5"/>
        <v>0.21047120418848167</v>
      </c>
      <c r="G30" s="3411">
        <f t="shared" si="6"/>
        <v>0.21859819569743233</v>
      </c>
      <c r="H30" s="3411">
        <f t="shared" si="7"/>
        <v>0.23858921161825727</v>
      </c>
      <c r="I30" s="3411">
        <f t="shared" si="8"/>
        <v>0.23359670216420475</v>
      </c>
      <c r="J30" s="3411">
        <f t="shared" si="9"/>
        <v>0.22413793103448276</v>
      </c>
      <c r="K30" s="3411">
        <f t="shared" si="10"/>
        <v>0.21438082556591212</v>
      </c>
      <c r="L30" s="3411">
        <f t="shared" si="11"/>
        <v>0.19662921348314608</v>
      </c>
      <c r="M30" s="3411">
        <f t="shared" si="12"/>
        <v>0.18711154726856394</v>
      </c>
      <c r="N30" s="3411">
        <f t="shared" si="13"/>
        <v>0.1795774647887324</v>
      </c>
      <c r="O30" s="3411">
        <f t="shared" si="14"/>
        <v>0.17896440129449839</v>
      </c>
      <c r="P30" s="3411">
        <f t="shared" si="15"/>
        <v>0.170476812540823</v>
      </c>
      <c r="Q30" s="3411">
        <f t="shared" si="18"/>
        <v>0.15983072916666666</v>
      </c>
      <c r="R30" s="3411">
        <f t="shared" si="16"/>
        <v>0.14507772020725387</v>
      </c>
      <c r="S30" s="3411">
        <f t="shared" si="19"/>
        <v>0.13368455712874547</v>
      </c>
      <c r="T30" s="3411">
        <f t="shared" si="17"/>
        <v>0.11947791164658635</v>
      </c>
      <c r="U30" s="3411">
        <f t="shared" si="20"/>
        <v>0.11020129648584101</v>
      </c>
      <c r="V30" s="3411">
        <f t="shared" si="21"/>
        <v>9.7484276729559755E-2</v>
      </c>
    </row>
    <row r="31" spans="1:22" ht="12" customHeight="1" x14ac:dyDescent="0.25">
      <c r="A31" s="3403" t="s">
        <v>783</v>
      </c>
      <c r="B31" s="3401"/>
      <c r="C31" s="3411">
        <f t="shared" si="2"/>
        <v>1.2788632326820605E-2</v>
      </c>
      <c r="D31" s="3411">
        <f t="shared" si="3"/>
        <v>1.1359602413915513E-2</v>
      </c>
      <c r="E31" s="3411">
        <f t="shared" si="4"/>
        <v>4.5566070802663859E-2</v>
      </c>
      <c r="F31" s="3411">
        <f t="shared" si="5"/>
        <v>8.5165794066317621E-2</v>
      </c>
      <c r="G31" s="3411">
        <f t="shared" si="6"/>
        <v>0.10201249132546843</v>
      </c>
      <c r="H31" s="3411">
        <f t="shared" si="7"/>
        <v>0.11549100968188106</v>
      </c>
      <c r="I31" s="3411">
        <f t="shared" si="8"/>
        <v>0.14874613534867742</v>
      </c>
      <c r="J31" s="3411">
        <f t="shared" si="9"/>
        <v>0.16260987153482082</v>
      </c>
      <c r="K31" s="3411">
        <f t="shared" si="10"/>
        <v>0.17143808255659121</v>
      </c>
      <c r="L31" s="3411">
        <f t="shared" si="11"/>
        <v>0.18638466622604097</v>
      </c>
      <c r="M31" s="3411">
        <f t="shared" si="12"/>
        <v>0.20019627085377822</v>
      </c>
      <c r="N31" s="3411">
        <f t="shared" si="13"/>
        <v>0.19750320102432778</v>
      </c>
      <c r="O31" s="3411">
        <f t="shared" si="14"/>
        <v>0.19093851132686085</v>
      </c>
      <c r="P31" s="3411">
        <f t="shared" si="15"/>
        <v>0.18647942521227956</v>
      </c>
      <c r="Q31" s="3411">
        <f t="shared" si="18"/>
        <v>0.1728515625</v>
      </c>
      <c r="R31" s="3411">
        <f t="shared" si="16"/>
        <v>0.16871761658031087</v>
      </c>
      <c r="S31" s="3411">
        <f t="shared" si="19"/>
        <v>0.16430688179124137</v>
      </c>
      <c r="T31" s="3411">
        <f t="shared" si="17"/>
        <v>0.16265060240963855</v>
      </c>
      <c r="U31" s="3411">
        <f t="shared" si="20"/>
        <v>0.15796656431252132</v>
      </c>
      <c r="V31" s="3411">
        <f t="shared" si="21"/>
        <v>0.15129280223619845</v>
      </c>
    </row>
    <row r="32" spans="1:22" ht="12" customHeight="1" x14ac:dyDescent="0.25">
      <c r="A32" s="3403" t="s">
        <v>784</v>
      </c>
      <c r="B32" s="3401"/>
      <c r="C32" s="3411">
        <f t="shared" si="2"/>
        <v>5.6838365896980459E-3</v>
      </c>
      <c r="D32" s="3411">
        <f t="shared" si="3"/>
        <v>7.099751508697196E-3</v>
      </c>
      <c r="E32" s="3411">
        <f t="shared" si="4"/>
        <v>8.7627059235892042E-3</v>
      </c>
      <c r="F32" s="3411">
        <f t="shared" si="5"/>
        <v>1.1169284467713788E-2</v>
      </c>
      <c r="G32" s="3411">
        <f t="shared" si="6"/>
        <v>1.1450381679389313E-2</v>
      </c>
      <c r="H32" s="3411">
        <f t="shared" si="7"/>
        <v>1.0373443983402489E-2</v>
      </c>
      <c r="I32" s="3411">
        <f t="shared" si="8"/>
        <v>8.5881140501545862E-3</v>
      </c>
      <c r="J32" s="3411">
        <f t="shared" si="9"/>
        <v>3.3468559837728194E-2</v>
      </c>
      <c r="K32" s="3411">
        <f t="shared" si="10"/>
        <v>6.2250332889480689E-2</v>
      </c>
      <c r="L32" s="3411">
        <f t="shared" si="11"/>
        <v>8.6582947785855915E-2</v>
      </c>
      <c r="M32" s="3411">
        <f t="shared" si="12"/>
        <v>0.10075237160614982</v>
      </c>
      <c r="N32" s="3411">
        <f t="shared" si="13"/>
        <v>0.12644046094750319</v>
      </c>
      <c r="O32" s="3411">
        <f t="shared" si="14"/>
        <v>0.13851132686084142</v>
      </c>
      <c r="P32" s="3411">
        <f t="shared" si="15"/>
        <v>0.14598301763553234</v>
      </c>
      <c r="Q32" s="3411">
        <f t="shared" si="18"/>
        <v>0.15364583333333334</v>
      </c>
      <c r="R32" s="3411">
        <f t="shared" si="16"/>
        <v>0.16904145077720206</v>
      </c>
      <c r="S32" s="3411">
        <f t="shared" si="19"/>
        <v>0.16957523872242344</v>
      </c>
      <c r="T32" s="3411">
        <f t="shared" si="17"/>
        <v>0.16599732262382866</v>
      </c>
      <c r="U32" s="3411">
        <f t="shared" si="20"/>
        <v>0.16751961787785738</v>
      </c>
      <c r="V32" s="3411">
        <f t="shared" si="21"/>
        <v>0.16037735849056603</v>
      </c>
    </row>
    <row r="33" spans="1:22" ht="12" customHeight="1" x14ac:dyDescent="0.25">
      <c r="A33" s="3405" t="s">
        <v>806</v>
      </c>
      <c r="B33" s="3401"/>
      <c r="C33" s="3411">
        <f t="shared" si="2"/>
        <v>4.6181172291296629E-3</v>
      </c>
      <c r="D33" s="3411">
        <f t="shared" si="3"/>
        <v>4.9698260560880371E-3</v>
      </c>
      <c r="E33" s="3411">
        <f t="shared" si="4"/>
        <v>5.6081317910970912E-3</v>
      </c>
      <c r="F33" s="3411">
        <f t="shared" si="5"/>
        <v>6.9808027923211171E-3</v>
      </c>
      <c r="G33" s="3411">
        <f t="shared" si="6"/>
        <v>7.9805690492713386E-3</v>
      </c>
      <c r="H33" s="3411">
        <f t="shared" si="7"/>
        <v>8.6445366528354085E-3</v>
      </c>
      <c r="I33" s="3411">
        <f t="shared" si="8"/>
        <v>9.9622122981793196E-3</v>
      </c>
      <c r="J33" s="3411">
        <f t="shared" si="9"/>
        <v>1.1156186612576065E-2</v>
      </c>
      <c r="K33" s="3411">
        <f t="shared" si="10"/>
        <v>1.3648468708388815E-2</v>
      </c>
      <c r="L33" s="3411">
        <f t="shared" si="11"/>
        <v>1.3549239920687376E-2</v>
      </c>
      <c r="M33" s="3411">
        <f t="shared" si="12"/>
        <v>1.3738959764474975E-2</v>
      </c>
      <c r="N33" s="3411">
        <f t="shared" si="13"/>
        <v>1.4404609475032011E-2</v>
      </c>
      <c r="O33" s="3411">
        <f t="shared" si="14"/>
        <v>3.6893203883495145E-2</v>
      </c>
      <c r="P33" s="3411">
        <f t="shared" si="15"/>
        <v>6.3357282821685179E-2</v>
      </c>
      <c r="Q33" s="3411">
        <f t="shared" si="18"/>
        <v>8.2682291666666671E-2</v>
      </c>
      <c r="R33" s="3411">
        <f t="shared" si="16"/>
        <v>9.3264248704663211E-2</v>
      </c>
      <c r="S33" s="3411">
        <f t="shared" si="19"/>
        <v>0.11458676325321041</v>
      </c>
      <c r="T33" s="3411">
        <f t="shared" si="17"/>
        <v>0.14022757697456492</v>
      </c>
      <c r="U33" s="3411">
        <f t="shared" si="20"/>
        <v>0.16786079836233367</v>
      </c>
      <c r="V33" s="3411">
        <f t="shared" si="21"/>
        <v>0.19846261355695319</v>
      </c>
    </row>
    <row r="34" spans="1:22" ht="12" customHeight="1" x14ac:dyDescent="0.25">
      <c r="A34" s="3407" t="s">
        <v>279</v>
      </c>
      <c r="B34" s="3401"/>
      <c r="C34" s="3420">
        <f>SUM(C25:C33)</f>
        <v>1</v>
      </c>
      <c r="D34" s="3420">
        <f t="shared" ref="D34:P34" si="22">SUM(D25:D33)</f>
        <v>1</v>
      </c>
      <c r="E34" s="3420">
        <f t="shared" si="22"/>
        <v>1</v>
      </c>
      <c r="F34" s="3420">
        <f t="shared" si="22"/>
        <v>1</v>
      </c>
      <c r="G34" s="3420">
        <f t="shared" si="22"/>
        <v>1</v>
      </c>
      <c r="H34" s="3420">
        <f t="shared" si="22"/>
        <v>1</v>
      </c>
      <c r="I34" s="3420">
        <f t="shared" si="22"/>
        <v>0.99999999999999989</v>
      </c>
      <c r="J34" s="3420">
        <f t="shared" si="22"/>
        <v>1</v>
      </c>
      <c r="K34" s="3420">
        <f t="shared" si="22"/>
        <v>0.99999999999999989</v>
      </c>
      <c r="L34" s="3420">
        <f t="shared" si="22"/>
        <v>1</v>
      </c>
      <c r="M34" s="3420">
        <f t="shared" si="22"/>
        <v>1</v>
      </c>
      <c r="N34" s="3420">
        <f t="shared" si="22"/>
        <v>0.99999999999999989</v>
      </c>
      <c r="O34" s="3420">
        <f t="shared" si="22"/>
        <v>1</v>
      </c>
      <c r="P34" s="3420">
        <f t="shared" si="22"/>
        <v>1</v>
      </c>
      <c r="Q34" s="3420">
        <f t="shared" ref="Q34:V34" si="23">SUM(Q25:Q33)</f>
        <v>1</v>
      </c>
      <c r="R34" s="3420">
        <f t="shared" si="23"/>
        <v>0.99999999999999989</v>
      </c>
      <c r="S34" s="3420">
        <f t="shared" si="23"/>
        <v>0.99999999999999989</v>
      </c>
      <c r="T34" s="3420">
        <f t="shared" si="23"/>
        <v>1</v>
      </c>
      <c r="U34" s="3420">
        <f t="shared" si="23"/>
        <v>1</v>
      </c>
      <c r="V34" s="3420">
        <f t="shared" si="23"/>
        <v>1</v>
      </c>
    </row>
    <row r="35" spans="1:22" ht="15.6" x14ac:dyDescent="0.3">
      <c r="A35" s="3421"/>
      <c r="B35" s="3380"/>
      <c r="C35" s="3422"/>
      <c r="D35" s="3422"/>
      <c r="E35" s="3422"/>
      <c r="F35" s="3422"/>
      <c r="G35" s="3422"/>
      <c r="H35" s="3422"/>
      <c r="I35" s="3422"/>
      <c r="J35" s="3422"/>
      <c r="K35" s="3422"/>
      <c r="L35" s="3422"/>
      <c r="M35" s="3422"/>
      <c r="N35" s="3380"/>
      <c r="O35" s="3380"/>
      <c r="P35" s="3380"/>
      <c r="Q35" s="3380"/>
      <c r="R35" s="3380"/>
      <c r="S35" s="3380"/>
      <c r="T35" s="3380"/>
    </row>
    <row r="63" hidden="1" x14ac:dyDescent="0.25"/>
    <row r="64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</sheetData>
  <printOptions horizontalCentered="1" verticalCentered="1"/>
  <pageMargins left="0.70866141732283472" right="0.70866141732283472" top="0.74803149606299213" bottom="0.74803149606299213" header="0.31496062992125984" footer="0.31496062992125984"/>
  <pageSetup scale="68" firstPageNumber="147" orientation="landscape" useFirstPageNumber="1" r:id="rId1"/>
  <headerFooter scaleWithDoc="0" alignWithMargins="0">
    <oddFooter>&amp;R&amp;P</oddFooter>
  </headerFooter>
  <rowBreaks count="2" manualBreakCount="2">
    <brk id="22" max="16383" man="1"/>
    <brk id="35" max="16383" man="1"/>
  </rowBreaks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8200"/>
  </sheetPr>
  <dimension ref="B2:CZ188"/>
  <sheetViews>
    <sheetView showGridLines="0" zoomScaleNormal="100" zoomScaleSheetLayoutView="100" workbookViewId="0">
      <pane xSplit="2" ySplit="5" topLeftCell="C6" activePane="bottomRight" state="frozen"/>
      <selection activeCell="Q31" sqref="Q31"/>
      <selection pane="topRight" activeCell="Q31" sqref="Q31"/>
      <selection pane="bottomLeft" activeCell="Q31" sqref="Q31"/>
      <selection pane="bottomRight" activeCell="Q31" sqref="Q31"/>
    </sheetView>
  </sheetViews>
  <sheetFormatPr baseColWidth="10" defaultColWidth="11.5546875" defaultRowHeight="13.2" x14ac:dyDescent="0.25"/>
  <cols>
    <col min="1" max="1" width="1.88671875" style="3424" customWidth="1"/>
    <col min="2" max="2" width="14.88671875" style="3424" customWidth="1"/>
    <col min="3" max="17" width="10.88671875" style="3424" customWidth="1"/>
    <col min="18" max="18" width="11.109375" style="3424" bestFit="1" customWidth="1"/>
    <col min="19" max="20" width="11.109375" style="3424" customWidth="1"/>
    <col min="21" max="28" width="10.88671875" style="3424" customWidth="1"/>
    <col min="29" max="29" width="4.44140625" style="3424" hidden="1" customWidth="1"/>
    <col min="30" max="30" width="4.88671875" style="3424" hidden="1" customWidth="1"/>
    <col min="31" max="31" width="4" style="3424" hidden="1" customWidth="1"/>
    <col min="32" max="32" width="5.88671875" style="3424" hidden="1" customWidth="1"/>
    <col min="33" max="35" width="5" style="3424" hidden="1" customWidth="1"/>
    <col min="36" max="36" width="5.88671875" style="3424" hidden="1" customWidth="1"/>
    <col min="37" max="39" width="5" style="3424" hidden="1" customWidth="1"/>
    <col min="40" max="40" width="5.88671875" style="3424" hidden="1" customWidth="1"/>
    <col min="41" max="43" width="5" style="3424" hidden="1" customWidth="1"/>
    <col min="44" max="44" width="5.88671875" style="3424" hidden="1" customWidth="1"/>
    <col min="45" max="46" width="4.88671875" style="3424" hidden="1" customWidth="1"/>
    <col min="47" max="47" width="4.44140625" style="3424" hidden="1" customWidth="1"/>
    <col min="48" max="48" width="5.88671875" style="3424" hidden="1" customWidth="1"/>
    <col min="49" max="49" width="4.88671875" style="3424" hidden="1" customWidth="1"/>
    <col min="50" max="50" width="5.109375" style="3424" hidden="1" customWidth="1"/>
    <col min="51" max="51" width="4.88671875" style="3424" hidden="1" customWidth="1"/>
    <col min="52" max="52" width="5.88671875" style="3424" hidden="1" customWidth="1"/>
    <col min="53" max="53" width="6" style="3424" hidden="1" customWidth="1"/>
    <col min="54" max="54" width="4.88671875" style="3424" hidden="1" customWidth="1"/>
    <col min="55" max="55" width="5.88671875" style="3424" hidden="1" customWidth="1"/>
    <col min="56" max="56" width="6.5546875" style="3424" hidden="1" customWidth="1"/>
    <col min="57" max="57" width="5.88671875" style="3424" hidden="1" customWidth="1"/>
    <col min="58" max="58" width="4.88671875" style="3424" hidden="1" customWidth="1"/>
    <col min="59" max="59" width="4" style="3424" hidden="1" customWidth="1"/>
    <col min="60" max="60" width="5.88671875" style="3424" hidden="1" customWidth="1"/>
    <col min="61" max="61" width="4.44140625" style="3424" hidden="1" customWidth="1"/>
    <col min="62" max="63" width="4" style="3424" hidden="1" customWidth="1"/>
    <col min="64" max="64" width="5.88671875" style="3424" hidden="1" customWidth="1"/>
    <col min="65" max="65" width="4.44140625" style="3424" hidden="1" customWidth="1"/>
    <col min="66" max="67" width="4" style="3424" hidden="1" customWidth="1"/>
    <col min="68" max="68" width="5.88671875" style="3424" hidden="1" customWidth="1"/>
    <col min="69" max="69" width="4.44140625" style="3424" hidden="1" customWidth="1"/>
    <col min="70" max="71" width="4" style="3424" hidden="1" customWidth="1"/>
    <col min="72" max="72" width="5.88671875" style="3424" hidden="1" customWidth="1"/>
    <col min="73" max="73" width="4.44140625" style="3424" hidden="1" customWidth="1"/>
    <col min="74" max="75" width="4" style="3424" hidden="1" customWidth="1"/>
    <col min="76" max="76" width="5.88671875" style="3424" hidden="1" customWidth="1"/>
    <col min="77" max="77" width="4.44140625" style="3424" hidden="1" customWidth="1"/>
    <col min="78" max="79" width="4" style="3424" hidden="1" customWidth="1"/>
    <col min="80" max="80" width="5.88671875" style="3424" hidden="1" customWidth="1"/>
    <col min="81" max="81" width="4.44140625" style="3424" hidden="1" customWidth="1"/>
    <col min="82" max="83" width="4.88671875" style="3424" hidden="1" customWidth="1"/>
    <col min="84" max="84" width="5.88671875" style="3424" hidden="1" customWidth="1"/>
    <col min="85" max="85" width="4.44140625" style="3424" hidden="1" customWidth="1"/>
    <col min="86" max="87" width="4" style="3424" hidden="1" customWidth="1"/>
    <col min="88" max="88" width="5.88671875" style="3424" hidden="1" customWidth="1"/>
    <col min="89" max="89" width="4.44140625" style="3424" hidden="1" customWidth="1"/>
    <col min="90" max="91" width="4" style="3424" hidden="1" customWidth="1"/>
    <col min="92" max="92" width="5.88671875" style="3424" hidden="1" customWidth="1"/>
    <col min="93" max="93" width="4.44140625" style="3424" hidden="1" customWidth="1"/>
    <col min="94" max="95" width="3.88671875" style="3424" hidden="1" customWidth="1"/>
    <col min="96" max="96" width="5.88671875" style="3424" hidden="1" customWidth="1"/>
    <col min="97" max="97" width="4.5546875" style="3424" hidden="1" customWidth="1"/>
    <col min="98" max="99" width="3.88671875" style="3424" hidden="1" customWidth="1"/>
    <col min="100" max="100" width="5.88671875" style="3424" hidden="1" customWidth="1"/>
    <col min="101" max="103" width="4.5546875" style="3424" hidden="1" customWidth="1"/>
    <col min="104" max="104" width="5.6640625" style="3424" hidden="1" customWidth="1"/>
    <col min="105" max="122" width="4.5546875" style="3424" customWidth="1"/>
    <col min="123" max="16384" width="11.5546875" style="3424"/>
  </cols>
  <sheetData>
    <row r="2" spans="2:104" ht="15.6" x14ac:dyDescent="0.3">
      <c r="B2" s="3423" t="s">
        <v>808</v>
      </c>
      <c r="AC2" s="3425" t="s">
        <v>809</v>
      </c>
    </row>
    <row r="3" spans="2:104" x14ac:dyDescent="0.25">
      <c r="AC3" s="6164">
        <v>2004</v>
      </c>
      <c r="AD3" s="6164"/>
      <c r="AE3" s="6164"/>
      <c r="AF3" s="6164"/>
      <c r="AG3" s="6164">
        <v>2005</v>
      </c>
      <c r="AH3" s="6164"/>
      <c r="AI3" s="6164"/>
      <c r="AJ3" s="6164"/>
      <c r="AK3" s="6164">
        <v>2006</v>
      </c>
      <c r="AL3" s="6164"/>
      <c r="AM3" s="6164"/>
      <c r="AN3" s="6164"/>
      <c r="AO3" s="6164">
        <v>2007</v>
      </c>
      <c r="AP3" s="6164"/>
      <c r="AQ3" s="6164"/>
      <c r="AR3" s="6164"/>
      <c r="AS3" s="6164">
        <v>2008</v>
      </c>
      <c r="AT3" s="6164"/>
      <c r="AU3" s="6164"/>
      <c r="AV3" s="6164"/>
      <c r="AW3" s="6164">
        <v>2009</v>
      </c>
      <c r="AX3" s="6164"/>
      <c r="AY3" s="6164"/>
      <c r="AZ3" s="6164"/>
      <c r="BA3" s="6164">
        <v>2010</v>
      </c>
      <c r="BB3" s="6164"/>
      <c r="BC3" s="6164"/>
      <c r="BD3" s="6164"/>
      <c r="BE3" s="6164">
        <v>2011</v>
      </c>
      <c r="BF3" s="6164"/>
      <c r="BG3" s="6164"/>
      <c r="BH3" s="6164"/>
      <c r="BI3" s="6164">
        <v>2012</v>
      </c>
      <c r="BJ3" s="6164"/>
      <c r="BK3" s="6164"/>
      <c r="BL3" s="6164"/>
      <c r="BM3" s="6164">
        <v>2013</v>
      </c>
      <c r="BN3" s="6164"/>
      <c r="BO3" s="6164"/>
      <c r="BP3" s="6164"/>
      <c r="BQ3" s="6164">
        <v>2014</v>
      </c>
      <c r="BR3" s="6164"/>
      <c r="BS3" s="6164"/>
      <c r="BT3" s="6164"/>
      <c r="BU3" s="6164">
        <v>2015</v>
      </c>
      <c r="BV3" s="6164"/>
      <c r="BW3" s="6164"/>
      <c r="BX3" s="6164"/>
      <c r="BY3" s="6164">
        <v>2016</v>
      </c>
      <c r="BZ3" s="6164"/>
      <c r="CA3" s="6164"/>
      <c r="CB3" s="6164"/>
      <c r="CC3" s="6161">
        <v>2017</v>
      </c>
      <c r="CD3" s="6162"/>
      <c r="CE3" s="6162"/>
      <c r="CF3" s="6163"/>
      <c r="CG3" s="6161">
        <v>2018</v>
      </c>
      <c r="CH3" s="6162"/>
      <c r="CI3" s="6162"/>
      <c r="CJ3" s="6163"/>
      <c r="CK3" s="6161">
        <v>2019</v>
      </c>
      <c r="CL3" s="6162"/>
      <c r="CM3" s="6162"/>
      <c r="CN3" s="6163"/>
      <c r="CO3" s="6161">
        <v>2020</v>
      </c>
      <c r="CP3" s="6162"/>
      <c r="CQ3" s="6162"/>
      <c r="CR3" s="6163"/>
      <c r="CS3" s="6161">
        <v>2021</v>
      </c>
      <c r="CT3" s="6162"/>
      <c r="CU3" s="6162"/>
      <c r="CV3" s="6163"/>
      <c r="CW3" s="6161">
        <v>2022</v>
      </c>
      <c r="CX3" s="6162"/>
      <c r="CY3" s="6162"/>
      <c r="CZ3" s="6163"/>
    </row>
    <row r="4" spans="2:104" ht="28.8" x14ac:dyDescent="0.25">
      <c r="B4" s="3426" t="s">
        <v>267</v>
      </c>
      <c r="C4" s="3426">
        <v>2004</v>
      </c>
      <c r="D4" s="3427">
        <v>2005</v>
      </c>
      <c r="E4" s="3428">
        <v>2006</v>
      </c>
      <c r="F4" s="3427">
        <v>2007</v>
      </c>
      <c r="G4" s="3427">
        <v>2008</v>
      </c>
      <c r="H4" s="3427">
        <v>2009</v>
      </c>
      <c r="I4" s="3427">
        <v>2010</v>
      </c>
      <c r="J4" s="3427">
        <v>2011</v>
      </c>
      <c r="K4" s="3427">
        <v>2012</v>
      </c>
      <c r="L4" s="3427">
        <v>2013</v>
      </c>
      <c r="M4" s="3427">
        <v>2014</v>
      </c>
      <c r="N4" s="3427">
        <v>2015</v>
      </c>
      <c r="O4" s="3427">
        <v>2016</v>
      </c>
      <c r="P4" s="3427">
        <v>2017</v>
      </c>
      <c r="Q4" s="3427">
        <v>2018</v>
      </c>
      <c r="R4" s="3427">
        <v>2019</v>
      </c>
      <c r="S4" s="3427">
        <v>2020</v>
      </c>
      <c r="T4" s="3427">
        <v>2021</v>
      </c>
      <c r="U4" s="3427">
        <v>2022</v>
      </c>
      <c r="AC4" s="3429" t="s">
        <v>810</v>
      </c>
      <c r="AD4" s="3429" t="s">
        <v>811</v>
      </c>
      <c r="AE4" s="3429" t="s">
        <v>812</v>
      </c>
      <c r="AF4" s="3430" t="s">
        <v>48</v>
      </c>
      <c r="AG4" s="3431" t="s">
        <v>810</v>
      </c>
      <c r="AH4" s="3432" t="s">
        <v>811</v>
      </c>
      <c r="AI4" s="3432" t="s">
        <v>812</v>
      </c>
      <c r="AJ4" s="3433" t="s">
        <v>48</v>
      </c>
      <c r="AK4" s="3429" t="s">
        <v>810</v>
      </c>
      <c r="AL4" s="3429" t="s">
        <v>811</v>
      </c>
      <c r="AM4" s="3429" t="s">
        <v>812</v>
      </c>
      <c r="AN4" s="3430" t="s">
        <v>48</v>
      </c>
      <c r="AO4" s="3431" t="s">
        <v>810</v>
      </c>
      <c r="AP4" s="3432" t="s">
        <v>811</v>
      </c>
      <c r="AQ4" s="3432" t="s">
        <v>812</v>
      </c>
      <c r="AR4" s="3433" t="s">
        <v>48</v>
      </c>
      <c r="AS4" s="3429" t="s">
        <v>810</v>
      </c>
      <c r="AT4" s="3429" t="s">
        <v>811</v>
      </c>
      <c r="AU4" s="3429" t="s">
        <v>812</v>
      </c>
      <c r="AV4" s="3430" t="s">
        <v>48</v>
      </c>
      <c r="AW4" s="3431" t="s">
        <v>810</v>
      </c>
      <c r="AX4" s="3432" t="s">
        <v>811</v>
      </c>
      <c r="AY4" s="3432" t="s">
        <v>812</v>
      </c>
      <c r="AZ4" s="3433" t="s">
        <v>48</v>
      </c>
      <c r="BA4" s="3429" t="s">
        <v>810</v>
      </c>
      <c r="BB4" s="3429" t="s">
        <v>811</v>
      </c>
      <c r="BC4" s="3429" t="s">
        <v>812</v>
      </c>
      <c r="BD4" s="3430" t="s">
        <v>48</v>
      </c>
      <c r="BE4" s="3431" t="s">
        <v>810</v>
      </c>
      <c r="BF4" s="3429" t="s">
        <v>811</v>
      </c>
      <c r="BG4" s="3429" t="s">
        <v>812</v>
      </c>
      <c r="BH4" s="3430" t="s">
        <v>48</v>
      </c>
      <c r="BI4" s="3431" t="s">
        <v>810</v>
      </c>
      <c r="BJ4" s="3429" t="s">
        <v>811</v>
      </c>
      <c r="BK4" s="3429" t="s">
        <v>812</v>
      </c>
      <c r="BL4" s="3430" t="s">
        <v>48</v>
      </c>
      <c r="BM4" s="3431" t="s">
        <v>810</v>
      </c>
      <c r="BN4" s="3429" t="s">
        <v>811</v>
      </c>
      <c r="BO4" s="3429" t="s">
        <v>812</v>
      </c>
      <c r="BP4" s="3430" t="s">
        <v>48</v>
      </c>
      <c r="BQ4" s="3431" t="s">
        <v>810</v>
      </c>
      <c r="BR4" s="3429" t="s">
        <v>811</v>
      </c>
      <c r="BS4" s="3429" t="s">
        <v>812</v>
      </c>
      <c r="BT4" s="3430" t="s">
        <v>48</v>
      </c>
      <c r="BU4" s="3431" t="s">
        <v>810</v>
      </c>
      <c r="BV4" s="3429" t="s">
        <v>811</v>
      </c>
      <c r="BW4" s="3429" t="s">
        <v>812</v>
      </c>
      <c r="BX4" s="3430" t="s">
        <v>48</v>
      </c>
      <c r="BY4" s="3431" t="s">
        <v>810</v>
      </c>
      <c r="BZ4" s="3429" t="s">
        <v>811</v>
      </c>
      <c r="CA4" s="3429" t="s">
        <v>812</v>
      </c>
      <c r="CB4" s="3430" t="s">
        <v>48</v>
      </c>
      <c r="CC4" s="3431" t="s">
        <v>810</v>
      </c>
      <c r="CD4" s="3429" t="s">
        <v>811</v>
      </c>
      <c r="CE4" s="3429" t="s">
        <v>812</v>
      </c>
      <c r="CF4" s="3430" t="s">
        <v>48</v>
      </c>
      <c r="CG4" s="3431" t="s">
        <v>810</v>
      </c>
      <c r="CH4" s="3429" t="s">
        <v>811</v>
      </c>
      <c r="CI4" s="3429" t="s">
        <v>812</v>
      </c>
      <c r="CJ4" s="3430" t="s">
        <v>48</v>
      </c>
      <c r="CK4" s="3431" t="s">
        <v>810</v>
      </c>
      <c r="CL4" s="3429" t="s">
        <v>811</v>
      </c>
      <c r="CM4" s="3429" t="s">
        <v>812</v>
      </c>
      <c r="CN4" s="3430" t="s">
        <v>48</v>
      </c>
      <c r="CO4" s="3431" t="s">
        <v>810</v>
      </c>
      <c r="CP4" s="3429" t="s">
        <v>811</v>
      </c>
      <c r="CQ4" s="3429" t="s">
        <v>812</v>
      </c>
      <c r="CR4" s="3430" t="s">
        <v>48</v>
      </c>
      <c r="CS4" s="3431" t="s">
        <v>810</v>
      </c>
      <c r="CT4" s="3429" t="s">
        <v>811</v>
      </c>
      <c r="CU4" s="3429" t="s">
        <v>812</v>
      </c>
      <c r="CV4" s="3430" t="s">
        <v>48</v>
      </c>
      <c r="CW4" s="3431" t="s">
        <v>810</v>
      </c>
      <c r="CX4" s="3429" t="s">
        <v>811</v>
      </c>
      <c r="CY4" s="3429" t="s">
        <v>812</v>
      </c>
      <c r="CZ4" s="3430" t="s">
        <v>48</v>
      </c>
    </row>
    <row r="5" spans="2:104" ht="14.4" x14ac:dyDescent="0.3">
      <c r="B5" s="3434"/>
      <c r="C5" s="3434"/>
      <c r="D5" s="3434"/>
      <c r="E5" s="3434"/>
      <c r="F5" s="3434"/>
      <c r="G5" s="3434"/>
      <c r="H5" s="3434"/>
      <c r="I5" s="3434"/>
      <c r="J5" s="3434"/>
      <c r="K5" s="3434"/>
      <c r="L5" s="3434"/>
      <c r="M5" s="3434"/>
      <c r="N5" s="3434"/>
      <c r="O5" s="3434"/>
      <c r="P5" s="3434"/>
      <c r="Q5" s="3434"/>
      <c r="AF5" s="3435"/>
      <c r="AG5" s="3436"/>
      <c r="AJ5" s="3437"/>
      <c r="AN5" s="3435"/>
      <c r="AO5" s="3436"/>
      <c r="AR5" s="3437"/>
      <c r="AV5" s="3435"/>
      <c r="AW5" s="3436"/>
      <c r="AZ5" s="3437"/>
      <c r="BD5" s="3435"/>
      <c r="BE5" s="3436"/>
      <c r="BH5" s="3435"/>
      <c r="BI5" s="3436"/>
      <c r="BL5" s="3435"/>
      <c r="BM5" s="3438"/>
      <c r="BN5" s="3439"/>
      <c r="BO5" s="3439"/>
      <c r="BP5" s="3440"/>
      <c r="BQ5" s="3438"/>
      <c r="BR5" s="3439"/>
      <c r="BS5" s="3439"/>
      <c r="BT5" s="3440"/>
      <c r="BU5" s="3438"/>
      <c r="BV5" s="3439"/>
      <c r="BW5" s="3439"/>
      <c r="BX5" s="3440"/>
      <c r="BY5" s="3438"/>
      <c r="BZ5" s="3439"/>
      <c r="CA5" s="3439"/>
      <c r="CB5" s="3440"/>
      <c r="CC5" s="3438"/>
      <c r="CD5" s="3439"/>
      <c r="CE5" s="3439"/>
      <c r="CF5" s="3440"/>
      <c r="CG5" s="3438"/>
      <c r="CH5" s="3439"/>
      <c r="CI5" s="3439"/>
      <c r="CJ5" s="3440"/>
      <c r="CK5" s="3438"/>
      <c r="CL5" s="3439"/>
      <c r="CM5" s="3439"/>
      <c r="CN5" s="3440"/>
      <c r="CO5" s="3438"/>
      <c r="CP5" s="3439"/>
      <c r="CQ5" s="3439"/>
      <c r="CR5" s="3440"/>
      <c r="CS5" s="3438"/>
      <c r="CT5" s="3439"/>
      <c r="CU5" s="3439"/>
      <c r="CV5" s="3440"/>
      <c r="CW5" s="3438"/>
      <c r="CX5" s="3439"/>
      <c r="CY5" s="3439"/>
      <c r="CZ5" s="3440"/>
    </row>
    <row r="6" spans="2:104" ht="14.4" x14ac:dyDescent="0.25">
      <c r="B6" s="3105" t="s">
        <v>59</v>
      </c>
      <c r="C6" s="3441">
        <v>19.425070688030161</v>
      </c>
      <c r="D6" s="3441">
        <v>20.268361581920903</v>
      </c>
      <c r="E6" s="3441">
        <v>20.788497217068645</v>
      </c>
      <c r="F6" s="3441">
        <v>20.686687584043032</v>
      </c>
      <c r="G6" s="3441">
        <v>21.423942394239425</v>
      </c>
      <c r="H6" s="3441">
        <v>21.838709677419356</v>
      </c>
      <c r="I6" s="3441">
        <v>23.658536585365855</v>
      </c>
      <c r="J6" s="3441">
        <v>24.38692098092643</v>
      </c>
      <c r="K6" s="3441">
        <v>23.790134529147981</v>
      </c>
      <c r="L6" s="3441">
        <v>23.731062303899598</v>
      </c>
      <c r="M6" s="3441">
        <v>22.761528326745719</v>
      </c>
      <c r="N6" s="3441">
        <v>22.292639138240574</v>
      </c>
      <c r="O6" s="3441">
        <v>21.995454545454546</v>
      </c>
      <c r="P6" s="3441">
        <v>20.611036339165544</v>
      </c>
      <c r="Q6" s="3441">
        <v>20.176756517896596</v>
      </c>
      <c r="R6" s="3441">
        <v>20.688294607628233</v>
      </c>
      <c r="S6" s="3441">
        <v>20.409030544488711</v>
      </c>
      <c r="T6" s="3441">
        <f>(SUM('ACTIVOS uni'!U6+'Alumnos x PTC'!BA149)/'Alumnos x PTC'!CV6)</f>
        <v>21.96211096075778</v>
      </c>
      <c r="U6" s="3441">
        <f>(SUM('ACTIVOS uni'!V6+'Alumnos x PTC'!BB149)/'Alumnos x PTC'!CW6)</f>
        <v>23.793696275071632</v>
      </c>
      <c r="AC6" s="3442">
        <v>322</v>
      </c>
      <c r="AD6" s="3443">
        <v>17</v>
      </c>
      <c r="AE6" s="3443">
        <v>14.666666666666666</v>
      </c>
      <c r="AF6" s="3444">
        <f>SUM(AC6:AE6)</f>
        <v>353.66666666666669</v>
      </c>
      <c r="AG6" s="3445">
        <v>329</v>
      </c>
      <c r="AH6" s="3443">
        <v>10.333333333333334</v>
      </c>
      <c r="AI6" s="3443">
        <v>14.666666666666666</v>
      </c>
      <c r="AJ6" s="3446">
        <f>SUM(AG6:AI6)</f>
        <v>354</v>
      </c>
      <c r="AK6" s="3442">
        <v>327</v>
      </c>
      <c r="AL6" s="3443">
        <v>17</v>
      </c>
      <c r="AM6" s="3443">
        <v>15.333333333333334</v>
      </c>
      <c r="AN6" s="3444">
        <f>SUM(AK6:AM6)</f>
        <v>359.33333333333331</v>
      </c>
      <c r="AO6" s="3445">
        <v>340</v>
      </c>
      <c r="AP6" s="3443">
        <v>16.5</v>
      </c>
      <c r="AQ6" s="3443">
        <v>15.333333333333334</v>
      </c>
      <c r="AR6" s="3446">
        <f>SUM(AO6:AQ6)</f>
        <v>371.83333333333331</v>
      </c>
      <c r="AS6" s="3442">
        <v>341</v>
      </c>
      <c r="AT6" s="3443">
        <v>15</v>
      </c>
      <c r="AU6" s="3443">
        <v>14.333333333333334</v>
      </c>
      <c r="AV6" s="3444">
        <f>SUM(AS6:AU6)</f>
        <v>370.33333333333331</v>
      </c>
      <c r="AW6" s="3445">
        <v>344</v>
      </c>
      <c r="AX6" s="3443">
        <v>14</v>
      </c>
      <c r="AY6" s="3443">
        <v>14</v>
      </c>
      <c r="AZ6" s="3446">
        <f>SUM(AW6:AY6)</f>
        <v>372</v>
      </c>
      <c r="BA6" s="3442">
        <v>342</v>
      </c>
      <c r="BB6" s="3443">
        <v>14</v>
      </c>
      <c r="BC6" s="3443">
        <v>13</v>
      </c>
      <c r="BD6" s="3444">
        <f>SUM(BA6:BC6)</f>
        <v>369</v>
      </c>
      <c r="BE6" s="3445">
        <v>342</v>
      </c>
      <c r="BF6" s="3443">
        <v>12</v>
      </c>
      <c r="BG6" s="3443">
        <v>13</v>
      </c>
      <c r="BH6" s="3444">
        <f>SUM(BE6:BG6)</f>
        <v>367</v>
      </c>
      <c r="BI6" s="3445">
        <v>348</v>
      </c>
      <c r="BJ6" s="3443">
        <v>11</v>
      </c>
      <c r="BK6" s="3443">
        <v>12.666666666666666</v>
      </c>
      <c r="BL6" s="3444">
        <f>SUM(BI6:BK6)</f>
        <v>371.66666666666669</v>
      </c>
      <c r="BM6" s="3445">
        <v>349</v>
      </c>
      <c r="BN6" s="3443">
        <v>10.5</v>
      </c>
      <c r="BO6" s="3443">
        <v>12.333333333333334</v>
      </c>
      <c r="BP6" s="3444">
        <f>SUM(BM6:BO6)</f>
        <v>371.83333333333331</v>
      </c>
      <c r="BQ6" s="3445">
        <v>357</v>
      </c>
      <c r="BR6" s="3443">
        <v>10.5</v>
      </c>
      <c r="BS6" s="3443">
        <v>12</v>
      </c>
      <c r="BT6" s="3444">
        <f>SUM(BQ6:BS6)</f>
        <v>379.5</v>
      </c>
      <c r="BU6" s="3445">
        <v>351</v>
      </c>
      <c r="BV6" s="3443">
        <v>9</v>
      </c>
      <c r="BW6" s="3443">
        <v>11.333333333333334</v>
      </c>
      <c r="BX6" s="3444">
        <f>SUM(BU6:BW6)</f>
        <v>371.33333333333331</v>
      </c>
      <c r="BY6" s="3445">
        <v>348</v>
      </c>
      <c r="BZ6" s="3443">
        <v>8</v>
      </c>
      <c r="CA6" s="3443">
        <v>10.666666666666666</v>
      </c>
      <c r="CB6" s="3444">
        <f>SUM(BY6:CA6)</f>
        <v>366.66666666666669</v>
      </c>
      <c r="CC6" s="3445">
        <v>355</v>
      </c>
      <c r="CD6" s="3443">
        <v>6.5</v>
      </c>
      <c r="CE6" s="3443">
        <v>10</v>
      </c>
      <c r="CF6" s="3444">
        <f>SUM(CC6:CE6)</f>
        <v>371.5</v>
      </c>
      <c r="CG6" s="3445">
        <v>361</v>
      </c>
      <c r="CH6" s="3443">
        <v>6.5</v>
      </c>
      <c r="CI6" s="3443">
        <v>9.6666666666666661</v>
      </c>
      <c r="CJ6" s="3444">
        <f>SUM(CG6:CI6)</f>
        <v>377.16666666666669</v>
      </c>
      <c r="CK6" s="3445">
        <v>364</v>
      </c>
      <c r="CL6" s="3443">
        <v>6.5</v>
      </c>
      <c r="CM6" s="3443">
        <v>9.6666666666666661</v>
      </c>
      <c r="CN6" s="3444">
        <f>SUM(CK6:CM6)</f>
        <v>380.16666666666669</v>
      </c>
      <c r="CO6" s="3445">
        <v>360</v>
      </c>
      <c r="CP6" s="3443">
        <v>7.5</v>
      </c>
      <c r="CQ6" s="3443">
        <v>9</v>
      </c>
      <c r="CR6" s="3444">
        <f>SUM(CO6:CQ6)</f>
        <v>376.5</v>
      </c>
      <c r="CS6" s="3445">
        <f>+'Definitivo x categoría'!BZ41</f>
        <v>353</v>
      </c>
      <c r="CT6" s="3443">
        <f>+'Definitivo x categoría'!BZ76/2</f>
        <v>7.5</v>
      </c>
      <c r="CU6" s="3443">
        <f>+'Definitivo x categoría'!BZ111/3</f>
        <v>9</v>
      </c>
      <c r="CV6" s="3444">
        <f>SUM(CS6:CU6)</f>
        <v>369.5</v>
      </c>
      <c r="CW6" s="3445">
        <f>+'Definitivo x categoría'!CD41</f>
        <v>349</v>
      </c>
      <c r="CX6" s="3443">
        <f>+'Definitivo x categoría'!CD76/2</f>
        <v>6.5</v>
      </c>
      <c r="CY6" s="3443">
        <f>+'Definitivo x categoría'!CD111/3</f>
        <v>7.666666666666667</v>
      </c>
      <c r="CZ6" s="3444">
        <f>SUM(CW6:CY6)</f>
        <v>363.16666666666669</v>
      </c>
    </row>
    <row r="7" spans="2:104" ht="14.4" x14ac:dyDescent="0.25">
      <c r="B7" s="3110" t="s">
        <v>64</v>
      </c>
      <c r="C7" s="3447">
        <v>17.150769230769232</v>
      </c>
      <c r="D7" s="3447">
        <v>17.288241415192509</v>
      </c>
      <c r="E7" s="3447">
        <v>16.16235059760956</v>
      </c>
      <c r="F7" s="3447">
        <v>16.748031496062993</v>
      </c>
      <c r="G7" s="3447">
        <v>17.077832512315272</v>
      </c>
      <c r="H7" s="3447">
        <v>17.669478908188587</v>
      </c>
      <c r="I7" s="3447">
        <v>18.060240963855421</v>
      </c>
      <c r="J7" s="3447">
        <v>18.194499017681729</v>
      </c>
      <c r="K7" s="3447">
        <v>19.333333333333332</v>
      </c>
      <c r="L7" s="3447">
        <v>19.665868836764002</v>
      </c>
      <c r="M7" s="3447">
        <v>19.764028776978417</v>
      </c>
      <c r="N7" s="3447">
        <v>20.719530102790014</v>
      </c>
      <c r="O7" s="3447">
        <v>21.653614457831324</v>
      </c>
      <c r="P7" s="3447">
        <v>21.229197080291971</v>
      </c>
      <c r="Q7" s="3447">
        <v>21.581061692969872</v>
      </c>
      <c r="R7" s="3447">
        <v>23.159235668789808</v>
      </c>
      <c r="S7" s="3447">
        <v>23.447723861930964</v>
      </c>
      <c r="T7" s="3447">
        <f>(SUM('ACTIVOS uni'!U7+'Alumnos x PTC'!BA150)/'Alumnos x PTC'!CV7)</f>
        <v>24.596026490066222</v>
      </c>
      <c r="U7" s="3447">
        <f>(SUM('ACTIVOS uni'!V7+'Alumnos x PTC'!BB150)/'Alumnos x PTC'!CW7)</f>
        <v>26.450657894736842</v>
      </c>
      <c r="AC7" s="3442">
        <v>304</v>
      </c>
      <c r="AD7" s="3443">
        <v>19</v>
      </c>
      <c r="AE7" s="3443">
        <v>2</v>
      </c>
      <c r="AF7" s="3444">
        <f t="shared" ref="AF7:AF31" si="0">SUM(AC7:AE7)</f>
        <v>325</v>
      </c>
      <c r="AG7" s="3445">
        <v>305</v>
      </c>
      <c r="AH7" s="3443">
        <v>13.333333333333334</v>
      </c>
      <c r="AI7" s="3443">
        <v>2</v>
      </c>
      <c r="AJ7" s="3446">
        <f t="shared" ref="AJ7:AJ31" si="1">SUM(AG7:AI7)</f>
        <v>320.33333333333331</v>
      </c>
      <c r="AK7" s="3442">
        <v>310</v>
      </c>
      <c r="AL7" s="3443">
        <v>23</v>
      </c>
      <c r="AM7" s="3443">
        <v>1.6666666666666667</v>
      </c>
      <c r="AN7" s="3444">
        <f t="shared" ref="AN7:AN31" si="2">SUM(AK7:AM7)</f>
        <v>334.66666666666669</v>
      </c>
      <c r="AO7" s="3445">
        <v>314</v>
      </c>
      <c r="AP7" s="3443">
        <v>23</v>
      </c>
      <c r="AQ7" s="3443">
        <v>1.6666666666666667</v>
      </c>
      <c r="AR7" s="3446">
        <f t="shared" ref="AR7:AR31" si="3">SUM(AO7:AQ7)</f>
        <v>338.66666666666669</v>
      </c>
      <c r="AS7" s="3442">
        <v>314</v>
      </c>
      <c r="AT7" s="3443">
        <v>23</v>
      </c>
      <c r="AU7" s="3443">
        <v>1.3333333333333333</v>
      </c>
      <c r="AV7" s="3444">
        <f t="shared" ref="AV7:AV31" si="4">SUM(AS7:AU7)</f>
        <v>338.33333333333331</v>
      </c>
      <c r="AW7" s="3445">
        <v>312</v>
      </c>
      <c r="AX7" s="3443">
        <v>22.5</v>
      </c>
      <c r="AY7" s="3443">
        <v>1.3333333333333333</v>
      </c>
      <c r="AZ7" s="3446">
        <f t="shared" ref="AZ7:AZ31" si="5">SUM(AW7:AY7)</f>
        <v>335.83333333333331</v>
      </c>
      <c r="BA7" s="3442">
        <v>308</v>
      </c>
      <c r="BB7" s="3443">
        <v>22</v>
      </c>
      <c r="BC7" s="3443">
        <v>2</v>
      </c>
      <c r="BD7" s="3444">
        <f t="shared" ref="BD7:BD31" si="6">SUM(BA7:BC7)</f>
        <v>332</v>
      </c>
      <c r="BE7" s="3445">
        <v>315</v>
      </c>
      <c r="BF7" s="3443">
        <v>21</v>
      </c>
      <c r="BG7" s="3443">
        <v>3.3333333333333335</v>
      </c>
      <c r="BH7" s="3444">
        <f t="shared" ref="BH7:BH31" si="7">SUM(BE7:BG7)</f>
        <v>339.33333333333331</v>
      </c>
      <c r="BI7" s="3445">
        <v>314</v>
      </c>
      <c r="BJ7" s="3443">
        <v>19.5</v>
      </c>
      <c r="BK7" s="3443">
        <v>4</v>
      </c>
      <c r="BL7" s="3444">
        <f t="shared" ref="BL7:BL31" si="8">SUM(BI7:BK7)</f>
        <v>337.5</v>
      </c>
      <c r="BM7" s="3445">
        <v>326</v>
      </c>
      <c r="BN7" s="3443">
        <v>18.5</v>
      </c>
      <c r="BO7" s="3443">
        <v>3.6666666666666665</v>
      </c>
      <c r="BP7" s="3444">
        <f t="shared" ref="BP7:BP31" si="9">SUM(BM7:BO7)</f>
        <v>348.16666666666669</v>
      </c>
      <c r="BQ7" s="3445">
        <v>325</v>
      </c>
      <c r="BR7" s="3443">
        <v>18.5</v>
      </c>
      <c r="BS7" s="3443">
        <v>4</v>
      </c>
      <c r="BT7" s="3444">
        <f t="shared" ref="BT7:BT31" si="10">SUM(BQ7:BS7)</f>
        <v>347.5</v>
      </c>
      <c r="BU7" s="3445">
        <v>319</v>
      </c>
      <c r="BV7" s="3443">
        <v>16.5</v>
      </c>
      <c r="BW7" s="3443">
        <v>5</v>
      </c>
      <c r="BX7" s="3444">
        <f t="shared" ref="BX7:BX31" si="11">SUM(BU7:BW7)</f>
        <v>340.5</v>
      </c>
      <c r="BY7" s="3445">
        <v>311</v>
      </c>
      <c r="BZ7" s="3443">
        <v>16</v>
      </c>
      <c r="CA7" s="3443">
        <v>5</v>
      </c>
      <c r="CB7" s="3444">
        <f>SUM(BY7:CA7)</f>
        <v>332</v>
      </c>
      <c r="CC7" s="3445">
        <v>323</v>
      </c>
      <c r="CD7" s="3443">
        <v>14.5</v>
      </c>
      <c r="CE7" s="3443">
        <v>5</v>
      </c>
      <c r="CF7" s="3444">
        <f>SUM(CC7:CE7)</f>
        <v>342.5</v>
      </c>
      <c r="CG7" s="3445">
        <v>330</v>
      </c>
      <c r="CH7" s="3443">
        <v>13.5</v>
      </c>
      <c r="CI7" s="3443">
        <v>5</v>
      </c>
      <c r="CJ7" s="3444">
        <f>SUM(CG7:CI7)</f>
        <v>348.5</v>
      </c>
      <c r="CK7" s="3445">
        <v>323</v>
      </c>
      <c r="CL7" s="3443">
        <v>12.5</v>
      </c>
      <c r="CM7" s="3443">
        <v>4.666666666666667</v>
      </c>
      <c r="CN7" s="3444">
        <f>SUM(CK7:CM7)</f>
        <v>340.16666666666669</v>
      </c>
      <c r="CO7" s="3445">
        <v>317</v>
      </c>
      <c r="CP7" s="3443">
        <v>11.5</v>
      </c>
      <c r="CQ7" s="3443">
        <v>4.666666666666667</v>
      </c>
      <c r="CR7" s="3444">
        <f>SUM(CO7:CQ7)</f>
        <v>333.16666666666669</v>
      </c>
      <c r="CS7" s="3445">
        <f>+'Definitivo x categoría'!BZ42</f>
        <v>311</v>
      </c>
      <c r="CT7" s="3443">
        <f>+'Definitivo x categoría'!BZ77/2</f>
        <v>11.5</v>
      </c>
      <c r="CU7" s="3443">
        <f>+'Definitivo x categoría'!BZ112/3</f>
        <v>4.666666666666667</v>
      </c>
      <c r="CV7" s="3444">
        <f>SUM(CS7:CU7)</f>
        <v>327.16666666666669</v>
      </c>
      <c r="CW7" s="3445">
        <f>+'Definitivo x categoría'!CD42</f>
        <v>304</v>
      </c>
      <c r="CX7" s="3443">
        <f>+'Definitivo x categoría'!CD77/2</f>
        <v>10.5</v>
      </c>
      <c r="CY7" s="3443">
        <f>+'Definitivo x categoría'!CD112/3</f>
        <v>4</v>
      </c>
      <c r="CZ7" s="3444">
        <f>SUM(CW7:CY7)</f>
        <v>318.5</v>
      </c>
    </row>
    <row r="8" spans="2:104" ht="14.4" x14ac:dyDescent="0.25">
      <c r="B8" s="3110" t="s">
        <v>68</v>
      </c>
      <c r="C8" s="3447">
        <v>16.497528830313016</v>
      </c>
      <c r="D8" s="3447">
        <v>16.519672131147544</v>
      </c>
      <c r="E8" s="3447">
        <v>16.354368932038835</v>
      </c>
      <c r="F8" s="3447">
        <v>16.6522462562396</v>
      </c>
      <c r="G8" s="3447">
        <v>16.850957535387177</v>
      </c>
      <c r="H8" s="3447">
        <v>16.258064516129032</v>
      </c>
      <c r="I8" s="3447">
        <v>15.992254066615027</v>
      </c>
      <c r="J8" s="3447">
        <v>16.220689655172414</v>
      </c>
      <c r="K8" s="3447">
        <v>16.586363636363636</v>
      </c>
      <c r="L8" s="3447">
        <v>16.917225950782999</v>
      </c>
      <c r="M8" s="3447">
        <v>16.6875</v>
      </c>
      <c r="N8" s="3447">
        <v>17.092363636363636</v>
      </c>
      <c r="O8" s="3447">
        <v>17.613905325443785</v>
      </c>
      <c r="P8" s="3447">
        <v>18.531930879038317</v>
      </c>
      <c r="Q8" s="3447">
        <v>17.938007380073799</v>
      </c>
      <c r="R8" s="3447">
        <v>18.799698795180721</v>
      </c>
      <c r="S8" s="3447">
        <v>19.390188679245281</v>
      </c>
      <c r="T8" s="3447">
        <f>(SUM('ACTIVOS uni'!U8+'Alumnos x PTC'!BA151)/'Alumnos x PTC'!CV8)</f>
        <v>20.454545454545453</v>
      </c>
      <c r="U8" s="3447">
        <f>(SUM('ACTIVOS uni'!V8+'Alumnos x PTC'!BB151)/'Alumnos x PTC'!CW8)</f>
        <v>22.706467661691541</v>
      </c>
      <c r="AC8" s="3442">
        <v>183</v>
      </c>
      <c r="AD8" s="3443">
        <v>17</v>
      </c>
      <c r="AE8" s="3443">
        <v>2.3333333333333335</v>
      </c>
      <c r="AF8" s="3444">
        <f t="shared" si="0"/>
        <v>202.33333333333334</v>
      </c>
      <c r="AG8" s="3445">
        <v>189</v>
      </c>
      <c r="AH8" s="3443">
        <v>11.666666666666666</v>
      </c>
      <c r="AI8" s="3443">
        <v>2.6666666666666665</v>
      </c>
      <c r="AJ8" s="3446">
        <f t="shared" si="1"/>
        <v>203.33333333333331</v>
      </c>
      <c r="AK8" s="3442">
        <v>188</v>
      </c>
      <c r="AL8" s="3443">
        <v>16</v>
      </c>
      <c r="AM8" s="3443">
        <v>2</v>
      </c>
      <c r="AN8" s="3444">
        <f t="shared" si="2"/>
        <v>206</v>
      </c>
      <c r="AO8" s="3445">
        <v>182</v>
      </c>
      <c r="AP8" s="3443">
        <v>16</v>
      </c>
      <c r="AQ8" s="3443">
        <v>2.3333333333333335</v>
      </c>
      <c r="AR8" s="3446">
        <f t="shared" si="3"/>
        <v>200.33333333333334</v>
      </c>
      <c r="AS8" s="3442">
        <v>183</v>
      </c>
      <c r="AT8" s="3443">
        <v>15.5</v>
      </c>
      <c r="AU8" s="3443">
        <v>1.6666666666666667</v>
      </c>
      <c r="AV8" s="3444">
        <f t="shared" si="4"/>
        <v>200.16666666666666</v>
      </c>
      <c r="AW8" s="3445">
        <v>190</v>
      </c>
      <c r="AX8" s="3443">
        <v>15</v>
      </c>
      <c r="AY8" s="3443">
        <v>1.6666666666666667</v>
      </c>
      <c r="AZ8" s="3446">
        <f t="shared" si="5"/>
        <v>206.66666666666666</v>
      </c>
      <c r="BA8" s="3442">
        <v>199</v>
      </c>
      <c r="BB8" s="3443">
        <v>14.5</v>
      </c>
      <c r="BC8" s="3443">
        <v>1.6666666666666667</v>
      </c>
      <c r="BD8" s="3444">
        <f t="shared" si="6"/>
        <v>215.16666666666666</v>
      </c>
      <c r="BE8" s="3445">
        <v>201</v>
      </c>
      <c r="BF8" s="3443">
        <v>14.5</v>
      </c>
      <c r="BG8" s="3443">
        <v>2</v>
      </c>
      <c r="BH8" s="3444">
        <f t="shared" si="7"/>
        <v>217.5</v>
      </c>
      <c r="BI8" s="3445">
        <v>206</v>
      </c>
      <c r="BJ8" s="3443">
        <v>12</v>
      </c>
      <c r="BK8" s="3443">
        <v>2</v>
      </c>
      <c r="BL8" s="3444">
        <f t="shared" si="8"/>
        <v>220</v>
      </c>
      <c r="BM8" s="3445">
        <v>211</v>
      </c>
      <c r="BN8" s="3443">
        <v>10.5</v>
      </c>
      <c r="BO8" s="3443">
        <v>2</v>
      </c>
      <c r="BP8" s="3444">
        <f t="shared" si="9"/>
        <v>223.5</v>
      </c>
      <c r="BQ8" s="3445">
        <v>221</v>
      </c>
      <c r="BR8" s="3443">
        <v>11</v>
      </c>
      <c r="BS8" s="3443">
        <v>2.6666666666666665</v>
      </c>
      <c r="BT8" s="3444">
        <f t="shared" si="10"/>
        <v>234.66666666666666</v>
      </c>
      <c r="BU8" s="3445">
        <v>215</v>
      </c>
      <c r="BV8" s="3443">
        <v>11.5</v>
      </c>
      <c r="BW8" s="3443">
        <v>2.6666666666666665</v>
      </c>
      <c r="BX8" s="3444">
        <f t="shared" si="11"/>
        <v>229.16666666666666</v>
      </c>
      <c r="BY8" s="3445">
        <v>213</v>
      </c>
      <c r="BZ8" s="3443">
        <v>10</v>
      </c>
      <c r="CA8" s="3443">
        <v>2.3333333333333335</v>
      </c>
      <c r="CB8" s="3444">
        <f>SUM(BY8:CA8)</f>
        <v>225.33333333333334</v>
      </c>
      <c r="CC8" s="3445">
        <v>209</v>
      </c>
      <c r="CD8" s="3443">
        <v>10.5</v>
      </c>
      <c r="CE8" s="3443">
        <v>2.3333333333333335</v>
      </c>
      <c r="CF8" s="3444">
        <f>SUM(CC8:CE8)</f>
        <v>221.83333333333334</v>
      </c>
      <c r="CG8" s="3445">
        <v>213</v>
      </c>
      <c r="CH8" s="3443">
        <v>10.5</v>
      </c>
      <c r="CI8" s="3443">
        <v>2.3333333333333335</v>
      </c>
      <c r="CJ8" s="3444">
        <f>SUM(CG8:CI8)</f>
        <v>225.83333333333334</v>
      </c>
      <c r="CK8" s="3445">
        <v>209</v>
      </c>
      <c r="CL8" s="3443">
        <v>10</v>
      </c>
      <c r="CM8" s="3443">
        <v>2.3333333333333335</v>
      </c>
      <c r="CN8" s="3444">
        <f>SUM(CK8:CM8)</f>
        <v>221.33333333333334</v>
      </c>
      <c r="CO8" s="3445">
        <v>209</v>
      </c>
      <c r="CP8" s="3443">
        <v>9.5</v>
      </c>
      <c r="CQ8" s="3443">
        <v>2.3333333333333335</v>
      </c>
      <c r="CR8" s="3444">
        <f>SUM(CO8:CQ8)</f>
        <v>220.83333333333334</v>
      </c>
      <c r="CS8" s="3445">
        <f>+'Definitivo x categoría'!BZ43</f>
        <v>205</v>
      </c>
      <c r="CT8" s="3443">
        <f>+'Definitivo x categoría'!BZ78/2</f>
        <v>9</v>
      </c>
      <c r="CU8" s="3443">
        <f>+'Definitivo x categoría'!BZ113/3</f>
        <v>2.3333333333333335</v>
      </c>
      <c r="CV8" s="3444">
        <f>SUM(CS8:CU8)</f>
        <v>216.33333333333334</v>
      </c>
      <c r="CW8" s="3445">
        <f>+'Definitivo x categoría'!CD43</f>
        <v>201</v>
      </c>
      <c r="CX8" s="3443">
        <f>+'Definitivo x categoría'!CD78/2</f>
        <v>9.5</v>
      </c>
      <c r="CY8" s="3443">
        <f>+'Definitivo x categoría'!CD113/3</f>
        <v>1.3333333333333333</v>
      </c>
      <c r="CZ8" s="3444">
        <f>SUM(CW8:CY8)</f>
        <v>211.83333333333334</v>
      </c>
    </row>
    <row r="9" spans="2:104" ht="14.4" x14ac:dyDescent="0.25">
      <c r="B9" s="3448" t="s">
        <v>138</v>
      </c>
      <c r="C9" s="3449">
        <v>17.913734392735527</v>
      </c>
      <c r="D9" s="3449">
        <v>18.312191416635017</v>
      </c>
      <c r="E9" s="3449">
        <v>18.053333333333335</v>
      </c>
      <c r="F9" s="3449">
        <v>18.334858188472094</v>
      </c>
      <c r="G9" s="3449">
        <v>18.798826334128002</v>
      </c>
      <c r="H9" s="3449">
        <v>19.046473482777476</v>
      </c>
      <c r="I9" s="3449">
        <v>19.829361469892671</v>
      </c>
      <c r="J9" s="3449">
        <v>20.189788922965903</v>
      </c>
      <c r="K9" s="3449">
        <v>20.465650224215249</v>
      </c>
      <c r="L9" s="3449">
        <v>20.616852146263913</v>
      </c>
      <c r="M9" s="3449">
        <v>20.196187175043327</v>
      </c>
      <c r="N9" s="3449">
        <v>20.456960680127523</v>
      </c>
      <c r="O9" s="3449">
        <v>20.804112554112553</v>
      </c>
      <c r="P9" s="3449">
        <v>20.344434550311664</v>
      </c>
      <c r="Q9" s="3449">
        <v>20.159747766684184</v>
      </c>
      <c r="R9" s="3449">
        <v>21.13699115044248</v>
      </c>
      <c r="S9" s="3449">
        <v>21.255239118753359</v>
      </c>
      <c r="T9" s="3449">
        <f>(SUM('ACTIVOS uni'!U9+'Alumnos x PTC'!BA152)/'Alumnos x PTC'!CV9)</f>
        <v>22.548740416210297</v>
      </c>
      <c r="U9" s="3449">
        <f>(SUM('ACTIVOS uni'!V9+'Alumnos x PTC'!BB152)/'Alumnos x PTC'!CW9)</f>
        <v>24.483606557377048</v>
      </c>
      <c r="AC9" s="3442">
        <v>809</v>
      </c>
      <c r="AD9" s="3443">
        <v>53</v>
      </c>
      <c r="AE9" s="3443">
        <v>19</v>
      </c>
      <c r="AF9" s="3444">
        <f t="shared" si="0"/>
        <v>881</v>
      </c>
      <c r="AG9" s="3445">
        <v>823</v>
      </c>
      <c r="AH9" s="3443">
        <v>35.333333333333336</v>
      </c>
      <c r="AI9" s="3443">
        <v>19.333333333333332</v>
      </c>
      <c r="AJ9" s="3446">
        <f t="shared" si="1"/>
        <v>877.66666666666674</v>
      </c>
      <c r="AK9" s="3442">
        <v>825</v>
      </c>
      <c r="AL9" s="3443">
        <v>56</v>
      </c>
      <c r="AM9" s="3443">
        <v>19</v>
      </c>
      <c r="AN9" s="3444">
        <f t="shared" si="2"/>
        <v>900</v>
      </c>
      <c r="AO9" s="3445">
        <v>836</v>
      </c>
      <c r="AP9" s="3443">
        <v>55.5</v>
      </c>
      <c r="AQ9" s="3443">
        <v>19.333333333333332</v>
      </c>
      <c r="AR9" s="3446">
        <f t="shared" si="3"/>
        <v>910.83333333333337</v>
      </c>
      <c r="AS9" s="3442">
        <v>838</v>
      </c>
      <c r="AT9" s="3443">
        <v>53.5</v>
      </c>
      <c r="AU9" s="3443">
        <v>17.333333333333332</v>
      </c>
      <c r="AV9" s="3444">
        <f t="shared" si="4"/>
        <v>908.83333333333337</v>
      </c>
      <c r="AW9" s="3445">
        <v>846</v>
      </c>
      <c r="AX9" s="3443">
        <v>51.5</v>
      </c>
      <c r="AY9" s="3443">
        <v>17</v>
      </c>
      <c r="AZ9" s="3446">
        <f t="shared" si="5"/>
        <v>914.5</v>
      </c>
      <c r="BA9" s="3442">
        <v>849</v>
      </c>
      <c r="BB9" s="3443">
        <v>50.5</v>
      </c>
      <c r="BC9" s="3443">
        <v>16.666666666666668</v>
      </c>
      <c r="BD9" s="3444">
        <f t="shared" si="6"/>
        <v>916.16666666666663</v>
      </c>
      <c r="BE9" s="3445">
        <v>858</v>
      </c>
      <c r="BF9" s="3443">
        <v>47.5</v>
      </c>
      <c r="BG9" s="3443">
        <v>18.333333333333332</v>
      </c>
      <c r="BH9" s="3444">
        <f t="shared" si="7"/>
        <v>923.83333333333337</v>
      </c>
      <c r="BI9" s="3445">
        <v>868</v>
      </c>
      <c r="BJ9" s="3443">
        <v>42.5</v>
      </c>
      <c r="BK9" s="3443">
        <v>18.666666666666668</v>
      </c>
      <c r="BL9" s="3444">
        <f t="shared" si="8"/>
        <v>929.16666666666663</v>
      </c>
      <c r="BM9" s="3445">
        <v>886</v>
      </c>
      <c r="BN9" s="3443">
        <v>39.5</v>
      </c>
      <c r="BO9" s="3443">
        <v>18</v>
      </c>
      <c r="BP9" s="3444">
        <f t="shared" si="9"/>
        <v>943.5</v>
      </c>
      <c r="BQ9" s="3445">
        <v>903</v>
      </c>
      <c r="BR9" s="3443">
        <v>40</v>
      </c>
      <c r="BS9" s="3443">
        <v>18.666666666666668</v>
      </c>
      <c r="BT9" s="3444">
        <f t="shared" si="10"/>
        <v>961.66666666666663</v>
      </c>
      <c r="BU9" s="3445">
        <v>885</v>
      </c>
      <c r="BV9" s="3443">
        <v>37</v>
      </c>
      <c r="BW9" s="3443">
        <v>19</v>
      </c>
      <c r="BX9" s="3444">
        <f t="shared" si="11"/>
        <v>941</v>
      </c>
      <c r="BY9" s="3445">
        <v>872</v>
      </c>
      <c r="BZ9" s="3443">
        <v>34</v>
      </c>
      <c r="CA9" s="3443">
        <v>18</v>
      </c>
      <c r="CB9" s="3444">
        <f>SUM(BY9:CA9)</f>
        <v>924</v>
      </c>
      <c r="CC9" s="3445">
        <f>SUM(CC6:CC8)</f>
        <v>887</v>
      </c>
      <c r="CD9" s="3443">
        <v>31.5</v>
      </c>
      <c r="CE9" s="3443">
        <v>17.333333333333332</v>
      </c>
      <c r="CF9" s="3444">
        <f>SUM(CC9:CE9)</f>
        <v>935.83333333333337</v>
      </c>
      <c r="CG9" s="3445">
        <f>SUM(CG6:CG8)</f>
        <v>904</v>
      </c>
      <c r="CH9" s="3443">
        <v>30.5</v>
      </c>
      <c r="CI9" s="3443">
        <v>17</v>
      </c>
      <c r="CJ9" s="3444">
        <f>SUM(CG9:CI9)</f>
        <v>951.5</v>
      </c>
      <c r="CK9" s="3445">
        <f>SUM(CK6:CK8)</f>
        <v>896</v>
      </c>
      <c r="CL9" s="3443">
        <v>29</v>
      </c>
      <c r="CM9" s="3443">
        <v>16.666666666666668</v>
      </c>
      <c r="CN9" s="3444">
        <f>SUM(CK9:CM9)</f>
        <v>941.66666666666663</v>
      </c>
      <c r="CO9" s="3445">
        <f>SUM(CO6:CO8)</f>
        <v>886</v>
      </c>
      <c r="CP9" s="3443">
        <v>28.5</v>
      </c>
      <c r="CQ9" s="3443">
        <v>16</v>
      </c>
      <c r="CR9" s="3444">
        <f>SUM(CO9:CQ9)</f>
        <v>930.5</v>
      </c>
      <c r="CS9" s="3445">
        <f>+'Definitivo x categoría'!BZ44</f>
        <v>869</v>
      </c>
      <c r="CT9" s="3443">
        <f>+'Definitivo x categoría'!BZ79/2</f>
        <v>28</v>
      </c>
      <c r="CU9" s="3443">
        <f>+'Definitivo x categoría'!BZ114/3</f>
        <v>16</v>
      </c>
      <c r="CV9" s="3444">
        <f>SUM(CS9:CU9)</f>
        <v>913</v>
      </c>
      <c r="CW9" s="3445">
        <f>+'Definitivo x categoría'!CD44</f>
        <v>854</v>
      </c>
      <c r="CX9" s="3443">
        <f>+'Definitivo x categoría'!CD79/2</f>
        <v>26.5</v>
      </c>
      <c r="CY9" s="3443">
        <f>+'Definitivo x categoría'!CD114/3</f>
        <v>13</v>
      </c>
      <c r="CZ9" s="3444">
        <f>SUM(CW9:CY9)</f>
        <v>893.5</v>
      </c>
    </row>
    <row r="10" spans="2:104" x14ac:dyDescent="0.25">
      <c r="C10" s="3450"/>
      <c r="D10" s="3450"/>
      <c r="E10" s="3450"/>
      <c r="F10" s="3450"/>
      <c r="G10" s="3450"/>
      <c r="H10" s="3450"/>
      <c r="I10" s="3450"/>
      <c r="J10" s="3450"/>
      <c r="K10" s="3450"/>
      <c r="L10" s="3450"/>
      <c r="M10" s="3450"/>
      <c r="N10" s="3450"/>
      <c r="O10" s="3450"/>
      <c r="P10" s="3450"/>
      <c r="Q10" s="3450"/>
      <c r="R10" s="3450"/>
      <c r="S10" s="3450"/>
      <c r="T10" s="3450"/>
      <c r="U10" s="3450"/>
      <c r="AC10" s="3439"/>
      <c r="AD10" s="3451"/>
      <c r="AE10" s="3451"/>
      <c r="AF10" s="3452"/>
      <c r="AG10" s="3438"/>
      <c r="AH10" s="3451"/>
      <c r="AI10" s="3451"/>
      <c r="AJ10" s="3453"/>
      <c r="AK10" s="3439"/>
      <c r="AL10" s="3451"/>
      <c r="AM10" s="3451"/>
      <c r="AN10" s="3452"/>
      <c r="AO10" s="3438"/>
      <c r="AP10" s="3451"/>
      <c r="AQ10" s="3451"/>
      <c r="AR10" s="3453"/>
      <c r="AS10" s="3439"/>
      <c r="AT10" s="3451"/>
      <c r="AU10" s="3451"/>
      <c r="AV10" s="3452"/>
      <c r="AW10" s="3438"/>
      <c r="AX10" s="3451"/>
      <c r="AY10" s="3451"/>
      <c r="AZ10" s="3453"/>
      <c r="BA10" s="3439"/>
      <c r="BB10" s="3451"/>
      <c r="BC10" s="3451"/>
      <c r="BD10" s="3452"/>
      <c r="BE10" s="3438"/>
      <c r="BF10" s="3451"/>
      <c r="BG10" s="3451"/>
      <c r="BH10" s="3452"/>
      <c r="BI10" s="3438"/>
      <c r="BJ10" s="3451"/>
      <c r="BK10" s="3451"/>
      <c r="BL10" s="3452"/>
      <c r="BM10" s="3438"/>
      <c r="BN10" s="3451"/>
      <c r="BO10" s="3451"/>
      <c r="BP10" s="3452"/>
      <c r="BQ10" s="3438"/>
      <c r="BR10" s="3451"/>
      <c r="BS10" s="3451"/>
      <c r="BT10" s="3452"/>
      <c r="BU10" s="3438"/>
      <c r="BV10" s="3451"/>
      <c r="BW10" s="3451"/>
      <c r="BX10" s="3452"/>
      <c r="BY10" s="3438"/>
      <c r="BZ10" s="3451"/>
      <c r="CA10" s="3451"/>
      <c r="CB10" s="3452"/>
      <c r="CC10" s="3438"/>
      <c r="CD10" s="3451"/>
      <c r="CE10" s="3451"/>
      <c r="CF10" s="3452"/>
      <c r="CG10" s="3438"/>
      <c r="CH10" s="3451"/>
      <c r="CI10" s="3451"/>
      <c r="CJ10" s="3452"/>
      <c r="CK10" s="3438"/>
      <c r="CL10" s="3451"/>
      <c r="CM10" s="3451"/>
      <c r="CN10" s="3452"/>
      <c r="CO10" s="3438"/>
      <c r="CP10" s="3451"/>
      <c r="CQ10" s="3451"/>
      <c r="CR10" s="3452"/>
      <c r="CS10" s="3445">
        <f>+'Definitivo x categoría'!BZ45</f>
        <v>0</v>
      </c>
      <c r="CT10" s="3443">
        <f>+'Definitivo x categoría'!BZ80/2</f>
        <v>0</v>
      </c>
      <c r="CU10" s="3443">
        <f>+'Definitivo x categoría'!BZ115/3</f>
        <v>0</v>
      </c>
      <c r="CV10" s="3452"/>
      <c r="CW10" s="3445">
        <f>+'Definitivo x categoría'!CD45</f>
        <v>0</v>
      </c>
      <c r="CX10" s="3443">
        <f>+'Definitivo x categoría'!CD80/2</f>
        <v>0</v>
      </c>
      <c r="CY10" s="3443">
        <f>+'Definitivo x categoría'!CD115/3</f>
        <v>0</v>
      </c>
      <c r="CZ10" s="3452"/>
    </row>
    <row r="11" spans="2:104" ht="14.4" x14ac:dyDescent="0.25">
      <c r="B11" s="3105" t="s">
        <v>64</v>
      </c>
      <c r="C11" s="3441"/>
      <c r="D11" s="3441">
        <v>27.75</v>
      </c>
      <c r="E11" s="3441">
        <v>21.142857142857142</v>
      </c>
      <c r="F11" s="3441">
        <v>11.255813953488373</v>
      </c>
      <c r="G11" s="3441">
        <v>14.291666666666666</v>
      </c>
      <c r="H11" s="3441">
        <v>13.59322033898305</v>
      </c>
      <c r="I11" s="3441">
        <v>10.632911392405063</v>
      </c>
      <c r="J11" s="3441">
        <v>11.338078291814947</v>
      </c>
      <c r="K11" s="3441">
        <v>13.292307692307691</v>
      </c>
      <c r="L11" s="3441">
        <v>13.58450704225352</v>
      </c>
      <c r="M11" s="3441">
        <v>15.48</v>
      </c>
      <c r="N11" s="3441">
        <v>18.653465346534652</v>
      </c>
      <c r="O11" s="3441">
        <v>19.875</v>
      </c>
      <c r="P11" s="3441">
        <v>19.693548387096776</v>
      </c>
      <c r="Q11" s="3441">
        <v>21.196721311475411</v>
      </c>
      <c r="R11" s="3441">
        <v>24.420168067226889</v>
      </c>
      <c r="S11" s="3441">
        <v>24.45378151260504</v>
      </c>
      <c r="T11" s="3441">
        <f>(SUM('ACTIVOS uni'!U11+'Alumnos x PTC'!BA154)/'Alumnos x PTC'!CV11)</f>
        <v>26.722689075630253</v>
      </c>
      <c r="U11" s="3441">
        <f>(SUM('ACTIVOS uni'!V11+'Alumnos x PTC'!BB154)/'Alumnos x PTC'!CW11)</f>
        <v>28.118644067796609</v>
      </c>
      <c r="AC11" s="3454"/>
      <c r="AD11" s="3455">
        <v>0</v>
      </c>
      <c r="AE11" s="3455">
        <v>0</v>
      </c>
      <c r="AF11" s="3456">
        <f t="shared" si="0"/>
        <v>0</v>
      </c>
      <c r="AG11" s="3457">
        <v>4</v>
      </c>
      <c r="AH11" s="3455">
        <v>0</v>
      </c>
      <c r="AI11" s="3455">
        <v>0</v>
      </c>
      <c r="AJ11" s="3458">
        <f t="shared" si="1"/>
        <v>4</v>
      </c>
      <c r="AK11" s="3454">
        <v>7</v>
      </c>
      <c r="AL11" s="3455">
        <v>0</v>
      </c>
      <c r="AM11" s="3455">
        <v>0</v>
      </c>
      <c r="AN11" s="3456">
        <f t="shared" si="2"/>
        <v>7</v>
      </c>
      <c r="AO11" s="3457">
        <v>21</v>
      </c>
      <c r="AP11" s="3455">
        <v>0.5</v>
      </c>
      <c r="AQ11" s="3455">
        <v>0</v>
      </c>
      <c r="AR11" s="3458">
        <f t="shared" si="3"/>
        <v>21.5</v>
      </c>
      <c r="AS11" s="3454">
        <v>23</v>
      </c>
      <c r="AT11" s="3455">
        <v>1</v>
      </c>
      <c r="AU11" s="3455">
        <v>0</v>
      </c>
      <c r="AV11" s="3456">
        <f t="shared" si="4"/>
        <v>24</v>
      </c>
      <c r="AW11" s="3457">
        <v>28</v>
      </c>
      <c r="AX11" s="3455">
        <v>1.5</v>
      </c>
      <c r="AY11" s="3455">
        <v>0</v>
      </c>
      <c r="AZ11" s="3458">
        <f t="shared" si="5"/>
        <v>29.5</v>
      </c>
      <c r="BA11" s="3454">
        <v>38</v>
      </c>
      <c r="BB11" s="3455">
        <v>1.5</v>
      </c>
      <c r="BC11" s="3455">
        <v>0</v>
      </c>
      <c r="BD11" s="3456">
        <f t="shared" si="6"/>
        <v>39.5</v>
      </c>
      <c r="BE11" s="3457">
        <v>45</v>
      </c>
      <c r="BF11" s="3455">
        <v>1.5</v>
      </c>
      <c r="BG11" s="3455">
        <v>0.33333333333333331</v>
      </c>
      <c r="BH11" s="3456">
        <f t="shared" si="7"/>
        <v>46.833333333333336</v>
      </c>
      <c r="BI11" s="3457">
        <v>42</v>
      </c>
      <c r="BJ11" s="3455">
        <v>1</v>
      </c>
      <c r="BK11" s="3455">
        <v>0.33333333333333331</v>
      </c>
      <c r="BL11" s="3456">
        <f t="shared" si="8"/>
        <v>43.333333333333336</v>
      </c>
      <c r="BM11" s="3457">
        <v>46</v>
      </c>
      <c r="BN11" s="3455">
        <v>1</v>
      </c>
      <c r="BO11" s="3455">
        <v>0.33333333333333331</v>
      </c>
      <c r="BP11" s="3456">
        <f t="shared" si="9"/>
        <v>47.333333333333336</v>
      </c>
      <c r="BQ11" s="3457">
        <v>49</v>
      </c>
      <c r="BR11" s="3455">
        <v>1</v>
      </c>
      <c r="BS11" s="3455">
        <v>0</v>
      </c>
      <c r="BT11" s="3456">
        <f t="shared" si="10"/>
        <v>50</v>
      </c>
      <c r="BU11" s="3457">
        <v>50</v>
      </c>
      <c r="BV11" s="3455">
        <v>0.5</v>
      </c>
      <c r="BW11" s="3455">
        <v>0</v>
      </c>
      <c r="BX11" s="3456">
        <f t="shared" si="11"/>
        <v>50.5</v>
      </c>
      <c r="BY11" s="3457">
        <v>54</v>
      </c>
      <c r="BZ11" s="3455">
        <v>2</v>
      </c>
      <c r="CA11" s="3455">
        <v>0</v>
      </c>
      <c r="CB11" s="3456">
        <f>SUM(BY11:CA11)</f>
        <v>56</v>
      </c>
      <c r="CC11" s="3457">
        <v>61</v>
      </c>
      <c r="CD11" s="3455">
        <v>1</v>
      </c>
      <c r="CE11" s="3455">
        <v>0</v>
      </c>
      <c r="CF11" s="3456">
        <f>SUM(CC11:CE11)</f>
        <v>62</v>
      </c>
      <c r="CG11" s="3457">
        <v>60</v>
      </c>
      <c r="CH11" s="3455">
        <v>1</v>
      </c>
      <c r="CI11" s="3455">
        <v>0</v>
      </c>
      <c r="CJ11" s="3456">
        <f>SUM(CG11:CI11)</f>
        <v>61</v>
      </c>
      <c r="CK11" s="3457">
        <v>59</v>
      </c>
      <c r="CL11" s="3455">
        <v>0.5</v>
      </c>
      <c r="CM11" s="3455">
        <v>0</v>
      </c>
      <c r="CN11" s="3456">
        <f>SUM(CK11:CM11)</f>
        <v>59.5</v>
      </c>
      <c r="CO11" s="3457">
        <v>59</v>
      </c>
      <c r="CP11" s="3455">
        <v>0.5</v>
      </c>
      <c r="CQ11" s="3455">
        <v>0</v>
      </c>
      <c r="CR11" s="3456">
        <f>SUM(CO11:CQ11)</f>
        <v>59.5</v>
      </c>
      <c r="CS11" s="3445">
        <f>+'Definitivo x categoría'!BZ46</f>
        <v>59</v>
      </c>
      <c r="CT11" s="3443">
        <f>+'Definitivo x categoría'!BZ81/2</f>
        <v>0.5</v>
      </c>
      <c r="CU11" s="3443">
        <f>+'Definitivo x categoría'!BZ116/3</f>
        <v>0</v>
      </c>
      <c r="CV11" s="3456">
        <f>SUM(CS11:CU11)</f>
        <v>59.5</v>
      </c>
      <c r="CW11" s="3445">
        <f>+'Definitivo x categoría'!CD46</f>
        <v>59</v>
      </c>
      <c r="CX11" s="3443">
        <f>+'Definitivo x categoría'!CD81/2</f>
        <v>0</v>
      </c>
      <c r="CY11" s="3443">
        <f>+'Definitivo x categoría'!CD116/3</f>
        <v>0</v>
      </c>
      <c r="CZ11" s="3456">
        <f>SUM(CW11:CY11)</f>
        <v>59</v>
      </c>
    </row>
    <row r="12" spans="2:104" ht="14.4" x14ac:dyDescent="0.25">
      <c r="B12" s="3110" t="s">
        <v>111</v>
      </c>
      <c r="C12" s="3447"/>
      <c r="D12" s="3447">
        <v>11.333333333333334</v>
      </c>
      <c r="E12" s="3447">
        <v>6.7777777777777777</v>
      </c>
      <c r="F12" s="3447">
        <v>14.692307692307692</v>
      </c>
      <c r="G12" s="3447">
        <v>13.083333333333334</v>
      </c>
      <c r="H12" s="3447">
        <v>12.6</v>
      </c>
      <c r="I12" s="3447">
        <v>12.157894736842104</v>
      </c>
      <c r="J12" s="3447">
        <v>13.04032258064516</v>
      </c>
      <c r="K12" s="3447">
        <v>11.980891719745223</v>
      </c>
      <c r="L12" s="3447">
        <v>13.103225806451613</v>
      </c>
      <c r="M12" s="3447">
        <v>15.19108280254777</v>
      </c>
      <c r="N12" s="3447">
        <v>16.858895705521473</v>
      </c>
      <c r="O12" s="3447">
        <v>19.29878048780488</v>
      </c>
      <c r="P12" s="3447">
        <v>21.537037037037038</v>
      </c>
      <c r="Q12" s="3447">
        <v>24.254901960784313</v>
      </c>
      <c r="R12" s="3447">
        <v>25.716981132075471</v>
      </c>
      <c r="S12" s="3447">
        <v>24.654545454545456</v>
      </c>
      <c r="T12" s="3447">
        <f>(SUM('ACTIVOS uni'!U12+'Alumnos x PTC'!BA155)/'Alumnos x PTC'!CV12)</f>
        <v>24.701754385964911</v>
      </c>
      <c r="U12" s="3447">
        <f>(SUM('ACTIVOS uni'!V12+'Alumnos x PTC'!BB155)/'Alumnos x PTC'!CW12)</f>
        <v>25</v>
      </c>
      <c r="AC12" s="3454"/>
      <c r="AD12" s="3455">
        <v>0</v>
      </c>
      <c r="AE12" s="3455">
        <v>0</v>
      </c>
      <c r="AF12" s="3456">
        <f t="shared" si="0"/>
        <v>0</v>
      </c>
      <c r="AG12" s="3457">
        <v>3</v>
      </c>
      <c r="AH12" s="3455">
        <v>0</v>
      </c>
      <c r="AI12" s="3455">
        <v>0</v>
      </c>
      <c r="AJ12" s="3458">
        <f t="shared" si="1"/>
        <v>3</v>
      </c>
      <c r="AK12" s="3454">
        <v>9</v>
      </c>
      <c r="AL12" s="3455">
        <v>0</v>
      </c>
      <c r="AM12" s="3455">
        <v>0</v>
      </c>
      <c r="AN12" s="3456">
        <f t="shared" si="2"/>
        <v>9</v>
      </c>
      <c r="AO12" s="3457">
        <v>13</v>
      </c>
      <c r="AP12" s="3455">
        <v>0</v>
      </c>
      <c r="AQ12" s="3455">
        <v>0</v>
      </c>
      <c r="AR12" s="3458">
        <f t="shared" si="3"/>
        <v>13</v>
      </c>
      <c r="AS12" s="3454">
        <v>24</v>
      </c>
      <c r="AT12" s="3455">
        <v>0</v>
      </c>
      <c r="AU12" s="3455">
        <v>0</v>
      </c>
      <c r="AV12" s="3456">
        <f t="shared" si="4"/>
        <v>24</v>
      </c>
      <c r="AW12" s="3457">
        <v>30</v>
      </c>
      <c r="AX12" s="3455">
        <v>0</v>
      </c>
      <c r="AY12" s="3455">
        <v>0</v>
      </c>
      <c r="AZ12" s="3458">
        <f t="shared" si="5"/>
        <v>30</v>
      </c>
      <c r="BA12" s="3454">
        <v>38</v>
      </c>
      <c r="BB12" s="3455">
        <v>0</v>
      </c>
      <c r="BC12" s="3455">
        <v>0</v>
      </c>
      <c r="BD12" s="3456">
        <f t="shared" si="6"/>
        <v>38</v>
      </c>
      <c r="BE12" s="3457">
        <v>41</v>
      </c>
      <c r="BF12" s="3455">
        <v>0</v>
      </c>
      <c r="BG12" s="3455">
        <v>0.33333333333333331</v>
      </c>
      <c r="BH12" s="3456">
        <f t="shared" si="7"/>
        <v>41.333333333333336</v>
      </c>
      <c r="BI12" s="3457">
        <v>52</v>
      </c>
      <c r="BJ12" s="3455">
        <v>0</v>
      </c>
      <c r="BK12" s="3455">
        <v>0.33333333333333331</v>
      </c>
      <c r="BL12" s="3456">
        <f t="shared" si="8"/>
        <v>52.333333333333336</v>
      </c>
      <c r="BM12" s="3457">
        <v>51</v>
      </c>
      <c r="BN12" s="3455">
        <v>0</v>
      </c>
      <c r="BO12" s="3455">
        <v>0.66666666666666663</v>
      </c>
      <c r="BP12" s="3456">
        <f t="shared" si="9"/>
        <v>51.666666666666664</v>
      </c>
      <c r="BQ12" s="3457">
        <v>52</v>
      </c>
      <c r="BR12" s="3455">
        <v>0</v>
      </c>
      <c r="BS12" s="3455">
        <v>0.33333333333333331</v>
      </c>
      <c r="BT12" s="3456">
        <f t="shared" si="10"/>
        <v>52.333333333333336</v>
      </c>
      <c r="BU12" s="3457">
        <v>54</v>
      </c>
      <c r="BV12" s="3455">
        <v>0</v>
      </c>
      <c r="BW12" s="3455">
        <v>0.33333333333333331</v>
      </c>
      <c r="BX12" s="3456">
        <f t="shared" si="11"/>
        <v>54.333333333333336</v>
      </c>
      <c r="BY12" s="3457">
        <v>53</v>
      </c>
      <c r="BZ12" s="3455">
        <v>0</v>
      </c>
      <c r="CA12" s="3455">
        <v>1.6666666666666667</v>
      </c>
      <c r="CB12" s="3456">
        <f>SUM(BY12:CA12)</f>
        <v>54.666666666666664</v>
      </c>
      <c r="CC12" s="3457">
        <v>54</v>
      </c>
      <c r="CD12" s="3455">
        <v>0</v>
      </c>
      <c r="CE12" s="3455">
        <v>0</v>
      </c>
      <c r="CF12" s="3456">
        <f>SUM(CC12:CE12)</f>
        <v>54</v>
      </c>
      <c r="CG12" s="3457">
        <v>51</v>
      </c>
      <c r="CH12" s="3455">
        <v>0</v>
      </c>
      <c r="CI12" s="3455">
        <v>0</v>
      </c>
      <c r="CJ12" s="3456">
        <f>SUM(CG12:CI12)</f>
        <v>51</v>
      </c>
      <c r="CK12" s="3457">
        <v>53</v>
      </c>
      <c r="CL12" s="3455">
        <v>0</v>
      </c>
      <c r="CM12" s="3455">
        <v>0</v>
      </c>
      <c r="CN12" s="3456">
        <f>SUM(CK12:CM12)</f>
        <v>53</v>
      </c>
      <c r="CO12" s="3457">
        <v>55</v>
      </c>
      <c r="CP12" s="3455">
        <v>0</v>
      </c>
      <c r="CQ12" s="3455">
        <v>0</v>
      </c>
      <c r="CR12" s="3456">
        <f>SUM(CO12:CQ12)</f>
        <v>55</v>
      </c>
      <c r="CS12" s="3445">
        <f>+'Definitivo x categoría'!BZ47</f>
        <v>57</v>
      </c>
      <c r="CT12" s="3443">
        <f>+'Definitivo x categoría'!BZ82/2</f>
        <v>0</v>
      </c>
      <c r="CU12" s="3443">
        <f>+'Definitivo x categoría'!BZ117/3</f>
        <v>0</v>
      </c>
      <c r="CV12" s="3456">
        <f>SUM(CS12:CU12)</f>
        <v>57</v>
      </c>
      <c r="CW12" s="3445">
        <f>+'Definitivo x categoría'!CD47</f>
        <v>59</v>
      </c>
      <c r="CX12" s="3443">
        <f>+'Definitivo x categoría'!CD82/2</f>
        <v>0</v>
      </c>
      <c r="CY12" s="3443">
        <f>+'Definitivo x categoría'!CD117/3</f>
        <v>0</v>
      </c>
      <c r="CZ12" s="3456">
        <f>SUM(CW12:CY12)</f>
        <v>59</v>
      </c>
    </row>
    <row r="13" spans="2:104" ht="14.4" x14ac:dyDescent="0.25">
      <c r="B13" s="3110" t="s">
        <v>115</v>
      </c>
      <c r="C13" s="3447"/>
      <c r="D13" s="3447">
        <v>9.6666666666666661</v>
      </c>
      <c r="E13" s="3447">
        <v>13</v>
      </c>
      <c r="F13" s="3447">
        <v>7.166666666666667</v>
      </c>
      <c r="G13" s="3447">
        <v>9.304347826086957</v>
      </c>
      <c r="H13" s="3447">
        <v>11.458333333333334</v>
      </c>
      <c r="I13" s="3447">
        <v>11.962962962962964</v>
      </c>
      <c r="J13" s="3447">
        <v>11.939393939393939</v>
      </c>
      <c r="K13" s="3447">
        <v>14.339449541284402</v>
      </c>
      <c r="L13" s="3447">
        <v>17.440000000000001</v>
      </c>
      <c r="M13" s="3447">
        <v>19.701149425287355</v>
      </c>
      <c r="N13" s="3447">
        <v>21.874538745387454</v>
      </c>
      <c r="O13" s="3447">
        <v>24.21505376344086</v>
      </c>
      <c r="P13" s="3447">
        <v>24.299003322259136</v>
      </c>
      <c r="Q13" s="3447">
        <v>25.821782178217823</v>
      </c>
      <c r="R13" s="3447">
        <v>26.77524429967427</v>
      </c>
      <c r="S13" s="3447">
        <v>26.479495268138802</v>
      </c>
      <c r="T13" s="3447">
        <f>(SUM('ACTIVOS uni'!U13+'Alumnos x PTC'!BA156)/'Alumnos x PTC'!CV13)</f>
        <v>27.274447949526813</v>
      </c>
      <c r="U13" s="3447">
        <f>(SUM('ACTIVOS uni'!V13+'Alumnos x PTC'!BB156)/'Alumnos x PTC'!CW13)</f>
        <v>30.117647058823529</v>
      </c>
      <c r="AC13" s="3454"/>
      <c r="AD13" s="3455">
        <v>0</v>
      </c>
      <c r="AE13" s="3455">
        <v>0</v>
      </c>
      <c r="AF13" s="3456">
        <f t="shared" si="0"/>
        <v>0</v>
      </c>
      <c r="AG13" s="3457">
        <v>6</v>
      </c>
      <c r="AH13" s="3455">
        <v>0</v>
      </c>
      <c r="AI13" s="3455">
        <v>0</v>
      </c>
      <c r="AJ13" s="3458">
        <f t="shared" si="1"/>
        <v>6</v>
      </c>
      <c r="AK13" s="3454">
        <v>6</v>
      </c>
      <c r="AL13" s="3455">
        <v>0</v>
      </c>
      <c r="AM13" s="3455">
        <v>0</v>
      </c>
      <c r="AN13" s="3456">
        <f t="shared" si="2"/>
        <v>6</v>
      </c>
      <c r="AO13" s="3457">
        <v>18</v>
      </c>
      <c r="AP13" s="3455">
        <v>0</v>
      </c>
      <c r="AQ13" s="3455">
        <v>0</v>
      </c>
      <c r="AR13" s="3458">
        <f t="shared" si="3"/>
        <v>18</v>
      </c>
      <c r="AS13" s="3454">
        <v>23</v>
      </c>
      <c r="AT13" s="3455">
        <v>0</v>
      </c>
      <c r="AU13" s="3455">
        <v>0</v>
      </c>
      <c r="AV13" s="3456">
        <f t="shared" si="4"/>
        <v>23</v>
      </c>
      <c r="AW13" s="3457">
        <v>24</v>
      </c>
      <c r="AX13" s="3455">
        <v>0</v>
      </c>
      <c r="AY13" s="3455">
        <v>0</v>
      </c>
      <c r="AZ13" s="3458">
        <f t="shared" si="5"/>
        <v>24</v>
      </c>
      <c r="BA13" s="3454">
        <v>27</v>
      </c>
      <c r="BB13" s="3455">
        <v>0</v>
      </c>
      <c r="BC13" s="3455">
        <v>0</v>
      </c>
      <c r="BD13" s="3456">
        <f t="shared" si="6"/>
        <v>27</v>
      </c>
      <c r="BE13" s="3457">
        <v>33</v>
      </c>
      <c r="BF13" s="3455">
        <v>0</v>
      </c>
      <c r="BG13" s="3455">
        <v>0</v>
      </c>
      <c r="BH13" s="3456">
        <f t="shared" si="7"/>
        <v>33</v>
      </c>
      <c r="BI13" s="3457">
        <v>36</v>
      </c>
      <c r="BJ13" s="3455">
        <v>0</v>
      </c>
      <c r="BK13" s="3455">
        <v>0.33333333333333331</v>
      </c>
      <c r="BL13" s="3456">
        <f t="shared" si="8"/>
        <v>36.333333333333336</v>
      </c>
      <c r="BM13" s="3457">
        <v>37</v>
      </c>
      <c r="BN13" s="3455">
        <v>0.5</v>
      </c>
      <c r="BO13" s="3455">
        <v>0</v>
      </c>
      <c r="BP13" s="3456">
        <f t="shared" si="9"/>
        <v>37.5</v>
      </c>
      <c r="BQ13" s="3457">
        <v>42</v>
      </c>
      <c r="BR13" s="3455">
        <v>0.5</v>
      </c>
      <c r="BS13" s="3455">
        <v>1</v>
      </c>
      <c r="BT13" s="3456">
        <f t="shared" si="10"/>
        <v>43.5</v>
      </c>
      <c r="BU13" s="3457">
        <v>43</v>
      </c>
      <c r="BV13" s="3455">
        <v>0.5</v>
      </c>
      <c r="BW13" s="3455">
        <v>1.6666666666666667</v>
      </c>
      <c r="BX13" s="3456">
        <f t="shared" si="11"/>
        <v>45.166666666666664</v>
      </c>
      <c r="BY13" s="3457">
        <v>46</v>
      </c>
      <c r="BZ13" s="3455">
        <v>0.5</v>
      </c>
      <c r="CA13" s="3455">
        <v>0</v>
      </c>
      <c r="CB13" s="3456">
        <f>SUM(BY13:CA13)</f>
        <v>46.5</v>
      </c>
      <c r="CC13" s="3457">
        <v>48</v>
      </c>
      <c r="CD13" s="3455">
        <v>0.5</v>
      </c>
      <c r="CE13" s="3455">
        <v>1.6666666666666667</v>
      </c>
      <c r="CF13" s="3456">
        <f>SUM(CC13:CE13)</f>
        <v>50.166666666666664</v>
      </c>
      <c r="CG13" s="3457">
        <v>49</v>
      </c>
      <c r="CH13" s="3455">
        <v>0.5</v>
      </c>
      <c r="CI13" s="3455">
        <v>1</v>
      </c>
      <c r="CJ13" s="3456">
        <f>SUM(CG13:CI13)</f>
        <v>50.5</v>
      </c>
      <c r="CK13" s="3457">
        <v>50</v>
      </c>
      <c r="CL13" s="3455">
        <v>0.5</v>
      </c>
      <c r="CM13" s="3455">
        <v>0.66666666666666663</v>
      </c>
      <c r="CN13" s="3456">
        <f>SUM(CK13:CM13)</f>
        <v>51.166666666666664</v>
      </c>
      <c r="CO13" s="3457">
        <v>52</v>
      </c>
      <c r="CP13" s="3455">
        <v>0.5</v>
      </c>
      <c r="CQ13" s="3455">
        <v>0.33333333333333331</v>
      </c>
      <c r="CR13" s="3456">
        <f>SUM(CO13:CQ13)</f>
        <v>52.833333333333336</v>
      </c>
      <c r="CS13" s="3445">
        <f>+'Definitivo x categoría'!BZ48</f>
        <v>52</v>
      </c>
      <c r="CT13" s="3443">
        <f>+'Definitivo x categoría'!BZ83/2</f>
        <v>0.5</v>
      </c>
      <c r="CU13" s="3443">
        <f>+'Definitivo x categoría'!BZ118/3</f>
        <v>0.33333333333333331</v>
      </c>
      <c r="CV13" s="3456">
        <f>SUM(CS13:CU13)</f>
        <v>52.833333333333336</v>
      </c>
      <c r="CW13" s="3445">
        <f>+'Definitivo x categoría'!CD48</f>
        <v>51</v>
      </c>
      <c r="CX13" s="3443">
        <f>+'Definitivo x categoría'!CD83/2</f>
        <v>0.5</v>
      </c>
      <c r="CY13" s="3443">
        <f>+'Definitivo x categoría'!CD118/3</f>
        <v>0.33333333333333331</v>
      </c>
      <c r="CZ13" s="3456">
        <f>SUM(CW13:CY13)</f>
        <v>51.833333333333336</v>
      </c>
    </row>
    <row r="14" spans="2:104" ht="14.4" x14ac:dyDescent="0.25">
      <c r="B14" s="3459" t="s">
        <v>134</v>
      </c>
      <c r="C14" s="3460"/>
      <c r="D14" s="3460">
        <v>15.615384615384615</v>
      </c>
      <c r="E14" s="3460">
        <v>13.045454545454545</v>
      </c>
      <c r="F14" s="3460">
        <v>10.704761904761904</v>
      </c>
      <c r="G14" s="3460">
        <v>12.267605633802816</v>
      </c>
      <c r="H14" s="3460">
        <v>12.622754491017965</v>
      </c>
      <c r="I14" s="3460">
        <v>11.5311004784689</v>
      </c>
      <c r="J14" s="3460">
        <v>12.082530949105914</v>
      </c>
      <c r="K14" s="3460">
        <v>13.060606060606061</v>
      </c>
      <c r="L14" s="3460">
        <v>14.461538461538462</v>
      </c>
      <c r="M14" s="3460">
        <v>16.635428571428569</v>
      </c>
      <c r="N14" s="3460">
        <v>18.973333333333333</v>
      </c>
      <c r="O14" s="3460">
        <v>20.95864262990456</v>
      </c>
      <c r="P14" s="3460">
        <v>21.683049147442329</v>
      </c>
      <c r="Q14" s="3460">
        <v>23.593846153846155</v>
      </c>
      <c r="R14" s="3460">
        <v>25.576374745417517</v>
      </c>
      <c r="S14" s="3460">
        <v>25.159362549800797</v>
      </c>
      <c r="T14" s="3460">
        <f>(SUM('ACTIVOS uni'!U14+'Alumnos x PTC'!BA157)/'Alumnos x PTC'!CV14)</f>
        <v>26.214566929133856</v>
      </c>
      <c r="U14" s="3460">
        <f>(SUM('ACTIVOS uni'!V14+'Alumnos x PTC'!BB157)/'Alumnos x PTC'!CW14)</f>
        <v>27.633136094674555</v>
      </c>
      <c r="AC14" s="3454"/>
      <c r="AD14" s="3455">
        <v>0</v>
      </c>
      <c r="AE14" s="3455">
        <v>0</v>
      </c>
      <c r="AF14" s="3456">
        <f t="shared" si="0"/>
        <v>0</v>
      </c>
      <c r="AG14" s="3457">
        <v>13</v>
      </c>
      <c r="AH14" s="3455">
        <v>0</v>
      </c>
      <c r="AI14" s="3455">
        <v>0</v>
      </c>
      <c r="AJ14" s="3458">
        <f t="shared" si="1"/>
        <v>13</v>
      </c>
      <c r="AK14" s="3454">
        <v>22</v>
      </c>
      <c r="AL14" s="3455">
        <v>0</v>
      </c>
      <c r="AM14" s="3455">
        <v>0</v>
      </c>
      <c r="AN14" s="3456">
        <f t="shared" si="2"/>
        <v>22</v>
      </c>
      <c r="AO14" s="3457">
        <v>52</v>
      </c>
      <c r="AP14" s="3455">
        <v>0.5</v>
      </c>
      <c r="AQ14" s="3455">
        <v>0</v>
      </c>
      <c r="AR14" s="3458">
        <f t="shared" si="3"/>
        <v>52.5</v>
      </c>
      <c r="AS14" s="3454">
        <v>70</v>
      </c>
      <c r="AT14" s="3455">
        <v>1</v>
      </c>
      <c r="AU14" s="3455">
        <v>0</v>
      </c>
      <c r="AV14" s="3456">
        <f t="shared" si="4"/>
        <v>71</v>
      </c>
      <c r="AW14" s="3457">
        <v>82</v>
      </c>
      <c r="AX14" s="3455">
        <v>1.5</v>
      </c>
      <c r="AY14" s="3455">
        <v>0</v>
      </c>
      <c r="AZ14" s="3458">
        <f t="shared" si="5"/>
        <v>83.5</v>
      </c>
      <c r="BA14" s="3454">
        <v>103</v>
      </c>
      <c r="BB14" s="3455">
        <v>1.5</v>
      </c>
      <c r="BC14" s="3455">
        <v>0</v>
      </c>
      <c r="BD14" s="3456">
        <f t="shared" si="6"/>
        <v>104.5</v>
      </c>
      <c r="BE14" s="3457">
        <v>119</v>
      </c>
      <c r="BF14" s="3455">
        <v>1.5</v>
      </c>
      <c r="BG14" s="3455">
        <v>0.66666666666666663</v>
      </c>
      <c r="BH14" s="3456">
        <f t="shared" si="7"/>
        <v>121.16666666666667</v>
      </c>
      <c r="BI14" s="3457">
        <v>130</v>
      </c>
      <c r="BJ14" s="3455">
        <v>1</v>
      </c>
      <c r="BK14" s="3455">
        <v>1</v>
      </c>
      <c r="BL14" s="3456">
        <f t="shared" si="8"/>
        <v>132</v>
      </c>
      <c r="BM14" s="3457">
        <v>134</v>
      </c>
      <c r="BN14" s="3455">
        <v>1.5</v>
      </c>
      <c r="BO14" s="3455">
        <v>1</v>
      </c>
      <c r="BP14" s="3456">
        <f t="shared" si="9"/>
        <v>136.5</v>
      </c>
      <c r="BQ14" s="3457">
        <v>143</v>
      </c>
      <c r="BR14" s="3455">
        <v>1.5</v>
      </c>
      <c r="BS14" s="3455">
        <v>1.3333333333333333</v>
      </c>
      <c r="BT14" s="3456">
        <f t="shared" si="10"/>
        <v>145.83333333333334</v>
      </c>
      <c r="BU14" s="3457">
        <v>147</v>
      </c>
      <c r="BV14" s="3455">
        <v>1</v>
      </c>
      <c r="BW14" s="3455">
        <v>2</v>
      </c>
      <c r="BX14" s="3456">
        <f t="shared" si="11"/>
        <v>150</v>
      </c>
      <c r="BY14" s="3457">
        <v>153</v>
      </c>
      <c r="BZ14" s="3455">
        <v>2.5</v>
      </c>
      <c r="CA14" s="3455">
        <v>1.6666666666666667</v>
      </c>
      <c r="CB14" s="3456">
        <f>SUM(BY14:CA14)</f>
        <v>157.16666666666666</v>
      </c>
      <c r="CC14" s="3457">
        <f>SUM(CC11:CC13)</f>
        <v>163</v>
      </c>
      <c r="CD14" s="3455">
        <v>1.5</v>
      </c>
      <c r="CE14" s="3455">
        <v>1.6666666666666667</v>
      </c>
      <c r="CF14" s="3456">
        <f>SUM(CC14:CE14)</f>
        <v>166.16666666666666</v>
      </c>
      <c r="CG14" s="3457">
        <f>SUM(CG11:CG13)</f>
        <v>160</v>
      </c>
      <c r="CH14" s="3455">
        <v>1.5</v>
      </c>
      <c r="CI14" s="3455">
        <v>1</v>
      </c>
      <c r="CJ14" s="3456">
        <f>SUM(CG14:CI14)</f>
        <v>162.5</v>
      </c>
      <c r="CK14" s="3457">
        <f>SUM(CK11:CK13)</f>
        <v>162</v>
      </c>
      <c r="CL14" s="3455">
        <v>1</v>
      </c>
      <c r="CM14" s="3455">
        <v>0.66666666666666663</v>
      </c>
      <c r="CN14" s="3456">
        <f>SUM(CK14:CM14)</f>
        <v>163.66666666666666</v>
      </c>
      <c r="CO14" s="3457">
        <f>SUM(CO11:CO13)</f>
        <v>166</v>
      </c>
      <c r="CP14" s="3455">
        <v>1</v>
      </c>
      <c r="CQ14" s="3455">
        <v>0.33333333333333331</v>
      </c>
      <c r="CR14" s="3456">
        <f>SUM(CO14:CQ14)</f>
        <v>167.33333333333334</v>
      </c>
      <c r="CS14" s="3445">
        <f>+'Definitivo x categoría'!BZ49</f>
        <v>168</v>
      </c>
      <c r="CT14" s="3443">
        <f>+'Definitivo x categoría'!BZ84/2</f>
        <v>1</v>
      </c>
      <c r="CU14" s="3443">
        <f>+'Definitivo x categoría'!BZ119/3</f>
        <v>0.33333333333333331</v>
      </c>
      <c r="CV14" s="3456">
        <f>SUM(CS14:CU14)</f>
        <v>169.33333333333334</v>
      </c>
      <c r="CW14" s="3445">
        <f>+'Definitivo x categoría'!CD49</f>
        <v>169</v>
      </c>
      <c r="CX14" s="3443">
        <f>+'Definitivo x categoría'!CD84/2</f>
        <v>0.5</v>
      </c>
      <c r="CY14" s="3443">
        <f>+'Definitivo x categoría'!CD119/3</f>
        <v>0.33333333333333331</v>
      </c>
      <c r="CZ14" s="3456">
        <f>SUM(CW14:CY14)</f>
        <v>169.83333333333334</v>
      </c>
    </row>
    <row r="15" spans="2:104" x14ac:dyDescent="0.25">
      <c r="C15" s="3450"/>
      <c r="D15" s="3450"/>
      <c r="E15" s="3450"/>
      <c r="F15" s="3450"/>
      <c r="G15" s="3450"/>
      <c r="H15" s="3450"/>
      <c r="I15" s="3450"/>
      <c r="J15" s="3450"/>
      <c r="K15" s="3450"/>
      <c r="L15" s="3450"/>
      <c r="M15" s="3450"/>
      <c r="N15" s="3450"/>
      <c r="O15" s="3450"/>
      <c r="P15" s="3450"/>
      <c r="Q15" s="3450"/>
      <c r="R15" s="3450"/>
      <c r="S15" s="3450"/>
      <c r="T15" s="3450"/>
      <c r="U15" s="3450"/>
      <c r="AC15" s="3439"/>
      <c r="AD15" s="3451"/>
      <c r="AE15" s="3451"/>
      <c r="AF15" s="3452"/>
      <c r="AG15" s="3438"/>
      <c r="AH15" s="3451"/>
      <c r="AI15" s="3451"/>
      <c r="AJ15" s="3453"/>
      <c r="AK15" s="3439"/>
      <c r="AL15" s="3451"/>
      <c r="AM15" s="3451"/>
      <c r="AN15" s="3452"/>
      <c r="AO15" s="3438"/>
      <c r="AP15" s="3451"/>
      <c r="AQ15" s="3451"/>
      <c r="AR15" s="3453"/>
      <c r="AS15" s="3439"/>
      <c r="AT15" s="3451"/>
      <c r="AU15" s="3451"/>
      <c r="AV15" s="3452"/>
      <c r="AW15" s="3438"/>
      <c r="AX15" s="3451"/>
      <c r="AY15" s="3451"/>
      <c r="AZ15" s="3453"/>
      <c r="BA15" s="3439"/>
      <c r="BB15" s="3451"/>
      <c r="BC15" s="3451"/>
      <c r="BD15" s="3452"/>
      <c r="BE15" s="3438"/>
      <c r="BF15" s="3451"/>
      <c r="BG15" s="3451"/>
      <c r="BH15" s="3452"/>
      <c r="BI15" s="3438"/>
      <c r="BJ15" s="3451"/>
      <c r="BK15" s="3451"/>
      <c r="BL15" s="3452"/>
      <c r="BM15" s="3438"/>
      <c r="BN15" s="3451"/>
      <c r="BO15" s="3451"/>
      <c r="BP15" s="3452"/>
      <c r="BQ15" s="3438"/>
      <c r="BR15" s="3451"/>
      <c r="BS15" s="3451"/>
      <c r="BT15" s="3452"/>
      <c r="BU15" s="3438"/>
      <c r="BV15" s="3451"/>
      <c r="BW15" s="3451"/>
      <c r="BX15" s="3452"/>
      <c r="BY15" s="3438"/>
      <c r="BZ15" s="3451"/>
      <c r="CA15" s="3451"/>
      <c r="CB15" s="3452"/>
      <c r="CC15" s="3438"/>
      <c r="CD15" s="3451"/>
      <c r="CE15" s="3451"/>
      <c r="CF15" s="3452"/>
      <c r="CG15" s="3438"/>
      <c r="CH15" s="3451"/>
      <c r="CI15" s="3451"/>
      <c r="CJ15" s="3452"/>
      <c r="CK15" s="3438"/>
      <c r="CL15" s="3451"/>
      <c r="CM15" s="3451"/>
      <c r="CN15" s="3452"/>
      <c r="CO15" s="3438"/>
      <c r="CP15" s="3451"/>
      <c r="CQ15" s="3451"/>
      <c r="CR15" s="3452"/>
      <c r="CS15" s="3445">
        <f>+'Definitivo x categoría'!BZ50</f>
        <v>0</v>
      </c>
      <c r="CT15" s="3443">
        <f>+'Definitivo x categoría'!BZ85/2</f>
        <v>0</v>
      </c>
      <c r="CU15" s="3443">
        <f>+'Definitivo x categoría'!BZ120/3</f>
        <v>0</v>
      </c>
      <c r="CV15" s="3452"/>
      <c r="CW15" s="3445">
        <f>+'Definitivo x categoría'!CD50</f>
        <v>0</v>
      </c>
      <c r="CX15" s="3443">
        <f>+'Definitivo x categoría'!CD85/2</f>
        <v>0</v>
      </c>
      <c r="CY15" s="3443">
        <f>+'Definitivo x categoría'!CD120/3</f>
        <v>0</v>
      </c>
      <c r="CZ15" s="3452"/>
    </row>
    <row r="16" spans="2:104" ht="14.4" x14ac:dyDescent="0.25">
      <c r="B16" s="3105" t="s">
        <v>59</v>
      </c>
      <c r="C16" s="3441">
        <v>15.890109890109891</v>
      </c>
      <c r="D16" s="3441">
        <v>15.636255924170614</v>
      </c>
      <c r="E16" s="3441">
        <v>15.630460448642268</v>
      </c>
      <c r="F16" s="3441">
        <v>15.045720984759672</v>
      </c>
      <c r="G16" s="3441">
        <v>15.129521586931155</v>
      </c>
      <c r="H16" s="3441">
        <v>15.128445747800585</v>
      </c>
      <c r="I16" s="3441">
        <v>16.04494382022472</v>
      </c>
      <c r="J16" s="3441">
        <v>16.839506172839506</v>
      </c>
      <c r="K16" s="3441">
        <v>17.401759530791789</v>
      </c>
      <c r="L16" s="3441">
        <v>19.338028169014084</v>
      </c>
      <c r="M16" s="3441">
        <v>19.645105895821406</v>
      </c>
      <c r="N16" s="3441">
        <v>20.135181975736568</v>
      </c>
      <c r="O16" s="3441">
        <v>20.743156668608037</v>
      </c>
      <c r="P16" s="3441">
        <v>20.547945205479454</v>
      </c>
      <c r="Q16" s="3441">
        <v>20.392878338278933</v>
      </c>
      <c r="R16" s="3441">
        <v>20.863055386488131</v>
      </c>
      <c r="S16" s="3441">
        <v>19.947336191059399</v>
      </c>
      <c r="T16" s="3441">
        <f>(SUM('ACTIVOS uni'!U16+'Alumnos x PTC'!BA159)/'Alumnos x PTC'!CV16)</f>
        <v>20.185579937304077</v>
      </c>
      <c r="U16" s="3441">
        <f>(SUM('ACTIVOS uni'!V16+'Alumnos x PTC'!BB159)/'Alumnos x PTC'!CW16)</f>
        <v>21.478764478764479</v>
      </c>
      <c r="AC16" s="3461">
        <v>266</v>
      </c>
      <c r="AD16" s="3462">
        <v>1</v>
      </c>
      <c r="AE16" s="3462">
        <v>6</v>
      </c>
      <c r="AF16" s="3463">
        <f t="shared" si="0"/>
        <v>273</v>
      </c>
      <c r="AG16" s="3464">
        <v>274</v>
      </c>
      <c r="AH16" s="3462">
        <v>0.66666666666666663</v>
      </c>
      <c r="AI16" s="3462">
        <v>6.666666666666667</v>
      </c>
      <c r="AJ16" s="3465">
        <f t="shared" si="1"/>
        <v>281.33333333333337</v>
      </c>
      <c r="AK16" s="3461">
        <v>275</v>
      </c>
      <c r="AL16" s="3462">
        <v>1</v>
      </c>
      <c r="AM16" s="3462">
        <v>6.333333333333333</v>
      </c>
      <c r="AN16" s="3463">
        <f t="shared" si="2"/>
        <v>282.33333333333331</v>
      </c>
      <c r="AO16" s="3464">
        <v>277</v>
      </c>
      <c r="AP16" s="3462">
        <v>1</v>
      </c>
      <c r="AQ16" s="3462">
        <v>6.333333333333333</v>
      </c>
      <c r="AR16" s="3465">
        <f t="shared" si="3"/>
        <v>284.33333333333331</v>
      </c>
      <c r="AS16" s="3461">
        <v>279</v>
      </c>
      <c r="AT16" s="3462">
        <v>1</v>
      </c>
      <c r="AU16" s="3462">
        <v>5.666666666666667</v>
      </c>
      <c r="AV16" s="3463">
        <f t="shared" si="4"/>
        <v>285.66666666666669</v>
      </c>
      <c r="AW16" s="3464">
        <v>278</v>
      </c>
      <c r="AX16" s="3462">
        <v>0.5</v>
      </c>
      <c r="AY16" s="3462">
        <v>5.666666666666667</v>
      </c>
      <c r="AZ16" s="3465">
        <f t="shared" si="5"/>
        <v>284.16666666666669</v>
      </c>
      <c r="BA16" s="3461">
        <v>276</v>
      </c>
      <c r="BB16" s="3462">
        <v>0.5</v>
      </c>
      <c r="BC16" s="3462">
        <v>5.333333333333333</v>
      </c>
      <c r="BD16" s="3463">
        <f t="shared" si="6"/>
        <v>281.83333333333331</v>
      </c>
      <c r="BE16" s="3464">
        <v>278</v>
      </c>
      <c r="BF16" s="3462">
        <v>0.5</v>
      </c>
      <c r="BG16" s="3462">
        <v>5</v>
      </c>
      <c r="BH16" s="3463">
        <f t="shared" si="7"/>
        <v>283.5</v>
      </c>
      <c r="BI16" s="3464">
        <v>279</v>
      </c>
      <c r="BJ16" s="3462">
        <v>0.5</v>
      </c>
      <c r="BK16" s="3462">
        <v>4.666666666666667</v>
      </c>
      <c r="BL16" s="3463">
        <f t="shared" si="8"/>
        <v>284.16666666666669</v>
      </c>
      <c r="BM16" s="3464">
        <v>284</v>
      </c>
      <c r="BN16" s="3462"/>
      <c r="BO16" s="3462"/>
      <c r="BP16" s="3463">
        <f t="shared" si="9"/>
        <v>284</v>
      </c>
      <c r="BQ16" s="3464">
        <v>286</v>
      </c>
      <c r="BR16" s="3462">
        <v>0.5</v>
      </c>
      <c r="BS16" s="3462">
        <v>4.666666666666667</v>
      </c>
      <c r="BT16" s="3463">
        <f t="shared" si="10"/>
        <v>291.16666666666669</v>
      </c>
      <c r="BU16" s="3464">
        <v>283</v>
      </c>
      <c r="BV16" s="3462">
        <v>0.5</v>
      </c>
      <c r="BW16" s="3462">
        <v>5</v>
      </c>
      <c r="BX16" s="3463">
        <f t="shared" si="11"/>
        <v>288.5</v>
      </c>
      <c r="BY16" s="3464">
        <v>281</v>
      </c>
      <c r="BZ16" s="3462">
        <v>0.5</v>
      </c>
      <c r="CA16" s="3462">
        <v>4.666666666666667</v>
      </c>
      <c r="CB16" s="3463">
        <f>SUM(BY16:CA16)</f>
        <v>286.16666666666669</v>
      </c>
      <c r="CC16" s="3464">
        <v>275</v>
      </c>
      <c r="CD16" s="3462">
        <v>0.5</v>
      </c>
      <c r="CE16" s="3462">
        <v>4.333333333333333</v>
      </c>
      <c r="CF16" s="3463">
        <f>SUM(CC16:CE16)</f>
        <v>279.83333333333331</v>
      </c>
      <c r="CG16" s="3464">
        <v>276</v>
      </c>
      <c r="CH16" s="3462">
        <v>0.5</v>
      </c>
      <c r="CI16" s="3462">
        <v>4.333333333333333</v>
      </c>
      <c r="CJ16" s="3463">
        <f>SUM(CG16:CI16)</f>
        <v>280.83333333333331</v>
      </c>
      <c r="CK16" s="3464">
        <v>269</v>
      </c>
      <c r="CL16" s="3462">
        <v>0.5</v>
      </c>
      <c r="CM16" s="3462">
        <v>4.333333333333333</v>
      </c>
      <c r="CN16" s="3463">
        <f>SUM(CK16:CM16)</f>
        <v>273.83333333333331</v>
      </c>
      <c r="CO16" s="3464">
        <v>268</v>
      </c>
      <c r="CP16" s="3462">
        <v>0.5</v>
      </c>
      <c r="CQ16" s="3462">
        <v>3.6666666666666665</v>
      </c>
      <c r="CR16" s="3463">
        <f>SUM(CO16:CQ16)</f>
        <v>272.16666666666669</v>
      </c>
      <c r="CS16" s="3445">
        <f>+'Definitivo x categoría'!BZ51</f>
        <v>262</v>
      </c>
      <c r="CT16" s="3443">
        <f>+'Definitivo x categoría'!BZ86/2</f>
        <v>0.5</v>
      </c>
      <c r="CU16" s="3443">
        <f>+'Definitivo x categoría'!BZ121/3</f>
        <v>3.3333333333333335</v>
      </c>
      <c r="CV16" s="3463">
        <f>SUM(CS16:CU16)</f>
        <v>265.83333333333331</v>
      </c>
      <c r="CW16" s="3445">
        <f>+'Definitivo x categoría'!CD51</f>
        <v>259</v>
      </c>
      <c r="CX16" s="3443">
        <f>+'Definitivo x categoría'!CD86/2</f>
        <v>0.5</v>
      </c>
      <c r="CY16" s="3443">
        <f>+'Definitivo x categoría'!CD121/3</f>
        <v>3.3333333333333335</v>
      </c>
      <c r="CZ16" s="3463">
        <f>SUM(CW16:CY16)</f>
        <v>262.83333333333331</v>
      </c>
    </row>
    <row r="17" spans="2:104" ht="14.4" x14ac:dyDescent="0.25">
      <c r="B17" s="3110" t="s">
        <v>64</v>
      </c>
      <c r="C17" s="3447">
        <v>20.033950617283949</v>
      </c>
      <c r="D17" s="3447">
        <v>20.699360341151383</v>
      </c>
      <c r="E17" s="3447">
        <v>20.689437729900156</v>
      </c>
      <c r="F17" s="3447">
        <v>21.89300847457627</v>
      </c>
      <c r="G17" s="3447">
        <v>23.194546407970638</v>
      </c>
      <c r="H17" s="3447">
        <v>23.874739039665972</v>
      </c>
      <c r="I17" s="3447">
        <v>24.944162436548226</v>
      </c>
      <c r="J17" s="3447">
        <v>25.458204334365327</v>
      </c>
      <c r="K17" s="3447">
        <v>26.359375</v>
      </c>
      <c r="L17" s="3447">
        <v>25.907532467532469</v>
      </c>
      <c r="M17" s="3447">
        <v>25.947611710323574</v>
      </c>
      <c r="N17" s="3447">
        <v>25.730407523510973</v>
      </c>
      <c r="O17" s="3447">
        <v>26.625792811839325</v>
      </c>
      <c r="P17" s="3447">
        <v>25.33194372068786</v>
      </c>
      <c r="Q17" s="3447">
        <v>24.985670419651996</v>
      </c>
      <c r="R17" s="3447">
        <v>26.145610278372594</v>
      </c>
      <c r="S17" s="3447">
        <v>26.678394722374929</v>
      </c>
      <c r="T17" s="3447">
        <f>(SUM('ACTIVOS uni'!U17+'Alumnos x PTC'!BA160)/'Alumnos x PTC'!CV17)</f>
        <v>28.190748143917762</v>
      </c>
      <c r="U17" s="3447">
        <f>(SUM('ACTIVOS uni'!V17+'Alumnos x PTC'!BB160)/'Alumnos x PTC'!CW17)</f>
        <v>31.114695340501793</v>
      </c>
      <c r="AC17" s="3461">
        <v>301</v>
      </c>
      <c r="AD17" s="3462">
        <v>8</v>
      </c>
      <c r="AE17" s="3462">
        <v>15</v>
      </c>
      <c r="AF17" s="3463">
        <f t="shared" si="0"/>
        <v>324</v>
      </c>
      <c r="AG17" s="3464">
        <v>294</v>
      </c>
      <c r="AH17" s="3462">
        <v>4.666666666666667</v>
      </c>
      <c r="AI17" s="3462">
        <v>14</v>
      </c>
      <c r="AJ17" s="3465">
        <f t="shared" si="1"/>
        <v>312.66666666666669</v>
      </c>
      <c r="AK17" s="3461">
        <v>296</v>
      </c>
      <c r="AL17" s="3462">
        <v>7.5</v>
      </c>
      <c r="AM17" s="3462">
        <v>13.666666666666666</v>
      </c>
      <c r="AN17" s="3463">
        <f t="shared" si="2"/>
        <v>317.16666666666669</v>
      </c>
      <c r="AO17" s="3464">
        <v>294</v>
      </c>
      <c r="AP17" s="3462">
        <v>7</v>
      </c>
      <c r="AQ17" s="3462">
        <v>13.666666666666666</v>
      </c>
      <c r="AR17" s="3465">
        <f t="shared" si="3"/>
        <v>314.66666666666669</v>
      </c>
      <c r="AS17" s="3461">
        <v>299</v>
      </c>
      <c r="AT17" s="3462">
        <v>5.5</v>
      </c>
      <c r="AU17" s="3462">
        <v>13.333333333333334</v>
      </c>
      <c r="AV17" s="3463">
        <f t="shared" si="4"/>
        <v>317.83333333333331</v>
      </c>
      <c r="AW17" s="3464">
        <v>301</v>
      </c>
      <c r="AX17" s="3462">
        <v>6</v>
      </c>
      <c r="AY17" s="3462">
        <v>12.333333333333334</v>
      </c>
      <c r="AZ17" s="3465">
        <f t="shared" si="5"/>
        <v>319.33333333333331</v>
      </c>
      <c r="BA17" s="3461">
        <v>307</v>
      </c>
      <c r="BB17" s="3462">
        <v>7</v>
      </c>
      <c r="BC17" s="3462">
        <v>14.333333333333334</v>
      </c>
      <c r="BD17" s="3463">
        <f t="shared" si="6"/>
        <v>328.33333333333331</v>
      </c>
      <c r="BE17" s="3464">
        <v>302</v>
      </c>
      <c r="BF17" s="3462">
        <v>7</v>
      </c>
      <c r="BG17" s="3462">
        <v>14</v>
      </c>
      <c r="BH17" s="3463">
        <f t="shared" si="7"/>
        <v>323</v>
      </c>
      <c r="BI17" s="3464">
        <v>298</v>
      </c>
      <c r="BJ17" s="3462">
        <v>7</v>
      </c>
      <c r="BK17" s="3462">
        <v>15</v>
      </c>
      <c r="BL17" s="3463">
        <f t="shared" si="8"/>
        <v>320</v>
      </c>
      <c r="BM17" s="3464">
        <v>299</v>
      </c>
      <c r="BN17" s="3462">
        <v>7.5</v>
      </c>
      <c r="BO17" s="3462">
        <v>14.333333333333334</v>
      </c>
      <c r="BP17" s="3463">
        <f t="shared" si="9"/>
        <v>320.83333333333331</v>
      </c>
      <c r="BQ17" s="3464">
        <v>303</v>
      </c>
      <c r="BR17" s="3462">
        <v>5.5</v>
      </c>
      <c r="BS17" s="3462">
        <v>16</v>
      </c>
      <c r="BT17" s="3463">
        <f t="shared" si="10"/>
        <v>324.5</v>
      </c>
      <c r="BU17" s="3464">
        <v>301</v>
      </c>
      <c r="BV17" s="3462">
        <v>5</v>
      </c>
      <c r="BW17" s="3462">
        <v>13</v>
      </c>
      <c r="BX17" s="3463">
        <f t="shared" si="11"/>
        <v>319</v>
      </c>
      <c r="BY17" s="3464">
        <v>298</v>
      </c>
      <c r="BZ17" s="3462">
        <v>5</v>
      </c>
      <c r="CA17" s="3462">
        <v>12.333333333333334</v>
      </c>
      <c r="CB17" s="3463">
        <f>SUM(BY17:CA17)</f>
        <v>315.33333333333331</v>
      </c>
      <c r="CC17" s="3464">
        <v>303</v>
      </c>
      <c r="CD17" s="3462">
        <v>4.5</v>
      </c>
      <c r="CE17" s="3462">
        <v>12.333333333333334</v>
      </c>
      <c r="CF17" s="3463">
        <f>SUM(CC17:CE17)</f>
        <v>319.83333333333331</v>
      </c>
      <c r="CG17" s="3464">
        <v>309</v>
      </c>
      <c r="CH17" s="3462">
        <v>5</v>
      </c>
      <c r="CI17" s="3462">
        <v>11.666666666666666</v>
      </c>
      <c r="CJ17" s="3463">
        <f>SUM(CG17:CI17)</f>
        <v>325.66666666666669</v>
      </c>
      <c r="CK17" s="3464">
        <v>297</v>
      </c>
      <c r="CL17" s="3462">
        <v>4</v>
      </c>
      <c r="CM17" s="3462">
        <v>10.333333333333334</v>
      </c>
      <c r="CN17" s="3463">
        <f>SUM(CK17:CM17)</f>
        <v>311.33333333333331</v>
      </c>
      <c r="CO17" s="3464">
        <v>289</v>
      </c>
      <c r="CP17" s="3462">
        <v>4.5</v>
      </c>
      <c r="CQ17" s="3462">
        <v>9.6666666666666661</v>
      </c>
      <c r="CR17" s="3463">
        <f>SUM(CO17:CQ17)</f>
        <v>303.16666666666669</v>
      </c>
      <c r="CS17" s="3445">
        <f>+'Definitivo x categoría'!BZ52</f>
        <v>278</v>
      </c>
      <c r="CT17" s="3443">
        <f>+'Definitivo x categoría'!BZ87/2</f>
        <v>4.5</v>
      </c>
      <c r="CU17" s="3443">
        <f>+'Definitivo x categoría'!BZ122/3</f>
        <v>9.3333333333333339</v>
      </c>
      <c r="CV17" s="3463">
        <f>SUM(CS17:CU17)</f>
        <v>291.83333333333331</v>
      </c>
      <c r="CW17" s="3445">
        <f>+'Definitivo x categoría'!CD52</f>
        <v>279</v>
      </c>
      <c r="CX17" s="3443">
        <f>+'Definitivo x categoría'!CD87/2</f>
        <v>4</v>
      </c>
      <c r="CY17" s="3443">
        <f>+'Definitivo x categoría'!CD122/3</f>
        <v>9</v>
      </c>
      <c r="CZ17" s="3463">
        <f>SUM(CW17:CY17)</f>
        <v>292</v>
      </c>
    </row>
    <row r="18" spans="2:104" ht="14.4" x14ac:dyDescent="0.25">
      <c r="B18" s="3110" t="s">
        <v>92</v>
      </c>
      <c r="C18" s="3447">
        <v>18.167862266857963</v>
      </c>
      <c r="D18" s="3447">
        <v>17.352857142857143</v>
      </c>
      <c r="E18" s="3447">
        <v>17.458874458874458</v>
      </c>
      <c r="F18" s="3447">
        <v>17.533856022808266</v>
      </c>
      <c r="G18" s="3447">
        <v>18.548646671543526</v>
      </c>
      <c r="H18" s="3447">
        <v>19.914988814317674</v>
      </c>
      <c r="I18" s="3447">
        <v>22.06392694063927</v>
      </c>
      <c r="J18" s="3447">
        <v>22.702941176470588</v>
      </c>
      <c r="K18" s="3447">
        <v>24.379411764705882</v>
      </c>
      <c r="L18" s="3447">
        <v>25.526959022286125</v>
      </c>
      <c r="M18" s="3447">
        <v>25.698668535388926</v>
      </c>
      <c r="N18" s="3447">
        <v>25.683182135380321</v>
      </c>
      <c r="O18" s="3447">
        <v>25.117442668519804</v>
      </c>
      <c r="P18" s="3447">
        <v>24.784810126582279</v>
      </c>
      <c r="Q18" s="3447">
        <v>23.838526912181301</v>
      </c>
      <c r="R18" s="3447">
        <v>23.010043041606885</v>
      </c>
      <c r="S18" s="3447">
        <v>21.744557329462992</v>
      </c>
      <c r="T18" s="3447">
        <f>(SUM('ACTIVOS uni'!U18+'Alumnos x PTC'!BA161)/'Alumnos x PTC'!CV18)</f>
        <v>20.880706921944036</v>
      </c>
      <c r="U18" s="3447">
        <f>(SUM('ACTIVOS uni'!V18+'Alumnos x PTC'!BB161)/'Alumnos x PTC'!CW18)</f>
        <v>22.131455399061032</v>
      </c>
      <c r="AC18" s="3461">
        <v>215</v>
      </c>
      <c r="AD18" s="3462">
        <v>3</v>
      </c>
      <c r="AE18" s="3462">
        <v>14.333333333333334</v>
      </c>
      <c r="AF18" s="3463">
        <f t="shared" si="0"/>
        <v>232.33333333333334</v>
      </c>
      <c r="AG18" s="3464">
        <v>219</v>
      </c>
      <c r="AH18" s="3462">
        <v>1.6666666666666667</v>
      </c>
      <c r="AI18" s="3462">
        <v>12.666666666666666</v>
      </c>
      <c r="AJ18" s="3465">
        <f t="shared" si="1"/>
        <v>233.33333333333331</v>
      </c>
      <c r="AK18" s="3461">
        <v>216</v>
      </c>
      <c r="AL18" s="3462">
        <v>3</v>
      </c>
      <c r="AM18" s="3462">
        <v>12</v>
      </c>
      <c r="AN18" s="3463">
        <f t="shared" si="2"/>
        <v>231</v>
      </c>
      <c r="AO18" s="3464">
        <v>220</v>
      </c>
      <c r="AP18" s="3462">
        <v>3.5</v>
      </c>
      <c r="AQ18" s="3462">
        <v>10.333333333333334</v>
      </c>
      <c r="AR18" s="3465">
        <f t="shared" si="3"/>
        <v>233.83333333333334</v>
      </c>
      <c r="AS18" s="3461">
        <v>215</v>
      </c>
      <c r="AT18" s="3462">
        <v>3.5</v>
      </c>
      <c r="AU18" s="3462">
        <v>9.3333333333333339</v>
      </c>
      <c r="AV18" s="3463">
        <f t="shared" si="4"/>
        <v>227.83333333333334</v>
      </c>
      <c r="AW18" s="3464">
        <v>210</v>
      </c>
      <c r="AX18" s="3462">
        <v>4.5</v>
      </c>
      <c r="AY18" s="3462">
        <v>9</v>
      </c>
      <c r="AZ18" s="3465">
        <f t="shared" si="5"/>
        <v>223.5</v>
      </c>
      <c r="BA18" s="3461">
        <v>206</v>
      </c>
      <c r="BB18" s="3462">
        <v>4</v>
      </c>
      <c r="BC18" s="3462">
        <v>9</v>
      </c>
      <c r="BD18" s="3463">
        <f t="shared" si="6"/>
        <v>219</v>
      </c>
      <c r="BE18" s="3464">
        <v>214</v>
      </c>
      <c r="BF18" s="3462">
        <v>4</v>
      </c>
      <c r="BG18" s="3462">
        <v>8.6666666666666661</v>
      </c>
      <c r="BH18" s="3463">
        <f t="shared" si="7"/>
        <v>226.66666666666666</v>
      </c>
      <c r="BI18" s="3464">
        <v>214</v>
      </c>
      <c r="BJ18" s="3462">
        <v>4</v>
      </c>
      <c r="BK18" s="3462">
        <v>8.6666666666666661</v>
      </c>
      <c r="BL18" s="3463">
        <f t="shared" si="8"/>
        <v>226.66666666666666</v>
      </c>
      <c r="BM18" s="3464">
        <v>221</v>
      </c>
      <c r="BN18" s="3462">
        <v>3.5</v>
      </c>
      <c r="BO18" s="3462">
        <v>7.333333333333333</v>
      </c>
      <c r="BP18" s="3463">
        <f t="shared" si="9"/>
        <v>231.83333333333334</v>
      </c>
      <c r="BQ18" s="3464">
        <v>228</v>
      </c>
      <c r="BR18" s="3462">
        <v>3.5</v>
      </c>
      <c r="BS18" s="3462">
        <v>6.333333333333333</v>
      </c>
      <c r="BT18" s="3463">
        <f t="shared" si="10"/>
        <v>237.83333333333334</v>
      </c>
      <c r="BU18" s="3464">
        <v>229</v>
      </c>
      <c r="BV18" s="3462">
        <v>3.5</v>
      </c>
      <c r="BW18" s="3462">
        <v>6.333333333333333</v>
      </c>
      <c r="BX18" s="3463">
        <f t="shared" si="11"/>
        <v>238.83333333333334</v>
      </c>
      <c r="BY18" s="3464">
        <v>231</v>
      </c>
      <c r="BZ18" s="3462">
        <v>2.5</v>
      </c>
      <c r="CA18" s="3462">
        <v>6.333333333333333</v>
      </c>
      <c r="CB18" s="3463">
        <f>SUM(BY18:CA18)</f>
        <v>239.83333333333334</v>
      </c>
      <c r="CC18" s="3464">
        <v>228</v>
      </c>
      <c r="CD18" s="3462">
        <v>3</v>
      </c>
      <c r="CE18" s="3462">
        <v>6</v>
      </c>
      <c r="CF18" s="3463">
        <f>SUM(CC18:CE18)</f>
        <v>237</v>
      </c>
      <c r="CG18" s="3464">
        <v>227</v>
      </c>
      <c r="CH18" s="3462">
        <v>3</v>
      </c>
      <c r="CI18" s="3462">
        <v>5.333333333333333</v>
      </c>
      <c r="CJ18" s="3463">
        <f>SUM(CG18:CI18)</f>
        <v>235.33333333333334</v>
      </c>
      <c r="CK18" s="3464">
        <v>224</v>
      </c>
      <c r="CL18" s="3462">
        <v>3</v>
      </c>
      <c r="CM18" s="3462">
        <v>5.333333333333333</v>
      </c>
      <c r="CN18" s="3463">
        <f>SUM(CK18:CM18)</f>
        <v>232.33333333333334</v>
      </c>
      <c r="CO18" s="3464">
        <v>222</v>
      </c>
      <c r="CP18" s="3462">
        <v>3</v>
      </c>
      <c r="CQ18" s="3462">
        <v>4.666666666666667</v>
      </c>
      <c r="CR18" s="3463">
        <f>SUM(CO18:CQ18)</f>
        <v>229.66666666666666</v>
      </c>
      <c r="CS18" s="3445">
        <f>+'Definitivo x categoría'!BZ53</f>
        <v>219</v>
      </c>
      <c r="CT18" s="3443">
        <f>+'Definitivo x categoría'!BZ88/2</f>
        <v>3</v>
      </c>
      <c r="CU18" s="3443">
        <f>+'Definitivo x categoría'!BZ123/3</f>
        <v>4.333333333333333</v>
      </c>
      <c r="CV18" s="3463">
        <f>SUM(CS18:CU18)</f>
        <v>226.33333333333334</v>
      </c>
      <c r="CW18" s="3445">
        <f>+'Definitivo x categoría'!CD53</f>
        <v>213</v>
      </c>
      <c r="CX18" s="3443">
        <f>+'Definitivo x categoría'!CD88/2</f>
        <v>3</v>
      </c>
      <c r="CY18" s="3443">
        <f>+'Definitivo x categoría'!CD123/3</f>
        <v>4.333333333333333</v>
      </c>
      <c r="CZ18" s="3463">
        <f>SUM(CW18:CY18)</f>
        <v>220.33333333333334</v>
      </c>
    </row>
    <row r="19" spans="2:104" ht="14.4" x14ac:dyDescent="0.25">
      <c r="B19" s="3466" t="s">
        <v>135</v>
      </c>
      <c r="C19" s="3467">
        <v>18.147106109324756</v>
      </c>
      <c r="D19" s="3467">
        <v>18.033843674456083</v>
      </c>
      <c r="E19" s="3467">
        <v>18.071041541240216</v>
      </c>
      <c r="F19" s="3467">
        <v>18.331398839303581</v>
      </c>
      <c r="G19" s="3467">
        <v>19.149959903769044</v>
      </c>
      <c r="H19" s="3467">
        <v>19.799274486094316</v>
      </c>
      <c r="I19" s="3467">
        <v>21.158592964824123</v>
      </c>
      <c r="J19" s="3467">
        <v>21.775955191038207</v>
      </c>
      <c r="K19" s="3467">
        <v>22.755466399197591</v>
      </c>
      <c r="L19" s="3467">
        <v>23.427440110869135</v>
      </c>
      <c r="M19" s="3467">
        <v>23.728178090216755</v>
      </c>
      <c r="N19" s="3467">
        <v>23.809767625049229</v>
      </c>
      <c r="O19" s="3467">
        <v>24.194928684627573</v>
      </c>
      <c r="P19" s="3467">
        <v>23.576892430278885</v>
      </c>
      <c r="Q19" s="3467">
        <v>23.132844981191841</v>
      </c>
      <c r="R19" s="3467">
        <v>23.485015290519879</v>
      </c>
      <c r="S19" s="3467">
        <v>22.995031055900622</v>
      </c>
      <c r="T19" s="3467">
        <f>(SUM('ACTIVOS uni'!U19+'Alumnos x PTC'!BA162)/'Alumnos x PTC'!CV19)</f>
        <v>23.366071428571427</v>
      </c>
      <c r="U19" s="3467">
        <f>(SUM('ACTIVOS uni'!V19+'Alumnos x PTC'!BB162)/'Alumnos x PTC'!CW19)</f>
        <v>25.243675099866845</v>
      </c>
      <c r="AC19" s="3461">
        <v>782</v>
      </c>
      <c r="AD19" s="3462">
        <v>12</v>
      </c>
      <c r="AE19" s="3462">
        <v>35.333333333333336</v>
      </c>
      <c r="AF19" s="3463">
        <f t="shared" si="0"/>
        <v>829.33333333333337</v>
      </c>
      <c r="AG19" s="3464">
        <v>787</v>
      </c>
      <c r="AH19" s="3462">
        <v>7</v>
      </c>
      <c r="AI19" s="3462">
        <v>33.333333333333336</v>
      </c>
      <c r="AJ19" s="3465">
        <f t="shared" si="1"/>
        <v>827.33333333333337</v>
      </c>
      <c r="AK19" s="3461">
        <v>787</v>
      </c>
      <c r="AL19" s="3462">
        <v>11.5</v>
      </c>
      <c r="AM19" s="3462">
        <v>32</v>
      </c>
      <c r="AN19" s="3463">
        <f t="shared" si="2"/>
        <v>830.5</v>
      </c>
      <c r="AO19" s="3464">
        <v>791</v>
      </c>
      <c r="AP19" s="3462">
        <v>11.5</v>
      </c>
      <c r="AQ19" s="3462">
        <v>30.333333333333332</v>
      </c>
      <c r="AR19" s="3465">
        <f t="shared" si="3"/>
        <v>832.83333333333337</v>
      </c>
      <c r="AS19" s="3461">
        <v>793</v>
      </c>
      <c r="AT19" s="3462">
        <v>10</v>
      </c>
      <c r="AU19" s="3462">
        <v>28.333333333333332</v>
      </c>
      <c r="AV19" s="3463">
        <f t="shared" si="4"/>
        <v>831.33333333333337</v>
      </c>
      <c r="AW19" s="3464">
        <v>789</v>
      </c>
      <c r="AX19" s="3462">
        <v>11</v>
      </c>
      <c r="AY19" s="3462">
        <v>27</v>
      </c>
      <c r="AZ19" s="3465">
        <f t="shared" si="5"/>
        <v>827</v>
      </c>
      <c r="BA19" s="3461">
        <v>789</v>
      </c>
      <c r="BB19" s="3462">
        <v>11.5</v>
      </c>
      <c r="BC19" s="3462">
        <v>28.666666666666668</v>
      </c>
      <c r="BD19" s="3463">
        <f t="shared" si="6"/>
        <v>829.16666666666663</v>
      </c>
      <c r="BE19" s="3464">
        <v>794</v>
      </c>
      <c r="BF19" s="3462">
        <v>11.5</v>
      </c>
      <c r="BG19" s="3462">
        <v>27.666666666666668</v>
      </c>
      <c r="BH19" s="3463">
        <f t="shared" si="7"/>
        <v>833.16666666666663</v>
      </c>
      <c r="BI19" s="3464">
        <v>791</v>
      </c>
      <c r="BJ19" s="3462">
        <v>11.5</v>
      </c>
      <c r="BK19" s="3462">
        <v>28.333333333333332</v>
      </c>
      <c r="BL19" s="3463">
        <f t="shared" si="8"/>
        <v>830.83333333333337</v>
      </c>
      <c r="BM19" s="3464">
        <v>804</v>
      </c>
      <c r="BN19" s="3462">
        <v>11.5</v>
      </c>
      <c r="BO19" s="3462">
        <v>26.333333333333332</v>
      </c>
      <c r="BP19" s="3463">
        <f t="shared" si="9"/>
        <v>841.83333333333337</v>
      </c>
      <c r="BQ19" s="3464">
        <v>817</v>
      </c>
      <c r="BR19" s="3462">
        <v>9.5</v>
      </c>
      <c r="BS19" s="3462">
        <v>27</v>
      </c>
      <c r="BT19" s="3463">
        <f t="shared" si="10"/>
        <v>853.5</v>
      </c>
      <c r="BU19" s="3464">
        <v>813</v>
      </c>
      <c r="BV19" s="3462">
        <v>9</v>
      </c>
      <c r="BW19" s="3462">
        <v>24.333333333333332</v>
      </c>
      <c r="BX19" s="3463">
        <f t="shared" si="11"/>
        <v>846.33333333333337</v>
      </c>
      <c r="BY19" s="3464">
        <v>810</v>
      </c>
      <c r="BZ19" s="3462">
        <v>8</v>
      </c>
      <c r="CA19" s="3462">
        <v>23.333333333333332</v>
      </c>
      <c r="CB19" s="3463">
        <f>SUM(BY19:CA19)</f>
        <v>841.33333333333337</v>
      </c>
      <c r="CC19" s="3464">
        <f>SUM(CC16:CC18)</f>
        <v>806</v>
      </c>
      <c r="CD19" s="3462">
        <v>8</v>
      </c>
      <c r="CE19" s="3462">
        <v>22.666666666666668</v>
      </c>
      <c r="CF19" s="3463">
        <f>SUM(CC19:CE19)</f>
        <v>836.66666666666663</v>
      </c>
      <c r="CG19" s="3464">
        <f>SUM(CG16:CG18)</f>
        <v>812</v>
      </c>
      <c r="CH19" s="3462">
        <v>8.5</v>
      </c>
      <c r="CI19" s="3462">
        <v>21.333333333333332</v>
      </c>
      <c r="CJ19" s="3463">
        <f>SUM(CG19:CI19)</f>
        <v>841.83333333333337</v>
      </c>
      <c r="CK19" s="3464">
        <f>SUM(CK16:CK18)</f>
        <v>790</v>
      </c>
      <c r="CL19" s="3462">
        <v>7.5</v>
      </c>
      <c r="CM19" s="3462">
        <v>20</v>
      </c>
      <c r="CN19" s="3463">
        <f>SUM(CK19:CM19)</f>
        <v>817.5</v>
      </c>
      <c r="CO19" s="3464">
        <f>SUM(CO16:CO18)</f>
        <v>779</v>
      </c>
      <c r="CP19" s="3462">
        <v>8</v>
      </c>
      <c r="CQ19" s="3462">
        <v>18</v>
      </c>
      <c r="CR19" s="3463">
        <f>SUM(CO19:CQ19)</f>
        <v>805</v>
      </c>
      <c r="CS19" s="3445">
        <f>+'Definitivo x categoría'!BZ54</f>
        <v>759</v>
      </c>
      <c r="CT19" s="3443">
        <f>+'Definitivo x categoría'!BZ89/2</f>
        <v>8</v>
      </c>
      <c r="CU19" s="3443">
        <f>+'Definitivo x categoría'!BZ124/3</f>
        <v>17</v>
      </c>
      <c r="CV19" s="3463">
        <f>SUM(CS19:CU19)</f>
        <v>784</v>
      </c>
      <c r="CW19" s="3445">
        <f>+'Definitivo x categoría'!CD54</f>
        <v>751</v>
      </c>
      <c r="CX19" s="3443">
        <f>+'Definitivo x categoría'!CD89/2</f>
        <v>7.5</v>
      </c>
      <c r="CY19" s="3443">
        <f>+'Definitivo x categoría'!CD124/3</f>
        <v>16.666666666666668</v>
      </c>
      <c r="CZ19" s="3463">
        <f>SUM(CW19:CY19)</f>
        <v>775.16666666666663</v>
      </c>
    </row>
    <row r="20" spans="2:104" x14ac:dyDescent="0.25">
      <c r="C20" s="3450"/>
      <c r="D20" s="3450"/>
      <c r="E20" s="3450"/>
      <c r="F20" s="3450"/>
      <c r="G20" s="3450"/>
      <c r="H20" s="3450"/>
      <c r="I20" s="3450"/>
      <c r="J20" s="3450"/>
      <c r="K20" s="3450"/>
      <c r="L20" s="3450"/>
      <c r="M20" s="3450"/>
      <c r="N20" s="3450"/>
      <c r="O20" s="3450"/>
      <c r="P20" s="3450"/>
      <c r="Q20" s="3450"/>
      <c r="R20" s="3450"/>
      <c r="S20" s="3450"/>
      <c r="T20" s="3450"/>
      <c r="U20" s="3450"/>
      <c r="AC20" s="3439"/>
      <c r="AD20" s="3451"/>
      <c r="AE20" s="3451"/>
      <c r="AF20" s="3452"/>
      <c r="AG20" s="3438"/>
      <c r="AH20" s="3451"/>
      <c r="AI20" s="3451"/>
      <c r="AJ20" s="3453"/>
      <c r="AK20" s="3439"/>
      <c r="AL20" s="3451"/>
      <c r="AM20" s="3451"/>
      <c r="AN20" s="3452"/>
      <c r="AO20" s="3438"/>
      <c r="AP20" s="3451"/>
      <c r="AQ20" s="3451"/>
      <c r="AR20" s="3453"/>
      <c r="AS20" s="3439"/>
      <c r="AT20" s="3451"/>
      <c r="AU20" s="3451"/>
      <c r="AV20" s="3452"/>
      <c r="AW20" s="3438"/>
      <c r="AX20" s="3451"/>
      <c r="AY20" s="3451"/>
      <c r="AZ20" s="3453"/>
      <c r="BA20" s="3439"/>
      <c r="BB20" s="3451"/>
      <c r="BC20" s="3451"/>
      <c r="BD20" s="3452"/>
      <c r="BE20" s="3438"/>
      <c r="BF20" s="3451"/>
      <c r="BG20" s="3451"/>
      <c r="BH20" s="3452"/>
      <c r="BI20" s="3438"/>
      <c r="BJ20" s="3451"/>
      <c r="BK20" s="3451"/>
      <c r="BL20" s="3452"/>
      <c r="BM20" s="3438"/>
      <c r="BN20" s="3451"/>
      <c r="BO20" s="3451"/>
      <c r="BP20" s="3452"/>
      <c r="BQ20" s="3438"/>
      <c r="BR20" s="3451"/>
      <c r="BS20" s="3451"/>
      <c r="BT20" s="3452"/>
      <c r="BU20" s="3438"/>
      <c r="BV20" s="3451"/>
      <c r="BW20" s="3451"/>
      <c r="BX20" s="3452"/>
      <c r="BY20" s="3438"/>
      <c r="BZ20" s="3451"/>
      <c r="CA20" s="3451"/>
      <c r="CB20" s="3452"/>
      <c r="CC20" s="3438"/>
      <c r="CD20" s="3451"/>
      <c r="CE20" s="3451"/>
      <c r="CF20" s="3452"/>
      <c r="CG20" s="3438"/>
      <c r="CH20" s="3451"/>
      <c r="CI20" s="3451"/>
      <c r="CJ20" s="3452"/>
      <c r="CK20" s="3438"/>
      <c r="CL20" s="3451"/>
      <c r="CM20" s="3451"/>
      <c r="CN20" s="3452"/>
      <c r="CO20" s="3438"/>
      <c r="CP20" s="3451"/>
      <c r="CQ20" s="3451"/>
      <c r="CR20" s="3452"/>
      <c r="CS20" s="3445">
        <f>+'Definitivo x categoría'!BZ55</f>
        <v>0</v>
      </c>
      <c r="CT20" s="3443">
        <f>+'Definitivo x categoría'!BZ90/2</f>
        <v>0</v>
      </c>
      <c r="CU20" s="3443">
        <f>+'Definitivo x categoría'!BZ125/3</f>
        <v>0</v>
      </c>
      <c r="CV20" s="3452"/>
      <c r="CW20" s="3445">
        <f>+'Definitivo x categoría'!CD55</f>
        <v>0</v>
      </c>
      <c r="CX20" s="3443">
        <f>+'Definitivo x categoría'!CD90/2</f>
        <v>0</v>
      </c>
      <c r="CY20" s="3443">
        <f>+'Definitivo x categoría'!CD125/3</f>
        <v>0</v>
      </c>
      <c r="CZ20" s="3452"/>
    </row>
    <row r="21" spans="2:104" ht="14.4" x14ac:dyDescent="0.25">
      <c r="B21" s="3105" t="s">
        <v>59</v>
      </c>
      <c r="C21" s="3441"/>
      <c r="D21" s="3441"/>
      <c r="E21" s="3441"/>
      <c r="F21" s="3441"/>
      <c r="G21" s="3441"/>
      <c r="H21" s="3441"/>
      <c r="I21" s="3441"/>
      <c r="J21" s="3441">
        <v>15</v>
      </c>
      <c r="K21" s="3441">
        <v>11.285714285714286</v>
      </c>
      <c r="L21" s="3441">
        <v>15.375</v>
      </c>
      <c r="M21" s="3441">
        <v>13.9</v>
      </c>
      <c r="N21" s="3441">
        <v>11.533333333333333</v>
      </c>
      <c r="O21" s="3441">
        <v>11.25</v>
      </c>
      <c r="P21" s="3441">
        <v>14.105263157894736</v>
      </c>
      <c r="Q21" s="3441">
        <v>15.904761904761905</v>
      </c>
      <c r="R21" s="3441">
        <v>18.521739130434781</v>
      </c>
      <c r="S21" s="3441">
        <v>22.227272727272727</v>
      </c>
      <c r="T21" s="3441">
        <f>(SUM('ACTIVOS uni'!U21+'Alumnos x PTC'!BA164)/'Alumnos x PTC'!CV21)</f>
        <v>24.90909090909091</v>
      </c>
      <c r="U21" s="3441">
        <f>(SUM('ACTIVOS uni'!V21+'Alumnos x PTC'!BB164)/'Alumnos x PTC'!CW21)</f>
        <v>32.94736842105263</v>
      </c>
      <c r="AC21" s="3468"/>
      <c r="AD21" s="3469">
        <v>0</v>
      </c>
      <c r="AE21" s="3469">
        <v>0</v>
      </c>
      <c r="AF21" s="3470">
        <f t="shared" si="0"/>
        <v>0</v>
      </c>
      <c r="AG21" s="3471"/>
      <c r="AH21" s="3469">
        <v>0</v>
      </c>
      <c r="AI21" s="3469">
        <v>0</v>
      </c>
      <c r="AJ21" s="3472">
        <f t="shared" si="1"/>
        <v>0</v>
      </c>
      <c r="AK21" s="3468"/>
      <c r="AL21" s="3469">
        <v>0</v>
      </c>
      <c r="AM21" s="3469">
        <v>0</v>
      </c>
      <c r="AN21" s="3470">
        <f t="shared" si="2"/>
        <v>0</v>
      </c>
      <c r="AO21" s="3471"/>
      <c r="AP21" s="3469">
        <v>0</v>
      </c>
      <c r="AQ21" s="3469">
        <v>0</v>
      </c>
      <c r="AR21" s="3472">
        <f t="shared" si="3"/>
        <v>0</v>
      </c>
      <c r="AS21" s="3468"/>
      <c r="AT21" s="3469">
        <v>0</v>
      </c>
      <c r="AU21" s="3469">
        <v>0</v>
      </c>
      <c r="AV21" s="3470">
        <f t="shared" si="4"/>
        <v>0</v>
      </c>
      <c r="AW21" s="3471"/>
      <c r="AX21" s="3469">
        <v>0</v>
      </c>
      <c r="AY21" s="3469">
        <v>0</v>
      </c>
      <c r="AZ21" s="3472">
        <f t="shared" si="5"/>
        <v>0</v>
      </c>
      <c r="BA21" s="3468">
        <v>3</v>
      </c>
      <c r="BB21" s="3469">
        <v>0</v>
      </c>
      <c r="BC21" s="3469">
        <v>0</v>
      </c>
      <c r="BD21" s="3470">
        <f t="shared" si="6"/>
        <v>3</v>
      </c>
      <c r="BE21" s="3471">
        <v>4</v>
      </c>
      <c r="BF21" s="3469">
        <v>0</v>
      </c>
      <c r="BG21" s="3469">
        <v>0</v>
      </c>
      <c r="BH21" s="3470">
        <f t="shared" si="7"/>
        <v>4</v>
      </c>
      <c r="BI21" s="3471">
        <v>7</v>
      </c>
      <c r="BJ21" s="3469">
        <v>0</v>
      </c>
      <c r="BK21" s="3469">
        <v>0</v>
      </c>
      <c r="BL21" s="3470">
        <f t="shared" si="8"/>
        <v>7</v>
      </c>
      <c r="BM21" s="3471">
        <v>8</v>
      </c>
      <c r="BN21" s="3469">
        <v>0</v>
      </c>
      <c r="BO21" s="3469">
        <v>0</v>
      </c>
      <c r="BP21" s="3470">
        <f t="shared" si="9"/>
        <v>8</v>
      </c>
      <c r="BQ21" s="3471">
        <v>10</v>
      </c>
      <c r="BR21" s="3469">
        <v>0</v>
      </c>
      <c r="BS21" s="3469">
        <v>0</v>
      </c>
      <c r="BT21" s="3470">
        <f t="shared" si="10"/>
        <v>10</v>
      </c>
      <c r="BU21" s="3471">
        <v>15</v>
      </c>
      <c r="BV21" s="3469">
        <v>0</v>
      </c>
      <c r="BW21" s="3469">
        <v>0</v>
      </c>
      <c r="BX21" s="3470">
        <f t="shared" si="11"/>
        <v>15</v>
      </c>
      <c r="BY21" s="3471">
        <v>16</v>
      </c>
      <c r="BZ21" s="3469">
        <v>0</v>
      </c>
      <c r="CA21" s="3469">
        <v>0</v>
      </c>
      <c r="CB21" s="3470">
        <f>SUM(BY21:CA21)</f>
        <v>16</v>
      </c>
      <c r="CC21" s="3471">
        <v>19</v>
      </c>
      <c r="CD21" s="3469">
        <v>0</v>
      </c>
      <c r="CE21" s="3469">
        <v>0</v>
      </c>
      <c r="CF21" s="3470">
        <f>SUM(CC21:CE21)</f>
        <v>19</v>
      </c>
      <c r="CG21" s="3471">
        <v>21</v>
      </c>
      <c r="CH21" s="3469">
        <v>0</v>
      </c>
      <c r="CI21" s="3469">
        <v>0</v>
      </c>
      <c r="CJ21" s="3470">
        <f>SUM(CG21:CI21)</f>
        <v>21</v>
      </c>
      <c r="CK21" s="3471">
        <v>23</v>
      </c>
      <c r="CL21" s="3469">
        <v>0</v>
      </c>
      <c r="CM21" s="3469">
        <v>0</v>
      </c>
      <c r="CN21" s="3470">
        <f>SUM(CK21:CM21)</f>
        <v>23</v>
      </c>
      <c r="CO21" s="3471">
        <v>22</v>
      </c>
      <c r="CP21" s="3469">
        <v>0</v>
      </c>
      <c r="CQ21" s="3469">
        <v>0</v>
      </c>
      <c r="CR21" s="3470">
        <f>SUM(CO21:CQ21)</f>
        <v>22</v>
      </c>
      <c r="CS21" s="3445">
        <f>+'Definitivo x categoría'!BZ56</f>
        <v>22</v>
      </c>
      <c r="CT21" s="3443">
        <f>+'Definitivo x categoría'!BZ91/2</f>
        <v>0</v>
      </c>
      <c r="CU21" s="3443">
        <f>+'Definitivo x categoría'!BZ126/3</f>
        <v>0</v>
      </c>
      <c r="CV21" s="3470">
        <f>SUM(CS21:CU21)</f>
        <v>22</v>
      </c>
      <c r="CW21" s="3445">
        <f>+'Definitivo x categoría'!CD56</f>
        <v>19</v>
      </c>
      <c r="CX21" s="3443">
        <f>+'Definitivo x categoría'!CD91/2</f>
        <v>0</v>
      </c>
      <c r="CY21" s="3443">
        <f>+'Definitivo x categoría'!CD126/3</f>
        <v>0</v>
      </c>
      <c r="CZ21" s="3470">
        <f>SUM(CW21:CY21)</f>
        <v>19</v>
      </c>
    </row>
    <row r="22" spans="2:104" ht="14.4" x14ac:dyDescent="0.25">
      <c r="B22" s="3110" t="s">
        <v>64</v>
      </c>
      <c r="C22" s="3447"/>
      <c r="D22" s="3447"/>
      <c r="E22" s="3447"/>
      <c r="F22" s="3447"/>
      <c r="G22" s="3447"/>
      <c r="H22" s="3447"/>
      <c r="I22" s="3447"/>
      <c r="J22" s="3447">
        <v>19.333333333333332</v>
      </c>
      <c r="K22" s="3447">
        <v>13.333333333333334</v>
      </c>
      <c r="L22" s="3447">
        <v>19.714285714285715</v>
      </c>
      <c r="M22" s="3447">
        <v>13.23076923076923</v>
      </c>
      <c r="N22" s="3447">
        <v>16.384615384615383</v>
      </c>
      <c r="O22" s="3447">
        <v>11.761904761904763</v>
      </c>
      <c r="P22" s="3447">
        <v>10.75</v>
      </c>
      <c r="Q22" s="3447">
        <v>11.96774193548387</v>
      </c>
      <c r="R22" s="3447">
        <v>13.7</v>
      </c>
      <c r="S22" s="3447">
        <v>16.032258064516128</v>
      </c>
      <c r="T22" s="3447">
        <f>(SUM('ACTIVOS uni'!U22+'Alumnos x PTC'!BA165)/'Alumnos x PTC'!CV22)</f>
        <v>17.225806451612904</v>
      </c>
      <c r="U22" s="3447">
        <f>(SUM('ACTIVOS uni'!V22+'Alumnos x PTC'!BB165)/'Alumnos x PTC'!CW22)</f>
        <v>18.733333333333334</v>
      </c>
      <c r="AC22" s="3468"/>
      <c r="AD22" s="3469">
        <v>0</v>
      </c>
      <c r="AE22" s="3469">
        <v>0</v>
      </c>
      <c r="AF22" s="3470">
        <f t="shared" si="0"/>
        <v>0</v>
      </c>
      <c r="AG22" s="3471"/>
      <c r="AH22" s="3469">
        <v>0</v>
      </c>
      <c r="AI22" s="3469">
        <v>0</v>
      </c>
      <c r="AJ22" s="3472">
        <f t="shared" si="1"/>
        <v>0</v>
      </c>
      <c r="AK22" s="3468"/>
      <c r="AL22" s="3469">
        <v>0</v>
      </c>
      <c r="AM22" s="3469">
        <v>0</v>
      </c>
      <c r="AN22" s="3470">
        <f t="shared" si="2"/>
        <v>0</v>
      </c>
      <c r="AO22" s="3471"/>
      <c r="AP22" s="3469">
        <v>0</v>
      </c>
      <c r="AQ22" s="3469">
        <v>0</v>
      </c>
      <c r="AR22" s="3472">
        <f t="shared" si="3"/>
        <v>0</v>
      </c>
      <c r="AS22" s="3468"/>
      <c r="AT22" s="3469">
        <v>0</v>
      </c>
      <c r="AU22" s="3469">
        <v>0</v>
      </c>
      <c r="AV22" s="3470">
        <f t="shared" si="4"/>
        <v>0</v>
      </c>
      <c r="AW22" s="3471"/>
      <c r="AX22" s="3469">
        <v>0</v>
      </c>
      <c r="AY22" s="3469">
        <v>0</v>
      </c>
      <c r="AZ22" s="3472">
        <f t="shared" si="5"/>
        <v>0</v>
      </c>
      <c r="BA22" s="3468">
        <v>2</v>
      </c>
      <c r="BB22" s="3469">
        <v>0</v>
      </c>
      <c r="BC22" s="3469">
        <v>0</v>
      </c>
      <c r="BD22" s="3470">
        <f t="shared" si="6"/>
        <v>2</v>
      </c>
      <c r="BE22" s="3471">
        <v>3</v>
      </c>
      <c r="BF22" s="3469">
        <v>0</v>
      </c>
      <c r="BG22" s="3469">
        <v>0</v>
      </c>
      <c r="BH22" s="3470">
        <f t="shared" si="7"/>
        <v>3</v>
      </c>
      <c r="BI22" s="3471">
        <v>6</v>
      </c>
      <c r="BJ22" s="3469">
        <v>0</v>
      </c>
      <c r="BK22" s="3469">
        <v>0</v>
      </c>
      <c r="BL22" s="3470">
        <f t="shared" si="8"/>
        <v>6</v>
      </c>
      <c r="BM22" s="3471">
        <v>7</v>
      </c>
      <c r="BN22" s="3469">
        <v>0</v>
      </c>
      <c r="BO22" s="3469">
        <v>0</v>
      </c>
      <c r="BP22" s="3470">
        <f t="shared" si="9"/>
        <v>7</v>
      </c>
      <c r="BQ22" s="3471">
        <v>13</v>
      </c>
      <c r="BR22" s="3469">
        <v>0</v>
      </c>
      <c r="BS22" s="3469">
        <v>0</v>
      </c>
      <c r="BT22" s="3470">
        <f t="shared" si="10"/>
        <v>13</v>
      </c>
      <c r="BU22" s="3471">
        <v>13</v>
      </c>
      <c r="BV22" s="3469">
        <v>0</v>
      </c>
      <c r="BW22" s="3469">
        <v>0</v>
      </c>
      <c r="BX22" s="3470">
        <f t="shared" si="11"/>
        <v>13</v>
      </c>
      <c r="BY22" s="3471">
        <v>21</v>
      </c>
      <c r="BZ22" s="3469">
        <v>0</v>
      </c>
      <c r="CA22" s="3469">
        <v>0</v>
      </c>
      <c r="CB22" s="3470">
        <f>SUM(BY22:CA22)</f>
        <v>21</v>
      </c>
      <c r="CC22" s="3471">
        <v>27</v>
      </c>
      <c r="CD22" s="3469">
        <v>1</v>
      </c>
      <c r="CE22" s="3469">
        <v>0</v>
      </c>
      <c r="CF22" s="3470">
        <f>SUM(CC22:CE22)</f>
        <v>28</v>
      </c>
      <c r="CG22" s="3471">
        <v>30</v>
      </c>
      <c r="CH22" s="3469">
        <v>1</v>
      </c>
      <c r="CI22" s="3469">
        <v>0</v>
      </c>
      <c r="CJ22" s="3470">
        <f>SUM(CG22:CI22)</f>
        <v>31</v>
      </c>
      <c r="CK22" s="3471">
        <v>30</v>
      </c>
      <c r="CL22" s="3469">
        <v>0</v>
      </c>
      <c r="CM22" s="3469">
        <v>0</v>
      </c>
      <c r="CN22" s="3470">
        <f>SUM(CK22:CM22)</f>
        <v>30</v>
      </c>
      <c r="CO22" s="3471">
        <v>31</v>
      </c>
      <c r="CP22" s="3469">
        <v>0</v>
      </c>
      <c r="CQ22" s="3469">
        <v>0</v>
      </c>
      <c r="CR22" s="3470">
        <f>SUM(CO22:CQ22)</f>
        <v>31</v>
      </c>
      <c r="CS22" s="3445">
        <f>+'Definitivo x categoría'!BZ57</f>
        <v>31</v>
      </c>
      <c r="CT22" s="3443">
        <f>+'Definitivo x categoría'!BZ92/2</f>
        <v>0</v>
      </c>
      <c r="CU22" s="3443">
        <f>+'Definitivo x categoría'!BZ127/3</f>
        <v>0</v>
      </c>
      <c r="CV22" s="3470">
        <f>SUM(CS22:CU22)</f>
        <v>31</v>
      </c>
      <c r="CW22" s="3445">
        <f>+'Definitivo x categoría'!CD57</f>
        <v>30</v>
      </c>
      <c r="CX22" s="3443">
        <f>+'Definitivo x categoría'!CD92/2</f>
        <v>0</v>
      </c>
      <c r="CY22" s="3443">
        <f>+'Definitivo x categoría'!CD127/3</f>
        <v>0</v>
      </c>
      <c r="CZ22" s="3470">
        <f>SUM(CW22:CY22)</f>
        <v>30</v>
      </c>
    </row>
    <row r="23" spans="2:104" ht="14.4" x14ac:dyDescent="0.25">
      <c r="B23" s="3110" t="s">
        <v>92</v>
      </c>
      <c r="C23" s="3447"/>
      <c r="D23" s="3447"/>
      <c r="E23" s="3447"/>
      <c r="F23" s="3447"/>
      <c r="G23" s="3447"/>
      <c r="H23" s="3447"/>
      <c r="I23" s="3447"/>
      <c r="J23" s="3447">
        <v>9.1666666666666661</v>
      </c>
      <c r="K23" s="3447">
        <v>7.666666666666667</v>
      </c>
      <c r="L23" s="3447">
        <v>8.9230769230769234</v>
      </c>
      <c r="M23" s="3447">
        <v>11.307692307692308</v>
      </c>
      <c r="N23" s="3447">
        <v>14.857142857142858</v>
      </c>
      <c r="O23" s="3447">
        <v>13.722222222222221</v>
      </c>
      <c r="P23" s="3447">
        <v>14.95</v>
      </c>
      <c r="Q23" s="3447">
        <v>17.149999999999999</v>
      </c>
      <c r="R23" s="3447">
        <v>20.047619047619047</v>
      </c>
      <c r="S23" s="3447">
        <v>23.181818181818183</v>
      </c>
      <c r="T23" s="3447">
        <f>(SUM('ACTIVOS uni'!U23+'Alumnos x PTC'!BA166)/'Alumnos x PTC'!CV23)</f>
        <v>27.666666666666668</v>
      </c>
      <c r="U23" s="3447">
        <f>(SUM('ACTIVOS uni'!V23+'Alumnos x PTC'!BB166)/'Alumnos x PTC'!CW23)</f>
        <v>30.666666666666668</v>
      </c>
      <c r="AC23" s="3468"/>
      <c r="AD23" s="3469">
        <v>0</v>
      </c>
      <c r="AE23" s="3469">
        <v>0</v>
      </c>
      <c r="AF23" s="3470">
        <f t="shared" si="0"/>
        <v>0</v>
      </c>
      <c r="AG23" s="3471"/>
      <c r="AH23" s="3469">
        <v>0</v>
      </c>
      <c r="AI23" s="3469">
        <v>0</v>
      </c>
      <c r="AJ23" s="3472">
        <f t="shared" si="1"/>
        <v>0</v>
      </c>
      <c r="AK23" s="3468"/>
      <c r="AL23" s="3469">
        <v>0</v>
      </c>
      <c r="AM23" s="3469">
        <v>0</v>
      </c>
      <c r="AN23" s="3470">
        <f t="shared" si="2"/>
        <v>0</v>
      </c>
      <c r="AO23" s="3471"/>
      <c r="AP23" s="3469">
        <v>0</v>
      </c>
      <c r="AQ23" s="3469">
        <v>0</v>
      </c>
      <c r="AR23" s="3472">
        <f t="shared" si="3"/>
        <v>0</v>
      </c>
      <c r="AS23" s="3468"/>
      <c r="AT23" s="3469">
        <v>0</v>
      </c>
      <c r="AU23" s="3469">
        <v>0</v>
      </c>
      <c r="AV23" s="3470">
        <f t="shared" si="4"/>
        <v>0</v>
      </c>
      <c r="AW23" s="3471">
        <v>1</v>
      </c>
      <c r="AX23" s="3469">
        <v>0</v>
      </c>
      <c r="AY23" s="3469">
        <v>0</v>
      </c>
      <c r="AZ23" s="3472">
        <f t="shared" si="5"/>
        <v>1</v>
      </c>
      <c r="BA23" s="3468">
        <v>5</v>
      </c>
      <c r="BB23" s="3469">
        <v>0</v>
      </c>
      <c r="BC23" s="3469">
        <v>0</v>
      </c>
      <c r="BD23" s="3470">
        <f t="shared" si="6"/>
        <v>5</v>
      </c>
      <c r="BE23" s="3471">
        <v>6</v>
      </c>
      <c r="BF23" s="3469">
        <v>0</v>
      </c>
      <c r="BG23" s="3469">
        <v>0</v>
      </c>
      <c r="BH23" s="3470">
        <f t="shared" si="7"/>
        <v>6</v>
      </c>
      <c r="BI23" s="3471">
        <v>9</v>
      </c>
      <c r="BJ23" s="3469">
        <v>0</v>
      </c>
      <c r="BK23" s="3469">
        <v>0</v>
      </c>
      <c r="BL23" s="3470">
        <f t="shared" si="8"/>
        <v>9</v>
      </c>
      <c r="BM23" s="3471">
        <v>13</v>
      </c>
      <c r="BN23" s="3469">
        <v>0</v>
      </c>
      <c r="BO23" s="3469">
        <v>0</v>
      </c>
      <c r="BP23" s="3470">
        <f t="shared" si="9"/>
        <v>13</v>
      </c>
      <c r="BQ23" s="3471">
        <v>13</v>
      </c>
      <c r="BR23" s="3469">
        <v>0</v>
      </c>
      <c r="BS23" s="3469">
        <v>0</v>
      </c>
      <c r="BT23" s="3470">
        <f t="shared" si="10"/>
        <v>13</v>
      </c>
      <c r="BU23" s="3471">
        <v>14</v>
      </c>
      <c r="BV23" s="3469">
        <v>0</v>
      </c>
      <c r="BW23" s="3469">
        <v>0</v>
      </c>
      <c r="BX23" s="3470">
        <f t="shared" si="11"/>
        <v>14</v>
      </c>
      <c r="BY23" s="3471">
        <v>18</v>
      </c>
      <c r="BZ23" s="3469">
        <v>0</v>
      </c>
      <c r="CA23" s="3469">
        <v>0</v>
      </c>
      <c r="CB23" s="3470">
        <f>SUM(BY23:CA23)</f>
        <v>18</v>
      </c>
      <c r="CC23" s="3471">
        <v>20</v>
      </c>
      <c r="CD23" s="3469">
        <v>0</v>
      </c>
      <c r="CE23" s="3469">
        <v>0</v>
      </c>
      <c r="CF23" s="3470">
        <f>SUM(CC23:CE23)</f>
        <v>20</v>
      </c>
      <c r="CG23" s="3471">
        <v>20</v>
      </c>
      <c r="CH23" s="3469">
        <v>0</v>
      </c>
      <c r="CI23" s="3469">
        <v>0</v>
      </c>
      <c r="CJ23" s="3470">
        <f>SUM(CG23:CI23)</f>
        <v>20</v>
      </c>
      <c r="CK23" s="3471">
        <v>21</v>
      </c>
      <c r="CL23" s="3469">
        <v>0</v>
      </c>
      <c r="CM23" s="3469">
        <v>0</v>
      </c>
      <c r="CN23" s="3470">
        <f>SUM(CK23:CM23)</f>
        <v>21</v>
      </c>
      <c r="CO23" s="3471">
        <v>22</v>
      </c>
      <c r="CP23" s="3469">
        <v>0</v>
      </c>
      <c r="CQ23" s="3469">
        <v>0</v>
      </c>
      <c r="CR23" s="3470">
        <f>SUM(CO23:CQ23)</f>
        <v>22</v>
      </c>
      <c r="CS23" s="3445">
        <f>+'Definitivo x categoría'!BZ58</f>
        <v>21</v>
      </c>
      <c r="CT23" s="3443">
        <f>+'Definitivo x categoría'!BZ93/2</f>
        <v>0</v>
      </c>
      <c r="CU23" s="3443">
        <f>+'Definitivo x categoría'!BZ128/3</f>
        <v>0</v>
      </c>
      <c r="CV23" s="3470">
        <f>SUM(CS23:CU23)</f>
        <v>21</v>
      </c>
      <c r="CW23" s="3445">
        <f>+'Definitivo x categoría'!CD58</f>
        <v>21</v>
      </c>
      <c r="CX23" s="3443">
        <f>+'Definitivo x categoría'!CD93/2</f>
        <v>0</v>
      </c>
      <c r="CY23" s="3443">
        <f>+'Definitivo x categoría'!CD128/3</f>
        <v>0</v>
      </c>
      <c r="CZ23" s="3470">
        <f>SUM(CW23:CY23)</f>
        <v>21</v>
      </c>
    </row>
    <row r="24" spans="2:104" ht="14.4" x14ac:dyDescent="0.25">
      <c r="B24" s="3473" t="s">
        <v>136</v>
      </c>
      <c r="C24" s="3474"/>
      <c r="D24" s="3474"/>
      <c r="E24" s="3474"/>
      <c r="F24" s="3474"/>
      <c r="G24" s="3474"/>
      <c r="H24" s="3474"/>
      <c r="I24" s="3474"/>
      <c r="J24" s="3474">
        <v>13.307692307692308</v>
      </c>
      <c r="K24" s="3474">
        <v>10.363636363636363</v>
      </c>
      <c r="L24" s="3474">
        <v>13.464285714285714</v>
      </c>
      <c r="M24" s="3474">
        <v>12.722222222222221</v>
      </c>
      <c r="N24" s="3474">
        <v>14.142857142857142</v>
      </c>
      <c r="O24" s="3474">
        <v>12.254545454545454</v>
      </c>
      <c r="P24" s="3474">
        <v>12.955223880597014</v>
      </c>
      <c r="Q24" s="3474">
        <v>14.555555555555555</v>
      </c>
      <c r="R24" s="3474">
        <v>17</v>
      </c>
      <c r="S24" s="3474">
        <v>19.946666666666665</v>
      </c>
      <c r="T24" s="3474">
        <f>(SUM('ACTIVOS uni'!U24+'Alumnos x PTC'!BA167)/'Alumnos x PTC'!CV24)</f>
        <v>22.472972972972972</v>
      </c>
      <c r="U24" s="3474">
        <f>(SUM('ACTIVOS uni'!V24+'Alumnos x PTC'!BB167)/'Alumnos x PTC'!CW24)</f>
        <v>26.171428571428571</v>
      </c>
      <c r="AC24" s="3468"/>
      <c r="AD24" s="3469">
        <v>0</v>
      </c>
      <c r="AE24" s="3469">
        <v>0</v>
      </c>
      <c r="AF24" s="3470">
        <f t="shared" si="0"/>
        <v>0</v>
      </c>
      <c r="AG24" s="3471"/>
      <c r="AH24" s="3469">
        <v>0</v>
      </c>
      <c r="AI24" s="3469">
        <v>0</v>
      </c>
      <c r="AJ24" s="3472">
        <f t="shared" si="1"/>
        <v>0</v>
      </c>
      <c r="AK24" s="3468"/>
      <c r="AL24" s="3469">
        <v>0</v>
      </c>
      <c r="AM24" s="3469">
        <v>0</v>
      </c>
      <c r="AN24" s="3470">
        <f t="shared" si="2"/>
        <v>0</v>
      </c>
      <c r="AO24" s="3471"/>
      <c r="AP24" s="3469">
        <v>0</v>
      </c>
      <c r="AQ24" s="3469">
        <v>0</v>
      </c>
      <c r="AR24" s="3472">
        <f t="shared" si="3"/>
        <v>0</v>
      </c>
      <c r="AS24" s="3468"/>
      <c r="AT24" s="3469">
        <v>0</v>
      </c>
      <c r="AU24" s="3469">
        <v>0</v>
      </c>
      <c r="AV24" s="3470">
        <f t="shared" si="4"/>
        <v>0</v>
      </c>
      <c r="AW24" s="3471">
        <v>1</v>
      </c>
      <c r="AX24" s="3469">
        <v>0</v>
      </c>
      <c r="AY24" s="3469">
        <v>0</v>
      </c>
      <c r="AZ24" s="3472">
        <f t="shared" si="5"/>
        <v>1</v>
      </c>
      <c r="BA24" s="3468">
        <v>10</v>
      </c>
      <c r="BB24" s="3469">
        <v>0</v>
      </c>
      <c r="BC24" s="3469">
        <v>0</v>
      </c>
      <c r="BD24" s="3470">
        <f t="shared" si="6"/>
        <v>10</v>
      </c>
      <c r="BE24" s="3471">
        <v>13</v>
      </c>
      <c r="BF24" s="3469">
        <v>0</v>
      </c>
      <c r="BG24" s="3469">
        <v>0</v>
      </c>
      <c r="BH24" s="3470">
        <f t="shared" si="7"/>
        <v>13</v>
      </c>
      <c r="BI24" s="3471">
        <v>22</v>
      </c>
      <c r="BJ24" s="3469">
        <v>0</v>
      </c>
      <c r="BK24" s="3469">
        <v>0</v>
      </c>
      <c r="BL24" s="3470">
        <f t="shared" si="8"/>
        <v>22</v>
      </c>
      <c r="BM24" s="3471">
        <v>28</v>
      </c>
      <c r="BN24" s="3469">
        <v>0</v>
      </c>
      <c r="BO24" s="3469">
        <v>0</v>
      </c>
      <c r="BP24" s="3470">
        <f t="shared" si="9"/>
        <v>28</v>
      </c>
      <c r="BQ24" s="3471">
        <v>36</v>
      </c>
      <c r="BR24" s="3469">
        <v>0</v>
      </c>
      <c r="BS24" s="3469">
        <v>0</v>
      </c>
      <c r="BT24" s="3470">
        <f t="shared" si="10"/>
        <v>36</v>
      </c>
      <c r="BU24" s="3471">
        <v>42</v>
      </c>
      <c r="BV24" s="3469">
        <v>0</v>
      </c>
      <c r="BW24" s="3469">
        <v>0</v>
      </c>
      <c r="BX24" s="3470">
        <f t="shared" si="11"/>
        <v>42</v>
      </c>
      <c r="BY24" s="3471">
        <v>55</v>
      </c>
      <c r="BZ24" s="3469">
        <v>0</v>
      </c>
      <c r="CA24" s="3469">
        <v>0</v>
      </c>
      <c r="CB24" s="3470">
        <f>SUM(BY24:CA24)</f>
        <v>55</v>
      </c>
      <c r="CC24" s="3471">
        <f>SUM(CC21:CC23)</f>
        <v>66</v>
      </c>
      <c r="CD24" s="3469">
        <v>1</v>
      </c>
      <c r="CE24" s="3469">
        <v>0</v>
      </c>
      <c r="CF24" s="3470">
        <f>SUM(CC24:CE24)</f>
        <v>67</v>
      </c>
      <c r="CG24" s="3471">
        <f>SUM(CG21:CG23)</f>
        <v>71</v>
      </c>
      <c r="CH24" s="3469">
        <v>1</v>
      </c>
      <c r="CI24" s="3469">
        <v>0</v>
      </c>
      <c r="CJ24" s="3470">
        <f>SUM(CG24:CI24)</f>
        <v>72</v>
      </c>
      <c r="CK24" s="3471">
        <f>SUM(CK21:CK23)</f>
        <v>74</v>
      </c>
      <c r="CL24" s="3469">
        <v>0</v>
      </c>
      <c r="CM24" s="3469">
        <v>0</v>
      </c>
      <c r="CN24" s="3470">
        <f>SUM(CK24:CM24)</f>
        <v>74</v>
      </c>
      <c r="CO24" s="3471">
        <f>SUM(CO21:CO23)</f>
        <v>75</v>
      </c>
      <c r="CP24" s="3469">
        <v>0</v>
      </c>
      <c r="CQ24" s="3469">
        <v>0</v>
      </c>
      <c r="CR24" s="3470">
        <f>SUM(CO24:CQ24)</f>
        <v>75</v>
      </c>
      <c r="CS24" s="3445">
        <f>+'Definitivo x categoría'!BZ59</f>
        <v>74</v>
      </c>
      <c r="CT24" s="3443">
        <f>+'Definitivo x categoría'!BZ94/2</f>
        <v>0</v>
      </c>
      <c r="CU24" s="3443">
        <f>+'Definitivo x categoría'!BZ129/3</f>
        <v>0</v>
      </c>
      <c r="CV24" s="3470">
        <f>SUM(CS24:CU24)</f>
        <v>74</v>
      </c>
      <c r="CW24" s="3445">
        <f>+'Definitivo x categoría'!CD59</f>
        <v>70</v>
      </c>
      <c r="CX24" s="3443">
        <f>+'Definitivo x categoría'!CD94/2</f>
        <v>0</v>
      </c>
      <c r="CY24" s="3443">
        <f>+'Definitivo x categoría'!CD129/3</f>
        <v>0</v>
      </c>
      <c r="CZ24" s="3470">
        <f>SUM(CW24:CY24)</f>
        <v>70</v>
      </c>
    </row>
    <row r="25" spans="2:104" x14ac:dyDescent="0.25">
      <c r="C25" s="3450"/>
      <c r="D25" s="3450"/>
      <c r="E25" s="3450"/>
      <c r="F25" s="3450"/>
      <c r="G25" s="3450"/>
      <c r="H25" s="3450"/>
      <c r="I25" s="3450"/>
      <c r="J25" s="3450"/>
      <c r="K25" s="3450"/>
      <c r="L25" s="3450"/>
      <c r="M25" s="3450"/>
      <c r="N25" s="3450"/>
      <c r="O25" s="3450"/>
      <c r="P25" s="3450"/>
      <c r="Q25" s="3450"/>
      <c r="R25" s="3450"/>
      <c r="S25" s="3450"/>
      <c r="T25" s="3450"/>
      <c r="U25" s="3450"/>
      <c r="AC25" s="3439"/>
      <c r="AD25" s="3451"/>
      <c r="AE25" s="3451"/>
      <c r="AF25" s="3452"/>
      <c r="AG25" s="3438"/>
      <c r="AH25" s="3451"/>
      <c r="AI25" s="3451"/>
      <c r="AJ25" s="3453"/>
      <c r="AK25" s="3439"/>
      <c r="AL25" s="3451"/>
      <c r="AM25" s="3451"/>
      <c r="AN25" s="3452"/>
      <c r="AO25" s="3438"/>
      <c r="AP25" s="3451"/>
      <c r="AQ25" s="3451"/>
      <c r="AR25" s="3453"/>
      <c r="AS25" s="3439"/>
      <c r="AT25" s="3451"/>
      <c r="AU25" s="3451"/>
      <c r="AV25" s="3452"/>
      <c r="AW25" s="3438"/>
      <c r="AX25" s="3451"/>
      <c r="AY25" s="3451"/>
      <c r="AZ25" s="3453"/>
      <c r="BA25" s="3439"/>
      <c r="BB25" s="3451"/>
      <c r="BC25" s="3451"/>
      <c r="BD25" s="3452"/>
      <c r="BE25" s="3438"/>
      <c r="BF25" s="3451"/>
      <c r="BG25" s="3451"/>
      <c r="BH25" s="3452"/>
      <c r="BI25" s="3438"/>
      <c r="BJ25" s="3451"/>
      <c r="BK25" s="3451"/>
      <c r="BL25" s="3452"/>
      <c r="BM25" s="3438"/>
      <c r="BN25" s="3451"/>
      <c r="BO25" s="3451"/>
      <c r="BP25" s="3452"/>
      <c r="BQ25" s="3438"/>
      <c r="BR25" s="3451"/>
      <c r="BS25" s="3451"/>
      <c r="BT25" s="3452"/>
      <c r="BU25" s="3438"/>
      <c r="BV25" s="3451"/>
      <c r="BW25" s="3451"/>
      <c r="BX25" s="3452"/>
      <c r="BY25" s="3438"/>
      <c r="BZ25" s="3451"/>
      <c r="CA25" s="3451"/>
      <c r="CB25" s="3452"/>
      <c r="CC25" s="3438"/>
      <c r="CD25" s="3451"/>
      <c r="CE25" s="3451"/>
      <c r="CF25" s="3452"/>
      <c r="CG25" s="3438"/>
      <c r="CH25" s="3451"/>
      <c r="CI25" s="3451"/>
      <c r="CJ25" s="3452"/>
      <c r="CK25" s="3438"/>
      <c r="CL25" s="3451"/>
      <c r="CM25" s="3451"/>
      <c r="CN25" s="3452"/>
      <c r="CO25" s="3438"/>
      <c r="CP25" s="3451"/>
      <c r="CQ25" s="3451"/>
      <c r="CR25" s="3452"/>
      <c r="CS25" s="3445">
        <f>+'Definitivo x categoría'!BZ60</f>
        <v>0</v>
      </c>
      <c r="CT25" s="3443">
        <f>+'Definitivo x categoría'!BZ95/2</f>
        <v>0</v>
      </c>
      <c r="CU25" s="3443">
        <f>+'Definitivo x categoría'!BZ130/3</f>
        <v>0</v>
      </c>
      <c r="CV25" s="3452"/>
      <c r="CW25" s="3445">
        <f>+'Definitivo x categoría'!CD60</f>
        <v>0</v>
      </c>
      <c r="CX25" s="3443">
        <f>+'Definitivo x categoría'!CD95/2</f>
        <v>0</v>
      </c>
      <c r="CY25" s="3443">
        <f>+'Definitivo x categoría'!CD130/3</f>
        <v>0</v>
      </c>
      <c r="CZ25" s="3452"/>
    </row>
    <row r="26" spans="2:104" ht="14.4" x14ac:dyDescent="0.25">
      <c r="B26" s="3105" t="s">
        <v>64</v>
      </c>
      <c r="C26" s="3441">
        <v>18.578610603290674</v>
      </c>
      <c r="D26" s="3441">
        <v>19.351526364477337</v>
      </c>
      <c r="E26" s="3441">
        <v>19.776243093922652</v>
      </c>
      <c r="F26" s="3441">
        <v>21.29032258064516</v>
      </c>
      <c r="G26" s="3441">
        <v>21.019755409219194</v>
      </c>
      <c r="H26" s="3441">
        <v>20.198620689655172</v>
      </c>
      <c r="I26" s="3441">
        <v>19.983493810178818</v>
      </c>
      <c r="J26" s="3441">
        <v>18.81203007518797</v>
      </c>
      <c r="K26" s="3441">
        <v>18.819614711033275</v>
      </c>
      <c r="L26" s="3441">
        <v>19.087549494060713</v>
      </c>
      <c r="M26" s="3441">
        <v>19.095006628369418</v>
      </c>
      <c r="N26" s="3441">
        <v>19.231043710972344</v>
      </c>
      <c r="O26" s="3441">
        <v>19.914777878513146</v>
      </c>
      <c r="P26" s="3441">
        <v>20.095367847411445</v>
      </c>
      <c r="Q26" s="3441">
        <v>21.079550561797753</v>
      </c>
      <c r="R26" s="3441">
        <v>21.938547486033521</v>
      </c>
      <c r="S26" s="3441">
        <v>22.853900709219857</v>
      </c>
      <c r="T26" s="3441">
        <f>(SUM('ACTIVOS uni'!U26+'Alumnos x PTC'!BA169)/'Alumnos x PTC'!CV26)</f>
        <v>23.162318840579712</v>
      </c>
      <c r="U26" s="3441">
        <f>(SUM('ACTIVOS uni'!V26+'Alumnos x PTC'!BB169)/'Alumnos x PTC'!CW26)</f>
        <v>24.4</v>
      </c>
      <c r="AC26" s="3475">
        <v>347</v>
      </c>
      <c r="AD26" s="3476">
        <v>16</v>
      </c>
      <c r="AE26" s="3476">
        <v>1.6666666666666667</v>
      </c>
      <c r="AF26" s="3477">
        <f t="shared" si="0"/>
        <v>364.66666666666669</v>
      </c>
      <c r="AG26" s="3478">
        <v>347</v>
      </c>
      <c r="AH26" s="3476">
        <v>11.333333333333334</v>
      </c>
      <c r="AI26" s="3476">
        <v>2</v>
      </c>
      <c r="AJ26" s="3479">
        <f t="shared" si="1"/>
        <v>360.33333333333331</v>
      </c>
      <c r="AK26" s="3475">
        <v>340</v>
      </c>
      <c r="AL26" s="3476">
        <v>20</v>
      </c>
      <c r="AM26" s="3476">
        <v>2</v>
      </c>
      <c r="AN26" s="3477">
        <f t="shared" si="2"/>
        <v>362</v>
      </c>
      <c r="AO26" s="3478">
        <v>326</v>
      </c>
      <c r="AP26" s="3476">
        <v>18.5</v>
      </c>
      <c r="AQ26" s="3476">
        <v>1.6666666666666667</v>
      </c>
      <c r="AR26" s="3479">
        <f t="shared" si="3"/>
        <v>346.16666666666669</v>
      </c>
      <c r="AS26" s="3475">
        <v>335</v>
      </c>
      <c r="AT26" s="3476">
        <v>17</v>
      </c>
      <c r="AU26" s="3476">
        <v>2.3333333333333335</v>
      </c>
      <c r="AV26" s="3477">
        <f t="shared" si="4"/>
        <v>354.33333333333331</v>
      </c>
      <c r="AW26" s="3478">
        <v>344</v>
      </c>
      <c r="AX26" s="3476">
        <v>16.5</v>
      </c>
      <c r="AY26" s="3476">
        <v>2</v>
      </c>
      <c r="AZ26" s="3479">
        <f t="shared" si="5"/>
        <v>362.5</v>
      </c>
      <c r="BA26" s="3475">
        <v>342</v>
      </c>
      <c r="BB26" s="3476">
        <v>16.5</v>
      </c>
      <c r="BC26" s="3476">
        <v>5</v>
      </c>
      <c r="BD26" s="3477">
        <f t="shared" si="6"/>
        <v>363.5</v>
      </c>
      <c r="BE26" s="3478">
        <v>356</v>
      </c>
      <c r="BF26" s="3476">
        <v>15.5</v>
      </c>
      <c r="BG26" s="3476">
        <v>5.333333333333333</v>
      </c>
      <c r="BH26" s="3477">
        <f t="shared" si="7"/>
        <v>376.83333333333331</v>
      </c>
      <c r="BI26" s="3478">
        <v>363</v>
      </c>
      <c r="BJ26" s="3476">
        <v>13</v>
      </c>
      <c r="BK26" s="3476">
        <v>4.666666666666667</v>
      </c>
      <c r="BL26" s="3477">
        <f t="shared" si="8"/>
        <v>380.66666666666669</v>
      </c>
      <c r="BM26" s="3478">
        <v>363</v>
      </c>
      <c r="BN26" s="3476">
        <v>11.5</v>
      </c>
      <c r="BO26" s="3476">
        <v>4.333333333333333</v>
      </c>
      <c r="BP26" s="3477">
        <f t="shared" si="9"/>
        <v>378.83333333333331</v>
      </c>
      <c r="BQ26" s="3478">
        <v>361</v>
      </c>
      <c r="BR26" s="3476">
        <v>11.5</v>
      </c>
      <c r="BS26" s="3476">
        <v>4.666666666666667</v>
      </c>
      <c r="BT26" s="3477">
        <f t="shared" si="10"/>
        <v>377.16666666666669</v>
      </c>
      <c r="BU26" s="3478">
        <v>358</v>
      </c>
      <c r="BV26" s="3476">
        <v>12</v>
      </c>
      <c r="BW26" s="3476">
        <v>3.6666666666666665</v>
      </c>
      <c r="BX26" s="3477">
        <f t="shared" si="11"/>
        <v>373.66666666666669</v>
      </c>
      <c r="BY26" s="3478">
        <v>351</v>
      </c>
      <c r="BZ26" s="3476">
        <v>13</v>
      </c>
      <c r="CA26" s="3476">
        <v>3.6666666666666665</v>
      </c>
      <c r="CB26" s="3477">
        <f>SUM(BY26:CA26)</f>
        <v>367.66666666666669</v>
      </c>
      <c r="CC26" s="3478">
        <v>350</v>
      </c>
      <c r="CD26" s="3476">
        <v>13</v>
      </c>
      <c r="CE26" s="3476">
        <v>4</v>
      </c>
      <c r="CF26" s="3477">
        <f>SUM(CC26:CE26)</f>
        <v>367</v>
      </c>
      <c r="CG26" s="3478">
        <v>353</v>
      </c>
      <c r="CH26" s="3476">
        <v>13.5</v>
      </c>
      <c r="CI26" s="3476">
        <v>4.333333333333333</v>
      </c>
      <c r="CJ26" s="3477">
        <f>SUM(CG26:CI26)</f>
        <v>370.83333333333331</v>
      </c>
      <c r="CK26" s="3478">
        <v>341</v>
      </c>
      <c r="CL26" s="3476">
        <v>14</v>
      </c>
      <c r="CM26" s="3476">
        <v>3</v>
      </c>
      <c r="CN26" s="3477">
        <f>SUM(CK26:CM26)</f>
        <v>358</v>
      </c>
      <c r="CO26" s="3478">
        <v>337</v>
      </c>
      <c r="CP26" s="3476">
        <v>12.5</v>
      </c>
      <c r="CQ26" s="3476">
        <v>3</v>
      </c>
      <c r="CR26" s="3477">
        <f>SUM(CO26:CQ26)</f>
        <v>352.5</v>
      </c>
      <c r="CS26" s="3445">
        <f>+'Definitivo x categoría'!BZ61</f>
        <v>330</v>
      </c>
      <c r="CT26" s="3443">
        <f>+'Definitivo x categoría'!BZ96/2</f>
        <v>12</v>
      </c>
      <c r="CU26" s="3443">
        <f>+'Definitivo x categoría'!BZ131/3</f>
        <v>3</v>
      </c>
      <c r="CV26" s="3477">
        <f>SUM(CS26:CU26)</f>
        <v>345</v>
      </c>
      <c r="CW26" s="3445">
        <f>+'Definitivo x categoría'!CD61</f>
        <v>325</v>
      </c>
      <c r="CX26" s="3443">
        <f>+'Definitivo x categoría'!CD96/2</f>
        <v>11.5</v>
      </c>
      <c r="CY26" s="3443">
        <f>+'Definitivo x categoría'!CD131/3</f>
        <v>3</v>
      </c>
      <c r="CZ26" s="3477">
        <f>SUM(CW26:CY26)</f>
        <v>339.5</v>
      </c>
    </row>
    <row r="27" spans="2:104" ht="14.4" x14ac:dyDescent="0.25">
      <c r="B27" s="3110" t="s">
        <v>92</v>
      </c>
      <c r="C27" s="3447">
        <v>20.26672735548475</v>
      </c>
      <c r="D27" s="3447">
        <v>21.828054298642531</v>
      </c>
      <c r="E27" s="3447">
        <v>22.969424460431654</v>
      </c>
      <c r="F27" s="3447">
        <v>23.75967228038234</v>
      </c>
      <c r="G27" s="3447">
        <v>23.693933823529409</v>
      </c>
      <c r="H27" s="3447">
        <v>23.798961774421898</v>
      </c>
      <c r="I27" s="3447">
        <v>23.450980392156861</v>
      </c>
      <c r="J27" s="3447">
        <v>23.309312119794104</v>
      </c>
      <c r="K27" s="3447">
        <v>22.759191176470587</v>
      </c>
      <c r="L27" s="3447">
        <v>22.942298955020448</v>
      </c>
      <c r="M27" s="3447">
        <v>22.346666666666668</v>
      </c>
      <c r="N27" s="3447">
        <v>22.712195121951222</v>
      </c>
      <c r="O27" s="3447">
        <v>23.443186962426434</v>
      </c>
      <c r="P27" s="3447">
        <v>24.281934306569344</v>
      </c>
      <c r="Q27" s="3447">
        <v>24.946494464944649</v>
      </c>
      <c r="R27" s="3447">
        <v>25.373560571165363</v>
      </c>
      <c r="S27" s="3447">
        <v>26.536259541984734</v>
      </c>
      <c r="T27" s="3447">
        <f>(SUM('ACTIVOS uni'!U27+'Alumnos x PTC'!BA170)/'Alumnos x PTC'!CV27)</f>
        <v>27.290979631425799</v>
      </c>
      <c r="U27" s="3447">
        <f>(SUM('ACTIVOS uni'!V27+'Alumnos x PTC'!BB170)/'Alumnos x PTC'!CW27)</f>
        <v>29.641269841269843</v>
      </c>
      <c r="AC27" s="3475">
        <v>352</v>
      </c>
      <c r="AD27" s="3476">
        <v>13.5</v>
      </c>
      <c r="AE27" s="3476">
        <v>0.66666666666666663</v>
      </c>
      <c r="AF27" s="3477">
        <f t="shared" si="0"/>
        <v>366.16666666666669</v>
      </c>
      <c r="AG27" s="3478">
        <v>358</v>
      </c>
      <c r="AH27" s="3476">
        <v>9.6666666666666661</v>
      </c>
      <c r="AI27" s="3476">
        <v>0.66666666666666663</v>
      </c>
      <c r="AJ27" s="3479">
        <f t="shared" si="1"/>
        <v>368.33333333333337</v>
      </c>
      <c r="AK27" s="3475">
        <v>355</v>
      </c>
      <c r="AL27" s="3476">
        <v>15</v>
      </c>
      <c r="AM27" s="3476">
        <v>0.66666666666666663</v>
      </c>
      <c r="AN27" s="3477">
        <f t="shared" si="2"/>
        <v>370.66666666666669</v>
      </c>
      <c r="AO27" s="3478">
        <v>351</v>
      </c>
      <c r="AP27" s="3476">
        <v>14.5</v>
      </c>
      <c r="AQ27" s="3476">
        <v>0.66666666666666663</v>
      </c>
      <c r="AR27" s="3479">
        <f t="shared" si="3"/>
        <v>366.16666666666669</v>
      </c>
      <c r="AS27" s="3475">
        <v>346</v>
      </c>
      <c r="AT27" s="3476">
        <v>16</v>
      </c>
      <c r="AU27" s="3476">
        <v>0.66666666666666663</v>
      </c>
      <c r="AV27" s="3477">
        <f t="shared" si="4"/>
        <v>362.66666666666669</v>
      </c>
      <c r="AW27" s="3478">
        <v>336</v>
      </c>
      <c r="AX27" s="3476">
        <v>16.5</v>
      </c>
      <c r="AY27" s="3476">
        <v>0.66666666666666663</v>
      </c>
      <c r="AZ27" s="3479">
        <f t="shared" si="5"/>
        <v>353.16666666666669</v>
      </c>
      <c r="BA27" s="3475">
        <v>340</v>
      </c>
      <c r="BB27" s="3476">
        <v>16</v>
      </c>
      <c r="BC27" s="3476">
        <v>1</v>
      </c>
      <c r="BD27" s="3477">
        <f t="shared" si="6"/>
        <v>357</v>
      </c>
      <c r="BE27" s="3478">
        <v>340</v>
      </c>
      <c r="BF27" s="3476">
        <v>15.5</v>
      </c>
      <c r="BG27" s="3476">
        <v>0.66666666666666663</v>
      </c>
      <c r="BH27" s="3477">
        <f t="shared" si="7"/>
        <v>356.16666666666669</v>
      </c>
      <c r="BI27" s="3478">
        <v>348</v>
      </c>
      <c r="BJ27" s="3476">
        <v>14</v>
      </c>
      <c r="BK27" s="3476">
        <v>0.66666666666666663</v>
      </c>
      <c r="BL27" s="3477">
        <f t="shared" si="8"/>
        <v>362.66666666666669</v>
      </c>
      <c r="BM27" s="3478">
        <v>349</v>
      </c>
      <c r="BN27" s="3476">
        <v>16.5</v>
      </c>
      <c r="BO27" s="3476">
        <v>1.3333333333333333</v>
      </c>
      <c r="BP27" s="3477">
        <f t="shared" si="9"/>
        <v>366.83333333333331</v>
      </c>
      <c r="BQ27" s="3478">
        <v>353</v>
      </c>
      <c r="BR27" s="3476">
        <v>19</v>
      </c>
      <c r="BS27" s="3476">
        <v>3</v>
      </c>
      <c r="BT27" s="3477">
        <f t="shared" si="10"/>
        <v>375</v>
      </c>
      <c r="BU27" s="3478">
        <v>355</v>
      </c>
      <c r="BV27" s="3476">
        <v>18.5</v>
      </c>
      <c r="BW27" s="3476">
        <v>2.3333333333333335</v>
      </c>
      <c r="BX27" s="3477">
        <f t="shared" si="11"/>
        <v>375.83333333333331</v>
      </c>
      <c r="BY27" s="3478">
        <v>347</v>
      </c>
      <c r="BZ27" s="3476">
        <v>18.5</v>
      </c>
      <c r="CA27" s="3476">
        <v>2.6666666666666665</v>
      </c>
      <c r="CB27" s="3477">
        <f>SUM(BY27:CA27)</f>
        <v>368.16666666666669</v>
      </c>
      <c r="CC27" s="3478">
        <v>347</v>
      </c>
      <c r="CD27" s="3476">
        <v>16</v>
      </c>
      <c r="CE27" s="3476">
        <v>2.3333333333333335</v>
      </c>
      <c r="CF27" s="3477">
        <f>SUM(CC27:CE27)</f>
        <v>365.33333333333331</v>
      </c>
      <c r="CG27" s="3478">
        <v>343</v>
      </c>
      <c r="CH27" s="3476">
        <v>16</v>
      </c>
      <c r="CI27" s="3476">
        <v>2.3333333333333335</v>
      </c>
      <c r="CJ27" s="3477">
        <f>SUM(CG27:CI27)</f>
        <v>361.33333333333331</v>
      </c>
      <c r="CK27" s="3478">
        <v>344</v>
      </c>
      <c r="CL27" s="3476">
        <v>15.5</v>
      </c>
      <c r="CM27" s="3476">
        <v>2.3333333333333335</v>
      </c>
      <c r="CN27" s="3477">
        <f>SUM(CK27:CM27)</f>
        <v>361.83333333333331</v>
      </c>
      <c r="CO27" s="3478">
        <v>332</v>
      </c>
      <c r="CP27" s="3476">
        <v>16</v>
      </c>
      <c r="CQ27" s="3476">
        <v>1.3333333333333333</v>
      </c>
      <c r="CR27" s="3477">
        <f>SUM(CO27:CQ27)</f>
        <v>349.33333333333331</v>
      </c>
      <c r="CS27" s="3445">
        <f>+'Definitivo x categoría'!BZ62</f>
        <v>326</v>
      </c>
      <c r="CT27" s="3443">
        <f>+'Definitivo x categoría'!BZ97/2</f>
        <v>16</v>
      </c>
      <c r="CU27" s="3443">
        <f>+'Definitivo x categoría'!BZ132/3</f>
        <v>1.6666666666666667</v>
      </c>
      <c r="CV27" s="3477">
        <f>SUM(CS27:CU27)</f>
        <v>343.66666666666669</v>
      </c>
      <c r="CW27" s="3445">
        <f>+'Definitivo x categoría'!CD62</f>
        <v>315</v>
      </c>
      <c r="CX27" s="3443">
        <f>+'Definitivo x categoría'!CD97/2</f>
        <v>15</v>
      </c>
      <c r="CY27" s="3443">
        <f>+'Definitivo x categoría'!CD132/3</f>
        <v>1.6666666666666667</v>
      </c>
      <c r="CZ27" s="3477">
        <f>SUM(CW27:CY27)</f>
        <v>331.66666666666669</v>
      </c>
    </row>
    <row r="28" spans="2:104" ht="14.4" x14ac:dyDescent="0.25">
      <c r="B28" s="3110" t="s">
        <v>68</v>
      </c>
      <c r="C28" s="3447">
        <v>22.008733624454148</v>
      </c>
      <c r="D28" s="3447">
        <v>23.617449664429529</v>
      </c>
      <c r="E28" s="3447">
        <v>23.174431202600214</v>
      </c>
      <c r="F28" s="3447">
        <v>23.452173913043477</v>
      </c>
      <c r="G28" s="3447">
        <v>23.855895196506552</v>
      </c>
      <c r="H28" s="3447">
        <v>22.779768177028451</v>
      </c>
      <c r="I28" s="3447">
        <v>22.146596858638745</v>
      </c>
      <c r="J28" s="3447">
        <v>21.736082474226805</v>
      </c>
      <c r="K28" s="3447">
        <v>21.778242677824267</v>
      </c>
      <c r="L28" s="3447">
        <v>22.690451206715633</v>
      </c>
      <c r="M28" s="3447">
        <v>21.576805696846389</v>
      </c>
      <c r="N28" s="3447">
        <v>22.22360248447205</v>
      </c>
      <c r="O28" s="3447">
        <v>22.518987341772153</v>
      </c>
      <c r="P28" s="3447">
        <v>24.046614872364042</v>
      </c>
      <c r="Q28" s="3447">
        <v>24.060810810810811</v>
      </c>
      <c r="R28" s="3447">
        <v>23.748344370860927</v>
      </c>
      <c r="S28" s="3447">
        <v>23.885650224215247</v>
      </c>
      <c r="T28" s="3447">
        <f>(SUM('ACTIVOS uni'!U28+'Alumnos x PTC'!BA171)/'Alumnos x PTC'!CV28)</f>
        <v>24.592508513053346</v>
      </c>
      <c r="U28" s="3447">
        <f>(SUM('ACTIVOS uni'!V28+'Alumnos x PTC'!BB171)/'Alumnos x PTC'!CW28)</f>
        <v>27.976744186046513</v>
      </c>
      <c r="AC28" s="3475">
        <v>139</v>
      </c>
      <c r="AD28" s="3476">
        <v>12</v>
      </c>
      <c r="AE28" s="3476">
        <v>1.6666666666666667</v>
      </c>
      <c r="AF28" s="3477">
        <f t="shared" si="0"/>
        <v>152.66666666666666</v>
      </c>
      <c r="AG28" s="3478">
        <v>139</v>
      </c>
      <c r="AH28" s="3476">
        <v>8.6666666666666661</v>
      </c>
      <c r="AI28" s="3476">
        <v>1.3333333333333333</v>
      </c>
      <c r="AJ28" s="3479">
        <f t="shared" si="1"/>
        <v>149</v>
      </c>
      <c r="AK28" s="3475">
        <v>139</v>
      </c>
      <c r="AL28" s="3476">
        <v>13.5</v>
      </c>
      <c r="AM28" s="3476">
        <v>1.3333333333333333</v>
      </c>
      <c r="AN28" s="3477">
        <f t="shared" si="2"/>
        <v>153.83333333333334</v>
      </c>
      <c r="AO28" s="3478">
        <v>139</v>
      </c>
      <c r="AP28" s="3476">
        <v>13</v>
      </c>
      <c r="AQ28" s="3476">
        <v>1.3333333333333333</v>
      </c>
      <c r="AR28" s="3479">
        <f t="shared" si="3"/>
        <v>153.33333333333334</v>
      </c>
      <c r="AS28" s="3475">
        <v>138</v>
      </c>
      <c r="AT28" s="3476">
        <v>13</v>
      </c>
      <c r="AU28" s="3476">
        <v>1.6666666666666667</v>
      </c>
      <c r="AV28" s="3477">
        <f t="shared" si="4"/>
        <v>152.66666666666666</v>
      </c>
      <c r="AW28" s="3478">
        <v>140</v>
      </c>
      <c r="AX28" s="3476">
        <v>15.5</v>
      </c>
      <c r="AY28" s="3476">
        <v>2.6666666666666665</v>
      </c>
      <c r="AZ28" s="3479">
        <f t="shared" si="5"/>
        <v>158.16666666666666</v>
      </c>
      <c r="BA28" s="3475">
        <v>142</v>
      </c>
      <c r="BB28" s="3476">
        <v>14.5</v>
      </c>
      <c r="BC28" s="3476">
        <v>2.6666666666666665</v>
      </c>
      <c r="BD28" s="3477">
        <f t="shared" si="6"/>
        <v>159.16666666666666</v>
      </c>
      <c r="BE28" s="3478">
        <v>143</v>
      </c>
      <c r="BF28" s="3476">
        <v>16</v>
      </c>
      <c r="BG28" s="3476">
        <v>2.6666666666666665</v>
      </c>
      <c r="BH28" s="3477">
        <f t="shared" si="7"/>
        <v>161.66666666666666</v>
      </c>
      <c r="BI28" s="3478">
        <v>141</v>
      </c>
      <c r="BJ28" s="3476">
        <v>16</v>
      </c>
      <c r="BK28" s="3476">
        <v>2.3333333333333335</v>
      </c>
      <c r="BL28" s="3477">
        <f t="shared" si="8"/>
        <v>159.33333333333334</v>
      </c>
      <c r="BM28" s="3478">
        <v>141</v>
      </c>
      <c r="BN28" s="3476">
        <v>15.5</v>
      </c>
      <c r="BO28" s="3476">
        <v>2.3333333333333335</v>
      </c>
      <c r="BP28" s="3477">
        <f t="shared" si="9"/>
        <v>158.83333333333334</v>
      </c>
      <c r="BQ28" s="3478">
        <v>146</v>
      </c>
      <c r="BR28" s="3476">
        <v>15.5</v>
      </c>
      <c r="BS28" s="3476">
        <v>2.3333333333333335</v>
      </c>
      <c r="BT28" s="3477">
        <f t="shared" si="10"/>
        <v>163.83333333333334</v>
      </c>
      <c r="BU28" s="3478">
        <v>143</v>
      </c>
      <c r="BV28" s="3476">
        <v>16</v>
      </c>
      <c r="BW28" s="3476">
        <v>2</v>
      </c>
      <c r="BX28" s="3477">
        <f t="shared" si="11"/>
        <v>161</v>
      </c>
      <c r="BY28" s="3478">
        <v>144</v>
      </c>
      <c r="BZ28" s="3476">
        <v>12</v>
      </c>
      <c r="CA28" s="3476">
        <v>2</v>
      </c>
      <c r="CB28" s="3477">
        <f>SUM(BY28:CA28)</f>
        <v>158</v>
      </c>
      <c r="CC28" s="3478">
        <v>135</v>
      </c>
      <c r="CD28" s="3476">
        <v>13.5</v>
      </c>
      <c r="CE28" s="3476">
        <v>1.6666666666666667</v>
      </c>
      <c r="CF28" s="3477">
        <f>SUM(CC28:CE28)</f>
        <v>150.16666666666666</v>
      </c>
      <c r="CG28" s="3478">
        <v>133</v>
      </c>
      <c r="CH28" s="3476">
        <v>13</v>
      </c>
      <c r="CI28" s="3476">
        <v>2</v>
      </c>
      <c r="CJ28" s="3477">
        <f>SUM(CG28:CI28)</f>
        <v>148</v>
      </c>
      <c r="CK28" s="3478">
        <v>136</v>
      </c>
      <c r="CL28" s="3476">
        <v>13</v>
      </c>
      <c r="CM28" s="3476">
        <v>2</v>
      </c>
      <c r="CN28" s="3477">
        <f>SUM(CK28:CM28)</f>
        <v>151</v>
      </c>
      <c r="CO28" s="3478">
        <v>134</v>
      </c>
      <c r="CP28" s="3476">
        <v>13</v>
      </c>
      <c r="CQ28" s="3476">
        <v>1.6666666666666667</v>
      </c>
      <c r="CR28" s="3477">
        <f>SUM(CO28:CQ28)</f>
        <v>148.66666666666666</v>
      </c>
      <c r="CS28" s="3445">
        <f>+'Definitivo x categoría'!BZ63</f>
        <v>134</v>
      </c>
      <c r="CT28" s="3443">
        <f>+'Definitivo x categoría'!BZ98/2</f>
        <v>11.5</v>
      </c>
      <c r="CU28" s="3443">
        <f>+'Definitivo x categoría'!BZ133/3</f>
        <v>1.3333333333333333</v>
      </c>
      <c r="CV28" s="3477">
        <f>SUM(CS28:CU28)</f>
        <v>146.83333333333334</v>
      </c>
      <c r="CW28" s="3445">
        <f>+'Definitivo x categoría'!CD63</f>
        <v>129</v>
      </c>
      <c r="CX28" s="3443">
        <f>+'Definitivo x categoría'!CD98/2</f>
        <v>9.5</v>
      </c>
      <c r="CY28" s="3443">
        <f>+'Definitivo x categoría'!CD133/3</f>
        <v>1.3333333333333333</v>
      </c>
      <c r="CZ28" s="3477">
        <f>SUM(CW28:CY28)</f>
        <v>139.83333333333334</v>
      </c>
    </row>
    <row r="29" spans="2:104" ht="14.4" x14ac:dyDescent="0.25">
      <c r="B29" s="3480" t="s">
        <v>137</v>
      </c>
      <c r="C29" s="3481">
        <v>19.870967741935484</v>
      </c>
      <c r="D29" s="3481">
        <v>21.115077857956706</v>
      </c>
      <c r="E29" s="3481">
        <v>21.701071630005639</v>
      </c>
      <c r="F29" s="3481">
        <v>22.717751251443975</v>
      </c>
      <c r="G29" s="3481">
        <v>22.632809505557685</v>
      </c>
      <c r="H29" s="3481">
        <v>22.120923135609385</v>
      </c>
      <c r="I29" s="3481">
        <v>21.78211443728685</v>
      </c>
      <c r="J29" s="3481">
        <v>21.130774962742176</v>
      </c>
      <c r="K29" s="3481">
        <v>20.924667651403251</v>
      </c>
      <c r="L29" s="3481">
        <v>21.28358208955224</v>
      </c>
      <c r="M29" s="3481">
        <v>20.870087336244541</v>
      </c>
      <c r="N29" s="3481">
        <v>21.197144426139484</v>
      </c>
      <c r="O29" s="3481">
        <v>21.828454223382433</v>
      </c>
      <c r="P29" s="3481">
        <v>22.50084985835694</v>
      </c>
      <c r="Q29" s="3481">
        <v>23.16833932967241</v>
      </c>
      <c r="R29" s="3481">
        <v>23.679617224880381</v>
      </c>
      <c r="S29" s="3481">
        <v>24.54673721340388</v>
      </c>
      <c r="T29" s="3481">
        <f>(SUM('ACTIVOS uni'!U29+'Alumnos x PTC'!BA172)/'Alumnos x PTC'!CV29)</f>
        <v>25.111909036505086</v>
      </c>
      <c r="U29" s="3481">
        <f>(SUM('ACTIVOS uni'!V29+'Alumnos x PTC'!BB172)/'Alumnos x PTC'!CW29)</f>
        <v>27.146944083224966</v>
      </c>
      <c r="AC29" s="3475">
        <v>838</v>
      </c>
      <c r="AD29" s="3476">
        <v>41.5</v>
      </c>
      <c r="AE29" s="3476">
        <v>4</v>
      </c>
      <c r="AF29" s="3477">
        <f t="shared" si="0"/>
        <v>883.5</v>
      </c>
      <c r="AG29" s="3478">
        <v>844</v>
      </c>
      <c r="AH29" s="3476">
        <v>29.666666666666668</v>
      </c>
      <c r="AI29" s="3476">
        <v>4</v>
      </c>
      <c r="AJ29" s="3479">
        <f t="shared" si="1"/>
        <v>877.66666666666663</v>
      </c>
      <c r="AK29" s="3475">
        <v>834</v>
      </c>
      <c r="AL29" s="3476">
        <v>48.5</v>
      </c>
      <c r="AM29" s="3476">
        <v>4</v>
      </c>
      <c r="AN29" s="3477">
        <f t="shared" si="2"/>
        <v>886.5</v>
      </c>
      <c r="AO29" s="3478">
        <v>816</v>
      </c>
      <c r="AP29" s="3476">
        <v>46</v>
      </c>
      <c r="AQ29" s="3476">
        <v>3.6666666666666665</v>
      </c>
      <c r="AR29" s="3479">
        <f t="shared" si="3"/>
        <v>865.66666666666663</v>
      </c>
      <c r="AS29" s="3475">
        <v>819</v>
      </c>
      <c r="AT29" s="3476">
        <v>46</v>
      </c>
      <c r="AU29" s="3476">
        <v>4.666666666666667</v>
      </c>
      <c r="AV29" s="3477">
        <f t="shared" si="4"/>
        <v>869.66666666666663</v>
      </c>
      <c r="AW29" s="3478">
        <v>820</v>
      </c>
      <c r="AX29" s="3476">
        <v>48.5</v>
      </c>
      <c r="AY29" s="3476">
        <v>5.333333333333333</v>
      </c>
      <c r="AZ29" s="3479">
        <f t="shared" si="5"/>
        <v>873.83333333333337</v>
      </c>
      <c r="BA29" s="3475">
        <v>824</v>
      </c>
      <c r="BB29" s="3476">
        <v>47</v>
      </c>
      <c r="BC29" s="3476">
        <v>8.6666666666666661</v>
      </c>
      <c r="BD29" s="3477">
        <f t="shared" si="6"/>
        <v>879.66666666666663</v>
      </c>
      <c r="BE29" s="3478">
        <v>839</v>
      </c>
      <c r="BF29" s="3476">
        <v>47</v>
      </c>
      <c r="BG29" s="3476">
        <v>8.6666666666666661</v>
      </c>
      <c r="BH29" s="3477">
        <f t="shared" si="7"/>
        <v>894.66666666666663</v>
      </c>
      <c r="BI29" s="3478">
        <v>852</v>
      </c>
      <c r="BJ29" s="3476">
        <v>43</v>
      </c>
      <c r="BK29" s="3476">
        <v>7.666666666666667</v>
      </c>
      <c r="BL29" s="3477">
        <f t="shared" si="8"/>
        <v>902.66666666666663</v>
      </c>
      <c r="BM29" s="3478">
        <v>853</v>
      </c>
      <c r="BN29" s="3476">
        <v>43.5</v>
      </c>
      <c r="BO29" s="3476">
        <v>8</v>
      </c>
      <c r="BP29" s="3477">
        <f t="shared" si="9"/>
        <v>904.5</v>
      </c>
      <c r="BQ29" s="3478">
        <v>860</v>
      </c>
      <c r="BR29" s="3476">
        <v>46</v>
      </c>
      <c r="BS29" s="3476">
        <v>10</v>
      </c>
      <c r="BT29" s="3477">
        <f t="shared" si="10"/>
        <v>916</v>
      </c>
      <c r="BU29" s="3478">
        <v>856</v>
      </c>
      <c r="BV29" s="3476">
        <v>46.5</v>
      </c>
      <c r="BW29" s="3476">
        <v>8</v>
      </c>
      <c r="BX29" s="3477">
        <f t="shared" si="11"/>
        <v>910.5</v>
      </c>
      <c r="BY29" s="3478">
        <v>842</v>
      </c>
      <c r="BZ29" s="3476">
        <v>43.5</v>
      </c>
      <c r="CA29" s="3476">
        <v>8.3333333333333339</v>
      </c>
      <c r="CB29" s="3477">
        <f>SUM(BY29:CA29)</f>
        <v>893.83333333333337</v>
      </c>
      <c r="CC29" s="3478">
        <f>SUM(CC26:CC28)</f>
        <v>832</v>
      </c>
      <c r="CD29" s="3476">
        <v>42.5</v>
      </c>
      <c r="CE29" s="3476">
        <v>8</v>
      </c>
      <c r="CF29" s="3477">
        <f>SUM(CC29:CE29)</f>
        <v>882.5</v>
      </c>
      <c r="CG29" s="3478">
        <f>SUM(CG26:CG28)</f>
        <v>829</v>
      </c>
      <c r="CH29" s="3476">
        <v>42.5</v>
      </c>
      <c r="CI29" s="3476">
        <v>8.6666666666666661</v>
      </c>
      <c r="CJ29" s="3477">
        <f>SUM(CG29:CI29)</f>
        <v>880.16666666666663</v>
      </c>
      <c r="CK29" s="3478">
        <f>SUM(CK26:CK28)</f>
        <v>821</v>
      </c>
      <c r="CL29" s="3476">
        <v>42.5</v>
      </c>
      <c r="CM29" s="3476">
        <v>7.333333333333333</v>
      </c>
      <c r="CN29" s="3477">
        <f>SUM(CK29:CM29)</f>
        <v>870.83333333333337</v>
      </c>
      <c r="CO29" s="3478">
        <f>SUM(CO26:CO28)</f>
        <v>803</v>
      </c>
      <c r="CP29" s="3476">
        <v>41.5</v>
      </c>
      <c r="CQ29" s="3476">
        <v>6</v>
      </c>
      <c r="CR29" s="3477">
        <f>SUM(CO29:CQ29)</f>
        <v>850.5</v>
      </c>
      <c r="CS29" s="3445">
        <f>+'Definitivo x categoría'!BZ64</f>
        <v>790</v>
      </c>
      <c r="CT29" s="3443">
        <f>+'Definitivo x categoría'!BZ99/2</f>
        <v>39.5</v>
      </c>
      <c r="CU29" s="3443">
        <f>+'Definitivo x categoría'!BZ134/3</f>
        <v>6</v>
      </c>
      <c r="CV29" s="3477">
        <f>SUM(CS29:CU29)</f>
        <v>835.5</v>
      </c>
      <c r="CW29" s="3445">
        <f>+'Definitivo x categoría'!CD64</f>
        <v>769</v>
      </c>
      <c r="CX29" s="3443">
        <f>+'Definitivo x categoría'!CD99/2</f>
        <v>36</v>
      </c>
      <c r="CY29" s="3443">
        <f>+'Definitivo x categoría'!CD134/3</f>
        <v>6</v>
      </c>
      <c r="CZ29" s="3477">
        <f>SUM(CW29:CY29)</f>
        <v>811</v>
      </c>
    </row>
    <row r="30" spans="2:104" ht="14.4" x14ac:dyDescent="0.25">
      <c r="B30" s="3104"/>
      <c r="C30" s="3450"/>
      <c r="D30" s="3450"/>
      <c r="E30" s="3450"/>
      <c r="F30" s="3450"/>
      <c r="G30" s="3450"/>
      <c r="H30" s="3450"/>
      <c r="I30" s="3450"/>
      <c r="J30" s="3450"/>
      <c r="K30" s="3450"/>
      <c r="L30" s="3450"/>
      <c r="M30" s="3450"/>
      <c r="N30" s="3450"/>
      <c r="O30" s="3450"/>
      <c r="P30" s="3450"/>
      <c r="Q30" s="3450"/>
      <c r="R30" s="3450"/>
      <c r="S30" s="3450"/>
      <c r="T30" s="3450"/>
      <c r="U30" s="3450"/>
      <c r="AC30" s="3439"/>
      <c r="AD30" s="3451"/>
      <c r="AE30" s="3451"/>
      <c r="AF30" s="3452"/>
      <c r="AG30" s="3438"/>
      <c r="AH30" s="3451"/>
      <c r="AI30" s="3451"/>
      <c r="AJ30" s="3453"/>
      <c r="AK30" s="3439"/>
      <c r="AL30" s="3451"/>
      <c r="AM30" s="3451"/>
      <c r="AN30" s="3452"/>
      <c r="AO30" s="3438"/>
      <c r="AP30" s="3451"/>
      <c r="AQ30" s="3451"/>
      <c r="AR30" s="3453"/>
      <c r="AS30" s="3439"/>
      <c r="AT30" s="3451"/>
      <c r="AU30" s="3451"/>
      <c r="AV30" s="3452"/>
      <c r="AW30" s="3438"/>
      <c r="AX30" s="3451"/>
      <c r="AY30" s="3451"/>
      <c r="AZ30" s="3453"/>
      <c r="BA30" s="3439"/>
      <c r="BB30" s="3451"/>
      <c r="BC30" s="3451"/>
      <c r="BD30" s="3452"/>
      <c r="BE30" s="3438"/>
      <c r="BF30" s="3451"/>
      <c r="BG30" s="3451"/>
      <c r="BH30" s="3452"/>
      <c r="BI30" s="3438"/>
      <c r="BJ30" s="3451"/>
      <c r="BK30" s="3451"/>
      <c r="BL30" s="3452"/>
      <c r="BM30" s="3438"/>
      <c r="BN30" s="3451"/>
      <c r="BO30" s="3451"/>
      <c r="BP30" s="3452"/>
      <c r="BQ30" s="3438"/>
      <c r="BR30" s="3451"/>
      <c r="BS30" s="3451"/>
      <c r="BT30" s="3452"/>
      <c r="BU30" s="3438"/>
      <c r="BV30" s="3451"/>
      <c r="BW30" s="3451"/>
      <c r="BX30" s="3452"/>
      <c r="BY30" s="3438"/>
      <c r="BZ30" s="3451"/>
      <c r="CA30" s="3451"/>
      <c r="CB30" s="3452"/>
      <c r="CC30" s="3438"/>
      <c r="CD30" s="3451"/>
      <c r="CE30" s="3451"/>
      <c r="CF30" s="3452"/>
      <c r="CG30" s="3438"/>
      <c r="CH30" s="3451"/>
      <c r="CI30" s="3451"/>
      <c r="CJ30" s="3452"/>
      <c r="CK30" s="3438"/>
      <c r="CL30" s="3451"/>
      <c r="CM30" s="3451"/>
      <c r="CN30" s="3452"/>
      <c r="CO30" s="3438"/>
      <c r="CP30" s="3451"/>
      <c r="CQ30" s="3451"/>
      <c r="CR30" s="3452"/>
      <c r="CS30" s="3438"/>
      <c r="CT30" s="3451"/>
      <c r="CU30" s="3451"/>
      <c r="CV30" s="3452"/>
      <c r="CW30" s="3438"/>
      <c r="CX30" s="3451"/>
      <c r="CY30" s="3451"/>
      <c r="CZ30" s="3452"/>
    </row>
    <row r="31" spans="2:104" ht="14.4" x14ac:dyDescent="0.25">
      <c r="B31" s="3155" t="s">
        <v>7</v>
      </c>
      <c r="C31" s="3482">
        <v>18.655015099916469</v>
      </c>
      <c r="D31" s="3482">
        <v>19.157698728650317</v>
      </c>
      <c r="E31" s="3482">
        <v>19.242516104585071</v>
      </c>
      <c r="F31" s="3482">
        <v>19.6086657065932</v>
      </c>
      <c r="G31" s="3482">
        <v>19.978489275722723</v>
      </c>
      <c r="H31" s="3482">
        <v>20.066423853324277</v>
      </c>
      <c r="I31" s="3482">
        <v>20.469793757985034</v>
      </c>
      <c r="J31" s="3482">
        <v>20.60891414896799</v>
      </c>
      <c r="K31" s="3482">
        <v>20.916923076923077</v>
      </c>
      <c r="L31" s="3482">
        <v>21.373817587294173</v>
      </c>
      <c r="M31" s="3482">
        <v>21.706294522947562</v>
      </c>
      <c r="N31" s="3483">
        <v>21.503316223542303</v>
      </c>
      <c r="O31" s="3482">
        <v>21.961225911307174</v>
      </c>
      <c r="P31" s="3483">
        <v>21.845345951872584</v>
      </c>
      <c r="Q31" s="3483">
        <v>21.984181568088033</v>
      </c>
      <c r="R31" s="3483">
        <v>22.725095896780193</v>
      </c>
      <c r="S31" s="3483">
        <v>22.936476134354741</v>
      </c>
      <c r="T31" s="3483">
        <f>(SUM('ACTIVOS uni'!U37+'Alumnos x PTC'!BA174)/'Alumnos x PTC'!CV31)</f>
        <v>23.772680876613627</v>
      </c>
      <c r="U31" s="3483">
        <f>(SUM('ACTIVOS uni'!V37+'Alumnos x PTC'!BB174)/'Alumnos x PTC'!CW31)</f>
        <v>25.734787600459242</v>
      </c>
      <c r="AC31" s="3439">
        <v>2429</v>
      </c>
      <c r="AD31" s="3451">
        <v>106.5</v>
      </c>
      <c r="AE31" s="3451">
        <v>58.333333333333336</v>
      </c>
      <c r="AF31" s="3452">
        <f t="shared" si="0"/>
        <v>2593.8333333333335</v>
      </c>
      <c r="AG31" s="3438">
        <v>2467</v>
      </c>
      <c r="AH31" s="3451">
        <v>72</v>
      </c>
      <c r="AI31" s="3451">
        <v>56.666666666666664</v>
      </c>
      <c r="AJ31" s="3453">
        <f t="shared" si="1"/>
        <v>2595.6666666666665</v>
      </c>
      <c r="AK31" s="3439">
        <v>2468</v>
      </c>
      <c r="AL31" s="3451">
        <v>116</v>
      </c>
      <c r="AM31" s="3451">
        <v>55</v>
      </c>
      <c r="AN31" s="3452">
        <f t="shared" si="2"/>
        <v>2639</v>
      </c>
      <c r="AO31" s="3438">
        <v>2495</v>
      </c>
      <c r="AP31" s="3451">
        <v>113.5</v>
      </c>
      <c r="AQ31" s="3451">
        <v>53.333333333333336</v>
      </c>
      <c r="AR31" s="3453">
        <f t="shared" si="3"/>
        <v>2661.8333333333335</v>
      </c>
      <c r="AS31" s="3439">
        <v>2520</v>
      </c>
      <c r="AT31" s="3451">
        <v>110.5</v>
      </c>
      <c r="AU31" s="3451">
        <v>50.333333333333336</v>
      </c>
      <c r="AV31" s="3452">
        <f t="shared" si="4"/>
        <v>2680.8333333333335</v>
      </c>
      <c r="AW31" s="3438">
        <v>2538</v>
      </c>
      <c r="AX31" s="3451">
        <v>112.5</v>
      </c>
      <c r="AY31" s="3451">
        <v>49.333333333333336</v>
      </c>
      <c r="AZ31" s="3453">
        <f t="shared" si="5"/>
        <v>2699.8333333333335</v>
      </c>
      <c r="BA31" s="3439">
        <v>2575</v>
      </c>
      <c r="BB31" s="3451">
        <v>110.5</v>
      </c>
      <c r="BC31" s="3451">
        <v>54</v>
      </c>
      <c r="BD31" s="3452">
        <f t="shared" si="6"/>
        <v>2739.5</v>
      </c>
      <c r="BE31" s="3438">
        <v>2623</v>
      </c>
      <c r="BF31" s="3451">
        <v>107.5</v>
      </c>
      <c r="BG31" s="3451">
        <v>55.333333333333336</v>
      </c>
      <c r="BH31" s="3452">
        <f t="shared" si="7"/>
        <v>2785.8333333333335</v>
      </c>
      <c r="BI31" s="3438">
        <v>2663</v>
      </c>
      <c r="BJ31" s="3451">
        <v>98</v>
      </c>
      <c r="BK31" s="3451">
        <v>55.666666666666664</v>
      </c>
      <c r="BL31" s="3452">
        <f t="shared" si="8"/>
        <v>2816.6666666666665</v>
      </c>
      <c r="BM31" s="3438">
        <v>2705</v>
      </c>
      <c r="BN31" s="3451">
        <v>96</v>
      </c>
      <c r="BO31" s="3451">
        <v>53.333333333333336</v>
      </c>
      <c r="BP31" s="3452">
        <f t="shared" si="9"/>
        <v>2854.3333333333335</v>
      </c>
      <c r="BQ31" s="3438">
        <v>2759</v>
      </c>
      <c r="BR31" s="3451">
        <v>97</v>
      </c>
      <c r="BS31" s="3451">
        <v>57</v>
      </c>
      <c r="BT31" s="3452">
        <f t="shared" si="10"/>
        <v>2913</v>
      </c>
      <c r="BU31" s="3438">
        <v>2743</v>
      </c>
      <c r="BV31" s="3451">
        <v>93.5</v>
      </c>
      <c r="BW31" s="3451">
        <v>53.333333333333336</v>
      </c>
      <c r="BX31" s="3452">
        <f t="shared" si="11"/>
        <v>2889.8333333333335</v>
      </c>
      <c r="BY31" s="3438">
        <v>2732</v>
      </c>
      <c r="BZ31" s="3451">
        <v>88</v>
      </c>
      <c r="CA31" s="3451">
        <v>51.333333333333336</v>
      </c>
      <c r="CB31" s="3452">
        <f>SUM(BY31:CA31)</f>
        <v>2871.3333333333335</v>
      </c>
      <c r="CC31" s="3438">
        <f>SUM(CC9,CC14,CC19,CC24,CC29)</f>
        <v>2754</v>
      </c>
      <c r="CD31" s="3451">
        <v>84.5</v>
      </c>
      <c r="CE31" s="3451">
        <v>49.666666666666664</v>
      </c>
      <c r="CF31" s="3452">
        <f>SUM(CC31:CE31)</f>
        <v>2888.1666666666665</v>
      </c>
      <c r="CG31" s="3438">
        <f>SUM(CG9,CG14,CG19,CG24,CG29)</f>
        <v>2776</v>
      </c>
      <c r="CH31" s="3451">
        <v>84</v>
      </c>
      <c r="CI31" s="3451">
        <v>48</v>
      </c>
      <c r="CJ31" s="3452">
        <f>SUM(CG31:CI31)</f>
        <v>2908</v>
      </c>
      <c r="CK31" s="3438">
        <f>SUM(CK9,CK14,CK19,CK24,CK29)</f>
        <v>2743</v>
      </c>
      <c r="CL31" s="3451">
        <v>80</v>
      </c>
      <c r="CM31" s="3451">
        <v>44.666666666666664</v>
      </c>
      <c r="CN31" s="3452">
        <f>SUM(CK31:CM31)</f>
        <v>2867.6666666666665</v>
      </c>
      <c r="CO31" s="3438">
        <f>SUM(CO9,CO14,CO19,CO24,CO29)</f>
        <v>2709</v>
      </c>
      <c r="CP31" s="3451">
        <v>79</v>
      </c>
      <c r="CQ31" s="3451">
        <v>40.333333333333336</v>
      </c>
      <c r="CR31" s="3452">
        <f>SUM(CO31:CQ31)</f>
        <v>2828.3333333333335</v>
      </c>
      <c r="CS31" s="3438">
        <f>SUM(CS9,CS14,CS19,CS24,CS29)</f>
        <v>2660</v>
      </c>
      <c r="CT31" s="3451">
        <f>SUM(CT9,CT14,CT19,CT24,CT29)</f>
        <v>76.5</v>
      </c>
      <c r="CU31" s="3451">
        <f>SUM(CU9,CU14,CU19,CU24,CU29)</f>
        <v>39.333333333333329</v>
      </c>
      <c r="CV31" s="3452">
        <f>SUM(CS31:CU31)</f>
        <v>2775.8333333333335</v>
      </c>
      <c r="CW31" s="3438">
        <f>SUM(CW9,CW14,CW19,CW24,CW29)</f>
        <v>2613</v>
      </c>
      <c r="CX31" s="3451">
        <f>SUM(CX9,CX14,CX19,CX24,CX29)</f>
        <v>70.5</v>
      </c>
      <c r="CY31" s="3451">
        <f>SUM(CY9,CY14,CY19,CY24,CY29)</f>
        <v>36</v>
      </c>
      <c r="CZ31" s="3452">
        <f>SUM(CW31:CY31)</f>
        <v>2719.5</v>
      </c>
    </row>
    <row r="32" spans="2:104" x14ac:dyDescent="0.25">
      <c r="AC32" s="3439"/>
      <c r="AD32" s="3451"/>
      <c r="AE32" s="3451"/>
      <c r="AF32" s="3484"/>
      <c r="AG32" s="3439"/>
      <c r="AH32" s="3451"/>
      <c r="AI32" s="3451"/>
      <c r="AJ32" s="3484"/>
      <c r="AK32" s="3439"/>
      <c r="AL32" s="3451"/>
      <c r="AM32" s="3451"/>
      <c r="AN32" s="3484"/>
      <c r="AO32" s="3439"/>
      <c r="AP32" s="3451"/>
      <c r="AQ32" s="3451"/>
      <c r="AR32" s="3484"/>
      <c r="AS32" s="3439"/>
      <c r="AT32" s="3451"/>
      <c r="AU32" s="3451"/>
      <c r="AV32" s="3484"/>
      <c r="AW32" s="3439"/>
      <c r="AX32" s="3451"/>
      <c r="AY32" s="3451"/>
      <c r="AZ32" s="3484"/>
      <c r="BA32" s="3439"/>
      <c r="BB32" s="3451"/>
      <c r="BC32" s="3451"/>
      <c r="BD32" s="3484"/>
      <c r="BE32" s="3439"/>
      <c r="BF32" s="3439"/>
      <c r="BG32" s="3439"/>
      <c r="BH32" s="3439"/>
      <c r="BI32" s="3439"/>
      <c r="BJ32" s="3439"/>
      <c r="BK32" s="3439"/>
      <c r="BL32" s="3484"/>
      <c r="BM32" s="3439"/>
      <c r="BN32" s="3451"/>
      <c r="BO32" s="3451"/>
      <c r="BP32" s="3484"/>
      <c r="BQ32" s="3439"/>
      <c r="BR32" s="3451"/>
      <c r="BS32" s="3451"/>
      <c r="BT32" s="3484"/>
      <c r="BU32" s="3439"/>
      <c r="BV32" s="3451"/>
      <c r="BW32" s="3451"/>
      <c r="BX32" s="3484"/>
      <c r="BY32" s="3439"/>
      <c r="BZ32" s="3451"/>
      <c r="CA32" s="3451"/>
      <c r="CB32" s="3484"/>
      <c r="CC32" s="3439"/>
      <c r="CD32" s="3451"/>
      <c r="CE32" s="3451"/>
      <c r="CF32" s="3484"/>
    </row>
    <row r="33" spans="2:29" x14ac:dyDescent="0.25">
      <c r="B33" s="3485" t="s">
        <v>813</v>
      </c>
      <c r="AC33" s="3425"/>
    </row>
    <row r="34" spans="2:29" ht="14.4" x14ac:dyDescent="0.25">
      <c r="B34" s="328" t="s">
        <v>814</v>
      </c>
      <c r="C34" s="328" t="s">
        <v>815</v>
      </c>
      <c r="AC34" s="3425"/>
    </row>
    <row r="35" spans="2:29" ht="14.4" x14ac:dyDescent="0.3">
      <c r="B35" s="3434"/>
      <c r="C35" s="328" t="s">
        <v>816</v>
      </c>
      <c r="AC35" s="3425"/>
    </row>
    <row r="36" spans="2:29" ht="14.4" x14ac:dyDescent="0.3">
      <c r="B36" s="3434"/>
      <c r="C36" s="328" t="s">
        <v>817</v>
      </c>
      <c r="AC36" s="3425"/>
    </row>
    <row r="37" spans="2:29" ht="14.4" x14ac:dyDescent="0.3">
      <c r="B37" s="3434"/>
      <c r="C37" s="328"/>
      <c r="AC37" s="3425"/>
    </row>
    <row r="38" spans="2:29" x14ac:dyDescent="0.25">
      <c r="B38" s="3485" t="s">
        <v>605</v>
      </c>
      <c r="AC38" s="3425"/>
    </row>
    <row r="39" spans="2:29" ht="14.4" x14ac:dyDescent="0.25">
      <c r="B39" s="328" t="s">
        <v>814</v>
      </c>
      <c r="C39" s="328" t="s">
        <v>818</v>
      </c>
      <c r="AC39" s="3425"/>
    </row>
    <row r="40" spans="2:29" ht="14.4" x14ac:dyDescent="0.3">
      <c r="B40" s="3434"/>
      <c r="C40" s="328" t="s">
        <v>819</v>
      </c>
      <c r="AC40" s="3425"/>
    </row>
    <row r="41" spans="2:29" x14ac:dyDescent="0.25">
      <c r="AC41" s="3425"/>
    </row>
    <row r="42" spans="2:29" x14ac:dyDescent="0.25">
      <c r="C42" s="3450"/>
      <c r="D42" s="3450"/>
      <c r="E42" s="3450"/>
      <c r="F42" s="3450"/>
      <c r="G42" s="3450"/>
      <c r="H42" s="3450"/>
      <c r="I42" s="3450"/>
      <c r="J42" s="3450"/>
      <c r="K42" s="3450"/>
      <c r="L42" s="3450"/>
      <c r="M42" s="3450"/>
      <c r="N42" s="3450"/>
      <c r="O42" s="3425"/>
      <c r="P42" s="3425"/>
      <c r="AC42" s="3425"/>
    </row>
    <row r="43" spans="2:29" x14ac:dyDescent="0.25">
      <c r="AC43" s="3425"/>
    </row>
    <row r="45" spans="2:29" x14ac:dyDescent="0.25">
      <c r="AC45" s="3425"/>
    </row>
    <row r="46" spans="2:29" x14ac:dyDescent="0.25">
      <c r="AC46" s="3425"/>
    </row>
    <row r="47" spans="2:29" x14ac:dyDescent="0.25">
      <c r="AC47" s="3425"/>
    </row>
    <row r="48" spans="2:29" x14ac:dyDescent="0.25">
      <c r="AC48" s="3425"/>
    </row>
    <row r="49" spans="29:29" x14ac:dyDescent="0.25">
      <c r="AC49" s="3425"/>
    </row>
    <row r="50" spans="29:29" x14ac:dyDescent="0.25">
      <c r="AC50" s="3425"/>
    </row>
    <row r="51" spans="29:29" x14ac:dyDescent="0.25">
      <c r="AC51" s="3425"/>
    </row>
    <row r="52" spans="29:29" x14ac:dyDescent="0.25">
      <c r="AC52" s="3425"/>
    </row>
    <row r="53" spans="29:29" x14ac:dyDescent="0.25">
      <c r="AC53" s="3425"/>
    </row>
    <row r="54" spans="29:29" x14ac:dyDescent="0.25">
      <c r="AC54" s="3425"/>
    </row>
    <row r="55" spans="29:29" x14ac:dyDescent="0.25">
      <c r="AC55" s="3425"/>
    </row>
    <row r="56" spans="29:29" x14ac:dyDescent="0.25">
      <c r="AC56" s="3425"/>
    </row>
    <row r="57" spans="29:29" x14ac:dyDescent="0.25">
      <c r="AC57" s="3425"/>
    </row>
    <row r="58" spans="29:29" x14ac:dyDescent="0.25">
      <c r="AC58" s="3425"/>
    </row>
    <row r="59" spans="29:29" x14ac:dyDescent="0.25">
      <c r="AC59" s="3425"/>
    </row>
    <row r="60" spans="29:29" x14ac:dyDescent="0.25">
      <c r="AC60" s="3425"/>
    </row>
    <row r="61" spans="29:29" x14ac:dyDescent="0.25">
      <c r="AC61" s="3425"/>
    </row>
    <row r="62" spans="29:29" x14ac:dyDescent="0.25">
      <c r="AC62" s="3425"/>
    </row>
    <row r="63" spans="29:29" x14ac:dyDescent="0.25">
      <c r="AC63" s="3425"/>
    </row>
    <row r="64" spans="29:29" x14ac:dyDescent="0.25">
      <c r="AC64" s="3425"/>
    </row>
    <row r="65" spans="2:29" x14ac:dyDescent="0.25">
      <c r="AC65" s="3425"/>
    </row>
    <row r="66" spans="2:29" x14ac:dyDescent="0.25">
      <c r="AC66" s="3425"/>
    </row>
    <row r="67" spans="2:29" x14ac:dyDescent="0.25">
      <c r="AC67" s="3425"/>
    </row>
    <row r="68" spans="2:29" x14ac:dyDescent="0.25">
      <c r="AC68" s="3425"/>
    </row>
    <row r="69" spans="2:29" x14ac:dyDescent="0.25">
      <c r="AC69" s="3425"/>
    </row>
    <row r="70" spans="2:29" x14ac:dyDescent="0.25">
      <c r="AC70" s="3425"/>
    </row>
    <row r="71" spans="2:29" x14ac:dyDescent="0.25">
      <c r="AC71" s="3425"/>
    </row>
    <row r="72" spans="2:29" x14ac:dyDescent="0.25">
      <c r="AC72" s="3425"/>
    </row>
    <row r="73" spans="2:29" x14ac:dyDescent="0.25">
      <c r="AC73" s="3425"/>
    </row>
    <row r="74" spans="2:29" x14ac:dyDescent="0.25">
      <c r="AC74" s="3425"/>
    </row>
    <row r="75" spans="2:29" x14ac:dyDescent="0.25">
      <c r="AC75" s="3425"/>
    </row>
    <row r="76" spans="2:29" x14ac:dyDescent="0.25">
      <c r="AC76" s="3425"/>
    </row>
    <row r="77" spans="2:29" x14ac:dyDescent="0.25">
      <c r="AC77" s="3425"/>
    </row>
    <row r="78" spans="2:29" x14ac:dyDescent="0.25">
      <c r="AC78" s="3425"/>
    </row>
    <row r="79" spans="2:29" ht="15.6" x14ac:dyDescent="0.3">
      <c r="B79" s="3423" t="s">
        <v>820</v>
      </c>
    </row>
    <row r="81" spans="2:28" ht="28.8" x14ac:dyDescent="0.25">
      <c r="B81" s="3426" t="s">
        <v>267</v>
      </c>
      <c r="C81" s="3426">
        <v>2004</v>
      </c>
      <c r="D81" s="3427">
        <v>2005</v>
      </c>
      <c r="E81" s="3428">
        <v>2006</v>
      </c>
      <c r="F81" s="3427">
        <v>2007</v>
      </c>
      <c r="G81" s="3427">
        <v>2008</v>
      </c>
      <c r="H81" s="3427">
        <v>2009</v>
      </c>
      <c r="I81" s="3427">
        <v>2010</v>
      </c>
      <c r="J81" s="3427">
        <v>2011</v>
      </c>
      <c r="K81" s="3427">
        <v>2012</v>
      </c>
      <c r="L81" s="3427">
        <v>2013</v>
      </c>
      <c r="M81" s="3427">
        <v>2014</v>
      </c>
      <c r="N81" s="3427">
        <v>2015</v>
      </c>
      <c r="O81" s="3427">
        <v>2016</v>
      </c>
      <c r="P81" s="3427">
        <v>2017</v>
      </c>
      <c r="Q81" s="3427">
        <v>2018</v>
      </c>
      <c r="R81" s="3427">
        <v>2019</v>
      </c>
      <c r="S81" s="3427">
        <v>2020</v>
      </c>
      <c r="T81" s="3427">
        <v>2021</v>
      </c>
      <c r="U81" s="3427">
        <v>2022</v>
      </c>
    </row>
    <row r="82" spans="2:28" ht="14.4" x14ac:dyDescent="0.3">
      <c r="B82" s="3434"/>
      <c r="C82" s="3434"/>
      <c r="D82" s="3434"/>
      <c r="E82" s="3434"/>
      <c r="F82" s="3434"/>
      <c r="G82" s="3434"/>
      <c r="H82" s="3434"/>
      <c r="I82" s="3434"/>
      <c r="J82" s="3434"/>
      <c r="K82" s="3434"/>
      <c r="L82" s="3434"/>
      <c r="M82" s="3434"/>
      <c r="N82" s="3434"/>
      <c r="O82" s="3434"/>
      <c r="P82" s="3434"/>
      <c r="Q82" s="3434"/>
    </row>
    <row r="83" spans="2:28" ht="14.4" x14ac:dyDescent="0.25">
      <c r="B83" s="3105" t="s">
        <v>59</v>
      </c>
      <c r="C83" s="3441">
        <v>18.429783223374173</v>
      </c>
      <c r="D83" s="3441">
        <v>19.248587570621471</v>
      </c>
      <c r="E83" s="3441">
        <v>19.867346938775512</v>
      </c>
      <c r="F83" s="3441">
        <v>19.785746302106681</v>
      </c>
      <c r="G83" s="3441">
        <v>20.6003600360036</v>
      </c>
      <c r="H83" s="3441">
        <v>20.881720430107528</v>
      </c>
      <c r="I83" s="3441">
        <v>22.62330623306233</v>
      </c>
      <c r="J83" s="3441">
        <v>23.302452316076295</v>
      </c>
      <c r="K83" s="3441">
        <v>22.818834080717487</v>
      </c>
      <c r="L83" s="3441">
        <v>22.62572837292694</v>
      </c>
      <c r="M83" s="3441">
        <v>21.454545454545453</v>
      </c>
      <c r="N83" s="3441">
        <v>20.87612208258528</v>
      </c>
      <c r="O83" s="3441">
        <v>20.282727272727271</v>
      </c>
      <c r="P83" s="3441">
        <v>18.923283983849259</v>
      </c>
      <c r="Q83" s="3441">
        <v>18.487847989394609</v>
      </c>
      <c r="R83" s="3441">
        <v>19.04427882507672</v>
      </c>
      <c r="S83" s="3441">
        <v>18.826029216467465</v>
      </c>
      <c r="T83" s="3441">
        <f>+'ACTIVOS uni'!U6/'Alumnos x PTC'!CV6</f>
        <v>20.397834912043301</v>
      </c>
      <c r="U83" s="3441">
        <f>+'ACTIVOS uni'!V6/'Alumnos x PTC'!CW6</f>
        <v>22.237822349570202</v>
      </c>
      <c r="AA83" s="3486" t="s">
        <v>1396</v>
      </c>
      <c r="AB83" s="3439"/>
    </row>
    <row r="84" spans="2:28" ht="14.4" x14ac:dyDescent="0.25">
      <c r="B84" s="3110" t="s">
        <v>64</v>
      </c>
      <c r="C84" s="3447">
        <v>16.446153846153845</v>
      </c>
      <c r="D84" s="3447">
        <v>16.507804370447452</v>
      </c>
      <c r="E84" s="3447">
        <v>15.454183266932271</v>
      </c>
      <c r="F84" s="3447">
        <v>15.428149606299211</v>
      </c>
      <c r="G84" s="3447">
        <v>16.058128078817735</v>
      </c>
      <c r="H84" s="3447">
        <v>16.433746898263028</v>
      </c>
      <c r="I84" s="3447">
        <v>16.954819277108435</v>
      </c>
      <c r="J84" s="3447">
        <v>16.959724950884087</v>
      </c>
      <c r="K84" s="3447">
        <v>18.222222222222221</v>
      </c>
      <c r="L84" s="3447">
        <v>18.272857826711345</v>
      </c>
      <c r="M84" s="3447">
        <v>18.345323741007196</v>
      </c>
      <c r="N84" s="3447">
        <v>19.295154185022028</v>
      </c>
      <c r="O84" s="3447">
        <v>20.171686746987952</v>
      </c>
      <c r="P84" s="3447">
        <v>19.381021897810218</v>
      </c>
      <c r="Q84" s="3447">
        <v>19.736011477761835</v>
      </c>
      <c r="R84" s="3447">
        <v>20.85448309652131</v>
      </c>
      <c r="S84" s="3447">
        <v>21.391695847923963</v>
      </c>
      <c r="T84" s="3447">
        <f>+'ACTIVOS uni'!U7/'Alumnos x PTC'!CV7</f>
        <v>22.407539480387161</v>
      </c>
      <c r="U84" s="3447">
        <f>+'ACTIVOS uni'!V7/'Alumnos x PTC'!CW7</f>
        <v>24.332236842105264</v>
      </c>
      <c r="AB84" s="3439"/>
    </row>
    <row r="85" spans="2:28" ht="14.4" x14ac:dyDescent="0.25">
      <c r="B85" s="3110" t="s">
        <v>68</v>
      </c>
      <c r="C85" s="3447">
        <v>15.766062602965404</v>
      </c>
      <c r="D85" s="3447">
        <v>15.855737704918035</v>
      </c>
      <c r="E85" s="3447">
        <v>15.558252427184467</v>
      </c>
      <c r="F85" s="3447">
        <v>15.633943427620631</v>
      </c>
      <c r="G85" s="3447">
        <v>15.572023313905079</v>
      </c>
      <c r="H85" s="3447">
        <v>14.922580645161291</v>
      </c>
      <c r="I85" s="3447">
        <v>14.212238574748257</v>
      </c>
      <c r="J85" s="3447">
        <v>14.179310344827586</v>
      </c>
      <c r="K85" s="3447">
        <v>14.654545454545454</v>
      </c>
      <c r="L85" s="3447">
        <v>15.046979865771812</v>
      </c>
      <c r="M85" s="3447">
        <v>14.697443181818182</v>
      </c>
      <c r="N85" s="3447">
        <v>15.211636363636364</v>
      </c>
      <c r="O85" s="3447">
        <v>15.545857988165681</v>
      </c>
      <c r="P85" s="3447">
        <v>16.142749812171299</v>
      </c>
      <c r="Q85" s="3447">
        <v>16.144649446494466</v>
      </c>
      <c r="R85" s="3447">
        <v>17.118975903614459</v>
      </c>
      <c r="S85" s="3447">
        <v>17.524528301886793</v>
      </c>
      <c r="T85" s="3447">
        <f>+'ACTIVOS uni'!U8/'Alumnos x PTC'!CV8</f>
        <v>18.406779661016948</v>
      </c>
      <c r="U85" s="3447">
        <f>+'ACTIVOS uni'!V8/'Alumnos x PTC'!CW8</f>
        <v>20.109452736318406</v>
      </c>
      <c r="AB85" s="3439"/>
    </row>
    <row r="86" spans="2:28" ht="14.4" x14ac:dyDescent="0.25">
      <c r="B86" s="3448" t="s">
        <v>138</v>
      </c>
      <c r="C86" s="3449">
        <v>17.086265607264473</v>
      </c>
      <c r="D86" s="3449">
        <v>17.462210406380553</v>
      </c>
      <c r="E86" s="3449">
        <v>17.239999999999998</v>
      </c>
      <c r="F86" s="3449">
        <v>17.252333028362305</v>
      </c>
      <c r="G86" s="3449">
        <v>17.801943884100496</v>
      </c>
      <c r="H86" s="3449">
        <v>17.901585565882996</v>
      </c>
      <c r="I86" s="3449">
        <v>18.593778424595236</v>
      </c>
      <c r="J86" s="3449">
        <v>18.824824102471585</v>
      </c>
      <c r="K86" s="3449">
        <v>19.216143497757848</v>
      </c>
      <c r="L86" s="3449">
        <v>19.224165341812402</v>
      </c>
      <c r="M86" s="3449">
        <v>18.682149046793761</v>
      </c>
      <c r="N86" s="3449">
        <v>18.924548352816153</v>
      </c>
      <c r="O86" s="3449">
        <v>19.087662337662337</v>
      </c>
      <c r="P86" s="3449">
        <v>18.431700801424753</v>
      </c>
      <c r="Q86" s="3449">
        <v>18.388859695218077</v>
      </c>
      <c r="R86" s="3449">
        <v>19.24566371681416</v>
      </c>
      <c r="S86" s="3449">
        <v>19.435787211176788</v>
      </c>
      <c r="T86" s="3449">
        <f>+'ACTIVOS uni'!U9/'Alumnos x PTC'!CV9</f>
        <v>20.646221248630887</v>
      </c>
      <c r="U86" s="3449">
        <f>+'ACTIVOS uni'!V9/'Alumnos x PTC'!CW9</f>
        <v>22.482435597189696</v>
      </c>
      <c r="AB86" s="3439"/>
    </row>
    <row r="87" spans="2:28" x14ac:dyDescent="0.25">
      <c r="AB87" s="3439"/>
    </row>
    <row r="88" spans="2:28" ht="14.4" x14ac:dyDescent="0.25">
      <c r="B88" s="3105" t="s">
        <v>64</v>
      </c>
      <c r="C88" s="3441"/>
      <c r="D88" s="3441">
        <v>27.75</v>
      </c>
      <c r="E88" s="3441">
        <v>21.142857142857142</v>
      </c>
      <c r="F88" s="3441">
        <v>11.255813953488373</v>
      </c>
      <c r="G88" s="3441">
        <v>14.291666666666666</v>
      </c>
      <c r="H88" s="3441">
        <v>13.59322033898305</v>
      </c>
      <c r="I88" s="3441">
        <v>10.632911392405063</v>
      </c>
      <c r="J88" s="3441">
        <v>9.715302491103202</v>
      </c>
      <c r="K88" s="3441">
        <v>10.292307692307691</v>
      </c>
      <c r="L88" s="3441">
        <v>9.6971830985915481</v>
      </c>
      <c r="M88" s="3441">
        <v>11.52</v>
      </c>
      <c r="N88" s="3441">
        <v>13.900990099009901</v>
      </c>
      <c r="O88" s="3441">
        <v>14.964285714285714</v>
      </c>
      <c r="P88" s="3441">
        <v>15.451612903225806</v>
      </c>
      <c r="Q88" s="3441">
        <v>17.229508196721312</v>
      </c>
      <c r="R88" s="3441">
        <v>19.596638655462186</v>
      </c>
      <c r="S88" s="3441">
        <v>20.30252100840336</v>
      </c>
      <c r="T88" s="3441">
        <f>+'ACTIVOS uni'!U11/'Alumnos x PTC'!CV11</f>
        <v>21.193277310924369</v>
      </c>
      <c r="U88" s="3441">
        <f>+'ACTIVOS uni'!V11/'Alumnos x PTC'!CW11</f>
        <v>21.983050847457626</v>
      </c>
      <c r="AB88" s="3439"/>
    </row>
    <row r="89" spans="2:28" ht="14.4" x14ac:dyDescent="0.25">
      <c r="B89" s="3110" t="s">
        <v>111</v>
      </c>
      <c r="C89" s="3447"/>
      <c r="D89" s="3447">
        <v>11.333333333333334</v>
      </c>
      <c r="E89" s="3447">
        <v>6.7777777777777777</v>
      </c>
      <c r="F89" s="3447">
        <v>14.692307692307692</v>
      </c>
      <c r="G89" s="3447">
        <v>13.083333333333334</v>
      </c>
      <c r="H89" s="3447">
        <v>12.6</v>
      </c>
      <c r="I89" s="3447">
        <v>12.157894736842104</v>
      </c>
      <c r="J89" s="3447">
        <v>13.04032258064516</v>
      </c>
      <c r="K89" s="3447">
        <v>11.522292993630574</v>
      </c>
      <c r="L89" s="3447">
        <v>12.174193548387098</v>
      </c>
      <c r="M89" s="3447">
        <v>13.585987261146496</v>
      </c>
      <c r="N89" s="3447">
        <v>15.018404907975459</v>
      </c>
      <c r="O89" s="3447">
        <v>17.067073170731707</v>
      </c>
      <c r="P89" s="3447">
        <v>19.24074074074074</v>
      </c>
      <c r="Q89" s="3447">
        <v>21.666666666666668</v>
      </c>
      <c r="R89" s="3447">
        <v>22.509433962264151</v>
      </c>
      <c r="S89" s="3447">
        <v>22.218181818181819</v>
      </c>
      <c r="T89" s="3447">
        <f>+'ACTIVOS uni'!U12/'Alumnos x PTC'!CV12</f>
        <v>22.561403508771932</v>
      </c>
      <c r="U89" s="3447">
        <f>+'ACTIVOS uni'!V12/'Alumnos x PTC'!CW12</f>
        <v>22.627118644067796</v>
      </c>
      <c r="AB89" s="3439"/>
    </row>
    <row r="90" spans="2:28" ht="14.4" x14ac:dyDescent="0.25">
      <c r="B90" s="3110" t="s">
        <v>115</v>
      </c>
      <c r="C90" s="3447"/>
      <c r="D90" s="3447">
        <v>9.6666666666666661</v>
      </c>
      <c r="E90" s="3447">
        <v>13</v>
      </c>
      <c r="F90" s="3447">
        <v>7.166666666666667</v>
      </c>
      <c r="G90" s="3447">
        <v>9.304347826086957</v>
      </c>
      <c r="H90" s="3447">
        <v>11.458333333333334</v>
      </c>
      <c r="I90" s="3447">
        <v>11.962962962962964</v>
      </c>
      <c r="J90" s="3447">
        <v>11.939393939393939</v>
      </c>
      <c r="K90" s="3447">
        <v>13.18348623853211</v>
      </c>
      <c r="L90" s="3447">
        <v>15.093333333333334</v>
      </c>
      <c r="M90" s="3447">
        <v>16.597701149425287</v>
      </c>
      <c r="N90" s="3447">
        <v>17.889298892988929</v>
      </c>
      <c r="O90" s="3447">
        <v>19.913978494623656</v>
      </c>
      <c r="P90" s="3447">
        <v>20.112956810631228</v>
      </c>
      <c r="Q90" s="3447">
        <v>21.564356435643564</v>
      </c>
      <c r="R90" s="3447">
        <v>22.846905537459286</v>
      </c>
      <c r="S90" s="3447">
        <v>23.337539432176655</v>
      </c>
      <c r="T90" s="3447">
        <f>+'ACTIVOS uni'!U13/'Alumnos x PTC'!CV13</f>
        <v>24.738170347003152</v>
      </c>
      <c r="U90" s="3447">
        <f>+'ACTIVOS uni'!V13/'Alumnos x PTC'!CW13</f>
        <v>26.686274509803923</v>
      </c>
      <c r="AB90" s="3439"/>
    </row>
    <row r="91" spans="2:28" ht="14.4" x14ac:dyDescent="0.25">
      <c r="B91" s="3459" t="s">
        <v>134</v>
      </c>
      <c r="C91" s="3460"/>
      <c r="D91" s="3460">
        <v>15.615384615384615</v>
      </c>
      <c r="E91" s="3460">
        <v>13.045454545454545</v>
      </c>
      <c r="F91" s="3460">
        <v>10.704761904761904</v>
      </c>
      <c r="G91" s="3460">
        <v>12.267605633802816</v>
      </c>
      <c r="H91" s="3460">
        <v>12.622754491017965</v>
      </c>
      <c r="I91" s="3460">
        <v>11.5311004784689</v>
      </c>
      <c r="J91" s="3460">
        <v>11.455295735900963</v>
      </c>
      <c r="K91" s="3460">
        <v>11.575757575757576</v>
      </c>
      <c r="L91" s="3460">
        <v>12.117216117216117</v>
      </c>
      <c r="M91" s="3460">
        <v>13.776</v>
      </c>
      <c r="N91" s="3460">
        <v>15.506666666666666</v>
      </c>
      <c r="O91" s="3460">
        <v>17.160127253446447</v>
      </c>
      <c r="P91" s="3460">
        <v>18.090270812437314</v>
      </c>
      <c r="Q91" s="3460">
        <v>19.969230769230769</v>
      </c>
      <c r="R91" s="3460">
        <v>21.556008146639513</v>
      </c>
      <c r="S91" s="3460">
        <v>21.89043824701195</v>
      </c>
      <c r="T91" s="3460">
        <f>+'ACTIVOS uni'!U14/'Alumnos x PTC'!CV14</f>
        <v>22.759842519685037</v>
      </c>
      <c r="U91" s="3460">
        <f>+'ACTIVOS uni'!V14/'Alumnos x PTC'!CW14</f>
        <v>23.627218934911241</v>
      </c>
      <c r="AB91" s="3439"/>
    </row>
    <row r="92" spans="2:28" x14ac:dyDescent="0.25">
      <c r="AB92" s="3439"/>
    </row>
    <row r="93" spans="2:28" ht="14.4" x14ac:dyDescent="0.25">
      <c r="B93" s="3105" t="s">
        <v>59</v>
      </c>
      <c r="C93" s="3441">
        <v>12.417582417582418</v>
      </c>
      <c r="D93" s="3441">
        <v>11.904028436018956</v>
      </c>
      <c r="E93" s="3441">
        <v>11.801652892561984</v>
      </c>
      <c r="F93" s="3441">
        <v>11.180539273153576</v>
      </c>
      <c r="G93" s="3441">
        <v>11.422403733955658</v>
      </c>
      <c r="H93" s="3441">
        <v>11.331378299120233</v>
      </c>
      <c r="I93" s="3441">
        <v>11.99290360733294</v>
      </c>
      <c r="J93" s="3441">
        <v>12.465608465608465</v>
      </c>
      <c r="K93" s="3441">
        <v>13.126099706744867</v>
      </c>
      <c r="L93" s="3441">
        <v>14.42605633802817</v>
      </c>
      <c r="M93" s="3441">
        <v>14.740698340011447</v>
      </c>
      <c r="N93" s="3441">
        <v>15.199306759098787</v>
      </c>
      <c r="O93" s="3441">
        <v>15.651718112987769</v>
      </c>
      <c r="P93" s="3441">
        <v>15.569982132221561</v>
      </c>
      <c r="Q93" s="3441">
        <v>15.443323442136499</v>
      </c>
      <c r="R93" s="3441">
        <v>15.721241631162508</v>
      </c>
      <c r="S93" s="3441">
        <v>15.218616044090629</v>
      </c>
      <c r="T93" s="3441">
        <f>+'ACTIVOS uni'!U16/'Alumnos x PTC'!CV16</f>
        <v>15.464576802507839</v>
      </c>
      <c r="U93" s="3441">
        <f>+'ACTIVOS uni'!V16/'Alumnos x PTC'!CW16</f>
        <v>16.046332046332047</v>
      </c>
      <c r="AB93" s="3439"/>
    </row>
    <row r="94" spans="2:28" ht="14.4" x14ac:dyDescent="0.25">
      <c r="B94" s="3110" t="s">
        <v>64</v>
      </c>
      <c r="C94" s="3447">
        <v>16.327160493827162</v>
      </c>
      <c r="D94" s="3447">
        <v>17.04690831556503</v>
      </c>
      <c r="E94" s="3447">
        <v>17.315817130846032</v>
      </c>
      <c r="F94" s="3447">
        <v>18.324152542372879</v>
      </c>
      <c r="G94" s="3447">
        <v>18.651284740429997</v>
      </c>
      <c r="H94" s="3447">
        <v>19.064718162839249</v>
      </c>
      <c r="I94" s="3447">
        <v>19.041624365482235</v>
      </c>
      <c r="J94" s="3447">
        <v>19.591331269349844</v>
      </c>
      <c r="K94" s="3447">
        <v>20.509374999999999</v>
      </c>
      <c r="L94" s="3447">
        <v>20.711688311688313</v>
      </c>
      <c r="M94" s="3447">
        <v>20.35130970724191</v>
      </c>
      <c r="N94" s="3447">
        <v>20.680250783699059</v>
      </c>
      <c r="O94" s="3447">
        <v>21.107822410147993</v>
      </c>
      <c r="P94" s="3447">
        <v>20.573215216258468</v>
      </c>
      <c r="Q94" s="3447">
        <v>20.444216990788124</v>
      </c>
      <c r="R94" s="3447">
        <v>21.26659528907923</v>
      </c>
      <c r="S94" s="3447">
        <v>21.885651456844418</v>
      </c>
      <c r="T94" s="3447">
        <f>+'ACTIVOS uni'!U17/'Alumnos x PTC'!CV17</f>
        <v>23.280411193603655</v>
      </c>
      <c r="U94" s="3447">
        <f>+'ACTIVOS uni'!V17/'Alumnos x PTC'!CW17</f>
        <v>24.541218637992831</v>
      </c>
      <c r="AB94" s="3439"/>
    </row>
    <row r="95" spans="2:28" ht="14.4" x14ac:dyDescent="0.25">
      <c r="B95" s="3110" t="s">
        <v>92</v>
      </c>
      <c r="C95" s="3447">
        <v>14.690100430416068</v>
      </c>
      <c r="D95" s="3447">
        <v>14.010000000000002</v>
      </c>
      <c r="E95" s="3447">
        <v>14.164502164502165</v>
      </c>
      <c r="F95" s="3447">
        <v>13.920171062009977</v>
      </c>
      <c r="G95" s="3447">
        <v>14.721287490855888</v>
      </c>
      <c r="H95" s="3447">
        <v>15.485458612975391</v>
      </c>
      <c r="I95" s="3447">
        <v>17.150684931506849</v>
      </c>
      <c r="J95" s="3447">
        <v>17.554411764705883</v>
      </c>
      <c r="K95" s="3447">
        <v>18.767647058823531</v>
      </c>
      <c r="L95" s="3447">
        <v>19.725377426312004</v>
      </c>
      <c r="M95" s="3447">
        <v>19.702873160476525</v>
      </c>
      <c r="N95" s="3447">
        <v>19.658060013956732</v>
      </c>
      <c r="O95" s="3447">
        <v>19.359277275886033</v>
      </c>
      <c r="P95" s="3447">
        <v>19.194092827004219</v>
      </c>
      <c r="Q95" s="3447">
        <v>18.297450424929178</v>
      </c>
      <c r="R95" s="3447">
        <v>17.496413199426112</v>
      </c>
      <c r="S95" s="3447">
        <v>16.67198838896952</v>
      </c>
      <c r="T95" s="3447">
        <f>+'ACTIVOS uni'!U18/'Alumnos x PTC'!CV18</f>
        <v>16.528718703976434</v>
      </c>
      <c r="U95" s="3447">
        <f>+'ACTIVOS uni'!V18/'Alumnos x PTC'!CW18</f>
        <v>17.295774647887324</v>
      </c>
      <c r="AB95" s="3439"/>
    </row>
    <row r="96" spans="2:28" ht="14.4" x14ac:dyDescent="0.25">
      <c r="B96" s="3466" t="s">
        <v>135</v>
      </c>
      <c r="C96" s="3467">
        <v>14.581591639871382</v>
      </c>
      <c r="D96" s="3467">
        <v>14.441579371474617</v>
      </c>
      <c r="E96" s="3467">
        <v>14.564720048163757</v>
      </c>
      <c r="F96" s="3467">
        <v>14.648789273564137</v>
      </c>
      <c r="G96" s="3467">
        <v>15.090216519647152</v>
      </c>
      <c r="H96" s="3467">
        <v>15.440145102781136</v>
      </c>
      <c r="I96" s="3467">
        <v>16.146331658291459</v>
      </c>
      <c r="J96" s="3467">
        <v>16.612522504500902</v>
      </c>
      <c r="K96" s="3467">
        <v>17.508926780341021</v>
      </c>
      <c r="L96" s="3467">
        <v>18.192437141160166</v>
      </c>
      <c r="M96" s="3467">
        <v>18.256590509666079</v>
      </c>
      <c r="N96" s="3467">
        <v>18.523434423001181</v>
      </c>
      <c r="O96" s="3467">
        <v>18.753565768621236</v>
      </c>
      <c r="P96" s="3467">
        <v>18.509163346613548</v>
      </c>
      <c r="Q96" s="3467">
        <v>18.175806770936447</v>
      </c>
      <c r="R96" s="3467">
        <v>18.337614678899083</v>
      </c>
      <c r="S96" s="3467">
        <v>18.144099378881986</v>
      </c>
      <c r="T96" s="3467">
        <f>+'ACTIVOS uni'!U19/'Alumnos x PTC'!CV19</f>
        <v>18.681122448979593</v>
      </c>
      <c r="U96" s="3467">
        <f>+'ACTIVOS uni'!V19/'Alumnos x PTC'!CW19</f>
        <v>19.556591211717709</v>
      </c>
      <c r="AB96" s="3439"/>
    </row>
    <row r="97" spans="2:28" x14ac:dyDescent="0.25">
      <c r="AB97" s="3439"/>
    </row>
    <row r="98" spans="2:28" ht="14.4" x14ac:dyDescent="0.25">
      <c r="B98" s="3105" t="s">
        <v>59</v>
      </c>
      <c r="C98" s="3441"/>
      <c r="D98" s="3441"/>
      <c r="E98" s="3441"/>
      <c r="F98" s="3441"/>
      <c r="G98" s="3441"/>
      <c r="H98" s="3441"/>
      <c r="I98" s="3441"/>
      <c r="J98" s="3441">
        <v>15</v>
      </c>
      <c r="K98" s="3441">
        <v>11.285714285714286</v>
      </c>
      <c r="L98" s="3441">
        <v>15.375</v>
      </c>
      <c r="M98" s="3441">
        <v>13.9</v>
      </c>
      <c r="N98" s="3441">
        <v>11.533333333333333</v>
      </c>
      <c r="O98" s="3441">
        <v>11.25</v>
      </c>
      <c r="P98" s="3441">
        <v>14.105263157894736</v>
      </c>
      <c r="Q98" s="3441">
        <v>15.904761904761905</v>
      </c>
      <c r="R98" s="3441">
        <v>18.521739130434781</v>
      </c>
      <c r="S98" s="3441">
        <v>22.227272727272727</v>
      </c>
      <c r="T98" s="3441">
        <f>+'ACTIVOS uni'!U21/'Alumnos x PTC'!CV21</f>
        <v>24.90909090909091</v>
      </c>
      <c r="U98" s="3441">
        <f>+'ACTIVOS uni'!V21/'Alumnos x PTC'!CW21</f>
        <v>32.94736842105263</v>
      </c>
      <c r="AB98" s="3439"/>
    </row>
    <row r="99" spans="2:28" ht="14.4" x14ac:dyDescent="0.25">
      <c r="B99" s="3110" t="s">
        <v>64</v>
      </c>
      <c r="C99" s="3447"/>
      <c r="D99" s="3447"/>
      <c r="E99" s="3447"/>
      <c r="F99" s="3447"/>
      <c r="G99" s="3447"/>
      <c r="H99" s="3447"/>
      <c r="I99" s="3447"/>
      <c r="J99" s="3447">
        <v>19.333333333333332</v>
      </c>
      <c r="K99" s="3447">
        <v>13.333333333333334</v>
      </c>
      <c r="L99" s="3447">
        <v>19.714285714285715</v>
      </c>
      <c r="M99" s="3447">
        <v>13.23076923076923</v>
      </c>
      <c r="N99" s="3447">
        <v>16.384615384615383</v>
      </c>
      <c r="O99" s="3447">
        <v>11.761904761904763</v>
      </c>
      <c r="P99" s="3447">
        <v>10.75</v>
      </c>
      <c r="Q99" s="3447">
        <v>11.96774193548387</v>
      </c>
      <c r="R99" s="3447">
        <v>13.7</v>
      </c>
      <c r="S99" s="3447">
        <v>16.032258064516128</v>
      </c>
      <c r="T99" s="3447">
        <f>+'ACTIVOS uni'!U22/'Alumnos x PTC'!CV22</f>
        <v>17.225806451612904</v>
      </c>
      <c r="U99" s="3447">
        <f>+'ACTIVOS uni'!V22/'Alumnos x PTC'!CW22</f>
        <v>18.733333333333334</v>
      </c>
      <c r="AB99" s="3439"/>
    </row>
    <row r="100" spans="2:28" ht="14.4" x14ac:dyDescent="0.25">
      <c r="B100" s="3110" t="s">
        <v>92</v>
      </c>
      <c r="C100" s="3447"/>
      <c r="D100" s="3447"/>
      <c r="E100" s="3447"/>
      <c r="F100" s="3447"/>
      <c r="G100" s="3447"/>
      <c r="H100" s="3447"/>
      <c r="I100" s="3447"/>
      <c r="J100" s="3447">
        <v>9.1666666666666661</v>
      </c>
      <c r="K100" s="3447">
        <v>7.666666666666667</v>
      </c>
      <c r="L100" s="3447">
        <v>8.9230769230769234</v>
      </c>
      <c r="M100" s="3447">
        <v>11.307692307692308</v>
      </c>
      <c r="N100" s="3447">
        <v>14.857142857142858</v>
      </c>
      <c r="O100" s="3447">
        <v>13.722222222222221</v>
      </c>
      <c r="P100" s="3447">
        <v>14.95</v>
      </c>
      <c r="Q100" s="3447">
        <v>17</v>
      </c>
      <c r="R100" s="3447">
        <v>19.61904761904762</v>
      </c>
      <c r="S100" s="3447">
        <v>22.227272727272727</v>
      </c>
      <c r="T100" s="3447">
        <f>+'ACTIVOS uni'!U23/'Alumnos x PTC'!CV23</f>
        <v>26.38095238095238</v>
      </c>
      <c r="U100" s="3447">
        <f>+'ACTIVOS uni'!V23/'Alumnos x PTC'!CW23</f>
        <v>28.80952380952381</v>
      </c>
      <c r="AB100" s="3439"/>
    </row>
    <row r="101" spans="2:28" ht="14.4" x14ac:dyDescent="0.25">
      <c r="B101" s="3473" t="s">
        <v>136</v>
      </c>
      <c r="C101" s="3474"/>
      <c r="D101" s="3474"/>
      <c r="E101" s="3474"/>
      <c r="F101" s="3474"/>
      <c r="G101" s="3474"/>
      <c r="H101" s="3474"/>
      <c r="I101" s="3474"/>
      <c r="J101" s="3474">
        <v>13.307692307692308</v>
      </c>
      <c r="K101" s="3474">
        <v>10.363636363636363</v>
      </c>
      <c r="L101" s="3474">
        <v>13.464285714285714</v>
      </c>
      <c r="M101" s="3474">
        <v>12.722222222222221</v>
      </c>
      <c r="N101" s="3474">
        <v>14.142857142857142</v>
      </c>
      <c r="O101" s="3474">
        <v>12.254545454545454</v>
      </c>
      <c r="P101" s="3474">
        <v>12.955223880597014</v>
      </c>
      <c r="Q101" s="3474">
        <v>14.513888888888889</v>
      </c>
      <c r="R101" s="3474">
        <v>16.878378378378379</v>
      </c>
      <c r="S101" s="3474">
        <v>19.666666666666668</v>
      </c>
      <c r="T101" s="3474">
        <f>+'ACTIVOS uni'!U24/'Alumnos x PTC'!CV24</f>
        <v>22.108108108108109</v>
      </c>
      <c r="U101" s="3474">
        <f>+'ACTIVOS uni'!V24/'Alumnos x PTC'!CW24</f>
        <v>25.614285714285714</v>
      </c>
      <c r="AB101" s="3439"/>
    </row>
    <row r="102" spans="2:28" x14ac:dyDescent="0.25">
      <c r="AB102" s="3439"/>
    </row>
    <row r="103" spans="2:28" ht="14.4" x14ac:dyDescent="0.25">
      <c r="B103" s="3105" t="s">
        <v>64</v>
      </c>
      <c r="C103" s="3441">
        <v>16.231261425959779</v>
      </c>
      <c r="D103" s="3441">
        <v>17.142460684551342</v>
      </c>
      <c r="E103" s="3441">
        <v>17.30939226519337</v>
      </c>
      <c r="F103" s="3441">
        <v>18.453538757823782</v>
      </c>
      <c r="G103" s="3441">
        <v>18.098777046095957</v>
      </c>
      <c r="H103" s="3441">
        <v>17.12</v>
      </c>
      <c r="I103" s="3441">
        <v>16.88583218707015</v>
      </c>
      <c r="J103" s="3441">
        <v>16.070765148164529</v>
      </c>
      <c r="K103" s="3441">
        <v>16.092819614711033</v>
      </c>
      <c r="L103" s="3441">
        <v>16.463704355477343</v>
      </c>
      <c r="M103" s="3441">
        <v>16.300486080424214</v>
      </c>
      <c r="N103" s="3441">
        <v>16.573595004460302</v>
      </c>
      <c r="O103" s="3441">
        <v>16.950135992747054</v>
      </c>
      <c r="P103" s="3441">
        <v>17.111716621253407</v>
      </c>
      <c r="Q103" s="3441">
        <v>17.239550561797753</v>
      </c>
      <c r="R103" s="3441">
        <v>18.201117318435752</v>
      </c>
      <c r="S103" s="3441">
        <v>18.907801418439718</v>
      </c>
      <c r="T103" s="3441">
        <f>+'ACTIVOS uni'!U26/'Alumnos x PTC'!CV26</f>
        <v>19.168115942028987</v>
      </c>
      <c r="U103" s="3441">
        <f>+'ACTIVOS uni'!V26/'Alumnos x PTC'!CW26</f>
        <v>20.39076923076923</v>
      </c>
      <c r="AB103" s="3439"/>
    </row>
    <row r="104" spans="2:28" ht="14.4" x14ac:dyDescent="0.25">
      <c r="B104" s="3110" t="s">
        <v>92</v>
      </c>
      <c r="C104" s="3447">
        <v>19.190714610832952</v>
      </c>
      <c r="D104" s="3447">
        <v>20.405429864253392</v>
      </c>
      <c r="E104" s="3447">
        <v>21.442446043165468</v>
      </c>
      <c r="F104" s="3447">
        <v>21.951752389622211</v>
      </c>
      <c r="G104" s="3447">
        <v>21.987132352941174</v>
      </c>
      <c r="H104" s="3447">
        <v>21.780084945729115</v>
      </c>
      <c r="I104" s="3447">
        <v>21.406162464985993</v>
      </c>
      <c r="J104" s="3447">
        <v>21.248479176415536</v>
      </c>
      <c r="K104" s="3447">
        <v>20.704963235294116</v>
      </c>
      <c r="L104" s="3447">
        <v>20.622444343480236</v>
      </c>
      <c r="M104" s="3447">
        <v>20.2</v>
      </c>
      <c r="N104" s="3447">
        <v>20.317516629711754</v>
      </c>
      <c r="O104" s="3447">
        <v>20.884563150746942</v>
      </c>
      <c r="P104" s="3447">
        <v>21.656934306569344</v>
      </c>
      <c r="Q104" s="3447">
        <v>22.300738007380076</v>
      </c>
      <c r="R104" s="3447">
        <v>22.634730538922156</v>
      </c>
      <c r="S104" s="3447">
        <v>23.825381679389313</v>
      </c>
      <c r="T104" s="3447">
        <f>+'ACTIVOS uni'!U27/'Alumnos x PTC'!CV27</f>
        <v>24.590688651794373</v>
      </c>
      <c r="U104" s="3447">
        <f>+'ACTIVOS uni'!V27/'Alumnos x PTC'!CW27</f>
        <v>26.971428571428572</v>
      </c>
      <c r="AB104" s="3439"/>
    </row>
    <row r="105" spans="2:28" ht="14.4" x14ac:dyDescent="0.25">
      <c r="B105" s="3110" t="s">
        <v>68</v>
      </c>
      <c r="C105" s="3447">
        <v>20.65938864628821</v>
      </c>
      <c r="D105" s="3447">
        <v>22.322147651006713</v>
      </c>
      <c r="E105" s="3447">
        <v>21.679306608884072</v>
      </c>
      <c r="F105" s="3447">
        <v>21.945652173913043</v>
      </c>
      <c r="G105" s="3447">
        <v>22.296943231441048</v>
      </c>
      <c r="H105" s="3447">
        <v>20.554267650158064</v>
      </c>
      <c r="I105" s="3447">
        <v>20.029319371727748</v>
      </c>
      <c r="J105" s="3447">
        <v>19.119587628865979</v>
      </c>
      <c r="K105" s="3447">
        <v>19.67573221757322</v>
      </c>
      <c r="L105" s="3447">
        <v>19.976915005246589</v>
      </c>
      <c r="M105" s="3447">
        <v>19.287894201424212</v>
      </c>
      <c r="N105" s="3447">
        <v>19.503105590062113</v>
      </c>
      <c r="O105" s="3447">
        <v>20.208860759493671</v>
      </c>
      <c r="P105" s="3447">
        <v>21.229744728079911</v>
      </c>
      <c r="Q105" s="3447">
        <v>21.72972972972973</v>
      </c>
      <c r="R105" s="3447">
        <v>21.284768211920529</v>
      </c>
      <c r="S105" s="3447">
        <v>21.665919282511211</v>
      </c>
      <c r="T105" s="3447">
        <f>+'ACTIVOS uni'!U28/'Alumnos x PTC'!CV28</f>
        <v>21.875141884222472</v>
      </c>
      <c r="U105" s="3447">
        <f>+'ACTIVOS uni'!V28/'Alumnos x PTC'!CW28</f>
        <v>25.31782945736434</v>
      </c>
      <c r="AB105" s="3439"/>
    </row>
    <row r="106" spans="2:28" ht="14.4" x14ac:dyDescent="0.25">
      <c r="B106" s="3480" t="s">
        <v>137</v>
      </c>
      <c r="C106" s="3481">
        <v>18.222976796830785</v>
      </c>
      <c r="D106" s="3481">
        <v>19.391188758070644</v>
      </c>
      <c r="E106" s="3481">
        <v>19.795826283135927</v>
      </c>
      <c r="F106" s="3481">
        <v>20.551790527531768</v>
      </c>
      <c r="G106" s="3481">
        <v>20.45726331927942</v>
      </c>
      <c r="H106" s="3481">
        <v>19.625023841312224</v>
      </c>
      <c r="I106" s="3481">
        <v>19.289124668435015</v>
      </c>
      <c r="J106" s="3481">
        <v>18.682935916542476</v>
      </c>
      <c r="K106" s="3481">
        <v>18.578286558345642</v>
      </c>
      <c r="L106" s="3481">
        <v>18.767274737423993</v>
      </c>
      <c r="M106" s="3481">
        <v>18.431222707423579</v>
      </c>
      <c r="N106" s="3481">
        <v>18.637012630422845</v>
      </c>
      <c r="O106" s="3481">
        <v>19.146746224128286</v>
      </c>
      <c r="P106" s="3481">
        <v>19.694050991501417</v>
      </c>
      <c r="Q106" s="3481">
        <v>20.072334785078585</v>
      </c>
      <c r="R106" s="3481">
        <v>20.577990430622009</v>
      </c>
      <c r="S106" s="3481">
        <v>21.40975896531452</v>
      </c>
      <c r="T106" s="3481">
        <f>+'ACTIVOS uni'!U29/'Alumnos x PTC'!CV29</f>
        <v>21.874326750448834</v>
      </c>
      <c r="U106" s="3481">
        <f>+'ACTIVOS uni'!V29/'Alumnos x PTC'!CW29</f>
        <v>23.912873862158648</v>
      </c>
      <c r="AB106" s="3439"/>
    </row>
    <row r="107" spans="2:28" ht="14.4" x14ac:dyDescent="0.3">
      <c r="B107" s="3104"/>
      <c r="C107" s="3434"/>
      <c r="D107" s="3434"/>
      <c r="E107" s="3434"/>
      <c r="F107" s="3434"/>
      <c r="G107" s="3434"/>
      <c r="H107" s="3434"/>
      <c r="I107" s="3434"/>
      <c r="J107" s="3434"/>
      <c r="K107" s="3434"/>
      <c r="L107" s="3434"/>
      <c r="M107" s="3434"/>
      <c r="N107" s="3434"/>
      <c r="O107" s="3434"/>
      <c r="P107" s="3434"/>
      <c r="Q107" s="3434"/>
      <c r="R107" s="3434"/>
      <c r="S107" s="3434"/>
      <c r="T107" s="3434"/>
      <c r="U107" s="3434"/>
      <c r="AB107" s="3439"/>
    </row>
    <row r="108" spans="2:28" ht="14.4" x14ac:dyDescent="0.25">
      <c r="B108" s="3155" t="s">
        <v>7</v>
      </c>
      <c r="C108" s="3482">
        <v>16.672620959969155</v>
      </c>
      <c r="D108" s="3482">
        <v>17.142416848593811</v>
      </c>
      <c r="E108" s="3482">
        <v>17.221674876847292</v>
      </c>
      <c r="F108" s="3482">
        <v>17.381629202930309</v>
      </c>
      <c r="G108" s="3482">
        <v>17.675847062480571</v>
      </c>
      <c r="H108" s="3482">
        <v>17.535526884375578</v>
      </c>
      <c r="I108" s="3482">
        <v>17.739003467786091</v>
      </c>
      <c r="J108" s="3482">
        <v>17.771343104995513</v>
      </c>
      <c r="K108" s="3482">
        <v>18.08094674556213</v>
      </c>
      <c r="L108" s="3482">
        <v>18.378722410370198</v>
      </c>
      <c r="M108" s="3482">
        <v>18.159285959491932</v>
      </c>
      <c r="N108" s="3482">
        <v>18.46957725359017</v>
      </c>
      <c r="O108" s="3482">
        <v>18.7717668911075</v>
      </c>
      <c r="P108" s="3482">
        <v>18.693173293323333</v>
      </c>
      <c r="Q108" s="3482">
        <v>18.829092159559835</v>
      </c>
      <c r="R108" s="3482">
        <v>19.462164361269327</v>
      </c>
      <c r="S108" s="3482">
        <v>19.813081909251618</v>
      </c>
      <c r="T108" s="3482">
        <f>+'ACTIVOS uni'!U37/'Alumnos x PTC'!CV31</f>
        <v>20.628760132092463</v>
      </c>
      <c r="U108" s="3482">
        <f>+'ACTIVOS uni'!V37/'Alumnos x PTC'!CW31</f>
        <v>22.220436280137772</v>
      </c>
      <c r="AB108" s="3439"/>
    </row>
    <row r="110" spans="2:28" ht="14.4" x14ac:dyDescent="0.25">
      <c r="B110" s="328" t="s">
        <v>814</v>
      </c>
      <c r="C110" s="328" t="s">
        <v>818</v>
      </c>
    </row>
    <row r="111" spans="2:28" ht="14.4" x14ac:dyDescent="0.3">
      <c r="B111" s="3434"/>
      <c r="C111" s="328" t="s">
        <v>819</v>
      </c>
    </row>
    <row r="145" spans="2:54" ht="15.6" x14ac:dyDescent="0.3">
      <c r="B145" s="3423" t="s">
        <v>821</v>
      </c>
      <c r="C145" s="3423"/>
      <c r="AG145" s="3487" t="s">
        <v>822</v>
      </c>
      <c r="BB145" s="5155" t="s">
        <v>1552</v>
      </c>
    </row>
    <row r="146" spans="2:54" x14ac:dyDescent="0.25">
      <c r="AG146" s="3487"/>
    </row>
    <row r="147" spans="2:54" ht="28.8" x14ac:dyDescent="0.25">
      <c r="B147" s="3426" t="s">
        <v>267</v>
      </c>
      <c r="C147" s="3426">
        <v>2004</v>
      </c>
      <c r="D147" s="3427">
        <v>2005</v>
      </c>
      <c r="E147" s="3428">
        <v>2006</v>
      </c>
      <c r="F147" s="3427">
        <v>2007</v>
      </c>
      <c r="G147" s="3427">
        <v>2008</v>
      </c>
      <c r="H147" s="3427">
        <v>2009</v>
      </c>
      <c r="I147" s="3427">
        <v>2010</v>
      </c>
      <c r="J147" s="3427">
        <v>2011</v>
      </c>
      <c r="K147" s="3427">
        <v>2012</v>
      </c>
      <c r="L147" s="3427">
        <v>2013</v>
      </c>
      <c r="M147" s="3427">
        <v>2014</v>
      </c>
      <c r="N147" s="3427">
        <v>2015</v>
      </c>
      <c r="O147" s="3427">
        <v>2016</v>
      </c>
      <c r="P147" s="3427">
        <v>2017</v>
      </c>
      <c r="Q147" s="3427">
        <v>2018</v>
      </c>
      <c r="R147" s="3427">
        <v>2019</v>
      </c>
      <c r="S147" s="3427">
        <v>2020</v>
      </c>
      <c r="T147" s="3427">
        <v>2021</v>
      </c>
      <c r="U147" s="3427">
        <v>2022</v>
      </c>
      <c r="AF147" s="5156"/>
      <c r="AG147" s="5157" t="s">
        <v>823</v>
      </c>
      <c r="AH147" s="5157" t="s">
        <v>469</v>
      </c>
      <c r="AI147" s="5157"/>
      <c r="AJ147" s="5157">
        <v>2004</v>
      </c>
      <c r="AK147" s="5157">
        <v>2005</v>
      </c>
      <c r="AL147" s="5157">
        <v>2006</v>
      </c>
      <c r="AM147" s="5157">
        <v>2007</v>
      </c>
      <c r="AN147" s="5157">
        <v>2008</v>
      </c>
      <c r="AO147" s="5157">
        <v>2009</v>
      </c>
      <c r="AP147" s="5157">
        <v>2010</v>
      </c>
      <c r="AQ147" s="5157">
        <v>2011</v>
      </c>
      <c r="AR147" s="5157">
        <v>2012</v>
      </c>
      <c r="AS147" s="5157">
        <v>2013</v>
      </c>
      <c r="AT147" s="5157">
        <v>2014</v>
      </c>
      <c r="AU147" s="5157">
        <v>2015</v>
      </c>
      <c r="AV147" s="5157">
        <v>2016</v>
      </c>
      <c r="AW147" s="5157">
        <v>2017</v>
      </c>
      <c r="AX147" s="5157">
        <v>2018</v>
      </c>
      <c r="AY147" s="5157">
        <v>2019</v>
      </c>
      <c r="AZ147" s="5157">
        <v>2020</v>
      </c>
      <c r="BA147" s="5157">
        <v>2021</v>
      </c>
      <c r="BB147" s="5157">
        <v>2022</v>
      </c>
    </row>
    <row r="148" spans="2:54" ht="14.4" x14ac:dyDescent="0.3">
      <c r="B148" s="3434"/>
      <c r="C148" s="3434"/>
      <c r="D148" s="3434"/>
      <c r="E148" s="3434"/>
      <c r="F148" s="3434"/>
      <c r="G148" s="3434"/>
      <c r="H148" s="3434"/>
      <c r="I148" s="3434"/>
      <c r="J148" s="3434"/>
      <c r="K148" s="3434"/>
      <c r="L148" s="3434"/>
      <c r="M148" s="3434"/>
      <c r="N148" s="3434"/>
      <c r="O148" s="3434"/>
      <c r="P148" s="3434"/>
      <c r="Q148" s="3434"/>
      <c r="AG148" s="3439"/>
      <c r="AH148" s="3439"/>
      <c r="AI148" s="3439"/>
      <c r="AJ148" s="3439"/>
      <c r="AK148" s="3439"/>
      <c r="AL148" s="3439"/>
      <c r="AM148" s="3439"/>
      <c r="AN148" s="3439"/>
      <c r="AO148" s="3439"/>
      <c r="AP148" s="3439"/>
      <c r="AQ148" s="3439"/>
      <c r="AR148" s="3439"/>
      <c r="AS148" s="3439"/>
      <c r="AT148" s="3439"/>
      <c r="AU148" s="3439"/>
    </row>
    <row r="149" spans="2:54" ht="14.4" x14ac:dyDescent="0.25">
      <c r="B149" s="3105" t="s">
        <v>59</v>
      </c>
      <c r="C149" s="3441">
        <f>AJ149/AF6</f>
        <v>0.99528746465598483</v>
      </c>
      <c r="D149" s="3441">
        <f>AK149/AJ6</f>
        <v>1.0197740112994351</v>
      </c>
      <c r="E149" s="3441">
        <f>AL149/AN6</f>
        <v>0.92115027829313545</v>
      </c>
      <c r="F149" s="3441">
        <f>AM149/AR6</f>
        <v>0.90094128193635148</v>
      </c>
      <c r="G149" s="3441">
        <f>AN149/AV6</f>
        <v>0.8235823582358236</v>
      </c>
      <c r="H149" s="3441">
        <f>AO149/AZ6</f>
        <v>0.956989247311828</v>
      </c>
      <c r="I149" s="3441">
        <f>AP149/BD6</f>
        <v>1.0352303523035231</v>
      </c>
      <c r="J149" s="3441">
        <f>AQ149/BH6</f>
        <v>1.0844686648501363</v>
      </c>
      <c r="K149" s="3441">
        <f>AR149/BL6</f>
        <v>0.97130044843049324</v>
      </c>
      <c r="L149" s="3441">
        <f>AS149/BP6</f>
        <v>1.105333930972658</v>
      </c>
      <c r="M149" s="3441">
        <f>AT149/BT6</f>
        <v>1.3069828722002634</v>
      </c>
      <c r="N149" s="3441">
        <f>AU149/BX6</f>
        <v>1.4165170556552964</v>
      </c>
      <c r="O149" s="3441">
        <f>AV149/CB6</f>
        <v>1.7127272727272727</v>
      </c>
      <c r="P149" s="3441">
        <f>AW149/CF6</f>
        <v>1.6877523553162854</v>
      </c>
      <c r="Q149" s="3441">
        <f>AX149/CJ6</f>
        <v>1.6889085285019885</v>
      </c>
      <c r="R149" s="3441">
        <f>AY149/CN6</f>
        <v>1.6440157825515125</v>
      </c>
      <c r="S149" s="3441">
        <f>AZ149/CR6</f>
        <v>1.5830013280212483</v>
      </c>
      <c r="T149" s="3441">
        <f>BA149/CV6</f>
        <v>1.5642760487144791</v>
      </c>
      <c r="U149" s="3441">
        <f>BB149/CW6</f>
        <v>1.5558739255014327</v>
      </c>
      <c r="AG149" s="3439"/>
      <c r="AH149" s="3439" t="s">
        <v>470</v>
      </c>
      <c r="AI149" s="3439"/>
      <c r="AJ149" s="3439">
        <v>352</v>
      </c>
      <c r="AK149" s="3439">
        <v>361</v>
      </c>
      <c r="AL149" s="3439">
        <v>331</v>
      </c>
      <c r="AM149" s="3439">
        <v>335</v>
      </c>
      <c r="AN149" s="3439">
        <v>305</v>
      </c>
      <c r="AO149" s="3439">
        <v>356</v>
      </c>
      <c r="AP149" s="3439">
        <v>382</v>
      </c>
      <c r="AQ149" s="3439">
        <v>398</v>
      </c>
      <c r="AR149" s="3439">
        <v>361</v>
      </c>
      <c r="AS149" s="3439">
        <v>411</v>
      </c>
      <c r="AT149" s="3439">
        <v>496</v>
      </c>
      <c r="AU149" s="3439">
        <v>526</v>
      </c>
      <c r="AV149" s="3488">
        <v>628</v>
      </c>
      <c r="AW149" s="3488">
        <v>627</v>
      </c>
      <c r="AX149" s="3488">
        <v>637</v>
      </c>
      <c r="AY149" s="3488">
        <v>625</v>
      </c>
      <c r="AZ149" s="3488">
        <v>596</v>
      </c>
      <c r="BA149" s="3488">
        <v>578</v>
      </c>
      <c r="BB149" s="3488">
        <v>543</v>
      </c>
    </row>
    <row r="150" spans="2:54" ht="14.4" x14ac:dyDescent="0.25">
      <c r="B150" s="3110" t="s">
        <v>64</v>
      </c>
      <c r="C150" s="3447">
        <f>AJ150/AF7</f>
        <v>0.70461538461538464</v>
      </c>
      <c r="D150" s="3447">
        <f>AK150/AJ7</f>
        <v>0.78043704474505726</v>
      </c>
      <c r="E150" s="3447">
        <f>AL150/AN7</f>
        <v>0.70816733067729076</v>
      </c>
      <c r="F150" s="3447">
        <f>AM150/AR7</f>
        <v>1.3198818897637794</v>
      </c>
      <c r="G150" s="3447">
        <f>AN150/AV7</f>
        <v>1.0197044334975369</v>
      </c>
      <c r="H150" s="3447">
        <f>AO150/AZ7</f>
        <v>1.2357320099255584</v>
      </c>
      <c r="I150" s="3447">
        <f>AP150/BD7</f>
        <v>1.1054216867469879</v>
      </c>
      <c r="J150" s="3447">
        <f>AQ150/BH7</f>
        <v>1.2347740667976426</v>
      </c>
      <c r="K150" s="3447">
        <f>AR150/BL7</f>
        <v>1.1111111111111112</v>
      </c>
      <c r="L150" s="3447">
        <f>AS150/BP7</f>
        <v>1.3930110100526567</v>
      </c>
      <c r="M150" s="3447">
        <f>AT150/BT7</f>
        <v>1.418705035971223</v>
      </c>
      <c r="N150" s="3447">
        <f>AU150/BX7</f>
        <v>1.4243759177679882</v>
      </c>
      <c r="O150" s="3447">
        <f>AV150/CB7</f>
        <v>1.4819277108433735</v>
      </c>
      <c r="P150" s="3447">
        <f>AW150/CF7</f>
        <v>1.8481751824817518</v>
      </c>
      <c r="Q150" s="3447">
        <f t="shared" ref="Q150:Q162" si="12">AX150/CJ7</f>
        <v>1.8450502152080344</v>
      </c>
      <c r="R150" s="3447">
        <f t="shared" ref="R150:R162" si="13">AY150/CN7</f>
        <v>2.3047525722684958</v>
      </c>
      <c r="S150" s="3447">
        <f t="shared" ref="S150:S162" si="14">AZ150/CR7</f>
        <v>2.0560280140070035</v>
      </c>
      <c r="T150" s="3447">
        <f t="shared" ref="T150:U162" si="15">BA150/CV7</f>
        <v>2.1884870096790627</v>
      </c>
      <c r="U150" s="3447">
        <f t="shared" si="15"/>
        <v>2.1184210526315788</v>
      </c>
      <c r="AG150" s="3439"/>
      <c r="AH150" s="3439" t="s">
        <v>471</v>
      </c>
      <c r="AI150" s="3439"/>
      <c r="AJ150" s="3439">
        <v>229</v>
      </c>
      <c r="AK150" s="3439">
        <v>250</v>
      </c>
      <c r="AL150" s="3439">
        <v>237</v>
      </c>
      <c r="AM150" s="3439">
        <v>447</v>
      </c>
      <c r="AN150" s="3439">
        <v>345</v>
      </c>
      <c r="AO150" s="3439">
        <v>415</v>
      </c>
      <c r="AP150" s="3439">
        <v>367</v>
      </c>
      <c r="AQ150" s="3439">
        <v>419</v>
      </c>
      <c r="AR150" s="3439">
        <v>375</v>
      </c>
      <c r="AS150" s="3439">
        <v>485</v>
      </c>
      <c r="AT150" s="3439">
        <v>493</v>
      </c>
      <c r="AU150" s="3439">
        <v>485</v>
      </c>
      <c r="AV150" s="3488">
        <v>492</v>
      </c>
      <c r="AW150" s="3488">
        <v>633</v>
      </c>
      <c r="AX150" s="3488">
        <v>643</v>
      </c>
      <c r="AY150" s="3488">
        <v>784</v>
      </c>
      <c r="AZ150" s="3488">
        <v>685</v>
      </c>
      <c r="BA150" s="3488">
        <v>716</v>
      </c>
      <c r="BB150" s="3488">
        <v>644</v>
      </c>
    </row>
    <row r="151" spans="2:54" ht="14.4" x14ac:dyDescent="0.25">
      <c r="B151" s="3110" t="s">
        <v>68</v>
      </c>
      <c r="C151" s="3447">
        <f>AJ151/AF8</f>
        <v>0.73146622734761113</v>
      </c>
      <c r="D151" s="3447">
        <f>AK151/AJ8</f>
        <v>0.66393442622950827</v>
      </c>
      <c r="E151" s="3447">
        <f>AL151/AN8</f>
        <v>0.79611650485436891</v>
      </c>
      <c r="F151" s="3447">
        <f>AM151/AR8</f>
        <v>1.0183028286189684</v>
      </c>
      <c r="G151" s="3447">
        <f>AN151/AV8</f>
        <v>1.2789342214820982</v>
      </c>
      <c r="H151" s="3447">
        <f>AO151/AZ8</f>
        <v>1.3354838709677419</v>
      </c>
      <c r="I151" s="3447">
        <f>AP151/BD8</f>
        <v>1.7800154918667701</v>
      </c>
      <c r="J151" s="3447">
        <f>AQ151/BH8</f>
        <v>2.0413793103448277</v>
      </c>
      <c r="K151" s="3447">
        <f>AR151/BL8</f>
        <v>1.9318181818181819</v>
      </c>
      <c r="L151" s="3447">
        <f>AS151/BP8</f>
        <v>1.8702460850111857</v>
      </c>
      <c r="M151" s="3447">
        <f>AT151/BT8</f>
        <v>1.9900568181818183</v>
      </c>
      <c r="N151" s="3447">
        <f>AU151/BX8</f>
        <v>1.8807272727272728</v>
      </c>
      <c r="O151" s="3447">
        <f>AV151/CB8</f>
        <v>2.0680473372781063</v>
      </c>
      <c r="P151" s="3447">
        <f>AW151/CF8</f>
        <v>2.389181066867017</v>
      </c>
      <c r="Q151" s="3447">
        <f t="shared" si="12"/>
        <v>1.7933579335793357</v>
      </c>
      <c r="R151" s="3447">
        <f t="shared" si="13"/>
        <v>1.6807228915662651</v>
      </c>
      <c r="S151" s="3447">
        <f t="shared" si="14"/>
        <v>1.8656603773584906</v>
      </c>
      <c r="T151" s="3447">
        <f t="shared" si="15"/>
        <v>2.0477657935285052</v>
      </c>
      <c r="U151" s="3447">
        <f t="shared" si="15"/>
        <v>2.5970149253731343</v>
      </c>
      <c r="AG151" s="3439"/>
      <c r="AH151" s="3439" t="s">
        <v>472</v>
      </c>
      <c r="AI151" s="3439"/>
      <c r="AJ151" s="3439">
        <v>148</v>
      </c>
      <c r="AK151" s="3439">
        <v>135</v>
      </c>
      <c r="AL151" s="3439">
        <v>164</v>
      </c>
      <c r="AM151" s="3439">
        <v>204</v>
      </c>
      <c r="AN151" s="3439">
        <v>256</v>
      </c>
      <c r="AO151" s="3439">
        <v>276</v>
      </c>
      <c r="AP151" s="3439">
        <v>383</v>
      </c>
      <c r="AQ151" s="3439">
        <v>444</v>
      </c>
      <c r="AR151" s="3439">
        <v>425</v>
      </c>
      <c r="AS151" s="3439">
        <v>418</v>
      </c>
      <c r="AT151" s="3439">
        <v>467</v>
      </c>
      <c r="AU151" s="3439">
        <v>431</v>
      </c>
      <c r="AV151" s="3488">
        <v>466</v>
      </c>
      <c r="AW151" s="3488">
        <v>530</v>
      </c>
      <c r="AX151" s="3488">
        <v>405</v>
      </c>
      <c r="AY151" s="3488">
        <v>372</v>
      </c>
      <c r="AZ151" s="3488">
        <v>412</v>
      </c>
      <c r="BA151" s="3488">
        <v>443</v>
      </c>
      <c r="BB151" s="3488">
        <v>522</v>
      </c>
    </row>
    <row r="152" spans="2:54" ht="14.4" x14ac:dyDescent="0.25">
      <c r="B152" s="3448" t="s">
        <v>138</v>
      </c>
      <c r="C152" s="3449">
        <f>AJ152/AF9</f>
        <v>0.82746878547105562</v>
      </c>
      <c r="D152" s="3449">
        <f>AK152/AJ9</f>
        <v>0.84998101025446249</v>
      </c>
      <c r="E152" s="3449">
        <f>AL152/AN9</f>
        <v>0.81333333333333335</v>
      </c>
      <c r="F152" s="3449">
        <f>AM152/AR9</f>
        <v>1.0825251601097896</v>
      </c>
      <c r="G152" s="3449">
        <f>AN152/AV9</f>
        <v>0.99688245002750775</v>
      </c>
      <c r="H152" s="3449">
        <f>AO152/AZ9</f>
        <v>1.1448879168944779</v>
      </c>
      <c r="I152" s="3449">
        <f>AP152/BD9</f>
        <v>1.235583045297435</v>
      </c>
      <c r="J152" s="3449">
        <f>AQ152/BH9</f>
        <v>1.364964820494317</v>
      </c>
      <c r="K152" s="3449">
        <f>AR152/BL9</f>
        <v>1.2495067264573991</v>
      </c>
      <c r="L152" s="3449">
        <f>AS152/BP9</f>
        <v>1.3926868044515104</v>
      </c>
      <c r="M152" s="3449">
        <f>AT152/BT9</f>
        <v>1.5140381282495667</v>
      </c>
      <c r="N152" s="3449">
        <f>AU152/BX9</f>
        <v>1.5324123273113708</v>
      </c>
      <c r="O152" s="3449">
        <f>AV152/CB9</f>
        <v>1.7164502164502164</v>
      </c>
      <c r="P152" s="3449">
        <f>AW152/CF9</f>
        <v>1.9127337488869101</v>
      </c>
      <c r="Q152" s="3449">
        <f t="shared" si="12"/>
        <v>1.7708880714661062</v>
      </c>
      <c r="R152" s="3449">
        <f t="shared" si="13"/>
        <v>1.8913274336283186</v>
      </c>
      <c r="S152" s="3449">
        <f t="shared" si="14"/>
        <v>1.8194519075765718</v>
      </c>
      <c r="T152" s="3449">
        <f t="shared" si="15"/>
        <v>1.9025191675794086</v>
      </c>
      <c r="U152" s="3449">
        <f t="shared" si="15"/>
        <v>2.0011709601873537</v>
      </c>
      <c r="AG152" s="3442" t="s">
        <v>824</v>
      </c>
      <c r="AH152" s="3489" t="s">
        <v>279</v>
      </c>
      <c r="AI152" s="3489"/>
      <c r="AJ152" s="3489">
        <v>729</v>
      </c>
      <c r="AK152" s="3489">
        <v>746</v>
      </c>
      <c r="AL152" s="3489">
        <v>732</v>
      </c>
      <c r="AM152" s="3489">
        <v>986</v>
      </c>
      <c r="AN152" s="3489">
        <v>906</v>
      </c>
      <c r="AO152" s="3489">
        <v>1047</v>
      </c>
      <c r="AP152" s="3489">
        <v>1132</v>
      </c>
      <c r="AQ152" s="3489">
        <v>1261</v>
      </c>
      <c r="AR152" s="3489">
        <v>1161</v>
      </c>
      <c r="AS152" s="3489">
        <v>1314</v>
      </c>
      <c r="AT152" s="3489">
        <v>1456</v>
      </c>
      <c r="AU152" s="3489">
        <v>1442</v>
      </c>
      <c r="AV152" s="3489">
        <v>1586</v>
      </c>
      <c r="AW152" s="3489">
        <v>1790</v>
      </c>
      <c r="AX152" s="3489">
        <v>1685</v>
      </c>
      <c r="AY152" s="3489">
        <v>1781</v>
      </c>
      <c r="AZ152" s="3489">
        <v>1693</v>
      </c>
      <c r="BA152" s="3489">
        <v>1737</v>
      </c>
      <c r="BB152" s="3489">
        <v>1709</v>
      </c>
    </row>
    <row r="153" spans="2:54" x14ac:dyDescent="0.25">
      <c r="AG153" s="3439"/>
      <c r="AH153" s="3439"/>
      <c r="AI153" s="3439"/>
      <c r="AJ153" s="3439"/>
      <c r="AK153" s="3439"/>
      <c r="AL153" s="3439"/>
      <c r="AM153" s="3439"/>
      <c r="AN153" s="3439"/>
      <c r="AO153" s="3439"/>
      <c r="AP153" s="3439"/>
      <c r="AQ153" s="3439"/>
      <c r="AR153" s="3439"/>
      <c r="AS153" s="3439"/>
      <c r="AT153" s="3439"/>
      <c r="AU153" s="3439"/>
      <c r="AV153" s="3439"/>
      <c r="AW153" s="3439"/>
      <c r="AX153" s="3439"/>
      <c r="AY153" s="3439"/>
      <c r="AZ153" s="3439"/>
      <c r="BA153" s="3439"/>
      <c r="BB153" s="3439"/>
    </row>
    <row r="154" spans="2:54" ht="14.4" x14ac:dyDescent="0.25">
      <c r="B154" s="3105" t="s">
        <v>64</v>
      </c>
      <c r="C154" s="3441"/>
      <c r="D154" s="3441"/>
      <c r="E154" s="3441"/>
      <c r="F154" s="3441"/>
      <c r="G154" s="3441"/>
      <c r="H154" s="3441"/>
      <c r="I154" s="3441"/>
      <c r="J154" s="3441">
        <f>AQ154/BH11</f>
        <v>1.6227758007117437</v>
      </c>
      <c r="K154" s="3441">
        <f>AR154/BL11</f>
        <v>3</v>
      </c>
      <c r="L154" s="3441">
        <f>AS154/BP11</f>
        <v>3.8873239436619715</v>
      </c>
      <c r="M154" s="3441">
        <f>AT154/BT11</f>
        <v>3.96</v>
      </c>
      <c r="N154" s="3441">
        <f>AU154/BX11</f>
        <v>4.7524752475247523</v>
      </c>
      <c r="O154" s="3441">
        <f>AV154/CB11</f>
        <v>4.9107142857142856</v>
      </c>
      <c r="P154" s="3441">
        <f>AW154/CF11</f>
        <v>4.241935483870968</v>
      </c>
      <c r="Q154" s="3441">
        <f t="shared" si="12"/>
        <v>3.9672131147540983</v>
      </c>
      <c r="R154" s="3441">
        <f t="shared" si="13"/>
        <v>4.8235294117647056</v>
      </c>
      <c r="S154" s="3441">
        <f t="shared" si="14"/>
        <v>4.151260504201681</v>
      </c>
      <c r="T154" s="3441">
        <f t="shared" si="15"/>
        <v>5.5294117647058822</v>
      </c>
      <c r="U154" s="3441">
        <f t="shared" si="15"/>
        <v>6.1355932203389827</v>
      </c>
      <c r="AG154" s="3439"/>
      <c r="AH154" s="3439" t="s">
        <v>471</v>
      </c>
      <c r="AI154" s="3439" t="s">
        <v>64</v>
      </c>
      <c r="AJ154" s="3439"/>
      <c r="AK154" s="3439"/>
      <c r="AL154" s="3439"/>
      <c r="AM154" s="3439"/>
      <c r="AN154" s="3439"/>
      <c r="AO154" s="3439"/>
      <c r="AP154" s="3439"/>
      <c r="AQ154" s="3488">
        <v>76</v>
      </c>
      <c r="AR154" s="3488">
        <v>130</v>
      </c>
      <c r="AS154" s="3488">
        <v>184</v>
      </c>
      <c r="AT154" s="3488">
        <v>198</v>
      </c>
      <c r="AU154" s="3488">
        <v>240</v>
      </c>
      <c r="AV154" s="3488">
        <v>275</v>
      </c>
      <c r="AW154" s="3488">
        <v>263</v>
      </c>
      <c r="AX154" s="3488">
        <v>242</v>
      </c>
      <c r="AY154" s="3488">
        <v>287</v>
      </c>
      <c r="AZ154" s="3488">
        <v>247</v>
      </c>
      <c r="BA154" s="3488">
        <v>329</v>
      </c>
      <c r="BB154" s="3488">
        <v>362</v>
      </c>
    </row>
    <row r="155" spans="2:54" ht="14.4" x14ac:dyDescent="0.25">
      <c r="B155" s="3110" t="s">
        <v>111</v>
      </c>
      <c r="C155" s="3447"/>
      <c r="D155" s="3447"/>
      <c r="E155" s="3447"/>
      <c r="F155" s="3447"/>
      <c r="G155" s="3447"/>
      <c r="H155" s="3447"/>
      <c r="I155" s="3447"/>
      <c r="J155" s="3490"/>
      <c r="K155" s="3447">
        <f>AR155/BL12</f>
        <v>0.45859872611464964</v>
      </c>
      <c r="L155" s="3447">
        <f>AS155/BP12</f>
        <v>0.92903225806451617</v>
      </c>
      <c r="M155" s="3447">
        <f>AT155/BT12</f>
        <v>1.6050955414012738</v>
      </c>
      <c r="N155" s="3447">
        <f>AU155/BX12</f>
        <v>1.8404907975460121</v>
      </c>
      <c r="O155" s="3447">
        <f>AV155/CB12</f>
        <v>2.2317073170731709</v>
      </c>
      <c r="P155" s="3447">
        <f>AW155/CF12</f>
        <v>2.2962962962962963</v>
      </c>
      <c r="Q155" s="3447">
        <f t="shared" si="12"/>
        <v>2.5882352941176472</v>
      </c>
      <c r="R155" s="3447">
        <f t="shared" si="13"/>
        <v>3.2075471698113209</v>
      </c>
      <c r="S155" s="3447">
        <f t="shared" si="14"/>
        <v>2.4363636363636365</v>
      </c>
      <c r="T155" s="3447">
        <f t="shared" si="15"/>
        <v>2.1403508771929824</v>
      </c>
      <c r="U155" s="3447">
        <f t="shared" si="15"/>
        <v>2.3728813559322033</v>
      </c>
      <c r="AG155" s="3439"/>
      <c r="AH155" s="3439" t="s">
        <v>473</v>
      </c>
      <c r="AI155" s="3439" t="s">
        <v>111</v>
      </c>
      <c r="AJ155" s="3439"/>
      <c r="AK155" s="3439"/>
      <c r="AL155" s="3439"/>
      <c r="AM155" s="3439"/>
      <c r="AN155" s="3439"/>
      <c r="AO155" s="3439"/>
      <c r="AP155" s="3439"/>
      <c r="AQ155" s="3488"/>
      <c r="AR155" s="3488">
        <v>24</v>
      </c>
      <c r="AS155" s="3488">
        <v>48</v>
      </c>
      <c r="AT155" s="3488">
        <v>84</v>
      </c>
      <c r="AU155" s="3488">
        <v>100</v>
      </c>
      <c r="AV155" s="3488">
        <v>122</v>
      </c>
      <c r="AW155" s="3488">
        <v>124</v>
      </c>
      <c r="AX155" s="3488">
        <v>132</v>
      </c>
      <c r="AY155" s="3488">
        <v>170</v>
      </c>
      <c r="AZ155" s="3488">
        <v>134</v>
      </c>
      <c r="BA155" s="3488">
        <v>122</v>
      </c>
      <c r="BB155" s="3488">
        <v>140</v>
      </c>
    </row>
    <row r="156" spans="2:54" ht="14.4" x14ac:dyDescent="0.25">
      <c r="B156" s="3110" t="s">
        <v>115</v>
      </c>
      <c r="C156" s="3447"/>
      <c r="D156" s="3447"/>
      <c r="E156" s="3447"/>
      <c r="F156" s="3447"/>
      <c r="G156" s="3447"/>
      <c r="H156" s="3447"/>
      <c r="I156" s="3447"/>
      <c r="J156" s="3490"/>
      <c r="K156" s="3447">
        <f>AR156/BL13</f>
        <v>1.1559633027522935</v>
      </c>
      <c r="L156" s="3447">
        <f>AS156/BP13</f>
        <v>2.3466666666666667</v>
      </c>
      <c r="M156" s="3447">
        <f>AT156/BT13</f>
        <v>3.103448275862069</v>
      </c>
      <c r="N156" s="3447">
        <f>AU156/BX13</f>
        <v>3.9852398523985242</v>
      </c>
      <c r="O156" s="3447">
        <f>AV156/CB13</f>
        <v>4.301075268817204</v>
      </c>
      <c r="P156" s="3447">
        <f>AW156/CF13</f>
        <v>4.1860465116279073</v>
      </c>
      <c r="Q156" s="3447">
        <f t="shared" si="12"/>
        <v>4.2574257425742577</v>
      </c>
      <c r="R156" s="3447">
        <f t="shared" si="13"/>
        <v>3.9283387622149837</v>
      </c>
      <c r="S156" s="3447">
        <f t="shared" si="14"/>
        <v>3.1419558359621451</v>
      </c>
      <c r="T156" s="3447">
        <f t="shared" si="15"/>
        <v>2.5362776025236591</v>
      </c>
      <c r="U156" s="3447">
        <f t="shared" si="15"/>
        <v>3.4313725490196076</v>
      </c>
      <c r="AG156" s="3439"/>
      <c r="AH156" s="3439" t="s">
        <v>472</v>
      </c>
      <c r="AI156" s="3439" t="s">
        <v>115</v>
      </c>
      <c r="AJ156" s="3439"/>
      <c r="AK156" s="3439"/>
      <c r="AL156" s="3439"/>
      <c r="AM156" s="3439"/>
      <c r="AN156" s="3439"/>
      <c r="AO156" s="3439"/>
      <c r="AP156" s="3439"/>
      <c r="AQ156" s="3488"/>
      <c r="AR156" s="3488">
        <v>42</v>
      </c>
      <c r="AS156" s="3488">
        <v>88</v>
      </c>
      <c r="AT156" s="3488">
        <v>135</v>
      </c>
      <c r="AU156" s="3488">
        <v>180</v>
      </c>
      <c r="AV156" s="3488">
        <v>200</v>
      </c>
      <c r="AW156" s="3488">
        <v>210</v>
      </c>
      <c r="AX156" s="3488">
        <v>215</v>
      </c>
      <c r="AY156" s="3488">
        <v>201</v>
      </c>
      <c r="AZ156" s="3488">
        <v>166</v>
      </c>
      <c r="BA156" s="3488">
        <v>134</v>
      </c>
      <c r="BB156" s="3488">
        <v>175</v>
      </c>
    </row>
    <row r="157" spans="2:54" ht="14.4" x14ac:dyDescent="0.25">
      <c r="B157" s="3459" t="s">
        <v>134</v>
      </c>
      <c r="C157" s="3460"/>
      <c r="D157" s="3460"/>
      <c r="E157" s="3460"/>
      <c r="F157" s="3460"/>
      <c r="G157" s="3460"/>
      <c r="H157" s="3460"/>
      <c r="I157" s="3460"/>
      <c r="J157" s="3460">
        <f>AQ157/BH14</f>
        <v>0.62723521320495179</v>
      </c>
      <c r="K157" s="3460">
        <f>AR157/BL14</f>
        <v>1.4848484848484849</v>
      </c>
      <c r="L157" s="3460">
        <f>AS157/BP14</f>
        <v>2.3443223443223444</v>
      </c>
      <c r="M157" s="3460">
        <f>AT157/BT14</f>
        <v>2.8594285714285714</v>
      </c>
      <c r="N157" s="3460">
        <f>AU157/BX14</f>
        <v>3.4666666666666668</v>
      </c>
      <c r="O157" s="3460">
        <f>AV157/CB14</f>
        <v>3.7985153764581128</v>
      </c>
      <c r="P157" s="3460">
        <f>AW157/CF14</f>
        <v>3.5927783350050153</v>
      </c>
      <c r="Q157" s="3460">
        <f t="shared" si="12"/>
        <v>3.6246153846153848</v>
      </c>
      <c r="R157" s="3460">
        <f t="shared" si="13"/>
        <v>4.0203665987780042</v>
      </c>
      <c r="S157" s="3460">
        <f t="shared" si="14"/>
        <v>3.2689243027888444</v>
      </c>
      <c r="T157" s="3460">
        <f t="shared" si="15"/>
        <v>3.4547244094488185</v>
      </c>
      <c r="U157" s="3460">
        <f t="shared" si="15"/>
        <v>4.0059171597633139</v>
      </c>
      <c r="AG157" s="3491" t="s">
        <v>825</v>
      </c>
      <c r="AH157" s="3491" t="s">
        <v>279</v>
      </c>
      <c r="AI157" s="3491"/>
      <c r="AJ157" s="3491"/>
      <c r="AK157" s="3491"/>
      <c r="AL157" s="3491"/>
      <c r="AM157" s="3491"/>
      <c r="AN157" s="3491"/>
      <c r="AO157" s="3491"/>
      <c r="AP157" s="3491"/>
      <c r="AQ157" s="3492">
        <f>SUM(AQ154:AQ156)</f>
        <v>76</v>
      </c>
      <c r="AR157" s="3492">
        <f t="shared" ref="AR157:AY157" si="16">SUM(AR154:AR156)</f>
        <v>196</v>
      </c>
      <c r="AS157" s="3492">
        <f t="shared" si="16"/>
        <v>320</v>
      </c>
      <c r="AT157" s="3492">
        <f t="shared" si="16"/>
        <v>417</v>
      </c>
      <c r="AU157" s="3492">
        <f t="shared" si="16"/>
        <v>520</v>
      </c>
      <c r="AV157" s="3492">
        <f t="shared" si="16"/>
        <v>597</v>
      </c>
      <c r="AW157" s="3492">
        <f t="shared" si="16"/>
        <v>597</v>
      </c>
      <c r="AX157" s="3492">
        <f t="shared" si="16"/>
        <v>589</v>
      </c>
      <c r="AY157" s="3492">
        <f t="shared" si="16"/>
        <v>658</v>
      </c>
      <c r="AZ157" s="3492">
        <f>SUM(AZ154:AZ156)</f>
        <v>547</v>
      </c>
      <c r="BA157" s="3492">
        <v>585</v>
      </c>
      <c r="BB157" s="3492">
        <v>677</v>
      </c>
    </row>
    <row r="159" spans="2:54" ht="14.4" x14ac:dyDescent="0.25">
      <c r="B159" s="3105" t="s">
        <v>59</v>
      </c>
      <c r="C159" s="3441">
        <f>AJ159/AF16</f>
        <v>3.4725274725274726</v>
      </c>
      <c r="D159" s="3441">
        <f>AK159/AJ16</f>
        <v>3.7322274881516582</v>
      </c>
      <c r="E159" s="3441">
        <f>AL159/AN16</f>
        <v>3.8288075560802834</v>
      </c>
      <c r="F159" s="3441">
        <f>AM159/AR16</f>
        <v>3.8651817116060965</v>
      </c>
      <c r="G159" s="3441">
        <f>AN159/AV16</f>
        <v>3.7071178529754958</v>
      </c>
      <c r="H159" s="3441">
        <f>AO159/AZ16</f>
        <v>3.7970674486803517</v>
      </c>
      <c r="I159" s="3441">
        <f>AP159/BD16</f>
        <v>4.0520402128917805</v>
      </c>
      <c r="J159" s="3441">
        <f>AQ159/BH16</f>
        <v>4.3738977072310403</v>
      </c>
      <c r="K159" s="3441">
        <f>AR159/BL16</f>
        <v>4.2756598240469206</v>
      </c>
      <c r="L159" s="3441">
        <f>AS159/BP16</f>
        <v>4.9119718309859151</v>
      </c>
      <c r="M159" s="3441">
        <f>AT159/BT16</f>
        <v>4.9044075558099598</v>
      </c>
      <c r="N159" s="3441">
        <f>AU159/BX16</f>
        <v>4.9358752166377817</v>
      </c>
      <c r="O159" s="3441">
        <f>AV159/CB16</f>
        <v>5.0914385556202673</v>
      </c>
      <c r="P159" s="3441">
        <f>AW159/CF16</f>
        <v>4.9779630732578921</v>
      </c>
      <c r="Q159" s="3441">
        <f t="shared" si="12"/>
        <v>4.9495548961424332</v>
      </c>
      <c r="R159" s="3441">
        <f t="shared" si="13"/>
        <v>5.1418137553256242</v>
      </c>
      <c r="S159" s="3441">
        <f t="shared" si="14"/>
        <v>4.7287201469687687</v>
      </c>
      <c r="T159" s="3441">
        <f t="shared" si="15"/>
        <v>4.7210031347962387</v>
      </c>
      <c r="U159" s="3441">
        <f t="shared" si="15"/>
        <v>5.4324324324324325</v>
      </c>
      <c r="AG159" s="3439"/>
      <c r="AH159" s="3439" t="s">
        <v>471</v>
      </c>
      <c r="AI159" s="3439" t="s">
        <v>59</v>
      </c>
      <c r="AJ159" s="3439">
        <v>948</v>
      </c>
      <c r="AK159" s="3439">
        <v>1050</v>
      </c>
      <c r="AL159" s="3439">
        <v>1081</v>
      </c>
      <c r="AM159" s="3439">
        <v>1099</v>
      </c>
      <c r="AN159" s="3439">
        <v>1059</v>
      </c>
      <c r="AO159" s="3439">
        <v>1079</v>
      </c>
      <c r="AP159" s="3439">
        <v>1142</v>
      </c>
      <c r="AQ159" s="3439">
        <v>1240</v>
      </c>
      <c r="AR159" s="3439">
        <v>1215</v>
      </c>
      <c r="AS159" s="3439">
        <v>1395</v>
      </c>
      <c r="AT159" s="3439">
        <v>1428</v>
      </c>
      <c r="AU159" s="3439">
        <v>1424</v>
      </c>
      <c r="AV159" s="3488">
        <v>1457</v>
      </c>
      <c r="AW159" s="3488">
        <v>1393</v>
      </c>
      <c r="AX159" s="3488">
        <v>1390</v>
      </c>
      <c r="AY159" s="3488">
        <v>1408</v>
      </c>
      <c r="AZ159" s="3488">
        <v>1287</v>
      </c>
      <c r="BA159" s="3488">
        <v>1255</v>
      </c>
      <c r="BB159" s="3488">
        <v>1407</v>
      </c>
    </row>
    <row r="160" spans="2:54" ht="14.4" x14ac:dyDescent="0.25">
      <c r="B160" s="3110" t="s">
        <v>64</v>
      </c>
      <c r="C160" s="3447">
        <f>AJ160/AF17</f>
        <v>3.7067901234567899</v>
      </c>
      <c r="D160" s="3447">
        <f>AK160/AJ17</f>
        <v>3.6524520255863537</v>
      </c>
      <c r="E160" s="3447">
        <f>AL160/AN17</f>
        <v>3.3736205990541248</v>
      </c>
      <c r="F160" s="3447">
        <f>AM160/AR17</f>
        <v>3.5688559322033897</v>
      </c>
      <c r="G160" s="3447">
        <f>AN160/AV17</f>
        <v>4.5432616675406399</v>
      </c>
      <c r="H160" s="3447">
        <f>AO160/AZ17</f>
        <v>4.810020876826723</v>
      </c>
      <c r="I160" s="3447">
        <f>AP160/BD17</f>
        <v>5.9025380710659903</v>
      </c>
      <c r="J160" s="3447">
        <f>AQ160/BH17</f>
        <v>5.8668730650154801</v>
      </c>
      <c r="K160" s="3447">
        <f>AR160/BL17</f>
        <v>5.85</v>
      </c>
      <c r="L160" s="3447">
        <f>AS160/BP17</f>
        <v>5.1958441558441564</v>
      </c>
      <c r="M160" s="3447">
        <f>AT160/BT17</f>
        <v>5.5963020030816644</v>
      </c>
      <c r="N160" s="3447">
        <f>AU160/BX17</f>
        <v>5.0501567398119125</v>
      </c>
      <c r="O160" s="3447">
        <f>AV160/CB17</f>
        <v>5.5179704016913327</v>
      </c>
      <c r="P160" s="3447">
        <f>AW160/CF17</f>
        <v>4.7587285044293903</v>
      </c>
      <c r="Q160" s="3447">
        <f t="shared" si="12"/>
        <v>4.5414534288638686</v>
      </c>
      <c r="R160" s="3447">
        <f t="shared" si="13"/>
        <v>4.8790149892933625</v>
      </c>
      <c r="S160" s="3447">
        <f t="shared" si="14"/>
        <v>4.7927432655305111</v>
      </c>
      <c r="T160" s="3447">
        <f t="shared" si="15"/>
        <v>4.9103369503141066</v>
      </c>
      <c r="U160" s="3447">
        <f t="shared" si="15"/>
        <v>6.5734767025089607</v>
      </c>
      <c r="AG160" s="3439"/>
      <c r="AH160" s="3439" t="s">
        <v>474</v>
      </c>
      <c r="AI160" s="3439" t="s">
        <v>64</v>
      </c>
      <c r="AJ160" s="3439">
        <v>1201</v>
      </c>
      <c r="AK160" s="3439">
        <v>1142</v>
      </c>
      <c r="AL160" s="3439">
        <v>1070</v>
      </c>
      <c r="AM160" s="3439">
        <v>1123</v>
      </c>
      <c r="AN160" s="3439">
        <v>1444</v>
      </c>
      <c r="AO160" s="3439">
        <v>1536</v>
      </c>
      <c r="AP160" s="3439">
        <v>1938</v>
      </c>
      <c r="AQ160" s="3439">
        <v>1895</v>
      </c>
      <c r="AR160" s="3439">
        <v>1872</v>
      </c>
      <c r="AS160" s="3439">
        <v>1667</v>
      </c>
      <c r="AT160" s="3439">
        <v>1816</v>
      </c>
      <c r="AU160" s="3439">
        <v>1611</v>
      </c>
      <c r="AV160" s="3488">
        <v>1740</v>
      </c>
      <c r="AW160" s="3488">
        <v>1522</v>
      </c>
      <c r="AX160" s="3488">
        <v>1479</v>
      </c>
      <c r="AY160" s="3488">
        <v>1519</v>
      </c>
      <c r="AZ160" s="3488">
        <v>1453</v>
      </c>
      <c r="BA160" s="3488">
        <v>1433</v>
      </c>
      <c r="BB160" s="3488">
        <v>1834</v>
      </c>
    </row>
    <row r="161" spans="2:76" ht="14.4" x14ac:dyDescent="0.25">
      <c r="B161" s="3110" t="s">
        <v>92</v>
      </c>
      <c r="C161" s="3447">
        <f>AJ161/AF18</f>
        <v>3.4777618364418936</v>
      </c>
      <c r="D161" s="3447">
        <f>AK161/AJ18</f>
        <v>3.342857142857143</v>
      </c>
      <c r="E161" s="3447">
        <f>AL161/AN18</f>
        <v>3.2943722943722942</v>
      </c>
      <c r="F161" s="3447">
        <f>AM161/AR18</f>
        <v>3.613684960798289</v>
      </c>
      <c r="G161" s="3447">
        <f>AN161/AV18</f>
        <v>3.8273591806876368</v>
      </c>
      <c r="H161" s="3447">
        <f>AO161/AZ18</f>
        <v>4.4295302013422821</v>
      </c>
      <c r="I161" s="3447">
        <f>AP161/BD18</f>
        <v>4.9132420091324205</v>
      </c>
      <c r="J161" s="3447">
        <f>AQ161/BH18</f>
        <v>5.1485294117647058</v>
      </c>
      <c r="K161" s="3447">
        <f>AR161/BL18</f>
        <v>5.6117647058823534</v>
      </c>
      <c r="L161" s="3447">
        <f>AS161/BP18</f>
        <v>5.8015815959741195</v>
      </c>
      <c r="M161" s="3447">
        <f>AT161/BT18</f>
        <v>5.9957953749124036</v>
      </c>
      <c r="N161" s="3447">
        <f>AU161/BX18</f>
        <v>6.0251221214235864</v>
      </c>
      <c r="O161" s="3447">
        <f>AV161/CB18</f>
        <v>5.7581653926337735</v>
      </c>
      <c r="P161" s="3447">
        <f>AW161/CF18</f>
        <v>5.590717299578059</v>
      </c>
      <c r="Q161" s="3447">
        <f t="shared" si="12"/>
        <v>5.5410764872521243</v>
      </c>
      <c r="R161" s="3447">
        <f t="shared" si="13"/>
        <v>5.5136298421807748</v>
      </c>
      <c r="S161" s="3447">
        <f t="shared" si="14"/>
        <v>5.0725689404934693</v>
      </c>
      <c r="T161" s="3447">
        <f t="shared" si="15"/>
        <v>4.351988217967599</v>
      </c>
      <c r="U161" s="3447">
        <f t="shared" si="15"/>
        <v>4.835680751173709</v>
      </c>
      <c r="AG161" s="3439"/>
      <c r="AH161" s="3439" t="s">
        <v>475</v>
      </c>
      <c r="AI161" s="3439" t="s">
        <v>92</v>
      </c>
      <c r="AJ161" s="3439">
        <v>808</v>
      </c>
      <c r="AK161" s="3439">
        <v>780</v>
      </c>
      <c r="AL161" s="3439">
        <v>761</v>
      </c>
      <c r="AM161" s="3439">
        <v>845</v>
      </c>
      <c r="AN161" s="3439">
        <v>872</v>
      </c>
      <c r="AO161" s="3439">
        <v>990</v>
      </c>
      <c r="AP161" s="3439">
        <v>1076</v>
      </c>
      <c r="AQ161" s="3439">
        <v>1167</v>
      </c>
      <c r="AR161" s="3439">
        <v>1272</v>
      </c>
      <c r="AS161" s="3439">
        <v>1345</v>
      </c>
      <c r="AT161" s="3439">
        <v>1426</v>
      </c>
      <c r="AU161" s="3439">
        <v>1439</v>
      </c>
      <c r="AV161" s="3488">
        <v>1381</v>
      </c>
      <c r="AW161" s="3488">
        <v>1325</v>
      </c>
      <c r="AX161" s="3488">
        <v>1304</v>
      </c>
      <c r="AY161" s="3488">
        <v>1281</v>
      </c>
      <c r="AZ161" s="3488">
        <v>1165</v>
      </c>
      <c r="BA161" s="3488">
        <v>985</v>
      </c>
      <c r="BB161" s="3488">
        <v>1030</v>
      </c>
    </row>
    <row r="162" spans="2:76" ht="14.4" x14ac:dyDescent="0.25">
      <c r="B162" s="3466" t="s">
        <v>135</v>
      </c>
      <c r="C162" s="3467">
        <f>AJ162/AF19</f>
        <v>3.565514469453376</v>
      </c>
      <c r="D162" s="3467">
        <f>AK162/AJ19</f>
        <v>3.5922643029814663</v>
      </c>
      <c r="E162" s="3467">
        <f>AL162/AN19</f>
        <v>3.5063214930764599</v>
      </c>
      <c r="F162" s="3467">
        <f>AM162/AR19</f>
        <v>3.6826095657394435</v>
      </c>
      <c r="G162" s="3467">
        <f>AN162/AV19</f>
        <v>4.0597433841218926</v>
      </c>
      <c r="H162" s="3467">
        <f>AO162/AZ19</f>
        <v>4.3591293833131806</v>
      </c>
      <c r="I162" s="3467">
        <f>AP162/BD19</f>
        <v>5.0122613065326638</v>
      </c>
      <c r="J162" s="3467">
        <f>AQ162/BH19</f>
        <v>5.1634326865373081</v>
      </c>
      <c r="K162" s="3467">
        <f>AR162/BL19</f>
        <v>5.2465396188565698</v>
      </c>
      <c r="L162" s="3467">
        <f>AS162/BP19</f>
        <v>5.2350029697089679</v>
      </c>
      <c r="M162" s="3467">
        <f>AT162/BT19</f>
        <v>5.4715875805506737</v>
      </c>
      <c r="N162" s="3467">
        <f>AU162/BX19</f>
        <v>5.2863332020480502</v>
      </c>
      <c r="O162" s="3467">
        <f>AV162/CB19</f>
        <v>5.441362916006339</v>
      </c>
      <c r="P162" s="3467">
        <f>AW162/CF19</f>
        <v>5.0677290836653386</v>
      </c>
      <c r="Q162" s="3467">
        <f t="shared" si="12"/>
        <v>4.9570382102553951</v>
      </c>
      <c r="R162" s="3467">
        <f t="shared" si="13"/>
        <v>5.1474006116207951</v>
      </c>
      <c r="S162" s="3467">
        <f t="shared" si="14"/>
        <v>4.8509316770186333</v>
      </c>
      <c r="T162" s="3467">
        <f t="shared" si="15"/>
        <v>4.6849489795918364</v>
      </c>
      <c r="U162" s="3467">
        <f t="shared" si="15"/>
        <v>5.6870838881491341</v>
      </c>
      <c r="AG162" s="3493" t="s">
        <v>826</v>
      </c>
      <c r="AH162" s="3493" t="s">
        <v>279</v>
      </c>
      <c r="AI162" s="3493"/>
      <c r="AJ162" s="3493">
        <v>2957</v>
      </c>
      <c r="AK162" s="3493">
        <v>2972</v>
      </c>
      <c r="AL162" s="3493">
        <v>2912</v>
      </c>
      <c r="AM162" s="3493">
        <v>3067</v>
      </c>
      <c r="AN162" s="3493">
        <v>3375</v>
      </c>
      <c r="AO162" s="3493">
        <v>3605</v>
      </c>
      <c r="AP162" s="3493">
        <v>4156</v>
      </c>
      <c r="AQ162" s="3493">
        <v>4302</v>
      </c>
      <c r="AR162" s="3493">
        <v>4359</v>
      </c>
      <c r="AS162" s="3493">
        <v>4407</v>
      </c>
      <c r="AT162" s="3493">
        <v>4670</v>
      </c>
      <c r="AU162" s="3493">
        <v>4474</v>
      </c>
      <c r="AV162" s="3493">
        <f>SUM(AV159:AV161)</f>
        <v>4578</v>
      </c>
      <c r="AW162" s="3493">
        <f>SUM(AW159:AW161)</f>
        <v>4240</v>
      </c>
      <c r="AX162" s="3493">
        <f>SUM(AX159:AX161)</f>
        <v>4173</v>
      </c>
      <c r="AY162" s="3493">
        <f>SUM(AY159:AY161)</f>
        <v>4208</v>
      </c>
      <c r="AZ162" s="3493">
        <f>SUM(AZ159:AZ161)</f>
        <v>3905</v>
      </c>
      <c r="BA162" s="3493">
        <v>3673</v>
      </c>
      <c r="BB162" s="3493">
        <v>4271</v>
      </c>
    </row>
    <row r="163" spans="2:76" x14ac:dyDescent="0.25">
      <c r="AG163" s="3494"/>
      <c r="AH163" s="3494"/>
      <c r="AI163" s="3494"/>
      <c r="AJ163" s="3494"/>
      <c r="AK163" s="3494"/>
      <c r="AL163" s="3494"/>
      <c r="AM163" s="3494"/>
      <c r="AN163" s="3494"/>
      <c r="AO163" s="3494"/>
      <c r="AP163" s="3494"/>
      <c r="AQ163" s="3494"/>
      <c r="AR163" s="3494"/>
      <c r="AS163" s="3494"/>
      <c r="AT163" s="3494"/>
      <c r="AU163" s="3494"/>
      <c r="AV163" s="3494"/>
      <c r="AW163" s="3494"/>
      <c r="AX163" s="3494"/>
      <c r="AY163" s="3494"/>
      <c r="AZ163" s="3494"/>
      <c r="BA163" s="3494"/>
      <c r="BB163" s="3494"/>
    </row>
    <row r="164" spans="2:76" ht="14.4" x14ac:dyDescent="0.25">
      <c r="B164" s="3105" t="s">
        <v>64</v>
      </c>
      <c r="C164" s="3441">
        <f>AJ169/AF26</f>
        <v>2.3473491773308957</v>
      </c>
      <c r="D164" s="3441">
        <f>AK169/AJ26</f>
        <v>2.2090656799259945</v>
      </c>
      <c r="E164" s="3441">
        <f>AL169/AN26</f>
        <v>2.4668508287292816</v>
      </c>
      <c r="F164" s="3441">
        <f>AM169/AR26</f>
        <v>2.8367838228213769</v>
      </c>
      <c r="G164" s="3441">
        <f>AN169/AV26</f>
        <v>2.9209783631232362</v>
      </c>
      <c r="H164" s="3441">
        <f>AO169/AZ26</f>
        <v>3.0786206896551724</v>
      </c>
      <c r="I164" s="3441">
        <f>AP169/BD26</f>
        <v>3.0976616231086656</v>
      </c>
      <c r="J164" s="3441">
        <f>AR169/BH26</f>
        <v>2.7545333923042903</v>
      </c>
      <c r="K164" s="3441">
        <f>AR169/BL26</f>
        <v>2.7267950963222414</v>
      </c>
      <c r="L164" s="3441">
        <f>AS169/BP26</f>
        <v>2.6238451385833703</v>
      </c>
      <c r="M164" s="3441">
        <f>AT169/BT26</f>
        <v>2.7945205479452055</v>
      </c>
      <c r="N164" s="3441">
        <f>AU169/BX26</f>
        <v>2.6574487065120427</v>
      </c>
      <c r="O164" s="3441">
        <f>AV169/CB26</f>
        <v>2.9646418857660923</v>
      </c>
      <c r="P164" s="3441">
        <f>AW169/CF26</f>
        <v>2.9836512261580381</v>
      </c>
      <c r="Q164" s="3441">
        <f>AX169/CJ26</f>
        <v>3.8400000000000003</v>
      </c>
      <c r="R164" s="3441">
        <f>AY169/CN26</f>
        <v>3.7374301675977653</v>
      </c>
      <c r="S164" s="3441">
        <f>AZ169/CR26</f>
        <v>3.946099290780142</v>
      </c>
      <c r="T164" s="3441">
        <f>BA169/CV26</f>
        <v>3.9942028985507245</v>
      </c>
      <c r="U164" s="3441">
        <f>BB169/CW26</f>
        <v>4.0092307692307694</v>
      </c>
      <c r="AG164" s="3439"/>
      <c r="AH164" s="3439" t="s">
        <v>471</v>
      </c>
      <c r="AI164" s="3439" t="s">
        <v>59</v>
      </c>
      <c r="AJ164" s="3494"/>
      <c r="AK164" s="3494"/>
      <c r="AL164" s="3494"/>
      <c r="AM164" s="3494"/>
      <c r="AN164" s="3494"/>
      <c r="AO164" s="3494"/>
      <c r="AP164" s="3494"/>
      <c r="AQ164" s="3494"/>
      <c r="AR164" s="3494"/>
      <c r="AS164" s="3494"/>
      <c r="AT164" s="3494"/>
      <c r="AU164" s="3494"/>
      <c r="AV164" s="3494"/>
      <c r="AW164" s="3494"/>
      <c r="AX164" s="3494"/>
      <c r="AY164" s="3494"/>
      <c r="AZ164" s="3494"/>
      <c r="BA164" s="3494"/>
      <c r="BB164" s="3494"/>
    </row>
    <row r="165" spans="2:76" ht="14.4" x14ac:dyDescent="0.25">
      <c r="B165" s="3110" t="s">
        <v>92</v>
      </c>
      <c r="C165" s="3447">
        <f>AJ170/AF27</f>
        <v>1.0760127446517977</v>
      </c>
      <c r="D165" s="3447">
        <f>AK170/AJ27</f>
        <v>1.4226244343891401</v>
      </c>
      <c r="E165" s="3447">
        <f>AL170/AN27</f>
        <v>1.5269784172661869</v>
      </c>
      <c r="F165" s="3447">
        <f>AM170/AR27</f>
        <v>1.8079198907601273</v>
      </c>
      <c r="G165" s="3447">
        <f>AN170/AV27</f>
        <v>1.7068014705882353</v>
      </c>
      <c r="H165" s="3447">
        <f>AO170/AZ27</f>
        <v>2.0188768286927794</v>
      </c>
      <c r="I165" s="3447">
        <f>AP170/BD27</f>
        <v>2.0448179271708682</v>
      </c>
      <c r="J165" s="3447">
        <f>AR170/BH27</f>
        <v>2.0917173607861486</v>
      </c>
      <c r="K165" s="3447">
        <f>AR170/BL27</f>
        <v>2.0542279411764706</v>
      </c>
      <c r="L165" s="3447">
        <f>AS170/BP27</f>
        <v>2.319854611540209</v>
      </c>
      <c r="M165" s="3447">
        <f>AT170/BT27</f>
        <v>2.1466666666666665</v>
      </c>
      <c r="N165" s="3447">
        <f>AU170/BX27</f>
        <v>2.3946784922394682</v>
      </c>
      <c r="O165" s="3447">
        <f>AV170/CB27</f>
        <v>2.5586238116794928</v>
      </c>
      <c r="P165" s="3447">
        <f>AW170/CF27</f>
        <v>2.625</v>
      </c>
      <c r="Q165" s="3447">
        <f>AX170/CJ27</f>
        <v>2.645756457564576</v>
      </c>
      <c r="R165" s="3447">
        <f t="shared" ref="R165:R167" si="17">AY170/CN27</f>
        <v>2.738830032243206</v>
      </c>
      <c r="S165" s="3447">
        <f t="shared" ref="S165:S167" si="18">AZ170/CR27</f>
        <v>2.71087786259542</v>
      </c>
      <c r="T165" s="3447">
        <f t="shared" ref="T165:U167" si="19">BA170/CV27</f>
        <v>2.7002909796314256</v>
      </c>
      <c r="U165" s="3447">
        <f t="shared" si="19"/>
        <v>2.6698412698412697</v>
      </c>
      <c r="AG165" s="3439"/>
      <c r="AH165" s="3439" t="s">
        <v>474</v>
      </c>
      <c r="AI165" s="3439" t="s">
        <v>64</v>
      </c>
      <c r="AJ165" s="3494"/>
      <c r="AK165" s="3495" t="s">
        <v>827</v>
      </c>
      <c r="AL165" s="3494"/>
      <c r="AM165" s="3494"/>
      <c r="AN165" s="3494"/>
      <c r="AO165" s="3494"/>
      <c r="AP165" s="3494"/>
      <c r="AQ165" s="3494"/>
      <c r="AR165" s="3494"/>
      <c r="AS165" s="3494"/>
      <c r="AT165" s="3494"/>
      <c r="AU165" s="3494"/>
      <c r="AV165" s="3494"/>
      <c r="AW165" s="3494"/>
      <c r="AX165" s="3494"/>
      <c r="AY165" s="3494"/>
      <c r="AZ165" s="3494"/>
      <c r="BA165" s="3494"/>
      <c r="BB165" s="3494"/>
    </row>
    <row r="166" spans="2:76" ht="14.4" x14ac:dyDescent="0.25">
      <c r="B166" s="3110" t="s">
        <v>68</v>
      </c>
      <c r="C166" s="3447">
        <f>AJ171/AF28</f>
        <v>1.349344978165939</v>
      </c>
      <c r="D166" s="3447">
        <f>AK171/AJ28</f>
        <v>1.2953020134228188</v>
      </c>
      <c r="E166" s="3447">
        <f>AL171/AN28</f>
        <v>1.4951245937161428</v>
      </c>
      <c r="F166" s="3447">
        <f>AM171/AR28</f>
        <v>1.5065217391304346</v>
      </c>
      <c r="G166" s="3447">
        <f>AN171/AV28</f>
        <v>1.5589519650655024</v>
      </c>
      <c r="H166" s="3447">
        <f>AO171/AZ28</f>
        <v>2.2255005268703902</v>
      </c>
      <c r="I166" s="3447">
        <f>AP171/BD28</f>
        <v>2.1172774869109947</v>
      </c>
      <c r="J166" s="3447">
        <f>AR171/BH28</f>
        <v>2.0721649484536084</v>
      </c>
      <c r="K166" s="3447">
        <f>AR171/BL28</f>
        <v>2.1025104602510458</v>
      </c>
      <c r="L166" s="3447">
        <f>AS171/BP28</f>
        <v>2.713536201469045</v>
      </c>
      <c r="M166" s="3447">
        <f>AT171/BT28</f>
        <v>2.2889114954221768</v>
      </c>
      <c r="N166" s="3447">
        <f>AU171/BX28</f>
        <v>2.7204968944099379</v>
      </c>
      <c r="O166" s="3447">
        <f>AV171/CB28</f>
        <v>2.3101265822784809</v>
      </c>
      <c r="P166" s="3447">
        <f>AW171/CF28</f>
        <v>2.8168701442841289</v>
      </c>
      <c r="Q166" s="3447">
        <f>AX171/CJ28</f>
        <v>2.3310810810810811</v>
      </c>
      <c r="R166" s="3447">
        <f t="shared" si="17"/>
        <v>2.4635761589403975</v>
      </c>
      <c r="S166" s="3447">
        <f t="shared" si="18"/>
        <v>2.2197309417040358</v>
      </c>
      <c r="T166" s="3447">
        <f t="shared" si="19"/>
        <v>2.7173666288308738</v>
      </c>
      <c r="U166" s="3447">
        <f t="shared" si="19"/>
        <v>2.6589147286821704</v>
      </c>
      <c r="AG166" s="3439"/>
      <c r="AH166" s="3439" t="s">
        <v>475</v>
      </c>
      <c r="AI166" s="3439" t="s">
        <v>92</v>
      </c>
      <c r="AJ166" s="3494"/>
      <c r="AK166" s="3494"/>
      <c r="AL166" s="3494"/>
      <c r="AM166" s="3494"/>
      <c r="AN166" s="3494"/>
      <c r="AO166" s="3494"/>
      <c r="AP166" s="3494"/>
      <c r="AQ166" s="3494"/>
      <c r="AR166" s="3494"/>
      <c r="AS166" s="3494"/>
      <c r="AT166" s="3494"/>
      <c r="AU166" s="3494"/>
      <c r="AV166" s="3494"/>
      <c r="AW166" s="3494"/>
      <c r="AX166" s="3488">
        <v>3</v>
      </c>
      <c r="AY166" s="3488">
        <v>9</v>
      </c>
      <c r="AZ166" s="3488">
        <v>21</v>
      </c>
      <c r="BA166" s="3488">
        <v>27</v>
      </c>
      <c r="BB166" s="3488">
        <v>39</v>
      </c>
    </row>
    <row r="167" spans="2:76" ht="14.4" x14ac:dyDescent="0.25">
      <c r="B167" s="3480" t="s">
        <v>137</v>
      </c>
      <c r="C167" s="3481">
        <f>AJ172/AF29</f>
        <v>1.6479909451046972</v>
      </c>
      <c r="D167" s="3481">
        <f>AK172/AJ29</f>
        <v>1.7238890998860616</v>
      </c>
      <c r="E167" s="3481">
        <f>AL172/AN29</f>
        <v>1.9052453468697124</v>
      </c>
      <c r="F167" s="3481">
        <f>AM172/AR29</f>
        <v>2.1659607239122063</v>
      </c>
      <c r="G167" s="3481">
        <f>AN172/AV29</f>
        <v>2.1755461862782677</v>
      </c>
      <c r="H167" s="3481">
        <f>AO172/AZ29</f>
        <v>2.4958992942971578</v>
      </c>
      <c r="I167" s="3481">
        <f>AP172/BD29</f>
        <v>2.4929897688518379</v>
      </c>
      <c r="J167" s="3481">
        <f>AR172/BH29</f>
        <v>2.3673621460506706</v>
      </c>
      <c r="K167" s="3481">
        <f>AR172/BL29</f>
        <v>2.346381093057607</v>
      </c>
      <c r="L167" s="3481">
        <f>AS172/BP29</f>
        <v>2.5163073521282477</v>
      </c>
      <c r="M167" s="3481">
        <f>AT172/BT29</f>
        <v>2.4388646288209608</v>
      </c>
      <c r="N167" s="3481">
        <f>AU172/BX29</f>
        <v>2.5601317957166394</v>
      </c>
      <c r="O167" s="3481">
        <f>AV172/CB29</f>
        <v>2.6817079992541486</v>
      </c>
      <c r="P167" s="3481">
        <f>AW172/CF29</f>
        <v>2.8067988668555239</v>
      </c>
      <c r="Q167" s="3481">
        <f>AX172/CJ29</f>
        <v>3.0960045445938271</v>
      </c>
      <c r="R167" s="3481">
        <f t="shared" si="17"/>
        <v>3.1016267942583733</v>
      </c>
      <c r="S167" s="3481">
        <f t="shared" si="18"/>
        <v>3.1369782480893593</v>
      </c>
      <c r="T167" s="3481">
        <f t="shared" si="19"/>
        <v>3.2375822860562535</v>
      </c>
      <c r="U167" s="3481">
        <f t="shared" si="19"/>
        <v>3.2340702210663199</v>
      </c>
      <c r="AG167" s="3495" t="s">
        <v>828</v>
      </c>
      <c r="AH167" s="3495" t="s">
        <v>279</v>
      </c>
      <c r="AI167" s="3495"/>
      <c r="AJ167" s="3495"/>
      <c r="AK167" s="3495"/>
      <c r="AL167" s="3495"/>
      <c r="AM167" s="3495"/>
      <c r="AN167" s="3495"/>
      <c r="AO167" s="3495"/>
      <c r="AP167" s="3495"/>
      <c r="AQ167" s="3495"/>
      <c r="AR167" s="3495"/>
      <c r="AS167" s="3495"/>
      <c r="AT167" s="3495"/>
      <c r="AU167" s="3495"/>
      <c r="AV167" s="3495"/>
      <c r="AW167" s="3495"/>
      <c r="AX167" s="3495">
        <f>SUM(AX164:AX166)</f>
        <v>3</v>
      </c>
      <c r="AY167" s="3495">
        <f>SUM(AY164:AY166)</f>
        <v>9</v>
      </c>
      <c r="AZ167" s="3495">
        <f>SUM(AZ164:AZ166)</f>
        <v>21</v>
      </c>
      <c r="BA167" s="3495">
        <v>27</v>
      </c>
      <c r="BB167" s="3495">
        <v>39</v>
      </c>
    </row>
    <row r="168" spans="2:76" x14ac:dyDescent="0.25">
      <c r="AG168" s="3439"/>
      <c r="AH168" s="3439"/>
      <c r="AI168" s="3439"/>
      <c r="AJ168" s="3439"/>
      <c r="AK168" s="3439"/>
      <c r="AL168" s="3439"/>
      <c r="AM168" s="3439"/>
      <c r="AN168" s="3439"/>
      <c r="AO168" s="3439"/>
      <c r="AP168" s="3439"/>
      <c r="AQ168" s="3439"/>
      <c r="AR168" s="3439"/>
      <c r="AS168" s="3439"/>
      <c r="AT168" s="3439"/>
      <c r="AU168" s="3439"/>
      <c r="AV168" s="3439"/>
      <c r="AW168" s="3439"/>
      <c r="AX168" s="3439"/>
      <c r="AY168" s="3439"/>
      <c r="AZ168" s="3439"/>
      <c r="BA168" s="3439"/>
      <c r="BB168" s="3439"/>
    </row>
    <row r="169" spans="2:76" ht="14.4" x14ac:dyDescent="0.25">
      <c r="B169" s="3155" t="s">
        <v>7</v>
      </c>
      <c r="C169" s="3496">
        <f>AJ174/AF31</f>
        <v>1.9823941399473108</v>
      </c>
      <c r="D169" s="3496">
        <f>AK174/AJ31</f>
        <v>2.0152818800565044</v>
      </c>
      <c r="E169" s="3496">
        <f>AL174/AN31</f>
        <v>2.0208412277377796</v>
      </c>
      <c r="F169" s="3496">
        <f>AM174/AR31</f>
        <v>2.2270365036628887</v>
      </c>
      <c r="G169" s="3496">
        <f>AN174/AV31</f>
        <v>2.3026422132421511</v>
      </c>
      <c r="H169" s="3496">
        <f>AO174/AZ31</f>
        <v>2.5308969689487002</v>
      </c>
      <c r="I169" s="3496">
        <f>AP174/BD31</f>
        <v>2.7307902901989416</v>
      </c>
      <c r="J169" s="3496">
        <f>AR174/BH31</f>
        <v>2.8673646425366437</v>
      </c>
      <c r="K169" s="3496">
        <f>AR174/BL31</f>
        <v>2.8359763313609467</v>
      </c>
      <c r="L169" s="3496">
        <f>AS174/BP31</f>
        <v>2.9950951769239751</v>
      </c>
      <c r="M169" s="3496">
        <f>AT174/BT31</f>
        <v>3.1098523858565055</v>
      </c>
      <c r="N169" s="3482">
        <f>AU174/BX31</f>
        <v>3.0337389699521307</v>
      </c>
      <c r="O169" s="3496">
        <f>AV174/CB31</f>
        <v>3.1894590201996746</v>
      </c>
      <c r="P169" s="3482">
        <f>AW174/CF31</f>
        <v>3.1521726585492527</v>
      </c>
      <c r="Q169" s="3482">
        <f>AX174/CJ31</f>
        <v>3.1550894085281982</v>
      </c>
      <c r="R169" s="3482">
        <f>AY174/CN31</f>
        <v>3.2629315355108686</v>
      </c>
      <c r="S169" s="3482">
        <f>AZ174/CR31</f>
        <v>3.123394225103123</v>
      </c>
      <c r="T169" s="3482">
        <f>BA174/CV31</f>
        <v>3.1439207445211648</v>
      </c>
      <c r="U169" s="3482">
        <f>BB174/CW31</f>
        <v>3.5143513203214698</v>
      </c>
      <c r="AG169" s="3439"/>
      <c r="AH169" s="3439" t="s">
        <v>470</v>
      </c>
      <c r="AI169" s="3439" t="s">
        <v>64</v>
      </c>
      <c r="AJ169" s="3439">
        <v>856</v>
      </c>
      <c r="AK169" s="3439">
        <v>796</v>
      </c>
      <c r="AL169" s="3439">
        <v>893</v>
      </c>
      <c r="AM169" s="3439">
        <v>982</v>
      </c>
      <c r="AN169" s="3439">
        <v>1035</v>
      </c>
      <c r="AO169" s="3439">
        <v>1116</v>
      </c>
      <c r="AP169" s="3439">
        <v>1126</v>
      </c>
      <c r="AQ169" s="3439">
        <v>1033</v>
      </c>
      <c r="AR169" s="3439">
        <v>1038</v>
      </c>
      <c r="AS169" s="3439">
        <v>994</v>
      </c>
      <c r="AT169" s="3439">
        <v>1054</v>
      </c>
      <c r="AU169" s="3439">
        <v>993</v>
      </c>
      <c r="AV169" s="3488">
        <v>1090</v>
      </c>
      <c r="AW169" s="3488">
        <v>1095</v>
      </c>
      <c r="AX169" s="3488">
        <v>1424</v>
      </c>
      <c r="AY169" s="3488">
        <v>1338</v>
      </c>
      <c r="AZ169" s="3488">
        <v>1391</v>
      </c>
      <c r="BA169" s="3488">
        <v>1378</v>
      </c>
      <c r="BB169" s="3488">
        <v>1303</v>
      </c>
    </row>
    <row r="170" spans="2:76" x14ac:dyDescent="0.25">
      <c r="AG170" s="3439"/>
      <c r="AH170" s="3439" t="s">
        <v>471</v>
      </c>
      <c r="AI170" s="3439" t="s">
        <v>92</v>
      </c>
      <c r="AJ170" s="3439">
        <v>394</v>
      </c>
      <c r="AK170" s="3439">
        <v>524</v>
      </c>
      <c r="AL170" s="3439">
        <v>566</v>
      </c>
      <c r="AM170" s="3439">
        <v>662</v>
      </c>
      <c r="AN170" s="3439">
        <v>619</v>
      </c>
      <c r="AO170" s="3439">
        <v>713</v>
      </c>
      <c r="AP170" s="3439">
        <v>730</v>
      </c>
      <c r="AQ170" s="3439">
        <v>734</v>
      </c>
      <c r="AR170" s="3439">
        <v>745</v>
      </c>
      <c r="AS170" s="3439">
        <v>851</v>
      </c>
      <c r="AT170" s="3439">
        <v>805</v>
      </c>
      <c r="AU170" s="3439">
        <v>900</v>
      </c>
      <c r="AV170" s="3488">
        <v>942</v>
      </c>
      <c r="AW170" s="3488">
        <v>959</v>
      </c>
      <c r="AX170" s="3488">
        <v>956</v>
      </c>
      <c r="AY170" s="3488">
        <v>991</v>
      </c>
      <c r="AZ170" s="3488">
        <v>947</v>
      </c>
      <c r="BA170" s="3488">
        <v>928</v>
      </c>
      <c r="BB170" s="3488">
        <v>841</v>
      </c>
      <c r="BF170" s="3439"/>
      <c r="BG170" s="3439"/>
      <c r="BH170" s="3439"/>
      <c r="BI170" s="3439"/>
      <c r="BJ170" s="3439"/>
      <c r="BK170" s="3439"/>
      <c r="BL170" s="3439"/>
      <c r="BM170" s="3439"/>
      <c r="BN170" s="3439"/>
      <c r="BO170" s="3439"/>
      <c r="BP170" s="3439"/>
      <c r="BQ170" s="3439"/>
      <c r="BR170" s="3439"/>
      <c r="BS170" s="3439"/>
      <c r="BT170" s="3439"/>
      <c r="BU170" s="3439"/>
      <c r="BV170" s="3439"/>
      <c r="BW170" s="3439"/>
      <c r="BX170" s="3439"/>
    </row>
    <row r="171" spans="2:76" ht="14.4" x14ac:dyDescent="0.25">
      <c r="B171" s="328" t="s">
        <v>814</v>
      </c>
      <c r="C171" s="328" t="s">
        <v>815</v>
      </c>
      <c r="AG171" s="3439"/>
      <c r="AH171" s="3439" t="s">
        <v>473</v>
      </c>
      <c r="AI171" s="3439" t="s">
        <v>68</v>
      </c>
      <c r="AJ171" s="3439">
        <v>206</v>
      </c>
      <c r="AK171" s="3439">
        <v>193</v>
      </c>
      <c r="AL171" s="3439">
        <v>230</v>
      </c>
      <c r="AM171" s="3439">
        <v>231</v>
      </c>
      <c r="AN171" s="3439">
        <v>238</v>
      </c>
      <c r="AO171" s="3439">
        <v>352</v>
      </c>
      <c r="AP171" s="3439">
        <v>337</v>
      </c>
      <c r="AQ171" s="3439">
        <v>423</v>
      </c>
      <c r="AR171" s="3439">
        <v>335</v>
      </c>
      <c r="AS171" s="3439">
        <v>431</v>
      </c>
      <c r="AT171" s="3439">
        <v>375</v>
      </c>
      <c r="AU171" s="3439">
        <v>438</v>
      </c>
      <c r="AV171" s="3488">
        <v>365</v>
      </c>
      <c r="AW171" s="3488">
        <v>423</v>
      </c>
      <c r="AX171" s="3488">
        <v>345</v>
      </c>
      <c r="AY171" s="3488">
        <v>372</v>
      </c>
      <c r="AZ171" s="3488">
        <v>330</v>
      </c>
      <c r="BA171" s="3488">
        <v>399</v>
      </c>
      <c r="BB171" s="3488">
        <v>343</v>
      </c>
      <c r="BF171" s="3439"/>
      <c r="BG171" s="3439"/>
      <c r="BH171" s="3439"/>
      <c r="BI171" s="3439"/>
      <c r="BJ171" s="3439"/>
      <c r="BK171" s="3439"/>
      <c r="BL171" s="3439"/>
      <c r="BM171" s="3439"/>
      <c r="BN171" s="3439"/>
      <c r="BO171" s="3439"/>
      <c r="BP171" s="3439"/>
      <c r="BQ171" s="3439"/>
      <c r="BR171" s="3439"/>
      <c r="BS171" s="3439"/>
      <c r="BT171" s="3439"/>
      <c r="BU171" s="3439"/>
      <c r="BV171" s="3439"/>
      <c r="BW171" s="3439"/>
      <c r="BX171" s="3439"/>
    </row>
    <row r="172" spans="2:76" ht="14.4" x14ac:dyDescent="0.3">
      <c r="B172" s="3434"/>
      <c r="C172" s="328" t="s">
        <v>816</v>
      </c>
      <c r="AG172" s="3497" t="s">
        <v>829</v>
      </c>
      <c r="AH172" s="3497" t="s">
        <v>279</v>
      </c>
      <c r="AI172" s="3497"/>
      <c r="AJ172" s="3497">
        <v>1456</v>
      </c>
      <c r="AK172" s="3497">
        <v>1513</v>
      </c>
      <c r="AL172" s="3497">
        <v>1689</v>
      </c>
      <c r="AM172" s="3497">
        <v>1875</v>
      </c>
      <c r="AN172" s="3497">
        <v>1892</v>
      </c>
      <c r="AO172" s="3497">
        <v>2181</v>
      </c>
      <c r="AP172" s="3497">
        <v>2193</v>
      </c>
      <c r="AQ172" s="3497">
        <v>2190</v>
      </c>
      <c r="AR172" s="3497">
        <v>2118</v>
      </c>
      <c r="AS172" s="3497">
        <v>2276</v>
      </c>
      <c r="AT172" s="3497">
        <v>2234</v>
      </c>
      <c r="AU172" s="3497">
        <v>2331</v>
      </c>
      <c r="AV172" s="3497">
        <v>2397</v>
      </c>
      <c r="AW172" s="3498">
        <f>SUM(AW169:AW171)</f>
        <v>2477</v>
      </c>
      <c r="AX172" s="3498">
        <f>SUM(AX169:AX171)</f>
        <v>2725</v>
      </c>
      <c r="AY172" s="3498">
        <f>SUM(AY169:AY171)</f>
        <v>2701</v>
      </c>
      <c r="AZ172" s="3498">
        <f>SUM(AZ169:AZ171)</f>
        <v>2668</v>
      </c>
      <c r="BA172" s="3498">
        <v>2705</v>
      </c>
      <c r="BB172" s="3498">
        <v>2487</v>
      </c>
      <c r="BF172" s="3439"/>
      <c r="BG172" s="3439"/>
      <c r="BH172" s="3439"/>
      <c r="BI172" s="3439"/>
      <c r="BJ172" s="3439"/>
      <c r="BK172" s="3439"/>
      <c r="BL172" s="3439"/>
      <c r="BM172" s="3439"/>
      <c r="BN172" s="3439"/>
      <c r="BO172" s="3439"/>
      <c r="BP172" s="3439"/>
      <c r="BQ172" s="3439"/>
      <c r="BR172" s="3439"/>
      <c r="BS172" s="3439"/>
      <c r="BT172" s="3439"/>
      <c r="BU172" s="3439"/>
      <c r="BV172" s="3439"/>
      <c r="BW172" s="3439"/>
      <c r="BX172" s="3439"/>
    </row>
    <row r="173" spans="2:76" ht="14.4" x14ac:dyDescent="0.3">
      <c r="B173" s="3434"/>
      <c r="C173" s="328" t="s">
        <v>817</v>
      </c>
      <c r="AG173" s="3439"/>
      <c r="AH173" s="3439"/>
      <c r="AI173" s="3439"/>
      <c r="AJ173" s="3439"/>
      <c r="AK173" s="3439"/>
      <c r="AL173" s="3439"/>
      <c r="AM173" s="3439"/>
      <c r="AN173" s="3439"/>
      <c r="AO173" s="3439"/>
      <c r="AP173" s="3439"/>
      <c r="AQ173" s="3439"/>
      <c r="AR173" s="3439"/>
      <c r="AS173" s="3439"/>
      <c r="AT173" s="3439"/>
      <c r="AU173" s="3439"/>
      <c r="AV173" s="3439"/>
      <c r="AW173" s="3439"/>
      <c r="AX173" s="3439"/>
      <c r="AY173" s="3439"/>
      <c r="AZ173" s="3439"/>
      <c r="BA173" s="3439"/>
      <c r="BB173" s="3439"/>
      <c r="BF173" s="3439"/>
      <c r="BG173" s="3439"/>
      <c r="BH173" s="3439"/>
      <c r="BI173" s="3439"/>
      <c r="BJ173" s="3439"/>
      <c r="BK173" s="3439"/>
      <c r="BL173" s="3439"/>
      <c r="BM173" s="3439"/>
      <c r="BN173" s="3439"/>
      <c r="BO173" s="3439"/>
      <c r="BP173" s="3439"/>
      <c r="BQ173" s="3439"/>
      <c r="BR173" s="3439"/>
      <c r="BS173" s="3439"/>
      <c r="BT173" s="3439"/>
      <c r="BU173" s="3439"/>
      <c r="BV173" s="3439"/>
      <c r="BW173" s="3439"/>
      <c r="BX173" s="3439"/>
    </row>
    <row r="174" spans="2:76" x14ac:dyDescent="0.25">
      <c r="AG174" s="3494" t="s">
        <v>7</v>
      </c>
      <c r="AH174" s="3494" t="s">
        <v>279</v>
      </c>
      <c r="AI174" s="3494"/>
      <c r="AJ174" s="3494">
        <v>5142</v>
      </c>
      <c r="AK174" s="3494">
        <v>5231</v>
      </c>
      <c r="AL174" s="3494">
        <v>5333</v>
      </c>
      <c r="AM174" s="3494">
        <v>5928</v>
      </c>
      <c r="AN174" s="3494">
        <v>6173</v>
      </c>
      <c r="AO174" s="3494">
        <v>6833</v>
      </c>
      <c r="AP174" s="3494">
        <v>7481</v>
      </c>
      <c r="AQ174" s="3494">
        <v>7905</v>
      </c>
      <c r="AR174" s="3494">
        <v>7988</v>
      </c>
      <c r="AS174" s="3494">
        <v>8549</v>
      </c>
      <c r="AT174" s="3494">
        <v>9059</v>
      </c>
      <c r="AU174" s="3494">
        <f>SUM(AU152,AU157,AU162,AU172)</f>
        <v>8767</v>
      </c>
      <c r="AV174" s="3494">
        <f>SUM(AV152,AV157,AV162,AV172)</f>
        <v>9158</v>
      </c>
      <c r="AW174" s="3494">
        <f>SUM(AW152,AW157,AW162,AW172)</f>
        <v>9104</v>
      </c>
      <c r="AX174" s="3499">
        <f>SUM(AX152,AX157,AX162,AX167,AX172)</f>
        <v>9175</v>
      </c>
      <c r="AY174" s="3499">
        <f>SUM(AY152,AY157,AY162,AY167,AY172)</f>
        <v>9357</v>
      </c>
      <c r="AZ174" s="3499">
        <f>SUM(AZ152,AZ157,AZ162,AZ167,AZ172)</f>
        <v>8834</v>
      </c>
      <c r="BA174" s="3499">
        <f>SUM(BA152,BA157,BA162,BA167,BA172)</f>
        <v>8727</v>
      </c>
      <c r="BB174" s="3499">
        <v>9183</v>
      </c>
      <c r="BF174" s="3439"/>
      <c r="BG174" s="3439"/>
      <c r="BH174" s="3439"/>
      <c r="BI174" s="3439"/>
      <c r="BJ174" s="3439"/>
      <c r="BK174" s="3439"/>
      <c r="BL174" s="3439"/>
      <c r="BM174" s="3439"/>
      <c r="BN174" s="3439"/>
      <c r="BO174" s="3439"/>
      <c r="BP174" s="3439"/>
      <c r="BQ174" s="3439"/>
      <c r="BR174" s="3439"/>
      <c r="BS174" s="3439"/>
      <c r="BT174" s="3439"/>
      <c r="BU174" s="3439"/>
      <c r="BV174" s="3439"/>
      <c r="BW174" s="3439"/>
      <c r="BX174" s="3439"/>
    </row>
    <row r="175" spans="2:76" x14ac:dyDescent="0.25">
      <c r="AR175" s="3439"/>
      <c r="AS175" s="3439"/>
      <c r="AT175" s="3439"/>
      <c r="AU175" s="3439"/>
      <c r="AV175" s="3439"/>
      <c r="AW175" s="3439"/>
      <c r="AX175" s="3439"/>
      <c r="AY175" s="3439"/>
      <c r="AZ175" s="3439"/>
      <c r="BE175" s="3439"/>
      <c r="BF175" s="3439"/>
      <c r="BG175" s="3439"/>
      <c r="BH175" s="3439"/>
      <c r="BI175" s="3439"/>
      <c r="BJ175" s="3439"/>
      <c r="BK175" s="3439"/>
      <c r="BL175" s="3439"/>
      <c r="BM175" s="3439"/>
      <c r="BN175" s="3439"/>
      <c r="BO175" s="3439"/>
      <c r="BP175" s="3439"/>
      <c r="BQ175" s="3439"/>
      <c r="BR175" s="3439"/>
      <c r="BS175" s="3439"/>
      <c r="BT175" s="3439"/>
      <c r="BU175" s="3439"/>
      <c r="BV175" s="3439"/>
      <c r="BW175" s="3439"/>
      <c r="BX175" s="3439"/>
    </row>
    <row r="176" spans="2:76" x14ac:dyDescent="0.25">
      <c r="AR176" s="3439"/>
      <c r="AS176" s="3439"/>
      <c r="AT176" s="3439"/>
      <c r="AU176" s="3439"/>
      <c r="AV176" s="3439"/>
      <c r="AW176" s="3439"/>
      <c r="AX176" s="3439"/>
      <c r="AY176" s="3439"/>
      <c r="AZ176" s="3439"/>
      <c r="BA176" s="3439"/>
      <c r="BE176" s="3439"/>
      <c r="BF176" s="3439"/>
      <c r="BG176" s="3439"/>
      <c r="BH176" s="3439"/>
      <c r="BI176" s="3439"/>
      <c r="BJ176" s="3439"/>
      <c r="BK176" s="3439"/>
      <c r="BL176" s="3439"/>
      <c r="BM176" s="3439"/>
      <c r="BN176" s="3439"/>
      <c r="BO176" s="3439"/>
      <c r="BP176" s="3439"/>
      <c r="BQ176" s="3439"/>
      <c r="BR176" s="3439"/>
      <c r="BS176" s="3439"/>
      <c r="BT176" s="3439"/>
      <c r="BU176" s="3439"/>
      <c r="BV176" s="3439"/>
      <c r="BW176" s="3439"/>
      <c r="BX176" s="3439"/>
    </row>
    <row r="177" spans="29:76" x14ac:dyDescent="0.25">
      <c r="AR177" s="3439"/>
      <c r="AS177" s="3439"/>
      <c r="AT177" s="3439"/>
      <c r="AU177" s="3439"/>
      <c r="AV177" s="3439"/>
      <c r="AW177" s="3439"/>
      <c r="AX177" s="3439"/>
      <c r="AY177" s="3439"/>
      <c r="AZ177" s="3439"/>
      <c r="BA177" s="3439"/>
      <c r="BE177" s="3439"/>
      <c r="BF177" s="3439"/>
      <c r="BG177" s="3439"/>
      <c r="BH177" s="3439"/>
      <c r="BI177" s="3439"/>
      <c r="BJ177" s="3439"/>
      <c r="BK177" s="3439"/>
      <c r="BL177" s="3439"/>
      <c r="BM177" s="3439"/>
      <c r="BN177" s="3439"/>
      <c r="BO177" s="3439"/>
      <c r="BP177" s="3439"/>
      <c r="BQ177" s="3439"/>
      <c r="BR177" s="3439"/>
      <c r="BS177" s="3439"/>
      <c r="BT177" s="3439"/>
      <c r="BU177" s="3439"/>
      <c r="BV177" s="3439"/>
      <c r="BW177" s="3439"/>
      <c r="BX177" s="3439"/>
    </row>
    <row r="178" spans="29:76" x14ac:dyDescent="0.25">
      <c r="AC178" s="3439"/>
      <c r="AD178" s="3439"/>
      <c r="AE178" s="3439"/>
      <c r="AF178" s="3439"/>
      <c r="AG178" s="3439"/>
      <c r="AH178" s="3439"/>
      <c r="AI178" s="3439"/>
      <c r="AJ178" s="3439"/>
      <c r="AK178" s="3439"/>
      <c r="AL178" s="3439"/>
      <c r="AM178" s="3439"/>
      <c r="AN178" s="3439"/>
      <c r="AO178" s="3439"/>
      <c r="AP178" s="3439"/>
      <c r="AQ178" s="3439"/>
      <c r="AR178" s="3439"/>
      <c r="AS178" s="3439"/>
      <c r="AT178" s="3439"/>
      <c r="AU178" s="3439"/>
      <c r="AV178" s="3439"/>
      <c r="AW178" s="3439"/>
      <c r="AX178" s="3439"/>
      <c r="AY178" s="3439"/>
      <c r="AZ178" s="3439"/>
      <c r="BA178" s="3439"/>
      <c r="BC178" s="3439"/>
      <c r="BE178" s="3439"/>
      <c r="BF178" s="3439"/>
      <c r="BG178" s="3439"/>
      <c r="BH178" s="3439"/>
      <c r="BI178" s="3439"/>
      <c r="BJ178" s="3439"/>
      <c r="BK178" s="3439"/>
      <c r="BL178" s="3439"/>
      <c r="BM178" s="3439"/>
      <c r="BN178" s="3439"/>
      <c r="BO178" s="3439"/>
      <c r="BP178" s="3439"/>
      <c r="BQ178" s="3439"/>
      <c r="BR178" s="3439"/>
      <c r="BS178" s="3439"/>
      <c r="BT178" s="3439"/>
      <c r="BU178" s="3439"/>
      <c r="BV178" s="3439"/>
      <c r="BW178" s="3439"/>
      <c r="BX178" s="3439"/>
    </row>
    <row r="179" spans="29:76" x14ac:dyDescent="0.25">
      <c r="AR179" s="3439"/>
      <c r="AS179" s="3439"/>
      <c r="AT179" s="3439"/>
      <c r="AU179" s="3439"/>
      <c r="AV179" s="3439"/>
      <c r="AW179" s="3439"/>
      <c r="AX179" s="3439"/>
      <c r="AY179" s="3439"/>
      <c r="AZ179" s="3439"/>
      <c r="BA179" s="3439"/>
      <c r="BB179" s="3439"/>
      <c r="BC179" s="3439"/>
      <c r="BE179" s="3439"/>
      <c r="BF179" s="3439"/>
      <c r="BG179" s="3439"/>
      <c r="BH179" s="3439"/>
      <c r="BI179" s="3439"/>
      <c r="BJ179" s="3439"/>
      <c r="BK179" s="3439"/>
      <c r="BL179" s="3439"/>
      <c r="BM179" s="3439"/>
      <c r="BN179" s="3439"/>
      <c r="BO179" s="3439"/>
      <c r="BP179" s="3439"/>
      <c r="BQ179" s="3439"/>
      <c r="BR179" s="3439"/>
      <c r="BS179" s="3439"/>
      <c r="BT179" s="3439"/>
      <c r="BU179" s="3439"/>
      <c r="BV179" s="3439"/>
      <c r="BW179" s="3439"/>
      <c r="BX179" s="3439"/>
    </row>
    <row r="180" spans="29:76" x14ac:dyDescent="0.25">
      <c r="AR180" s="3439"/>
      <c r="AS180" s="3439"/>
      <c r="AT180" s="3439"/>
      <c r="AU180" s="3439"/>
      <c r="AV180" s="3439"/>
      <c r="AW180" s="3439"/>
      <c r="AX180" s="3439"/>
      <c r="AY180" s="3439"/>
      <c r="AZ180" s="3439"/>
      <c r="BA180" s="3439"/>
      <c r="BB180" s="3439"/>
      <c r="BC180" s="3439"/>
      <c r="BE180" s="3439"/>
      <c r="BF180" s="3439"/>
      <c r="BG180" s="3439"/>
      <c r="BH180" s="3439"/>
      <c r="BI180" s="3439"/>
      <c r="BJ180" s="3439"/>
      <c r="BK180" s="3439"/>
      <c r="BL180" s="3439"/>
      <c r="BM180" s="3439"/>
      <c r="BN180" s="3439"/>
      <c r="BO180" s="3439"/>
      <c r="BP180" s="3439"/>
      <c r="BQ180" s="3439"/>
      <c r="BR180" s="3439"/>
      <c r="BS180" s="3439"/>
      <c r="BT180" s="3439"/>
      <c r="BU180" s="3439"/>
      <c r="BV180" s="3439"/>
      <c r="BW180" s="3439"/>
      <c r="BX180" s="3439"/>
    </row>
    <row r="181" spans="29:76" x14ac:dyDescent="0.25">
      <c r="AR181" s="3439"/>
      <c r="AS181" s="3439"/>
      <c r="AT181" s="3439"/>
      <c r="AU181" s="3439"/>
      <c r="AV181" s="3439"/>
      <c r="AW181" s="3439"/>
      <c r="AX181" s="3439"/>
      <c r="AY181" s="3439"/>
      <c r="AZ181" s="3439"/>
      <c r="BA181" s="3439"/>
      <c r="BB181" s="3439"/>
      <c r="BC181" s="3439"/>
      <c r="BE181" s="3439"/>
      <c r="BF181" s="3439"/>
      <c r="BG181" s="3439"/>
      <c r="BH181" s="3439"/>
      <c r="BI181" s="3439"/>
      <c r="BJ181" s="3439"/>
      <c r="BK181" s="3439"/>
      <c r="BL181" s="3439"/>
      <c r="BM181" s="3439"/>
      <c r="BN181" s="3439"/>
      <c r="BO181" s="3439"/>
      <c r="BP181" s="3439"/>
      <c r="BQ181" s="3439"/>
      <c r="BR181" s="3439"/>
      <c r="BS181" s="3439"/>
      <c r="BT181" s="3439"/>
      <c r="BU181" s="3439"/>
      <c r="BV181" s="3439"/>
      <c r="BW181" s="3439"/>
      <c r="BX181" s="3439"/>
    </row>
    <row r="182" spans="29:76" x14ac:dyDescent="0.25">
      <c r="AR182" s="3439"/>
      <c r="AS182" s="3439"/>
      <c r="AT182" s="3439"/>
      <c r="AU182" s="3439"/>
      <c r="AV182" s="3439"/>
      <c r="AW182" s="3439"/>
      <c r="AX182" s="3439"/>
      <c r="AY182" s="3439"/>
      <c r="AZ182" s="3439"/>
      <c r="BA182" s="3439"/>
      <c r="BB182" s="3439"/>
      <c r="BC182" s="3439"/>
      <c r="BE182" s="3439"/>
      <c r="BF182" s="3439"/>
      <c r="BG182" s="3439"/>
      <c r="BH182" s="3439"/>
      <c r="BI182" s="3439"/>
      <c r="BJ182" s="3439"/>
      <c r="BK182" s="3439"/>
      <c r="BL182" s="3439"/>
      <c r="BM182" s="3439"/>
      <c r="BN182" s="3439"/>
      <c r="BO182" s="3439"/>
      <c r="BP182" s="3439"/>
      <c r="BQ182" s="3439"/>
      <c r="BR182" s="3439"/>
      <c r="BS182" s="3439"/>
      <c r="BT182" s="3439"/>
      <c r="BU182" s="3439"/>
      <c r="BV182" s="3439"/>
      <c r="BW182" s="3439"/>
      <c r="BX182" s="3439"/>
    </row>
    <row r="183" spans="29:76" x14ac:dyDescent="0.25">
      <c r="AR183" s="3439"/>
      <c r="AS183" s="3439"/>
      <c r="AT183" s="3439"/>
      <c r="AU183" s="3439"/>
      <c r="AV183" s="3439"/>
      <c r="AW183" s="3439"/>
      <c r="AX183" s="3439"/>
      <c r="AY183" s="3439"/>
      <c r="AZ183" s="3439"/>
      <c r="BA183" s="3439"/>
      <c r="BB183" s="3439"/>
      <c r="BC183" s="3439"/>
      <c r="BE183" s="3439"/>
      <c r="BF183" s="3439"/>
      <c r="BG183" s="3439"/>
      <c r="BH183" s="3439"/>
      <c r="BI183" s="3439"/>
      <c r="BJ183" s="3439"/>
      <c r="BK183" s="3439"/>
      <c r="BL183" s="3439"/>
      <c r="BM183" s="3439"/>
      <c r="BN183" s="3439"/>
      <c r="BO183" s="3439"/>
      <c r="BP183" s="3439"/>
      <c r="BQ183" s="3439"/>
      <c r="BR183" s="3439"/>
      <c r="BS183" s="3439"/>
      <c r="BT183" s="3439"/>
      <c r="BU183" s="3439"/>
      <c r="BV183" s="3439"/>
      <c r="BW183" s="3439"/>
      <c r="BX183" s="3439"/>
    </row>
    <row r="184" spans="29:76" x14ac:dyDescent="0.25">
      <c r="AR184" s="3439"/>
      <c r="AS184" s="3439"/>
      <c r="AT184" s="3439"/>
      <c r="AU184" s="3439"/>
      <c r="AV184" s="3439"/>
      <c r="AW184" s="3439"/>
      <c r="AX184" s="3439"/>
      <c r="AY184" s="3439"/>
      <c r="AZ184" s="3439"/>
      <c r="BA184" s="3439"/>
      <c r="BB184" s="3439"/>
      <c r="BC184" s="3439"/>
      <c r="BE184" s="3439"/>
      <c r="BF184" s="3439"/>
      <c r="BG184" s="3439"/>
      <c r="BH184" s="3439"/>
      <c r="BI184" s="3439"/>
      <c r="BJ184" s="3439"/>
      <c r="BK184" s="3439"/>
      <c r="BL184" s="3439"/>
      <c r="BM184" s="3439"/>
      <c r="BN184" s="3439"/>
      <c r="BO184" s="3439"/>
      <c r="BP184" s="3439"/>
      <c r="BQ184" s="3439"/>
      <c r="BR184" s="3439"/>
      <c r="BS184" s="3439"/>
      <c r="BT184" s="3439"/>
      <c r="BU184" s="3439"/>
      <c r="BV184" s="3439"/>
      <c r="BW184" s="3439"/>
      <c r="BX184" s="3439"/>
    </row>
    <row r="185" spans="29:76" x14ac:dyDescent="0.25">
      <c r="AR185" s="3439"/>
      <c r="AS185" s="3439"/>
      <c r="AT185" s="3439"/>
      <c r="AU185" s="3439"/>
      <c r="AV185" s="3439"/>
      <c r="AW185" s="3439"/>
      <c r="AX185" s="3439"/>
      <c r="AY185" s="3439"/>
      <c r="AZ185" s="3439"/>
      <c r="BA185" s="3439"/>
      <c r="BB185" s="3439"/>
      <c r="BC185" s="3439"/>
      <c r="BE185" s="3439"/>
      <c r="BF185" s="3439"/>
      <c r="BG185" s="3439"/>
      <c r="BH185" s="3439"/>
      <c r="BI185" s="3439"/>
      <c r="BJ185" s="3439"/>
      <c r="BK185" s="3439"/>
      <c r="BL185" s="3439"/>
      <c r="BM185" s="3439"/>
      <c r="BN185" s="3439"/>
      <c r="BO185" s="3439"/>
      <c r="BP185" s="3439"/>
      <c r="BQ185" s="3439"/>
      <c r="BR185" s="3439"/>
      <c r="BS185" s="3439"/>
      <c r="BT185" s="3439"/>
      <c r="BU185" s="3439"/>
      <c r="BV185" s="3439"/>
      <c r="BW185" s="3439"/>
      <c r="BX185" s="3439"/>
    </row>
    <row r="186" spans="29:76" x14ac:dyDescent="0.25">
      <c r="AR186" s="3439"/>
      <c r="AS186" s="3439"/>
      <c r="AT186" s="3439"/>
      <c r="AU186" s="3439"/>
      <c r="AV186" s="3439"/>
      <c r="AW186" s="3439"/>
      <c r="AX186" s="3439"/>
      <c r="AY186" s="3439"/>
      <c r="AZ186" s="3439"/>
      <c r="BA186" s="3439"/>
      <c r="BB186" s="3439"/>
      <c r="BC186" s="3439"/>
      <c r="BE186" s="3439"/>
      <c r="BF186" s="3439"/>
      <c r="BG186" s="3439"/>
      <c r="BH186" s="3439"/>
      <c r="BI186" s="3439"/>
      <c r="BJ186" s="3439"/>
      <c r="BK186" s="3439"/>
      <c r="BL186" s="3439"/>
      <c r="BM186" s="3439"/>
      <c r="BN186" s="3439"/>
      <c r="BO186" s="3439"/>
      <c r="BP186" s="3439"/>
      <c r="BQ186" s="3439"/>
      <c r="BR186" s="3439"/>
      <c r="BS186" s="3439"/>
      <c r="BT186" s="3439"/>
      <c r="BU186" s="3439"/>
      <c r="BV186" s="3439"/>
      <c r="BW186" s="3439"/>
      <c r="BX186" s="3439"/>
    </row>
    <row r="187" spans="29:76" x14ac:dyDescent="0.25">
      <c r="AR187" s="3439"/>
      <c r="AS187" s="3439"/>
      <c r="AT187" s="3439"/>
      <c r="AU187" s="3439"/>
      <c r="AV187" s="3439"/>
      <c r="AW187" s="3439"/>
      <c r="AX187" s="3439"/>
      <c r="AY187" s="3439"/>
      <c r="AZ187" s="3439"/>
      <c r="BA187" s="3439"/>
      <c r="BB187" s="3439"/>
      <c r="BC187" s="3439"/>
      <c r="BE187" s="3439"/>
      <c r="BF187" s="3439"/>
      <c r="BG187" s="3439"/>
      <c r="BH187" s="3439"/>
      <c r="BI187" s="3439"/>
      <c r="BJ187" s="3439"/>
      <c r="BK187" s="3439"/>
      <c r="BL187" s="3439"/>
      <c r="BM187" s="3439"/>
      <c r="BN187" s="3439"/>
      <c r="BO187" s="3439"/>
      <c r="BP187" s="3439"/>
      <c r="BQ187" s="3439"/>
      <c r="BR187" s="3439"/>
      <c r="BS187" s="3439"/>
      <c r="BT187" s="3439"/>
      <c r="BU187" s="3439"/>
      <c r="BV187" s="3439"/>
      <c r="BW187" s="3439"/>
      <c r="BX187" s="3439"/>
    </row>
    <row r="188" spans="29:76" x14ac:dyDescent="0.25">
      <c r="AR188" s="3439"/>
      <c r="BB188" s="3439"/>
    </row>
  </sheetData>
  <mergeCells count="19">
    <mergeCell ref="BY3:CB3"/>
    <mergeCell ref="BU3:BX3"/>
    <mergeCell ref="AC3:AF3"/>
    <mergeCell ref="AG3:AJ3"/>
    <mergeCell ref="AK3:AN3"/>
    <mergeCell ref="AO3:AR3"/>
    <mergeCell ref="AS3:AV3"/>
    <mergeCell ref="AW3:AZ3"/>
    <mergeCell ref="BA3:BD3"/>
    <mergeCell ref="BE3:BH3"/>
    <mergeCell ref="BI3:BL3"/>
    <mergeCell ref="BM3:BP3"/>
    <mergeCell ref="BQ3:BT3"/>
    <mergeCell ref="CW3:CZ3"/>
    <mergeCell ref="CC3:CF3"/>
    <mergeCell ref="CG3:CJ3"/>
    <mergeCell ref="CK3:CN3"/>
    <mergeCell ref="CO3:CR3"/>
    <mergeCell ref="CS3:CV3"/>
  </mergeCells>
  <printOptions horizontalCentered="1" verticalCentered="1"/>
  <pageMargins left="0.70866141732283472" right="0.70866141732283472" top="0.35433070866141736" bottom="0.35433070866141736" header="0.31496062992125984" footer="0.31496062992125984"/>
  <pageSetup scale="56" firstPageNumber="149" orientation="landscape" useFirstPageNumber="1" r:id="rId1"/>
  <headerFooter scaleWithDoc="0" alignWithMargins="0">
    <oddFooter>&amp;R&amp;P</oddFooter>
  </headerFooter>
  <rowBreaks count="5" manualBreakCount="5">
    <brk id="41" max="16383" man="1"/>
    <brk id="77" max="16383" man="1"/>
    <brk id="112" min="1" max="20" man="1"/>
    <brk id="143" min="1" max="20" man="1"/>
    <brk id="174" min="1" max="20" man="1"/>
  </rowBreaks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8200"/>
  </sheetPr>
  <dimension ref="A2:AH22"/>
  <sheetViews>
    <sheetView showGridLines="0" zoomScaleNormal="100" workbookViewId="0">
      <pane xSplit="1" ySplit="4" topLeftCell="O5" activePane="bottomRight" state="frozen"/>
      <selection activeCell="Q31" sqref="Q31"/>
      <selection pane="topRight" activeCell="Q31" sqref="Q31"/>
      <selection pane="bottomLeft" activeCell="Q31" sqref="Q31"/>
      <selection pane="bottomRight" activeCell="Q31" sqref="Q31"/>
    </sheetView>
  </sheetViews>
  <sheetFormatPr baseColWidth="10" defaultColWidth="11.44140625" defaultRowHeight="13.2" x14ac:dyDescent="0.25"/>
  <cols>
    <col min="1" max="1" width="39.44140625" style="946" customWidth="1"/>
    <col min="2" max="2" width="8" style="946" customWidth="1"/>
    <col min="3" max="59" width="8.88671875" style="946" customWidth="1"/>
    <col min="60" max="16384" width="11.44140625" style="946"/>
  </cols>
  <sheetData>
    <row r="2" spans="1:34" ht="46.8" x14ac:dyDescent="0.3">
      <c r="A2" s="3500" t="s">
        <v>830</v>
      </c>
      <c r="B2" s="3501"/>
      <c r="C2" s="3501"/>
      <c r="D2" s="3501"/>
      <c r="E2" s="3501"/>
      <c r="F2" s="3501"/>
      <c r="G2" s="3501"/>
      <c r="H2" s="3501"/>
      <c r="I2" s="3501"/>
      <c r="J2" s="3501"/>
      <c r="K2" s="3501"/>
      <c r="L2" s="3501"/>
      <c r="M2" s="3501"/>
      <c r="N2" s="3501"/>
      <c r="O2" s="3501"/>
      <c r="P2" s="3501"/>
      <c r="Q2" s="3501"/>
      <c r="R2" s="3501"/>
      <c r="S2" s="3501"/>
      <c r="T2" s="3501"/>
    </row>
    <row r="4" spans="1:34" ht="24.9" customHeight="1" thickBot="1" x14ac:dyDescent="0.3">
      <c r="A4" s="3502" t="s">
        <v>831</v>
      </c>
      <c r="B4" s="3502">
        <v>1990</v>
      </c>
      <c r="C4" s="3502">
        <v>1991</v>
      </c>
      <c r="D4" s="3502">
        <v>1992</v>
      </c>
      <c r="E4" s="3502">
        <v>1993</v>
      </c>
      <c r="F4" s="3502">
        <v>1994</v>
      </c>
      <c r="G4" s="3502">
        <v>1995</v>
      </c>
      <c r="H4" s="3502">
        <v>1996</v>
      </c>
      <c r="I4" s="3502">
        <v>1997</v>
      </c>
      <c r="J4" s="3502">
        <v>1998</v>
      </c>
      <c r="K4" s="3502">
        <v>1999</v>
      </c>
      <c r="L4" s="3502">
        <v>2000</v>
      </c>
      <c r="M4" s="3502">
        <v>2001</v>
      </c>
      <c r="N4" s="3502">
        <v>2002</v>
      </c>
      <c r="O4" s="3502">
        <v>2003</v>
      </c>
      <c r="P4" s="3502">
        <v>2004</v>
      </c>
      <c r="Q4" s="3502">
        <v>2005</v>
      </c>
      <c r="R4" s="3502">
        <v>2006</v>
      </c>
      <c r="S4" s="3502">
        <v>2007</v>
      </c>
      <c r="T4" s="3502">
        <v>2008</v>
      </c>
      <c r="U4" s="3502">
        <v>2009</v>
      </c>
      <c r="V4" s="3502">
        <v>2010</v>
      </c>
      <c r="W4" s="3502">
        <v>2011</v>
      </c>
      <c r="X4" s="3502">
        <v>2012</v>
      </c>
      <c r="Y4" s="3502">
        <v>2013</v>
      </c>
      <c r="Z4" s="3502">
        <v>2014</v>
      </c>
      <c r="AA4" s="3502">
        <v>2015</v>
      </c>
      <c r="AB4" s="3502">
        <v>2016</v>
      </c>
      <c r="AC4" s="3502">
        <v>2017</v>
      </c>
      <c r="AD4" s="3502">
        <v>2018</v>
      </c>
      <c r="AE4" s="3502">
        <v>2019</v>
      </c>
      <c r="AF4" s="3502">
        <v>2020</v>
      </c>
      <c r="AG4" s="3502">
        <v>2021</v>
      </c>
      <c r="AH4" s="3502">
        <v>2022</v>
      </c>
    </row>
    <row r="5" spans="1:34" s="746" customFormat="1" ht="24.9" customHeight="1" x14ac:dyDescent="0.25">
      <c r="A5" s="3503" t="s">
        <v>1609</v>
      </c>
      <c r="B5" s="3504">
        <v>315</v>
      </c>
      <c r="C5" s="3504">
        <v>517</v>
      </c>
      <c r="D5" s="3504">
        <v>530</v>
      </c>
      <c r="E5" s="3504">
        <v>634</v>
      </c>
      <c r="F5" s="3504">
        <v>693</v>
      </c>
      <c r="G5" s="3504">
        <v>751</v>
      </c>
      <c r="H5" s="3504">
        <v>773</v>
      </c>
      <c r="I5" s="3504">
        <v>795</v>
      </c>
      <c r="J5" s="3504">
        <v>805</v>
      </c>
      <c r="K5" s="3504">
        <v>780</v>
      </c>
      <c r="L5" s="3504">
        <v>821</v>
      </c>
      <c r="M5" s="3504">
        <v>876</v>
      </c>
      <c r="N5" s="3504">
        <v>898</v>
      </c>
      <c r="O5" s="3504">
        <v>888</v>
      </c>
      <c r="P5" s="3504">
        <v>924</v>
      </c>
      <c r="Q5" s="3504">
        <v>1010</v>
      </c>
      <c r="R5" s="3504">
        <v>970</v>
      </c>
      <c r="S5" s="3504">
        <v>1059</v>
      </c>
      <c r="T5" s="3504">
        <v>1010</v>
      </c>
      <c r="U5" s="3504">
        <v>1076</v>
      </c>
      <c r="V5" s="3504">
        <v>1066</v>
      </c>
      <c r="W5" s="3504">
        <v>1217</v>
      </c>
      <c r="X5" s="3504">
        <v>1288</v>
      </c>
      <c r="Y5" s="3504">
        <v>1383</v>
      </c>
      <c r="Z5" s="3504">
        <v>1385</v>
      </c>
      <c r="AA5" s="3504">
        <v>1392</v>
      </c>
      <c r="AB5" s="3504">
        <v>1418</v>
      </c>
      <c r="AC5" s="3504">
        <v>1464</v>
      </c>
      <c r="AD5" s="3504">
        <v>1419</v>
      </c>
      <c r="AE5" s="3505">
        <v>1377</v>
      </c>
      <c r="AF5" s="3505">
        <v>59</v>
      </c>
      <c r="AG5" s="3505">
        <v>1597</v>
      </c>
      <c r="AH5" s="3505">
        <v>1262</v>
      </c>
    </row>
    <row r="6" spans="1:34" s="746" customFormat="1" ht="24.9" customHeight="1" x14ac:dyDescent="0.25">
      <c r="A6" s="3506" t="s">
        <v>1607</v>
      </c>
      <c r="B6" s="3507">
        <v>585</v>
      </c>
      <c r="C6" s="3507">
        <v>857</v>
      </c>
      <c r="D6" s="3507">
        <v>886</v>
      </c>
      <c r="E6" s="3507">
        <v>994</v>
      </c>
      <c r="F6" s="3507">
        <v>1128</v>
      </c>
      <c r="G6" s="3507">
        <v>1289</v>
      </c>
      <c r="H6" s="3507">
        <v>1378</v>
      </c>
      <c r="I6" s="3507">
        <v>1447</v>
      </c>
      <c r="J6" s="3507">
        <v>1491</v>
      </c>
      <c r="K6" s="3507">
        <v>1500</v>
      </c>
      <c r="L6" s="3507">
        <v>1544</v>
      </c>
      <c r="M6" s="3507">
        <v>1538</v>
      </c>
      <c r="N6" s="3507">
        <v>1587</v>
      </c>
      <c r="O6" s="3507">
        <v>1620</v>
      </c>
      <c r="P6" s="3507">
        <v>1649</v>
      </c>
      <c r="Q6" s="3507">
        <v>1659</v>
      </c>
      <c r="R6" s="3507">
        <v>1651</v>
      </c>
      <c r="S6" s="3507">
        <v>1692</v>
      </c>
      <c r="T6" s="3507">
        <v>1744</v>
      </c>
      <c r="U6" s="3507">
        <v>1783</v>
      </c>
      <c r="V6" s="3507">
        <v>1801</v>
      </c>
      <c r="W6" s="3507">
        <v>1879</v>
      </c>
      <c r="X6" s="3507">
        <v>1967</v>
      </c>
      <c r="Y6" s="3507">
        <v>2012</v>
      </c>
      <c r="Z6" s="3507">
        <v>2047</v>
      </c>
      <c r="AA6" s="3507">
        <v>2070</v>
      </c>
      <c r="AB6" s="3507">
        <v>2080</v>
      </c>
      <c r="AC6" s="3507">
        <v>2095</v>
      </c>
      <c r="AD6" s="3507">
        <v>2109</v>
      </c>
      <c r="AE6" s="3508">
        <v>2102</v>
      </c>
      <c r="AF6" s="3508">
        <v>1780</v>
      </c>
      <c r="AG6" s="3508">
        <v>1971</v>
      </c>
      <c r="AH6" s="3508">
        <v>1895</v>
      </c>
    </row>
    <row r="7" spans="1:34" s="746" customFormat="1" ht="35.1" customHeight="1" x14ac:dyDescent="0.25">
      <c r="A7" s="5559" t="s">
        <v>1608</v>
      </c>
      <c r="B7" s="3507"/>
      <c r="C7" s="3507"/>
      <c r="D7" s="3507">
        <v>1276</v>
      </c>
      <c r="E7" s="3507">
        <v>1613</v>
      </c>
      <c r="F7" s="3507">
        <v>1709</v>
      </c>
      <c r="G7" s="3507">
        <v>1912</v>
      </c>
      <c r="H7" s="3507">
        <v>2001</v>
      </c>
      <c r="I7" s="3507">
        <v>2122</v>
      </c>
      <c r="J7" s="3507">
        <v>2197</v>
      </c>
      <c r="K7" s="3507">
        <v>2263</v>
      </c>
      <c r="L7" s="3507">
        <v>2332</v>
      </c>
      <c r="M7" s="3507">
        <v>2341</v>
      </c>
      <c r="N7" s="3507">
        <v>2416</v>
      </c>
      <c r="O7" s="3507">
        <v>2454</v>
      </c>
      <c r="P7" s="3507">
        <v>2496</v>
      </c>
      <c r="Q7" s="3507">
        <v>2601</v>
      </c>
      <c r="R7" s="3507">
        <v>2576</v>
      </c>
      <c r="S7" s="3507">
        <v>2633</v>
      </c>
      <c r="T7" s="3507">
        <v>2606</v>
      </c>
      <c r="U7" s="3507">
        <v>2645</v>
      </c>
      <c r="V7" s="3507">
        <v>2598</v>
      </c>
      <c r="W7" s="3507">
        <v>2669</v>
      </c>
      <c r="X7" s="3507">
        <v>2743</v>
      </c>
      <c r="Y7" s="3507">
        <v>2761</v>
      </c>
      <c r="Z7" s="3507">
        <v>2813</v>
      </c>
      <c r="AA7" s="3507">
        <v>2826</v>
      </c>
      <c r="AB7" s="3507">
        <v>2804</v>
      </c>
      <c r="AC7" s="3507">
        <v>2780</v>
      </c>
      <c r="AD7" s="3507">
        <v>2807</v>
      </c>
      <c r="AE7" s="3508">
        <v>2812</v>
      </c>
      <c r="AF7" s="3508">
        <v>2660</v>
      </c>
      <c r="AG7" s="3508">
        <v>3029</v>
      </c>
      <c r="AH7" s="3508">
        <v>2912</v>
      </c>
    </row>
    <row r="8" spans="1:34" s="746" customFormat="1" ht="24.9" customHeight="1" x14ac:dyDescent="0.25">
      <c r="A8" s="3506" t="s">
        <v>1610</v>
      </c>
      <c r="B8" s="3507"/>
      <c r="C8" s="3507"/>
      <c r="D8" s="3507"/>
      <c r="E8" s="3507"/>
      <c r="F8" s="3507"/>
      <c r="G8" s="3507">
        <v>1817</v>
      </c>
      <c r="H8" s="3507">
        <v>1875</v>
      </c>
      <c r="I8" s="3507">
        <v>1931</v>
      </c>
      <c r="J8" s="3507">
        <v>2016</v>
      </c>
      <c r="K8" s="3507">
        <v>2045</v>
      </c>
      <c r="L8" s="3507">
        <v>2095</v>
      </c>
      <c r="M8" s="3507">
        <v>2111</v>
      </c>
      <c r="N8" s="3507">
        <v>2158</v>
      </c>
      <c r="O8" s="3507">
        <v>1611</v>
      </c>
      <c r="P8" s="3507">
        <v>1677</v>
      </c>
      <c r="Q8" s="3507">
        <v>1729</v>
      </c>
      <c r="R8" s="3507">
        <v>1776</v>
      </c>
      <c r="S8" s="3507">
        <v>1884</v>
      </c>
      <c r="T8" s="3507">
        <v>1952</v>
      </c>
      <c r="U8" s="3507">
        <v>1990</v>
      </c>
      <c r="V8" s="3507">
        <v>1987</v>
      </c>
      <c r="W8" s="3507">
        <v>2093</v>
      </c>
      <c r="X8" s="3507">
        <v>2171</v>
      </c>
      <c r="Y8" s="3507">
        <v>2203</v>
      </c>
      <c r="Z8" s="3507">
        <v>2280</v>
      </c>
      <c r="AA8" s="3507">
        <v>2295</v>
      </c>
      <c r="AB8" s="3507">
        <v>2303</v>
      </c>
      <c r="AC8" s="3507">
        <v>2317</v>
      </c>
      <c r="AD8" s="3507">
        <v>2341</v>
      </c>
      <c r="AE8" s="3508">
        <v>2351</v>
      </c>
      <c r="AF8" s="3508">
        <v>2477</v>
      </c>
      <c r="AG8" s="3508">
        <v>2224</v>
      </c>
      <c r="AH8" s="3508">
        <v>2179</v>
      </c>
    </row>
    <row r="9" spans="1:34" s="746" customFormat="1" ht="35.1" customHeight="1" x14ac:dyDescent="0.25">
      <c r="A9" s="5560" t="s">
        <v>1611</v>
      </c>
      <c r="B9" s="3509"/>
      <c r="C9" s="3509"/>
      <c r="D9" s="3509"/>
      <c r="E9" s="3509"/>
      <c r="F9" s="3509"/>
      <c r="G9" s="3509">
        <v>388</v>
      </c>
      <c r="H9" s="3509">
        <v>553</v>
      </c>
      <c r="I9" s="3509">
        <v>658</v>
      </c>
      <c r="J9" s="3509">
        <v>753</v>
      </c>
      <c r="K9" s="3509">
        <v>838</v>
      </c>
      <c r="L9" s="3509">
        <v>934</v>
      </c>
      <c r="M9" s="3509">
        <v>1049</v>
      </c>
      <c r="N9" s="3509">
        <v>1173</v>
      </c>
      <c r="O9" s="3509">
        <v>1280</v>
      </c>
      <c r="P9" s="3509">
        <v>1372</v>
      </c>
      <c r="Q9" s="3509">
        <v>1453</v>
      </c>
      <c r="R9" s="3509">
        <v>1522</v>
      </c>
      <c r="S9" s="3509">
        <v>1588</v>
      </c>
      <c r="T9" s="3509">
        <v>1601</v>
      </c>
      <c r="U9" s="3509">
        <v>1639</v>
      </c>
      <c r="V9" s="3509">
        <v>1630</v>
      </c>
      <c r="W9" s="3509">
        <v>1690</v>
      </c>
      <c r="X9" s="3509">
        <v>1756</v>
      </c>
      <c r="Y9" s="3509">
        <v>1778</v>
      </c>
      <c r="Z9" s="3509">
        <v>1756</v>
      </c>
      <c r="AA9" s="3509">
        <v>1798</v>
      </c>
      <c r="AB9" s="3509">
        <v>1824</v>
      </c>
      <c r="AC9" s="3509">
        <v>1862</v>
      </c>
      <c r="AD9" s="3509">
        <v>1853</v>
      </c>
      <c r="AE9" s="3510">
        <v>1856</v>
      </c>
      <c r="AF9" s="3510">
        <v>1850</v>
      </c>
      <c r="AG9" s="3510">
        <v>1988</v>
      </c>
      <c r="AH9" s="3510">
        <v>1947</v>
      </c>
    </row>
    <row r="10" spans="1:34" ht="14.25" customHeight="1" x14ac:dyDescent="0.25">
      <c r="A10" s="5490" t="s">
        <v>832</v>
      </c>
      <c r="B10" s="3511"/>
      <c r="C10" s="3511"/>
      <c r="D10" s="3511"/>
      <c r="E10" s="3511"/>
      <c r="F10" s="3511"/>
      <c r="G10" s="3511"/>
      <c r="H10" s="3511"/>
      <c r="I10" s="3511"/>
      <c r="J10" s="3511"/>
      <c r="K10" s="3511"/>
      <c r="L10" s="3511"/>
      <c r="M10" s="3511"/>
      <c r="N10" s="3511"/>
      <c r="O10" s="3511"/>
      <c r="P10" s="3511"/>
      <c r="Q10" s="3511"/>
      <c r="R10" s="3511"/>
      <c r="S10" s="3511"/>
      <c r="T10" s="2329"/>
      <c r="U10" s="2329"/>
    </row>
    <row r="11" spans="1:34" ht="15.75" customHeight="1" x14ac:dyDescent="0.25">
      <c r="AH11" s="5489"/>
    </row>
    <row r="22" ht="12" customHeight="1" x14ac:dyDescent="0.25"/>
  </sheetData>
  <printOptions horizontalCentered="1" verticalCentered="1"/>
  <pageMargins left="0.70866141732283472" right="0.70866141732283472" top="0.74803149606299213" bottom="0.74803149606299213" header="0.31496062992125984" footer="0.31496062992125984"/>
  <pageSetup scale="56" firstPageNumber="155" pageOrder="overThenDown" orientation="landscape" useFirstPageNumber="1" r:id="rId1"/>
  <headerFooter scaleWithDoc="0" alignWithMargins="0">
    <oddFooter>&amp;R&amp;P</oddFooter>
  </headerFooter>
  <rowBreaks count="1" manualBreakCount="1">
    <brk id="53" max="16383" man="1"/>
  </rowBreaks>
  <drawing r:id="rId2"/>
  <legacyDrawingHF r:id="rId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8200"/>
  </sheetPr>
  <dimension ref="A1:AF94"/>
  <sheetViews>
    <sheetView showGridLines="0" zoomScale="110" zoomScaleNormal="110" zoomScaleSheetLayoutView="40" workbookViewId="0">
      <pane xSplit="2" ySplit="4" topLeftCell="C5" activePane="bottomRight" state="frozen"/>
      <selection activeCell="Q31" sqref="Q31"/>
      <selection pane="topRight" activeCell="Q31" sqref="Q31"/>
      <selection pane="bottomLeft" activeCell="Q31" sqref="Q31"/>
      <selection pane="bottomRight" activeCell="Q31" sqref="Q31"/>
    </sheetView>
  </sheetViews>
  <sheetFormatPr baseColWidth="10" defaultColWidth="11.5546875" defaultRowHeight="13.2" x14ac:dyDescent="0.25"/>
  <cols>
    <col min="1" max="1" width="2.88671875" style="3424" customWidth="1"/>
    <col min="2" max="2" width="45.88671875" style="3424" customWidth="1"/>
    <col min="3" max="3" width="11.5546875" style="3578" bestFit="1" customWidth="1"/>
    <col min="4" max="4" width="13.109375" style="3578" bestFit="1" customWidth="1"/>
    <col min="5" max="5" width="8.5546875" style="3578" bestFit="1" customWidth="1"/>
    <col min="6" max="6" width="10.109375" style="3578" bestFit="1" customWidth="1"/>
    <col min="7" max="7" width="8.88671875" style="3578" customWidth="1"/>
    <col min="8" max="8" width="11.5546875" style="3578" bestFit="1" customWidth="1"/>
    <col min="9" max="9" width="13.109375" style="3578" bestFit="1" customWidth="1"/>
    <col min="10" max="10" width="8.5546875" style="3578" bestFit="1" customWidth="1"/>
    <col min="11" max="11" width="10.109375" style="3578" bestFit="1" customWidth="1"/>
    <col min="12" max="12" width="8.88671875" style="3578" customWidth="1"/>
    <col min="13" max="13" width="11.5546875" style="3578" bestFit="1" customWidth="1"/>
    <col min="14" max="14" width="13.109375" style="3578" bestFit="1" customWidth="1"/>
    <col min="15" max="15" width="8.5546875" style="3578" bestFit="1" customWidth="1"/>
    <col min="16" max="16" width="10.109375" style="3578" bestFit="1" customWidth="1"/>
    <col min="17" max="17" width="8.88671875" style="3578" customWidth="1"/>
    <col min="18" max="18" width="11" style="3578" bestFit="1" customWidth="1"/>
    <col min="19" max="19" width="12.44140625" style="3578" bestFit="1" customWidth="1"/>
    <col min="20" max="20" width="8.44140625" style="3578" customWidth="1"/>
    <col min="21" max="21" width="9.88671875" style="3578" bestFit="1" customWidth="1"/>
    <col min="22" max="22" width="8.5546875" style="3578" customWidth="1"/>
    <col min="23" max="23" width="11" style="3578" customWidth="1"/>
    <col min="24" max="24" width="13.44140625" style="3578" bestFit="1" customWidth="1"/>
    <col min="25" max="25" width="9" style="3578" bestFit="1" customWidth="1"/>
    <col min="26" max="26" width="10.33203125" style="3578" bestFit="1" customWidth="1"/>
    <col min="27" max="27" width="8.5546875" style="3578" customWidth="1"/>
    <col min="28" max="28" width="11.5546875" style="3424" bestFit="1" customWidth="1"/>
    <col min="29" max="29" width="13.33203125" style="3424" bestFit="1" customWidth="1"/>
    <col min="30" max="30" width="8.5546875" style="3424" customWidth="1"/>
    <col min="31" max="31" width="10.109375" style="3424" bestFit="1" customWidth="1"/>
    <col min="32" max="56" width="8.5546875" style="3424" customWidth="1"/>
    <col min="57" max="16384" width="11.5546875" style="3424"/>
  </cols>
  <sheetData>
    <row r="1" spans="1:32" ht="27.6" x14ac:dyDescent="0.25">
      <c r="B1" s="4836" t="s">
        <v>833</v>
      </c>
      <c r="D1" s="4486"/>
    </row>
    <row r="2" spans="1:32" ht="13.8" x14ac:dyDescent="0.25">
      <c r="A2" s="3512"/>
      <c r="D2" s="4486"/>
    </row>
    <row r="3" spans="1:32" ht="14.4" x14ac:dyDescent="0.25">
      <c r="A3" s="3512"/>
      <c r="B3" s="6166" t="s">
        <v>834</v>
      </c>
      <c r="C3" s="6165">
        <v>2017</v>
      </c>
      <c r="D3" s="6165"/>
      <c r="E3" s="6165"/>
      <c r="F3" s="6165"/>
      <c r="G3" s="6165"/>
      <c r="H3" s="6165">
        <v>2018</v>
      </c>
      <c r="I3" s="6165"/>
      <c r="J3" s="6165"/>
      <c r="K3" s="6165"/>
      <c r="L3" s="6165"/>
      <c r="M3" s="6165">
        <v>2019</v>
      </c>
      <c r="N3" s="6165"/>
      <c r="O3" s="6165"/>
      <c r="P3" s="6165"/>
      <c r="Q3" s="6165"/>
      <c r="R3" s="6165">
        <v>2020</v>
      </c>
      <c r="S3" s="6165"/>
      <c r="T3" s="6165"/>
      <c r="U3" s="6165"/>
      <c r="V3" s="6165"/>
      <c r="W3" s="6165">
        <v>2021</v>
      </c>
      <c r="X3" s="6165"/>
      <c r="Y3" s="6165"/>
      <c r="Z3" s="6165"/>
      <c r="AA3" s="6165"/>
      <c r="AB3" s="6165">
        <v>2022</v>
      </c>
      <c r="AC3" s="6165"/>
      <c r="AD3" s="6165"/>
      <c r="AE3" s="6165"/>
      <c r="AF3" s="6165"/>
    </row>
    <row r="4" spans="1:32" ht="14.4" x14ac:dyDescent="0.25">
      <c r="A4" s="3512"/>
      <c r="B4" s="6167"/>
      <c r="C4" s="3514" t="s">
        <v>147</v>
      </c>
      <c r="D4" s="3515" t="s">
        <v>308</v>
      </c>
      <c r="E4" s="3514" t="s">
        <v>310</v>
      </c>
      <c r="F4" s="3514" t="s">
        <v>317</v>
      </c>
      <c r="G4" s="3516" t="s">
        <v>279</v>
      </c>
      <c r="H4" s="3514" t="s">
        <v>147</v>
      </c>
      <c r="I4" s="3515" t="s">
        <v>308</v>
      </c>
      <c r="J4" s="3514" t="s">
        <v>310</v>
      </c>
      <c r="K4" s="3514" t="s">
        <v>317</v>
      </c>
      <c r="L4" s="3516" t="s">
        <v>279</v>
      </c>
      <c r="M4" s="3514" t="s">
        <v>147</v>
      </c>
      <c r="N4" s="3515" t="s">
        <v>308</v>
      </c>
      <c r="O4" s="3514" t="s">
        <v>310</v>
      </c>
      <c r="P4" s="3514" t="s">
        <v>317</v>
      </c>
      <c r="Q4" s="3516" t="s">
        <v>279</v>
      </c>
      <c r="R4" s="3514" t="s">
        <v>147</v>
      </c>
      <c r="S4" s="3515" t="s">
        <v>308</v>
      </c>
      <c r="T4" s="3514" t="s">
        <v>310</v>
      </c>
      <c r="U4" s="3514" t="s">
        <v>317</v>
      </c>
      <c r="V4" s="3516" t="s">
        <v>279</v>
      </c>
      <c r="W4" s="3514" t="s">
        <v>147</v>
      </c>
      <c r="X4" s="3515" t="s">
        <v>308</v>
      </c>
      <c r="Y4" s="3514" t="s">
        <v>310</v>
      </c>
      <c r="Z4" s="3514" t="s">
        <v>317</v>
      </c>
      <c r="AA4" s="3516" t="s">
        <v>279</v>
      </c>
      <c r="AB4" s="3514" t="s">
        <v>147</v>
      </c>
      <c r="AC4" s="3515" t="s">
        <v>308</v>
      </c>
      <c r="AD4" s="3514" t="s">
        <v>310</v>
      </c>
      <c r="AE4" s="3514" t="s">
        <v>317</v>
      </c>
      <c r="AF4" s="3516" t="s">
        <v>279</v>
      </c>
    </row>
    <row r="5" spans="1:32" ht="15" customHeight="1" x14ac:dyDescent="0.25">
      <c r="A5" s="3512"/>
      <c r="B5" s="3517" t="s">
        <v>835</v>
      </c>
      <c r="C5" s="4487">
        <v>15</v>
      </c>
      <c r="D5" s="4488">
        <v>1</v>
      </c>
      <c r="E5" s="4488">
        <v>40</v>
      </c>
      <c r="F5" s="4489">
        <v>100</v>
      </c>
      <c r="G5" s="4490">
        <v>156</v>
      </c>
      <c r="H5" s="4487">
        <v>14</v>
      </c>
      <c r="I5" s="4488">
        <v>1</v>
      </c>
      <c r="J5" s="4488">
        <v>40</v>
      </c>
      <c r="K5" s="4489">
        <v>101</v>
      </c>
      <c r="L5" s="4490">
        <v>156</v>
      </c>
      <c r="M5" s="4487">
        <v>15</v>
      </c>
      <c r="N5" s="4488">
        <v>1</v>
      </c>
      <c r="O5" s="4488">
        <v>36</v>
      </c>
      <c r="P5" s="4489">
        <v>104</v>
      </c>
      <c r="Q5" s="4490">
        <v>156</v>
      </c>
      <c r="R5" s="4487">
        <v>15</v>
      </c>
      <c r="S5" s="4488">
        <v>1</v>
      </c>
      <c r="T5" s="4488">
        <v>37</v>
      </c>
      <c r="U5" s="4489">
        <v>106</v>
      </c>
      <c r="V5" s="4490">
        <f>SUM(R5:U5)</f>
        <v>159</v>
      </c>
      <c r="W5" s="5125">
        <v>16</v>
      </c>
      <c r="X5" s="5126">
        <v>1</v>
      </c>
      <c r="Y5" s="5126">
        <v>30</v>
      </c>
      <c r="Z5" s="5127">
        <v>108</v>
      </c>
      <c r="AA5" s="4490">
        <f>SUM(W5:Z5)</f>
        <v>155</v>
      </c>
      <c r="AB5" s="5125">
        <v>14</v>
      </c>
      <c r="AC5" s="5126">
        <v>1</v>
      </c>
      <c r="AD5" s="5126">
        <v>28</v>
      </c>
      <c r="AE5" s="5127">
        <v>108</v>
      </c>
      <c r="AF5" s="5166">
        <f>SUM(AB5:AE5)</f>
        <v>151</v>
      </c>
    </row>
    <row r="6" spans="1:32" ht="14.4" x14ac:dyDescent="0.25">
      <c r="A6" s="3512"/>
      <c r="B6" s="3518" t="s">
        <v>836</v>
      </c>
      <c r="C6" s="4491">
        <v>15</v>
      </c>
      <c r="D6" s="4492"/>
      <c r="E6" s="4492">
        <v>26</v>
      </c>
      <c r="F6" s="4493">
        <v>21</v>
      </c>
      <c r="G6" s="4494">
        <v>62</v>
      </c>
      <c r="H6" s="4491">
        <v>15</v>
      </c>
      <c r="I6" s="4492"/>
      <c r="J6" s="4492">
        <v>25</v>
      </c>
      <c r="K6" s="4493">
        <v>21</v>
      </c>
      <c r="L6" s="4494">
        <v>61</v>
      </c>
      <c r="M6" s="4491">
        <v>16</v>
      </c>
      <c r="N6" s="4492"/>
      <c r="O6" s="4492">
        <v>24</v>
      </c>
      <c r="P6" s="4493">
        <v>20</v>
      </c>
      <c r="Q6" s="4494">
        <v>60</v>
      </c>
      <c r="R6" s="4491">
        <v>15</v>
      </c>
      <c r="S6" s="4492">
        <v>0</v>
      </c>
      <c r="T6" s="4492">
        <v>22</v>
      </c>
      <c r="U6" s="4493">
        <v>19</v>
      </c>
      <c r="V6" s="4494">
        <f t="shared" ref="V6:V20" si="0">SUM(R6:U6)</f>
        <v>56</v>
      </c>
      <c r="W6" s="5128">
        <v>15</v>
      </c>
      <c r="X6" s="5129">
        <v>0</v>
      </c>
      <c r="Y6" s="5129">
        <v>22</v>
      </c>
      <c r="Z6" s="5130">
        <v>19</v>
      </c>
      <c r="AA6" s="4494">
        <f t="shared" ref="AA6:AA9" si="1">SUM(W6:Z6)</f>
        <v>56</v>
      </c>
      <c r="AB6" s="5128">
        <v>14</v>
      </c>
      <c r="AC6" s="5129">
        <v>0</v>
      </c>
      <c r="AD6" s="5129">
        <v>22</v>
      </c>
      <c r="AE6" s="5130">
        <v>18</v>
      </c>
      <c r="AF6" s="5167">
        <f t="shared" ref="AF6:AF9" si="2">SUM(AB6:AE6)</f>
        <v>54</v>
      </c>
    </row>
    <row r="7" spans="1:32" ht="14.4" x14ac:dyDescent="0.25">
      <c r="A7" s="3512"/>
      <c r="B7" s="3518" t="s">
        <v>837</v>
      </c>
      <c r="C7" s="4491">
        <v>8</v>
      </c>
      <c r="D7" s="4492">
        <v>1</v>
      </c>
      <c r="E7" s="4492">
        <v>24</v>
      </c>
      <c r="F7" s="4493">
        <v>38</v>
      </c>
      <c r="G7" s="4494">
        <v>71</v>
      </c>
      <c r="H7" s="4491">
        <v>8</v>
      </c>
      <c r="I7" s="4492">
        <v>1</v>
      </c>
      <c r="J7" s="4492">
        <v>24</v>
      </c>
      <c r="K7" s="4493">
        <v>41</v>
      </c>
      <c r="L7" s="4494">
        <v>74</v>
      </c>
      <c r="M7" s="4491">
        <v>6</v>
      </c>
      <c r="N7" s="4492">
        <v>1</v>
      </c>
      <c r="O7" s="4492">
        <v>25</v>
      </c>
      <c r="P7" s="4493">
        <v>44</v>
      </c>
      <c r="Q7" s="4494">
        <v>76</v>
      </c>
      <c r="R7" s="4491">
        <v>4</v>
      </c>
      <c r="S7" s="4492">
        <v>1</v>
      </c>
      <c r="T7" s="4492">
        <v>23</v>
      </c>
      <c r="U7" s="4493">
        <v>43</v>
      </c>
      <c r="V7" s="4494">
        <f t="shared" si="0"/>
        <v>71</v>
      </c>
      <c r="W7" s="5128">
        <v>6</v>
      </c>
      <c r="X7" s="5129">
        <v>1</v>
      </c>
      <c r="Y7" s="5129">
        <v>19</v>
      </c>
      <c r="Z7" s="5130">
        <v>44</v>
      </c>
      <c r="AA7" s="4494">
        <f t="shared" si="1"/>
        <v>70</v>
      </c>
      <c r="AB7" s="5128">
        <v>6</v>
      </c>
      <c r="AC7" s="5129">
        <v>1</v>
      </c>
      <c r="AD7" s="5129">
        <v>19</v>
      </c>
      <c r="AE7" s="5130">
        <v>44</v>
      </c>
      <c r="AF7" s="5167">
        <f t="shared" si="2"/>
        <v>70</v>
      </c>
    </row>
    <row r="8" spans="1:32" ht="14.4" x14ac:dyDescent="0.25">
      <c r="A8" s="3512"/>
      <c r="B8" s="3518" t="s">
        <v>838</v>
      </c>
      <c r="C8" s="4491">
        <v>9</v>
      </c>
      <c r="D8" s="4492">
        <v>2</v>
      </c>
      <c r="E8" s="4492">
        <v>11</v>
      </c>
      <c r="F8" s="4493">
        <v>33</v>
      </c>
      <c r="G8" s="4494">
        <v>55</v>
      </c>
      <c r="H8" s="4491">
        <v>7</v>
      </c>
      <c r="I8" s="4492">
        <v>1</v>
      </c>
      <c r="J8" s="4492">
        <v>13</v>
      </c>
      <c r="K8" s="4493">
        <v>34</v>
      </c>
      <c r="L8" s="4494">
        <v>55</v>
      </c>
      <c r="M8" s="4491">
        <v>7</v>
      </c>
      <c r="N8" s="4492">
        <v>1</v>
      </c>
      <c r="O8" s="4492">
        <v>14</v>
      </c>
      <c r="P8" s="4493">
        <v>36</v>
      </c>
      <c r="Q8" s="4494">
        <v>58</v>
      </c>
      <c r="R8" s="4491">
        <v>7</v>
      </c>
      <c r="S8" s="4492">
        <v>1</v>
      </c>
      <c r="T8" s="4492">
        <v>14</v>
      </c>
      <c r="U8" s="4493">
        <v>36</v>
      </c>
      <c r="V8" s="4494">
        <f t="shared" si="0"/>
        <v>58</v>
      </c>
      <c r="W8" s="5128">
        <v>5</v>
      </c>
      <c r="X8" s="5129">
        <v>1</v>
      </c>
      <c r="Y8" s="5129">
        <v>13</v>
      </c>
      <c r="Z8" s="5130">
        <v>38</v>
      </c>
      <c r="AA8" s="4494">
        <f t="shared" si="1"/>
        <v>57</v>
      </c>
      <c r="AB8" s="5128">
        <v>4</v>
      </c>
      <c r="AC8" s="5129">
        <v>1</v>
      </c>
      <c r="AD8" s="5129">
        <v>12</v>
      </c>
      <c r="AE8" s="5130">
        <v>37</v>
      </c>
      <c r="AF8" s="5167">
        <f t="shared" si="2"/>
        <v>54</v>
      </c>
    </row>
    <row r="9" spans="1:32" ht="14.4" x14ac:dyDescent="0.25">
      <c r="A9" s="3512"/>
      <c r="B9" s="3518" t="s">
        <v>839</v>
      </c>
      <c r="C9" s="4491">
        <v>9</v>
      </c>
      <c r="D9" s="4492">
        <v>1</v>
      </c>
      <c r="E9" s="4492">
        <v>14</v>
      </c>
      <c r="F9" s="4493">
        <v>30</v>
      </c>
      <c r="G9" s="4494">
        <v>54</v>
      </c>
      <c r="H9" s="4491">
        <v>9</v>
      </c>
      <c r="I9" s="4492">
        <v>1</v>
      </c>
      <c r="J9" s="4492">
        <v>14</v>
      </c>
      <c r="K9" s="4493">
        <v>32</v>
      </c>
      <c r="L9" s="4494">
        <v>56</v>
      </c>
      <c r="M9" s="4491">
        <v>8</v>
      </c>
      <c r="N9" s="4492">
        <v>1</v>
      </c>
      <c r="O9" s="4492">
        <v>11</v>
      </c>
      <c r="P9" s="4493">
        <v>36</v>
      </c>
      <c r="Q9" s="4494">
        <v>56</v>
      </c>
      <c r="R9" s="4491">
        <v>8</v>
      </c>
      <c r="S9" s="4492">
        <v>1</v>
      </c>
      <c r="T9" s="4492">
        <v>11</v>
      </c>
      <c r="U9" s="4493">
        <v>38</v>
      </c>
      <c r="V9" s="4494">
        <f t="shared" si="0"/>
        <v>58</v>
      </c>
      <c r="W9" s="5128">
        <v>9</v>
      </c>
      <c r="X9" s="5129">
        <v>1</v>
      </c>
      <c r="Y9" s="5129">
        <v>10</v>
      </c>
      <c r="Z9" s="5130">
        <v>38</v>
      </c>
      <c r="AA9" s="4494">
        <f t="shared" si="1"/>
        <v>58</v>
      </c>
      <c r="AB9" s="5128">
        <v>9</v>
      </c>
      <c r="AC9" s="5129">
        <v>1</v>
      </c>
      <c r="AD9" s="5129">
        <v>10</v>
      </c>
      <c r="AE9" s="5130">
        <v>36</v>
      </c>
      <c r="AF9" s="5167">
        <f t="shared" si="2"/>
        <v>56</v>
      </c>
    </row>
    <row r="10" spans="1:32" ht="14.4" x14ac:dyDescent="0.25">
      <c r="A10" s="3512"/>
      <c r="B10" s="3519" t="s">
        <v>59</v>
      </c>
      <c r="C10" s="4495">
        <f>SUM(C5:C9)</f>
        <v>56</v>
      </c>
      <c r="D10" s="4496">
        <f>SUM(D5:D9)</f>
        <v>5</v>
      </c>
      <c r="E10" s="4496">
        <f>SUM(E5:E9)</f>
        <v>115</v>
      </c>
      <c r="F10" s="4497">
        <f>SUM(F5:F9)</f>
        <v>222</v>
      </c>
      <c r="G10" s="4498">
        <f>SUM(G5:G9)</f>
        <v>398</v>
      </c>
      <c r="H10" s="4495">
        <v>53</v>
      </c>
      <c r="I10" s="4496">
        <v>4</v>
      </c>
      <c r="J10" s="4496">
        <v>116</v>
      </c>
      <c r="K10" s="4497">
        <v>229</v>
      </c>
      <c r="L10" s="4498">
        <v>402</v>
      </c>
      <c r="M10" s="4495">
        <v>52</v>
      </c>
      <c r="N10" s="4496">
        <v>4</v>
      </c>
      <c r="O10" s="4496">
        <v>110</v>
      </c>
      <c r="P10" s="4497">
        <v>240</v>
      </c>
      <c r="Q10" s="4498">
        <v>406</v>
      </c>
      <c r="R10" s="4495">
        <f t="shared" ref="R10:AA10" si="3">SUM(R5:R9)</f>
        <v>49</v>
      </c>
      <c r="S10" s="4496">
        <f t="shared" si="3"/>
        <v>4</v>
      </c>
      <c r="T10" s="4496">
        <f t="shared" si="3"/>
        <v>107</v>
      </c>
      <c r="U10" s="4497">
        <f t="shared" si="3"/>
        <v>242</v>
      </c>
      <c r="V10" s="4498">
        <f t="shared" si="3"/>
        <v>402</v>
      </c>
      <c r="W10" s="5131">
        <f t="shared" si="3"/>
        <v>51</v>
      </c>
      <c r="X10" s="5132">
        <f t="shared" si="3"/>
        <v>4</v>
      </c>
      <c r="Y10" s="5132">
        <f t="shared" si="3"/>
        <v>94</v>
      </c>
      <c r="Z10" s="5133">
        <f t="shared" si="3"/>
        <v>247</v>
      </c>
      <c r="AA10" s="4498">
        <f t="shared" si="3"/>
        <v>396</v>
      </c>
      <c r="AB10" s="5131">
        <f t="shared" ref="AB10:AF10" si="4">SUM(AB5:AB9)</f>
        <v>47</v>
      </c>
      <c r="AC10" s="5132">
        <f t="shared" si="4"/>
        <v>4</v>
      </c>
      <c r="AD10" s="5132">
        <f t="shared" si="4"/>
        <v>91</v>
      </c>
      <c r="AE10" s="5133">
        <f t="shared" si="4"/>
        <v>243</v>
      </c>
      <c r="AF10" s="5168">
        <f t="shared" si="4"/>
        <v>385</v>
      </c>
    </row>
    <row r="11" spans="1:32" ht="14.4" x14ac:dyDescent="0.25">
      <c r="A11" s="3512"/>
      <c r="B11" s="3518" t="s">
        <v>840</v>
      </c>
      <c r="C11" s="4491">
        <v>9</v>
      </c>
      <c r="D11" s="4492">
        <v>1</v>
      </c>
      <c r="E11" s="4492">
        <v>14</v>
      </c>
      <c r="F11" s="4493">
        <v>27</v>
      </c>
      <c r="G11" s="4494">
        <v>51</v>
      </c>
      <c r="H11" s="4491">
        <v>10</v>
      </c>
      <c r="I11" s="4492">
        <v>1</v>
      </c>
      <c r="J11" s="4492">
        <v>15</v>
      </c>
      <c r="K11" s="4493">
        <v>29</v>
      </c>
      <c r="L11" s="4494">
        <v>55</v>
      </c>
      <c r="M11" s="4491">
        <v>9</v>
      </c>
      <c r="N11" s="4492">
        <v>1</v>
      </c>
      <c r="O11" s="4492">
        <v>11</v>
      </c>
      <c r="P11" s="4493">
        <v>32</v>
      </c>
      <c r="Q11" s="4494">
        <v>53</v>
      </c>
      <c r="R11" s="4491">
        <v>9</v>
      </c>
      <c r="S11" s="4492">
        <v>1</v>
      </c>
      <c r="T11" s="4492">
        <v>10</v>
      </c>
      <c r="U11" s="4493">
        <v>31</v>
      </c>
      <c r="V11" s="4494">
        <f t="shared" si="0"/>
        <v>51</v>
      </c>
      <c r="W11" s="5128">
        <v>9</v>
      </c>
      <c r="X11" s="5129">
        <v>1</v>
      </c>
      <c r="Y11" s="5129">
        <v>12</v>
      </c>
      <c r="Z11" s="5130">
        <v>30</v>
      </c>
      <c r="AA11" s="4494">
        <f t="shared" ref="AA11:AA15" si="5">SUM(W11:Z11)</f>
        <v>52</v>
      </c>
      <c r="AB11" s="5128">
        <v>8</v>
      </c>
      <c r="AC11" s="5129">
        <v>1</v>
      </c>
      <c r="AD11" s="5129">
        <v>12</v>
      </c>
      <c r="AE11" s="5130">
        <v>29</v>
      </c>
      <c r="AF11" s="5167">
        <f t="shared" ref="AF11:AF15" si="6">SUM(AB11:AE11)</f>
        <v>50</v>
      </c>
    </row>
    <row r="12" spans="1:32" ht="14.4" x14ac:dyDescent="0.25">
      <c r="A12" s="3512"/>
      <c r="B12" s="3518" t="s">
        <v>626</v>
      </c>
      <c r="C12" s="4491">
        <v>38</v>
      </c>
      <c r="D12" s="4492"/>
      <c r="E12" s="4492">
        <v>26</v>
      </c>
      <c r="F12" s="4493">
        <v>25</v>
      </c>
      <c r="G12" s="4494">
        <v>89</v>
      </c>
      <c r="H12" s="4491">
        <v>40</v>
      </c>
      <c r="I12" s="4492"/>
      <c r="J12" s="4492">
        <v>26</v>
      </c>
      <c r="K12" s="4493">
        <v>25</v>
      </c>
      <c r="L12" s="4494">
        <v>91</v>
      </c>
      <c r="M12" s="4491">
        <v>31</v>
      </c>
      <c r="N12" s="4492">
        <v>1</v>
      </c>
      <c r="O12" s="4492">
        <v>25</v>
      </c>
      <c r="P12" s="4493">
        <v>29</v>
      </c>
      <c r="Q12" s="4494">
        <v>86</v>
      </c>
      <c r="R12" s="4491">
        <v>31</v>
      </c>
      <c r="S12" s="4492">
        <v>1</v>
      </c>
      <c r="T12" s="4492">
        <v>25</v>
      </c>
      <c r="U12" s="4493">
        <v>28</v>
      </c>
      <c r="V12" s="4494">
        <f t="shared" si="0"/>
        <v>85</v>
      </c>
      <c r="W12" s="5128">
        <v>33</v>
      </c>
      <c r="X12" s="5129">
        <v>0</v>
      </c>
      <c r="Y12" s="5129">
        <v>22</v>
      </c>
      <c r="Z12" s="5130">
        <v>27</v>
      </c>
      <c r="AA12" s="4494">
        <f t="shared" si="5"/>
        <v>82</v>
      </c>
      <c r="AB12" s="5128">
        <v>31</v>
      </c>
      <c r="AC12" s="5129">
        <v>0</v>
      </c>
      <c r="AD12" s="5129">
        <v>21</v>
      </c>
      <c r="AE12" s="5130">
        <v>29</v>
      </c>
      <c r="AF12" s="5167">
        <f t="shared" si="6"/>
        <v>81</v>
      </c>
    </row>
    <row r="13" spans="1:32" ht="14.4" x14ac:dyDescent="0.25">
      <c r="A13" s="3512"/>
      <c r="B13" s="3518" t="s">
        <v>841</v>
      </c>
      <c r="C13" s="4491">
        <v>7</v>
      </c>
      <c r="D13" s="4492"/>
      <c r="E13" s="4492">
        <v>34</v>
      </c>
      <c r="F13" s="4493">
        <v>41</v>
      </c>
      <c r="G13" s="4494">
        <v>82</v>
      </c>
      <c r="H13" s="4491">
        <v>7</v>
      </c>
      <c r="I13" s="4492"/>
      <c r="J13" s="4492">
        <v>29</v>
      </c>
      <c r="K13" s="4493">
        <v>43</v>
      </c>
      <c r="L13" s="4494">
        <v>79</v>
      </c>
      <c r="M13" s="4491">
        <v>9</v>
      </c>
      <c r="N13" s="4492"/>
      <c r="O13" s="4492">
        <v>27</v>
      </c>
      <c r="P13" s="4493">
        <v>42</v>
      </c>
      <c r="Q13" s="4494">
        <v>78</v>
      </c>
      <c r="R13" s="4491">
        <v>9</v>
      </c>
      <c r="S13" s="4492">
        <v>0</v>
      </c>
      <c r="T13" s="4492">
        <v>26</v>
      </c>
      <c r="U13" s="4493">
        <v>39</v>
      </c>
      <c r="V13" s="4494">
        <f t="shared" si="0"/>
        <v>74</v>
      </c>
      <c r="W13" s="5128">
        <v>7</v>
      </c>
      <c r="X13" s="5129">
        <v>0</v>
      </c>
      <c r="Y13" s="5129">
        <v>23</v>
      </c>
      <c r="Z13" s="5130">
        <v>43</v>
      </c>
      <c r="AA13" s="4494">
        <f t="shared" si="5"/>
        <v>73</v>
      </c>
      <c r="AB13" s="5128">
        <v>8</v>
      </c>
      <c r="AC13" s="5129">
        <v>0</v>
      </c>
      <c r="AD13" s="5129">
        <v>23</v>
      </c>
      <c r="AE13" s="5130">
        <v>41</v>
      </c>
      <c r="AF13" s="5167">
        <f t="shared" si="6"/>
        <v>72</v>
      </c>
    </row>
    <row r="14" spans="1:32" ht="14.4" x14ac:dyDescent="0.25">
      <c r="A14" s="3512"/>
      <c r="B14" s="3518" t="s">
        <v>628</v>
      </c>
      <c r="C14" s="4491">
        <v>22</v>
      </c>
      <c r="D14" s="4492"/>
      <c r="E14" s="4492">
        <v>18</v>
      </c>
      <c r="F14" s="4493">
        <v>30</v>
      </c>
      <c r="G14" s="4494">
        <v>70</v>
      </c>
      <c r="H14" s="4491">
        <v>21</v>
      </c>
      <c r="I14" s="4492"/>
      <c r="J14" s="4492">
        <v>18</v>
      </c>
      <c r="K14" s="4493">
        <v>31</v>
      </c>
      <c r="L14" s="4494">
        <v>70</v>
      </c>
      <c r="M14" s="4491">
        <v>13</v>
      </c>
      <c r="N14" s="4492"/>
      <c r="O14" s="4492">
        <v>26</v>
      </c>
      <c r="P14" s="4493">
        <v>31</v>
      </c>
      <c r="Q14" s="4494">
        <v>70</v>
      </c>
      <c r="R14" s="4491">
        <v>12</v>
      </c>
      <c r="S14" s="4492">
        <v>0</v>
      </c>
      <c r="T14" s="4492">
        <v>26</v>
      </c>
      <c r="U14" s="4493">
        <v>31</v>
      </c>
      <c r="V14" s="4494">
        <f t="shared" si="0"/>
        <v>69</v>
      </c>
      <c r="W14" s="5128">
        <v>17</v>
      </c>
      <c r="X14" s="5129">
        <v>0</v>
      </c>
      <c r="Y14" s="5129">
        <v>16</v>
      </c>
      <c r="Z14" s="5130">
        <v>34</v>
      </c>
      <c r="AA14" s="4494">
        <f t="shared" si="5"/>
        <v>67</v>
      </c>
      <c r="AB14" s="5128">
        <v>16</v>
      </c>
      <c r="AC14" s="5129">
        <v>0</v>
      </c>
      <c r="AD14" s="5129">
        <v>14</v>
      </c>
      <c r="AE14" s="5130">
        <v>32</v>
      </c>
      <c r="AF14" s="5167">
        <f t="shared" si="6"/>
        <v>62</v>
      </c>
    </row>
    <row r="15" spans="1:32" ht="14.4" x14ac:dyDescent="0.25">
      <c r="A15" s="3512"/>
      <c r="B15" s="3518" t="s">
        <v>627</v>
      </c>
      <c r="C15" s="4491">
        <v>7</v>
      </c>
      <c r="D15" s="4492"/>
      <c r="E15" s="4492">
        <v>12</v>
      </c>
      <c r="F15" s="4493">
        <v>56</v>
      </c>
      <c r="G15" s="4494">
        <v>75</v>
      </c>
      <c r="H15" s="4491">
        <v>7</v>
      </c>
      <c r="I15" s="4492"/>
      <c r="J15" s="4492">
        <v>12</v>
      </c>
      <c r="K15" s="4493">
        <v>59</v>
      </c>
      <c r="L15" s="4494">
        <v>78</v>
      </c>
      <c r="M15" s="4491">
        <v>5</v>
      </c>
      <c r="N15" s="4492"/>
      <c r="O15" s="4492">
        <v>16</v>
      </c>
      <c r="P15" s="4493">
        <v>54</v>
      </c>
      <c r="Q15" s="4494">
        <v>75</v>
      </c>
      <c r="R15" s="4491">
        <v>5</v>
      </c>
      <c r="S15" s="4492">
        <v>0</v>
      </c>
      <c r="T15" s="4492">
        <v>15</v>
      </c>
      <c r="U15" s="4493">
        <v>55</v>
      </c>
      <c r="V15" s="4494">
        <f t="shared" si="0"/>
        <v>75</v>
      </c>
      <c r="W15" s="5128">
        <v>5</v>
      </c>
      <c r="X15" s="5129">
        <v>0</v>
      </c>
      <c r="Y15" s="5129">
        <v>13</v>
      </c>
      <c r="Z15" s="5130">
        <v>56</v>
      </c>
      <c r="AA15" s="4494">
        <f t="shared" si="5"/>
        <v>74</v>
      </c>
      <c r="AB15" s="5128">
        <v>6</v>
      </c>
      <c r="AC15" s="5129">
        <v>0</v>
      </c>
      <c r="AD15" s="5129">
        <v>12</v>
      </c>
      <c r="AE15" s="5130">
        <v>54</v>
      </c>
      <c r="AF15" s="5167">
        <f t="shared" si="6"/>
        <v>72</v>
      </c>
    </row>
    <row r="16" spans="1:32" ht="14.4" x14ac:dyDescent="0.25">
      <c r="A16" s="3512"/>
      <c r="B16" s="3519" t="s">
        <v>64</v>
      </c>
      <c r="C16" s="4495">
        <f>SUM(C11:C15)</f>
        <v>83</v>
      </c>
      <c r="D16" s="4496">
        <f>SUM(D11:D15)</f>
        <v>1</v>
      </c>
      <c r="E16" s="4496">
        <f>SUM(E11:E15)</f>
        <v>104</v>
      </c>
      <c r="F16" s="4497">
        <f>SUM(F11:F15)</f>
        <v>179</v>
      </c>
      <c r="G16" s="4498">
        <f>SUM(G11:G15)</f>
        <v>367</v>
      </c>
      <c r="H16" s="4495">
        <v>85</v>
      </c>
      <c r="I16" s="4496">
        <v>1</v>
      </c>
      <c r="J16" s="4496">
        <v>100</v>
      </c>
      <c r="K16" s="4497">
        <v>187</v>
      </c>
      <c r="L16" s="4498">
        <v>373</v>
      </c>
      <c r="M16" s="4495">
        <v>67</v>
      </c>
      <c r="N16" s="4496">
        <v>2</v>
      </c>
      <c r="O16" s="4496">
        <v>105</v>
      </c>
      <c r="P16" s="4497">
        <v>188</v>
      </c>
      <c r="Q16" s="4498">
        <v>362</v>
      </c>
      <c r="R16" s="4495">
        <f t="shared" ref="R16:AA16" si="7">SUM(R11:R15)</f>
        <v>66</v>
      </c>
      <c r="S16" s="4496">
        <f t="shared" si="7"/>
        <v>2</v>
      </c>
      <c r="T16" s="4496">
        <f t="shared" si="7"/>
        <v>102</v>
      </c>
      <c r="U16" s="4497">
        <f t="shared" si="7"/>
        <v>184</v>
      </c>
      <c r="V16" s="4498">
        <f t="shared" si="7"/>
        <v>354</v>
      </c>
      <c r="W16" s="5131">
        <f t="shared" si="7"/>
        <v>71</v>
      </c>
      <c r="X16" s="5132">
        <f t="shared" si="7"/>
        <v>1</v>
      </c>
      <c r="Y16" s="5132">
        <f t="shared" si="7"/>
        <v>86</v>
      </c>
      <c r="Z16" s="5133">
        <f t="shared" si="7"/>
        <v>190</v>
      </c>
      <c r="AA16" s="4498">
        <f t="shared" si="7"/>
        <v>348</v>
      </c>
      <c r="AB16" s="5131">
        <f t="shared" ref="AB16:AF16" si="8">SUM(AB11:AB15)</f>
        <v>69</v>
      </c>
      <c r="AC16" s="5132">
        <f t="shared" si="8"/>
        <v>1</v>
      </c>
      <c r="AD16" s="5132">
        <f t="shared" si="8"/>
        <v>82</v>
      </c>
      <c r="AE16" s="5133">
        <f t="shared" si="8"/>
        <v>185</v>
      </c>
      <c r="AF16" s="5168">
        <f t="shared" si="8"/>
        <v>337</v>
      </c>
    </row>
    <row r="17" spans="1:32" ht="14.4" x14ac:dyDescent="0.25">
      <c r="A17" s="3512"/>
      <c r="B17" s="3518" t="s">
        <v>842</v>
      </c>
      <c r="C17" s="4491">
        <v>6</v>
      </c>
      <c r="D17" s="4492">
        <v>1</v>
      </c>
      <c r="E17" s="4492">
        <v>22</v>
      </c>
      <c r="F17" s="4493">
        <v>14</v>
      </c>
      <c r="G17" s="4494">
        <v>43</v>
      </c>
      <c r="H17" s="4491">
        <v>6</v>
      </c>
      <c r="I17" s="4492">
        <v>1</v>
      </c>
      <c r="J17" s="4492">
        <v>25</v>
      </c>
      <c r="K17" s="4493">
        <v>14</v>
      </c>
      <c r="L17" s="4494">
        <v>46</v>
      </c>
      <c r="M17" s="4491">
        <v>5</v>
      </c>
      <c r="N17" s="4492">
        <v>1</v>
      </c>
      <c r="O17" s="4492">
        <v>26</v>
      </c>
      <c r="P17" s="4493">
        <v>13</v>
      </c>
      <c r="Q17" s="4494">
        <v>45</v>
      </c>
      <c r="R17" s="4491">
        <v>4</v>
      </c>
      <c r="S17" s="4492">
        <v>1</v>
      </c>
      <c r="T17" s="4492">
        <v>26</v>
      </c>
      <c r="U17" s="4493">
        <v>13</v>
      </c>
      <c r="V17" s="4494">
        <f t="shared" si="0"/>
        <v>44</v>
      </c>
      <c r="W17" s="5128">
        <v>5</v>
      </c>
      <c r="X17" s="5129">
        <v>0</v>
      </c>
      <c r="Y17" s="5129">
        <v>26</v>
      </c>
      <c r="Z17" s="5130">
        <v>13</v>
      </c>
      <c r="AA17" s="4494">
        <f t="shared" ref="AA17:AA20" si="9">SUM(W17:Z17)</f>
        <v>44</v>
      </c>
      <c r="AB17" s="5128">
        <v>5</v>
      </c>
      <c r="AC17" s="5129">
        <v>0</v>
      </c>
      <c r="AD17" s="5129">
        <v>22</v>
      </c>
      <c r="AE17" s="5130">
        <v>15</v>
      </c>
      <c r="AF17" s="5167">
        <f t="shared" ref="AF17:AF20" si="10">SUM(AB17:AE17)</f>
        <v>42</v>
      </c>
    </row>
    <row r="18" spans="1:32" ht="14.4" x14ac:dyDescent="0.25">
      <c r="A18" s="3512"/>
      <c r="B18" s="3518" t="s">
        <v>843</v>
      </c>
      <c r="C18" s="4491">
        <v>13</v>
      </c>
      <c r="D18" s="4492">
        <v>1</v>
      </c>
      <c r="E18" s="4492">
        <v>33</v>
      </c>
      <c r="F18" s="4493">
        <v>19</v>
      </c>
      <c r="G18" s="4494">
        <v>66</v>
      </c>
      <c r="H18" s="4491">
        <v>11</v>
      </c>
      <c r="I18" s="4492">
        <v>1</v>
      </c>
      <c r="J18" s="4492">
        <v>34</v>
      </c>
      <c r="K18" s="4493">
        <v>19</v>
      </c>
      <c r="L18" s="4494">
        <v>65</v>
      </c>
      <c r="M18" s="4491">
        <v>14</v>
      </c>
      <c r="N18" s="4492">
        <v>1</v>
      </c>
      <c r="O18" s="4492">
        <v>26</v>
      </c>
      <c r="P18" s="4493">
        <v>23</v>
      </c>
      <c r="Q18" s="4494">
        <v>64</v>
      </c>
      <c r="R18" s="4491">
        <v>14</v>
      </c>
      <c r="S18" s="4492">
        <v>1</v>
      </c>
      <c r="T18" s="4492">
        <v>29</v>
      </c>
      <c r="U18" s="4493">
        <v>22</v>
      </c>
      <c r="V18" s="4494">
        <f t="shared" si="0"/>
        <v>66</v>
      </c>
      <c r="W18" s="5128">
        <v>12</v>
      </c>
      <c r="X18" s="5129">
        <v>1</v>
      </c>
      <c r="Y18" s="5129">
        <v>27</v>
      </c>
      <c r="Z18" s="5130">
        <v>25</v>
      </c>
      <c r="AA18" s="4494">
        <f t="shared" si="9"/>
        <v>65</v>
      </c>
      <c r="AB18" s="5128">
        <v>12</v>
      </c>
      <c r="AC18" s="5129">
        <v>1</v>
      </c>
      <c r="AD18" s="5129">
        <v>24</v>
      </c>
      <c r="AE18" s="5130">
        <v>28</v>
      </c>
      <c r="AF18" s="5167">
        <f t="shared" si="10"/>
        <v>65</v>
      </c>
    </row>
    <row r="19" spans="1:32" ht="14.4" x14ac:dyDescent="0.25">
      <c r="A19" s="3512"/>
      <c r="B19" s="3518" t="s">
        <v>844</v>
      </c>
      <c r="C19" s="4491">
        <v>11</v>
      </c>
      <c r="D19" s="4492">
        <v>2</v>
      </c>
      <c r="E19" s="4492">
        <v>22</v>
      </c>
      <c r="F19" s="4493">
        <v>10</v>
      </c>
      <c r="G19" s="4494">
        <v>45</v>
      </c>
      <c r="H19" s="4491">
        <v>9</v>
      </c>
      <c r="I19" s="4492">
        <v>2</v>
      </c>
      <c r="J19" s="4492">
        <v>21</v>
      </c>
      <c r="K19" s="4493">
        <v>11</v>
      </c>
      <c r="L19" s="4494">
        <v>43</v>
      </c>
      <c r="M19" s="4491">
        <v>9</v>
      </c>
      <c r="N19" s="4492">
        <v>1</v>
      </c>
      <c r="O19" s="4492">
        <v>21</v>
      </c>
      <c r="P19" s="4493">
        <v>12</v>
      </c>
      <c r="Q19" s="4494">
        <v>43</v>
      </c>
      <c r="R19" s="4491">
        <v>8</v>
      </c>
      <c r="S19" s="4492">
        <v>1</v>
      </c>
      <c r="T19" s="4492">
        <v>20</v>
      </c>
      <c r="U19" s="4493">
        <v>11</v>
      </c>
      <c r="V19" s="4494">
        <f t="shared" si="0"/>
        <v>40</v>
      </c>
      <c r="W19" s="5128">
        <v>10</v>
      </c>
      <c r="X19" s="5129">
        <v>2</v>
      </c>
      <c r="Y19" s="5129">
        <v>15</v>
      </c>
      <c r="Z19" s="5130">
        <v>13</v>
      </c>
      <c r="AA19" s="4494">
        <f t="shared" si="9"/>
        <v>40</v>
      </c>
      <c r="AB19" s="5128">
        <v>9</v>
      </c>
      <c r="AC19" s="5129">
        <v>2</v>
      </c>
      <c r="AD19" s="5129">
        <v>18</v>
      </c>
      <c r="AE19" s="5130">
        <v>11</v>
      </c>
      <c r="AF19" s="5167">
        <f t="shared" si="10"/>
        <v>40</v>
      </c>
    </row>
    <row r="20" spans="1:32" ht="14.4" x14ac:dyDescent="0.25">
      <c r="A20" s="3512"/>
      <c r="B20" s="3518" t="s">
        <v>845</v>
      </c>
      <c r="C20" s="4491">
        <v>21</v>
      </c>
      <c r="D20" s="4492"/>
      <c r="E20" s="4492">
        <v>46</v>
      </c>
      <c r="F20" s="4493">
        <v>16</v>
      </c>
      <c r="G20" s="4494">
        <v>83</v>
      </c>
      <c r="H20" s="4491">
        <v>19</v>
      </c>
      <c r="I20" s="4492"/>
      <c r="J20" s="4492">
        <v>50</v>
      </c>
      <c r="K20" s="4493">
        <v>18</v>
      </c>
      <c r="L20" s="4494">
        <v>87</v>
      </c>
      <c r="M20" s="4491">
        <v>21</v>
      </c>
      <c r="N20" s="4492"/>
      <c r="O20" s="4492">
        <v>45</v>
      </c>
      <c r="P20" s="4493">
        <v>18</v>
      </c>
      <c r="Q20" s="4494">
        <v>84</v>
      </c>
      <c r="R20" s="4491">
        <v>21</v>
      </c>
      <c r="S20" s="4492">
        <v>0</v>
      </c>
      <c r="T20" s="4492">
        <v>46</v>
      </c>
      <c r="U20" s="4493">
        <v>18</v>
      </c>
      <c r="V20" s="4494">
        <f t="shared" si="0"/>
        <v>85</v>
      </c>
      <c r="W20" s="5128">
        <v>13</v>
      </c>
      <c r="X20" s="5129">
        <v>0</v>
      </c>
      <c r="Y20" s="5129">
        <v>48</v>
      </c>
      <c r="Z20" s="5130">
        <v>19</v>
      </c>
      <c r="AA20" s="4494">
        <f t="shared" si="9"/>
        <v>80</v>
      </c>
      <c r="AB20" s="5128">
        <v>13</v>
      </c>
      <c r="AC20" s="5129">
        <v>0</v>
      </c>
      <c r="AD20" s="5129">
        <v>45</v>
      </c>
      <c r="AE20" s="5130">
        <v>19</v>
      </c>
      <c r="AF20" s="5167">
        <f t="shared" si="10"/>
        <v>77</v>
      </c>
    </row>
    <row r="21" spans="1:32" ht="14.4" x14ac:dyDescent="0.25">
      <c r="A21" s="3512"/>
      <c r="B21" s="3520" t="s">
        <v>68</v>
      </c>
      <c r="C21" s="4499">
        <f>SUM(C17:C20)</f>
        <v>51</v>
      </c>
      <c r="D21" s="4500">
        <f>SUM(D17:D20)</f>
        <v>4</v>
      </c>
      <c r="E21" s="4500">
        <f>SUM(E17:E20)</f>
        <v>123</v>
      </c>
      <c r="F21" s="4501">
        <f>SUM(F17:F20)</f>
        <v>59</v>
      </c>
      <c r="G21" s="4502">
        <f>SUM(G17:G20)</f>
        <v>237</v>
      </c>
      <c r="H21" s="4499">
        <v>45</v>
      </c>
      <c r="I21" s="4500">
        <v>4</v>
      </c>
      <c r="J21" s="4500">
        <v>130</v>
      </c>
      <c r="K21" s="4501">
        <v>62</v>
      </c>
      <c r="L21" s="4502">
        <v>241</v>
      </c>
      <c r="M21" s="4499">
        <v>49</v>
      </c>
      <c r="N21" s="4500">
        <v>3</v>
      </c>
      <c r="O21" s="4500">
        <v>118</v>
      </c>
      <c r="P21" s="4501">
        <v>66</v>
      </c>
      <c r="Q21" s="4502">
        <v>236</v>
      </c>
      <c r="R21" s="4499">
        <f t="shared" ref="R21:AA21" si="11">SUM(R17:R20)</f>
        <v>47</v>
      </c>
      <c r="S21" s="4500">
        <f t="shared" si="11"/>
        <v>3</v>
      </c>
      <c r="T21" s="4500">
        <f t="shared" si="11"/>
        <v>121</v>
      </c>
      <c r="U21" s="4501">
        <f t="shared" si="11"/>
        <v>64</v>
      </c>
      <c r="V21" s="4502">
        <f t="shared" si="11"/>
        <v>235</v>
      </c>
      <c r="W21" s="5134">
        <f t="shared" si="11"/>
        <v>40</v>
      </c>
      <c r="X21" s="5135">
        <f t="shared" si="11"/>
        <v>3</v>
      </c>
      <c r="Y21" s="5135">
        <f t="shared" si="11"/>
        <v>116</v>
      </c>
      <c r="Z21" s="5136">
        <f t="shared" si="11"/>
        <v>70</v>
      </c>
      <c r="AA21" s="4502">
        <f t="shared" si="11"/>
        <v>229</v>
      </c>
      <c r="AB21" s="5134">
        <f t="shared" ref="AB21:AF21" si="12">SUM(AB17:AB20)</f>
        <v>39</v>
      </c>
      <c r="AC21" s="5135">
        <f t="shared" si="12"/>
        <v>3</v>
      </c>
      <c r="AD21" s="5135">
        <f t="shared" si="12"/>
        <v>109</v>
      </c>
      <c r="AE21" s="5136">
        <f t="shared" si="12"/>
        <v>73</v>
      </c>
      <c r="AF21" s="5169">
        <f t="shared" si="12"/>
        <v>224</v>
      </c>
    </row>
    <row r="22" spans="1:32" ht="15" customHeight="1" x14ac:dyDescent="0.25">
      <c r="A22" s="3512"/>
      <c r="B22" s="3521" t="s">
        <v>846</v>
      </c>
      <c r="C22" s="4503">
        <f>SUM(C21,C16,C10)</f>
        <v>190</v>
      </c>
      <c r="D22" s="4504">
        <f>SUM(D21,D16,D10)</f>
        <v>10</v>
      </c>
      <c r="E22" s="4504">
        <f>SUM(E21,E16,E10)</f>
        <v>342</v>
      </c>
      <c r="F22" s="4505">
        <f>SUM(F21,F16,F10)</f>
        <v>460</v>
      </c>
      <c r="G22" s="4506">
        <f>SUM(G21,G16,G10)</f>
        <v>1002</v>
      </c>
      <c r="H22" s="4503">
        <v>183</v>
      </c>
      <c r="I22" s="4504">
        <v>9</v>
      </c>
      <c r="J22" s="4504">
        <v>346</v>
      </c>
      <c r="K22" s="4505">
        <v>478</v>
      </c>
      <c r="L22" s="4506">
        <v>1016</v>
      </c>
      <c r="M22" s="4503">
        <v>168</v>
      </c>
      <c r="N22" s="4504">
        <v>9</v>
      </c>
      <c r="O22" s="4504">
        <v>333</v>
      </c>
      <c r="P22" s="4505">
        <v>494</v>
      </c>
      <c r="Q22" s="4506">
        <v>1004</v>
      </c>
      <c r="R22" s="4503">
        <f t="shared" ref="R22:AA22" si="13">SUM(R10,R16,R21)</f>
        <v>162</v>
      </c>
      <c r="S22" s="4504">
        <f t="shared" si="13"/>
        <v>9</v>
      </c>
      <c r="T22" s="4504">
        <f t="shared" si="13"/>
        <v>330</v>
      </c>
      <c r="U22" s="4505">
        <f t="shared" si="13"/>
        <v>490</v>
      </c>
      <c r="V22" s="4506">
        <f t="shared" si="13"/>
        <v>991</v>
      </c>
      <c r="W22" s="5137">
        <f t="shared" si="13"/>
        <v>162</v>
      </c>
      <c r="X22" s="5138">
        <f t="shared" si="13"/>
        <v>8</v>
      </c>
      <c r="Y22" s="5138">
        <f t="shared" si="13"/>
        <v>296</v>
      </c>
      <c r="Z22" s="5139">
        <f t="shared" si="13"/>
        <v>507</v>
      </c>
      <c r="AA22" s="4506">
        <f t="shared" si="13"/>
        <v>973</v>
      </c>
      <c r="AB22" s="5137">
        <f t="shared" ref="AB22:AF22" si="14">SUM(AB10,AB16,AB21)</f>
        <v>155</v>
      </c>
      <c r="AC22" s="5138">
        <f t="shared" si="14"/>
        <v>8</v>
      </c>
      <c r="AD22" s="5138">
        <f t="shared" si="14"/>
        <v>282</v>
      </c>
      <c r="AE22" s="5139">
        <f t="shared" si="14"/>
        <v>501</v>
      </c>
      <c r="AF22" s="5170">
        <f t="shared" si="14"/>
        <v>946</v>
      </c>
    </row>
    <row r="23" spans="1:32" ht="15" customHeight="1" x14ac:dyDescent="0.25">
      <c r="A23" s="3512"/>
      <c r="B23" s="3517" t="s">
        <v>847</v>
      </c>
      <c r="C23" s="4487"/>
      <c r="D23" s="4488"/>
      <c r="E23" s="4488"/>
      <c r="F23" s="4489">
        <v>19</v>
      </c>
      <c r="G23" s="4490">
        <v>19</v>
      </c>
      <c r="H23" s="4487"/>
      <c r="I23" s="4488"/>
      <c r="J23" s="4488">
        <v>1</v>
      </c>
      <c r="K23" s="4489">
        <v>13</v>
      </c>
      <c r="L23" s="4490">
        <v>17</v>
      </c>
      <c r="M23" s="4487"/>
      <c r="N23" s="4488"/>
      <c r="O23" s="4488"/>
      <c r="P23" s="4489">
        <v>18</v>
      </c>
      <c r="Q23" s="4494">
        <f>SUM(M23:P23)</f>
        <v>18</v>
      </c>
      <c r="R23" s="4487"/>
      <c r="S23" s="4488"/>
      <c r="T23" s="4488"/>
      <c r="U23" s="4489">
        <v>17</v>
      </c>
      <c r="V23" s="4494">
        <f>SUM(R23:U23)</f>
        <v>17</v>
      </c>
      <c r="W23" s="5125">
        <v>0</v>
      </c>
      <c r="X23" s="5126">
        <v>0</v>
      </c>
      <c r="Y23" s="5126">
        <v>0</v>
      </c>
      <c r="Z23" s="5127">
        <v>16</v>
      </c>
      <c r="AA23" s="4494">
        <f>SUM(W23:Z23)</f>
        <v>16</v>
      </c>
      <c r="AB23" s="5125">
        <v>0</v>
      </c>
      <c r="AC23" s="5126">
        <v>0</v>
      </c>
      <c r="AD23" s="5126">
        <v>0</v>
      </c>
      <c r="AE23" s="5127">
        <v>15</v>
      </c>
      <c r="AF23" s="5167">
        <f>SUM(AB23:AE23)</f>
        <v>15</v>
      </c>
    </row>
    <row r="24" spans="1:32" ht="14.4" x14ac:dyDescent="0.25">
      <c r="A24" s="3512"/>
      <c r="B24" s="3518" t="s">
        <v>848</v>
      </c>
      <c r="C24" s="4491"/>
      <c r="D24" s="4492"/>
      <c r="E24" s="4492"/>
      <c r="F24" s="4493">
        <v>23</v>
      </c>
      <c r="G24" s="4494">
        <v>23</v>
      </c>
      <c r="H24" s="4491">
        <v>1</v>
      </c>
      <c r="I24" s="4492"/>
      <c r="J24" s="4492">
        <v>3</v>
      </c>
      <c r="K24" s="4493">
        <v>18</v>
      </c>
      <c r="L24" s="4494">
        <v>22</v>
      </c>
      <c r="M24" s="4491"/>
      <c r="N24" s="4492"/>
      <c r="O24" s="4492"/>
      <c r="P24" s="4493">
        <v>21</v>
      </c>
      <c r="Q24" s="4494">
        <f>SUM(M24:P24)</f>
        <v>21</v>
      </c>
      <c r="R24" s="4491"/>
      <c r="S24" s="4492"/>
      <c r="T24" s="4492">
        <v>1</v>
      </c>
      <c r="U24" s="4493">
        <v>21</v>
      </c>
      <c r="V24" s="4494">
        <f t="shared" ref="V24:V33" si="15">SUM(R24:U24)</f>
        <v>22</v>
      </c>
      <c r="W24" s="5128">
        <v>0</v>
      </c>
      <c r="X24" s="5129">
        <v>0</v>
      </c>
      <c r="Y24" s="5129">
        <v>1</v>
      </c>
      <c r="Z24" s="5130">
        <v>21</v>
      </c>
      <c r="AA24" s="4494">
        <f t="shared" ref="AA24:AA25" si="16">SUM(W24:Z24)</f>
        <v>22</v>
      </c>
      <c r="AB24" s="5128">
        <v>0</v>
      </c>
      <c r="AC24" s="5129">
        <v>0</v>
      </c>
      <c r="AD24" s="5129">
        <v>1</v>
      </c>
      <c r="AE24" s="5130">
        <v>21</v>
      </c>
      <c r="AF24" s="5167">
        <f t="shared" ref="AF24:AF25" si="17">SUM(AB24:AE24)</f>
        <v>22</v>
      </c>
    </row>
    <row r="25" spans="1:32" ht="14.4" x14ac:dyDescent="0.25">
      <c r="A25" s="3512"/>
      <c r="B25" s="3518" t="s">
        <v>628</v>
      </c>
      <c r="C25" s="4491"/>
      <c r="D25" s="4492"/>
      <c r="E25" s="4492"/>
      <c r="F25" s="4493">
        <v>21</v>
      </c>
      <c r="G25" s="4494">
        <v>21</v>
      </c>
      <c r="H25" s="4491"/>
      <c r="I25" s="4492"/>
      <c r="J25" s="4492"/>
      <c r="K25" s="4493">
        <v>17</v>
      </c>
      <c r="L25" s="4494">
        <v>22</v>
      </c>
      <c r="M25" s="4491"/>
      <c r="N25" s="4492"/>
      <c r="O25" s="4492"/>
      <c r="P25" s="4493">
        <v>21</v>
      </c>
      <c r="Q25" s="4494">
        <f>SUM(M25:P25)</f>
        <v>21</v>
      </c>
      <c r="R25" s="4491"/>
      <c r="S25" s="4492"/>
      <c r="T25" s="4492"/>
      <c r="U25" s="4493">
        <v>21</v>
      </c>
      <c r="V25" s="4494">
        <f t="shared" si="15"/>
        <v>21</v>
      </c>
      <c r="W25" s="5128">
        <v>0</v>
      </c>
      <c r="X25" s="5129">
        <v>0</v>
      </c>
      <c r="Y25" s="5129">
        <v>0</v>
      </c>
      <c r="Z25" s="5130">
        <v>22</v>
      </c>
      <c r="AA25" s="4494">
        <f t="shared" si="16"/>
        <v>22</v>
      </c>
      <c r="AB25" s="5128">
        <v>0</v>
      </c>
      <c r="AC25" s="5129">
        <v>0</v>
      </c>
      <c r="AD25" s="5129">
        <v>0</v>
      </c>
      <c r="AE25" s="5130">
        <v>22</v>
      </c>
      <c r="AF25" s="5167">
        <f t="shared" si="17"/>
        <v>22</v>
      </c>
    </row>
    <row r="26" spans="1:32" ht="14.4" x14ac:dyDescent="0.25">
      <c r="A26" s="3512"/>
      <c r="B26" s="3519" t="s">
        <v>64</v>
      </c>
      <c r="C26" s="4507">
        <f>SUM(C23:C25)</f>
        <v>0</v>
      </c>
      <c r="D26" s="4508">
        <f>SUM(D23:D25)</f>
        <v>0</v>
      </c>
      <c r="E26" s="4508">
        <f>SUM(E23:E25)</f>
        <v>0</v>
      </c>
      <c r="F26" s="4509">
        <f>SUM(F23:F25)</f>
        <v>63</v>
      </c>
      <c r="G26" s="4510">
        <f>SUM(G23:G25)</f>
        <v>63</v>
      </c>
      <c r="H26" s="4507">
        <v>1</v>
      </c>
      <c r="I26" s="4508">
        <v>0</v>
      </c>
      <c r="J26" s="4508">
        <v>4</v>
      </c>
      <c r="K26" s="4509">
        <v>48</v>
      </c>
      <c r="L26" s="4510">
        <v>61</v>
      </c>
      <c r="M26" s="4507">
        <f t="shared" ref="M26:V26" si="18">SUM(M23:M25)</f>
        <v>0</v>
      </c>
      <c r="N26" s="4508">
        <f t="shared" si="18"/>
        <v>0</v>
      </c>
      <c r="O26" s="4508">
        <f t="shared" si="18"/>
        <v>0</v>
      </c>
      <c r="P26" s="4509">
        <f t="shared" si="18"/>
        <v>60</v>
      </c>
      <c r="Q26" s="4510">
        <f t="shared" si="18"/>
        <v>60</v>
      </c>
      <c r="R26" s="4507">
        <f t="shared" si="18"/>
        <v>0</v>
      </c>
      <c r="S26" s="4508">
        <f t="shared" si="18"/>
        <v>0</v>
      </c>
      <c r="T26" s="4508">
        <f t="shared" si="18"/>
        <v>1</v>
      </c>
      <c r="U26" s="4509">
        <f t="shared" si="18"/>
        <v>59</v>
      </c>
      <c r="V26" s="4510">
        <f t="shared" si="18"/>
        <v>60</v>
      </c>
      <c r="W26" s="5140">
        <f t="shared" ref="W26:AA26" si="19">SUM(W23:W25)</f>
        <v>0</v>
      </c>
      <c r="X26" s="5141">
        <f t="shared" si="19"/>
        <v>0</v>
      </c>
      <c r="Y26" s="5141">
        <f t="shared" si="19"/>
        <v>1</v>
      </c>
      <c r="Z26" s="5142">
        <f t="shared" si="19"/>
        <v>59</v>
      </c>
      <c r="AA26" s="4510">
        <f t="shared" si="19"/>
        <v>60</v>
      </c>
      <c r="AB26" s="5140">
        <f t="shared" ref="AB26:AF26" si="20">SUM(AB23:AB25)</f>
        <v>0</v>
      </c>
      <c r="AC26" s="5141">
        <f t="shared" si="20"/>
        <v>0</v>
      </c>
      <c r="AD26" s="5141">
        <f t="shared" si="20"/>
        <v>1</v>
      </c>
      <c r="AE26" s="5142">
        <f t="shared" si="20"/>
        <v>58</v>
      </c>
      <c r="AF26" s="5171">
        <f t="shared" si="20"/>
        <v>59</v>
      </c>
    </row>
    <row r="27" spans="1:32" ht="14.4" x14ac:dyDescent="0.25">
      <c r="A27" s="3512"/>
      <c r="B27" s="3518" t="s">
        <v>849</v>
      </c>
      <c r="C27" s="4491">
        <v>1</v>
      </c>
      <c r="D27" s="4492"/>
      <c r="E27" s="4492">
        <v>4</v>
      </c>
      <c r="F27" s="4493">
        <v>14</v>
      </c>
      <c r="G27" s="4494">
        <v>19</v>
      </c>
      <c r="H27" s="4491">
        <v>1</v>
      </c>
      <c r="I27" s="4492"/>
      <c r="J27" s="4492">
        <v>3</v>
      </c>
      <c r="K27" s="4493">
        <v>17</v>
      </c>
      <c r="L27" s="4494">
        <v>16</v>
      </c>
      <c r="M27" s="4491">
        <v>1</v>
      </c>
      <c r="N27" s="4492"/>
      <c r="O27" s="4492">
        <v>3</v>
      </c>
      <c r="P27" s="4493">
        <v>12</v>
      </c>
      <c r="Q27" s="4494">
        <f>SUM(M27:P27)</f>
        <v>16</v>
      </c>
      <c r="R27" s="4491">
        <v>1</v>
      </c>
      <c r="S27" s="4492"/>
      <c r="T27" s="4492">
        <v>3</v>
      </c>
      <c r="U27" s="4493">
        <v>12</v>
      </c>
      <c r="V27" s="4494">
        <f t="shared" si="15"/>
        <v>16</v>
      </c>
      <c r="W27" s="5128">
        <v>0</v>
      </c>
      <c r="X27" s="5129">
        <v>0</v>
      </c>
      <c r="Y27" s="5129">
        <v>5</v>
      </c>
      <c r="Z27" s="5130">
        <v>11</v>
      </c>
      <c r="AA27" s="4494">
        <f t="shared" ref="AA27:AA29" si="21">SUM(W27:Z27)</f>
        <v>16</v>
      </c>
      <c r="AB27" s="5128">
        <v>0</v>
      </c>
      <c r="AC27" s="5129">
        <v>0</v>
      </c>
      <c r="AD27" s="5129">
        <v>5</v>
      </c>
      <c r="AE27" s="5130">
        <v>12</v>
      </c>
      <c r="AF27" s="5167">
        <f t="shared" ref="AF27:AF29" si="22">SUM(AB27:AE27)</f>
        <v>17</v>
      </c>
    </row>
    <row r="28" spans="1:32" ht="14.4" x14ac:dyDescent="0.25">
      <c r="A28" s="3512"/>
      <c r="B28" s="3518" t="s">
        <v>850</v>
      </c>
      <c r="C28" s="4491"/>
      <c r="D28" s="4492"/>
      <c r="E28" s="4492">
        <v>1</v>
      </c>
      <c r="F28" s="4493">
        <v>15</v>
      </c>
      <c r="G28" s="4494">
        <v>16</v>
      </c>
      <c r="H28" s="4491"/>
      <c r="I28" s="4492"/>
      <c r="J28" s="4492">
        <v>2</v>
      </c>
      <c r="K28" s="4493">
        <v>22</v>
      </c>
      <c r="L28" s="4494">
        <v>17</v>
      </c>
      <c r="M28" s="4491"/>
      <c r="N28" s="4492"/>
      <c r="O28" s="4492">
        <v>1</v>
      </c>
      <c r="P28" s="4493">
        <v>17</v>
      </c>
      <c r="Q28" s="4494">
        <f>SUM(M28:P28)</f>
        <v>18</v>
      </c>
      <c r="R28" s="4491"/>
      <c r="S28" s="4492"/>
      <c r="T28" s="4492">
        <v>1</v>
      </c>
      <c r="U28" s="4493">
        <v>17</v>
      </c>
      <c r="V28" s="4494">
        <f t="shared" si="15"/>
        <v>18</v>
      </c>
      <c r="W28" s="5128">
        <v>0</v>
      </c>
      <c r="X28" s="5129">
        <v>0</v>
      </c>
      <c r="Y28" s="5129">
        <v>1</v>
      </c>
      <c r="Z28" s="5130">
        <v>17</v>
      </c>
      <c r="AA28" s="4494">
        <f t="shared" si="21"/>
        <v>18</v>
      </c>
      <c r="AB28" s="5128">
        <v>0</v>
      </c>
      <c r="AC28" s="5129">
        <v>0</v>
      </c>
      <c r="AD28" s="5129">
        <v>1</v>
      </c>
      <c r="AE28" s="5130">
        <v>18</v>
      </c>
      <c r="AF28" s="5167">
        <f t="shared" si="22"/>
        <v>19</v>
      </c>
    </row>
    <row r="29" spans="1:32" ht="14.4" x14ac:dyDescent="0.25">
      <c r="A29" s="3512"/>
      <c r="B29" s="3518" t="s">
        <v>851</v>
      </c>
      <c r="C29" s="4491"/>
      <c r="D29" s="4492"/>
      <c r="E29" s="4492">
        <v>8</v>
      </c>
      <c r="F29" s="4493">
        <v>11</v>
      </c>
      <c r="G29" s="4494">
        <v>19</v>
      </c>
      <c r="H29" s="4491"/>
      <c r="I29" s="4492"/>
      <c r="J29" s="4492">
        <v>8</v>
      </c>
      <c r="K29" s="4493">
        <v>22</v>
      </c>
      <c r="L29" s="4494">
        <v>19</v>
      </c>
      <c r="M29" s="4491"/>
      <c r="N29" s="4492"/>
      <c r="O29" s="4492">
        <v>9</v>
      </c>
      <c r="P29" s="4493">
        <v>10</v>
      </c>
      <c r="Q29" s="4494">
        <f>SUM(M29:P29)</f>
        <v>19</v>
      </c>
      <c r="R29" s="4491"/>
      <c r="S29" s="4492"/>
      <c r="T29" s="4492">
        <v>9</v>
      </c>
      <c r="U29" s="4493">
        <v>12</v>
      </c>
      <c r="V29" s="4494">
        <f t="shared" si="15"/>
        <v>21</v>
      </c>
      <c r="W29" s="5128">
        <v>0</v>
      </c>
      <c r="X29" s="5129">
        <v>0</v>
      </c>
      <c r="Y29" s="5129">
        <v>10</v>
      </c>
      <c r="Z29" s="5130">
        <v>13</v>
      </c>
      <c r="AA29" s="4494">
        <f t="shared" si="21"/>
        <v>23</v>
      </c>
      <c r="AB29" s="5128">
        <v>0</v>
      </c>
      <c r="AC29" s="5129">
        <v>0</v>
      </c>
      <c r="AD29" s="5129">
        <v>10</v>
      </c>
      <c r="AE29" s="5130">
        <v>13</v>
      </c>
      <c r="AF29" s="5167">
        <f t="shared" si="22"/>
        <v>23</v>
      </c>
    </row>
    <row r="30" spans="1:32" ht="14.4" x14ac:dyDescent="0.25">
      <c r="A30" s="3512"/>
      <c r="B30" s="3519" t="s">
        <v>111</v>
      </c>
      <c r="C30" s="4507">
        <f>SUM(C27:C29)</f>
        <v>1</v>
      </c>
      <c r="D30" s="4508">
        <f>SUM(D27:D29)</f>
        <v>0</v>
      </c>
      <c r="E30" s="4508">
        <f>SUM(E27:E29)</f>
        <v>13</v>
      </c>
      <c r="F30" s="4509">
        <f>SUM(F27:F29)</f>
        <v>40</v>
      </c>
      <c r="G30" s="4510">
        <f>SUM(G27:G29)</f>
        <v>54</v>
      </c>
      <c r="H30" s="4507">
        <v>1</v>
      </c>
      <c r="I30" s="4508">
        <v>0</v>
      </c>
      <c r="J30" s="4508">
        <v>13</v>
      </c>
      <c r="K30" s="4509">
        <v>38</v>
      </c>
      <c r="L30" s="4510">
        <v>52</v>
      </c>
      <c r="M30" s="4507">
        <f t="shared" ref="M30:V30" si="23">SUM(M27:M29)</f>
        <v>1</v>
      </c>
      <c r="N30" s="4508">
        <f t="shared" si="23"/>
        <v>0</v>
      </c>
      <c r="O30" s="4508">
        <f t="shared" si="23"/>
        <v>13</v>
      </c>
      <c r="P30" s="4509">
        <f t="shared" si="23"/>
        <v>39</v>
      </c>
      <c r="Q30" s="4510">
        <f t="shared" si="23"/>
        <v>53</v>
      </c>
      <c r="R30" s="4507">
        <f t="shared" si="23"/>
        <v>1</v>
      </c>
      <c r="S30" s="4508">
        <f t="shared" si="23"/>
        <v>0</v>
      </c>
      <c r="T30" s="4508">
        <f t="shared" si="23"/>
        <v>13</v>
      </c>
      <c r="U30" s="4509">
        <f t="shared" si="23"/>
        <v>41</v>
      </c>
      <c r="V30" s="4510">
        <f t="shared" si="23"/>
        <v>55</v>
      </c>
      <c r="W30" s="5140">
        <f t="shared" ref="W30:AA30" si="24">SUM(W27:W29)</f>
        <v>0</v>
      </c>
      <c r="X30" s="5141">
        <f t="shared" si="24"/>
        <v>0</v>
      </c>
      <c r="Y30" s="5141">
        <f t="shared" si="24"/>
        <v>16</v>
      </c>
      <c r="Z30" s="5142">
        <f t="shared" si="24"/>
        <v>41</v>
      </c>
      <c r="AA30" s="4510">
        <f t="shared" si="24"/>
        <v>57</v>
      </c>
      <c r="AB30" s="5140">
        <f t="shared" ref="AB30:AF30" si="25">SUM(AB27:AB29)</f>
        <v>0</v>
      </c>
      <c r="AC30" s="5141">
        <f t="shared" si="25"/>
        <v>0</v>
      </c>
      <c r="AD30" s="5141">
        <f t="shared" si="25"/>
        <v>16</v>
      </c>
      <c r="AE30" s="5142">
        <f t="shared" si="25"/>
        <v>43</v>
      </c>
      <c r="AF30" s="5171">
        <f t="shared" si="25"/>
        <v>59</v>
      </c>
    </row>
    <row r="31" spans="1:32" ht="14.4" x14ac:dyDescent="0.25">
      <c r="A31" s="3512"/>
      <c r="B31" s="3518" t="s">
        <v>852</v>
      </c>
      <c r="C31" s="4491">
        <v>1</v>
      </c>
      <c r="D31" s="4492"/>
      <c r="E31" s="4492">
        <v>1</v>
      </c>
      <c r="F31" s="4493">
        <v>13</v>
      </c>
      <c r="G31" s="4494">
        <v>15</v>
      </c>
      <c r="H31" s="4491">
        <v>1</v>
      </c>
      <c r="I31" s="4492"/>
      <c r="J31" s="4492">
        <v>3</v>
      </c>
      <c r="K31" s="4493">
        <v>12</v>
      </c>
      <c r="L31" s="4494">
        <v>14</v>
      </c>
      <c r="M31" s="4491"/>
      <c r="N31" s="4492"/>
      <c r="O31" s="4492"/>
      <c r="P31" s="4493">
        <v>15</v>
      </c>
      <c r="Q31" s="4494">
        <f>SUM(M31:P31)</f>
        <v>15</v>
      </c>
      <c r="R31" s="4491"/>
      <c r="S31" s="4492"/>
      <c r="T31" s="4492"/>
      <c r="U31" s="4493">
        <v>16</v>
      </c>
      <c r="V31" s="4494">
        <f t="shared" si="15"/>
        <v>16</v>
      </c>
      <c r="W31" s="5128">
        <v>0</v>
      </c>
      <c r="X31" s="5129">
        <v>0</v>
      </c>
      <c r="Y31" s="5129">
        <v>1</v>
      </c>
      <c r="Z31" s="5130">
        <v>15</v>
      </c>
      <c r="AA31" s="4494">
        <f t="shared" ref="AA31:AA33" si="26">SUM(W31:Z31)</f>
        <v>16</v>
      </c>
      <c r="AB31" s="5128">
        <v>0</v>
      </c>
      <c r="AC31" s="5129">
        <v>0</v>
      </c>
      <c r="AD31" s="5129">
        <v>1</v>
      </c>
      <c r="AE31" s="5130">
        <v>14</v>
      </c>
      <c r="AF31" s="5167">
        <f t="shared" ref="AF31:AF33" si="27">SUM(AB31:AE31)</f>
        <v>15</v>
      </c>
    </row>
    <row r="32" spans="1:32" ht="14.4" x14ac:dyDescent="0.25">
      <c r="A32" s="3512"/>
      <c r="B32" s="3518" t="s">
        <v>853</v>
      </c>
      <c r="C32" s="4491">
        <v>1</v>
      </c>
      <c r="D32" s="4492"/>
      <c r="E32" s="4492">
        <v>3</v>
      </c>
      <c r="F32" s="4493">
        <v>18</v>
      </c>
      <c r="G32" s="4494">
        <v>22</v>
      </c>
      <c r="H32" s="4491"/>
      <c r="I32" s="4492"/>
      <c r="J32" s="4492">
        <v>2</v>
      </c>
      <c r="K32" s="4493">
        <v>15</v>
      </c>
      <c r="L32" s="4494">
        <v>22</v>
      </c>
      <c r="M32" s="4491"/>
      <c r="N32" s="4492"/>
      <c r="O32" s="4492">
        <v>1</v>
      </c>
      <c r="P32" s="4493">
        <v>20</v>
      </c>
      <c r="Q32" s="4494">
        <f>SUM(M32:P32)</f>
        <v>21</v>
      </c>
      <c r="R32" s="4491"/>
      <c r="S32" s="4492"/>
      <c r="T32" s="4492">
        <v>1</v>
      </c>
      <c r="U32" s="4493">
        <v>20</v>
      </c>
      <c r="V32" s="4494">
        <f t="shared" si="15"/>
        <v>21</v>
      </c>
      <c r="W32" s="5128">
        <v>0</v>
      </c>
      <c r="X32" s="5129">
        <v>0</v>
      </c>
      <c r="Y32" s="5129">
        <v>2</v>
      </c>
      <c r="Z32" s="5130">
        <v>19</v>
      </c>
      <c r="AA32" s="4494">
        <f t="shared" si="26"/>
        <v>21</v>
      </c>
      <c r="AB32" s="5128">
        <v>0</v>
      </c>
      <c r="AC32" s="5129">
        <v>0</v>
      </c>
      <c r="AD32" s="5129">
        <v>2</v>
      </c>
      <c r="AE32" s="5130">
        <v>19</v>
      </c>
      <c r="AF32" s="5167">
        <f t="shared" si="27"/>
        <v>21</v>
      </c>
    </row>
    <row r="33" spans="1:32" ht="14.4" x14ac:dyDescent="0.25">
      <c r="A33" s="3512"/>
      <c r="B33" s="3518" t="s">
        <v>854</v>
      </c>
      <c r="C33" s="4491"/>
      <c r="D33" s="4492"/>
      <c r="E33" s="4492"/>
      <c r="F33" s="4493">
        <v>17</v>
      </c>
      <c r="G33" s="4494">
        <v>17</v>
      </c>
      <c r="H33" s="4491"/>
      <c r="I33" s="4492"/>
      <c r="J33" s="4492">
        <v>8</v>
      </c>
      <c r="K33" s="4493">
        <v>11</v>
      </c>
      <c r="L33" s="4494">
        <v>17</v>
      </c>
      <c r="M33" s="4491"/>
      <c r="N33" s="4492"/>
      <c r="O33" s="4492">
        <v>1</v>
      </c>
      <c r="P33" s="4493">
        <v>16</v>
      </c>
      <c r="Q33" s="4494">
        <f>SUM(M33:P33)</f>
        <v>17</v>
      </c>
      <c r="R33" s="4491"/>
      <c r="S33" s="4492"/>
      <c r="T33" s="4492">
        <v>1</v>
      </c>
      <c r="U33" s="4493">
        <v>16</v>
      </c>
      <c r="V33" s="4494">
        <f t="shared" si="15"/>
        <v>17</v>
      </c>
      <c r="W33" s="5128">
        <v>0</v>
      </c>
      <c r="X33" s="5129">
        <v>0</v>
      </c>
      <c r="Y33" s="5129">
        <v>1</v>
      </c>
      <c r="Z33" s="5130">
        <v>16</v>
      </c>
      <c r="AA33" s="4494">
        <f t="shared" si="26"/>
        <v>17</v>
      </c>
      <c r="AB33" s="5128">
        <v>0</v>
      </c>
      <c r="AC33" s="5129">
        <v>0</v>
      </c>
      <c r="AD33" s="5129">
        <v>1</v>
      </c>
      <c r="AE33" s="5130">
        <v>16</v>
      </c>
      <c r="AF33" s="5167">
        <f t="shared" si="27"/>
        <v>17</v>
      </c>
    </row>
    <row r="34" spans="1:32" ht="14.4" x14ac:dyDescent="0.25">
      <c r="A34" s="3512"/>
      <c r="B34" s="3520" t="s">
        <v>115</v>
      </c>
      <c r="C34" s="4499">
        <f>SUM(C31:C33)</f>
        <v>2</v>
      </c>
      <c r="D34" s="4500">
        <f>SUM(D31:D33)</f>
        <v>0</v>
      </c>
      <c r="E34" s="4500">
        <f>SUM(E31:E33)</f>
        <v>4</v>
      </c>
      <c r="F34" s="4501">
        <f>SUM(F31:F33)</f>
        <v>48</v>
      </c>
      <c r="G34" s="4502">
        <f>SUM(G31:G33)</f>
        <v>54</v>
      </c>
      <c r="H34" s="4499">
        <v>1</v>
      </c>
      <c r="I34" s="4500">
        <v>0</v>
      </c>
      <c r="J34" s="4500">
        <v>13</v>
      </c>
      <c r="K34" s="4501">
        <v>38</v>
      </c>
      <c r="L34" s="4502">
        <v>53</v>
      </c>
      <c r="M34" s="4499">
        <v>0</v>
      </c>
      <c r="N34" s="4500">
        <v>0</v>
      </c>
      <c r="O34" s="4500">
        <f t="shared" ref="O34:V34" si="28">SUM(O31:O33)</f>
        <v>2</v>
      </c>
      <c r="P34" s="4501">
        <f t="shared" si="28"/>
        <v>51</v>
      </c>
      <c r="Q34" s="4502">
        <f t="shared" si="28"/>
        <v>53</v>
      </c>
      <c r="R34" s="4499">
        <f t="shared" si="28"/>
        <v>0</v>
      </c>
      <c r="S34" s="4500">
        <f t="shared" si="28"/>
        <v>0</v>
      </c>
      <c r="T34" s="4500">
        <f t="shared" si="28"/>
        <v>2</v>
      </c>
      <c r="U34" s="4501">
        <f t="shared" si="28"/>
        <v>52</v>
      </c>
      <c r="V34" s="4502">
        <f t="shared" si="28"/>
        <v>54</v>
      </c>
      <c r="W34" s="5134">
        <f t="shared" ref="W34:AA34" si="29">SUM(W31:W33)</f>
        <v>0</v>
      </c>
      <c r="X34" s="5135">
        <f t="shared" si="29"/>
        <v>0</v>
      </c>
      <c r="Y34" s="5135">
        <f t="shared" si="29"/>
        <v>4</v>
      </c>
      <c r="Z34" s="5136">
        <f t="shared" si="29"/>
        <v>50</v>
      </c>
      <c r="AA34" s="4502">
        <f t="shared" si="29"/>
        <v>54</v>
      </c>
      <c r="AB34" s="5134">
        <f t="shared" ref="AB34:AF34" si="30">SUM(AB31:AB33)</f>
        <v>0</v>
      </c>
      <c r="AC34" s="5135">
        <f t="shared" si="30"/>
        <v>0</v>
      </c>
      <c r="AD34" s="5135">
        <f t="shared" si="30"/>
        <v>4</v>
      </c>
      <c r="AE34" s="5136">
        <f t="shared" si="30"/>
        <v>49</v>
      </c>
      <c r="AF34" s="5169">
        <f t="shared" si="30"/>
        <v>53</v>
      </c>
    </row>
    <row r="35" spans="1:32" ht="12.75" customHeight="1" x14ac:dyDescent="0.25">
      <c r="A35" s="3512"/>
      <c r="B35" s="3522" t="s">
        <v>855</v>
      </c>
      <c r="C35" s="4511">
        <f>SUM(C34,C30,C26)</f>
        <v>3</v>
      </c>
      <c r="D35" s="4512">
        <f>SUM(D34,D30,D26)</f>
        <v>0</v>
      </c>
      <c r="E35" s="4512">
        <f>SUM(E34,E30,E26)</f>
        <v>17</v>
      </c>
      <c r="F35" s="4513">
        <f>SUM(F34,F30,F26)</f>
        <v>151</v>
      </c>
      <c r="G35" s="4514">
        <f>SUM(G34,G30,G26)</f>
        <v>171</v>
      </c>
      <c r="H35" s="4511">
        <v>2</v>
      </c>
      <c r="I35" s="4512">
        <v>0</v>
      </c>
      <c r="J35" s="4512">
        <v>17</v>
      </c>
      <c r="K35" s="4513">
        <v>147</v>
      </c>
      <c r="L35" s="4514">
        <v>166</v>
      </c>
      <c r="M35" s="4511">
        <v>1</v>
      </c>
      <c r="N35" s="4512">
        <v>0</v>
      </c>
      <c r="O35" s="4512">
        <v>15</v>
      </c>
      <c r="P35" s="4513">
        <v>150</v>
      </c>
      <c r="Q35" s="4514">
        <v>166</v>
      </c>
      <c r="R35" s="4511">
        <f t="shared" ref="R35:AA35" si="31">SUM(R26,R30,R34)</f>
        <v>1</v>
      </c>
      <c r="S35" s="4512">
        <f t="shared" si="31"/>
        <v>0</v>
      </c>
      <c r="T35" s="4512">
        <f t="shared" si="31"/>
        <v>16</v>
      </c>
      <c r="U35" s="4513">
        <f t="shared" si="31"/>
        <v>152</v>
      </c>
      <c r="V35" s="4514">
        <f t="shared" si="31"/>
        <v>169</v>
      </c>
      <c r="W35" s="5143">
        <f t="shared" si="31"/>
        <v>0</v>
      </c>
      <c r="X35" s="5144">
        <f t="shared" si="31"/>
        <v>0</v>
      </c>
      <c r="Y35" s="5144">
        <f t="shared" si="31"/>
        <v>21</v>
      </c>
      <c r="Z35" s="5145">
        <f t="shared" si="31"/>
        <v>150</v>
      </c>
      <c r="AA35" s="4514">
        <f t="shared" si="31"/>
        <v>171</v>
      </c>
      <c r="AB35" s="5143">
        <f t="shared" ref="AB35:AF35" si="32">SUM(AB26,AB30,AB34)</f>
        <v>0</v>
      </c>
      <c r="AC35" s="5144">
        <f t="shared" si="32"/>
        <v>0</v>
      </c>
      <c r="AD35" s="5144">
        <f t="shared" si="32"/>
        <v>21</v>
      </c>
      <c r="AE35" s="5145">
        <f t="shared" si="32"/>
        <v>150</v>
      </c>
      <c r="AF35" s="5172">
        <f t="shared" si="32"/>
        <v>171</v>
      </c>
    </row>
    <row r="36" spans="1:32" ht="15" customHeight="1" x14ac:dyDescent="0.25">
      <c r="A36" s="3512"/>
      <c r="B36" s="3517" t="s">
        <v>856</v>
      </c>
      <c r="C36" s="4487">
        <v>1</v>
      </c>
      <c r="D36" s="4488"/>
      <c r="E36" s="4488">
        <v>7</v>
      </c>
      <c r="F36" s="4489">
        <v>56</v>
      </c>
      <c r="G36" s="4490">
        <v>64</v>
      </c>
      <c r="H36" s="4487">
        <v>2</v>
      </c>
      <c r="I36" s="4488"/>
      <c r="J36" s="4488">
        <v>7</v>
      </c>
      <c r="K36" s="4489">
        <v>56</v>
      </c>
      <c r="L36" s="4490">
        <v>65</v>
      </c>
      <c r="M36" s="4487">
        <v>1</v>
      </c>
      <c r="N36" s="4488"/>
      <c r="O36" s="4488">
        <v>6</v>
      </c>
      <c r="P36" s="4489">
        <v>55</v>
      </c>
      <c r="Q36" s="4490">
        <v>62</v>
      </c>
      <c r="R36" s="4487">
        <v>1</v>
      </c>
      <c r="S36" s="4488"/>
      <c r="T36" s="4488">
        <v>6</v>
      </c>
      <c r="U36" s="4489">
        <v>54</v>
      </c>
      <c r="V36" s="4490">
        <f>SUM(R36:U36)</f>
        <v>61</v>
      </c>
      <c r="W36" s="5125">
        <v>1</v>
      </c>
      <c r="X36" s="5126">
        <v>0</v>
      </c>
      <c r="Y36" s="5126">
        <v>6</v>
      </c>
      <c r="Z36" s="5127">
        <v>53</v>
      </c>
      <c r="AA36" s="4490">
        <f>SUM(W36:Z36)</f>
        <v>60</v>
      </c>
      <c r="AB36" s="5125">
        <v>1</v>
      </c>
      <c r="AC36" s="5126">
        <v>0</v>
      </c>
      <c r="AD36" s="5126">
        <v>6</v>
      </c>
      <c r="AE36" s="5127">
        <v>52</v>
      </c>
      <c r="AF36" s="5166">
        <f>SUM(AB36:AE36)</f>
        <v>59</v>
      </c>
    </row>
    <row r="37" spans="1:32" ht="14.4" x14ac:dyDescent="0.25">
      <c r="A37" s="3512"/>
      <c r="B37" s="3518" t="s">
        <v>857</v>
      </c>
      <c r="C37" s="4491">
        <v>1</v>
      </c>
      <c r="D37" s="4492">
        <v>1</v>
      </c>
      <c r="E37" s="4492">
        <v>7</v>
      </c>
      <c r="F37" s="4493">
        <v>34</v>
      </c>
      <c r="G37" s="4494">
        <v>43</v>
      </c>
      <c r="H37" s="4491">
        <v>1</v>
      </c>
      <c r="I37" s="4492">
        <v>1</v>
      </c>
      <c r="J37" s="4492">
        <v>6</v>
      </c>
      <c r="K37" s="4493">
        <v>33</v>
      </c>
      <c r="L37" s="4494">
        <v>41</v>
      </c>
      <c r="M37" s="4491">
        <v>1</v>
      </c>
      <c r="N37" s="4492">
        <v>1</v>
      </c>
      <c r="O37" s="4492">
        <v>3</v>
      </c>
      <c r="P37" s="4493">
        <v>36</v>
      </c>
      <c r="Q37" s="4494">
        <v>41</v>
      </c>
      <c r="R37" s="4491">
        <v>1</v>
      </c>
      <c r="S37" s="4492">
        <v>1</v>
      </c>
      <c r="T37" s="4492">
        <v>3</v>
      </c>
      <c r="U37" s="4493">
        <v>36</v>
      </c>
      <c r="V37" s="4494">
        <f t="shared" ref="V37:V51" si="33">SUM(R37:U37)</f>
        <v>41</v>
      </c>
      <c r="W37" s="5128">
        <v>1</v>
      </c>
      <c r="X37" s="5129">
        <v>1</v>
      </c>
      <c r="Y37" s="5129">
        <v>3</v>
      </c>
      <c r="Z37" s="5130">
        <v>35</v>
      </c>
      <c r="AA37" s="4494">
        <f t="shared" ref="AA37:AA40" si="34">SUM(W37:Z37)</f>
        <v>40</v>
      </c>
      <c r="AB37" s="5128">
        <v>1</v>
      </c>
      <c r="AC37" s="5129">
        <v>1</v>
      </c>
      <c r="AD37" s="5129">
        <v>3</v>
      </c>
      <c r="AE37" s="5130">
        <v>34</v>
      </c>
      <c r="AF37" s="5167">
        <f t="shared" ref="AF37:AF40" si="35">SUM(AB37:AE37)</f>
        <v>39</v>
      </c>
    </row>
    <row r="38" spans="1:32" ht="14.4" x14ac:dyDescent="0.25">
      <c r="A38" s="3512"/>
      <c r="B38" s="3518" t="s">
        <v>625</v>
      </c>
      <c r="C38" s="4491">
        <v>7</v>
      </c>
      <c r="D38" s="4492"/>
      <c r="E38" s="4492">
        <v>16</v>
      </c>
      <c r="F38" s="4493">
        <v>43</v>
      </c>
      <c r="G38" s="4494">
        <v>66</v>
      </c>
      <c r="H38" s="4491">
        <v>7</v>
      </c>
      <c r="I38" s="4492"/>
      <c r="J38" s="4492">
        <v>16</v>
      </c>
      <c r="K38" s="4493">
        <v>43</v>
      </c>
      <c r="L38" s="4494">
        <v>66</v>
      </c>
      <c r="M38" s="4491">
        <v>8</v>
      </c>
      <c r="N38" s="4492"/>
      <c r="O38" s="4492">
        <v>16</v>
      </c>
      <c r="P38" s="4493">
        <v>40</v>
      </c>
      <c r="Q38" s="4494">
        <v>64</v>
      </c>
      <c r="R38" s="4491">
        <v>6</v>
      </c>
      <c r="S38" s="4492"/>
      <c r="T38" s="4492">
        <v>16</v>
      </c>
      <c r="U38" s="4493">
        <v>40</v>
      </c>
      <c r="V38" s="4494">
        <f t="shared" si="33"/>
        <v>62</v>
      </c>
      <c r="W38" s="5128">
        <v>6</v>
      </c>
      <c r="X38" s="5129">
        <v>0</v>
      </c>
      <c r="Y38" s="5129">
        <v>16</v>
      </c>
      <c r="Z38" s="5130">
        <v>39</v>
      </c>
      <c r="AA38" s="4494">
        <f t="shared" si="34"/>
        <v>61</v>
      </c>
      <c r="AB38" s="5128">
        <v>6</v>
      </c>
      <c r="AC38" s="5129">
        <v>0</v>
      </c>
      <c r="AD38" s="5129">
        <v>14</v>
      </c>
      <c r="AE38" s="5130">
        <v>42</v>
      </c>
      <c r="AF38" s="5167">
        <f t="shared" si="35"/>
        <v>62</v>
      </c>
    </row>
    <row r="39" spans="1:32" ht="14.4" x14ac:dyDescent="0.25">
      <c r="A39" s="3512"/>
      <c r="B39" s="3518" t="s">
        <v>858</v>
      </c>
      <c r="C39" s="4491">
        <v>1</v>
      </c>
      <c r="D39" s="4492"/>
      <c r="E39" s="4492">
        <v>9</v>
      </c>
      <c r="F39" s="4493">
        <v>50</v>
      </c>
      <c r="G39" s="4494">
        <v>60</v>
      </c>
      <c r="H39" s="4491">
        <v>1</v>
      </c>
      <c r="I39" s="4492"/>
      <c r="J39" s="4492">
        <v>9</v>
      </c>
      <c r="K39" s="4493">
        <v>51</v>
      </c>
      <c r="L39" s="4494">
        <v>61</v>
      </c>
      <c r="M39" s="4491">
        <v>1</v>
      </c>
      <c r="N39" s="4492"/>
      <c r="O39" s="4492">
        <v>8</v>
      </c>
      <c r="P39" s="4493">
        <v>53</v>
      </c>
      <c r="Q39" s="4494">
        <v>62</v>
      </c>
      <c r="R39" s="4491">
        <v>1</v>
      </c>
      <c r="S39" s="4492"/>
      <c r="T39" s="4492">
        <v>8</v>
      </c>
      <c r="U39" s="4493">
        <v>55</v>
      </c>
      <c r="V39" s="4494">
        <f t="shared" si="33"/>
        <v>64</v>
      </c>
      <c r="W39" s="5128">
        <v>0</v>
      </c>
      <c r="X39" s="5129">
        <v>0</v>
      </c>
      <c r="Y39" s="5129">
        <v>7</v>
      </c>
      <c r="Z39" s="5130">
        <v>55</v>
      </c>
      <c r="AA39" s="4494">
        <f t="shared" si="34"/>
        <v>62</v>
      </c>
      <c r="AB39" s="5128">
        <v>0</v>
      </c>
      <c r="AC39" s="5129">
        <v>0</v>
      </c>
      <c r="AD39" s="5129">
        <v>7</v>
      </c>
      <c r="AE39" s="5130">
        <v>54</v>
      </c>
      <c r="AF39" s="5167">
        <f t="shared" si="35"/>
        <v>61</v>
      </c>
    </row>
    <row r="40" spans="1:32" ht="14.4" x14ac:dyDescent="0.25">
      <c r="A40" s="3512"/>
      <c r="B40" s="3518" t="s">
        <v>859</v>
      </c>
      <c r="C40" s="4491"/>
      <c r="D40" s="4492"/>
      <c r="E40" s="4492">
        <v>5</v>
      </c>
      <c r="F40" s="4493">
        <v>51</v>
      </c>
      <c r="G40" s="4494">
        <v>56</v>
      </c>
      <c r="H40" s="4491"/>
      <c r="I40" s="4492"/>
      <c r="J40" s="4492">
        <v>5</v>
      </c>
      <c r="K40" s="4493">
        <v>51</v>
      </c>
      <c r="L40" s="4494">
        <v>56</v>
      </c>
      <c r="M40" s="4491"/>
      <c r="N40" s="4492"/>
      <c r="O40" s="4492">
        <v>4</v>
      </c>
      <c r="P40" s="4493">
        <v>50</v>
      </c>
      <c r="Q40" s="4494">
        <v>54</v>
      </c>
      <c r="R40" s="4491"/>
      <c r="S40" s="4492"/>
      <c r="T40" s="4492">
        <v>3</v>
      </c>
      <c r="U40" s="4493">
        <v>49</v>
      </c>
      <c r="V40" s="4494">
        <f t="shared" si="33"/>
        <v>52</v>
      </c>
      <c r="W40" s="5128">
        <v>0</v>
      </c>
      <c r="X40" s="5129">
        <v>0</v>
      </c>
      <c r="Y40" s="5129">
        <v>3</v>
      </c>
      <c r="Z40" s="5130">
        <v>47</v>
      </c>
      <c r="AA40" s="4494">
        <f t="shared" si="34"/>
        <v>50</v>
      </c>
      <c r="AB40" s="5128">
        <v>0</v>
      </c>
      <c r="AC40" s="5129">
        <v>0</v>
      </c>
      <c r="AD40" s="5129">
        <v>3</v>
      </c>
      <c r="AE40" s="5130">
        <v>46</v>
      </c>
      <c r="AF40" s="5167">
        <f t="shared" si="35"/>
        <v>49</v>
      </c>
    </row>
    <row r="41" spans="1:32" ht="14.4" x14ac:dyDescent="0.25">
      <c r="A41" s="3512"/>
      <c r="B41" s="3519" t="s">
        <v>59</v>
      </c>
      <c r="C41" s="4495">
        <f>SUM(C36:C40)</f>
        <v>10</v>
      </c>
      <c r="D41" s="4496">
        <f>SUM(D36:D40)</f>
        <v>1</v>
      </c>
      <c r="E41" s="4496">
        <f>SUM(E36:E40)</f>
        <v>44</v>
      </c>
      <c r="F41" s="4497">
        <f>SUM(F36:F40)</f>
        <v>234</v>
      </c>
      <c r="G41" s="4498">
        <f>SUM(G36:G40)</f>
        <v>289</v>
      </c>
      <c r="H41" s="4495">
        <v>11</v>
      </c>
      <c r="I41" s="4496">
        <v>1</v>
      </c>
      <c r="J41" s="4496">
        <v>43</v>
      </c>
      <c r="K41" s="4497">
        <v>234</v>
      </c>
      <c r="L41" s="4498">
        <v>289</v>
      </c>
      <c r="M41" s="4495">
        <v>11</v>
      </c>
      <c r="N41" s="4496">
        <v>1</v>
      </c>
      <c r="O41" s="4496">
        <v>37</v>
      </c>
      <c r="P41" s="4497">
        <v>234</v>
      </c>
      <c r="Q41" s="4498">
        <v>283</v>
      </c>
      <c r="R41" s="4495">
        <f t="shared" ref="R41:AA41" si="36">SUM(R36:R40)</f>
        <v>9</v>
      </c>
      <c r="S41" s="4496">
        <f t="shared" si="36"/>
        <v>1</v>
      </c>
      <c r="T41" s="4496">
        <f t="shared" si="36"/>
        <v>36</v>
      </c>
      <c r="U41" s="4497">
        <f t="shared" si="36"/>
        <v>234</v>
      </c>
      <c r="V41" s="4498">
        <f t="shared" si="36"/>
        <v>280</v>
      </c>
      <c r="W41" s="5131">
        <f t="shared" si="36"/>
        <v>8</v>
      </c>
      <c r="X41" s="5132">
        <f t="shared" si="36"/>
        <v>1</v>
      </c>
      <c r="Y41" s="5132">
        <f t="shared" si="36"/>
        <v>35</v>
      </c>
      <c r="Z41" s="5133">
        <f t="shared" si="36"/>
        <v>229</v>
      </c>
      <c r="AA41" s="4498">
        <f t="shared" si="36"/>
        <v>273</v>
      </c>
      <c r="AB41" s="5131">
        <f t="shared" ref="AB41:AF41" si="37">SUM(AB36:AB40)</f>
        <v>8</v>
      </c>
      <c r="AC41" s="5132">
        <f t="shared" si="37"/>
        <v>1</v>
      </c>
      <c r="AD41" s="5132">
        <f t="shared" si="37"/>
        <v>33</v>
      </c>
      <c r="AE41" s="5133">
        <f t="shared" si="37"/>
        <v>228</v>
      </c>
      <c r="AF41" s="5168">
        <f t="shared" si="37"/>
        <v>270</v>
      </c>
    </row>
    <row r="42" spans="1:32" ht="14.4" x14ac:dyDescent="0.25">
      <c r="A42" s="3512"/>
      <c r="B42" s="3518" t="s">
        <v>860</v>
      </c>
      <c r="C42" s="4491"/>
      <c r="D42" s="4492"/>
      <c r="E42" s="4492">
        <v>2</v>
      </c>
      <c r="F42" s="4493">
        <v>22</v>
      </c>
      <c r="G42" s="4494">
        <v>24</v>
      </c>
      <c r="H42" s="4491"/>
      <c r="I42" s="4492"/>
      <c r="J42" s="4492">
        <v>2</v>
      </c>
      <c r="K42" s="4493">
        <v>22</v>
      </c>
      <c r="L42" s="4494">
        <v>24</v>
      </c>
      <c r="M42" s="4491">
        <v>0</v>
      </c>
      <c r="N42" s="4492">
        <v>0</v>
      </c>
      <c r="O42" s="4492">
        <v>3</v>
      </c>
      <c r="P42" s="4493">
        <v>22</v>
      </c>
      <c r="Q42" s="4494">
        <f>SUM(M42:P42)</f>
        <v>25</v>
      </c>
      <c r="R42" s="4491"/>
      <c r="S42" s="4492"/>
      <c r="T42" s="4492">
        <v>3</v>
      </c>
      <c r="U42" s="4493">
        <v>22</v>
      </c>
      <c r="V42" s="4494">
        <f t="shared" si="33"/>
        <v>25</v>
      </c>
      <c r="W42" s="5128">
        <v>0</v>
      </c>
      <c r="X42" s="5129">
        <v>0</v>
      </c>
      <c r="Y42" s="5129">
        <v>2</v>
      </c>
      <c r="Z42" s="5130">
        <v>21</v>
      </c>
      <c r="AA42" s="4494">
        <f t="shared" ref="AA42:AA45" si="38">SUM(W42:Z42)</f>
        <v>23</v>
      </c>
      <c r="AB42" s="5128">
        <v>0</v>
      </c>
      <c r="AC42" s="5129">
        <v>0</v>
      </c>
      <c r="AD42" s="5129">
        <v>2</v>
      </c>
      <c r="AE42" s="5130">
        <v>23</v>
      </c>
      <c r="AF42" s="5167">
        <f t="shared" ref="AF42:AF45" si="39">SUM(AB42:AE42)</f>
        <v>25</v>
      </c>
    </row>
    <row r="43" spans="1:32" ht="14.4" x14ac:dyDescent="0.25">
      <c r="A43" s="3512"/>
      <c r="B43" s="3518" t="s">
        <v>841</v>
      </c>
      <c r="C43" s="4491">
        <v>16</v>
      </c>
      <c r="D43" s="4492">
        <v>1</v>
      </c>
      <c r="E43" s="4492">
        <v>21</v>
      </c>
      <c r="F43" s="4493">
        <v>58</v>
      </c>
      <c r="G43" s="4494">
        <v>96</v>
      </c>
      <c r="H43" s="4491">
        <v>13</v>
      </c>
      <c r="I43" s="4492">
        <v>1</v>
      </c>
      <c r="J43" s="4492">
        <v>25</v>
      </c>
      <c r="K43" s="4493">
        <v>61</v>
      </c>
      <c r="L43" s="4494">
        <v>100</v>
      </c>
      <c r="M43" s="4491">
        <v>10</v>
      </c>
      <c r="N43" s="4492">
        <v>1</v>
      </c>
      <c r="O43" s="4492">
        <v>26</v>
      </c>
      <c r="P43" s="4493">
        <v>62</v>
      </c>
      <c r="Q43" s="4494">
        <f>SUM(M43:P43)</f>
        <v>99</v>
      </c>
      <c r="R43" s="4491">
        <v>9</v>
      </c>
      <c r="S43" s="4492"/>
      <c r="T43" s="4492">
        <v>25</v>
      </c>
      <c r="U43" s="4493">
        <v>61</v>
      </c>
      <c r="V43" s="4494">
        <f t="shared" si="33"/>
        <v>95</v>
      </c>
      <c r="W43" s="5128">
        <v>9</v>
      </c>
      <c r="X43" s="5129">
        <v>0</v>
      </c>
      <c r="Y43" s="5129">
        <v>20</v>
      </c>
      <c r="Z43" s="5130">
        <v>63</v>
      </c>
      <c r="AA43" s="4494">
        <f t="shared" si="38"/>
        <v>92</v>
      </c>
      <c r="AB43" s="5128">
        <v>9</v>
      </c>
      <c r="AC43" s="5129">
        <v>0</v>
      </c>
      <c r="AD43" s="5129">
        <v>21</v>
      </c>
      <c r="AE43" s="5130">
        <v>59</v>
      </c>
      <c r="AF43" s="5167">
        <f t="shared" si="39"/>
        <v>89</v>
      </c>
    </row>
    <row r="44" spans="1:32" ht="14.4" x14ac:dyDescent="0.25">
      <c r="A44" s="3512"/>
      <c r="B44" s="3518" t="s">
        <v>861</v>
      </c>
      <c r="C44" s="4491">
        <v>19</v>
      </c>
      <c r="D44" s="4492"/>
      <c r="E44" s="4492">
        <v>39</v>
      </c>
      <c r="F44" s="4493">
        <v>75</v>
      </c>
      <c r="G44" s="4494">
        <v>133</v>
      </c>
      <c r="H44" s="4491">
        <v>18</v>
      </c>
      <c r="I44" s="4492"/>
      <c r="J44" s="4492">
        <v>38</v>
      </c>
      <c r="K44" s="4493">
        <v>76</v>
      </c>
      <c r="L44" s="4494">
        <v>132</v>
      </c>
      <c r="M44" s="4491">
        <v>14</v>
      </c>
      <c r="N44" s="4492">
        <v>0</v>
      </c>
      <c r="O44" s="4492">
        <v>31</v>
      </c>
      <c r="P44" s="4493">
        <v>76</v>
      </c>
      <c r="Q44" s="4494">
        <f>SUM(M44:P44)</f>
        <v>121</v>
      </c>
      <c r="R44" s="4491">
        <v>12</v>
      </c>
      <c r="S44" s="4492"/>
      <c r="T44" s="4492">
        <v>31</v>
      </c>
      <c r="U44" s="4493">
        <v>75</v>
      </c>
      <c r="V44" s="4494">
        <f t="shared" si="33"/>
        <v>118</v>
      </c>
      <c r="W44" s="5128">
        <v>13</v>
      </c>
      <c r="X44" s="5129">
        <v>0</v>
      </c>
      <c r="Y44" s="5129">
        <v>27</v>
      </c>
      <c r="Z44" s="5130">
        <v>72</v>
      </c>
      <c r="AA44" s="4494">
        <f t="shared" si="38"/>
        <v>112</v>
      </c>
      <c r="AB44" s="5128">
        <v>13</v>
      </c>
      <c r="AC44" s="5129">
        <v>0</v>
      </c>
      <c r="AD44" s="5129">
        <v>26</v>
      </c>
      <c r="AE44" s="5130">
        <v>71</v>
      </c>
      <c r="AF44" s="5167">
        <f t="shared" si="39"/>
        <v>110</v>
      </c>
    </row>
    <row r="45" spans="1:32" ht="14.4" x14ac:dyDescent="0.25">
      <c r="A45" s="3512"/>
      <c r="B45" s="3518" t="s">
        <v>627</v>
      </c>
      <c r="C45" s="4491">
        <v>10</v>
      </c>
      <c r="D45" s="4492"/>
      <c r="E45" s="4492">
        <v>21</v>
      </c>
      <c r="F45" s="4493">
        <v>65</v>
      </c>
      <c r="G45" s="4494">
        <v>96</v>
      </c>
      <c r="H45" s="4491">
        <v>6</v>
      </c>
      <c r="I45" s="4492"/>
      <c r="J45" s="4492">
        <v>23</v>
      </c>
      <c r="K45" s="4493">
        <v>69</v>
      </c>
      <c r="L45" s="4494">
        <v>98</v>
      </c>
      <c r="M45" s="4491">
        <v>4</v>
      </c>
      <c r="N45" s="4492">
        <v>0</v>
      </c>
      <c r="O45" s="4492">
        <v>16</v>
      </c>
      <c r="P45" s="4493">
        <v>71</v>
      </c>
      <c r="Q45" s="4494">
        <f>SUM(M45:P45)</f>
        <v>91</v>
      </c>
      <c r="R45" s="4491">
        <v>4</v>
      </c>
      <c r="S45" s="4492"/>
      <c r="T45" s="4492">
        <v>16</v>
      </c>
      <c r="U45" s="4493">
        <v>69</v>
      </c>
      <c r="V45" s="4494">
        <f t="shared" si="33"/>
        <v>89</v>
      </c>
      <c r="W45" s="5128">
        <v>5</v>
      </c>
      <c r="X45" s="5129">
        <v>0</v>
      </c>
      <c r="Y45" s="5129">
        <v>20</v>
      </c>
      <c r="Z45" s="5130">
        <v>63</v>
      </c>
      <c r="AA45" s="4494">
        <f t="shared" si="38"/>
        <v>88</v>
      </c>
      <c r="AB45" s="5128">
        <v>5</v>
      </c>
      <c r="AC45" s="5129">
        <v>0</v>
      </c>
      <c r="AD45" s="5129">
        <v>21</v>
      </c>
      <c r="AE45" s="5130">
        <v>64</v>
      </c>
      <c r="AF45" s="5167">
        <f t="shared" si="39"/>
        <v>90</v>
      </c>
    </row>
    <row r="46" spans="1:32" ht="14.4" x14ac:dyDescent="0.25">
      <c r="A46" s="3512"/>
      <c r="B46" s="3519" t="s">
        <v>64</v>
      </c>
      <c r="C46" s="4495">
        <f>SUM(C42:C45)</f>
        <v>45</v>
      </c>
      <c r="D46" s="4496">
        <f>SUM(D42:D45)</f>
        <v>1</v>
      </c>
      <c r="E46" s="4496">
        <f>SUM(E42:E45)</f>
        <v>83</v>
      </c>
      <c r="F46" s="4497">
        <f>SUM(F42:F45)</f>
        <v>220</v>
      </c>
      <c r="G46" s="4498">
        <f>SUM(G42:G45)</f>
        <v>349</v>
      </c>
      <c r="H46" s="4495">
        <v>37</v>
      </c>
      <c r="I46" s="4496">
        <v>1</v>
      </c>
      <c r="J46" s="4496">
        <v>88</v>
      </c>
      <c r="K46" s="4497">
        <v>228</v>
      </c>
      <c r="L46" s="4498">
        <v>354</v>
      </c>
      <c r="M46" s="4495">
        <f t="shared" ref="M46:V46" si="40">SUM(M42:M45)</f>
        <v>28</v>
      </c>
      <c r="N46" s="4496">
        <f t="shared" si="40"/>
        <v>1</v>
      </c>
      <c r="O46" s="4496">
        <f t="shared" si="40"/>
        <v>76</v>
      </c>
      <c r="P46" s="4497">
        <f t="shared" si="40"/>
        <v>231</v>
      </c>
      <c r="Q46" s="4498">
        <f t="shared" si="40"/>
        <v>336</v>
      </c>
      <c r="R46" s="4495">
        <f t="shared" si="40"/>
        <v>25</v>
      </c>
      <c r="S46" s="4496">
        <f t="shared" si="40"/>
        <v>0</v>
      </c>
      <c r="T46" s="4496">
        <f t="shared" si="40"/>
        <v>75</v>
      </c>
      <c r="U46" s="4497">
        <f t="shared" si="40"/>
        <v>227</v>
      </c>
      <c r="V46" s="4498">
        <f t="shared" si="40"/>
        <v>327</v>
      </c>
      <c r="W46" s="5131">
        <f t="shared" ref="W46:AA46" si="41">SUM(W42:W45)</f>
        <v>27</v>
      </c>
      <c r="X46" s="5132">
        <f t="shared" si="41"/>
        <v>0</v>
      </c>
      <c r="Y46" s="5132">
        <f t="shared" si="41"/>
        <v>69</v>
      </c>
      <c r="Z46" s="5133">
        <f t="shared" si="41"/>
        <v>219</v>
      </c>
      <c r="AA46" s="4498">
        <f t="shared" si="41"/>
        <v>315</v>
      </c>
      <c r="AB46" s="5131">
        <f t="shared" ref="AB46:AF46" si="42">SUM(AB42:AB45)</f>
        <v>27</v>
      </c>
      <c r="AC46" s="5132">
        <f t="shared" si="42"/>
        <v>0</v>
      </c>
      <c r="AD46" s="5132">
        <f t="shared" si="42"/>
        <v>70</v>
      </c>
      <c r="AE46" s="5133">
        <f t="shared" si="42"/>
        <v>217</v>
      </c>
      <c r="AF46" s="5168">
        <f t="shared" si="42"/>
        <v>314</v>
      </c>
    </row>
    <row r="47" spans="1:32" ht="14.4" x14ac:dyDescent="0.25">
      <c r="A47" s="3512"/>
      <c r="B47" s="3518" t="s">
        <v>862</v>
      </c>
      <c r="C47" s="4491">
        <v>7</v>
      </c>
      <c r="D47" s="4492"/>
      <c r="E47" s="4492">
        <v>16</v>
      </c>
      <c r="F47" s="4493">
        <v>32</v>
      </c>
      <c r="G47" s="4494">
        <v>55</v>
      </c>
      <c r="H47" s="4491">
        <v>7</v>
      </c>
      <c r="I47" s="4492"/>
      <c r="J47" s="4492">
        <v>16</v>
      </c>
      <c r="K47" s="4493">
        <v>31</v>
      </c>
      <c r="L47" s="4494">
        <v>54</v>
      </c>
      <c r="M47" s="4491">
        <v>6</v>
      </c>
      <c r="N47" s="4492">
        <v>0</v>
      </c>
      <c r="O47" s="4492">
        <v>17</v>
      </c>
      <c r="P47" s="4493">
        <v>30</v>
      </c>
      <c r="Q47" s="4494">
        <f>SUM(M47:P47)</f>
        <v>53</v>
      </c>
      <c r="R47" s="4491">
        <v>6</v>
      </c>
      <c r="S47" s="4492"/>
      <c r="T47" s="4492">
        <v>16</v>
      </c>
      <c r="U47" s="4493">
        <v>32</v>
      </c>
      <c r="V47" s="4494">
        <f t="shared" si="33"/>
        <v>54</v>
      </c>
      <c r="W47" s="5128">
        <v>7</v>
      </c>
      <c r="X47" s="5129">
        <v>0</v>
      </c>
      <c r="Y47" s="5129">
        <v>15</v>
      </c>
      <c r="Z47" s="5130">
        <v>31</v>
      </c>
      <c r="AA47" s="4494">
        <f t="shared" ref="AA47:AA51" si="43">SUM(W47:Z47)</f>
        <v>53</v>
      </c>
      <c r="AB47" s="5128">
        <v>6</v>
      </c>
      <c r="AC47" s="5129">
        <v>0</v>
      </c>
      <c r="AD47" s="5129">
        <v>16</v>
      </c>
      <c r="AE47" s="5130">
        <v>30</v>
      </c>
      <c r="AF47" s="5167">
        <f t="shared" ref="AF47:AF51" si="44">SUM(AB47:AE47)</f>
        <v>52</v>
      </c>
    </row>
    <row r="48" spans="1:32" ht="14.4" x14ac:dyDescent="0.25">
      <c r="A48" s="3512"/>
      <c r="B48" s="3518" t="s">
        <v>863</v>
      </c>
      <c r="C48" s="4491">
        <v>1</v>
      </c>
      <c r="D48" s="4492"/>
      <c r="E48" s="4492">
        <v>7</v>
      </c>
      <c r="F48" s="4493">
        <v>31</v>
      </c>
      <c r="G48" s="4494">
        <v>39</v>
      </c>
      <c r="H48" s="4491">
        <v>1</v>
      </c>
      <c r="I48" s="4492"/>
      <c r="J48" s="4492">
        <v>7</v>
      </c>
      <c r="K48" s="4493">
        <v>33</v>
      </c>
      <c r="L48" s="4494">
        <v>41</v>
      </c>
      <c r="M48" s="4491">
        <v>1</v>
      </c>
      <c r="N48" s="4492">
        <v>0</v>
      </c>
      <c r="O48" s="4492">
        <v>6</v>
      </c>
      <c r="P48" s="4493">
        <v>34</v>
      </c>
      <c r="Q48" s="4494">
        <f>SUM(M48:P48)</f>
        <v>41</v>
      </c>
      <c r="R48" s="4491">
        <v>1</v>
      </c>
      <c r="S48" s="4492"/>
      <c r="T48" s="4492">
        <v>6</v>
      </c>
      <c r="U48" s="4493">
        <v>33</v>
      </c>
      <c r="V48" s="4494">
        <f t="shared" si="33"/>
        <v>40</v>
      </c>
      <c r="W48" s="5128">
        <v>1</v>
      </c>
      <c r="X48" s="5129">
        <v>0</v>
      </c>
      <c r="Y48" s="5129">
        <v>6</v>
      </c>
      <c r="Z48" s="5130">
        <v>32</v>
      </c>
      <c r="AA48" s="4494">
        <f t="shared" si="43"/>
        <v>39</v>
      </c>
      <c r="AB48" s="5128">
        <v>1</v>
      </c>
      <c r="AC48" s="5129">
        <v>0</v>
      </c>
      <c r="AD48" s="5129">
        <v>5</v>
      </c>
      <c r="AE48" s="5130">
        <v>32</v>
      </c>
      <c r="AF48" s="5167">
        <f t="shared" si="44"/>
        <v>38</v>
      </c>
    </row>
    <row r="49" spans="1:32" ht="14.4" x14ac:dyDescent="0.25">
      <c r="A49" s="3512"/>
      <c r="B49" s="3518" t="s">
        <v>864</v>
      </c>
      <c r="C49" s="4491">
        <v>6</v>
      </c>
      <c r="D49" s="4492"/>
      <c r="E49" s="4492">
        <v>10</v>
      </c>
      <c r="F49" s="4493">
        <v>44</v>
      </c>
      <c r="G49" s="4494">
        <v>60</v>
      </c>
      <c r="H49" s="4491">
        <v>6</v>
      </c>
      <c r="I49" s="4492"/>
      <c r="J49" s="4492">
        <v>9</v>
      </c>
      <c r="K49" s="4493">
        <v>43</v>
      </c>
      <c r="L49" s="4494">
        <v>58</v>
      </c>
      <c r="M49" s="4491">
        <v>3</v>
      </c>
      <c r="N49" s="4492">
        <v>0</v>
      </c>
      <c r="O49" s="4492">
        <v>12</v>
      </c>
      <c r="P49" s="4493">
        <v>44</v>
      </c>
      <c r="Q49" s="4494">
        <f>SUM(M49:P49)</f>
        <v>59</v>
      </c>
      <c r="R49" s="4491">
        <v>3</v>
      </c>
      <c r="S49" s="4492"/>
      <c r="T49" s="4492">
        <v>11</v>
      </c>
      <c r="U49" s="4493">
        <v>42</v>
      </c>
      <c r="V49" s="4494">
        <f t="shared" si="33"/>
        <v>56</v>
      </c>
      <c r="W49" s="5128">
        <v>6</v>
      </c>
      <c r="X49" s="5129">
        <v>0</v>
      </c>
      <c r="Y49" s="5129">
        <v>7</v>
      </c>
      <c r="Z49" s="5130">
        <v>42</v>
      </c>
      <c r="AA49" s="4494">
        <f t="shared" si="43"/>
        <v>55</v>
      </c>
      <c r="AB49" s="5128">
        <v>6</v>
      </c>
      <c r="AC49" s="5129">
        <v>0</v>
      </c>
      <c r="AD49" s="5129">
        <v>6</v>
      </c>
      <c r="AE49" s="5130">
        <v>42</v>
      </c>
      <c r="AF49" s="5167">
        <f t="shared" si="44"/>
        <v>54</v>
      </c>
    </row>
    <row r="50" spans="1:32" ht="14.4" x14ac:dyDescent="0.25">
      <c r="A50" s="3512"/>
      <c r="B50" s="3518" t="s">
        <v>865</v>
      </c>
      <c r="C50" s="4491">
        <v>3</v>
      </c>
      <c r="D50" s="4492"/>
      <c r="E50" s="4492">
        <v>9</v>
      </c>
      <c r="F50" s="4493">
        <v>46</v>
      </c>
      <c r="G50" s="4494">
        <v>58</v>
      </c>
      <c r="H50" s="4491">
        <v>3</v>
      </c>
      <c r="I50" s="4492"/>
      <c r="J50" s="4492">
        <v>9</v>
      </c>
      <c r="K50" s="4493">
        <v>46</v>
      </c>
      <c r="L50" s="4494">
        <v>58</v>
      </c>
      <c r="M50" s="4491">
        <v>4</v>
      </c>
      <c r="N50" s="4492">
        <v>0</v>
      </c>
      <c r="O50" s="4492">
        <v>7</v>
      </c>
      <c r="P50" s="4493">
        <v>46</v>
      </c>
      <c r="Q50" s="4494">
        <f>SUM(M50:P50)</f>
        <v>57</v>
      </c>
      <c r="R50" s="4491">
        <v>4</v>
      </c>
      <c r="S50" s="4492"/>
      <c r="T50" s="4492">
        <v>7</v>
      </c>
      <c r="U50" s="4493">
        <v>45</v>
      </c>
      <c r="V50" s="4494">
        <f t="shared" si="33"/>
        <v>56</v>
      </c>
      <c r="W50" s="5128">
        <v>3</v>
      </c>
      <c r="X50" s="5129">
        <v>0</v>
      </c>
      <c r="Y50" s="5129">
        <v>9</v>
      </c>
      <c r="Z50" s="5130">
        <v>45</v>
      </c>
      <c r="AA50" s="4494">
        <f t="shared" si="43"/>
        <v>57</v>
      </c>
      <c r="AB50" s="5128">
        <v>3</v>
      </c>
      <c r="AC50" s="5129">
        <v>0</v>
      </c>
      <c r="AD50" s="5129">
        <v>10</v>
      </c>
      <c r="AE50" s="5130">
        <v>42</v>
      </c>
      <c r="AF50" s="5167">
        <f t="shared" si="44"/>
        <v>55</v>
      </c>
    </row>
    <row r="51" spans="1:32" ht="14.4" x14ac:dyDescent="0.25">
      <c r="A51" s="3512"/>
      <c r="B51" s="3518" t="s">
        <v>866</v>
      </c>
      <c r="C51" s="4491">
        <v>3</v>
      </c>
      <c r="D51" s="4492">
        <v>2</v>
      </c>
      <c r="E51" s="4492">
        <v>12</v>
      </c>
      <c r="F51" s="4493">
        <v>23</v>
      </c>
      <c r="G51" s="4494">
        <v>40</v>
      </c>
      <c r="H51" s="4491">
        <v>3</v>
      </c>
      <c r="I51" s="4492">
        <v>2</v>
      </c>
      <c r="J51" s="4492">
        <v>11</v>
      </c>
      <c r="K51" s="4493">
        <v>22</v>
      </c>
      <c r="L51" s="4494">
        <v>38</v>
      </c>
      <c r="M51" s="4491">
        <v>2</v>
      </c>
      <c r="N51" s="4492">
        <v>0</v>
      </c>
      <c r="O51" s="4492">
        <v>13</v>
      </c>
      <c r="P51" s="4493">
        <v>21</v>
      </c>
      <c r="Q51" s="4494">
        <f>SUM(M51:P51)</f>
        <v>36</v>
      </c>
      <c r="R51" s="4491">
        <v>2</v>
      </c>
      <c r="S51" s="4492"/>
      <c r="T51" s="4492">
        <v>13</v>
      </c>
      <c r="U51" s="4493">
        <v>21</v>
      </c>
      <c r="V51" s="4494">
        <f t="shared" si="33"/>
        <v>36</v>
      </c>
      <c r="W51" s="5128">
        <v>2</v>
      </c>
      <c r="X51" s="5129">
        <v>2</v>
      </c>
      <c r="Y51" s="5129">
        <v>10</v>
      </c>
      <c r="Z51" s="5130">
        <v>20</v>
      </c>
      <c r="AA51" s="4494">
        <f t="shared" si="43"/>
        <v>34</v>
      </c>
      <c r="AB51" s="5128">
        <v>2</v>
      </c>
      <c r="AC51" s="5129">
        <v>2</v>
      </c>
      <c r="AD51" s="5129">
        <v>10</v>
      </c>
      <c r="AE51" s="5130">
        <v>19</v>
      </c>
      <c r="AF51" s="5167">
        <f t="shared" si="44"/>
        <v>33</v>
      </c>
    </row>
    <row r="52" spans="1:32" ht="14.4" x14ac:dyDescent="0.25">
      <c r="A52" s="3512"/>
      <c r="B52" s="3520" t="s">
        <v>92</v>
      </c>
      <c r="C52" s="4499">
        <f>SUM(C47:C51)</f>
        <v>20</v>
      </c>
      <c r="D52" s="4500">
        <f>SUM(D47:D51)</f>
        <v>2</v>
      </c>
      <c r="E52" s="4500">
        <f>SUM(E47:E51)</f>
        <v>54</v>
      </c>
      <c r="F52" s="4501">
        <f>SUM(F47:F51)</f>
        <v>176</v>
      </c>
      <c r="G52" s="4502">
        <f>SUM(G47:G51)</f>
        <v>252</v>
      </c>
      <c r="H52" s="4499">
        <v>20</v>
      </c>
      <c r="I52" s="4500">
        <v>2</v>
      </c>
      <c r="J52" s="4500">
        <v>52</v>
      </c>
      <c r="K52" s="4501">
        <v>175</v>
      </c>
      <c r="L52" s="4502">
        <v>249</v>
      </c>
      <c r="M52" s="4495">
        <f t="shared" ref="M52:V52" si="45">SUM(M47:M51)</f>
        <v>16</v>
      </c>
      <c r="N52" s="4496">
        <f t="shared" si="45"/>
        <v>0</v>
      </c>
      <c r="O52" s="4496">
        <f t="shared" si="45"/>
        <v>55</v>
      </c>
      <c r="P52" s="4497">
        <f t="shared" si="45"/>
        <v>175</v>
      </c>
      <c r="Q52" s="4498">
        <f t="shared" si="45"/>
        <v>246</v>
      </c>
      <c r="R52" s="4495">
        <f t="shared" si="45"/>
        <v>16</v>
      </c>
      <c r="S52" s="4496">
        <f t="shared" si="45"/>
        <v>0</v>
      </c>
      <c r="T52" s="4496">
        <f t="shared" si="45"/>
        <v>53</v>
      </c>
      <c r="U52" s="4497">
        <f t="shared" si="45"/>
        <v>173</v>
      </c>
      <c r="V52" s="4498">
        <f t="shared" si="45"/>
        <v>242</v>
      </c>
      <c r="W52" s="5131">
        <f t="shared" ref="W52:AA52" si="46">SUM(W47:W51)</f>
        <v>19</v>
      </c>
      <c r="X52" s="5132">
        <f t="shared" si="46"/>
        <v>2</v>
      </c>
      <c r="Y52" s="5132">
        <f t="shared" si="46"/>
        <v>47</v>
      </c>
      <c r="Z52" s="5133">
        <f t="shared" si="46"/>
        <v>170</v>
      </c>
      <c r="AA52" s="4498">
        <f t="shared" si="46"/>
        <v>238</v>
      </c>
      <c r="AB52" s="5131">
        <f t="shared" ref="AB52:AF52" si="47">SUM(AB47:AB51)</f>
        <v>18</v>
      </c>
      <c r="AC52" s="5132">
        <f t="shared" si="47"/>
        <v>2</v>
      </c>
      <c r="AD52" s="5132">
        <f t="shared" si="47"/>
        <v>47</v>
      </c>
      <c r="AE52" s="5133">
        <f t="shared" si="47"/>
        <v>165</v>
      </c>
      <c r="AF52" s="5168">
        <f t="shared" si="47"/>
        <v>232</v>
      </c>
    </row>
    <row r="53" spans="1:32" ht="15" customHeight="1" x14ac:dyDescent="0.25">
      <c r="A53" s="3512"/>
      <c r="B53" s="3523" t="s">
        <v>867</v>
      </c>
      <c r="C53" s="4515">
        <f>SUM(C52,C46,C41)</f>
        <v>75</v>
      </c>
      <c r="D53" s="4516">
        <f>SUM(D52,D46,D41)</f>
        <v>4</v>
      </c>
      <c r="E53" s="4516">
        <f>SUM(E52,E46,E41)</f>
        <v>181</v>
      </c>
      <c r="F53" s="4517">
        <f>SUM(F52,F46,F41)</f>
        <v>630</v>
      </c>
      <c r="G53" s="4518">
        <f>SUM(G52,G46,G41)</f>
        <v>890</v>
      </c>
      <c r="H53" s="4515">
        <v>68</v>
      </c>
      <c r="I53" s="4516">
        <v>4</v>
      </c>
      <c r="J53" s="4516">
        <v>183</v>
      </c>
      <c r="K53" s="4517">
        <v>637</v>
      </c>
      <c r="L53" s="4518">
        <v>892</v>
      </c>
      <c r="M53" s="4515">
        <f t="shared" ref="M53:V53" si="48">SUM(M41,M46,M52)</f>
        <v>55</v>
      </c>
      <c r="N53" s="4516">
        <f t="shared" si="48"/>
        <v>2</v>
      </c>
      <c r="O53" s="4516">
        <f t="shared" si="48"/>
        <v>168</v>
      </c>
      <c r="P53" s="4517">
        <f t="shared" si="48"/>
        <v>640</v>
      </c>
      <c r="Q53" s="4518">
        <f t="shared" si="48"/>
        <v>865</v>
      </c>
      <c r="R53" s="4515">
        <f t="shared" si="48"/>
        <v>50</v>
      </c>
      <c r="S53" s="4516">
        <f t="shared" si="48"/>
        <v>1</v>
      </c>
      <c r="T53" s="4516">
        <f t="shared" si="48"/>
        <v>164</v>
      </c>
      <c r="U53" s="4517">
        <f t="shared" si="48"/>
        <v>634</v>
      </c>
      <c r="V53" s="4518">
        <f t="shared" si="48"/>
        <v>849</v>
      </c>
      <c r="W53" s="5146">
        <f t="shared" ref="W53:AA53" si="49">SUM(W41,W46,W52)</f>
        <v>54</v>
      </c>
      <c r="X53" s="5147">
        <f t="shared" si="49"/>
        <v>3</v>
      </c>
      <c r="Y53" s="5147">
        <f t="shared" si="49"/>
        <v>151</v>
      </c>
      <c r="Z53" s="5148">
        <f t="shared" si="49"/>
        <v>618</v>
      </c>
      <c r="AA53" s="4518">
        <f t="shared" si="49"/>
        <v>826</v>
      </c>
      <c r="AB53" s="5146">
        <f t="shared" ref="AB53:AF53" si="50">SUM(AB41,AB46,AB52)</f>
        <v>53</v>
      </c>
      <c r="AC53" s="5147">
        <f t="shared" si="50"/>
        <v>3</v>
      </c>
      <c r="AD53" s="5147">
        <f t="shared" si="50"/>
        <v>150</v>
      </c>
      <c r="AE53" s="5148">
        <f t="shared" si="50"/>
        <v>610</v>
      </c>
      <c r="AF53" s="5173">
        <f t="shared" si="50"/>
        <v>816</v>
      </c>
    </row>
    <row r="54" spans="1:32" ht="15" customHeight="1" x14ac:dyDescent="0.25">
      <c r="A54" s="3512"/>
      <c r="B54" s="3524" t="s">
        <v>868</v>
      </c>
      <c r="C54" s="4487"/>
      <c r="D54" s="4488"/>
      <c r="E54" s="4488">
        <v>1</v>
      </c>
      <c r="F54" s="4489">
        <v>5</v>
      </c>
      <c r="G54" s="4490">
        <v>6</v>
      </c>
      <c r="H54" s="4487"/>
      <c r="I54" s="4488"/>
      <c r="J54" s="4488">
        <v>2</v>
      </c>
      <c r="K54" s="4489">
        <v>4</v>
      </c>
      <c r="L54" s="4490">
        <v>6</v>
      </c>
      <c r="M54" s="4487"/>
      <c r="N54" s="4488"/>
      <c r="O54" s="4488">
        <v>1</v>
      </c>
      <c r="P54" s="4489">
        <v>5</v>
      </c>
      <c r="Q54" s="4490">
        <v>6</v>
      </c>
      <c r="R54" s="4487"/>
      <c r="S54" s="4488"/>
      <c r="T54" s="4488">
        <v>1</v>
      </c>
      <c r="U54" s="4489">
        <v>5</v>
      </c>
      <c r="V54" s="4490">
        <f>SUM(R54:U54)</f>
        <v>6</v>
      </c>
      <c r="W54" s="5125">
        <v>0</v>
      </c>
      <c r="X54" s="5126">
        <v>0</v>
      </c>
      <c r="Y54" s="5126">
        <v>2</v>
      </c>
      <c r="Z54" s="5127">
        <v>4</v>
      </c>
      <c r="AA54" s="4490">
        <f>SUM(W54:Z54)</f>
        <v>6</v>
      </c>
      <c r="AB54" s="5125">
        <v>0</v>
      </c>
      <c r="AC54" s="5126">
        <v>0</v>
      </c>
      <c r="AD54" s="5126">
        <v>0</v>
      </c>
      <c r="AE54" s="5127">
        <v>5</v>
      </c>
      <c r="AF54" s="5166">
        <f>SUM(AB54:AE54)</f>
        <v>5</v>
      </c>
    </row>
    <row r="55" spans="1:32" ht="14.4" x14ac:dyDescent="0.25">
      <c r="A55" s="3512"/>
      <c r="B55" s="3525" t="s">
        <v>869</v>
      </c>
      <c r="C55" s="4491"/>
      <c r="D55" s="4492"/>
      <c r="E55" s="4492"/>
      <c r="F55" s="4493">
        <v>9</v>
      </c>
      <c r="G55" s="4494">
        <v>9</v>
      </c>
      <c r="H55" s="4491"/>
      <c r="I55" s="4492"/>
      <c r="J55" s="4492"/>
      <c r="K55" s="4493">
        <v>11</v>
      </c>
      <c r="L55" s="4494">
        <v>11</v>
      </c>
      <c r="M55" s="4491"/>
      <c r="N55" s="4492"/>
      <c r="O55" s="4492">
        <v>1</v>
      </c>
      <c r="P55" s="4493">
        <v>11</v>
      </c>
      <c r="Q55" s="4494">
        <v>12</v>
      </c>
      <c r="R55" s="4491"/>
      <c r="S55" s="4492"/>
      <c r="T55" s="4492">
        <v>1</v>
      </c>
      <c r="U55" s="4493">
        <v>11</v>
      </c>
      <c r="V55" s="4494">
        <f t="shared" ref="V55:V64" si="51">SUM(R55:U55)</f>
        <v>12</v>
      </c>
      <c r="W55" s="5128">
        <v>0</v>
      </c>
      <c r="X55" s="5129">
        <v>0</v>
      </c>
      <c r="Y55" s="5129">
        <v>0</v>
      </c>
      <c r="Z55" s="5130">
        <v>10</v>
      </c>
      <c r="AA55" s="4494">
        <f t="shared" ref="AA55:AA56" si="52">SUM(W55:Z55)</f>
        <v>10</v>
      </c>
      <c r="AB55" s="5128">
        <v>0</v>
      </c>
      <c r="AC55" s="5129">
        <v>0</v>
      </c>
      <c r="AD55" s="5129">
        <v>0</v>
      </c>
      <c r="AE55" s="5130">
        <v>10</v>
      </c>
      <c r="AF55" s="5167">
        <f t="shared" ref="AF55:AF56" si="53">SUM(AB55:AE55)</f>
        <v>10</v>
      </c>
    </row>
    <row r="56" spans="1:32" ht="14.4" x14ac:dyDescent="0.25">
      <c r="A56" s="3512"/>
      <c r="B56" s="3525" t="s">
        <v>870</v>
      </c>
      <c r="C56" s="4491"/>
      <c r="D56" s="4492"/>
      <c r="E56" s="4492">
        <v>1</v>
      </c>
      <c r="F56" s="4493">
        <v>3</v>
      </c>
      <c r="G56" s="4494">
        <v>4</v>
      </c>
      <c r="H56" s="4491"/>
      <c r="I56" s="4492"/>
      <c r="J56" s="4492">
        <v>1</v>
      </c>
      <c r="K56" s="4493">
        <v>3</v>
      </c>
      <c r="L56" s="4494">
        <v>4</v>
      </c>
      <c r="M56" s="4491"/>
      <c r="N56" s="4492"/>
      <c r="O56" s="4492"/>
      <c r="P56" s="4493">
        <v>5</v>
      </c>
      <c r="Q56" s="4494">
        <v>5</v>
      </c>
      <c r="R56" s="4491"/>
      <c r="S56" s="4492"/>
      <c r="T56" s="4492"/>
      <c r="U56" s="4493">
        <v>4</v>
      </c>
      <c r="V56" s="4494">
        <f t="shared" si="51"/>
        <v>4</v>
      </c>
      <c r="W56" s="5128">
        <v>0</v>
      </c>
      <c r="X56" s="5129">
        <v>0</v>
      </c>
      <c r="Y56" s="5129">
        <v>0</v>
      </c>
      <c r="Z56" s="5130">
        <v>6</v>
      </c>
      <c r="AA56" s="4494">
        <f t="shared" si="52"/>
        <v>6</v>
      </c>
      <c r="AB56" s="5128">
        <v>0</v>
      </c>
      <c r="AC56" s="5129">
        <v>0</v>
      </c>
      <c r="AD56" s="5129">
        <v>0</v>
      </c>
      <c r="AE56" s="5130">
        <v>4</v>
      </c>
      <c r="AF56" s="5167">
        <f t="shared" si="53"/>
        <v>4</v>
      </c>
    </row>
    <row r="57" spans="1:32" ht="14.4" x14ac:dyDescent="0.25">
      <c r="A57" s="3512"/>
      <c r="B57" s="3519" t="s">
        <v>59</v>
      </c>
      <c r="C57" s="4507">
        <f>SUM(C54:C56)</f>
        <v>0</v>
      </c>
      <c r="D57" s="4508">
        <f>SUM(D54:D56)</f>
        <v>0</v>
      </c>
      <c r="E57" s="4508">
        <f>SUM(E54:E56)</f>
        <v>2</v>
      </c>
      <c r="F57" s="4509">
        <f>SUM(F54:F56)</f>
        <v>17</v>
      </c>
      <c r="G57" s="4510">
        <f>SUM(G54:G56)</f>
        <v>19</v>
      </c>
      <c r="H57" s="4507">
        <v>0</v>
      </c>
      <c r="I57" s="4508">
        <v>0</v>
      </c>
      <c r="J57" s="4508">
        <v>3</v>
      </c>
      <c r="K57" s="4509">
        <v>18</v>
      </c>
      <c r="L57" s="4510">
        <v>21</v>
      </c>
      <c r="M57" s="4507">
        <v>0</v>
      </c>
      <c r="N57" s="4508">
        <v>0</v>
      </c>
      <c r="O57" s="4508">
        <v>2</v>
      </c>
      <c r="P57" s="4509">
        <v>21</v>
      </c>
      <c r="Q57" s="4510">
        <v>23</v>
      </c>
      <c r="R57" s="4507">
        <f t="shared" ref="R57:AA57" si="54">SUM(R54:R56)</f>
        <v>0</v>
      </c>
      <c r="S57" s="4508">
        <f t="shared" si="54"/>
        <v>0</v>
      </c>
      <c r="T57" s="4508">
        <f t="shared" si="54"/>
        <v>2</v>
      </c>
      <c r="U57" s="4509">
        <f t="shared" si="54"/>
        <v>20</v>
      </c>
      <c r="V57" s="4510">
        <f t="shared" si="54"/>
        <v>22</v>
      </c>
      <c r="W57" s="5140">
        <f t="shared" si="54"/>
        <v>0</v>
      </c>
      <c r="X57" s="5141">
        <f t="shared" si="54"/>
        <v>0</v>
      </c>
      <c r="Y57" s="5141">
        <f t="shared" si="54"/>
        <v>2</v>
      </c>
      <c r="Z57" s="5142">
        <f t="shared" si="54"/>
        <v>20</v>
      </c>
      <c r="AA57" s="4510">
        <f t="shared" si="54"/>
        <v>22</v>
      </c>
      <c r="AB57" s="5140">
        <f t="shared" ref="AB57:AF57" si="55">SUM(AB54:AB56)</f>
        <v>0</v>
      </c>
      <c r="AC57" s="5141">
        <f t="shared" si="55"/>
        <v>0</v>
      </c>
      <c r="AD57" s="5141">
        <f t="shared" si="55"/>
        <v>0</v>
      </c>
      <c r="AE57" s="5142">
        <f t="shared" si="55"/>
        <v>19</v>
      </c>
      <c r="AF57" s="5171">
        <f t="shared" si="55"/>
        <v>19</v>
      </c>
    </row>
    <row r="58" spans="1:32" ht="14.4" x14ac:dyDescent="0.25">
      <c r="A58" s="3512"/>
      <c r="B58" s="3525" t="s">
        <v>871</v>
      </c>
      <c r="C58" s="4491"/>
      <c r="D58" s="4492"/>
      <c r="E58" s="4492">
        <v>3</v>
      </c>
      <c r="F58" s="4493">
        <v>6</v>
      </c>
      <c r="G58" s="4494">
        <v>9</v>
      </c>
      <c r="H58" s="4491"/>
      <c r="I58" s="4492"/>
      <c r="J58" s="4492">
        <v>2</v>
      </c>
      <c r="K58" s="4493">
        <v>7</v>
      </c>
      <c r="L58" s="4494">
        <v>9</v>
      </c>
      <c r="M58" s="4491"/>
      <c r="N58" s="4492"/>
      <c r="O58" s="4492">
        <v>2</v>
      </c>
      <c r="P58" s="4493">
        <v>7</v>
      </c>
      <c r="Q58" s="4494">
        <f>SUM(M58:P58)</f>
        <v>9</v>
      </c>
      <c r="R58" s="4491"/>
      <c r="S58" s="4492"/>
      <c r="T58" s="4492">
        <v>2</v>
      </c>
      <c r="U58" s="4493">
        <v>8</v>
      </c>
      <c r="V58" s="4494">
        <f t="shared" si="51"/>
        <v>10</v>
      </c>
      <c r="W58" s="5128">
        <v>0</v>
      </c>
      <c r="X58" s="5129">
        <v>0</v>
      </c>
      <c r="Y58" s="5129">
        <v>1</v>
      </c>
      <c r="Z58" s="5130">
        <v>9</v>
      </c>
      <c r="AA58" s="4494">
        <f t="shared" ref="AA58:AA60" si="56">SUM(W58:Z58)</f>
        <v>10</v>
      </c>
      <c r="AB58" s="5128">
        <v>0</v>
      </c>
      <c r="AC58" s="5129">
        <v>0</v>
      </c>
      <c r="AD58" s="5129">
        <v>1</v>
      </c>
      <c r="AE58" s="5130">
        <v>9</v>
      </c>
      <c r="AF58" s="5167">
        <f t="shared" ref="AF58:AF60" si="57">SUM(AB58:AE58)</f>
        <v>10</v>
      </c>
    </row>
    <row r="59" spans="1:32" ht="14.4" x14ac:dyDescent="0.25">
      <c r="A59" s="3512"/>
      <c r="B59" s="3525" t="s">
        <v>872</v>
      </c>
      <c r="C59" s="4491"/>
      <c r="D59" s="4492"/>
      <c r="E59" s="4492">
        <v>1</v>
      </c>
      <c r="F59" s="4493">
        <v>3</v>
      </c>
      <c r="G59" s="4494">
        <v>4</v>
      </c>
      <c r="H59" s="4491"/>
      <c r="I59" s="4492"/>
      <c r="J59" s="4492">
        <v>1</v>
      </c>
      <c r="K59" s="4493">
        <v>6</v>
      </c>
      <c r="L59" s="4494">
        <v>7</v>
      </c>
      <c r="M59" s="4491"/>
      <c r="N59" s="4492"/>
      <c r="O59" s="4492">
        <v>1</v>
      </c>
      <c r="P59" s="4493">
        <v>4</v>
      </c>
      <c r="Q59" s="4494">
        <f>SUM(M59:P59)</f>
        <v>5</v>
      </c>
      <c r="R59" s="4491"/>
      <c r="S59" s="4492"/>
      <c r="T59" s="4492">
        <v>1</v>
      </c>
      <c r="U59" s="4493">
        <v>4</v>
      </c>
      <c r="V59" s="4494">
        <f t="shared" si="51"/>
        <v>5</v>
      </c>
      <c r="W59" s="5128">
        <v>0</v>
      </c>
      <c r="X59" s="5129">
        <v>0</v>
      </c>
      <c r="Y59" s="5129">
        <v>1</v>
      </c>
      <c r="Z59" s="5130">
        <v>5</v>
      </c>
      <c r="AA59" s="4494">
        <f t="shared" si="56"/>
        <v>6</v>
      </c>
      <c r="AB59" s="5128">
        <v>0</v>
      </c>
      <c r="AC59" s="5129">
        <v>0</v>
      </c>
      <c r="AD59" s="5129">
        <v>2</v>
      </c>
      <c r="AE59" s="5130">
        <v>5</v>
      </c>
      <c r="AF59" s="5167">
        <f t="shared" si="57"/>
        <v>7</v>
      </c>
    </row>
    <row r="60" spans="1:32" ht="14.4" x14ac:dyDescent="0.25">
      <c r="A60" s="3512"/>
      <c r="B60" s="3525" t="s">
        <v>873</v>
      </c>
      <c r="C60" s="4491"/>
      <c r="D60" s="4492"/>
      <c r="E60" s="4492">
        <v>3</v>
      </c>
      <c r="F60" s="4493">
        <v>13</v>
      </c>
      <c r="G60" s="4494">
        <v>16</v>
      </c>
      <c r="H60" s="4491"/>
      <c r="I60" s="4492"/>
      <c r="J60" s="4492">
        <v>3</v>
      </c>
      <c r="K60" s="4493">
        <v>13</v>
      </c>
      <c r="L60" s="4494">
        <v>16</v>
      </c>
      <c r="M60" s="4491"/>
      <c r="N60" s="4492"/>
      <c r="O60" s="4492">
        <v>2</v>
      </c>
      <c r="P60" s="4493">
        <v>14</v>
      </c>
      <c r="Q60" s="4494">
        <f>SUM(M60:P60)</f>
        <v>16</v>
      </c>
      <c r="R60" s="4491"/>
      <c r="S60" s="4492"/>
      <c r="T60" s="4492">
        <v>2</v>
      </c>
      <c r="U60" s="4493">
        <v>14</v>
      </c>
      <c r="V60" s="4494">
        <f t="shared" si="51"/>
        <v>16</v>
      </c>
      <c r="W60" s="5128">
        <v>0</v>
      </c>
      <c r="X60" s="5129">
        <v>0</v>
      </c>
      <c r="Y60" s="5129">
        <v>2</v>
      </c>
      <c r="Z60" s="5130">
        <v>13</v>
      </c>
      <c r="AA60" s="4494">
        <f t="shared" si="56"/>
        <v>15</v>
      </c>
      <c r="AB60" s="5128">
        <v>0</v>
      </c>
      <c r="AC60" s="5129">
        <v>0</v>
      </c>
      <c r="AD60" s="5129">
        <v>2</v>
      </c>
      <c r="AE60" s="5130">
        <v>11</v>
      </c>
      <c r="AF60" s="5167">
        <f t="shared" si="57"/>
        <v>13</v>
      </c>
    </row>
    <row r="61" spans="1:32" ht="14.4" x14ac:dyDescent="0.25">
      <c r="A61" s="3512"/>
      <c r="B61" s="3519" t="s">
        <v>64</v>
      </c>
      <c r="C61" s="4495">
        <f>SUM(C58:C60)</f>
        <v>0</v>
      </c>
      <c r="D61" s="4496">
        <f>SUM(D58:D60)</f>
        <v>0</v>
      </c>
      <c r="E61" s="4496">
        <f>SUM(E58:E60)</f>
        <v>7</v>
      </c>
      <c r="F61" s="4497">
        <f>SUM(F58:F60)</f>
        <v>22</v>
      </c>
      <c r="G61" s="4498">
        <f>SUM(G58:G60)</f>
        <v>29</v>
      </c>
      <c r="H61" s="4495">
        <v>0</v>
      </c>
      <c r="I61" s="4496">
        <v>0</v>
      </c>
      <c r="J61" s="4496">
        <v>6</v>
      </c>
      <c r="K61" s="4497">
        <v>26</v>
      </c>
      <c r="L61" s="4498">
        <v>32</v>
      </c>
      <c r="M61" s="4507">
        <f t="shared" ref="M61:V61" si="58">SUM(M58:M60)</f>
        <v>0</v>
      </c>
      <c r="N61" s="4508">
        <f t="shared" si="58"/>
        <v>0</v>
      </c>
      <c r="O61" s="4508">
        <f t="shared" si="58"/>
        <v>5</v>
      </c>
      <c r="P61" s="4509">
        <f t="shared" si="58"/>
        <v>25</v>
      </c>
      <c r="Q61" s="4510">
        <f t="shared" si="58"/>
        <v>30</v>
      </c>
      <c r="R61" s="4507">
        <f t="shared" si="58"/>
        <v>0</v>
      </c>
      <c r="S61" s="4508">
        <f t="shared" si="58"/>
        <v>0</v>
      </c>
      <c r="T61" s="4508">
        <f t="shared" si="58"/>
        <v>5</v>
      </c>
      <c r="U61" s="4509">
        <f t="shared" si="58"/>
        <v>26</v>
      </c>
      <c r="V61" s="4510">
        <f t="shared" si="58"/>
        <v>31</v>
      </c>
      <c r="W61" s="5140">
        <f t="shared" ref="W61:AA61" si="59">SUM(W58:W60)</f>
        <v>0</v>
      </c>
      <c r="X61" s="5141">
        <f t="shared" si="59"/>
        <v>0</v>
      </c>
      <c r="Y61" s="5141">
        <f t="shared" si="59"/>
        <v>4</v>
      </c>
      <c r="Z61" s="5142">
        <f t="shared" si="59"/>
        <v>27</v>
      </c>
      <c r="AA61" s="4510">
        <f t="shared" si="59"/>
        <v>31</v>
      </c>
      <c r="AB61" s="5140">
        <f t="shared" ref="AB61:AF61" si="60">SUM(AB58:AB60)</f>
        <v>0</v>
      </c>
      <c r="AC61" s="5141">
        <f t="shared" si="60"/>
        <v>0</v>
      </c>
      <c r="AD61" s="5141">
        <f t="shared" si="60"/>
        <v>5</v>
      </c>
      <c r="AE61" s="5142">
        <f t="shared" si="60"/>
        <v>25</v>
      </c>
      <c r="AF61" s="5171">
        <f t="shared" si="60"/>
        <v>30</v>
      </c>
    </row>
    <row r="62" spans="1:32" ht="14.4" x14ac:dyDescent="0.25">
      <c r="A62" s="3512"/>
      <c r="B62" s="3518" t="s">
        <v>874</v>
      </c>
      <c r="C62" s="4491"/>
      <c r="D62" s="4492"/>
      <c r="E62" s="4492"/>
      <c r="F62" s="4493">
        <v>9</v>
      </c>
      <c r="G62" s="4494">
        <v>9</v>
      </c>
      <c r="H62" s="4491"/>
      <c r="I62" s="4492"/>
      <c r="J62" s="4492"/>
      <c r="K62" s="4493">
        <v>9</v>
      </c>
      <c r="L62" s="4494">
        <v>9</v>
      </c>
      <c r="M62" s="4491"/>
      <c r="N62" s="4492"/>
      <c r="O62" s="4492"/>
      <c r="P62" s="4493">
        <v>11</v>
      </c>
      <c r="Q62" s="4494">
        <v>11</v>
      </c>
      <c r="R62" s="4491"/>
      <c r="S62" s="4492"/>
      <c r="T62" s="4492"/>
      <c r="U62" s="4493">
        <v>11</v>
      </c>
      <c r="V62" s="4494">
        <f t="shared" si="51"/>
        <v>11</v>
      </c>
      <c r="W62" s="5128">
        <v>0</v>
      </c>
      <c r="X62" s="5129">
        <v>0</v>
      </c>
      <c r="Y62" s="5129">
        <v>0</v>
      </c>
      <c r="Z62" s="5130">
        <v>11</v>
      </c>
      <c r="AA62" s="4494">
        <f t="shared" ref="AA62:AA64" si="61">SUM(W62:Z62)</f>
        <v>11</v>
      </c>
      <c r="AB62" s="5128">
        <v>0</v>
      </c>
      <c r="AC62" s="5129">
        <v>0</v>
      </c>
      <c r="AD62" s="5129">
        <v>0</v>
      </c>
      <c r="AE62" s="5130">
        <v>11</v>
      </c>
      <c r="AF62" s="5167">
        <f t="shared" ref="AF62:AF64" si="62">SUM(AB62:AE62)</f>
        <v>11</v>
      </c>
    </row>
    <row r="63" spans="1:32" ht="14.4" x14ac:dyDescent="0.25">
      <c r="A63" s="3512"/>
      <c r="B63" s="3518" t="s">
        <v>875</v>
      </c>
      <c r="C63" s="4491"/>
      <c r="D63" s="4492"/>
      <c r="E63" s="4492"/>
      <c r="F63" s="4493">
        <v>7</v>
      </c>
      <c r="G63" s="4494">
        <v>7</v>
      </c>
      <c r="H63" s="4491"/>
      <c r="I63" s="4492"/>
      <c r="J63" s="4492"/>
      <c r="K63" s="4493">
        <v>8</v>
      </c>
      <c r="L63" s="4494">
        <v>8</v>
      </c>
      <c r="M63" s="4491"/>
      <c r="N63" s="4492"/>
      <c r="O63" s="4492"/>
      <c r="P63" s="4493">
        <v>6</v>
      </c>
      <c r="Q63" s="4494">
        <v>6</v>
      </c>
      <c r="R63" s="4491"/>
      <c r="S63" s="4492"/>
      <c r="T63" s="4492"/>
      <c r="U63" s="4493">
        <v>6</v>
      </c>
      <c r="V63" s="4494">
        <f t="shared" si="51"/>
        <v>6</v>
      </c>
      <c r="W63" s="5128">
        <v>0</v>
      </c>
      <c r="X63" s="5129">
        <v>0</v>
      </c>
      <c r="Y63" s="5129">
        <v>0</v>
      </c>
      <c r="Z63" s="5130">
        <v>5</v>
      </c>
      <c r="AA63" s="4494">
        <f t="shared" si="61"/>
        <v>5</v>
      </c>
      <c r="AB63" s="5128">
        <v>0</v>
      </c>
      <c r="AC63" s="5129">
        <v>0</v>
      </c>
      <c r="AD63" s="5129">
        <v>0</v>
      </c>
      <c r="AE63" s="5130">
        <v>4</v>
      </c>
      <c r="AF63" s="5167">
        <f t="shared" si="62"/>
        <v>4</v>
      </c>
    </row>
    <row r="64" spans="1:32" ht="14.4" x14ac:dyDescent="0.25">
      <c r="A64" s="3512"/>
      <c r="B64" s="3518" t="s">
        <v>865</v>
      </c>
      <c r="C64" s="4491"/>
      <c r="D64" s="4492"/>
      <c r="E64" s="4492"/>
      <c r="F64" s="4493">
        <v>4</v>
      </c>
      <c r="G64" s="4494">
        <v>4</v>
      </c>
      <c r="H64" s="4491"/>
      <c r="I64" s="4492"/>
      <c r="J64" s="4492"/>
      <c r="K64" s="4493">
        <v>3</v>
      </c>
      <c r="L64" s="4494">
        <v>3</v>
      </c>
      <c r="M64" s="4491"/>
      <c r="N64" s="4492"/>
      <c r="O64" s="4492"/>
      <c r="P64" s="4493">
        <v>4</v>
      </c>
      <c r="Q64" s="4494">
        <v>4</v>
      </c>
      <c r="R64" s="4491"/>
      <c r="S64" s="4492"/>
      <c r="T64" s="4492"/>
      <c r="U64" s="4493">
        <v>5</v>
      </c>
      <c r="V64" s="4494">
        <f t="shared" si="51"/>
        <v>5</v>
      </c>
      <c r="W64" s="5128">
        <v>0</v>
      </c>
      <c r="X64" s="5129">
        <v>0</v>
      </c>
      <c r="Y64" s="5129">
        <v>0</v>
      </c>
      <c r="Z64" s="5130">
        <v>5</v>
      </c>
      <c r="AA64" s="4494">
        <f t="shared" si="61"/>
        <v>5</v>
      </c>
      <c r="AB64" s="5128">
        <v>0</v>
      </c>
      <c r="AC64" s="5129">
        <v>0</v>
      </c>
      <c r="AD64" s="5129">
        <v>1</v>
      </c>
      <c r="AE64" s="5130">
        <v>5</v>
      </c>
      <c r="AF64" s="5167">
        <f t="shared" si="62"/>
        <v>6</v>
      </c>
    </row>
    <row r="65" spans="1:32" ht="14.4" x14ac:dyDescent="0.25">
      <c r="A65" s="3512"/>
      <c r="B65" s="3520" t="s">
        <v>92</v>
      </c>
      <c r="C65" s="4499">
        <f>SUM(C62:C64)</f>
        <v>0</v>
      </c>
      <c r="D65" s="4500">
        <f>SUM(D62:D64)</f>
        <v>0</v>
      </c>
      <c r="E65" s="4500">
        <f>SUM(E62:E64)</f>
        <v>0</v>
      </c>
      <c r="F65" s="4501">
        <f>SUM(F62:F64)</f>
        <v>20</v>
      </c>
      <c r="G65" s="4502">
        <f>SUM(G62:G64)</f>
        <v>20</v>
      </c>
      <c r="H65" s="4499">
        <v>0</v>
      </c>
      <c r="I65" s="4500">
        <v>0</v>
      </c>
      <c r="J65" s="4500">
        <v>0</v>
      </c>
      <c r="K65" s="4501">
        <v>20</v>
      </c>
      <c r="L65" s="4502">
        <v>20</v>
      </c>
      <c r="M65" s="4499">
        <v>0</v>
      </c>
      <c r="N65" s="4500">
        <v>0</v>
      </c>
      <c r="O65" s="4500">
        <v>0</v>
      </c>
      <c r="P65" s="4501">
        <v>21</v>
      </c>
      <c r="Q65" s="4502">
        <v>21</v>
      </c>
      <c r="R65" s="4499">
        <f t="shared" ref="R65:AA65" si="63">SUM(R62:R64)</f>
        <v>0</v>
      </c>
      <c r="S65" s="4500">
        <f t="shared" si="63"/>
        <v>0</v>
      </c>
      <c r="T65" s="4500">
        <f t="shared" si="63"/>
        <v>0</v>
      </c>
      <c r="U65" s="4501">
        <f t="shared" si="63"/>
        <v>22</v>
      </c>
      <c r="V65" s="4502">
        <f t="shared" si="63"/>
        <v>22</v>
      </c>
      <c r="W65" s="5134">
        <f t="shared" si="63"/>
        <v>0</v>
      </c>
      <c r="X65" s="5135">
        <f t="shared" si="63"/>
        <v>0</v>
      </c>
      <c r="Y65" s="5135">
        <f t="shared" si="63"/>
        <v>0</v>
      </c>
      <c r="Z65" s="5136">
        <f t="shared" si="63"/>
        <v>21</v>
      </c>
      <c r="AA65" s="4502">
        <f t="shared" si="63"/>
        <v>21</v>
      </c>
      <c r="AB65" s="5134">
        <f t="shared" ref="AB65:AF65" si="64">SUM(AB62:AB64)</f>
        <v>0</v>
      </c>
      <c r="AC65" s="5135">
        <f t="shared" si="64"/>
        <v>0</v>
      </c>
      <c r="AD65" s="5135">
        <f t="shared" si="64"/>
        <v>1</v>
      </c>
      <c r="AE65" s="5136">
        <f t="shared" si="64"/>
        <v>20</v>
      </c>
      <c r="AF65" s="5169">
        <f t="shared" si="64"/>
        <v>21</v>
      </c>
    </row>
    <row r="66" spans="1:32" ht="15" customHeight="1" x14ac:dyDescent="0.25">
      <c r="A66" s="3512"/>
      <c r="B66" s="3526" t="s">
        <v>876</v>
      </c>
      <c r="C66" s="4519">
        <f>SUM(C65,C61,C57)</f>
        <v>0</v>
      </c>
      <c r="D66" s="4520">
        <f>SUM(D65,D61,D57)</f>
        <v>0</v>
      </c>
      <c r="E66" s="4520">
        <f>SUM(E65,E61,E57)</f>
        <v>9</v>
      </c>
      <c r="F66" s="4521">
        <f>SUM(F65,F61,F57)</f>
        <v>59</v>
      </c>
      <c r="G66" s="4522">
        <f>SUM(G65,G61,G57)</f>
        <v>68</v>
      </c>
      <c r="H66" s="4519">
        <v>0</v>
      </c>
      <c r="I66" s="4520">
        <v>0</v>
      </c>
      <c r="J66" s="4520">
        <v>9</v>
      </c>
      <c r="K66" s="4521">
        <v>64</v>
      </c>
      <c r="L66" s="4522">
        <v>73</v>
      </c>
      <c r="M66" s="4519">
        <v>0</v>
      </c>
      <c r="N66" s="4520">
        <v>0</v>
      </c>
      <c r="O66" s="4520">
        <v>7</v>
      </c>
      <c r="P66" s="4521">
        <v>67</v>
      </c>
      <c r="Q66" s="4522">
        <v>74</v>
      </c>
      <c r="R66" s="4519">
        <f t="shared" ref="R66:AA66" si="65">SUM(R57,R61,R65)</f>
        <v>0</v>
      </c>
      <c r="S66" s="4520">
        <f t="shared" si="65"/>
        <v>0</v>
      </c>
      <c r="T66" s="4520">
        <f t="shared" si="65"/>
        <v>7</v>
      </c>
      <c r="U66" s="4521">
        <f t="shared" si="65"/>
        <v>68</v>
      </c>
      <c r="V66" s="4522">
        <f t="shared" si="65"/>
        <v>75</v>
      </c>
      <c r="W66" s="5149">
        <f t="shared" si="65"/>
        <v>0</v>
      </c>
      <c r="X66" s="5150">
        <f t="shared" si="65"/>
        <v>0</v>
      </c>
      <c r="Y66" s="5150">
        <f t="shared" si="65"/>
        <v>6</v>
      </c>
      <c r="Z66" s="5151">
        <f t="shared" si="65"/>
        <v>68</v>
      </c>
      <c r="AA66" s="4522">
        <f t="shared" si="65"/>
        <v>74</v>
      </c>
      <c r="AB66" s="5149">
        <f t="shared" ref="AB66:AF66" si="66">SUM(AB57,AB61,AB65)</f>
        <v>0</v>
      </c>
      <c r="AC66" s="5150">
        <f t="shared" si="66"/>
        <v>0</v>
      </c>
      <c r="AD66" s="5150">
        <f t="shared" si="66"/>
        <v>6</v>
      </c>
      <c r="AE66" s="5151">
        <f t="shared" si="66"/>
        <v>64</v>
      </c>
      <c r="AF66" s="5174">
        <f t="shared" si="66"/>
        <v>70</v>
      </c>
    </row>
    <row r="67" spans="1:32" ht="15" customHeight="1" x14ac:dyDescent="0.3">
      <c r="A67" s="3512"/>
      <c r="B67" s="3527" t="s">
        <v>877</v>
      </c>
      <c r="C67" s="4487">
        <v>24</v>
      </c>
      <c r="D67" s="4488">
        <v>2</v>
      </c>
      <c r="E67" s="4488">
        <v>48</v>
      </c>
      <c r="F67" s="4489">
        <v>66</v>
      </c>
      <c r="G67" s="4490">
        <v>140</v>
      </c>
      <c r="H67" s="4487">
        <v>21</v>
      </c>
      <c r="I67" s="4488">
        <v>1</v>
      </c>
      <c r="J67" s="4488">
        <v>49</v>
      </c>
      <c r="K67" s="4489">
        <v>69</v>
      </c>
      <c r="L67" s="4490">
        <v>140</v>
      </c>
      <c r="M67" s="4487">
        <v>19</v>
      </c>
      <c r="N67" s="4488">
        <v>1</v>
      </c>
      <c r="O67" s="4488">
        <v>46</v>
      </c>
      <c r="P67" s="4489">
        <v>67</v>
      </c>
      <c r="Q67" s="4490">
        <v>133</v>
      </c>
      <c r="R67" s="4487">
        <v>20</v>
      </c>
      <c r="S67" s="4488">
        <v>1</v>
      </c>
      <c r="T67" s="4488">
        <v>45</v>
      </c>
      <c r="U67" s="4489">
        <v>68</v>
      </c>
      <c r="V67" s="4490">
        <f>SUM(R67:U67)</f>
        <v>134</v>
      </c>
      <c r="W67" s="5125">
        <v>21</v>
      </c>
      <c r="X67" s="5126">
        <v>1</v>
      </c>
      <c r="Y67" s="5126">
        <v>44</v>
      </c>
      <c r="Z67" s="5127">
        <v>66</v>
      </c>
      <c r="AA67" s="4490">
        <f>SUM(W67:Z67)</f>
        <v>132</v>
      </c>
      <c r="AB67" s="5125">
        <v>21</v>
      </c>
      <c r="AC67" s="5126">
        <v>1</v>
      </c>
      <c r="AD67" s="5126">
        <v>42</v>
      </c>
      <c r="AE67" s="5127">
        <v>65</v>
      </c>
      <c r="AF67" s="5166">
        <f>SUM(AB67:AE67)</f>
        <v>129</v>
      </c>
    </row>
    <row r="68" spans="1:32" ht="14.4" x14ac:dyDescent="0.3">
      <c r="A68" s="3512"/>
      <c r="B68" s="3528" t="s">
        <v>878</v>
      </c>
      <c r="C68" s="4491">
        <v>16</v>
      </c>
      <c r="D68" s="4492"/>
      <c r="E68" s="4492">
        <v>29</v>
      </c>
      <c r="F68" s="4493">
        <v>64</v>
      </c>
      <c r="G68" s="4494">
        <v>109</v>
      </c>
      <c r="H68" s="4491">
        <v>17</v>
      </c>
      <c r="I68" s="4492">
        <v>0</v>
      </c>
      <c r="J68" s="4492">
        <v>25</v>
      </c>
      <c r="K68" s="4493">
        <v>67</v>
      </c>
      <c r="L68" s="4494">
        <v>109</v>
      </c>
      <c r="M68" s="4491">
        <v>11</v>
      </c>
      <c r="N68" s="4492"/>
      <c r="O68" s="4492">
        <v>23</v>
      </c>
      <c r="P68" s="4493">
        <v>70</v>
      </c>
      <c r="Q68" s="4494">
        <v>104</v>
      </c>
      <c r="R68" s="4491">
        <v>11</v>
      </c>
      <c r="S68" s="4492"/>
      <c r="T68" s="4492">
        <v>23</v>
      </c>
      <c r="U68" s="4493">
        <v>65</v>
      </c>
      <c r="V68" s="4494">
        <f t="shared" ref="V68:V80" si="67">SUM(R68:U68)</f>
        <v>99</v>
      </c>
      <c r="W68" s="5128">
        <v>12</v>
      </c>
      <c r="X68" s="5129">
        <v>0</v>
      </c>
      <c r="Y68" s="5129">
        <v>22</v>
      </c>
      <c r="Z68" s="5130">
        <v>63</v>
      </c>
      <c r="AA68" s="4494">
        <f t="shared" ref="AA68:AA70" si="68">SUM(W68:Z68)</f>
        <v>97</v>
      </c>
      <c r="AB68" s="5128">
        <v>12</v>
      </c>
      <c r="AC68" s="5129">
        <v>0</v>
      </c>
      <c r="AD68" s="5129">
        <v>23</v>
      </c>
      <c r="AE68" s="5130">
        <v>62</v>
      </c>
      <c r="AF68" s="5167">
        <f t="shared" ref="AF68:AF70" si="69">SUM(AB68:AE68)</f>
        <v>97</v>
      </c>
    </row>
    <row r="69" spans="1:32" ht="14.4" x14ac:dyDescent="0.3">
      <c r="A69" s="3512"/>
      <c r="B69" s="3528" t="s">
        <v>879</v>
      </c>
      <c r="C69" s="4491">
        <v>7</v>
      </c>
      <c r="D69" s="4492"/>
      <c r="E69" s="4492">
        <v>25</v>
      </c>
      <c r="F69" s="4493">
        <v>46</v>
      </c>
      <c r="G69" s="4494">
        <v>78</v>
      </c>
      <c r="H69" s="4491">
        <v>7</v>
      </c>
      <c r="I69" s="4492">
        <v>0</v>
      </c>
      <c r="J69" s="4492">
        <v>26</v>
      </c>
      <c r="K69" s="4493">
        <v>47</v>
      </c>
      <c r="L69" s="4494">
        <v>80</v>
      </c>
      <c r="M69" s="4491">
        <v>5</v>
      </c>
      <c r="N69" s="4492"/>
      <c r="O69" s="4492">
        <v>23</v>
      </c>
      <c r="P69" s="4493">
        <v>51</v>
      </c>
      <c r="Q69" s="4494">
        <v>79</v>
      </c>
      <c r="R69" s="4491">
        <v>5</v>
      </c>
      <c r="S69" s="4492"/>
      <c r="T69" s="4492">
        <v>21</v>
      </c>
      <c r="U69" s="4493">
        <v>51</v>
      </c>
      <c r="V69" s="4494">
        <f t="shared" si="67"/>
        <v>77</v>
      </c>
      <c r="W69" s="5128">
        <v>6</v>
      </c>
      <c r="X69" s="5129">
        <v>0</v>
      </c>
      <c r="Y69" s="5129">
        <v>19</v>
      </c>
      <c r="Z69" s="5130">
        <v>51</v>
      </c>
      <c r="AA69" s="4494">
        <f t="shared" si="68"/>
        <v>76</v>
      </c>
      <c r="AB69" s="5128">
        <v>6</v>
      </c>
      <c r="AC69" s="5129">
        <v>0</v>
      </c>
      <c r="AD69" s="5129">
        <v>17</v>
      </c>
      <c r="AE69" s="5130">
        <v>52</v>
      </c>
      <c r="AF69" s="5167">
        <f t="shared" si="69"/>
        <v>75</v>
      </c>
    </row>
    <row r="70" spans="1:32" ht="14.4" x14ac:dyDescent="0.3">
      <c r="A70" s="3512"/>
      <c r="B70" s="3528" t="s">
        <v>880</v>
      </c>
      <c r="C70" s="4491">
        <v>7</v>
      </c>
      <c r="D70" s="4492"/>
      <c r="E70" s="4492">
        <v>20</v>
      </c>
      <c r="F70" s="4493">
        <v>34</v>
      </c>
      <c r="G70" s="4494">
        <v>61</v>
      </c>
      <c r="H70" s="4491">
        <v>7</v>
      </c>
      <c r="I70" s="4492">
        <v>0</v>
      </c>
      <c r="J70" s="4492">
        <v>22</v>
      </c>
      <c r="K70" s="4493">
        <v>35</v>
      </c>
      <c r="L70" s="4494">
        <v>64</v>
      </c>
      <c r="M70" s="4491">
        <v>7</v>
      </c>
      <c r="N70" s="4492"/>
      <c r="O70" s="4492">
        <v>16</v>
      </c>
      <c r="P70" s="4493">
        <v>39</v>
      </c>
      <c r="Q70" s="4494">
        <v>62</v>
      </c>
      <c r="R70" s="4491">
        <v>6</v>
      </c>
      <c r="S70" s="4492"/>
      <c r="T70" s="4492">
        <v>15</v>
      </c>
      <c r="U70" s="4493">
        <v>40</v>
      </c>
      <c r="V70" s="4494">
        <f t="shared" si="67"/>
        <v>61</v>
      </c>
      <c r="W70" s="5128">
        <v>6</v>
      </c>
      <c r="X70" s="5129">
        <v>0</v>
      </c>
      <c r="Y70" s="5129">
        <v>14</v>
      </c>
      <c r="Z70" s="5130">
        <v>39</v>
      </c>
      <c r="AA70" s="4494">
        <f t="shared" si="68"/>
        <v>59</v>
      </c>
      <c r="AB70" s="5128">
        <v>7</v>
      </c>
      <c r="AC70" s="5129">
        <v>0</v>
      </c>
      <c r="AD70" s="5129">
        <v>11</v>
      </c>
      <c r="AE70" s="5130">
        <v>38</v>
      </c>
      <c r="AF70" s="5167">
        <f t="shared" si="69"/>
        <v>56</v>
      </c>
    </row>
    <row r="71" spans="1:32" ht="14.4" x14ac:dyDescent="0.25">
      <c r="A71" s="3512"/>
      <c r="B71" s="3519" t="s">
        <v>64</v>
      </c>
      <c r="C71" s="4507">
        <f>SUM(C67:C70)</f>
        <v>54</v>
      </c>
      <c r="D71" s="4508">
        <f>SUM(D67:D70)</f>
        <v>2</v>
      </c>
      <c r="E71" s="4508">
        <f>SUM(E67:E70)</f>
        <v>122</v>
      </c>
      <c r="F71" s="4509">
        <f>SUM(F67:F70)</f>
        <v>210</v>
      </c>
      <c r="G71" s="4510">
        <f>SUM(G67:G70)</f>
        <v>388</v>
      </c>
      <c r="H71" s="4507">
        <v>52</v>
      </c>
      <c r="I71" s="4508">
        <v>1</v>
      </c>
      <c r="J71" s="4508">
        <v>122</v>
      </c>
      <c r="K71" s="4509">
        <v>218</v>
      </c>
      <c r="L71" s="4510">
        <v>393</v>
      </c>
      <c r="M71" s="4507">
        <v>42</v>
      </c>
      <c r="N71" s="4508">
        <v>1</v>
      </c>
      <c r="O71" s="4508">
        <v>108</v>
      </c>
      <c r="P71" s="4509">
        <v>227</v>
      </c>
      <c r="Q71" s="4510">
        <v>378</v>
      </c>
      <c r="R71" s="4507">
        <f t="shared" ref="R71:AA71" si="70">SUM(R67:R70)</f>
        <v>42</v>
      </c>
      <c r="S71" s="4508">
        <f t="shared" si="70"/>
        <v>1</v>
      </c>
      <c r="T71" s="4508">
        <f t="shared" si="70"/>
        <v>104</v>
      </c>
      <c r="U71" s="4509">
        <f t="shared" si="70"/>
        <v>224</v>
      </c>
      <c r="V71" s="4510">
        <f t="shared" si="70"/>
        <v>371</v>
      </c>
      <c r="W71" s="5140">
        <f t="shared" si="70"/>
        <v>45</v>
      </c>
      <c r="X71" s="5141">
        <f t="shared" si="70"/>
        <v>1</v>
      </c>
      <c r="Y71" s="5141">
        <f t="shared" si="70"/>
        <v>99</v>
      </c>
      <c r="Z71" s="5142">
        <f t="shared" si="70"/>
        <v>219</v>
      </c>
      <c r="AA71" s="4510">
        <f t="shared" si="70"/>
        <v>364</v>
      </c>
      <c r="AB71" s="5140">
        <f t="shared" ref="AB71:AF71" si="71">SUM(AB67:AB70)</f>
        <v>46</v>
      </c>
      <c r="AC71" s="5141">
        <f t="shared" si="71"/>
        <v>1</v>
      </c>
      <c r="AD71" s="5141">
        <f t="shared" si="71"/>
        <v>93</v>
      </c>
      <c r="AE71" s="5142">
        <f t="shared" si="71"/>
        <v>217</v>
      </c>
      <c r="AF71" s="5171">
        <f t="shared" si="71"/>
        <v>357</v>
      </c>
    </row>
    <row r="72" spans="1:32" ht="14.4" x14ac:dyDescent="0.3">
      <c r="A72" s="3512"/>
      <c r="B72" s="3528" t="s">
        <v>881</v>
      </c>
      <c r="C72" s="4491">
        <v>25</v>
      </c>
      <c r="D72" s="4492">
        <v>5</v>
      </c>
      <c r="E72" s="4492">
        <v>67</v>
      </c>
      <c r="F72" s="4493">
        <v>64</v>
      </c>
      <c r="G72" s="4494">
        <v>161</v>
      </c>
      <c r="H72" s="4491">
        <v>23</v>
      </c>
      <c r="I72" s="4492">
        <v>4</v>
      </c>
      <c r="J72" s="4492">
        <v>68</v>
      </c>
      <c r="K72" s="4493">
        <v>64</v>
      </c>
      <c r="L72" s="4494">
        <v>159</v>
      </c>
      <c r="M72" s="4491">
        <v>17</v>
      </c>
      <c r="N72" s="4492"/>
      <c r="O72" s="4492">
        <v>73</v>
      </c>
      <c r="P72" s="4493">
        <v>67</v>
      </c>
      <c r="Q72" s="4494">
        <v>157</v>
      </c>
      <c r="R72" s="4491">
        <v>15</v>
      </c>
      <c r="S72" s="4492"/>
      <c r="T72" s="4492">
        <v>73</v>
      </c>
      <c r="U72" s="4493">
        <v>64</v>
      </c>
      <c r="V72" s="4494">
        <f t="shared" si="67"/>
        <v>152</v>
      </c>
      <c r="W72" s="5128">
        <v>16</v>
      </c>
      <c r="X72" s="5129">
        <v>3</v>
      </c>
      <c r="Y72" s="5129">
        <v>70</v>
      </c>
      <c r="Z72" s="5130">
        <v>60</v>
      </c>
      <c r="AA72" s="4494">
        <f t="shared" ref="AA72:AA75" si="72">SUM(W72:Z72)</f>
        <v>149</v>
      </c>
      <c r="AB72" s="5128">
        <v>13</v>
      </c>
      <c r="AC72" s="5129">
        <v>2</v>
      </c>
      <c r="AD72" s="5129">
        <v>63</v>
      </c>
      <c r="AE72" s="5130">
        <v>63</v>
      </c>
      <c r="AF72" s="5167">
        <f t="shared" ref="AF72:AF75" si="73">SUM(AB72:AE72)</f>
        <v>141</v>
      </c>
    </row>
    <row r="73" spans="1:32" ht="14.4" x14ac:dyDescent="0.3">
      <c r="A73" s="3512"/>
      <c r="B73" s="3528" t="s">
        <v>882</v>
      </c>
      <c r="C73" s="4491">
        <v>6</v>
      </c>
      <c r="D73" s="4492"/>
      <c r="E73" s="4492">
        <v>20</v>
      </c>
      <c r="F73" s="4493">
        <v>28</v>
      </c>
      <c r="G73" s="4494">
        <v>54</v>
      </c>
      <c r="H73" s="4491">
        <v>6</v>
      </c>
      <c r="I73" s="4492"/>
      <c r="J73" s="4492">
        <v>19</v>
      </c>
      <c r="K73" s="4493">
        <v>28</v>
      </c>
      <c r="L73" s="4494">
        <v>53</v>
      </c>
      <c r="M73" s="4491">
        <v>6</v>
      </c>
      <c r="N73" s="4492"/>
      <c r="O73" s="4492">
        <v>19</v>
      </c>
      <c r="P73" s="4493">
        <v>28</v>
      </c>
      <c r="Q73" s="4494">
        <v>53</v>
      </c>
      <c r="R73" s="4491">
        <v>6</v>
      </c>
      <c r="S73" s="4492"/>
      <c r="T73" s="4492">
        <v>19</v>
      </c>
      <c r="U73" s="4493">
        <v>28</v>
      </c>
      <c r="V73" s="4494">
        <f t="shared" si="67"/>
        <v>53</v>
      </c>
      <c r="W73" s="5128">
        <v>5</v>
      </c>
      <c r="X73" s="5129">
        <v>0</v>
      </c>
      <c r="Y73" s="5129">
        <v>17</v>
      </c>
      <c r="Z73" s="5130">
        <v>30</v>
      </c>
      <c r="AA73" s="4494">
        <f t="shared" si="72"/>
        <v>52</v>
      </c>
      <c r="AB73" s="5128">
        <v>5</v>
      </c>
      <c r="AC73" s="5129">
        <v>0</v>
      </c>
      <c r="AD73" s="5129">
        <v>17</v>
      </c>
      <c r="AE73" s="5130">
        <v>28</v>
      </c>
      <c r="AF73" s="5167">
        <f t="shared" si="73"/>
        <v>50</v>
      </c>
    </row>
    <row r="74" spans="1:32" ht="14.4" x14ac:dyDescent="0.3">
      <c r="A74" s="3512"/>
      <c r="B74" s="3528" t="s">
        <v>883</v>
      </c>
      <c r="C74" s="4491">
        <v>6</v>
      </c>
      <c r="D74" s="4492">
        <v>2</v>
      </c>
      <c r="E74" s="4492">
        <v>33</v>
      </c>
      <c r="F74" s="4493">
        <v>55</v>
      </c>
      <c r="G74" s="4494">
        <v>96</v>
      </c>
      <c r="H74" s="4491">
        <v>6</v>
      </c>
      <c r="I74" s="4492">
        <v>2</v>
      </c>
      <c r="J74" s="4492">
        <v>33</v>
      </c>
      <c r="K74" s="4493">
        <v>55</v>
      </c>
      <c r="L74" s="4494">
        <v>96</v>
      </c>
      <c r="M74" s="4491">
        <v>7</v>
      </c>
      <c r="N74" s="4492">
        <v>2</v>
      </c>
      <c r="O74" s="4492">
        <v>29</v>
      </c>
      <c r="P74" s="4493">
        <v>57</v>
      </c>
      <c r="Q74" s="4494">
        <v>95</v>
      </c>
      <c r="R74" s="4491">
        <v>7</v>
      </c>
      <c r="S74" s="4492">
        <v>2</v>
      </c>
      <c r="T74" s="4492">
        <v>26</v>
      </c>
      <c r="U74" s="4493">
        <v>56</v>
      </c>
      <c r="V74" s="4494">
        <f t="shared" si="67"/>
        <v>91</v>
      </c>
      <c r="W74" s="5128">
        <v>7</v>
      </c>
      <c r="X74" s="5129">
        <v>1</v>
      </c>
      <c r="Y74" s="5129">
        <v>23</v>
      </c>
      <c r="Z74" s="5130">
        <v>58</v>
      </c>
      <c r="AA74" s="4494">
        <f t="shared" si="72"/>
        <v>89</v>
      </c>
      <c r="AB74" s="5128">
        <v>7</v>
      </c>
      <c r="AC74" s="5129">
        <v>1</v>
      </c>
      <c r="AD74" s="5129">
        <v>21</v>
      </c>
      <c r="AE74" s="5130">
        <v>59</v>
      </c>
      <c r="AF74" s="5167">
        <f t="shared" si="73"/>
        <v>88</v>
      </c>
    </row>
    <row r="75" spans="1:32" ht="14.4" x14ac:dyDescent="0.3">
      <c r="A75" s="3512"/>
      <c r="B75" s="3528" t="s">
        <v>884</v>
      </c>
      <c r="C75" s="4491">
        <v>5</v>
      </c>
      <c r="D75" s="4492"/>
      <c r="E75" s="4492">
        <v>23</v>
      </c>
      <c r="F75" s="4493">
        <v>47</v>
      </c>
      <c r="G75" s="4494">
        <v>75</v>
      </c>
      <c r="H75" s="4491">
        <v>5</v>
      </c>
      <c r="I75" s="4492"/>
      <c r="J75" s="4492">
        <v>22</v>
      </c>
      <c r="K75" s="4493">
        <v>48</v>
      </c>
      <c r="L75" s="4494">
        <v>75</v>
      </c>
      <c r="M75" s="4491">
        <v>5</v>
      </c>
      <c r="N75" s="4492"/>
      <c r="O75" s="4492">
        <v>22</v>
      </c>
      <c r="P75" s="4493">
        <v>50</v>
      </c>
      <c r="Q75" s="4494">
        <v>77</v>
      </c>
      <c r="R75" s="4491">
        <v>4</v>
      </c>
      <c r="S75" s="4492"/>
      <c r="T75" s="4492">
        <v>19</v>
      </c>
      <c r="U75" s="4493">
        <v>49</v>
      </c>
      <c r="V75" s="4494">
        <f t="shared" si="67"/>
        <v>72</v>
      </c>
      <c r="W75" s="5128">
        <v>4</v>
      </c>
      <c r="X75" s="5129">
        <v>0</v>
      </c>
      <c r="Y75" s="5129">
        <v>20</v>
      </c>
      <c r="Z75" s="5130">
        <v>49</v>
      </c>
      <c r="AA75" s="4494">
        <f t="shared" si="72"/>
        <v>73</v>
      </c>
      <c r="AB75" s="5128">
        <v>4</v>
      </c>
      <c r="AC75" s="5129">
        <v>0</v>
      </c>
      <c r="AD75" s="5129">
        <v>19</v>
      </c>
      <c r="AE75" s="5130">
        <v>48</v>
      </c>
      <c r="AF75" s="5167">
        <f t="shared" si="73"/>
        <v>71</v>
      </c>
    </row>
    <row r="76" spans="1:32" ht="14.4" x14ac:dyDescent="0.25">
      <c r="A76" s="3512"/>
      <c r="B76" s="3519" t="s">
        <v>92</v>
      </c>
      <c r="C76" s="4507">
        <f>SUM(C72:C75)</f>
        <v>42</v>
      </c>
      <c r="D76" s="4508">
        <f>SUM(D72:D75)</f>
        <v>7</v>
      </c>
      <c r="E76" s="4508">
        <f>SUM(E72:E75)</f>
        <v>143</v>
      </c>
      <c r="F76" s="4509">
        <f>SUM(F72:F75)</f>
        <v>194</v>
      </c>
      <c r="G76" s="4510">
        <f>SUM(G72:G75)</f>
        <v>386</v>
      </c>
      <c r="H76" s="4507">
        <v>40</v>
      </c>
      <c r="I76" s="4508">
        <v>6</v>
      </c>
      <c r="J76" s="4508">
        <v>142</v>
      </c>
      <c r="K76" s="4509">
        <v>195</v>
      </c>
      <c r="L76" s="4510">
        <v>383</v>
      </c>
      <c r="M76" s="4507">
        <v>35</v>
      </c>
      <c r="N76" s="4508">
        <v>2</v>
      </c>
      <c r="O76" s="4508">
        <v>143</v>
      </c>
      <c r="P76" s="4509">
        <v>202</v>
      </c>
      <c r="Q76" s="4510">
        <v>382</v>
      </c>
      <c r="R76" s="4507">
        <f t="shared" ref="R76:AA76" si="74">SUM(R72:R75)</f>
        <v>32</v>
      </c>
      <c r="S76" s="4508">
        <f t="shared" si="74"/>
        <v>2</v>
      </c>
      <c r="T76" s="4508">
        <f t="shared" si="74"/>
        <v>137</v>
      </c>
      <c r="U76" s="4509">
        <f t="shared" si="74"/>
        <v>197</v>
      </c>
      <c r="V76" s="4510">
        <f t="shared" si="74"/>
        <v>368</v>
      </c>
      <c r="W76" s="5140">
        <f t="shared" si="74"/>
        <v>32</v>
      </c>
      <c r="X76" s="5141">
        <f t="shared" si="74"/>
        <v>4</v>
      </c>
      <c r="Y76" s="5141">
        <f t="shared" si="74"/>
        <v>130</v>
      </c>
      <c r="Z76" s="5142">
        <f t="shared" si="74"/>
        <v>197</v>
      </c>
      <c r="AA76" s="4510">
        <f t="shared" si="74"/>
        <v>363</v>
      </c>
      <c r="AB76" s="5140">
        <f t="shared" ref="AB76:AF76" si="75">SUM(AB72:AB75)</f>
        <v>29</v>
      </c>
      <c r="AC76" s="5141">
        <f t="shared" si="75"/>
        <v>3</v>
      </c>
      <c r="AD76" s="5141">
        <f t="shared" si="75"/>
        <v>120</v>
      </c>
      <c r="AE76" s="5142">
        <f t="shared" si="75"/>
        <v>198</v>
      </c>
      <c r="AF76" s="5171">
        <f t="shared" si="75"/>
        <v>350</v>
      </c>
    </row>
    <row r="77" spans="1:32" ht="14.4" x14ac:dyDescent="0.3">
      <c r="A77" s="3512"/>
      <c r="B77" s="3528" t="s">
        <v>885</v>
      </c>
      <c r="C77" s="4491">
        <v>7</v>
      </c>
      <c r="D77" s="4492">
        <v>3</v>
      </c>
      <c r="E77" s="4492">
        <v>14</v>
      </c>
      <c r="F77" s="4493">
        <v>17</v>
      </c>
      <c r="G77" s="4494">
        <v>41</v>
      </c>
      <c r="H77" s="4491">
        <v>7</v>
      </c>
      <c r="I77" s="4492">
        <v>3</v>
      </c>
      <c r="J77" s="4492">
        <v>12</v>
      </c>
      <c r="K77" s="4493">
        <v>17</v>
      </c>
      <c r="L77" s="4494">
        <v>39</v>
      </c>
      <c r="M77" s="4491">
        <v>5</v>
      </c>
      <c r="N77" s="4492">
        <v>2</v>
      </c>
      <c r="O77" s="4492">
        <v>13</v>
      </c>
      <c r="P77" s="4493">
        <v>19</v>
      </c>
      <c r="Q77" s="4494">
        <v>39</v>
      </c>
      <c r="R77" s="4491">
        <v>5</v>
      </c>
      <c r="S77" s="4492">
        <v>2</v>
      </c>
      <c r="T77" s="4492">
        <v>13</v>
      </c>
      <c r="U77" s="4493">
        <v>19</v>
      </c>
      <c r="V77" s="4494">
        <f t="shared" si="67"/>
        <v>39</v>
      </c>
      <c r="W77" s="5128">
        <v>5</v>
      </c>
      <c r="X77" s="5129">
        <v>2</v>
      </c>
      <c r="Y77" s="5129">
        <v>11</v>
      </c>
      <c r="Z77" s="5130">
        <v>19</v>
      </c>
      <c r="AA77" s="4494">
        <f t="shared" ref="AA77:AA80" si="76">SUM(W77:Z77)</f>
        <v>37</v>
      </c>
      <c r="AB77" s="5128">
        <v>4</v>
      </c>
      <c r="AC77" s="5129">
        <v>1</v>
      </c>
      <c r="AD77" s="5129">
        <v>11</v>
      </c>
      <c r="AE77" s="5130">
        <v>20</v>
      </c>
      <c r="AF77" s="5167">
        <f t="shared" ref="AF77:AF80" si="77">SUM(AB77:AE77)</f>
        <v>36</v>
      </c>
    </row>
    <row r="78" spans="1:32" ht="14.4" x14ac:dyDescent="0.3">
      <c r="A78" s="3512"/>
      <c r="B78" s="3528" t="s">
        <v>886</v>
      </c>
      <c r="C78" s="4491">
        <v>10</v>
      </c>
      <c r="D78" s="4492">
        <v>1</v>
      </c>
      <c r="E78" s="4492">
        <v>26</v>
      </c>
      <c r="F78" s="4493">
        <v>6</v>
      </c>
      <c r="G78" s="4494">
        <v>43</v>
      </c>
      <c r="H78" s="4491">
        <v>8</v>
      </c>
      <c r="I78" s="4492">
        <v>1</v>
      </c>
      <c r="J78" s="4492">
        <v>25</v>
      </c>
      <c r="K78" s="4493">
        <v>6</v>
      </c>
      <c r="L78" s="4494">
        <v>40</v>
      </c>
      <c r="M78" s="4491">
        <v>8</v>
      </c>
      <c r="N78" s="4492">
        <v>1</v>
      </c>
      <c r="O78" s="4492">
        <v>28</v>
      </c>
      <c r="P78" s="4493">
        <v>7</v>
      </c>
      <c r="Q78" s="4494">
        <v>44</v>
      </c>
      <c r="R78" s="4491">
        <v>6</v>
      </c>
      <c r="S78" s="4492">
        <v>1</v>
      </c>
      <c r="T78" s="4492">
        <v>29</v>
      </c>
      <c r="U78" s="4493">
        <v>7</v>
      </c>
      <c r="V78" s="4494">
        <f t="shared" si="67"/>
        <v>43</v>
      </c>
      <c r="W78" s="5128">
        <v>5</v>
      </c>
      <c r="X78" s="5129">
        <v>1</v>
      </c>
      <c r="Y78" s="5129">
        <v>25</v>
      </c>
      <c r="Z78" s="5130">
        <v>9</v>
      </c>
      <c r="AA78" s="4494">
        <f t="shared" si="76"/>
        <v>40</v>
      </c>
      <c r="AB78" s="5128">
        <v>4</v>
      </c>
      <c r="AC78" s="5129">
        <v>1</v>
      </c>
      <c r="AD78" s="5129">
        <v>22</v>
      </c>
      <c r="AE78" s="5130">
        <v>9</v>
      </c>
      <c r="AF78" s="5167">
        <f t="shared" si="77"/>
        <v>36</v>
      </c>
    </row>
    <row r="79" spans="1:32" ht="14.4" x14ac:dyDescent="0.3">
      <c r="A79" s="3512"/>
      <c r="B79" s="3528" t="s">
        <v>887</v>
      </c>
      <c r="C79" s="4491">
        <v>13</v>
      </c>
      <c r="D79" s="4492"/>
      <c r="E79" s="4492">
        <v>15</v>
      </c>
      <c r="F79" s="4493">
        <v>6</v>
      </c>
      <c r="G79" s="4494">
        <v>34</v>
      </c>
      <c r="H79" s="4491">
        <v>13</v>
      </c>
      <c r="I79" s="4492"/>
      <c r="J79" s="4492">
        <v>16</v>
      </c>
      <c r="K79" s="4493">
        <v>7</v>
      </c>
      <c r="L79" s="4494">
        <v>36</v>
      </c>
      <c r="M79" s="4491">
        <v>13</v>
      </c>
      <c r="N79" s="4492"/>
      <c r="O79" s="4492">
        <v>17</v>
      </c>
      <c r="P79" s="4493">
        <v>9</v>
      </c>
      <c r="Q79" s="4494">
        <v>39</v>
      </c>
      <c r="R79" s="4491">
        <v>13</v>
      </c>
      <c r="S79" s="4492"/>
      <c r="T79" s="4492">
        <v>17</v>
      </c>
      <c r="U79" s="4493">
        <v>9</v>
      </c>
      <c r="V79" s="4494">
        <f t="shared" si="67"/>
        <v>39</v>
      </c>
      <c r="W79" s="5128">
        <v>13</v>
      </c>
      <c r="X79" s="5129">
        <v>0</v>
      </c>
      <c r="Y79" s="5129">
        <v>18</v>
      </c>
      <c r="Z79" s="5130">
        <v>8</v>
      </c>
      <c r="AA79" s="4494">
        <f t="shared" si="76"/>
        <v>39</v>
      </c>
      <c r="AB79" s="5128">
        <v>12</v>
      </c>
      <c r="AC79" s="5129">
        <v>0</v>
      </c>
      <c r="AD79" s="5129">
        <v>18</v>
      </c>
      <c r="AE79" s="5130">
        <v>6</v>
      </c>
      <c r="AF79" s="5167">
        <f t="shared" si="77"/>
        <v>36</v>
      </c>
    </row>
    <row r="80" spans="1:32" ht="14.4" x14ac:dyDescent="0.3">
      <c r="A80" s="3512"/>
      <c r="B80" s="3528" t="s">
        <v>888</v>
      </c>
      <c r="C80" s="4491">
        <v>13</v>
      </c>
      <c r="D80" s="4492"/>
      <c r="E80" s="4492">
        <v>24</v>
      </c>
      <c r="F80" s="4493">
        <v>12</v>
      </c>
      <c r="G80" s="4494">
        <v>49</v>
      </c>
      <c r="H80" s="4491">
        <v>11</v>
      </c>
      <c r="I80" s="4492"/>
      <c r="J80" s="4492">
        <v>26</v>
      </c>
      <c r="K80" s="4493">
        <v>13</v>
      </c>
      <c r="L80" s="4494">
        <v>50</v>
      </c>
      <c r="M80" s="4491">
        <v>8</v>
      </c>
      <c r="N80" s="4492"/>
      <c r="O80" s="4492">
        <v>23</v>
      </c>
      <c r="P80" s="4493">
        <v>15</v>
      </c>
      <c r="Q80" s="4494">
        <v>46</v>
      </c>
      <c r="R80" s="4491">
        <v>7</v>
      </c>
      <c r="S80" s="4492"/>
      <c r="T80" s="4492">
        <v>22</v>
      </c>
      <c r="U80" s="4493">
        <v>15</v>
      </c>
      <c r="V80" s="4494">
        <f t="shared" si="67"/>
        <v>44</v>
      </c>
      <c r="W80" s="5128">
        <v>8</v>
      </c>
      <c r="X80" s="5129">
        <v>0</v>
      </c>
      <c r="Y80" s="5129">
        <v>19</v>
      </c>
      <c r="Z80" s="5130">
        <v>17</v>
      </c>
      <c r="AA80" s="4494">
        <f t="shared" si="76"/>
        <v>44</v>
      </c>
      <c r="AB80" s="5128">
        <v>8</v>
      </c>
      <c r="AC80" s="5129">
        <v>1</v>
      </c>
      <c r="AD80" s="5129">
        <v>18</v>
      </c>
      <c r="AE80" s="5130">
        <v>17</v>
      </c>
      <c r="AF80" s="5167">
        <f t="shared" si="77"/>
        <v>44</v>
      </c>
    </row>
    <row r="81" spans="1:32" ht="14.4" x14ac:dyDescent="0.25">
      <c r="A81" s="3512"/>
      <c r="B81" s="3520" t="s">
        <v>68</v>
      </c>
      <c r="C81" s="4499">
        <f>SUM(C77:C80)</f>
        <v>43</v>
      </c>
      <c r="D81" s="4500">
        <f>SUM(D77:D80)</f>
        <v>4</v>
      </c>
      <c r="E81" s="4500">
        <f>SUM(E77:E80)</f>
        <v>79</v>
      </c>
      <c r="F81" s="4501">
        <f>SUM(F77:F80)</f>
        <v>41</v>
      </c>
      <c r="G81" s="4502">
        <f>SUM(G77:G80)</f>
        <v>167</v>
      </c>
      <c r="H81" s="4499">
        <v>39</v>
      </c>
      <c r="I81" s="4500">
        <v>4</v>
      </c>
      <c r="J81" s="4500">
        <v>79</v>
      </c>
      <c r="K81" s="4501">
        <v>43</v>
      </c>
      <c r="L81" s="4502">
        <v>165</v>
      </c>
      <c r="M81" s="4499">
        <v>34</v>
      </c>
      <c r="N81" s="4500">
        <v>3</v>
      </c>
      <c r="O81" s="4500">
        <v>81</v>
      </c>
      <c r="P81" s="4501">
        <v>50</v>
      </c>
      <c r="Q81" s="4502">
        <v>168</v>
      </c>
      <c r="R81" s="4499">
        <f t="shared" ref="R81:AA81" si="78">SUM(R77:R80)</f>
        <v>31</v>
      </c>
      <c r="S81" s="4500">
        <f t="shared" si="78"/>
        <v>3</v>
      </c>
      <c r="T81" s="4500">
        <f t="shared" si="78"/>
        <v>81</v>
      </c>
      <c r="U81" s="4501">
        <f t="shared" si="78"/>
        <v>50</v>
      </c>
      <c r="V81" s="4502">
        <f t="shared" si="78"/>
        <v>165</v>
      </c>
      <c r="W81" s="5134">
        <f t="shared" si="78"/>
        <v>31</v>
      </c>
      <c r="X81" s="5135">
        <f t="shared" si="78"/>
        <v>3</v>
      </c>
      <c r="Y81" s="5135">
        <f t="shared" si="78"/>
        <v>73</v>
      </c>
      <c r="Z81" s="5136">
        <f t="shared" si="78"/>
        <v>53</v>
      </c>
      <c r="AA81" s="4502">
        <f t="shared" si="78"/>
        <v>160</v>
      </c>
      <c r="AB81" s="5134">
        <f t="shared" ref="AB81:AF81" si="79">SUM(AB77:AB80)</f>
        <v>28</v>
      </c>
      <c r="AC81" s="5135">
        <f t="shared" si="79"/>
        <v>3</v>
      </c>
      <c r="AD81" s="5135">
        <f t="shared" si="79"/>
        <v>69</v>
      </c>
      <c r="AE81" s="5136">
        <f t="shared" si="79"/>
        <v>52</v>
      </c>
      <c r="AF81" s="5169">
        <f t="shared" si="79"/>
        <v>152</v>
      </c>
    </row>
    <row r="82" spans="1:32" ht="12.75" customHeight="1" x14ac:dyDescent="0.25">
      <c r="A82" s="3512"/>
      <c r="B82" s="3529" t="s">
        <v>889</v>
      </c>
      <c r="C82" s="4523">
        <f>SUM(C81,C76,C71)</f>
        <v>139</v>
      </c>
      <c r="D82" s="4524">
        <f>SUM(D81,D76,D71)</f>
        <v>13</v>
      </c>
      <c r="E82" s="4524">
        <f>SUM(E81,E76,E71)</f>
        <v>344</v>
      </c>
      <c r="F82" s="4525">
        <f>SUM(F81,F76,F71)</f>
        <v>445</v>
      </c>
      <c r="G82" s="4526">
        <f>SUM(G81,G76,G71)</f>
        <v>941</v>
      </c>
      <c r="H82" s="4523">
        <v>131</v>
      </c>
      <c r="I82" s="4524">
        <v>11</v>
      </c>
      <c r="J82" s="4524">
        <v>343</v>
      </c>
      <c r="K82" s="4525">
        <v>456</v>
      </c>
      <c r="L82" s="4526">
        <v>941</v>
      </c>
      <c r="M82" s="4523">
        <v>111</v>
      </c>
      <c r="N82" s="4524">
        <v>6</v>
      </c>
      <c r="O82" s="4524">
        <v>332</v>
      </c>
      <c r="P82" s="4525">
        <v>479</v>
      </c>
      <c r="Q82" s="4526">
        <v>928</v>
      </c>
      <c r="R82" s="4523">
        <f t="shared" ref="R82:AA82" si="80">SUM(R71,R76,R81)</f>
        <v>105</v>
      </c>
      <c r="S82" s="4524">
        <f t="shared" si="80"/>
        <v>6</v>
      </c>
      <c r="T82" s="4524">
        <f t="shared" si="80"/>
        <v>322</v>
      </c>
      <c r="U82" s="4525">
        <f t="shared" si="80"/>
        <v>471</v>
      </c>
      <c r="V82" s="4526">
        <f t="shared" si="80"/>
        <v>904</v>
      </c>
      <c r="W82" s="4523">
        <f t="shared" si="80"/>
        <v>108</v>
      </c>
      <c r="X82" s="4524">
        <f t="shared" si="80"/>
        <v>8</v>
      </c>
      <c r="Y82" s="4524">
        <f t="shared" si="80"/>
        <v>302</v>
      </c>
      <c r="Z82" s="4525">
        <f t="shared" si="80"/>
        <v>469</v>
      </c>
      <c r="AA82" s="4526">
        <f t="shared" si="80"/>
        <v>887</v>
      </c>
      <c r="AB82" s="5175">
        <f t="shared" ref="AB82:AF82" si="81">SUM(AB71,AB76,AB81)</f>
        <v>103</v>
      </c>
      <c r="AC82" s="5176">
        <f t="shared" si="81"/>
        <v>7</v>
      </c>
      <c r="AD82" s="5176">
        <f t="shared" si="81"/>
        <v>282</v>
      </c>
      <c r="AE82" s="5177">
        <f t="shared" si="81"/>
        <v>467</v>
      </c>
      <c r="AF82" s="5178">
        <f t="shared" si="81"/>
        <v>859</v>
      </c>
    </row>
    <row r="83" spans="1:32" ht="12.75" customHeight="1" x14ac:dyDescent="0.25">
      <c r="A83" s="3512"/>
      <c r="C83" s="4527"/>
      <c r="D83" s="4527"/>
      <c r="E83" s="4527"/>
      <c r="F83" s="4527"/>
      <c r="G83" s="4528"/>
      <c r="H83" s="4527"/>
      <c r="I83" s="4527"/>
      <c r="J83" s="4527"/>
      <c r="K83" s="4527"/>
      <c r="L83" s="4528"/>
      <c r="M83" s="4527"/>
      <c r="N83" s="4527"/>
      <c r="O83" s="4527"/>
      <c r="P83" s="4527"/>
      <c r="Q83" s="4528"/>
      <c r="R83" s="4527"/>
      <c r="S83" s="4527"/>
      <c r="T83" s="4527"/>
      <c r="U83" s="4527"/>
      <c r="V83" s="4528"/>
      <c r="W83" s="4527"/>
      <c r="X83" s="4527"/>
      <c r="Y83" s="4527"/>
      <c r="Z83" s="4527"/>
      <c r="AA83" s="4528"/>
      <c r="AB83" s="5179">
        <v>0</v>
      </c>
      <c r="AC83" s="5179">
        <v>0</v>
      </c>
      <c r="AD83" s="5179">
        <v>0</v>
      </c>
      <c r="AE83" s="5179">
        <v>0</v>
      </c>
      <c r="AF83" s="5180">
        <v>0</v>
      </c>
    </row>
    <row r="84" spans="1:32" ht="24" customHeight="1" x14ac:dyDescent="0.25">
      <c r="A84" s="3512"/>
      <c r="B84" s="3530" t="s">
        <v>128</v>
      </c>
      <c r="C84" s="4529">
        <f>SUM(C82,C66,C53,C35,C22)</f>
        <v>407</v>
      </c>
      <c r="D84" s="4530">
        <f>SUM(D82,D66,D53,D35,D22)</f>
        <v>27</v>
      </c>
      <c r="E84" s="4530">
        <f>SUM(E82,E66,E53,E35,E22)</f>
        <v>893</v>
      </c>
      <c r="F84" s="4531">
        <f>SUM(F82,F66,F53,F35,F22)</f>
        <v>1745</v>
      </c>
      <c r="G84" s="4532">
        <f>SUM(G82,G66,G53,G35,G22)</f>
        <v>3072</v>
      </c>
      <c r="H84" s="4529">
        <f t="shared" ref="H84:L84" si="82">SUM(H22,H35,H53,H66,H82)</f>
        <v>384</v>
      </c>
      <c r="I84" s="4530">
        <f t="shared" si="82"/>
        <v>24</v>
      </c>
      <c r="J84" s="4530">
        <f t="shared" si="82"/>
        <v>898</v>
      </c>
      <c r="K84" s="4531">
        <f t="shared" si="82"/>
        <v>1782</v>
      </c>
      <c r="L84" s="4532">
        <f t="shared" si="82"/>
        <v>3088</v>
      </c>
      <c r="M84" s="4529">
        <f t="shared" ref="M84:P84" si="83">SUM(M22,M35,M53,M66,M82)</f>
        <v>335</v>
      </c>
      <c r="N84" s="4530">
        <f t="shared" si="83"/>
        <v>17</v>
      </c>
      <c r="O84" s="4530">
        <f t="shared" si="83"/>
        <v>855</v>
      </c>
      <c r="P84" s="4531">
        <f t="shared" si="83"/>
        <v>1830</v>
      </c>
      <c r="Q84" s="4532">
        <v>3037</v>
      </c>
      <c r="R84" s="4529">
        <f t="shared" ref="R84:AA84" si="84">SUM(R22,R35,R53,R66,R82)</f>
        <v>318</v>
      </c>
      <c r="S84" s="4530">
        <f t="shared" si="84"/>
        <v>16</v>
      </c>
      <c r="T84" s="4530">
        <f t="shared" si="84"/>
        <v>839</v>
      </c>
      <c r="U84" s="4531">
        <f t="shared" si="84"/>
        <v>1815</v>
      </c>
      <c r="V84" s="4532">
        <f t="shared" si="84"/>
        <v>2988</v>
      </c>
      <c r="W84" s="4529">
        <f t="shared" si="84"/>
        <v>324</v>
      </c>
      <c r="X84" s="4530">
        <f t="shared" si="84"/>
        <v>19</v>
      </c>
      <c r="Y84" s="4530">
        <f t="shared" si="84"/>
        <v>776</v>
      </c>
      <c r="Z84" s="4531">
        <f t="shared" si="84"/>
        <v>1812</v>
      </c>
      <c r="AA84" s="4532">
        <f t="shared" si="84"/>
        <v>2931</v>
      </c>
      <c r="AB84" s="5181">
        <f t="shared" ref="AB84:AF84" si="85">SUM(AB22,AB35,AB53,AB66,AB82)</f>
        <v>311</v>
      </c>
      <c r="AC84" s="5182">
        <f t="shared" si="85"/>
        <v>18</v>
      </c>
      <c r="AD84" s="5182">
        <f t="shared" si="85"/>
        <v>741</v>
      </c>
      <c r="AE84" s="5183">
        <f t="shared" si="85"/>
        <v>1792</v>
      </c>
      <c r="AF84" s="5184">
        <f t="shared" si="85"/>
        <v>2862</v>
      </c>
    </row>
    <row r="85" spans="1:32" ht="12.75" customHeight="1" x14ac:dyDescent="0.25">
      <c r="A85" s="3512"/>
    </row>
    <row r="86" spans="1:32" ht="24" x14ac:dyDescent="0.25">
      <c r="B86" s="3531" t="s">
        <v>890</v>
      </c>
      <c r="C86" s="4533"/>
      <c r="D86" s="4533"/>
      <c r="E86" s="4533"/>
      <c r="F86" s="4533"/>
      <c r="G86" s="4485" t="s">
        <v>891</v>
      </c>
      <c r="L86" s="4485" t="s">
        <v>892</v>
      </c>
      <c r="Q86" s="4485" t="s">
        <v>763</v>
      </c>
      <c r="V86" s="4485" t="s">
        <v>764</v>
      </c>
      <c r="AA86" s="4485" t="s">
        <v>1395</v>
      </c>
      <c r="AF86" s="4485" t="s">
        <v>1538</v>
      </c>
    </row>
    <row r="87" spans="1:32" ht="12.75" customHeight="1" x14ac:dyDescent="0.25">
      <c r="B87" s="3532" t="s">
        <v>893</v>
      </c>
    </row>
    <row r="88" spans="1:32" ht="12.75" customHeight="1" x14ac:dyDescent="0.25">
      <c r="B88" s="3532"/>
    </row>
    <row r="89" spans="1:32" ht="13.8" x14ac:dyDescent="0.25">
      <c r="B89" s="5023" t="s">
        <v>1544</v>
      </c>
      <c r="C89" s="5010">
        <f>C22/$G$22</f>
        <v>0.18962075848303392</v>
      </c>
      <c r="D89" s="5010">
        <f t="shared" ref="D89:F89" si="86">D22/$G$22</f>
        <v>9.9800399201596807E-3</v>
      </c>
      <c r="E89" s="5010">
        <f t="shared" si="86"/>
        <v>0.3413173652694611</v>
      </c>
      <c r="F89" s="5010">
        <f t="shared" si="86"/>
        <v>0.45908183632734528</v>
      </c>
      <c r="G89" s="5016">
        <f t="shared" ref="G89:G94" si="87">SUM(C89:F89)</f>
        <v>1</v>
      </c>
      <c r="H89" s="5010">
        <f>H22/$L$22</f>
        <v>0.18011811023622049</v>
      </c>
      <c r="I89" s="5010">
        <f t="shared" ref="I89:K89" si="88">I22/$L$22</f>
        <v>8.8582677165354329E-3</v>
      </c>
      <c r="J89" s="5010">
        <f t="shared" si="88"/>
        <v>0.34055118110236221</v>
      </c>
      <c r="K89" s="5010">
        <f t="shared" si="88"/>
        <v>0.47047244094488189</v>
      </c>
      <c r="L89" s="5016">
        <f t="shared" ref="L89:L94" si="89">SUM(H89:K89)</f>
        <v>1</v>
      </c>
      <c r="M89" s="5010">
        <f>M22/$Q$22</f>
        <v>0.16733067729083664</v>
      </c>
      <c r="N89" s="5010">
        <f t="shared" ref="N89:P89" si="90">N22/$Q$22</f>
        <v>8.9641434262948214E-3</v>
      </c>
      <c r="O89" s="5010">
        <f t="shared" si="90"/>
        <v>0.33167330677290835</v>
      </c>
      <c r="P89" s="5010">
        <f t="shared" si="90"/>
        <v>0.49203187250996017</v>
      </c>
      <c r="Q89" s="5016">
        <f t="shared" ref="Q89:Q94" si="91">SUM(M89:P89)</f>
        <v>1</v>
      </c>
      <c r="R89" s="5010">
        <f>R22/$V$22</f>
        <v>0.16347124117053483</v>
      </c>
      <c r="S89" s="5010">
        <f t="shared" ref="S89:U89" si="92">S22/$V$22</f>
        <v>9.0817356205852677E-3</v>
      </c>
      <c r="T89" s="5010">
        <f t="shared" si="92"/>
        <v>0.33299697275479312</v>
      </c>
      <c r="U89" s="5010">
        <f t="shared" si="92"/>
        <v>0.4944500504540868</v>
      </c>
      <c r="V89" s="5016">
        <f t="shared" ref="V89:V94" si="93">SUM(R89:U89)</f>
        <v>1</v>
      </c>
      <c r="W89" s="5010">
        <f>W22/$AA$22</f>
        <v>0.16649537512846865</v>
      </c>
      <c r="X89" s="5010">
        <f t="shared" ref="X89:Z89" si="94">X22/$AA$22</f>
        <v>8.2219938335046251E-3</v>
      </c>
      <c r="Y89" s="5010">
        <f t="shared" si="94"/>
        <v>0.30421377183967113</v>
      </c>
      <c r="Z89" s="5010">
        <f t="shared" si="94"/>
        <v>0.52106885919835555</v>
      </c>
      <c r="AA89" s="5016">
        <f t="shared" ref="AA89:AA94" si="95">SUM(W89:Z89)</f>
        <v>1</v>
      </c>
      <c r="AB89" s="5010">
        <f>AB22/$AF$22</f>
        <v>0.16384778012684989</v>
      </c>
      <c r="AC89" s="5010">
        <f>AC22/$AF$22</f>
        <v>8.4566596194503175E-3</v>
      </c>
      <c r="AD89" s="5010">
        <f>AD22/$AF$22</f>
        <v>0.29809725158562367</v>
      </c>
      <c r="AE89" s="5010">
        <f>AE22/$AF$22</f>
        <v>0.52959830866807611</v>
      </c>
      <c r="AF89" s="5016">
        <f t="shared" ref="AF89:AF94" si="96">SUM(AB89:AE89)</f>
        <v>1</v>
      </c>
    </row>
    <row r="90" spans="1:32" ht="13.8" x14ac:dyDescent="0.25">
      <c r="B90" s="5024" t="s">
        <v>1543</v>
      </c>
      <c r="C90" s="5011">
        <f>C35/$G$35</f>
        <v>1.7543859649122806E-2</v>
      </c>
      <c r="D90" s="5011">
        <f t="shared" ref="D90:F90" si="97">D35/$G$35</f>
        <v>0</v>
      </c>
      <c r="E90" s="5011">
        <f t="shared" si="97"/>
        <v>9.9415204678362568E-2</v>
      </c>
      <c r="F90" s="5011">
        <f t="shared" si="97"/>
        <v>0.88304093567251463</v>
      </c>
      <c r="G90" s="5017">
        <f t="shared" si="87"/>
        <v>1</v>
      </c>
      <c r="H90" s="5011">
        <f>H35/$L$35</f>
        <v>1.2048192771084338E-2</v>
      </c>
      <c r="I90" s="5011">
        <f t="shared" ref="I90:K90" si="98">I35/$L$35</f>
        <v>0</v>
      </c>
      <c r="J90" s="5011">
        <f t="shared" si="98"/>
        <v>0.10240963855421686</v>
      </c>
      <c r="K90" s="5011">
        <f t="shared" si="98"/>
        <v>0.88554216867469882</v>
      </c>
      <c r="L90" s="5017">
        <f t="shared" si="89"/>
        <v>1</v>
      </c>
      <c r="M90" s="5011">
        <f>M35/$Q$35</f>
        <v>6.024096385542169E-3</v>
      </c>
      <c r="N90" s="5011">
        <f t="shared" ref="N90:P90" si="99">N35/$Q$35</f>
        <v>0</v>
      </c>
      <c r="O90" s="5011">
        <f t="shared" si="99"/>
        <v>9.036144578313253E-2</v>
      </c>
      <c r="P90" s="5011">
        <f t="shared" si="99"/>
        <v>0.90361445783132532</v>
      </c>
      <c r="Q90" s="5017">
        <f t="shared" si="91"/>
        <v>1</v>
      </c>
      <c r="R90" s="5011">
        <f>R35/$V$35</f>
        <v>5.9171597633136093E-3</v>
      </c>
      <c r="S90" s="5011">
        <f t="shared" ref="S90:U90" si="100">S35/$V$35</f>
        <v>0</v>
      </c>
      <c r="T90" s="5011">
        <f t="shared" si="100"/>
        <v>9.4674556213017749E-2</v>
      </c>
      <c r="U90" s="5011">
        <f t="shared" si="100"/>
        <v>0.89940828402366868</v>
      </c>
      <c r="V90" s="5017">
        <f t="shared" si="93"/>
        <v>1</v>
      </c>
      <c r="W90" s="5011">
        <f>W35/$AA$35</f>
        <v>0</v>
      </c>
      <c r="X90" s="5011">
        <f t="shared" ref="X90:Z90" si="101">X35/$AA$35</f>
        <v>0</v>
      </c>
      <c r="Y90" s="5011">
        <f t="shared" si="101"/>
        <v>0.12280701754385964</v>
      </c>
      <c r="Z90" s="5011">
        <f t="shared" si="101"/>
        <v>0.8771929824561403</v>
      </c>
      <c r="AA90" s="5017">
        <f t="shared" si="95"/>
        <v>1</v>
      </c>
      <c r="AB90" s="5011">
        <f>AB35/$AF$35</f>
        <v>0</v>
      </c>
      <c r="AC90" s="5011">
        <f>AC35/$AF$35</f>
        <v>0</v>
      </c>
      <c r="AD90" s="5011">
        <f>AD35/$AF$35</f>
        <v>0.12280701754385964</v>
      </c>
      <c r="AE90" s="5011">
        <f>AE35/$AF$35</f>
        <v>0.8771929824561403</v>
      </c>
      <c r="AF90" s="5017">
        <f t="shared" si="96"/>
        <v>1</v>
      </c>
    </row>
    <row r="91" spans="1:32" ht="14.4" x14ac:dyDescent="0.25">
      <c r="B91" s="5025" t="s">
        <v>1545</v>
      </c>
      <c r="C91" s="5012">
        <f>C53/$G$53</f>
        <v>8.4269662921348312E-2</v>
      </c>
      <c r="D91" s="5012">
        <f t="shared" ref="D91:F91" si="102">D53/$G$53</f>
        <v>4.4943820224719105E-3</v>
      </c>
      <c r="E91" s="5012">
        <f t="shared" si="102"/>
        <v>0.20337078651685395</v>
      </c>
      <c r="F91" s="5012">
        <f t="shared" si="102"/>
        <v>0.7078651685393258</v>
      </c>
      <c r="G91" s="5018">
        <f t="shared" si="87"/>
        <v>1</v>
      </c>
      <c r="H91" s="5012">
        <f>H53/$L$53</f>
        <v>7.623318385650224E-2</v>
      </c>
      <c r="I91" s="5012">
        <f t="shared" ref="I91:K91" si="103">I53/$L$53</f>
        <v>4.4843049327354259E-3</v>
      </c>
      <c r="J91" s="5012">
        <f t="shared" si="103"/>
        <v>0.20515695067264575</v>
      </c>
      <c r="K91" s="5012">
        <f t="shared" si="103"/>
        <v>0.7141255605381166</v>
      </c>
      <c r="L91" s="5018">
        <f t="shared" si="89"/>
        <v>1</v>
      </c>
      <c r="M91" s="5012">
        <f>M53/$Q$53</f>
        <v>6.358381502890173E-2</v>
      </c>
      <c r="N91" s="5012">
        <f t="shared" ref="N91:P91" si="104">N53/$Q$53</f>
        <v>2.3121387283236996E-3</v>
      </c>
      <c r="O91" s="5012">
        <f t="shared" si="104"/>
        <v>0.19421965317919074</v>
      </c>
      <c r="P91" s="5012">
        <f t="shared" si="104"/>
        <v>0.73988439306358378</v>
      </c>
      <c r="Q91" s="5018">
        <f t="shared" si="91"/>
        <v>1</v>
      </c>
      <c r="R91" s="5012">
        <f>R53/$V$53</f>
        <v>5.8892815076560662E-2</v>
      </c>
      <c r="S91" s="5012">
        <f t="shared" ref="S91:U91" si="105">S53/$V$53</f>
        <v>1.1778563015312131E-3</v>
      </c>
      <c r="T91" s="5012">
        <f t="shared" si="105"/>
        <v>0.19316843345111898</v>
      </c>
      <c r="U91" s="5012">
        <f t="shared" si="105"/>
        <v>0.74676089517078914</v>
      </c>
      <c r="V91" s="5018">
        <f t="shared" si="93"/>
        <v>1</v>
      </c>
      <c r="W91" s="5012">
        <f>W53/$AA$53</f>
        <v>6.5375302663438259E-2</v>
      </c>
      <c r="X91" s="5012">
        <f t="shared" ref="X91:Z91" si="106">X53/$AA$53</f>
        <v>3.6319612590799033E-3</v>
      </c>
      <c r="Y91" s="5012">
        <f t="shared" si="106"/>
        <v>0.18280871670702178</v>
      </c>
      <c r="Z91" s="5012">
        <f t="shared" si="106"/>
        <v>0.74818401937046008</v>
      </c>
      <c r="AA91" s="5018">
        <f t="shared" si="95"/>
        <v>1</v>
      </c>
      <c r="AB91" s="5188">
        <f>AB53/$AF$53</f>
        <v>6.4950980392156868E-2</v>
      </c>
      <c r="AC91" s="5188">
        <f>AC53/$AF$53</f>
        <v>3.6764705882352941E-3</v>
      </c>
      <c r="AD91" s="5188">
        <f>AD53/$AF$53</f>
        <v>0.18382352941176472</v>
      </c>
      <c r="AE91" s="5188">
        <f>AE53/$AF$53</f>
        <v>0.74754901960784315</v>
      </c>
      <c r="AF91" s="5189">
        <f t="shared" si="96"/>
        <v>1</v>
      </c>
    </row>
    <row r="92" spans="1:32" ht="13.8" x14ac:dyDescent="0.25">
      <c r="B92" s="5026" t="s">
        <v>1546</v>
      </c>
      <c r="C92" s="5013">
        <f>C66/$G$66</f>
        <v>0</v>
      </c>
      <c r="D92" s="5013">
        <f t="shared" ref="D92:F92" si="107">D66/$G$66</f>
        <v>0</v>
      </c>
      <c r="E92" s="5013">
        <f t="shared" si="107"/>
        <v>0.13235294117647059</v>
      </c>
      <c r="F92" s="5013">
        <f t="shared" si="107"/>
        <v>0.86764705882352944</v>
      </c>
      <c r="G92" s="5019">
        <f t="shared" si="87"/>
        <v>1</v>
      </c>
      <c r="H92" s="5013">
        <f>H66/$L$66</f>
        <v>0</v>
      </c>
      <c r="I92" s="5013">
        <f t="shared" ref="I92:K92" si="108">I66/$L$66</f>
        <v>0</v>
      </c>
      <c r="J92" s="5013">
        <f t="shared" si="108"/>
        <v>0.12328767123287671</v>
      </c>
      <c r="K92" s="5013">
        <f t="shared" si="108"/>
        <v>0.87671232876712324</v>
      </c>
      <c r="L92" s="5019">
        <f t="shared" si="89"/>
        <v>1</v>
      </c>
      <c r="M92" s="5013">
        <f>M66/$Q$66</f>
        <v>0</v>
      </c>
      <c r="N92" s="5013">
        <f t="shared" ref="N92:P92" si="109">N66/$Q$66</f>
        <v>0</v>
      </c>
      <c r="O92" s="5013">
        <f t="shared" si="109"/>
        <v>9.45945945945946E-2</v>
      </c>
      <c r="P92" s="5013">
        <f t="shared" si="109"/>
        <v>0.90540540540540537</v>
      </c>
      <c r="Q92" s="5019">
        <f t="shared" si="91"/>
        <v>1</v>
      </c>
      <c r="R92" s="5013">
        <f>R66/$V$66</f>
        <v>0</v>
      </c>
      <c r="S92" s="5013">
        <f t="shared" ref="S92:U92" si="110">S66/$V$66</f>
        <v>0</v>
      </c>
      <c r="T92" s="5013">
        <f t="shared" si="110"/>
        <v>9.3333333333333338E-2</v>
      </c>
      <c r="U92" s="5013">
        <f t="shared" si="110"/>
        <v>0.90666666666666662</v>
      </c>
      <c r="V92" s="5019">
        <f t="shared" si="93"/>
        <v>1</v>
      </c>
      <c r="W92" s="5013">
        <f>W66/$AA$66</f>
        <v>0</v>
      </c>
      <c r="X92" s="5013">
        <f t="shared" ref="X92:Z92" si="111">X66/$AA$66</f>
        <v>0</v>
      </c>
      <c r="Y92" s="5013">
        <f t="shared" si="111"/>
        <v>8.1081081081081086E-2</v>
      </c>
      <c r="Z92" s="5013">
        <f t="shared" si="111"/>
        <v>0.91891891891891897</v>
      </c>
      <c r="AA92" s="5019">
        <f t="shared" si="95"/>
        <v>1</v>
      </c>
      <c r="AB92" s="5013">
        <f>AB66/$AF$66</f>
        <v>0</v>
      </c>
      <c r="AC92" s="5013">
        <f>AC66/$AF$66</f>
        <v>0</v>
      </c>
      <c r="AD92" s="5013">
        <f>AD66/$AF$66</f>
        <v>8.5714285714285715E-2</v>
      </c>
      <c r="AE92" s="5013">
        <f>AE66/$AF$66</f>
        <v>0.91428571428571426</v>
      </c>
      <c r="AF92" s="5019">
        <f t="shared" si="96"/>
        <v>1</v>
      </c>
    </row>
    <row r="93" spans="1:32" ht="13.8" x14ac:dyDescent="0.25">
      <c r="B93" s="5027" t="s">
        <v>1547</v>
      </c>
      <c r="C93" s="5014">
        <f>C82/$G$82</f>
        <v>0.14771519659936239</v>
      </c>
      <c r="D93" s="5014">
        <f t="shared" ref="D93:F93" si="112">D82/$G$82</f>
        <v>1.381509032943677E-2</v>
      </c>
      <c r="E93" s="5014">
        <f t="shared" si="112"/>
        <v>0.36556854410201911</v>
      </c>
      <c r="F93" s="5014">
        <f t="shared" si="112"/>
        <v>0.47290116896918172</v>
      </c>
      <c r="G93" s="5020">
        <f t="shared" si="87"/>
        <v>1</v>
      </c>
      <c r="H93" s="5014">
        <f>H82/$L$82</f>
        <v>0.13921360255047821</v>
      </c>
      <c r="I93" s="5014">
        <f t="shared" ref="I93:K93" si="113">I82/$L$82</f>
        <v>1.1689691817215728E-2</v>
      </c>
      <c r="J93" s="5014">
        <f t="shared" si="113"/>
        <v>0.36450584484590859</v>
      </c>
      <c r="K93" s="5014">
        <f t="shared" si="113"/>
        <v>0.48459086078639746</v>
      </c>
      <c r="L93" s="5020">
        <f t="shared" si="89"/>
        <v>1</v>
      </c>
      <c r="M93" s="5014">
        <f>M82/$Q$82</f>
        <v>0.11961206896551724</v>
      </c>
      <c r="N93" s="5014">
        <f t="shared" ref="N93:P93" si="114">N82/$Q$82</f>
        <v>6.4655172413793103E-3</v>
      </c>
      <c r="O93" s="5014">
        <f t="shared" si="114"/>
        <v>0.35775862068965519</v>
      </c>
      <c r="P93" s="5014">
        <f t="shared" si="114"/>
        <v>0.51616379310344829</v>
      </c>
      <c r="Q93" s="5020">
        <f t="shared" si="91"/>
        <v>1</v>
      </c>
      <c r="R93" s="5014">
        <f>R82/$V$82</f>
        <v>0.11615044247787611</v>
      </c>
      <c r="S93" s="5014">
        <f t="shared" ref="S93:U93" si="115">S82/$V$82</f>
        <v>6.6371681415929203E-3</v>
      </c>
      <c r="T93" s="5014">
        <f t="shared" si="115"/>
        <v>0.35619469026548672</v>
      </c>
      <c r="U93" s="5014">
        <f t="shared" si="115"/>
        <v>0.52101769911504425</v>
      </c>
      <c r="V93" s="5020">
        <f t="shared" si="93"/>
        <v>1</v>
      </c>
      <c r="W93" s="5014">
        <f>W82/$AA$82</f>
        <v>0.12175873731679819</v>
      </c>
      <c r="X93" s="5014">
        <f t="shared" ref="X93:Z93" si="116">X82/$AA$82</f>
        <v>9.0191657271702363E-3</v>
      </c>
      <c r="Y93" s="5014">
        <f t="shared" si="116"/>
        <v>0.34047350620067646</v>
      </c>
      <c r="Z93" s="5014">
        <f t="shared" si="116"/>
        <v>0.52874859075535507</v>
      </c>
      <c r="AA93" s="5020">
        <f t="shared" si="95"/>
        <v>1</v>
      </c>
      <c r="AB93" s="5014">
        <f>AB82/$AF$82</f>
        <v>0.11990686845168801</v>
      </c>
      <c r="AC93" s="5014">
        <f>AC82/$AF$82</f>
        <v>8.1490104772991845E-3</v>
      </c>
      <c r="AD93" s="5014">
        <f>AD82/$AF$82</f>
        <v>0.32828870779976715</v>
      </c>
      <c r="AE93" s="5014">
        <f>AE82/$AF$82</f>
        <v>0.54365541327124567</v>
      </c>
      <c r="AF93" s="5020">
        <f t="shared" si="96"/>
        <v>1</v>
      </c>
    </row>
    <row r="94" spans="1:32" ht="13.8" x14ac:dyDescent="0.25">
      <c r="B94" s="5022" t="s">
        <v>7</v>
      </c>
      <c r="C94" s="5015">
        <f>C84/$G$84</f>
        <v>0.13248697916666666</v>
      </c>
      <c r="D94" s="5015">
        <f t="shared" ref="D94:F94" si="117">D84/$G$84</f>
        <v>8.7890625E-3</v>
      </c>
      <c r="E94" s="5015">
        <f t="shared" si="117"/>
        <v>0.29069010416666669</v>
      </c>
      <c r="F94" s="5015">
        <f t="shared" si="117"/>
        <v>0.56803385416666663</v>
      </c>
      <c r="G94" s="5021">
        <f t="shared" si="87"/>
        <v>1</v>
      </c>
      <c r="H94" s="5015">
        <f>H84/$L$84</f>
        <v>0.12435233160621761</v>
      </c>
      <c r="I94" s="5015">
        <f t="shared" ref="I94:K94" si="118">I84/$L$84</f>
        <v>7.7720207253886009E-3</v>
      </c>
      <c r="J94" s="5015">
        <f t="shared" si="118"/>
        <v>0.29080310880829013</v>
      </c>
      <c r="K94" s="5015">
        <f t="shared" si="118"/>
        <v>0.57707253886010368</v>
      </c>
      <c r="L94" s="5021">
        <f t="shared" si="89"/>
        <v>1</v>
      </c>
      <c r="M94" s="5015">
        <f>M84/$Q$84</f>
        <v>0.11030622324662497</v>
      </c>
      <c r="N94" s="5015">
        <f>N84/$Q$84</f>
        <v>5.597629239380968E-3</v>
      </c>
      <c r="O94" s="5015">
        <f>O84/$Q$84</f>
        <v>0.2815278235100428</v>
      </c>
      <c r="P94" s="5015">
        <f>P84/$Q$84</f>
        <v>0.60256832400395122</v>
      </c>
      <c r="Q94" s="5021">
        <f t="shared" si="91"/>
        <v>1</v>
      </c>
      <c r="R94" s="5015">
        <f>R84/$V$84</f>
        <v>0.10642570281124498</v>
      </c>
      <c r="S94" s="5015">
        <f t="shared" ref="S94:U94" si="119">S84/$V$84</f>
        <v>5.3547523427041497E-3</v>
      </c>
      <c r="T94" s="5015">
        <f t="shared" si="119"/>
        <v>0.28078982597054886</v>
      </c>
      <c r="U94" s="5015">
        <f t="shared" si="119"/>
        <v>0.60742971887550201</v>
      </c>
      <c r="V94" s="5021">
        <f t="shared" si="93"/>
        <v>1</v>
      </c>
      <c r="W94" s="5015">
        <f>W84/$AA$84</f>
        <v>0.1105424769703173</v>
      </c>
      <c r="X94" s="5015">
        <f>X84/$AA$84</f>
        <v>6.4824292050494709E-3</v>
      </c>
      <c r="Y94" s="5015">
        <f>Y84/$AA$84</f>
        <v>0.26475605595359947</v>
      </c>
      <c r="Z94" s="5015">
        <f>Z84/$AA$84</f>
        <v>0.61821903787103383</v>
      </c>
      <c r="AA94" s="5021">
        <f t="shared" si="95"/>
        <v>1</v>
      </c>
      <c r="AB94" s="5015">
        <f>AB84/$AF$84</f>
        <v>0.10866526904262754</v>
      </c>
      <c r="AC94" s="5015">
        <f>AC84/$AF$84</f>
        <v>6.2893081761006293E-3</v>
      </c>
      <c r="AD94" s="5015">
        <f>AD84/$AF$84</f>
        <v>0.25890985324947591</v>
      </c>
      <c r="AE94" s="5015">
        <f>AE84/$AF$84</f>
        <v>0.62613556953179594</v>
      </c>
      <c r="AF94" s="5021">
        <f t="shared" si="96"/>
        <v>1</v>
      </c>
    </row>
  </sheetData>
  <mergeCells count="7">
    <mergeCell ref="AB3:AF3"/>
    <mergeCell ref="W3:AA3"/>
    <mergeCell ref="B3:B4"/>
    <mergeCell ref="C3:G3"/>
    <mergeCell ref="H3:L3"/>
    <mergeCell ref="M3:Q3"/>
    <mergeCell ref="R3:V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49" firstPageNumber="157" pageOrder="overThenDown" orientation="landscape" useFirstPageNumber="1" r:id="rId1"/>
  <headerFooter scaleWithDoc="0" alignWithMargins="0">
    <oddFooter>&amp;R&amp;P</oddFooter>
  </headerFooter>
  <rowBreaks count="1" manualBreakCount="1">
    <brk id="53" min="12" max="31" man="1"/>
  </rowBreaks>
  <ignoredErrors>
    <ignoredError sqref="V5:V9" formulaRange="1"/>
    <ignoredError sqref="V10:V80" formula="1" formulaRange="1"/>
    <ignoredError sqref="V81:V84 AF71:AF76 AF57:AF61 AF41:AF46 AF26:AF30 AF10:AF16" formula="1"/>
  </ignoredErrors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8200"/>
  </sheetPr>
  <dimension ref="A1:V94"/>
  <sheetViews>
    <sheetView showGridLines="0" zoomScaleNormal="100" zoomScaleSheetLayoutView="70" workbookViewId="0">
      <pane xSplit="2" ySplit="3" topLeftCell="C4" activePane="bottomRight" state="frozen"/>
      <selection activeCell="Q31" sqref="Q31"/>
      <selection pane="topRight" activeCell="Q31" sqref="Q31"/>
      <selection pane="bottomLeft" activeCell="Q31" sqref="Q31"/>
      <selection pane="bottomRight" activeCell="Q31" sqref="Q31"/>
    </sheetView>
  </sheetViews>
  <sheetFormatPr baseColWidth="10" defaultColWidth="11.5546875" defaultRowHeight="13.2" x14ac:dyDescent="0.25"/>
  <cols>
    <col min="1" max="1" width="2.88671875" style="3424" customWidth="1"/>
    <col min="2" max="2" width="21.5546875" style="3424" customWidth="1"/>
    <col min="3" max="7" width="11.44140625" style="3424" customWidth="1"/>
    <col min="8" max="8" width="11.5546875" style="3424"/>
    <col min="9" max="9" width="2.109375" style="3424" hidden="1" customWidth="1"/>
    <col min="10" max="16384" width="11.5546875" style="3424"/>
  </cols>
  <sheetData>
    <row r="1" spans="2:22" ht="81" customHeight="1" x14ac:dyDescent="0.25">
      <c r="B1" s="5000" t="s">
        <v>1539</v>
      </c>
      <c r="C1" s="3533"/>
      <c r="D1" s="3533"/>
      <c r="E1" s="3533"/>
      <c r="F1" s="3533"/>
      <c r="G1" s="3533"/>
      <c r="H1" s="3533"/>
      <c r="I1" s="3533"/>
      <c r="J1" s="3533"/>
      <c r="K1" s="3533"/>
      <c r="L1" s="3533"/>
    </row>
    <row r="2" spans="2:22" x14ac:dyDescent="0.25">
      <c r="B2" s="6168"/>
      <c r="C2" s="6168"/>
      <c r="D2" s="6168"/>
      <c r="E2" s="6168"/>
      <c r="F2" s="6168"/>
      <c r="G2" s="6168"/>
      <c r="H2" s="6168"/>
      <c r="I2" s="6168"/>
      <c r="J2" s="6168"/>
      <c r="K2" s="6168"/>
      <c r="L2" s="6168"/>
      <c r="M2" s="6168"/>
      <c r="N2" s="6168"/>
      <c r="O2" s="3534"/>
      <c r="P2" s="3534"/>
    </row>
    <row r="3" spans="2:22" ht="14.4" x14ac:dyDescent="0.25">
      <c r="B3" s="3535" t="s">
        <v>132</v>
      </c>
      <c r="C3" s="3536">
        <v>2004</v>
      </c>
      <c r="D3" s="3537">
        <v>2005</v>
      </c>
      <c r="E3" s="3538">
        <v>2006</v>
      </c>
      <c r="F3" s="3537">
        <v>2007</v>
      </c>
      <c r="G3" s="3537">
        <v>2008</v>
      </c>
      <c r="H3" s="3537">
        <v>2009</v>
      </c>
      <c r="I3" s="3539">
        <v>2009</v>
      </c>
      <c r="J3" s="3537">
        <v>2010</v>
      </c>
      <c r="K3" s="3537">
        <v>2011</v>
      </c>
      <c r="L3" s="3537">
        <v>2012</v>
      </c>
      <c r="M3" s="3537">
        <v>2013</v>
      </c>
      <c r="N3" s="3537">
        <v>2014</v>
      </c>
      <c r="O3" s="3537">
        <v>2015</v>
      </c>
      <c r="P3" s="3537">
        <v>2016</v>
      </c>
      <c r="Q3" s="3537">
        <v>2017</v>
      </c>
      <c r="R3" s="3537">
        <v>2018</v>
      </c>
      <c r="S3" s="3537">
        <v>2019</v>
      </c>
      <c r="T3" s="3537">
        <v>2020</v>
      </c>
      <c r="U3" s="3537">
        <v>2021</v>
      </c>
      <c r="V3" s="3537">
        <v>2022</v>
      </c>
    </row>
    <row r="4" spans="2:22" ht="15.6" x14ac:dyDescent="0.3">
      <c r="B4" s="3540"/>
      <c r="C4" s="3541"/>
      <c r="D4" s="3540"/>
      <c r="E4" s="3540"/>
      <c r="F4" s="3540"/>
      <c r="G4" s="3540"/>
      <c r="H4" s="3540"/>
      <c r="I4" s="3542"/>
      <c r="J4" s="3540"/>
      <c r="K4" s="3540"/>
      <c r="L4" s="3540"/>
      <c r="M4" s="3540"/>
      <c r="N4" s="3540"/>
      <c r="O4" s="3540"/>
      <c r="P4" s="3540"/>
      <c r="Q4" s="3540"/>
      <c r="R4" s="3540"/>
      <c r="S4" s="3540"/>
      <c r="T4" s="3540"/>
      <c r="U4" s="3540"/>
      <c r="V4" s="3540"/>
    </row>
    <row r="5" spans="2:22" ht="14.4" x14ac:dyDescent="0.3">
      <c r="B5" s="3543" t="s">
        <v>59</v>
      </c>
      <c r="C5" s="3544">
        <v>109</v>
      </c>
      <c r="D5" s="3544">
        <v>113</v>
      </c>
      <c r="E5" s="3544">
        <v>150</v>
      </c>
      <c r="F5" s="3544">
        <v>147</v>
      </c>
      <c r="G5" s="3544">
        <v>162</v>
      </c>
      <c r="H5" s="3544">
        <v>182</v>
      </c>
      <c r="I5" s="3545">
        <f>156</f>
        <v>156</v>
      </c>
      <c r="J5" s="3544">
        <v>182</v>
      </c>
      <c r="K5" s="3544">
        <v>167</v>
      </c>
      <c r="L5" s="3544">
        <v>198</v>
      </c>
      <c r="M5" s="3544">
        <v>214</v>
      </c>
      <c r="N5" s="3544">
        <v>213</v>
      </c>
      <c r="O5" s="3544">
        <v>191</v>
      </c>
      <c r="P5" s="3544">
        <v>187</v>
      </c>
      <c r="Q5" s="3544">
        <v>205</v>
      </c>
      <c r="R5" s="3544">
        <v>186</v>
      </c>
      <c r="S5" s="3544">
        <v>190</v>
      </c>
      <c r="T5" s="3544">
        <v>212</v>
      </c>
      <c r="U5" s="3544">
        <v>190</v>
      </c>
      <c r="V5" s="3544">
        <v>197</v>
      </c>
    </row>
    <row r="6" spans="2:22" ht="14.4" x14ac:dyDescent="0.3">
      <c r="B6" s="3546" t="s">
        <v>64</v>
      </c>
      <c r="C6" s="3547">
        <v>97</v>
      </c>
      <c r="D6" s="3547">
        <v>110</v>
      </c>
      <c r="E6" s="3547">
        <v>155</v>
      </c>
      <c r="F6" s="3547">
        <v>159</v>
      </c>
      <c r="G6" s="3547">
        <v>159</v>
      </c>
      <c r="H6" s="3547">
        <v>171</v>
      </c>
      <c r="I6" s="3548">
        <f>139</f>
        <v>139</v>
      </c>
      <c r="J6" s="3547">
        <v>175</v>
      </c>
      <c r="K6" s="3547">
        <v>167</v>
      </c>
      <c r="L6" s="3547">
        <v>172</v>
      </c>
      <c r="M6" s="3547">
        <v>182</v>
      </c>
      <c r="N6" s="3547">
        <v>194</v>
      </c>
      <c r="O6" s="3547">
        <v>174</v>
      </c>
      <c r="P6" s="3547">
        <v>174</v>
      </c>
      <c r="Q6" s="3547">
        <v>179</v>
      </c>
      <c r="R6" s="3547">
        <v>174</v>
      </c>
      <c r="S6" s="3547">
        <v>145</v>
      </c>
      <c r="T6" s="3547">
        <v>160</v>
      </c>
      <c r="U6" s="3547">
        <v>130</v>
      </c>
      <c r="V6" s="3547">
        <v>135</v>
      </c>
    </row>
    <row r="7" spans="2:22" ht="14.4" x14ac:dyDescent="0.3">
      <c r="B7" s="3549" t="s">
        <v>68</v>
      </c>
      <c r="C7" s="3550">
        <v>44</v>
      </c>
      <c r="D7" s="3550">
        <v>53</v>
      </c>
      <c r="E7" s="3550">
        <v>69</v>
      </c>
      <c r="F7" s="3550">
        <v>70</v>
      </c>
      <c r="G7" s="3550">
        <v>67</v>
      </c>
      <c r="H7" s="3550">
        <v>79</v>
      </c>
      <c r="I7" s="3551">
        <v>61</v>
      </c>
      <c r="J7" s="3550">
        <v>90</v>
      </c>
      <c r="K7" s="3550">
        <v>92</v>
      </c>
      <c r="L7" s="3550">
        <v>103</v>
      </c>
      <c r="M7" s="3550">
        <v>107</v>
      </c>
      <c r="N7" s="3550">
        <v>108</v>
      </c>
      <c r="O7" s="3550">
        <v>103</v>
      </c>
      <c r="P7" s="3550">
        <v>106</v>
      </c>
      <c r="Q7" s="3550">
        <v>117</v>
      </c>
      <c r="R7" s="3550">
        <v>106</v>
      </c>
      <c r="S7" s="3550">
        <v>86</v>
      </c>
      <c r="T7" s="3550">
        <v>91</v>
      </c>
      <c r="U7" s="3550">
        <v>84</v>
      </c>
      <c r="V7" s="3550">
        <v>82</v>
      </c>
    </row>
    <row r="8" spans="2:22" ht="14.4" x14ac:dyDescent="0.3">
      <c r="B8" s="3552" t="s">
        <v>138</v>
      </c>
      <c r="C8" s="3553">
        <f>SUM(C5:C7)</f>
        <v>250</v>
      </c>
      <c r="D8" s="3553">
        <f t="shared" ref="D8:T8" si="0">SUM(D5:D7)</f>
        <v>276</v>
      </c>
      <c r="E8" s="3553">
        <f t="shared" si="0"/>
        <v>374</v>
      </c>
      <c r="F8" s="3553">
        <f t="shared" si="0"/>
        <v>376</v>
      </c>
      <c r="G8" s="3553">
        <f t="shared" si="0"/>
        <v>388</v>
      </c>
      <c r="H8" s="3553">
        <f t="shared" si="0"/>
        <v>432</v>
      </c>
      <c r="I8" s="3553">
        <f t="shared" si="0"/>
        <v>356</v>
      </c>
      <c r="J8" s="3553">
        <f t="shared" si="0"/>
        <v>447</v>
      </c>
      <c r="K8" s="3553">
        <f t="shared" si="0"/>
        <v>426</v>
      </c>
      <c r="L8" s="3553">
        <f t="shared" si="0"/>
        <v>473</v>
      </c>
      <c r="M8" s="3553">
        <f t="shared" si="0"/>
        <v>503</v>
      </c>
      <c r="N8" s="3553">
        <f t="shared" si="0"/>
        <v>515</v>
      </c>
      <c r="O8" s="3553">
        <f t="shared" si="0"/>
        <v>468</v>
      </c>
      <c r="P8" s="3553">
        <f t="shared" si="0"/>
        <v>467</v>
      </c>
      <c r="Q8" s="3553">
        <f t="shared" si="0"/>
        <v>501</v>
      </c>
      <c r="R8" s="3553">
        <f t="shared" si="0"/>
        <v>466</v>
      </c>
      <c r="S8" s="3553">
        <f t="shared" si="0"/>
        <v>421</v>
      </c>
      <c r="T8" s="3553">
        <f t="shared" si="0"/>
        <v>463</v>
      </c>
      <c r="U8" s="3553">
        <f t="shared" ref="U8" si="1">SUM(U5:U7)</f>
        <v>404</v>
      </c>
      <c r="V8" s="3553">
        <f>SUM(V5:V7)</f>
        <v>414</v>
      </c>
    </row>
    <row r="9" spans="2:22" x14ac:dyDescent="0.25">
      <c r="C9" s="3554"/>
      <c r="D9" s="3554"/>
      <c r="E9" s="3554"/>
      <c r="F9" s="3554"/>
      <c r="G9" s="3554"/>
      <c r="H9" s="3554"/>
      <c r="I9" s="3554"/>
      <c r="J9" s="3554"/>
      <c r="K9" s="3554"/>
      <c r="L9" s="3554"/>
      <c r="M9" s="3554"/>
      <c r="N9" s="3554"/>
      <c r="O9" s="3554"/>
      <c r="P9" s="3554"/>
      <c r="Q9" s="3554"/>
      <c r="R9" s="3554"/>
      <c r="S9" s="3554"/>
      <c r="T9" s="3554"/>
      <c r="U9" s="3554"/>
      <c r="V9" s="3554"/>
    </row>
    <row r="10" spans="2:22" ht="14.4" x14ac:dyDescent="0.3">
      <c r="B10" s="3543" t="s">
        <v>64</v>
      </c>
      <c r="C10" s="3544"/>
      <c r="D10" s="3544">
        <v>6</v>
      </c>
      <c r="E10" s="3544">
        <v>8</v>
      </c>
      <c r="F10" s="3544">
        <v>24</v>
      </c>
      <c r="G10" s="3544">
        <v>28</v>
      </c>
      <c r="H10" s="3544">
        <v>32</v>
      </c>
      <c r="I10" s="3545">
        <f>32</f>
        <v>32</v>
      </c>
      <c r="J10" s="3544">
        <v>39</v>
      </c>
      <c r="K10" s="3544">
        <v>43</v>
      </c>
      <c r="L10" s="3544">
        <v>45</v>
      </c>
      <c r="M10" s="3544">
        <v>45</v>
      </c>
      <c r="N10" s="3544">
        <v>42</v>
      </c>
      <c r="O10" s="3544">
        <v>34</v>
      </c>
      <c r="P10" s="3544">
        <v>29</v>
      </c>
      <c r="Q10" s="3544">
        <v>28</v>
      </c>
      <c r="R10" s="3544">
        <v>29</v>
      </c>
      <c r="S10" s="3544">
        <v>26</v>
      </c>
      <c r="T10" s="3544">
        <v>28</v>
      </c>
      <c r="U10" s="3544">
        <v>25</v>
      </c>
      <c r="V10" s="3544">
        <v>23</v>
      </c>
    </row>
    <row r="11" spans="2:22" ht="14.4" x14ac:dyDescent="0.3">
      <c r="B11" s="3546" t="s">
        <v>111</v>
      </c>
      <c r="C11" s="3547"/>
      <c r="D11" s="3547">
        <v>4</v>
      </c>
      <c r="E11" s="3547">
        <v>2</v>
      </c>
      <c r="F11" s="3547">
        <v>7</v>
      </c>
      <c r="G11" s="3547">
        <v>12</v>
      </c>
      <c r="H11" s="3547">
        <v>15</v>
      </c>
      <c r="I11" s="3548">
        <f>15</f>
        <v>15</v>
      </c>
      <c r="J11" s="3547">
        <v>24</v>
      </c>
      <c r="K11" s="3547">
        <v>28</v>
      </c>
      <c r="L11" s="3547">
        <v>34</v>
      </c>
      <c r="M11" s="3547">
        <v>32</v>
      </c>
      <c r="N11" s="3547">
        <v>26</v>
      </c>
      <c r="O11" s="3547">
        <v>34</v>
      </c>
      <c r="P11" s="3547">
        <v>29</v>
      </c>
      <c r="Q11" s="3547">
        <v>27</v>
      </c>
      <c r="R11" s="3547">
        <v>24</v>
      </c>
      <c r="S11" s="3547">
        <v>20</v>
      </c>
      <c r="T11" s="3547">
        <v>20</v>
      </c>
      <c r="U11" s="3547">
        <v>12</v>
      </c>
      <c r="V11" s="3547">
        <v>13</v>
      </c>
    </row>
    <row r="12" spans="2:22" ht="14.4" x14ac:dyDescent="0.3">
      <c r="B12" s="3549" t="s">
        <v>115</v>
      </c>
      <c r="C12" s="3550"/>
      <c r="D12" s="3550">
        <v>1</v>
      </c>
      <c r="E12" s="3550">
        <v>14</v>
      </c>
      <c r="F12" s="3550">
        <v>16</v>
      </c>
      <c r="G12" s="3550">
        <v>21</v>
      </c>
      <c r="H12" s="3550">
        <v>23</v>
      </c>
      <c r="I12" s="3551">
        <f>23</f>
        <v>23</v>
      </c>
      <c r="J12" s="3550">
        <v>30</v>
      </c>
      <c r="K12" s="3550">
        <v>39</v>
      </c>
      <c r="L12" s="3550">
        <v>44</v>
      </c>
      <c r="M12" s="3550">
        <v>47</v>
      </c>
      <c r="N12" s="3550">
        <v>47</v>
      </c>
      <c r="O12" s="3550">
        <v>46</v>
      </c>
      <c r="P12" s="3550">
        <v>47</v>
      </c>
      <c r="Q12" s="3550">
        <v>48</v>
      </c>
      <c r="R12" s="3550">
        <v>44</v>
      </c>
      <c r="S12" s="3550">
        <v>51</v>
      </c>
      <c r="T12" s="3550">
        <v>52</v>
      </c>
      <c r="U12" s="3550">
        <v>48</v>
      </c>
      <c r="V12" s="3550">
        <v>42</v>
      </c>
    </row>
    <row r="13" spans="2:22" ht="14.4" x14ac:dyDescent="0.3">
      <c r="B13" s="3555" t="s">
        <v>134</v>
      </c>
      <c r="C13" s="3556"/>
      <c r="D13" s="3556">
        <f>SUM(D10:D12)</f>
        <v>11</v>
      </c>
      <c r="E13" s="3556">
        <f t="shared" ref="E13:T13" si="2">SUM(E10:E12)</f>
        <v>24</v>
      </c>
      <c r="F13" s="3556">
        <f t="shared" si="2"/>
        <v>47</v>
      </c>
      <c r="G13" s="3556">
        <f t="shared" si="2"/>
        <v>61</v>
      </c>
      <c r="H13" s="3556">
        <f t="shared" si="2"/>
        <v>70</v>
      </c>
      <c r="I13" s="3556">
        <f t="shared" si="2"/>
        <v>70</v>
      </c>
      <c r="J13" s="3556">
        <f t="shared" si="2"/>
        <v>93</v>
      </c>
      <c r="K13" s="3556">
        <f t="shared" si="2"/>
        <v>110</v>
      </c>
      <c r="L13" s="3556">
        <f t="shared" si="2"/>
        <v>123</v>
      </c>
      <c r="M13" s="3556">
        <f t="shared" si="2"/>
        <v>124</v>
      </c>
      <c r="N13" s="3556">
        <f t="shared" si="2"/>
        <v>115</v>
      </c>
      <c r="O13" s="3556">
        <f t="shared" si="2"/>
        <v>114</v>
      </c>
      <c r="P13" s="3556">
        <f t="shared" si="2"/>
        <v>105</v>
      </c>
      <c r="Q13" s="3556">
        <f t="shared" si="2"/>
        <v>103</v>
      </c>
      <c r="R13" s="3556">
        <f t="shared" si="2"/>
        <v>97</v>
      </c>
      <c r="S13" s="3556">
        <f t="shared" si="2"/>
        <v>97</v>
      </c>
      <c r="T13" s="3556">
        <f t="shared" si="2"/>
        <v>100</v>
      </c>
      <c r="U13" s="3556">
        <f t="shared" ref="U13:V13" si="3">SUM(U10:U12)</f>
        <v>85</v>
      </c>
      <c r="V13" s="3556">
        <f t="shared" si="3"/>
        <v>78</v>
      </c>
    </row>
    <row r="14" spans="2:22" ht="14.4" x14ac:dyDescent="0.3">
      <c r="B14" s="3557"/>
      <c r="C14" s="3558"/>
      <c r="D14" s="3558"/>
      <c r="E14" s="3558"/>
      <c r="F14" s="3558"/>
      <c r="G14" s="3558"/>
      <c r="H14" s="3558"/>
      <c r="I14" s="3559"/>
      <c r="J14" s="3558"/>
      <c r="K14" s="3558"/>
      <c r="L14" s="3558"/>
      <c r="M14" s="3558"/>
      <c r="N14" s="3558"/>
      <c r="O14" s="3558"/>
      <c r="P14" s="3558"/>
      <c r="Q14" s="3558"/>
      <c r="R14" s="3558"/>
      <c r="S14" s="3558"/>
      <c r="T14" s="3558"/>
      <c r="U14" s="3558"/>
      <c r="V14" s="3558"/>
    </row>
    <row r="15" spans="2:22" ht="14.4" x14ac:dyDescent="0.3">
      <c r="B15" s="3543" t="s">
        <v>59</v>
      </c>
      <c r="C15" s="3544">
        <v>162</v>
      </c>
      <c r="D15" s="3544">
        <v>172</v>
      </c>
      <c r="E15" s="3544">
        <v>175</v>
      </c>
      <c r="F15" s="3544">
        <v>159</v>
      </c>
      <c r="G15" s="3544">
        <v>169</v>
      </c>
      <c r="H15" s="3544">
        <v>178</v>
      </c>
      <c r="I15" s="3545">
        <f>178</f>
        <v>178</v>
      </c>
      <c r="J15" s="3544">
        <v>159</v>
      </c>
      <c r="K15" s="3544">
        <v>159</v>
      </c>
      <c r="L15" s="3544">
        <v>163</v>
      </c>
      <c r="M15" s="3544">
        <v>172</v>
      </c>
      <c r="N15" s="3544">
        <v>156</v>
      </c>
      <c r="O15" s="3544">
        <v>109</v>
      </c>
      <c r="P15" s="3544">
        <v>109</v>
      </c>
      <c r="Q15" s="3544">
        <v>125</v>
      </c>
      <c r="R15" s="3544">
        <v>117</v>
      </c>
      <c r="S15" s="3544">
        <v>121</v>
      </c>
      <c r="T15" s="3544">
        <v>115</v>
      </c>
      <c r="U15" s="3544">
        <v>107</v>
      </c>
      <c r="V15" s="3544">
        <v>111</v>
      </c>
    </row>
    <row r="16" spans="2:22" ht="14.4" x14ac:dyDescent="0.3">
      <c r="B16" s="3546" t="s">
        <v>64</v>
      </c>
      <c r="C16" s="3547">
        <v>168</v>
      </c>
      <c r="D16" s="3547">
        <v>139</v>
      </c>
      <c r="E16" s="3547">
        <v>183</v>
      </c>
      <c r="F16" s="3547">
        <v>169</v>
      </c>
      <c r="G16" s="3547">
        <v>181</v>
      </c>
      <c r="H16" s="3547">
        <v>195</v>
      </c>
      <c r="I16" s="3548">
        <f>194+1</f>
        <v>195</v>
      </c>
      <c r="J16" s="3547">
        <v>173</v>
      </c>
      <c r="K16" s="3547">
        <v>156</v>
      </c>
      <c r="L16" s="3547">
        <v>116</v>
      </c>
      <c r="M16" s="3547">
        <v>123</v>
      </c>
      <c r="N16" s="3547">
        <v>121</v>
      </c>
      <c r="O16" s="3547">
        <v>96</v>
      </c>
      <c r="P16" s="3547">
        <v>93</v>
      </c>
      <c r="Q16" s="3547">
        <v>100</v>
      </c>
      <c r="R16" s="3547">
        <v>103</v>
      </c>
      <c r="S16" s="3547">
        <v>89</v>
      </c>
      <c r="T16" s="3547">
        <v>83</v>
      </c>
      <c r="U16" s="3547">
        <v>83</v>
      </c>
      <c r="V16" s="3547">
        <v>84</v>
      </c>
    </row>
    <row r="17" spans="2:22" ht="14.4" x14ac:dyDescent="0.3">
      <c r="B17" s="3549" t="s">
        <v>92</v>
      </c>
      <c r="C17" s="3550">
        <v>140</v>
      </c>
      <c r="D17" s="3550">
        <v>181</v>
      </c>
      <c r="E17" s="3550">
        <v>146</v>
      </c>
      <c r="F17" s="3550">
        <v>139</v>
      </c>
      <c r="G17" s="3550">
        <v>147</v>
      </c>
      <c r="H17" s="3550">
        <v>152</v>
      </c>
      <c r="I17" s="3551">
        <f>152</f>
        <v>152</v>
      </c>
      <c r="J17" s="3550">
        <v>144</v>
      </c>
      <c r="K17" s="3550">
        <v>143</v>
      </c>
      <c r="L17" s="3550">
        <v>132</v>
      </c>
      <c r="M17" s="3550">
        <v>135</v>
      </c>
      <c r="N17" s="3550">
        <v>139</v>
      </c>
      <c r="O17" s="3550">
        <v>126</v>
      </c>
      <c r="P17" s="3550">
        <v>123</v>
      </c>
      <c r="Q17" s="3550">
        <v>135</v>
      </c>
      <c r="R17" s="3550">
        <v>118</v>
      </c>
      <c r="S17" s="3550">
        <v>131</v>
      </c>
      <c r="T17" s="3550">
        <v>121</v>
      </c>
      <c r="U17" s="3550">
        <v>110</v>
      </c>
      <c r="V17" s="3550">
        <v>119</v>
      </c>
    </row>
    <row r="18" spans="2:22" ht="14.4" x14ac:dyDescent="0.3">
      <c r="B18" s="3560" t="s">
        <v>135</v>
      </c>
      <c r="C18" s="3561">
        <f>SUM(C15:C17)</f>
        <v>470</v>
      </c>
      <c r="D18" s="3561">
        <f t="shared" ref="D18:T18" si="4">SUM(D15:D17)</f>
        <v>492</v>
      </c>
      <c r="E18" s="3561">
        <f t="shared" si="4"/>
        <v>504</v>
      </c>
      <c r="F18" s="3561">
        <f t="shared" si="4"/>
        <v>467</v>
      </c>
      <c r="G18" s="3561">
        <f t="shared" si="4"/>
        <v>497</v>
      </c>
      <c r="H18" s="3561">
        <f t="shared" si="4"/>
        <v>525</v>
      </c>
      <c r="I18" s="3561">
        <f t="shared" si="4"/>
        <v>525</v>
      </c>
      <c r="J18" s="3561">
        <f t="shared" si="4"/>
        <v>476</v>
      </c>
      <c r="K18" s="3561">
        <f t="shared" si="4"/>
        <v>458</v>
      </c>
      <c r="L18" s="3561">
        <f t="shared" si="4"/>
        <v>411</v>
      </c>
      <c r="M18" s="3561">
        <f t="shared" si="4"/>
        <v>430</v>
      </c>
      <c r="N18" s="3561">
        <f t="shared" si="4"/>
        <v>416</v>
      </c>
      <c r="O18" s="3561">
        <f t="shared" si="4"/>
        <v>331</v>
      </c>
      <c r="P18" s="3561">
        <f t="shared" si="4"/>
        <v>325</v>
      </c>
      <c r="Q18" s="3561">
        <f t="shared" si="4"/>
        <v>360</v>
      </c>
      <c r="R18" s="3561">
        <f t="shared" si="4"/>
        <v>338</v>
      </c>
      <c r="S18" s="3561">
        <f t="shared" si="4"/>
        <v>341</v>
      </c>
      <c r="T18" s="3561">
        <f t="shared" si="4"/>
        <v>319</v>
      </c>
      <c r="U18" s="3561">
        <f t="shared" ref="U18:V18" si="5">SUM(U15:U17)</f>
        <v>300</v>
      </c>
      <c r="V18" s="3561">
        <f t="shared" si="5"/>
        <v>314</v>
      </c>
    </row>
    <row r="19" spans="2:22" x14ac:dyDescent="0.25">
      <c r="C19" s="3554"/>
      <c r="D19" s="3554"/>
      <c r="E19" s="3554"/>
      <c r="F19" s="3554"/>
      <c r="G19" s="3554"/>
      <c r="H19" s="3554"/>
      <c r="I19" s="3554"/>
      <c r="J19" s="3554"/>
      <c r="K19" s="3554"/>
      <c r="L19" s="3554"/>
      <c r="M19" s="3554"/>
      <c r="N19" s="3554"/>
      <c r="O19" s="3554"/>
      <c r="P19" s="3554"/>
      <c r="Q19" s="3554"/>
      <c r="R19" s="3554"/>
      <c r="S19" s="3554"/>
      <c r="T19" s="3554"/>
      <c r="U19" s="3554"/>
      <c r="V19" s="3554"/>
    </row>
    <row r="20" spans="2:22" ht="14.4" x14ac:dyDescent="0.3">
      <c r="B20" s="3543" t="s">
        <v>59</v>
      </c>
      <c r="C20" s="3544"/>
      <c r="D20" s="3544"/>
      <c r="E20" s="3544"/>
      <c r="F20" s="3544"/>
      <c r="G20" s="3544"/>
      <c r="H20" s="3544"/>
      <c r="I20" s="3545"/>
      <c r="J20" s="3544"/>
      <c r="K20" s="3544"/>
      <c r="L20" s="3544"/>
      <c r="M20" s="3544">
        <v>4</v>
      </c>
      <c r="N20" s="3544">
        <v>6</v>
      </c>
      <c r="O20" s="3544">
        <v>8</v>
      </c>
      <c r="P20" s="3544">
        <v>8</v>
      </c>
      <c r="Q20" s="3544">
        <v>11</v>
      </c>
      <c r="R20" s="3544">
        <v>13</v>
      </c>
      <c r="S20" s="3544">
        <v>14</v>
      </c>
      <c r="T20" s="3544">
        <v>11</v>
      </c>
      <c r="U20" s="3544">
        <v>10</v>
      </c>
      <c r="V20" s="3544">
        <v>5</v>
      </c>
    </row>
    <row r="21" spans="2:22" ht="14.4" x14ac:dyDescent="0.3">
      <c r="B21" s="3546" t="s">
        <v>64</v>
      </c>
      <c r="C21" s="3547"/>
      <c r="D21" s="3547"/>
      <c r="E21" s="3547"/>
      <c r="F21" s="3547"/>
      <c r="G21" s="3547"/>
      <c r="H21" s="3547"/>
      <c r="I21" s="3548"/>
      <c r="J21" s="3547"/>
      <c r="K21" s="3547"/>
      <c r="L21" s="3547"/>
      <c r="M21" s="3547">
        <v>1</v>
      </c>
      <c r="N21" s="3547">
        <v>3</v>
      </c>
      <c r="O21" s="3547">
        <v>9</v>
      </c>
      <c r="P21" s="3547">
        <v>9</v>
      </c>
      <c r="Q21" s="3547">
        <v>13</v>
      </c>
      <c r="R21" s="3547">
        <v>16</v>
      </c>
      <c r="S21" s="3547">
        <v>20</v>
      </c>
      <c r="T21" s="3547">
        <v>21</v>
      </c>
      <c r="U21" s="3547">
        <v>23</v>
      </c>
      <c r="V21" s="3547">
        <v>22</v>
      </c>
    </row>
    <row r="22" spans="2:22" ht="14.4" x14ac:dyDescent="0.3">
      <c r="B22" s="3549" t="s">
        <v>92</v>
      </c>
      <c r="C22" s="3550"/>
      <c r="D22" s="3550"/>
      <c r="E22" s="3550"/>
      <c r="F22" s="3550"/>
      <c r="G22" s="3550"/>
      <c r="H22" s="3550"/>
      <c r="I22" s="3551"/>
      <c r="J22" s="3550"/>
      <c r="K22" s="3550"/>
      <c r="L22" s="3550">
        <v>1</v>
      </c>
      <c r="M22" s="3550">
        <v>5</v>
      </c>
      <c r="N22" s="3550">
        <v>5</v>
      </c>
      <c r="O22" s="3550">
        <v>9</v>
      </c>
      <c r="P22" s="3550">
        <v>15</v>
      </c>
      <c r="Q22" s="3550">
        <v>16</v>
      </c>
      <c r="R22" s="3550">
        <v>11</v>
      </c>
      <c r="S22" s="3550">
        <v>13</v>
      </c>
      <c r="T22" s="3550">
        <v>14</v>
      </c>
      <c r="U22" s="3550">
        <v>13</v>
      </c>
      <c r="V22" s="3550">
        <v>11</v>
      </c>
    </row>
    <row r="23" spans="2:22" ht="14.4" x14ac:dyDescent="0.3">
      <c r="B23" s="3562" t="s">
        <v>136</v>
      </c>
      <c r="C23" s="3563"/>
      <c r="D23" s="3564"/>
      <c r="E23" s="3564"/>
      <c r="F23" s="3564"/>
      <c r="G23" s="3564"/>
      <c r="H23" s="3564"/>
      <c r="I23" s="3564"/>
      <c r="J23" s="3564"/>
      <c r="K23" s="3564"/>
      <c r="L23" s="3565">
        <f t="shared" ref="L23:Q23" si="6">SUM(L20:L22)</f>
        <v>1</v>
      </c>
      <c r="M23" s="3565">
        <f t="shared" si="6"/>
        <v>10</v>
      </c>
      <c r="N23" s="3565">
        <f t="shared" si="6"/>
        <v>14</v>
      </c>
      <c r="O23" s="3565">
        <f t="shared" si="6"/>
        <v>26</v>
      </c>
      <c r="P23" s="3565">
        <f t="shared" si="6"/>
        <v>32</v>
      </c>
      <c r="Q23" s="3565">
        <f t="shared" si="6"/>
        <v>40</v>
      </c>
      <c r="R23" s="3565">
        <f>SUM(R20:R22)</f>
        <v>40</v>
      </c>
      <c r="S23" s="3565">
        <f>SUM(S20:S22)</f>
        <v>47</v>
      </c>
      <c r="T23" s="3565">
        <f>SUM(T20:T22)</f>
        <v>46</v>
      </c>
      <c r="U23" s="3565">
        <f>SUM(U20:U22)</f>
        <v>46</v>
      </c>
      <c r="V23" s="3565">
        <f>SUM(V20:V22)</f>
        <v>38</v>
      </c>
    </row>
    <row r="24" spans="2:22" ht="14.4" x14ac:dyDescent="0.3">
      <c r="B24" s="3557"/>
      <c r="C24" s="3558"/>
      <c r="D24" s="3558"/>
      <c r="E24" s="3558"/>
      <c r="F24" s="3558"/>
      <c r="G24" s="3558"/>
      <c r="H24" s="3558"/>
      <c r="I24" s="3559"/>
      <c r="J24" s="3558"/>
      <c r="K24" s="3558"/>
      <c r="L24" s="3558"/>
      <c r="M24" s="3558"/>
      <c r="N24" s="3558"/>
      <c r="O24" s="3558"/>
      <c r="P24" s="3558"/>
      <c r="Q24" s="3558"/>
      <c r="R24" s="3558"/>
      <c r="S24" s="3558"/>
      <c r="T24" s="3558"/>
      <c r="U24" s="3558"/>
      <c r="V24" s="3558"/>
    </row>
    <row r="25" spans="2:22" ht="14.4" x14ac:dyDescent="0.3">
      <c r="B25" s="3543" t="s">
        <v>64</v>
      </c>
      <c r="C25" s="3544">
        <v>107</v>
      </c>
      <c r="D25" s="3544">
        <v>150</v>
      </c>
      <c r="E25" s="3544">
        <v>135</v>
      </c>
      <c r="F25" s="3544">
        <v>122</v>
      </c>
      <c r="G25" s="3544">
        <v>121</v>
      </c>
      <c r="H25" s="3544">
        <v>143</v>
      </c>
      <c r="I25" s="3545">
        <f>143</f>
        <v>143</v>
      </c>
      <c r="J25" s="3544">
        <v>155</v>
      </c>
      <c r="K25" s="3544">
        <v>154</v>
      </c>
      <c r="L25" s="3544">
        <v>166</v>
      </c>
      <c r="M25" s="3544">
        <v>165</v>
      </c>
      <c r="N25" s="3544">
        <v>159</v>
      </c>
      <c r="O25" s="3544">
        <v>143</v>
      </c>
      <c r="P25" s="3544">
        <v>111</v>
      </c>
      <c r="Q25" s="3544">
        <v>117</v>
      </c>
      <c r="R25" s="3544">
        <v>122</v>
      </c>
      <c r="S25" s="3544">
        <v>121</v>
      </c>
      <c r="T25" s="3544">
        <v>108</v>
      </c>
      <c r="U25" s="3544">
        <v>89</v>
      </c>
      <c r="V25" s="3544">
        <v>94</v>
      </c>
    </row>
    <row r="26" spans="2:22" ht="14.4" x14ac:dyDescent="0.3">
      <c r="B26" s="3546" t="s">
        <v>92</v>
      </c>
      <c r="C26" s="3547">
        <v>141</v>
      </c>
      <c r="D26" s="3547">
        <v>119</v>
      </c>
      <c r="E26" s="3547">
        <v>167</v>
      </c>
      <c r="F26" s="3547">
        <v>154</v>
      </c>
      <c r="G26" s="3547">
        <v>178</v>
      </c>
      <c r="H26" s="3547">
        <v>190</v>
      </c>
      <c r="I26" s="3548">
        <f>190</f>
        <v>190</v>
      </c>
      <c r="J26" s="3547">
        <v>199</v>
      </c>
      <c r="K26" s="3547">
        <v>185</v>
      </c>
      <c r="L26" s="3547">
        <v>191</v>
      </c>
      <c r="M26" s="3547">
        <v>195</v>
      </c>
      <c r="N26" s="3547">
        <v>191</v>
      </c>
      <c r="O26" s="3547">
        <v>187</v>
      </c>
      <c r="P26" s="3547">
        <v>177</v>
      </c>
      <c r="Q26" s="3547">
        <v>176</v>
      </c>
      <c r="R26" s="3547">
        <v>161</v>
      </c>
      <c r="S26" s="3547">
        <v>167</v>
      </c>
      <c r="T26" s="3547">
        <v>160</v>
      </c>
      <c r="U26" s="3547">
        <v>136</v>
      </c>
      <c r="V26" s="3547">
        <v>133</v>
      </c>
    </row>
    <row r="27" spans="2:22" ht="14.4" x14ac:dyDescent="0.3">
      <c r="B27" s="3549" t="s">
        <v>68</v>
      </c>
      <c r="C27" s="3550">
        <v>16</v>
      </c>
      <c r="D27" s="3550">
        <v>18</v>
      </c>
      <c r="E27" s="3550">
        <v>29</v>
      </c>
      <c r="F27" s="3550">
        <v>24</v>
      </c>
      <c r="G27" s="3550">
        <v>30</v>
      </c>
      <c r="H27" s="3550">
        <v>36</v>
      </c>
      <c r="I27" s="3551">
        <f>36</f>
        <v>36</v>
      </c>
      <c r="J27" s="3550">
        <v>46</v>
      </c>
      <c r="K27" s="3550">
        <v>41</v>
      </c>
      <c r="L27" s="3550">
        <v>30</v>
      </c>
      <c r="M27" s="3550">
        <v>37</v>
      </c>
      <c r="N27" s="3550">
        <v>43</v>
      </c>
      <c r="O27" s="3550">
        <v>41</v>
      </c>
      <c r="P27" s="3550">
        <v>25</v>
      </c>
      <c r="Q27" s="3550">
        <v>17</v>
      </c>
      <c r="R27" s="3550">
        <v>23</v>
      </c>
      <c r="S27" s="3550">
        <v>24</v>
      </c>
      <c r="T27" s="3550">
        <v>25</v>
      </c>
      <c r="U27" s="3550">
        <v>26</v>
      </c>
      <c r="V27" s="3550">
        <v>24</v>
      </c>
    </row>
    <row r="28" spans="2:22" ht="14.4" x14ac:dyDescent="0.3">
      <c r="B28" s="3566" t="s">
        <v>137</v>
      </c>
      <c r="C28" s="3567">
        <f>SUM(C25:C27)</f>
        <v>264</v>
      </c>
      <c r="D28" s="3567">
        <f t="shared" ref="D28:S28" si="7">SUM(D25:D27)</f>
        <v>287</v>
      </c>
      <c r="E28" s="3567">
        <f t="shared" si="7"/>
        <v>331</v>
      </c>
      <c r="F28" s="3567">
        <f t="shared" si="7"/>
        <v>300</v>
      </c>
      <c r="G28" s="3567">
        <f t="shared" si="7"/>
        <v>329</v>
      </c>
      <c r="H28" s="3567">
        <f t="shared" si="7"/>
        <v>369</v>
      </c>
      <c r="I28" s="3567">
        <f t="shared" si="7"/>
        <v>369</v>
      </c>
      <c r="J28" s="3567">
        <f t="shared" si="7"/>
        <v>400</v>
      </c>
      <c r="K28" s="3567">
        <f t="shared" si="7"/>
        <v>380</v>
      </c>
      <c r="L28" s="3567">
        <f t="shared" si="7"/>
        <v>387</v>
      </c>
      <c r="M28" s="3567">
        <f t="shared" si="7"/>
        <v>397</v>
      </c>
      <c r="N28" s="3567">
        <f t="shared" si="7"/>
        <v>393</v>
      </c>
      <c r="O28" s="3567">
        <f t="shared" si="7"/>
        <v>371</v>
      </c>
      <c r="P28" s="3567">
        <f t="shared" si="7"/>
        <v>313</v>
      </c>
      <c r="Q28" s="3567">
        <f t="shared" si="7"/>
        <v>310</v>
      </c>
      <c r="R28" s="3567">
        <f t="shared" si="7"/>
        <v>306</v>
      </c>
      <c r="S28" s="3567">
        <f t="shared" si="7"/>
        <v>312</v>
      </c>
      <c r="T28" s="3567">
        <f>SUM(T25:T27)</f>
        <v>293</v>
      </c>
      <c r="U28" s="3567">
        <f>SUM(U25:U27)</f>
        <v>251</v>
      </c>
      <c r="V28" s="3567">
        <f>SUM(V25:V27)</f>
        <v>251</v>
      </c>
    </row>
    <row r="29" spans="2:22" ht="14.4" x14ac:dyDescent="0.3">
      <c r="B29" s="3557"/>
      <c r="C29" s="3558"/>
      <c r="D29" s="3558"/>
      <c r="E29" s="3558"/>
      <c r="F29" s="3558"/>
      <c r="G29" s="3558"/>
      <c r="H29" s="3558"/>
      <c r="I29" s="3559"/>
      <c r="J29" s="3558"/>
      <c r="K29" s="3558"/>
      <c r="L29" s="3558"/>
      <c r="M29" s="3558"/>
      <c r="N29" s="3558"/>
      <c r="O29" s="3558"/>
      <c r="P29" s="3558"/>
      <c r="Q29" s="3558"/>
      <c r="R29" s="3558"/>
      <c r="S29" s="3558"/>
      <c r="T29" s="3558"/>
      <c r="U29" s="3558"/>
      <c r="V29" s="3558"/>
    </row>
    <row r="30" spans="2:22" ht="14.4" x14ac:dyDescent="0.3">
      <c r="B30" s="3543" t="s">
        <v>59</v>
      </c>
      <c r="C30" s="3544">
        <f>SUM(C5,C15,C20)</f>
        <v>271</v>
      </c>
      <c r="D30" s="3544">
        <f t="shared" ref="D30:S30" si="8">SUM(D5,D15,D20)</f>
        <v>285</v>
      </c>
      <c r="E30" s="3544">
        <f t="shared" si="8"/>
        <v>325</v>
      </c>
      <c r="F30" s="3544">
        <f t="shared" si="8"/>
        <v>306</v>
      </c>
      <c r="G30" s="3544">
        <f t="shared" si="8"/>
        <v>331</v>
      </c>
      <c r="H30" s="3544">
        <f t="shared" si="8"/>
        <v>360</v>
      </c>
      <c r="I30" s="3545">
        <f t="shared" si="8"/>
        <v>334</v>
      </c>
      <c r="J30" s="3544">
        <f t="shared" si="8"/>
        <v>341</v>
      </c>
      <c r="K30" s="3544">
        <f t="shared" si="8"/>
        <v>326</v>
      </c>
      <c r="L30" s="3544">
        <f t="shared" si="8"/>
        <v>361</v>
      </c>
      <c r="M30" s="3544">
        <f t="shared" si="8"/>
        <v>390</v>
      </c>
      <c r="N30" s="3544">
        <f t="shared" si="8"/>
        <v>375</v>
      </c>
      <c r="O30" s="3544">
        <f t="shared" si="8"/>
        <v>308</v>
      </c>
      <c r="P30" s="3544">
        <f t="shared" si="8"/>
        <v>304</v>
      </c>
      <c r="Q30" s="3544">
        <f t="shared" si="8"/>
        <v>341</v>
      </c>
      <c r="R30" s="3544">
        <f t="shared" si="8"/>
        <v>316</v>
      </c>
      <c r="S30" s="3544">
        <f t="shared" si="8"/>
        <v>325</v>
      </c>
      <c r="T30" s="3544">
        <f>SUM(T5,T15,T20)</f>
        <v>338</v>
      </c>
      <c r="U30" s="3544">
        <f>SUM(U5,U15,U20)</f>
        <v>307</v>
      </c>
      <c r="V30" s="3544">
        <f>SUM(V5,V15,V20)</f>
        <v>313</v>
      </c>
    </row>
    <row r="31" spans="2:22" ht="14.4" x14ac:dyDescent="0.3">
      <c r="B31" s="3546" t="s">
        <v>64</v>
      </c>
      <c r="C31" s="3547">
        <f>SUM(C6,C10,C16,C21,C25)</f>
        <v>372</v>
      </c>
      <c r="D31" s="3547">
        <f t="shared" ref="D31:S31" si="9">SUM(D6,D10,D16,D21,D25)</f>
        <v>405</v>
      </c>
      <c r="E31" s="3547">
        <f t="shared" si="9"/>
        <v>481</v>
      </c>
      <c r="F31" s="3547">
        <f t="shared" si="9"/>
        <v>474</v>
      </c>
      <c r="G31" s="3547">
        <f t="shared" si="9"/>
        <v>489</v>
      </c>
      <c r="H31" s="3547">
        <f t="shared" si="9"/>
        <v>541</v>
      </c>
      <c r="I31" s="3548">
        <f t="shared" si="9"/>
        <v>509</v>
      </c>
      <c r="J31" s="3547">
        <f t="shared" si="9"/>
        <v>542</v>
      </c>
      <c r="K31" s="3547">
        <f t="shared" si="9"/>
        <v>520</v>
      </c>
      <c r="L31" s="3547">
        <f t="shared" si="9"/>
        <v>499</v>
      </c>
      <c r="M31" s="3547">
        <f t="shared" si="9"/>
        <v>516</v>
      </c>
      <c r="N31" s="3547">
        <f t="shared" si="9"/>
        <v>519</v>
      </c>
      <c r="O31" s="3547">
        <f t="shared" si="9"/>
        <v>456</v>
      </c>
      <c r="P31" s="3547">
        <f t="shared" si="9"/>
        <v>416</v>
      </c>
      <c r="Q31" s="3547">
        <f t="shared" si="9"/>
        <v>437</v>
      </c>
      <c r="R31" s="3547">
        <f t="shared" si="9"/>
        <v>444</v>
      </c>
      <c r="S31" s="3547">
        <f t="shared" si="9"/>
        <v>401</v>
      </c>
      <c r="T31" s="3547">
        <f>SUM(T6,T10,T16,T21,T25)</f>
        <v>400</v>
      </c>
      <c r="U31" s="3547">
        <f>SUM(U6,U10,U16,U21,U25)</f>
        <v>350</v>
      </c>
      <c r="V31" s="3547">
        <f>SUM(V6,V10,V16,V21,V25)</f>
        <v>358</v>
      </c>
    </row>
    <row r="32" spans="2:22" ht="14.4" x14ac:dyDescent="0.3">
      <c r="B32" s="3546" t="s">
        <v>92</v>
      </c>
      <c r="C32" s="3547">
        <f>SUM(C17,C22,C26)</f>
        <v>281</v>
      </c>
      <c r="D32" s="3547">
        <f t="shared" ref="D32:S32" si="10">SUM(D17,D22,D26)</f>
        <v>300</v>
      </c>
      <c r="E32" s="3547">
        <f t="shared" si="10"/>
        <v>313</v>
      </c>
      <c r="F32" s="3547">
        <f t="shared" si="10"/>
        <v>293</v>
      </c>
      <c r="G32" s="3547">
        <f t="shared" si="10"/>
        <v>325</v>
      </c>
      <c r="H32" s="3547">
        <f t="shared" si="10"/>
        <v>342</v>
      </c>
      <c r="I32" s="3548">
        <f t="shared" si="10"/>
        <v>342</v>
      </c>
      <c r="J32" s="3547">
        <f t="shared" si="10"/>
        <v>343</v>
      </c>
      <c r="K32" s="3547">
        <f t="shared" si="10"/>
        <v>328</v>
      </c>
      <c r="L32" s="3547">
        <f t="shared" si="10"/>
        <v>324</v>
      </c>
      <c r="M32" s="3547">
        <f t="shared" si="10"/>
        <v>335</v>
      </c>
      <c r="N32" s="3547">
        <f t="shared" si="10"/>
        <v>335</v>
      </c>
      <c r="O32" s="3547">
        <f t="shared" si="10"/>
        <v>322</v>
      </c>
      <c r="P32" s="3547">
        <f t="shared" si="10"/>
        <v>315</v>
      </c>
      <c r="Q32" s="3547">
        <f t="shared" si="10"/>
        <v>327</v>
      </c>
      <c r="R32" s="3547">
        <f t="shared" si="10"/>
        <v>290</v>
      </c>
      <c r="S32" s="3547">
        <f t="shared" si="10"/>
        <v>311</v>
      </c>
      <c r="T32" s="3547">
        <f>SUM(T17,T22,T26)</f>
        <v>295</v>
      </c>
      <c r="U32" s="3547">
        <f>SUM(U17,U22,U26)</f>
        <v>259</v>
      </c>
      <c r="V32" s="3547">
        <f>SUM(V17,V22,V26)</f>
        <v>263</v>
      </c>
    </row>
    <row r="33" spans="1:22" ht="14.4" x14ac:dyDescent="0.3">
      <c r="B33" s="3546" t="s">
        <v>68</v>
      </c>
      <c r="C33" s="3547">
        <f>SUM(C7,C27)</f>
        <v>60</v>
      </c>
      <c r="D33" s="3547">
        <f t="shared" ref="D33:S33" si="11">SUM(D7,D27)</f>
        <v>71</v>
      </c>
      <c r="E33" s="3547">
        <f t="shared" si="11"/>
        <v>98</v>
      </c>
      <c r="F33" s="3547">
        <f t="shared" si="11"/>
        <v>94</v>
      </c>
      <c r="G33" s="3547">
        <f t="shared" si="11"/>
        <v>97</v>
      </c>
      <c r="H33" s="3547">
        <f t="shared" si="11"/>
        <v>115</v>
      </c>
      <c r="I33" s="3548">
        <f t="shared" si="11"/>
        <v>97</v>
      </c>
      <c r="J33" s="3547">
        <f t="shared" si="11"/>
        <v>136</v>
      </c>
      <c r="K33" s="3547">
        <f t="shared" si="11"/>
        <v>133</v>
      </c>
      <c r="L33" s="3547">
        <f t="shared" si="11"/>
        <v>133</v>
      </c>
      <c r="M33" s="3547">
        <f t="shared" si="11"/>
        <v>144</v>
      </c>
      <c r="N33" s="3547">
        <f t="shared" si="11"/>
        <v>151</v>
      </c>
      <c r="O33" s="3547">
        <f t="shared" si="11"/>
        <v>144</v>
      </c>
      <c r="P33" s="3547">
        <f t="shared" si="11"/>
        <v>131</v>
      </c>
      <c r="Q33" s="3547">
        <f t="shared" si="11"/>
        <v>134</v>
      </c>
      <c r="R33" s="3547">
        <f t="shared" si="11"/>
        <v>129</v>
      </c>
      <c r="S33" s="3547">
        <f t="shared" si="11"/>
        <v>110</v>
      </c>
      <c r="T33" s="3547">
        <f>SUM(T7,T27)</f>
        <v>116</v>
      </c>
      <c r="U33" s="3547">
        <f>SUM(U7,U27)</f>
        <v>110</v>
      </c>
      <c r="V33" s="3547">
        <f>SUM(V7,V27)</f>
        <v>106</v>
      </c>
    </row>
    <row r="34" spans="1:22" ht="14.4" x14ac:dyDescent="0.3">
      <c r="B34" s="3546" t="s">
        <v>111</v>
      </c>
      <c r="C34" s="3547">
        <f>SUM(C11)</f>
        <v>0</v>
      </c>
      <c r="D34" s="3547">
        <f t="shared" ref="D34:T35" si="12">SUM(D11)</f>
        <v>4</v>
      </c>
      <c r="E34" s="3547">
        <f t="shared" si="12"/>
        <v>2</v>
      </c>
      <c r="F34" s="3547">
        <f t="shared" si="12"/>
        <v>7</v>
      </c>
      <c r="G34" s="3547">
        <f t="shared" si="12"/>
        <v>12</v>
      </c>
      <c r="H34" s="3547">
        <f t="shared" si="12"/>
        <v>15</v>
      </c>
      <c r="I34" s="3548">
        <f t="shared" si="12"/>
        <v>15</v>
      </c>
      <c r="J34" s="3547">
        <f t="shared" si="12"/>
        <v>24</v>
      </c>
      <c r="K34" s="3547">
        <f t="shared" si="12"/>
        <v>28</v>
      </c>
      <c r="L34" s="3547">
        <f t="shared" si="12"/>
        <v>34</v>
      </c>
      <c r="M34" s="3547">
        <f t="shared" si="12"/>
        <v>32</v>
      </c>
      <c r="N34" s="3547">
        <f t="shared" si="12"/>
        <v>26</v>
      </c>
      <c r="O34" s="3547">
        <f t="shared" si="12"/>
        <v>34</v>
      </c>
      <c r="P34" s="3547">
        <f t="shared" si="12"/>
        <v>29</v>
      </c>
      <c r="Q34" s="3547">
        <f t="shared" si="12"/>
        <v>27</v>
      </c>
      <c r="R34" s="3547">
        <f t="shared" si="12"/>
        <v>24</v>
      </c>
      <c r="S34" s="3547">
        <f t="shared" si="12"/>
        <v>20</v>
      </c>
      <c r="T34" s="3547">
        <f t="shared" si="12"/>
        <v>20</v>
      </c>
      <c r="U34" s="3547">
        <f t="shared" ref="U34:V34" si="13">SUM(U11)</f>
        <v>12</v>
      </c>
      <c r="V34" s="3547">
        <f t="shared" si="13"/>
        <v>13</v>
      </c>
    </row>
    <row r="35" spans="1:22" ht="14.4" x14ac:dyDescent="0.3">
      <c r="B35" s="3549" t="s">
        <v>115</v>
      </c>
      <c r="C35" s="3550">
        <f>SUM(C12)</f>
        <v>0</v>
      </c>
      <c r="D35" s="3550">
        <f t="shared" si="12"/>
        <v>1</v>
      </c>
      <c r="E35" s="3550">
        <f t="shared" si="12"/>
        <v>14</v>
      </c>
      <c r="F35" s="3550">
        <f t="shared" si="12"/>
        <v>16</v>
      </c>
      <c r="G35" s="3550">
        <f t="shared" si="12"/>
        <v>21</v>
      </c>
      <c r="H35" s="3550">
        <f t="shared" si="12"/>
        <v>23</v>
      </c>
      <c r="I35" s="3551">
        <f t="shared" si="12"/>
        <v>23</v>
      </c>
      <c r="J35" s="3550">
        <f t="shared" si="12"/>
        <v>30</v>
      </c>
      <c r="K35" s="3550">
        <f t="shared" si="12"/>
        <v>39</v>
      </c>
      <c r="L35" s="3550">
        <f t="shared" si="12"/>
        <v>44</v>
      </c>
      <c r="M35" s="3550">
        <f t="shared" si="12"/>
        <v>47</v>
      </c>
      <c r="N35" s="3550">
        <f t="shared" si="12"/>
        <v>47</v>
      </c>
      <c r="O35" s="3550">
        <f t="shared" si="12"/>
        <v>46</v>
      </c>
      <c r="P35" s="3550">
        <f t="shared" si="12"/>
        <v>47</v>
      </c>
      <c r="Q35" s="3550">
        <f t="shared" si="12"/>
        <v>48</v>
      </c>
      <c r="R35" s="3550">
        <f t="shared" si="12"/>
        <v>44</v>
      </c>
      <c r="S35" s="3550">
        <f t="shared" si="12"/>
        <v>51</v>
      </c>
      <c r="T35" s="3550">
        <f t="shared" si="12"/>
        <v>52</v>
      </c>
      <c r="U35" s="3550">
        <f t="shared" ref="U35:V35" si="14">SUM(U12)</f>
        <v>48</v>
      </c>
      <c r="V35" s="3550">
        <f t="shared" si="14"/>
        <v>42</v>
      </c>
    </row>
    <row r="36" spans="1:22" ht="14.4" x14ac:dyDescent="0.3">
      <c r="B36" s="3568" t="s">
        <v>431</v>
      </c>
      <c r="C36" s="3569">
        <f>SUM(C30:C35)</f>
        <v>984</v>
      </c>
      <c r="D36" s="3569">
        <f t="shared" ref="D36:S36" si="15">SUM(D30:D35)</f>
        <v>1066</v>
      </c>
      <c r="E36" s="3569">
        <f t="shared" si="15"/>
        <v>1233</v>
      </c>
      <c r="F36" s="3569">
        <f t="shared" si="15"/>
        <v>1190</v>
      </c>
      <c r="G36" s="3569">
        <f t="shared" si="15"/>
        <v>1275</v>
      </c>
      <c r="H36" s="3569">
        <f t="shared" si="15"/>
        <v>1396</v>
      </c>
      <c r="I36" s="3569">
        <f t="shared" si="15"/>
        <v>1320</v>
      </c>
      <c r="J36" s="3569">
        <f t="shared" si="15"/>
        <v>1416</v>
      </c>
      <c r="K36" s="3569">
        <f t="shared" si="15"/>
        <v>1374</v>
      </c>
      <c r="L36" s="3569">
        <f t="shared" si="15"/>
        <v>1395</v>
      </c>
      <c r="M36" s="3569">
        <f t="shared" si="15"/>
        <v>1464</v>
      </c>
      <c r="N36" s="3569">
        <f t="shared" si="15"/>
        <v>1453</v>
      </c>
      <c r="O36" s="3569">
        <f t="shared" si="15"/>
        <v>1310</v>
      </c>
      <c r="P36" s="3569">
        <f t="shared" si="15"/>
        <v>1242</v>
      </c>
      <c r="Q36" s="3569">
        <f t="shared" si="15"/>
        <v>1314</v>
      </c>
      <c r="R36" s="3569">
        <f t="shared" si="15"/>
        <v>1247</v>
      </c>
      <c r="S36" s="3569">
        <f t="shared" si="15"/>
        <v>1218</v>
      </c>
      <c r="T36" s="3569">
        <f>SUM(T30:T35)</f>
        <v>1221</v>
      </c>
      <c r="U36" s="3569">
        <f>SUM(U30:U35)</f>
        <v>1086</v>
      </c>
      <c r="V36" s="3569">
        <f>SUM(V30:V35)</f>
        <v>1095</v>
      </c>
    </row>
    <row r="37" spans="1:22" x14ac:dyDescent="0.25">
      <c r="B37" s="3570" t="s">
        <v>894</v>
      </c>
      <c r="C37" s="3571"/>
      <c r="D37" s="3572"/>
      <c r="E37" s="3572"/>
      <c r="F37" s="3572"/>
      <c r="G37" s="3573"/>
      <c r="H37" s="3574"/>
      <c r="I37" s="3574"/>
      <c r="J37" s="3574"/>
    </row>
    <row r="38" spans="1:22" ht="12.75" customHeight="1" x14ac:dyDescent="0.25">
      <c r="B38" s="3574"/>
      <c r="C38" s="3574"/>
      <c r="D38" s="3574"/>
      <c r="E38" s="3574"/>
      <c r="F38" s="3574"/>
      <c r="G38" s="3574"/>
      <c r="H38" s="3574"/>
      <c r="I38" s="3575" t="s">
        <v>895</v>
      </c>
      <c r="J38" s="3575"/>
      <c r="M38" s="3576"/>
    </row>
    <row r="39" spans="1:22" x14ac:dyDescent="0.25">
      <c r="A39" s="3577"/>
      <c r="B39" s="6169" t="s">
        <v>1540</v>
      </c>
      <c r="C39" s="6169"/>
      <c r="D39" s="6169"/>
      <c r="E39" s="6169"/>
      <c r="F39" s="6169"/>
      <c r="G39" s="6169"/>
      <c r="H39" s="6169"/>
      <c r="I39" s="6169"/>
      <c r="J39" s="6169"/>
      <c r="K39" s="6169"/>
      <c r="L39" s="6169"/>
      <c r="M39" s="6169"/>
      <c r="N39" s="6169"/>
      <c r="O39" s="6169"/>
      <c r="P39" s="6169"/>
      <c r="Q39" s="6169"/>
      <c r="R39" s="6169"/>
      <c r="S39" s="6169"/>
      <c r="T39" s="6169"/>
      <c r="U39" s="6169"/>
      <c r="V39" s="6169"/>
    </row>
    <row r="40" spans="1:22" x14ac:dyDescent="0.25">
      <c r="B40" s="6169"/>
      <c r="C40" s="6169"/>
      <c r="D40" s="6169"/>
      <c r="E40" s="6169"/>
      <c r="F40" s="6169"/>
      <c r="G40" s="6169"/>
      <c r="H40" s="6169"/>
      <c r="I40" s="6169"/>
      <c r="J40" s="6169"/>
      <c r="K40" s="6169"/>
      <c r="L40" s="6169"/>
      <c r="M40" s="6169"/>
      <c r="N40" s="6169"/>
      <c r="O40" s="6169"/>
      <c r="P40" s="6169"/>
      <c r="Q40" s="6169"/>
      <c r="R40" s="6169"/>
      <c r="S40" s="6169"/>
      <c r="T40" s="6169"/>
      <c r="U40" s="6169"/>
      <c r="V40" s="6169"/>
    </row>
    <row r="71" spans="4:4" hidden="1" x14ac:dyDescent="0.25"/>
    <row r="72" spans="4:4" hidden="1" x14ac:dyDescent="0.25"/>
    <row r="73" spans="4:4" hidden="1" x14ac:dyDescent="0.25"/>
    <row r="74" spans="4:4" hidden="1" x14ac:dyDescent="0.25">
      <c r="D74" s="3574" t="s">
        <v>138</v>
      </c>
    </row>
    <row r="75" spans="4:4" hidden="1" x14ac:dyDescent="0.25">
      <c r="D75" s="3574" t="s">
        <v>134</v>
      </c>
    </row>
    <row r="76" spans="4:4" hidden="1" x14ac:dyDescent="0.25">
      <c r="D76" s="3574" t="s">
        <v>135</v>
      </c>
    </row>
    <row r="77" spans="4:4" hidden="1" x14ac:dyDescent="0.25">
      <c r="D77" s="3574" t="s">
        <v>136</v>
      </c>
    </row>
    <row r="78" spans="4:4" hidden="1" x14ac:dyDescent="0.25">
      <c r="D78" s="3574" t="s">
        <v>137</v>
      </c>
    </row>
    <row r="79" spans="4:4" hidden="1" x14ac:dyDescent="0.25"/>
    <row r="80" spans="4:4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</sheetData>
  <mergeCells count="2">
    <mergeCell ref="B2:N2"/>
    <mergeCell ref="B39:V40"/>
  </mergeCells>
  <printOptions horizontalCentered="1" verticalCentered="1"/>
  <pageMargins left="0.70866141732283472" right="0.70866141732283472" top="0.35433070866141736" bottom="0.35433070866141736" header="0.31496062992125984" footer="0.31496062992125984"/>
  <pageSetup scale="60" firstPageNumber="159" orientation="landscape" useFirstPageNumber="1" r:id="rId1"/>
  <headerFooter scaleWithDoc="0" alignWithMargins="0">
    <oddFooter>&amp;R&amp;P</oddFooter>
  </headerFooter>
  <rowBreaks count="1" manualBreakCount="1">
    <brk id="38" min="9" max="21" man="1"/>
  </rowBreaks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8200"/>
  </sheetPr>
  <dimension ref="B1:DM76"/>
  <sheetViews>
    <sheetView showGridLines="0" zoomScaleNormal="100" zoomScaleSheetLayoutView="50" workbookViewId="0">
      <pane xSplit="2" ySplit="6" topLeftCell="CO7" activePane="bottomRight" state="frozen"/>
      <selection activeCell="Q31" sqref="Q31"/>
      <selection pane="topRight" activeCell="Q31" sqref="Q31"/>
      <selection pane="bottomLeft" activeCell="Q31" sqref="Q31"/>
      <selection pane="bottomRight" activeCell="Q31" sqref="Q31"/>
    </sheetView>
  </sheetViews>
  <sheetFormatPr baseColWidth="10" defaultColWidth="11.44140625" defaultRowHeight="13.2" x14ac:dyDescent="0.25"/>
  <cols>
    <col min="1" max="1" width="2.88671875" style="3580" customWidth="1"/>
    <col min="2" max="2" width="18" style="3578" customWidth="1"/>
    <col min="3" max="17" width="6.109375" style="3578" customWidth="1"/>
    <col min="18" max="36" width="6.109375" style="3580" customWidth="1"/>
    <col min="37" max="37" width="6.109375" style="3584" customWidth="1"/>
    <col min="38" max="41" width="6.109375" style="3580" customWidth="1"/>
    <col min="42" max="42" width="6.109375" style="3584" customWidth="1"/>
    <col min="43" max="71" width="6.109375" style="3580" customWidth="1"/>
    <col min="72" max="72" width="7.88671875" style="3580" bestFit="1" customWidth="1"/>
    <col min="73" max="76" width="6.109375" style="3580" customWidth="1"/>
    <col min="77" max="77" width="7.88671875" style="3580" bestFit="1" customWidth="1"/>
    <col min="78" max="81" width="6.109375" style="3580" customWidth="1"/>
    <col min="82" max="82" width="8.88671875" style="3580" customWidth="1"/>
    <col min="83" max="86" width="6.109375" style="3580" customWidth="1"/>
    <col min="87" max="87" width="8.88671875" style="3580" customWidth="1"/>
    <col min="88" max="91" width="6.109375" style="3580" customWidth="1"/>
    <col min="92" max="92" width="8.88671875" style="3580" customWidth="1"/>
    <col min="93" max="96" width="6.109375" style="3580" customWidth="1"/>
    <col min="97" max="97" width="8.88671875" style="3580" customWidth="1"/>
    <col min="98" max="101" width="6.109375" style="3580" customWidth="1"/>
    <col min="102" max="102" width="8.88671875" style="3580" customWidth="1"/>
    <col min="103" max="106" width="6" style="3580" customWidth="1"/>
    <col min="107" max="107" width="8.88671875" style="3580" customWidth="1"/>
    <col min="108" max="126" width="6" style="3580" customWidth="1"/>
    <col min="127" max="16384" width="11.44140625" style="3580"/>
  </cols>
  <sheetData>
    <row r="1" spans="2:117" ht="31.2" x14ac:dyDescent="0.25">
      <c r="B1" s="4399" t="s">
        <v>896</v>
      </c>
      <c r="D1" s="3579"/>
      <c r="E1" s="3579"/>
      <c r="F1" s="3579"/>
      <c r="G1" s="3579"/>
      <c r="H1" s="3579"/>
      <c r="I1" s="3579"/>
      <c r="J1" s="3579"/>
      <c r="K1" s="3579"/>
      <c r="L1" s="3579"/>
      <c r="M1" s="3579"/>
      <c r="N1" s="3579"/>
      <c r="O1" s="3579"/>
      <c r="P1" s="3579"/>
      <c r="Q1" s="3579"/>
      <c r="R1" s="3579"/>
      <c r="S1" s="3579"/>
      <c r="T1" s="3579"/>
      <c r="U1" s="3579"/>
      <c r="V1" s="3579"/>
      <c r="W1" s="3579"/>
      <c r="X1" s="3579"/>
      <c r="Y1" s="3579"/>
      <c r="Z1" s="3579"/>
      <c r="AA1" s="3579"/>
      <c r="AB1" s="3579"/>
      <c r="AC1" s="3579"/>
      <c r="AD1" s="3579"/>
      <c r="AE1" s="3579"/>
      <c r="AF1" s="3579"/>
      <c r="AG1" s="3579"/>
      <c r="AH1" s="3579"/>
      <c r="AI1" s="3579"/>
      <c r="AJ1" s="3579"/>
      <c r="AK1" s="3579"/>
      <c r="AL1" s="3579"/>
      <c r="AM1" s="3579"/>
      <c r="AN1" s="3579"/>
      <c r="AO1" s="3579"/>
      <c r="AP1" s="3579"/>
      <c r="AQ1" s="3579"/>
      <c r="AR1" s="3579"/>
      <c r="AS1" s="3579"/>
      <c r="AT1" s="3579"/>
      <c r="AU1" s="3579"/>
      <c r="AV1" s="3579"/>
      <c r="AW1" s="3579"/>
      <c r="AX1" s="3579"/>
      <c r="AY1" s="3579"/>
      <c r="AZ1" s="3579"/>
      <c r="BA1" s="3579"/>
      <c r="BB1" s="3579"/>
      <c r="BC1" s="3579"/>
      <c r="BD1" s="3579"/>
      <c r="BE1" s="3579"/>
    </row>
    <row r="2" spans="2:117" ht="13.8" x14ac:dyDescent="0.25">
      <c r="B2" s="3581"/>
      <c r="C2" s="3581"/>
      <c r="D2" s="3581"/>
      <c r="E2" s="3581"/>
      <c r="F2" s="3581"/>
      <c r="G2" s="3581"/>
      <c r="H2" s="3581"/>
      <c r="I2" s="3581"/>
      <c r="J2" s="3581"/>
      <c r="K2" s="3581"/>
      <c r="L2" s="3581"/>
      <c r="M2" s="3581"/>
      <c r="N2" s="3581"/>
      <c r="O2" s="3581"/>
      <c r="P2" s="3581"/>
      <c r="Q2" s="3581"/>
      <c r="R2" s="3581"/>
      <c r="S2" s="3581"/>
      <c r="T2" s="3581"/>
      <c r="U2" s="3581"/>
      <c r="V2" s="3581"/>
      <c r="W2" s="3581"/>
      <c r="X2" s="3581"/>
      <c r="Y2" s="3581"/>
      <c r="Z2" s="3581"/>
      <c r="AA2" s="3581"/>
      <c r="AB2" s="3581"/>
      <c r="AC2" s="3581"/>
      <c r="AD2" s="3581"/>
      <c r="AE2" s="3581"/>
      <c r="AF2" s="3581"/>
      <c r="AG2" s="3582"/>
      <c r="AH2" s="3582"/>
      <c r="AI2" s="3582"/>
      <c r="AJ2" s="3582"/>
      <c r="AK2" s="3583"/>
      <c r="AU2" s="3585"/>
    </row>
    <row r="3" spans="2:117" ht="15" customHeight="1" x14ac:dyDescent="0.25">
      <c r="B3" s="6177" t="s">
        <v>823</v>
      </c>
      <c r="C3" s="6180">
        <v>2000</v>
      </c>
      <c r="D3" s="6170"/>
      <c r="E3" s="6170"/>
      <c r="F3" s="6170"/>
      <c r="G3" s="6170"/>
      <c r="H3" s="6180">
        <v>2001</v>
      </c>
      <c r="I3" s="6170"/>
      <c r="J3" s="6170"/>
      <c r="K3" s="6170"/>
      <c r="L3" s="6170"/>
      <c r="M3" s="6180">
        <v>2002</v>
      </c>
      <c r="N3" s="6170"/>
      <c r="O3" s="6170"/>
      <c r="P3" s="6170"/>
      <c r="Q3" s="6170"/>
      <c r="R3" s="6180">
        <v>2003</v>
      </c>
      <c r="S3" s="6170"/>
      <c r="T3" s="6170"/>
      <c r="U3" s="6170"/>
      <c r="V3" s="6170"/>
      <c r="W3" s="6170">
        <v>2004</v>
      </c>
      <c r="X3" s="6170"/>
      <c r="Y3" s="6170"/>
      <c r="Z3" s="6170"/>
      <c r="AA3" s="6170"/>
      <c r="AB3" s="6170">
        <v>2005</v>
      </c>
      <c r="AC3" s="6170"/>
      <c r="AD3" s="6170"/>
      <c r="AE3" s="6170"/>
      <c r="AF3" s="6170"/>
      <c r="AG3" s="6170">
        <v>2006</v>
      </c>
      <c r="AH3" s="6170"/>
      <c r="AI3" s="6170"/>
      <c r="AJ3" s="6170"/>
      <c r="AK3" s="6170"/>
      <c r="AL3" s="6170">
        <v>2007</v>
      </c>
      <c r="AM3" s="6170"/>
      <c r="AN3" s="6170"/>
      <c r="AO3" s="6170"/>
      <c r="AP3" s="6170"/>
      <c r="AQ3" s="6170">
        <v>2008</v>
      </c>
      <c r="AR3" s="6170"/>
      <c r="AS3" s="6170"/>
      <c r="AT3" s="6170"/>
      <c r="AU3" s="6170"/>
      <c r="AV3" s="6170">
        <v>2009</v>
      </c>
      <c r="AW3" s="6170"/>
      <c r="AX3" s="6170"/>
      <c r="AY3" s="6170"/>
      <c r="AZ3" s="6170"/>
      <c r="BA3" s="6170">
        <v>2010</v>
      </c>
      <c r="BB3" s="6170"/>
      <c r="BC3" s="6170"/>
      <c r="BD3" s="6170"/>
      <c r="BE3" s="6170"/>
      <c r="BF3" s="6170">
        <v>2011</v>
      </c>
      <c r="BG3" s="6170"/>
      <c r="BH3" s="6170"/>
      <c r="BI3" s="6170"/>
      <c r="BJ3" s="6170"/>
      <c r="BK3" s="6170">
        <v>2012</v>
      </c>
      <c r="BL3" s="6170"/>
      <c r="BM3" s="6170"/>
      <c r="BN3" s="6170"/>
      <c r="BO3" s="6170"/>
      <c r="BP3" s="6170">
        <v>2013</v>
      </c>
      <c r="BQ3" s="6170"/>
      <c r="BR3" s="6170"/>
      <c r="BS3" s="6170"/>
      <c r="BT3" s="6170"/>
      <c r="BU3" s="6170">
        <v>2014</v>
      </c>
      <c r="BV3" s="6170"/>
      <c r="BW3" s="6170"/>
      <c r="BX3" s="6170"/>
      <c r="BY3" s="6170"/>
      <c r="BZ3" s="6170">
        <v>2015</v>
      </c>
      <c r="CA3" s="6170"/>
      <c r="CB3" s="6170"/>
      <c r="CC3" s="6170"/>
      <c r="CD3" s="6170"/>
      <c r="CE3" s="6170">
        <v>2016</v>
      </c>
      <c r="CF3" s="6170"/>
      <c r="CG3" s="6170"/>
      <c r="CH3" s="6170"/>
      <c r="CI3" s="6170"/>
      <c r="CJ3" s="6170">
        <v>2017</v>
      </c>
      <c r="CK3" s="6170"/>
      <c r="CL3" s="6170"/>
      <c r="CM3" s="6170"/>
      <c r="CN3" s="6170"/>
      <c r="CO3" s="6170">
        <v>2018</v>
      </c>
      <c r="CP3" s="6170"/>
      <c r="CQ3" s="6170"/>
      <c r="CR3" s="6170"/>
      <c r="CS3" s="6170"/>
      <c r="CT3" s="6170">
        <v>2019</v>
      </c>
      <c r="CU3" s="6170"/>
      <c r="CV3" s="6170"/>
      <c r="CW3" s="6170"/>
      <c r="CX3" s="6170"/>
      <c r="CY3" s="6170">
        <v>2020</v>
      </c>
      <c r="CZ3" s="6170"/>
      <c r="DA3" s="6170"/>
      <c r="DB3" s="6170"/>
      <c r="DC3" s="6170"/>
      <c r="DD3" s="6170">
        <v>2021</v>
      </c>
      <c r="DE3" s="6170"/>
      <c r="DF3" s="6170"/>
      <c r="DG3" s="6170"/>
      <c r="DH3" s="6170"/>
      <c r="DI3" s="6170">
        <v>2022</v>
      </c>
      <c r="DJ3" s="6170"/>
      <c r="DK3" s="6170"/>
      <c r="DL3" s="6170"/>
      <c r="DM3" s="6170"/>
    </row>
    <row r="4" spans="2:117" ht="15" customHeight="1" x14ac:dyDescent="0.25">
      <c r="B4" s="6178"/>
      <c r="C4" s="6171" t="s">
        <v>597</v>
      </c>
      <c r="D4" s="6172"/>
      <c r="E4" s="6172"/>
      <c r="F4" s="6172"/>
      <c r="G4" s="6173" t="s">
        <v>48</v>
      </c>
      <c r="H4" s="6171" t="s">
        <v>597</v>
      </c>
      <c r="I4" s="6172"/>
      <c r="J4" s="6172"/>
      <c r="K4" s="6172"/>
      <c r="L4" s="6173" t="s">
        <v>48</v>
      </c>
      <c r="M4" s="6171" t="s">
        <v>597</v>
      </c>
      <c r="N4" s="6172"/>
      <c r="O4" s="6172"/>
      <c r="P4" s="6172"/>
      <c r="Q4" s="6173" t="s">
        <v>48</v>
      </c>
      <c r="R4" s="6171" t="s">
        <v>597</v>
      </c>
      <c r="S4" s="6172"/>
      <c r="T4" s="6172"/>
      <c r="U4" s="6172"/>
      <c r="V4" s="6173" t="s">
        <v>48</v>
      </c>
      <c r="W4" s="6171" t="s">
        <v>597</v>
      </c>
      <c r="X4" s="6172"/>
      <c r="Y4" s="6172"/>
      <c r="Z4" s="6172"/>
      <c r="AA4" s="6173" t="s">
        <v>48</v>
      </c>
      <c r="AB4" s="6171" t="s">
        <v>597</v>
      </c>
      <c r="AC4" s="6172"/>
      <c r="AD4" s="6172"/>
      <c r="AE4" s="6172"/>
      <c r="AF4" s="6173" t="s">
        <v>48</v>
      </c>
      <c r="AG4" s="6171" t="s">
        <v>597</v>
      </c>
      <c r="AH4" s="6172"/>
      <c r="AI4" s="6172"/>
      <c r="AJ4" s="6172"/>
      <c r="AK4" s="6173" t="s">
        <v>48</v>
      </c>
      <c r="AL4" s="6171" t="s">
        <v>597</v>
      </c>
      <c r="AM4" s="6172"/>
      <c r="AN4" s="6172"/>
      <c r="AO4" s="6172"/>
      <c r="AP4" s="6173" t="s">
        <v>48</v>
      </c>
      <c r="AQ4" s="6171" t="s">
        <v>597</v>
      </c>
      <c r="AR4" s="6172"/>
      <c r="AS4" s="6172"/>
      <c r="AT4" s="6172"/>
      <c r="AU4" s="6173" t="s">
        <v>48</v>
      </c>
      <c r="AV4" s="6171" t="s">
        <v>597</v>
      </c>
      <c r="AW4" s="6172"/>
      <c r="AX4" s="6172"/>
      <c r="AY4" s="6172"/>
      <c r="AZ4" s="6173" t="s">
        <v>48</v>
      </c>
      <c r="BA4" s="6171" t="s">
        <v>597</v>
      </c>
      <c r="BB4" s="6172"/>
      <c r="BC4" s="6172"/>
      <c r="BD4" s="6172"/>
      <c r="BE4" s="6173" t="s">
        <v>48</v>
      </c>
      <c r="BF4" s="6171" t="s">
        <v>597</v>
      </c>
      <c r="BG4" s="6172"/>
      <c r="BH4" s="6172"/>
      <c r="BI4" s="6172"/>
      <c r="BJ4" s="6173" t="s">
        <v>48</v>
      </c>
      <c r="BK4" s="6171" t="s">
        <v>597</v>
      </c>
      <c r="BL4" s="6172"/>
      <c r="BM4" s="6172"/>
      <c r="BN4" s="6172"/>
      <c r="BO4" s="6173" t="s">
        <v>48</v>
      </c>
      <c r="BP4" s="6171" t="s">
        <v>597</v>
      </c>
      <c r="BQ4" s="6172"/>
      <c r="BR4" s="6172"/>
      <c r="BS4" s="6172"/>
      <c r="BT4" s="6173" t="s">
        <v>48</v>
      </c>
      <c r="BU4" s="6171" t="s">
        <v>597</v>
      </c>
      <c r="BV4" s="6172"/>
      <c r="BW4" s="6172"/>
      <c r="BX4" s="6172"/>
      <c r="BY4" s="6173" t="s">
        <v>48</v>
      </c>
      <c r="BZ4" s="6171" t="s">
        <v>597</v>
      </c>
      <c r="CA4" s="6172"/>
      <c r="CB4" s="6172"/>
      <c r="CC4" s="6172"/>
      <c r="CD4" s="6173" t="s">
        <v>48</v>
      </c>
      <c r="CE4" s="6171" t="s">
        <v>597</v>
      </c>
      <c r="CF4" s="6172"/>
      <c r="CG4" s="6172"/>
      <c r="CH4" s="6172"/>
      <c r="CI4" s="6173" t="s">
        <v>48</v>
      </c>
      <c r="CJ4" s="6171" t="s">
        <v>597</v>
      </c>
      <c r="CK4" s="6172"/>
      <c r="CL4" s="6172"/>
      <c r="CM4" s="6172"/>
      <c r="CN4" s="6173" t="s">
        <v>48</v>
      </c>
      <c r="CO4" s="6171" t="s">
        <v>597</v>
      </c>
      <c r="CP4" s="6172"/>
      <c r="CQ4" s="6172"/>
      <c r="CR4" s="6172"/>
      <c r="CS4" s="6173" t="s">
        <v>48</v>
      </c>
      <c r="CT4" s="6171" t="s">
        <v>597</v>
      </c>
      <c r="CU4" s="6172"/>
      <c r="CV4" s="6172"/>
      <c r="CW4" s="6172"/>
      <c r="CX4" s="6173" t="s">
        <v>48</v>
      </c>
      <c r="CY4" s="6171" t="s">
        <v>597</v>
      </c>
      <c r="CZ4" s="6172"/>
      <c r="DA4" s="6172"/>
      <c r="DB4" s="6172"/>
      <c r="DC4" s="6173" t="s">
        <v>48</v>
      </c>
      <c r="DD4" s="6171" t="s">
        <v>597</v>
      </c>
      <c r="DE4" s="6172"/>
      <c r="DF4" s="6172"/>
      <c r="DG4" s="6172"/>
      <c r="DH4" s="6173" t="s">
        <v>48</v>
      </c>
      <c r="DI4" s="6171" t="s">
        <v>597</v>
      </c>
      <c r="DJ4" s="6172"/>
      <c r="DK4" s="6172"/>
      <c r="DL4" s="6172"/>
      <c r="DM4" s="6173" t="s">
        <v>48</v>
      </c>
    </row>
    <row r="5" spans="2:117" ht="15" customHeight="1" x14ac:dyDescent="0.25">
      <c r="B5" s="6179"/>
      <c r="C5" s="3586" t="s">
        <v>897</v>
      </c>
      <c r="D5" s="3587">
        <v>1</v>
      </c>
      <c r="E5" s="3587">
        <v>2</v>
      </c>
      <c r="F5" s="3588">
        <v>3</v>
      </c>
      <c r="G5" s="6174"/>
      <c r="H5" s="3586" t="s">
        <v>897</v>
      </c>
      <c r="I5" s="3587">
        <v>1</v>
      </c>
      <c r="J5" s="3587">
        <v>2</v>
      </c>
      <c r="K5" s="3588">
        <v>3</v>
      </c>
      <c r="L5" s="6174"/>
      <c r="M5" s="3586" t="s">
        <v>897</v>
      </c>
      <c r="N5" s="3587">
        <v>1</v>
      </c>
      <c r="O5" s="3587">
        <v>2</v>
      </c>
      <c r="P5" s="3588">
        <v>3</v>
      </c>
      <c r="Q5" s="6174"/>
      <c r="R5" s="3586" t="s">
        <v>897</v>
      </c>
      <c r="S5" s="3587">
        <v>1</v>
      </c>
      <c r="T5" s="3587">
        <v>2</v>
      </c>
      <c r="U5" s="3588">
        <v>3</v>
      </c>
      <c r="V5" s="6174"/>
      <c r="W5" s="3586" t="s">
        <v>897</v>
      </c>
      <c r="X5" s="3587">
        <v>1</v>
      </c>
      <c r="Y5" s="3587">
        <v>2</v>
      </c>
      <c r="Z5" s="3588">
        <v>3</v>
      </c>
      <c r="AA5" s="6174"/>
      <c r="AB5" s="3586" t="s">
        <v>897</v>
      </c>
      <c r="AC5" s="3587">
        <v>1</v>
      </c>
      <c r="AD5" s="3587">
        <v>2</v>
      </c>
      <c r="AE5" s="3588">
        <v>3</v>
      </c>
      <c r="AF5" s="6174"/>
      <c r="AG5" s="3586" t="s">
        <v>897</v>
      </c>
      <c r="AH5" s="3587">
        <v>1</v>
      </c>
      <c r="AI5" s="3587">
        <v>2</v>
      </c>
      <c r="AJ5" s="3588">
        <v>3</v>
      </c>
      <c r="AK5" s="6174"/>
      <c r="AL5" s="3586" t="s">
        <v>897</v>
      </c>
      <c r="AM5" s="3587">
        <v>1</v>
      </c>
      <c r="AN5" s="3587">
        <v>2</v>
      </c>
      <c r="AO5" s="3588">
        <v>3</v>
      </c>
      <c r="AP5" s="6174"/>
      <c r="AQ5" s="3586" t="s">
        <v>897</v>
      </c>
      <c r="AR5" s="3587">
        <v>1</v>
      </c>
      <c r="AS5" s="3587">
        <v>2</v>
      </c>
      <c r="AT5" s="3588">
        <v>3</v>
      </c>
      <c r="AU5" s="6174"/>
      <c r="AV5" s="3586" t="s">
        <v>897</v>
      </c>
      <c r="AW5" s="3587">
        <v>1</v>
      </c>
      <c r="AX5" s="3587">
        <v>2</v>
      </c>
      <c r="AY5" s="3588">
        <v>3</v>
      </c>
      <c r="AZ5" s="6174"/>
      <c r="BA5" s="3586" t="s">
        <v>897</v>
      </c>
      <c r="BB5" s="3587">
        <v>1</v>
      </c>
      <c r="BC5" s="3587">
        <v>2</v>
      </c>
      <c r="BD5" s="3588">
        <v>3</v>
      </c>
      <c r="BE5" s="6174"/>
      <c r="BF5" s="3586" t="s">
        <v>897</v>
      </c>
      <c r="BG5" s="3587">
        <v>1</v>
      </c>
      <c r="BH5" s="3587">
        <v>2</v>
      </c>
      <c r="BI5" s="3588">
        <v>3</v>
      </c>
      <c r="BJ5" s="6174"/>
      <c r="BK5" s="3586" t="s">
        <v>897</v>
      </c>
      <c r="BL5" s="3587">
        <v>1</v>
      </c>
      <c r="BM5" s="3587">
        <v>2</v>
      </c>
      <c r="BN5" s="3588">
        <v>3</v>
      </c>
      <c r="BO5" s="6174"/>
      <c r="BP5" s="3586" t="s">
        <v>897</v>
      </c>
      <c r="BQ5" s="3587">
        <v>1</v>
      </c>
      <c r="BR5" s="3587">
        <v>2</v>
      </c>
      <c r="BS5" s="3588">
        <v>3</v>
      </c>
      <c r="BT5" s="6174"/>
      <c r="BU5" s="3586" t="s">
        <v>897</v>
      </c>
      <c r="BV5" s="3587">
        <v>1</v>
      </c>
      <c r="BW5" s="3587">
        <v>2</v>
      </c>
      <c r="BX5" s="3588">
        <v>3</v>
      </c>
      <c r="BY5" s="6174"/>
      <c r="BZ5" s="3586" t="s">
        <v>897</v>
      </c>
      <c r="CA5" s="3587">
        <v>1</v>
      </c>
      <c r="CB5" s="3587">
        <v>2</v>
      </c>
      <c r="CC5" s="3588">
        <v>3</v>
      </c>
      <c r="CD5" s="6174"/>
      <c r="CE5" s="3586" t="s">
        <v>897</v>
      </c>
      <c r="CF5" s="3587">
        <v>1</v>
      </c>
      <c r="CG5" s="3587">
        <v>2</v>
      </c>
      <c r="CH5" s="3588">
        <v>3</v>
      </c>
      <c r="CI5" s="6174"/>
      <c r="CJ5" s="3586" t="s">
        <v>897</v>
      </c>
      <c r="CK5" s="3587">
        <v>1</v>
      </c>
      <c r="CL5" s="3587">
        <v>2</v>
      </c>
      <c r="CM5" s="3588">
        <v>3</v>
      </c>
      <c r="CN5" s="6174"/>
      <c r="CO5" s="3586" t="s">
        <v>897</v>
      </c>
      <c r="CP5" s="3587">
        <v>1</v>
      </c>
      <c r="CQ5" s="3587">
        <v>2</v>
      </c>
      <c r="CR5" s="3588">
        <v>3</v>
      </c>
      <c r="CS5" s="6174"/>
      <c r="CT5" s="3586" t="s">
        <v>897</v>
      </c>
      <c r="CU5" s="3587">
        <v>1</v>
      </c>
      <c r="CV5" s="3587">
        <v>2</v>
      </c>
      <c r="CW5" s="3588">
        <v>3</v>
      </c>
      <c r="CX5" s="6174"/>
      <c r="CY5" s="3586" t="s">
        <v>897</v>
      </c>
      <c r="CZ5" s="3587">
        <v>1</v>
      </c>
      <c r="DA5" s="3587">
        <v>2</v>
      </c>
      <c r="DB5" s="3588">
        <v>3</v>
      </c>
      <c r="DC5" s="6174"/>
      <c r="DD5" s="3586" t="s">
        <v>897</v>
      </c>
      <c r="DE5" s="3587">
        <v>1</v>
      </c>
      <c r="DF5" s="3587">
        <v>2</v>
      </c>
      <c r="DG5" s="3588">
        <v>3</v>
      </c>
      <c r="DH5" s="6174"/>
      <c r="DI5" s="3586" t="s">
        <v>897</v>
      </c>
      <c r="DJ5" s="3587">
        <v>1</v>
      </c>
      <c r="DK5" s="3587">
        <v>2</v>
      </c>
      <c r="DL5" s="3588">
        <v>3</v>
      </c>
      <c r="DM5" s="6174"/>
    </row>
    <row r="6" spans="2:117" ht="15" customHeight="1" x14ac:dyDescent="0.25">
      <c r="B6" s="3589"/>
      <c r="C6" s="3590"/>
      <c r="D6" s="3590"/>
      <c r="E6" s="3590"/>
      <c r="F6" s="3590"/>
      <c r="G6" s="3590"/>
      <c r="H6" s="3590"/>
      <c r="I6" s="3590"/>
      <c r="J6" s="3590"/>
      <c r="K6" s="3590"/>
      <c r="L6" s="3590"/>
      <c r="M6" s="3590"/>
      <c r="N6" s="3590"/>
      <c r="O6" s="3590"/>
      <c r="P6" s="3590"/>
      <c r="Q6" s="3590"/>
      <c r="R6" s="3590"/>
      <c r="S6" s="3590"/>
      <c r="T6" s="3590"/>
      <c r="U6" s="3590"/>
      <c r="V6" s="3590"/>
      <c r="W6" s="3590"/>
      <c r="X6" s="3590"/>
      <c r="Y6" s="3590"/>
      <c r="Z6" s="3590"/>
      <c r="AA6" s="3590"/>
      <c r="AB6" s="3590"/>
      <c r="AC6" s="3590"/>
      <c r="AD6" s="3590"/>
      <c r="AE6" s="3590"/>
      <c r="AF6" s="3590"/>
      <c r="AG6" s="3590"/>
      <c r="AH6" s="3590"/>
      <c r="AI6" s="3590"/>
      <c r="AJ6" s="3590"/>
      <c r="AK6" s="3590"/>
      <c r="AL6" s="3590"/>
      <c r="AM6" s="3590"/>
      <c r="AN6" s="3590"/>
      <c r="AO6" s="3590"/>
      <c r="AP6" s="3590"/>
      <c r="AQ6" s="3590"/>
      <c r="AR6" s="3590"/>
      <c r="AS6" s="3590"/>
      <c r="AT6" s="3590"/>
      <c r="AU6" s="3590"/>
      <c r="AV6" s="3590"/>
      <c r="AW6" s="3590"/>
      <c r="AX6" s="3590"/>
      <c r="AY6" s="3590"/>
      <c r="AZ6" s="3590"/>
      <c r="BA6" s="3590"/>
      <c r="BB6" s="3590"/>
      <c r="BC6" s="3590"/>
      <c r="BD6" s="3590"/>
      <c r="BE6" s="3590"/>
      <c r="BF6" s="3590"/>
      <c r="BG6" s="3590"/>
      <c r="BH6" s="3590"/>
      <c r="BI6" s="3590"/>
      <c r="BJ6" s="3590"/>
      <c r="BK6" s="3590"/>
      <c r="BL6" s="3590"/>
      <c r="BM6" s="3590"/>
      <c r="BN6" s="3590"/>
      <c r="BO6" s="3590"/>
      <c r="BP6" s="3590"/>
      <c r="BQ6" s="3590"/>
      <c r="BR6" s="3590"/>
      <c r="BS6" s="3590"/>
      <c r="BT6" s="3590"/>
      <c r="BU6" s="3590"/>
      <c r="BV6" s="3590"/>
      <c r="BW6" s="3590"/>
      <c r="BX6" s="3590"/>
      <c r="BY6" s="3590"/>
      <c r="BZ6" s="3590"/>
      <c r="CA6" s="3590"/>
      <c r="CB6" s="3590"/>
      <c r="CC6" s="3590"/>
      <c r="CD6" s="3590"/>
      <c r="CE6" s="3590"/>
      <c r="CF6" s="3590"/>
      <c r="CG6" s="3590"/>
      <c r="CH6" s="3590"/>
      <c r="CI6" s="3590"/>
      <c r="CJ6" s="3590"/>
      <c r="CK6" s="3590"/>
      <c r="CL6" s="3590"/>
      <c r="CM6" s="3590"/>
      <c r="CN6" s="3590"/>
      <c r="CO6" s="3590"/>
      <c r="CP6" s="3590"/>
      <c r="CQ6" s="3590"/>
      <c r="CR6" s="3590"/>
      <c r="CS6" s="3590"/>
      <c r="CT6" s="3590"/>
      <c r="CU6" s="3590"/>
      <c r="CV6" s="3590"/>
      <c r="CW6" s="3590"/>
      <c r="CX6" s="3590"/>
      <c r="CY6" s="3590"/>
      <c r="CZ6" s="3590"/>
      <c r="DA6" s="3590"/>
      <c r="DB6" s="3590"/>
      <c r="DC6" s="3590"/>
      <c r="DD6" s="3590"/>
      <c r="DE6" s="3590"/>
      <c r="DF6" s="3590"/>
      <c r="DG6" s="3590"/>
      <c r="DH6" s="3590"/>
      <c r="DI6" s="3590"/>
      <c r="DJ6" s="3590"/>
      <c r="DK6" s="3590"/>
      <c r="DL6" s="3590"/>
      <c r="DM6" s="3590"/>
    </row>
    <row r="7" spans="2:117" ht="15" customHeight="1" x14ac:dyDescent="0.25">
      <c r="B7" s="3591" t="s">
        <v>59</v>
      </c>
      <c r="C7" s="3592">
        <v>14</v>
      </c>
      <c r="D7" s="3593">
        <v>18</v>
      </c>
      <c r="E7" s="3593">
        <v>4</v>
      </c>
      <c r="F7" s="3593"/>
      <c r="G7" s="3594">
        <f>SUM(C7:F7)</f>
        <v>36</v>
      </c>
      <c r="H7" s="3592">
        <v>9</v>
      </c>
      <c r="I7" s="3593">
        <v>25</v>
      </c>
      <c r="J7" s="3593">
        <v>5</v>
      </c>
      <c r="K7" s="3593"/>
      <c r="L7" s="3594">
        <f>SUM(H7:K7)</f>
        <v>39</v>
      </c>
      <c r="M7" s="3592">
        <v>10</v>
      </c>
      <c r="N7" s="3593">
        <v>26</v>
      </c>
      <c r="O7" s="3593">
        <v>7</v>
      </c>
      <c r="P7" s="3593"/>
      <c r="Q7" s="3594">
        <f>SUM(M7:P7)</f>
        <v>43</v>
      </c>
      <c r="R7" s="3592">
        <v>9</v>
      </c>
      <c r="S7" s="3593">
        <v>26</v>
      </c>
      <c r="T7" s="3593">
        <v>7</v>
      </c>
      <c r="U7" s="3593"/>
      <c r="V7" s="3594">
        <f>SUM(R7:U7)</f>
        <v>42</v>
      </c>
      <c r="W7" s="3592">
        <v>11</v>
      </c>
      <c r="X7" s="3593">
        <v>31</v>
      </c>
      <c r="Y7" s="3593">
        <v>7</v>
      </c>
      <c r="Z7" s="3593"/>
      <c r="AA7" s="3594">
        <f>SUM(W7:Z7)</f>
        <v>49</v>
      </c>
      <c r="AB7" s="3592">
        <v>13</v>
      </c>
      <c r="AC7" s="3593">
        <v>32</v>
      </c>
      <c r="AD7" s="3593">
        <v>7</v>
      </c>
      <c r="AE7" s="3593"/>
      <c r="AF7" s="3594">
        <f>SUM(AB7:AE7)</f>
        <v>52</v>
      </c>
      <c r="AG7" s="3592">
        <v>16</v>
      </c>
      <c r="AH7" s="3593">
        <v>35</v>
      </c>
      <c r="AI7" s="3593">
        <v>8</v>
      </c>
      <c r="AJ7" s="3593">
        <v>1</v>
      </c>
      <c r="AK7" s="3594">
        <f>SUM(AG7:AJ7)</f>
        <v>60</v>
      </c>
      <c r="AL7" s="3592">
        <v>18</v>
      </c>
      <c r="AM7" s="3593">
        <v>40</v>
      </c>
      <c r="AN7" s="3593">
        <v>8</v>
      </c>
      <c r="AO7" s="3593">
        <v>1</v>
      </c>
      <c r="AP7" s="3594">
        <f>SUM(AL7:AO7)</f>
        <v>67</v>
      </c>
      <c r="AQ7" s="3592">
        <v>13</v>
      </c>
      <c r="AR7" s="3593">
        <v>48</v>
      </c>
      <c r="AS7" s="3593">
        <v>9</v>
      </c>
      <c r="AT7" s="3593">
        <v>1</v>
      </c>
      <c r="AU7" s="3594">
        <f>SUM(AQ7:AT7)</f>
        <v>71</v>
      </c>
      <c r="AV7" s="3592">
        <v>12</v>
      </c>
      <c r="AW7" s="3593">
        <v>48</v>
      </c>
      <c r="AX7" s="3593">
        <v>10</v>
      </c>
      <c r="AY7" s="3593">
        <v>1</v>
      </c>
      <c r="AZ7" s="3594">
        <f>SUM(AV7:AY7)</f>
        <v>71</v>
      </c>
      <c r="BA7" s="3592">
        <v>14</v>
      </c>
      <c r="BB7" s="3593">
        <v>55</v>
      </c>
      <c r="BC7" s="3593">
        <v>18</v>
      </c>
      <c r="BD7" s="3593">
        <v>1</v>
      </c>
      <c r="BE7" s="3594">
        <f>SUM(BA7:BD7)</f>
        <v>88</v>
      </c>
      <c r="BF7" s="3592">
        <v>20</v>
      </c>
      <c r="BG7" s="3593">
        <v>55</v>
      </c>
      <c r="BH7" s="3593">
        <v>18</v>
      </c>
      <c r="BI7" s="3593">
        <v>1</v>
      </c>
      <c r="BJ7" s="3594">
        <f>SUM(BF7:BI7)</f>
        <v>94</v>
      </c>
      <c r="BK7" s="3592">
        <v>22</v>
      </c>
      <c r="BL7" s="3593">
        <v>54</v>
      </c>
      <c r="BM7" s="3593">
        <v>19</v>
      </c>
      <c r="BN7" s="3593">
        <v>1</v>
      </c>
      <c r="BO7" s="3594">
        <f>SUM(BK7:BN7)</f>
        <v>96</v>
      </c>
      <c r="BP7" s="3592">
        <v>27</v>
      </c>
      <c r="BQ7" s="3593">
        <v>59</v>
      </c>
      <c r="BR7" s="3593">
        <v>23</v>
      </c>
      <c r="BS7" s="3593">
        <v>1</v>
      </c>
      <c r="BT7" s="3594">
        <f>SUM(BP7:BS7)</f>
        <v>110</v>
      </c>
      <c r="BU7" s="3592">
        <v>18</v>
      </c>
      <c r="BV7" s="3593">
        <v>65</v>
      </c>
      <c r="BW7" s="3593">
        <v>25</v>
      </c>
      <c r="BX7" s="3593">
        <v>3</v>
      </c>
      <c r="BY7" s="3594">
        <f>SUM(BU7:BX7)</f>
        <v>111</v>
      </c>
      <c r="BZ7" s="3592">
        <v>19</v>
      </c>
      <c r="CA7" s="3593">
        <v>62</v>
      </c>
      <c r="CB7" s="3593">
        <v>26</v>
      </c>
      <c r="CC7" s="3593">
        <v>3</v>
      </c>
      <c r="CD7" s="3594">
        <f>SUM(BZ7:CC7)</f>
        <v>110</v>
      </c>
      <c r="CE7" s="3592">
        <v>24</v>
      </c>
      <c r="CF7" s="3593">
        <v>72</v>
      </c>
      <c r="CG7" s="3593">
        <v>25</v>
      </c>
      <c r="CH7" s="3593">
        <v>3</v>
      </c>
      <c r="CI7" s="3594">
        <f>SUM(CE7:CH7)</f>
        <v>124</v>
      </c>
      <c r="CJ7" s="3592">
        <v>21</v>
      </c>
      <c r="CK7" s="3593">
        <v>71</v>
      </c>
      <c r="CL7" s="3593">
        <v>25</v>
      </c>
      <c r="CM7" s="3593">
        <v>3</v>
      </c>
      <c r="CN7" s="3594">
        <f>SUM(CJ7:CM7)</f>
        <v>120</v>
      </c>
      <c r="CO7" s="3592">
        <v>16</v>
      </c>
      <c r="CP7" s="3593">
        <v>71</v>
      </c>
      <c r="CQ7" s="3593">
        <v>22</v>
      </c>
      <c r="CR7" s="3593">
        <v>4</v>
      </c>
      <c r="CS7" s="3594">
        <f>SUM(CO7:CR7)</f>
        <v>113</v>
      </c>
      <c r="CT7" s="3592">
        <v>19</v>
      </c>
      <c r="CU7" s="3593">
        <v>71</v>
      </c>
      <c r="CV7" s="3593">
        <v>20</v>
      </c>
      <c r="CW7" s="3593">
        <v>7</v>
      </c>
      <c r="CX7" s="3594">
        <f>SUM(CT7:CW7)</f>
        <v>117</v>
      </c>
      <c r="CY7" s="3592">
        <v>24</v>
      </c>
      <c r="CZ7" s="3593">
        <v>71</v>
      </c>
      <c r="DA7" s="3593">
        <v>20</v>
      </c>
      <c r="DB7" s="3593">
        <v>7</v>
      </c>
      <c r="DC7" s="3594">
        <f>SUM(CY7:DB7)</f>
        <v>122</v>
      </c>
      <c r="DD7" s="3592">
        <v>20</v>
      </c>
      <c r="DE7" s="3593">
        <v>77</v>
      </c>
      <c r="DF7" s="3593">
        <v>21</v>
      </c>
      <c r="DG7" s="3593">
        <v>7</v>
      </c>
      <c r="DH7" s="3594">
        <f>SUM(DD7:DG7)</f>
        <v>125</v>
      </c>
      <c r="DI7" s="3592">
        <v>18</v>
      </c>
      <c r="DJ7" s="3593">
        <v>82</v>
      </c>
      <c r="DK7" s="3593">
        <v>23</v>
      </c>
      <c r="DL7" s="3593">
        <v>7</v>
      </c>
      <c r="DM7" s="3594">
        <f>SUM(DI7:DL7)</f>
        <v>130</v>
      </c>
    </row>
    <row r="8" spans="2:117" ht="15" customHeight="1" x14ac:dyDescent="0.25">
      <c r="B8" s="3595" t="s">
        <v>64</v>
      </c>
      <c r="C8" s="3596">
        <v>4</v>
      </c>
      <c r="D8" s="3597">
        <v>35</v>
      </c>
      <c r="E8" s="3597">
        <v>4</v>
      </c>
      <c r="F8" s="3597">
        <v>1</v>
      </c>
      <c r="G8" s="3598">
        <f>SUM(C8:F8)</f>
        <v>44</v>
      </c>
      <c r="H8" s="3596">
        <v>4</v>
      </c>
      <c r="I8" s="3597">
        <v>41</v>
      </c>
      <c r="J8" s="3597">
        <v>8</v>
      </c>
      <c r="K8" s="3597">
        <v>1</v>
      </c>
      <c r="L8" s="3598">
        <f>SUM(H8:K8)</f>
        <v>54</v>
      </c>
      <c r="M8" s="3596">
        <v>2</v>
      </c>
      <c r="N8" s="3597">
        <v>57</v>
      </c>
      <c r="O8" s="3597">
        <v>7</v>
      </c>
      <c r="P8" s="3597">
        <v>1</v>
      </c>
      <c r="Q8" s="3598">
        <f>SUM(M8:P8)</f>
        <v>67</v>
      </c>
      <c r="R8" s="3596">
        <v>3</v>
      </c>
      <c r="S8" s="3597">
        <v>56</v>
      </c>
      <c r="T8" s="3597">
        <v>8</v>
      </c>
      <c r="U8" s="3597">
        <v>1</v>
      </c>
      <c r="V8" s="3598">
        <f>SUM(R8:U8)</f>
        <v>68</v>
      </c>
      <c r="W8" s="3596">
        <v>2</v>
      </c>
      <c r="X8" s="3597">
        <v>59</v>
      </c>
      <c r="Y8" s="3597">
        <v>8</v>
      </c>
      <c r="Z8" s="3597">
        <v>1</v>
      </c>
      <c r="AA8" s="3598">
        <f>SUM(W8:Z8)</f>
        <v>70</v>
      </c>
      <c r="AB8" s="3596">
        <v>1</v>
      </c>
      <c r="AC8" s="3597">
        <v>63</v>
      </c>
      <c r="AD8" s="3597">
        <v>9</v>
      </c>
      <c r="AE8" s="3597">
        <v>2</v>
      </c>
      <c r="AF8" s="3598">
        <f t="shared" ref="AF8:AF29" si="0">SUM(AB8:AE8)</f>
        <v>75</v>
      </c>
      <c r="AG8" s="3596">
        <v>3</v>
      </c>
      <c r="AH8" s="3597">
        <v>63</v>
      </c>
      <c r="AI8" s="3597">
        <v>18</v>
      </c>
      <c r="AJ8" s="3597">
        <v>2</v>
      </c>
      <c r="AK8" s="3598">
        <f t="shared" ref="AK8:AK29" si="1">SUM(AG8:AJ8)</f>
        <v>86</v>
      </c>
      <c r="AL8" s="3596">
        <v>5</v>
      </c>
      <c r="AM8" s="3597">
        <v>69</v>
      </c>
      <c r="AN8" s="3597">
        <v>17</v>
      </c>
      <c r="AO8" s="3597">
        <v>3</v>
      </c>
      <c r="AP8" s="3598">
        <f t="shared" ref="AP8:AP29" si="2">SUM(AL8:AO8)</f>
        <v>94</v>
      </c>
      <c r="AQ8" s="3596">
        <v>2</v>
      </c>
      <c r="AR8" s="3597">
        <v>64</v>
      </c>
      <c r="AS8" s="3597">
        <v>25</v>
      </c>
      <c r="AT8" s="3597">
        <v>4</v>
      </c>
      <c r="AU8" s="3598">
        <f t="shared" ref="AU8:AU29" si="3">SUM(AQ8:AT8)</f>
        <v>95</v>
      </c>
      <c r="AV8" s="3596">
        <v>2</v>
      </c>
      <c r="AW8" s="3597">
        <v>65</v>
      </c>
      <c r="AX8" s="3597">
        <v>26</v>
      </c>
      <c r="AY8" s="3597">
        <v>4</v>
      </c>
      <c r="AZ8" s="3598">
        <f t="shared" ref="AZ8:AZ29" si="4">SUM(AV8:AY8)</f>
        <v>97</v>
      </c>
      <c r="BA8" s="3596">
        <v>3</v>
      </c>
      <c r="BB8" s="3597">
        <v>59</v>
      </c>
      <c r="BC8" s="3597">
        <v>22</v>
      </c>
      <c r="BD8" s="3597">
        <v>5</v>
      </c>
      <c r="BE8" s="3598">
        <f t="shared" ref="BE8:BE29" si="5">SUM(BA8:BD8)</f>
        <v>89</v>
      </c>
      <c r="BF8" s="3596">
        <v>2</v>
      </c>
      <c r="BG8" s="3597">
        <v>60</v>
      </c>
      <c r="BH8" s="3597">
        <v>22</v>
      </c>
      <c r="BI8" s="3597">
        <v>4</v>
      </c>
      <c r="BJ8" s="3598">
        <f t="shared" ref="BJ8:BJ29" si="6">SUM(BF8:BI8)</f>
        <v>88</v>
      </c>
      <c r="BK8" s="3596">
        <v>5</v>
      </c>
      <c r="BL8" s="3597">
        <v>64</v>
      </c>
      <c r="BM8" s="3597">
        <v>15</v>
      </c>
      <c r="BN8" s="3597">
        <v>4</v>
      </c>
      <c r="BO8" s="3598">
        <f t="shared" ref="BO8:BO29" si="7">SUM(BK8:BN8)</f>
        <v>88</v>
      </c>
      <c r="BP8" s="3596">
        <v>6</v>
      </c>
      <c r="BQ8" s="3597">
        <v>77</v>
      </c>
      <c r="BR8" s="3597">
        <v>16</v>
      </c>
      <c r="BS8" s="3597">
        <v>5</v>
      </c>
      <c r="BT8" s="3598">
        <f t="shared" ref="BT8:BT29" si="8">SUM(BP8:BS8)</f>
        <v>104</v>
      </c>
      <c r="BU8" s="3596">
        <v>9</v>
      </c>
      <c r="BV8" s="3597">
        <v>79</v>
      </c>
      <c r="BW8" s="3597">
        <v>17</v>
      </c>
      <c r="BX8" s="3597">
        <v>4</v>
      </c>
      <c r="BY8" s="3598">
        <f t="shared" ref="BY8:BY29" si="9">SUM(BU8:BX8)</f>
        <v>109</v>
      </c>
      <c r="BZ8" s="3596">
        <v>10</v>
      </c>
      <c r="CA8" s="3597">
        <v>75</v>
      </c>
      <c r="CB8" s="3597">
        <v>20</v>
      </c>
      <c r="CC8" s="3597">
        <v>6</v>
      </c>
      <c r="CD8" s="3598">
        <f>SUM(BZ8:CC8)</f>
        <v>111</v>
      </c>
      <c r="CE8" s="3596">
        <v>11</v>
      </c>
      <c r="CF8" s="3597">
        <v>73</v>
      </c>
      <c r="CG8" s="3597">
        <v>19</v>
      </c>
      <c r="CH8" s="3597">
        <v>9</v>
      </c>
      <c r="CI8" s="3598">
        <f>SUM(CE8:CH8)</f>
        <v>112</v>
      </c>
      <c r="CJ8" s="3596">
        <v>14</v>
      </c>
      <c r="CK8" s="3597">
        <v>77</v>
      </c>
      <c r="CL8" s="3597">
        <v>18</v>
      </c>
      <c r="CM8" s="3597">
        <v>9</v>
      </c>
      <c r="CN8" s="3598">
        <f>SUM(CJ8:CM8)</f>
        <v>118</v>
      </c>
      <c r="CO8" s="3596">
        <v>15</v>
      </c>
      <c r="CP8" s="3597">
        <v>75</v>
      </c>
      <c r="CQ8" s="3597">
        <v>18</v>
      </c>
      <c r="CR8" s="3597">
        <v>9</v>
      </c>
      <c r="CS8" s="3598">
        <f>SUM(CO8:CR8)</f>
        <v>117</v>
      </c>
      <c r="CT8" s="3596">
        <v>15</v>
      </c>
      <c r="CU8" s="3597">
        <v>69</v>
      </c>
      <c r="CV8" s="3597">
        <v>19</v>
      </c>
      <c r="CW8" s="3597">
        <v>9</v>
      </c>
      <c r="CX8" s="3598">
        <f>SUM(CT8:CW8)</f>
        <v>112</v>
      </c>
      <c r="CY8" s="3596">
        <v>18</v>
      </c>
      <c r="CZ8" s="3597">
        <v>69</v>
      </c>
      <c r="DA8" s="3597">
        <v>19</v>
      </c>
      <c r="DB8" s="3597">
        <v>9</v>
      </c>
      <c r="DC8" s="3598">
        <f>SUM(CY8:DB8)</f>
        <v>115</v>
      </c>
      <c r="DD8" s="3596">
        <v>15</v>
      </c>
      <c r="DE8" s="3597">
        <v>71</v>
      </c>
      <c r="DF8" s="3597">
        <v>20</v>
      </c>
      <c r="DG8" s="3597">
        <v>8</v>
      </c>
      <c r="DH8" s="3598">
        <f>SUM(DD8:DG8)</f>
        <v>114</v>
      </c>
      <c r="DI8" s="3596">
        <v>17</v>
      </c>
      <c r="DJ8" s="3597">
        <v>75</v>
      </c>
      <c r="DK8" s="3597">
        <v>25</v>
      </c>
      <c r="DL8" s="3597">
        <v>9</v>
      </c>
      <c r="DM8" s="3598">
        <f>SUM(DI8:DL8)</f>
        <v>126</v>
      </c>
    </row>
    <row r="9" spans="2:117" ht="15" customHeight="1" x14ac:dyDescent="0.25">
      <c r="B9" s="3599" t="s">
        <v>68</v>
      </c>
      <c r="C9" s="3600">
        <v>1</v>
      </c>
      <c r="D9" s="3601">
        <v>5</v>
      </c>
      <c r="E9" s="3601">
        <v>1</v>
      </c>
      <c r="F9" s="3601"/>
      <c r="G9" s="3602">
        <f>SUM(C9:F9)</f>
        <v>7</v>
      </c>
      <c r="H9" s="3600"/>
      <c r="I9" s="3601">
        <v>6</v>
      </c>
      <c r="J9" s="3601">
        <v>3</v>
      </c>
      <c r="K9" s="3601"/>
      <c r="L9" s="3602">
        <f>SUM(H9:K9)</f>
        <v>9</v>
      </c>
      <c r="M9" s="3600"/>
      <c r="N9" s="3601">
        <v>8</v>
      </c>
      <c r="O9" s="3601">
        <v>4</v>
      </c>
      <c r="P9" s="3601"/>
      <c r="Q9" s="3602">
        <f>SUM(M9:P9)</f>
        <v>12</v>
      </c>
      <c r="R9" s="3600"/>
      <c r="S9" s="3601">
        <v>8</v>
      </c>
      <c r="T9" s="3601">
        <v>3</v>
      </c>
      <c r="U9" s="3601"/>
      <c r="V9" s="3602">
        <f>SUM(R9:U9)</f>
        <v>11</v>
      </c>
      <c r="W9" s="3600"/>
      <c r="X9" s="3601">
        <v>7</v>
      </c>
      <c r="Y9" s="3601">
        <v>4</v>
      </c>
      <c r="Z9" s="3601"/>
      <c r="AA9" s="3602">
        <f>SUM(W9:Z9)</f>
        <v>11</v>
      </c>
      <c r="AB9" s="3600">
        <v>1</v>
      </c>
      <c r="AC9" s="3601">
        <v>7</v>
      </c>
      <c r="AD9" s="3601">
        <v>4</v>
      </c>
      <c r="AE9" s="3601"/>
      <c r="AF9" s="3602">
        <f t="shared" si="0"/>
        <v>12</v>
      </c>
      <c r="AG9" s="3600">
        <v>1</v>
      </c>
      <c r="AH9" s="3601">
        <v>5</v>
      </c>
      <c r="AI9" s="3601">
        <v>5</v>
      </c>
      <c r="AJ9" s="3601"/>
      <c r="AK9" s="3602">
        <f t="shared" si="1"/>
        <v>11</v>
      </c>
      <c r="AL9" s="3600">
        <v>1</v>
      </c>
      <c r="AM9" s="3601">
        <v>7</v>
      </c>
      <c r="AN9" s="3601">
        <v>4</v>
      </c>
      <c r="AO9" s="3601"/>
      <c r="AP9" s="3602">
        <f t="shared" si="2"/>
        <v>12</v>
      </c>
      <c r="AQ9" s="3600"/>
      <c r="AR9" s="3601">
        <v>5</v>
      </c>
      <c r="AS9" s="3601">
        <v>3</v>
      </c>
      <c r="AT9" s="3601"/>
      <c r="AU9" s="3602">
        <f t="shared" si="3"/>
        <v>8</v>
      </c>
      <c r="AV9" s="3600"/>
      <c r="AW9" s="3601">
        <v>5</v>
      </c>
      <c r="AX9" s="3601">
        <v>3</v>
      </c>
      <c r="AY9" s="3601"/>
      <c r="AZ9" s="3602">
        <f t="shared" si="4"/>
        <v>8</v>
      </c>
      <c r="BA9" s="3600">
        <v>1</v>
      </c>
      <c r="BB9" s="3601">
        <v>2</v>
      </c>
      <c r="BC9" s="3601">
        <v>3</v>
      </c>
      <c r="BD9" s="3601"/>
      <c r="BE9" s="3602">
        <f t="shared" si="5"/>
        <v>6</v>
      </c>
      <c r="BF9" s="3600">
        <v>1</v>
      </c>
      <c r="BG9" s="3601">
        <v>2</v>
      </c>
      <c r="BH9" s="3601">
        <v>3</v>
      </c>
      <c r="BI9" s="3601"/>
      <c r="BJ9" s="3602">
        <f t="shared" si="6"/>
        <v>6</v>
      </c>
      <c r="BK9" s="3600">
        <v>2</v>
      </c>
      <c r="BL9" s="3601">
        <v>1</v>
      </c>
      <c r="BM9" s="3601">
        <v>3</v>
      </c>
      <c r="BN9" s="3601"/>
      <c r="BO9" s="3602">
        <f t="shared" si="7"/>
        <v>6</v>
      </c>
      <c r="BP9" s="3600">
        <v>4</v>
      </c>
      <c r="BQ9" s="3601">
        <v>2</v>
      </c>
      <c r="BR9" s="3601">
        <v>2</v>
      </c>
      <c r="BS9" s="3601"/>
      <c r="BT9" s="3602">
        <f t="shared" si="8"/>
        <v>8</v>
      </c>
      <c r="BU9" s="3600">
        <v>4</v>
      </c>
      <c r="BV9" s="3601">
        <v>5</v>
      </c>
      <c r="BW9" s="3601">
        <v>2</v>
      </c>
      <c r="BX9" s="3601"/>
      <c r="BY9" s="3602">
        <f t="shared" si="9"/>
        <v>11</v>
      </c>
      <c r="BZ9" s="3600">
        <v>4</v>
      </c>
      <c r="CA9" s="3601">
        <v>7</v>
      </c>
      <c r="CB9" s="3601">
        <v>2</v>
      </c>
      <c r="CC9" s="3601"/>
      <c r="CD9" s="3602">
        <f>SUM(BZ9:CC9)</f>
        <v>13</v>
      </c>
      <c r="CE9" s="3600">
        <v>4</v>
      </c>
      <c r="CF9" s="3601">
        <v>9</v>
      </c>
      <c r="CG9" s="3601">
        <v>2</v>
      </c>
      <c r="CH9" s="3601"/>
      <c r="CI9" s="3602">
        <f>SUM(CE9:CH9)</f>
        <v>15</v>
      </c>
      <c r="CJ9" s="3600">
        <v>4</v>
      </c>
      <c r="CK9" s="3601">
        <v>9</v>
      </c>
      <c r="CL9" s="3601">
        <v>2</v>
      </c>
      <c r="CM9" s="3601">
        <v>0</v>
      </c>
      <c r="CN9" s="3602">
        <f>SUM(CJ9:CM9)</f>
        <v>15</v>
      </c>
      <c r="CO9" s="3600">
        <v>3</v>
      </c>
      <c r="CP9" s="3601">
        <v>9</v>
      </c>
      <c r="CQ9" s="3601">
        <v>2</v>
      </c>
      <c r="CR9" s="3601"/>
      <c r="CS9" s="3602">
        <f>SUM(CO9:CR9)</f>
        <v>14</v>
      </c>
      <c r="CT9" s="3600">
        <v>5</v>
      </c>
      <c r="CU9" s="3601">
        <v>9</v>
      </c>
      <c r="CV9" s="3601">
        <v>2</v>
      </c>
      <c r="CW9" s="3601"/>
      <c r="CX9" s="3602">
        <f>SUM(CT9:CW9)</f>
        <v>16</v>
      </c>
      <c r="CY9" s="3600">
        <v>7</v>
      </c>
      <c r="CZ9" s="3601">
        <v>10</v>
      </c>
      <c r="DA9" s="3601">
        <v>2</v>
      </c>
      <c r="DB9" s="3601"/>
      <c r="DC9" s="3602">
        <f>SUM(CY9:DB9)</f>
        <v>19</v>
      </c>
      <c r="DD9" s="3600">
        <v>7</v>
      </c>
      <c r="DE9" s="3601">
        <v>11</v>
      </c>
      <c r="DF9" s="3601">
        <v>2</v>
      </c>
      <c r="DG9" s="3601"/>
      <c r="DH9" s="3602">
        <f>SUM(DD9:DG9)</f>
        <v>20</v>
      </c>
      <c r="DI9" s="3600">
        <v>7</v>
      </c>
      <c r="DJ9" s="3601">
        <v>14</v>
      </c>
      <c r="DK9" s="3601">
        <v>1</v>
      </c>
      <c r="DL9" s="3601">
        <v>0</v>
      </c>
      <c r="DM9" s="3602">
        <f>SUM(DI9:DL9)</f>
        <v>22</v>
      </c>
    </row>
    <row r="10" spans="2:117" ht="15" customHeight="1" x14ac:dyDescent="0.25">
      <c r="B10" s="3603" t="s">
        <v>138</v>
      </c>
      <c r="C10" s="3604">
        <f>SUM(C7:C9)</f>
        <v>19</v>
      </c>
      <c r="D10" s="3605">
        <f t="shared" ref="D10:BO10" si="10">SUM(D7:D9)</f>
        <v>58</v>
      </c>
      <c r="E10" s="3605">
        <f t="shared" si="10"/>
        <v>9</v>
      </c>
      <c r="F10" s="3605">
        <f t="shared" si="10"/>
        <v>1</v>
      </c>
      <c r="G10" s="3606">
        <f t="shared" si="10"/>
        <v>87</v>
      </c>
      <c r="H10" s="3604">
        <f t="shared" si="10"/>
        <v>13</v>
      </c>
      <c r="I10" s="3605">
        <f t="shared" si="10"/>
        <v>72</v>
      </c>
      <c r="J10" s="3605">
        <f t="shared" si="10"/>
        <v>16</v>
      </c>
      <c r="K10" s="3605">
        <f t="shared" si="10"/>
        <v>1</v>
      </c>
      <c r="L10" s="3606">
        <f t="shared" si="10"/>
        <v>102</v>
      </c>
      <c r="M10" s="3604">
        <f t="shared" si="10"/>
        <v>12</v>
      </c>
      <c r="N10" s="3605">
        <f t="shared" si="10"/>
        <v>91</v>
      </c>
      <c r="O10" s="3605">
        <f t="shared" si="10"/>
        <v>18</v>
      </c>
      <c r="P10" s="3605">
        <f t="shared" si="10"/>
        <v>1</v>
      </c>
      <c r="Q10" s="3606">
        <f t="shared" si="10"/>
        <v>122</v>
      </c>
      <c r="R10" s="3604">
        <f t="shared" si="10"/>
        <v>12</v>
      </c>
      <c r="S10" s="3605">
        <f t="shared" si="10"/>
        <v>90</v>
      </c>
      <c r="T10" s="3605">
        <f t="shared" si="10"/>
        <v>18</v>
      </c>
      <c r="U10" s="3605">
        <f t="shared" si="10"/>
        <v>1</v>
      </c>
      <c r="V10" s="3606">
        <f t="shared" si="10"/>
        <v>121</v>
      </c>
      <c r="W10" s="3604">
        <f t="shared" si="10"/>
        <v>13</v>
      </c>
      <c r="X10" s="3605">
        <f t="shared" si="10"/>
        <v>97</v>
      </c>
      <c r="Y10" s="3605">
        <f t="shared" si="10"/>
        <v>19</v>
      </c>
      <c r="Z10" s="3605">
        <f t="shared" si="10"/>
        <v>1</v>
      </c>
      <c r="AA10" s="3606">
        <f t="shared" si="10"/>
        <v>130</v>
      </c>
      <c r="AB10" s="3604">
        <f t="shared" si="10"/>
        <v>15</v>
      </c>
      <c r="AC10" s="3605">
        <f t="shared" si="10"/>
        <v>102</v>
      </c>
      <c r="AD10" s="3605">
        <f t="shared" si="10"/>
        <v>20</v>
      </c>
      <c r="AE10" s="3605">
        <f t="shared" si="10"/>
        <v>2</v>
      </c>
      <c r="AF10" s="3606">
        <f t="shared" si="10"/>
        <v>139</v>
      </c>
      <c r="AG10" s="3604">
        <f t="shared" si="10"/>
        <v>20</v>
      </c>
      <c r="AH10" s="3605">
        <f t="shared" si="10"/>
        <v>103</v>
      </c>
      <c r="AI10" s="3605">
        <f t="shared" si="10"/>
        <v>31</v>
      </c>
      <c r="AJ10" s="3605">
        <f t="shared" si="10"/>
        <v>3</v>
      </c>
      <c r="AK10" s="3606">
        <f t="shared" si="10"/>
        <v>157</v>
      </c>
      <c r="AL10" s="3604">
        <f t="shared" si="10"/>
        <v>24</v>
      </c>
      <c r="AM10" s="3605">
        <f t="shared" si="10"/>
        <v>116</v>
      </c>
      <c r="AN10" s="3605">
        <f t="shared" si="10"/>
        <v>29</v>
      </c>
      <c r="AO10" s="3605">
        <f t="shared" si="10"/>
        <v>4</v>
      </c>
      <c r="AP10" s="3606">
        <f t="shared" si="10"/>
        <v>173</v>
      </c>
      <c r="AQ10" s="3604">
        <f t="shared" si="10"/>
        <v>15</v>
      </c>
      <c r="AR10" s="3605">
        <f t="shared" si="10"/>
        <v>117</v>
      </c>
      <c r="AS10" s="3605">
        <f t="shared" si="10"/>
        <v>37</v>
      </c>
      <c r="AT10" s="3605">
        <f t="shared" si="10"/>
        <v>5</v>
      </c>
      <c r="AU10" s="3606">
        <f t="shared" si="10"/>
        <v>174</v>
      </c>
      <c r="AV10" s="3604">
        <f t="shared" si="10"/>
        <v>14</v>
      </c>
      <c r="AW10" s="3605">
        <f t="shared" si="10"/>
        <v>118</v>
      </c>
      <c r="AX10" s="3605">
        <f t="shared" si="10"/>
        <v>39</v>
      </c>
      <c r="AY10" s="3605">
        <f t="shared" si="10"/>
        <v>5</v>
      </c>
      <c r="AZ10" s="3606">
        <f t="shared" si="10"/>
        <v>176</v>
      </c>
      <c r="BA10" s="3604">
        <f t="shared" si="10"/>
        <v>18</v>
      </c>
      <c r="BB10" s="3605">
        <f t="shared" si="10"/>
        <v>116</v>
      </c>
      <c r="BC10" s="3605">
        <f t="shared" si="10"/>
        <v>43</v>
      </c>
      <c r="BD10" s="3605">
        <f t="shared" si="10"/>
        <v>6</v>
      </c>
      <c r="BE10" s="3606">
        <f t="shared" si="10"/>
        <v>183</v>
      </c>
      <c r="BF10" s="3604">
        <f t="shared" si="10"/>
        <v>23</v>
      </c>
      <c r="BG10" s="3605">
        <f t="shared" si="10"/>
        <v>117</v>
      </c>
      <c r="BH10" s="3605">
        <f t="shared" si="10"/>
        <v>43</v>
      </c>
      <c r="BI10" s="3605">
        <f t="shared" si="10"/>
        <v>5</v>
      </c>
      <c r="BJ10" s="3606">
        <f t="shared" si="10"/>
        <v>188</v>
      </c>
      <c r="BK10" s="3604">
        <f t="shared" si="10"/>
        <v>29</v>
      </c>
      <c r="BL10" s="3605">
        <f t="shared" si="10"/>
        <v>119</v>
      </c>
      <c r="BM10" s="3605">
        <f t="shared" si="10"/>
        <v>37</v>
      </c>
      <c r="BN10" s="3605">
        <f t="shared" si="10"/>
        <v>5</v>
      </c>
      <c r="BO10" s="3606">
        <f t="shared" si="10"/>
        <v>190</v>
      </c>
      <c r="BP10" s="3604">
        <f t="shared" ref="BP10:DC10" si="11">SUM(BP7:BP9)</f>
        <v>37</v>
      </c>
      <c r="BQ10" s="3605">
        <f t="shared" si="11"/>
        <v>138</v>
      </c>
      <c r="BR10" s="3605">
        <f t="shared" si="11"/>
        <v>41</v>
      </c>
      <c r="BS10" s="3605">
        <f t="shared" si="11"/>
        <v>6</v>
      </c>
      <c r="BT10" s="3606">
        <f t="shared" si="11"/>
        <v>222</v>
      </c>
      <c r="BU10" s="3604">
        <f t="shared" si="11"/>
        <v>31</v>
      </c>
      <c r="BV10" s="3605">
        <f t="shared" si="11"/>
        <v>149</v>
      </c>
      <c r="BW10" s="3605">
        <f t="shared" si="11"/>
        <v>44</v>
      </c>
      <c r="BX10" s="3605">
        <f t="shared" si="11"/>
        <v>7</v>
      </c>
      <c r="BY10" s="3606">
        <f t="shared" si="11"/>
        <v>231</v>
      </c>
      <c r="BZ10" s="3604">
        <f t="shared" si="11"/>
        <v>33</v>
      </c>
      <c r="CA10" s="3605">
        <f t="shared" si="11"/>
        <v>144</v>
      </c>
      <c r="CB10" s="3605">
        <f t="shared" si="11"/>
        <v>48</v>
      </c>
      <c r="CC10" s="3605">
        <f t="shared" si="11"/>
        <v>9</v>
      </c>
      <c r="CD10" s="3606">
        <f t="shared" si="11"/>
        <v>234</v>
      </c>
      <c r="CE10" s="3604">
        <f t="shared" si="11"/>
        <v>39</v>
      </c>
      <c r="CF10" s="3605">
        <f t="shared" si="11"/>
        <v>154</v>
      </c>
      <c r="CG10" s="3605">
        <f t="shared" si="11"/>
        <v>46</v>
      </c>
      <c r="CH10" s="3605">
        <f t="shared" si="11"/>
        <v>12</v>
      </c>
      <c r="CI10" s="3606">
        <f t="shared" si="11"/>
        <v>251</v>
      </c>
      <c r="CJ10" s="3604">
        <f t="shared" si="11"/>
        <v>39</v>
      </c>
      <c r="CK10" s="3605">
        <f t="shared" si="11"/>
        <v>157</v>
      </c>
      <c r="CL10" s="3605">
        <f t="shared" si="11"/>
        <v>45</v>
      </c>
      <c r="CM10" s="3605">
        <f t="shared" si="11"/>
        <v>12</v>
      </c>
      <c r="CN10" s="3606">
        <f t="shared" si="11"/>
        <v>253</v>
      </c>
      <c r="CO10" s="3604">
        <f t="shared" si="11"/>
        <v>34</v>
      </c>
      <c r="CP10" s="3605">
        <f t="shared" si="11"/>
        <v>155</v>
      </c>
      <c r="CQ10" s="3605">
        <f t="shared" si="11"/>
        <v>42</v>
      </c>
      <c r="CR10" s="3605">
        <f t="shared" si="11"/>
        <v>13</v>
      </c>
      <c r="CS10" s="3606">
        <f t="shared" si="11"/>
        <v>244</v>
      </c>
      <c r="CT10" s="3604">
        <f t="shared" si="11"/>
        <v>39</v>
      </c>
      <c r="CU10" s="3605">
        <f t="shared" si="11"/>
        <v>149</v>
      </c>
      <c r="CV10" s="3605">
        <f t="shared" si="11"/>
        <v>41</v>
      </c>
      <c r="CW10" s="3605">
        <f t="shared" si="11"/>
        <v>16</v>
      </c>
      <c r="CX10" s="3606">
        <f t="shared" si="11"/>
        <v>245</v>
      </c>
      <c r="CY10" s="3604">
        <f t="shared" si="11"/>
        <v>49</v>
      </c>
      <c r="CZ10" s="3605">
        <f t="shared" si="11"/>
        <v>150</v>
      </c>
      <c r="DA10" s="3605">
        <f t="shared" si="11"/>
        <v>41</v>
      </c>
      <c r="DB10" s="3605">
        <f t="shared" si="11"/>
        <v>16</v>
      </c>
      <c r="DC10" s="3606">
        <f t="shared" si="11"/>
        <v>256</v>
      </c>
      <c r="DD10" s="3604">
        <f t="shared" ref="DD10:DH10" si="12">SUM(DD7:DD9)</f>
        <v>42</v>
      </c>
      <c r="DE10" s="3605">
        <f t="shared" si="12"/>
        <v>159</v>
      </c>
      <c r="DF10" s="3605">
        <f t="shared" si="12"/>
        <v>43</v>
      </c>
      <c r="DG10" s="3605">
        <f t="shared" si="12"/>
        <v>15</v>
      </c>
      <c r="DH10" s="3606">
        <f t="shared" si="12"/>
        <v>259</v>
      </c>
      <c r="DI10" s="3604">
        <f t="shared" ref="DI10:DM10" si="13">SUM(DI7:DI9)</f>
        <v>42</v>
      </c>
      <c r="DJ10" s="3605">
        <f t="shared" si="13"/>
        <v>171</v>
      </c>
      <c r="DK10" s="3605">
        <f t="shared" si="13"/>
        <v>49</v>
      </c>
      <c r="DL10" s="3605">
        <f t="shared" si="13"/>
        <v>16</v>
      </c>
      <c r="DM10" s="3606">
        <f t="shared" si="13"/>
        <v>278</v>
      </c>
    </row>
    <row r="11" spans="2:117" ht="15" customHeight="1" x14ac:dyDescent="0.25">
      <c r="B11" s="3580"/>
      <c r="C11" s="3607"/>
      <c r="D11" s="3607"/>
      <c r="E11" s="3607"/>
      <c r="F11" s="3607"/>
      <c r="G11" s="3607"/>
      <c r="H11" s="3607"/>
      <c r="I11" s="3607"/>
      <c r="J11" s="3607"/>
      <c r="K11" s="3607"/>
      <c r="L11" s="3607"/>
      <c r="M11" s="3607"/>
      <c r="N11" s="3607"/>
      <c r="O11" s="3607"/>
      <c r="P11" s="3607"/>
      <c r="Q11" s="3607"/>
      <c r="R11" s="3607"/>
      <c r="S11" s="3607"/>
      <c r="T11" s="3607"/>
      <c r="U11" s="3607"/>
      <c r="V11" s="3607"/>
      <c r="W11" s="3607"/>
      <c r="X11" s="3607"/>
      <c r="Y11" s="3607"/>
      <c r="Z11" s="3607"/>
      <c r="AA11" s="3607"/>
      <c r="AB11" s="3607"/>
      <c r="AC11" s="3607"/>
      <c r="AD11" s="3607"/>
      <c r="AE11" s="3607"/>
      <c r="AF11" s="3607"/>
      <c r="AG11" s="3607"/>
      <c r="AH11" s="3607"/>
      <c r="AI11" s="3607"/>
      <c r="AJ11" s="3607"/>
      <c r="AK11" s="3607"/>
      <c r="AL11" s="3607"/>
      <c r="AM11" s="3607"/>
      <c r="AN11" s="3607"/>
      <c r="AO11" s="3607"/>
      <c r="AP11" s="3607"/>
      <c r="AQ11" s="3607"/>
      <c r="AR11" s="3607"/>
      <c r="AS11" s="3607"/>
      <c r="AT11" s="3607"/>
      <c r="AU11" s="3607"/>
      <c r="AV11" s="3607"/>
      <c r="AW11" s="3607"/>
      <c r="AX11" s="3607"/>
      <c r="AY11" s="3607"/>
      <c r="AZ11" s="3607"/>
      <c r="BA11" s="3607"/>
      <c r="BB11" s="3607"/>
      <c r="BC11" s="3607"/>
      <c r="BD11" s="3607"/>
      <c r="BE11" s="3607"/>
      <c r="BF11" s="3607"/>
      <c r="BG11" s="3607"/>
      <c r="BH11" s="3607"/>
      <c r="BI11" s="3607"/>
      <c r="BJ11" s="3607"/>
      <c r="BK11" s="3607"/>
      <c r="BL11" s="3607"/>
      <c r="BM11" s="3607"/>
      <c r="BN11" s="3607"/>
      <c r="BO11" s="3607"/>
      <c r="BP11" s="3607"/>
      <c r="BQ11" s="3607"/>
      <c r="BR11" s="3607"/>
      <c r="BS11" s="3607"/>
      <c r="BT11" s="3607"/>
      <c r="BU11" s="3607"/>
      <c r="BV11" s="3607"/>
      <c r="BW11" s="3607"/>
      <c r="BX11" s="3607"/>
      <c r="BY11" s="3607"/>
      <c r="BZ11" s="3607"/>
      <c r="CA11" s="3607"/>
      <c r="CB11" s="3607"/>
      <c r="CC11" s="3607"/>
      <c r="CD11" s="3607"/>
      <c r="CE11" s="3607"/>
      <c r="CF11" s="3607"/>
      <c r="CG11" s="3607"/>
      <c r="CH11" s="3607"/>
      <c r="CI11" s="3607"/>
      <c r="CJ11" s="3607"/>
      <c r="CK11" s="3607"/>
      <c r="CL11" s="3607"/>
      <c r="CM11" s="3607"/>
      <c r="CN11" s="3607"/>
      <c r="CO11" s="3607"/>
      <c r="CP11" s="3607"/>
      <c r="CQ11" s="3607"/>
      <c r="CR11" s="3607"/>
      <c r="CS11" s="3607"/>
      <c r="CT11" s="3607"/>
      <c r="CU11" s="3607"/>
      <c r="CV11" s="3607"/>
      <c r="CW11" s="3607"/>
      <c r="CX11" s="3607"/>
      <c r="CY11" s="3607"/>
      <c r="CZ11" s="3607"/>
      <c r="DA11" s="3607"/>
      <c r="DB11" s="3607"/>
      <c r="DC11" s="3607"/>
      <c r="DD11" s="3607"/>
      <c r="DE11" s="3607"/>
      <c r="DF11" s="3607"/>
      <c r="DG11" s="3607"/>
      <c r="DH11" s="3607"/>
      <c r="DI11" s="3607"/>
      <c r="DJ11" s="3607"/>
      <c r="DK11" s="3607"/>
      <c r="DL11" s="3607"/>
      <c r="DM11" s="3607"/>
    </row>
    <row r="12" spans="2:117" ht="15" customHeight="1" x14ac:dyDescent="0.25">
      <c r="B12" s="3591" t="s">
        <v>64</v>
      </c>
      <c r="C12" s="3592"/>
      <c r="D12" s="3593"/>
      <c r="E12" s="3593"/>
      <c r="F12" s="3593"/>
      <c r="G12" s="3594"/>
      <c r="H12" s="3592"/>
      <c r="I12" s="3593"/>
      <c r="J12" s="3593"/>
      <c r="K12" s="3593"/>
      <c r="L12" s="3594"/>
      <c r="M12" s="3592"/>
      <c r="N12" s="3593"/>
      <c r="O12" s="3593"/>
      <c r="P12" s="3593"/>
      <c r="Q12" s="3594"/>
      <c r="R12" s="3592"/>
      <c r="S12" s="3593"/>
      <c r="T12" s="3593"/>
      <c r="U12" s="3593"/>
      <c r="V12" s="3594"/>
      <c r="W12" s="3592"/>
      <c r="X12" s="3593"/>
      <c r="Y12" s="3593"/>
      <c r="Z12" s="3593"/>
      <c r="AA12" s="3594"/>
      <c r="AB12" s="3592"/>
      <c r="AC12" s="3593">
        <v>4</v>
      </c>
      <c r="AD12" s="3593">
        <v>3</v>
      </c>
      <c r="AE12" s="3593"/>
      <c r="AF12" s="3594">
        <f t="shared" si="0"/>
        <v>7</v>
      </c>
      <c r="AG12" s="3592"/>
      <c r="AH12" s="3593">
        <v>3</v>
      </c>
      <c r="AI12" s="3593">
        <v>4</v>
      </c>
      <c r="AJ12" s="3593"/>
      <c r="AK12" s="3594">
        <f t="shared" si="1"/>
        <v>7</v>
      </c>
      <c r="AL12" s="3592">
        <v>7</v>
      </c>
      <c r="AM12" s="3593">
        <v>6</v>
      </c>
      <c r="AN12" s="3593">
        <v>3</v>
      </c>
      <c r="AO12" s="3593"/>
      <c r="AP12" s="3594">
        <f t="shared" si="2"/>
        <v>16</v>
      </c>
      <c r="AQ12" s="3592">
        <v>16</v>
      </c>
      <c r="AR12" s="3593">
        <v>12</v>
      </c>
      <c r="AS12" s="3593">
        <v>5</v>
      </c>
      <c r="AT12" s="3593">
        <v>2</v>
      </c>
      <c r="AU12" s="3594">
        <f t="shared" si="3"/>
        <v>35</v>
      </c>
      <c r="AV12" s="3592">
        <v>16</v>
      </c>
      <c r="AW12" s="3593">
        <v>14</v>
      </c>
      <c r="AX12" s="3593">
        <v>5</v>
      </c>
      <c r="AY12" s="3593">
        <v>1</v>
      </c>
      <c r="AZ12" s="3594">
        <f t="shared" si="4"/>
        <v>36</v>
      </c>
      <c r="BA12" s="3592">
        <v>11</v>
      </c>
      <c r="BB12" s="3593">
        <v>22</v>
      </c>
      <c r="BC12" s="3593">
        <v>5</v>
      </c>
      <c r="BD12" s="3593">
        <v>1</v>
      </c>
      <c r="BE12" s="3594">
        <f t="shared" si="5"/>
        <v>39</v>
      </c>
      <c r="BF12" s="3592">
        <v>13</v>
      </c>
      <c r="BG12" s="3593">
        <v>23</v>
      </c>
      <c r="BH12" s="3593">
        <v>6</v>
      </c>
      <c r="BI12" s="3593">
        <v>1</v>
      </c>
      <c r="BJ12" s="3594">
        <f t="shared" si="6"/>
        <v>43</v>
      </c>
      <c r="BK12" s="3592">
        <v>8</v>
      </c>
      <c r="BL12" s="3593">
        <v>27</v>
      </c>
      <c r="BM12" s="3593">
        <v>7</v>
      </c>
      <c r="BN12" s="3593"/>
      <c r="BO12" s="3594">
        <f t="shared" si="7"/>
        <v>42</v>
      </c>
      <c r="BP12" s="3592">
        <v>6</v>
      </c>
      <c r="BQ12" s="3593">
        <v>33</v>
      </c>
      <c r="BR12" s="3593">
        <v>7</v>
      </c>
      <c r="BS12" s="3593"/>
      <c r="BT12" s="3594">
        <f t="shared" si="8"/>
        <v>46</v>
      </c>
      <c r="BU12" s="3592">
        <v>6</v>
      </c>
      <c r="BV12" s="3593">
        <v>30</v>
      </c>
      <c r="BW12" s="3593">
        <v>8</v>
      </c>
      <c r="BX12" s="3593"/>
      <c r="BY12" s="3594">
        <f t="shared" si="9"/>
        <v>44</v>
      </c>
      <c r="BZ12" s="3592">
        <v>6</v>
      </c>
      <c r="CA12" s="3593">
        <v>34</v>
      </c>
      <c r="CB12" s="3593">
        <v>9</v>
      </c>
      <c r="CC12" s="3593"/>
      <c r="CD12" s="3594">
        <f>SUM(BZ12:CC12)</f>
        <v>49</v>
      </c>
      <c r="CE12" s="3592">
        <v>8</v>
      </c>
      <c r="CF12" s="3593">
        <v>36</v>
      </c>
      <c r="CG12" s="3593">
        <v>11</v>
      </c>
      <c r="CH12" s="3593"/>
      <c r="CI12" s="3594">
        <f>SUM(CE12:CH12)</f>
        <v>55</v>
      </c>
      <c r="CJ12" s="3592">
        <v>10</v>
      </c>
      <c r="CK12" s="3593">
        <v>31</v>
      </c>
      <c r="CL12" s="3593">
        <v>10</v>
      </c>
      <c r="CM12" s="3593">
        <v>1</v>
      </c>
      <c r="CN12" s="3594">
        <f>SUM(CJ12:CM12)</f>
        <v>52</v>
      </c>
      <c r="CO12" s="3592">
        <v>6</v>
      </c>
      <c r="CP12" s="3593">
        <v>28</v>
      </c>
      <c r="CQ12" s="3593">
        <v>9</v>
      </c>
      <c r="CR12" s="3593">
        <v>1</v>
      </c>
      <c r="CS12" s="3594">
        <f>SUM(CO12:CR12)</f>
        <v>44</v>
      </c>
      <c r="CT12" s="3592">
        <v>5</v>
      </c>
      <c r="CU12" s="3593">
        <v>28</v>
      </c>
      <c r="CV12" s="3593">
        <v>10</v>
      </c>
      <c r="CW12" s="3593">
        <v>1</v>
      </c>
      <c r="CX12" s="3594">
        <f>SUM(CT12:CW12)</f>
        <v>44</v>
      </c>
      <c r="CY12" s="3592">
        <v>4</v>
      </c>
      <c r="CZ12" s="3593">
        <v>28</v>
      </c>
      <c r="DA12" s="3593">
        <v>10</v>
      </c>
      <c r="DB12" s="3593">
        <v>1</v>
      </c>
      <c r="DC12" s="3594">
        <f>SUM(CY12:DB12)</f>
        <v>43</v>
      </c>
      <c r="DD12" s="3592">
        <v>6</v>
      </c>
      <c r="DE12" s="3593">
        <v>28</v>
      </c>
      <c r="DF12" s="3593">
        <v>12</v>
      </c>
      <c r="DG12" s="3593">
        <v>1</v>
      </c>
      <c r="DH12" s="3594">
        <f>SUM(DD12:DG12)</f>
        <v>47</v>
      </c>
      <c r="DI12" s="3592">
        <v>6</v>
      </c>
      <c r="DJ12" s="3593">
        <v>38</v>
      </c>
      <c r="DK12" s="3593">
        <v>11</v>
      </c>
      <c r="DL12" s="3593">
        <v>2</v>
      </c>
      <c r="DM12" s="3594">
        <f>SUM(DI12:DL12)</f>
        <v>57</v>
      </c>
    </row>
    <row r="13" spans="2:117" ht="15" customHeight="1" x14ac:dyDescent="0.25">
      <c r="B13" s="3595" t="s">
        <v>111</v>
      </c>
      <c r="C13" s="3596"/>
      <c r="D13" s="3597"/>
      <c r="E13" s="3597"/>
      <c r="F13" s="3597"/>
      <c r="G13" s="3598"/>
      <c r="H13" s="3596"/>
      <c r="I13" s="3597"/>
      <c r="J13" s="3597"/>
      <c r="K13" s="3597"/>
      <c r="L13" s="3598"/>
      <c r="M13" s="3596"/>
      <c r="N13" s="3597"/>
      <c r="O13" s="3597"/>
      <c r="P13" s="3597"/>
      <c r="Q13" s="3598"/>
      <c r="R13" s="3596"/>
      <c r="S13" s="3597"/>
      <c r="T13" s="3597"/>
      <c r="U13" s="3597"/>
      <c r="V13" s="3598"/>
      <c r="W13" s="3596"/>
      <c r="X13" s="3597"/>
      <c r="Y13" s="3597"/>
      <c r="Z13" s="3597"/>
      <c r="AA13" s="3598"/>
      <c r="AB13" s="3596"/>
      <c r="AC13" s="3597">
        <v>1</v>
      </c>
      <c r="AD13" s="3597"/>
      <c r="AE13" s="3597"/>
      <c r="AF13" s="3598">
        <f t="shared" si="0"/>
        <v>1</v>
      </c>
      <c r="AG13" s="3596"/>
      <c r="AH13" s="3597">
        <v>1</v>
      </c>
      <c r="AI13" s="3597"/>
      <c r="AJ13" s="3597"/>
      <c r="AK13" s="3598">
        <f t="shared" si="1"/>
        <v>1</v>
      </c>
      <c r="AL13" s="3596"/>
      <c r="AM13" s="3597">
        <v>1</v>
      </c>
      <c r="AN13" s="3597"/>
      <c r="AO13" s="3597"/>
      <c r="AP13" s="3598">
        <f t="shared" si="2"/>
        <v>1</v>
      </c>
      <c r="AQ13" s="3596">
        <v>3</v>
      </c>
      <c r="AR13" s="3597">
        <v>7</v>
      </c>
      <c r="AS13" s="3597">
        <v>1</v>
      </c>
      <c r="AT13" s="3597"/>
      <c r="AU13" s="3598">
        <f t="shared" si="3"/>
        <v>11</v>
      </c>
      <c r="AV13" s="3596">
        <v>3</v>
      </c>
      <c r="AW13" s="3597">
        <v>8</v>
      </c>
      <c r="AX13" s="3597">
        <v>2</v>
      </c>
      <c r="AY13" s="3597"/>
      <c r="AZ13" s="3598">
        <f t="shared" si="4"/>
        <v>13</v>
      </c>
      <c r="BA13" s="3596">
        <v>5</v>
      </c>
      <c r="BB13" s="3597">
        <v>7</v>
      </c>
      <c r="BC13" s="3597">
        <v>2</v>
      </c>
      <c r="BD13" s="3597">
        <v>1</v>
      </c>
      <c r="BE13" s="3598">
        <f t="shared" si="5"/>
        <v>15</v>
      </c>
      <c r="BF13" s="3596">
        <v>5</v>
      </c>
      <c r="BG13" s="3597">
        <v>7</v>
      </c>
      <c r="BH13" s="3597">
        <v>2</v>
      </c>
      <c r="BI13" s="3597">
        <v>1</v>
      </c>
      <c r="BJ13" s="3598">
        <f t="shared" si="6"/>
        <v>15</v>
      </c>
      <c r="BK13" s="3596">
        <v>6</v>
      </c>
      <c r="BL13" s="3597">
        <v>9</v>
      </c>
      <c r="BM13" s="3597">
        <v>2</v>
      </c>
      <c r="BN13" s="3597">
        <v>1</v>
      </c>
      <c r="BO13" s="3598">
        <f t="shared" si="7"/>
        <v>18</v>
      </c>
      <c r="BP13" s="3596">
        <v>5</v>
      </c>
      <c r="BQ13" s="3597">
        <v>10</v>
      </c>
      <c r="BR13" s="3597">
        <v>2</v>
      </c>
      <c r="BS13" s="3597">
        <v>1</v>
      </c>
      <c r="BT13" s="3598">
        <f t="shared" si="8"/>
        <v>18</v>
      </c>
      <c r="BU13" s="3596">
        <v>2</v>
      </c>
      <c r="BV13" s="3597">
        <v>15</v>
      </c>
      <c r="BW13" s="3597">
        <v>1</v>
      </c>
      <c r="BX13" s="3597">
        <v>1</v>
      </c>
      <c r="BY13" s="3598">
        <f t="shared" si="9"/>
        <v>19</v>
      </c>
      <c r="BZ13" s="3596">
        <v>3</v>
      </c>
      <c r="CA13" s="3597">
        <v>16</v>
      </c>
      <c r="CB13" s="3597">
        <v>1</v>
      </c>
      <c r="CC13" s="3597">
        <v>2</v>
      </c>
      <c r="CD13" s="3598">
        <f>SUM(BZ13:CC13)</f>
        <v>22</v>
      </c>
      <c r="CE13" s="3596">
        <v>1</v>
      </c>
      <c r="CF13" s="3597">
        <v>14</v>
      </c>
      <c r="CG13" s="3597">
        <v>2</v>
      </c>
      <c r="CH13" s="3597">
        <v>2</v>
      </c>
      <c r="CI13" s="3598">
        <f>SUM(CE13:CH13)</f>
        <v>19</v>
      </c>
      <c r="CJ13" s="3596">
        <v>6</v>
      </c>
      <c r="CK13" s="3597">
        <v>10</v>
      </c>
      <c r="CL13" s="3597">
        <v>3</v>
      </c>
      <c r="CM13" s="3597">
        <v>2</v>
      </c>
      <c r="CN13" s="3598">
        <f>SUM(CJ13:CM13)</f>
        <v>21</v>
      </c>
      <c r="CO13" s="3596">
        <v>5</v>
      </c>
      <c r="CP13" s="3597">
        <v>9</v>
      </c>
      <c r="CQ13" s="3597">
        <v>4</v>
      </c>
      <c r="CR13" s="3597">
        <v>2</v>
      </c>
      <c r="CS13" s="3598">
        <f>SUM(CO13:CR13)</f>
        <v>20</v>
      </c>
      <c r="CT13" s="3596">
        <v>4</v>
      </c>
      <c r="CU13" s="3597">
        <v>10</v>
      </c>
      <c r="CV13" s="3597">
        <v>4</v>
      </c>
      <c r="CW13" s="3597">
        <v>2</v>
      </c>
      <c r="CX13" s="3598">
        <f>SUM(CT13:CW13)</f>
        <v>20</v>
      </c>
      <c r="CY13" s="3596">
        <v>3</v>
      </c>
      <c r="CZ13" s="3597">
        <v>9</v>
      </c>
      <c r="DA13" s="3597">
        <v>4</v>
      </c>
      <c r="DB13" s="3597">
        <v>2</v>
      </c>
      <c r="DC13" s="3598">
        <f>SUM(CY13:DB13)</f>
        <v>18</v>
      </c>
      <c r="DD13" s="3596">
        <v>4</v>
      </c>
      <c r="DE13" s="3597">
        <v>9</v>
      </c>
      <c r="DF13" s="3597">
        <v>5</v>
      </c>
      <c r="DG13" s="3597">
        <v>2</v>
      </c>
      <c r="DH13" s="3598">
        <f>SUM(DD13:DG13)</f>
        <v>20</v>
      </c>
      <c r="DI13" s="3596">
        <v>2</v>
      </c>
      <c r="DJ13" s="3597">
        <v>10</v>
      </c>
      <c r="DK13" s="3597">
        <v>5</v>
      </c>
      <c r="DL13" s="3597">
        <v>2</v>
      </c>
      <c r="DM13" s="3598">
        <f>SUM(DI13:DL13)</f>
        <v>19</v>
      </c>
    </row>
    <row r="14" spans="2:117" ht="15" customHeight="1" x14ac:dyDescent="0.25">
      <c r="B14" s="3599" t="s">
        <v>115</v>
      </c>
      <c r="C14" s="3600"/>
      <c r="D14" s="3601"/>
      <c r="E14" s="3601"/>
      <c r="F14" s="3601"/>
      <c r="G14" s="3602"/>
      <c r="H14" s="3600"/>
      <c r="I14" s="3601"/>
      <c r="J14" s="3601"/>
      <c r="K14" s="3601"/>
      <c r="L14" s="3602"/>
      <c r="M14" s="3600"/>
      <c r="N14" s="3601"/>
      <c r="O14" s="3601"/>
      <c r="P14" s="3601"/>
      <c r="Q14" s="3602"/>
      <c r="R14" s="3600"/>
      <c r="S14" s="3601"/>
      <c r="T14" s="3601"/>
      <c r="U14" s="3601"/>
      <c r="V14" s="3602"/>
      <c r="W14" s="3600"/>
      <c r="X14" s="3601"/>
      <c r="Y14" s="3601"/>
      <c r="Z14" s="3601"/>
      <c r="AA14" s="3602"/>
      <c r="AB14" s="3600">
        <v>1</v>
      </c>
      <c r="AC14" s="3601">
        <v>1</v>
      </c>
      <c r="AD14" s="3601">
        <v>1</v>
      </c>
      <c r="AE14" s="3601">
        <v>1</v>
      </c>
      <c r="AF14" s="3602">
        <f t="shared" si="0"/>
        <v>4</v>
      </c>
      <c r="AG14" s="3600">
        <v>2</v>
      </c>
      <c r="AH14" s="3601">
        <v>2</v>
      </c>
      <c r="AI14" s="3601">
        <v>1</v>
      </c>
      <c r="AJ14" s="3601">
        <v>2</v>
      </c>
      <c r="AK14" s="3602">
        <f t="shared" si="1"/>
        <v>7</v>
      </c>
      <c r="AL14" s="3600">
        <v>7</v>
      </c>
      <c r="AM14" s="3601">
        <v>9</v>
      </c>
      <c r="AN14" s="3601">
        <v>1</v>
      </c>
      <c r="AO14" s="3601">
        <v>1</v>
      </c>
      <c r="AP14" s="3602">
        <f t="shared" si="2"/>
        <v>18</v>
      </c>
      <c r="AQ14" s="3600">
        <v>6</v>
      </c>
      <c r="AR14" s="3601">
        <v>17</v>
      </c>
      <c r="AS14" s="3601"/>
      <c r="AT14" s="3601">
        <v>3</v>
      </c>
      <c r="AU14" s="3602">
        <f t="shared" si="3"/>
        <v>26</v>
      </c>
      <c r="AV14" s="3600">
        <v>7</v>
      </c>
      <c r="AW14" s="3601">
        <v>16</v>
      </c>
      <c r="AX14" s="3601"/>
      <c r="AY14" s="3601">
        <v>2</v>
      </c>
      <c r="AZ14" s="3602">
        <f t="shared" si="4"/>
        <v>25</v>
      </c>
      <c r="BA14" s="3600">
        <v>11</v>
      </c>
      <c r="BB14" s="3601">
        <v>25</v>
      </c>
      <c r="BC14" s="3601">
        <v>1</v>
      </c>
      <c r="BD14" s="3601">
        <v>3</v>
      </c>
      <c r="BE14" s="3602">
        <f t="shared" si="5"/>
        <v>40</v>
      </c>
      <c r="BF14" s="3600">
        <v>10</v>
      </c>
      <c r="BG14" s="3601">
        <v>25</v>
      </c>
      <c r="BH14" s="3601">
        <v>1</v>
      </c>
      <c r="BI14" s="3601">
        <v>3</v>
      </c>
      <c r="BJ14" s="3602">
        <f t="shared" si="6"/>
        <v>39</v>
      </c>
      <c r="BK14" s="3600">
        <v>12</v>
      </c>
      <c r="BL14" s="3601">
        <v>29</v>
      </c>
      <c r="BM14" s="3601">
        <v>2</v>
      </c>
      <c r="BN14" s="3601">
        <v>3</v>
      </c>
      <c r="BO14" s="3602">
        <f t="shared" si="7"/>
        <v>46</v>
      </c>
      <c r="BP14" s="3600">
        <v>13</v>
      </c>
      <c r="BQ14" s="3601">
        <v>33</v>
      </c>
      <c r="BR14" s="3601">
        <v>2</v>
      </c>
      <c r="BS14" s="3601">
        <v>3</v>
      </c>
      <c r="BT14" s="3602">
        <f t="shared" si="8"/>
        <v>51</v>
      </c>
      <c r="BU14" s="3600">
        <v>11</v>
      </c>
      <c r="BV14" s="3601">
        <v>33</v>
      </c>
      <c r="BW14" s="3601">
        <v>5</v>
      </c>
      <c r="BX14" s="3601">
        <v>3</v>
      </c>
      <c r="BY14" s="3602">
        <f t="shared" si="9"/>
        <v>52</v>
      </c>
      <c r="BZ14" s="3600">
        <v>7</v>
      </c>
      <c r="CA14" s="3601">
        <v>32</v>
      </c>
      <c r="CB14" s="3601">
        <v>5</v>
      </c>
      <c r="CC14" s="3601">
        <v>3</v>
      </c>
      <c r="CD14" s="3602">
        <f>SUM(BZ14:CC14)</f>
        <v>47</v>
      </c>
      <c r="CE14" s="3600">
        <v>7</v>
      </c>
      <c r="CF14" s="3601">
        <v>33</v>
      </c>
      <c r="CG14" s="3601">
        <v>6</v>
      </c>
      <c r="CH14" s="3601">
        <v>3</v>
      </c>
      <c r="CI14" s="3602">
        <f>SUM(CE14:CH14)</f>
        <v>49</v>
      </c>
      <c r="CJ14" s="3600">
        <v>6</v>
      </c>
      <c r="CK14" s="3601">
        <v>29</v>
      </c>
      <c r="CL14" s="3601">
        <v>7</v>
      </c>
      <c r="CM14" s="3601">
        <v>3</v>
      </c>
      <c r="CN14" s="3602">
        <f>SUM(CJ14:CM14)</f>
        <v>45</v>
      </c>
      <c r="CO14" s="3600">
        <v>16</v>
      </c>
      <c r="CP14" s="3601">
        <v>29</v>
      </c>
      <c r="CQ14" s="3601">
        <v>5</v>
      </c>
      <c r="CR14" s="3601">
        <v>4</v>
      </c>
      <c r="CS14" s="3602">
        <f>SUM(CO14:CR14)</f>
        <v>54</v>
      </c>
      <c r="CT14" s="3600">
        <v>13</v>
      </c>
      <c r="CU14" s="3601">
        <v>35</v>
      </c>
      <c r="CV14" s="3601">
        <v>6</v>
      </c>
      <c r="CW14" s="3601">
        <v>4</v>
      </c>
      <c r="CX14" s="3602">
        <f>SUM(CT14:CW14)</f>
        <v>58</v>
      </c>
      <c r="CY14" s="3600">
        <v>10</v>
      </c>
      <c r="CZ14" s="3601">
        <v>33</v>
      </c>
      <c r="DA14" s="3601">
        <v>6</v>
      </c>
      <c r="DB14" s="3601">
        <v>4</v>
      </c>
      <c r="DC14" s="3602">
        <f>SUM(CY14:DB14)</f>
        <v>53</v>
      </c>
      <c r="DD14" s="3600">
        <v>8</v>
      </c>
      <c r="DE14" s="3601">
        <v>32</v>
      </c>
      <c r="DF14" s="3601">
        <v>7</v>
      </c>
      <c r="DG14" s="3601">
        <v>3</v>
      </c>
      <c r="DH14" s="3602">
        <f>SUM(DD14:DG14)</f>
        <v>50</v>
      </c>
      <c r="DI14" s="3600">
        <v>8</v>
      </c>
      <c r="DJ14" s="3601">
        <v>36</v>
      </c>
      <c r="DK14" s="3601">
        <v>5</v>
      </c>
      <c r="DL14" s="3601">
        <v>4</v>
      </c>
      <c r="DM14" s="3602">
        <f>SUM(DI14:DL14)</f>
        <v>53</v>
      </c>
    </row>
    <row r="15" spans="2:117" ht="15" customHeight="1" x14ac:dyDescent="0.25">
      <c r="B15" s="3608" t="s">
        <v>134</v>
      </c>
      <c r="C15" s="3609"/>
      <c r="D15" s="3610"/>
      <c r="E15" s="3610"/>
      <c r="F15" s="3610"/>
      <c r="G15" s="3611"/>
      <c r="H15" s="3609"/>
      <c r="I15" s="3610"/>
      <c r="J15" s="3610"/>
      <c r="K15" s="3610"/>
      <c r="L15" s="3611"/>
      <c r="M15" s="3609"/>
      <c r="N15" s="3610"/>
      <c r="O15" s="3610"/>
      <c r="P15" s="3610"/>
      <c r="Q15" s="3611"/>
      <c r="R15" s="3609"/>
      <c r="S15" s="3610"/>
      <c r="T15" s="3610"/>
      <c r="U15" s="3610"/>
      <c r="V15" s="3611"/>
      <c r="W15" s="3609"/>
      <c r="X15" s="3610"/>
      <c r="Y15" s="3610"/>
      <c r="Z15" s="3610"/>
      <c r="AA15" s="3611"/>
      <c r="AB15" s="3609">
        <f>SUM(AB12:AB14)</f>
        <v>1</v>
      </c>
      <c r="AC15" s="3610">
        <f t="shared" ref="AC15:CN15" si="14">SUM(AC12:AC14)</f>
        <v>6</v>
      </c>
      <c r="AD15" s="3610">
        <f t="shared" si="14"/>
        <v>4</v>
      </c>
      <c r="AE15" s="3610">
        <f t="shared" si="14"/>
        <v>1</v>
      </c>
      <c r="AF15" s="3611">
        <f t="shared" si="14"/>
        <v>12</v>
      </c>
      <c r="AG15" s="3609">
        <f t="shared" si="14"/>
        <v>2</v>
      </c>
      <c r="AH15" s="3610">
        <f t="shared" si="14"/>
        <v>6</v>
      </c>
      <c r="AI15" s="3610">
        <f t="shared" si="14"/>
        <v>5</v>
      </c>
      <c r="AJ15" s="3610">
        <f t="shared" si="14"/>
        <v>2</v>
      </c>
      <c r="AK15" s="3611">
        <f t="shared" si="14"/>
        <v>15</v>
      </c>
      <c r="AL15" s="3609">
        <f t="shared" si="14"/>
        <v>14</v>
      </c>
      <c r="AM15" s="3610">
        <f t="shared" si="14"/>
        <v>16</v>
      </c>
      <c r="AN15" s="3610">
        <f t="shared" si="14"/>
        <v>4</v>
      </c>
      <c r="AO15" s="3610">
        <f t="shared" si="14"/>
        <v>1</v>
      </c>
      <c r="AP15" s="3611">
        <f t="shared" si="14"/>
        <v>35</v>
      </c>
      <c r="AQ15" s="3609">
        <f t="shared" si="14"/>
        <v>25</v>
      </c>
      <c r="AR15" s="3610">
        <f t="shared" si="14"/>
        <v>36</v>
      </c>
      <c r="AS15" s="3610">
        <f t="shared" si="14"/>
        <v>6</v>
      </c>
      <c r="AT15" s="3610">
        <f t="shared" si="14"/>
        <v>5</v>
      </c>
      <c r="AU15" s="3611">
        <f t="shared" si="14"/>
        <v>72</v>
      </c>
      <c r="AV15" s="3609">
        <f t="shared" si="14"/>
        <v>26</v>
      </c>
      <c r="AW15" s="3610">
        <f t="shared" si="14"/>
        <v>38</v>
      </c>
      <c r="AX15" s="3610">
        <f t="shared" si="14"/>
        <v>7</v>
      </c>
      <c r="AY15" s="3610">
        <f t="shared" si="14"/>
        <v>3</v>
      </c>
      <c r="AZ15" s="3611">
        <f t="shared" si="14"/>
        <v>74</v>
      </c>
      <c r="BA15" s="3609">
        <f t="shared" si="14"/>
        <v>27</v>
      </c>
      <c r="BB15" s="3610">
        <f t="shared" si="14"/>
        <v>54</v>
      </c>
      <c r="BC15" s="3610">
        <f t="shared" si="14"/>
        <v>8</v>
      </c>
      <c r="BD15" s="3610">
        <f t="shared" si="14"/>
        <v>5</v>
      </c>
      <c r="BE15" s="3611">
        <f t="shared" si="14"/>
        <v>94</v>
      </c>
      <c r="BF15" s="3609">
        <f t="shared" si="14"/>
        <v>28</v>
      </c>
      <c r="BG15" s="3610">
        <f t="shared" si="14"/>
        <v>55</v>
      </c>
      <c r="BH15" s="3610">
        <f t="shared" si="14"/>
        <v>9</v>
      </c>
      <c r="BI15" s="3610">
        <f t="shared" si="14"/>
        <v>5</v>
      </c>
      <c r="BJ15" s="3611">
        <f t="shared" si="14"/>
        <v>97</v>
      </c>
      <c r="BK15" s="3609">
        <f t="shared" si="14"/>
        <v>26</v>
      </c>
      <c r="BL15" s="3610">
        <f t="shared" si="14"/>
        <v>65</v>
      </c>
      <c r="BM15" s="3610">
        <f t="shared" si="14"/>
        <v>11</v>
      </c>
      <c r="BN15" s="3610">
        <f t="shared" si="14"/>
        <v>4</v>
      </c>
      <c r="BO15" s="3611">
        <f t="shared" si="14"/>
        <v>106</v>
      </c>
      <c r="BP15" s="3609">
        <f t="shared" si="14"/>
        <v>24</v>
      </c>
      <c r="BQ15" s="3610">
        <f t="shared" si="14"/>
        <v>76</v>
      </c>
      <c r="BR15" s="3610">
        <f t="shared" si="14"/>
        <v>11</v>
      </c>
      <c r="BS15" s="3610">
        <f t="shared" si="14"/>
        <v>4</v>
      </c>
      <c r="BT15" s="3611">
        <f t="shared" si="14"/>
        <v>115</v>
      </c>
      <c r="BU15" s="3609">
        <f t="shared" si="14"/>
        <v>19</v>
      </c>
      <c r="BV15" s="3610">
        <f t="shared" si="14"/>
        <v>78</v>
      </c>
      <c r="BW15" s="3610">
        <f t="shared" si="14"/>
        <v>14</v>
      </c>
      <c r="BX15" s="3610">
        <f t="shared" si="14"/>
        <v>4</v>
      </c>
      <c r="BY15" s="3611">
        <f t="shared" si="14"/>
        <v>115</v>
      </c>
      <c r="BZ15" s="3609">
        <f t="shared" si="14"/>
        <v>16</v>
      </c>
      <c r="CA15" s="3610">
        <f t="shared" si="14"/>
        <v>82</v>
      </c>
      <c r="CB15" s="3610">
        <f t="shared" si="14"/>
        <v>15</v>
      </c>
      <c r="CC15" s="3610">
        <f t="shared" si="14"/>
        <v>5</v>
      </c>
      <c r="CD15" s="3611">
        <f t="shared" si="14"/>
        <v>118</v>
      </c>
      <c r="CE15" s="3609">
        <f t="shared" si="14"/>
        <v>16</v>
      </c>
      <c r="CF15" s="3610">
        <f t="shared" si="14"/>
        <v>83</v>
      </c>
      <c r="CG15" s="3610">
        <f t="shared" si="14"/>
        <v>19</v>
      </c>
      <c r="CH15" s="3610">
        <f t="shared" si="14"/>
        <v>5</v>
      </c>
      <c r="CI15" s="3611">
        <f t="shared" si="14"/>
        <v>123</v>
      </c>
      <c r="CJ15" s="3609">
        <f t="shared" si="14"/>
        <v>22</v>
      </c>
      <c r="CK15" s="3610">
        <f t="shared" si="14"/>
        <v>70</v>
      </c>
      <c r="CL15" s="3610">
        <f t="shared" si="14"/>
        <v>20</v>
      </c>
      <c r="CM15" s="3610">
        <f t="shared" si="14"/>
        <v>6</v>
      </c>
      <c r="CN15" s="3611">
        <f t="shared" si="14"/>
        <v>118</v>
      </c>
      <c r="CO15" s="3609">
        <f t="shared" ref="CO15:DC15" si="15">SUM(CO12:CO14)</f>
        <v>27</v>
      </c>
      <c r="CP15" s="3610">
        <f t="shared" si="15"/>
        <v>66</v>
      </c>
      <c r="CQ15" s="3610">
        <f t="shared" si="15"/>
        <v>18</v>
      </c>
      <c r="CR15" s="3610">
        <f t="shared" si="15"/>
        <v>7</v>
      </c>
      <c r="CS15" s="3611">
        <f t="shared" si="15"/>
        <v>118</v>
      </c>
      <c r="CT15" s="3609">
        <f t="shared" si="15"/>
        <v>22</v>
      </c>
      <c r="CU15" s="3610">
        <f t="shared" si="15"/>
        <v>73</v>
      </c>
      <c r="CV15" s="3610">
        <f t="shared" si="15"/>
        <v>20</v>
      </c>
      <c r="CW15" s="3610">
        <f t="shared" si="15"/>
        <v>7</v>
      </c>
      <c r="CX15" s="3611">
        <f t="shared" si="15"/>
        <v>122</v>
      </c>
      <c r="CY15" s="3609">
        <f t="shared" si="15"/>
        <v>17</v>
      </c>
      <c r="CZ15" s="3610">
        <f t="shared" si="15"/>
        <v>70</v>
      </c>
      <c r="DA15" s="3610">
        <f t="shared" si="15"/>
        <v>20</v>
      </c>
      <c r="DB15" s="3610">
        <f t="shared" si="15"/>
        <v>7</v>
      </c>
      <c r="DC15" s="3611">
        <f t="shared" si="15"/>
        <v>114</v>
      </c>
      <c r="DD15" s="3609">
        <f t="shared" ref="DD15:DH15" si="16">SUM(DD12:DD14)</f>
        <v>18</v>
      </c>
      <c r="DE15" s="3610">
        <f t="shared" si="16"/>
        <v>69</v>
      </c>
      <c r="DF15" s="3610">
        <f t="shared" si="16"/>
        <v>24</v>
      </c>
      <c r="DG15" s="3610">
        <f t="shared" si="16"/>
        <v>6</v>
      </c>
      <c r="DH15" s="3611">
        <f t="shared" si="16"/>
        <v>117</v>
      </c>
      <c r="DI15" s="3609">
        <f t="shared" ref="DI15:DM15" si="17">SUM(DI12:DI14)</f>
        <v>16</v>
      </c>
      <c r="DJ15" s="3610">
        <f t="shared" si="17"/>
        <v>84</v>
      </c>
      <c r="DK15" s="3610">
        <f t="shared" si="17"/>
        <v>21</v>
      </c>
      <c r="DL15" s="3610">
        <f t="shared" si="17"/>
        <v>8</v>
      </c>
      <c r="DM15" s="3611">
        <f t="shared" si="17"/>
        <v>129</v>
      </c>
    </row>
    <row r="16" spans="2:117" ht="15" customHeight="1" x14ac:dyDescent="0.25">
      <c r="B16" s="3589"/>
      <c r="C16" s="3612"/>
      <c r="D16" s="3612"/>
      <c r="E16" s="3612"/>
      <c r="F16" s="3612"/>
      <c r="G16" s="3612"/>
      <c r="H16" s="3612"/>
      <c r="I16" s="3612"/>
      <c r="J16" s="3612"/>
      <c r="K16" s="3612"/>
      <c r="L16" s="3612"/>
      <c r="M16" s="3612"/>
      <c r="N16" s="3612"/>
      <c r="O16" s="3612"/>
      <c r="P16" s="3612"/>
      <c r="Q16" s="3612"/>
      <c r="R16" s="3612"/>
      <c r="S16" s="3612"/>
      <c r="T16" s="3612"/>
      <c r="U16" s="3612"/>
      <c r="V16" s="3612"/>
      <c r="W16" s="3612"/>
      <c r="X16" s="3612"/>
      <c r="Y16" s="3612"/>
      <c r="Z16" s="3612"/>
      <c r="AA16" s="3612"/>
      <c r="AB16" s="3612"/>
      <c r="AC16" s="3612"/>
      <c r="AD16" s="3612"/>
      <c r="AE16" s="3612"/>
      <c r="AF16" s="3612"/>
      <c r="AG16" s="3612"/>
      <c r="AH16" s="3612"/>
      <c r="AI16" s="3612"/>
      <c r="AJ16" s="3612"/>
      <c r="AK16" s="3612"/>
      <c r="AL16" s="3612"/>
      <c r="AM16" s="3612"/>
      <c r="AN16" s="3612"/>
      <c r="AO16" s="3612"/>
      <c r="AP16" s="3612"/>
      <c r="AQ16" s="3612"/>
      <c r="AR16" s="3612"/>
      <c r="AS16" s="3612"/>
      <c r="AT16" s="3612"/>
      <c r="AU16" s="3612"/>
      <c r="AV16" s="3612"/>
      <c r="AW16" s="3612"/>
      <c r="AX16" s="3612"/>
      <c r="AY16" s="3612"/>
      <c r="AZ16" s="3612"/>
      <c r="BA16" s="3612"/>
      <c r="BB16" s="3612"/>
      <c r="BC16" s="3612"/>
      <c r="BD16" s="3612"/>
      <c r="BE16" s="3612"/>
      <c r="BF16" s="3612"/>
      <c r="BG16" s="3612"/>
      <c r="BH16" s="3612"/>
      <c r="BI16" s="3612"/>
      <c r="BJ16" s="3612"/>
      <c r="BK16" s="3612"/>
      <c r="BL16" s="3612"/>
      <c r="BM16" s="3612"/>
      <c r="BN16" s="3612"/>
      <c r="BO16" s="3612"/>
      <c r="BP16" s="3612"/>
      <c r="BQ16" s="3612"/>
      <c r="BR16" s="3612"/>
      <c r="BS16" s="3612"/>
      <c r="BT16" s="3612"/>
      <c r="BU16" s="3612"/>
      <c r="BV16" s="3612"/>
      <c r="BW16" s="3612"/>
      <c r="BX16" s="3612"/>
      <c r="BY16" s="3612"/>
      <c r="BZ16" s="3612"/>
      <c r="CA16" s="3612"/>
      <c r="CB16" s="3612"/>
      <c r="CC16" s="3612"/>
      <c r="CD16" s="3612"/>
      <c r="CE16" s="3612"/>
      <c r="CF16" s="3612"/>
      <c r="CG16" s="3612"/>
      <c r="CH16" s="3612"/>
      <c r="CI16" s="3612"/>
      <c r="CJ16" s="3612"/>
      <c r="CK16" s="3612"/>
      <c r="CL16" s="3612"/>
      <c r="CM16" s="3612"/>
      <c r="CN16" s="3612"/>
      <c r="CO16" s="3612"/>
      <c r="CP16" s="3612"/>
      <c r="CQ16" s="3612"/>
      <c r="CR16" s="3612"/>
      <c r="CS16" s="3612"/>
      <c r="CT16" s="3612"/>
      <c r="CU16" s="3612"/>
      <c r="CV16" s="3612"/>
      <c r="CW16" s="3612"/>
      <c r="CX16" s="3612"/>
      <c r="CY16" s="3612"/>
      <c r="CZ16" s="3612"/>
      <c r="DA16" s="3612"/>
      <c r="DB16" s="3612"/>
      <c r="DC16" s="3612"/>
      <c r="DD16" s="3612"/>
      <c r="DE16" s="3612"/>
      <c r="DF16" s="3612"/>
      <c r="DG16" s="3612"/>
      <c r="DH16" s="3612"/>
      <c r="DI16" s="3612"/>
      <c r="DJ16" s="3612"/>
      <c r="DK16" s="3612"/>
      <c r="DL16" s="3612"/>
      <c r="DM16" s="3612"/>
    </row>
    <row r="17" spans="2:117" ht="15" customHeight="1" x14ac:dyDescent="0.25">
      <c r="B17" s="3591" t="s">
        <v>59</v>
      </c>
      <c r="C17" s="3592">
        <v>24</v>
      </c>
      <c r="D17" s="3593">
        <v>69</v>
      </c>
      <c r="E17" s="3593">
        <v>33</v>
      </c>
      <c r="F17" s="3593">
        <v>20</v>
      </c>
      <c r="G17" s="3594"/>
      <c r="H17" s="3592">
        <v>12</v>
      </c>
      <c r="I17" s="3593">
        <v>66</v>
      </c>
      <c r="J17" s="3593">
        <v>34</v>
      </c>
      <c r="K17" s="3593">
        <v>22</v>
      </c>
      <c r="L17" s="3594">
        <f>SUM(H17:K17)</f>
        <v>134</v>
      </c>
      <c r="M17" s="3592">
        <v>10</v>
      </c>
      <c r="N17" s="3593">
        <v>71</v>
      </c>
      <c r="O17" s="3593">
        <v>35</v>
      </c>
      <c r="P17" s="3593">
        <v>23</v>
      </c>
      <c r="Q17" s="3594">
        <f>SUM(M17:P17)</f>
        <v>139</v>
      </c>
      <c r="R17" s="3592">
        <v>10</v>
      </c>
      <c r="S17" s="3593">
        <v>72</v>
      </c>
      <c r="T17" s="3593">
        <v>35</v>
      </c>
      <c r="U17" s="3593">
        <v>24</v>
      </c>
      <c r="V17" s="3594">
        <f>SUM(R17:U17)</f>
        <v>141</v>
      </c>
      <c r="W17" s="3592">
        <v>8</v>
      </c>
      <c r="X17" s="3593">
        <v>78</v>
      </c>
      <c r="Y17" s="3593">
        <v>32</v>
      </c>
      <c r="Z17" s="3593">
        <v>27</v>
      </c>
      <c r="AA17" s="3594">
        <f>SUM(W17:Z17)</f>
        <v>145</v>
      </c>
      <c r="AB17" s="3592">
        <v>15</v>
      </c>
      <c r="AC17" s="3593">
        <v>77</v>
      </c>
      <c r="AD17" s="3593">
        <v>34</v>
      </c>
      <c r="AE17" s="3593">
        <v>27</v>
      </c>
      <c r="AF17" s="3594">
        <f t="shared" si="0"/>
        <v>153</v>
      </c>
      <c r="AG17" s="3592">
        <v>14</v>
      </c>
      <c r="AH17" s="3593">
        <v>78</v>
      </c>
      <c r="AI17" s="3593">
        <v>37</v>
      </c>
      <c r="AJ17" s="3593">
        <v>32</v>
      </c>
      <c r="AK17" s="3594">
        <f t="shared" si="1"/>
        <v>161</v>
      </c>
      <c r="AL17" s="3592">
        <v>13</v>
      </c>
      <c r="AM17" s="3593">
        <v>77</v>
      </c>
      <c r="AN17" s="3593">
        <v>38</v>
      </c>
      <c r="AO17" s="3593">
        <v>33</v>
      </c>
      <c r="AP17" s="3594">
        <f t="shared" si="2"/>
        <v>161</v>
      </c>
      <c r="AQ17" s="3592">
        <v>10</v>
      </c>
      <c r="AR17" s="3593">
        <v>72</v>
      </c>
      <c r="AS17" s="3593">
        <v>45</v>
      </c>
      <c r="AT17" s="3593">
        <v>34</v>
      </c>
      <c r="AU17" s="3594">
        <f t="shared" si="3"/>
        <v>161</v>
      </c>
      <c r="AV17" s="3592">
        <v>11</v>
      </c>
      <c r="AW17" s="3593">
        <v>71</v>
      </c>
      <c r="AX17" s="3593">
        <v>45</v>
      </c>
      <c r="AY17" s="3593">
        <v>35</v>
      </c>
      <c r="AZ17" s="3594">
        <f t="shared" si="4"/>
        <v>162</v>
      </c>
      <c r="BA17" s="3592">
        <v>8</v>
      </c>
      <c r="BB17" s="3593">
        <v>72</v>
      </c>
      <c r="BC17" s="3593">
        <v>41</v>
      </c>
      <c r="BD17" s="3593">
        <v>42</v>
      </c>
      <c r="BE17" s="3594">
        <f t="shared" si="5"/>
        <v>163</v>
      </c>
      <c r="BF17" s="3592">
        <v>9</v>
      </c>
      <c r="BG17" s="3593">
        <v>71</v>
      </c>
      <c r="BH17" s="3593">
        <v>41</v>
      </c>
      <c r="BI17" s="3593">
        <v>40</v>
      </c>
      <c r="BJ17" s="3594">
        <f t="shared" si="6"/>
        <v>161</v>
      </c>
      <c r="BK17" s="3592">
        <v>13</v>
      </c>
      <c r="BL17" s="3593">
        <v>74</v>
      </c>
      <c r="BM17" s="3593">
        <v>37</v>
      </c>
      <c r="BN17" s="3593">
        <v>42</v>
      </c>
      <c r="BO17" s="3594">
        <f t="shared" si="7"/>
        <v>166</v>
      </c>
      <c r="BP17" s="3592">
        <v>22</v>
      </c>
      <c r="BQ17" s="3593">
        <v>81</v>
      </c>
      <c r="BR17" s="3593">
        <v>40</v>
      </c>
      <c r="BS17" s="3593">
        <v>50</v>
      </c>
      <c r="BT17" s="3594">
        <f t="shared" si="8"/>
        <v>193</v>
      </c>
      <c r="BU17" s="3592">
        <v>25</v>
      </c>
      <c r="BV17" s="3593">
        <v>85</v>
      </c>
      <c r="BW17" s="3593">
        <v>40</v>
      </c>
      <c r="BX17" s="3593">
        <v>51</v>
      </c>
      <c r="BY17" s="3594">
        <f t="shared" si="9"/>
        <v>201</v>
      </c>
      <c r="BZ17" s="3592">
        <v>25</v>
      </c>
      <c r="CA17" s="3593">
        <v>94</v>
      </c>
      <c r="CB17" s="3593">
        <v>39</v>
      </c>
      <c r="CC17" s="3593">
        <v>50</v>
      </c>
      <c r="CD17" s="3594">
        <f>SUM(BZ17:CC17)</f>
        <v>208</v>
      </c>
      <c r="CE17" s="3592">
        <v>27</v>
      </c>
      <c r="CF17" s="3593">
        <v>108</v>
      </c>
      <c r="CG17" s="3593">
        <v>39</v>
      </c>
      <c r="CH17" s="3593">
        <v>51</v>
      </c>
      <c r="CI17" s="3594">
        <f>SUM(CE17:CH17)</f>
        <v>225</v>
      </c>
      <c r="CJ17" s="3592">
        <v>25</v>
      </c>
      <c r="CK17" s="3593">
        <v>101</v>
      </c>
      <c r="CL17" s="3593">
        <v>36</v>
      </c>
      <c r="CM17" s="3593">
        <v>53</v>
      </c>
      <c r="CN17" s="3594">
        <f>SUM(CJ17:CM17)</f>
        <v>215</v>
      </c>
      <c r="CO17" s="3592">
        <v>20</v>
      </c>
      <c r="CP17" s="3593">
        <v>104</v>
      </c>
      <c r="CQ17" s="3593">
        <v>35</v>
      </c>
      <c r="CR17" s="3593">
        <v>53</v>
      </c>
      <c r="CS17" s="3594">
        <f>SUM(CO17:CR17)</f>
        <v>212</v>
      </c>
      <c r="CT17" s="3592">
        <v>22</v>
      </c>
      <c r="CU17" s="3593">
        <v>102</v>
      </c>
      <c r="CV17" s="3593">
        <v>39</v>
      </c>
      <c r="CW17" s="3593">
        <v>53</v>
      </c>
      <c r="CX17" s="3594">
        <f>SUM(CT17:CW17)</f>
        <v>216</v>
      </c>
      <c r="CY17" s="3592">
        <v>26</v>
      </c>
      <c r="CZ17" s="3593">
        <v>104</v>
      </c>
      <c r="DA17" s="3593">
        <v>39</v>
      </c>
      <c r="DB17" s="3593">
        <v>53</v>
      </c>
      <c r="DC17" s="3594">
        <f>SUM(CY17:DB17)</f>
        <v>222</v>
      </c>
      <c r="DD17" s="3592">
        <v>28</v>
      </c>
      <c r="DE17" s="3593">
        <v>110</v>
      </c>
      <c r="DF17" s="3593">
        <v>40</v>
      </c>
      <c r="DG17" s="3593">
        <v>54</v>
      </c>
      <c r="DH17" s="3594">
        <f>SUM(DD17:DG17)</f>
        <v>232</v>
      </c>
      <c r="DI17" s="3592">
        <v>19</v>
      </c>
      <c r="DJ17" s="3593">
        <v>113</v>
      </c>
      <c r="DK17" s="3593">
        <v>42</v>
      </c>
      <c r="DL17" s="3593">
        <v>54</v>
      </c>
      <c r="DM17" s="3594">
        <f>SUM(DI17:DL17)</f>
        <v>228</v>
      </c>
    </row>
    <row r="18" spans="2:117" ht="15" customHeight="1" x14ac:dyDescent="0.25">
      <c r="B18" s="3595" t="s">
        <v>64</v>
      </c>
      <c r="C18" s="3596">
        <v>6</v>
      </c>
      <c r="D18" s="3597">
        <v>54</v>
      </c>
      <c r="E18" s="3597">
        <v>18</v>
      </c>
      <c r="F18" s="3597">
        <v>4</v>
      </c>
      <c r="G18" s="3598">
        <f>SUM(C18:F18)</f>
        <v>82</v>
      </c>
      <c r="H18" s="3596">
        <v>3</v>
      </c>
      <c r="I18" s="3597">
        <v>56</v>
      </c>
      <c r="J18" s="3597">
        <v>26</v>
      </c>
      <c r="K18" s="3597">
        <v>5</v>
      </c>
      <c r="L18" s="3598">
        <f>SUM(H18:K18)</f>
        <v>90</v>
      </c>
      <c r="M18" s="3596">
        <v>1</v>
      </c>
      <c r="N18" s="3597">
        <v>64</v>
      </c>
      <c r="O18" s="3597">
        <v>32</v>
      </c>
      <c r="P18" s="3597">
        <v>7</v>
      </c>
      <c r="Q18" s="3598">
        <f>SUM(M18:P18)</f>
        <v>104</v>
      </c>
      <c r="R18" s="3596">
        <v>2</v>
      </c>
      <c r="S18" s="3597">
        <v>65</v>
      </c>
      <c r="T18" s="3597">
        <v>33</v>
      </c>
      <c r="U18" s="3597">
        <v>7</v>
      </c>
      <c r="V18" s="3598">
        <f>SUM(R18:U18)</f>
        <v>107</v>
      </c>
      <c r="W18" s="3596">
        <v>2</v>
      </c>
      <c r="X18" s="3597">
        <v>63</v>
      </c>
      <c r="Y18" s="3597">
        <v>41</v>
      </c>
      <c r="Z18" s="3597">
        <v>9</v>
      </c>
      <c r="AA18" s="3598">
        <f>SUM(W18:Z18)</f>
        <v>115</v>
      </c>
      <c r="AB18" s="3596"/>
      <c r="AC18" s="3597">
        <v>58</v>
      </c>
      <c r="AD18" s="3597">
        <v>41</v>
      </c>
      <c r="AE18" s="3597">
        <v>11</v>
      </c>
      <c r="AF18" s="3598">
        <f t="shared" si="0"/>
        <v>110</v>
      </c>
      <c r="AG18" s="3596"/>
      <c r="AH18" s="3597">
        <v>57</v>
      </c>
      <c r="AI18" s="3597">
        <v>43</v>
      </c>
      <c r="AJ18" s="3597">
        <v>12</v>
      </c>
      <c r="AK18" s="3598">
        <f t="shared" si="1"/>
        <v>112</v>
      </c>
      <c r="AL18" s="3596">
        <v>1</v>
      </c>
      <c r="AM18" s="3597">
        <v>60</v>
      </c>
      <c r="AN18" s="3597">
        <v>44</v>
      </c>
      <c r="AO18" s="3597">
        <v>12</v>
      </c>
      <c r="AP18" s="3598">
        <f t="shared" si="2"/>
        <v>117</v>
      </c>
      <c r="AQ18" s="3596">
        <v>6</v>
      </c>
      <c r="AR18" s="3597">
        <v>64</v>
      </c>
      <c r="AS18" s="3597">
        <v>46</v>
      </c>
      <c r="AT18" s="3597">
        <v>12</v>
      </c>
      <c r="AU18" s="3598">
        <f t="shared" si="3"/>
        <v>128</v>
      </c>
      <c r="AV18" s="3596">
        <v>7</v>
      </c>
      <c r="AW18" s="3597">
        <v>64</v>
      </c>
      <c r="AX18" s="3597">
        <v>47</v>
      </c>
      <c r="AY18" s="3597">
        <v>14</v>
      </c>
      <c r="AZ18" s="3598">
        <f t="shared" si="4"/>
        <v>132</v>
      </c>
      <c r="BA18" s="3596">
        <v>6</v>
      </c>
      <c r="BB18" s="3597">
        <v>66</v>
      </c>
      <c r="BC18" s="3597">
        <v>48</v>
      </c>
      <c r="BD18" s="3597">
        <v>17</v>
      </c>
      <c r="BE18" s="3598">
        <f t="shared" si="5"/>
        <v>137</v>
      </c>
      <c r="BF18" s="3596">
        <v>4</v>
      </c>
      <c r="BG18" s="3597">
        <v>67</v>
      </c>
      <c r="BH18" s="3597">
        <v>47</v>
      </c>
      <c r="BI18" s="3597">
        <v>16</v>
      </c>
      <c r="BJ18" s="3598">
        <f t="shared" si="6"/>
        <v>134</v>
      </c>
      <c r="BK18" s="3596">
        <v>6</v>
      </c>
      <c r="BL18" s="3597">
        <v>64</v>
      </c>
      <c r="BM18" s="3597">
        <v>45</v>
      </c>
      <c r="BN18" s="3597">
        <v>16</v>
      </c>
      <c r="BO18" s="3598">
        <f t="shared" si="7"/>
        <v>131</v>
      </c>
      <c r="BP18" s="3596">
        <v>5</v>
      </c>
      <c r="BQ18" s="3597">
        <v>73</v>
      </c>
      <c r="BR18" s="3597">
        <v>43</v>
      </c>
      <c r="BS18" s="3597">
        <v>16</v>
      </c>
      <c r="BT18" s="3598">
        <f t="shared" si="8"/>
        <v>137</v>
      </c>
      <c r="BU18" s="3596">
        <v>9</v>
      </c>
      <c r="BV18" s="3597">
        <v>72</v>
      </c>
      <c r="BW18" s="3597">
        <v>40</v>
      </c>
      <c r="BX18" s="3597">
        <v>18</v>
      </c>
      <c r="BY18" s="3598">
        <f t="shared" si="9"/>
        <v>139</v>
      </c>
      <c r="BZ18" s="3596">
        <v>11</v>
      </c>
      <c r="CA18" s="3597">
        <v>71</v>
      </c>
      <c r="CB18" s="3597">
        <v>44</v>
      </c>
      <c r="CC18" s="3597">
        <v>19</v>
      </c>
      <c r="CD18" s="3598">
        <f>SUM(BZ18:CC18)</f>
        <v>145</v>
      </c>
      <c r="CE18" s="3596">
        <v>13</v>
      </c>
      <c r="CF18" s="3597">
        <v>68</v>
      </c>
      <c r="CG18" s="3597">
        <v>48</v>
      </c>
      <c r="CH18" s="3597">
        <v>20</v>
      </c>
      <c r="CI18" s="3598">
        <f>SUM(CE18:CH18)</f>
        <v>149</v>
      </c>
      <c r="CJ18" s="3596">
        <v>8</v>
      </c>
      <c r="CK18" s="3597">
        <v>69</v>
      </c>
      <c r="CL18" s="3597">
        <v>49</v>
      </c>
      <c r="CM18" s="3597">
        <v>22</v>
      </c>
      <c r="CN18" s="3598">
        <f>SUM(CJ18:CM18)</f>
        <v>148</v>
      </c>
      <c r="CO18" s="3596">
        <v>10</v>
      </c>
      <c r="CP18" s="3597">
        <v>67</v>
      </c>
      <c r="CQ18" s="3597">
        <v>45</v>
      </c>
      <c r="CR18" s="3597">
        <v>23</v>
      </c>
      <c r="CS18" s="3598">
        <f>SUM(CO18:CR18)</f>
        <v>145</v>
      </c>
      <c r="CT18" s="3596">
        <v>16</v>
      </c>
      <c r="CU18" s="3597">
        <v>67</v>
      </c>
      <c r="CV18" s="3597">
        <v>41</v>
      </c>
      <c r="CW18" s="3597">
        <v>25</v>
      </c>
      <c r="CX18" s="3598">
        <f>SUM(CT18:CW18)</f>
        <v>149</v>
      </c>
      <c r="CY18" s="3596">
        <v>13</v>
      </c>
      <c r="CZ18" s="3597">
        <v>65</v>
      </c>
      <c r="DA18" s="3597">
        <v>41</v>
      </c>
      <c r="DB18" s="3597">
        <v>25</v>
      </c>
      <c r="DC18" s="3598">
        <f>SUM(CY18:DB18)</f>
        <v>144</v>
      </c>
      <c r="DD18" s="3596">
        <v>14</v>
      </c>
      <c r="DE18" s="3597">
        <v>69</v>
      </c>
      <c r="DF18" s="3597">
        <v>35</v>
      </c>
      <c r="DG18" s="3597">
        <v>28</v>
      </c>
      <c r="DH18" s="3598">
        <f>SUM(DD18:DG18)</f>
        <v>146</v>
      </c>
      <c r="DI18" s="3596">
        <v>19</v>
      </c>
      <c r="DJ18" s="3597">
        <v>68</v>
      </c>
      <c r="DK18" s="3597">
        <v>38</v>
      </c>
      <c r="DL18" s="3597">
        <v>29</v>
      </c>
      <c r="DM18" s="3598">
        <f>SUM(DI18:DL18)</f>
        <v>154</v>
      </c>
    </row>
    <row r="19" spans="2:117" ht="15" customHeight="1" x14ac:dyDescent="0.25">
      <c r="B19" s="3599" t="s">
        <v>92</v>
      </c>
      <c r="C19" s="3600">
        <v>17</v>
      </c>
      <c r="D19" s="3601">
        <v>23</v>
      </c>
      <c r="E19" s="3601">
        <v>9</v>
      </c>
      <c r="F19" s="3601">
        <v>2</v>
      </c>
      <c r="G19" s="3602">
        <f>SUM(C19:F19)</f>
        <v>51</v>
      </c>
      <c r="H19" s="3600">
        <v>9</v>
      </c>
      <c r="I19" s="3601">
        <v>34</v>
      </c>
      <c r="J19" s="3601">
        <v>10</v>
      </c>
      <c r="K19" s="3601">
        <v>2</v>
      </c>
      <c r="L19" s="3602">
        <f>SUM(H19:K19)</f>
        <v>55</v>
      </c>
      <c r="M19" s="3600">
        <v>10</v>
      </c>
      <c r="N19" s="3601">
        <v>41</v>
      </c>
      <c r="O19" s="3601">
        <v>12</v>
      </c>
      <c r="P19" s="3601">
        <v>2</v>
      </c>
      <c r="Q19" s="3602">
        <f>SUM(M19:P19)</f>
        <v>65</v>
      </c>
      <c r="R19" s="3600">
        <v>11</v>
      </c>
      <c r="S19" s="3601">
        <v>41</v>
      </c>
      <c r="T19" s="3601">
        <v>11</v>
      </c>
      <c r="U19" s="3601">
        <v>2</v>
      </c>
      <c r="V19" s="3602">
        <f>SUM(R19:U19)</f>
        <v>65</v>
      </c>
      <c r="W19" s="3600">
        <v>12</v>
      </c>
      <c r="X19" s="3601">
        <v>43</v>
      </c>
      <c r="Y19" s="3601">
        <v>12</v>
      </c>
      <c r="Z19" s="3601">
        <v>3</v>
      </c>
      <c r="AA19" s="3602">
        <f>SUM(W19:Z19)</f>
        <v>70</v>
      </c>
      <c r="AB19" s="3600">
        <v>14</v>
      </c>
      <c r="AC19" s="3601">
        <v>43</v>
      </c>
      <c r="AD19" s="3601">
        <v>10</v>
      </c>
      <c r="AE19" s="3601">
        <v>5</v>
      </c>
      <c r="AF19" s="3602">
        <f t="shared" si="0"/>
        <v>72</v>
      </c>
      <c r="AG19" s="3600">
        <v>8</v>
      </c>
      <c r="AH19" s="3601">
        <v>49</v>
      </c>
      <c r="AI19" s="3601">
        <v>11</v>
      </c>
      <c r="AJ19" s="3601">
        <v>7</v>
      </c>
      <c r="AK19" s="3602">
        <f t="shared" si="1"/>
        <v>75</v>
      </c>
      <c r="AL19" s="3600">
        <v>8</v>
      </c>
      <c r="AM19" s="3601">
        <v>59</v>
      </c>
      <c r="AN19" s="3601">
        <v>14</v>
      </c>
      <c r="AO19" s="3601">
        <v>7</v>
      </c>
      <c r="AP19" s="3602">
        <f t="shared" si="2"/>
        <v>88</v>
      </c>
      <c r="AQ19" s="3600">
        <v>8</v>
      </c>
      <c r="AR19" s="3601">
        <v>60</v>
      </c>
      <c r="AS19" s="3601">
        <v>15</v>
      </c>
      <c r="AT19" s="3601">
        <v>9</v>
      </c>
      <c r="AU19" s="3602">
        <f t="shared" si="3"/>
        <v>92</v>
      </c>
      <c r="AV19" s="3600">
        <v>8</v>
      </c>
      <c r="AW19" s="3601">
        <v>60</v>
      </c>
      <c r="AX19" s="3601">
        <v>15</v>
      </c>
      <c r="AY19" s="3601">
        <v>9</v>
      </c>
      <c r="AZ19" s="3602">
        <f t="shared" si="4"/>
        <v>92</v>
      </c>
      <c r="BA19" s="3600">
        <v>21</v>
      </c>
      <c r="BB19" s="3601">
        <v>68</v>
      </c>
      <c r="BC19" s="3601">
        <v>12</v>
      </c>
      <c r="BD19" s="3601">
        <v>13</v>
      </c>
      <c r="BE19" s="3602">
        <f t="shared" si="5"/>
        <v>114</v>
      </c>
      <c r="BF19" s="3600">
        <v>17</v>
      </c>
      <c r="BG19" s="3601">
        <v>68</v>
      </c>
      <c r="BH19" s="3601">
        <v>12</v>
      </c>
      <c r="BI19" s="3601">
        <v>13</v>
      </c>
      <c r="BJ19" s="3602">
        <f t="shared" si="6"/>
        <v>110</v>
      </c>
      <c r="BK19" s="3600">
        <v>16</v>
      </c>
      <c r="BL19" s="3601">
        <v>64</v>
      </c>
      <c r="BM19" s="3601">
        <v>17</v>
      </c>
      <c r="BN19" s="3601">
        <v>13</v>
      </c>
      <c r="BO19" s="3602">
        <f t="shared" si="7"/>
        <v>110</v>
      </c>
      <c r="BP19" s="3600">
        <v>19</v>
      </c>
      <c r="BQ19" s="3601">
        <v>62</v>
      </c>
      <c r="BR19" s="3601">
        <v>26</v>
      </c>
      <c r="BS19" s="3601">
        <v>13</v>
      </c>
      <c r="BT19" s="3602">
        <f t="shared" si="8"/>
        <v>120</v>
      </c>
      <c r="BU19" s="3600">
        <v>20</v>
      </c>
      <c r="BV19" s="3601">
        <v>61</v>
      </c>
      <c r="BW19" s="3601">
        <v>27</v>
      </c>
      <c r="BX19" s="3601">
        <v>13</v>
      </c>
      <c r="BY19" s="3602">
        <f t="shared" si="9"/>
        <v>121</v>
      </c>
      <c r="BZ19" s="3600">
        <v>20</v>
      </c>
      <c r="CA19" s="3601">
        <v>65</v>
      </c>
      <c r="CB19" s="3601">
        <v>25</v>
      </c>
      <c r="CC19" s="3601">
        <v>14</v>
      </c>
      <c r="CD19" s="3602">
        <f>SUM(BZ19:CC19)</f>
        <v>124</v>
      </c>
      <c r="CE19" s="3600">
        <v>27</v>
      </c>
      <c r="CF19" s="3601">
        <v>61</v>
      </c>
      <c r="CG19" s="3601">
        <v>25</v>
      </c>
      <c r="CH19" s="3601">
        <v>14</v>
      </c>
      <c r="CI19" s="3602">
        <f>SUM(CE19:CH19)</f>
        <v>127</v>
      </c>
      <c r="CJ19" s="3600">
        <v>24</v>
      </c>
      <c r="CK19" s="3601">
        <v>62</v>
      </c>
      <c r="CL19" s="3601">
        <v>26</v>
      </c>
      <c r="CM19" s="3601">
        <v>17</v>
      </c>
      <c r="CN19" s="3602">
        <f>SUM(CJ19:CM19)</f>
        <v>129</v>
      </c>
      <c r="CO19" s="3600">
        <v>14</v>
      </c>
      <c r="CP19" s="3601">
        <v>64</v>
      </c>
      <c r="CQ19" s="3601">
        <v>25</v>
      </c>
      <c r="CR19" s="3601">
        <v>15</v>
      </c>
      <c r="CS19" s="3602">
        <f>SUM(CO19:CR19)</f>
        <v>118</v>
      </c>
      <c r="CT19" s="3600">
        <v>18</v>
      </c>
      <c r="CU19" s="3601">
        <v>64</v>
      </c>
      <c r="CV19" s="3601">
        <v>27</v>
      </c>
      <c r="CW19" s="3601">
        <v>15</v>
      </c>
      <c r="CX19" s="3602">
        <f>SUM(CT19:CW19)</f>
        <v>124</v>
      </c>
      <c r="CY19" s="3600">
        <v>20</v>
      </c>
      <c r="CZ19" s="3601">
        <v>64</v>
      </c>
      <c r="DA19" s="3601">
        <v>27</v>
      </c>
      <c r="DB19" s="3601">
        <v>15</v>
      </c>
      <c r="DC19" s="3602">
        <f>SUM(CY19:DB19)</f>
        <v>126</v>
      </c>
      <c r="DD19" s="3600">
        <v>21</v>
      </c>
      <c r="DE19" s="3601">
        <v>70</v>
      </c>
      <c r="DF19" s="3601">
        <v>28</v>
      </c>
      <c r="DG19" s="3601">
        <v>15</v>
      </c>
      <c r="DH19" s="3602">
        <f>SUM(DD19:DG19)</f>
        <v>134</v>
      </c>
      <c r="DI19" s="3600">
        <v>16</v>
      </c>
      <c r="DJ19" s="3601">
        <v>73</v>
      </c>
      <c r="DK19" s="3601">
        <v>29</v>
      </c>
      <c r="DL19" s="3601">
        <v>14</v>
      </c>
      <c r="DM19" s="3602">
        <f>SUM(DI19:DL19)</f>
        <v>132</v>
      </c>
    </row>
    <row r="20" spans="2:117" ht="15" customHeight="1" x14ac:dyDescent="0.25">
      <c r="B20" s="3613" t="s">
        <v>135</v>
      </c>
      <c r="C20" s="3614">
        <f>SUM(C17:C19)</f>
        <v>47</v>
      </c>
      <c r="D20" s="3615">
        <f t="shared" ref="D20:BO20" si="18">SUM(D17:D19)</f>
        <v>146</v>
      </c>
      <c r="E20" s="3615">
        <f t="shared" si="18"/>
        <v>60</v>
      </c>
      <c r="F20" s="3615">
        <f t="shared" si="18"/>
        <v>26</v>
      </c>
      <c r="G20" s="3616">
        <f t="shared" si="18"/>
        <v>133</v>
      </c>
      <c r="H20" s="3614">
        <f t="shared" si="18"/>
        <v>24</v>
      </c>
      <c r="I20" s="3615">
        <f t="shared" si="18"/>
        <v>156</v>
      </c>
      <c r="J20" s="3615">
        <f t="shared" si="18"/>
        <v>70</v>
      </c>
      <c r="K20" s="3615">
        <f t="shared" si="18"/>
        <v>29</v>
      </c>
      <c r="L20" s="3616">
        <f t="shared" si="18"/>
        <v>279</v>
      </c>
      <c r="M20" s="3614">
        <f t="shared" si="18"/>
        <v>21</v>
      </c>
      <c r="N20" s="3615">
        <f t="shared" si="18"/>
        <v>176</v>
      </c>
      <c r="O20" s="3615">
        <f t="shared" si="18"/>
        <v>79</v>
      </c>
      <c r="P20" s="3615">
        <f t="shared" si="18"/>
        <v>32</v>
      </c>
      <c r="Q20" s="3616">
        <f t="shared" si="18"/>
        <v>308</v>
      </c>
      <c r="R20" s="3614">
        <f t="shared" si="18"/>
        <v>23</v>
      </c>
      <c r="S20" s="3615">
        <f t="shared" si="18"/>
        <v>178</v>
      </c>
      <c r="T20" s="3615">
        <f t="shared" si="18"/>
        <v>79</v>
      </c>
      <c r="U20" s="3615">
        <f t="shared" si="18"/>
        <v>33</v>
      </c>
      <c r="V20" s="3616">
        <f t="shared" si="18"/>
        <v>313</v>
      </c>
      <c r="W20" s="3614">
        <f t="shared" si="18"/>
        <v>22</v>
      </c>
      <c r="X20" s="3615">
        <f t="shared" si="18"/>
        <v>184</v>
      </c>
      <c r="Y20" s="3615">
        <f t="shared" si="18"/>
        <v>85</v>
      </c>
      <c r="Z20" s="3615">
        <f t="shared" si="18"/>
        <v>39</v>
      </c>
      <c r="AA20" s="3616">
        <f t="shared" si="18"/>
        <v>330</v>
      </c>
      <c r="AB20" s="3614">
        <f t="shared" si="18"/>
        <v>29</v>
      </c>
      <c r="AC20" s="3615">
        <f t="shared" si="18"/>
        <v>178</v>
      </c>
      <c r="AD20" s="3615">
        <f t="shared" si="18"/>
        <v>85</v>
      </c>
      <c r="AE20" s="3615">
        <f t="shared" si="18"/>
        <v>43</v>
      </c>
      <c r="AF20" s="3616">
        <f t="shared" si="18"/>
        <v>335</v>
      </c>
      <c r="AG20" s="3614">
        <f t="shared" si="18"/>
        <v>22</v>
      </c>
      <c r="AH20" s="3615">
        <f t="shared" si="18"/>
        <v>184</v>
      </c>
      <c r="AI20" s="3615">
        <f t="shared" si="18"/>
        <v>91</v>
      </c>
      <c r="AJ20" s="3615">
        <f t="shared" si="18"/>
        <v>51</v>
      </c>
      <c r="AK20" s="3616">
        <f t="shared" si="18"/>
        <v>348</v>
      </c>
      <c r="AL20" s="3614">
        <f t="shared" si="18"/>
        <v>22</v>
      </c>
      <c r="AM20" s="3615">
        <f t="shared" si="18"/>
        <v>196</v>
      </c>
      <c r="AN20" s="3615">
        <f t="shared" si="18"/>
        <v>96</v>
      </c>
      <c r="AO20" s="3615">
        <f t="shared" si="18"/>
        <v>52</v>
      </c>
      <c r="AP20" s="3616">
        <f t="shared" si="18"/>
        <v>366</v>
      </c>
      <c r="AQ20" s="3614">
        <f t="shared" si="18"/>
        <v>24</v>
      </c>
      <c r="AR20" s="3615">
        <f t="shared" si="18"/>
        <v>196</v>
      </c>
      <c r="AS20" s="3615">
        <f t="shared" si="18"/>
        <v>106</v>
      </c>
      <c r="AT20" s="3615">
        <f t="shared" si="18"/>
        <v>55</v>
      </c>
      <c r="AU20" s="3616">
        <f t="shared" si="18"/>
        <v>381</v>
      </c>
      <c r="AV20" s="3614">
        <f t="shared" si="18"/>
        <v>26</v>
      </c>
      <c r="AW20" s="3615">
        <f t="shared" si="18"/>
        <v>195</v>
      </c>
      <c r="AX20" s="3615">
        <f t="shared" si="18"/>
        <v>107</v>
      </c>
      <c r="AY20" s="3615">
        <f t="shared" si="18"/>
        <v>58</v>
      </c>
      <c r="AZ20" s="3616">
        <f t="shared" si="18"/>
        <v>386</v>
      </c>
      <c r="BA20" s="3614">
        <f t="shared" si="18"/>
        <v>35</v>
      </c>
      <c r="BB20" s="3615">
        <f t="shared" si="18"/>
        <v>206</v>
      </c>
      <c r="BC20" s="3615">
        <f t="shared" si="18"/>
        <v>101</v>
      </c>
      <c r="BD20" s="3615">
        <f t="shared" si="18"/>
        <v>72</v>
      </c>
      <c r="BE20" s="3616">
        <f t="shared" si="18"/>
        <v>414</v>
      </c>
      <c r="BF20" s="3614">
        <f t="shared" si="18"/>
        <v>30</v>
      </c>
      <c r="BG20" s="3615">
        <f t="shared" si="18"/>
        <v>206</v>
      </c>
      <c r="BH20" s="3615">
        <f t="shared" si="18"/>
        <v>100</v>
      </c>
      <c r="BI20" s="3615">
        <f t="shared" si="18"/>
        <v>69</v>
      </c>
      <c r="BJ20" s="3616">
        <f t="shared" si="18"/>
        <v>405</v>
      </c>
      <c r="BK20" s="3614">
        <f t="shared" si="18"/>
        <v>35</v>
      </c>
      <c r="BL20" s="3615">
        <f t="shared" si="18"/>
        <v>202</v>
      </c>
      <c r="BM20" s="3615">
        <f t="shared" si="18"/>
        <v>99</v>
      </c>
      <c r="BN20" s="3615">
        <f t="shared" si="18"/>
        <v>71</v>
      </c>
      <c r="BO20" s="3616">
        <f t="shared" si="18"/>
        <v>407</v>
      </c>
      <c r="BP20" s="3614">
        <f t="shared" ref="BP20:DC20" si="19">SUM(BP17:BP19)</f>
        <v>46</v>
      </c>
      <c r="BQ20" s="3615">
        <f t="shared" si="19"/>
        <v>216</v>
      </c>
      <c r="BR20" s="3615">
        <f t="shared" si="19"/>
        <v>109</v>
      </c>
      <c r="BS20" s="3615">
        <f t="shared" si="19"/>
        <v>79</v>
      </c>
      <c r="BT20" s="3616">
        <f t="shared" si="19"/>
        <v>450</v>
      </c>
      <c r="BU20" s="3614">
        <f t="shared" si="19"/>
        <v>54</v>
      </c>
      <c r="BV20" s="3615">
        <f t="shared" si="19"/>
        <v>218</v>
      </c>
      <c r="BW20" s="3615">
        <f t="shared" si="19"/>
        <v>107</v>
      </c>
      <c r="BX20" s="3615">
        <f t="shared" si="19"/>
        <v>82</v>
      </c>
      <c r="BY20" s="3616">
        <f t="shared" si="19"/>
        <v>461</v>
      </c>
      <c r="BZ20" s="3614">
        <f t="shared" si="19"/>
        <v>56</v>
      </c>
      <c r="CA20" s="3615">
        <f t="shared" si="19"/>
        <v>230</v>
      </c>
      <c r="CB20" s="3615">
        <f t="shared" si="19"/>
        <v>108</v>
      </c>
      <c r="CC20" s="3615">
        <f t="shared" si="19"/>
        <v>83</v>
      </c>
      <c r="CD20" s="3616">
        <f t="shared" si="19"/>
        <v>477</v>
      </c>
      <c r="CE20" s="3614">
        <f t="shared" si="19"/>
        <v>67</v>
      </c>
      <c r="CF20" s="3615">
        <f t="shared" si="19"/>
        <v>237</v>
      </c>
      <c r="CG20" s="3615">
        <f t="shared" si="19"/>
        <v>112</v>
      </c>
      <c r="CH20" s="3615">
        <f t="shared" si="19"/>
        <v>85</v>
      </c>
      <c r="CI20" s="3616">
        <f t="shared" si="19"/>
        <v>501</v>
      </c>
      <c r="CJ20" s="3614">
        <f t="shared" si="19"/>
        <v>57</v>
      </c>
      <c r="CK20" s="3615">
        <f t="shared" si="19"/>
        <v>232</v>
      </c>
      <c r="CL20" s="3615">
        <f t="shared" si="19"/>
        <v>111</v>
      </c>
      <c r="CM20" s="3615">
        <f t="shared" si="19"/>
        <v>92</v>
      </c>
      <c r="CN20" s="3616">
        <f t="shared" si="19"/>
        <v>492</v>
      </c>
      <c r="CO20" s="3614">
        <f t="shared" si="19"/>
        <v>44</v>
      </c>
      <c r="CP20" s="3615">
        <f t="shared" si="19"/>
        <v>235</v>
      </c>
      <c r="CQ20" s="3615">
        <f t="shared" si="19"/>
        <v>105</v>
      </c>
      <c r="CR20" s="3615">
        <f t="shared" si="19"/>
        <v>91</v>
      </c>
      <c r="CS20" s="3616">
        <f t="shared" si="19"/>
        <v>475</v>
      </c>
      <c r="CT20" s="3614">
        <f t="shared" si="19"/>
        <v>56</v>
      </c>
      <c r="CU20" s="3615">
        <f t="shared" si="19"/>
        <v>233</v>
      </c>
      <c r="CV20" s="3615">
        <f t="shared" si="19"/>
        <v>107</v>
      </c>
      <c r="CW20" s="3615">
        <f t="shared" si="19"/>
        <v>93</v>
      </c>
      <c r="CX20" s="3616">
        <f t="shared" si="19"/>
        <v>489</v>
      </c>
      <c r="CY20" s="3614">
        <f t="shared" si="19"/>
        <v>59</v>
      </c>
      <c r="CZ20" s="3615">
        <f t="shared" si="19"/>
        <v>233</v>
      </c>
      <c r="DA20" s="3615">
        <f t="shared" si="19"/>
        <v>107</v>
      </c>
      <c r="DB20" s="3615">
        <f t="shared" si="19"/>
        <v>93</v>
      </c>
      <c r="DC20" s="3616">
        <f t="shared" si="19"/>
        <v>492</v>
      </c>
      <c r="DD20" s="3614">
        <f t="shared" ref="DD20:DH20" si="20">SUM(DD17:DD19)</f>
        <v>63</v>
      </c>
      <c r="DE20" s="3615">
        <f t="shared" si="20"/>
        <v>249</v>
      </c>
      <c r="DF20" s="3615">
        <f t="shared" si="20"/>
        <v>103</v>
      </c>
      <c r="DG20" s="3615">
        <f t="shared" si="20"/>
        <v>97</v>
      </c>
      <c r="DH20" s="3616">
        <f t="shared" si="20"/>
        <v>512</v>
      </c>
      <c r="DI20" s="3614">
        <f t="shared" ref="DI20:DM20" si="21">SUM(DI17:DI19)</f>
        <v>54</v>
      </c>
      <c r="DJ20" s="3615">
        <f t="shared" si="21"/>
        <v>254</v>
      </c>
      <c r="DK20" s="3615">
        <f t="shared" si="21"/>
        <v>109</v>
      </c>
      <c r="DL20" s="3615">
        <f t="shared" si="21"/>
        <v>97</v>
      </c>
      <c r="DM20" s="3616">
        <f t="shared" si="21"/>
        <v>514</v>
      </c>
    </row>
    <row r="21" spans="2:117" ht="15" customHeight="1" x14ac:dyDescent="0.25">
      <c r="B21" s="3580"/>
      <c r="C21" s="3607"/>
      <c r="D21" s="3607"/>
      <c r="E21" s="3607"/>
      <c r="F21" s="3607"/>
      <c r="G21" s="3607"/>
      <c r="H21" s="3607"/>
      <c r="I21" s="3607"/>
      <c r="J21" s="3607"/>
      <c r="K21" s="3607"/>
      <c r="L21" s="3607"/>
      <c r="M21" s="3607"/>
      <c r="N21" s="3607"/>
      <c r="O21" s="3607"/>
      <c r="P21" s="3607"/>
      <c r="Q21" s="3607"/>
      <c r="R21" s="3607"/>
      <c r="S21" s="3607"/>
      <c r="T21" s="3607"/>
      <c r="U21" s="3607"/>
      <c r="V21" s="3607"/>
      <c r="W21" s="3607"/>
      <c r="X21" s="3607"/>
      <c r="Y21" s="3607"/>
      <c r="Z21" s="3607"/>
      <c r="AA21" s="3607"/>
      <c r="AB21" s="3607"/>
      <c r="AC21" s="3607"/>
      <c r="AD21" s="3607"/>
      <c r="AE21" s="3607"/>
      <c r="AF21" s="3607"/>
      <c r="AG21" s="3607"/>
      <c r="AH21" s="3607"/>
      <c r="AI21" s="3607"/>
      <c r="AJ21" s="3607"/>
      <c r="AK21" s="3607"/>
      <c r="AL21" s="3607"/>
      <c r="AM21" s="3607"/>
      <c r="AN21" s="3607"/>
      <c r="AO21" s="3607"/>
      <c r="AP21" s="3607"/>
      <c r="AQ21" s="3607"/>
      <c r="AR21" s="3607"/>
      <c r="AS21" s="3607"/>
      <c r="AT21" s="3607"/>
      <c r="AU21" s="3607"/>
      <c r="AV21" s="3607"/>
      <c r="AW21" s="3607"/>
      <c r="AX21" s="3607"/>
      <c r="AY21" s="3607"/>
      <c r="AZ21" s="3607"/>
      <c r="BA21" s="3607"/>
      <c r="BB21" s="3607"/>
      <c r="BC21" s="3607"/>
      <c r="BD21" s="3607"/>
      <c r="BE21" s="3607"/>
      <c r="BF21" s="3607"/>
      <c r="BG21" s="3607"/>
      <c r="BH21" s="3607"/>
      <c r="BI21" s="3607"/>
      <c r="BJ21" s="3607"/>
      <c r="BK21" s="3607"/>
      <c r="BL21" s="3607"/>
      <c r="BM21" s="3607"/>
      <c r="BN21" s="3607"/>
      <c r="BO21" s="3607"/>
      <c r="BP21" s="3607"/>
      <c r="BQ21" s="3607"/>
      <c r="BR21" s="3607"/>
      <c r="BS21" s="3607"/>
      <c r="BT21" s="3607"/>
      <c r="BU21" s="3607"/>
      <c r="BV21" s="3607"/>
      <c r="BW21" s="3607"/>
      <c r="BX21" s="3607"/>
      <c r="BY21" s="3607"/>
      <c r="BZ21" s="3607"/>
      <c r="CA21" s="3607"/>
      <c r="CB21" s="3607"/>
      <c r="CC21" s="3607"/>
      <c r="CD21" s="3607"/>
      <c r="CE21" s="3607"/>
      <c r="CF21" s="3607"/>
      <c r="CG21" s="3607"/>
      <c r="CH21" s="3607"/>
      <c r="CI21" s="3607"/>
      <c r="CJ21" s="3607"/>
      <c r="CK21" s="3607"/>
      <c r="CL21" s="3607"/>
      <c r="CM21" s="3607"/>
      <c r="CN21" s="3607"/>
      <c r="CO21" s="3607"/>
      <c r="CP21" s="3607"/>
      <c r="CQ21" s="3607"/>
      <c r="CR21" s="3607"/>
      <c r="CS21" s="3607"/>
      <c r="CT21" s="3607"/>
      <c r="CU21" s="3607"/>
      <c r="CV21" s="3607"/>
      <c r="CW21" s="3607"/>
      <c r="CX21" s="3607"/>
      <c r="CY21" s="3607"/>
      <c r="CZ21" s="3607"/>
      <c r="DA21" s="3607"/>
      <c r="DB21" s="3607"/>
      <c r="DC21" s="3607"/>
      <c r="DD21" s="3607"/>
      <c r="DE21" s="3607"/>
      <c r="DF21" s="3607"/>
      <c r="DG21" s="3607"/>
      <c r="DH21" s="3607"/>
      <c r="DI21" s="3607"/>
      <c r="DJ21" s="3607"/>
      <c r="DK21" s="3607"/>
      <c r="DL21" s="3607"/>
      <c r="DM21" s="3607"/>
    </row>
    <row r="22" spans="2:117" ht="15" customHeight="1" x14ac:dyDescent="0.25">
      <c r="B22" s="3591" t="s">
        <v>59</v>
      </c>
      <c r="C22" s="3592"/>
      <c r="D22" s="3593"/>
      <c r="E22" s="3593"/>
      <c r="F22" s="3593"/>
      <c r="G22" s="3594"/>
      <c r="H22" s="3592"/>
      <c r="I22" s="3593"/>
      <c r="J22" s="3593"/>
      <c r="K22" s="3593"/>
      <c r="L22" s="3594"/>
      <c r="M22" s="3592"/>
      <c r="N22" s="3593"/>
      <c r="O22" s="3593"/>
      <c r="P22" s="3593"/>
      <c r="Q22" s="3594"/>
      <c r="R22" s="3592"/>
      <c r="S22" s="3593"/>
      <c r="T22" s="3593"/>
      <c r="U22" s="3593"/>
      <c r="V22" s="3594"/>
      <c r="W22" s="3592"/>
      <c r="X22" s="3593"/>
      <c r="Y22" s="3593"/>
      <c r="Z22" s="3593"/>
      <c r="AA22" s="3594"/>
      <c r="AB22" s="3592"/>
      <c r="AC22" s="3593"/>
      <c r="AD22" s="3593"/>
      <c r="AE22" s="3593"/>
      <c r="AF22" s="3594"/>
      <c r="AG22" s="3592"/>
      <c r="AH22" s="3593"/>
      <c r="AI22" s="3593"/>
      <c r="AJ22" s="3593"/>
      <c r="AK22" s="3594"/>
      <c r="AL22" s="3592"/>
      <c r="AM22" s="3593"/>
      <c r="AN22" s="3593"/>
      <c r="AO22" s="3593"/>
      <c r="AP22" s="3594"/>
      <c r="AQ22" s="3592"/>
      <c r="AR22" s="3593"/>
      <c r="AS22" s="3593"/>
      <c r="AT22" s="3593"/>
      <c r="AU22" s="3594"/>
      <c r="AV22" s="3592"/>
      <c r="AW22" s="3593"/>
      <c r="AX22" s="3593"/>
      <c r="AY22" s="3593"/>
      <c r="AZ22" s="3594"/>
      <c r="BA22" s="3592"/>
      <c r="BB22" s="3593">
        <v>2</v>
      </c>
      <c r="BC22" s="3593"/>
      <c r="BD22" s="3593"/>
      <c r="BE22" s="3594">
        <f t="shared" si="5"/>
        <v>2</v>
      </c>
      <c r="BF22" s="3592">
        <v>1</v>
      </c>
      <c r="BG22" s="3593">
        <v>3</v>
      </c>
      <c r="BH22" s="3593"/>
      <c r="BI22" s="3593"/>
      <c r="BJ22" s="3594">
        <f t="shared" si="6"/>
        <v>4</v>
      </c>
      <c r="BK22" s="3592">
        <v>1</v>
      </c>
      <c r="BL22" s="3593">
        <v>3</v>
      </c>
      <c r="BM22" s="3593"/>
      <c r="BN22" s="3593"/>
      <c r="BO22" s="3594">
        <f t="shared" si="7"/>
        <v>4</v>
      </c>
      <c r="BP22" s="3592">
        <v>1</v>
      </c>
      <c r="BQ22" s="3593">
        <v>8</v>
      </c>
      <c r="BR22" s="3593"/>
      <c r="BS22" s="3593"/>
      <c r="BT22" s="3594">
        <f t="shared" si="8"/>
        <v>9</v>
      </c>
      <c r="BU22" s="3592">
        <v>1</v>
      </c>
      <c r="BV22" s="3593">
        <v>5</v>
      </c>
      <c r="BW22" s="3593"/>
      <c r="BX22" s="3593"/>
      <c r="BY22" s="3594">
        <f t="shared" si="9"/>
        <v>6</v>
      </c>
      <c r="BZ22" s="3592">
        <v>3</v>
      </c>
      <c r="CA22" s="3593">
        <v>4</v>
      </c>
      <c r="CB22" s="3593">
        <v>1</v>
      </c>
      <c r="CC22" s="3593"/>
      <c r="CD22" s="3594">
        <f>SUM(BZ22:CC22)</f>
        <v>8</v>
      </c>
      <c r="CE22" s="3592">
        <v>3</v>
      </c>
      <c r="CF22" s="3593">
        <v>5</v>
      </c>
      <c r="CG22" s="3593">
        <v>1</v>
      </c>
      <c r="CH22" s="3593"/>
      <c r="CI22" s="3594">
        <f>SUM(CE22:CH22)</f>
        <v>9</v>
      </c>
      <c r="CJ22" s="3592">
        <v>5</v>
      </c>
      <c r="CK22" s="3593">
        <v>7</v>
      </c>
      <c r="CL22" s="3593">
        <v>1</v>
      </c>
      <c r="CM22" s="3593"/>
      <c r="CN22" s="3594">
        <f>SUM(CJ22:CM22)</f>
        <v>13</v>
      </c>
      <c r="CO22" s="3592">
        <v>5</v>
      </c>
      <c r="CP22" s="3593">
        <v>8</v>
      </c>
      <c r="CQ22" s="3593">
        <v>1</v>
      </c>
      <c r="CR22" s="3593"/>
      <c r="CS22" s="3594">
        <f>SUM(CO22:CR22)</f>
        <v>14</v>
      </c>
      <c r="CT22" s="3592">
        <v>7</v>
      </c>
      <c r="CU22" s="3593">
        <v>8</v>
      </c>
      <c r="CV22" s="3593">
        <v>1</v>
      </c>
      <c r="CW22" s="3593"/>
      <c r="CX22" s="3594">
        <f>SUM(CT22:CW22)</f>
        <v>16</v>
      </c>
      <c r="CY22" s="3592">
        <v>7</v>
      </c>
      <c r="CZ22" s="3593">
        <v>8</v>
      </c>
      <c r="DA22" s="3593">
        <v>1</v>
      </c>
      <c r="DB22" s="3593"/>
      <c r="DC22" s="3594">
        <f>SUM(CY22:DB22)</f>
        <v>16</v>
      </c>
      <c r="DD22" s="3592">
        <v>7</v>
      </c>
      <c r="DE22" s="3593">
        <v>7</v>
      </c>
      <c r="DF22" s="3593">
        <v>1</v>
      </c>
      <c r="DG22" s="3593">
        <v>0</v>
      </c>
      <c r="DH22" s="3594">
        <f>SUM(DD22:DG22)</f>
        <v>15</v>
      </c>
      <c r="DI22" s="3592">
        <v>3</v>
      </c>
      <c r="DJ22" s="3593">
        <v>9</v>
      </c>
      <c r="DK22" s="3593">
        <v>1</v>
      </c>
      <c r="DL22" s="3593">
        <v>0</v>
      </c>
      <c r="DM22" s="3594">
        <f>SUM(DI22:DL22)</f>
        <v>13</v>
      </c>
    </row>
    <row r="23" spans="2:117" ht="15" customHeight="1" x14ac:dyDescent="0.25">
      <c r="B23" s="3595" t="s">
        <v>64</v>
      </c>
      <c r="C23" s="3596"/>
      <c r="D23" s="3597"/>
      <c r="E23" s="3597"/>
      <c r="F23" s="3597"/>
      <c r="G23" s="3598"/>
      <c r="H23" s="3596"/>
      <c r="I23" s="3597"/>
      <c r="J23" s="3597"/>
      <c r="K23" s="3597"/>
      <c r="L23" s="3598"/>
      <c r="M23" s="3596"/>
      <c r="N23" s="3597"/>
      <c r="O23" s="3597"/>
      <c r="P23" s="3597"/>
      <c r="Q23" s="3598"/>
      <c r="R23" s="3596"/>
      <c r="S23" s="3597"/>
      <c r="T23" s="3597"/>
      <c r="U23" s="3597"/>
      <c r="V23" s="3598"/>
      <c r="W23" s="3596"/>
      <c r="X23" s="3597"/>
      <c r="Y23" s="3597"/>
      <c r="Z23" s="3597"/>
      <c r="AA23" s="3598"/>
      <c r="AB23" s="3596"/>
      <c r="AC23" s="3597"/>
      <c r="AD23" s="3597"/>
      <c r="AE23" s="3597"/>
      <c r="AF23" s="3598"/>
      <c r="AG23" s="3596"/>
      <c r="AH23" s="3597"/>
      <c r="AI23" s="3597"/>
      <c r="AJ23" s="3597"/>
      <c r="AK23" s="3598"/>
      <c r="AL23" s="3596"/>
      <c r="AM23" s="3597"/>
      <c r="AN23" s="3597"/>
      <c r="AO23" s="3597"/>
      <c r="AP23" s="3598"/>
      <c r="AQ23" s="3596"/>
      <c r="AR23" s="3597"/>
      <c r="AS23" s="3597"/>
      <c r="AT23" s="3597"/>
      <c r="AU23" s="3598"/>
      <c r="AV23" s="3596"/>
      <c r="AW23" s="3597"/>
      <c r="AX23" s="3597"/>
      <c r="AY23" s="3597"/>
      <c r="AZ23" s="3598"/>
      <c r="BA23" s="3596"/>
      <c r="BB23" s="3597"/>
      <c r="BC23" s="3597"/>
      <c r="BD23" s="3597"/>
      <c r="BE23" s="3598">
        <f t="shared" si="5"/>
        <v>0</v>
      </c>
      <c r="BF23" s="3596"/>
      <c r="BG23" s="3597"/>
      <c r="BH23" s="3597"/>
      <c r="BI23" s="3597"/>
      <c r="BJ23" s="3598">
        <f t="shared" si="6"/>
        <v>0</v>
      </c>
      <c r="BK23" s="3596"/>
      <c r="BL23" s="3597">
        <v>1</v>
      </c>
      <c r="BM23" s="3597"/>
      <c r="BN23" s="3597"/>
      <c r="BO23" s="3598">
        <f t="shared" si="7"/>
        <v>1</v>
      </c>
      <c r="BP23" s="3596">
        <v>4</v>
      </c>
      <c r="BQ23" s="3597">
        <v>1</v>
      </c>
      <c r="BR23" s="3597"/>
      <c r="BS23" s="3597"/>
      <c r="BT23" s="3598">
        <f t="shared" si="8"/>
        <v>5</v>
      </c>
      <c r="BU23" s="3596">
        <v>5</v>
      </c>
      <c r="BV23" s="3597">
        <v>1</v>
      </c>
      <c r="BW23" s="3597">
        <v>1</v>
      </c>
      <c r="BX23" s="3597"/>
      <c r="BY23" s="3598">
        <f t="shared" si="9"/>
        <v>7</v>
      </c>
      <c r="BZ23" s="3596">
        <v>6</v>
      </c>
      <c r="CA23" s="3597">
        <v>3</v>
      </c>
      <c r="CB23" s="3597">
        <v>2</v>
      </c>
      <c r="CC23" s="3597"/>
      <c r="CD23" s="3598">
        <f>SUM(BZ23:CC23)</f>
        <v>11</v>
      </c>
      <c r="CE23" s="3596">
        <v>5</v>
      </c>
      <c r="CF23" s="3597">
        <v>7</v>
      </c>
      <c r="CG23" s="3597">
        <v>2</v>
      </c>
      <c r="CH23" s="3597"/>
      <c r="CI23" s="3598">
        <f>SUM(CE23:CH23)</f>
        <v>14</v>
      </c>
      <c r="CJ23" s="3596">
        <v>10</v>
      </c>
      <c r="CK23" s="3597">
        <v>9</v>
      </c>
      <c r="CL23" s="3597">
        <v>2</v>
      </c>
      <c r="CM23" s="3597"/>
      <c r="CN23" s="3598">
        <f>SUM(CJ23:CM23)</f>
        <v>21</v>
      </c>
      <c r="CO23" s="3596">
        <v>5</v>
      </c>
      <c r="CP23" s="3597">
        <v>10</v>
      </c>
      <c r="CQ23" s="3597">
        <v>2</v>
      </c>
      <c r="CR23" s="3597">
        <v>1</v>
      </c>
      <c r="CS23" s="3598">
        <f>SUM(CO23:CR23)</f>
        <v>18</v>
      </c>
      <c r="CT23" s="3596">
        <v>7</v>
      </c>
      <c r="CU23" s="3597">
        <v>13</v>
      </c>
      <c r="CV23" s="3597">
        <v>1</v>
      </c>
      <c r="CW23" s="3597">
        <v>1</v>
      </c>
      <c r="CX23" s="3598">
        <f>SUM(CT23:CW23)</f>
        <v>22</v>
      </c>
      <c r="CY23" s="3596">
        <v>8</v>
      </c>
      <c r="CZ23" s="3597">
        <v>12</v>
      </c>
      <c r="DA23" s="3597">
        <v>1</v>
      </c>
      <c r="DB23" s="3597">
        <v>1</v>
      </c>
      <c r="DC23" s="3598">
        <f>SUM(CY23:DB23)</f>
        <v>22</v>
      </c>
      <c r="DD23" s="3596">
        <v>2</v>
      </c>
      <c r="DE23" s="3597">
        <v>16</v>
      </c>
      <c r="DF23" s="3597">
        <v>1</v>
      </c>
      <c r="DG23" s="3597">
        <v>1</v>
      </c>
      <c r="DH23" s="3598">
        <f>SUM(DD23:DG23)</f>
        <v>20</v>
      </c>
      <c r="DI23" s="3596">
        <v>6</v>
      </c>
      <c r="DJ23" s="3597">
        <v>19</v>
      </c>
      <c r="DK23" s="3597">
        <v>1</v>
      </c>
      <c r="DL23" s="3597">
        <v>1</v>
      </c>
      <c r="DM23" s="3598">
        <f>SUM(DI23:DL23)</f>
        <v>27</v>
      </c>
    </row>
    <row r="24" spans="2:117" ht="15" customHeight="1" x14ac:dyDescent="0.25">
      <c r="B24" s="3599" t="s">
        <v>92</v>
      </c>
      <c r="C24" s="3600"/>
      <c r="D24" s="3601"/>
      <c r="E24" s="3601"/>
      <c r="F24" s="3601"/>
      <c r="G24" s="3602"/>
      <c r="H24" s="3600"/>
      <c r="I24" s="3601"/>
      <c r="J24" s="3601"/>
      <c r="K24" s="3601"/>
      <c r="L24" s="3602"/>
      <c r="M24" s="3600"/>
      <c r="N24" s="3601"/>
      <c r="O24" s="3601"/>
      <c r="P24" s="3601"/>
      <c r="Q24" s="3602"/>
      <c r="R24" s="3600"/>
      <c r="S24" s="3601"/>
      <c r="T24" s="3601"/>
      <c r="U24" s="3601"/>
      <c r="V24" s="3602"/>
      <c r="W24" s="3600"/>
      <c r="X24" s="3601"/>
      <c r="Y24" s="3601"/>
      <c r="Z24" s="3601"/>
      <c r="AA24" s="3602"/>
      <c r="AB24" s="3600"/>
      <c r="AC24" s="3601"/>
      <c r="AD24" s="3601"/>
      <c r="AE24" s="3601"/>
      <c r="AF24" s="3602"/>
      <c r="AG24" s="3600"/>
      <c r="AH24" s="3601"/>
      <c r="AI24" s="3601"/>
      <c r="AJ24" s="3601"/>
      <c r="AK24" s="3602"/>
      <c r="AL24" s="3600"/>
      <c r="AM24" s="3601"/>
      <c r="AN24" s="3601"/>
      <c r="AO24" s="3601"/>
      <c r="AP24" s="3602"/>
      <c r="AQ24" s="3600"/>
      <c r="AR24" s="3601"/>
      <c r="AS24" s="3601"/>
      <c r="AT24" s="3601"/>
      <c r="AU24" s="3602"/>
      <c r="AV24" s="3600"/>
      <c r="AW24" s="3601"/>
      <c r="AX24" s="3601"/>
      <c r="AY24" s="3601"/>
      <c r="AZ24" s="3602"/>
      <c r="BA24" s="3600"/>
      <c r="BB24" s="3601">
        <v>1</v>
      </c>
      <c r="BC24" s="3601">
        <v>1</v>
      </c>
      <c r="BD24" s="3601"/>
      <c r="BE24" s="3602">
        <f t="shared" si="5"/>
        <v>2</v>
      </c>
      <c r="BF24" s="3600">
        <v>1</v>
      </c>
      <c r="BG24" s="3601">
        <v>5</v>
      </c>
      <c r="BH24" s="3601">
        <v>1</v>
      </c>
      <c r="BI24" s="3601"/>
      <c r="BJ24" s="3602">
        <f t="shared" si="6"/>
        <v>7</v>
      </c>
      <c r="BK24" s="3600">
        <v>1</v>
      </c>
      <c r="BL24" s="3601">
        <v>5</v>
      </c>
      <c r="BM24" s="3601">
        <v>2</v>
      </c>
      <c r="BN24" s="3601"/>
      <c r="BO24" s="3602">
        <f t="shared" si="7"/>
        <v>8</v>
      </c>
      <c r="BP24" s="3600">
        <v>5</v>
      </c>
      <c r="BQ24" s="3601">
        <v>8</v>
      </c>
      <c r="BR24" s="3601">
        <v>4</v>
      </c>
      <c r="BS24" s="3601"/>
      <c r="BT24" s="3602">
        <f t="shared" si="8"/>
        <v>17</v>
      </c>
      <c r="BU24" s="3600">
        <v>5</v>
      </c>
      <c r="BV24" s="3601">
        <v>7</v>
      </c>
      <c r="BW24" s="3601">
        <v>3</v>
      </c>
      <c r="BX24" s="3601"/>
      <c r="BY24" s="3602">
        <f t="shared" si="9"/>
        <v>15</v>
      </c>
      <c r="BZ24" s="3600">
        <v>6</v>
      </c>
      <c r="CA24" s="3601">
        <v>6</v>
      </c>
      <c r="CB24" s="3601">
        <v>3</v>
      </c>
      <c r="CC24" s="3601"/>
      <c r="CD24" s="3602">
        <f>SUM(BZ24:CC24)</f>
        <v>15</v>
      </c>
      <c r="CE24" s="3600">
        <v>4</v>
      </c>
      <c r="CF24" s="3601">
        <v>7</v>
      </c>
      <c r="CG24" s="3601">
        <v>3</v>
      </c>
      <c r="CH24" s="3601"/>
      <c r="CI24" s="3602">
        <f>SUM(CE24:CH24)</f>
        <v>14</v>
      </c>
      <c r="CJ24" s="3600">
        <v>3</v>
      </c>
      <c r="CK24" s="3601">
        <v>11</v>
      </c>
      <c r="CL24" s="3601">
        <v>3</v>
      </c>
      <c r="CM24" s="3601"/>
      <c r="CN24" s="3602">
        <f>SUM(CJ24:CM24)</f>
        <v>17</v>
      </c>
      <c r="CO24" s="3600">
        <v>3</v>
      </c>
      <c r="CP24" s="3601">
        <v>12</v>
      </c>
      <c r="CQ24" s="3601">
        <v>4</v>
      </c>
      <c r="CR24" s="3601"/>
      <c r="CS24" s="3602">
        <f>SUM(CO24:CR24)</f>
        <v>19</v>
      </c>
      <c r="CT24" s="3600">
        <v>2</v>
      </c>
      <c r="CU24" s="3601">
        <v>16</v>
      </c>
      <c r="CV24" s="3601">
        <v>3</v>
      </c>
      <c r="CW24" s="3601"/>
      <c r="CX24" s="3602">
        <f>SUM(CT24:CW24)</f>
        <v>21</v>
      </c>
      <c r="CY24" s="3600">
        <v>6</v>
      </c>
      <c r="CZ24" s="3601">
        <v>14</v>
      </c>
      <c r="DA24" s="3601">
        <v>3</v>
      </c>
      <c r="DB24" s="3601"/>
      <c r="DC24" s="3602">
        <f>SUM(CY24:DB24)</f>
        <v>23</v>
      </c>
      <c r="DD24" s="3600">
        <v>6</v>
      </c>
      <c r="DE24" s="3601">
        <v>16</v>
      </c>
      <c r="DF24" s="3601">
        <v>2</v>
      </c>
      <c r="DG24" s="3601">
        <v>1</v>
      </c>
      <c r="DH24" s="3602">
        <f>SUM(DD24:DG24)</f>
        <v>25</v>
      </c>
      <c r="DI24" s="3600">
        <v>5</v>
      </c>
      <c r="DJ24" s="3601">
        <v>17</v>
      </c>
      <c r="DK24" s="3601">
        <v>3</v>
      </c>
      <c r="DL24" s="3601">
        <v>1</v>
      </c>
      <c r="DM24" s="3602">
        <f>SUM(DI24:DL24)</f>
        <v>26</v>
      </c>
    </row>
    <row r="25" spans="2:117" ht="15" customHeight="1" x14ac:dyDescent="0.25">
      <c r="B25" s="3617" t="s">
        <v>136</v>
      </c>
      <c r="C25" s="3618"/>
      <c r="D25" s="3619"/>
      <c r="E25" s="3619"/>
      <c r="F25" s="3619"/>
      <c r="G25" s="3620"/>
      <c r="H25" s="3618"/>
      <c r="I25" s="3619"/>
      <c r="J25" s="3619"/>
      <c r="K25" s="3619"/>
      <c r="L25" s="3620"/>
      <c r="M25" s="3618"/>
      <c r="N25" s="3619"/>
      <c r="O25" s="3619"/>
      <c r="P25" s="3619"/>
      <c r="Q25" s="3620"/>
      <c r="R25" s="3618"/>
      <c r="S25" s="3619"/>
      <c r="T25" s="3619"/>
      <c r="U25" s="3619"/>
      <c r="V25" s="3620"/>
      <c r="W25" s="3618"/>
      <c r="X25" s="3619"/>
      <c r="Y25" s="3619"/>
      <c r="Z25" s="3619"/>
      <c r="AA25" s="3620"/>
      <c r="AB25" s="3618"/>
      <c r="AC25" s="3619"/>
      <c r="AD25" s="3619"/>
      <c r="AE25" s="3619"/>
      <c r="AF25" s="3620"/>
      <c r="AG25" s="3618"/>
      <c r="AH25" s="3619"/>
      <c r="AI25" s="3619"/>
      <c r="AJ25" s="3619"/>
      <c r="AK25" s="3620"/>
      <c r="AL25" s="3618"/>
      <c r="AM25" s="3619"/>
      <c r="AN25" s="3619"/>
      <c r="AO25" s="3619"/>
      <c r="AP25" s="3620"/>
      <c r="AQ25" s="3618"/>
      <c r="AR25" s="3619"/>
      <c r="AS25" s="3619"/>
      <c r="AT25" s="3619"/>
      <c r="AU25" s="3620"/>
      <c r="AV25" s="3618"/>
      <c r="AW25" s="3619"/>
      <c r="AX25" s="3619"/>
      <c r="AY25" s="3619"/>
      <c r="AZ25" s="3620"/>
      <c r="BA25" s="3618"/>
      <c r="BB25" s="3619">
        <f>SUM(BB22:BB24)</f>
        <v>3</v>
      </c>
      <c r="BC25" s="3619">
        <f t="shared" ref="BC25:BY25" si="22">SUM(BC22:BC24)</f>
        <v>1</v>
      </c>
      <c r="BD25" s="3619"/>
      <c r="BE25" s="3620">
        <f t="shared" si="22"/>
        <v>4</v>
      </c>
      <c r="BF25" s="3618">
        <f t="shared" si="22"/>
        <v>2</v>
      </c>
      <c r="BG25" s="3619">
        <f t="shared" si="22"/>
        <v>8</v>
      </c>
      <c r="BH25" s="3619">
        <f t="shared" si="22"/>
        <v>1</v>
      </c>
      <c r="BI25" s="3619"/>
      <c r="BJ25" s="3620">
        <f t="shared" si="22"/>
        <v>11</v>
      </c>
      <c r="BK25" s="3618">
        <f t="shared" si="22"/>
        <v>2</v>
      </c>
      <c r="BL25" s="3619">
        <f t="shared" si="22"/>
        <v>9</v>
      </c>
      <c r="BM25" s="3619">
        <f t="shared" si="22"/>
        <v>2</v>
      </c>
      <c r="BN25" s="3619"/>
      <c r="BO25" s="3620">
        <f t="shared" si="22"/>
        <v>13</v>
      </c>
      <c r="BP25" s="3618">
        <f t="shared" si="22"/>
        <v>10</v>
      </c>
      <c r="BQ25" s="3619">
        <f t="shared" si="22"/>
        <v>17</v>
      </c>
      <c r="BR25" s="3619">
        <f t="shared" si="22"/>
        <v>4</v>
      </c>
      <c r="BS25" s="3619"/>
      <c r="BT25" s="3620">
        <f t="shared" si="22"/>
        <v>31</v>
      </c>
      <c r="BU25" s="3618">
        <f t="shared" si="22"/>
        <v>11</v>
      </c>
      <c r="BV25" s="3619">
        <f t="shared" si="22"/>
        <v>13</v>
      </c>
      <c r="BW25" s="3619">
        <f t="shared" si="22"/>
        <v>4</v>
      </c>
      <c r="BX25" s="3619"/>
      <c r="BY25" s="3620">
        <f t="shared" si="22"/>
        <v>28</v>
      </c>
      <c r="BZ25" s="3618">
        <f>SUM(BZ22:BZ24)</f>
        <v>15</v>
      </c>
      <c r="CA25" s="3619">
        <f>SUM(CA22:CA24)</f>
        <v>13</v>
      </c>
      <c r="CB25" s="3619">
        <f>SUM(CB22:CB24)</f>
        <v>6</v>
      </c>
      <c r="CC25" s="3619"/>
      <c r="CD25" s="3620">
        <f>SUM(CD22:CD24)</f>
        <v>34</v>
      </c>
      <c r="CE25" s="3618">
        <f>SUM(CE22:CE24)</f>
        <v>12</v>
      </c>
      <c r="CF25" s="3619">
        <f>SUM(CF22:CF24)</f>
        <v>19</v>
      </c>
      <c r="CG25" s="3619">
        <f>SUM(CG22:CG24)</f>
        <v>6</v>
      </c>
      <c r="CH25" s="3619"/>
      <c r="CI25" s="3620">
        <f>SUM(CI22:CI24)</f>
        <v>37</v>
      </c>
      <c r="CJ25" s="3618">
        <f>SUM(CJ22:CJ24)</f>
        <v>18</v>
      </c>
      <c r="CK25" s="3619">
        <f>SUM(CK22:CK24)</f>
        <v>27</v>
      </c>
      <c r="CL25" s="3619">
        <f>SUM(CL22:CL24)</f>
        <v>6</v>
      </c>
      <c r="CM25" s="3619"/>
      <c r="CN25" s="3620">
        <f t="shared" ref="CN25:DC25" si="23">SUM(CN22:CN24)</f>
        <v>51</v>
      </c>
      <c r="CO25" s="3618">
        <f t="shared" si="23"/>
        <v>13</v>
      </c>
      <c r="CP25" s="3619">
        <f t="shared" si="23"/>
        <v>30</v>
      </c>
      <c r="CQ25" s="3619">
        <f t="shared" si="23"/>
        <v>7</v>
      </c>
      <c r="CR25" s="3619">
        <f t="shared" si="23"/>
        <v>1</v>
      </c>
      <c r="CS25" s="3620">
        <f t="shared" si="23"/>
        <v>51</v>
      </c>
      <c r="CT25" s="3618">
        <f t="shared" si="23"/>
        <v>16</v>
      </c>
      <c r="CU25" s="3619">
        <f t="shared" si="23"/>
        <v>37</v>
      </c>
      <c r="CV25" s="3619">
        <f t="shared" si="23"/>
        <v>5</v>
      </c>
      <c r="CW25" s="3619">
        <f t="shared" si="23"/>
        <v>1</v>
      </c>
      <c r="CX25" s="3620">
        <f t="shared" si="23"/>
        <v>59</v>
      </c>
      <c r="CY25" s="3618">
        <f t="shared" si="23"/>
        <v>21</v>
      </c>
      <c r="CZ25" s="3619">
        <f t="shared" si="23"/>
        <v>34</v>
      </c>
      <c r="DA25" s="3619">
        <f t="shared" si="23"/>
        <v>5</v>
      </c>
      <c r="DB25" s="3619">
        <f t="shared" si="23"/>
        <v>1</v>
      </c>
      <c r="DC25" s="3620">
        <f t="shared" si="23"/>
        <v>61</v>
      </c>
      <c r="DD25" s="3618">
        <f t="shared" ref="DD25:DH25" si="24">SUM(DD22:DD24)</f>
        <v>15</v>
      </c>
      <c r="DE25" s="3619">
        <f t="shared" si="24"/>
        <v>39</v>
      </c>
      <c r="DF25" s="3619">
        <f t="shared" si="24"/>
        <v>4</v>
      </c>
      <c r="DG25" s="3619">
        <f t="shared" si="24"/>
        <v>2</v>
      </c>
      <c r="DH25" s="3620">
        <f t="shared" si="24"/>
        <v>60</v>
      </c>
      <c r="DI25" s="3618">
        <f t="shared" ref="DI25:DM25" si="25">SUM(DI22:DI24)</f>
        <v>14</v>
      </c>
      <c r="DJ25" s="3619">
        <f t="shared" si="25"/>
        <v>45</v>
      </c>
      <c r="DK25" s="3619">
        <f t="shared" si="25"/>
        <v>5</v>
      </c>
      <c r="DL25" s="3619">
        <f t="shared" si="25"/>
        <v>2</v>
      </c>
      <c r="DM25" s="3620">
        <f t="shared" si="25"/>
        <v>66</v>
      </c>
    </row>
    <row r="26" spans="2:117" ht="15" customHeight="1" x14ac:dyDescent="0.25">
      <c r="B26" s="3580"/>
      <c r="C26" s="3607"/>
      <c r="D26" s="3607"/>
      <c r="E26" s="3607"/>
      <c r="F26" s="3607"/>
      <c r="G26" s="3607"/>
      <c r="H26" s="3607"/>
      <c r="I26" s="3607"/>
      <c r="J26" s="3607"/>
      <c r="K26" s="3607"/>
      <c r="L26" s="3607"/>
      <c r="M26" s="3607"/>
      <c r="N26" s="3607"/>
      <c r="O26" s="3607"/>
      <c r="P26" s="3607"/>
      <c r="Q26" s="3607"/>
      <c r="R26" s="3607"/>
      <c r="S26" s="3607"/>
      <c r="T26" s="3607"/>
      <c r="U26" s="3607"/>
      <c r="V26" s="3607"/>
      <c r="W26" s="3607"/>
      <c r="X26" s="3607"/>
      <c r="Y26" s="3607"/>
      <c r="Z26" s="3607"/>
      <c r="AA26" s="3607"/>
      <c r="AB26" s="3607"/>
      <c r="AC26" s="3607"/>
      <c r="AD26" s="3607"/>
      <c r="AE26" s="3607"/>
      <c r="AF26" s="3607"/>
      <c r="AG26" s="3607"/>
      <c r="AH26" s="3607"/>
      <c r="AI26" s="3607"/>
      <c r="AJ26" s="3607"/>
      <c r="AK26" s="3607"/>
      <c r="AL26" s="3607"/>
      <c r="AM26" s="3607"/>
      <c r="AN26" s="3607"/>
      <c r="AO26" s="3607"/>
      <c r="AP26" s="3607"/>
      <c r="AQ26" s="3607"/>
      <c r="AR26" s="3607"/>
      <c r="AS26" s="3607"/>
      <c r="AT26" s="3607"/>
      <c r="AU26" s="3607"/>
      <c r="AV26" s="3607"/>
      <c r="AW26" s="3607"/>
      <c r="AX26" s="3607"/>
      <c r="AY26" s="3607"/>
      <c r="AZ26" s="3607"/>
      <c r="BA26" s="3607"/>
      <c r="BB26" s="3607"/>
      <c r="BC26" s="3607"/>
      <c r="BD26" s="3607"/>
      <c r="BE26" s="3607"/>
      <c r="BF26" s="3607"/>
      <c r="BG26" s="3607"/>
      <c r="BH26" s="3607"/>
      <c r="BI26" s="3607"/>
      <c r="BJ26" s="3607"/>
      <c r="BK26" s="3607"/>
      <c r="BL26" s="3607"/>
      <c r="BM26" s="3607"/>
      <c r="BN26" s="3607"/>
      <c r="BO26" s="3607"/>
      <c r="BP26" s="3607"/>
      <c r="BQ26" s="3607"/>
      <c r="BR26" s="3607"/>
      <c r="BS26" s="3607"/>
      <c r="BT26" s="3607"/>
      <c r="BU26" s="3607"/>
      <c r="BV26" s="3607"/>
      <c r="BW26" s="3607"/>
      <c r="BX26" s="3607"/>
      <c r="BY26" s="3607"/>
      <c r="BZ26" s="3607"/>
      <c r="CA26" s="3607"/>
      <c r="CB26" s="3607"/>
      <c r="CC26" s="3607"/>
      <c r="CD26" s="3607"/>
      <c r="CE26" s="3607"/>
      <c r="CF26" s="3607"/>
      <c r="CG26" s="3607"/>
      <c r="CH26" s="3607"/>
      <c r="CI26" s="3607"/>
      <c r="CJ26" s="3607"/>
      <c r="CK26" s="3607"/>
      <c r="CL26" s="3607"/>
      <c r="CM26" s="3607"/>
      <c r="CN26" s="3607"/>
      <c r="CO26" s="3607"/>
      <c r="CP26" s="3607"/>
      <c r="CQ26" s="3607"/>
      <c r="CR26" s="3607"/>
      <c r="CS26" s="3607"/>
      <c r="CT26" s="3607"/>
      <c r="CU26" s="3607"/>
      <c r="CV26" s="3607"/>
      <c r="CW26" s="3607"/>
      <c r="CX26" s="3607"/>
      <c r="CY26" s="3607"/>
      <c r="CZ26" s="3607"/>
      <c r="DA26" s="3607"/>
      <c r="DB26" s="3607"/>
      <c r="DC26" s="3607"/>
      <c r="DD26" s="3607"/>
      <c r="DE26" s="3607"/>
      <c r="DF26" s="3607"/>
      <c r="DG26" s="3607"/>
      <c r="DH26" s="3607"/>
      <c r="DI26" s="3607"/>
      <c r="DJ26" s="3607"/>
      <c r="DK26" s="3607"/>
      <c r="DL26" s="3607"/>
      <c r="DM26" s="3607"/>
    </row>
    <row r="27" spans="2:117" ht="15" customHeight="1" x14ac:dyDescent="0.25">
      <c r="B27" s="3591" t="s">
        <v>64</v>
      </c>
      <c r="C27" s="3592">
        <v>8</v>
      </c>
      <c r="D27" s="3593">
        <v>41</v>
      </c>
      <c r="E27" s="3593">
        <v>5</v>
      </c>
      <c r="F27" s="3593">
        <v>2</v>
      </c>
      <c r="G27" s="3594">
        <f>SUM(C27:F27)</f>
        <v>56</v>
      </c>
      <c r="H27" s="3592">
        <v>5</v>
      </c>
      <c r="I27" s="3593">
        <v>41</v>
      </c>
      <c r="J27" s="3593">
        <v>14</v>
      </c>
      <c r="K27" s="3593">
        <v>2</v>
      </c>
      <c r="L27" s="3594">
        <f>SUM(H27:K27)</f>
        <v>62</v>
      </c>
      <c r="M27" s="3592">
        <v>1</v>
      </c>
      <c r="N27" s="3593">
        <v>40</v>
      </c>
      <c r="O27" s="3593">
        <v>20</v>
      </c>
      <c r="P27" s="3593">
        <v>2</v>
      </c>
      <c r="Q27" s="3594">
        <f>SUM(M27:P27)</f>
        <v>63</v>
      </c>
      <c r="R27" s="3592">
        <v>1</v>
      </c>
      <c r="S27" s="3593">
        <v>41</v>
      </c>
      <c r="T27" s="3593">
        <v>21</v>
      </c>
      <c r="U27" s="3593">
        <v>2</v>
      </c>
      <c r="V27" s="3594">
        <f>SUM(R27:U27)</f>
        <v>65</v>
      </c>
      <c r="W27" s="3592"/>
      <c r="X27" s="3593">
        <v>50</v>
      </c>
      <c r="Y27" s="3593">
        <v>24</v>
      </c>
      <c r="Z27" s="3593">
        <v>2</v>
      </c>
      <c r="AA27" s="3594">
        <f>SUM(W27:Z27)</f>
        <v>76</v>
      </c>
      <c r="AB27" s="3592"/>
      <c r="AC27" s="3593">
        <v>50</v>
      </c>
      <c r="AD27" s="3593">
        <v>25</v>
      </c>
      <c r="AE27" s="3593">
        <v>5</v>
      </c>
      <c r="AF27" s="3594">
        <f t="shared" si="0"/>
        <v>80</v>
      </c>
      <c r="AG27" s="3592">
        <v>1</v>
      </c>
      <c r="AH27" s="3593">
        <v>53</v>
      </c>
      <c r="AI27" s="3593">
        <v>31</v>
      </c>
      <c r="AJ27" s="3593">
        <v>5</v>
      </c>
      <c r="AK27" s="3594">
        <f t="shared" si="1"/>
        <v>90</v>
      </c>
      <c r="AL27" s="3592">
        <v>1</v>
      </c>
      <c r="AM27" s="3593">
        <v>58</v>
      </c>
      <c r="AN27" s="3593">
        <v>34</v>
      </c>
      <c r="AO27" s="3593">
        <v>5</v>
      </c>
      <c r="AP27" s="3594">
        <f t="shared" si="2"/>
        <v>98</v>
      </c>
      <c r="AQ27" s="3592">
        <v>2</v>
      </c>
      <c r="AR27" s="3593">
        <v>65</v>
      </c>
      <c r="AS27" s="3593">
        <v>38</v>
      </c>
      <c r="AT27" s="3593">
        <v>7</v>
      </c>
      <c r="AU27" s="3594">
        <f t="shared" si="3"/>
        <v>112</v>
      </c>
      <c r="AV27" s="3592">
        <v>2</v>
      </c>
      <c r="AW27" s="3593">
        <v>65</v>
      </c>
      <c r="AX27" s="3593">
        <v>38</v>
      </c>
      <c r="AY27" s="3593">
        <v>7</v>
      </c>
      <c r="AZ27" s="3594">
        <f t="shared" si="4"/>
        <v>112</v>
      </c>
      <c r="BA27" s="3592">
        <v>3</v>
      </c>
      <c r="BB27" s="3593">
        <v>68</v>
      </c>
      <c r="BC27" s="3593">
        <v>34</v>
      </c>
      <c r="BD27" s="3593">
        <v>11</v>
      </c>
      <c r="BE27" s="3594">
        <f t="shared" si="5"/>
        <v>116</v>
      </c>
      <c r="BF27" s="3592">
        <v>3</v>
      </c>
      <c r="BG27" s="3593">
        <v>67</v>
      </c>
      <c r="BH27" s="3593">
        <v>34</v>
      </c>
      <c r="BI27" s="3593">
        <v>11</v>
      </c>
      <c r="BJ27" s="3594">
        <f t="shared" si="6"/>
        <v>115</v>
      </c>
      <c r="BK27" s="3592">
        <v>8</v>
      </c>
      <c r="BL27" s="3593">
        <v>65</v>
      </c>
      <c r="BM27" s="3593">
        <v>35</v>
      </c>
      <c r="BN27" s="3593">
        <v>12</v>
      </c>
      <c r="BO27" s="3594">
        <f t="shared" si="7"/>
        <v>120</v>
      </c>
      <c r="BP27" s="3592">
        <v>15</v>
      </c>
      <c r="BQ27" s="3593">
        <v>63</v>
      </c>
      <c r="BR27" s="3593">
        <v>34</v>
      </c>
      <c r="BS27" s="3593">
        <v>13</v>
      </c>
      <c r="BT27" s="3594">
        <f t="shared" si="8"/>
        <v>125</v>
      </c>
      <c r="BU27" s="3592">
        <v>17</v>
      </c>
      <c r="BV27" s="3593">
        <v>66</v>
      </c>
      <c r="BW27" s="3593">
        <v>29</v>
      </c>
      <c r="BX27" s="3593">
        <v>16</v>
      </c>
      <c r="BY27" s="3594">
        <f t="shared" si="9"/>
        <v>128</v>
      </c>
      <c r="BZ27" s="3592">
        <v>14</v>
      </c>
      <c r="CA27" s="3593">
        <v>60</v>
      </c>
      <c r="CB27" s="3593">
        <v>32</v>
      </c>
      <c r="CC27" s="3593">
        <v>17</v>
      </c>
      <c r="CD27" s="3594">
        <f>SUM(BZ27:CC27)</f>
        <v>123</v>
      </c>
      <c r="CE27" s="3592">
        <v>10</v>
      </c>
      <c r="CF27" s="3593">
        <v>63</v>
      </c>
      <c r="CG27" s="3593">
        <v>30</v>
      </c>
      <c r="CH27" s="3593">
        <v>20</v>
      </c>
      <c r="CI27" s="3594">
        <f>SUM(CE27:CH27)</f>
        <v>123</v>
      </c>
      <c r="CJ27" s="3592">
        <v>6</v>
      </c>
      <c r="CK27" s="3593">
        <v>58</v>
      </c>
      <c r="CL27" s="3593">
        <v>33</v>
      </c>
      <c r="CM27" s="3593">
        <v>20</v>
      </c>
      <c r="CN27" s="3594">
        <f>SUM(CJ27:CM27)</f>
        <v>117</v>
      </c>
      <c r="CO27" s="3592">
        <v>8</v>
      </c>
      <c r="CP27" s="3593">
        <v>54</v>
      </c>
      <c r="CQ27" s="3593">
        <v>34</v>
      </c>
      <c r="CR27" s="3593">
        <v>21</v>
      </c>
      <c r="CS27" s="3594">
        <f>SUM(CO27:CR27)</f>
        <v>117</v>
      </c>
      <c r="CT27" s="3592">
        <v>9</v>
      </c>
      <c r="CU27" s="3593">
        <v>54</v>
      </c>
      <c r="CV27" s="3593">
        <v>32</v>
      </c>
      <c r="CW27" s="3593">
        <v>22</v>
      </c>
      <c r="CX27" s="3594">
        <f>SUM(CT27:CW27)</f>
        <v>117</v>
      </c>
      <c r="CY27" s="3592">
        <v>10</v>
      </c>
      <c r="CZ27" s="3593">
        <v>54</v>
      </c>
      <c r="DA27" s="3593">
        <v>32</v>
      </c>
      <c r="DB27" s="3593">
        <v>22</v>
      </c>
      <c r="DC27" s="3594">
        <f>SUM(CY27:DB27)</f>
        <v>118</v>
      </c>
      <c r="DD27" s="3592">
        <v>11</v>
      </c>
      <c r="DE27" s="3593">
        <v>48</v>
      </c>
      <c r="DF27" s="3593">
        <v>37</v>
      </c>
      <c r="DG27" s="3593">
        <v>23</v>
      </c>
      <c r="DH27" s="3594">
        <f>SUM(DD27:DG27)</f>
        <v>119</v>
      </c>
      <c r="DI27" s="3592">
        <v>10</v>
      </c>
      <c r="DJ27" s="3593">
        <v>60</v>
      </c>
      <c r="DK27" s="3593">
        <v>36</v>
      </c>
      <c r="DL27" s="3593">
        <v>22</v>
      </c>
      <c r="DM27" s="3594">
        <f>SUM(DI27:DL27)</f>
        <v>128</v>
      </c>
    </row>
    <row r="28" spans="2:117" ht="15" customHeight="1" x14ac:dyDescent="0.25">
      <c r="B28" s="3595" t="s">
        <v>92</v>
      </c>
      <c r="C28" s="3596">
        <v>2</v>
      </c>
      <c r="D28" s="3597">
        <v>19</v>
      </c>
      <c r="E28" s="3597">
        <v>1</v>
      </c>
      <c r="F28" s="3597"/>
      <c r="G28" s="3598">
        <f>SUM(C28:F28)</f>
        <v>22</v>
      </c>
      <c r="H28" s="3596">
        <v>5</v>
      </c>
      <c r="I28" s="3597">
        <v>23</v>
      </c>
      <c r="J28" s="3597"/>
      <c r="K28" s="3597"/>
      <c r="L28" s="3598">
        <f>SUM(H28:K28)</f>
        <v>28</v>
      </c>
      <c r="M28" s="3596">
        <v>4</v>
      </c>
      <c r="N28" s="3597">
        <v>25</v>
      </c>
      <c r="O28" s="3597">
        <v>2</v>
      </c>
      <c r="P28" s="3597"/>
      <c r="Q28" s="3598">
        <f>SUM(M28:P28)</f>
        <v>31</v>
      </c>
      <c r="R28" s="3596">
        <v>4</v>
      </c>
      <c r="S28" s="3597">
        <v>27</v>
      </c>
      <c r="T28" s="3597">
        <v>2</v>
      </c>
      <c r="U28" s="3597"/>
      <c r="V28" s="3598">
        <f>SUM(R28:U28)</f>
        <v>33</v>
      </c>
      <c r="W28" s="3596">
        <v>7</v>
      </c>
      <c r="X28" s="3597">
        <v>41</v>
      </c>
      <c r="Y28" s="3597">
        <v>4</v>
      </c>
      <c r="Z28" s="3597"/>
      <c r="AA28" s="3598">
        <f>SUM(W28:Z28)</f>
        <v>52</v>
      </c>
      <c r="AB28" s="3596">
        <v>4</v>
      </c>
      <c r="AC28" s="3597">
        <v>45</v>
      </c>
      <c r="AD28" s="3597">
        <v>4</v>
      </c>
      <c r="AE28" s="3597"/>
      <c r="AF28" s="3598">
        <f t="shared" si="0"/>
        <v>53</v>
      </c>
      <c r="AG28" s="3596">
        <v>3</v>
      </c>
      <c r="AH28" s="3597">
        <v>45</v>
      </c>
      <c r="AI28" s="3597">
        <v>4</v>
      </c>
      <c r="AJ28" s="3597">
        <v>2</v>
      </c>
      <c r="AK28" s="3598">
        <f t="shared" si="1"/>
        <v>54</v>
      </c>
      <c r="AL28" s="3596">
        <v>3</v>
      </c>
      <c r="AM28" s="3597">
        <v>43</v>
      </c>
      <c r="AN28" s="3597">
        <v>6</v>
      </c>
      <c r="AO28" s="3597">
        <v>2</v>
      </c>
      <c r="AP28" s="3598">
        <f t="shared" si="2"/>
        <v>54</v>
      </c>
      <c r="AQ28" s="3596">
        <v>7</v>
      </c>
      <c r="AR28" s="3597">
        <v>55</v>
      </c>
      <c r="AS28" s="3597">
        <v>12</v>
      </c>
      <c r="AT28" s="3597">
        <v>2</v>
      </c>
      <c r="AU28" s="3598">
        <f t="shared" si="3"/>
        <v>76</v>
      </c>
      <c r="AV28" s="3596">
        <v>7</v>
      </c>
      <c r="AW28" s="3597">
        <v>55</v>
      </c>
      <c r="AX28" s="3597">
        <v>12</v>
      </c>
      <c r="AY28" s="3597">
        <v>2</v>
      </c>
      <c r="AZ28" s="3598">
        <f t="shared" si="4"/>
        <v>76</v>
      </c>
      <c r="BA28" s="3596">
        <v>8</v>
      </c>
      <c r="BB28" s="3597">
        <v>53</v>
      </c>
      <c r="BC28" s="3597">
        <v>14</v>
      </c>
      <c r="BD28" s="3597">
        <v>1</v>
      </c>
      <c r="BE28" s="3598">
        <f t="shared" si="5"/>
        <v>76</v>
      </c>
      <c r="BF28" s="3596">
        <v>8</v>
      </c>
      <c r="BG28" s="3597">
        <v>55</v>
      </c>
      <c r="BH28" s="3597">
        <v>14</v>
      </c>
      <c r="BI28" s="3597">
        <v>2</v>
      </c>
      <c r="BJ28" s="3598">
        <f t="shared" si="6"/>
        <v>79</v>
      </c>
      <c r="BK28" s="3596">
        <v>9</v>
      </c>
      <c r="BL28" s="3597">
        <v>61</v>
      </c>
      <c r="BM28" s="3597">
        <v>14</v>
      </c>
      <c r="BN28" s="3597">
        <v>2</v>
      </c>
      <c r="BO28" s="3598">
        <f t="shared" si="7"/>
        <v>86</v>
      </c>
      <c r="BP28" s="3596">
        <v>14</v>
      </c>
      <c r="BQ28" s="3597">
        <v>66</v>
      </c>
      <c r="BR28" s="3597">
        <v>15</v>
      </c>
      <c r="BS28" s="3597">
        <v>3</v>
      </c>
      <c r="BT28" s="3598">
        <f t="shared" si="8"/>
        <v>98</v>
      </c>
      <c r="BU28" s="3596">
        <v>23</v>
      </c>
      <c r="BV28" s="3597">
        <v>61</v>
      </c>
      <c r="BW28" s="3597">
        <v>15</v>
      </c>
      <c r="BX28" s="3597">
        <v>3</v>
      </c>
      <c r="BY28" s="3598">
        <f t="shared" si="9"/>
        <v>102</v>
      </c>
      <c r="BZ28" s="3596">
        <v>17</v>
      </c>
      <c r="CA28" s="3597">
        <v>67</v>
      </c>
      <c r="CB28" s="3597">
        <v>20</v>
      </c>
      <c r="CC28" s="3597">
        <v>4</v>
      </c>
      <c r="CD28" s="3598">
        <f>SUM(BZ28:CC28)</f>
        <v>108</v>
      </c>
      <c r="CE28" s="3596">
        <v>23</v>
      </c>
      <c r="CF28" s="3597">
        <v>72</v>
      </c>
      <c r="CG28" s="3597">
        <v>19</v>
      </c>
      <c r="CH28" s="3597">
        <v>6</v>
      </c>
      <c r="CI28" s="3598">
        <f>SUM(CE28:CH28)</f>
        <v>120</v>
      </c>
      <c r="CJ28" s="3596">
        <v>20</v>
      </c>
      <c r="CK28" s="3597">
        <v>68</v>
      </c>
      <c r="CL28" s="3597">
        <v>22</v>
      </c>
      <c r="CM28" s="3597">
        <v>6</v>
      </c>
      <c r="CN28" s="3598">
        <f>SUM(CJ28:CM28)</f>
        <v>116</v>
      </c>
      <c r="CO28" s="3596">
        <v>17</v>
      </c>
      <c r="CP28" s="3597">
        <v>64</v>
      </c>
      <c r="CQ28" s="3597">
        <v>23</v>
      </c>
      <c r="CR28" s="3597">
        <v>6</v>
      </c>
      <c r="CS28" s="3598">
        <f>SUM(CO28:CR28)</f>
        <v>110</v>
      </c>
      <c r="CT28" s="3596">
        <v>17</v>
      </c>
      <c r="CU28" s="3597">
        <v>58</v>
      </c>
      <c r="CV28" s="3597">
        <v>22</v>
      </c>
      <c r="CW28" s="3597">
        <v>8</v>
      </c>
      <c r="CX28" s="3598">
        <f>SUM(CT28:CW28)</f>
        <v>105</v>
      </c>
      <c r="CY28" s="3596">
        <v>19</v>
      </c>
      <c r="CZ28" s="3597">
        <v>57</v>
      </c>
      <c r="DA28" s="3597">
        <v>22</v>
      </c>
      <c r="DB28" s="3597">
        <v>8</v>
      </c>
      <c r="DC28" s="3598">
        <f>SUM(CY28:DB28)</f>
        <v>106</v>
      </c>
      <c r="DD28" s="3596">
        <v>21</v>
      </c>
      <c r="DE28" s="3597">
        <v>59</v>
      </c>
      <c r="DF28" s="3597">
        <v>21</v>
      </c>
      <c r="DG28" s="3597">
        <v>9</v>
      </c>
      <c r="DH28" s="3598">
        <f>SUM(DD28:DG28)</f>
        <v>110</v>
      </c>
      <c r="DI28" s="3596">
        <v>19</v>
      </c>
      <c r="DJ28" s="3597">
        <v>76</v>
      </c>
      <c r="DK28" s="3597">
        <v>19</v>
      </c>
      <c r="DL28" s="3597">
        <v>11</v>
      </c>
      <c r="DM28" s="3598">
        <f>SUM(DI28:DL28)</f>
        <v>125</v>
      </c>
    </row>
    <row r="29" spans="2:117" ht="15" customHeight="1" x14ac:dyDescent="0.25">
      <c r="B29" s="3599" t="s">
        <v>68</v>
      </c>
      <c r="C29" s="3600"/>
      <c r="D29" s="3601">
        <v>7</v>
      </c>
      <c r="E29" s="3601">
        <v>1</v>
      </c>
      <c r="F29" s="3601"/>
      <c r="G29" s="3602">
        <f>SUM(C29:F29)</f>
        <v>8</v>
      </c>
      <c r="H29" s="3600"/>
      <c r="I29" s="3601">
        <v>9</v>
      </c>
      <c r="J29" s="3601"/>
      <c r="K29" s="3601">
        <v>1</v>
      </c>
      <c r="L29" s="3602">
        <f>SUM(H29:K29)</f>
        <v>10</v>
      </c>
      <c r="M29" s="3600"/>
      <c r="N29" s="3601">
        <v>8</v>
      </c>
      <c r="O29" s="3601">
        <v>1</v>
      </c>
      <c r="P29" s="3601"/>
      <c r="Q29" s="3602">
        <f>SUM(M29:P29)</f>
        <v>9</v>
      </c>
      <c r="R29" s="3600"/>
      <c r="S29" s="3601">
        <v>8</v>
      </c>
      <c r="T29" s="3601">
        <v>1</v>
      </c>
      <c r="U29" s="3601"/>
      <c r="V29" s="3602">
        <f>SUM(R29:U29)</f>
        <v>9</v>
      </c>
      <c r="W29" s="3600"/>
      <c r="X29" s="3601">
        <v>10</v>
      </c>
      <c r="Y29" s="3601">
        <v>2</v>
      </c>
      <c r="Z29" s="3601"/>
      <c r="AA29" s="3602">
        <f>SUM(W29:Z29)</f>
        <v>12</v>
      </c>
      <c r="AB29" s="3600"/>
      <c r="AC29" s="3601">
        <v>10</v>
      </c>
      <c r="AD29" s="3601">
        <v>5</v>
      </c>
      <c r="AE29" s="3601"/>
      <c r="AF29" s="3602">
        <f t="shared" si="0"/>
        <v>15</v>
      </c>
      <c r="AG29" s="3600"/>
      <c r="AH29" s="3601">
        <v>12</v>
      </c>
      <c r="AI29" s="3601">
        <v>5</v>
      </c>
      <c r="AJ29" s="3601"/>
      <c r="AK29" s="3602">
        <f t="shared" si="1"/>
        <v>17</v>
      </c>
      <c r="AL29" s="3600"/>
      <c r="AM29" s="3601">
        <v>14</v>
      </c>
      <c r="AN29" s="3601">
        <v>6</v>
      </c>
      <c r="AO29" s="3601"/>
      <c r="AP29" s="3602">
        <f t="shared" si="2"/>
        <v>20</v>
      </c>
      <c r="AQ29" s="3600"/>
      <c r="AR29" s="3601">
        <v>9</v>
      </c>
      <c r="AS29" s="3601">
        <v>9</v>
      </c>
      <c r="AT29" s="3601"/>
      <c r="AU29" s="3602">
        <f t="shared" si="3"/>
        <v>18</v>
      </c>
      <c r="AV29" s="3600"/>
      <c r="AW29" s="3601">
        <v>9</v>
      </c>
      <c r="AX29" s="3601">
        <v>9</v>
      </c>
      <c r="AY29" s="3601"/>
      <c r="AZ29" s="3602">
        <f t="shared" si="4"/>
        <v>18</v>
      </c>
      <c r="BA29" s="3600">
        <v>1</v>
      </c>
      <c r="BB29" s="3601">
        <v>8</v>
      </c>
      <c r="BC29" s="3601">
        <v>9</v>
      </c>
      <c r="BD29" s="3601">
        <v>1</v>
      </c>
      <c r="BE29" s="3602">
        <f t="shared" si="5"/>
        <v>19</v>
      </c>
      <c r="BF29" s="3600">
        <v>1</v>
      </c>
      <c r="BG29" s="3601">
        <v>8</v>
      </c>
      <c r="BH29" s="3601">
        <v>9</v>
      </c>
      <c r="BI29" s="3601">
        <v>1</v>
      </c>
      <c r="BJ29" s="3602">
        <f t="shared" si="6"/>
        <v>19</v>
      </c>
      <c r="BK29" s="3600">
        <v>1</v>
      </c>
      <c r="BL29" s="3601">
        <v>9</v>
      </c>
      <c r="BM29" s="3601">
        <v>8</v>
      </c>
      <c r="BN29" s="3601">
        <v>1</v>
      </c>
      <c r="BO29" s="3602">
        <f t="shared" si="7"/>
        <v>19</v>
      </c>
      <c r="BP29" s="3600">
        <v>2</v>
      </c>
      <c r="BQ29" s="3601">
        <v>11</v>
      </c>
      <c r="BR29" s="3601">
        <v>5</v>
      </c>
      <c r="BS29" s="3601">
        <v>2</v>
      </c>
      <c r="BT29" s="3602">
        <f t="shared" si="8"/>
        <v>20</v>
      </c>
      <c r="BU29" s="3600">
        <v>1</v>
      </c>
      <c r="BV29" s="3601">
        <v>10</v>
      </c>
      <c r="BW29" s="3601">
        <v>6</v>
      </c>
      <c r="BX29" s="3601">
        <v>2</v>
      </c>
      <c r="BY29" s="3602">
        <f t="shared" si="9"/>
        <v>19</v>
      </c>
      <c r="BZ29" s="3600"/>
      <c r="CA29" s="3601">
        <v>9</v>
      </c>
      <c r="CB29" s="3601">
        <v>5</v>
      </c>
      <c r="CC29" s="3601">
        <v>2</v>
      </c>
      <c r="CD29" s="3602">
        <f>SUM(BZ29:CC29)</f>
        <v>16</v>
      </c>
      <c r="CE29" s="3600">
        <v>0</v>
      </c>
      <c r="CF29" s="3601">
        <v>8</v>
      </c>
      <c r="CG29" s="3601">
        <v>5</v>
      </c>
      <c r="CH29" s="3601">
        <v>2</v>
      </c>
      <c r="CI29" s="3602">
        <f>SUM(CE29:CH29)</f>
        <v>15</v>
      </c>
      <c r="CJ29" s="3600">
        <v>2</v>
      </c>
      <c r="CK29" s="3601">
        <v>7</v>
      </c>
      <c r="CL29" s="3601">
        <v>5</v>
      </c>
      <c r="CM29" s="3601">
        <v>2</v>
      </c>
      <c r="CN29" s="3602">
        <f>SUM(CJ29:CM29)</f>
        <v>16</v>
      </c>
      <c r="CO29" s="3600">
        <v>2</v>
      </c>
      <c r="CP29" s="3601">
        <v>11</v>
      </c>
      <c r="CQ29" s="3601">
        <v>5</v>
      </c>
      <c r="CR29" s="3601">
        <v>2</v>
      </c>
      <c r="CS29" s="3602">
        <f>SUM(CO29:CR29)</f>
        <v>20</v>
      </c>
      <c r="CT29" s="3600">
        <v>2</v>
      </c>
      <c r="CU29" s="3601">
        <v>10</v>
      </c>
      <c r="CV29" s="3601">
        <v>5</v>
      </c>
      <c r="CW29" s="3601">
        <v>2</v>
      </c>
      <c r="CX29" s="3602">
        <f>SUM(CT29:CW29)</f>
        <v>19</v>
      </c>
      <c r="CY29" s="3600">
        <v>2</v>
      </c>
      <c r="CZ29" s="3601">
        <v>9</v>
      </c>
      <c r="DA29" s="3601">
        <v>4</v>
      </c>
      <c r="DB29" s="3601">
        <v>2</v>
      </c>
      <c r="DC29" s="3602">
        <f>SUM(CY29:DB29)</f>
        <v>17</v>
      </c>
      <c r="DD29" s="3600">
        <v>1</v>
      </c>
      <c r="DE29" s="3601">
        <v>7</v>
      </c>
      <c r="DF29" s="3601">
        <v>4</v>
      </c>
      <c r="DG29" s="3601">
        <v>2</v>
      </c>
      <c r="DH29" s="3602">
        <f>SUM(DD29:DG29)</f>
        <v>14</v>
      </c>
      <c r="DI29" s="3600">
        <v>2</v>
      </c>
      <c r="DJ29" s="3601">
        <v>5</v>
      </c>
      <c r="DK29" s="3601">
        <v>4</v>
      </c>
      <c r="DL29" s="3601">
        <v>2</v>
      </c>
      <c r="DM29" s="3602">
        <f>SUM(DI29:DL29)</f>
        <v>13</v>
      </c>
    </row>
    <row r="30" spans="2:117" ht="15" customHeight="1" x14ac:dyDescent="0.25">
      <c r="B30" s="3621" t="s">
        <v>137</v>
      </c>
      <c r="C30" s="3622">
        <f>SUM(C27:C29)</f>
        <v>10</v>
      </c>
      <c r="D30" s="3623">
        <f t="shared" ref="D30:BO30" si="26">SUM(D27:D29)</f>
        <v>67</v>
      </c>
      <c r="E30" s="3623">
        <f t="shared" si="26"/>
        <v>7</v>
      </c>
      <c r="F30" s="3623">
        <f t="shared" si="26"/>
        <v>2</v>
      </c>
      <c r="G30" s="3624">
        <f t="shared" si="26"/>
        <v>86</v>
      </c>
      <c r="H30" s="3622">
        <f t="shared" si="26"/>
        <v>10</v>
      </c>
      <c r="I30" s="3623">
        <f t="shared" si="26"/>
        <v>73</v>
      </c>
      <c r="J30" s="3623">
        <f t="shared" si="26"/>
        <v>14</v>
      </c>
      <c r="K30" s="3623">
        <f t="shared" si="26"/>
        <v>3</v>
      </c>
      <c r="L30" s="3624">
        <f t="shared" si="26"/>
        <v>100</v>
      </c>
      <c r="M30" s="3622">
        <f t="shared" si="26"/>
        <v>5</v>
      </c>
      <c r="N30" s="3623">
        <f t="shared" si="26"/>
        <v>73</v>
      </c>
      <c r="O30" s="3623">
        <f t="shared" si="26"/>
        <v>23</v>
      </c>
      <c r="P30" s="3623">
        <f t="shared" si="26"/>
        <v>2</v>
      </c>
      <c r="Q30" s="3624">
        <f t="shared" si="26"/>
        <v>103</v>
      </c>
      <c r="R30" s="3622">
        <f t="shared" si="26"/>
        <v>5</v>
      </c>
      <c r="S30" s="3623">
        <f t="shared" si="26"/>
        <v>76</v>
      </c>
      <c r="T30" s="3623">
        <f t="shared" si="26"/>
        <v>24</v>
      </c>
      <c r="U30" s="3623">
        <f t="shared" si="26"/>
        <v>2</v>
      </c>
      <c r="V30" s="3624">
        <f t="shared" si="26"/>
        <v>107</v>
      </c>
      <c r="W30" s="3622">
        <f t="shared" si="26"/>
        <v>7</v>
      </c>
      <c r="X30" s="3623">
        <f t="shared" si="26"/>
        <v>101</v>
      </c>
      <c r="Y30" s="3623">
        <f t="shared" si="26"/>
        <v>30</v>
      </c>
      <c r="Z30" s="3623">
        <f t="shared" si="26"/>
        <v>2</v>
      </c>
      <c r="AA30" s="3624">
        <f t="shared" si="26"/>
        <v>140</v>
      </c>
      <c r="AB30" s="3622">
        <f t="shared" si="26"/>
        <v>4</v>
      </c>
      <c r="AC30" s="3623">
        <f t="shared" si="26"/>
        <v>105</v>
      </c>
      <c r="AD30" s="3623">
        <f t="shared" si="26"/>
        <v>34</v>
      </c>
      <c r="AE30" s="3623">
        <f t="shared" si="26"/>
        <v>5</v>
      </c>
      <c r="AF30" s="3624">
        <f t="shared" si="26"/>
        <v>148</v>
      </c>
      <c r="AG30" s="3622">
        <f t="shared" si="26"/>
        <v>4</v>
      </c>
      <c r="AH30" s="3623">
        <f t="shared" si="26"/>
        <v>110</v>
      </c>
      <c r="AI30" s="3623">
        <f t="shared" si="26"/>
        <v>40</v>
      </c>
      <c r="AJ30" s="3623">
        <f t="shared" si="26"/>
        <v>7</v>
      </c>
      <c r="AK30" s="3624">
        <f t="shared" si="26"/>
        <v>161</v>
      </c>
      <c r="AL30" s="3622">
        <f t="shared" si="26"/>
        <v>4</v>
      </c>
      <c r="AM30" s="3623">
        <f t="shared" si="26"/>
        <v>115</v>
      </c>
      <c r="AN30" s="3623">
        <f t="shared" si="26"/>
        <v>46</v>
      </c>
      <c r="AO30" s="3623">
        <f t="shared" si="26"/>
        <v>7</v>
      </c>
      <c r="AP30" s="3624">
        <f t="shared" si="26"/>
        <v>172</v>
      </c>
      <c r="AQ30" s="3622">
        <f t="shared" si="26"/>
        <v>9</v>
      </c>
      <c r="AR30" s="3623">
        <f t="shared" si="26"/>
        <v>129</v>
      </c>
      <c r="AS30" s="3623">
        <f t="shared" si="26"/>
        <v>59</v>
      </c>
      <c r="AT30" s="3623">
        <f t="shared" si="26"/>
        <v>9</v>
      </c>
      <c r="AU30" s="3624">
        <f t="shared" si="26"/>
        <v>206</v>
      </c>
      <c r="AV30" s="3622">
        <f t="shared" si="26"/>
        <v>9</v>
      </c>
      <c r="AW30" s="3623">
        <f t="shared" si="26"/>
        <v>129</v>
      </c>
      <c r="AX30" s="3623">
        <f t="shared" si="26"/>
        <v>59</v>
      </c>
      <c r="AY30" s="3623">
        <f t="shared" si="26"/>
        <v>9</v>
      </c>
      <c r="AZ30" s="3624">
        <f t="shared" si="26"/>
        <v>206</v>
      </c>
      <c r="BA30" s="3622">
        <f t="shared" si="26"/>
        <v>12</v>
      </c>
      <c r="BB30" s="3623">
        <f t="shared" si="26"/>
        <v>129</v>
      </c>
      <c r="BC30" s="3623">
        <f t="shared" si="26"/>
        <v>57</v>
      </c>
      <c r="BD30" s="3623">
        <f t="shared" si="26"/>
        <v>13</v>
      </c>
      <c r="BE30" s="3624">
        <f t="shared" si="26"/>
        <v>211</v>
      </c>
      <c r="BF30" s="3622">
        <f t="shared" si="26"/>
        <v>12</v>
      </c>
      <c r="BG30" s="3623">
        <f t="shared" si="26"/>
        <v>130</v>
      </c>
      <c r="BH30" s="3623">
        <f t="shared" si="26"/>
        <v>57</v>
      </c>
      <c r="BI30" s="3623">
        <f t="shared" si="26"/>
        <v>14</v>
      </c>
      <c r="BJ30" s="3624">
        <f t="shared" si="26"/>
        <v>213</v>
      </c>
      <c r="BK30" s="3622">
        <f t="shared" si="26"/>
        <v>18</v>
      </c>
      <c r="BL30" s="3623">
        <f t="shared" si="26"/>
        <v>135</v>
      </c>
      <c r="BM30" s="3623">
        <f t="shared" si="26"/>
        <v>57</v>
      </c>
      <c r="BN30" s="3623">
        <f t="shared" si="26"/>
        <v>15</v>
      </c>
      <c r="BO30" s="3624">
        <f t="shared" si="26"/>
        <v>225</v>
      </c>
      <c r="BP30" s="3622">
        <f t="shared" ref="BP30:DC30" si="27">SUM(BP27:BP29)</f>
        <v>31</v>
      </c>
      <c r="BQ30" s="3623">
        <f t="shared" si="27"/>
        <v>140</v>
      </c>
      <c r="BR30" s="3623">
        <f t="shared" si="27"/>
        <v>54</v>
      </c>
      <c r="BS30" s="3623">
        <f t="shared" si="27"/>
        <v>18</v>
      </c>
      <c r="BT30" s="3624">
        <f t="shared" si="27"/>
        <v>243</v>
      </c>
      <c r="BU30" s="3622">
        <f t="shared" si="27"/>
        <v>41</v>
      </c>
      <c r="BV30" s="3623">
        <f t="shared" si="27"/>
        <v>137</v>
      </c>
      <c r="BW30" s="3623">
        <f t="shared" si="27"/>
        <v>50</v>
      </c>
      <c r="BX30" s="3623">
        <f t="shared" si="27"/>
        <v>21</v>
      </c>
      <c r="BY30" s="3624">
        <f t="shared" si="27"/>
        <v>249</v>
      </c>
      <c r="BZ30" s="3622">
        <f t="shared" si="27"/>
        <v>31</v>
      </c>
      <c r="CA30" s="3623">
        <f t="shared" si="27"/>
        <v>136</v>
      </c>
      <c r="CB30" s="3623">
        <f t="shared" si="27"/>
        <v>57</v>
      </c>
      <c r="CC30" s="3623">
        <f t="shared" si="27"/>
        <v>23</v>
      </c>
      <c r="CD30" s="3624">
        <f t="shared" si="27"/>
        <v>247</v>
      </c>
      <c r="CE30" s="3622">
        <f t="shared" si="27"/>
        <v>33</v>
      </c>
      <c r="CF30" s="3623">
        <f t="shared" si="27"/>
        <v>143</v>
      </c>
      <c r="CG30" s="3623">
        <f t="shared" si="27"/>
        <v>54</v>
      </c>
      <c r="CH30" s="3623">
        <f t="shared" si="27"/>
        <v>28</v>
      </c>
      <c r="CI30" s="3624">
        <f t="shared" si="27"/>
        <v>258</v>
      </c>
      <c r="CJ30" s="3622">
        <f t="shared" si="27"/>
        <v>28</v>
      </c>
      <c r="CK30" s="3623">
        <f t="shared" si="27"/>
        <v>133</v>
      </c>
      <c r="CL30" s="3623">
        <f t="shared" si="27"/>
        <v>60</v>
      </c>
      <c r="CM30" s="3623">
        <f t="shared" si="27"/>
        <v>28</v>
      </c>
      <c r="CN30" s="3624">
        <f t="shared" si="27"/>
        <v>249</v>
      </c>
      <c r="CO30" s="3622">
        <f t="shared" si="27"/>
        <v>27</v>
      </c>
      <c r="CP30" s="3623">
        <f t="shared" si="27"/>
        <v>129</v>
      </c>
      <c r="CQ30" s="3623">
        <f t="shared" si="27"/>
        <v>62</v>
      </c>
      <c r="CR30" s="3623">
        <f t="shared" si="27"/>
        <v>29</v>
      </c>
      <c r="CS30" s="3624">
        <f t="shared" si="27"/>
        <v>247</v>
      </c>
      <c r="CT30" s="3622">
        <f t="shared" si="27"/>
        <v>28</v>
      </c>
      <c r="CU30" s="3623">
        <f t="shared" si="27"/>
        <v>122</v>
      </c>
      <c r="CV30" s="3623">
        <f t="shared" si="27"/>
        <v>59</v>
      </c>
      <c r="CW30" s="3623">
        <f t="shared" si="27"/>
        <v>32</v>
      </c>
      <c r="CX30" s="3624">
        <f t="shared" si="27"/>
        <v>241</v>
      </c>
      <c r="CY30" s="3622">
        <f t="shared" si="27"/>
        <v>31</v>
      </c>
      <c r="CZ30" s="3623">
        <f t="shared" si="27"/>
        <v>120</v>
      </c>
      <c r="DA30" s="3623">
        <f t="shared" si="27"/>
        <v>58</v>
      </c>
      <c r="DB30" s="3623">
        <f t="shared" si="27"/>
        <v>32</v>
      </c>
      <c r="DC30" s="3624">
        <f t="shared" si="27"/>
        <v>241</v>
      </c>
      <c r="DD30" s="3622">
        <f t="shared" ref="DD30:DH30" si="28">SUM(DD27:DD29)</f>
        <v>33</v>
      </c>
      <c r="DE30" s="3623">
        <f t="shared" si="28"/>
        <v>114</v>
      </c>
      <c r="DF30" s="3623">
        <f t="shared" si="28"/>
        <v>62</v>
      </c>
      <c r="DG30" s="3623">
        <f t="shared" si="28"/>
        <v>34</v>
      </c>
      <c r="DH30" s="3624">
        <f t="shared" si="28"/>
        <v>243</v>
      </c>
      <c r="DI30" s="3622">
        <f t="shared" ref="DI30:DM30" si="29">SUM(DI27:DI29)</f>
        <v>31</v>
      </c>
      <c r="DJ30" s="3623">
        <f t="shared" si="29"/>
        <v>141</v>
      </c>
      <c r="DK30" s="3623">
        <f t="shared" si="29"/>
        <v>59</v>
      </c>
      <c r="DL30" s="3623">
        <f t="shared" si="29"/>
        <v>35</v>
      </c>
      <c r="DM30" s="3624">
        <f t="shared" si="29"/>
        <v>266</v>
      </c>
    </row>
    <row r="31" spans="2:117" ht="15" customHeight="1" x14ac:dyDescent="0.25">
      <c r="B31" s="3580"/>
      <c r="C31" s="3607"/>
      <c r="D31" s="3607"/>
      <c r="E31" s="3607"/>
      <c r="F31" s="3607"/>
      <c r="G31" s="3607"/>
      <c r="H31" s="3607"/>
      <c r="I31" s="3607"/>
      <c r="J31" s="3607"/>
      <c r="K31" s="3607"/>
      <c r="L31" s="3607"/>
      <c r="M31" s="3607"/>
      <c r="N31" s="3607"/>
      <c r="O31" s="3607"/>
      <c r="P31" s="3607"/>
      <c r="Q31" s="3607"/>
      <c r="R31" s="3607"/>
      <c r="S31" s="3607"/>
      <c r="T31" s="3607"/>
      <c r="U31" s="3607"/>
      <c r="V31" s="3607"/>
      <c r="W31" s="3607"/>
      <c r="X31" s="3607"/>
      <c r="Y31" s="3607"/>
      <c r="Z31" s="3607"/>
      <c r="AA31" s="3607"/>
      <c r="AB31" s="3607"/>
      <c r="AC31" s="3607"/>
      <c r="AD31" s="3607"/>
      <c r="AE31" s="3607"/>
      <c r="AF31" s="3607"/>
      <c r="AG31" s="3607"/>
      <c r="AH31" s="3607"/>
      <c r="AI31" s="3607"/>
      <c r="AJ31" s="3607"/>
      <c r="AK31" s="3607"/>
      <c r="AL31" s="3607"/>
      <c r="AM31" s="3607"/>
      <c r="AN31" s="3607"/>
      <c r="AO31" s="3607"/>
      <c r="AP31" s="3607"/>
      <c r="AQ31" s="3607"/>
      <c r="AR31" s="3607"/>
      <c r="AS31" s="3607"/>
      <c r="AT31" s="3607"/>
      <c r="AU31" s="3607"/>
      <c r="AV31" s="3607"/>
      <c r="AW31" s="3607"/>
      <c r="AX31" s="3607"/>
      <c r="AY31" s="3607"/>
      <c r="AZ31" s="3607"/>
      <c r="BA31" s="3607"/>
      <c r="BB31" s="3607"/>
      <c r="BC31" s="3607"/>
      <c r="BD31" s="3607"/>
      <c r="BE31" s="3607"/>
      <c r="BF31" s="3607"/>
      <c r="BG31" s="3607"/>
      <c r="BH31" s="3607"/>
      <c r="BI31" s="3607"/>
      <c r="BJ31" s="3607"/>
      <c r="BK31" s="3607"/>
      <c r="BL31" s="3607"/>
      <c r="BM31" s="3607"/>
      <c r="BN31" s="3607"/>
      <c r="BO31" s="3607"/>
      <c r="BP31" s="3607"/>
      <c r="BQ31" s="3607"/>
      <c r="BR31" s="3607"/>
      <c r="BS31" s="3607"/>
      <c r="BT31" s="3607"/>
      <c r="BU31" s="3607"/>
      <c r="BV31" s="3607"/>
      <c r="BW31" s="3607"/>
      <c r="BX31" s="3607"/>
      <c r="BY31" s="3607"/>
      <c r="BZ31" s="3607"/>
      <c r="CA31" s="3607"/>
      <c r="CB31" s="3607"/>
      <c r="CC31" s="3607"/>
      <c r="CD31" s="3607"/>
      <c r="CE31" s="3607"/>
      <c r="CF31" s="3607"/>
      <c r="CG31" s="3607"/>
      <c r="CH31" s="3607"/>
      <c r="CI31" s="3607"/>
      <c r="CJ31" s="3607"/>
      <c r="CK31" s="3607"/>
      <c r="CL31" s="3607"/>
      <c r="CM31" s="3607"/>
      <c r="CN31" s="3607"/>
      <c r="CO31" s="3607"/>
      <c r="CP31" s="3607"/>
      <c r="CQ31" s="3607"/>
      <c r="CR31" s="3607"/>
      <c r="CS31" s="3607"/>
      <c r="CT31" s="3607"/>
      <c r="CU31" s="3607"/>
      <c r="CV31" s="3607"/>
      <c r="CW31" s="3607"/>
      <c r="CX31" s="3607"/>
      <c r="CY31" s="3607"/>
      <c r="CZ31" s="3607"/>
      <c r="DA31" s="3607"/>
      <c r="DB31" s="3607"/>
      <c r="DC31" s="3607"/>
      <c r="DD31" s="3607"/>
      <c r="DE31" s="3607"/>
      <c r="DF31" s="3607"/>
      <c r="DG31" s="3607"/>
      <c r="DH31" s="3607"/>
      <c r="DI31" s="3607"/>
      <c r="DJ31" s="3607"/>
      <c r="DK31" s="3607"/>
      <c r="DL31" s="3607"/>
      <c r="DM31" s="3607"/>
    </row>
    <row r="32" spans="2:117" ht="15" customHeight="1" x14ac:dyDescent="0.25">
      <c r="B32" s="3591" t="s">
        <v>59</v>
      </c>
      <c r="C32" s="3625">
        <f>SUM(C7,C17,C22)</f>
        <v>38</v>
      </c>
      <c r="D32" s="3626">
        <f t="shared" ref="D32:BO32" si="30">SUM(D7,D17,D22)</f>
        <v>87</v>
      </c>
      <c r="E32" s="3626">
        <f t="shared" si="30"/>
        <v>37</v>
      </c>
      <c r="F32" s="3626">
        <f t="shared" si="30"/>
        <v>20</v>
      </c>
      <c r="G32" s="3627">
        <f t="shared" ref="G32:G37" si="31">SUM(C32:F32)</f>
        <v>182</v>
      </c>
      <c r="H32" s="3625">
        <f t="shared" si="30"/>
        <v>21</v>
      </c>
      <c r="I32" s="3626">
        <f t="shared" si="30"/>
        <v>91</v>
      </c>
      <c r="J32" s="3626">
        <f t="shared" si="30"/>
        <v>39</v>
      </c>
      <c r="K32" s="3626">
        <f t="shared" si="30"/>
        <v>22</v>
      </c>
      <c r="L32" s="3627">
        <f t="shared" si="30"/>
        <v>173</v>
      </c>
      <c r="M32" s="3625">
        <f t="shared" si="30"/>
        <v>20</v>
      </c>
      <c r="N32" s="3626">
        <f t="shared" si="30"/>
        <v>97</v>
      </c>
      <c r="O32" s="3626">
        <f t="shared" si="30"/>
        <v>42</v>
      </c>
      <c r="P32" s="3626">
        <f t="shared" si="30"/>
        <v>23</v>
      </c>
      <c r="Q32" s="3627">
        <f t="shared" si="30"/>
        <v>182</v>
      </c>
      <c r="R32" s="3625">
        <f t="shared" si="30"/>
        <v>19</v>
      </c>
      <c r="S32" s="3626">
        <f t="shared" si="30"/>
        <v>98</v>
      </c>
      <c r="T32" s="3626">
        <f t="shared" si="30"/>
        <v>42</v>
      </c>
      <c r="U32" s="3626">
        <f t="shared" si="30"/>
        <v>24</v>
      </c>
      <c r="V32" s="3627">
        <f t="shared" si="30"/>
        <v>183</v>
      </c>
      <c r="W32" s="3625">
        <f t="shared" si="30"/>
        <v>19</v>
      </c>
      <c r="X32" s="3626">
        <f t="shared" si="30"/>
        <v>109</v>
      </c>
      <c r="Y32" s="3626">
        <f t="shared" si="30"/>
        <v>39</v>
      </c>
      <c r="Z32" s="3626">
        <f t="shared" si="30"/>
        <v>27</v>
      </c>
      <c r="AA32" s="3627">
        <f t="shared" si="30"/>
        <v>194</v>
      </c>
      <c r="AB32" s="3625">
        <f t="shared" si="30"/>
        <v>28</v>
      </c>
      <c r="AC32" s="3626">
        <f t="shared" si="30"/>
        <v>109</v>
      </c>
      <c r="AD32" s="3626">
        <f t="shared" si="30"/>
        <v>41</v>
      </c>
      <c r="AE32" s="3626">
        <f t="shared" si="30"/>
        <v>27</v>
      </c>
      <c r="AF32" s="3627">
        <f t="shared" si="30"/>
        <v>205</v>
      </c>
      <c r="AG32" s="3625">
        <f t="shared" si="30"/>
        <v>30</v>
      </c>
      <c r="AH32" s="3626">
        <f t="shared" si="30"/>
        <v>113</v>
      </c>
      <c r="AI32" s="3626">
        <f t="shared" si="30"/>
        <v>45</v>
      </c>
      <c r="AJ32" s="3626">
        <f t="shared" si="30"/>
        <v>33</v>
      </c>
      <c r="AK32" s="3627">
        <f t="shared" si="30"/>
        <v>221</v>
      </c>
      <c r="AL32" s="3625">
        <f t="shared" si="30"/>
        <v>31</v>
      </c>
      <c r="AM32" s="3626">
        <f t="shared" si="30"/>
        <v>117</v>
      </c>
      <c r="AN32" s="3626">
        <f t="shared" si="30"/>
        <v>46</v>
      </c>
      <c r="AO32" s="3626">
        <f t="shared" si="30"/>
        <v>34</v>
      </c>
      <c r="AP32" s="3627">
        <f t="shared" si="30"/>
        <v>228</v>
      </c>
      <c r="AQ32" s="3625">
        <f t="shared" si="30"/>
        <v>23</v>
      </c>
      <c r="AR32" s="3626">
        <f t="shared" si="30"/>
        <v>120</v>
      </c>
      <c r="AS32" s="3626">
        <f t="shared" si="30"/>
        <v>54</v>
      </c>
      <c r="AT32" s="3626">
        <f t="shared" si="30"/>
        <v>35</v>
      </c>
      <c r="AU32" s="3627">
        <f t="shared" si="30"/>
        <v>232</v>
      </c>
      <c r="AV32" s="3625">
        <f t="shared" si="30"/>
        <v>23</v>
      </c>
      <c r="AW32" s="3626">
        <f t="shared" si="30"/>
        <v>119</v>
      </c>
      <c r="AX32" s="3626">
        <f t="shared" si="30"/>
        <v>55</v>
      </c>
      <c r="AY32" s="3626">
        <f t="shared" si="30"/>
        <v>36</v>
      </c>
      <c r="AZ32" s="3627">
        <f t="shared" si="30"/>
        <v>233</v>
      </c>
      <c r="BA32" s="3625">
        <f t="shared" si="30"/>
        <v>22</v>
      </c>
      <c r="BB32" s="3626">
        <f t="shared" si="30"/>
        <v>129</v>
      </c>
      <c r="BC32" s="3626">
        <f t="shared" si="30"/>
        <v>59</v>
      </c>
      <c r="BD32" s="3626">
        <f t="shared" si="30"/>
        <v>43</v>
      </c>
      <c r="BE32" s="3627">
        <f t="shared" si="30"/>
        <v>253</v>
      </c>
      <c r="BF32" s="3625">
        <f t="shared" si="30"/>
        <v>30</v>
      </c>
      <c r="BG32" s="3626">
        <f t="shared" si="30"/>
        <v>129</v>
      </c>
      <c r="BH32" s="3626">
        <f t="shared" si="30"/>
        <v>59</v>
      </c>
      <c r="BI32" s="3626">
        <f t="shared" si="30"/>
        <v>41</v>
      </c>
      <c r="BJ32" s="3627">
        <f t="shared" si="30"/>
        <v>259</v>
      </c>
      <c r="BK32" s="3625">
        <f t="shared" si="30"/>
        <v>36</v>
      </c>
      <c r="BL32" s="3626">
        <f t="shared" si="30"/>
        <v>131</v>
      </c>
      <c r="BM32" s="3626">
        <f t="shared" si="30"/>
        <v>56</v>
      </c>
      <c r="BN32" s="3626">
        <f t="shared" si="30"/>
        <v>43</v>
      </c>
      <c r="BO32" s="3627">
        <f t="shared" si="30"/>
        <v>266</v>
      </c>
      <c r="BP32" s="3625">
        <f t="shared" ref="BP32:DC32" si="32">SUM(BP7,BP17,BP22)</f>
        <v>50</v>
      </c>
      <c r="BQ32" s="3626">
        <f t="shared" si="32"/>
        <v>148</v>
      </c>
      <c r="BR32" s="3626">
        <f t="shared" si="32"/>
        <v>63</v>
      </c>
      <c r="BS32" s="3626">
        <f t="shared" si="32"/>
        <v>51</v>
      </c>
      <c r="BT32" s="3627">
        <f t="shared" si="32"/>
        <v>312</v>
      </c>
      <c r="BU32" s="3625">
        <f t="shared" si="32"/>
        <v>44</v>
      </c>
      <c r="BV32" s="3626">
        <f t="shared" si="32"/>
        <v>155</v>
      </c>
      <c r="BW32" s="3626">
        <f t="shared" si="32"/>
        <v>65</v>
      </c>
      <c r="BX32" s="3626">
        <f t="shared" si="32"/>
        <v>54</v>
      </c>
      <c r="BY32" s="3627">
        <f t="shared" si="32"/>
        <v>318</v>
      </c>
      <c r="BZ32" s="3625">
        <f t="shared" si="32"/>
        <v>47</v>
      </c>
      <c r="CA32" s="3626">
        <f t="shared" si="32"/>
        <v>160</v>
      </c>
      <c r="CB32" s="3626">
        <f t="shared" si="32"/>
        <v>66</v>
      </c>
      <c r="CC32" s="3626">
        <f t="shared" si="32"/>
        <v>53</v>
      </c>
      <c r="CD32" s="3627">
        <f t="shared" si="32"/>
        <v>326</v>
      </c>
      <c r="CE32" s="3625">
        <f t="shared" si="32"/>
        <v>54</v>
      </c>
      <c r="CF32" s="3626">
        <f t="shared" si="32"/>
        <v>185</v>
      </c>
      <c r="CG32" s="3626">
        <f t="shared" si="32"/>
        <v>65</v>
      </c>
      <c r="CH32" s="3626">
        <f t="shared" si="32"/>
        <v>54</v>
      </c>
      <c r="CI32" s="3627">
        <f t="shared" si="32"/>
        <v>358</v>
      </c>
      <c r="CJ32" s="3625">
        <f t="shared" si="32"/>
        <v>51</v>
      </c>
      <c r="CK32" s="3626">
        <f t="shared" si="32"/>
        <v>179</v>
      </c>
      <c r="CL32" s="3626">
        <f t="shared" si="32"/>
        <v>62</v>
      </c>
      <c r="CM32" s="3626">
        <f t="shared" si="32"/>
        <v>56</v>
      </c>
      <c r="CN32" s="3627">
        <f t="shared" si="32"/>
        <v>348</v>
      </c>
      <c r="CO32" s="3625">
        <f t="shared" si="32"/>
        <v>41</v>
      </c>
      <c r="CP32" s="3626">
        <f t="shared" si="32"/>
        <v>183</v>
      </c>
      <c r="CQ32" s="3626">
        <f t="shared" si="32"/>
        <v>58</v>
      </c>
      <c r="CR32" s="3626">
        <f t="shared" si="32"/>
        <v>57</v>
      </c>
      <c r="CS32" s="3627">
        <f t="shared" si="32"/>
        <v>339</v>
      </c>
      <c r="CT32" s="3625">
        <f t="shared" si="32"/>
        <v>48</v>
      </c>
      <c r="CU32" s="3626">
        <f t="shared" si="32"/>
        <v>181</v>
      </c>
      <c r="CV32" s="3626">
        <f t="shared" si="32"/>
        <v>60</v>
      </c>
      <c r="CW32" s="3626">
        <f t="shared" si="32"/>
        <v>60</v>
      </c>
      <c r="CX32" s="3627">
        <f t="shared" si="32"/>
        <v>349</v>
      </c>
      <c r="CY32" s="3625">
        <f t="shared" si="32"/>
        <v>57</v>
      </c>
      <c r="CZ32" s="3626">
        <f t="shared" si="32"/>
        <v>183</v>
      </c>
      <c r="DA32" s="3626">
        <f t="shared" si="32"/>
        <v>60</v>
      </c>
      <c r="DB32" s="3626">
        <f t="shared" si="32"/>
        <v>60</v>
      </c>
      <c r="DC32" s="3627">
        <f t="shared" si="32"/>
        <v>360</v>
      </c>
      <c r="DD32" s="3625">
        <f t="shared" ref="DD32:DH32" si="33">SUM(DD7,DD17,DD22)</f>
        <v>55</v>
      </c>
      <c r="DE32" s="3626">
        <f t="shared" si="33"/>
        <v>194</v>
      </c>
      <c r="DF32" s="3626">
        <f t="shared" si="33"/>
        <v>62</v>
      </c>
      <c r="DG32" s="3626">
        <f t="shared" si="33"/>
        <v>61</v>
      </c>
      <c r="DH32" s="3627">
        <f t="shared" si="33"/>
        <v>372</v>
      </c>
      <c r="DI32" s="3625">
        <f t="shared" ref="DI32:DM32" si="34">SUM(DI7,DI17,DI22)</f>
        <v>40</v>
      </c>
      <c r="DJ32" s="3626">
        <f t="shared" si="34"/>
        <v>204</v>
      </c>
      <c r="DK32" s="3626">
        <f t="shared" si="34"/>
        <v>66</v>
      </c>
      <c r="DL32" s="3626">
        <f t="shared" si="34"/>
        <v>61</v>
      </c>
      <c r="DM32" s="3627">
        <f t="shared" si="34"/>
        <v>371</v>
      </c>
    </row>
    <row r="33" spans="2:117" ht="15" customHeight="1" x14ac:dyDescent="0.25">
      <c r="B33" s="3599" t="s">
        <v>64</v>
      </c>
      <c r="C33" s="3628">
        <f>SUM(C8,C12,C18,C23,C27)</f>
        <v>18</v>
      </c>
      <c r="D33" s="3629">
        <f t="shared" ref="D33:BO33" si="35">SUM(D8,D12,D18,D23,D27)</f>
        <v>130</v>
      </c>
      <c r="E33" s="3629">
        <f t="shared" si="35"/>
        <v>27</v>
      </c>
      <c r="F33" s="3629">
        <f t="shared" si="35"/>
        <v>7</v>
      </c>
      <c r="G33" s="3630">
        <f t="shared" si="31"/>
        <v>182</v>
      </c>
      <c r="H33" s="3628">
        <f t="shared" si="35"/>
        <v>12</v>
      </c>
      <c r="I33" s="3629">
        <f t="shared" si="35"/>
        <v>138</v>
      </c>
      <c r="J33" s="3629">
        <f t="shared" si="35"/>
        <v>48</v>
      </c>
      <c r="K33" s="3629">
        <f t="shared" si="35"/>
        <v>8</v>
      </c>
      <c r="L33" s="3630">
        <f t="shared" si="35"/>
        <v>206</v>
      </c>
      <c r="M33" s="3628">
        <f t="shared" si="35"/>
        <v>4</v>
      </c>
      <c r="N33" s="3629">
        <f t="shared" si="35"/>
        <v>161</v>
      </c>
      <c r="O33" s="3629">
        <f t="shared" si="35"/>
        <v>59</v>
      </c>
      <c r="P33" s="3629">
        <f t="shared" si="35"/>
        <v>10</v>
      </c>
      <c r="Q33" s="3630">
        <f t="shared" si="35"/>
        <v>234</v>
      </c>
      <c r="R33" s="3628">
        <f t="shared" si="35"/>
        <v>6</v>
      </c>
      <c r="S33" s="3629">
        <f t="shared" si="35"/>
        <v>162</v>
      </c>
      <c r="T33" s="3629">
        <f t="shared" si="35"/>
        <v>62</v>
      </c>
      <c r="U33" s="3629">
        <f t="shared" si="35"/>
        <v>10</v>
      </c>
      <c r="V33" s="3630">
        <f t="shared" si="35"/>
        <v>240</v>
      </c>
      <c r="W33" s="3628">
        <f t="shared" si="35"/>
        <v>4</v>
      </c>
      <c r="X33" s="3629">
        <f t="shared" si="35"/>
        <v>172</v>
      </c>
      <c r="Y33" s="3629">
        <f t="shared" si="35"/>
        <v>73</v>
      </c>
      <c r="Z33" s="3629">
        <f t="shared" si="35"/>
        <v>12</v>
      </c>
      <c r="AA33" s="3630">
        <f t="shared" si="35"/>
        <v>261</v>
      </c>
      <c r="AB33" s="3628">
        <f t="shared" si="35"/>
        <v>1</v>
      </c>
      <c r="AC33" s="3629">
        <f t="shared" si="35"/>
        <v>175</v>
      </c>
      <c r="AD33" s="3629">
        <f t="shared" si="35"/>
        <v>78</v>
      </c>
      <c r="AE33" s="3629">
        <f t="shared" si="35"/>
        <v>18</v>
      </c>
      <c r="AF33" s="3630">
        <f t="shared" si="35"/>
        <v>272</v>
      </c>
      <c r="AG33" s="3628">
        <f t="shared" si="35"/>
        <v>4</v>
      </c>
      <c r="AH33" s="3629">
        <f t="shared" si="35"/>
        <v>176</v>
      </c>
      <c r="AI33" s="3629">
        <f t="shared" si="35"/>
        <v>96</v>
      </c>
      <c r="AJ33" s="3629">
        <f t="shared" si="35"/>
        <v>19</v>
      </c>
      <c r="AK33" s="3630">
        <f t="shared" si="35"/>
        <v>295</v>
      </c>
      <c r="AL33" s="3628">
        <f t="shared" si="35"/>
        <v>14</v>
      </c>
      <c r="AM33" s="3629">
        <f t="shared" si="35"/>
        <v>193</v>
      </c>
      <c r="AN33" s="3629">
        <f t="shared" si="35"/>
        <v>98</v>
      </c>
      <c r="AO33" s="3629">
        <f t="shared" si="35"/>
        <v>20</v>
      </c>
      <c r="AP33" s="3630">
        <f t="shared" si="35"/>
        <v>325</v>
      </c>
      <c r="AQ33" s="3628">
        <f t="shared" si="35"/>
        <v>26</v>
      </c>
      <c r="AR33" s="3629">
        <f t="shared" si="35"/>
        <v>205</v>
      </c>
      <c r="AS33" s="3629">
        <f t="shared" si="35"/>
        <v>114</v>
      </c>
      <c r="AT33" s="3629">
        <f t="shared" si="35"/>
        <v>25</v>
      </c>
      <c r="AU33" s="3630">
        <f t="shared" si="35"/>
        <v>370</v>
      </c>
      <c r="AV33" s="3628">
        <f t="shared" si="35"/>
        <v>27</v>
      </c>
      <c r="AW33" s="3629">
        <f t="shared" si="35"/>
        <v>208</v>
      </c>
      <c r="AX33" s="3629">
        <f t="shared" si="35"/>
        <v>116</v>
      </c>
      <c r="AY33" s="3629">
        <f t="shared" si="35"/>
        <v>26</v>
      </c>
      <c r="AZ33" s="3630">
        <f t="shared" si="35"/>
        <v>377</v>
      </c>
      <c r="BA33" s="3628">
        <f t="shared" si="35"/>
        <v>23</v>
      </c>
      <c r="BB33" s="3629">
        <f t="shared" si="35"/>
        <v>215</v>
      </c>
      <c r="BC33" s="3629">
        <f t="shared" si="35"/>
        <v>109</v>
      </c>
      <c r="BD33" s="3629">
        <f t="shared" si="35"/>
        <v>34</v>
      </c>
      <c r="BE33" s="3630">
        <f t="shared" si="35"/>
        <v>381</v>
      </c>
      <c r="BF33" s="3628">
        <f t="shared" si="35"/>
        <v>22</v>
      </c>
      <c r="BG33" s="3629">
        <f t="shared" si="35"/>
        <v>217</v>
      </c>
      <c r="BH33" s="3629">
        <f t="shared" si="35"/>
        <v>109</v>
      </c>
      <c r="BI33" s="3629">
        <f t="shared" si="35"/>
        <v>32</v>
      </c>
      <c r="BJ33" s="3630">
        <f t="shared" si="35"/>
        <v>380</v>
      </c>
      <c r="BK33" s="3628">
        <f t="shared" si="35"/>
        <v>27</v>
      </c>
      <c r="BL33" s="3629">
        <f t="shared" si="35"/>
        <v>221</v>
      </c>
      <c r="BM33" s="3629">
        <f t="shared" si="35"/>
        <v>102</v>
      </c>
      <c r="BN33" s="3629">
        <f t="shared" si="35"/>
        <v>32</v>
      </c>
      <c r="BO33" s="3630">
        <f t="shared" si="35"/>
        <v>382</v>
      </c>
      <c r="BP33" s="3628">
        <f t="shared" ref="BP33:DC33" si="36">SUM(BP8,BP12,BP18,BP23,BP27)</f>
        <v>36</v>
      </c>
      <c r="BQ33" s="3629">
        <f t="shared" si="36"/>
        <v>247</v>
      </c>
      <c r="BR33" s="3629">
        <f t="shared" si="36"/>
        <v>100</v>
      </c>
      <c r="BS33" s="3629">
        <f t="shared" si="36"/>
        <v>34</v>
      </c>
      <c r="BT33" s="3630">
        <f t="shared" si="36"/>
        <v>417</v>
      </c>
      <c r="BU33" s="3628">
        <f t="shared" si="36"/>
        <v>46</v>
      </c>
      <c r="BV33" s="3629">
        <f t="shared" si="36"/>
        <v>248</v>
      </c>
      <c r="BW33" s="3629">
        <f t="shared" si="36"/>
        <v>95</v>
      </c>
      <c r="BX33" s="3629">
        <f t="shared" si="36"/>
        <v>38</v>
      </c>
      <c r="BY33" s="3630">
        <f t="shared" si="36"/>
        <v>427</v>
      </c>
      <c r="BZ33" s="3628">
        <f t="shared" si="36"/>
        <v>47</v>
      </c>
      <c r="CA33" s="3629">
        <f t="shared" si="36"/>
        <v>243</v>
      </c>
      <c r="CB33" s="3629">
        <f t="shared" si="36"/>
        <v>107</v>
      </c>
      <c r="CC33" s="3629">
        <f t="shared" si="36"/>
        <v>42</v>
      </c>
      <c r="CD33" s="3630">
        <f t="shared" si="36"/>
        <v>439</v>
      </c>
      <c r="CE33" s="3628">
        <f t="shared" si="36"/>
        <v>47</v>
      </c>
      <c r="CF33" s="3629">
        <f t="shared" si="36"/>
        <v>247</v>
      </c>
      <c r="CG33" s="3629">
        <f t="shared" si="36"/>
        <v>110</v>
      </c>
      <c r="CH33" s="3629">
        <f t="shared" si="36"/>
        <v>49</v>
      </c>
      <c r="CI33" s="3630">
        <f t="shared" si="36"/>
        <v>453</v>
      </c>
      <c r="CJ33" s="3628">
        <f t="shared" si="36"/>
        <v>48</v>
      </c>
      <c r="CK33" s="3629">
        <f t="shared" si="36"/>
        <v>244</v>
      </c>
      <c r="CL33" s="3629">
        <f t="shared" si="36"/>
        <v>112</v>
      </c>
      <c r="CM33" s="3629">
        <f t="shared" si="36"/>
        <v>52</v>
      </c>
      <c r="CN33" s="3630">
        <f t="shared" si="36"/>
        <v>456</v>
      </c>
      <c r="CO33" s="3628">
        <f t="shared" si="36"/>
        <v>44</v>
      </c>
      <c r="CP33" s="3629">
        <f t="shared" si="36"/>
        <v>234</v>
      </c>
      <c r="CQ33" s="3629">
        <f t="shared" si="36"/>
        <v>108</v>
      </c>
      <c r="CR33" s="3629">
        <f t="shared" si="36"/>
        <v>55</v>
      </c>
      <c r="CS33" s="3630">
        <f t="shared" si="36"/>
        <v>441</v>
      </c>
      <c r="CT33" s="3628">
        <f t="shared" si="36"/>
        <v>52</v>
      </c>
      <c r="CU33" s="3629">
        <f t="shared" si="36"/>
        <v>231</v>
      </c>
      <c r="CV33" s="3629">
        <f t="shared" si="36"/>
        <v>103</v>
      </c>
      <c r="CW33" s="3629">
        <f t="shared" si="36"/>
        <v>58</v>
      </c>
      <c r="CX33" s="3630">
        <f t="shared" si="36"/>
        <v>444</v>
      </c>
      <c r="CY33" s="3628">
        <f t="shared" si="36"/>
        <v>53</v>
      </c>
      <c r="CZ33" s="3629">
        <f t="shared" si="36"/>
        <v>228</v>
      </c>
      <c r="DA33" s="3629">
        <f t="shared" si="36"/>
        <v>103</v>
      </c>
      <c r="DB33" s="3629">
        <f t="shared" si="36"/>
        <v>58</v>
      </c>
      <c r="DC33" s="3630">
        <f t="shared" si="36"/>
        <v>442</v>
      </c>
      <c r="DD33" s="3628">
        <f t="shared" ref="DD33:DH33" si="37">SUM(DD8,DD12,DD18,DD23,DD27)</f>
        <v>48</v>
      </c>
      <c r="DE33" s="3629">
        <f t="shared" si="37"/>
        <v>232</v>
      </c>
      <c r="DF33" s="3629">
        <f t="shared" si="37"/>
        <v>105</v>
      </c>
      <c r="DG33" s="3629">
        <f t="shared" si="37"/>
        <v>61</v>
      </c>
      <c r="DH33" s="3630">
        <f t="shared" si="37"/>
        <v>446</v>
      </c>
      <c r="DI33" s="3628">
        <f t="shared" ref="DI33:DM33" si="38">SUM(DI8,DI12,DI18,DI23,DI27)</f>
        <v>58</v>
      </c>
      <c r="DJ33" s="3629">
        <f t="shared" si="38"/>
        <v>260</v>
      </c>
      <c r="DK33" s="3629">
        <f t="shared" si="38"/>
        <v>111</v>
      </c>
      <c r="DL33" s="3629">
        <f t="shared" si="38"/>
        <v>63</v>
      </c>
      <c r="DM33" s="3630">
        <f t="shared" si="38"/>
        <v>492</v>
      </c>
    </row>
    <row r="34" spans="2:117" ht="15" customHeight="1" x14ac:dyDescent="0.25">
      <c r="B34" s="3631" t="s">
        <v>92</v>
      </c>
      <c r="C34" s="3628">
        <f>SUM(C19,C24,C28)</f>
        <v>19</v>
      </c>
      <c r="D34" s="3629">
        <f t="shared" ref="D34:BO34" si="39">SUM(D19,D24,D28)</f>
        <v>42</v>
      </c>
      <c r="E34" s="3629">
        <f t="shared" si="39"/>
        <v>10</v>
      </c>
      <c r="F34" s="3629">
        <f t="shared" si="39"/>
        <v>2</v>
      </c>
      <c r="G34" s="3630">
        <f t="shared" si="31"/>
        <v>73</v>
      </c>
      <c r="H34" s="3628">
        <f t="shared" si="39"/>
        <v>14</v>
      </c>
      <c r="I34" s="3629">
        <f t="shared" si="39"/>
        <v>57</v>
      </c>
      <c r="J34" s="3629">
        <f t="shared" si="39"/>
        <v>10</v>
      </c>
      <c r="K34" s="3629">
        <f t="shared" si="39"/>
        <v>2</v>
      </c>
      <c r="L34" s="3630">
        <f t="shared" si="39"/>
        <v>83</v>
      </c>
      <c r="M34" s="3628">
        <f t="shared" si="39"/>
        <v>14</v>
      </c>
      <c r="N34" s="3629">
        <f t="shared" si="39"/>
        <v>66</v>
      </c>
      <c r="O34" s="3629">
        <f t="shared" si="39"/>
        <v>14</v>
      </c>
      <c r="P34" s="3629">
        <f t="shared" si="39"/>
        <v>2</v>
      </c>
      <c r="Q34" s="3630">
        <f t="shared" si="39"/>
        <v>96</v>
      </c>
      <c r="R34" s="3628">
        <f t="shared" si="39"/>
        <v>15</v>
      </c>
      <c r="S34" s="3629">
        <f t="shared" si="39"/>
        <v>68</v>
      </c>
      <c r="T34" s="3629">
        <f t="shared" si="39"/>
        <v>13</v>
      </c>
      <c r="U34" s="3629">
        <f t="shared" si="39"/>
        <v>2</v>
      </c>
      <c r="V34" s="3630">
        <f t="shared" si="39"/>
        <v>98</v>
      </c>
      <c r="W34" s="3628">
        <f t="shared" si="39"/>
        <v>19</v>
      </c>
      <c r="X34" s="3629">
        <f t="shared" si="39"/>
        <v>84</v>
      </c>
      <c r="Y34" s="3629">
        <f t="shared" si="39"/>
        <v>16</v>
      </c>
      <c r="Z34" s="3629">
        <f t="shared" si="39"/>
        <v>3</v>
      </c>
      <c r="AA34" s="3630">
        <f t="shared" si="39"/>
        <v>122</v>
      </c>
      <c r="AB34" s="3628">
        <f t="shared" si="39"/>
        <v>18</v>
      </c>
      <c r="AC34" s="3629">
        <f t="shared" si="39"/>
        <v>88</v>
      </c>
      <c r="AD34" s="3629">
        <f t="shared" si="39"/>
        <v>14</v>
      </c>
      <c r="AE34" s="3629">
        <f t="shared" si="39"/>
        <v>5</v>
      </c>
      <c r="AF34" s="3630">
        <f t="shared" si="39"/>
        <v>125</v>
      </c>
      <c r="AG34" s="3628">
        <f t="shared" si="39"/>
        <v>11</v>
      </c>
      <c r="AH34" s="3629">
        <f t="shared" si="39"/>
        <v>94</v>
      </c>
      <c r="AI34" s="3629">
        <f t="shared" si="39"/>
        <v>15</v>
      </c>
      <c r="AJ34" s="3629">
        <f t="shared" si="39"/>
        <v>9</v>
      </c>
      <c r="AK34" s="3630">
        <f t="shared" si="39"/>
        <v>129</v>
      </c>
      <c r="AL34" s="3628">
        <f t="shared" si="39"/>
        <v>11</v>
      </c>
      <c r="AM34" s="3629">
        <f t="shared" si="39"/>
        <v>102</v>
      </c>
      <c r="AN34" s="3629">
        <f t="shared" si="39"/>
        <v>20</v>
      </c>
      <c r="AO34" s="3629">
        <f t="shared" si="39"/>
        <v>9</v>
      </c>
      <c r="AP34" s="3630">
        <f t="shared" si="39"/>
        <v>142</v>
      </c>
      <c r="AQ34" s="3628">
        <f t="shared" si="39"/>
        <v>15</v>
      </c>
      <c r="AR34" s="3629">
        <f t="shared" si="39"/>
        <v>115</v>
      </c>
      <c r="AS34" s="3629">
        <f t="shared" si="39"/>
        <v>27</v>
      </c>
      <c r="AT34" s="3629">
        <f t="shared" si="39"/>
        <v>11</v>
      </c>
      <c r="AU34" s="3630">
        <f t="shared" si="39"/>
        <v>168</v>
      </c>
      <c r="AV34" s="3628">
        <f t="shared" si="39"/>
        <v>15</v>
      </c>
      <c r="AW34" s="3629">
        <f t="shared" si="39"/>
        <v>115</v>
      </c>
      <c r="AX34" s="3629">
        <f t="shared" si="39"/>
        <v>27</v>
      </c>
      <c r="AY34" s="3629">
        <f t="shared" si="39"/>
        <v>11</v>
      </c>
      <c r="AZ34" s="3630">
        <f t="shared" si="39"/>
        <v>168</v>
      </c>
      <c r="BA34" s="3628">
        <f t="shared" si="39"/>
        <v>29</v>
      </c>
      <c r="BB34" s="3629">
        <f t="shared" si="39"/>
        <v>122</v>
      </c>
      <c r="BC34" s="3629">
        <f t="shared" si="39"/>
        <v>27</v>
      </c>
      <c r="BD34" s="3629">
        <f t="shared" si="39"/>
        <v>14</v>
      </c>
      <c r="BE34" s="3630">
        <f t="shared" si="39"/>
        <v>192</v>
      </c>
      <c r="BF34" s="3628">
        <f t="shared" si="39"/>
        <v>26</v>
      </c>
      <c r="BG34" s="3629">
        <f t="shared" si="39"/>
        <v>128</v>
      </c>
      <c r="BH34" s="3629">
        <f t="shared" si="39"/>
        <v>27</v>
      </c>
      <c r="BI34" s="3629">
        <f t="shared" si="39"/>
        <v>15</v>
      </c>
      <c r="BJ34" s="3630">
        <f t="shared" si="39"/>
        <v>196</v>
      </c>
      <c r="BK34" s="3628">
        <f t="shared" si="39"/>
        <v>26</v>
      </c>
      <c r="BL34" s="3629">
        <f t="shared" si="39"/>
        <v>130</v>
      </c>
      <c r="BM34" s="3629">
        <f t="shared" si="39"/>
        <v>33</v>
      </c>
      <c r="BN34" s="3629">
        <f t="shared" si="39"/>
        <v>15</v>
      </c>
      <c r="BO34" s="3630">
        <f t="shared" si="39"/>
        <v>204</v>
      </c>
      <c r="BP34" s="3628">
        <f t="shared" ref="BP34:DC34" si="40">SUM(BP19,BP24,BP28)</f>
        <v>38</v>
      </c>
      <c r="BQ34" s="3629">
        <f t="shared" si="40"/>
        <v>136</v>
      </c>
      <c r="BR34" s="3629">
        <f t="shared" si="40"/>
        <v>45</v>
      </c>
      <c r="BS34" s="3629">
        <f t="shared" si="40"/>
        <v>16</v>
      </c>
      <c r="BT34" s="3630">
        <f t="shared" si="40"/>
        <v>235</v>
      </c>
      <c r="BU34" s="3628">
        <f t="shared" si="40"/>
        <v>48</v>
      </c>
      <c r="BV34" s="3629">
        <f t="shared" si="40"/>
        <v>129</v>
      </c>
      <c r="BW34" s="3629">
        <f t="shared" si="40"/>
        <v>45</v>
      </c>
      <c r="BX34" s="3629">
        <f t="shared" si="40"/>
        <v>16</v>
      </c>
      <c r="BY34" s="3630">
        <f t="shared" si="40"/>
        <v>238</v>
      </c>
      <c r="BZ34" s="3628">
        <f t="shared" si="40"/>
        <v>43</v>
      </c>
      <c r="CA34" s="3629">
        <f t="shared" si="40"/>
        <v>138</v>
      </c>
      <c r="CB34" s="3629">
        <f t="shared" si="40"/>
        <v>48</v>
      </c>
      <c r="CC34" s="3629">
        <f t="shared" si="40"/>
        <v>18</v>
      </c>
      <c r="CD34" s="3630">
        <f t="shared" si="40"/>
        <v>247</v>
      </c>
      <c r="CE34" s="3628">
        <f t="shared" si="40"/>
        <v>54</v>
      </c>
      <c r="CF34" s="3629">
        <f t="shared" si="40"/>
        <v>140</v>
      </c>
      <c r="CG34" s="3629">
        <f t="shared" si="40"/>
        <v>47</v>
      </c>
      <c r="CH34" s="3629">
        <f t="shared" si="40"/>
        <v>20</v>
      </c>
      <c r="CI34" s="3630">
        <f t="shared" si="40"/>
        <v>261</v>
      </c>
      <c r="CJ34" s="3628">
        <f t="shared" si="40"/>
        <v>47</v>
      </c>
      <c r="CK34" s="3629">
        <f t="shared" si="40"/>
        <v>141</v>
      </c>
      <c r="CL34" s="3629">
        <f t="shared" si="40"/>
        <v>51</v>
      </c>
      <c r="CM34" s="3629">
        <f t="shared" si="40"/>
        <v>23</v>
      </c>
      <c r="CN34" s="3630">
        <f t="shared" si="40"/>
        <v>262</v>
      </c>
      <c r="CO34" s="3628">
        <f t="shared" si="40"/>
        <v>34</v>
      </c>
      <c r="CP34" s="3629">
        <f t="shared" si="40"/>
        <v>140</v>
      </c>
      <c r="CQ34" s="3629">
        <f t="shared" si="40"/>
        <v>52</v>
      </c>
      <c r="CR34" s="3629">
        <f t="shared" si="40"/>
        <v>21</v>
      </c>
      <c r="CS34" s="3630">
        <f t="shared" si="40"/>
        <v>247</v>
      </c>
      <c r="CT34" s="3628">
        <f t="shared" si="40"/>
        <v>37</v>
      </c>
      <c r="CU34" s="3629">
        <f t="shared" si="40"/>
        <v>138</v>
      </c>
      <c r="CV34" s="3629">
        <f t="shared" si="40"/>
        <v>52</v>
      </c>
      <c r="CW34" s="3629">
        <f t="shared" si="40"/>
        <v>23</v>
      </c>
      <c r="CX34" s="3630">
        <f t="shared" si="40"/>
        <v>250</v>
      </c>
      <c r="CY34" s="3628">
        <f t="shared" si="40"/>
        <v>45</v>
      </c>
      <c r="CZ34" s="3629">
        <f t="shared" si="40"/>
        <v>135</v>
      </c>
      <c r="DA34" s="3629">
        <f t="shared" si="40"/>
        <v>52</v>
      </c>
      <c r="DB34" s="3629">
        <f t="shared" si="40"/>
        <v>23</v>
      </c>
      <c r="DC34" s="3630">
        <f t="shared" si="40"/>
        <v>255</v>
      </c>
      <c r="DD34" s="3628">
        <f t="shared" ref="DD34:DH34" si="41">SUM(DD19,DD24,DD28)</f>
        <v>48</v>
      </c>
      <c r="DE34" s="3629">
        <f t="shared" si="41"/>
        <v>145</v>
      </c>
      <c r="DF34" s="3629">
        <f t="shared" si="41"/>
        <v>51</v>
      </c>
      <c r="DG34" s="3629">
        <f t="shared" si="41"/>
        <v>25</v>
      </c>
      <c r="DH34" s="3630">
        <f t="shared" si="41"/>
        <v>269</v>
      </c>
      <c r="DI34" s="3628">
        <f t="shared" ref="DI34:DM34" si="42">SUM(DI19,DI24,DI28)</f>
        <v>40</v>
      </c>
      <c r="DJ34" s="3629">
        <f t="shared" si="42"/>
        <v>166</v>
      </c>
      <c r="DK34" s="3629">
        <f t="shared" si="42"/>
        <v>51</v>
      </c>
      <c r="DL34" s="3629">
        <f t="shared" si="42"/>
        <v>26</v>
      </c>
      <c r="DM34" s="3630">
        <f t="shared" si="42"/>
        <v>283</v>
      </c>
    </row>
    <row r="35" spans="2:117" ht="15" customHeight="1" x14ac:dyDescent="0.25">
      <c r="B35" s="3632" t="s">
        <v>68</v>
      </c>
      <c r="C35" s="3628">
        <f>SUM(C9,C29)</f>
        <v>1</v>
      </c>
      <c r="D35" s="3629">
        <f t="shared" ref="D35:BO35" si="43">SUM(D9,D29)</f>
        <v>12</v>
      </c>
      <c r="E35" s="3629">
        <f t="shared" si="43"/>
        <v>2</v>
      </c>
      <c r="F35" s="3629">
        <f t="shared" si="43"/>
        <v>0</v>
      </c>
      <c r="G35" s="3630">
        <f t="shared" si="31"/>
        <v>15</v>
      </c>
      <c r="H35" s="3628">
        <f t="shared" si="43"/>
        <v>0</v>
      </c>
      <c r="I35" s="3629">
        <f t="shared" si="43"/>
        <v>15</v>
      </c>
      <c r="J35" s="3629">
        <f t="shared" si="43"/>
        <v>3</v>
      </c>
      <c r="K35" s="3629">
        <f t="shared" si="43"/>
        <v>1</v>
      </c>
      <c r="L35" s="3630">
        <f t="shared" si="43"/>
        <v>19</v>
      </c>
      <c r="M35" s="3628">
        <f t="shared" si="43"/>
        <v>0</v>
      </c>
      <c r="N35" s="3629">
        <f t="shared" si="43"/>
        <v>16</v>
      </c>
      <c r="O35" s="3629">
        <f t="shared" si="43"/>
        <v>5</v>
      </c>
      <c r="P35" s="3629">
        <f t="shared" si="43"/>
        <v>0</v>
      </c>
      <c r="Q35" s="3630">
        <f t="shared" si="43"/>
        <v>21</v>
      </c>
      <c r="R35" s="3628">
        <f t="shared" si="43"/>
        <v>0</v>
      </c>
      <c r="S35" s="3629">
        <f t="shared" si="43"/>
        <v>16</v>
      </c>
      <c r="T35" s="3629">
        <f t="shared" si="43"/>
        <v>4</v>
      </c>
      <c r="U35" s="3629">
        <f t="shared" si="43"/>
        <v>0</v>
      </c>
      <c r="V35" s="3630">
        <f t="shared" si="43"/>
        <v>20</v>
      </c>
      <c r="W35" s="3628">
        <f t="shared" si="43"/>
        <v>0</v>
      </c>
      <c r="X35" s="3629">
        <f t="shared" si="43"/>
        <v>17</v>
      </c>
      <c r="Y35" s="3629">
        <f t="shared" si="43"/>
        <v>6</v>
      </c>
      <c r="Z35" s="3629">
        <f t="shared" si="43"/>
        <v>0</v>
      </c>
      <c r="AA35" s="3630">
        <f t="shared" si="43"/>
        <v>23</v>
      </c>
      <c r="AB35" s="3628">
        <f t="shared" si="43"/>
        <v>1</v>
      </c>
      <c r="AC35" s="3629">
        <f t="shared" si="43"/>
        <v>17</v>
      </c>
      <c r="AD35" s="3629">
        <f t="shared" si="43"/>
        <v>9</v>
      </c>
      <c r="AE35" s="3629">
        <f t="shared" si="43"/>
        <v>0</v>
      </c>
      <c r="AF35" s="3630">
        <f t="shared" si="43"/>
        <v>27</v>
      </c>
      <c r="AG35" s="3628">
        <f t="shared" si="43"/>
        <v>1</v>
      </c>
      <c r="AH35" s="3629">
        <f t="shared" si="43"/>
        <v>17</v>
      </c>
      <c r="AI35" s="3629">
        <f t="shared" si="43"/>
        <v>10</v>
      </c>
      <c r="AJ35" s="3629">
        <f t="shared" si="43"/>
        <v>0</v>
      </c>
      <c r="AK35" s="3630">
        <f t="shared" si="43"/>
        <v>28</v>
      </c>
      <c r="AL35" s="3628">
        <f t="shared" si="43"/>
        <v>1</v>
      </c>
      <c r="AM35" s="3629">
        <f t="shared" si="43"/>
        <v>21</v>
      </c>
      <c r="AN35" s="3629">
        <f t="shared" si="43"/>
        <v>10</v>
      </c>
      <c r="AO35" s="3629">
        <f t="shared" si="43"/>
        <v>0</v>
      </c>
      <c r="AP35" s="3630">
        <f t="shared" si="43"/>
        <v>32</v>
      </c>
      <c r="AQ35" s="3628">
        <f t="shared" si="43"/>
        <v>0</v>
      </c>
      <c r="AR35" s="3629">
        <f t="shared" si="43"/>
        <v>14</v>
      </c>
      <c r="AS35" s="3629">
        <f t="shared" si="43"/>
        <v>12</v>
      </c>
      <c r="AT35" s="3629">
        <f t="shared" si="43"/>
        <v>0</v>
      </c>
      <c r="AU35" s="3630">
        <f t="shared" si="43"/>
        <v>26</v>
      </c>
      <c r="AV35" s="3628">
        <f t="shared" si="43"/>
        <v>0</v>
      </c>
      <c r="AW35" s="3629">
        <f t="shared" si="43"/>
        <v>14</v>
      </c>
      <c r="AX35" s="3629">
        <f t="shared" si="43"/>
        <v>12</v>
      </c>
      <c r="AY35" s="3629">
        <f t="shared" si="43"/>
        <v>0</v>
      </c>
      <c r="AZ35" s="3630">
        <f t="shared" si="43"/>
        <v>26</v>
      </c>
      <c r="BA35" s="3628">
        <f t="shared" si="43"/>
        <v>2</v>
      </c>
      <c r="BB35" s="3629">
        <f t="shared" si="43"/>
        <v>10</v>
      </c>
      <c r="BC35" s="3629">
        <f t="shared" si="43"/>
        <v>12</v>
      </c>
      <c r="BD35" s="3629">
        <f t="shared" si="43"/>
        <v>1</v>
      </c>
      <c r="BE35" s="3630">
        <f t="shared" si="43"/>
        <v>25</v>
      </c>
      <c r="BF35" s="3628">
        <f t="shared" si="43"/>
        <v>2</v>
      </c>
      <c r="BG35" s="3629">
        <f t="shared" si="43"/>
        <v>10</v>
      </c>
      <c r="BH35" s="3629">
        <f t="shared" si="43"/>
        <v>12</v>
      </c>
      <c r="BI35" s="3629">
        <f t="shared" si="43"/>
        <v>1</v>
      </c>
      <c r="BJ35" s="3630">
        <f t="shared" si="43"/>
        <v>25</v>
      </c>
      <c r="BK35" s="3628">
        <f t="shared" si="43"/>
        <v>3</v>
      </c>
      <c r="BL35" s="3629">
        <f t="shared" si="43"/>
        <v>10</v>
      </c>
      <c r="BM35" s="3629">
        <f t="shared" si="43"/>
        <v>11</v>
      </c>
      <c r="BN35" s="3629">
        <f t="shared" si="43"/>
        <v>1</v>
      </c>
      <c r="BO35" s="3630">
        <f t="shared" si="43"/>
        <v>25</v>
      </c>
      <c r="BP35" s="3628">
        <f t="shared" ref="BP35:DC35" si="44">SUM(BP9,BP29)</f>
        <v>6</v>
      </c>
      <c r="BQ35" s="3629">
        <f t="shared" si="44"/>
        <v>13</v>
      </c>
      <c r="BR35" s="3629">
        <f t="shared" si="44"/>
        <v>7</v>
      </c>
      <c r="BS35" s="3629">
        <f t="shared" si="44"/>
        <v>2</v>
      </c>
      <c r="BT35" s="3630">
        <f t="shared" si="44"/>
        <v>28</v>
      </c>
      <c r="BU35" s="3628">
        <f t="shared" si="44"/>
        <v>5</v>
      </c>
      <c r="BV35" s="3629">
        <f t="shared" si="44"/>
        <v>15</v>
      </c>
      <c r="BW35" s="3629">
        <f t="shared" si="44"/>
        <v>8</v>
      </c>
      <c r="BX35" s="3629">
        <f t="shared" si="44"/>
        <v>2</v>
      </c>
      <c r="BY35" s="3630">
        <f t="shared" si="44"/>
        <v>30</v>
      </c>
      <c r="BZ35" s="3628">
        <f t="shared" si="44"/>
        <v>4</v>
      </c>
      <c r="CA35" s="3629">
        <f t="shared" si="44"/>
        <v>16</v>
      </c>
      <c r="CB35" s="3629">
        <f t="shared" si="44"/>
        <v>7</v>
      </c>
      <c r="CC35" s="3629">
        <f t="shared" si="44"/>
        <v>2</v>
      </c>
      <c r="CD35" s="3630">
        <f t="shared" si="44"/>
        <v>29</v>
      </c>
      <c r="CE35" s="3628">
        <f t="shared" si="44"/>
        <v>4</v>
      </c>
      <c r="CF35" s="3629">
        <f t="shared" si="44"/>
        <v>17</v>
      </c>
      <c r="CG35" s="3629">
        <f t="shared" si="44"/>
        <v>7</v>
      </c>
      <c r="CH35" s="3629">
        <f t="shared" si="44"/>
        <v>2</v>
      </c>
      <c r="CI35" s="3630">
        <f t="shared" si="44"/>
        <v>30</v>
      </c>
      <c r="CJ35" s="3628">
        <f t="shared" si="44"/>
        <v>6</v>
      </c>
      <c r="CK35" s="3629">
        <f t="shared" si="44"/>
        <v>16</v>
      </c>
      <c r="CL35" s="3629">
        <f t="shared" si="44"/>
        <v>7</v>
      </c>
      <c r="CM35" s="3629">
        <f t="shared" si="44"/>
        <v>2</v>
      </c>
      <c r="CN35" s="3630">
        <f t="shared" si="44"/>
        <v>31</v>
      </c>
      <c r="CO35" s="3628">
        <f t="shared" si="44"/>
        <v>5</v>
      </c>
      <c r="CP35" s="3629">
        <f t="shared" si="44"/>
        <v>20</v>
      </c>
      <c r="CQ35" s="3629">
        <f t="shared" si="44"/>
        <v>7</v>
      </c>
      <c r="CR35" s="3629">
        <f t="shared" si="44"/>
        <v>2</v>
      </c>
      <c r="CS35" s="3630">
        <f t="shared" si="44"/>
        <v>34</v>
      </c>
      <c r="CT35" s="3628">
        <f t="shared" si="44"/>
        <v>7</v>
      </c>
      <c r="CU35" s="3629">
        <f t="shared" si="44"/>
        <v>19</v>
      </c>
      <c r="CV35" s="3629">
        <f t="shared" si="44"/>
        <v>7</v>
      </c>
      <c r="CW35" s="3629">
        <f t="shared" si="44"/>
        <v>2</v>
      </c>
      <c r="CX35" s="3630">
        <f t="shared" si="44"/>
        <v>35</v>
      </c>
      <c r="CY35" s="3628">
        <f t="shared" si="44"/>
        <v>9</v>
      </c>
      <c r="CZ35" s="3629">
        <f t="shared" si="44"/>
        <v>19</v>
      </c>
      <c r="DA35" s="3629">
        <f t="shared" si="44"/>
        <v>6</v>
      </c>
      <c r="DB35" s="3629">
        <f t="shared" si="44"/>
        <v>2</v>
      </c>
      <c r="DC35" s="3630">
        <f t="shared" si="44"/>
        <v>36</v>
      </c>
      <c r="DD35" s="3628">
        <f t="shared" ref="DD35:DH35" si="45">SUM(DD9,DD29)</f>
        <v>8</v>
      </c>
      <c r="DE35" s="3629">
        <f t="shared" si="45"/>
        <v>18</v>
      </c>
      <c r="DF35" s="3629">
        <f t="shared" si="45"/>
        <v>6</v>
      </c>
      <c r="DG35" s="3629">
        <f t="shared" si="45"/>
        <v>2</v>
      </c>
      <c r="DH35" s="3630">
        <f t="shared" si="45"/>
        <v>34</v>
      </c>
      <c r="DI35" s="3628">
        <f t="shared" ref="DI35:DM35" si="46">SUM(DI9,DI29)</f>
        <v>9</v>
      </c>
      <c r="DJ35" s="3629">
        <f t="shared" si="46"/>
        <v>19</v>
      </c>
      <c r="DK35" s="3629">
        <f t="shared" si="46"/>
        <v>5</v>
      </c>
      <c r="DL35" s="3629">
        <f t="shared" si="46"/>
        <v>2</v>
      </c>
      <c r="DM35" s="3630">
        <f t="shared" si="46"/>
        <v>35</v>
      </c>
    </row>
    <row r="36" spans="2:117" ht="15" customHeight="1" x14ac:dyDescent="0.25">
      <c r="B36" s="3595" t="s">
        <v>111</v>
      </c>
      <c r="C36" s="3628">
        <f>SUM(C13)</f>
        <v>0</v>
      </c>
      <c r="D36" s="3629">
        <f t="shared" ref="D36:BO37" si="47">SUM(D13)</f>
        <v>0</v>
      </c>
      <c r="E36" s="3629">
        <f t="shared" si="47"/>
        <v>0</v>
      </c>
      <c r="F36" s="3629">
        <f t="shared" si="47"/>
        <v>0</v>
      </c>
      <c r="G36" s="3630">
        <f t="shared" si="31"/>
        <v>0</v>
      </c>
      <c r="H36" s="3628">
        <f t="shared" si="47"/>
        <v>0</v>
      </c>
      <c r="I36" s="3629">
        <f t="shared" si="47"/>
        <v>0</v>
      </c>
      <c r="J36" s="3629">
        <f t="shared" si="47"/>
        <v>0</v>
      </c>
      <c r="K36" s="3629">
        <f t="shared" si="47"/>
        <v>0</v>
      </c>
      <c r="L36" s="3630">
        <f t="shared" si="47"/>
        <v>0</v>
      </c>
      <c r="M36" s="3628">
        <f t="shared" si="47"/>
        <v>0</v>
      </c>
      <c r="N36" s="3629">
        <f t="shared" si="47"/>
        <v>0</v>
      </c>
      <c r="O36" s="3629">
        <f t="shared" si="47"/>
        <v>0</v>
      </c>
      <c r="P36" s="3629">
        <f t="shared" si="47"/>
        <v>0</v>
      </c>
      <c r="Q36" s="3630">
        <f t="shared" si="47"/>
        <v>0</v>
      </c>
      <c r="R36" s="3628">
        <f t="shared" si="47"/>
        <v>0</v>
      </c>
      <c r="S36" s="3629">
        <f t="shared" si="47"/>
        <v>0</v>
      </c>
      <c r="T36" s="3629">
        <f t="shared" si="47"/>
        <v>0</v>
      </c>
      <c r="U36" s="3629">
        <f t="shared" si="47"/>
        <v>0</v>
      </c>
      <c r="V36" s="3630">
        <f t="shared" si="47"/>
        <v>0</v>
      </c>
      <c r="W36" s="3628">
        <f t="shared" si="47"/>
        <v>0</v>
      </c>
      <c r="X36" s="3629">
        <f t="shared" si="47"/>
        <v>0</v>
      </c>
      <c r="Y36" s="3629">
        <f t="shared" si="47"/>
        <v>0</v>
      </c>
      <c r="Z36" s="3629">
        <f t="shared" si="47"/>
        <v>0</v>
      </c>
      <c r="AA36" s="3630">
        <f t="shared" si="47"/>
        <v>0</v>
      </c>
      <c r="AB36" s="3628">
        <f t="shared" si="47"/>
        <v>0</v>
      </c>
      <c r="AC36" s="3629">
        <f t="shared" si="47"/>
        <v>1</v>
      </c>
      <c r="AD36" s="3629">
        <f t="shared" si="47"/>
        <v>0</v>
      </c>
      <c r="AE36" s="3629">
        <f t="shared" si="47"/>
        <v>0</v>
      </c>
      <c r="AF36" s="3630">
        <f t="shared" si="47"/>
        <v>1</v>
      </c>
      <c r="AG36" s="3628">
        <f t="shared" si="47"/>
        <v>0</v>
      </c>
      <c r="AH36" s="3629">
        <f t="shared" si="47"/>
        <v>1</v>
      </c>
      <c r="AI36" s="3629">
        <f t="shared" si="47"/>
        <v>0</v>
      </c>
      <c r="AJ36" s="3629">
        <f t="shared" si="47"/>
        <v>0</v>
      </c>
      <c r="AK36" s="3630">
        <f t="shared" si="47"/>
        <v>1</v>
      </c>
      <c r="AL36" s="3628">
        <f t="shared" si="47"/>
        <v>0</v>
      </c>
      <c r="AM36" s="3629">
        <f t="shared" si="47"/>
        <v>1</v>
      </c>
      <c r="AN36" s="3629">
        <f t="shared" si="47"/>
        <v>0</v>
      </c>
      <c r="AO36" s="3629">
        <f t="shared" si="47"/>
        <v>0</v>
      </c>
      <c r="AP36" s="3630">
        <f t="shared" si="47"/>
        <v>1</v>
      </c>
      <c r="AQ36" s="3628">
        <f t="shared" si="47"/>
        <v>3</v>
      </c>
      <c r="AR36" s="3629">
        <f t="shared" si="47"/>
        <v>7</v>
      </c>
      <c r="AS36" s="3629">
        <f t="shared" si="47"/>
        <v>1</v>
      </c>
      <c r="AT36" s="3629">
        <f t="shared" si="47"/>
        <v>0</v>
      </c>
      <c r="AU36" s="3630">
        <f t="shared" si="47"/>
        <v>11</v>
      </c>
      <c r="AV36" s="3628">
        <f t="shared" si="47"/>
        <v>3</v>
      </c>
      <c r="AW36" s="3629">
        <f t="shared" si="47"/>
        <v>8</v>
      </c>
      <c r="AX36" s="3629">
        <f t="shared" si="47"/>
        <v>2</v>
      </c>
      <c r="AY36" s="3629">
        <f t="shared" si="47"/>
        <v>0</v>
      </c>
      <c r="AZ36" s="3630">
        <f t="shared" si="47"/>
        <v>13</v>
      </c>
      <c r="BA36" s="3628">
        <f t="shared" si="47"/>
        <v>5</v>
      </c>
      <c r="BB36" s="3629">
        <f t="shared" si="47"/>
        <v>7</v>
      </c>
      <c r="BC36" s="3629">
        <f t="shared" si="47"/>
        <v>2</v>
      </c>
      <c r="BD36" s="3629">
        <f t="shared" si="47"/>
        <v>1</v>
      </c>
      <c r="BE36" s="3630">
        <f t="shared" si="47"/>
        <v>15</v>
      </c>
      <c r="BF36" s="3628">
        <f t="shared" si="47"/>
        <v>5</v>
      </c>
      <c r="BG36" s="3629">
        <f t="shared" si="47"/>
        <v>7</v>
      </c>
      <c r="BH36" s="3629">
        <f t="shared" si="47"/>
        <v>2</v>
      </c>
      <c r="BI36" s="3629">
        <f t="shared" si="47"/>
        <v>1</v>
      </c>
      <c r="BJ36" s="3630">
        <f t="shared" si="47"/>
        <v>15</v>
      </c>
      <c r="BK36" s="3628">
        <f t="shared" si="47"/>
        <v>6</v>
      </c>
      <c r="BL36" s="3629">
        <f t="shared" si="47"/>
        <v>9</v>
      </c>
      <c r="BM36" s="3629">
        <f t="shared" si="47"/>
        <v>2</v>
      </c>
      <c r="BN36" s="3629">
        <f t="shared" si="47"/>
        <v>1</v>
      </c>
      <c r="BO36" s="3630">
        <f t="shared" si="47"/>
        <v>18</v>
      </c>
      <c r="BP36" s="3628">
        <f t="shared" ref="BP36:DC37" si="48">SUM(BP13)</f>
        <v>5</v>
      </c>
      <c r="BQ36" s="3629">
        <f t="shared" si="48"/>
        <v>10</v>
      </c>
      <c r="BR36" s="3629">
        <f t="shared" si="48"/>
        <v>2</v>
      </c>
      <c r="BS36" s="3629">
        <f t="shared" si="48"/>
        <v>1</v>
      </c>
      <c r="BT36" s="3630">
        <f t="shared" si="48"/>
        <v>18</v>
      </c>
      <c r="BU36" s="3628">
        <f t="shared" si="48"/>
        <v>2</v>
      </c>
      <c r="BV36" s="3629">
        <f t="shared" si="48"/>
        <v>15</v>
      </c>
      <c r="BW36" s="3629">
        <f t="shared" si="48"/>
        <v>1</v>
      </c>
      <c r="BX36" s="3629">
        <f t="shared" si="48"/>
        <v>1</v>
      </c>
      <c r="BY36" s="3630">
        <f t="shared" si="48"/>
        <v>19</v>
      </c>
      <c r="BZ36" s="3628">
        <f t="shared" si="48"/>
        <v>3</v>
      </c>
      <c r="CA36" s="3629">
        <f t="shared" si="48"/>
        <v>16</v>
      </c>
      <c r="CB36" s="3629">
        <f t="shared" si="48"/>
        <v>1</v>
      </c>
      <c r="CC36" s="3629">
        <f t="shared" si="48"/>
        <v>2</v>
      </c>
      <c r="CD36" s="3630">
        <f t="shared" si="48"/>
        <v>22</v>
      </c>
      <c r="CE36" s="3628">
        <f t="shared" si="48"/>
        <v>1</v>
      </c>
      <c r="CF36" s="3629">
        <f t="shared" si="48"/>
        <v>14</v>
      </c>
      <c r="CG36" s="3629">
        <f t="shared" si="48"/>
        <v>2</v>
      </c>
      <c r="CH36" s="3629">
        <f t="shared" si="48"/>
        <v>2</v>
      </c>
      <c r="CI36" s="3630">
        <f t="shared" si="48"/>
        <v>19</v>
      </c>
      <c r="CJ36" s="3628">
        <f t="shared" si="48"/>
        <v>6</v>
      </c>
      <c r="CK36" s="3629">
        <f t="shared" si="48"/>
        <v>10</v>
      </c>
      <c r="CL36" s="3629">
        <f t="shared" si="48"/>
        <v>3</v>
      </c>
      <c r="CM36" s="3629">
        <f t="shared" si="48"/>
        <v>2</v>
      </c>
      <c r="CN36" s="3630">
        <f t="shared" si="48"/>
        <v>21</v>
      </c>
      <c r="CO36" s="3628">
        <f t="shared" si="48"/>
        <v>5</v>
      </c>
      <c r="CP36" s="3629">
        <f t="shared" si="48"/>
        <v>9</v>
      </c>
      <c r="CQ36" s="3629">
        <f t="shared" si="48"/>
        <v>4</v>
      </c>
      <c r="CR36" s="3629">
        <f t="shared" si="48"/>
        <v>2</v>
      </c>
      <c r="CS36" s="3630">
        <f t="shared" si="48"/>
        <v>20</v>
      </c>
      <c r="CT36" s="3628">
        <f t="shared" si="48"/>
        <v>4</v>
      </c>
      <c r="CU36" s="3629">
        <f t="shared" si="48"/>
        <v>10</v>
      </c>
      <c r="CV36" s="3629">
        <f t="shared" si="48"/>
        <v>4</v>
      </c>
      <c r="CW36" s="3629">
        <f t="shared" si="48"/>
        <v>2</v>
      </c>
      <c r="CX36" s="3630">
        <f t="shared" si="48"/>
        <v>20</v>
      </c>
      <c r="CY36" s="3628">
        <f t="shared" si="48"/>
        <v>3</v>
      </c>
      <c r="CZ36" s="3629">
        <f t="shared" si="48"/>
        <v>9</v>
      </c>
      <c r="DA36" s="3629">
        <f t="shared" si="48"/>
        <v>4</v>
      </c>
      <c r="DB36" s="3629">
        <f t="shared" si="48"/>
        <v>2</v>
      </c>
      <c r="DC36" s="3630">
        <f t="shared" si="48"/>
        <v>18</v>
      </c>
      <c r="DD36" s="3628">
        <f t="shared" ref="DD36:DH36" si="49">SUM(DD13)</f>
        <v>4</v>
      </c>
      <c r="DE36" s="3629">
        <f t="shared" si="49"/>
        <v>9</v>
      </c>
      <c r="DF36" s="3629">
        <f t="shared" si="49"/>
        <v>5</v>
      </c>
      <c r="DG36" s="3629">
        <f t="shared" si="49"/>
        <v>2</v>
      </c>
      <c r="DH36" s="3630">
        <f t="shared" si="49"/>
        <v>20</v>
      </c>
      <c r="DI36" s="3628">
        <f t="shared" ref="DI36:DM36" si="50">SUM(DI13)</f>
        <v>2</v>
      </c>
      <c r="DJ36" s="3629">
        <f t="shared" si="50"/>
        <v>10</v>
      </c>
      <c r="DK36" s="3629">
        <f t="shared" si="50"/>
        <v>5</v>
      </c>
      <c r="DL36" s="3629">
        <f t="shared" si="50"/>
        <v>2</v>
      </c>
      <c r="DM36" s="3630">
        <f t="shared" si="50"/>
        <v>19</v>
      </c>
    </row>
    <row r="37" spans="2:117" ht="15" customHeight="1" x14ac:dyDescent="0.25">
      <c r="B37" s="3599" t="s">
        <v>115</v>
      </c>
      <c r="C37" s="3633">
        <f>SUM(C14)</f>
        <v>0</v>
      </c>
      <c r="D37" s="3634">
        <f t="shared" si="47"/>
        <v>0</v>
      </c>
      <c r="E37" s="3634">
        <f t="shared" si="47"/>
        <v>0</v>
      </c>
      <c r="F37" s="3634">
        <f t="shared" si="47"/>
        <v>0</v>
      </c>
      <c r="G37" s="3635">
        <f t="shared" si="31"/>
        <v>0</v>
      </c>
      <c r="H37" s="3633">
        <f t="shared" si="47"/>
        <v>0</v>
      </c>
      <c r="I37" s="3634">
        <f t="shared" si="47"/>
        <v>0</v>
      </c>
      <c r="J37" s="3634">
        <f t="shared" si="47"/>
        <v>0</v>
      </c>
      <c r="K37" s="3634">
        <f t="shared" si="47"/>
        <v>0</v>
      </c>
      <c r="L37" s="3635">
        <f t="shared" si="47"/>
        <v>0</v>
      </c>
      <c r="M37" s="3633">
        <f t="shared" si="47"/>
        <v>0</v>
      </c>
      <c r="N37" s="3634">
        <f t="shared" si="47"/>
        <v>0</v>
      </c>
      <c r="O37" s="3634">
        <f t="shared" si="47"/>
        <v>0</v>
      </c>
      <c r="P37" s="3634">
        <f t="shared" si="47"/>
        <v>0</v>
      </c>
      <c r="Q37" s="3635">
        <f t="shared" si="47"/>
        <v>0</v>
      </c>
      <c r="R37" s="3633">
        <f t="shared" si="47"/>
        <v>0</v>
      </c>
      <c r="S37" s="3634">
        <f t="shared" si="47"/>
        <v>0</v>
      </c>
      <c r="T37" s="3634">
        <f t="shared" si="47"/>
        <v>0</v>
      </c>
      <c r="U37" s="3634">
        <f t="shared" si="47"/>
        <v>0</v>
      </c>
      <c r="V37" s="3635">
        <f t="shared" si="47"/>
        <v>0</v>
      </c>
      <c r="W37" s="3633">
        <f t="shared" si="47"/>
        <v>0</v>
      </c>
      <c r="X37" s="3634">
        <f t="shared" si="47"/>
        <v>0</v>
      </c>
      <c r="Y37" s="3634">
        <f t="shared" si="47"/>
        <v>0</v>
      </c>
      <c r="Z37" s="3634">
        <f t="shared" si="47"/>
        <v>0</v>
      </c>
      <c r="AA37" s="3635">
        <f t="shared" si="47"/>
        <v>0</v>
      </c>
      <c r="AB37" s="3633">
        <f t="shared" si="47"/>
        <v>1</v>
      </c>
      <c r="AC37" s="3634">
        <f t="shared" si="47"/>
        <v>1</v>
      </c>
      <c r="AD37" s="3634">
        <f t="shared" si="47"/>
        <v>1</v>
      </c>
      <c r="AE37" s="3634">
        <f t="shared" si="47"/>
        <v>1</v>
      </c>
      <c r="AF37" s="3635">
        <f t="shared" si="47"/>
        <v>4</v>
      </c>
      <c r="AG37" s="3633">
        <f t="shared" si="47"/>
        <v>2</v>
      </c>
      <c r="AH37" s="3634">
        <f t="shared" si="47"/>
        <v>2</v>
      </c>
      <c r="AI37" s="3634">
        <f t="shared" si="47"/>
        <v>1</v>
      </c>
      <c r="AJ37" s="3634">
        <f t="shared" si="47"/>
        <v>2</v>
      </c>
      <c r="AK37" s="3635">
        <f t="shared" si="47"/>
        <v>7</v>
      </c>
      <c r="AL37" s="3633">
        <f t="shared" si="47"/>
        <v>7</v>
      </c>
      <c r="AM37" s="3634">
        <f t="shared" si="47"/>
        <v>9</v>
      </c>
      <c r="AN37" s="3634">
        <f t="shared" si="47"/>
        <v>1</v>
      </c>
      <c r="AO37" s="3634">
        <f t="shared" si="47"/>
        <v>1</v>
      </c>
      <c r="AP37" s="3635">
        <f t="shared" si="47"/>
        <v>18</v>
      </c>
      <c r="AQ37" s="3633">
        <f t="shared" si="47"/>
        <v>6</v>
      </c>
      <c r="AR37" s="3634">
        <f t="shared" si="47"/>
        <v>17</v>
      </c>
      <c r="AS37" s="3634">
        <f t="shared" si="47"/>
        <v>0</v>
      </c>
      <c r="AT37" s="3634">
        <f t="shared" si="47"/>
        <v>3</v>
      </c>
      <c r="AU37" s="3635">
        <f t="shared" si="47"/>
        <v>26</v>
      </c>
      <c r="AV37" s="3633">
        <f t="shared" si="47"/>
        <v>7</v>
      </c>
      <c r="AW37" s="3634">
        <f t="shared" si="47"/>
        <v>16</v>
      </c>
      <c r="AX37" s="3634">
        <f t="shared" si="47"/>
        <v>0</v>
      </c>
      <c r="AY37" s="3634">
        <f t="shared" si="47"/>
        <v>2</v>
      </c>
      <c r="AZ37" s="3635">
        <f t="shared" si="47"/>
        <v>25</v>
      </c>
      <c r="BA37" s="3633">
        <f t="shared" si="47"/>
        <v>11</v>
      </c>
      <c r="BB37" s="3634">
        <f t="shared" si="47"/>
        <v>25</v>
      </c>
      <c r="BC37" s="3634">
        <f t="shared" si="47"/>
        <v>1</v>
      </c>
      <c r="BD37" s="3634">
        <f t="shared" si="47"/>
        <v>3</v>
      </c>
      <c r="BE37" s="3635">
        <f t="shared" si="47"/>
        <v>40</v>
      </c>
      <c r="BF37" s="3633">
        <f t="shared" si="47"/>
        <v>10</v>
      </c>
      <c r="BG37" s="3634">
        <f t="shared" si="47"/>
        <v>25</v>
      </c>
      <c r="BH37" s="3634">
        <f t="shared" si="47"/>
        <v>1</v>
      </c>
      <c r="BI37" s="3634">
        <f t="shared" si="47"/>
        <v>3</v>
      </c>
      <c r="BJ37" s="3635">
        <f t="shared" si="47"/>
        <v>39</v>
      </c>
      <c r="BK37" s="3633">
        <f t="shared" si="47"/>
        <v>12</v>
      </c>
      <c r="BL37" s="3634">
        <f t="shared" si="47"/>
        <v>29</v>
      </c>
      <c r="BM37" s="3634">
        <f t="shared" si="47"/>
        <v>2</v>
      </c>
      <c r="BN37" s="3634">
        <f t="shared" si="47"/>
        <v>3</v>
      </c>
      <c r="BO37" s="3635">
        <f t="shared" si="47"/>
        <v>46</v>
      </c>
      <c r="BP37" s="3633">
        <f t="shared" si="48"/>
        <v>13</v>
      </c>
      <c r="BQ37" s="3634">
        <f t="shared" si="48"/>
        <v>33</v>
      </c>
      <c r="BR37" s="3634">
        <f t="shared" si="48"/>
        <v>2</v>
      </c>
      <c r="BS37" s="3634">
        <f t="shared" si="48"/>
        <v>3</v>
      </c>
      <c r="BT37" s="3635">
        <f t="shared" si="48"/>
        <v>51</v>
      </c>
      <c r="BU37" s="3633">
        <f t="shared" si="48"/>
        <v>11</v>
      </c>
      <c r="BV37" s="3634">
        <f t="shared" si="48"/>
        <v>33</v>
      </c>
      <c r="BW37" s="3634">
        <f t="shared" si="48"/>
        <v>5</v>
      </c>
      <c r="BX37" s="3634">
        <f t="shared" si="48"/>
        <v>3</v>
      </c>
      <c r="BY37" s="3635">
        <f t="shared" si="48"/>
        <v>52</v>
      </c>
      <c r="BZ37" s="3633">
        <f t="shared" si="48"/>
        <v>7</v>
      </c>
      <c r="CA37" s="3634">
        <f t="shared" si="48"/>
        <v>32</v>
      </c>
      <c r="CB37" s="3634">
        <f t="shared" si="48"/>
        <v>5</v>
      </c>
      <c r="CC37" s="3634">
        <f t="shared" si="48"/>
        <v>3</v>
      </c>
      <c r="CD37" s="3635">
        <f t="shared" si="48"/>
        <v>47</v>
      </c>
      <c r="CE37" s="3633">
        <f t="shared" si="48"/>
        <v>7</v>
      </c>
      <c r="CF37" s="3634">
        <f t="shared" si="48"/>
        <v>33</v>
      </c>
      <c r="CG37" s="3634">
        <f t="shared" si="48"/>
        <v>6</v>
      </c>
      <c r="CH37" s="3634">
        <f t="shared" si="48"/>
        <v>3</v>
      </c>
      <c r="CI37" s="3635">
        <f t="shared" si="48"/>
        <v>49</v>
      </c>
      <c r="CJ37" s="3633">
        <f t="shared" si="48"/>
        <v>6</v>
      </c>
      <c r="CK37" s="3634">
        <f t="shared" si="48"/>
        <v>29</v>
      </c>
      <c r="CL37" s="3634">
        <f t="shared" si="48"/>
        <v>7</v>
      </c>
      <c r="CM37" s="3634">
        <f t="shared" si="48"/>
        <v>3</v>
      </c>
      <c r="CN37" s="3635">
        <f t="shared" si="48"/>
        <v>45</v>
      </c>
      <c r="CO37" s="3633">
        <f t="shared" si="48"/>
        <v>16</v>
      </c>
      <c r="CP37" s="3634">
        <f t="shared" si="48"/>
        <v>29</v>
      </c>
      <c r="CQ37" s="3634">
        <f t="shared" si="48"/>
        <v>5</v>
      </c>
      <c r="CR37" s="3634">
        <f t="shared" si="48"/>
        <v>4</v>
      </c>
      <c r="CS37" s="3635">
        <f t="shared" si="48"/>
        <v>54</v>
      </c>
      <c r="CT37" s="3633">
        <f t="shared" si="48"/>
        <v>13</v>
      </c>
      <c r="CU37" s="3634">
        <f t="shared" si="48"/>
        <v>35</v>
      </c>
      <c r="CV37" s="3634">
        <f t="shared" si="48"/>
        <v>6</v>
      </c>
      <c r="CW37" s="3634">
        <f t="shared" si="48"/>
        <v>4</v>
      </c>
      <c r="CX37" s="3635">
        <f t="shared" si="48"/>
        <v>58</v>
      </c>
      <c r="CY37" s="3633">
        <f t="shared" si="48"/>
        <v>10</v>
      </c>
      <c r="CZ37" s="3634">
        <f t="shared" si="48"/>
        <v>33</v>
      </c>
      <c r="DA37" s="3634">
        <f t="shared" si="48"/>
        <v>6</v>
      </c>
      <c r="DB37" s="3634">
        <f t="shared" si="48"/>
        <v>4</v>
      </c>
      <c r="DC37" s="3635">
        <f t="shared" si="48"/>
        <v>53</v>
      </c>
      <c r="DD37" s="3633">
        <f t="shared" ref="DD37:DH37" si="51">SUM(DD14)</f>
        <v>8</v>
      </c>
      <c r="DE37" s="3634">
        <f t="shared" si="51"/>
        <v>32</v>
      </c>
      <c r="DF37" s="3634">
        <f t="shared" si="51"/>
        <v>7</v>
      </c>
      <c r="DG37" s="3634">
        <f t="shared" si="51"/>
        <v>3</v>
      </c>
      <c r="DH37" s="3635">
        <f t="shared" si="51"/>
        <v>50</v>
      </c>
      <c r="DI37" s="3633">
        <f t="shared" ref="DI37:DM37" si="52">SUM(DI14)</f>
        <v>8</v>
      </c>
      <c r="DJ37" s="3634">
        <f t="shared" si="52"/>
        <v>36</v>
      </c>
      <c r="DK37" s="3634">
        <f t="shared" si="52"/>
        <v>5</v>
      </c>
      <c r="DL37" s="3634">
        <f t="shared" si="52"/>
        <v>4</v>
      </c>
      <c r="DM37" s="3635">
        <f t="shared" si="52"/>
        <v>53</v>
      </c>
    </row>
    <row r="38" spans="2:117" ht="15" customHeight="1" x14ac:dyDescent="0.25">
      <c r="B38" s="3636" t="s">
        <v>431</v>
      </c>
      <c r="C38" s="3637">
        <f>SUM(C32:C37)</f>
        <v>76</v>
      </c>
      <c r="D38" s="3638">
        <f t="shared" ref="D38:BO38" si="53">SUM(D32:D37)</f>
        <v>271</v>
      </c>
      <c r="E38" s="3638">
        <f t="shared" si="53"/>
        <v>76</v>
      </c>
      <c r="F38" s="3638">
        <f t="shared" si="53"/>
        <v>29</v>
      </c>
      <c r="G38" s="3639">
        <f t="shared" si="53"/>
        <v>452</v>
      </c>
      <c r="H38" s="3637">
        <f t="shared" si="53"/>
        <v>47</v>
      </c>
      <c r="I38" s="3638">
        <f t="shared" si="53"/>
        <v>301</v>
      </c>
      <c r="J38" s="3638">
        <f t="shared" si="53"/>
        <v>100</v>
      </c>
      <c r="K38" s="3638">
        <f t="shared" si="53"/>
        <v>33</v>
      </c>
      <c r="L38" s="3639">
        <f t="shared" si="53"/>
        <v>481</v>
      </c>
      <c r="M38" s="3637">
        <f t="shared" si="53"/>
        <v>38</v>
      </c>
      <c r="N38" s="3638">
        <f t="shared" si="53"/>
        <v>340</v>
      </c>
      <c r="O38" s="3638">
        <f t="shared" si="53"/>
        <v>120</v>
      </c>
      <c r="P38" s="3638">
        <f t="shared" si="53"/>
        <v>35</v>
      </c>
      <c r="Q38" s="3639">
        <f t="shared" si="53"/>
        <v>533</v>
      </c>
      <c r="R38" s="3637">
        <f t="shared" si="53"/>
        <v>40</v>
      </c>
      <c r="S38" s="3638">
        <f t="shared" si="53"/>
        <v>344</v>
      </c>
      <c r="T38" s="3638">
        <f t="shared" si="53"/>
        <v>121</v>
      </c>
      <c r="U38" s="3638">
        <f t="shared" si="53"/>
        <v>36</v>
      </c>
      <c r="V38" s="3639">
        <f t="shared" si="53"/>
        <v>541</v>
      </c>
      <c r="W38" s="3637">
        <f t="shared" si="53"/>
        <v>42</v>
      </c>
      <c r="X38" s="3638">
        <f t="shared" si="53"/>
        <v>382</v>
      </c>
      <c r="Y38" s="3638">
        <f t="shared" si="53"/>
        <v>134</v>
      </c>
      <c r="Z38" s="3638">
        <f t="shared" si="53"/>
        <v>42</v>
      </c>
      <c r="AA38" s="3639">
        <f t="shared" si="53"/>
        <v>600</v>
      </c>
      <c r="AB38" s="3637">
        <f t="shared" si="53"/>
        <v>49</v>
      </c>
      <c r="AC38" s="3638">
        <f t="shared" si="53"/>
        <v>391</v>
      </c>
      <c r="AD38" s="3638">
        <f t="shared" si="53"/>
        <v>143</v>
      </c>
      <c r="AE38" s="3638">
        <f t="shared" si="53"/>
        <v>51</v>
      </c>
      <c r="AF38" s="3639">
        <f t="shared" si="53"/>
        <v>634</v>
      </c>
      <c r="AG38" s="3637">
        <f t="shared" si="53"/>
        <v>48</v>
      </c>
      <c r="AH38" s="3638">
        <f t="shared" si="53"/>
        <v>403</v>
      </c>
      <c r="AI38" s="3638">
        <f t="shared" si="53"/>
        <v>167</v>
      </c>
      <c r="AJ38" s="3638">
        <f t="shared" si="53"/>
        <v>63</v>
      </c>
      <c r="AK38" s="3639">
        <f t="shared" si="53"/>
        <v>681</v>
      </c>
      <c r="AL38" s="3637">
        <f t="shared" si="53"/>
        <v>64</v>
      </c>
      <c r="AM38" s="3638">
        <f t="shared" si="53"/>
        <v>443</v>
      </c>
      <c r="AN38" s="3638">
        <f t="shared" si="53"/>
        <v>175</v>
      </c>
      <c r="AO38" s="3638">
        <f t="shared" si="53"/>
        <v>64</v>
      </c>
      <c r="AP38" s="3639">
        <f t="shared" si="53"/>
        <v>746</v>
      </c>
      <c r="AQ38" s="3637">
        <f t="shared" si="53"/>
        <v>73</v>
      </c>
      <c r="AR38" s="3638">
        <f t="shared" si="53"/>
        <v>478</v>
      </c>
      <c r="AS38" s="3638">
        <f t="shared" si="53"/>
        <v>208</v>
      </c>
      <c r="AT38" s="3638">
        <f t="shared" si="53"/>
        <v>74</v>
      </c>
      <c r="AU38" s="3639">
        <f t="shared" si="53"/>
        <v>833</v>
      </c>
      <c r="AV38" s="3637">
        <f t="shared" si="53"/>
        <v>75</v>
      </c>
      <c r="AW38" s="3638">
        <f t="shared" si="53"/>
        <v>480</v>
      </c>
      <c r="AX38" s="3638">
        <f t="shared" si="53"/>
        <v>212</v>
      </c>
      <c r="AY38" s="3638">
        <f t="shared" si="53"/>
        <v>75</v>
      </c>
      <c r="AZ38" s="3639">
        <f t="shared" si="53"/>
        <v>842</v>
      </c>
      <c r="BA38" s="3637">
        <f t="shared" si="53"/>
        <v>92</v>
      </c>
      <c r="BB38" s="3638">
        <f t="shared" si="53"/>
        <v>508</v>
      </c>
      <c r="BC38" s="3638">
        <f t="shared" si="53"/>
        <v>210</v>
      </c>
      <c r="BD38" s="3638">
        <f t="shared" si="53"/>
        <v>96</v>
      </c>
      <c r="BE38" s="3639">
        <f t="shared" si="53"/>
        <v>906</v>
      </c>
      <c r="BF38" s="3637">
        <f t="shared" si="53"/>
        <v>95</v>
      </c>
      <c r="BG38" s="3638">
        <f t="shared" si="53"/>
        <v>516</v>
      </c>
      <c r="BH38" s="3638">
        <f t="shared" si="53"/>
        <v>210</v>
      </c>
      <c r="BI38" s="3638">
        <f t="shared" si="53"/>
        <v>93</v>
      </c>
      <c r="BJ38" s="3639">
        <f t="shared" si="53"/>
        <v>914</v>
      </c>
      <c r="BK38" s="3637">
        <f t="shared" si="53"/>
        <v>110</v>
      </c>
      <c r="BL38" s="3638">
        <f t="shared" si="53"/>
        <v>530</v>
      </c>
      <c r="BM38" s="3638">
        <f t="shared" si="53"/>
        <v>206</v>
      </c>
      <c r="BN38" s="3638">
        <f t="shared" si="53"/>
        <v>95</v>
      </c>
      <c r="BO38" s="3639">
        <f t="shared" si="53"/>
        <v>941</v>
      </c>
      <c r="BP38" s="3637">
        <f t="shared" ref="BP38:DC38" si="54">SUM(BP32:BP37)</f>
        <v>148</v>
      </c>
      <c r="BQ38" s="3638">
        <f t="shared" si="54"/>
        <v>587</v>
      </c>
      <c r="BR38" s="3638">
        <f t="shared" si="54"/>
        <v>219</v>
      </c>
      <c r="BS38" s="3638">
        <f t="shared" si="54"/>
        <v>107</v>
      </c>
      <c r="BT38" s="3639">
        <f t="shared" si="54"/>
        <v>1061</v>
      </c>
      <c r="BU38" s="3637">
        <f t="shared" si="54"/>
        <v>156</v>
      </c>
      <c r="BV38" s="3638">
        <f t="shared" si="54"/>
        <v>595</v>
      </c>
      <c r="BW38" s="3638">
        <f t="shared" si="54"/>
        <v>219</v>
      </c>
      <c r="BX38" s="3638">
        <f t="shared" si="54"/>
        <v>114</v>
      </c>
      <c r="BY38" s="3639">
        <f t="shared" si="54"/>
        <v>1084</v>
      </c>
      <c r="BZ38" s="3637">
        <f t="shared" si="54"/>
        <v>151</v>
      </c>
      <c r="CA38" s="3638">
        <f t="shared" si="54"/>
        <v>605</v>
      </c>
      <c r="CB38" s="3638">
        <f t="shared" si="54"/>
        <v>234</v>
      </c>
      <c r="CC38" s="3638">
        <f t="shared" si="54"/>
        <v>120</v>
      </c>
      <c r="CD38" s="3639">
        <f t="shared" si="54"/>
        <v>1110</v>
      </c>
      <c r="CE38" s="3637">
        <f t="shared" si="54"/>
        <v>167</v>
      </c>
      <c r="CF38" s="3638">
        <f t="shared" si="54"/>
        <v>636</v>
      </c>
      <c r="CG38" s="3638">
        <f t="shared" si="54"/>
        <v>237</v>
      </c>
      <c r="CH38" s="3638">
        <f t="shared" si="54"/>
        <v>130</v>
      </c>
      <c r="CI38" s="3639">
        <f t="shared" si="54"/>
        <v>1170</v>
      </c>
      <c r="CJ38" s="3637">
        <f t="shared" si="54"/>
        <v>164</v>
      </c>
      <c r="CK38" s="3638">
        <f t="shared" si="54"/>
        <v>619</v>
      </c>
      <c r="CL38" s="3638">
        <f t="shared" si="54"/>
        <v>242</v>
      </c>
      <c r="CM38" s="3638">
        <f t="shared" si="54"/>
        <v>138</v>
      </c>
      <c r="CN38" s="3639">
        <f t="shared" si="54"/>
        <v>1163</v>
      </c>
      <c r="CO38" s="3637">
        <f t="shared" si="54"/>
        <v>145</v>
      </c>
      <c r="CP38" s="3638">
        <f t="shared" si="54"/>
        <v>615</v>
      </c>
      <c r="CQ38" s="3638">
        <f t="shared" si="54"/>
        <v>234</v>
      </c>
      <c r="CR38" s="3638">
        <f t="shared" si="54"/>
        <v>141</v>
      </c>
      <c r="CS38" s="3639">
        <f t="shared" si="54"/>
        <v>1135</v>
      </c>
      <c r="CT38" s="3637">
        <f t="shared" si="54"/>
        <v>161</v>
      </c>
      <c r="CU38" s="3638">
        <f t="shared" si="54"/>
        <v>614</v>
      </c>
      <c r="CV38" s="3638">
        <f t="shared" si="54"/>
        <v>232</v>
      </c>
      <c r="CW38" s="3638">
        <f t="shared" si="54"/>
        <v>149</v>
      </c>
      <c r="CX38" s="3639">
        <f t="shared" si="54"/>
        <v>1156</v>
      </c>
      <c r="CY38" s="3637">
        <f t="shared" si="54"/>
        <v>177</v>
      </c>
      <c r="CZ38" s="3638">
        <f t="shared" si="54"/>
        <v>607</v>
      </c>
      <c r="DA38" s="3638">
        <f t="shared" si="54"/>
        <v>231</v>
      </c>
      <c r="DB38" s="3638">
        <f t="shared" si="54"/>
        <v>149</v>
      </c>
      <c r="DC38" s="3639">
        <f t="shared" si="54"/>
        <v>1164</v>
      </c>
      <c r="DD38" s="3637">
        <f t="shared" ref="DD38:DH38" si="55">SUM(DD32:DD37)</f>
        <v>171</v>
      </c>
      <c r="DE38" s="3638">
        <f t="shared" si="55"/>
        <v>630</v>
      </c>
      <c r="DF38" s="3638">
        <f t="shared" si="55"/>
        <v>236</v>
      </c>
      <c r="DG38" s="3638">
        <f t="shared" si="55"/>
        <v>154</v>
      </c>
      <c r="DH38" s="3639">
        <f t="shared" si="55"/>
        <v>1191</v>
      </c>
      <c r="DI38" s="3637">
        <f t="shared" ref="DI38:DM38" si="56">SUM(DI32:DI37)</f>
        <v>157</v>
      </c>
      <c r="DJ38" s="3638">
        <f t="shared" si="56"/>
        <v>695</v>
      </c>
      <c r="DK38" s="3638">
        <f t="shared" si="56"/>
        <v>243</v>
      </c>
      <c r="DL38" s="3638">
        <f t="shared" si="56"/>
        <v>158</v>
      </c>
      <c r="DM38" s="3639">
        <f t="shared" si="56"/>
        <v>1253</v>
      </c>
    </row>
    <row r="39" spans="2:117" x14ac:dyDescent="0.25">
      <c r="B39" s="3640" t="s">
        <v>898</v>
      </c>
      <c r="R39" s="3578"/>
      <c r="S39" s="3578"/>
      <c r="T39" s="3578"/>
      <c r="U39" s="3578"/>
      <c r="W39" s="3578"/>
      <c r="X39" s="3578"/>
      <c r="Y39" s="3578"/>
      <c r="Z39" s="3578"/>
      <c r="AB39" s="3578"/>
      <c r="AC39" s="3578"/>
      <c r="AD39" s="3578"/>
      <c r="AE39" s="3578"/>
      <c r="AG39" s="3578"/>
      <c r="AH39" s="3578"/>
      <c r="AI39" s="3578"/>
      <c r="AJ39" s="3578"/>
      <c r="AL39" s="3578"/>
      <c r="AM39" s="3578"/>
      <c r="AN39" s="3578"/>
      <c r="AO39" s="3578"/>
    </row>
    <row r="40" spans="2:117" ht="12.75" customHeight="1" x14ac:dyDescent="0.25">
      <c r="C40" s="3424"/>
      <c r="D40" s="3424"/>
      <c r="E40" s="3424"/>
      <c r="F40" s="3424"/>
      <c r="G40" s="3424"/>
      <c r="H40" s="3424"/>
      <c r="I40" s="3424"/>
      <c r="J40" s="3424"/>
      <c r="K40" s="3424"/>
      <c r="L40" s="3424"/>
      <c r="M40" s="3424"/>
      <c r="N40" s="3424"/>
      <c r="O40" s="3424"/>
      <c r="P40" s="3424"/>
      <c r="Q40" s="3424"/>
      <c r="BU40" s="6181" t="s">
        <v>899</v>
      </c>
      <c r="BV40" s="6181"/>
      <c r="BW40" s="6181"/>
      <c r="BX40" s="6181"/>
      <c r="BY40" s="6181"/>
      <c r="CE40" s="6175" t="s">
        <v>900</v>
      </c>
      <c r="CF40" s="6175"/>
      <c r="CG40" s="6175"/>
      <c r="CH40" s="6175"/>
      <c r="CI40" s="3641"/>
      <c r="CJ40" s="6175" t="s">
        <v>901</v>
      </c>
      <c r="CK40" s="6175"/>
      <c r="CL40" s="6175"/>
      <c r="CM40" s="6175"/>
      <c r="CN40" s="3641"/>
      <c r="CO40" s="6175" t="s">
        <v>902</v>
      </c>
      <c r="CP40" s="6175"/>
      <c r="CQ40" s="6175"/>
      <c r="CR40" s="6175"/>
      <c r="CT40" s="6175" t="s">
        <v>903</v>
      </c>
      <c r="CU40" s="6175"/>
      <c r="CV40" s="6175"/>
      <c r="CW40" s="6175"/>
      <c r="CY40" s="6175" t="s">
        <v>904</v>
      </c>
      <c r="CZ40" s="6175"/>
      <c r="DA40" s="6175"/>
      <c r="DB40" s="6175"/>
      <c r="DD40" s="6175" t="s">
        <v>1378</v>
      </c>
      <c r="DE40" s="6175"/>
      <c r="DF40" s="6175"/>
      <c r="DG40" s="6175"/>
      <c r="DI40" s="6176" t="s">
        <v>1553</v>
      </c>
      <c r="DJ40" s="6176"/>
      <c r="DK40" s="6176"/>
      <c r="DL40" s="6176"/>
      <c r="DM40" s="6176"/>
    </row>
    <row r="41" spans="2:117" ht="13.35" customHeight="1" x14ac:dyDescent="0.25">
      <c r="B41" s="3642"/>
      <c r="BU41" s="6181"/>
      <c r="BV41" s="6181"/>
      <c r="BW41" s="6181"/>
      <c r="BX41" s="6181"/>
      <c r="BY41" s="6181"/>
      <c r="CE41" s="6175"/>
      <c r="CF41" s="6175"/>
      <c r="CG41" s="6175"/>
      <c r="CH41" s="6175"/>
      <c r="CI41" s="3641"/>
      <c r="CJ41" s="6175"/>
      <c r="CK41" s="6175"/>
      <c r="CL41" s="6175"/>
      <c r="CM41" s="6175"/>
      <c r="CN41" s="3641"/>
      <c r="CO41" s="6175"/>
      <c r="CP41" s="6175"/>
      <c r="CQ41" s="6175"/>
      <c r="CR41" s="6175"/>
      <c r="CT41" s="6175"/>
      <c r="CU41" s="6175"/>
      <c r="CV41" s="6175"/>
      <c r="CW41" s="6175"/>
      <c r="CY41" s="6175"/>
      <c r="CZ41" s="6175"/>
      <c r="DA41" s="6175"/>
      <c r="DB41" s="6175"/>
      <c r="DD41" s="6175"/>
      <c r="DE41" s="6175"/>
      <c r="DF41" s="6175"/>
      <c r="DG41" s="6175"/>
      <c r="DI41" s="6176"/>
      <c r="DJ41" s="6176"/>
      <c r="DK41" s="6176"/>
      <c r="DL41" s="6176"/>
      <c r="DM41" s="6176"/>
    </row>
    <row r="42" spans="2:117" x14ac:dyDescent="0.25">
      <c r="B42" s="3643"/>
      <c r="BU42" s="6181"/>
      <c r="BV42" s="6181"/>
      <c r="BW42" s="6181"/>
      <c r="BX42" s="6181"/>
      <c r="BY42" s="6181"/>
      <c r="CY42" s="3641"/>
      <c r="CZ42" s="3641"/>
      <c r="DA42" s="3641"/>
      <c r="DB42" s="3641"/>
      <c r="DI42" s="6176"/>
      <c r="DJ42" s="6176"/>
      <c r="DK42" s="6176"/>
      <c r="DL42" s="6176"/>
      <c r="DM42" s="6176"/>
    </row>
    <row r="43" spans="2:117" x14ac:dyDescent="0.25">
      <c r="B43" s="3644"/>
      <c r="DI43" s="6176"/>
      <c r="DJ43" s="6176"/>
      <c r="DK43" s="6176"/>
      <c r="DL43" s="6176"/>
      <c r="DM43" s="6176"/>
    </row>
    <row r="44" spans="2:117" x14ac:dyDescent="0.25">
      <c r="DI44" s="6176"/>
      <c r="DJ44" s="6176"/>
      <c r="DK44" s="6176"/>
      <c r="DL44" s="6176"/>
      <c r="DM44" s="6176"/>
    </row>
    <row r="47" spans="2:117" x14ac:dyDescent="0.25">
      <c r="CI47" s="3645"/>
    </row>
    <row r="54" spans="38:79" ht="14.4" x14ac:dyDescent="0.25">
      <c r="CA54" s="3646">
        <v>2000</v>
      </c>
    </row>
    <row r="55" spans="38:79" ht="14.4" x14ac:dyDescent="0.25">
      <c r="CA55" s="3646">
        <v>2001</v>
      </c>
    </row>
    <row r="56" spans="38:79" ht="14.4" x14ac:dyDescent="0.25">
      <c r="CA56" s="3646">
        <v>2002</v>
      </c>
    </row>
    <row r="57" spans="38:79" ht="14.4" x14ac:dyDescent="0.25">
      <c r="CA57" s="3646">
        <v>2003</v>
      </c>
    </row>
    <row r="58" spans="38:79" ht="14.4" x14ac:dyDescent="0.25">
      <c r="CA58" s="3646">
        <v>2004</v>
      </c>
    </row>
    <row r="59" spans="38:79" ht="14.4" x14ac:dyDescent="0.25">
      <c r="AL59" s="3647"/>
      <c r="CA59" s="3646">
        <v>2005</v>
      </c>
    </row>
    <row r="60" spans="38:79" ht="14.4" x14ac:dyDescent="0.25">
      <c r="CA60" s="3646">
        <v>2006</v>
      </c>
    </row>
    <row r="61" spans="38:79" ht="14.4" x14ac:dyDescent="0.25">
      <c r="CA61" s="3646">
        <v>2007</v>
      </c>
    </row>
    <row r="62" spans="38:79" ht="14.4" x14ac:dyDescent="0.25">
      <c r="CA62" s="3646">
        <v>2008</v>
      </c>
    </row>
    <row r="63" spans="38:79" ht="14.4" x14ac:dyDescent="0.25">
      <c r="CA63" s="3646">
        <v>2009</v>
      </c>
    </row>
    <row r="64" spans="38:79" ht="14.4" x14ac:dyDescent="0.25">
      <c r="CA64" s="3646">
        <v>2010</v>
      </c>
    </row>
    <row r="65" spans="79:80" ht="14.4" x14ac:dyDescent="0.25">
      <c r="CA65" s="3646">
        <v>2011</v>
      </c>
    </row>
    <row r="66" spans="79:80" ht="14.4" x14ac:dyDescent="0.25">
      <c r="CA66" s="3646">
        <v>2012</v>
      </c>
    </row>
    <row r="67" spans="79:80" ht="14.4" x14ac:dyDescent="0.25">
      <c r="CA67" s="3646">
        <v>2013</v>
      </c>
    </row>
    <row r="68" spans="79:80" ht="14.4" x14ac:dyDescent="0.25">
      <c r="CA68" s="3646">
        <v>2014</v>
      </c>
    </row>
    <row r="69" spans="79:80" ht="14.4" x14ac:dyDescent="0.25">
      <c r="CA69" s="3646">
        <v>2015</v>
      </c>
    </row>
    <row r="70" spans="79:80" ht="14.4" x14ac:dyDescent="0.25">
      <c r="CA70" s="3646">
        <v>2016</v>
      </c>
    </row>
    <row r="71" spans="79:80" ht="14.4" x14ac:dyDescent="0.25">
      <c r="CA71" s="3646">
        <v>2017</v>
      </c>
      <c r="CB71" s="3647" t="s">
        <v>243</v>
      </c>
    </row>
    <row r="72" spans="79:80" ht="14.4" x14ac:dyDescent="0.25">
      <c r="CA72" s="3646">
        <v>2018</v>
      </c>
      <c r="CB72" s="3647" t="s">
        <v>905</v>
      </c>
    </row>
    <row r="73" spans="79:80" ht="14.4" x14ac:dyDescent="0.25">
      <c r="CA73" s="3646">
        <v>2019</v>
      </c>
      <c r="CB73" s="3647" t="s">
        <v>906</v>
      </c>
    </row>
    <row r="74" spans="79:80" ht="14.4" x14ac:dyDescent="0.25">
      <c r="CA74" s="3646">
        <v>2020</v>
      </c>
      <c r="CB74" s="3647" t="s">
        <v>907</v>
      </c>
    </row>
    <row r="75" spans="79:80" ht="14.4" x14ac:dyDescent="0.25">
      <c r="CA75" s="3646">
        <v>2021</v>
      </c>
    </row>
    <row r="76" spans="79:80" ht="14.4" x14ac:dyDescent="0.25">
      <c r="CA76" s="3646">
        <v>2022</v>
      </c>
    </row>
  </sheetData>
  <mergeCells count="78">
    <mergeCell ref="BE4:BE5"/>
    <mergeCell ref="CY4:DB4"/>
    <mergeCell ref="DC4:DC5"/>
    <mergeCell ref="BU40:BY42"/>
    <mergeCell ref="CE40:CH41"/>
    <mergeCell ref="CJ40:CM41"/>
    <mergeCell ref="CO40:CR41"/>
    <mergeCell ref="CT40:CW41"/>
    <mergeCell ref="CY40:DB41"/>
    <mergeCell ref="CJ4:CM4"/>
    <mergeCell ref="CN4:CN5"/>
    <mergeCell ref="CO4:CR4"/>
    <mergeCell ref="CS4:CS5"/>
    <mergeCell ref="CT4:CW4"/>
    <mergeCell ref="CX4:CX5"/>
    <mergeCell ref="BU4:BX4"/>
    <mergeCell ref="CE4:CH4"/>
    <mergeCell ref="CI4:CI5"/>
    <mergeCell ref="BF4:BI4"/>
    <mergeCell ref="BJ4:BJ5"/>
    <mergeCell ref="BK4:BN4"/>
    <mergeCell ref="BO4:BO5"/>
    <mergeCell ref="BP4:BS4"/>
    <mergeCell ref="BT4:BT5"/>
    <mergeCell ref="BY4:BY5"/>
    <mergeCell ref="AV3:AZ3"/>
    <mergeCell ref="AB4:AE4"/>
    <mergeCell ref="AF4:AF5"/>
    <mergeCell ref="AG4:AJ4"/>
    <mergeCell ref="AK4:AK5"/>
    <mergeCell ref="AL4:AO4"/>
    <mergeCell ref="AP4:AP5"/>
    <mergeCell ref="AQ4:AT4"/>
    <mergeCell ref="AU4:AU5"/>
    <mergeCell ref="AV4:AY4"/>
    <mergeCell ref="AZ4:AZ5"/>
    <mergeCell ref="AA4:AA5"/>
    <mergeCell ref="AB3:AF3"/>
    <mergeCell ref="AG3:AK3"/>
    <mergeCell ref="AL3:AP3"/>
    <mergeCell ref="AQ3:AU3"/>
    <mergeCell ref="W3:AA3"/>
    <mergeCell ref="W4:Z4"/>
    <mergeCell ref="B3:B5"/>
    <mergeCell ref="C3:G3"/>
    <mergeCell ref="H3:L3"/>
    <mergeCell ref="M3:Q3"/>
    <mergeCell ref="R3:V3"/>
    <mergeCell ref="C4:F4"/>
    <mergeCell ref="G4:G5"/>
    <mergeCell ref="H4:K4"/>
    <mergeCell ref="L4:L5"/>
    <mergeCell ref="M4:P4"/>
    <mergeCell ref="Q4:Q5"/>
    <mergeCell ref="R4:U4"/>
    <mergeCell ref="V4:V5"/>
    <mergeCell ref="DD40:DG41"/>
    <mergeCell ref="DI40:DM44"/>
    <mergeCell ref="BA3:BE3"/>
    <mergeCell ref="CJ3:CN3"/>
    <mergeCell ref="CO3:CS3"/>
    <mergeCell ref="CT3:CX3"/>
    <mergeCell ref="CY3:DC3"/>
    <mergeCell ref="BF3:BJ3"/>
    <mergeCell ref="BK3:BO3"/>
    <mergeCell ref="BP3:BT3"/>
    <mergeCell ref="BU3:BY3"/>
    <mergeCell ref="BZ3:CD3"/>
    <mergeCell ref="CE3:CI3"/>
    <mergeCell ref="BA4:BD4"/>
    <mergeCell ref="BZ4:CC4"/>
    <mergeCell ref="CD4:CD5"/>
    <mergeCell ref="DI3:DM3"/>
    <mergeCell ref="DI4:DL4"/>
    <mergeCell ref="DM4:DM5"/>
    <mergeCell ref="DD3:DH3"/>
    <mergeCell ref="DD4:DG4"/>
    <mergeCell ref="DH4:DH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65" firstPageNumber="161" pageOrder="overThenDown" orientation="landscape" useFirstPageNumber="1" r:id="rId1"/>
  <headerFooter scaleWithDoc="0" alignWithMargins="0">
    <oddFooter>&amp;R&amp;P</oddFooter>
  </headerFooter>
  <rowBreaks count="1" manualBreakCount="1">
    <brk id="39" min="82" max="106" man="1"/>
  </rowBreaks>
  <colBreaks count="2" manualBreakCount="2">
    <brk id="32" max="165" man="1"/>
    <brk id="62" max="165" man="1"/>
  </colBreaks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8200"/>
  </sheetPr>
  <dimension ref="B1:CD150"/>
  <sheetViews>
    <sheetView showGridLines="0" zoomScaleNormal="100" workbookViewId="0">
      <pane xSplit="2" ySplit="5" topLeftCell="BK6" activePane="bottomRight" state="frozen"/>
      <selection activeCell="Q31" sqref="Q31"/>
      <selection pane="topRight" activeCell="Q31" sqref="Q31"/>
      <selection pane="bottomLeft" activeCell="Q31" sqref="Q31"/>
      <selection pane="bottomRight" activeCell="Q31" sqref="Q31"/>
    </sheetView>
  </sheetViews>
  <sheetFormatPr baseColWidth="10" defaultColWidth="11.44140625" defaultRowHeight="14.4" x14ac:dyDescent="0.25"/>
  <cols>
    <col min="1" max="1" width="2.88671875" style="4378" customWidth="1"/>
    <col min="2" max="2" width="21.109375" style="4380" customWidth="1"/>
    <col min="3" max="3" width="6.109375" style="4378" customWidth="1"/>
    <col min="4" max="4" width="7.5546875" style="4378" customWidth="1"/>
    <col min="5" max="5" width="8" style="4378" customWidth="1"/>
    <col min="6" max="6" width="7.88671875" style="4378" customWidth="1"/>
    <col min="7" max="7" width="6.109375" style="4378" customWidth="1"/>
    <col min="8" max="8" width="7.5546875" style="4378" customWidth="1"/>
    <col min="9" max="9" width="8.109375" style="4378" customWidth="1"/>
    <col min="10" max="10" width="7.88671875" style="4378" customWidth="1"/>
    <col min="11" max="11" width="6.109375" style="4378" customWidth="1"/>
    <col min="12" max="12" width="7.5546875" style="4378" customWidth="1"/>
    <col min="13" max="13" width="8.109375" style="4378" customWidth="1"/>
    <col min="14" max="14" width="7.88671875" style="4378" customWidth="1"/>
    <col min="15" max="15" width="6.88671875" style="4378" customWidth="1"/>
    <col min="16" max="16" width="7.5546875" style="4378" customWidth="1"/>
    <col min="17" max="17" width="8.109375" style="4378" customWidth="1"/>
    <col min="18" max="18" width="7.88671875" style="4378" customWidth="1"/>
    <col min="19" max="19" width="6.88671875" style="4378" customWidth="1"/>
    <col min="20" max="20" width="7.5546875" style="4378" customWidth="1"/>
    <col min="21" max="21" width="8.109375" style="4378" customWidth="1"/>
    <col min="22" max="22" width="7.88671875" style="4378" customWidth="1"/>
    <col min="23" max="24" width="6.88671875" style="4378" customWidth="1"/>
    <col min="25" max="26" width="7.88671875" style="4378" customWidth="1"/>
    <col min="27" max="28" width="6.88671875" style="4378" customWidth="1"/>
    <col min="29" max="29" width="7.5546875" style="4378" customWidth="1"/>
    <col min="30" max="30" width="7.88671875" style="4378" customWidth="1"/>
    <col min="31" max="32" width="6.88671875" style="4378" customWidth="1"/>
    <col min="33" max="33" width="7.5546875" style="4378" customWidth="1"/>
    <col min="34" max="34" width="7.88671875" style="4378" customWidth="1"/>
    <col min="35" max="37" width="6.88671875" style="4378" customWidth="1"/>
    <col min="38" max="38" width="7.88671875" style="4378" customWidth="1"/>
    <col min="39" max="41" width="6.88671875" style="4378" customWidth="1"/>
    <col min="42" max="42" width="8" style="4378" customWidth="1"/>
    <col min="43" max="45" width="6.88671875" style="4378" customWidth="1"/>
    <col min="46" max="46" width="8.109375" style="4378" bestFit="1" customWidth="1"/>
    <col min="47" max="85" width="6.88671875" style="4378" customWidth="1"/>
    <col min="86" max="256" width="11.44140625" style="4378"/>
    <col min="257" max="257" width="15.109375" style="4378" customWidth="1"/>
    <col min="258" max="258" width="13" style="4378" bestFit="1" customWidth="1"/>
    <col min="259" max="259" width="6.109375" style="4378" customWidth="1"/>
    <col min="260" max="260" width="7.5546875" style="4378" customWidth="1"/>
    <col min="261" max="261" width="8" style="4378" customWidth="1"/>
    <col min="262" max="262" width="10.88671875" style="4378" customWidth="1"/>
    <col min="263" max="263" width="6.109375" style="4378" customWidth="1"/>
    <col min="264" max="264" width="7.5546875" style="4378" customWidth="1"/>
    <col min="265" max="265" width="8.109375" style="4378" customWidth="1"/>
    <col min="266" max="266" width="10.88671875" style="4378" customWidth="1"/>
    <col min="267" max="267" width="6.109375" style="4378" customWidth="1"/>
    <col min="268" max="268" width="7.5546875" style="4378" customWidth="1"/>
    <col min="269" max="269" width="8.109375" style="4378" customWidth="1"/>
    <col min="270" max="270" width="10.88671875" style="4378" customWidth="1"/>
    <col min="271" max="271" width="6.88671875" style="4378" customWidth="1"/>
    <col min="272" max="272" width="7.5546875" style="4378" customWidth="1"/>
    <col min="273" max="273" width="8.109375" style="4378" customWidth="1"/>
    <col min="274" max="274" width="10.88671875" style="4378" customWidth="1"/>
    <col min="275" max="275" width="6.88671875" style="4378" customWidth="1"/>
    <col min="276" max="276" width="7.5546875" style="4378" customWidth="1"/>
    <col min="277" max="277" width="8.109375" style="4378" customWidth="1"/>
    <col min="278" max="278" width="10.88671875" style="4378" customWidth="1"/>
    <col min="279" max="281" width="6.88671875" style="4378" customWidth="1"/>
    <col min="282" max="282" width="11.44140625" style="4378" customWidth="1"/>
    <col min="283" max="285" width="6.88671875" style="4378" customWidth="1"/>
    <col min="286" max="286" width="11.44140625" style="4378"/>
    <col min="287" max="287" width="1.5546875" style="4378" customWidth="1"/>
    <col min="288" max="512" width="11.44140625" style="4378"/>
    <col min="513" max="513" width="15.109375" style="4378" customWidth="1"/>
    <col min="514" max="514" width="13" style="4378" bestFit="1" customWidth="1"/>
    <col min="515" max="515" width="6.109375" style="4378" customWidth="1"/>
    <col min="516" max="516" width="7.5546875" style="4378" customWidth="1"/>
    <col min="517" max="517" width="8" style="4378" customWidth="1"/>
    <col min="518" max="518" width="10.88671875" style="4378" customWidth="1"/>
    <col min="519" max="519" width="6.109375" style="4378" customWidth="1"/>
    <col min="520" max="520" width="7.5546875" style="4378" customWidth="1"/>
    <col min="521" max="521" width="8.109375" style="4378" customWidth="1"/>
    <col min="522" max="522" width="10.88671875" style="4378" customWidth="1"/>
    <col min="523" max="523" width="6.109375" style="4378" customWidth="1"/>
    <col min="524" max="524" width="7.5546875" style="4378" customWidth="1"/>
    <col min="525" max="525" width="8.109375" style="4378" customWidth="1"/>
    <col min="526" max="526" width="10.88671875" style="4378" customWidth="1"/>
    <col min="527" max="527" width="6.88671875" style="4378" customWidth="1"/>
    <col min="528" max="528" width="7.5546875" style="4378" customWidth="1"/>
    <col min="529" max="529" width="8.109375" style="4378" customWidth="1"/>
    <col min="530" max="530" width="10.88671875" style="4378" customWidth="1"/>
    <col min="531" max="531" width="6.88671875" style="4378" customWidth="1"/>
    <col min="532" max="532" width="7.5546875" style="4378" customWidth="1"/>
    <col min="533" max="533" width="8.109375" style="4378" customWidth="1"/>
    <col min="534" max="534" width="10.88671875" style="4378" customWidth="1"/>
    <col min="535" max="537" width="6.88671875" style="4378" customWidth="1"/>
    <col min="538" max="538" width="11.44140625" style="4378" customWidth="1"/>
    <col min="539" max="541" width="6.88671875" style="4378" customWidth="1"/>
    <col min="542" max="542" width="11.44140625" style="4378"/>
    <col min="543" max="543" width="1.5546875" style="4378" customWidth="1"/>
    <col min="544" max="768" width="11.44140625" style="4378"/>
    <col min="769" max="769" width="15.109375" style="4378" customWidth="1"/>
    <col min="770" max="770" width="13" style="4378" bestFit="1" customWidth="1"/>
    <col min="771" max="771" width="6.109375" style="4378" customWidth="1"/>
    <col min="772" max="772" width="7.5546875" style="4378" customWidth="1"/>
    <col min="773" max="773" width="8" style="4378" customWidth="1"/>
    <col min="774" max="774" width="10.88671875" style="4378" customWidth="1"/>
    <col min="775" max="775" width="6.109375" style="4378" customWidth="1"/>
    <col min="776" max="776" width="7.5546875" style="4378" customWidth="1"/>
    <col min="777" max="777" width="8.109375" style="4378" customWidth="1"/>
    <col min="778" max="778" width="10.88671875" style="4378" customWidth="1"/>
    <col min="779" max="779" width="6.109375" style="4378" customWidth="1"/>
    <col min="780" max="780" width="7.5546875" style="4378" customWidth="1"/>
    <col min="781" max="781" width="8.109375" style="4378" customWidth="1"/>
    <col min="782" max="782" width="10.88671875" style="4378" customWidth="1"/>
    <col min="783" max="783" width="6.88671875" style="4378" customWidth="1"/>
    <col min="784" max="784" width="7.5546875" style="4378" customWidth="1"/>
    <col min="785" max="785" width="8.109375" style="4378" customWidth="1"/>
    <col min="786" max="786" width="10.88671875" style="4378" customWidth="1"/>
    <col min="787" max="787" width="6.88671875" style="4378" customWidth="1"/>
    <col min="788" max="788" width="7.5546875" style="4378" customWidth="1"/>
    <col min="789" max="789" width="8.109375" style="4378" customWidth="1"/>
    <col min="790" max="790" width="10.88671875" style="4378" customWidth="1"/>
    <col min="791" max="793" width="6.88671875" style="4378" customWidth="1"/>
    <col min="794" max="794" width="11.44140625" style="4378" customWidth="1"/>
    <col min="795" max="797" width="6.88671875" style="4378" customWidth="1"/>
    <col min="798" max="798" width="11.44140625" style="4378"/>
    <col min="799" max="799" width="1.5546875" style="4378" customWidth="1"/>
    <col min="800" max="1024" width="11.44140625" style="4378"/>
    <col min="1025" max="1025" width="15.109375" style="4378" customWidth="1"/>
    <col min="1026" max="1026" width="13" style="4378" bestFit="1" customWidth="1"/>
    <col min="1027" max="1027" width="6.109375" style="4378" customWidth="1"/>
    <col min="1028" max="1028" width="7.5546875" style="4378" customWidth="1"/>
    <col min="1029" max="1029" width="8" style="4378" customWidth="1"/>
    <col min="1030" max="1030" width="10.88671875" style="4378" customWidth="1"/>
    <col min="1031" max="1031" width="6.109375" style="4378" customWidth="1"/>
    <col min="1032" max="1032" width="7.5546875" style="4378" customWidth="1"/>
    <col min="1033" max="1033" width="8.109375" style="4378" customWidth="1"/>
    <col min="1034" max="1034" width="10.88671875" style="4378" customWidth="1"/>
    <col min="1035" max="1035" width="6.109375" style="4378" customWidth="1"/>
    <col min="1036" max="1036" width="7.5546875" style="4378" customWidth="1"/>
    <col min="1037" max="1037" width="8.109375" style="4378" customWidth="1"/>
    <col min="1038" max="1038" width="10.88671875" style="4378" customWidth="1"/>
    <col min="1039" max="1039" width="6.88671875" style="4378" customWidth="1"/>
    <col min="1040" max="1040" width="7.5546875" style="4378" customWidth="1"/>
    <col min="1041" max="1041" width="8.109375" style="4378" customWidth="1"/>
    <col min="1042" max="1042" width="10.88671875" style="4378" customWidth="1"/>
    <col min="1043" max="1043" width="6.88671875" style="4378" customWidth="1"/>
    <col min="1044" max="1044" width="7.5546875" style="4378" customWidth="1"/>
    <col min="1045" max="1045" width="8.109375" style="4378" customWidth="1"/>
    <col min="1046" max="1046" width="10.88671875" style="4378" customWidth="1"/>
    <col min="1047" max="1049" width="6.88671875" style="4378" customWidth="1"/>
    <col min="1050" max="1050" width="11.44140625" style="4378" customWidth="1"/>
    <col min="1051" max="1053" width="6.88671875" style="4378" customWidth="1"/>
    <col min="1054" max="1054" width="11.44140625" style="4378"/>
    <col min="1055" max="1055" width="1.5546875" style="4378" customWidth="1"/>
    <col min="1056" max="1280" width="11.44140625" style="4378"/>
    <col min="1281" max="1281" width="15.109375" style="4378" customWidth="1"/>
    <col min="1282" max="1282" width="13" style="4378" bestFit="1" customWidth="1"/>
    <col min="1283" max="1283" width="6.109375" style="4378" customWidth="1"/>
    <col min="1284" max="1284" width="7.5546875" style="4378" customWidth="1"/>
    <col min="1285" max="1285" width="8" style="4378" customWidth="1"/>
    <col min="1286" max="1286" width="10.88671875" style="4378" customWidth="1"/>
    <col min="1287" max="1287" width="6.109375" style="4378" customWidth="1"/>
    <col min="1288" max="1288" width="7.5546875" style="4378" customWidth="1"/>
    <col min="1289" max="1289" width="8.109375" style="4378" customWidth="1"/>
    <col min="1290" max="1290" width="10.88671875" style="4378" customWidth="1"/>
    <col min="1291" max="1291" width="6.109375" style="4378" customWidth="1"/>
    <col min="1292" max="1292" width="7.5546875" style="4378" customWidth="1"/>
    <col min="1293" max="1293" width="8.109375" style="4378" customWidth="1"/>
    <col min="1294" max="1294" width="10.88671875" style="4378" customWidth="1"/>
    <col min="1295" max="1295" width="6.88671875" style="4378" customWidth="1"/>
    <col min="1296" max="1296" width="7.5546875" style="4378" customWidth="1"/>
    <col min="1297" max="1297" width="8.109375" style="4378" customWidth="1"/>
    <col min="1298" max="1298" width="10.88671875" style="4378" customWidth="1"/>
    <col min="1299" max="1299" width="6.88671875" style="4378" customWidth="1"/>
    <col min="1300" max="1300" width="7.5546875" style="4378" customWidth="1"/>
    <col min="1301" max="1301" width="8.109375" style="4378" customWidth="1"/>
    <col min="1302" max="1302" width="10.88671875" style="4378" customWidth="1"/>
    <col min="1303" max="1305" width="6.88671875" style="4378" customWidth="1"/>
    <col min="1306" max="1306" width="11.44140625" style="4378" customWidth="1"/>
    <col min="1307" max="1309" width="6.88671875" style="4378" customWidth="1"/>
    <col min="1310" max="1310" width="11.44140625" style="4378"/>
    <col min="1311" max="1311" width="1.5546875" style="4378" customWidth="1"/>
    <col min="1312" max="1536" width="11.44140625" style="4378"/>
    <col min="1537" max="1537" width="15.109375" style="4378" customWidth="1"/>
    <col min="1538" max="1538" width="13" style="4378" bestFit="1" customWidth="1"/>
    <col min="1539" max="1539" width="6.109375" style="4378" customWidth="1"/>
    <col min="1540" max="1540" width="7.5546875" style="4378" customWidth="1"/>
    <col min="1541" max="1541" width="8" style="4378" customWidth="1"/>
    <col min="1542" max="1542" width="10.88671875" style="4378" customWidth="1"/>
    <col min="1543" max="1543" width="6.109375" style="4378" customWidth="1"/>
    <col min="1544" max="1544" width="7.5546875" style="4378" customWidth="1"/>
    <col min="1545" max="1545" width="8.109375" style="4378" customWidth="1"/>
    <col min="1546" max="1546" width="10.88671875" style="4378" customWidth="1"/>
    <col min="1547" max="1547" width="6.109375" style="4378" customWidth="1"/>
    <col min="1548" max="1548" width="7.5546875" style="4378" customWidth="1"/>
    <col min="1549" max="1549" width="8.109375" style="4378" customWidth="1"/>
    <col min="1550" max="1550" width="10.88671875" style="4378" customWidth="1"/>
    <col min="1551" max="1551" width="6.88671875" style="4378" customWidth="1"/>
    <col min="1552" max="1552" width="7.5546875" style="4378" customWidth="1"/>
    <col min="1553" max="1553" width="8.109375" style="4378" customWidth="1"/>
    <col min="1554" max="1554" width="10.88671875" style="4378" customWidth="1"/>
    <col min="1555" max="1555" width="6.88671875" style="4378" customWidth="1"/>
    <col min="1556" max="1556" width="7.5546875" style="4378" customWidth="1"/>
    <col min="1557" max="1557" width="8.109375" style="4378" customWidth="1"/>
    <col min="1558" max="1558" width="10.88671875" style="4378" customWidth="1"/>
    <col min="1559" max="1561" width="6.88671875" style="4378" customWidth="1"/>
    <col min="1562" max="1562" width="11.44140625" style="4378" customWidth="1"/>
    <col min="1563" max="1565" width="6.88671875" style="4378" customWidth="1"/>
    <col min="1566" max="1566" width="11.44140625" style="4378"/>
    <col min="1567" max="1567" width="1.5546875" style="4378" customWidth="1"/>
    <col min="1568" max="1792" width="11.44140625" style="4378"/>
    <col min="1793" max="1793" width="15.109375" style="4378" customWidth="1"/>
    <col min="1794" max="1794" width="13" style="4378" bestFit="1" customWidth="1"/>
    <col min="1795" max="1795" width="6.109375" style="4378" customWidth="1"/>
    <col min="1796" max="1796" width="7.5546875" style="4378" customWidth="1"/>
    <col min="1797" max="1797" width="8" style="4378" customWidth="1"/>
    <col min="1798" max="1798" width="10.88671875" style="4378" customWidth="1"/>
    <col min="1799" max="1799" width="6.109375" style="4378" customWidth="1"/>
    <col min="1800" max="1800" width="7.5546875" style="4378" customWidth="1"/>
    <col min="1801" max="1801" width="8.109375" style="4378" customWidth="1"/>
    <col min="1802" max="1802" width="10.88671875" style="4378" customWidth="1"/>
    <col min="1803" max="1803" width="6.109375" style="4378" customWidth="1"/>
    <col min="1804" max="1804" width="7.5546875" style="4378" customWidth="1"/>
    <col min="1805" max="1805" width="8.109375" style="4378" customWidth="1"/>
    <col min="1806" max="1806" width="10.88671875" style="4378" customWidth="1"/>
    <col min="1807" max="1807" width="6.88671875" style="4378" customWidth="1"/>
    <col min="1808" max="1808" width="7.5546875" style="4378" customWidth="1"/>
    <col min="1809" max="1809" width="8.109375" style="4378" customWidth="1"/>
    <col min="1810" max="1810" width="10.88671875" style="4378" customWidth="1"/>
    <col min="1811" max="1811" width="6.88671875" style="4378" customWidth="1"/>
    <col min="1812" max="1812" width="7.5546875" style="4378" customWidth="1"/>
    <col min="1813" max="1813" width="8.109375" style="4378" customWidth="1"/>
    <col min="1814" max="1814" width="10.88671875" style="4378" customWidth="1"/>
    <col min="1815" max="1817" width="6.88671875" style="4378" customWidth="1"/>
    <col min="1818" max="1818" width="11.44140625" style="4378" customWidth="1"/>
    <col min="1819" max="1821" width="6.88671875" style="4378" customWidth="1"/>
    <col min="1822" max="1822" width="11.44140625" style="4378"/>
    <col min="1823" max="1823" width="1.5546875" style="4378" customWidth="1"/>
    <col min="1824" max="2048" width="11.44140625" style="4378"/>
    <col min="2049" max="2049" width="15.109375" style="4378" customWidth="1"/>
    <col min="2050" max="2050" width="13" style="4378" bestFit="1" customWidth="1"/>
    <col min="2051" max="2051" width="6.109375" style="4378" customWidth="1"/>
    <col min="2052" max="2052" width="7.5546875" style="4378" customWidth="1"/>
    <col min="2053" max="2053" width="8" style="4378" customWidth="1"/>
    <col min="2054" max="2054" width="10.88671875" style="4378" customWidth="1"/>
    <col min="2055" max="2055" width="6.109375" style="4378" customWidth="1"/>
    <col min="2056" max="2056" width="7.5546875" style="4378" customWidth="1"/>
    <col min="2057" max="2057" width="8.109375" style="4378" customWidth="1"/>
    <col min="2058" max="2058" width="10.88671875" style="4378" customWidth="1"/>
    <col min="2059" max="2059" width="6.109375" style="4378" customWidth="1"/>
    <col min="2060" max="2060" width="7.5546875" style="4378" customWidth="1"/>
    <col min="2061" max="2061" width="8.109375" style="4378" customWidth="1"/>
    <col min="2062" max="2062" width="10.88671875" style="4378" customWidth="1"/>
    <col min="2063" max="2063" width="6.88671875" style="4378" customWidth="1"/>
    <col min="2064" max="2064" width="7.5546875" style="4378" customWidth="1"/>
    <col min="2065" max="2065" width="8.109375" style="4378" customWidth="1"/>
    <col min="2066" max="2066" width="10.88671875" style="4378" customWidth="1"/>
    <col min="2067" max="2067" width="6.88671875" style="4378" customWidth="1"/>
    <col min="2068" max="2068" width="7.5546875" style="4378" customWidth="1"/>
    <col min="2069" max="2069" width="8.109375" style="4378" customWidth="1"/>
    <col min="2070" max="2070" width="10.88671875" style="4378" customWidth="1"/>
    <col min="2071" max="2073" width="6.88671875" style="4378" customWidth="1"/>
    <col min="2074" max="2074" width="11.44140625" style="4378" customWidth="1"/>
    <col min="2075" max="2077" width="6.88671875" style="4378" customWidth="1"/>
    <col min="2078" max="2078" width="11.44140625" style="4378"/>
    <col min="2079" max="2079" width="1.5546875" style="4378" customWidth="1"/>
    <col min="2080" max="2304" width="11.44140625" style="4378"/>
    <col min="2305" max="2305" width="15.109375" style="4378" customWidth="1"/>
    <col min="2306" max="2306" width="13" style="4378" bestFit="1" customWidth="1"/>
    <col min="2307" max="2307" width="6.109375" style="4378" customWidth="1"/>
    <col min="2308" max="2308" width="7.5546875" style="4378" customWidth="1"/>
    <col min="2309" max="2309" width="8" style="4378" customWidth="1"/>
    <col min="2310" max="2310" width="10.88671875" style="4378" customWidth="1"/>
    <col min="2311" max="2311" width="6.109375" style="4378" customWidth="1"/>
    <col min="2312" max="2312" width="7.5546875" style="4378" customWidth="1"/>
    <col min="2313" max="2313" width="8.109375" style="4378" customWidth="1"/>
    <col min="2314" max="2314" width="10.88671875" style="4378" customWidth="1"/>
    <col min="2315" max="2315" width="6.109375" style="4378" customWidth="1"/>
    <col min="2316" max="2316" width="7.5546875" style="4378" customWidth="1"/>
    <col min="2317" max="2317" width="8.109375" style="4378" customWidth="1"/>
    <col min="2318" max="2318" width="10.88671875" style="4378" customWidth="1"/>
    <col min="2319" max="2319" width="6.88671875" style="4378" customWidth="1"/>
    <col min="2320" max="2320" width="7.5546875" style="4378" customWidth="1"/>
    <col min="2321" max="2321" width="8.109375" style="4378" customWidth="1"/>
    <col min="2322" max="2322" width="10.88671875" style="4378" customWidth="1"/>
    <col min="2323" max="2323" width="6.88671875" style="4378" customWidth="1"/>
    <col min="2324" max="2324" width="7.5546875" style="4378" customWidth="1"/>
    <col min="2325" max="2325" width="8.109375" style="4378" customWidth="1"/>
    <col min="2326" max="2326" width="10.88671875" style="4378" customWidth="1"/>
    <col min="2327" max="2329" width="6.88671875" style="4378" customWidth="1"/>
    <col min="2330" max="2330" width="11.44140625" style="4378" customWidth="1"/>
    <col min="2331" max="2333" width="6.88671875" style="4378" customWidth="1"/>
    <col min="2334" max="2334" width="11.44140625" style="4378"/>
    <col min="2335" max="2335" width="1.5546875" style="4378" customWidth="1"/>
    <col min="2336" max="2560" width="11.44140625" style="4378"/>
    <col min="2561" max="2561" width="15.109375" style="4378" customWidth="1"/>
    <col min="2562" max="2562" width="13" style="4378" bestFit="1" customWidth="1"/>
    <col min="2563" max="2563" width="6.109375" style="4378" customWidth="1"/>
    <col min="2564" max="2564" width="7.5546875" style="4378" customWidth="1"/>
    <col min="2565" max="2565" width="8" style="4378" customWidth="1"/>
    <col min="2566" max="2566" width="10.88671875" style="4378" customWidth="1"/>
    <col min="2567" max="2567" width="6.109375" style="4378" customWidth="1"/>
    <col min="2568" max="2568" width="7.5546875" style="4378" customWidth="1"/>
    <col min="2569" max="2569" width="8.109375" style="4378" customWidth="1"/>
    <col min="2570" max="2570" width="10.88671875" style="4378" customWidth="1"/>
    <col min="2571" max="2571" width="6.109375" style="4378" customWidth="1"/>
    <col min="2572" max="2572" width="7.5546875" style="4378" customWidth="1"/>
    <col min="2573" max="2573" width="8.109375" style="4378" customWidth="1"/>
    <col min="2574" max="2574" width="10.88671875" style="4378" customWidth="1"/>
    <col min="2575" max="2575" width="6.88671875" style="4378" customWidth="1"/>
    <col min="2576" max="2576" width="7.5546875" style="4378" customWidth="1"/>
    <col min="2577" max="2577" width="8.109375" style="4378" customWidth="1"/>
    <col min="2578" max="2578" width="10.88671875" style="4378" customWidth="1"/>
    <col min="2579" max="2579" width="6.88671875" style="4378" customWidth="1"/>
    <col min="2580" max="2580" width="7.5546875" style="4378" customWidth="1"/>
    <col min="2581" max="2581" width="8.109375" style="4378" customWidth="1"/>
    <col min="2582" max="2582" width="10.88671875" style="4378" customWidth="1"/>
    <col min="2583" max="2585" width="6.88671875" style="4378" customWidth="1"/>
    <col min="2586" max="2586" width="11.44140625" style="4378" customWidth="1"/>
    <col min="2587" max="2589" width="6.88671875" style="4378" customWidth="1"/>
    <col min="2590" max="2590" width="11.44140625" style="4378"/>
    <col min="2591" max="2591" width="1.5546875" style="4378" customWidth="1"/>
    <col min="2592" max="2816" width="11.44140625" style="4378"/>
    <col min="2817" max="2817" width="15.109375" style="4378" customWidth="1"/>
    <col min="2818" max="2818" width="13" style="4378" bestFit="1" customWidth="1"/>
    <col min="2819" max="2819" width="6.109375" style="4378" customWidth="1"/>
    <col min="2820" max="2820" width="7.5546875" style="4378" customWidth="1"/>
    <col min="2821" max="2821" width="8" style="4378" customWidth="1"/>
    <col min="2822" max="2822" width="10.88671875" style="4378" customWidth="1"/>
    <col min="2823" max="2823" width="6.109375" style="4378" customWidth="1"/>
    <col min="2824" max="2824" width="7.5546875" style="4378" customWidth="1"/>
    <col min="2825" max="2825" width="8.109375" style="4378" customWidth="1"/>
    <col min="2826" max="2826" width="10.88671875" style="4378" customWidth="1"/>
    <col min="2827" max="2827" width="6.109375" style="4378" customWidth="1"/>
    <col min="2828" max="2828" width="7.5546875" style="4378" customWidth="1"/>
    <col min="2829" max="2829" width="8.109375" style="4378" customWidth="1"/>
    <col min="2830" max="2830" width="10.88671875" style="4378" customWidth="1"/>
    <col min="2831" max="2831" width="6.88671875" style="4378" customWidth="1"/>
    <col min="2832" max="2832" width="7.5546875" style="4378" customWidth="1"/>
    <col min="2833" max="2833" width="8.109375" style="4378" customWidth="1"/>
    <col min="2834" max="2834" width="10.88671875" style="4378" customWidth="1"/>
    <col min="2835" max="2835" width="6.88671875" style="4378" customWidth="1"/>
    <col min="2836" max="2836" width="7.5546875" style="4378" customWidth="1"/>
    <col min="2837" max="2837" width="8.109375" style="4378" customWidth="1"/>
    <col min="2838" max="2838" width="10.88671875" style="4378" customWidth="1"/>
    <col min="2839" max="2841" width="6.88671875" style="4378" customWidth="1"/>
    <col min="2842" max="2842" width="11.44140625" style="4378" customWidth="1"/>
    <col min="2843" max="2845" width="6.88671875" style="4378" customWidth="1"/>
    <col min="2846" max="2846" width="11.44140625" style="4378"/>
    <col min="2847" max="2847" width="1.5546875" style="4378" customWidth="1"/>
    <col min="2848" max="3072" width="11.44140625" style="4378"/>
    <col min="3073" max="3073" width="15.109375" style="4378" customWidth="1"/>
    <col min="3074" max="3074" width="13" style="4378" bestFit="1" customWidth="1"/>
    <col min="3075" max="3075" width="6.109375" style="4378" customWidth="1"/>
    <col min="3076" max="3076" width="7.5546875" style="4378" customWidth="1"/>
    <col min="3077" max="3077" width="8" style="4378" customWidth="1"/>
    <col min="3078" max="3078" width="10.88671875" style="4378" customWidth="1"/>
    <col min="3079" max="3079" width="6.109375" style="4378" customWidth="1"/>
    <col min="3080" max="3080" width="7.5546875" style="4378" customWidth="1"/>
    <col min="3081" max="3081" width="8.109375" style="4378" customWidth="1"/>
    <col min="3082" max="3082" width="10.88671875" style="4378" customWidth="1"/>
    <col min="3083" max="3083" width="6.109375" style="4378" customWidth="1"/>
    <col min="3084" max="3084" width="7.5546875" style="4378" customWidth="1"/>
    <col min="3085" max="3085" width="8.109375" style="4378" customWidth="1"/>
    <col min="3086" max="3086" width="10.88671875" style="4378" customWidth="1"/>
    <col min="3087" max="3087" width="6.88671875" style="4378" customWidth="1"/>
    <col min="3088" max="3088" width="7.5546875" style="4378" customWidth="1"/>
    <col min="3089" max="3089" width="8.109375" style="4378" customWidth="1"/>
    <col min="3090" max="3090" width="10.88671875" style="4378" customWidth="1"/>
    <col min="3091" max="3091" width="6.88671875" style="4378" customWidth="1"/>
    <col min="3092" max="3092" width="7.5546875" style="4378" customWidth="1"/>
    <col min="3093" max="3093" width="8.109375" style="4378" customWidth="1"/>
    <col min="3094" max="3094" width="10.88671875" style="4378" customWidth="1"/>
    <col min="3095" max="3097" width="6.88671875" style="4378" customWidth="1"/>
    <col min="3098" max="3098" width="11.44140625" style="4378" customWidth="1"/>
    <col min="3099" max="3101" width="6.88671875" style="4378" customWidth="1"/>
    <col min="3102" max="3102" width="11.44140625" style="4378"/>
    <col min="3103" max="3103" width="1.5546875" style="4378" customWidth="1"/>
    <col min="3104" max="3328" width="11.44140625" style="4378"/>
    <col min="3329" max="3329" width="15.109375" style="4378" customWidth="1"/>
    <col min="3330" max="3330" width="13" style="4378" bestFit="1" customWidth="1"/>
    <col min="3331" max="3331" width="6.109375" style="4378" customWidth="1"/>
    <col min="3332" max="3332" width="7.5546875" style="4378" customWidth="1"/>
    <col min="3333" max="3333" width="8" style="4378" customWidth="1"/>
    <col min="3334" max="3334" width="10.88671875" style="4378" customWidth="1"/>
    <col min="3335" max="3335" width="6.109375" style="4378" customWidth="1"/>
    <col min="3336" max="3336" width="7.5546875" style="4378" customWidth="1"/>
    <col min="3337" max="3337" width="8.109375" style="4378" customWidth="1"/>
    <col min="3338" max="3338" width="10.88671875" style="4378" customWidth="1"/>
    <col min="3339" max="3339" width="6.109375" style="4378" customWidth="1"/>
    <col min="3340" max="3340" width="7.5546875" style="4378" customWidth="1"/>
    <col min="3341" max="3341" width="8.109375" style="4378" customWidth="1"/>
    <col min="3342" max="3342" width="10.88671875" style="4378" customWidth="1"/>
    <col min="3343" max="3343" width="6.88671875" style="4378" customWidth="1"/>
    <col min="3344" max="3344" width="7.5546875" style="4378" customWidth="1"/>
    <col min="3345" max="3345" width="8.109375" style="4378" customWidth="1"/>
    <col min="3346" max="3346" width="10.88671875" style="4378" customWidth="1"/>
    <col min="3347" max="3347" width="6.88671875" style="4378" customWidth="1"/>
    <col min="3348" max="3348" width="7.5546875" style="4378" customWidth="1"/>
    <col min="3349" max="3349" width="8.109375" style="4378" customWidth="1"/>
    <col min="3350" max="3350" width="10.88671875" style="4378" customWidth="1"/>
    <col min="3351" max="3353" width="6.88671875" style="4378" customWidth="1"/>
    <col min="3354" max="3354" width="11.44140625" style="4378" customWidth="1"/>
    <col min="3355" max="3357" width="6.88671875" style="4378" customWidth="1"/>
    <col min="3358" max="3358" width="11.44140625" style="4378"/>
    <col min="3359" max="3359" width="1.5546875" style="4378" customWidth="1"/>
    <col min="3360" max="3584" width="11.44140625" style="4378"/>
    <col min="3585" max="3585" width="15.109375" style="4378" customWidth="1"/>
    <col min="3586" max="3586" width="13" style="4378" bestFit="1" customWidth="1"/>
    <col min="3587" max="3587" width="6.109375" style="4378" customWidth="1"/>
    <col min="3588" max="3588" width="7.5546875" style="4378" customWidth="1"/>
    <col min="3589" max="3589" width="8" style="4378" customWidth="1"/>
    <col min="3590" max="3590" width="10.88671875" style="4378" customWidth="1"/>
    <col min="3591" max="3591" width="6.109375" style="4378" customWidth="1"/>
    <col min="3592" max="3592" width="7.5546875" style="4378" customWidth="1"/>
    <col min="3593" max="3593" width="8.109375" style="4378" customWidth="1"/>
    <col min="3594" max="3594" width="10.88671875" style="4378" customWidth="1"/>
    <col min="3595" max="3595" width="6.109375" style="4378" customWidth="1"/>
    <col min="3596" max="3596" width="7.5546875" style="4378" customWidth="1"/>
    <col min="3597" max="3597" width="8.109375" style="4378" customWidth="1"/>
    <col min="3598" max="3598" width="10.88671875" style="4378" customWidth="1"/>
    <col min="3599" max="3599" width="6.88671875" style="4378" customWidth="1"/>
    <col min="3600" max="3600" width="7.5546875" style="4378" customWidth="1"/>
    <col min="3601" max="3601" width="8.109375" style="4378" customWidth="1"/>
    <col min="3602" max="3602" width="10.88671875" style="4378" customWidth="1"/>
    <col min="3603" max="3603" width="6.88671875" style="4378" customWidth="1"/>
    <col min="3604" max="3604" width="7.5546875" style="4378" customWidth="1"/>
    <col min="3605" max="3605" width="8.109375" style="4378" customWidth="1"/>
    <col min="3606" max="3606" width="10.88671875" style="4378" customWidth="1"/>
    <col min="3607" max="3609" width="6.88671875" style="4378" customWidth="1"/>
    <col min="3610" max="3610" width="11.44140625" style="4378" customWidth="1"/>
    <col min="3611" max="3613" width="6.88671875" style="4378" customWidth="1"/>
    <col min="3614" max="3614" width="11.44140625" style="4378"/>
    <col min="3615" max="3615" width="1.5546875" style="4378" customWidth="1"/>
    <col min="3616" max="3840" width="11.44140625" style="4378"/>
    <col min="3841" max="3841" width="15.109375" style="4378" customWidth="1"/>
    <col min="3842" max="3842" width="13" style="4378" bestFit="1" customWidth="1"/>
    <col min="3843" max="3843" width="6.109375" style="4378" customWidth="1"/>
    <col min="3844" max="3844" width="7.5546875" style="4378" customWidth="1"/>
    <col min="3845" max="3845" width="8" style="4378" customWidth="1"/>
    <col min="3846" max="3846" width="10.88671875" style="4378" customWidth="1"/>
    <col min="3847" max="3847" width="6.109375" style="4378" customWidth="1"/>
    <col min="3848" max="3848" width="7.5546875" style="4378" customWidth="1"/>
    <col min="3849" max="3849" width="8.109375" style="4378" customWidth="1"/>
    <col min="3850" max="3850" width="10.88671875" style="4378" customWidth="1"/>
    <col min="3851" max="3851" width="6.109375" style="4378" customWidth="1"/>
    <col min="3852" max="3852" width="7.5546875" style="4378" customWidth="1"/>
    <col min="3853" max="3853" width="8.109375" style="4378" customWidth="1"/>
    <col min="3854" max="3854" width="10.88671875" style="4378" customWidth="1"/>
    <col min="3855" max="3855" width="6.88671875" style="4378" customWidth="1"/>
    <col min="3856" max="3856" width="7.5546875" style="4378" customWidth="1"/>
    <col min="3857" max="3857" width="8.109375" style="4378" customWidth="1"/>
    <col min="3858" max="3858" width="10.88671875" style="4378" customWidth="1"/>
    <col min="3859" max="3859" width="6.88671875" style="4378" customWidth="1"/>
    <col min="3860" max="3860" width="7.5546875" style="4378" customWidth="1"/>
    <col min="3861" max="3861" width="8.109375" style="4378" customWidth="1"/>
    <col min="3862" max="3862" width="10.88671875" style="4378" customWidth="1"/>
    <col min="3863" max="3865" width="6.88671875" style="4378" customWidth="1"/>
    <col min="3866" max="3866" width="11.44140625" style="4378" customWidth="1"/>
    <col min="3867" max="3869" width="6.88671875" style="4378" customWidth="1"/>
    <col min="3870" max="3870" width="11.44140625" style="4378"/>
    <col min="3871" max="3871" width="1.5546875" style="4378" customWidth="1"/>
    <col min="3872" max="4096" width="11.44140625" style="4378"/>
    <col min="4097" max="4097" width="15.109375" style="4378" customWidth="1"/>
    <col min="4098" max="4098" width="13" style="4378" bestFit="1" customWidth="1"/>
    <col min="4099" max="4099" width="6.109375" style="4378" customWidth="1"/>
    <col min="4100" max="4100" width="7.5546875" style="4378" customWidth="1"/>
    <col min="4101" max="4101" width="8" style="4378" customWidth="1"/>
    <col min="4102" max="4102" width="10.88671875" style="4378" customWidth="1"/>
    <col min="4103" max="4103" width="6.109375" style="4378" customWidth="1"/>
    <col min="4104" max="4104" width="7.5546875" style="4378" customWidth="1"/>
    <col min="4105" max="4105" width="8.109375" style="4378" customWidth="1"/>
    <col min="4106" max="4106" width="10.88671875" style="4378" customWidth="1"/>
    <col min="4107" max="4107" width="6.109375" style="4378" customWidth="1"/>
    <col min="4108" max="4108" width="7.5546875" style="4378" customWidth="1"/>
    <col min="4109" max="4109" width="8.109375" style="4378" customWidth="1"/>
    <col min="4110" max="4110" width="10.88671875" style="4378" customWidth="1"/>
    <col min="4111" max="4111" width="6.88671875" style="4378" customWidth="1"/>
    <col min="4112" max="4112" width="7.5546875" style="4378" customWidth="1"/>
    <col min="4113" max="4113" width="8.109375" style="4378" customWidth="1"/>
    <col min="4114" max="4114" width="10.88671875" style="4378" customWidth="1"/>
    <col min="4115" max="4115" width="6.88671875" style="4378" customWidth="1"/>
    <col min="4116" max="4116" width="7.5546875" style="4378" customWidth="1"/>
    <col min="4117" max="4117" width="8.109375" style="4378" customWidth="1"/>
    <col min="4118" max="4118" width="10.88671875" style="4378" customWidth="1"/>
    <col min="4119" max="4121" width="6.88671875" style="4378" customWidth="1"/>
    <col min="4122" max="4122" width="11.44140625" style="4378" customWidth="1"/>
    <col min="4123" max="4125" width="6.88671875" style="4378" customWidth="1"/>
    <col min="4126" max="4126" width="11.44140625" style="4378"/>
    <col min="4127" max="4127" width="1.5546875" style="4378" customWidth="1"/>
    <col min="4128" max="4352" width="11.44140625" style="4378"/>
    <col min="4353" max="4353" width="15.109375" style="4378" customWidth="1"/>
    <col min="4354" max="4354" width="13" style="4378" bestFit="1" customWidth="1"/>
    <col min="4355" max="4355" width="6.109375" style="4378" customWidth="1"/>
    <col min="4356" max="4356" width="7.5546875" style="4378" customWidth="1"/>
    <col min="4357" max="4357" width="8" style="4378" customWidth="1"/>
    <col min="4358" max="4358" width="10.88671875" style="4378" customWidth="1"/>
    <col min="4359" max="4359" width="6.109375" style="4378" customWidth="1"/>
    <col min="4360" max="4360" width="7.5546875" style="4378" customWidth="1"/>
    <col min="4361" max="4361" width="8.109375" style="4378" customWidth="1"/>
    <col min="4362" max="4362" width="10.88671875" style="4378" customWidth="1"/>
    <col min="4363" max="4363" width="6.109375" style="4378" customWidth="1"/>
    <col min="4364" max="4364" width="7.5546875" style="4378" customWidth="1"/>
    <col min="4365" max="4365" width="8.109375" style="4378" customWidth="1"/>
    <col min="4366" max="4366" width="10.88671875" style="4378" customWidth="1"/>
    <col min="4367" max="4367" width="6.88671875" style="4378" customWidth="1"/>
    <col min="4368" max="4368" width="7.5546875" style="4378" customWidth="1"/>
    <col min="4369" max="4369" width="8.109375" style="4378" customWidth="1"/>
    <col min="4370" max="4370" width="10.88671875" style="4378" customWidth="1"/>
    <col min="4371" max="4371" width="6.88671875" style="4378" customWidth="1"/>
    <col min="4372" max="4372" width="7.5546875" style="4378" customWidth="1"/>
    <col min="4373" max="4373" width="8.109375" style="4378" customWidth="1"/>
    <col min="4374" max="4374" width="10.88671875" style="4378" customWidth="1"/>
    <col min="4375" max="4377" width="6.88671875" style="4378" customWidth="1"/>
    <col min="4378" max="4378" width="11.44140625" style="4378" customWidth="1"/>
    <col min="4379" max="4381" width="6.88671875" style="4378" customWidth="1"/>
    <col min="4382" max="4382" width="11.44140625" style="4378"/>
    <col min="4383" max="4383" width="1.5546875" style="4378" customWidth="1"/>
    <col min="4384" max="4608" width="11.44140625" style="4378"/>
    <col min="4609" max="4609" width="15.109375" style="4378" customWidth="1"/>
    <col min="4610" max="4610" width="13" style="4378" bestFit="1" customWidth="1"/>
    <col min="4611" max="4611" width="6.109375" style="4378" customWidth="1"/>
    <col min="4612" max="4612" width="7.5546875" style="4378" customWidth="1"/>
    <col min="4613" max="4613" width="8" style="4378" customWidth="1"/>
    <col min="4614" max="4614" width="10.88671875" style="4378" customWidth="1"/>
    <col min="4615" max="4615" width="6.109375" style="4378" customWidth="1"/>
    <col min="4616" max="4616" width="7.5546875" style="4378" customWidth="1"/>
    <col min="4617" max="4617" width="8.109375" style="4378" customWidth="1"/>
    <col min="4618" max="4618" width="10.88671875" style="4378" customWidth="1"/>
    <col min="4619" max="4619" width="6.109375" style="4378" customWidth="1"/>
    <col min="4620" max="4620" width="7.5546875" style="4378" customWidth="1"/>
    <col min="4621" max="4621" width="8.109375" style="4378" customWidth="1"/>
    <col min="4622" max="4622" width="10.88671875" style="4378" customWidth="1"/>
    <col min="4623" max="4623" width="6.88671875" style="4378" customWidth="1"/>
    <col min="4624" max="4624" width="7.5546875" style="4378" customWidth="1"/>
    <col min="4625" max="4625" width="8.109375" style="4378" customWidth="1"/>
    <col min="4626" max="4626" width="10.88671875" style="4378" customWidth="1"/>
    <col min="4627" max="4627" width="6.88671875" style="4378" customWidth="1"/>
    <col min="4628" max="4628" width="7.5546875" style="4378" customWidth="1"/>
    <col min="4629" max="4629" width="8.109375" style="4378" customWidth="1"/>
    <col min="4630" max="4630" width="10.88671875" style="4378" customWidth="1"/>
    <col min="4631" max="4633" width="6.88671875" style="4378" customWidth="1"/>
    <col min="4634" max="4634" width="11.44140625" style="4378" customWidth="1"/>
    <col min="4635" max="4637" width="6.88671875" style="4378" customWidth="1"/>
    <col min="4638" max="4638" width="11.44140625" style="4378"/>
    <col min="4639" max="4639" width="1.5546875" style="4378" customWidth="1"/>
    <col min="4640" max="4864" width="11.44140625" style="4378"/>
    <col min="4865" max="4865" width="15.109375" style="4378" customWidth="1"/>
    <col min="4866" max="4866" width="13" style="4378" bestFit="1" customWidth="1"/>
    <col min="4867" max="4867" width="6.109375" style="4378" customWidth="1"/>
    <col min="4868" max="4868" width="7.5546875" style="4378" customWidth="1"/>
    <col min="4869" max="4869" width="8" style="4378" customWidth="1"/>
    <col min="4870" max="4870" width="10.88671875" style="4378" customWidth="1"/>
    <col min="4871" max="4871" width="6.109375" style="4378" customWidth="1"/>
    <col min="4872" max="4872" width="7.5546875" style="4378" customWidth="1"/>
    <col min="4873" max="4873" width="8.109375" style="4378" customWidth="1"/>
    <col min="4874" max="4874" width="10.88671875" style="4378" customWidth="1"/>
    <col min="4875" max="4875" width="6.109375" style="4378" customWidth="1"/>
    <col min="4876" max="4876" width="7.5546875" style="4378" customWidth="1"/>
    <col min="4877" max="4877" width="8.109375" style="4378" customWidth="1"/>
    <col min="4878" max="4878" width="10.88671875" style="4378" customWidth="1"/>
    <col min="4879" max="4879" width="6.88671875" style="4378" customWidth="1"/>
    <col min="4880" max="4880" width="7.5546875" style="4378" customWidth="1"/>
    <col min="4881" max="4881" width="8.109375" style="4378" customWidth="1"/>
    <col min="4882" max="4882" width="10.88671875" style="4378" customWidth="1"/>
    <col min="4883" max="4883" width="6.88671875" style="4378" customWidth="1"/>
    <col min="4884" max="4884" width="7.5546875" style="4378" customWidth="1"/>
    <col min="4885" max="4885" width="8.109375" style="4378" customWidth="1"/>
    <col min="4886" max="4886" width="10.88671875" style="4378" customWidth="1"/>
    <col min="4887" max="4889" width="6.88671875" style="4378" customWidth="1"/>
    <col min="4890" max="4890" width="11.44140625" style="4378" customWidth="1"/>
    <col min="4891" max="4893" width="6.88671875" style="4378" customWidth="1"/>
    <col min="4894" max="4894" width="11.44140625" style="4378"/>
    <col min="4895" max="4895" width="1.5546875" style="4378" customWidth="1"/>
    <col min="4896" max="5120" width="11.44140625" style="4378"/>
    <col min="5121" max="5121" width="15.109375" style="4378" customWidth="1"/>
    <col min="5122" max="5122" width="13" style="4378" bestFit="1" customWidth="1"/>
    <col min="5123" max="5123" width="6.109375" style="4378" customWidth="1"/>
    <col min="5124" max="5124" width="7.5546875" style="4378" customWidth="1"/>
    <col min="5125" max="5125" width="8" style="4378" customWidth="1"/>
    <col min="5126" max="5126" width="10.88671875" style="4378" customWidth="1"/>
    <col min="5127" max="5127" width="6.109375" style="4378" customWidth="1"/>
    <col min="5128" max="5128" width="7.5546875" style="4378" customWidth="1"/>
    <col min="5129" max="5129" width="8.109375" style="4378" customWidth="1"/>
    <col min="5130" max="5130" width="10.88671875" style="4378" customWidth="1"/>
    <col min="5131" max="5131" width="6.109375" style="4378" customWidth="1"/>
    <col min="5132" max="5132" width="7.5546875" style="4378" customWidth="1"/>
    <col min="5133" max="5133" width="8.109375" style="4378" customWidth="1"/>
    <col min="5134" max="5134" width="10.88671875" style="4378" customWidth="1"/>
    <col min="5135" max="5135" width="6.88671875" style="4378" customWidth="1"/>
    <col min="5136" max="5136" width="7.5546875" style="4378" customWidth="1"/>
    <col min="5137" max="5137" width="8.109375" style="4378" customWidth="1"/>
    <col min="5138" max="5138" width="10.88671875" style="4378" customWidth="1"/>
    <col min="5139" max="5139" width="6.88671875" style="4378" customWidth="1"/>
    <col min="5140" max="5140" width="7.5546875" style="4378" customWidth="1"/>
    <col min="5141" max="5141" width="8.109375" style="4378" customWidth="1"/>
    <col min="5142" max="5142" width="10.88671875" style="4378" customWidth="1"/>
    <col min="5143" max="5145" width="6.88671875" style="4378" customWidth="1"/>
    <col min="5146" max="5146" width="11.44140625" style="4378" customWidth="1"/>
    <col min="5147" max="5149" width="6.88671875" style="4378" customWidth="1"/>
    <col min="5150" max="5150" width="11.44140625" style="4378"/>
    <col min="5151" max="5151" width="1.5546875" style="4378" customWidth="1"/>
    <col min="5152" max="5376" width="11.44140625" style="4378"/>
    <col min="5377" max="5377" width="15.109375" style="4378" customWidth="1"/>
    <col min="5378" max="5378" width="13" style="4378" bestFit="1" customWidth="1"/>
    <col min="5379" max="5379" width="6.109375" style="4378" customWidth="1"/>
    <col min="5380" max="5380" width="7.5546875" style="4378" customWidth="1"/>
    <col min="5381" max="5381" width="8" style="4378" customWidth="1"/>
    <col min="5382" max="5382" width="10.88671875" style="4378" customWidth="1"/>
    <col min="5383" max="5383" width="6.109375" style="4378" customWidth="1"/>
    <col min="5384" max="5384" width="7.5546875" style="4378" customWidth="1"/>
    <col min="5385" max="5385" width="8.109375" style="4378" customWidth="1"/>
    <col min="5386" max="5386" width="10.88671875" style="4378" customWidth="1"/>
    <col min="5387" max="5387" width="6.109375" style="4378" customWidth="1"/>
    <col min="5388" max="5388" width="7.5546875" style="4378" customWidth="1"/>
    <col min="5389" max="5389" width="8.109375" style="4378" customWidth="1"/>
    <col min="5390" max="5390" width="10.88671875" style="4378" customWidth="1"/>
    <col min="5391" max="5391" width="6.88671875" style="4378" customWidth="1"/>
    <col min="5392" max="5392" width="7.5546875" style="4378" customWidth="1"/>
    <col min="5393" max="5393" width="8.109375" style="4378" customWidth="1"/>
    <col min="5394" max="5394" width="10.88671875" style="4378" customWidth="1"/>
    <col min="5395" max="5395" width="6.88671875" style="4378" customWidth="1"/>
    <col min="5396" max="5396" width="7.5546875" style="4378" customWidth="1"/>
    <col min="5397" max="5397" width="8.109375" style="4378" customWidth="1"/>
    <col min="5398" max="5398" width="10.88671875" style="4378" customWidth="1"/>
    <col min="5399" max="5401" width="6.88671875" style="4378" customWidth="1"/>
    <col min="5402" max="5402" width="11.44140625" style="4378" customWidth="1"/>
    <col min="5403" max="5405" width="6.88671875" style="4378" customWidth="1"/>
    <col min="5406" max="5406" width="11.44140625" style="4378"/>
    <col min="5407" max="5407" width="1.5546875" style="4378" customWidth="1"/>
    <col min="5408" max="5632" width="11.44140625" style="4378"/>
    <col min="5633" max="5633" width="15.109375" style="4378" customWidth="1"/>
    <col min="5634" max="5634" width="13" style="4378" bestFit="1" customWidth="1"/>
    <col min="5635" max="5635" width="6.109375" style="4378" customWidth="1"/>
    <col min="5636" max="5636" width="7.5546875" style="4378" customWidth="1"/>
    <col min="5637" max="5637" width="8" style="4378" customWidth="1"/>
    <col min="5638" max="5638" width="10.88671875" style="4378" customWidth="1"/>
    <col min="5639" max="5639" width="6.109375" style="4378" customWidth="1"/>
    <col min="5640" max="5640" width="7.5546875" style="4378" customWidth="1"/>
    <col min="5641" max="5641" width="8.109375" style="4378" customWidth="1"/>
    <col min="5642" max="5642" width="10.88671875" style="4378" customWidth="1"/>
    <col min="5643" max="5643" width="6.109375" style="4378" customWidth="1"/>
    <col min="5644" max="5644" width="7.5546875" style="4378" customWidth="1"/>
    <col min="5645" max="5645" width="8.109375" style="4378" customWidth="1"/>
    <col min="5646" max="5646" width="10.88671875" style="4378" customWidth="1"/>
    <col min="5647" max="5647" width="6.88671875" style="4378" customWidth="1"/>
    <col min="5648" max="5648" width="7.5546875" style="4378" customWidth="1"/>
    <col min="5649" max="5649" width="8.109375" style="4378" customWidth="1"/>
    <col min="5650" max="5650" width="10.88671875" style="4378" customWidth="1"/>
    <col min="5651" max="5651" width="6.88671875" style="4378" customWidth="1"/>
    <col min="5652" max="5652" width="7.5546875" style="4378" customWidth="1"/>
    <col min="5653" max="5653" width="8.109375" style="4378" customWidth="1"/>
    <col min="5654" max="5654" width="10.88671875" style="4378" customWidth="1"/>
    <col min="5655" max="5657" width="6.88671875" style="4378" customWidth="1"/>
    <col min="5658" max="5658" width="11.44140625" style="4378" customWidth="1"/>
    <col min="5659" max="5661" width="6.88671875" style="4378" customWidth="1"/>
    <col min="5662" max="5662" width="11.44140625" style="4378"/>
    <col min="5663" max="5663" width="1.5546875" style="4378" customWidth="1"/>
    <col min="5664" max="5888" width="11.44140625" style="4378"/>
    <col min="5889" max="5889" width="15.109375" style="4378" customWidth="1"/>
    <col min="5890" max="5890" width="13" style="4378" bestFit="1" customWidth="1"/>
    <col min="5891" max="5891" width="6.109375" style="4378" customWidth="1"/>
    <col min="5892" max="5892" width="7.5546875" style="4378" customWidth="1"/>
    <col min="5893" max="5893" width="8" style="4378" customWidth="1"/>
    <col min="5894" max="5894" width="10.88671875" style="4378" customWidth="1"/>
    <col min="5895" max="5895" width="6.109375" style="4378" customWidth="1"/>
    <col min="5896" max="5896" width="7.5546875" style="4378" customWidth="1"/>
    <col min="5897" max="5897" width="8.109375" style="4378" customWidth="1"/>
    <col min="5898" max="5898" width="10.88671875" style="4378" customWidth="1"/>
    <col min="5899" max="5899" width="6.109375" style="4378" customWidth="1"/>
    <col min="5900" max="5900" width="7.5546875" style="4378" customWidth="1"/>
    <col min="5901" max="5901" width="8.109375" style="4378" customWidth="1"/>
    <col min="5902" max="5902" width="10.88671875" style="4378" customWidth="1"/>
    <col min="5903" max="5903" width="6.88671875" style="4378" customWidth="1"/>
    <col min="5904" max="5904" width="7.5546875" style="4378" customWidth="1"/>
    <col min="5905" max="5905" width="8.109375" style="4378" customWidth="1"/>
    <col min="5906" max="5906" width="10.88671875" style="4378" customWidth="1"/>
    <col min="5907" max="5907" width="6.88671875" style="4378" customWidth="1"/>
    <col min="5908" max="5908" width="7.5546875" style="4378" customWidth="1"/>
    <col min="5909" max="5909" width="8.109375" style="4378" customWidth="1"/>
    <col min="5910" max="5910" width="10.88671875" style="4378" customWidth="1"/>
    <col min="5911" max="5913" width="6.88671875" style="4378" customWidth="1"/>
    <col min="5914" max="5914" width="11.44140625" style="4378" customWidth="1"/>
    <col min="5915" max="5917" width="6.88671875" style="4378" customWidth="1"/>
    <col min="5918" max="5918" width="11.44140625" style="4378"/>
    <col min="5919" max="5919" width="1.5546875" style="4378" customWidth="1"/>
    <col min="5920" max="6144" width="11.44140625" style="4378"/>
    <col min="6145" max="6145" width="15.109375" style="4378" customWidth="1"/>
    <col min="6146" max="6146" width="13" style="4378" bestFit="1" customWidth="1"/>
    <col min="6147" max="6147" width="6.109375" style="4378" customWidth="1"/>
    <col min="6148" max="6148" width="7.5546875" style="4378" customWidth="1"/>
    <col min="6149" max="6149" width="8" style="4378" customWidth="1"/>
    <col min="6150" max="6150" width="10.88671875" style="4378" customWidth="1"/>
    <col min="6151" max="6151" width="6.109375" style="4378" customWidth="1"/>
    <col min="6152" max="6152" width="7.5546875" style="4378" customWidth="1"/>
    <col min="6153" max="6153" width="8.109375" style="4378" customWidth="1"/>
    <col min="6154" max="6154" width="10.88671875" style="4378" customWidth="1"/>
    <col min="6155" max="6155" width="6.109375" style="4378" customWidth="1"/>
    <col min="6156" max="6156" width="7.5546875" style="4378" customWidth="1"/>
    <col min="6157" max="6157" width="8.109375" style="4378" customWidth="1"/>
    <col min="6158" max="6158" width="10.88671875" style="4378" customWidth="1"/>
    <col min="6159" max="6159" width="6.88671875" style="4378" customWidth="1"/>
    <col min="6160" max="6160" width="7.5546875" style="4378" customWidth="1"/>
    <col min="6161" max="6161" width="8.109375" style="4378" customWidth="1"/>
    <col min="6162" max="6162" width="10.88671875" style="4378" customWidth="1"/>
    <col min="6163" max="6163" width="6.88671875" style="4378" customWidth="1"/>
    <col min="6164" max="6164" width="7.5546875" style="4378" customWidth="1"/>
    <col min="6165" max="6165" width="8.109375" style="4378" customWidth="1"/>
    <col min="6166" max="6166" width="10.88671875" style="4378" customWidth="1"/>
    <col min="6167" max="6169" width="6.88671875" style="4378" customWidth="1"/>
    <col min="6170" max="6170" width="11.44140625" style="4378" customWidth="1"/>
    <col min="6171" max="6173" width="6.88671875" style="4378" customWidth="1"/>
    <col min="6174" max="6174" width="11.44140625" style="4378"/>
    <col min="6175" max="6175" width="1.5546875" style="4378" customWidth="1"/>
    <col min="6176" max="6400" width="11.44140625" style="4378"/>
    <col min="6401" max="6401" width="15.109375" style="4378" customWidth="1"/>
    <col min="6402" max="6402" width="13" style="4378" bestFit="1" customWidth="1"/>
    <col min="6403" max="6403" width="6.109375" style="4378" customWidth="1"/>
    <col min="6404" max="6404" width="7.5546875" style="4378" customWidth="1"/>
    <col min="6405" max="6405" width="8" style="4378" customWidth="1"/>
    <col min="6406" max="6406" width="10.88671875" style="4378" customWidth="1"/>
    <col min="6407" max="6407" width="6.109375" style="4378" customWidth="1"/>
    <col min="6408" max="6408" width="7.5546875" style="4378" customWidth="1"/>
    <col min="6409" max="6409" width="8.109375" style="4378" customWidth="1"/>
    <col min="6410" max="6410" width="10.88671875" style="4378" customWidth="1"/>
    <col min="6411" max="6411" width="6.109375" style="4378" customWidth="1"/>
    <col min="6412" max="6412" width="7.5546875" style="4378" customWidth="1"/>
    <col min="6413" max="6413" width="8.109375" style="4378" customWidth="1"/>
    <col min="6414" max="6414" width="10.88671875" style="4378" customWidth="1"/>
    <col min="6415" max="6415" width="6.88671875" style="4378" customWidth="1"/>
    <col min="6416" max="6416" width="7.5546875" style="4378" customWidth="1"/>
    <col min="6417" max="6417" width="8.109375" style="4378" customWidth="1"/>
    <col min="6418" max="6418" width="10.88671875" style="4378" customWidth="1"/>
    <col min="6419" max="6419" width="6.88671875" style="4378" customWidth="1"/>
    <col min="6420" max="6420" width="7.5546875" style="4378" customWidth="1"/>
    <col min="6421" max="6421" width="8.109375" style="4378" customWidth="1"/>
    <col min="6422" max="6422" width="10.88671875" style="4378" customWidth="1"/>
    <col min="6423" max="6425" width="6.88671875" style="4378" customWidth="1"/>
    <col min="6426" max="6426" width="11.44140625" style="4378" customWidth="1"/>
    <col min="6427" max="6429" width="6.88671875" style="4378" customWidth="1"/>
    <col min="6430" max="6430" width="11.44140625" style="4378"/>
    <col min="6431" max="6431" width="1.5546875" style="4378" customWidth="1"/>
    <col min="6432" max="6656" width="11.44140625" style="4378"/>
    <col min="6657" max="6657" width="15.109375" style="4378" customWidth="1"/>
    <col min="6658" max="6658" width="13" style="4378" bestFit="1" customWidth="1"/>
    <col min="6659" max="6659" width="6.109375" style="4378" customWidth="1"/>
    <col min="6660" max="6660" width="7.5546875" style="4378" customWidth="1"/>
    <col min="6661" max="6661" width="8" style="4378" customWidth="1"/>
    <col min="6662" max="6662" width="10.88671875" style="4378" customWidth="1"/>
    <col min="6663" max="6663" width="6.109375" style="4378" customWidth="1"/>
    <col min="6664" max="6664" width="7.5546875" style="4378" customWidth="1"/>
    <col min="6665" max="6665" width="8.109375" style="4378" customWidth="1"/>
    <col min="6666" max="6666" width="10.88671875" style="4378" customWidth="1"/>
    <col min="6667" max="6667" width="6.109375" style="4378" customWidth="1"/>
    <col min="6668" max="6668" width="7.5546875" style="4378" customWidth="1"/>
    <col min="6669" max="6669" width="8.109375" style="4378" customWidth="1"/>
    <col min="6670" max="6670" width="10.88671875" style="4378" customWidth="1"/>
    <col min="6671" max="6671" width="6.88671875" style="4378" customWidth="1"/>
    <col min="6672" max="6672" width="7.5546875" style="4378" customWidth="1"/>
    <col min="6673" max="6673" width="8.109375" style="4378" customWidth="1"/>
    <col min="6674" max="6674" width="10.88671875" style="4378" customWidth="1"/>
    <col min="6675" max="6675" width="6.88671875" style="4378" customWidth="1"/>
    <col min="6676" max="6676" width="7.5546875" style="4378" customWidth="1"/>
    <col min="6677" max="6677" width="8.109375" style="4378" customWidth="1"/>
    <col min="6678" max="6678" width="10.88671875" style="4378" customWidth="1"/>
    <col min="6679" max="6681" width="6.88671875" style="4378" customWidth="1"/>
    <col min="6682" max="6682" width="11.44140625" style="4378" customWidth="1"/>
    <col min="6683" max="6685" width="6.88671875" style="4378" customWidth="1"/>
    <col min="6686" max="6686" width="11.44140625" style="4378"/>
    <col min="6687" max="6687" width="1.5546875" style="4378" customWidth="1"/>
    <col min="6688" max="6912" width="11.44140625" style="4378"/>
    <col min="6913" max="6913" width="15.109375" style="4378" customWidth="1"/>
    <col min="6914" max="6914" width="13" style="4378" bestFit="1" customWidth="1"/>
    <col min="6915" max="6915" width="6.109375" style="4378" customWidth="1"/>
    <col min="6916" max="6916" width="7.5546875" style="4378" customWidth="1"/>
    <col min="6917" max="6917" width="8" style="4378" customWidth="1"/>
    <col min="6918" max="6918" width="10.88671875" style="4378" customWidth="1"/>
    <col min="6919" max="6919" width="6.109375" style="4378" customWidth="1"/>
    <col min="6920" max="6920" width="7.5546875" style="4378" customWidth="1"/>
    <col min="6921" max="6921" width="8.109375" style="4378" customWidth="1"/>
    <col min="6922" max="6922" width="10.88671875" style="4378" customWidth="1"/>
    <col min="6923" max="6923" width="6.109375" style="4378" customWidth="1"/>
    <col min="6924" max="6924" width="7.5546875" style="4378" customWidth="1"/>
    <col min="6925" max="6925" width="8.109375" style="4378" customWidth="1"/>
    <col min="6926" max="6926" width="10.88671875" style="4378" customWidth="1"/>
    <col min="6927" max="6927" width="6.88671875" style="4378" customWidth="1"/>
    <col min="6928" max="6928" width="7.5546875" style="4378" customWidth="1"/>
    <col min="6929" max="6929" width="8.109375" style="4378" customWidth="1"/>
    <col min="6930" max="6930" width="10.88671875" style="4378" customWidth="1"/>
    <col min="6931" max="6931" width="6.88671875" style="4378" customWidth="1"/>
    <col min="6932" max="6932" width="7.5546875" style="4378" customWidth="1"/>
    <col min="6933" max="6933" width="8.109375" style="4378" customWidth="1"/>
    <col min="6934" max="6934" width="10.88671875" style="4378" customWidth="1"/>
    <col min="6935" max="6937" width="6.88671875" style="4378" customWidth="1"/>
    <col min="6938" max="6938" width="11.44140625" style="4378" customWidth="1"/>
    <col min="6939" max="6941" width="6.88671875" style="4378" customWidth="1"/>
    <col min="6942" max="6942" width="11.44140625" style="4378"/>
    <col min="6943" max="6943" width="1.5546875" style="4378" customWidth="1"/>
    <col min="6944" max="7168" width="11.44140625" style="4378"/>
    <col min="7169" max="7169" width="15.109375" style="4378" customWidth="1"/>
    <col min="7170" max="7170" width="13" style="4378" bestFit="1" customWidth="1"/>
    <col min="7171" max="7171" width="6.109375" style="4378" customWidth="1"/>
    <col min="7172" max="7172" width="7.5546875" style="4378" customWidth="1"/>
    <col min="7173" max="7173" width="8" style="4378" customWidth="1"/>
    <col min="7174" max="7174" width="10.88671875" style="4378" customWidth="1"/>
    <col min="7175" max="7175" width="6.109375" style="4378" customWidth="1"/>
    <col min="7176" max="7176" width="7.5546875" style="4378" customWidth="1"/>
    <col min="7177" max="7177" width="8.109375" style="4378" customWidth="1"/>
    <col min="7178" max="7178" width="10.88671875" style="4378" customWidth="1"/>
    <col min="7179" max="7179" width="6.109375" style="4378" customWidth="1"/>
    <col min="7180" max="7180" width="7.5546875" style="4378" customWidth="1"/>
    <col min="7181" max="7181" width="8.109375" style="4378" customWidth="1"/>
    <col min="7182" max="7182" width="10.88671875" style="4378" customWidth="1"/>
    <col min="7183" max="7183" width="6.88671875" style="4378" customWidth="1"/>
    <col min="7184" max="7184" width="7.5546875" style="4378" customWidth="1"/>
    <col min="7185" max="7185" width="8.109375" style="4378" customWidth="1"/>
    <col min="7186" max="7186" width="10.88671875" style="4378" customWidth="1"/>
    <col min="7187" max="7187" width="6.88671875" style="4378" customWidth="1"/>
    <col min="7188" max="7188" width="7.5546875" style="4378" customWidth="1"/>
    <col min="7189" max="7189" width="8.109375" style="4378" customWidth="1"/>
    <col min="7190" max="7190" width="10.88671875" style="4378" customWidth="1"/>
    <col min="7191" max="7193" width="6.88671875" style="4378" customWidth="1"/>
    <col min="7194" max="7194" width="11.44140625" style="4378" customWidth="1"/>
    <col min="7195" max="7197" width="6.88671875" style="4378" customWidth="1"/>
    <col min="7198" max="7198" width="11.44140625" style="4378"/>
    <col min="7199" max="7199" width="1.5546875" style="4378" customWidth="1"/>
    <col min="7200" max="7424" width="11.44140625" style="4378"/>
    <col min="7425" max="7425" width="15.109375" style="4378" customWidth="1"/>
    <col min="7426" max="7426" width="13" style="4378" bestFit="1" customWidth="1"/>
    <col min="7427" max="7427" width="6.109375" style="4378" customWidth="1"/>
    <col min="7428" max="7428" width="7.5546875" style="4378" customWidth="1"/>
    <col min="7429" max="7429" width="8" style="4378" customWidth="1"/>
    <col min="7430" max="7430" width="10.88671875" style="4378" customWidth="1"/>
    <col min="7431" max="7431" width="6.109375" style="4378" customWidth="1"/>
    <col min="7432" max="7432" width="7.5546875" style="4378" customWidth="1"/>
    <col min="7433" max="7433" width="8.109375" style="4378" customWidth="1"/>
    <col min="7434" max="7434" width="10.88671875" style="4378" customWidth="1"/>
    <col min="7435" max="7435" width="6.109375" style="4378" customWidth="1"/>
    <col min="7436" max="7436" width="7.5546875" style="4378" customWidth="1"/>
    <col min="7437" max="7437" width="8.109375" style="4378" customWidth="1"/>
    <col min="7438" max="7438" width="10.88671875" style="4378" customWidth="1"/>
    <col min="7439" max="7439" width="6.88671875" style="4378" customWidth="1"/>
    <col min="7440" max="7440" width="7.5546875" style="4378" customWidth="1"/>
    <col min="7441" max="7441" width="8.109375" style="4378" customWidth="1"/>
    <col min="7442" max="7442" width="10.88671875" style="4378" customWidth="1"/>
    <col min="7443" max="7443" width="6.88671875" style="4378" customWidth="1"/>
    <col min="7444" max="7444" width="7.5546875" style="4378" customWidth="1"/>
    <col min="7445" max="7445" width="8.109375" style="4378" customWidth="1"/>
    <col min="7446" max="7446" width="10.88671875" style="4378" customWidth="1"/>
    <col min="7447" max="7449" width="6.88671875" style="4378" customWidth="1"/>
    <col min="7450" max="7450" width="11.44140625" style="4378" customWidth="1"/>
    <col min="7451" max="7453" width="6.88671875" style="4378" customWidth="1"/>
    <col min="7454" max="7454" width="11.44140625" style="4378"/>
    <col min="7455" max="7455" width="1.5546875" style="4378" customWidth="1"/>
    <col min="7456" max="7680" width="11.44140625" style="4378"/>
    <col min="7681" max="7681" width="15.109375" style="4378" customWidth="1"/>
    <col min="7682" max="7682" width="13" style="4378" bestFit="1" customWidth="1"/>
    <col min="7683" max="7683" width="6.109375" style="4378" customWidth="1"/>
    <col min="7684" max="7684" width="7.5546875" style="4378" customWidth="1"/>
    <col min="7685" max="7685" width="8" style="4378" customWidth="1"/>
    <col min="7686" max="7686" width="10.88671875" style="4378" customWidth="1"/>
    <col min="7687" max="7687" width="6.109375" style="4378" customWidth="1"/>
    <col min="7688" max="7688" width="7.5546875" style="4378" customWidth="1"/>
    <col min="7689" max="7689" width="8.109375" style="4378" customWidth="1"/>
    <col min="7690" max="7690" width="10.88671875" style="4378" customWidth="1"/>
    <col min="7691" max="7691" width="6.109375" style="4378" customWidth="1"/>
    <col min="7692" max="7692" width="7.5546875" style="4378" customWidth="1"/>
    <col min="7693" max="7693" width="8.109375" style="4378" customWidth="1"/>
    <col min="7694" max="7694" width="10.88671875" style="4378" customWidth="1"/>
    <col min="7695" max="7695" width="6.88671875" style="4378" customWidth="1"/>
    <col min="7696" max="7696" width="7.5546875" style="4378" customWidth="1"/>
    <col min="7697" max="7697" width="8.109375" style="4378" customWidth="1"/>
    <col min="7698" max="7698" width="10.88671875" style="4378" customWidth="1"/>
    <col min="7699" max="7699" width="6.88671875" style="4378" customWidth="1"/>
    <col min="7700" max="7700" width="7.5546875" style="4378" customWidth="1"/>
    <col min="7701" max="7701" width="8.109375" style="4378" customWidth="1"/>
    <col min="7702" max="7702" width="10.88671875" style="4378" customWidth="1"/>
    <col min="7703" max="7705" width="6.88671875" style="4378" customWidth="1"/>
    <col min="7706" max="7706" width="11.44140625" style="4378" customWidth="1"/>
    <col min="7707" max="7709" width="6.88671875" style="4378" customWidth="1"/>
    <col min="7710" max="7710" width="11.44140625" style="4378"/>
    <col min="7711" max="7711" width="1.5546875" style="4378" customWidth="1"/>
    <col min="7712" max="7936" width="11.44140625" style="4378"/>
    <col min="7937" max="7937" width="15.109375" style="4378" customWidth="1"/>
    <col min="7938" max="7938" width="13" style="4378" bestFit="1" customWidth="1"/>
    <col min="7939" max="7939" width="6.109375" style="4378" customWidth="1"/>
    <col min="7940" max="7940" width="7.5546875" style="4378" customWidth="1"/>
    <col min="7941" max="7941" width="8" style="4378" customWidth="1"/>
    <col min="7942" max="7942" width="10.88671875" style="4378" customWidth="1"/>
    <col min="7943" max="7943" width="6.109375" style="4378" customWidth="1"/>
    <col min="7944" max="7944" width="7.5546875" style="4378" customWidth="1"/>
    <col min="7945" max="7945" width="8.109375" style="4378" customWidth="1"/>
    <col min="7946" max="7946" width="10.88671875" style="4378" customWidth="1"/>
    <col min="7947" max="7947" width="6.109375" style="4378" customWidth="1"/>
    <col min="7948" max="7948" width="7.5546875" style="4378" customWidth="1"/>
    <col min="7949" max="7949" width="8.109375" style="4378" customWidth="1"/>
    <col min="7950" max="7950" width="10.88671875" style="4378" customWidth="1"/>
    <col min="7951" max="7951" width="6.88671875" style="4378" customWidth="1"/>
    <col min="7952" max="7952" width="7.5546875" style="4378" customWidth="1"/>
    <col min="7953" max="7953" width="8.109375" style="4378" customWidth="1"/>
    <col min="7954" max="7954" width="10.88671875" style="4378" customWidth="1"/>
    <col min="7955" max="7955" width="6.88671875" style="4378" customWidth="1"/>
    <col min="7956" max="7956" width="7.5546875" style="4378" customWidth="1"/>
    <col min="7957" max="7957" width="8.109375" style="4378" customWidth="1"/>
    <col min="7958" max="7958" width="10.88671875" style="4378" customWidth="1"/>
    <col min="7959" max="7961" width="6.88671875" style="4378" customWidth="1"/>
    <col min="7962" max="7962" width="11.44140625" style="4378" customWidth="1"/>
    <col min="7963" max="7965" width="6.88671875" style="4378" customWidth="1"/>
    <col min="7966" max="7966" width="11.44140625" style="4378"/>
    <col min="7967" max="7967" width="1.5546875" style="4378" customWidth="1"/>
    <col min="7968" max="8192" width="11.44140625" style="4378"/>
    <col min="8193" max="8193" width="15.109375" style="4378" customWidth="1"/>
    <col min="8194" max="8194" width="13" style="4378" bestFit="1" customWidth="1"/>
    <col min="8195" max="8195" width="6.109375" style="4378" customWidth="1"/>
    <col min="8196" max="8196" width="7.5546875" style="4378" customWidth="1"/>
    <col min="8197" max="8197" width="8" style="4378" customWidth="1"/>
    <col min="8198" max="8198" width="10.88671875" style="4378" customWidth="1"/>
    <col min="8199" max="8199" width="6.109375" style="4378" customWidth="1"/>
    <col min="8200" max="8200" width="7.5546875" style="4378" customWidth="1"/>
    <col min="8201" max="8201" width="8.109375" style="4378" customWidth="1"/>
    <col min="8202" max="8202" width="10.88671875" style="4378" customWidth="1"/>
    <col min="8203" max="8203" width="6.109375" style="4378" customWidth="1"/>
    <col min="8204" max="8204" width="7.5546875" style="4378" customWidth="1"/>
    <col min="8205" max="8205" width="8.109375" style="4378" customWidth="1"/>
    <col min="8206" max="8206" width="10.88671875" style="4378" customWidth="1"/>
    <col min="8207" max="8207" width="6.88671875" style="4378" customWidth="1"/>
    <col min="8208" max="8208" width="7.5546875" style="4378" customWidth="1"/>
    <col min="8209" max="8209" width="8.109375" style="4378" customWidth="1"/>
    <col min="8210" max="8210" width="10.88671875" style="4378" customWidth="1"/>
    <col min="8211" max="8211" width="6.88671875" style="4378" customWidth="1"/>
    <col min="8212" max="8212" width="7.5546875" style="4378" customWidth="1"/>
    <col min="8213" max="8213" width="8.109375" style="4378" customWidth="1"/>
    <col min="8214" max="8214" width="10.88671875" style="4378" customWidth="1"/>
    <col min="8215" max="8217" width="6.88671875" style="4378" customWidth="1"/>
    <col min="8218" max="8218" width="11.44140625" style="4378" customWidth="1"/>
    <col min="8219" max="8221" width="6.88671875" style="4378" customWidth="1"/>
    <col min="8222" max="8222" width="11.44140625" style="4378"/>
    <col min="8223" max="8223" width="1.5546875" style="4378" customWidth="1"/>
    <col min="8224" max="8448" width="11.44140625" style="4378"/>
    <col min="8449" max="8449" width="15.109375" style="4378" customWidth="1"/>
    <col min="8450" max="8450" width="13" style="4378" bestFit="1" customWidth="1"/>
    <col min="8451" max="8451" width="6.109375" style="4378" customWidth="1"/>
    <col min="8452" max="8452" width="7.5546875" style="4378" customWidth="1"/>
    <col min="8453" max="8453" width="8" style="4378" customWidth="1"/>
    <col min="8454" max="8454" width="10.88671875" style="4378" customWidth="1"/>
    <col min="8455" max="8455" width="6.109375" style="4378" customWidth="1"/>
    <col min="8456" max="8456" width="7.5546875" style="4378" customWidth="1"/>
    <col min="8457" max="8457" width="8.109375" style="4378" customWidth="1"/>
    <col min="8458" max="8458" width="10.88671875" style="4378" customWidth="1"/>
    <col min="8459" max="8459" width="6.109375" style="4378" customWidth="1"/>
    <col min="8460" max="8460" width="7.5546875" style="4378" customWidth="1"/>
    <col min="8461" max="8461" width="8.109375" style="4378" customWidth="1"/>
    <col min="8462" max="8462" width="10.88671875" style="4378" customWidth="1"/>
    <col min="8463" max="8463" width="6.88671875" style="4378" customWidth="1"/>
    <col min="8464" max="8464" width="7.5546875" style="4378" customWidth="1"/>
    <col min="8465" max="8465" width="8.109375" style="4378" customWidth="1"/>
    <col min="8466" max="8466" width="10.88671875" style="4378" customWidth="1"/>
    <col min="8467" max="8467" width="6.88671875" style="4378" customWidth="1"/>
    <col min="8468" max="8468" width="7.5546875" style="4378" customWidth="1"/>
    <col min="8469" max="8469" width="8.109375" style="4378" customWidth="1"/>
    <col min="8470" max="8470" width="10.88671875" style="4378" customWidth="1"/>
    <col min="8471" max="8473" width="6.88671875" style="4378" customWidth="1"/>
    <col min="8474" max="8474" width="11.44140625" style="4378" customWidth="1"/>
    <col min="8475" max="8477" width="6.88671875" style="4378" customWidth="1"/>
    <col min="8478" max="8478" width="11.44140625" style="4378"/>
    <col min="8479" max="8479" width="1.5546875" style="4378" customWidth="1"/>
    <col min="8480" max="8704" width="11.44140625" style="4378"/>
    <col min="8705" max="8705" width="15.109375" style="4378" customWidth="1"/>
    <col min="8706" max="8706" width="13" style="4378" bestFit="1" customWidth="1"/>
    <col min="8707" max="8707" width="6.109375" style="4378" customWidth="1"/>
    <col min="8708" max="8708" width="7.5546875" style="4378" customWidth="1"/>
    <col min="8709" max="8709" width="8" style="4378" customWidth="1"/>
    <col min="8710" max="8710" width="10.88671875" style="4378" customWidth="1"/>
    <col min="8711" max="8711" width="6.109375" style="4378" customWidth="1"/>
    <col min="8712" max="8712" width="7.5546875" style="4378" customWidth="1"/>
    <col min="8713" max="8713" width="8.109375" style="4378" customWidth="1"/>
    <col min="8714" max="8714" width="10.88671875" style="4378" customWidth="1"/>
    <col min="8715" max="8715" width="6.109375" style="4378" customWidth="1"/>
    <col min="8716" max="8716" width="7.5546875" style="4378" customWidth="1"/>
    <col min="8717" max="8717" width="8.109375" style="4378" customWidth="1"/>
    <col min="8718" max="8718" width="10.88671875" style="4378" customWidth="1"/>
    <col min="8719" max="8719" width="6.88671875" style="4378" customWidth="1"/>
    <col min="8720" max="8720" width="7.5546875" style="4378" customWidth="1"/>
    <col min="8721" max="8721" width="8.109375" style="4378" customWidth="1"/>
    <col min="8722" max="8722" width="10.88671875" style="4378" customWidth="1"/>
    <col min="8723" max="8723" width="6.88671875" style="4378" customWidth="1"/>
    <col min="8724" max="8724" width="7.5546875" style="4378" customWidth="1"/>
    <col min="8725" max="8725" width="8.109375" style="4378" customWidth="1"/>
    <col min="8726" max="8726" width="10.88671875" style="4378" customWidth="1"/>
    <col min="8727" max="8729" width="6.88671875" style="4378" customWidth="1"/>
    <col min="8730" max="8730" width="11.44140625" style="4378" customWidth="1"/>
    <col min="8731" max="8733" width="6.88671875" style="4378" customWidth="1"/>
    <col min="8734" max="8734" width="11.44140625" style="4378"/>
    <col min="8735" max="8735" width="1.5546875" style="4378" customWidth="1"/>
    <col min="8736" max="8960" width="11.44140625" style="4378"/>
    <col min="8961" max="8961" width="15.109375" style="4378" customWidth="1"/>
    <col min="8962" max="8962" width="13" style="4378" bestFit="1" customWidth="1"/>
    <col min="8963" max="8963" width="6.109375" style="4378" customWidth="1"/>
    <col min="8964" max="8964" width="7.5546875" style="4378" customWidth="1"/>
    <col min="8965" max="8965" width="8" style="4378" customWidth="1"/>
    <col min="8966" max="8966" width="10.88671875" style="4378" customWidth="1"/>
    <col min="8967" max="8967" width="6.109375" style="4378" customWidth="1"/>
    <col min="8968" max="8968" width="7.5546875" style="4378" customWidth="1"/>
    <col min="8969" max="8969" width="8.109375" style="4378" customWidth="1"/>
    <col min="8970" max="8970" width="10.88671875" style="4378" customWidth="1"/>
    <col min="8971" max="8971" width="6.109375" style="4378" customWidth="1"/>
    <col min="8972" max="8972" width="7.5546875" style="4378" customWidth="1"/>
    <col min="8973" max="8973" width="8.109375" style="4378" customWidth="1"/>
    <col min="8974" max="8974" width="10.88671875" style="4378" customWidth="1"/>
    <col min="8975" max="8975" width="6.88671875" style="4378" customWidth="1"/>
    <col min="8976" max="8976" width="7.5546875" style="4378" customWidth="1"/>
    <col min="8977" max="8977" width="8.109375" style="4378" customWidth="1"/>
    <col min="8978" max="8978" width="10.88671875" style="4378" customWidth="1"/>
    <col min="8979" max="8979" width="6.88671875" style="4378" customWidth="1"/>
    <col min="8980" max="8980" width="7.5546875" style="4378" customWidth="1"/>
    <col min="8981" max="8981" width="8.109375" style="4378" customWidth="1"/>
    <col min="8982" max="8982" width="10.88671875" style="4378" customWidth="1"/>
    <col min="8983" max="8985" width="6.88671875" style="4378" customWidth="1"/>
    <col min="8986" max="8986" width="11.44140625" style="4378" customWidth="1"/>
    <col min="8987" max="8989" width="6.88671875" style="4378" customWidth="1"/>
    <col min="8990" max="8990" width="11.44140625" style="4378"/>
    <col min="8991" max="8991" width="1.5546875" style="4378" customWidth="1"/>
    <col min="8992" max="9216" width="11.44140625" style="4378"/>
    <col min="9217" max="9217" width="15.109375" style="4378" customWidth="1"/>
    <col min="9218" max="9218" width="13" style="4378" bestFit="1" customWidth="1"/>
    <col min="9219" max="9219" width="6.109375" style="4378" customWidth="1"/>
    <col min="9220" max="9220" width="7.5546875" style="4378" customWidth="1"/>
    <col min="9221" max="9221" width="8" style="4378" customWidth="1"/>
    <col min="9222" max="9222" width="10.88671875" style="4378" customWidth="1"/>
    <col min="9223" max="9223" width="6.109375" style="4378" customWidth="1"/>
    <col min="9224" max="9224" width="7.5546875" style="4378" customWidth="1"/>
    <col min="9225" max="9225" width="8.109375" style="4378" customWidth="1"/>
    <col min="9226" max="9226" width="10.88671875" style="4378" customWidth="1"/>
    <col min="9227" max="9227" width="6.109375" style="4378" customWidth="1"/>
    <col min="9228" max="9228" width="7.5546875" style="4378" customWidth="1"/>
    <col min="9229" max="9229" width="8.109375" style="4378" customWidth="1"/>
    <col min="9230" max="9230" width="10.88671875" style="4378" customWidth="1"/>
    <col min="9231" max="9231" width="6.88671875" style="4378" customWidth="1"/>
    <col min="9232" max="9232" width="7.5546875" style="4378" customWidth="1"/>
    <col min="9233" max="9233" width="8.109375" style="4378" customWidth="1"/>
    <col min="9234" max="9234" width="10.88671875" style="4378" customWidth="1"/>
    <col min="9235" max="9235" width="6.88671875" style="4378" customWidth="1"/>
    <col min="9236" max="9236" width="7.5546875" style="4378" customWidth="1"/>
    <col min="9237" max="9237" width="8.109375" style="4378" customWidth="1"/>
    <col min="9238" max="9238" width="10.88671875" style="4378" customWidth="1"/>
    <col min="9239" max="9241" width="6.88671875" style="4378" customWidth="1"/>
    <col min="9242" max="9242" width="11.44140625" style="4378" customWidth="1"/>
    <col min="9243" max="9245" width="6.88671875" style="4378" customWidth="1"/>
    <col min="9246" max="9246" width="11.44140625" style="4378"/>
    <col min="9247" max="9247" width="1.5546875" style="4378" customWidth="1"/>
    <col min="9248" max="9472" width="11.44140625" style="4378"/>
    <col min="9473" max="9473" width="15.109375" style="4378" customWidth="1"/>
    <col min="9474" max="9474" width="13" style="4378" bestFit="1" customWidth="1"/>
    <col min="9475" max="9475" width="6.109375" style="4378" customWidth="1"/>
    <col min="9476" max="9476" width="7.5546875" style="4378" customWidth="1"/>
    <col min="9477" max="9477" width="8" style="4378" customWidth="1"/>
    <col min="9478" max="9478" width="10.88671875" style="4378" customWidth="1"/>
    <col min="9479" max="9479" width="6.109375" style="4378" customWidth="1"/>
    <col min="9480" max="9480" width="7.5546875" style="4378" customWidth="1"/>
    <col min="9481" max="9481" width="8.109375" style="4378" customWidth="1"/>
    <col min="9482" max="9482" width="10.88671875" style="4378" customWidth="1"/>
    <col min="9483" max="9483" width="6.109375" style="4378" customWidth="1"/>
    <col min="9484" max="9484" width="7.5546875" style="4378" customWidth="1"/>
    <col min="9485" max="9485" width="8.109375" style="4378" customWidth="1"/>
    <col min="9486" max="9486" width="10.88671875" style="4378" customWidth="1"/>
    <col min="9487" max="9487" width="6.88671875" style="4378" customWidth="1"/>
    <col min="9488" max="9488" width="7.5546875" style="4378" customWidth="1"/>
    <col min="9489" max="9489" width="8.109375" style="4378" customWidth="1"/>
    <col min="9490" max="9490" width="10.88671875" style="4378" customWidth="1"/>
    <col min="9491" max="9491" width="6.88671875" style="4378" customWidth="1"/>
    <col min="9492" max="9492" width="7.5546875" style="4378" customWidth="1"/>
    <col min="9493" max="9493" width="8.109375" style="4378" customWidth="1"/>
    <col min="9494" max="9494" width="10.88671875" style="4378" customWidth="1"/>
    <col min="9495" max="9497" width="6.88671875" style="4378" customWidth="1"/>
    <col min="9498" max="9498" width="11.44140625" style="4378" customWidth="1"/>
    <col min="9499" max="9501" width="6.88671875" style="4378" customWidth="1"/>
    <col min="9502" max="9502" width="11.44140625" style="4378"/>
    <col min="9503" max="9503" width="1.5546875" style="4378" customWidth="1"/>
    <col min="9504" max="9728" width="11.44140625" style="4378"/>
    <col min="9729" max="9729" width="15.109375" style="4378" customWidth="1"/>
    <col min="9730" max="9730" width="13" style="4378" bestFit="1" customWidth="1"/>
    <col min="9731" max="9731" width="6.109375" style="4378" customWidth="1"/>
    <col min="9732" max="9732" width="7.5546875" style="4378" customWidth="1"/>
    <col min="9733" max="9733" width="8" style="4378" customWidth="1"/>
    <col min="9734" max="9734" width="10.88671875" style="4378" customWidth="1"/>
    <col min="9735" max="9735" width="6.109375" style="4378" customWidth="1"/>
    <col min="9736" max="9736" width="7.5546875" style="4378" customWidth="1"/>
    <col min="9737" max="9737" width="8.109375" style="4378" customWidth="1"/>
    <col min="9738" max="9738" width="10.88671875" style="4378" customWidth="1"/>
    <col min="9739" max="9739" width="6.109375" style="4378" customWidth="1"/>
    <col min="9740" max="9740" width="7.5546875" style="4378" customWidth="1"/>
    <col min="9741" max="9741" width="8.109375" style="4378" customWidth="1"/>
    <col min="9742" max="9742" width="10.88671875" style="4378" customWidth="1"/>
    <col min="9743" max="9743" width="6.88671875" style="4378" customWidth="1"/>
    <col min="9744" max="9744" width="7.5546875" style="4378" customWidth="1"/>
    <col min="9745" max="9745" width="8.109375" style="4378" customWidth="1"/>
    <col min="9746" max="9746" width="10.88671875" style="4378" customWidth="1"/>
    <col min="9747" max="9747" width="6.88671875" style="4378" customWidth="1"/>
    <col min="9748" max="9748" width="7.5546875" style="4378" customWidth="1"/>
    <col min="9749" max="9749" width="8.109375" style="4378" customWidth="1"/>
    <col min="9750" max="9750" width="10.88671875" style="4378" customWidth="1"/>
    <col min="9751" max="9753" width="6.88671875" style="4378" customWidth="1"/>
    <col min="9754" max="9754" width="11.44140625" style="4378" customWidth="1"/>
    <col min="9755" max="9757" width="6.88671875" style="4378" customWidth="1"/>
    <col min="9758" max="9758" width="11.44140625" style="4378"/>
    <col min="9759" max="9759" width="1.5546875" style="4378" customWidth="1"/>
    <col min="9760" max="9984" width="11.44140625" style="4378"/>
    <col min="9985" max="9985" width="15.109375" style="4378" customWidth="1"/>
    <col min="9986" max="9986" width="13" style="4378" bestFit="1" customWidth="1"/>
    <col min="9987" max="9987" width="6.109375" style="4378" customWidth="1"/>
    <col min="9988" max="9988" width="7.5546875" style="4378" customWidth="1"/>
    <col min="9989" max="9989" width="8" style="4378" customWidth="1"/>
    <col min="9990" max="9990" width="10.88671875" style="4378" customWidth="1"/>
    <col min="9991" max="9991" width="6.109375" style="4378" customWidth="1"/>
    <col min="9992" max="9992" width="7.5546875" style="4378" customWidth="1"/>
    <col min="9993" max="9993" width="8.109375" style="4378" customWidth="1"/>
    <col min="9994" max="9994" width="10.88671875" style="4378" customWidth="1"/>
    <col min="9995" max="9995" width="6.109375" style="4378" customWidth="1"/>
    <col min="9996" max="9996" width="7.5546875" style="4378" customWidth="1"/>
    <col min="9997" max="9997" width="8.109375" style="4378" customWidth="1"/>
    <col min="9998" max="9998" width="10.88671875" style="4378" customWidth="1"/>
    <col min="9999" max="9999" width="6.88671875" style="4378" customWidth="1"/>
    <col min="10000" max="10000" width="7.5546875" style="4378" customWidth="1"/>
    <col min="10001" max="10001" width="8.109375" style="4378" customWidth="1"/>
    <col min="10002" max="10002" width="10.88671875" style="4378" customWidth="1"/>
    <col min="10003" max="10003" width="6.88671875" style="4378" customWidth="1"/>
    <col min="10004" max="10004" width="7.5546875" style="4378" customWidth="1"/>
    <col min="10005" max="10005" width="8.109375" style="4378" customWidth="1"/>
    <col min="10006" max="10006" width="10.88671875" style="4378" customWidth="1"/>
    <col min="10007" max="10009" width="6.88671875" style="4378" customWidth="1"/>
    <col min="10010" max="10010" width="11.44140625" style="4378" customWidth="1"/>
    <col min="10011" max="10013" width="6.88671875" style="4378" customWidth="1"/>
    <col min="10014" max="10014" width="11.44140625" style="4378"/>
    <col min="10015" max="10015" width="1.5546875" style="4378" customWidth="1"/>
    <col min="10016" max="10240" width="11.44140625" style="4378"/>
    <col min="10241" max="10241" width="15.109375" style="4378" customWidth="1"/>
    <col min="10242" max="10242" width="13" style="4378" bestFit="1" customWidth="1"/>
    <col min="10243" max="10243" width="6.109375" style="4378" customWidth="1"/>
    <col min="10244" max="10244" width="7.5546875" style="4378" customWidth="1"/>
    <col min="10245" max="10245" width="8" style="4378" customWidth="1"/>
    <col min="10246" max="10246" width="10.88671875" style="4378" customWidth="1"/>
    <col min="10247" max="10247" width="6.109375" style="4378" customWidth="1"/>
    <col min="10248" max="10248" width="7.5546875" style="4378" customWidth="1"/>
    <col min="10249" max="10249" width="8.109375" style="4378" customWidth="1"/>
    <col min="10250" max="10250" width="10.88671875" style="4378" customWidth="1"/>
    <col min="10251" max="10251" width="6.109375" style="4378" customWidth="1"/>
    <col min="10252" max="10252" width="7.5546875" style="4378" customWidth="1"/>
    <col min="10253" max="10253" width="8.109375" style="4378" customWidth="1"/>
    <col min="10254" max="10254" width="10.88671875" style="4378" customWidth="1"/>
    <col min="10255" max="10255" width="6.88671875" style="4378" customWidth="1"/>
    <col min="10256" max="10256" width="7.5546875" style="4378" customWidth="1"/>
    <col min="10257" max="10257" width="8.109375" style="4378" customWidth="1"/>
    <col min="10258" max="10258" width="10.88671875" style="4378" customWidth="1"/>
    <col min="10259" max="10259" width="6.88671875" style="4378" customWidth="1"/>
    <col min="10260" max="10260" width="7.5546875" style="4378" customWidth="1"/>
    <col min="10261" max="10261" width="8.109375" style="4378" customWidth="1"/>
    <col min="10262" max="10262" width="10.88671875" style="4378" customWidth="1"/>
    <col min="10263" max="10265" width="6.88671875" style="4378" customWidth="1"/>
    <col min="10266" max="10266" width="11.44140625" style="4378" customWidth="1"/>
    <col min="10267" max="10269" width="6.88671875" style="4378" customWidth="1"/>
    <col min="10270" max="10270" width="11.44140625" style="4378"/>
    <col min="10271" max="10271" width="1.5546875" style="4378" customWidth="1"/>
    <col min="10272" max="10496" width="11.44140625" style="4378"/>
    <col min="10497" max="10497" width="15.109375" style="4378" customWidth="1"/>
    <col min="10498" max="10498" width="13" style="4378" bestFit="1" customWidth="1"/>
    <col min="10499" max="10499" width="6.109375" style="4378" customWidth="1"/>
    <col min="10500" max="10500" width="7.5546875" style="4378" customWidth="1"/>
    <col min="10501" max="10501" width="8" style="4378" customWidth="1"/>
    <col min="10502" max="10502" width="10.88671875" style="4378" customWidth="1"/>
    <col min="10503" max="10503" width="6.109375" style="4378" customWidth="1"/>
    <col min="10504" max="10504" width="7.5546875" style="4378" customWidth="1"/>
    <col min="10505" max="10505" width="8.109375" style="4378" customWidth="1"/>
    <col min="10506" max="10506" width="10.88671875" style="4378" customWidth="1"/>
    <col min="10507" max="10507" width="6.109375" style="4378" customWidth="1"/>
    <col min="10508" max="10508" width="7.5546875" style="4378" customWidth="1"/>
    <col min="10509" max="10509" width="8.109375" style="4378" customWidth="1"/>
    <col min="10510" max="10510" width="10.88671875" style="4378" customWidth="1"/>
    <col min="10511" max="10511" width="6.88671875" style="4378" customWidth="1"/>
    <col min="10512" max="10512" width="7.5546875" style="4378" customWidth="1"/>
    <col min="10513" max="10513" width="8.109375" style="4378" customWidth="1"/>
    <col min="10514" max="10514" width="10.88671875" style="4378" customWidth="1"/>
    <col min="10515" max="10515" width="6.88671875" style="4378" customWidth="1"/>
    <col min="10516" max="10516" width="7.5546875" style="4378" customWidth="1"/>
    <col min="10517" max="10517" width="8.109375" style="4378" customWidth="1"/>
    <col min="10518" max="10518" width="10.88671875" style="4378" customWidth="1"/>
    <col min="10519" max="10521" width="6.88671875" style="4378" customWidth="1"/>
    <col min="10522" max="10522" width="11.44140625" style="4378" customWidth="1"/>
    <col min="10523" max="10525" width="6.88671875" style="4378" customWidth="1"/>
    <col min="10526" max="10526" width="11.44140625" style="4378"/>
    <col min="10527" max="10527" width="1.5546875" style="4378" customWidth="1"/>
    <col min="10528" max="10752" width="11.44140625" style="4378"/>
    <col min="10753" max="10753" width="15.109375" style="4378" customWidth="1"/>
    <col min="10754" max="10754" width="13" style="4378" bestFit="1" customWidth="1"/>
    <col min="10755" max="10755" width="6.109375" style="4378" customWidth="1"/>
    <col min="10756" max="10756" width="7.5546875" style="4378" customWidth="1"/>
    <col min="10757" max="10757" width="8" style="4378" customWidth="1"/>
    <col min="10758" max="10758" width="10.88671875" style="4378" customWidth="1"/>
    <col min="10759" max="10759" width="6.109375" style="4378" customWidth="1"/>
    <col min="10760" max="10760" width="7.5546875" style="4378" customWidth="1"/>
    <col min="10761" max="10761" width="8.109375" style="4378" customWidth="1"/>
    <col min="10762" max="10762" width="10.88671875" style="4378" customWidth="1"/>
    <col min="10763" max="10763" width="6.109375" style="4378" customWidth="1"/>
    <col min="10764" max="10764" width="7.5546875" style="4378" customWidth="1"/>
    <col min="10765" max="10765" width="8.109375" style="4378" customWidth="1"/>
    <col min="10766" max="10766" width="10.88671875" style="4378" customWidth="1"/>
    <col min="10767" max="10767" width="6.88671875" style="4378" customWidth="1"/>
    <col min="10768" max="10768" width="7.5546875" style="4378" customWidth="1"/>
    <col min="10769" max="10769" width="8.109375" style="4378" customWidth="1"/>
    <col min="10770" max="10770" width="10.88671875" style="4378" customWidth="1"/>
    <col min="10771" max="10771" width="6.88671875" style="4378" customWidth="1"/>
    <col min="10772" max="10772" width="7.5546875" style="4378" customWidth="1"/>
    <col min="10773" max="10773" width="8.109375" style="4378" customWidth="1"/>
    <col min="10774" max="10774" width="10.88671875" style="4378" customWidth="1"/>
    <col min="10775" max="10777" width="6.88671875" style="4378" customWidth="1"/>
    <col min="10778" max="10778" width="11.44140625" style="4378" customWidth="1"/>
    <col min="10779" max="10781" width="6.88671875" style="4378" customWidth="1"/>
    <col min="10782" max="10782" width="11.44140625" style="4378"/>
    <col min="10783" max="10783" width="1.5546875" style="4378" customWidth="1"/>
    <col min="10784" max="11008" width="11.44140625" style="4378"/>
    <col min="11009" max="11009" width="15.109375" style="4378" customWidth="1"/>
    <col min="11010" max="11010" width="13" style="4378" bestFit="1" customWidth="1"/>
    <col min="11011" max="11011" width="6.109375" style="4378" customWidth="1"/>
    <col min="11012" max="11012" width="7.5546875" style="4378" customWidth="1"/>
    <col min="11013" max="11013" width="8" style="4378" customWidth="1"/>
    <col min="11014" max="11014" width="10.88671875" style="4378" customWidth="1"/>
    <col min="11015" max="11015" width="6.109375" style="4378" customWidth="1"/>
    <col min="11016" max="11016" width="7.5546875" style="4378" customWidth="1"/>
    <col min="11017" max="11017" width="8.109375" style="4378" customWidth="1"/>
    <col min="11018" max="11018" width="10.88671875" style="4378" customWidth="1"/>
    <col min="11019" max="11019" width="6.109375" style="4378" customWidth="1"/>
    <col min="11020" max="11020" width="7.5546875" style="4378" customWidth="1"/>
    <col min="11021" max="11021" width="8.109375" style="4378" customWidth="1"/>
    <col min="11022" max="11022" width="10.88671875" style="4378" customWidth="1"/>
    <col min="11023" max="11023" width="6.88671875" style="4378" customWidth="1"/>
    <col min="11024" max="11024" width="7.5546875" style="4378" customWidth="1"/>
    <col min="11025" max="11025" width="8.109375" style="4378" customWidth="1"/>
    <col min="11026" max="11026" width="10.88671875" style="4378" customWidth="1"/>
    <col min="11027" max="11027" width="6.88671875" style="4378" customWidth="1"/>
    <col min="11028" max="11028" width="7.5546875" style="4378" customWidth="1"/>
    <col min="11029" max="11029" width="8.109375" style="4378" customWidth="1"/>
    <col min="11030" max="11030" width="10.88671875" style="4378" customWidth="1"/>
    <col min="11031" max="11033" width="6.88671875" style="4378" customWidth="1"/>
    <col min="11034" max="11034" width="11.44140625" style="4378" customWidth="1"/>
    <col min="11035" max="11037" width="6.88671875" style="4378" customWidth="1"/>
    <col min="11038" max="11038" width="11.44140625" style="4378"/>
    <col min="11039" max="11039" width="1.5546875" style="4378" customWidth="1"/>
    <col min="11040" max="11264" width="11.44140625" style="4378"/>
    <col min="11265" max="11265" width="15.109375" style="4378" customWidth="1"/>
    <col min="11266" max="11266" width="13" style="4378" bestFit="1" customWidth="1"/>
    <col min="11267" max="11267" width="6.109375" style="4378" customWidth="1"/>
    <col min="11268" max="11268" width="7.5546875" style="4378" customWidth="1"/>
    <col min="11269" max="11269" width="8" style="4378" customWidth="1"/>
    <col min="11270" max="11270" width="10.88671875" style="4378" customWidth="1"/>
    <col min="11271" max="11271" width="6.109375" style="4378" customWidth="1"/>
    <col min="11272" max="11272" width="7.5546875" style="4378" customWidth="1"/>
    <col min="11273" max="11273" width="8.109375" style="4378" customWidth="1"/>
    <col min="11274" max="11274" width="10.88671875" style="4378" customWidth="1"/>
    <col min="11275" max="11275" width="6.109375" style="4378" customWidth="1"/>
    <col min="11276" max="11276" width="7.5546875" style="4378" customWidth="1"/>
    <col min="11277" max="11277" width="8.109375" style="4378" customWidth="1"/>
    <col min="11278" max="11278" width="10.88671875" style="4378" customWidth="1"/>
    <col min="11279" max="11279" width="6.88671875" style="4378" customWidth="1"/>
    <col min="11280" max="11280" width="7.5546875" style="4378" customWidth="1"/>
    <col min="11281" max="11281" width="8.109375" style="4378" customWidth="1"/>
    <col min="11282" max="11282" width="10.88671875" style="4378" customWidth="1"/>
    <col min="11283" max="11283" width="6.88671875" style="4378" customWidth="1"/>
    <col min="11284" max="11284" width="7.5546875" style="4378" customWidth="1"/>
    <col min="11285" max="11285" width="8.109375" style="4378" customWidth="1"/>
    <col min="11286" max="11286" width="10.88671875" style="4378" customWidth="1"/>
    <col min="11287" max="11289" width="6.88671875" style="4378" customWidth="1"/>
    <col min="11290" max="11290" width="11.44140625" style="4378" customWidth="1"/>
    <col min="11291" max="11293" width="6.88671875" style="4378" customWidth="1"/>
    <col min="11294" max="11294" width="11.44140625" style="4378"/>
    <col min="11295" max="11295" width="1.5546875" style="4378" customWidth="1"/>
    <col min="11296" max="11520" width="11.44140625" style="4378"/>
    <col min="11521" max="11521" width="15.109375" style="4378" customWidth="1"/>
    <col min="11522" max="11522" width="13" style="4378" bestFit="1" customWidth="1"/>
    <col min="11523" max="11523" width="6.109375" style="4378" customWidth="1"/>
    <col min="11524" max="11524" width="7.5546875" style="4378" customWidth="1"/>
    <col min="11525" max="11525" width="8" style="4378" customWidth="1"/>
    <col min="11526" max="11526" width="10.88671875" style="4378" customWidth="1"/>
    <col min="11527" max="11527" width="6.109375" style="4378" customWidth="1"/>
    <col min="11528" max="11528" width="7.5546875" style="4378" customWidth="1"/>
    <col min="11529" max="11529" width="8.109375" style="4378" customWidth="1"/>
    <col min="11530" max="11530" width="10.88671875" style="4378" customWidth="1"/>
    <col min="11531" max="11531" width="6.109375" style="4378" customWidth="1"/>
    <col min="11532" max="11532" width="7.5546875" style="4378" customWidth="1"/>
    <col min="11533" max="11533" width="8.109375" style="4378" customWidth="1"/>
    <col min="11534" max="11534" width="10.88671875" style="4378" customWidth="1"/>
    <col min="11535" max="11535" width="6.88671875" style="4378" customWidth="1"/>
    <col min="11536" max="11536" width="7.5546875" style="4378" customWidth="1"/>
    <col min="11537" max="11537" width="8.109375" style="4378" customWidth="1"/>
    <col min="11538" max="11538" width="10.88671875" style="4378" customWidth="1"/>
    <col min="11539" max="11539" width="6.88671875" style="4378" customWidth="1"/>
    <col min="11540" max="11540" width="7.5546875" style="4378" customWidth="1"/>
    <col min="11541" max="11541" width="8.109375" style="4378" customWidth="1"/>
    <col min="11542" max="11542" width="10.88671875" style="4378" customWidth="1"/>
    <col min="11543" max="11545" width="6.88671875" style="4378" customWidth="1"/>
    <col min="11546" max="11546" width="11.44140625" style="4378" customWidth="1"/>
    <col min="11547" max="11549" width="6.88671875" style="4378" customWidth="1"/>
    <col min="11550" max="11550" width="11.44140625" style="4378"/>
    <col min="11551" max="11551" width="1.5546875" style="4378" customWidth="1"/>
    <col min="11552" max="11776" width="11.44140625" style="4378"/>
    <col min="11777" max="11777" width="15.109375" style="4378" customWidth="1"/>
    <col min="11778" max="11778" width="13" style="4378" bestFit="1" customWidth="1"/>
    <col min="11779" max="11779" width="6.109375" style="4378" customWidth="1"/>
    <col min="11780" max="11780" width="7.5546875" style="4378" customWidth="1"/>
    <col min="11781" max="11781" width="8" style="4378" customWidth="1"/>
    <col min="11782" max="11782" width="10.88671875" style="4378" customWidth="1"/>
    <col min="11783" max="11783" width="6.109375" style="4378" customWidth="1"/>
    <col min="11784" max="11784" width="7.5546875" style="4378" customWidth="1"/>
    <col min="11785" max="11785" width="8.109375" style="4378" customWidth="1"/>
    <col min="11786" max="11786" width="10.88671875" style="4378" customWidth="1"/>
    <col min="11787" max="11787" width="6.109375" style="4378" customWidth="1"/>
    <col min="11788" max="11788" width="7.5546875" style="4378" customWidth="1"/>
    <col min="11789" max="11789" width="8.109375" style="4378" customWidth="1"/>
    <col min="11790" max="11790" width="10.88671875" style="4378" customWidth="1"/>
    <col min="11791" max="11791" width="6.88671875" style="4378" customWidth="1"/>
    <col min="11792" max="11792" width="7.5546875" style="4378" customWidth="1"/>
    <col min="11793" max="11793" width="8.109375" style="4378" customWidth="1"/>
    <col min="11794" max="11794" width="10.88671875" style="4378" customWidth="1"/>
    <col min="11795" max="11795" width="6.88671875" style="4378" customWidth="1"/>
    <col min="11796" max="11796" width="7.5546875" style="4378" customWidth="1"/>
    <col min="11797" max="11797" width="8.109375" style="4378" customWidth="1"/>
    <col min="11798" max="11798" width="10.88671875" style="4378" customWidth="1"/>
    <col min="11799" max="11801" width="6.88671875" style="4378" customWidth="1"/>
    <col min="11802" max="11802" width="11.44140625" style="4378" customWidth="1"/>
    <col min="11803" max="11805" width="6.88671875" style="4378" customWidth="1"/>
    <col min="11806" max="11806" width="11.44140625" style="4378"/>
    <col min="11807" max="11807" width="1.5546875" style="4378" customWidth="1"/>
    <col min="11808" max="12032" width="11.44140625" style="4378"/>
    <col min="12033" max="12033" width="15.109375" style="4378" customWidth="1"/>
    <col min="12034" max="12034" width="13" style="4378" bestFit="1" customWidth="1"/>
    <col min="12035" max="12035" width="6.109375" style="4378" customWidth="1"/>
    <col min="12036" max="12036" width="7.5546875" style="4378" customWidth="1"/>
    <col min="12037" max="12037" width="8" style="4378" customWidth="1"/>
    <col min="12038" max="12038" width="10.88671875" style="4378" customWidth="1"/>
    <col min="12039" max="12039" width="6.109375" style="4378" customWidth="1"/>
    <col min="12040" max="12040" width="7.5546875" style="4378" customWidth="1"/>
    <col min="12041" max="12041" width="8.109375" style="4378" customWidth="1"/>
    <col min="12042" max="12042" width="10.88671875" style="4378" customWidth="1"/>
    <col min="12043" max="12043" width="6.109375" style="4378" customWidth="1"/>
    <col min="12044" max="12044" width="7.5546875" style="4378" customWidth="1"/>
    <col min="12045" max="12045" width="8.109375" style="4378" customWidth="1"/>
    <col min="12046" max="12046" width="10.88671875" style="4378" customWidth="1"/>
    <col min="12047" max="12047" width="6.88671875" style="4378" customWidth="1"/>
    <col min="12048" max="12048" width="7.5546875" style="4378" customWidth="1"/>
    <col min="12049" max="12049" width="8.109375" style="4378" customWidth="1"/>
    <col min="12050" max="12050" width="10.88671875" style="4378" customWidth="1"/>
    <col min="12051" max="12051" width="6.88671875" style="4378" customWidth="1"/>
    <col min="12052" max="12052" width="7.5546875" style="4378" customWidth="1"/>
    <col min="12053" max="12053" width="8.109375" style="4378" customWidth="1"/>
    <col min="12054" max="12054" width="10.88671875" style="4378" customWidth="1"/>
    <col min="12055" max="12057" width="6.88671875" style="4378" customWidth="1"/>
    <col min="12058" max="12058" width="11.44140625" style="4378" customWidth="1"/>
    <col min="12059" max="12061" width="6.88671875" style="4378" customWidth="1"/>
    <col min="12062" max="12062" width="11.44140625" style="4378"/>
    <col min="12063" max="12063" width="1.5546875" style="4378" customWidth="1"/>
    <col min="12064" max="12288" width="11.44140625" style="4378"/>
    <col min="12289" max="12289" width="15.109375" style="4378" customWidth="1"/>
    <col min="12290" max="12290" width="13" style="4378" bestFit="1" customWidth="1"/>
    <col min="12291" max="12291" width="6.109375" style="4378" customWidth="1"/>
    <col min="12292" max="12292" width="7.5546875" style="4378" customWidth="1"/>
    <col min="12293" max="12293" width="8" style="4378" customWidth="1"/>
    <col min="12294" max="12294" width="10.88671875" style="4378" customWidth="1"/>
    <col min="12295" max="12295" width="6.109375" style="4378" customWidth="1"/>
    <col min="12296" max="12296" width="7.5546875" style="4378" customWidth="1"/>
    <col min="12297" max="12297" width="8.109375" style="4378" customWidth="1"/>
    <col min="12298" max="12298" width="10.88671875" style="4378" customWidth="1"/>
    <col min="12299" max="12299" width="6.109375" style="4378" customWidth="1"/>
    <col min="12300" max="12300" width="7.5546875" style="4378" customWidth="1"/>
    <col min="12301" max="12301" width="8.109375" style="4378" customWidth="1"/>
    <col min="12302" max="12302" width="10.88671875" style="4378" customWidth="1"/>
    <col min="12303" max="12303" width="6.88671875" style="4378" customWidth="1"/>
    <col min="12304" max="12304" width="7.5546875" style="4378" customWidth="1"/>
    <col min="12305" max="12305" width="8.109375" style="4378" customWidth="1"/>
    <col min="12306" max="12306" width="10.88671875" style="4378" customWidth="1"/>
    <col min="12307" max="12307" width="6.88671875" style="4378" customWidth="1"/>
    <col min="12308" max="12308" width="7.5546875" style="4378" customWidth="1"/>
    <col min="12309" max="12309" width="8.109375" style="4378" customWidth="1"/>
    <col min="12310" max="12310" width="10.88671875" style="4378" customWidth="1"/>
    <col min="12311" max="12313" width="6.88671875" style="4378" customWidth="1"/>
    <col min="12314" max="12314" width="11.44140625" style="4378" customWidth="1"/>
    <col min="12315" max="12317" width="6.88671875" style="4378" customWidth="1"/>
    <col min="12318" max="12318" width="11.44140625" style="4378"/>
    <col min="12319" max="12319" width="1.5546875" style="4378" customWidth="1"/>
    <col min="12320" max="12544" width="11.44140625" style="4378"/>
    <col min="12545" max="12545" width="15.109375" style="4378" customWidth="1"/>
    <col min="12546" max="12546" width="13" style="4378" bestFit="1" customWidth="1"/>
    <col min="12547" max="12547" width="6.109375" style="4378" customWidth="1"/>
    <col min="12548" max="12548" width="7.5546875" style="4378" customWidth="1"/>
    <col min="12549" max="12549" width="8" style="4378" customWidth="1"/>
    <col min="12550" max="12550" width="10.88671875" style="4378" customWidth="1"/>
    <col min="12551" max="12551" width="6.109375" style="4378" customWidth="1"/>
    <col min="12552" max="12552" width="7.5546875" style="4378" customWidth="1"/>
    <col min="12553" max="12553" width="8.109375" style="4378" customWidth="1"/>
    <col min="12554" max="12554" width="10.88671875" style="4378" customWidth="1"/>
    <col min="12555" max="12555" width="6.109375" style="4378" customWidth="1"/>
    <col min="12556" max="12556" width="7.5546875" style="4378" customWidth="1"/>
    <col min="12557" max="12557" width="8.109375" style="4378" customWidth="1"/>
    <col min="12558" max="12558" width="10.88671875" style="4378" customWidth="1"/>
    <col min="12559" max="12559" width="6.88671875" style="4378" customWidth="1"/>
    <col min="12560" max="12560" width="7.5546875" style="4378" customWidth="1"/>
    <col min="12561" max="12561" width="8.109375" style="4378" customWidth="1"/>
    <col min="12562" max="12562" width="10.88671875" style="4378" customWidth="1"/>
    <col min="12563" max="12563" width="6.88671875" style="4378" customWidth="1"/>
    <col min="12564" max="12564" width="7.5546875" style="4378" customWidth="1"/>
    <col min="12565" max="12565" width="8.109375" style="4378" customWidth="1"/>
    <col min="12566" max="12566" width="10.88671875" style="4378" customWidth="1"/>
    <col min="12567" max="12569" width="6.88671875" style="4378" customWidth="1"/>
    <col min="12570" max="12570" width="11.44140625" style="4378" customWidth="1"/>
    <col min="12571" max="12573" width="6.88671875" style="4378" customWidth="1"/>
    <col min="12574" max="12574" width="11.44140625" style="4378"/>
    <col min="12575" max="12575" width="1.5546875" style="4378" customWidth="1"/>
    <col min="12576" max="12800" width="11.44140625" style="4378"/>
    <col min="12801" max="12801" width="15.109375" style="4378" customWidth="1"/>
    <col min="12802" max="12802" width="13" style="4378" bestFit="1" customWidth="1"/>
    <col min="12803" max="12803" width="6.109375" style="4378" customWidth="1"/>
    <col min="12804" max="12804" width="7.5546875" style="4378" customWidth="1"/>
    <col min="12805" max="12805" width="8" style="4378" customWidth="1"/>
    <col min="12806" max="12806" width="10.88671875" style="4378" customWidth="1"/>
    <col min="12807" max="12807" width="6.109375" style="4378" customWidth="1"/>
    <col min="12808" max="12808" width="7.5546875" style="4378" customWidth="1"/>
    <col min="12809" max="12809" width="8.109375" style="4378" customWidth="1"/>
    <col min="12810" max="12810" width="10.88671875" style="4378" customWidth="1"/>
    <col min="12811" max="12811" width="6.109375" style="4378" customWidth="1"/>
    <col min="12812" max="12812" width="7.5546875" style="4378" customWidth="1"/>
    <col min="12813" max="12813" width="8.109375" style="4378" customWidth="1"/>
    <col min="12814" max="12814" width="10.88671875" style="4378" customWidth="1"/>
    <col min="12815" max="12815" width="6.88671875" style="4378" customWidth="1"/>
    <col min="12816" max="12816" width="7.5546875" style="4378" customWidth="1"/>
    <col min="12817" max="12817" width="8.109375" style="4378" customWidth="1"/>
    <col min="12818" max="12818" width="10.88671875" style="4378" customWidth="1"/>
    <col min="12819" max="12819" width="6.88671875" style="4378" customWidth="1"/>
    <col min="12820" max="12820" width="7.5546875" style="4378" customWidth="1"/>
    <col min="12821" max="12821" width="8.109375" style="4378" customWidth="1"/>
    <col min="12822" max="12822" width="10.88671875" style="4378" customWidth="1"/>
    <col min="12823" max="12825" width="6.88671875" style="4378" customWidth="1"/>
    <col min="12826" max="12826" width="11.44140625" style="4378" customWidth="1"/>
    <col min="12827" max="12829" width="6.88671875" style="4378" customWidth="1"/>
    <col min="12830" max="12830" width="11.44140625" style="4378"/>
    <col min="12831" max="12831" width="1.5546875" style="4378" customWidth="1"/>
    <col min="12832" max="13056" width="11.44140625" style="4378"/>
    <col min="13057" max="13057" width="15.109375" style="4378" customWidth="1"/>
    <col min="13058" max="13058" width="13" style="4378" bestFit="1" customWidth="1"/>
    <col min="13059" max="13059" width="6.109375" style="4378" customWidth="1"/>
    <col min="13060" max="13060" width="7.5546875" style="4378" customWidth="1"/>
    <col min="13061" max="13061" width="8" style="4378" customWidth="1"/>
    <col min="13062" max="13062" width="10.88671875" style="4378" customWidth="1"/>
    <col min="13063" max="13063" width="6.109375" style="4378" customWidth="1"/>
    <col min="13064" max="13064" width="7.5546875" style="4378" customWidth="1"/>
    <col min="13065" max="13065" width="8.109375" style="4378" customWidth="1"/>
    <col min="13066" max="13066" width="10.88671875" style="4378" customWidth="1"/>
    <col min="13067" max="13067" width="6.109375" style="4378" customWidth="1"/>
    <col min="13068" max="13068" width="7.5546875" style="4378" customWidth="1"/>
    <col min="13069" max="13069" width="8.109375" style="4378" customWidth="1"/>
    <col min="13070" max="13070" width="10.88671875" style="4378" customWidth="1"/>
    <col min="13071" max="13071" width="6.88671875" style="4378" customWidth="1"/>
    <col min="13072" max="13072" width="7.5546875" style="4378" customWidth="1"/>
    <col min="13073" max="13073" width="8.109375" style="4378" customWidth="1"/>
    <col min="13074" max="13074" width="10.88671875" style="4378" customWidth="1"/>
    <col min="13075" max="13075" width="6.88671875" style="4378" customWidth="1"/>
    <col min="13076" max="13076" width="7.5546875" style="4378" customWidth="1"/>
    <col min="13077" max="13077" width="8.109375" style="4378" customWidth="1"/>
    <col min="13078" max="13078" width="10.88671875" style="4378" customWidth="1"/>
    <col min="13079" max="13081" width="6.88671875" style="4378" customWidth="1"/>
    <col min="13082" max="13082" width="11.44140625" style="4378" customWidth="1"/>
    <col min="13083" max="13085" width="6.88671875" style="4378" customWidth="1"/>
    <col min="13086" max="13086" width="11.44140625" style="4378"/>
    <col min="13087" max="13087" width="1.5546875" style="4378" customWidth="1"/>
    <col min="13088" max="13312" width="11.44140625" style="4378"/>
    <col min="13313" max="13313" width="15.109375" style="4378" customWidth="1"/>
    <col min="13314" max="13314" width="13" style="4378" bestFit="1" customWidth="1"/>
    <col min="13315" max="13315" width="6.109375" style="4378" customWidth="1"/>
    <col min="13316" max="13316" width="7.5546875" style="4378" customWidth="1"/>
    <col min="13317" max="13317" width="8" style="4378" customWidth="1"/>
    <col min="13318" max="13318" width="10.88671875" style="4378" customWidth="1"/>
    <col min="13319" max="13319" width="6.109375" style="4378" customWidth="1"/>
    <col min="13320" max="13320" width="7.5546875" style="4378" customWidth="1"/>
    <col min="13321" max="13321" width="8.109375" style="4378" customWidth="1"/>
    <col min="13322" max="13322" width="10.88671875" style="4378" customWidth="1"/>
    <col min="13323" max="13323" width="6.109375" style="4378" customWidth="1"/>
    <col min="13324" max="13324" width="7.5546875" style="4378" customWidth="1"/>
    <col min="13325" max="13325" width="8.109375" style="4378" customWidth="1"/>
    <col min="13326" max="13326" width="10.88671875" style="4378" customWidth="1"/>
    <col min="13327" max="13327" width="6.88671875" style="4378" customWidth="1"/>
    <col min="13328" max="13328" width="7.5546875" style="4378" customWidth="1"/>
    <col min="13329" max="13329" width="8.109375" style="4378" customWidth="1"/>
    <col min="13330" max="13330" width="10.88671875" style="4378" customWidth="1"/>
    <col min="13331" max="13331" width="6.88671875" style="4378" customWidth="1"/>
    <col min="13332" max="13332" width="7.5546875" style="4378" customWidth="1"/>
    <col min="13333" max="13333" width="8.109375" style="4378" customWidth="1"/>
    <col min="13334" max="13334" width="10.88671875" style="4378" customWidth="1"/>
    <col min="13335" max="13337" width="6.88671875" style="4378" customWidth="1"/>
    <col min="13338" max="13338" width="11.44140625" style="4378" customWidth="1"/>
    <col min="13339" max="13341" width="6.88671875" style="4378" customWidth="1"/>
    <col min="13342" max="13342" width="11.44140625" style="4378"/>
    <col min="13343" max="13343" width="1.5546875" style="4378" customWidth="1"/>
    <col min="13344" max="13568" width="11.44140625" style="4378"/>
    <col min="13569" max="13569" width="15.109375" style="4378" customWidth="1"/>
    <col min="13570" max="13570" width="13" style="4378" bestFit="1" customWidth="1"/>
    <col min="13571" max="13571" width="6.109375" style="4378" customWidth="1"/>
    <col min="13572" max="13572" width="7.5546875" style="4378" customWidth="1"/>
    <col min="13573" max="13573" width="8" style="4378" customWidth="1"/>
    <col min="13574" max="13574" width="10.88671875" style="4378" customWidth="1"/>
    <col min="13575" max="13575" width="6.109375" style="4378" customWidth="1"/>
    <col min="13576" max="13576" width="7.5546875" style="4378" customWidth="1"/>
    <col min="13577" max="13577" width="8.109375" style="4378" customWidth="1"/>
    <col min="13578" max="13578" width="10.88671875" style="4378" customWidth="1"/>
    <col min="13579" max="13579" width="6.109375" style="4378" customWidth="1"/>
    <col min="13580" max="13580" width="7.5546875" style="4378" customWidth="1"/>
    <col min="13581" max="13581" width="8.109375" style="4378" customWidth="1"/>
    <col min="13582" max="13582" width="10.88671875" style="4378" customWidth="1"/>
    <col min="13583" max="13583" width="6.88671875" style="4378" customWidth="1"/>
    <col min="13584" max="13584" width="7.5546875" style="4378" customWidth="1"/>
    <col min="13585" max="13585" width="8.109375" style="4378" customWidth="1"/>
    <col min="13586" max="13586" width="10.88671875" style="4378" customWidth="1"/>
    <col min="13587" max="13587" width="6.88671875" style="4378" customWidth="1"/>
    <col min="13588" max="13588" width="7.5546875" style="4378" customWidth="1"/>
    <col min="13589" max="13589" width="8.109375" style="4378" customWidth="1"/>
    <col min="13590" max="13590" width="10.88671875" style="4378" customWidth="1"/>
    <col min="13591" max="13593" width="6.88671875" style="4378" customWidth="1"/>
    <col min="13594" max="13594" width="11.44140625" style="4378" customWidth="1"/>
    <col min="13595" max="13597" width="6.88671875" style="4378" customWidth="1"/>
    <col min="13598" max="13598" width="11.44140625" style="4378"/>
    <col min="13599" max="13599" width="1.5546875" style="4378" customWidth="1"/>
    <col min="13600" max="13824" width="11.44140625" style="4378"/>
    <col min="13825" max="13825" width="15.109375" style="4378" customWidth="1"/>
    <col min="13826" max="13826" width="13" style="4378" bestFit="1" customWidth="1"/>
    <col min="13827" max="13827" width="6.109375" style="4378" customWidth="1"/>
    <col min="13828" max="13828" width="7.5546875" style="4378" customWidth="1"/>
    <col min="13829" max="13829" width="8" style="4378" customWidth="1"/>
    <col min="13830" max="13830" width="10.88671875" style="4378" customWidth="1"/>
    <col min="13831" max="13831" width="6.109375" style="4378" customWidth="1"/>
    <col min="13832" max="13832" width="7.5546875" style="4378" customWidth="1"/>
    <col min="13833" max="13833" width="8.109375" style="4378" customWidth="1"/>
    <col min="13834" max="13834" width="10.88671875" style="4378" customWidth="1"/>
    <col min="13835" max="13835" width="6.109375" style="4378" customWidth="1"/>
    <col min="13836" max="13836" width="7.5546875" style="4378" customWidth="1"/>
    <col min="13837" max="13837" width="8.109375" style="4378" customWidth="1"/>
    <col min="13838" max="13838" width="10.88671875" style="4378" customWidth="1"/>
    <col min="13839" max="13839" width="6.88671875" style="4378" customWidth="1"/>
    <col min="13840" max="13840" width="7.5546875" style="4378" customWidth="1"/>
    <col min="13841" max="13841" width="8.109375" style="4378" customWidth="1"/>
    <col min="13842" max="13842" width="10.88671875" style="4378" customWidth="1"/>
    <col min="13843" max="13843" width="6.88671875" style="4378" customWidth="1"/>
    <col min="13844" max="13844" width="7.5546875" style="4378" customWidth="1"/>
    <col min="13845" max="13845" width="8.109375" style="4378" customWidth="1"/>
    <col min="13846" max="13846" width="10.88671875" style="4378" customWidth="1"/>
    <col min="13847" max="13849" width="6.88671875" style="4378" customWidth="1"/>
    <col min="13850" max="13850" width="11.44140625" style="4378" customWidth="1"/>
    <col min="13851" max="13853" width="6.88671875" style="4378" customWidth="1"/>
    <col min="13854" max="13854" width="11.44140625" style="4378"/>
    <col min="13855" max="13855" width="1.5546875" style="4378" customWidth="1"/>
    <col min="13856" max="14080" width="11.44140625" style="4378"/>
    <col min="14081" max="14081" width="15.109375" style="4378" customWidth="1"/>
    <col min="14082" max="14082" width="13" style="4378" bestFit="1" customWidth="1"/>
    <col min="14083" max="14083" width="6.109375" style="4378" customWidth="1"/>
    <col min="14084" max="14084" width="7.5546875" style="4378" customWidth="1"/>
    <col min="14085" max="14085" width="8" style="4378" customWidth="1"/>
    <col min="14086" max="14086" width="10.88671875" style="4378" customWidth="1"/>
    <col min="14087" max="14087" width="6.109375" style="4378" customWidth="1"/>
    <col min="14088" max="14088" width="7.5546875" style="4378" customWidth="1"/>
    <col min="14089" max="14089" width="8.109375" style="4378" customWidth="1"/>
    <col min="14090" max="14090" width="10.88671875" style="4378" customWidth="1"/>
    <col min="14091" max="14091" width="6.109375" style="4378" customWidth="1"/>
    <col min="14092" max="14092" width="7.5546875" style="4378" customWidth="1"/>
    <col min="14093" max="14093" width="8.109375" style="4378" customWidth="1"/>
    <col min="14094" max="14094" width="10.88671875" style="4378" customWidth="1"/>
    <col min="14095" max="14095" width="6.88671875" style="4378" customWidth="1"/>
    <col min="14096" max="14096" width="7.5546875" style="4378" customWidth="1"/>
    <col min="14097" max="14097" width="8.109375" style="4378" customWidth="1"/>
    <col min="14098" max="14098" width="10.88671875" style="4378" customWidth="1"/>
    <col min="14099" max="14099" width="6.88671875" style="4378" customWidth="1"/>
    <col min="14100" max="14100" width="7.5546875" style="4378" customWidth="1"/>
    <col min="14101" max="14101" width="8.109375" style="4378" customWidth="1"/>
    <col min="14102" max="14102" width="10.88671875" style="4378" customWidth="1"/>
    <col min="14103" max="14105" width="6.88671875" style="4378" customWidth="1"/>
    <col min="14106" max="14106" width="11.44140625" style="4378" customWidth="1"/>
    <col min="14107" max="14109" width="6.88671875" style="4378" customWidth="1"/>
    <col min="14110" max="14110" width="11.44140625" style="4378"/>
    <col min="14111" max="14111" width="1.5546875" style="4378" customWidth="1"/>
    <col min="14112" max="14336" width="11.44140625" style="4378"/>
    <col min="14337" max="14337" width="15.109375" style="4378" customWidth="1"/>
    <col min="14338" max="14338" width="13" style="4378" bestFit="1" customWidth="1"/>
    <col min="14339" max="14339" width="6.109375" style="4378" customWidth="1"/>
    <col min="14340" max="14340" width="7.5546875" style="4378" customWidth="1"/>
    <col min="14341" max="14341" width="8" style="4378" customWidth="1"/>
    <col min="14342" max="14342" width="10.88671875" style="4378" customWidth="1"/>
    <col min="14343" max="14343" width="6.109375" style="4378" customWidth="1"/>
    <col min="14344" max="14344" width="7.5546875" style="4378" customWidth="1"/>
    <col min="14345" max="14345" width="8.109375" style="4378" customWidth="1"/>
    <col min="14346" max="14346" width="10.88671875" style="4378" customWidth="1"/>
    <col min="14347" max="14347" width="6.109375" style="4378" customWidth="1"/>
    <col min="14348" max="14348" width="7.5546875" style="4378" customWidth="1"/>
    <col min="14349" max="14349" width="8.109375" style="4378" customWidth="1"/>
    <col min="14350" max="14350" width="10.88671875" style="4378" customWidth="1"/>
    <col min="14351" max="14351" width="6.88671875" style="4378" customWidth="1"/>
    <col min="14352" max="14352" width="7.5546875" style="4378" customWidth="1"/>
    <col min="14353" max="14353" width="8.109375" style="4378" customWidth="1"/>
    <col min="14354" max="14354" width="10.88671875" style="4378" customWidth="1"/>
    <col min="14355" max="14355" width="6.88671875" style="4378" customWidth="1"/>
    <col min="14356" max="14356" width="7.5546875" style="4378" customWidth="1"/>
    <col min="14357" max="14357" width="8.109375" style="4378" customWidth="1"/>
    <col min="14358" max="14358" width="10.88671875" style="4378" customWidth="1"/>
    <col min="14359" max="14361" width="6.88671875" style="4378" customWidth="1"/>
    <col min="14362" max="14362" width="11.44140625" style="4378" customWidth="1"/>
    <col min="14363" max="14365" width="6.88671875" style="4378" customWidth="1"/>
    <col min="14366" max="14366" width="11.44140625" style="4378"/>
    <col min="14367" max="14367" width="1.5546875" style="4378" customWidth="1"/>
    <col min="14368" max="14592" width="11.44140625" style="4378"/>
    <col min="14593" max="14593" width="15.109375" style="4378" customWidth="1"/>
    <col min="14594" max="14594" width="13" style="4378" bestFit="1" customWidth="1"/>
    <col min="14595" max="14595" width="6.109375" style="4378" customWidth="1"/>
    <col min="14596" max="14596" width="7.5546875" style="4378" customWidth="1"/>
    <col min="14597" max="14597" width="8" style="4378" customWidth="1"/>
    <col min="14598" max="14598" width="10.88671875" style="4378" customWidth="1"/>
    <col min="14599" max="14599" width="6.109375" style="4378" customWidth="1"/>
    <col min="14600" max="14600" width="7.5546875" style="4378" customWidth="1"/>
    <col min="14601" max="14601" width="8.109375" style="4378" customWidth="1"/>
    <col min="14602" max="14602" width="10.88671875" style="4378" customWidth="1"/>
    <col min="14603" max="14603" width="6.109375" style="4378" customWidth="1"/>
    <col min="14604" max="14604" width="7.5546875" style="4378" customWidth="1"/>
    <col min="14605" max="14605" width="8.109375" style="4378" customWidth="1"/>
    <col min="14606" max="14606" width="10.88671875" style="4378" customWidth="1"/>
    <col min="14607" max="14607" width="6.88671875" style="4378" customWidth="1"/>
    <col min="14608" max="14608" width="7.5546875" style="4378" customWidth="1"/>
    <col min="14609" max="14609" width="8.109375" style="4378" customWidth="1"/>
    <col min="14610" max="14610" width="10.88671875" style="4378" customWidth="1"/>
    <col min="14611" max="14611" width="6.88671875" style="4378" customWidth="1"/>
    <col min="14612" max="14612" width="7.5546875" style="4378" customWidth="1"/>
    <col min="14613" max="14613" width="8.109375" style="4378" customWidth="1"/>
    <col min="14614" max="14614" width="10.88671875" style="4378" customWidth="1"/>
    <col min="14615" max="14617" width="6.88671875" style="4378" customWidth="1"/>
    <col min="14618" max="14618" width="11.44140625" style="4378" customWidth="1"/>
    <col min="14619" max="14621" width="6.88671875" style="4378" customWidth="1"/>
    <col min="14622" max="14622" width="11.44140625" style="4378"/>
    <col min="14623" max="14623" width="1.5546875" style="4378" customWidth="1"/>
    <col min="14624" max="14848" width="11.44140625" style="4378"/>
    <col min="14849" max="14849" width="15.109375" style="4378" customWidth="1"/>
    <col min="14850" max="14850" width="13" style="4378" bestFit="1" customWidth="1"/>
    <col min="14851" max="14851" width="6.109375" style="4378" customWidth="1"/>
    <col min="14852" max="14852" width="7.5546875" style="4378" customWidth="1"/>
    <col min="14853" max="14853" width="8" style="4378" customWidth="1"/>
    <col min="14854" max="14854" width="10.88671875" style="4378" customWidth="1"/>
    <col min="14855" max="14855" width="6.109375" style="4378" customWidth="1"/>
    <col min="14856" max="14856" width="7.5546875" style="4378" customWidth="1"/>
    <col min="14857" max="14857" width="8.109375" style="4378" customWidth="1"/>
    <col min="14858" max="14858" width="10.88671875" style="4378" customWidth="1"/>
    <col min="14859" max="14859" width="6.109375" style="4378" customWidth="1"/>
    <col min="14860" max="14860" width="7.5546875" style="4378" customWidth="1"/>
    <col min="14861" max="14861" width="8.109375" style="4378" customWidth="1"/>
    <col min="14862" max="14862" width="10.88671875" style="4378" customWidth="1"/>
    <col min="14863" max="14863" width="6.88671875" style="4378" customWidth="1"/>
    <col min="14864" max="14864" width="7.5546875" style="4378" customWidth="1"/>
    <col min="14865" max="14865" width="8.109375" style="4378" customWidth="1"/>
    <col min="14866" max="14866" width="10.88671875" style="4378" customWidth="1"/>
    <col min="14867" max="14867" width="6.88671875" style="4378" customWidth="1"/>
    <col min="14868" max="14868" width="7.5546875" style="4378" customWidth="1"/>
    <col min="14869" max="14869" width="8.109375" style="4378" customWidth="1"/>
    <col min="14870" max="14870" width="10.88671875" style="4378" customWidth="1"/>
    <col min="14871" max="14873" width="6.88671875" style="4378" customWidth="1"/>
    <col min="14874" max="14874" width="11.44140625" style="4378" customWidth="1"/>
    <col min="14875" max="14877" width="6.88671875" style="4378" customWidth="1"/>
    <col min="14878" max="14878" width="11.44140625" style="4378"/>
    <col min="14879" max="14879" width="1.5546875" style="4378" customWidth="1"/>
    <col min="14880" max="15104" width="11.44140625" style="4378"/>
    <col min="15105" max="15105" width="15.109375" style="4378" customWidth="1"/>
    <col min="15106" max="15106" width="13" style="4378" bestFit="1" customWidth="1"/>
    <col min="15107" max="15107" width="6.109375" style="4378" customWidth="1"/>
    <col min="15108" max="15108" width="7.5546875" style="4378" customWidth="1"/>
    <col min="15109" max="15109" width="8" style="4378" customWidth="1"/>
    <col min="15110" max="15110" width="10.88671875" style="4378" customWidth="1"/>
    <col min="15111" max="15111" width="6.109375" style="4378" customWidth="1"/>
    <col min="15112" max="15112" width="7.5546875" style="4378" customWidth="1"/>
    <col min="15113" max="15113" width="8.109375" style="4378" customWidth="1"/>
    <col min="15114" max="15114" width="10.88671875" style="4378" customWidth="1"/>
    <col min="15115" max="15115" width="6.109375" style="4378" customWidth="1"/>
    <col min="15116" max="15116" width="7.5546875" style="4378" customWidth="1"/>
    <col min="15117" max="15117" width="8.109375" style="4378" customWidth="1"/>
    <col min="15118" max="15118" width="10.88671875" style="4378" customWidth="1"/>
    <col min="15119" max="15119" width="6.88671875" style="4378" customWidth="1"/>
    <col min="15120" max="15120" width="7.5546875" style="4378" customWidth="1"/>
    <col min="15121" max="15121" width="8.109375" style="4378" customWidth="1"/>
    <col min="15122" max="15122" width="10.88671875" style="4378" customWidth="1"/>
    <col min="15123" max="15123" width="6.88671875" style="4378" customWidth="1"/>
    <col min="15124" max="15124" width="7.5546875" style="4378" customWidth="1"/>
    <col min="15125" max="15125" width="8.109375" style="4378" customWidth="1"/>
    <col min="15126" max="15126" width="10.88671875" style="4378" customWidth="1"/>
    <col min="15127" max="15129" width="6.88671875" style="4378" customWidth="1"/>
    <col min="15130" max="15130" width="11.44140625" style="4378" customWidth="1"/>
    <col min="15131" max="15133" width="6.88671875" style="4378" customWidth="1"/>
    <col min="15134" max="15134" width="11.44140625" style="4378"/>
    <col min="15135" max="15135" width="1.5546875" style="4378" customWidth="1"/>
    <col min="15136" max="15360" width="11.44140625" style="4378"/>
    <col min="15361" max="15361" width="15.109375" style="4378" customWidth="1"/>
    <col min="15362" max="15362" width="13" style="4378" bestFit="1" customWidth="1"/>
    <col min="15363" max="15363" width="6.109375" style="4378" customWidth="1"/>
    <col min="15364" max="15364" width="7.5546875" style="4378" customWidth="1"/>
    <col min="15365" max="15365" width="8" style="4378" customWidth="1"/>
    <col min="15366" max="15366" width="10.88671875" style="4378" customWidth="1"/>
    <col min="15367" max="15367" width="6.109375" style="4378" customWidth="1"/>
    <col min="15368" max="15368" width="7.5546875" style="4378" customWidth="1"/>
    <col min="15369" max="15369" width="8.109375" style="4378" customWidth="1"/>
    <col min="15370" max="15370" width="10.88671875" style="4378" customWidth="1"/>
    <col min="15371" max="15371" width="6.109375" style="4378" customWidth="1"/>
    <col min="15372" max="15372" width="7.5546875" style="4378" customWidth="1"/>
    <col min="15373" max="15373" width="8.109375" style="4378" customWidth="1"/>
    <col min="15374" max="15374" width="10.88671875" style="4378" customWidth="1"/>
    <col min="15375" max="15375" width="6.88671875" style="4378" customWidth="1"/>
    <col min="15376" max="15376" width="7.5546875" style="4378" customWidth="1"/>
    <col min="15377" max="15377" width="8.109375" style="4378" customWidth="1"/>
    <col min="15378" max="15378" width="10.88671875" style="4378" customWidth="1"/>
    <col min="15379" max="15379" width="6.88671875" style="4378" customWidth="1"/>
    <col min="15380" max="15380" width="7.5546875" style="4378" customWidth="1"/>
    <col min="15381" max="15381" width="8.109375" style="4378" customWidth="1"/>
    <col min="15382" max="15382" width="10.88671875" style="4378" customWidth="1"/>
    <col min="15383" max="15385" width="6.88671875" style="4378" customWidth="1"/>
    <col min="15386" max="15386" width="11.44140625" style="4378" customWidth="1"/>
    <col min="15387" max="15389" width="6.88671875" style="4378" customWidth="1"/>
    <col min="15390" max="15390" width="11.44140625" style="4378"/>
    <col min="15391" max="15391" width="1.5546875" style="4378" customWidth="1"/>
    <col min="15392" max="15616" width="11.44140625" style="4378"/>
    <col min="15617" max="15617" width="15.109375" style="4378" customWidth="1"/>
    <col min="15618" max="15618" width="13" style="4378" bestFit="1" customWidth="1"/>
    <col min="15619" max="15619" width="6.109375" style="4378" customWidth="1"/>
    <col min="15620" max="15620" width="7.5546875" style="4378" customWidth="1"/>
    <col min="15621" max="15621" width="8" style="4378" customWidth="1"/>
    <col min="15622" max="15622" width="10.88671875" style="4378" customWidth="1"/>
    <col min="15623" max="15623" width="6.109375" style="4378" customWidth="1"/>
    <col min="15624" max="15624" width="7.5546875" style="4378" customWidth="1"/>
    <col min="15625" max="15625" width="8.109375" style="4378" customWidth="1"/>
    <col min="15626" max="15626" width="10.88671875" style="4378" customWidth="1"/>
    <col min="15627" max="15627" width="6.109375" style="4378" customWidth="1"/>
    <col min="15628" max="15628" width="7.5546875" style="4378" customWidth="1"/>
    <col min="15629" max="15629" width="8.109375" style="4378" customWidth="1"/>
    <col min="15630" max="15630" width="10.88671875" style="4378" customWidth="1"/>
    <col min="15631" max="15631" width="6.88671875" style="4378" customWidth="1"/>
    <col min="15632" max="15632" width="7.5546875" style="4378" customWidth="1"/>
    <col min="15633" max="15633" width="8.109375" style="4378" customWidth="1"/>
    <col min="15634" max="15634" width="10.88671875" style="4378" customWidth="1"/>
    <col min="15635" max="15635" width="6.88671875" style="4378" customWidth="1"/>
    <col min="15636" max="15636" width="7.5546875" style="4378" customWidth="1"/>
    <col min="15637" max="15637" width="8.109375" style="4378" customWidth="1"/>
    <col min="15638" max="15638" width="10.88671875" style="4378" customWidth="1"/>
    <col min="15639" max="15641" width="6.88671875" style="4378" customWidth="1"/>
    <col min="15642" max="15642" width="11.44140625" style="4378" customWidth="1"/>
    <col min="15643" max="15645" width="6.88671875" style="4378" customWidth="1"/>
    <col min="15646" max="15646" width="11.44140625" style="4378"/>
    <col min="15647" max="15647" width="1.5546875" style="4378" customWidth="1"/>
    <col min="15648" max="15872" width="11.44140625" style="4378"/>
    <col min="15873" max="15873" width="15.109375" style="4378" customWidth="1"/>
    <col min="15874" max="15874" width="13" style="4378" bestFit="1" customWidth="1"/>
    <col min="15875" max="15875" width="6.109375" style="4378" customWidth="1"/>
    <col min="15876" max="15876" width="7.5546875" style="4378" customWidth="1"/>
    <col min="15877" max="15877" width="8" style="4378" customWidth="1"/>
    <col min="15878" max="15878" width="10.88671875" style="4378" customWidth="1"/>
    <col min="15879" max="15879" width="6.109375" style="4378" customWidth="1"/>
    <col min="15880" max="15880" width="7.5546875" style="4378" customWidth="1"/>
    <col min="15881" max="15881" width="8.109375" style="4378" customWidth="1"/>
    <col min="15882" max="15882" width="10.88671875" style="4378" customWidth="1"/>
    <col min="15883" max="15883" width="6.109375" style="4378" customWidth="1"/>
    <col min="15884" max="15884" width="7.5546875" style="4378" customWidth="1"/>
    <col min="15885" max="15885" width="8.109375" style="4378" customWidth="1"/>
    <col min="15886" max="15886" width="10.88671875" style="4378" customWidth="1"/>
    <col min="15887" max="15887" width="6.88671875" style="4378" customWidth="1"/>
    <col min="15888" max="15888" width="7.5546875" style="4378" customWidth="1"/>
    <col min="15889" max="15889" width="8.109375" style="4378" customWidth="1"/>
    <col min="15890" max="15890" width="10.88671875" style="4378" customWidth="1"/>
    <col min="15891" max="15891" width="6.88671875" style="4378" customWidth="1"/>
    <col min="15892" max="15892" width="7.5546875" style="4378" customWidth="1"/>
    <col min="15893" max="15893" width="8.109375" style="4378" customWidth="1"/>
    <col min="15894" max="15894" width="10.88671875" style="4378" customWidth="1"/>
    <col min="15895" max="15897" width="6.88671875" style="4378" customWidth="1"/>
    <col min="15898" max="15898" width="11.44140625" style="4378" customWidth="1"/>
    <col min="15899" max="15901" width="6.88671875" style="4378" customWidth="1"/>
    <col min="15902" max="15902" width="11.44140625" style="4378"/>
    <col min="15903" max="15903" width="1.5546875" style="4378" customWidth="1"/>
    <col min="15904" max="16128" width="11.44140625" style="4378"/>
    <col min="16129" max="16129" width="15.109375" style="4378" customWidth="1"/>
    <col min="16130" max="16130" width="13" style="4378" bestFit="1" customWidth="1"/>
    <col min="16131" max="16131" width="6.109375" style="4378" customWidth="1"/>
    <col min="16132" max="16132" width="7.5546875" style="4378" customWidth="1"/>
    <col min="16133" max="16133" width="8" style="4378" customWidth="1"/>
    <col min="16134" max="16134" width="10.88671875" style="4378" customWidth="1"/>
    <col min="16135" max="16135" width="6.109375" style="4378" customWidth="1"/>
    <col min="16136" max="16136" width="7.5546875" style="4378" customWidth="1"/>
    <col min="16137" max="16137" width="8.109375" style="4378" customWidth="1"/>
    <col min="16138" max="16138" width="10.88671875" style="4378" customWidth="1"/>
    <col min="16139" max="16139" width="6.109375" style="4378" customWidth="1"/>
    <col min="16140" max="16140" width="7.5546875" style="4378" customWidth="1"/>
    <col min="16141" max="16141" width="8.109375" style="4378" customWidth="1"/>
    <col min="16142" max="16142" width="10.88671875" style="4378" customWidth="1"/>
    <col min="16143" max="16143" width="6.88671875" style="4378" customWidth="1"/>
    <col min="16144" max="16144" width="7.5546875" style="4378" customWidth="1"/>
    <col min="16145" max="16145" width="8.109375" style="4378" customWidth="1"/>
    <col min="16146" max="16146" width="10.88671875" style="4378" customWidth="1"/>
    <col min="16147" max="16147" width="6.88671875" style="4378" customWidth="1"/>
    <col min="16148" max="16148" width="7.5546875" style="4378" customWidth="1"/>
    <col min="16149" max="16149" width="8.109375" style="4378" customWidth="1"/>
    <col min="16150" max="16150" width="10.88671875" style="4378" customWidth="1"/>
    <col min="16151" max="16153" width="6.88671875" style="4378" customWidth="1"/>
    <col min="16154" max="16154" width="11.44140625" style="4378" customWidth="1"/>
    <col min="16155" max="16157" width="6.88671875" style="4378" customWidth="1"/>
    <col min="16158" max="16158" width="11.44140625" style="4378"/>
    <col min="16159" max="16159" width="1.5546875" style="4378" customWidth="1"/>
    <col min="16160" max="16384" width="11.44140625" style="4378"/>
  </cols>
  <sheetData>
    <row r="1" spans="2:82" ht="60" x14ac:dyDescent="0.25">
      <c r="B1" s="4377" t="s">
        <v>1390</v>
      </c>
      <c r="D1" s="4379"/>
      <c r="E1" s="4379"/>
      <c r="F1" s="4379"/>
      <c r="G1" s="4379"/>
      <c r="H1" s="4379"/>
      <c r="I1" s="4379"/>
      <c r="J1" s="4379"/>
      <c r="K1" s="4379"/>
      <c r="L1" s="4379"/>
      <c r="M1" s="4379"/>
      <c r="N1" s="4379"/>
      <c r="O1" s="4379"/>
      <c r="P1" s="4379"/>
      <c r="Q1" s="4379"/>
      <c r="R1" s="4379"/>
      <c r="S1" s="4379"/>
      <c r="T1" s="4379"/>
      <c r="U1" s="4379"/>
      <c r="V1" s="4379"/>
    </row>
    <row r="2" spans="2:82" ht="11.25" customHeight="1" x14ac:dyDescent="0.25">
      <c r="D2" s="4381"/>
      <c r="E2" s="4381"/>
      <c r="F2" s="4381"/>
      <c r="G2" s="4381"/>
      <c r="H2" s="4381"/>
      <c r="I2" s="4381"/>
      <c r="J2" s="4381"/>
      <c r="K2" s="4381"/>
      <c r="L2" s="4381"/>
      <c r="M2" s="4381"/>
      <c r="N2" s="4381"/>
      <c r="O2" s="4381"/>
      <c r="P2" s="4381"/>
      <c r="Q2" s="4381"/>
      <c r="R2" s="4381"/>
      <c r="S2" s="4381"/>
      <c r="T2" s="4382"/>
      <c r="U2" s="4382"/>
      <c r="V2" s="4382"/>
      <c r="W2" s="4382"/>
      <c r="X2" s="4382"/>
      <c r="Y2" s="4382"/>
      <c r="Z2" s="4382"/>
      <c r="AA2" s="4382"/>
      <c r="AB2" s="4382"/>
      <c r="AC2" s="4382"/>
      <c r="AD2" s="4382"/>
      <c r="AE2" s="4382"/>
      <c r="AF2" s="4382"/>
      <c r="AG2" s="4382"/>
      <c r="AH2" s="4382"/>
      <c r="AI2" s="4382"/>
      <c r="AJ2" s="4382"/>
      <c r="AK2" s="4382"/>
      <c r="AL2" s="4382"/>
      <c r="AM2" s="4382"/>
      <c r="AN2" s="4382"/>
      <c r="AO2" s="4382"/>
      <c r="AP2" s="4382"/>
      <c r="AQ2" s="4382"/>
      <c r="AR2" s="4382"/>
      <c r="AS2" s="4382"/>
      <c r="AT2" s="4382"/>
    </row>
    <row r="3" spans="2:82" x14ac:dyDescent="0.25">
      <c r="B3" s="6186" t="s">
        <v>823</v>
      </c>
      <c r="C3" s="6182" t="s">
        <v>908</v>
      </c>
      <c r="D3" s="6183"/>
      <c r="E3" s="6183"/>
      <c r="F3" s="6184"/>
      <c r="G3" s="6182">
        <v>2004</v>
      </c>
      <c r="H3" s="6183"/>
      <c r="I3" s="6183"/>
      <c r="J3" s="6184"/>
      <c r="K3" s="6182">
        <v>2005</v>
      </c>
      <c r="L3" s="6183"/>
      <c r="M3" s="6183"/>
      <c r="N3" s="6184"/>
      <c r="O3" s="6182">
        <v>2006</v>
      </c>
      <c r="P3" s="6183"/>
      <c r="Q3" s="6183"/>
      <c r="R3" s="6184"/>
      <c r="S3" s="6182">
        <v>2007</v>
      </c>
      <c r="T3" s="6183"/>
      <c r="U3" s="6183"/>
      <c r="V3" s="6184"/>
      <c r="W3" s="6182">
        <v>2008</v>
      </c>
      <c r="X3" s="6183"/>
      <c r="Y3" s="6183"/>
      <c r="Z3" s="6184"/>
      <c r="AA3" s="6182">
        <v>2009</v>
      </c>
      <c r="AB3" s="6183"/>
      <c r="AC3" s="6183"/>
      <c r="AD3" s="6184"/>
      <c r="AE3" s="6182">
        <v>2010</v>
      </c>
      <c r="AF3" s="6183"/>
      <c r="AG3" s="6183"/>
      <c r="AH3" s="6184"/>
      <c r="AI3" s="6182">
        <v>2011</v>
      </c>
      <c r="AJ3" s="6183"/>
      <c r="AK3" s="6183"/>
      <c r="AL3" s="6184"/>
      <c r="AM3" s="6182">
        <v>2012</v>
      </c>
      <c r="AN3" s="6183"/>
      <c r="AO3" s="6183"/>
      <c r="AP3" s="6184"/>
      <c r="AQ3" s="6182">
        <v>2013</v>
      </c>
      <c r="AR3" s="6183"/>
      <c r="AS3" s="6183"/>
      <c r="AT3" s="6184"/>
      <c r="AU3" s="6182">
        <v>2014</v>
      </c>
      <c r="AV3" s="6183"/>
      <c r="AW3" s="6183"/>
      <c r="AX3" s="6184"/>
      <c r="AY3" s="6182">
        <v>2015</v>
      </c>
      <c r="AZ3" s="6183"/>
      <c r="BA3" s="6183"/>
      <c r="BB3" s="6184"/>
      <c r="BC3" s="6182">
        <v>2016</v>
      </c>
      <c r="BD3" s="6183"/>
      <c r="BE3" s="6183"/>
      <c r="BF3" s="6184"/>
      <c r="BG3" s="6182">
        <v>2017</v>
      </c>
      <c r="BH3" s="6183"/>
      <c r="BI3" s="6183"/>
      <c r="BJ3" s="6184"/>
      <c r="BK3" s="6182">
        <v>2018</v>
      </c>
      <c r="BL3" s="6183"/>
      <c r="BM3" s="6183"/>
      <c r="BN3" s="6184"/>
      <c r="BO3" s="6182">
        <v>2019</v>
      </c>
      <c r="BP3" s="6183"/>
      <c r="BQ3" s="6183"/>
      <c r="BR3" s="6184"/>
      <c r="BS3" s="6182">
        <v>2020</v>
      </c>
      <c r="BT3" s="6183"/>
      <c r="BU3" s="6183"/>
      <c r="BV3" s="6184"/>
      <c r="BW3" s="6182">
        <v>2021</v>
      </c>
      <c r="BX3" s="6183"/>
      <c r="BY3" s="6183"/>
      <c r="BZ3" s="6184"/>
      <c r="CA3" s="6182">
        <v>2022</v>
      </c>
      <c r="CB3" s="6183"/>
      <c r="CC3" s="6183"/>
      <c r="CD3" s="6184"/>
    </row>
    <row r="4" spans="2:82" x14ac:dyDescent="0.25">
      <c r="B4" s="6187"/>
      <c r="C4" s="3648" t="s">
        <v>909</v>
      </c>
      <c r="D4" s="3649" t="s">
        <v>910</v>
      </c>
      <c r="E4" s="3650" t="s">
        <v>911</v>
      </c>
      <c r="F4" s="3651" t="s">
        <v>48</v>
      </c>
      <c r="G4" s="3648" t="s">
        <v>909</v>
      </c>
      <c r="H4" s="3649" t="s">
        <v>910</v>
      </c>
      <c r="I4" s="3650" t="s">
        <v>911</v>
      </c>
      <c r="J4" s="3651" t="s">
        <v>48</v>
      </c>
      <c r="K4" s="3648" t="s">
        <v>909</v>
      </c>
      <c r="L4" s="3649" t="s">
        <v>910</v>
      </c>
      <c r="M4" s="3650" t="s">
        <v>911</v>
      </c>
      <c r="N4" s="3651" t="s">
        <v>48</v>
      </c>
      <c r="O4" s="3648" t="s">
        <v>909</v>
      </c>
      <c r="P4" s="3649" t="s">
        <v>910</v>
      </c>
      <c r="Q4" s="3650" t="s">
        <v>911</v>
      </c>
      <c r="R4" s="3651" t="s">
        <v>48</v>
      </c>
      <c r="S4" s="3648" t="s">
        <v>909</v>
      </c>
      <c r="T4" s="3649" t="s">
        <v>910</v>
      </c>
      <c r="U4" s="3650" t="s">
        <v>911</v>
      </c>
      <c r="V4" s="3651" t="s">
        <v>48</v>
      </c>
      <c r="W4" s="3648" t="s">
        <v>909</v>
      </c>
      <c r="X4" s="3649" t="s">
        <v>910</v>
      </c>
      <c r="Y4" s="3650" t="s">
        <v>911</v>
      </c>
      <c r="Z4" s="3651" t="s">
        <v>48</v>
      </c>
      <c r="AA4" s="3648" t="s">
        <v>909</v>
      </c>
      <c r="AB4" s="3649" t="s">
        <v>910</v>
      </c>
      <c r="AC4" s="3650" t="s">
        <v>911</v>
      </c>
      <c r="AD4" s="3651" t="s">
        <v>48</v>
      </c>
      <c r="AE4" s="3648" t="s">
        <v>909</v>
      </c>
      <c r="AF4" s="3649" t="s">
        <v>910</v>
      </c>
      <c r="AG4" s="3650" t="s">
        <v>911</v>
      </c>
      <c r="AH4" s="3651" t="s">
        <v>48</v>
      </c>
      <c r="AI4" s="3648" t="s">
        <v>909</v>
      </c>
      <c r="AJ4" s="3649" t="s">
        <v>910</v>
      </c>
      <c r="AK4" s="3650" t="s">
        <v>911</v>
      </c>
      <c r="AL4" s="3651" t="s">
        <v>48</v>
      </c>
      <c r="AM4" s="3648" t="s">
        <v>909</v>
      </c>
      <c r="AN4" s="3649" t="s">
        <v>910</v>
      </c>
      <c r="AO4" s="3650" t="s">
        <v>911</v>
      </c>
      <c r="AP4" s="3651" t="s">
        <v>48</v>
      </c>
      <c r="AQ4" s="3648" t="s">
        <v>909</v>
      </c>
      <c r="AR4" s="3649" t="s">
        <v>910</v>
      </c>
      <c r="AS4" s="3650" t="s">
        <v>911</v>
      </c>
      <c r="AT4" s="3651" t="s">
        <v>48</v>
      </c>
      <c r="AU4" s="3648" t="s">
        <v>909</v>
      </c>
      <c r="AV4" s="3649" t="s">
        <v>910</v>
      </c>
      <c r="AW4" s="3650" t="s">
        <v>911</v>
      </c>
      <c r="AX4" s="3651" t="s">
        <v>48</v>
      </c>
      <c r="AY4" s="3648" t="s">
        <v>909</v>
      </c>
      <c r="AZ4" s="3649" t="s">
        <v>910</v>
      </c>
      <c r="BA4" s="3650" t="s">
        <v>911</v>
      </c>
      <c r="BB4" s="3651" t="s">
        <v>48</v>
      </c>
      <c r="BC4" s="3648" t="s">
        <v>909</v>
      </c>
      <c r="BD4" s="3649" t="s">
        <v>910</v>
      </c>
      <c r="BE4" s="3650" t="s">
        <v>911</v>
      </c>
      <c r="BF4" s="3651" t="s">
        <v>48</v>
      </c>
      <c r="BG4" s="3648" t="s">
        <v>909</v>
      </c>
      <c r="BH4" s="3649" t="s">
        <v>910</v>
      </c>
      <c r="BI4" s="3650" t="s">
        <v>911</v>
      </c>
      <c r="BJ4" s="3651" t="s">
        <v>48</v>
      </c>
      <c r="BK4" s="3648" t="s">
        <v>909</v>
      </c>
      <c r="BL4" s="3649" t="s">
        <v>910</v>
      </c>
      <c r="BM4" s="3650" t="s">
        <v>911</v>
      </c>
      <c r="BN4" s="3651" t="s">
        <v>48</v>
      </c>
      <c r="BO4" s="3648" t="s">
        <v>909</v>
      </c>
      <c r="BP4" s="3649" t="s">
        <v>910</v>
      </c>
      <c r="BQ4" s="3650" t="s">
        <v>911</v>
      </c>
      <c r="BR4" s="3651" t="s">
        <v>48</v>
      </c>
      <c r="BS4" s="3648" t="s">
        <v>909</v>
      </c>
      <c r="BT4" s="3649" t="s">
        <v>910</v>
      </c>
      <c r="BU4" s="3650" t="s">
        <v>911</v>
      </c>
      <c r="BV4" s="3651" t="s">
        <v>48</v>
      </c>
      <c r="BW4" s="3648" t="s">
        <v>909</v>
      </c>
      <c r="BX4" s="3649" t="s">
        <v>910</v>
      </c>
      <c r="BY4" s="3650" t="s">
        <v>911</v>
      </c>
      <c r="BZ4" s="3651" t="s">
        <v>48</v>
      </c>
      <c r="CA4" s="3648" t="s">
        <v>909</v>
      </c>
      <c r="CB4" s="3649" t="s">
        <v>910</v>
      </c>
      <c r="CC4" s="3650" t="s">
        <v>911</v>
      </c>
      <c r="CD4" s="3651" t="s">
        <v>48</v>
      </c>
    </row>
    <row r="6" spans="2:82" ht="15" customHeight="1" x14ac:dyDescent="0.25">
      <c r="B6" s="3591" t="s">
        <v>59</v>
      </c>
      <c r="C6" s="3652"/>
      <c r="D6" s="3653"/>
      <c r="E6" s="3654"/>
      <c r="F6" s="3655"/>
      <c r="G6" s="3652"/>
      <c r="H6" s="3654">
        <v>6</v>
      </c>
      <c r="I6" s="3654">
        <v>30</v>
      </c>
      <c r="J6" s="3655">
        <v>36</v>
      </c>
      <c r="K6" s="3652"/>
      <c r="L6" s="3654">
        <v>7</v>
      </c>
      <c r="M6" s="3654">
        <v>32</v>
      </c>
      <c r="N6" s="3655">
        <v>39</v>
      </c>
      <c r="O6" s="3652">
        <v>1</v>
      </c>
      <c r="P6" s="3654">
        <v>10</v>
      </c>
      <c r="Q6" s="3654">
        <v>30</v>
      </c>
      <c r="R6" s="3655">
        <v>41</v>
      </c>
      <c r="S6" s="3652">
        <v>1</v>
      </c>
      <c r="T6" s="3654">
        <v>14</v>
      </c>
      <c r="U6" s="3654">
        <v>25</v>
      </c>
      <c r="V6" s="3655">
        <v>40</v>
      </c>
      <c r="W6" s="3652">
        <v>2</v>
      </c>
      <c r="X6" s="3654">
        <v>13</v>
      </c>
      <c r="Y6" s="3654">
        <v>25</v>
      </c>
      <c r="Z6" s="3655">
        <v>40</v>
      </c>
      <c r="AA6" s="3652">
        <v>4</v>
      </c>
      <c r="AB6" s="3654">
        <v>13</v>
      </c>
      <c r="AC6" s="3654">
        <v>22</v>
      </c>
      <c r="AD6" s="3655">
        <v>39</v>
      </c>
      <c r="AE6" s="3652">
        <v>6</v>
      </c>
      <c r="AF6" s="3654">
        <v>12</v>
      </c>
      <c r="AG6" s="3654">
        <v>12</v>
      </c>
      <c r="AH6" s="3655">
        <f>SUM(AE6:AG6)</f>
        <v>30</v>
      </c>
      <c r="AI6" s="3652">
        <v>8</v>
      </c>
      <c r="AJ6" s="3654">
        <v>9</v>
      </c>
      <c r="AK6" s="3654">
        <v>10</v>
      </c>
      <c r="AL6" s="3655">
        <f>SUM(AI6:AK6)</f>
        <v>27</v>
      </c>
      <c r="AM6" s="3652">
        <v>8</v>
      </c>
      <c r="AN6" s="3654">
        <v>11</v>
      </c>
      <c r="AO6" s="3654">
        <v>9</v>
      </c>
      <c r="AP6" s="3655">
        <f>SUM(AM6:AO6)</f>
        <v>28</v>
      </c>
      <c r="AQ6" s="3652">
        <v>8</v>
      </c>
      <c r="AR6" s="3654">
        <v>11</v>
      </c>
      <c r="AS6" s="3654">
        <v>9</v>
      </c>
      <c r="AT6" s="3655">
        <f t="shared" ref="AT6:AT13" si="0">SUM(AQ6:AS6)</f>
        <v>28</v>
      </c>
      <c r="AU6" s="3652">
        <v>8</v>
      </c>
      <c r="AV6" s="3654">
        <v>10</v>
      </c>
      <c r="AW6" s="3654">
        <v>8</v>
      </c>
      <c r="AX6" s="3655">
        <f>SUM(AU6:AW6)</f>
        <v>26</v>
      </c>
      <c r="AY6" s="3652">
        <v>11</v>
      </c>
      <c r="AZ6" s="3654">
        <v>4</v>
      </c>
      <c r="BA6" s="3654">
        <v>12</v>
      </c>
      <c r="BB6" s="3655">
        <f>SUM(AY6:BA6)</f>
        <v>27</v>
      </c>
      <c r="BC6" s="3652">
        <v>11</v>
      </c>
      <c r="BD6" s="3654">
        <v>3</v>
      </c>
      <c r="BE6" s="3654">
        <v>13</v>
      </c>
      <c r="BF6" s="3655">
        <f>SUM(BC6:BE6)</f>
        <v>27</v>
      </c>
      <c r="BG6" s="3652">
        <v>10</v>
      </c>
      <c r="BH6" s="3654">
        <v>4</v>
      </c>
      <c r="BI6" s="3654">
        <v>14</v>
      </c>
      <c r="BJ6" s="3655">
        <f>SUM(BG6:BI6)</f>
        <v>28</v>
      </c>
      <c r="BK6" s="3652">
        <v>14</v>
      </c>
      <c r="BL6" s="3654">
        <v>3</v>
      </c>
      <c r="BM6" s="3654">
        <v>13</v>
      </c>
      <c r="BN6" s="3655">
        <f>SUM(BK6:BM6)</f>
        <v>30</v>
      </c>
      <c r="BO6" s="3652">
        <v>11</v>
      </c>
      <c r="BP6" s="3654">
        <v>7</v>
      </c>
      <c r="BQ6" s="3654">
        <v>11</v>
      </c>
      <c r="BR6" s="3655">
        <f>SUM(BO6:BQ6)</f>
        <v>29</v>
      </c>
      <c r="BS6" s="3652">
        <v>11</v>
      </c>
      <c r="BT6" s="3654">
        <v>7</v>
      </c>
      <c r="BU6" s="3654">
        <v>11</v>
      </c>
      <c r="BV6" s="3655">
        <f>SUM(BS6:BU6)</f>
        <v>29</v>
      </c>
      <c r="BW6" s="3652">
        <v>10</v>
      </c>
      <c r="BX6" s="3654">
        <v>8</v>
      </c>
      <c r="BY6" s="3654">
        <v>11</v>
      </c>
      <c r="BZ6" s="3655">
        <f>SUM(BW6:BY6)</f>
        <v>29</v>
      </c>
      <c r="CA6" s="3652">
        <v>11</v>
      </c>
      <c r="CB6" s="3654">
        <v>7</v>
      </c>
      <c r="CC6" s="3654">
        <v>10</v>
      </c>
      <c r="CD6" s="3655">
        <f>SUM(CA6:CC6)</f>
        <v>28</v>
      </c>
    </row>
    <row r="7" spans="2:82" ht="15" customHeight="1" x14ac:dyDescent="0.25">
      <c r="B7" s="3595" t="s">
        <v>64</v>
      </c>
      <c r="C7" s="3656"/>
      <c r="D7" s="3657"/>
      <c r="E7" s="3657"/>
      <c r="F7" s="3658"/>
      <c r="G7" s="3656"/>
      <c r="H7" s="3657">
        <v>2</v>
      </c>
      <c r="I7" s="3657">
        <v>28</v>
      </c>
      <c r="J7" s="3658">
        <v>30</v>
      </c>
      <c r="K7" s="3656"/>
      <c r="L7" s="3657">
        <v>2</v>
      </c>
      <c r="M7" s="3657">
        <v>31</v>
      </c>
      <c r="N7" s="3658">
        <v>33</v>
      </c>
      <c r="O7" s="3656">
        <v>3</v>
      </c>
      <c r="P7" s="3657">
        <v>7</v>
      </c>
      <c r="Q7" s="3657">
        <v>27</v>
      </c>
      <c r="R7" s="3658">
        <v>37</v>
      </c>
      <c r="S7" s="3656">
        <v>4</v>
      </c>
      <c r="T7" s="3657">
        <v>11</v>
      </c>
      <c r="U7" s="3657">
        <v>28</v>
      </c>
      <c r="V7" s="3658">
        <v>43</v>
      </c>
      <c r="W7" s="3656">
        <v>4</v>
      </c>
      <c r="X7" s="3657">
        <v>11</v>
      </c>
      <c r="Y7" s="3657">
        <v>28</v>
      </c>
      <c r="Z7" s="3658">
        <v>43</v>
      </c>
      <c r="AA7" s="3656">
        <v>4</v>
      </c>
      <c r="AB7" s="3657">
        <v>16</v>
      </c>
      <c r="AC7" s="3657">
        <v>22</v>
      </c>
      <c r="AD7" s="3658">
        <v>42</v>
      </c>
      <c r="AE7" s="3656">
        <v>6</v>
      </c>
      <c r="AF7" s="3657">
        <v>16</v>
      </c>
      <c r="AG7" s="3657">
        <v>12</v>
      </c>
      <c r="AH7" s="3658">
        <f>SUM(AE7:AG7)</f>
        <v>34</v>
      </c>
      <c r="AI7" s="3656">
        <v>6</v>
      </c>
      <c r="AJ7" s="3657">
        <v>17</v>
      </c>
      <c r="AK7" s="3657">
        <v>11</v>
      </c>
      <c r="AL7" s="3658">
        <f>SUM(AI7:AK7)</f>
        <v>34</v>
      </c>
      <c r="AM7" s="3656">
        <v>6</v>
      </c>
      <c r="AN7" s="3657">
        <v>15</v>
      </c>
      <c r="AO7" s="3657">
        <v>9</v>
      </c>
      <c r="AP7" s="3658">
        <f>SUM(AM7:AO7)</f>
        <v>30</v>
      </c>
      <c r="AQ7" s="3656">
        <v>6</v>
      </c>
      <c r="AR7" s="3657">
        <v>15</v>
      </c>
      <c r="AS7" s="3657">
        <v>10</v>
      </c>
      <c r="AT7" s="3658">
        <f t="shared" si="0"/>
        <v>31</v>
      </c>
      <c r="AU7" s="3656">
        <v>7</v>
      </c>
      <c r="AV7" s="3657">
        <v>11</v>
      </c>
      <c r="AW7" s="3657">
        <v>12</v>
      </c>
      <c r="AX7" s="3658">
        <f>SUM(AU7:AW7)</f>
        <v>30</v>
      </c>
      <c r="AY7" s="3656">
        <v>7</v>
      </c>
      <c r="AZ7" s="3657">
        <v>10</v>
      </c>
      <c r="BA7" s="3657">
        <v>13</v>
      </c>
      <c r="BB7" s="3658">
        <f>SUM(AY7:BA7)</f>
        <v>30</v>
      </c>
      <c r="BC7" s="3656">
        <v>8</v>
      </c>
      <c r="BD7" s="3657">
        <v>10</v>
      </c>
      <c r="BE7" s="3657">
        <v>8</v>
      </c>
      <c r="BF7" s="3658">
        <f>SUM(BC7:BE7)</f>
        <v>26</v>
      </c>
      <c r="BG7" s="3656">
        <v>10</v>
      </c>
      <c r="BH7" s="3657">
        <v>8</v>
      </c>
      <c r="BI7" s="3657">
        <v>6</v>
      </c>
      <c r="BJ7" s="3658">
        <f>SUM(BG7:BI7)</f>
        <v>24</v>
      </c>
      <c r="BK7" s="3656">
        <v>10</v>
      </c>
      <c r="BL7" s="3657">
        <v>6</v>
      </c>
      <c r="BM7" s="3657">
        <v>8</v>
      </c>
      <c r="BN7" s="3658">
        <f>SUM(BK7:BM7)</f>
        <v>24</v>
      </c>
      <c r="BO7" s="3656">
        <v>11</v>
      </c>
      <c r="BP7" s="3657">
        <v>4</v>
      </c>
      <c r="BQ7" s="3657">
        <v>9</v>
      </c>
      <c r="BR7" s="3658">
        <f>SUM(BO7:BQ7)</f>
        <v>24</v>
      </c>
      <c r="BS7" s="3656">
        <v>11</v>
      </c>
      <c r="BT7" s="3657">
        <v>4</v>
      </c>
      <c r="BU7" s="3657">
        <v>9</v>
      </c>
      <c r="BV7" s="3658">
        <f>SUM(BS7:BU7)</f>
        <v>24</v>
      </c>
      <c r="BW7" s="3656">
        <v>10</v>
      </c>
      <c r="BX7" s="3657">
        <v>6</v>
      </c>
      <c r="BY7" s="3657">
        <v>8</v>
      </c>
      <c r="BZ7" s="3658">
        <f>SUM(BW7:BY7)</f>
        <v>24</v>
      </c>
      <c r="CA7" s="3656">
        <v>9</v>
      </c>
      <c r="CB7" s="3657">
        <v>9</v>
      </c>
      <c r="CC7" s="3657">
        <v>4</v>
      </c>
      <c r="CD7" s="3658">
        <f>SUM(CA7:CC7)</f>
        <v>22</v>
      </c>
    </row>
    <row r="8" spans="2:82" ht="15" customHeight="1" x14ac:dyDescent="0.25">
      <c r="B8" s="3659" t="s">
        <v>68</v>
      </c>
      <c r="C8" s="3660"/>
      <c r="D8" s="3661"/>
      <c r="E8" s="3661"/>
      <c r="F8" s="3662"/>
      <c r="G8" s="3660"/>
      <c r="H8" s="3661">
        <v>1</v>
      </c>
      <c r="I8" s="3661">
        <v>16</v>
      </c>
      <c r="J8" s="3662">
        <v>17</v>
      </c>
      <c r="K8" s="3660"/>
      <c r="L8" s="3661">
        <v>1</v>
      </c>
      <c r="M8" s="3661">
        <v>17</v>
      </c>
      <c r="N8" s="3662">
        <v>18</v>
      </c>
      <c r="O8" s="3660"/>
      <c r="P8" s="3661">
        <v>4</v>
      </c>
      <c r="Q8" s="3661">
        <v>15</v>
      </c>
      <c r="R8" s="3662">
        <v>19</v>
      </c>
      <c r="S8" s="3660">
        <v>1</v>
      </c>
      <c r="T8" s="3661">
        <v>3</v>
      </c>
      <c r="U8" s="3661">
        <v>14</v>
      </c>
      <c r="V8" s="3662">
        <v>18</v>
      </c>
      <c r="W8" s="3660">
        <v>1</v>
      </c>
      <c r="X8" s="3661">
        <v>3</v>
      </c>
      <c r="Y8" s="3661">
        <v>14</v>
      </c>
      <c r="Z8" s="3662">
        <v>18</v>
      </c>
      <c r="AA8" s="3660">
        <v>1</v>
      </c>
      <c r="AB8" s="3661">
        <v>3</v>
      </c>
      <c r="AC8" s="3661">
        <v>14</v>
      </c>
      <c r="AD8" s="3662">
        <v>18</v>
      </c>
      <c r="AE8" s="3660">
        <v>1</v>
      </c>
      <c r="AF8" s="3661">
        <v>4</v>
      </c>
      <c r="AG8" s="3661">
        <v>12</v>
      </c>
      <c r="AH8" s="3662">
        <f>SUM(AE8:AG8)</f>
        <v>17</v>
      </c>
      <c r="AI8" s="3660">
        <v>1</v>
      </c>
      <c r="AJ8" s="3661">
        <v>3</v>
      </c>
      <c r="AK8" s="3661">
        <v>15</v>
      </c>
      <c r="AL8" s="3662">
        <f>SUM(AI8:AK8)</f>
        <v>19</v>
      </c>
      <c r="AM8" s="3660">
        <v>1</v>
      </c>
      <c r="AN8" s="3661">
        <v>3</v>
      </c>
      <c r="AO8" s="3661">
        <v>16</v>
      </c>
      <c r="AP8" s="3662">
        <f>SUM(AM8:AO8)</f>
        <v>20</v>
      </c>
      <c r="AQ8" s="3660">
        <v>1</v>
      </c>
      <c r="AR8" s="3661">
        <v>3</v>
      </c>
      <c r="AS8" s="3661">
        <v>16</v>
      </c>
      <c r="AT8" s="3662">
        <f t="shared" si="0"/>
        <v>20</v>
      </c>
      <c r="AU8" s="3660">
        <v>1</v>
      </c>
      <c r="AV8" s="3661">
        <v>3</v>
      </c>
      <c r="AW8" s="3661">
        <v>16</v>
      </c>
      <c r="AX8" s="3662">
        <f>SUM(AU8:AW8)</f>
        <v>20</v>
      </c>
      <c r="AY8" s="3660">
        <v>1</v>
      </c>
      <c r="AZ8" s="3661">
        <v>6</v>
      </c>
      <c r="BA8" s="3661">
        <v>19</v>
      </c>
      <c r="BB8" s="3662">
        <f>SUM(AY8:BA8)</f>
        <v>26</v>
      </c>
      <c r="BC8" s="3660">
        <v>1</v>
      </c>
      <c r="BD8" s="3661">
        <v>7</v>
      </c>
      <c r="BE8" s="3661">
        <v>17</v>
      </c>
      <c r="BF8" s="3662">
        <f>SUM(BC8:BE8)</f>
        <v>25</v>
      </c>
      <c r="BG8" s="3660">
        <v>2</v>
      </c>
      <c r="BH8" s="3661">
        <v>5</v>
      </c>
      <c r="BI8" s="3661">
        <v>16</v>
      </c>
      <c r="BJ8" s="3662">
        <f>SUM(BG8:BI8)</f>
        <v>23</v>
      </c>
      <c r="BK8" s="3660">
        <v>2</v>
      </c>
      <c r="BL8" s="3661">
        <v>5</v>
      </c>
      <c r="BM8" s="3661">
        <v>19</v>
      </c>
      <c r="BN8" s="3662">
        <f>SUM(BK8:BM8)</f>
        <v>26</v>
      </c>
      <c r="BO8" s="3660">
        <v>2</v>
      </c>
      <c r="BP8" s="3661">
        <v>5</v>
      </c>
      <c r="BQ8" s="3661">
        <v>17</v>
      </c>
      <c r="BR8" s="3662">
        <f>SUM(BO8:BQ8)</f>
        <v>24</v>
      </c>
      <c r="BS8" s="3660">
        <v>2</v>
      </c>
      <c r="BT8" s="3661">
        <v>5</v>
      </c>
      <c r="BU8" s="3661">
        <v>16</v>
      </c>
      <c r="BV8" s="3662">
        <f>SUM(BS8:BU8)</f>
        <v>23</v>
      </c>
      <c r="BW8" s="3660">
        <v>3</v>
      </c>
      <c r="BX8" s="3661">
        <v>5</v>
      </c>
      <c r="BY8" s="3661">
        <v>12</v>
      </c>
      <c r="BZ8" s="3662">
        <f>SUM(BW8:BY8)</f>
        <v>20</v>
      </c>
      <c r="CA8" s="3660">
        <v>2</v>
      </c>
      <c r="CB8" s="3661">
        <v>6</v>
      </c>
      <c r="CC8" s="3661">
        <v>10</v>
      </c>
      <c r="CD8" s="3662">
        <f>SUM(CA8:CC8)</f>
        <v>18</v>
      </c>
    </row>
    <row r="9" spans="2:82" ht="15" customHeight="1" x14ac:dyDescent="0.25">
      <c r="B9" s="3663" t="s">
        <v>138</v>
      </c>
      <c r="C9" s="3664">
        <v>0</v>
      </c>
      <c r="D9" s="3665">
        <v>5</v>
      </c>
      <c r="E9" s="3665">
        <v>62</v>
      </c>
      <c r="F9" s="3666">
        <v>67</v>
      </c>
      <c r="G9" s="3664">
        <v>0</v>
      </c>
      <c r="H9" s="3665">
        <v>9</v>
      </c>
      <c r="I9" s="3665">
        <v>74</v>
      </c>
      <c r="J9" s="3666">
        <v>83</v>
      </c>
      <c r="K9" s="3664">
        <v>0</v>
      </c>
      <c r="L9" s="3665">
        <v>10</v>
      </c>
      <c r="M9" s="3665">
        <v>80</v>
      </c>
      <c r="N9" s="3666">
        <v>90</v>
      </c>
      <c r="O9" s="3664">
        <v>4</v>
      </c>
      <c r="P9" s="3665">
        <v>21</v>
      </c>
      <c r="Q9" s="3665">
        <v>72</v>
      </c>
      <c r="R9" s="3666">
        <v>97</v>
      </c>
      <c r="S9" s="3664">
        <v>6</v>
      </c>
      <c r="T9" s="3665">
        <v>28</v>
      </c>
      <c r="U9" s="3665">
        <v>67</v>
      </c>
      <c r="V9" s="3666">
        <v>101</v>
      </c>
      <c r="W9" s="3664">
        <v>7</v>
      </c>
      <c r="X9" s="3665">
        <v>27</v>
      </c>
      <c r="Y9" s="3665">
        <v>67</v>
      </c>
      <c r="Z9" s="3666">
        <v>101</v>
      </c>
      <c r="AA9" s="3664">
        <v>9</v>
      </c>
      <c r="AB9" s="3665">
        <v>32</v>
      </c>
      <c r="AC9" s="3665">
        <v>58</v>
      </c>
      <c r="AD9" s="3666">
        <v>99</v>
      </c>
      <c r="AE9" s="3664">
        <f>SUM(AE6:AE8)</f>
        <v>13</v>
      </c>
      <c r="AF9" s="3665">
        <f>SUM(AF6:AF8)</f>
        <v>32</v>
      </c>
      <c r="AG9" s="3665">
        <f>SUM(AG6:AG8)</f>
        <v>36</v>
      </c>
      <c r="AH9" s="3666">
        <f>SUM(AE9:AG9)</f>
        <v>81</v>
      </c>
      <c r="AI9" s="3664">
        <f>SUM(AI6:AI8)</f>
        <v>15</v>
      </c>
      <c r="AJ9" s="3665">
        <f>SUM(AJ6:AJ8)</f>
        <v>29</v>
      </c>
      <c r="AK9" s="3665">
        <f>SUM(AK6:AK8)</f>
        <v>36</v>
      </c>
      <c r="AL9" s="3666">
        <f>SUM(AI9:AK9)</f>
        <v>80</v>
      </c>
      <c r="AM9" s="3664">
        <f>SUM(AM6:AM8)</f>
        <v>15</v>
      </c>
      <c r="AN9" s="3665">
        <f>SUM(AN6:AN8)</f>
        <v>29</v>
      </c>
      <c r="AO9" s="3665">
        <f>SUM(AO6:AO8)</f>
        <v>34</v>
      </c>
      <c r="AP9" s="3666">
        <f>SUM(AM9:AO9)</f>
        <v>78</v>
      </c>
      <c r="AQ9" s="3664">
        <f t="shared" ref="AQ9:BY9" si="1">SUM(AQ6:AQ8)</f>
        <v>15</v>
      </c>
      <c r="AR9" s="3665">
        <f t="shared" si="1"/>
        <v>29</v>
      </c>
      <c r="AS9" s="3665">
        <f t="shared" si="1"/>
        <v>35</v>
      </c>
      <c r="AT9" s="3666">
        <f t="shared" si="1"/>
        <v>79</v>
      </c>
      <c r="AU9" s="3664">
        <f t="shared" si="1"/>
        <v>16</v>
      </c>
      <c r="AV9" s="3665">
        <f t="shared" si="1"/>
        <v>24</v>
      </c>
      <c r="AW9" s="3665">
        <f t="shared" si="1"/>
        <v>36</v>
      </c>
      <c r="AX9" s="3666">
        <f t="shared" si="1"/>
        <v>76</v>
      </c>
      <c r="AY9" s="3664">
        <f t="shared" si="1"/>
        <v>19</v>
      </c>
      <c r="AZ9" s="3665">
        <f t="shared" si="1"/>
        <v>20</v>
      </c>
      <c r="BA9" s="3665">
        <f t="shared" si="1"/>
        <v>44</v>
      </c>
      <c r="BB9" s="3666">
        <f t="shared" si="1"/>
        <v>83</v>
      </c>
      <c r="BC9" s="3664">
        <f t="shared" si="1"/>
        <v>20</v>
      </c>
      <c r="BD9" s="3665">
        <f t="shared" si="1"/>
        <v>20</v>
      </c>
      <c r="BE9" s="3665">
        <f t="shared" si="1"/>
        <v>38</v>
      </c>
      <c r="BF9" s="3666">
        <f t="shared" si="1"/>
        <v>78</v>
      </c>
      <c r="BG9" s="3664">
        <f t="shared" si="1"/>
        <v>22</v>
      </c>
      <c r="BH9" s="3665">
        <f t="shared" si="1"/>
        <v>17</v>
      </c>
      <c r="BI9" s="3665">
        <f t="shared" si="1"/>
        <v>36</v>
      </c>
      <c r="BJ9" s="3666">
        <f t="shared" si="1"/>
        <v>75</v>
      </c>
      <c r="BK9" s="3664">
        <f t="shared" si="1"/>
        <v>26</v>
      </c>
      <c r="BL9" s="3665">
        <f t="shared" si="1"/>
        <v>14</v>
      </c>
      <c r="BM9" s="3665">
        <f t="shared" si="1"/>
        <v>40</v>
      </c>
      <c r="BN9" s="3666">
        <f t="shared" si="1"/>
        <v>80</v>
      </c>
      <c r="BO9" s="3664">
        <f t="shared" si="1"/>
        <v>24</v>
      </c>
      <c r="BP9" s="3665">
        <f t="shared" si="1"/>
        <v>16</v>
      </c>
      <c r="BQ9" s="3665">
        <f t="shared" si="1"/>
        <v>37</v>
      </c>
      <c r="BR9" s="3666">
        <f t="shared" si="1"/>
        <v>77</v>
      </c>
      <c r="BS9" s="3664">
        <f t="shared" si="1"/>
        <v>24</v>
      </c>
      <c r="BT9" s="3665">
        <f t="shared" si="1"/>
        <v>16</v>
      </c>
      <c r="BU9" s="3665">
        <f t="shared" si="1"/>
        <v>36</v>
      </c>
      <c r="BV9" s="3666">
        <f t="shared" si="1"/>
        <v>76</v>
      </c>
      <c r="BW9" s="3664">
        <f t="shared" si="1"/>
        <v>23</v>
      </c>
      <c r="BX9" s="3665">
        <f t="shared" si="1"/>
        <v>19</v>
      </c>
      <c r="BY9" s="3665">
        <f t="shared" si="1"/>
        <v>31</v>
      </c>
      <c r="BZ9" s="3666">
        <f>SUM(BW9:BY9)</f>
        <v>73</v>
      </c>
      <c r="CA9" s="3664">
        <f t="shared" ref="CA9:CC9" si="2">SUM(CA6:CA8)</f>
        <v>22</v>
      </c>
      <c r="CB9" s="3665">
        <f t="shared" si="2"/>
        <v>22</v>
      </c>
      <c r="CC9" s="3665">
        <f t="shared" si="2"/>
        <v>24</v>
      </c>
      <c r="CD9" s="3666">
        <f>SUM(CA9:CC9)</f>
        <v>68</v>
      </c>
    </row>
    <row r="10" spans="2:82" ht="15" customHeight="1" x14ac:dyDescent="0.25">
      <c r="B10" s="3590"/>
      <c r="C10" s="4383"/>
      <c r="D10" s="4383"/>
      <c r="E10" s="4383"/>
      <c r="F10" s="4383"/>
      <c r="G10" s="4383"/>
      <c r="H10" s="4383"/>
      <c r="I10" s="4383"/>
      <c r="J10" s="4383"/>
      <c r="K10" s="4383"/>
      <c r="L10" s="4383"/>
      <c r="M10" s="4383"/>
      <c r="N10" s="4383"/>
      <c r="O10" s="4383"/>
      <c r="P10" s="4383"/>
      <c r="Q10" s="4383"/>
      <c r="R10" s="4383"/>
      <c r="S10" s="4383"/>
      <c r="T10" s="4383"/>
      <c r="U10" s="4383"/>
      <c r="V10" s="4383"/>
      <c r="W10" s="4383"/>
      <c r="X10" s="4383"/>
      <c r="Y10" s="4383"/>
      <c r="Z10" s="4383"/>
      <c r="AA10" s="4383"/>
      <c r="AB10" s="4383"/>
      <c r="AC10" s="4383"/>
      <c r="AD10" s="4383"/>
      <c r="AE10" s="4383"/>
      <c r="AF10" s="4383"/>
      <c r="AG10" s="4383"/>
      <c r="AH10" s="4383"/>
      <c r="AI10" s="4383"/>
      <c r="AJ10" s="4383"/>
      <c r="AK10" s="4383"/>
      <c r="AL10" s="4383"/>
      <c r="AM10" s="4383"/>
      <c r="AN10" s="4383"/>
      <c r="AO10" s="4383"/>
      <c r="AP10" s="4383"/>
      <c r="AQ10" s="4383"/>
      <c r="AR10" s="4383"/>
      <c r="AS10" s="4383"/>
      <c r="AT10" s="4383"/>
      <c r="AU10" s="4383"/>
      <c r="AV10" s="4383"/>
      <c r="AW10" s="4383"/>
      <c r="AX10" s="4383"/>
      <c r="AY10" s="4383"/>
      <c r="AZ10" s="4383"/>
      <c r="BA10" s="4383"/>
      <c r="BB10" s="4383"/>
      <c r="BC10" s="4383"/>
      <c r="BD10" s="4383"/>
      <c r="BE10" s="4383"/>
      <c r="BF10" s="4383"/>
      <c r="BG10" s="4383"/>
      <c r="BH10" s="4383"/>
      <c r="BI10" s="4383"/>
      <c r="BJ10" s="4383"/>
      <c r="BK10" s="4383"/>
      <c r="BL10" s="4383"/>
      <c r="BM10" s="4383"/>
      <c r="BN10" s="4383"/>
      <c r="BO10" s="4383"/>
      <c r="BP10" s="4383"/>
      <c r="BQ10" s="4383"/>
      <c r="BR10" s="4383"/>
      <c r="BS10" s="4383"/>
      <c r="BT10" s="4383"/>
      <c r="BU10" s="4383"/>
      <c r="BV10" s="4383"/>
      <c r="BW10" s="4383"/>
      <c r="BX10" s="4383"/>
      <c r="BY10" s="4383"/>
      <c r="BZ10" s="4383"/>
      <c r="CA10" s="4383"/>
      <c r="CB10" s="4383"/>
      <c r="CC10" s="4383"/>
      <c r="CD10" s="4383"/>
    </row>
    <row r="11" spans="2:82" ht="15" customHeight="1" x14ac:dyDescent="0.25">
      <c r="B11" s="3591" t="s">
        <v>64</v>
      </c>
      <c r="C11" s="3652"/>
      <c r="D11" s="3653"/>
      <c r="E11" s="3654"/>
      <c r="F11" s="3655"/>
      <c r="G11" s="3652"/>
      <c r="H11" s="3654"/>
      <c r="I11" s="3654"/>
      <c r="J11" s="3655"/>
      <c r="K11" s="3652"/>
      <c r="L11" s="3654"/>
      <c r="M11" s="3654"/>
      <c r="N11" s="3655"/>
      <c r="O11" s="3652"/>
      <c r="P11" s="3654"/>
      <c r="Q11" s="3654">
        <v>3</v>
      </c>
      <c r="R11" s="3655">
        <v>3</v>
      </c>
      <c r="S11" s="3652"/>
      <c r="T11" s="3654"/>
      <c r="U11" s="3654">
        <v>5</v>
      </c>
      <c r="V11" s="3655">
        <v>5</v>
      </c>
      <c r="W11" s="3652"/>
      <c r="X11" s="3654">
        <v>2</v>
      </c>
      <c r="Y11" s="3654">
        <v>6</v>
      </c>
      <c r="Z11" s="3655">
        <v>8</v>
      </c>
      <c r="AA11" s="3652">
        <v>1</v>
      </c>
      <c r="AB11" s="3654">
        <v>3</v>
      </c>
      <c r="AC11" s="3654">
        <v>6</v>
      </c>
      <c r="AD11" s="3655">
        <v>10</v>
      </c>
      <c r="AE11" s="3652">
        <v>1</v>
      </c>
      <c r="AF11" s="3654">
        <v>4</v>
      </c>
      <c r="AG11" s="3654">
        <v>5</v>
      </c>
      <c r="AH11" s="3655">
        <f>SUM(AE11:AG11)</f>
        <v>10</v>
      </c>
      <c r="AI11" s="3652">
        <v>1</v>
      </c>
      <c r="AJ11" s="3654">
        <v>4</v>
      </c>
      <c r="AK11" s="3654">
        <v>6</v>
      </c>
      <c r="AL11" s="3655">
        <f>SUM(AI11:AK11)</f>
        <v>11</v>
      </c>
      <c r="AM11" s="3652">
        <v>2</v>
      </c>
      <c r="AN11" s="3654">
        <v>3</v>
      </c>
      <c r="AO11" s="3654">
        <v>7</v>
      </c>
      <c r="AP11" s="3655">
        <f>SUM(AM11:AO11)</f>
        <v>12</v>
      </c>
      <c r="AQ11" s="3652">
        <v>2</v>
      </c>
      <c r="AR11" s="3654">
        <v>3</v>
      </c>
      <c r="AS11" s="3654">
        <v>7</v>
      </c>
      <c r="AT11" s="3655">
        <f t="shared" si="0"/>
        <v>12</v>
      </c>
      <c r="AU11" s="3652">
        <v>3</v>
      </c>
      <c r="AV11" s="3654">
        <v>2</v>
      </c>
      <c r="AW11" s="3654">
        <v>5</v>
      </c>
      <c r="AX11" s="3655">
        <f>SUM(AU11:AW11)</f>
        <v>10</v>
      </c>
      <c r="AY11" s="3652">
        <v>3</v>
      </c>
      <c r="AZ11" s="3654">
        <v>4</v>
      </c>
      <c r="BA11" s="3654">
        <v>3</v>
      </c>
      <c r="BB11" s="3655">
        <f>SUM(AY11:BA11)</f>
        <v>10</v>
      </c>
      <c r="BC11" s="3652">
        <v>3</v>
      </c>
      <c r="BD11" s="3654">
        <v>4</v>
      </c>
      <c r="BE11" s="3654">
        <v>4</v>
      </c>
      <c r="BF11" s="3655">
        <f>SUM(BC11:BE11)</f>
        <v>11</v>
      </c>
      <c r="BG11" s="3652">
        <v>2</v>
      </c>
      <c r="BH11" s="3654">
        <v>3</v>
      </c>
      <c r="BI11" s="3654">
        <v>5</v>
      </c>
      <c r="BJ11" s="3655">
        <f>SUM(BG11:BI11)</f>
        <v>10</v>
      </c>
      <c r="BK11" s="4390">
        <v>1</v>
      </c>
      <c r="BL11" s="4391">
        <v>4</v>
      </c>
      <c r="BM11" s="4391">
        <v>3</v>
      </c>
      <c r="BN11" s="3655">
        <f>SUM(BK11:BM11)</f>
        <v>8</v>
      </c>
      <c r="BO11" s="4390">
        <v>2</v>
      </c>
      <c r="BP11" s="4391">
        <v>3</v>
      </c>
      <c r="BQ11" s="4391">
        <v>4</v>
      </c>
      <c r="BR11" s="3655">
        <f>SUM(BO11:BQ11)</f>
        <v>9</v>
      </c>
      <c r="BS11" s="4390">
        <v>2</v>
      </c>
      <c r="BT11" s="4391">
        <v>2</v>
      </c>
      <c r="BU11" s="4391">
        <v>4</v>
      </c>
      <c r="BV11" s="3655">
        <f>SUM(BS11:BU11)</f>
        <v>8</v>
      </c>
      <c r="BW11" s="4390">
        <v>2</v>
      </c>
      <c r="BX11" s="4391">
        <v>3</v>
      </c>
      <c r="BY11" s="4391">
        <v>4</v>
      </c>
      <c r="BZ11" s="3655">
        <f>SUM(BW11:BY11)</f>
        <v>9</v>
      </c>
      <c r="CA11" s="4390">
        <v>3</v>
      </c>
      <c r="CB11" s="4391">
        <v>2</v>
      </c>
      <c r="CC11" s="4391">
        <v>2</v>
      </c>
      <c r="CD11" s="3655">
        <f>SUM(CA11:CC11)</f>
        <v>7</v>
      </c>
    </row>
    <row r="12" spans="2:82" ht="15" customHeight="1" x14ac:dyDescent="0.25">
      <c r="B12" s="3595" t="s">
        <v>111</v>
      </c>
      <c r="C12" s="3656"/>
      <c r="D12" s="3657"/>
      <c r="E12" s="3657"/>
      <c r="F12" s="3658"/>
      <c r="G12" s="3656"/>
      <c r="H12" s="3657"/>
      <c r="I12" s="3657"/>
      <c r="J12" s="3658"/>
      <c r="K12" s="3656"/>
      <c r="L12" s="3657"/>
      <c r="M12" s="3657"/>
      <c r="N12" s="3658"/>
      <c r="O12" s="3656"/>
      <c r="P12" s="3657"/>
      <c r="Q12" s="3657">
        <v>3</v>
      </c>
      <c r="R12" s="3658">
        <v>3</v>
      </c>
      <c r="S12" s="3656"/>
      <c r="T12" s="3657"/>
      <c r="U12" s="3657">
        <v>3</v>
      </c>
      <c r="V12" s="3658">
        <v>3</v>
      </c>
      <c r="W12" s="3656"/>
      <c r="X12" s="3657"/>
      <c r="Y12" s="3657">
        <v>3</v>
      </c>
      <c r="Z12" s="3658">
        <v>3</v>
      </c>
      <c r="AA12" s="3656">
        <v>1</v>
      </c>
      <c r="AB12" s="3657"/>
      <c r="AC12" s="3657">
        <v>3</v>
      </c>
      <c r="AD12" s="3658">
        <v>4</v>
      </c>
      <c r="AE12" s="3656">
        <v>1</v>
      </c>
      <c r="AF12" s="3657"/>
      <c r="AG12" s="3657">
        <v>4</v>
      </c>
      <c r="AH12" s="3658">
        <f>SUM(AE12:AG12)</f>
        <v>5</v>
      </c>
      <c r="AI12" s="3656">
        <v>1</v>
      </c>
      <c r="AJ12" s="3657"/>
      <c r="AK12" s="3657">
        <v>8</v>
      </c>
      <c r="AL12" s="3658">
        <f>SUM(AI12:AK12)</f>
        <v>9</v>
      </c>
      <c r="AM12" s="3656">
        <v>1</v>
      </c>
      <c r="AN12" s="3657"/>
      <c r="AO12" s="3657">
        <v>9</v>
      </c>
      <c r="AP12" s="3658">
        <f>SUM(AM12:AO12)</f>
        <v>10</v>
      </c>
      <c r="AQ12" s="3656">
        <v>1</v>
      </c>
      <c r="AR12" s="3657"/>
      <c r="AS12" s="3657">
        <v>8</v>
      </c>
      <c r="AT12" s="3658">
        <f t="shared" si="0"/>
        <v>9</v>
      </c>
      <c r="AU12" s="3656">
        <v>1</v>
      </c>
      <c r="AV12" s="3657">
        <v>1</v>
      </c>
      <c r="AW12" s="3657">
        <v>7</v>
      </c>
      <c r="AX12" s="3658">
        <f>SUM(AU12:AW12)</f>
        <v>9</v>
      </c>
      <c r="AY12" s="3656">
        <v>1</v>
      </c>
      <c r="AZ12" s="3657">
        <v>1</v>
      </c>
      <c r="BA12" s="3657">
        <v>8</v>
      </c>
      <c r="BB12" s="3658">
        <f>SUM(AY12:BA12)</f>
        <v>10</v>
      </c>
      <c r="BC12" s="3656">
        <v>1</v>
      </c>
      <c r="BD12" s="3657">
        <v>1</v>
      </c>
      <c r="BE12" s="3657">
        <v>8</v>
      </c>
      <c r="BF12" s="3658">
        <f>SUM(BC12:BE12)</f>
        <v>10</v>
      </c>
      <c r="BG12" s="3656">
        <v>1</v>
      </c>
      <c r="BH12" s="3657">
        <v>1</v>
      </c>
      <c r="BI12" s="3657">
        <v>6</v>
      </c>
      <c r="BJ12" s="3658">
        <f>SUM(BG12:BI12)</f>
        <v>8</v>
      </c>
      <c r="BK12" s="4392">
        <v>1</v>
      </c>
      <c r="BL12" s="4392">
        <v>1</v>
      </c>
      <c r="BM12" s="4392">
        <v>6</v>
      </c>
      <c r="BN12" s="3658">
        <f>SUM(BK12:BM12)</f>
        <v>8</v>
      </c>
      <c r="BO12" s="4392">
        <v>1</v>
      </c>
      <c r="BP12" s="4392">
        <v>1</v>
      </c>
      <c r="BQ12" s="4392">
        <v>4</v>
      </c>
      <c r="BR12" s="3658">
        <f>SUM(BO12:BQ12)</f>
        <v>6</v>
      </c>
      <c r="BS12" s="4392">
        <v>1</v>
      </c>
      <c r="BT12" s="4392">
        <v>1</v>
      </c>
      <c r="BU12" s="4392">
        <v>4</v>
      </c>
      <c r="BV12" s="3658">
        <f>SUM(BS12:BU12)</f>
        <v>6</v>
      </c>
      <c r="BW12" s="4392">
        <v>1</v>
      </c>
      <c r="BX12" s="4392"/>
      <c r="BY12" s="4392">
        <v>3</v>
      </c>
      <c r="BZ12" s="3658">
        <f>SUM(BW12:BY12)</f>
        <v>4</v>
      </c>
      <c r="CA12" s="4392">
        <v>1</v>
      </c>
      <c r="CB12" s="4392"/>
      <c r="CC12" s="4392">
        <v>3</v>
      </c>
      <c r="CD12" s="3658">
        <f>SUM(CA12:CC12)</f>
        <v>4</v>
      </c>
    </row>
    <row r="13" spans="2:82" ht="15" customHeight="1" x14ac:dyDescent="0.25">
      <c r="B13" s="3659" t="s">
        <v>115</v>
      </c>
      <c r="C13" s="3660"/>
      <c r="D13" s="3661"/>
      <c r="E13" s="3661"/>
      <c r="F13" s="3662"/>
      <c r="G13" s="3660"/>
      <c r="H13" s="3661"/>
      <c r="I13" s="3661"/>
      <c r="J13" s="3662"/>
      <c r="K13" s="3660"/>
      <c r="L13" s="3661"/>
      <c r="M13" s="3661"/>
      <c r="N13" s="3662"/>
      <c r="O13" s="3660"/>
      <c r="P13" s="3661"/>
      <c r="Q13" s="3661">
        <v>1</v>
      </c>
      <c r="R13" s="3662">
        <v>1</v>
      </c>
      <c r="S13" s="3660"/>
      <c r="T13" s="3661"/>
      <c r="U13" s="3661">
        <v>1</v>
      </c>
      <c r="V13" s="3662">
        <v>1</v>
      </c>
      <c r="W13" s="3660"/>
      <c r="X13" s="3661"/>
      <c r="Y13" s="3661">
        <v>4</v>
      </c>
      <c r="Z13" s="3662">
        <v>4</v>
      </c>
      <c r="AA13" s="3660"/>
      <c r="AB13" s="3661"/>
      <c r="AC13" s="3661">
        <v>4</v>
      </c>
      <c r="AD13" s="3662">
        <v>4</v>
      </c>
      <c r="AE13" s="3660"/>
      <c r="AF13" s="3661"/>
      <c r="AG13" s="3661">
        <v>5</v>
      </c>
      <c r="AH13" s="3662">
        <f>SUM(AE13:AG13)</f>
        <v>5</v>
      </c>
      <c r="AI13" s="3660">
        <v>1</v>
      </c>
      <c r="AJ13" s="3661">
        <v>1</v>
      </c>
      <c r="AK13" s="3661">
        <v>5</v>
      </c>
      <c r="AL13" s="3662">
        <f>SUM(AI13:AK13)</f>
        <v>7</v>
      </c>
      <c r="AM13" s="3660">
        <v>1</v>
      </c>
      <c r="AN13" s="3661">
        <v>2</v>
      </c>
      <c r="AO13" s="3661">
        <v>5</v>
      </c>
      <c r="AP13" s="3662">
        <f>SUM(AM13:AO13)</f>
        <v>8</v>
      </c>
      <c r="AQ13" s="3660">
        <v>1</v>
      </c>
      <c r="AR13" s="3661">
        <v>2</v>
      </c>
      <c r="AS13" s="3661">
        <v>5</v>
      </c>
      <c r="AT13" s="3662">
        <f t="shared" si="0"/>
        <v>8</v>
      </c>
      <c r="AU13" s="3660">
        <v>1</v>
      </c>
      <c r="AV13" s="3661">
        <v>4</v>
      </c>
      <c r="AW13" s="3661">
        <v>4</v>
      </c>
      <c r="AX13" s="3662">
        <f>SUM(AU13:AW13)</f>
        <v>9</v>
      </c>
      <c r="AY13" s="3660">
        <v>1</v>
      </c>
      <c r="AZ13" s="3661">
        <v>6</v>
      </c>
      <c r="BA13" s="3661">
        <v>4</v>
      </c>
      <c r="BB13" s="3662">
        <f>SUM(AY13:BA13)</f>
        <v>11</v>
      </c>
      <c r="BC13" s="3660">
        <v>2</v>
      </c>
      <c r="BD13" s="3661">
        <v>5</v>
      </c>
      <c r="BE13" s="3661">
        <v>4</v>
      </c>
      <c r="BF13" s="3662">
        <f>SUM(BC13:BE13)</f>
        <v>11</v>
      </c>
      <c r="BG13" s="3660">
        <v>3</v>
      </c>
      <c r="BH13" s="3661">
        <v>5</v>
      </c>
      <c r="BI13" s="3661">
        <v>2</v>
      </c>
      <c r="BJ13" s="3662">
        <f>SUM(BG13:BI13)</f>
        <v>10</v>
      </c>
      <c r="BK13" s="4392">
        <v>3</v>
      </c>
      <c r="BL13" s="4392">
        <v>5</v>
      </c>
      <c r="BM13" s="4392">
        <v>3</v>
      </c>
      <c r="BN13" s="3662">
        <f>SUM(BK13:BM13)</f>
        <v>11</v>
      </c>
      <c r="BO13" s="4392">
        <v>4</v>
      </c>
      <c r="BP13" s="4392">
        <v>4</v>
      </c>
      <c r="BQ13" s="4392">
        <v>3</v>
      </c>
      <c r="BR13" s="3662">
        <f>SUM(BO13:BQ13)</f>
        <v>11</v>
      </c>
      <c r="BS13" s="4392">
        <v>4</v>
      </c>
      <c r="BT13" s="4392">
        <v>4</v>
      </c>
      <c r="BU13" s="4392">
        <v>3</v>
      </c>
      <c r="BV13" s="3662">
        <f>SUM(BS13:BU13)</f>
        <v>11</v>
      </c>
      <c r="BW13" s="4392">
        <v>4</v>
      </c>
      <c r="BX13" s="4392">
        <v>4</v>
      </c>
      <c r="BY13" s="4392">
        <v>3</v>
      </c>
      <c r="BZ13" s="3662">
        <f>SUM(BW13:BY13)</f>
        <v>11</v>
      </c>
      <c r="CA13" s="4392">
        <v>4</v>
      </c>
      <c r="CB13" s="4392">
        <v>5</v>
      </c>
      <c r="CC13" s="4392">
        <v>3</v>
      </c>
      <c r="CD13" s="3662">
        <f>SUM(CA13:CC13)</f>
        <v>12</v>
      </c>
    </row>
    <row r="14" spans="2:82" ht="15" customHeight="1" x14ac:dyDescent="0.25">
      <c r="B14" s="3667" t="s">
        <v>134</v>
      </c>
      <c r="C14" s="3668"/>
      <c r="D14" s="3669"/>
      <c r="E14" s="3669"/>
      <c r="F14" s="3670"/>
      <c r="G14" s="3668"/>
      <c r="H14" s="3669"/>
      <c r="I14" s="3669"/>
      <c r="J14" s="3670"/>
      <c r="K14" s="3668"/>
      <c r="L14" s="3669"/>
      <c r="M14" s="3669"/>
      <c r="N14" s="3670"/>
      <c r="O14" s="3668">
        <v>0</v>
      </c>
      <c r="P14" s="3669">
        <v>0</v>
      </c>
      <c r="Q14" s="3669">
        <v>7</v>
      </c>
      <c r="R14" s="3670">
        <v>7</v>
      </c>
      <c r="S14" s="3668">
        <v>0</v>
      </c>
      <c r="T14" s="3669">
        <v>0</v>
      </c>
      <c r="U14" s="3669">
        <v>9</v>
      </c>
      <c r="V14" s="3670">
        <v>9</v>
      </c>
      <c r="W14" s="3668">
        <v>0</v>
      </c>
      <c r="X14" s="3669">
        <v>2</v>
      </c>
      <c r="Y14" s="3669">
        <v>13</v>
      </c>
      <c r="Z14" s="3670">
        <v>15</v>
      </c>
      <c r="AA14" s="3668">
        <v>2</v>
      </c>
      <c r="AB14" s="3669">
        <v>3</v>
      </c>
      <c r="AC14" s="3669">
        <v>13</v>
      </c>
      <c r="AD14" s="3670">
        <v>18</v>
      </c>
      <c r="AE14" s="3668">
        <f t="shared" ref="AE14:BV14" si="3">SUM(AE11:AE13)</f>
        <v>2</v>
      </c>
      <c r="AF14" s="3669">
        <f t="shared" si="3"/>
        <v>4</v>
      </c>
      <c r="AG14" s="3669">
        <f t="shared" si="3"/>
        <v>14</v>
      </c>
      <c r="AH14" s="3670">
        <f t="shared" si="3"/>
        <v>20</v>
      </c>
      <c r="AI14" s="3668">
        <f t="shared" si="3"/>
        <v>3</v>
      </c>
      <c r="AJ14" s="3669">
        <f t="shared" si="3"/>
        <v>5</v>
      </c>
      <c r="AK14" s="3669">
        <f t="shared" si="3"/>
        <v>19</v>
      </c>
      <c r="AL14" s="3670">
        <f t="shared" si="3"/>
        <v>27</v>
      </c>
      <c r="AM14" s="3668">
        <f t="shared" si="3"/>
        <v>4</v>
      </c>
      <c r="AN14" s="3669">
        <f t="shared" si="3"/>
        <v>5</v>
      </c>
      <c r="AO14" s="3669">
        <f t="shared" si="3"/>
        <v>21</v>
      </c>
      <c r="AP14" s="3670">
        <f t="shared" si="3"/>
        <v>30</v>
      </c>
      <c r="AQ14" s="3668">
        <f t="shared" si="3"/>
        <v>4</v>
      </c>
      <c r="AR14" s="3669">
        <f t="shared" si="3"/>
        <v>5</v>
      </c>
      <c r="AS14" s="3669">
        <f t="shared" si="3"/>
        <v>20</v>
      </c>
      <c r="AT14" s="3670">
        <f t="shared" si="3"/>
        <v>29</v>
      </c>
      <c r="AU14" s="3668">
        <f t="shared" si="3"/>
        <v>5</v>
      </c>
      <c r="AV14" s="3669">
        <f t="shared" si="3"/>
        <v>7</v>
      </c>
      <c r="AW14" s="3669">
        <f t="shared" si="3"/>
        <v>16</v>
      </c>
      <c r="AX14" s="3670">
        <f t="shared" si="3"/>
        <v>28</v>
      </c>
      <c r="AY14" s="3668">
        <f t="shared" si="3"/>
        <v>5</v>
      </c>
      <c r="AZ14" s="3669">
        <f t="shared" si="3"/>
        <v>11</v>
      </c>
      <c r="BA14" s="3669">
        <f t="shared" si="3"/>
        <v>15</v>
      </c>
      <c r="BB14" s="3670">
        <f t="shared" si="3"/>
        <v>31</v>
      </c>
      <c r="BC14" s="3668">
        <f t="shared" si="3"/>
        <v>6</v>
      </c>
      <c r="BD14" s="3669">
        <f t="shared" si="3"/>
        <v>10</v>
      </c>
      <c r="BE14" s="3669">
        <f t="shared" si="3"/>
        <v>16</v>
      </c>
      <c r="BF14" s="3670">
        <f t="shared" si="3"/>
        <v>32</v>
      </c>
      <c r="BG14" s="3668">
        <f t="shared" si="3"/>
        <v>6</v>
      </c>
      <c r="BH14" s="3669">
        <f t="shared" si="3"/>
        <v>9</v>
      </c>
      <c r="BI14" s="3669">
        <f t="shared" si="3"/>
        <v>13</v>
      </c>
      <c r="BJ14" s="3670">
        <f t="shared" si="3"/>
        <v>28</v>
      </c>
      <c r="BK14" s="3668">
        <f t="shared" si="3"/>
        <v>5</v>
      </c>
      <c r="BL14" s="3669">
        <f t="shared" si="3"/>
        <v>10</v>
      </c>
      <c r="BM14" s="3669">
        <f t="shared" si="3"/>
        <v>12</v>
      </c>
      <c r="BN14" s="3670">
        <f t="shared" si="3"/>
        <v>27</v>
      </c>
      <c r="BO14" s="3668">
        <f t="shared" si="3"/>
        <v>7</v>
      </c>
      <c r="BP14" s="3669">
        <f t="shared" si="3"/>
        <v>8</v>
      </c>
      <c r="BQ14" s="3669">
        <f t="shared" si="3"/>
        <v>11</v>
      </c>
      <c r="BR14" s="3670">
        <f t="shared" si="3"/>
        <v>26</v>
      </c>
      <c r="BS14" s="3668">
        <f t="shared" si="3"/>
        <v>7</v>
      </c>
      <c r="BT14" s="3669">
        <f t="shared" si="3"/>
        <v>7</v>
      </c>
      <c r="BU14" s="3669">
        <f t="shared" si="3"/>
        <v>11</v>
      </c>
      <c r="BV14" s="3670">
        <f t="shared" si="3"/>
        <v>25</v>
      </c>
      <c r="BW14" s="3668">
        <f t="shared" ref="BW14:BZ14" si="4">SUM(BW11:BW13)</f>
        <v>7</v>
      </c>
      <c r="BX14" s="3669">
        <f t="shared" si="4"/>
        <v>7</v>
      </c>
      <c r="BY14" s="3669">
        <f t="shared" si="4"/>
        <v>10</v>
      </c>
      <c r="BZ14" s="3670">
        <f t="shared" si="4"/>
        <v>24</v>
      </c>
      <c r="CA14" s="3668">
        <f t="shared" ref="CA14:CD14" si="5">SUM(CA11:CA13)</f>
        <v>8</v>
      </c>
      <c r="CB14" s="3669">
        <f t="shared" si="5"/>
        <v>7</v>
      </c>
      <c r="CC14" s="3669">
        <f t="shared" si="5"/>
        <v>8</v>
      </c>
      <c r="CD14" s="3670">
        <f t="shared" si="5"/>
        <v>23</v>
      </c>
    </row>
    <row r="15" spans="2:82" x14ac:dyDescent="0.25">
      <c r="B15" s="3589"/>
      <c r="C15" s="4383"/>
      <c r="D15" s="4383"/>
      <c r="E15" s="4383"/>
      <c r="F15" s="4383"/>
      <c r="G15" s="4383"/>
      <c r="H15" s="4383"/>
      <c r="I15" s="4383"/>
      <c r="J15" s="4383"/>
      <c r="K15" s="4383"/>
      <c r="L15" s="4383"/>
      <c r="M15" s="4383"/>
      <c r="N15" s="4383"/>
      <c r="O15" s="4383"/>
      <c r="P15" s="4383"/>
      <c r="Q15" s="4383"/>
      <c r="R15" s="4383"/>
      <c r="S15" s="4383"/>
      <c r="T15" s="4383"/>
      <c r="U15" s="4383"/>
      <c r="V15" s="4383"/>
      <c r="W15" s="4383"/>
      <c r="X15" s="4383"/>
      <c r="Y15" s="4383"/>
      <c r="Z15" s="4383"/>
      <c r="AA15" s="4383"/>
      <c r="AB15" s="4383"/>
      <c r="AC15" s="4383"/>
      <c r="AD15" s="4383"/>
      <c r="AE15" s="4383"/>
      <c r="AF15" s="4383"/>
      <c r="AG15" s="4383"/>
      <c r="AH15" s="4383"/>
      <c r="AI15" s="4383"/>
      <c r="AJ15" s="4383"/>
      <c r="AK15" s="4383"/>
      <c r="AL15" s="4383"/>
      <c r="AM15" s="4383"/>
      <c r="AN15" s="4383"/>
      <c r="AO15" s="4383"/>
      <c r="AP15" s="4383"/>
      <c r="AQ15" s="4383"/>
      <c r="AR15" s="4383"/>
      <c r="AS15" s="4383"/>
      <c r="AT15" s="4383"/>
      <c r="AU15" s="4383"/>
      <c r="AV15" s="4383"/>
      <c r="AW15" s="4383"/>
      <c r="AX15" s="4383"/>
      <c r="AY15" s="4383"/>
      <c r="AZ15" s="4383"/>
      <c r="BA15" s="4383"/>
      <c r="BB15" s="4383"/>
      <c r="BC15" s="4383"/>
      <c r="BD15" s="4383"/>
      <c r="BE15" s="4383"/>
      <c r="BF15" s="4383"/>
      <c r="BG15" s="4383"/>
      <c r="BH15" s="4383"/>
      <c r="BI15" s="4383"/>
      <c r="BJ15" s="4383"/>
      <c r="BK15" s="4383"/>
      <c r="BL15" s="4383"/>
      <c r="BM15" s="4383"/>
      <c r="BN15" s="4383"/>
      <c r="BO15" s="4383"/>
      <c r="BP15" s="4383"/>
      <c r="BQ15" s="4383"/>
      <c r="BR15" s="4383"/>
      <c r="BS15" s="4383"/>
      <c r="BT15" s="4383"/>
      <c r="BU15" s="4383"/>
      <c r="BV15" s="4383"/>
      <c r="BW15" s="4383"/>
      <c r="BX15" s="4383"/>
      <c r="BY15" s="4383"/>
      <c r="BZ15" s="4383"/>
      <c r="CA15" s="4383"/>
      <c r="CB15" s="4383"/>
      <c r="CC15" s="4383"/>
      <c r="CD15" s="4383"/>
    </row>
    <row r="16" spans="2:82" ht="15" customHeight="1" x14ac:dyDescent="0.25">
      <c r="B16" s="3591" t="s">
        <v>59</v>
      </c>
      <c r="C16" s="3652"/>
      <c r="D16" s="3653"/>
      <c r="E16" s="3654"/>
      <c r="F16" s="3655"/>
      <c r="G16" s="3652">
        <v>8</v>
      </c>
      <c r="H16" s="3654">
        <v>11</v>
      </c>
      <c r="I16" s="3654">
        <v>9</v>
      </c>
      <c r="J16" s="3655">
        <v>28</v>
      </c>
      <c r="K16" s="3652">
        <v>13</v>
      </c>
      <c r="L16" s="3654">
        <v>11</v>
      </c>
      <c r="M16" s="3654">
        <v>13</v>
      </c>
      <c r="N16" s="3655">
        <v>37</v>
      </c>
      <c r="O16" s="3652">
        <v>19</v>
      </c>
      <c r="P16" s="3654">
        <v>13</v>
      </c>
      <c r="Q16" s="3654">
        <v>9</v>
      </c>
      <c r="R16" s="3655">
        <v>41</v>
      </c>
      <c r="S16" s="3652">
        <v>20</v>
      </c>
      <c r="T16" s="3654">
        <v>12</v>
      </c>
      <c r="U16" s="3654">
        <v>8</v>
      </c>
      <c r="V16" s="3655">
        <v>40</v>
      </c>
      <c r="W16" s="3652">
        <v>20</v>
      </c>
      <c r="X16" s="3654">
        <v>12</v>
      </c>
      <c r="Y16" s="3654">
        <v>8</v>
      </c>
      <c r="Z16" s="3655">
        <v>40</v>
      </c>
      <c r="AA16" s="3652">
        <v>17</v>
      </c>
      <c r="AB16" s="3654">
        <v>16</v>
      </c>
      <c r="AC16" s="3654">
        <v>6</v>
      </c>
      <c r="AD16" s="3655">
        <v>39</v>
      </c>
      <c r="AE16" s="3652">
        <v>16</v>
      </c>
      <c r="AF16" s="3654">
        <v>18</v>
      </c>
      <c r="AG16" s="3654">
        <v>3</v>
      </c>
      <c r="AH16" s="3655">
        <f>SUM(AE16:AG16)</f>
        <v>37</v>
      </c>
      <c r="AI16" s="3652">
        <v>16</v>
      </c>
      <c r="AJ16" s="3654">
        <v>19</v>
      </c>
      <c r="AK16" s="3654">
        <v>4</v>
      </c>
      <c r="AL16" s="3655">
        <f>SUM(AI16:AK16)</f>
        <v>39</v>
      </c>
      <c r="AM16" s="3652">
        <v>17</v>
      </c>
      <c r="AN16" s="3654">
        <v>17</v>
      </c>
      <c r="AO16" s="3654">
        <v>3</v>
      </c>
      <c r="AP16" s="3655">
        <f>SUM(AM16:AO16)</f>
        <v>37</v>
      </c>
      <c r="AQ16" s="3652">
        <v>17</v>
      </c>
      <c r="AR16" s="3654">
        <v>16</v>
      </c>
      <c r="AS16" s="3654">
        <v>3</v>
      </c>
      <c r="AT16" s="3655">
        <f>SUM(AQ16:AS16)</f>
        <v>36</v>
      </c>
      <c r="AU16" s="3652">
        <v>18</v>
      </c>
      <c r="AV16" s="3654">
        <v>16</v>
      </c>
      <c r="AW16" s="3654">
        <v>3</v>
      </c>
      <c r="AX16" s="3655">
        <f>SUM(AU16:AW16)</f>
        <v>37</v>
      </c>
      <c r="AY16" s="3652">
        <v>17</v>
      </c>
      <c r="AZ16" s="3654">
        <v>14</v>
      </c>
      <c r="BA16" s="3654">
        <v>5</v>
      </c>
      <c r="BB16" s="3655">
        <f>SUM(AY16:BA16)</f>
        <v>36</v>
      </c>
      <c r="BC16" s="3652">
        <v>14</v>
      </c>
      <c r="BD16" s="3654">
        <v>16</v>
      </c>
      <c r="BE16" s="3654">
        <v>7</v>
      </c>
      <c r="BF16" s="3655">
        <f>SUM(BC16:BE16)</f>
        <v>37</v>
      </c>
      <c r="BG16" s="3652">
        <v>14</v>
      </c>
      <c r="BH16" s="3654">
        <v>16</v>
      </c>
      <c r="BI16" s="3654">
        <v>4</v>
      </c>
      <c r="BJ16" s="3655">
        <f>SUM(BG16:BI16)</f>
        <v>34</v>
      </c>
      <c r="BK16" s="3652">
        <v>14</v>
      </c>
      <c r="BL16" s="3654">
        <v>15</v>
      </c>
      <c r="BM16" s="3654">
        <v>5</v>
      </c>
      <c r="BN16" s="3655">
        <f>SUM(BK16:BM16)</f>
        <v>34</v>
      </c>
      <c r="BO16" s="3652">
        <v>15</v>
      </c>
      <c r="BP16" s="3654">
        <v>13</v>
      </c>
      <c r="BQ16" s="3654">
        <v>5</v>
      </c>
      <c r="BR16" s="3655">
        <f>SUM(BO16:BQ16)</f>
        <v>33</v>
      </c>
      <c r="BS16" s="3652">
        <v>15</v>
      </c>
      <c r="BT16" s="3654">
        <v>13</v>
      </c>
      <c r="BU16" s="3654">
        <v>5</v>
      </c>
      <c r="BV16" s="3655">
        <f>SUM(BS16:BU16)</f>
        <v>33</v>
      </c>
      <c r="BW16" s="3652">
        <v>14</v>
      </c>
      <c r="BX16" s="3654">
        <v>12</v>
      </c>
      <c r="BY16" s="3654">
        <v>4</v>
      </c>
      <c r="BZ16" s="3655">
        <f>SUM(BW16:BY16)</f>
        <v>30</v>
      </c>
      <c r="CA16" s="3652">
        <v>13</v>
      </c>
      <c r="CB16" s="3654">
        <v>12</v>
      </c>
      <c r="CC16" s="3654">
        <v>4</v>
      </c>
      <c r="CD16" s="3655">
        <f>SUM(CA16:CC16)</f>
        <v>29</v>
      </c>
    </row>
    <row r="17" spans="2:82" ht="15" customHeight="1" x14ac:dyDescent="0.25">
      <c r="B17" s="3595" t="s">
        <v>64</v>
      </c>
      <c r="C17" s="3656"/>
      <c r="D17" s="3657"/>
      <c r="E17" s="3657"/>
      <c r="F17" s="3658"/>
      <c r="G17" s="3656">
        <v>1</v>
      </c>
      <c r="H17" s="3657">
        <v>10</v>
      </c>
      <c r="I17" s="3657">
        <v>23</v>
      </c>
      <c r="J17" s="3658">
        <v>34</v>
      </c>
      <c r="K17" s="3656">
        <v>1</v>
      </c>
      <c r="L17" s="3657">
        <v>9</v>
      </c>
      <c r="M17" s="3657">
        <v>26</v>
      </c>
      <c r="N17" s="3658">
        <v>36</v>
      </c>
      <c r="O17" s="3656">
        <v>8</v>
      </c>
      <c r="P17" s="3657">
        <v>11</v>
      </c>
      <c r="Q17" s="3657">
        <v>20</v>
      </c>
      <c r="R17" s="3658">
        <v>39</v>
      </c>
      <c r="S17" s="3656">
        <v>10</v>
      </c>
      <c r="T17" s="3657">
        <v>14</v>
      </c>
      <c r="U17" s="3657">
        <v>18</v>
      </c>
      <c r="V17" s="3658">
        <v>42</v>
      </c>
      <c r="W17" s="3656">
        <v>11</v>
      </c>
      <c r="X17" s="3657">
        <v>14</v>
      </c>
      <c r="Y17" s="3657">
        <v>18</v>
      </c>
      <c r="Z17" s="3658">
        <v>43</v>
      </c>
      <c r="AA17" s="3656">
        <v>14</v>
      </c>
      <c r="AB17" s="3657">
        <v>13</v>
      </c>
      <c r="AC17" s="3657">
        <v>17</v>
      </c>
      <c r="AD17" s="3658">
        <v>44</v>
      </c>
      <c r="AE17" s="3656">
        <v>17</v>
      </c>
      <c r="AF17" s="3657">
        <v>12</v>
      </c>
      <c r="AG17" s="3657">
        <v>3</v>
      </c>
      <c r="AH17" s="3658">
        <f>SUM(AE17:AG17)</f>
        <v>32</v>
      </c>
      <c r="AI17" s="3656">
        <v>12</v>
      </c>
      <c r="AJ17" s="3657">
        <v>14</v>
      </c>
      <c r="AK17" s="3657">
        <v>10</v>
      </c>
      <c r="AL17" s="3658">
        <f>SUM(AI17:AK17)</f>
        <v>36</v>
      </c>
      <c r="AM17" s="3656">
        <v>16</v>
      </c>
      <c r="AN17" s="3657">
        <v>11</v>
      </c>
      <c r="AO17" s="3657">
        <v>9</v>
      </c>
      <c r="AP17" s="3658">
        <f>SUM(AM17:AO17)</f>
        <v>36</v>
      </c>
      <c r="AQ17" s="3656">
        <v>16</v>
      </c>
      <c r="AR17" s="3657">
        <v>12</v>
      </c>
      <c r="AS17" s="3657">
        <v>9</v>
      </c>
      <c r="AT17" s="3658">
        <f>SUM(AQ17:AS17)</f>
        <v>37</v>
      </c>
      <c r="AU17" s="3656">
        <v>16</v>
      </c>
      <c r="AV17" s="3657">
        <v>11</v>
      </c>
      <c r="AW17" s="3657">
        <v>7</v>
      </c>
      <c r="AX17" s="3658">
        <f>SUM(AU17:AW17)</f>
        <v>34</v>
      </c>
      <c r="AY17" s="3656">
        <v>15</v>
      </c>
      <c r="AZ17" s="3657">
        <v>8</v>
      </c>
      <c r="BA17" s="3657">
        <v>6</v>
      </c>
      <c r="BB17" s="3658">
        <f>SUM(AY17:BA17)</f>
        <v>29</v>
      </c>
      <c r="BC17" s="3656">
        <v>12</v>
      </c>
      <c r="BD17" s="3657">
        <v>10</v>
      </c>
      <c r="BE17" s="3657">
        <v>7</v>
      </c>
      <c r="BF17" s="3658">
        <f>SUM(BC17:BE17)</f>
        <v>29</v>
      </c>
      <c r="BG17" s="3656">
        <v>10</v>
      </c>
      <c r="BH17" s="3657">
        <v>9</v>
      </c>
      <c r="BI17" s="3657">
        <v>8</v>
      </c>
      <c r="BJ17" s="3658">
        <f>SUM(BG17:BI17)</f>
        <v>27</v>
      </c>
      <c r="BK17" s="3656">
        <v>10</v>
      </c>
      <c r="BL17" s="3657">
        <v>6</v>
      </c>
      <c r="BM17" s="3657">
        <v>10</v>
      </c>
      <c r="BN17" s="3658">
        <f>SUM(BK17:BM17)</f>
        <v>26</v>
      </c>
      <c r="BO17" s="3656">
        <v>10</v>
      </c>
      <c r="BP17" s="3657">
        <v>6</v>
      </c>
      <c r="BQ17" s="3657">
        <v>11</v>
      </c>
      <c r="BR17" s="3658">
        <f>SUM(BO17:BQ17)</f>
        <v>27</v>
      </c>
      <c r="BS17" s="3656">
        <v>10</v>
      </c>
      <c r="BT17" s="3657">
        <v>6</v>
      </c>
      <c r="BU17" s="3657">
        <v>11</v>
      </c>
      <c r="BV17" s="3658">
        <f>SUM(BS17:BU17)</f>
        <v>27</v>
      </c>
      <c r="BW17" s="3656">
        <v>9</v>
      </c>
      <c r="BX17" s="3657">
        <v>5</v>
      </c>
      <c r="BY17" s="3657">
        <v>13</v>
      </c>
      <c r="BZ17" s="3658">
        <f>SUM(BW17:BY17)</f>
        <v>27</v>
      </c>
      <c r="CA17" s="3656">
        <v>7</v>
      </c>
      <c r="CB17" s="3657">
        <v>6</v>
      </c>
      <c r="CC17" s="3657">
        <v>7</v>
      </c>
      <c r="CD17" s="3658">
        <f>SUM(CA17:CC17)</f>
        <v>20</v>
      </c>
    </row>
    <row r="18" spans="2:82" ht="15" customHeight="1" x14ac:dyDescent="0.25">
      <c r="B18" s="3659" t="s">
        <v>92</v>
      </c>
      <c r="C18" s="3660"/>
      <c r="D18" s="3661"/>
      <c r="E18" s="3661"/>
      <c r="F18" s="3662"/>
      <c r="G18" s="3660">
        <v>8</v>
      </c>
      <c r="H18" s="3661">
        <v>15</v>
      </c>
      <c r="I18" s="3661">
        <v>9</v>
      </c>
      <c r="J18" s="3662">
        <v>32</v>
      </c>
      <c r="K18" s="3660">
        <v>9</v>
      </c>
      <c r="L18" s="3661">
        <v>14</v>
      </c>
      <c r="M18" s="3661">
        <v>9</v>
      </c>
      <c r="N18" s="3662">
        <v>32</v>
      </c>
      <c r="O18" s="3660">
        <v>14</v>
      </c>
      <c r="P18" s="3661">
        <v>12</v>
      </c>
      <c r="Q18" s="3661">
        <v>8</v>
      </c>
      <c r="R18" s="3662">
        <v>34</v>
      </c>
      <c r="S18" s="3660">
        <v>14</v>
      </c>
      <c r="T18" s="3661">
        <v>13</v>
      </c>
      <c r="U18" s="3661">
        <v>8</v>
      </c>
      <c r="V18" s="3662">
        <v>35</v>
      </c>
      <c r="W18" s="3660">
        <v>14</v>
      </c>
      <c r="X18" s="3661">
        <v>13</v>
      </c>
      <c r="Y18" s="3661">
        <v>8</v>
      </c>
      <c r="Z18" s="3662">
        <v>35</v>
      </c>
      <c r="AA18" s="3660">
        <v>16</v>
      </c>
      <c r="AB18" s="3661">
        <v>12</v>
      </c>
      <c r="AC18" s="3661">
        <v>7</v>
      </c>
      <c r="AD18" s="3662">
        <v>35</v>
      </c>
      <c r="AE18" s="3660">
        <v>14</v>
      </c>
      <c r="AF18" s="3661">
        <v>15</v>
      </c>
      <c r="AG18" s="3661">
        <v>10</v>
      </c>
      <c r="AH18" s="3662">
        <f>SUM(AE18:AG18)</f>
        <v>39</v>
      </c>
      <c r="AI18" s="3660">
        <v>15</v>
      </c>
      <c r="AJ18" s="3661">
        <v>13</v>
      </c>
      <c r="AK18" s="3661">
        <v>4</v>
      </c>
      <c r="AL18" s="3662">
        <f>SUM(AI18:AK18)</f>
        <v>32</v>
      </c>
      <c r="AM18" s="3660">
        <v>15</v>
      </c>
      <c r="AN18" s="3661">
        <v>9</v>
      </c>
      <c r="AO18" s="3661">
        <v>8</v>
      </c>
      <c r="AP18" s="3662">
        <f>SUM(AM18:AO18)</f>
        <v>32</v>
      </c>
      <c r="AQ18" s="3660">
        <v>15</v>
      </c>
      <c r="AR18" s="3661">
        <v>8</v>
      </c>
      <c r="AS18" s="3661">
        <v>8</v>
      </c>
      <c r="AT18" s="3662">
        <f>SUM(AQ18:AS18)</f>
        <v>31</v>
      </c>
      <c r="AU18" s="3660">
        <v>15</v>
      </c>
      <c r="AV18" s="3661">
        <v>8</v>
      </c>
      <c r="AW18" s="3661">
        <v>8</v>
      </c>
      <c r="AX18" s="3662">
        <f>SUM(AU18:AW18)</f>
        <v>31</v>
      </c>
      <c r="AY18" s="3660">
        <v>16</v>
      </c>
      <c r="AZ18" s="3661">
        <v>7</v>
      </c>
      <c r="BA18" s="3661">
        <v>9</v>
      </c>
      <c r="BB18" s="3662">
        <f>SUM(AY18:BA18)</f>
        <v>32</v>
      </c>
      <c r="BC18" s="3660">
        <v>15</v>
      </c>
      <c r="BD18" s="3661">
        <v>8</v>
      </c>
      <c r="BE18" s="3661">
        <v>9</v>
      </c>
      <c r="BF18" s="3662">
        <f>SUM(BC18:BE18)</f>
        <v>32</v>
      </c>
      <c r="BG18" s="3660">
        <v>15</v>
      </c>
      <c r="BH18" s="3661">
        <v>8</v>
      </c>
      <c r="BI18" s="3661">
        <v>11</v>
      </c>
      <c r="BJ18" s="3662">
        <f>SUM(BG18:BI18)</f>
        <v>34</v>
      </c>
      <c r="BK18" s="3660">
        <v>14</v>
      </c>
      <c r="BL18" s="3661">
        <v>13</v>
      </c>
      <c r="BM18" s="3661">
        <v>7</v>
      </c>
      <c r="BN18" s="3662">
        <f>SUM(BK18:BM18)</f>
        <v>34</v>
      </c>
      <c r="BO18" s="3660">
        <v>13</v>
      </c>
      <c r="BP18" s="3661">
        <v>13</v>
      </c>
      <c r="BQ18" s="3661">
        <v>9</v>
      </c>
      <c r="BR18" s="3662">
        <f>SUM(BO18:BQ18)</f>
        <v>35</v>
      </c>
      <c r="BS18" s="3660">
        <v>13</v>
      </c>
      <c r="BT18" s="3661">
        <v>13</v>
      </c>
      <c r="BU18" s="3661">
        <v>9</v>
      </c>
      <c r="BV18" s="3662">
        <f>SUM(BS18:BU18)</f>
        <v>35</v>
      </c>
      <c r="BW18" s="3660">
        <v>11</v>
      </c>
      <c r="BX18" s="3661">
        <v>15</v>
      </c>
      <c r="BY18" s="3661">
        <v>8</v>
      </c>
      <c r="BZ18" s="3662">
        <f>SUM(BW18:BY18)</f>
        <v>34</v>
      </c>
      <c r="CA18" s="3660">
        <v>12</v>
      </c>
      <c r="CB18" s="3661">
        <v>16</v>
      </c>
      <c r="CC18" s="3661">
        <v>5</v>
      </c>
      <c r="CD18" s="3662">
        <f>SUM(CA18:CC18)</f>
        <v>33</v>
      </c>
    </row>
    <row r="19" spans="2:82" ht="15" customHeight="1" x14ac:dyDescent="0.25">
      <c r="B19" s="3671" t="s">
        <v>135</v>
      </c>
      <c r="C19" s="3672">
        <v>15</v>
      </c>
      <c r="D19" s="3673">
        <v>33</v>
      </c>
      <c r="E19" s="3673">
        <v>42</v>
      </c>
      <c r="F19" s="3674">
        <v>90</v>
      </c>
      <c r="G19" s="3672">
        <v>17</v>
      </c>
      <c r="H19" s="3673">
        <v>36</v>
      </c>
      <c r="I19" s="3673">
        <v>41</v>
      </c>
      <c r="J19" s="3674">
        <v>94</v>
      </c>
      <c r="K19" s="3672">
        <v>23</v>
      </c>
      <c r="L19" s="3673">
        <v>34</v>
      </c>
      <c r="M19" s="3673">
        <v>48</v>
      </c>
      <c r="N19" s="3674">
        <v>105</v>
      </c>
      <c r="O19" s="3672">
        <v>41</v>
      </c>
      <c r="P19" s="3673">
        <v>36</v>
      </c>
      <c r="Q19" s="3673">
        <v>37</v>
      </c>
      <c r="R19" s="3674">
        <v>114</v>
      </c>
      <c r="S19" s="3672">
        <v>44</v>
      </c>
      <c r="T19" s="3673">
        <v>39</v>
      </c>
      <c r="U19" s="3673">
        <v>34</v>
      </c>
      <c r="V19" s="3674">
        <v>117</v>
      </c>
      <c r="W19" s="3672">
        <v>45</v>
      </c>
      <c r="X19" s="3673">
        <v>39</v>
      </c>
      <c r="Y19" s="3673">
        <v>34</v>
      </c>
      <c r="Z19" s="3674">
        <v>118</v>
      </c>
      <c r="AA19" s="3672">
        <v>47</v>
      </c>
      <c r="AB19" s="3673">
        <v>41</v>
      </c>
      <c r="AC19" s="3673">
        <v>30</v>
      </c>
      <c r="AD19" s="3674">
        <v>118</v>
      </c>
      <c r="AE19" s="3672">
        <f t="shared" ref="AE19:BV19" si="6">SUM(AE16:AE18)</f>
        <v>47</v>
      </c>
      <c r="AF19" s="3673">
        <f t="shared" si="6"/>
        <v>45</v>
      </c>
      <c r="AG19" s="3673">
        <f t="shared" si="6"/>
        <v>16</v>
      </c>
      <c r="AH19" s="3674">
        <f t="shared" si="6"/>
        <v>108</v>
      </c>
      <c r="AI19" s="3672">
        <f t="shared" si="6"/>
        <v>43</v>
      </c>
      <c r="AJ19" s="3673">
        <f t="shared" si="6"/>
        <v>46</v>
      </c>
      <c r="AK19" s="3673">
        <f t="shared" si="6"/>
        <v>18</v>
      </c>
      <c r="AL19" s="3674">
        <f t="shared" si="6"/>
        <v>107</v>
      </c>
      <c r="AM19" s="3672">
        <f t="shared" si="6"/>
        <v>48</v>
      </c>
      <c r="AN19" s="3673">
        <f t="shared" si="6"/>
        <v>37</v>
      </c>
      <c r="AO19" s="3673">
        <f t="shared" si="6"/>
        <v>20</v>
      </c>
      <c r="AP19" s="3674">
        <f t="shared" si="6"/>
        <v>105</v>
      </c>
      <c r="AQ19" s="3672">
        <f t="shared" si="6"/>
        <v>48</v>
      </c>
      <c r="AR19" s="3673">
        <f t="shared" si="6"/>
        <v>36</v>
      </c>
      <c r="AS19" s="3673">
        <f t="shared" si="6"/>
        <v>20</v>
      </c>
      <c r="AT19" s="3674">
        <f t="shared" si="6"/>
        <v>104</v>
      </c>
      <c r="AU19" s="3672">
        <f t="shared" si="6"/>
        <v>49</v>
      </c>
      <c r="AV19" s="3673">
        <f t="shared" si="6"/>
        <v>35</v>
      </c>
      <c r="AW19" s="3673">
        <f t="shared" si="6"/>
        <v>18</v>
      </c>
      <c r="AX19" s="3674">
        <f t="shared" si="6"/>
        <v>102</v>
      </c>
      <c r="AY19" s="3672">
        <f t="shared" si="6"/>
        <v>48</v>
      </c>
      <c r="AZ19" s="3673">
        <f t="shared" si="6"/>
        <v>29</v>
      </c>
      <c r="BA19" s="3673">
        <f t="shared" si="6"/>
        <v>20</v>
      </c>
      <c r="BB19" s="3674">
        <f t="shared" si="6"/>
        <v>97</v>
      </c>
      <c r="BC19" s="3672">
        <f t="shared" si="6"/>
        <v>41</v>
      </c>
      <c r="BD19" s="3673">
        <f t="shared" si="6"/>
        <v>34</v>
      </c>
      <c r="BE19" s="3673">
        <f t="shared" si="6"/>
        <v>23</v>
      </c>
      <c r="BF19" s="3674">
        <f t="shared" si="6"/>
        <v>98</v>
      </c>
      <c r="BG19" s="3672">
        <f t="shared" si="6"/>
        <v>39</v>
      </c>
      <c r="BH19" s="3673">
        <f t="shared" si="6"/>
        <v>33</v>
      </c>
      <c r="BI19" s="3673">
        <f t="shared" si="6"/>
        <v>23</v>
      </c>
      <c r="BJ19" s="3674">
        <f t="shared" si="6"/>
        <v>95</v>
      </c>
      <c r="BK19" s="3672">
        <f t="shared" si="6"/>
        <v>38</v>
      </c>
      <c r="BL19" s="3673">
        <f t="shared" si="6"/>
        <v>34</v>
      </c>
      <c r="BM19" s="3673">
        <f t="shared" si="6"/>
        <v>22</v>
      </c>
      <c r="BN19" s="3674">
        <f t="shared" si="6"/>
        <v>94</v>
      </c>
      <c r="BO19" s="3672">
        <f t="shared" si="6"/>
        <v>38</v>
      </c>
      <c r="BP19" s="3673">
        <f t="shared" si="6"/>
        <v>32</v>
      </c>
      <c r="BQ19" s="3673">
        <f t="shared" si="6"/>
        <v>25</v>
      </c>
      <c r="BR19" s="3674">
        <f t="shared" si="6"/>
        <v>95</v>
      </c>
      <c r="BS19" s="3672">
        <f t="shared" si="6"/>
        <v>38</v>
      </c>
      <c r="BT19" s="3673">
        <f t="shared" si="6"/>
        <v>32</v>
      </c>
      <c r="BU19" s="3673">
        <f t="shared" si="6"/>
        <v>25</v>
      </c>
      <c r="BV19" s="3674">
        <f t="shared" si="6"/>
        <v>95</v>
      </c>
      <c r="BW19" s="3672">
        <f t="shared" ref="BW19:BZ19" si="7">SUM(BW16:BW18)</f>
        <v>34</v>
      </c>
      <c r="BX19" s="3673">
        <f t="shared" si="7"/>
        <v>32</v>
      </c>
      <c r="BY19" s="3673">
        <f t="shared" si="7"/>
        <v>25</v>
      </c>
      <c r="BZ19" s="3674">
        <f t="shared" si="7"/>
        <v>91</v>
      </c>
      <c r="CA19" s="3672">
        <f t="shared" ref="CA19:CD19" si="8">SUM(CA16:CA18)</f>
        <v>32</v>
      </c>
      <c r="CB19" s="3673">
        <f t="shared" si="8"/>
        <v>34</v>
      </c>
      <c r="CC19" s="3673">
        <f t="shared" si="8"/>
        <v>16</v>
      </c>
      <c r="CD19" s="3674">
        <f t="shared" si="8"/>
        <v>82</v>
      </c>
    </row>
    <row r="20" spans="2:82" ht="15" customHeight="1" x14ac:dyDescent="0.25">
      <c r="B20" s="4378"/>
      <c r="C20" s="4383"/>
      <c r="D20" s="4383"/>
      <c r="E20" s="4383"/>
      <c r="F20" s="4383"/>
      <c r="G20" s="4383"/>
      <c r="H20" s="4383"/>
      <c r="I20" s="4383"/>
      <c r="J20" s="4383"/>
      <c r="K20" s="4383"/>
      <c r="L20" s="4383"/>
      <c r="M20" s="4383"/>
      <c r="N20" s="4383"/>
      <c r="O20" s="4383"/>
      <c r="P20" s="4383"/>
      <c r="Q20" s="4383"/>
      <c r="R20" s="4383"/>
      <c r="S20" s="4383"/>
      <c r="T20" s="4383"/>
      <c r="U20" s="4383"/>
      <c r="V20" s="4383"/>
      <c r="W20" s="4383"/>
      <c r="X20" s="4383"/>
      <c r="Y20" s="4383"/>
      <c r="Z20" s="4383"/>
      <c r="AA20" s="4383"/>
      <c r="AB20" s="4383"/>
      <c r="AC20" s="4383"/>
      <c r="AD20" s="4383"/>
      <c r="AE20" s="4383"/>
      <c r="AF20" s="4383"/>
      <c r="AG20" s="4383"/>
      <c r="AH20" s="4383"/>
      <c r="AI20" s="4383"/>
      <c r="AJ20" s="4383"/>
      <c r="AK20" s="4383"/>
      <c r="AL20" s="4383"/>
      <c r="AM20" s="4383"/>
      <c r="AN20" s="4383"/>
      <c r="AO20" s="4383"/>
      <c r="AP20" s="4383"/>
      <c r="AQ20" s="4383"/>
      <c r="AR20" s="4383"/>
      <c r="AS20" s="4383"/>
      <c r="AT20" s="4383"/>
      <c r="AU20" s="4383"/>
      <c r="AV20" s="4383"/>
      <c r="AW20" s="4383"/>
      <c r="AX20" s="4383"/>
      <c r="AY20" s="4383"/>
      <c r="AZ20" s="4383"/>
      <c r="BA20" s="4383"/>
      <c r="BB20" s="4383"/>
      <c r="BC20" s="4383"/>
      <c r="BD20" s="4383"/>
      <c r="BE20" s="4383"/>
      <c r="BF20" s="4383"/>
      <c r="BG20" s="4383"/>
      <c r="BH20" s="4383"/>
      <c r="BI20" s="4383"/>
      <c r="BJ20" s="4383"/>
      <c r="BK20" s="4383"/>
      <c r="BL20" s="4383"/>
      <c r="BM20" s="4383"/>
      <c r="BN20" s="4383"/>
      <c r="BO20" s="4383"/>
      <c r="BP20" s="4383"/>
      <c r="BQ20" s="4383"/>
      <c r="BR20" s="4383"/>
      <c r="BS20" s="4383"/>
      <c r="BT20" s="4383"/>
      <c r="BU20" s="4383"/>
      <c r="BV20" s="4383"/>
      <c r="BW20" s="4383"/>
      <c r="BX20" s="4383"/>
      <c r="BY20" s="4383"/>
      <c r="BZ20" s="4383"/>
      <c r="CA20" s="4383"/>
      <c r="CB20" s="4383"/>
      <c r="CC20" s="4383"/>
      <c r="CD20" s="4383"/>
    </row>
    <row r="21" spans="2:82" ht="15" customHeight="1" x14ac:dyDescent="0.25">
      <c r="B21" s="3591" t="s">
        <v>59</v>
      </c>
      <c r="C21" s="3652"/>
      <c r="D21" s="3653"/>
      <c r="E21" s="3654"/>
      <c r="F21" s="3655"/>
      <c r="G21" s="3652"/>
      <c r="H21" s="3654"/>
      <c r="I21" s="3654"/>
      <c r="J21" s="3655"/>
      <c r="K21" s="3652"/>
      <c r="L21" s="3654"/>
      <c r="M21" s="3654"/>
      <c r="N21" s="3655"/>
      <c r="O21" s="3652"/>
      <c r="P21" s="3654"/>
      <c r="Q21" s="3654"/>
      <c r="R21" s="3655"/>
      <c r="S21" s="3652"/>
      <c r="T21" s="3654"/>
      <c r="U21" s="3654"/>
      <c r="V21" s="3655"/>
      <c r="W21" s="3652"/>
      <c r="X21" s="3654"/>
      <c r="Y21" s="3654"/>
      <c r="Z21" s="3655"/>
      <c r="AA21" s="3652"/>
      <c r="AB21" s="3654"/>
      <c r="AC21" s="3654"/>
      <c r="AD21" s="3655"/>
      <c r="AE21" s="3652"/>
      <c r="AF21" s="3654"/>
      <c r="AG21" s="3654"/>
      <c r="AH21" s="3655"/>
      <c r="AI21" s="3652"/>
      <c r="AJ21" s="3654"/>
      <c r="AK21" s="3654"/>
      <c r="AL21" s="3655"/>
      <c r="AM21" s="3652"/>
      <c r="AN21" s="3654"/>
      <c r="AO21" s="3654"/>
      <c r="AP21" s="3655"/>
      <c r="AQ21" s="3652"/>
      <c r="AR21" s="3654"/>
      <c r="AS21" s="3654"/>
      <c r="AT21" s="3655"/>
      <c r="AU21" s="3652"/>
      <c r="AV21" s="3654"/>
      <c r="AW21" s="3654"/>
      <c r="AX21" s="3655"/>
      <c r="AY21" s="3652"/>
      <c r="AZ21" s="3654"/>
      <c r="BA21" s="3654">
        <v>2</v>
      </c>
      <c r="BB21" s="3655">
        <f>SUM(AY21:BA21)</f>
        <v>2</v>
      </c>
      <c r="BC21" s="3652"/>
      <c r="BD21" s="3654"/>
      <c r="BE21" s="3654">
        <v>2</v>
      </c>
      <c r="BF21" s="3655">
        <f>SUM(BC21:BE21)</f>
        <v>2</v>
      </c>
      <c r="BG21" s="3652"/>
      <c r="BH21" s="3654"/>
      <c r="BI21" s="3654">
        <v>2</v>
      </c>
      <c r="BJ21" s="3655">
        <f>SUM(BG21:BI21)</f>
        <v>2</v>
      </c>
      <c r="BK21" s="3652"/>
      <c r="BL21" s="3654"/>
      <c r="BM21" s="3654">
        <v>3</v>
      </c>
      <c r="BN21" s="3655">
        <f>SUM(BK21:BM21)</f>
        <v>3</v>
      </c>
      <c r="BO21" s="3652"/>
      <c r="BP21" s="3654"/>
      <c r="BQ21" s="3654">
        <v>3</v>
      </c>
      <c r="BR21" s="3655">
        <f>SUM(BO21:BQ21)</f>
        <v>3</v>
      </c>
      <c r="BS21" s="3652"/>
      <c r="BT21" s="3654"/>
      <c r="BU21" s="3654">
        <v>2</v>
      </c>
      <c r="BV21" s="3655">
        <f>SUM(BS21:BU21)</f>
        <v>2</v>
      </c>
      <c r="BW21" s="3652"/>
      <c r="BX21" s="3654"/>
      <c r="BY21" s="3654">
        <v>2</v>
      </c>
      <c r="BZ21" s="3655">
        <f>SUM(BW21:BY21)</f>
        <v>2</v>
      </c>
      <c r="CA21" s="3652"/>
      <c r="CB21" s="3654"/>
      <c r="CC21" s="3654"/>
      <c r="CD21" s="3655">
        <f>SUM(CA21:CC21)</f>
        <v>0</v>
      </c>
    </row>
    <row r="22" spans="2:82" ht="15" customHeight="1" x14ac:dyDescent="0.25">
      <c r="B22" s="3595" t="s">
        <v>64</v>
      </c>
      <c r="C22" s="3656"/>
      <c r="D22" s="3657"/>
      <c r="E22" s="3657"/>
      <c r="F22" s="3658"/>
      <c r="G22" s="3656"/>
      <c r="H22" s="3657"/>
      <c r="I22" s="3657"/>
      <c r="J22" s="3658"/>
      <c r="K22" s="3656"/>
      <c r="L22" s="3657"/>
      <c r="M22" s="3657"/>
      <c r="N22" s="3658"/>
      <c r="O22" s="3656"/>
      <c r="P22" s="3657"/>
      <c r="Q22" s="3657"/>
      <c r="R22" s="3658"/>
      <c r="S22" s="3656"/>
      <c r="T22" s="3657"/>
      <c r="U22" s="3657"/>
      <c r="V22" s="3658"/>
      <c r="W22" s="3656"/>
      <c r="X22" s="3657"/>
      <c r="Y22" s="3657"/>
      <c r="Z22" s="3658"/>
      <c r="AA22" s="3656"/>
      <c r="AB22" s="3657"/>
      <c r="AC22" s="3657"/>
      <c r="AD22" s="3658"/>
      <c r="AE22" s="3656"/>
      <c r="AF22" s="3657"/>
      <c r="AG22" s="3657"/>
      <c r="AH22" s="3658"/>
      <c r="AI22" s="3656"/>
      <c r="AJ22" s="3657"/>
      <c r="AK22" s="3657"/>
      <c r="AL22" s="3658"/>
      <c r="AM22" s="3656"/>
      <c r="AN22" s="3657"/>
      <c r="AO22" s="3657"/>
      <c r="AP22" s="3658"/>
      <c r="AQ22" s="3656"/>
      <c r="AR22" s="3657"/>
      <c r="AS22" s="3657"/>
      <c r="AT22" s="3658"/>
      <c r="AU22" s="3656"/>
      <c r="AV22" s="3657"/>
      <c r="AW22" s="3657"/>
      <c r="AX22" s="3658"/>
      <c r="AY22" s="3656"/>
      <c r="AZ22" s="3657"/>
      <c r="BA22" s="3657">
        <v>2</v>
      </c>
      <c r="BB22" s="3658">
        <f>SUM(AY22:BA22)</f>
        <v>2</v>
      </c>
      <c r="BC22" s="3656"/>
      <c r="BD22" s="3657"/>
      <c r="BE22" s="3657">
        <v>2</v>
      </c>
      <c r="BF22" s="3658">
        <f>SUM(BC22:BE22)</f>
        <v>2</v>
      </c>
      <c r="BG22" s="3656"/>
      <c r="BH22" s="3657"/>
      <c r="BI22" s="3657">
        <v>3</v>
      </c>
      <c r="BJ22" s="3658">
        <f>SUM(BG22:BI22)</f>
        <v>3</v>
      </c>
      <c r="BK22" s="3656">
        <v>1</v>
      </c>
      <c r="BL22" s="3657"/>
      <c r="BM22" s="3657">
        <v>2</v>
      </c>
      <c r="BN22" s="3658">
        <f>SUM(BK22:BM22)</f>
        <v>3</v>
      </c>
      <c r="BO22" s="3656">
        <v>1</v>
      </c>
      <c r="BP22" s="3657"/>
      <c r="BQ22" s="3657">
        <v>2</v>
      </c>
      <c r="BR22" s="3658">
        <f>SUM(BO22:BQ22)</f>
        <v>3</v>
      </c>
      <c r="BS22" s="3656">
        <v>1</v>
      </c>
      <c r="BT22" s="3657"/>
      <c r="BU22" s="3657">
        <v>2</v>
      </c>
      <c r="BV22" s="3658">
        <f>SUM(BS22:BU22)</f>
        <v>3</v>
      </c>
      <c r="BW22" s="3656">
        <v>1</v>
      </c>
      <c r="BX22" s="3657"/>
      <c r="BY22" s="3657">
        <v>3</v>
      </c>
      <c r="BZ22" s="3658">
        <f>SUM(BW22:BY22)</f>
        <v>4</v>
      </c>
      <c r="CA22" s="3656">
        <v>1</v>
      </c>
      <c r="CB22" s="3657">
        <v>1</v>
      </c>
      <c r="CC22" s="3657">
        <v>2</v>
      </c>
      <c r="CD22" s="3658">
        <f>SUM(CA22:CC22)</f>
        <v>4</v>
      </c>
    </row>
    <row r="23" spans="2:82" ht="15" customHeight="1" x14ac:dyDescent="0.25">
      <c r="B23" s="3659" t="s">
        <v>92</v>
      </c>
      <c r="C23" s="3660"/>
      <c r="D23" s="3661"/>
      <c r="E23" s="3661"/>
      <c r="F23" s="3662"/>
      <c r="G23" s="3660"/>
      <c r="H23" s="3661"/>
      <c r="I23" s="3661"/>
      <c r="J23" s="3662"/>
      <c r="K23" s="3660"/>
      <c r="L23" s="3661"/>
      <c r="M23" s="3661"/>
      <c r="N23" s="3662"/>
      <c r="O23" s="3660"/>
      <c r="P23" s="3661"/>
      <c r="Q23" s="3661"/>
      <c r="R23" s="3662"/>
      <c r="S23" s="3660"/>
      <c r="T23" s="3661"/>
      <c r="U23" s="3661"/>
      <c r="V23" s="3662"/>
      <c r="W23" s="3660"/>
      <c r="X23" s="3661"/>
      <c r="Y23" s="3661"/>
      <c r="Z23" s="3662"/>
      <c r="AA23" s="3660"/>
      <c r="AB23" s="3661"/>
      <c r="AC23" s="3661"/>
      <c r="AD23" s="3662"/>
      <c r="AE23" s="3660"/>
      <c r="AF23" s="3661"/>
      <c r="AG23" s="3661"/>
      <c r="AH23" s="3662"/>
      <c r="AI23" s="3660"/>
      <c r="AJ23" s="3661"/>
      <c r="AK23" s="3661"/>
      <c r="AL23" s="3662"/>
      <c r="AM23" s="3660"/>
      <c r="AN23" s="3661"/>
      <c r="AO23" s="3661"/>
      <c r="AP23" s="3662"/>
      <c r="AQ23" s="3660"/>
      <c r="AR23" s="3661"/>
      <c r="AS23" s="3661"/>
      <c r="AT23" s="3662"/>
      <c r="AU23" s="3660"/>
      <c r="AV23" s="3661"/>
      <c r="AW23" s="3661"/>
      <c r="AX23" s="3662"/>
      <c r="AY23" s="3660"/>
      <c r="AZ23" s="3661"/>
      <c r="BA23" s="3661"/>
      <c r="BB23" s="3662">
        <f>SUM(AY23:BA23)</f>
        <v>0</v>
      </c>
      <c r="BC23" s="3660">
        <v>1</v>
      </c>
      <c r="BD23" s="3661">
        <v>1</v>
      </c>
      <c r="BE23" s="3661"/>
      <c r="BF23" s="3662">
        <f>SUM(BC23:BE23)</f>
        <v>2</v>
      </c>
      <c r="BG23" s="3660">
        <v>1</v>
      </c>
      <c r="BH23" s="3661">
        <v>1</v>
      </c>
      <c r="BI23" s="3661"/>
      <c r="BJ23" s="3662">
        <f>SUM(BG23:BI23)</f>
        <v>2</v>
      </c>
      <c r="BK23" s="3660">
        <v>1</v>
      </c>
      <c r="BL23" s="3661">
        <v>2</v>
      </c>
      <c r="BM23" s="3661"/>
      <c r="BN23" s="3662">
        <f>SUM(BK23:BM23)</f>
        <v>3</v>
      </c>
      <c r="BO23" s="3660">
        <v>1</v>
      </c>
      <c r="BP23" s="3661">
        <v>2</v>
      </c>
      <c r="BQ23" s="3661"/>
      <c r="BR23" s="3662">
        <f>SUM(BO23:BQ23)</f>
        <v>3</v>
      </c>
      <c r="BS23" s="3660">
        <v>1</v>
      </c>
      <c r="BT23" s="3661">
        <v>2</v>
      </c>
      <c r="BU23" s="3661"/>
      <c r="BV23" s="3662">
        <f>SUM(BS23:BU23)</f>
        <v>3</v>
      </c>
      <c r="BW23" s="3660">
        <v>1</v>
      </c>
      <c r="BX23" s="3661">
        <v>2</v>
      </c>
      <c r="BY23" s="3661"/>
      <c r="BZ23" s="3662">
        <f>SUM(BW23:BY23)</f>
        <v>3</v>
      </c>
      <c r="CA23" s="3660">
        <v>1</v>
      </c>
      <c r="CB23" s="3661">
        <v>2</v>
      </c>
      <c r="CC23" s="3661"/>
      <c r="CD23" s="3662">
        <f>SUM(CA23:CC23)</f>
        <v>3</v>
      </c>
    </row>
    <row r="24" spans="2:82" s="3679" customFormat="1" ht="15" customHeight="1" x14ac:dyDescent="0.25">
      <c r="B24" s="3675" t="s">
        <v>136</v>
      </c>
      <c r="C24" s="3676"/>
      <c r="D24" s="3677"/>
      <c r="E24" s="3677"/>
      <c r="F24" s="3678"/>
      <c r="G24" s="3676"/>
      <c r="H24" s="3677"/>
      <c r="I24" s="3677"/>
      <c r="J24" s="3678"/>
      <c r="K24" s="3676"/>
      <c r="L24" s="3677"/>
      <c r="M24" s="3677"/>
      <c r="N24" s="3678"/>
      <c r="O24" s="3676"/>
      <c r="P24" s="3677"/>
      <c r="Q24" s="3677"/>
      <c r="R24" s="3678"/>
      <c r="S24" s="3676"/>
      <c r="T24" s="3677"/>
      <c r="U24" s="3677"/>
      <c r="V24" s="3678"/>
      <c r="W24" s="3676"/>
      <c r="X24" s="3677"/>
      <c r="Y24" s="3677"/>
      <c r="Z24" s="3678"/>
      <c r="AA24" s="3676"/>
      <c r="AB24" s="3677"/>
      <c r="AC24" s="3677"/>
      <c r="AD24" s="3678"/>
      <c r="AE24" s="3676"/>
      <c r="AF24" s="3677"/>
      <c r="AG24" s="3677"/>
      <c r="AH24" s="3678"/>
      <c r="AI24" s="3676"/>
      <c r="AJ24" s="3677"/>
      <c r="AK24" s="3677"/>
      <c r="AL24" s="3678"/>
      <c r="AM24" s="3676"/>
      <c r="AN24" s="3677"/>
      <c r="AO24" s="3677"/>
      <c r="AP24" s="3678"/>
      <c r="AQ24" s="3676"/>
      <c r="AR24" s="3677"/>
      <c r="AS24" s="3677"/>
      <c r="AT24" s="3678"/>
      <c r="AU24" s="3676"/>
      <c r="AV24" s="3677"/>
      <c r="AW24" s="3677"/>
      <c r="AX24" s="3678"/>
      <c r="AY24" s="3676">
        <f t="shared" ref="AY24:BV24" si="9">SUM(AY21:AY23)</f>
        <v>0</v>
      </c>
      <c r="AZ24" s="3677">
        <f t="shared" si="9"/>
        <v>0</v>
      </c>
      <c r="BA24" s="3677">
        <f t="shared" si="9"/>
        <v>4</v>
      </c>
      <c r="BB24" s="3678">
        <f t="shared" si="9"/>
        <v>4</v>
      </c>
      <c r="BC24" s="3676">
        <f t="shared" si="9"/>
        <v>1</v>
      </c>
      <c r="BD24" s="3677">
        <f t="shared" si="9"/>
        <v>1</v>
      </c>
      <c r="BE24" s="3677">
        <f t="shared" si="9"/>
        <v>4</v>
      </c>
      <c r="BF24" s="3678">
        <f t="shared" si="9"/>
        <v>6</v>
      </c>
      <c r="BG24" s="3676">
        <f t="shared" si="9"/>
        <v>1</v>
      </c>
      <c r="BH24" s="3677">
        <f t="shared" si="9"/>
        <v>1</v>
      </c>
      <c r="BI24" s="3677">
        <f t="shared" si="9"/>
        <v>5</v>
      </c>
      <c r="BJ24" s="3678">
        <f t="shared" si="9"/>
        <v>7</v>
      </c>
      <c r="BK24" s="3676">
        <f t="shared" si="9"/>
        <v>2</v>
      </c>
      <c r="BL24" s="3677">
        <f t="shared" si="9"/>
        <v>2</v>
      </c>
      <c r="BM24" s="3677">
        <f t="shared" si="9"/>
        <v>5</v>
      </c>
      <c r="BN24" s="3678">
        <f t="shared" si="9"/>
        <v>9</v>
      </c>
      <c r="BO24" s="3676">
        <f t="shared" si="9"/>
        <v>2</v>
      </c>
      <c r="BP24" s="3677">
        <f t="shared" si="9"/>
        <v>2</v>
      </c>
      <c r="BQ24" s="3677">
        <f t="shared" si="9"/>
        <v>5</v>
      </c>
      <c r="BR24" s="3678">
        <f t="shared" si="9"/>
        <v>9</v>
      </c>
      <c r="BS24" s="3676">
        <f t="shared" si="9"/>
        <v>2</v>
      </c>
      <c r="BT24" s="3677">
        <f t="shared" si="9"/>
        <v>2</v>
      </c>
      <c r="BU24" s="3677">
        <f t="shared" si="9"/>
        <v>4</v>
      </c>
      <c r="BV24" s="3678">
        <f t="shared" si="9"/>
        <v>8</v>
      </c>
      <c r="BW24" s="3676">
        <f t="shared" ref="BW24:BZ24" si="10">SUM(BW21:BW23)</f>
        <v>2</v>
      </c>
      <c r="BX24" s="3677">
        <f t="shared" si="10"/>
        <v>2</v>
      </c>
      <c r="BY24" s="3677">
        <f t="shared" si="10"/>
        <v>5</v>
      </c>
      <c r="BZ24" s="3678">
        <f t="shared" si="10"/>
        <v>9</v>
      </c>
      <c r="CA24" s="3676">
        <f t="shared" ref="CA24:CD24" si="11">SUM(CA21:CA23)</f>
        <v>2</v>
      </c>
      <c r="CB24" s="3677">
        <f t="shared" si="11"/>
        <v>3</v>
      </c>
      <c r="CC24" s="3677">
        <f t="shared" si="11"/>
        <v>2</v>
      </c>
      <c r="CD24" s="3678">
        <f t="shared" si="11"/>
        <v>7</v>
      </c>
    </row>
    <row r="25" spans="2:82" x14ac:dyDescent="0.25">
      <c r="C25" s="4383"/>
      <c r="D25" s="4383"/>
      <c r="E25" s="4383"/>
      <c r="F25" s="4383"/>
      <c r="G25" s="4383"/>
      <c r="H25" s="4383"/>
      <c r="I25" s="4383"/>
      <c r="J25" s="4383"/>
      <c r="K25" s="4383"/>
      <c r="L25" s="4383"/>
      <c r="M25" s="4383"/>
      <c r="N25" s="4383"/>
      <c r="O25" s="4383"/>
      <c r="P25" s="4383"/>
      <c r="Q25" s="4383"/>
      <c r="R25" s="4383"/>
      <c r="S25" s="4383"/>
      <c r="T25" s="4383"/>
      <c r="U25" s="4383"/>
      <c r="V25" s="4383"/>
      <c r="W25" s="4383"/>
      <c r="X25" s="4383"/>
      <c r="Y25" s="4383"/>
      <c r="Z25" s="4383"/>
      <c r="AA25" s="4383"/>
      <c r="AB25" s="4383"/>
      <c r="AC25" s="4383"/>
      <c r="AD25" s="4383"/>
      <c r="AE25" s="4383"/>
      <c r="AF25" s="4383"/>
      <c r="AG25" s="4383"/>
      <c r="AH25" s="4383"/>
      <c r="AI25" s="4383"/>
      <c r="AJ25" s="4383"/>
      <c r="AK25" s="4383"/>
      <c r="AL25" s="4383"/>
      <c r="AM25" s="4383"/>
      <c r="AN25" s="4383"/>
      <c r="AO25" s="4383"/>
      <c r="AP25" s="4383"/>
      <c r="AQ25" s="4383"/>
      <c r="AR25" s="4383"/>
      <c r="AS25" s="4383"/>
      <c r="AT25" s="4383"/>
      <c r="AU25" s="4383"/>
      <c r="AV25" s="4383"/>
      <c r="AW25" s="4383"/>
      <c r="AX25" s="4383"/>
      <c r="AY25" s="4383"/>
      <c r="AZ25" s="4383"/>
      <c r="BA25" s="4383"/>
      <c r="BB25" s="4383"/>
      <c r="BC25" s="4383"/>
      <c r="BD25" s="4383"/>
      <c r="BE25" s="4383"/>
      <c r="BF25" s="4383"/>
      <c r="BG25" s="4383"/>
      <c r="BH25" s="4383"/>
      <c r="BI25" s="4383"/>
      <c r="BJ25" s="4383"/>
      <c r="BK25" s="4383"/>
      <c r="BL25" s="4383"/>
      <c r="BM25" s="4383"/>
      <c r="BN25" s="4383"/>
      <c r="BO25" s="4383"/>
      <c r="BP25" s="4383"/>
      <c r="BQ25" s="4383"/>
      <c r="BR25" s="4383"/>
      <c r="BS25" s="4383"/>
      <c r="BT25" s="4383"/>
      <c r="BU25" s="4383"/>
      <c r="BV25" s="4383"/>
      <c r="BW25" s="4383"/>
      <c r="BX25" s="4383"/>
      <c r="BY25" s="4383"/>
      <c r="BZ25" s="4383"/>
      <c r="CA25" s="4383"/>
      <c r="CB25" s="4383"/>
      <c r="CC25" s="4383"/>
      <c r="CD25" s="4383"/>
    </row>
    <row r="26" spans="2:82" ht="15" customHeight="1" x14ac:dyDescent="0.25">
      <c r="B26" s="3591" t="s">
        <v>64</v>
      </c>
      <c r="C26" s="3652"/>
      <c r="D26" s="3653"/>
      <c r="E26" s="3654"/>
      <c r="F26" s="3655"/>
      <c r="G26" s="3652">
        <v>0</v>
      </c>
      <c r="H26" s="3654">
        <v>6</v>
      </c>
      <c r="I26" s="3654">
        <v>15</v>
      </c>
      <c r="J26" s="3655">
        <v>21</v>
      </c>
      <c r="K26" s="3652">
        <v>0</v>
      </c>
      <c r="L26" s="3654">
        <v>6</v>
      </c>
      <c r="M26" s="3654">
        <v>15</v>
      </c>
      <c r="N26" s="3655">
        <v>21</v>
      </c>
      <c r="O26" s="3652">
        <v>3</v>
      </c>
      <c r="P26" s="3654">
        <v>6</v>
      </c>
      <c r="Q26" s="3654">
        <v>12</v>
      </c>
      <c r="R26" s="3655">
        <v>21</v>
      </c>
      <c r="S26" s="3652">
        <v>3</v>
      </c>
      <c r="T26" s="3654">
        <v>8</v>
      </c>
      <c r="U26" s="3654">
        <v>12</v>
      </c>
      <c r="V26" s="3655">
        <v>23</v>
      </c>
      <c r="W26" s="3652">
        <v>3</v>
      </c>
      <c r="X26" s="3654">
        <v>10</v>
      </c>
      <c r="Y26" s="3654">
        <v>10</v>
      </c>
      <c r="Z26" s="3655">
        <v>23</v>
      </c>
      <c r="AA26" s="3652">
        <v>4</v>
      </c>
      <c r="AB26" s="3654">
        <v>11</v>
      </c>
      <c r="AC26" s="3654">
        <v>9</v>
      </c>
      <c r="AD26" s="3655">
        <v>24</v>
      </c>
      <c r="AE26" s="3652">
        <v>6</v>
      </c>
      <c r="AF26" s="3654">
        <v>17</v>
      </c>
      <c r="AG26" s="3654">
        <v>12</v>
      </c>
      <c r="AH26" s="3655">
        <f>SUM(AE26:AG26)</f>
        <v>35</v>
      </c>
      <c r="AI26" s="3652">
        <v>4</v>
      </c>
      <c r="AJ26" s="3654">
        <v>13</v>
      </c>
      <c r="AK26" s="3654">
        <v>10</v>
      </c>
      <c r="AL26" s="3655">
        <f>SUM(AI26:AK26)</f>
        <v>27</v>
      </c>
      <c r="AM26" s="3652">
        <v>4</v>
      </c>
      <c r="AN26" s="3654">
        <v>11</v>
      </c>
      <c r="AO26" s="3654">
        <v>13</v>
      </c>
      <c r="AP26" s="3655">
        <f>SUM(AM26:AO26)</f>
        <v>28</v>
      </c>
      <c r="AQ26" s="3652">
        <v>4</v>
      </c>
      <c r="AR26" s="3654">
        <v>11</v>
      </c>
      <c r="AS26" s="3654">
        <v>12</v>
      </c>
      <c r="AT26" s="3655">
        <f>SUM(AQ26:AS26)</f>
        <v>27</v>
      </c>
      <c r="AU26" s="3652">
        <v>4</v>
      </c>
      <c r="AV26" s="3654">
        <v>9</v>
      </c>
      <c r="AW26" s="3654">
        <v>13</v>
      </c>
      <c r="AX26" s="3655">
        <f>SUM(AU26:AW26)</f>
        <v>26</v>
      </c>
      <c r="AY26" s="3652">
        <v>5</v>
      </c>
      <c r="AZ26" s="3654">
        <v>6</v>
      </c>
      <c r="BA26" s="3654">
        <v>12</v>
      </c>
      <c r="BB26" s="3655">
        <f>SUM(AY26:BA26)</f>
        <v>23</v>
      </c>
      <c r="BC26" s="3652">
        <v>4</v>
      </c>
      <c r="BD26" s="3654">
        <v>6</v>
      </c>
      <c r="BE26" s="3654">
        <v>12</v>
      </c>
      <c r="BF26" s="3655">
        <f>SUM(BC26:BE26)</f>
        <v>22</v>
      </c>
      <c r="BG26" s="3652">
        <v>4</v>
      </c>
      <c r="BH26" s="3654">
        <v>4</v>
      </c>
      <c r="BI26" s="3654">
        <v>13</v>
      </c>
      <c r="BJ26" s="3655">
        <f>SUM(BG26:BI26)</f>
        <v>21</v>
      </c>
      <c r="BK26" s="3652">
        <v>4</v>
      </c>
      <c r="BL26" s="3654">
        <v>4</v>
      </c>
      <c r="BM26" s="3654">
        <v>13</v>
      </c>
      <c r="BN26" s="3655">
        <f>SUM(BK26:BM26)</f>
        <v>21</v>
      </c>
      <c r="BO26" s="3652">
        <v>3</v>
      </c>
      <c r="BP26" s="3654">
        <v>5</v>
      </c>
      <c r="BQ26" s="3654">
        <v>15</v>
      </c>
      <c r="BR26" s="3655">
        <f>SUM(BO26:BQ26)</f>
        <v>23</v>
      </c>
      <c r="BS26" s="3652">
        <v>3</v>
      </c>
      <c r="BT26" s="3654">
        <v>5</v>
      </c>
      <c r="BU26" s="3654">
        <v>15</v>
      </c>
      <c r="BV26" s="3655">
        <f>SUM(BS26:BU26)</f>
        <v>23</v>
      </c>
      <c r="BW26" s="3652">
        <v>3</v>
      </c>
      <c r="BX26" s="3654">
        <v>5</v>
      </c>
      <c r="BY26" s="3654">
        <v>14</v>
      </c>
      <c r="BZ26" s="3655">
        <f>SUM(BW26:BY26)</f>
        <v>22</v>
      </c>
      <c r="CA26" s="3652">
        <v>3</v>
      </c>
      <c r="CB26" s="3654">
        <v>5</v>
      </c>
      <c r="CC26" s="3654">
        <v>9</v>
      </c>
      <c r="CD26" s="3655">
        <f>SUM(CA26:CC26)</f>
        <v>17</v>
      </c>
    </row>
    <row r="27" spans="2:82" ht="15" customHeight="1" x14ac:dyDescent="0.25">
      <c r="B27" s="3595" t="s">
        <v>92</v>
      </c>
      <c r="C27" s="3656"/>
      <c r="D27" s="3657"/>
      <c r="E27" s="3657"/>
      <c r="F27" s="3658"/>
      <c r="G27" s="3656">
        <v>0</v>
      </c>
      <c r="H27" s="3657">
        <v>3</v>
      </c>
      <c r="I27" s="3657">
        <v>36</v>
      </c>
      <c r="J27" s="3658">
        <v>39</v>
      </c>
      <c r="K27" s="3656">
        <v>0</v>
      </c>
      <c r="L27" s="3657">
        <v>3</v>
      </c>
      <c r="M27" s="3657">
        <v>36</v>
      </c>
      <c r="N27" s="3658">
        <v>39</v>
      </c>
      <c r="O27" s="3656">
        <v>1</v>
      </c>
      <c r="P27" s="3657">
        <v>8</v>
      </c>
      <c r="Q27" s="3657">
        <v>30</v>
      </c>
      <c r="R27" s="3658">
        <v>39</v>
      </c>
      <c r="S27" s="3656">
        <v>1</v>
      </c>
      <c r="T27" s="3657">
        <v>9</v>
      </c>
      <c r="U27" s="3657">
        <v>29</v>
      </c>
      <c r="V27" s="3658">
        <v>39</v>
      </c>
      <c r="W27" s="3656">
        <v>2</v>
      </c>
      <c r="X27" s="3657">
        <v>8</v>
      </c>
      <c r="Y27" s="3657">
        <v>29</v>
      </c>
      <c r="Z27" s="3658">
        <v>39</v>
      </c>
      <c r="AA27" s="3656">
        <v>4</v>
      </c>
      <c r="AB27" s="3657">
        <v>11</v>
      </c>
      <c r="AC27" s="3657">
        <v>23</v>
      </c>
      <c r="AD27" s="3658">
        <v>38</v>
      </c>
      <c r="AE27" s="3656">
        <v>5</v>
      </c>
      <c r="AF27" s="3657">
        <v>11</v>
      </c>
      <c r="AG27" s="3657">
        <v>8</v>
      </c>
      <c r="AH27" s="3658">
        <f>SUM(AE27:AG27)</f>
        <v>24</v>
      </c>
      <c r="AI27" s="3656">
        <v>7</v>
      </c>
      <c r="AJ27" s="3657">
        <v>17</v>
      </c>
      <c r="AK27" s="3657">
        <v>13</v>
      </c>
      <c r="AL27" s="3658">
        <f>SUM(AI27:AK27)</f>
        <v>37</v>
      </c>
      <c r="AM27" s="3656">
        <v>8</v>
      </c>
      <c r="AN27" s="3657">
        <v>15</v>
      </c>
      <c r="AO27" s="3657">
        <v>14</v>
      </c>
      <c r="AP27" s="3658">
        <f>SUM(AM27:AO27)</f>
        <v>37</v>
      </c>
      <c r="AQ27" s="3656">
        <v>9</v>
      </c>
      <c r="AR27" s="3657">
        <v>13</v>
      </c>
      <c r="AS27" s="3657">
        <v>13</v>
      </c>
      <c r="AT27" s="3658">
        <f>SUM(AQ27:AS27)</f>
        <v>35</v>
      </c>
      <c r="AU27" s="3656">
        <v>9</v>
      </c>
      <c r="AV27" s="3657">
        <v>15</v>
      </c>
      <c r="AW27" s="3657">
        <v>12</v>
      </c>
      <c r="AX27" s="3658">
        <f>SUM(AU27:AW27)</f>
        <v>36</v>
      </c>
      <c r="AY27" s="3656">
        <v>9</v>
      </c>
      <c r="AZ27" s="3657">
        <v>13</v>
      </c>
      <c r="BA27" s="3657">
        <v>10</v>
      </c>
      <c r="BB27" s="3658">
        <f>SUM(AY27:BA27)</f>
        <v>32</v>
      </c>
      <c r="BC27" s="3656">
        <v>9</v>
      </c>
      <c r="BD27" s="3657">
        <v>10</v>
      </c>
      <c r="BE27" s="3657">
        <v>13</v>
      </c>
      <c r="BF27" s="3658">
        <f>SUM(BC27:BE27)</f>
        <v>32</v>
      </c>
      <c r="BG27" s="3656">
        <v>8</v>
      </c>
      <c r="BH27" s="3657">
        <v>12</v>
      </c>
      <c r="BI27" s="3657">
        <v>11</v>
      </c>
      <c r="BJ27" s="3658">
        <f>SUM(BG27:BI27)</f>
        <v>31</v>
      </c>
      <c r="BK27" s="3656">
        <v>8</v>
      </c>
      <c r="BL27" s="3657">
        <v>12</v>
      </c>
      <c r="BM27" s="3657">
        <v>10</v>
      </c>
      <c r="BN27" s="3658">
        <f>SUM(BK27:BM27)</f>
        <v>30</v>
      </c>
      <c r="BO27" s="3656">
        <v>9</v>
      </c>
      <c r="BP27" s="3657">
        <v>10</v>
      </c>
      <c r="BQ27" s="3657">
        <v>9</v>
      </c>
      <c r="BR27" s="3658">
        <f>SUM(BO27:BQ27)</f>
        <v>28</v>
      </c>
      <c r="BS27" s="3656">
        <v>9</v>
      </c>
      <c r="BT27" s="3657">
        <v>10</v>
      </c>
      <c r="BU27" s="3657">
        <v>9</v>
      </c>
      <c r="BV27" s="3658">
        <f>SUM(BS27:BU27)</f>
        <v>28</v>
      </c>
      <c r="BW27" s="3656">
        <v>7</v>
      </c>
      <c r="BX27" s="3657">
        <v>11</v>
      </c>
      <c r="BY27" s="3657">
        <v>9</v>
      </c>
      <c r="BZ27" s="3658">
        <f>SUM(BW27:BY27)</f>
        <v>27</v>
      </c>
      <c r="CA27" s="3656">
        <v>7</v>
      </c>
      <c r="CB27" s="3657">
        <v>10</v>
      </c>
      <c r="CC27" s="3657">
        <v>8</v>
      </c>
      <c r="CD27" s="3658">
        <f>SUM(CA27:CC27)</f>
        <v>25</v>
      </c>
    </row>
    <row r="28" spans="2:82" ht="15" customHeight="1" x14ac:dyDescent="0.25">
      <c r="B28" s="3659" t="s">
        <v>68</v>
      </c>
      <c r="C28" s="3660"/>
      <c r="D28" s="3661"/>
      <c r="E28" s="3661"/>
      <c r="F28" s="3662"/>
      <c r="G28" s="3660">
        <v>0</v>
      </c>
      <c r="H28" s="3661"/>
      <c r="I28" s="3661">
        <v>12</v>
      </c>
      <c r="J28" s="3662">
        <v>12</v>
      </c>
      <c r="K28" s="3660">
        <v>0</v>
      </c>
      <c r="L28" s="3661">
        <v>0</v>
      </c>
      <c r="M28" s="3661">
        <v>13</v>
      </c>
      <c r="N28" s="3662">
        <v>13</v>
      </c>
      <c r="O28" s="3660"/>
      <c r="P28" s="3661"/>
      <c r="Q28" s="3661">
        <v>13</v>
      </c>
      <c r="R28" s="3662">
        <v>13</v>
      </c>
      <c r="S28" s="3660"/>
      <c r="T28" s="3661">
        <v>1</v>
      </c>
      <c r="U28" s="3661">
        <v>12</v>
      </c>
      <c r="V28" s="3662">
        <v>13</v>
      </c>
      <c r="W28" s="3660"/>
      <c r="X28" s="3661">
        <v>1</v>
      </c>
      <c r="Y28" s="3661">
        <v>12</v>
      </c>
      <c r="Z28" s="3662">
        <v>13</v>
      </c>
      <c r="AA28" s="3660"/>
      <c r="AB28" s="3661">
        <v>1</v>
      </c>
      <c r="AC28" s="3661">
        <v>13</v>
      </c>
      <c r="AD28" s="3662">
        <v>14</v>
      </c>
      <c r="AE28" s="3660"/>
      <c r="AF28" s="3661">
        <v>2</v>
      </c>
      <c r="AG28" s="3661">
        <v>7</v>
      </c>
      <c r="AH28" s="3662">
        <f>SUM(AE28:AG28)</f>
        <v>9</v>
      </c>
      <c r="AI28" s="3660"/>
      <c r="AJ28" s="3661">
        <v>2</v>
      </c>
      <c r="AK28" s="3661">
        <v>6</v>
      </c>
      <c r="AL28" s="3662">
        <f>SUM(AI28:AK28)</f>
        <v>8</v>
      </c>
      <c r="AM28" s="3660">
        <v>1</v>
      </c>
      <c r="AN28" s="3661">
        <v>2</v>
      </c>
      <c r="AO28" s="3661">
        <v>5</v>
      </c>
      <c r="AP28" s="3662">
        <f>SUM(AM28:AO28)</f>
        <v>8</v>
      </c>
      <c r="AQ28" s="3660">
        <v>1</v>
      </c>
      <c r="AR28" s="3661">
        <v>2</v>
      </c>
      <c r="AS28" s="3661">
        <v>5</v>
      </c>
      <c r="AT28" s="3662">
        <f>SUM(AQ28:AS28)</f>
        <v>8</v>
      </c>
      <c r="AU28" s="3660">
        <v>1</v>
      </c>
      <c r="AV28" s="3661">
        <v>2</v>
      </c>
      <c r="AW28" s="3661">
        <v>6</v>
      </c>
      <c r="AX28" s="3662">
        <f>SUM(AU28:AW28)</f>
        <v>9</v>
      </c>
      <c r="AY28" s="3660">
        <v>1</v>
      </c>
      <c r="AZ28" s="3661">
        <v>2</v>
      </c>
      <c r="BA28" s="3661">
        <v>6</v>
      </c>
      <c r="BB28" s="3662">
        <f>SUM(AY28:BA28)</f>
        <v>9</v>
      </c>
      <c r="BC28" s="3660">
        <v>1</v>
      </c>
      <c r="BD28" s="3661">
        <v>2</v>
      </c>
      <c r="BE28" s="3661">
        <v>6</v>
      </c>
      <c r="BF28" s="3662">
        <f>SUM(BC28:BE28)</f>
        <v>9</v>
      </c>
      <c r="BG28" s="3660"/>
      <c r="BH28" s="3661">
        <v>2</v>
      </c>
      <c r="BI28" s="3661">
        <v>5</v>
      </c>
      <c r="BJ28" s="3662">
        <f>SUM(BG28:BI28)</f>
        <v>7</v>
      </c>
      <c r="BK28" s="3660"/>
      <c r="BL28" s="3661">
        <v>3</v>
      </c>
      <c r="BM28" s="3661">
        <v>2</v>
      </c>
      <c r="BN28" s="3662">
        <f>SUM(BK28:BM28)</f>
        <v>5</v>
      </c>
      <c r="BO28" s="3660"/>
      <c r="BP28" s="3661">
        <v>3</v>
      </c>
      <c r="BQ28" s="3661">
        <v>1</v>
      </c>
      <c r="BR28" s="3662">
        <f>SUM(BO28:BQ28)</f>
        <v>4</v>
      </c>
      <c r="BS28" s="3660"/>
      <c r="BT28" s="3661">
        <v>3</v>
      </c>
      <c r="BU28" s="3661">
        <v>1</v>
      </c>
      <c r="BV28" s="3662">
        <f>SUM(BS28:BU28)</f>
        <v>4</v>
      </c>
      <c r="BW28" s="3660"/>
      <c r="BX28" s="3661">
        <v>3</v>
      </c>
      <c r="BY28" s="3661">
        <v>2</v>
      </c>
      <c r="BZ28" s="3662">
        <f>SUM(BW28:BY28)</f>
        <v>5</v>
      </c>
      <c r="CA28" s="3660"/>
      <c r="CB28" s="3661">
        <v>3</v>
      </c>
      <c r="CC28" s="3661">
        <v>2</v>
      </c>
      <c r="CD28" s="3662">
        <f>SUM(CA28:CC28)</f>
        <v>5</v>
      </c>
    </row>
    <row r="29" spans="2:82" ht="15" customHeight="1" x14ac:dyDescent="0.25">
      <c r="B29" s="3680" t="s">
        <v>137</v>
      </c>
      <c r="C29" s="3681">
        <v>0</v>
      </c>
      <c r="D29" s="3682">
        <v>6</v>
      </c>
      <c r="E29" s="3682">
        <v>50</v>
      </c>
      <c r="F29" s="3683">
        <v>56</v>
      </c>
      <c r="G29" s="3681">
        <v>0</v>
      </c>
      <c r="H29" s="3682">
        <v>9</v>
      </c>
      <c r="I29" s="3682">
        <v>63</v>
      </c>
      <c r="J29" s="3683">
        <v>72</v>
      </c>
      <c r="K29" s="3681">
        <v>0</v>
      </c>
      <c r="L29" s="3682">
        <v>9</v>
      </c>
      <c r="M29" s="3682">
        <v>64</v>
      </c>
      <c r="N29" s="3683">
        <v>73</v>
      </c>
      <c r="O29" s="3681">
        <v>4</v>
      </c>
      <c r="P29" s="3682">
        <v>14</v>
      </c>
      <c r="Q29" s="3682">
        <v>55</v>
      </c>
      <c r="R29" s="3683">
        <v>73</v>
      </c>
      <c r="S29" s="3681">
        <v>4</v>
      </c>
      <c r="T29" s="3682">
        <v>18</v>
      </c>
      <c r="U29" s="3682">
        <v>53</v>
      </c>
      <c r="V29" s="3683">
        <v>75</v>
      </c>
      <c r="W29" s="3681">
        <v>5</v>
      </c>
      <c r="X29" s="3682">
        <v>19</v>
      </c>
      <c r="Y29" s="3682">
        <v>51</v>
      </c>
      <c r="Z29" s="3683">
        <v>75</v>
      </c>
      <c r="AA29" s="3681">
        <v>8</v>
      </c>
      <c r="AB29" s="3682">
        <v>23</v>
      </c>
      <c r="AC29" s="3682">
        <v>45</v>
      </c>
      <c r="AD29" s="3683">
        <v>76</v>
      </c>
      <c r="AE29" s="3681">
        <f t="shared" ref="AE29:BV29" si="12">SUM(AE26:AE28)</f>
        <v>11</v>
      </c>
      <c r="AF29" s="3682">
        <f t="shared" si="12"/>
        <v>30</v>
      </c>
      <c r="AG29" s="3682">
        <f t="shared" si="12"/>
        <v>27</v>
      </c>
      <c r="AH29" s="3683">
        <f t="shared" si="12"/>
        <v>68</v>
      </c>
      <c r="AI29" s="3681">
        <f t="shared" si="12"/>
        <v>11</v>
      </c>
      <c r="AJ29" s="3682">
        <f t="shared" si="12"/>
        <v>32</v>
      </c>
      <c r="AK29" s="3682">
        <f t="shared" si="12"/>
        <v>29</v>
      </c>
      <c r="AL29" s="3683">
        <f t="shared" si="12"/>
        <v>72</v>
      </c>
      <c r="AM29" s="3681">
        <f t="shared" si="12"/>
        <v>13</v>
      </c>
      <c r="AN29" s="3682">
        <f t="shared" si="12"/>
        <v>28</v>
      </c>
      <c r="AO29" s="3682">
        <f t="shared" si="12"/>
        <v>32</v>
      </c>
      <c r="AP29" s="3683">
        <f t="shared" si="12"/>
        <v>73</v>
      </c>
      <c r="AQ29" s="3681">
        <f t="shared" si="12"/>
        <v>14</v>
      </c>
      <c r="AR29" s="3682">
        <f t="shared" si="12"/>
        <v>26</v>
      </c>
      <c r="AS29" s="3682">
        <f t="shared" si="12"/>
        <v>30</v>
      </c>
      <c r="AT29" s="3683">
        <f t="shared" si="12"/>
        <v>70</v>
      </c>
      <c r="AU29" s="3681">
        <f t="shared" si="12"/>
        <v>14</v>
      </c>
      <c r="AV29" s="3682">
        <f t="shared" si="12"/>
        <v>26</v>
      </c>
      <c r="AW29" s="3682">
        <f t="shared" si="12"/>
        <v>31</v>
      </c>
      <c r="AX29" s="3683">
        <f t="shared" si="12"/>
        <v>71</v>
      </c>
      <c r="AY29" s="3681">
        <f t="shared" si="12"/>
        <v>15</v>
      </c>
      <c r="AZ29" s="3682">
        <f t="shared" si="12"/>
        <v>21</v>
      </c>
      <c r="BA29" s="3682">
        <f t="shared" si="12"/>
        <v>28</v>
      </c>
      <c r="BB29" s="3683">
        <f t="shared" si="12"/>
        <v>64</v>
      </c>
      <c r="BC29" s="3681">
        <f t="shared" si="12"/>
        <v>14</v>
      </c>
      <c r="BD29" s="3682">
        <f t="shared" si="12"/>
        <v>18</v>
      </c>
      <c r="BE29" s="3682">
        <f t="shared" si="12"/>
        <v>31</v>
      </c>
      <c r="BF29" s="3683">
        <f t="shared" si="12"/>
        <v>63</v>
      </c>
      <c r="BG29" s="3681">
        <f t="shared" si="12"/>
        <v>12</v>
      </c>
      <c r="BH29" s="3682">
        <f t="shared" si="12"/>
        <v>18</v>
      </c>
      <c r="BI29" s="3682">
        <f t="shared" si="12"/>
        <v>29</v>
      </c>
      <c r="BJ29" s="3683">
        <f t="shared" si="12"/>
        <v>59</v>
      </c>
      <c r="BK29" s="3681">
        <f t="shared" si="12"/>
        <v>12</v>
      </c>
      <c r="BL29" s="3682">
        <f t="shared" si="12"/>
        <v>19</v>
      </c>
      <c r="BM29" s="3682">
        <f t="shared" si="12"/>
        <v>25</v>
      </c>
      <c r="BN29" s="3683">
        <f t="shared" si="12"/>
        <v>56</v>
      </c>
      <c r="BO29" s="3681">
        <f t="shared" si="12"/>
        <v>12</v>
      </c>
      <c r="BP29" s="3682">
        <f t="shared" si="12"/>
        <v>18</v>
      </c>
      <c r="BQ29" s="3682">
        <f t="shared" si="12"/>
        <v>25</v>
      </c>
      <c r="BR29" s="3683">
        <f t="shared" si="12"/>
        <v>55</v>
      </c>
      <c r="BS29" s="3681">
        <f t="shared" si="12"/>
        <v>12</v>
      </c>
      <c r="BT29" s="3682">
        <f t="shared" si="12"/>
        <v>18</v>
      </c>
      <c r="BU29" s="3682">
        <f t="shared" si="12"/>
        <v>25</v>
      </c>
      <c r="BV29" s="3683">
        <f t="shared" si="12"/>
        <v>55</v>
      </c>
      <c r="BW29" s="3681">
        <f t="shared" ref="BW29:BZ29" si="13">SUM(BW26:BW28)</f>
        <v>10</v>
      </c>
      <c r="BX29" s="3682">
        <f t="shared" si="13"/>
        <v>19</v>
      </c>
      <c r="BY29" s="3682">
        <f t="shared" si="13"/>
        <v>25</v>
      </c>
      <c r="BZ29" s="3683">
        <f t="shared" si="13"/>
        <v>54</v>
      </c>
      <c r="CA29" s="3681">
        <f t="shared" ref="CA29:CD29" si="14">SUM(CA26:CA28)</f>
        <v>10</v>
      </c>
      <c r="CB29" s="3682">
        <f t="shared" si="14"/>
        <v>18</v>
      </c>
      <c r="CC29" s="3682">
        <f t="shared" si="14"/>
        <v>19</v>
      </c>
      <c r="CD29" s="3683">
        <f t="shared" si="14"/>
        <v>47</v>
      </c>
    </row>
    <row r="30" spans="2:82" x14ac:dyDescent="0.25">
      <c r="C30" s="4383"/>
      <c r="D30" s="4383"/>
      <c r="E30" s="4383"/>
      <c r="F30" s="4383"/>
      <c r="G30" s="4383"/>
      <c r="H30" s="4383"/>
      <c r="I30" s="4383"/>
      <c r="J30" s="4383"/>
      <c r="K30" s="4383"/>
      <c r="L30" s="4383"/>
      <c r="M30" s="4383"/>
      <c r="N30" s="4383"/>
      <c r="O30" s="4383"/>
      <c r="P30" s="4383"/>
      <c r="Q30" s="4383"/>
      <c r="R30" s="4383"/>
      <c r="S30" s="4383"/>
      <c r="T30" s="4383"/>
      <c r="U30" s="4383"/>
      <c r="V30" s="4383"/>
      <c r="W30" s="4383"/>
      <c r="X30" s="4383"/>
      <c r="Y30" s="4383"/>
      <c r="Z30" s="4383"/>
      <c r="AA30" s="4383"/>
      <c r="AB30" s="4383"/>
      <c r="AC30" s="4383"/>
      <c r="AD30" s="4383"/>
      <c r="AE30" s="4383"/>
      <c r="AF30" s="4383"/>
      <c r="AG30" s="4383"/>
      <c r="AH30" s="4383"/>
      <c r="AI30" s="4383"/>
      <c r="AJ30" s="4383"/>
      <c r="AK30" s="4383"/>
      <c r="AL30" s="4383"/>
      <c r="AM30" s="4383"/>
      <c r="AN30" s="4383"/>
      <c r="AO30" s="4383"/>
      <c r="AP30" s="4383"/>
      <c r="AQ30" s="4383"/>
      <c r="AR30" s="4383"/>
      <c r="AS30" s="4383"/>
      <c r="AT30" s="4383"/>
      <c r="AU30" s="4383"/>
      <c r="AV30" s="4383"/>
      <c r="AW30" s="4383"/>
      <c r="AX30" s="4383"/>
      <c r="AY30" s="4383"/>
      <c r="AZ30" s="4383"/>
      <c r="BA30" s="4383"/>
      <c r="BB30" s="4383"/>
      <c r="BC30" s="4383"/>
      <c r="BD30" s="4383"/>
      <c r="BE30" s="4383"/>
      <c r="BF30" s="4383"/>
      <c r="BG30" s="4383"/>
      <c r="BH30" s="4383"/>
      <c r="BI30" s="4383"/>
      <c r="BJ30" s="4383"/>
      <c r="BK30" s="4383"/>
      <c r="BL30" s="4383"/>
      <c r="BM30" s="4383"/>
      <c r="BN30" s="4383"/>
      <c r="BO30" s="4383"/>
      <c r="BP30" s="4383"/>
      <c r="BQ30" s="4383"/>
      <c r="BR30" s="4383"/>
      <c r="BS30" s="4383"/>
      <c r="BT30" s="4383"/>
      <c r="BU30" s="4383"/>
      <c r="BV30" s="4383"/>
      <c r="BW30" s="4383"/>
      <c r="BX30" s="4383"/>
      <c r="BY30" s="4383"/>
      <c r="BZ30" s="4383"/>
      <c r="CA30" s="4383"/>
      <c r="CB30" s="4383"/>
      <c r="CC30" s="4383"/>
      <c r="CD30" s="4383"/>
    </row>
    <row r="31" spans="2:82" ht="15" customHeight="1" x14ac:dyDescent="0.25">
      <c r="B31" s="3591" t="s">
        <v>59</v>
      </c>
      <c r="C31" s="3652"/>
      <c r="D31" s="3654"/>
      <c r="E31" s="3654"/>
      <c r="F31" s="3655"/>
      <c r="G31" s="3652">
        <v>8</v>
      </c>
      <c r="H31" s="3654">
        <v>17</v>
      </c>
      <c r="I31" s="3654">
        <v>39</v>
      </c>
      <c r="J31" s="3655">
        <v>64</v>
      </c>
      <c r="K31" s="3652">
        <v>13</v>
      </c>
      <c r="L31" s="3654">
        <v>18</v>
      </c>
      <c r="M31" s="3654">
        <v>45</v>
      </c>
      <c r="N31" s="3655">
        <v>76</v>
      </c>
      <c r="O31" s="3652">
        <v>20</v>
      </c>
      <c r="P31" s="3654">
        <v>23</v>
      </c>
      <c r="Q31" s="3654">
        <v>39</v>
      </c>
      <c r="R31" s="3655">
        <v>82</v>
      </c>
      <c r="S31" s="3652">
        <v>21</v>
      </c>
      <c r="T31" s="3654">
        <v>26</v>
      </c>
      <c r="U31" s="3654">
        <v>33</v>
      </c>
      <c r="V31" s="3655">
        <v>80</v>
      </c>
      <c r="W31" s="3652">
        <v>22</v>
      </c>
      <c r="X31" s="3654">
        <v>25</v>
      </c>
      <c r="Y31" s="3654">
        <v>33</v>
      </c>
      <c r="Z31" s="3655">
        <v>80</v>
      </c>
      <c r="AA31" s="3652">
        <v>21</v>
      </c>
      <c r="AB31" s="3654">
        <v>29</v>
      </c>
      <c r="AC31" s="3654">
        <v>28</v>
      </c>
      <c r="AD31" s="3655">
        <v>78</v>
      </c>
      <c r="AE31" s="3652">
        <f t="shared" ref="AE31:AX31" si="15">SUM(AE6,AE16)</f>
        <v>22</v>
      </c>
      <c r="AF31" s="3654">
        <f t="shared" si="15"/>
        <v>30</v>
      </c>
      <c r="AG31" s="3654">
        <f t="shared" si="15"/>
        <v>15</v>
      </c>
      <c r="AH31" s="3655">
        <f t="shared" si="15"/>
        <v>67</v>
      </c>
      <c r="AI31" s="3652">
        <f t="shared" si="15"/>
        <v>24</v>
      </c>
      <c r="AJ31" s="3654">
        <f t="shared" si="15"/>
        <v>28</v>
      </c>
      <c r="AK31" s="3654">
        <f t="shared" si="15"/>
        <v>14</v>
      </c>
      <c r="AL31" s="3655">
        <f t="shared" si="15"/>
        <v>66</v>
      </c>
      <c r="AM31" s="3652">
        <f t="shared" si="15"/>
        <v>25</v>
      </c>
      <c r="AN31" s="3654">
        <f t="shared" si="15"/>
        <v>28</v>
      </c>
      <c r="AO31" s="3654">
        <f t="shared" si="15"/>
        <v>12</v>
      </c>
      <c r="AP31" s="3655">
        <f t="shared" si="15"/>
        <v>65</v>
      </c>
      <c r="AQ31" s="3652">
        <f t="shared" si="15"/>
        <v>25</v>
      </c>
      <c r="AR31" s="3654">
        <f t="shared" si="15"/>
        <v>27</v>
      </c>
      <c r="AS31" s="3654">
        <f t="shared" si="15"/>
        <v>12</v>
      </c>
      <c r="AT31" s="3655">
        <f t="shared" si="15"/>
        <v>64</v>
      </c>
      <c r="AU31" s="3652">
        <f t="shared" si="15"/>
        <v>26</v>
      </c>
      <c r="AV31" s="3654">
        <f t="shared" si="15"/>
        <v>26</v>
      </c>
      <c r="AW31" s="3654">
        <f t="shared" si="15"/>
        <v>11</v>
      </c>
      <c r="AX31" s="3655">
        <f t="shared" si="15"/>
        <v>63</v>
      </c>
      <c r="AY31" s="3652">
        <f>SUM(AY6,AY16,AY21)</f>
        <v>28</v>
      </c>
      <c r="AZ31" s="3654">
        <f>SUM(AZ6,AZ16,AZ21)</f>
        <v>18</v>
      </c>
      <c r="BA31" s="3654">
        <f>SUM(BA6,BA16,BA21)</f>
        <v>19</v>
      </c>
      <c r="BB31" s="3655">
        <f t="shared" ref="BB31:BB36" si="16">SUM(AY31:BA31)</f>
        <v>65</v>
      </c>
      <c r="BC31" s="3652">
        <f>SUM(BC6,BC16,BC21)</f>
        <v>25</v>
      </c>
      <c r="BD31" s="3654">
        <f>SUM(BD6,BD16,BD21)</f>
        <v>19</v>
      </c>
      <c r="BE31" s="3654">
        <f>SUM(BE6,BE16,BE21)</f>
        <v>22</v>
      </c>
      <c r="BF31" s="3655">
        <f t="shared" ref="BF31:BF36" si="17">SUM(BC31:BE31)</f>
        <v>66</v>
      </c>
      <c r="BG31" s="3652">
        <f>SUM(BG6,BG16,BG21)</f>
        <v>24</v>
      </c>
      <c r="BH31" s="3654">
        <f>SUM(BH6,BH16,BH21)</f>
        <v>20</v>
      </c>
      <c r="BI31" s="3654">
        <f>SUM(BI6,BI16,BI21)</f>
        <v>20</v>
      </c>
      <c r="BJ31" s="3655">
        <f t="shared" ref="BJ31:BJ36" si="18">SUM(BG31:BI31)</f>
        <v>64</v>
      </c>
      <c r="BK31" s="3652">
        <f>SUM(BK6,BK16,BK21)</f>
        <v>28</v>
      </c>
      <c r="BL31" s="3654">
        <f>SUM(BL6,BL16,BL21)</f>
        <v>18</v>
      </c>
      <c r="BM31" s="3654">
        <f>SUM(BM6,BM16,BM21)</f>
        <v>21</v>
      </c>
      <c r="BN31" s="3655">
        <f t="shared" ref="BN31:BN36" si="19">SUM(BK31:BM31)</f>
        <v>67</v>
      </c>
      <c r="BO31" s="3652">
        <f>SUM(BO6,BO16,BO21)</f>
        <v>26</v>
      </c>
      <c r="BP31" s="3654">
        <f>SUM(BP6,BP16,BP21)</f>
        <v>20</v>
      </c>
      <c r="BQ31" s="3654">
        <f>SUM(BQ6,BQ16,BQ21)</f>
        <v>19</v>
      </c>
      <c r="BR31" s="3655">
        <f t="shared" ref="BR31:BR36" si="20">SUM(BO31:BQ31)</f>
        <v>65</v>
      </c>
      <c r="BS31" s="3652">
        <f>SUM(BS6,BS16,BS21)</f>
        <v>26</v>
      </c>
      <c r="BT31" s="3654">
        <f>SUM(BT6,BT16,BT21)</f>
        <v>20</v>
      </c>
      <c r="BU31" s="3654">
        <f>SUM(BU6,BU16,BU21)</f>
        <v>18</v>
      </c>
      <c r="BV31" s="3655">
        <f t="shared" ref="BV31:BV36" si="21">SUM(BS31:BU31)</f>
        <v>64</v>
      </c>
      <c r="BW31" s="3652">
        <f>SUM(BW6,BW16,BW21)</f>
        <v>24</v>
      </c>
      <c r="BX31" s="3654">
        <f>SUM(BX6,BX16,BX21)</f>
        <v>20</v>
      </c>
      <c r="BY31" s="3654">
        <f>SUM(BY6,BY16,BY21)</f>
        <v>17</v>
      </c>
      <c r="BZ31" s="3655">
        <f t="shared" ref="BZ31:BZ36" si="22">SUM(BW31:BY31)</f>
        <v>61</v>
      </c>
      <c r="CA31" s="3652">
        <f>SUM(CA6,CA16,CA21)</f>
        <v>24</v>
      </c>
      <c r="CB31" s="3654">
        <f>SUM(CB6,CB16,CB21)</f>
        <v>19</v>
      </c>
      <c r="CC31" s="3654">
        <f>SUM(CC6,CC16,CC21)</f>
        <v>14</v>
      </c>
      <c r="CD31" s="3655">
        <f t="shared" ref="CD31:CD36" si="23">SUM(CA31:CC31)</f>
        <v>57</v>
      </c>
    </row>
    <row r="32" spans="2:82" ht="15" customHeight="1" x14ac:dyDescent="0.25">
      <c r="B32" s="3599" t="s">
        <v>64</v>
      </c>
      <c r="C32" s="3656"/>
      <c r="D32" s="3657"/>
      <c r="E32" s="3657"/>
      <c r="F32" s="3658"/>
      <c r="G32" s="3656">
        <v>1</v>
      </c>
      <c r="H32" s="3657">
        <v>18</v>
      </c>
      <c r="I32" s="3657">
        <v>66</v>
      </c>
      <c r="J32" s="3658">
        <v>85</v>
      </c>
      <c r="K32" s="3656">
        <v>1</v>
      </c>
      <c r="L32" s="3657">
        <v>17</v>
      </c>
      <c r="M32" s="3657">
        <v>72</v>
      </c>
      <c r="N32" s="3658">
        <v>90</v>
      </c>
      <c r="O32" s="3656">
        <v>14</v>
      </c>
      <c r="P32" s="3657">
        <v>24</v>
      </c>
      <c r="Q32" s="3657">
        <v>62</v>
      </c>
      <c r="R32" s="3658">
        <v>100</v>
      </c>
      <c r="S32" s="3656">
        <v>17</v>
      </c>
      <c r="T32" s="3657">
        <v>33</v>
      </c>
      <c r="U32" s="3657">
        <v>63</v>
      </c>
      <c r="V32" s="3658">
        <v>113</v>
      </c>
      <c r="W32" s="3656">
        <v>18</v>
      </c>
      <c r="X32" s="3657">
        <v>37</v>
      </c>
      <c r="Y32" s="3657">
        <v>62</v>
      </c>
      <c r="Z32" s="3658">
        <v>117</v>
      </c>
      <c r="AA32" s="3656">
        <v>23</v>
      </c>
      <c r="AB32" s="3657">
        <v>43</v>
      </c>
      <c r="AC32" s="3657">
        <v>54</v>
      </c>
      <c r="AD32" s="3658">
        <v>120</v>
      </c>
      <c r="AE32" s="3656">
        <f t="shared" ref="AE32:AX32" si="24">SUM(AE7,AE11,AE17,AE26)</f>
        <v>30</v>
      </c>
      <c r="AF32" s="3657">
        <f t="shared" si="24"/>
        <v>49</v>
      </c>
      <c r="AG32" s="3657">
        <f t="shared" si="24"/>
        <v>32</v>
      </c>
      <c r="AH32" s="3658">
        <f t="shared" si="24"/>
        <v>111</v>
      </c>
      <c r="AI32" s="3656">
        <f t="shared" si="24"/>
        <v>23</v>
      </c>
      <c r="AJ32" s="3657">
        <f t="shared" si="24"/>
        <v>48</v>
      </c>
      <c r="AK32" s="3657">
        <f t="shared" si="24"/>
        <v>37</v>
      </c>
      <c r="AL32" s="3658">
        <f t="shared" si="24"/>
        <v>108</v>
      </c>
      <c r="AM32" s="3656">
        <f t="shared" si="24"/>
        <v>28</v>
      </c>
      <c r="AN32" s="3657">
        <f t="shared" si="24"/>
        <v>40</v>
      </c>
      <c r="AO32" s="3657">
        <f t="shared" si="24"/>
        <v>38</v>
      </c>
      <c r="AP32" s="3658">
        <f t="shared" si="24"/>
        <v>106</v>
      </c>
      <c r="AQ32" s="3656">
        <f t="shared" si="24"/>
        <v>28</v>
      </c>
      <c r="AR32" s="3657">
        <f t="shared" si="24"/>
        <v>41</v>
      </c>
      <c r="AS32" s="3657">
        <f t="shared" si="24"/>
        <v>38</v>
      </c>
      <c r="AT32" s="3658">
        <f t="shared" si="24"/>
        <v>107</v>
      </c>
      <c r="AU32" s="3656">
        <f t="shared" si="24"/>
        <v>30</v>
      </c>
      <c r="AV32" s="3657">
        <f t="shared" si="24"/>
        <v>33</v>
      </c>
      <c r="AW32" s="3657">
        <f t="shared" si="24"/>
        <v>37</v>
      </c>
      <c r="AX32" s="3658">
        <f t="shared" si="24"/>
        <v>100</v>
      </c>
      <c r="AY32" s="3656">
        <f>SUM(AY7,AY11,AY17,AY22,AY26)</f>
        <v>30</v>
      </c>
      <c r="AZ32" s="3657">
        <f>SUM(AZ7,AZ11,AZ17,AZ22,AZ26)</f>
        <v>28</v>
      </c>
      <c r="BA32" s="3657">
        <f>SUM(BA7,BA11,BA17,BA22,BA26)</f>
        <v>36</v>
      </c>
      <c r="BB32" s="3658">
        <f t="shared" si="16"/>
        <v>94</v>
      </c>
      <c r="BC32" s="3656">
        <f>SUM(BC7,BC11,BC17,BC22,BC26)</f>
        <v>27</v>
      </c>
      <c r="BD32" s="3657">
        <f>SUM(BD7,BD11,BD17,BD22,BD26)</f>
        <v>30</v>
      </c>
      <c r="BE32" s="3657">
        <f>SUM(BE7,BE11,BE17,BE22,BE26)</f>
        <v>33</v>
      </c>
      <c r="BF32" s="3658">
        <f t="shared" si="17"/>
        <v>90</v>
      </c>
      <c r="BG32" s="3656">
        <f>SUM(BG7,BG11,BG17,BG22,BG26)</f>
        <v>26</v>
      </c>
      <c r="BH32" s="3657">
        <f>SUM(BH7,BH11,BH17,BH22,BH26)</f>
        <v>24</v>
      </c>
      <c r="BI32" s="3657">
        <f>SUM(BI7,BI11,BI17,BI22,BI26)</f>
        <v>35</v>
      </c>
      <c r="BJ32" s="3658">
        <f t="shared" si="18"/>
        <v>85</v>
      </c>
      <c r="BK32" s="3656">
        <f>SUM(BK7,BK11,BK17,BK22,BK26)</f>
        <v>26</v>
      </c>
      <c r="BL32" s="3657">
        <f>SUM(BL7,BL11,BL17,BL22,BL26)</f>
        <v>20</v>
      </c>
      <c r="BM32" s="3657">
        <f>SUM(BM7,BM11,BM17,BM22,BM26)</f>
        <v>36</v>
      </c>
      <c r="BN32" s="3658">
        <f t="shared" si="19"/>
        <v>82</v>
      </c>
      <c r="BO32" s="3656">
        <f>SUM(BO7,BO11,BO17,BO22,BO26)</f>
        <v>27</v>
      </c>
      <c r="BP32" s="3657">
        <f>SUM(BP7,BP11,BP17,BP22,BP26)</f>
        <v>18</v>
      </c>
      <c r="BQ32" s="3657">
        <f>SUM(BQ7,BQ11,BQ17,BQ22,BQ26)</f>
        <v>41</v>
      </c>
      <c r="BR32" s="3658">
        <f t="shared" si="20"/>
        <v>86</v>
      </c>
      <c r="BS32" s="3656">
        <f>SUM(BS7,BS11,BS17,BS22,BS26)</f>
        <v>27</v>
      </c>
      <c r="BT32" s="3657">
        <f>SUM(BT7,BT11,BT17,BT22,BT26)</f>
        <v>17</v>
      </c>
      <c r="BU32" s="3657">
        <f>SUM(BU7,BU11,BU17,BU22,BU26)</f>
        <v>41</v>
      </c>
      <c r="BV32" s="3658">
        <f t="shared" si="21"/>
        <v>85</v>
      </c>
      <c r="BW32" s="3656">
        <f>SUM(BW7,BW11,BW17,BW22,BW26)</f>
        <v>25</v>
      </c>
      <c r="BX32" s="3657">
        <f>SUM(BX7,BX11,BX17,BX22,BX26)</f>
        <v>19</v>
      </c>
      <c r="BY32" s="3657">
        <f>SUM(BY7,BY11,BY17,BY22,BY26)</f>
        <v>42</v>
      </c>
      <c r="BZ32" s="3658">
        <f t="shared" si="22"/>
        <v>86</v>
      </c>
      <c r="CA32" s="3656">
        <f>SUM(CA7,CA11,CA17,CA22,CA26)</f>
        <v>23</v>
      </c>
      <c r="CB32" s="3657">
        <f>SUM(CB7,CB11,CB17,CB22,CB26)</f>
        <v>23</v>
      </c>
      <c r="CC32" s="3657">
        <f>SUM(CC7,CC11,CC17,CC22,CC26)</f>
        <v>24</v>
      </c>
      <c r="CD32" s="3658">
        <f t="shared" si="23"/>
        <v>70</v>
      </c>
    </row>
    <row r="33" spans="2:82" ht="15" customHeight="1" x14ac:dyDescent="0.25">
      <c r="B33" s="3631" t="s">
        <v>92</v>
      </c>
      <c r="C33" s="3656"/>
      <c r="D33" s="3657"/>
      <c r="E33" s="3657"/>
      <c r="F33" s="3658"/>
      <c r="G33" s="3656">
        <v>8</v>
      </c>
      <c r="H33" s="3657">
        <v>18</v>
      </c>
      <c r="I33" s="3657">
        <v>45</v>
      </c>
      <c r="J33" s="3658">
        <v>71</v>
      </c>
      <c r="K33" s="3656">
        <v>9</v>
      </c>
      <c r="L33" s="3657">
        <v>17</v>
      </c>
      <c r="M33" s="3657">
        <v>45</v>
      </c>
      <c r="N33" s="3658">
        <v>71</v>
      </c>
      <c r="O33" s="3656">
        <v>15</v>
      </c>
      <c r="P33" s="3657">
        <v>20</v>
      </c>
      <c r="Q33" s="3657">
        <v>38</v>
      </c>
      <c r="R33" s="3658">
        <v>73</v>
      </c>
      <c r="S33" s="3656">
        <v>15</v>
      </c>
      <c r="T33" s="3657">
        <v>22</v>
      </c>
      <c r="U33" s="3657">
        <v>37</v>
      </c>
      <c r="V33" s="3658">
        <v>74</v>
      </c>
      <c r="W33" s="3656">
        <v>16</v>
      </c>
      <c r="X33" s="3657">
        <v>21</v>
      </c>
      <c r="Y33" s="3657">
        <v>37</v>
      </c>
      <c r="Z33" s="3658">
        <v>74</v>
      </c>
      <c r="AA33" s="3656">
        <v>20</v>
      </c>
      <c r="AB33" s="3657">
        <v>23</v>
      </c>
      <c r="AC33" s="3657">
        <v>30</v>
      </c>
      <c r="AD33" s="3658">
        <v>73</v>
      </c>
      <c r="AE33" s="3656">
        <f t="shared" ref="AE33:AX33" si="25">SUM(AE18,AE27)</f>
        <v>19</v>
      </c>
      <c r="AF33" s="3657">
        <f t="shared" si="25"/>
        <v>26</v>
      </c>
      <c r="AG33" s="3657">
        <f t="shared" si="25"/>
        <v>18</v>
      </c>
      <c r="AH33" s="3658">
        <f t="shared" si="25"/>
        <v>63</v>
      </c>
      <c r="AI33" s="3656">
        <f t="shared" si="25"/>
        <v>22</v>
      </c>
      <c r="AJ33" s="3657">
        <f t="shared" si="25"/>
        <v>30</v>
      </c>
      <c r="AK33" s="3657">
        <f t="shared" si="25"/>
        <v>17</v>
      </c>
      <c r="AL33" s="3658">
        <f t="shared" si="25"/>
        <v>69</v>
      </c>
      <c r="AM33" s="3656">
        <f t="shared" si="25"/>
        <v>23</v>
      </c>
      <c r="AN33" s="3657">
        <f t="shared" si="25"/>
        <v>24</v>
      </c>
      <c r="AO33" s="3657">
        <f t="shared" si="25"/>
        <v>22</v>
      </c>
      <c r="AP33" s="3658">
        <f t="shared" si="25"/>
        <v>69</v>
      </c>
      <c r="AQ33" s="3656">
        <f t="shared" si="25"/>
        <v>24</v>
      </c>
      <c r="AR33" s="3657">
        <f t="shared" si="25"/>
        <v>21</v>
      </c>
      <c r="AS33" s="3657">
        <f t="shared" si="25"/>
        <v>21</v>
      </c>
      <c r="AT33" s="3658">
        <f t="shared" si="25"/>
        <v>66</v>
      </c>
      <c r="AU33" s="3656">
        <f t="shared" si="25"/>
        <v>24</v>
      </c>
      <c r="AV33" s="3657">
        <f t="shared" si="25"/>
        <v>23</v>
      </c>
      <c r="AW33" s="3657">
        <f t="shared" si="25"/>
        <v>20</v>
      </c>
      <c r="AX33" s="3658">
        <f t="shared" si="25"/>
        <v>67</v>
      </c>
      <c r="AY33" s="3656">
        <f>SUM(AY18,AY23,AY27)</f>
        <v>25</v>
      </c>
      <c r="AZ33" s="3657">
        <f>SUM(AZ18,AZ23,AZ27)</f>
        <v>20</v>
      </c>
      <c r="BA33" s="3657">
        <f>SUM(BA18,BA23,BA27)</f>
        <v>19</v>
      </c>
      <c r="BB33" s="3658">
        <f t="shared" si="16"/>
        <v>64</v>
      </c>
      <c r="BC33" s="3656">
        <f>SUM(BC18,BC23,BC27)</f>
        <v>25</v>
      </c>
      <c r="BD33" s="3657">
        <f>SUM(BD18,BD23,BD27)</f>
        <v>19</v>
      </c>
      <c r="BE33" s="3657">
        <f>SUM(BE18,BE23,BE27)</f>
        <v>22</v>
      </c>
      <c r="BF33" s="3658">
        <f t="shared" si="17"/>
        <v>66</v>
      </c>
      <c r="BG33" s="3656">
        <f>SUM(BG18,BG23,BG27)</f>
        <v>24</v>
      </c>
      <c r="BH33" s="3657">
        <f>SUM(BH18,BH23,BH27)</f>
        <v>21</v>
      </c>
      <c r="BI33" s="3657">
        <f>SUM(BI18,BI23,BI27)</f>
        <v>22</v>
      </c>
      <c r="BJ33" s="3658">
        <f t="shared" si="18"/>
        <v>67</v>
      </c>
      <c r="BK33" s="3656">
        <f>SUM(BK18,BK23,BK27)</f>
        <v>23</v>
      </c>
      <c r="BL33" s="3657">
        <f>SUM(BL18,BL23,BL27)</f>
        <v>27</v>
      </c>
      <c r="BM33" s="3657">
        <f>SUM(BM18,BM23,BM27)</f>
        <v>17</v>
      </c>
      <c r="BN33" s="3658">
        <f t="shared" si="19"/>
        <v>67</v>
      </c>
      <c r="BO33" s="3656">
        <f>SUM(BO18,BO23,BO27)</f>
        <v>23</v>
      </c>
      <c r="BP33" s="3657">
        <f>SUM(BP18,BP23,BP27)</f>
        <v>25</v>
      </c>
      <c r="BQ33" s="3657">
        <f>SUM(BQ18,BQ23,BQ27)</f>
        <v>18</v>
      </c>
      <c r="BR33" s="3658">
        <f t="shared" si="20"/>
        <v>66</v>
      </c>
      <c r="BS33" s="3656">
        <f>SUM(BS18,BS23,BS27)</f>
        <v>23</v>
      </c>
      <c r="BT33" s="3657">
        <f>SUM(BT18,BT23,BT27)</f>
        <v>25</v>
      </c>
      <c r="BU33" s="3657">
        <f>SUM(BU18,BU23,BU27)</f>
        <v>18</v>
      </c>
      <c r="BV33" s="3658">
        <f t="shared" si="21"/>
        <v>66</v>
      </c>
      <c r="BW33" s="3656">
        <f>SUM(BW18,BW23,BW27)</f>
        <v>19</v>
      </c>
      <c r="BX33" s="3657">
        <f>SUM(BX18,BX23,BX27)</f>
        <v>28</v>
      </c>
      <c r="BY33" s="3657">
        <f>SUM(BY18,BY23,BY27)</f>
        <v>17</v>
      </c>
      <c r="BZ33" s="3658">
        <f t="shared" si="22"/>
        <v>64</v>
      </c>
      <c r="CA33" s="3656">
        <f>SUM(CA18,CA23,CA27)</f>
        <v>20</v>
      </c>
      <c r="CB33" s="3657">
        <f>SUM(CB18,CB23,CB27)</f>
        <v>28</v>
      </c>
      <c r="CC33" s="3657">
        <f>SUM(CC18,CC23,CC27)</f>
        <v>13</v>
      </c>
      <c r="CD33" s="3658">
        <f t="shared" si="23"/>
        <v>61</v>
      </c>
    </row>
    <row r="34" spans="2:82" ht="15" customHeight="1" x14ac:dyDescent="0.25">
      <c r="B34" s="3632" t="s">
        <v>68</v>
      </c>
      <c r="C34" s="3656"/>
      <c r="D34" s="3657"/>
      <c r="E34" s="3657"/>
      <c r="F34" s="3658"/>
      <c r="G34" s="3656">
        <v>0</v>
      </c>
      <c r="H34" s="3657">
        <v>1</v>
      </c>
      <c r="I34" s="3657">
        <v>28</v>
      </c>
      <c r="J34" s="3658">
        <v>29</v>
      </c>
      <c r="K34" s="3656">
        <v>0</v>
      </c>
      <c r="L34" s="3657">
        <v>1</v>
      </c>
      <c r="M34" s="3657">
        <v>30</v>
      </c>
      <c r="N34" s="3658">
        <v>31</v>
      </c>
      <c r="O34" s="3656">
        <v>0</v>
      </c>
      <c r="P34" s="3657">
        <v>4</v>
      </c>
      <c r="Q34" s="3657">
        <v>28</v>
      </c>
      <c r="R34" s="3658">
        <v>32</v>
      </c>
      <c r="S34" s="3656">
        <v>1</v>
      </c>
      <c r="T34" s="3657">
        <v>4</v>
      </c>
      <c r="U34" s="3657">
        <v>26</v>
      </c>
      <c r="V34" s="3658">
        <v>31</v>
      </c>
      <c r="W34" s="3656">
        <v>1</v>
      </c>
      <c r="X34" s="3657">
        <v>4</v>
      </c>
      <c r="Y34" s="3657">
        <v>26</v>
      </c>
      <c r="Z34" s="3658">
        <v>31</v>
      </c>
      <c r="AA34" s="3656">
        <v>1</v>
      </c>
      <c r="AB34" s="3657">
        <v>4</v>
      </c>
      <c r="AC34" s="3657">
        <v>27</v>
      </c>
      <c r="AD34" s="3658">
        <v>32</v>
      </c>
      <c r="AE34" s="3656">
        <f t="shared" ref="AE34:AX34" si="26">SUM(AE8,AE28)</f>
        <v>1</v>
      </c>
      <c r="AF34" s="3657">
        <f t="shared" si="26"/>
        <v>6</v>
      </c>
      <c r="AG34" s="3657">
        <f t="shared" si="26"/>
        <v>19</v>
      </c>
      <c r="AH34" s="3658">
        <f t="shared" si="26"/>
        <v>26</v>
      </c>
      <c r="AI34" s="3656">
        <f t="shared" si="26"/>
        <v>1</v>
      </c>
      <c r="AJ34" s="3657">
        <f t="shared" si="26"/>
        <v>5</v>
      </c>
      <c r="AK34" s="3657">
        <f t="shared" si="26"/>
        <v>21</v>
      </c>
      <c r="AL34" s="3658">
        <f t="shared" si="26"/>
        <v>27</v>
      </c>
      <c r="AM34" s="3656">
        <f t="shared" si="26"/>
        <v>2</v>
      </c>
      <c r="AN34" s="3657">
        <f t="shared" si="26"/>
        <v>5</v>
      </c>
      <c r="AO34" s="3657">
        <f t="shared" si="26"/>
        <v>21</v>
      </c>
      <c r="AP34" s="3658">
        <f t="shared" si="26"/>
        <v>28</v>
      </c>
      <c r="AQ34" s="3656">
        <f t="shared" si="26"/>
        <v>2</v>
      </c>
      <c r="AR34" s="3657">
        <f t="shared" si="26"/>
        <v>5</v>
      </c>
      <c r="AS34" s="3657">
        <f t="shared" si="26"/>
        <v>21</v>
      </c>
      <c r="AT34" s="3658">
        <f t="shared" si="26"/>
        <v>28</v>
      </c>
      <c r="AU34" s="3656">
        <f t="shared" si="26"/>
        <v>2</v>
      </c>
      <c r="AV34" s="3657">
        <f t="shared" si="26"/>
        <v>5</v>
      </c>
      <c r="AW34" s="3657">
        <f t="shared" si="26"/>
        <v>22</v>
      </c>
      <c r="AX34" s="3658">
        <f t="shared" si="26"/>
        <v>29</v>
      </c>
      <c r="AY34" s="3656">
        <f>SUM(AY8,AY28)</f>
        <v>2</v>
      </c>
      <c r="AZ34" s="3657">
        <f>SUM(AZ8,AZ28)</f>
        <v>8</v>
      </c>
      <c r="BA34" s="3657">
        <f>SUM(BA8,BA28)</f>
        <v>25</v>
      </c>
      <c r="BB34" s="3658">
        <f t="shared" si="16"/>
        <v>35</v>
      </c>
      <c r="BC34" s="3656">
        <f>SUM(BC8,BC28)</f>
        <v>2</v>
      </c>
      <c r="BD34" s="3657">
        <f>SUM(BD8,BD28)</f>
        <v>9</v>
      </c>
      <c r="BE34" s="3657">
        <f>SUM(BE8,BE28)</f>
        <v>23</v>
      </c>
      <c r="BF34" s="3658">
        <f t="shared" si="17"/>
        <v>34</v>
      </c>
      <c r="BG34" s="3656">
        <f>SUM(BG8,BG28)</f>
        <v>2</v>
      </c>
      <c r="BH34" s="3657">
        <f>SUM(BH8,BH28)</f>
        <v>7</v>
      </c>
      <c r="BI34" s="3657">
        <f>SUM(BI8,BI28)</f>
        <v>21</v>
      </c>
      <c r="BJ34" s="3658">
        <f t="shared" si="18"/>
        <v>30</v>
      </c>
      <c r="BK34" s="3656">
        <f>SUM(BK8,BK28)</f>
        <v>2</v>
      </c>
      <c r="BL34" s="3657">
        <f>SUM(BL8,BL28)</f>
        <v>8</v>
      </c>
      <c r="BM34" s="3657">
        <f>SUM(BM8,BM28)</f>
        <v>21</v>
      </c>
      <c r="BN34" s="3658">
        <f t="shared" si="19"/>
        <v>31</v>
      </c>
      <c r="BO34" s="3656">
        <f>SUM(BO8,BO28)</f>
        <v>2</v>
      </c>
      <c r="BP34" s="3657">
        <f>SUM(BP8,BP28)</f>
        <v>8</v>
      </c>
      <c r="BQ34" s="3657">
        <f>SUM(BQ8,BQ28)</f>
        <v>18</v>
      </c>
      <c r="BR34" s="3658">
        <f t="shared" si="20"/>
        <v>28</v>
      </c>
      <c r="BS34" s="3656">
        <f>SUM(BS8,BS28)</f>
        <v>2</v>
      </c>
      <c r="BT34" s="3657">
        <f>SUM(BT8,BT28)</f>
        <v>8</v>
      </c>
      <c r="BU34" s="3657">
        <f>SUM(BU8,BU28)</f>
        <v>17</v>
      </c>
      <c r="BV34" s="3658">
        <f t="shared" si="21"/>
        <v>27</v>
      </c>
      <c r="BW34" s="3656">
        <f>SUM(BW8,BW28)</f>
        <v>3</v>
      </c>
      <c r="BX34" s="3657">
        <f>SUM(BX8,BX28)</f>
        <v>8</v>
      </c>
      <c r="BY34" s="3657">
        <f>SUM(BY8,BY28)</f>
        <v>14</v>
      </c>
      <c r="BZ34" s="3658">
        <f t="shared" si="22"/>
        <v>25</v>
      </c>
      <c r="CA34" s="3656">
        <f>SUM(CA8,CA28)</f>
        <v>2</v>
      </c>
      <c r="CB34" s="3657">
        <f>SUM(CB8,CB28)</f>
        <v>9</v>
      </c>
      <c r="CC34" s="3657">
        <f>SUM(CC8,CC28)</f>
        <v>12</v>
      </c>
      <c r="CD34" s="3658">
        <f t="shared" si="23"/>
        <v>23</v>
      </c>
    </row>
    <row r="35" spans="2:82" ht="15" customHeight="1" x14ac:dyDescent="0.25">
      <c r="B35" s="3595" t="s">
        <v>111</v>
      </c>
      <c r="C35" s="3656"/>
      <c r="D35" s="3657"/>
      <c r="E35" s="3657"/>
      <c r="F35" s="3658"/>
      <c r="G35" s="3656">
        <v>0</v>
      </c>
      <c r="H35" s="3657">
        <v>0</v>
      </c>
      <c r="I35" s="3657">
        <v>0</v>
      </c>
      <c r="J35" s="3658">
        <v>0</v>
      </c>
      <c r="K35" s="3656">
        <v>0</v>
      </c>
      <c r="L35" s="3657">
        <v>0</v>
      </c>
      <c r="M35" s="3657">
        <v>0</v>
      </c>
      <c r="N35" s="3658">
        <v>0</v>
      </c>
      <c r="O35" s="3656">
        <v>0</v>
      </c>
      <c r="P35" s="3657">
        <v>0</v>
      </c>
      <c r="Q35" s="3657">
        <v>3</v>
      </c>
      <c r="R35" s="3658">
        <v>3</v>
      </c>
      <c r="S35" s="3656">
        <v>0</v>
      </c>
      <c r="T35" s="3657">
        <v>0</v>
      </c>
      <c r="U35" s="3657">
        <v>3</v>
      </c>
      <c r="V35" s="3658">
        <v>3</v>
      </c>
      <c r="W35" s="3656">
        <v>0</v>
      </c>
      <c r="X35" s="3657">
        <v>0</v>
      </c>
      <c r="Y35" s="3657">
        <v>3</v>
      </c>
      <c r="Z35" s="3658">
        <v>3</v>
      </c>
      <c r="AA35" s="3656">
        <v>1</v>
      </c>
      <c r="AB35" s="3657">
        <v>0</v>
      </c>
      <c r="AC35" s="3657">
        <v>3</v>
      </c>
      <c r="AD35" s="3658">
        <v>4</v>
      </c>
      <c r="AE35" s="3656">
        <f t="shared" ref="AE35:BA36" si="27">SUM(AE12)</f>
        <v>1</v>
      </c>
      <c r="AF35" s="3657">
        <f t="shared" si="27"/>
        <v>0</v>
      </c>
      <c r="AG35" s="3657">
        <f t="shared" si="27"/>
        <v>4</v>
      </c>
      <c r="AH35" s="3658">
        <f t="shared" si="27"/>
        <v>5</v>
      </c>
      <c r="AI35" s="3656">
        <f t="shared" si="27"/>
        <v>1</v>
      </c>
      <c r="AJ35" s="3657">
        <f t="shared" si="27"/>
        <v>0</v>
      </c>
      <c r="AK35" s="3657">
        <f t="shared" si="27"/>
        <v>8</v>
      </c>
      <c r="AL35" s="3658">
        <f t="shared" si="27"/>
        <v>9</v>
      </c>
      <c r="AM35" s="3656">
        <f t="shared" si="27"/>
        <v>1</v>
      </c>
      <c r="AN35" s="3657">
        <f t="shared" si="27"/>
        <v>0</v>
      </c>
      <c r="AO35" s="3657">
        <f t="shared" si="27"/>
        <v>9</v>
      </c>
      <c r="AP35" s="3658">
        <f t="shared" si="27"/>
        <v>10</v>
      </c>
      <c r="AQ35" s="3656">
        <f t="shared" si="27"/>
        <v>1</v>
      </c>
      <c r="AR35" s="3657">
        <f t="shared" si="27"/>
        <v>0</v>
      </c>
      <c r="AS35" s="3657">
        <f t="shared" si="27"/>
        <v>8</v>
      </c>
      <c r="AT35" s="3658">
        <f t="shared" si="27"/>
        <v>9</v>
      </c>
      <c r="AU35" s="3656">
        <f t="shared" si="27"/>
        <v>1</v>
      </c>
      <c r="AV35" s="3657">
        <f t="shared" si="27"/>
        <v>1</v>
      </c>
      <c r="AW35" s="3657">
        <f t="shared" si="27"/>
        <v>7</v>
      </c>
      <c r="AX35" s="3658">
        <f t="shared" si="27"/>
        <v>9</v>
      </c>
      <c r="AY35" s="3656">
        <f t="shared" si="27"/>
        <v>1</v>
      </c>
      <c r="AZ35" s="3657">
        <f t="shared" si="27"/>
        <v>1</v>
      </c>
      <c r="BA35" s="3657">
        <f t="shared" si="27"/>
        <v>8</v>
      </c>
      <c r="BB35" s="3658">
        <f t="shared" si="16"/>
        <v>10</v>
      </c>
      <c r="BC35" s="3656">
        <f t="shared" ref="BC35:BE36" si="28">SUM(BC12)</f>
        <v>1</v>
      </c>
      <c r="BD35" s="3657">
        <f t="shared" si="28"/>
        <v>1</v>
      </c>
      <c r="BE35" s="3657">
        <f t="shared" si="28"/>
        <v>8</v>
      </c>
      <c r="BF35" s="3658">
        <f t="shared" si="17"/>
        <v>10</v>
      </c>
      <c r="BG35" s="3656">
        <f t="shared" ref="BG35:BI36" si="29">SUM(BG12)</f>
        <v>1</v>
      </c>
      <c r="BH35" s="3657">
        <f t="shared" si="29"/>
        <v>1</v>
      </c>
      <c r="BI35" s="3657">
        <f t="shared" si="29"/>
        <v>6</v>
      </c>
      <c r="BJ35" s="3658">
        <f t="shared" si="18"/>
        <v>8</v>
      </c>
      <c r="BK35" s="3656">
        <f t="shared" ref="BK35:BM36" si="30">SUM(BK12)</f>
        <v>1</v>
      </c>
      <c r="BL35" s="3657">
        <f t="shared" si="30"/>
        <v>1</v>
      </c>
      <c r="BM35" s="3657">
        <f t="shared" si="30"/>
        <v>6</v>
      </c>
      <c r="BN35" s="3658">
        <f t="shared" si="19"/>
        <v>8</v>
      </c>
      <c r="BO35" s="3656">
        <f t="shared" ref="BO35:BQ36" si="31">SUM(BO12)</f>
        <v>1</v>
      </c>
      <c r="BP35" s="3657">
        <f t="shared" si="31"/>
        <v>1</v>
      </c>
      <c r="BQ35" s="3657">
        <f t="shared" si="31"/>
        <v>4</v>
      </c>
      <c r="BR35" s="3658">
        <f t="shared" si="20"/>
        <v>6</v>
      </c>
      <c r="BS35" s="3656">
        <f t="shared" ref="BS35:BU36" si="32">SUM(BS12)</f>
        <v>1</v>
      </c>
      <c r="BT35" s="3657">
        <f t="shared" si="32"/>
        <v>1</v>
      </c>
      <c r="BU35" s="3657">
        <f t="shared" si="32"/>
        <v>4</v>
      </c>
      <c r="BV35" s="3658">
        <f t="shared" si="21"/>
        <v>6</v>
      </c>
      <c r="BW35" s="3656">
        <f t="shared" ref="BW35:BY35" si="33">SUM(BW12)</f>
        <v>1</v>
      </c>
      <c r="BX35" s="3657">
        <f t="shared" si="33"/>
        <v>0</v>
      </c>
      <c r="BY35" s="3657">
        <f t="shared" si="33"/>
        <v>3</v>
      </c>
      <c r="BZ35" s="3658">
        <f t="shared" si="22"/>
        <v>4</v>
      </c>
      <c r="CA35" s="3656">
        <f t="shared" ref="CA35:CC35" si="34">SUM(CA12)</f>
        <v>1</v>
      </c>
      <c r="CB35" s="3657">
        <f t="shared" si="34"/>
        <v>0</v>
      </c>
      <c r="CC35" s="3657">
        <f t="shared" si="34"/>
        <v>3</v>
      </c>
      <c r="CD35" s="3658">
        <f t="shared" si="23"/>
        <v>4</v>
      </c>
    </row>
    <row r="36" spans="2:82" ht="15" customHeight="1" x14ac:dyDescent="0.25">
      <c r="B36" s="3659" t="s">
        <v>115</v>
      </c>
      <c r="C36" s="3660"/>
      <c r="D36" s="3661"/>
      <c r="E36" s="3661"/>
      <c r="F36" s="3662"/>
      <c r="G36" s="3684">
        <v>0</v>
      </c>
      <c r="H36" s="3685">
        <v>0</v>
      </c>
      <c r="I36" s="3685">
        <v>0</v>
      </c>
      <c r="J36" s="3662">
        <v>0</v>
      </c>
      <c r="K36" s="3660">
        <v>0</v>
      </c>
      <c r="L36" s="3661">
        <v>0</v>
      </c>
      <c r="M36" s="3661">
        <v>0</v>
      </c>
      <c r="N36" s="3662">
        <v>0</v>
      </c>
      <c r="O36" s="3660">
        <v>0</v>
      </c>
      <c r="P36" s="3661">
        <v>0</v>
      </c>
      <c r="Q36" s="3661">
        <v>1</v>
      </c>
      <c r="R36" s="3662">
        <v>1</v>
      </c>
      <c r="S36" s="3660">
        <v>0</v>
      </c>
      <c r="T36" s="3661">
        <v>0</v>
      </c>
      <c r="U36" s="3661">
        <v>1</v>
      </c>
      <c r="V36" s="3662">
        <v>1</v>
      </c>
      <c r="W36" s="3660">
        <v>0</v>
      </c>
      <c r="X36" s="3661">
        <v>0</v>
      </c>
      <c r="Y36" s="3661">
        <v>4</v>
      </c>
      <c r="Z36" s="3662">
        <v>4</v>
      </c>
      <c r="AA36" s="3684">
        <v>0</v>
      </c>
      <c r="AB36" s="3685">
        <v>0</v>
      </c>
      <c r="AC36" s="3685">
        <v>4</v>
      </c>
      <c r="AD36" s="3662">
        <v>4</v>
      </c>
      <c r="AE36" s="3660">
        <f t="shared" si="27"/>
        <v>0</v>
      </c>
      <c r="AF36" s="3661">
        <f t="shared" si="27"/>
        <v>0</v>
      </c>
      <c r="AG36" s="3661">
        <f t="shared" si="27"/>
        <v>5</v>
      </c>
      <c r="AH36" s="3662">
        <f t="shared" si="27"/>
        <v>5</v>
      </c>
      <c r="AI36" s="3660">
        <f t="shared" si="27"/>
        <v>1</v>
      </c>
      <c r="AJ36" s="3661">
        <f t="shared" si="27"/>
        <v>1</v>
      </c>
      <c r="AK36" s="3661">
        <f t="shared" si="27"/>
        <v>5</v>
      </c>
      <c r="AL36" s="3662">
        <f t="shared" si="27"/>
        <v>7</v>
      </c>
      <c r="AM36" s="3660">
        <f t="shared" si="27"/>
        <v>1</v>
      </c>
      <c r="AN36" s="3661">
        <f t="shared" si="27"/>
        <v>2</v>
      </c>
      <c r="AO36" s="3661">
        <f t="shared" si="27"/>
        <v>5</v>
      </c>
      <c r="AP36" s="3662">
        <f t="shared" si="27"/>
        <v>8</v>
      </c>
      <c r="AQ36" s="3660">
        <f t="shared" si="27"/>
        <v>1</v>
      </c>
      <c r="AR36" s="3661">
        <f t="shared" si="27"/>
        <v>2</v>
      </c>
      <c r="AS36" s="3661">
        <f t="shared" si="27"/>
        <v>5</v>
      </c>
      <c r="AT36" s="3662">
        <f t="shared" si="27"/>
        <v>8</v>
      </c>
      <c r="AU36" s="3660">
        <f t="shared" si="27"/>
        <v>1</v>
      </c>
      <c r="AV36" s="3661">
        <f t="shared" si="27"/>
        <v>4</v>
      </c>
      <c r="AW36" s="3661">
        <f t="shared" si="27"/>
        <v>4</v>
      </c>
      <c r="AX36" s="3662">
        <f t="shared" si="27"/>
        <v>9</v>
      </c>
      <c r="AY36" s="3660">
        <f t="shared" si="27"/>
        <v>1</v>
      </c>
      <c r="AZ36" s="3661">
        <f t="shared" si="27"/>
        <v>6</v>
      </c>
      <c r="BA36" s="3661">
        <f t="shared" si="27"/>
        <v>4</v>
      </c>
      <c r="BB36" s="3658">
        <f t="shared" si="16"/>
        <v>11</v>
      </c>
      <c r="BC36" s="3660">
        <f t="shared" si="28"/>
        <v>2</v>
      </c>
      <c r="BD36" s="3661">
        <f t="shared" si="28"/>
        <v>5</v>
      </c>
      <c r="BE36" s="3661">
        <f t="shared" si="28"/>
        <v>4</v>
      </c>
      <c r="BF36" s="3658">
        <f t="shared" si="17"/>
        <v>11</v>
      </c>
      <c r="BG36" s="3660">
        <f t="shared" si="29"/>
        <v>3</v>
      </c>
      <c r="BH36" s="3661">
        <f t="shared" si="29"/>
        <v>5</v>
      </c>
      <c r="BI36" s="3661">
        <f t="shared" si="29"/>
        <v>2</v>
      </c>
      <c r="BJ36" s="3658">
        <f t="shared" si="18"/>
        <v>10</v>
      </c>
      <c r="BK36" s="3660">
        <f t="shared" si="30"/>
        <v>3</v>
      </c>
      <c r="BL36" s="3661">
        <f t="shared" si="30"/>
        <v>5</v>
      </c>
      <c r="BM36" s="3661">
        <f t="shared" si="30"/>
        <v>3</v>
      </c>
      <c r="BN36" s="3658">
        <f t="shared" si="19"/>
        <v>11</v>
      </c>
      <c r="BO36" s="3660">
        <f t="shared" si="31"/>
        <v>4</v>
      </c>
      <c r="BP36" s="3661">
        <f t="shared" si="31"/>
        <v>4</v>
      </c>
      <c r="BQ36" s="3661">
        <f t="shared" si="31"/>
        <v>3</v>
      </c>
      <c r="BR36" s="3658">
        <f t="shared" si="20"/>
        <v>11</v>
      </c>
      <c r="BS36" s="3660">
        <f t="shared" si="32"/>
        <v>4</v>
      </c>
      <c r="BT36" s="3661">
        <f t="shared" si="32"/>
        <v>4</v>
      </c>
      <c r="BU36" s="3661">
        <f t="shared" si="32"/>
        <v>3</v>
      </c>
      <c r="BV36" s="3658">
        <f t="shared" si="21"/>
        <v>11</v>
      </c>
      <c r="BW36" s="3660">
        <f t="shared" ref="BW36:BY36" si="35">SUM(BW13)</f>
        <v>4</v>
      </c>
      <c r="BX36" s="3661">
        <f t="shared" si="35"/>
        <v>4</v>
      </c>
      <c r="BY36" s="3661">
        <f t="shared" si="35"/>
        <v>3</v>
      </c>
      <c r="BZ36" s="3658">
        <f t="shared" si="22"/>
        <v>11</v>
      </c>
      <c r="CA36" s="3660">
        <f t="shared" ref="CA36:CC36" si="36">SUM(CA13)</f>
        <v>4</v>
      </c>
      <c r="CB36" s="3661">
        <f t="shared" si="36"/>
        <v>5</v>
      </c>
      <c r="CC36" s="3661">
        <f t="shared" si="36"/>
        <v>3</v>
      </c>
      <c r="CD36" s="3658">
        <f t="shared" si="23"/>
        <v>12</v>
      </c>
    </row>
    <row r="37" spans="2:82" ht="15" customHeight="1" x14ac:dyDescent="0.25">
      <c r="B37" s="3538" t="s">
        <v>431</v>
      </c>
      <c r="C37" s="3686">
        <v>15</v>
      </c>
      <c r="D37" s="3687">
        <v>44</v>
      </c>
      <c r="E37" s="3687">
        <v>154</v>
      </c>
      <c r="F37" s="3688">
        <v>213</v>
      </c>
      <c r="G37" s="3686">
        <v>17</v>
      </c>
      <c r="H37" s="3687">
        <v>54</v>
      </c>
      <c r="I37" s="3687">
        <v>178</v>
      </c>
      <c r="J37" s="3688">
        <v>249</v>
      </c>
      <c r="K37" s="3686">
        <v>23</v>
      </c>
      <c r="L37" s="3687">
        <v>53</v>
      </c>
      <c r="M37" s="3687">
        <v>192</v>
      </c>
      <c r="N37" s="3688">
        <v>268</v>
      </c>
      <c r="O37" s="3686">
        <v>49</v>
      </c>
      <c r="P37" s="3687">
        <v>71</v>
      </c>
      <c r="Q37" s="3687">
        <v>171</v>
      </c>
      <c r="R37" s="3688">
        <v>291</v>
      </c>
      <c r="S37" s="3686">
        <v>54</v>
      </c>
      <c r="T37" s="3687">
        <v>85</v>
      </c>
      <c r="U37" s="3687">
        <v>163</v>
      </c>
      <c r="V37" s="3688">
        <v>302</v>
      </c>
      <c r="W37" s="3686">
        <v>57</v>
      </c>
      <c r="X37" s="3687">
        <v>87</v>
      </c>
      <c r="Y37" s="3687">
        <v>165</v>
      </c>
      <c r="Z37" s="3688">
        <v>309</v>
      </c>
      <c r="AA37" s="3686">
        <v>66</v>
      </c>
      <c r="AB37" s="3687">
        <v>99</v>
      </c>
      <c r="AC37" s="3687">
        <v>146</v>
      </c>
      <c r="AD37" s="3688">
        <v>311</v>
      </c>
      <c r="AE37" s="3686">
        <f t="shared" ref="AE37:AL37" si="37">SUM(AE31:AE36)</f>
        <v>73</v>
      </c>
      <c r="AF37" s="3687">
        <f t="shared" si="37"/>
        <v>111</v>
      </c>
      <c r="AG37" s="3687">
        <f t="shared" si="37"/>
        <v>93</v>
      </c>
      <c r="AH37" s="3688">
        <f t="shared" si="37"/>
        <v>277</v>
      </c>
      <c r="AI37" s="3686">
        <f t="shared" si="37"/>
        <v>72</v>
      </c>
      <c r="AJ37" s="3687">
        <f t="shared" si="37"/>
        <v>112</v>
      </c>
      <c r="AK37" s="3687">
        <f t="shared" si="37"/>
        <v>102</v>
      </c>
      <c r="AL37" s="3688">
        <f t="shared" si="37"/>
        <v>286</v>
      </c>
      <c r="AM37" s="3686">
        <f t="shared" ref="AM37:BV37" si="38">SUM(AM31:AM36)</f>
        <v>80</v>
      </c>
      <c r="AN37" s="3687">
        <f t="shared" si="38"/>
        <v>99</v>
      </c>
      <c r="AO37" s="3687">
        <f t="shared" si="38"/>
        <v>107</v>
      </c>
      <c r="AP37" s="3688">
        <f t="shared" si="38"/>
        <v>286</v>
      </c>
      <c r="AQ37" s="3686">
        <f t="shared" si="38"/>
        <v>81</v>
      </c>
      <c r="AR37" s="3687">
        <f t="shared" si="38"/>
        <v>96</v>
      </c>
      <c r="AS37" s="3687">
        <f t="shared" si="38"/>
        <v>105</v>
      </c>
      <c r="AT37" s="3688">
        <f t="shared" si="38"/>
        <v>282</v>
      </c>
      <c r="AU37" s="3686">
        <f t="shared" si="38"/>
        <v>84</v>
      </c>
      <c r="AV37" s="3687">
        <f t="shared" si="38"/>
        <v>92</v>
      </c>
      <c r="AW37" s="3687">
        <f t="shared" si="38"/>
        <v>101</v>
      </c>
      <c r="AX37" s="3688">
        <f t="shared" si="38"/>
        <v>277</v>
      </c>
      <c r="AY37" s="3686">
        <f t="shared" si="38"/>
        <v>87</v>
      </c>
      <c r="AZ37" s="3687">
        <f t="shared" si="38"/>
        <v>81</v>
      </c>
      <c r="BA37" s="3687">
        <f t="shared" si="38"/>
        <v>111</v>
      </c>
      <c r="BB37" s="3688">
        <f t="shared" si="38"/>
        <v>279</v>
      </c>
      <c r="BC37" s="3686">
        <f t="shared" si="38"/>
        <v>82</v>
      </c>
      <c r="BD37" s="3687">
        <f t="shared" si="38"/>
        <v>83</v>
      </c>
      <c r="BE37" s="3687">
        <f t="shared" si="38"/>
        <v>112</v>
      </c>
      <c r="BF37" s="3688">
        <f t="shared" si="38"/>
        <v>277</v>
      </c>
      <c r="BG37" s="3686">
        <f t="shared" si="38"/>
        <v>80</v>
      </c>
      <c r="BH37" s="3687">
        <f t="shared" si="38"/>
        <v>78</v>
      </c>
      <c r="BI37" s="3687">
        <f t="shared" si="38"/>
        <v>106</v>
      </c>
      <c r="BJ37" s="3688">
        <f t="shared" si="38"/>
        <v>264</v>
      </c>
      <c r="BK37" s="3686">
        <f t="shared" si="38"/>
        <v>83</v>
      </c>
      <c r="BL37" s="3687">
        <f t="shared" si="38"/>
        <v>79</v>
      </c>
      <c r="BM37" s="3687">
        <f t="shared" si="38"/>
        <v>104</v>
      </c>
      <c r="BN37" s="3688">
        <f t="shared" si="38"/>
        <v>266</v>
      </c>
      <c r="BO37" s="3686">
        <f t="shared" si="38"/>
        <v>83</v>
      </c>
      <c r="BP37" s="3687">
        <f t="shared" si="38"/>
        <v>76</v>
      </c>
      <c r="BQ37" s="3687">
        <f t="shared" si="38"/>
        <v>103</v>
      </c>
      <c r="BR37" s="3688">
        <f t="shared" si="38"/>
        <v>262</v>
      </c>
      <c r="BS37" s="3686">
        <f t="shared" si="38"/>
        <v>83</v>
      </c>
      <c r="BT37" s="3687">
        <f t="shared" si="38"/>
        <v>75</v>
      </c>
      <c r="BU37" s="3687">
        <f t="shared" si="38"/>
        <v>101</v>
      </c>
      <c r="BV37" s="3688">
        <f t="shared" si="38"/>
        <v>259</v>
      </c>
      <c r="BW37" s="3686">
        <f t="shared" ref="BW37:BZ37" si="39">SUM(BW31:BW36)</f>
        <v>76</v>
      </c>
      <c r="BX37" s="3687">
        <f t="shared" si="39"/>
        <v>79</v>
      </c>
      <c r="BY37" s="3687">
        <f t="shared" si="39"/>
        <v>96</v>
      </c>
      <c r="BZ37" s="3688">
        <f t="shared" si="39"/>
        <v>251</v>
      </c>
      <c r="CA37" s="3686">
        <f t="shared" ref="CA37:CD37" si="40">SUM(CA31:CA36)</f>
        <v>74</v>
      </c>
      <c r="CB37" s="3687">
        <f t="shared" si="40"/>
        <v>84</v>
      </c>
      <c r="CC37" s="3687">
        <f t="shared" si="40"/>
        <v>69</v>
      </c>
      <c r="CD37" s="3688">
        <f t="shared" si="40"/>
        <v>227</v>
      </c>
    </row>
    <row r="38" spans="2:82" x14ac:dyDescent="0.25">
      <c r="C38" s="3689" t="s">
        <v>912</v>
      </c>
      <c r="D38" s="3690"/>
      <c r="E38" s="3690"/>
      <c r="F38" s="3690"/>
      <c r="G38" s="3691"/>
      <c r="H38" s="3691"/>
      <c r="I38" s="3691"/>
      <c r="J38" s="3691"/>
      <c r="K38" s="3691"/>
      <c r="L38" s="3691"/>
      <c r="M38" s="3691"/>
      <c r="N38" s="3691"/>
      <c r="O38" s="3691"/>
      <c r="P38" s="3691"/>
      <c r="Q38" s="3691"/>
      <c r="R38" s="3691"/>
      <c r="S38" s="3691"/>
      <c r="T38" s="3691"/>
      <c r="U38" s="3691"/>
      <c r="V38" s="3691"/>
      <c r="BZ38" s="4394" t="s">
        <v>1383</v>
      </c>
      <c r="CD38" s="4394" t="s">
        <v>1581</v>
      </c>
    </row>
    <row r="39" spans="2:82" x14ac:dyDescent="0.25">
      <c r="C39" s="4384"/>
      <c r="D39" s="4385"/>
      <c r="E39" s="4385"/>
      <c r="F39" s="4385"/>
      <c r="G39" s="4385"/>
      <c r="H39" s="4385"/>
      <c r="I39" s="4385"/>
      <c r="J39" s="4385"/>
      <c r="K39" s="4385"/>
      <c r="L39" s="4385"/>
      <c r="M39" s="4385"/>
      <c r="N39" s="4385"/>
      <c r="O39" s="4385"/>
      <c r="P39" s="4385"/>
      <c r="Q39" s="4385"/>
      <c r="R39" s="4385"/>
      <c r="S39" s="4385"/>
      <c r="T39" s="4385"/>
      <c r="U39" s="4385"/>
      <c r="V39" s="4385"/>
      <c r="BZ39" s="4393"/>
      <c r="CD39" s="4393" t="s">
        <v>1380</v>
      </c>
    </row>
    <row r="40" spans="2:82" x14ac:dyDescent="0.25">
      <c r="C40" s="4384"/>
      <c r="D40" s="4385"/>
      <c r="E40" s="4385"/>
      <c r="F40" s="4385"/>
      <c r="G40" s="4385"/>
      <c r="H40" s="4385"/>
      <c r="I40" s="4385"/>
      <c r="J40" s="4385"/>
      <c r="K40" s="4385"/>
      <c r="L40" s="4385"/>
      <c r="M40" s="4385"/>
      <c r="N40" s="4385"/>
      <c r="O40" s="4385"/>
      <c r="P40" s="4385"/>
      <c r="Q40" s="4385"/>
      <c r="R40" s="4385"/>
      <c r="S40" s="4385"/>
      <c r="T40" s="4385"/>
      <c r="U40" s="4385"/>
      <c r="V40" s="4385"/>
      <c r="BZ40" s="4393"/>
      <c r="CD40" s="4393" t="s">
        <v>1381</v>
      </c>
    </row>
    <row r="41" spans="2:82" x14ac:dyDescent="0.25">
      <c r="C41" s="4384"/>
      <c r="D41" s="4385"/>
      <c r="E41" s="4385"/>
      <c r="F41" s="4385"/>
      <c r="G41" s="4385"/>
      <c r="H41" s="4385"/>
      <c r="I41" s="4385"/>
      <c r="J41" s="4385"/>
      <c r="K41" s="4385"/>
      <c r="L41" s="4385"/>
      <c r="M41" s="4385"/>
      <c r="N41" s="4385"/>
      <c r="O41" s="4385"/>
      <c r="P41" s="4385"/>
      <c r="Q41" s="4385"/>
      <c r="R41" s="4385"/>
      <c r="S41" s="4385"/>
      <c r="T41" s="4385"/>
      <c r="U41" s="4385"/>
      <c r="V41" s="4385"/>
      <c r="BZ41" s="4393"/>
      <c r="CD41" s="4393" t="s">
        <v>1382</v>
      </c>
    </row>
    <row r="42" spans="2:82" x14ac:dyDescent="0.25">
      <c r="B42" s="4386"/>
      <c r="D42" s="4387"/>
      <c r="E42" s="4385"/>
      <c r="F42" s="4385"/>
      <c r="G42" s="4385"/>
      <c r="H42" s="4385"/>
      <c r="I42" s="4385"/>
      <c r="J42" s="4385"/>
      <c r="K42" s="4385"/>
      <c r="L42" s="4385"/>
      <c r="M42" s="4385"/>
      <c r="N42" s="4385"/>
      <c r="O42" s="4385"/>
      <c r="P42" s="4385"/>
      <c r="Q42" s="4385"/>
      <c r="R42" s="4385"/>
      <c r="S42" s="4385"/>
      <c r="T42" s="4385"/>
      <c r="U42" s="4385"/>
      <c r="V42" s="4385"/>
    </row>
    <row r="43" spans="2:82" ht="15" customHeight="1" x14ac:dyDescent="0.25">
      <c r="B43" s="4388"/>
      <c r="D43" s="4385"/>
      <c r="E43" s="4385"/>
      <c r="F43" s="4385"/>
      <c r="G43" s="4385"/>
      <c r="H43" s="4385"/>
      <c r="I43" s="4385"/>
      <c r="J43" s="4385"/>
      <c r="K43" s="4385"/>
      <c r="L43" s="4385"/>
      <c r="M43" s="4385"/>
      <c r="N43" s="4385"/>
      <c r="O43" s="4385"/>
      <c r="P43" s="4385"/>
      <c r="Q43" s="4385"/>
      <c r="R43" s="4385"/>
      <c r="S43" s="4385"/>
      <c r="T43" s="4385"/>
      <c r="U43" s="4385"/>
      <c r="V43" s="4385"/>
      <c r="BA43" s="3646">
        <v>2003</v>
      </c>
    </row>
    <row r="44" spans="2:82" x14ac:dyDescent="0.25">
      <c r="D44" s="4385"/>
      <c r="E44" s="4385"/>
      <c r="F44" s="4385"/>
      <c r="BA44" s="3646">
        <v>2004</v>
      </c>
    </row>
    <row r="45" spans="2:82" ht="63.75" customHeight="1" x14ac:dyDescent="0.25">
      <c r="C45" s="6185" t="s">
        <v>1384</v>
      </c>
      <c r="D45" s="6185"/>
      <c r="E45" s="6185"/>
      <c r="F45" s="6185"/>
      <c r="G45" s="6185"/>
      <c r="H45" s="6185"/>
      <c r="I45" s="6185"/>
      <c r="J45" s="6185"/>
      <c r="K45" s="6185"/>
      <c r="L45" s="6185"/>
      <c r="M45" s="6185"/>
      <c r="N45" s="6185"/>
      <c r="O45" s="6185"/>
      <c r="P45" s="6185"/>
      <c r="Q45" s="6185"/>
      <c r="R45" s="6185"/>
      <c r="S45" s="6185"/>
      <c r="T45" s="6185"/>
      <c r="U45" s="6185"/>
      <c r="V45" s="6185"/>
      <c r="BA45" s="3646">
        <v>2005</v>
      </c>
    </row>
    <row r="46" spans="2:82" x14ac:dyDescent="0.25">
      <c r="C46" s="4395" t="s">
        <v>1385</v>
      </c>
      <c r="D46" s="4396"/>
      <c r="E46" s="4397"/>
      <c r="F46" s="4397"/>
      <c r="G46" s="4397"/>
      <c r="H46" s="4397"/>
      <c r="I46" s="4397"/>
      <c r="J46" s="4397"/>
      <c r="K46" s="4397"/>
      <c r="L46" s="4397"/>
      <c r="M46" s="4397"/>
      <c r="N46" s="4397"/>
      <c r="O46" s="4397"/>
      <c r="P46" s="4397"/>
      <c r="Q46" s="4397"/>
      <c r="R46" s="4397"/>
      <c r="S46" s="4397"/>
      <c r="T46" s="4397"/>
      <c r="BA46" s="3646">
        <v>2006</v>
      </c>
    </row>
    <row r="47" spans="2:82" x14ac:dyDescent="0.25">
      <c r="C47" s="4398" t="s">
        <v>913</v>
      </c>
      <c r="D47" s="4397"/>
      <c r="E47" s="4397"/>
      <c r="F47" s="4397"/>
      <c r="G47" s="4397"/>
      <c r="H47" s="4397"/>
      <c r="I47" s="4397"/>
      <c r="J47" s="4397"/>
      <c r="K47" s="4397"/>
      <c r="L47" s="4397"/>
      <c r="M47" s="4397"/>
      <c r="N47" s="4397"/>
      <c r="O47" s="4397"/>
      <c r="P47" s="4397"/>
      <c r="Q47" s="4397"/>
      <c r="R47" s="4397"/>
      <c r="S47" s="4397"/>
      <c r="T47" s="4397"/>
      <c r="BA47" s="3646">
        <v>2007</v>
      </c>
    </row>
    <row r="48" spans="2:82" x14ac:dyDescent="0.25">
      <c r="C48" s="4398" t="s">
        <v>914</v>
      </c>
      <c r="D48" s="4397"/>
      <c r="E48" s="4397"/>
      <c r="F48" s="4397"/>
      <c r="G48" s="4397"/>
      <c r="H48" s="4397"/>
      <c r="I48" s="4397"/>
      <c r="J48" s="4397"/>
      <c r="K48" s="4397"/>
      <c r="L48" s="4397"/>
      <c r="M48" s="4397"/>
      <c r="N48" s="4397"/>
      <c r="O48" s="4397"/>
      <c r="P48" s="4397"/>
      <c r="Q48" s="4397"/>
      <c r="R48" s="4397"/>
      <c r="S48" s="4397"/>
      <c r="T48" s="4397"/>
      <c r="BA48" s="3646">
        <v>2008</v>
      </c>
    </row>
    <row r="49" spans="3:53" x14ac:dyDescent="0.25">
      <c r="C49" s="4398" t="s">
        <v>915</v>
      </c>
      <c r="D49" s="4397"/>
      <c r="E49" s="4397"/>
      <c r="F49" s="4397"/>
      <c r="G49" s="4397"/>
      <c r="H49" s="4397"/>
      <c r="I49" s="4397"/>
      <c r="J49" s="4397"/>
      <c r="K49" s="4397"/>
      <c r="L49" s="4397"/>
      <c r="M49" s="4397"/>
      <c r="N49" s="4397"/>
      <c r="O49" s="4397"/>
      <c r="P49" s="4397"/>
      <c r="Q49" s="4397"/>
      <c r="R49" s="4397"/>
      <c r="S49" s="4397"/>
      <c r="T49" s="4397"/>
      <c r="BA49" s="3646">
        <v>2009</v>
      </c>
    </row>
    <row r="50" spans="3:53" x14ac:dyDescent="0.25">
      <c r="C50" s="4395" t="s">
        <v>1386</v>
      </c>
      <c r="D50" s="4397"/>
      <c r="E50" s="4397"/>
      <c r="F50" s="4397"/>
      <c r="G50" s="4397"/>
      <c r="H50" s="4397"/>
      <c r="I50" s="4397"/>
      <c r="J50" s="4397"/>
      <c r="K50" s="4397"/>
      <c r="L50" s="4397"/>
      <c r="M50" s="4397"/>
      <c r="N50" s="4397"/>
      <c r="O50" s="4397"/>
      <c r="P50" s="4397"/>
      <c r="Q50" s="4397"/>
      <c r="R50" s="4397"/>
      <c r="S50" s="4397"/>
      <c r="T50" s="4397"/>
      <c r="BA50" s="3646">
        <v>2010</v>
      </c>
    </row>
    <row r="51" spans="3:53" x14ac:dyDescent="0.25">
      <c r="C51" s="4398" t="s">
        <v>916</v>
      </c>
      <c r="D51" s="4397"/>
      <c r="E51" s="4397"/>
      <c r="F51" s="4397"/>
      <c r="G51" s="4397"/>
      <c r="H51" s="4397"/>
      <c r="I51" s="4397"/>
      <c r="J51" s="4397"/>
      <c r="K51" s="4397"/>
      <c r="L51" s="4397"/>
      <c r="M51" s="4397"/>
      <c r="N51" s="4397"/>
      <c r="O51" s="4397"/>
      <c r="P51" s="4397"/>
      <c r="Q51" s="4397"/>
      <c r="R51" s="4397"/>
      <c r="S51" s="4397"/>
      <c r="T51" s="4397"/>
      <c r="BA51" s="3646">
        <v>2011</v>
      </c>
    </row>
    <row r="52" spans="3:53" x14ac:dyDescent="0.25">
      <c r="C52" s="4398" t="s">
        <v>917</v>
      </c>
      <c r="D52" s="4397"/>
      <c r="E52" s="4397"/>
      <c r="F52" s="4397"/>
      <c r="G52" s="4397"/>
      <c r="H52" s="4397"/>
      <c r="I52" s="4397"/>
      <c r="J52" s="4397"/>
      <c r="K52" s="4397"/>
      <c r="L52" s="4397"/>
      <c r="M52" s="4397"/>
      <c r="N52" s="4397"/>
      <c r="O52" s="4397"/>
      <c r="P52" s="4397"/>
      <c r="Q52" s="4397"/>
      <c r="R52" s="4397"/>
      <c r="S52" s="4397"/>
      <c r="T52" s="4397"/>
      <c r="BA52" s="3646">
        <v>2012</v>
      </c>
    </row>
    <row r="53" spans="3:53" x14ac:dyDescent="0.25">
      <c r="C53" s="4398" t="s">
        <v>918</v>
      </c>
      <c r="D53" s="4397"/>
      <c r="E53" s="4397"/>
      <c r="F53" s="4397"/>
      <c r="G53" s="4397"/>
      <c r="H53" s="4397"/>
      <c r="I53" s="4397"/>
      <c r="J53" s="4397"/>
      <c r="K53" s="4397"/>
      <c r="L53" s="4397"/>
      <c r="M53" s="4397"/>
      <c r="N53" s="4397"/>
      <c r="O53" s="4397"/>
      <c r="P53" s="4397"/>
      <c r="Q53" s="4397"/>
      <c r="R53" s="4397"/>
      <c r="S53" s="4397"/>
      <c r="T53" s="4397"/>
      <c r="BA53" s="3646">
        <v>2013</v>
      </c>
    </row>
    <row r="54" spans="3:53" x14ac:dyDescent="0.25">
      <c r="C54" s="4398" t="s">
        <v>919</v>
      </c>
      <c r="D54" s="4397"/>
      <c r="E54" s="4397"/>
      <c r="F54" s="4397"/>
      <c r="G54" s="4397"/>
      <c r="H54" s="4397"/>
      <c r="I54" s="4397"/>
      <c r="J54" s="4397"/>
      <c r="K54" s="4397"/>
      <c r="L54" s="4397"/>
      <c r="M54" s="4397"/>
      <c r="N54" s="4397"/>
      <c r="O54" s="4397"/>
      <c r="P54" s="4397"/>
      <c r="Q54" s="4397"/>
      <c r="R54" s="4397"/>
      <c r="S54" s="4397"/>
      <c r="T54" s="4397"/>
      <c r="BA54" s="3646">
        <v>2014</v>
      </c>
    </row>
    <row r="55" spans="3:53" x14ac:dyDescent="0.25">
      <c r="C55" s="4398" t="s">
        <v>920</v>
      </c>
      <c r="D55" s="4397"/>
      <c r="E55" s="4397"/>
      <c r="F55" s="4397"/>
      <c r="G55" s="4397"/>
      <c r="H55" s="4397"/>
      <c r="I55" s="4397"/>
      <c r="J55" s="4397"/>
      <c r="K55" s="4397"/>
      <c r="L55" s="4397"/>
      <c r="M55" s="4397"/>
      <c r="N55" s="4397"/>
      <c r="O55" s="4397"/>
      <c r="P55" s="4397"/>
      <c r="Q55" s="4397"/>
      <c r="R55" s="4397"/>
      <c r="S55" s="4397"/>
      <c r="T55" s="4397"/>
      <c r="BA55" s="3646">
        <v>2015</v>
      </c>
    </row>
    <row r="56" spans="3:53" x14ac:dyDescent="0.25">
      <c r="C56" s="4398" t="s">
        <v>921</v>
      </c>
      <c r="D56" s="4397"/>
      <c r="E56" s="4397"/>
      <c r="F56" s="4397"/>
      <c r="G56" s="4397"/>
      <c r="H56" s="4397"/>
      <c r="I56" s="4397"/>
      <c r="J56" s="4397"/>
      <c r="K56" s="4397"/>
      <c r="L56" s="4397"/>
      <c r="M56" s="4397"/>
      <c r="N56" s="4397"/>
      <c r="O56" s="4397"/>
      <c r="P56" s="4397"/>
      <c r="Q56" s="4397"/>
      <c r="R56" s="4397"/>
      <c r="S56" s="4397"/>
      <c r="T56" s="4397"/>
      <c r="BA56" s="3646">
        <v>2016</v>
      </c>
    </row>
    <row r="57" spans="3:53" x14ac:dyDescent="0.25">
      <c r="C57" s="4395" t="s">
        <v>1387</v>
      </c>
      <c r="D57" s="4397"/>
      <c r="E57" s="4397"/>
      <c r="F57" s="4397"/>
      <c r="G57" s="4397"/>
      <c r="H57" s="4397"/>
      <c r="I57" s="4397"/>
      <c r="J57" s="4397"/>
      <c r="K57" s="4397"/>
      <c r="L57" s="4397"/>
      <c r="M57" s="4397"/>
      <c r="N57" s="4397"/>
      <c r="O57" s="4397"/>
      <c r="P57" s="4397"/>
      <c r="Q57" s="4397"/>
      <c r="R57" s="4397"/>
      <c r="S57" s="4397"/>
      <c r="T57" s="4397"/>
      <c r="BA57" s="3646">
        <v>2017</v>
      </c>
    </row>
    <row r="58" spans="3:53" x14ac:dyDescent="0.25">
      <c r="C58" s="4398" t="s">
        <v>922</v>
      </c>
      <c r="D58" s="4397"/>
      <c r="E58" s="4397"/>
      <c r="F58" s="4397"/>
      <c r="G58" s="4397"/>
      <c r="H58" s="4397"/>
      <c r="I58" s="4397"/>
      <c r="J58" s="4397"/>
      <c r="K58" s="4397"/>
      <c r="L58" s="4397"/>
      <c r="M58" s="4397"/>
      <c r="N58" s="4397"/>
      <c r="O58" s="4397"/>
      <c r="P58" s="4397"/>
      <c r="Q58" s="4397"/>
      <c r="R58" s="4397"/>
      <c r="S58" s="4397"/>
      <c r="T58" s="4397"/>
      <c r="BA58" s="3646">
        <v>2018</v>
      </c>
    </row>
    <row r="59" spans="3:53" x14ac:dyDescent="0.25">
      <c r="C59" s="4398" t="s">
        <v>923</v>
      </c>
      <c r="D59" s="4397"/>
      <c r="E59" s="4397"/>
      <c r="F59" s="4397"/>
      <c r="G59" s="4397"/>
      <c r="H59" s="4397"/>
      <c r="I59" s="4397"/>
      <c r="J59" s="4397"/>
      <c r="K59" s="4397"/>
      <c r="L59" s="4397"/>
      <c r="M59" s="4397"/>
      <c r="N59" s="4397"/>
      <c r="O59" s="4397"/>
      <c r="P59" s="4397"/>
      <c r="Q59" s="4397"/>
      <c r="R59" s="4397"/>
      <c r="S59" s="4397"/>
      <c r="T59" s="4397"/>
      <c r="BA59" s="3646">
        <v>2019</v>
      </c>
    </row>
    <row r="60" spans="3:53" x14ac:dyDescent="0.25">
      <c r="C60" s="4398" t="s">
        <v>924</v>
      </c>
      <c r="D60" s="4397"/>
      <c r="E60" s="4397"/>
      <c r="F60" s="4397"/>
      <c r="G60" s="4397"/>
      <c r="H60" s="4397"/>
      <c r="I60" s="4397"/>
      <c r="J60" s="4397"/>
      <c r="K60" s="4397"/>
      <c r="L60" s="4397"/>
      <c r="M60" s="4397"/>
      <c r="N60" s="4397"/>
      <c r="O60" s="4397"/>
      <c r="P60" s="4397"/>
      <c r="Q60" s="4397"/>
      <c r="R60" s="4397"/>
      <c r="S60" s="4397"/>
      <c r="T60" s="4397"/>
      <c r="AA60" s="3692"/>
      <c r="BA60" s="3646">
        <v>2020</v>
      </c>
    </row>
    <row r="61" spans="3:53" x14ac:dyDescent="0.25">
      <c r="C61" s="4398" t="s">
        <v>925</v>
      </c>
      <c r="D61" s="4397"/>
      <c r="E61" s="4397"/>
      <c r="F61" s="4397"/>
      <c r="G61" s="4397"/>
      <c r="H61" s="4397"/>
      <c r="I61" s="4397"/>
      <c r="J61" s="4397"/>
      <c r="K61" s="4397"/>
      <c r="L61" s="4397"/>
      <c r="M61" s="4397"/>
      <c r="N61" s="4397"/>
      <c r="O61" s="4397"/>
      <c r="P61" s="4397"/>
      <c r="Q61" s="4397"/>
      <c r="R61" s="4397"/>
      <c r="S61" s="4397"/>
      <c r="T61" s="4397"/>
      <c r="AA61" s="3692"/>
      <c r="BA61" s="3646">
        <v>2021</v>
      </c>
    </row>
    <row r="62" spans="3:53" x14ac:dyDescent="0.25">
      <c r="C62" s="4395" t="s">
        <v>1388</v>
      </c>
      <c r="D62" s="4397"/>
      <c r="E62" s="4397"/>
      <c r="F62" s="4397"/>
      <c r="G62" s="4397"/>
      <c r="H62" s="4397"/>
      <c r="I62" s="4397"/>
      <c r="J62" s="4397"/>
      <c r="K62" s="4397"/>
      <c r="L62" s="4397"/>
      <c r="M62" s="4397"/>
      <c r="N62" s="4397"/>
      <c r="O62" s="4397"/>
      <c r="P62" s="4397"/>
      <c r="Q62" s="4397"/>
      <c r="R62" s="4397"/>
      <c r="S62" s="4397"/>
      <c r="T62" s="4397"/>
      <c r="AA62" s="3692"/>
      <c r="BA62" s="3646">
        <v>2022</v>
      </c>
    </row>
    <row r="63" spans="3:53" x14ac:dyDescent="0.25">
      <c r="C63" s="4395" t="s">
        <v>1389</v>
      </c>
      <c r="D63" s="4397"/>
      <c r="E63" s="4397"/>
      <c r="F63" s="4397"/>
      <c r="G63" s="4397"/>
      <c r="H63" s="4397"/>
      <c r="I63" s="4397"/>
      <c r="J63" s="4397"/>
      <c r="K63" s="4397"/>
      <c r="L63" s="4397"/>
      <c r="M63" s="4397"/>
      <c r="N63" s="4397"/>
      <c r="O63" s="4397"/>
      <c r="P63" s="4397"/>
      <c r="Q63" s="4397"/>
      <c r="R63" s="4397"/>
      <c r="S63" s="4397"/>
      <c r="T63" s="4397"/>
      <c r="AA63" s="3692"/>
    </row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34" spans="3:27" x14ac:dyDescent="0.25">
      <c r="C134" s="4389"/>
    </row>
    <row r="136" spans="3:27" x14ac:dyDescent="0.25">
      <c r="C136" s="4389"/>
      <c r="AA136" s="3646" t="s">
        <v>926</v>
      </c>
    </row>
    <row r="137" spans="3:27" x14ac:dyDescent="0.25">
      <c r="AA137" s="3646" t="s">
        <v>927</v>
      </c>
    </row>
    <row r="138" spans="3:27" x14ac:dyDescent="0.2">
      <c r="C138" s="3730"/>
      <c r="AA138" s="3646" t="s">
        <v>928</v>
      </c>
    </row>
    <row r="144" spans="3:27" x14ac:dyDescent="0.25">
      <c r="C144" s="4389"/>
    </row>
    <row r="146" spans="3:3" x14ac:dyDescent="0.25">
      <c r="C146" s="4389"/>
    </row>
    <row r="148" spans="3:3" x14ac:dyDescent="0.25">
      <c r="C148" s="4389"/>
    </row>
    <row r="150" spans="3:3" x14ac:dyDescent="0.2">
      <c r="C150" s="3730"/>
    </row>
  </sheetData>
  <mergeCells count="22">
    <mergeCell ref="AQ3:AT3"/>
    <mergeCell ref="W3:Z3"/>
    <mergeCell ref="AA3:AD3"/>
    <mergeCell ref="AE3:AH3"/>
    <mergeCell ref="AI3:AL3"/>
    <mergeCell ref="AM3:AP3"/>
    <mergeCell ref="CA3:CD3"/>
    <mergeCell ref="S3:V3"/>
    <mergeCell ref="C45:V45"/>
    <mergeCell ref="BW3:BZ3"/>
    <mergeCell ref="B3:B4"/>
    <mergeCell ref="C3:F3"/>
    <mergeCell ref="G3:J3"/>
    <mergeCell ref="K3:N3"/>
    <mergeCell ref="O3:R3"/>
    <mergeCell ref="BS3:BV3"/>
    <mergeCell ref="BK3:BN3"/>
    <mergeCell ref="BO3:BR3"/>
    <mergeCell ref="AU3:AX3"/>
    <mergeCell ref="AY3:BB3"/>
    <mergeCell ref="BC3:BF3"/>
    <mergeCell ref="BG3:BJ3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scale="70" firstPageNumber="163" pageOrder="overThenDown" orientation="landscape" useFirstPageNumber="1" r:id="rId1"/>
  <headerFooter scaleWithDoc="0" alignWithMargins="0">
    <oddFooter>&amp;R&amp;P</oddFooter>
  </headerFooter>
  <rowBreaks count="1" manualBreakCount="1">
    <brk id="41" min="58" max="77" man="1"/>
  </rowBreaks>
  <colBreaks count="1" manualBreakCount="1">
    <brk id="26" max="1048575" man="1"/>
  </colBreaks>
  <ignoredErrors>
    <ignoredError sqref="BB31:BR36 BV31:BV36" formula="1"/>
  </ignoredErrors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8200"/>
  </sheetPr>
  <dimension ref="A1:Q117"/>
  <sheetViews>
    <sheetView showGridLines="0" zoomScale="96" zoomScaleNormal="96" zoomScaleSheetLayoutView="50" workbookViewId="0">
      <pane xSplit="2" ySplit="3" topLeftCell="C4" activePane="bottomRight" state="frozen"/>
      <selection activeCell="Q31" sqref="Q31"/>
      <selection pane="topRight" activeCell="Q31" sqref="Q31"/>
      <selection pane="bottomLeft" activeCell="Q31" sqref="Q31"/>
      <selection pane="bottomRight" activeCell="Q31" sqref="Q31"/>
    </sheetView>
  </sheetViews>
  <sheetFormatPr baseColWidth="10" defaultColWidth="11.5546875" defaultRowHeight="13.2" x14ac:dyDescent="0.25"/>
  <cols>
    <col min="1" max="1" width="8.5546875" style="3424" customWidth="1"/>
    <col min="2" max="2" width="11.5546875" style="3424"/>
    <col min="3" max="4" width="13.44140625" style="3424" customWidth="1"/>
    <col min="5" max="5" width="13.109375" style="3424" customWidth="1"/>
    <col min="6" max="6" width="9.5546875" style="3424" customWidth="1"/>
    <col min="7" max="7" width="9" style="3424" customWidth="1"/>
    <col min="8" max="8" width="15.44140625" style="3424" customWidth="1"/>
    <col min="9" max="9" width="11.109375" style="3424" customWidth="1"/>
    <col min="10" max="10" width="13.88671875" style="3424" customWidth="1"/>
    <col min="11" max="11" width="13" style="3424" bestFit="1" customWidth="1"/>
    <col min="12" max="12" width="12.88671875" style="3424" customWidth="1"/>
    <col min="13" max="13" width="16.44140625" style="3424" customWidth="1"/>
    <col min="14" max="14" width="14.44140625" style="3424" bestFit="1" customWidth="1"/>
    <col min="15" max="15" width="12.88671875" style="3424" bestFit="1" customWidth="1"/>
    <col min="16" max="16" width="13.5546875" style="3487" customWidth="1"/>
    <col min="17" max="16384" width="11.5546875" style="3424"/>
  </cols>
  <sheetData>
    <row r="1" spans="1:17" ht="18" x14ac:dyDescent="0.3">
      <c r="A1" s="3693" t="s">
        <v>929</v>
      </c>
      <c r="B1" s="3693"/>
      <c r="C1" s="3694"/>
      <c r="D1" s="3694"/>
      <c r="E1" s="3694"/>
      <c r="F1" s="3694"/>
      <c r="G1" s="3694"/>
      <c r="H1" s="3694"/>
      <c r="I1" s="3694"/>
      <c r="J1" s="3694"/>
      <c r="K1" s="3694"/>
      <c r="L1" s="3694"/>
      <c r="M1" s="3694"/>
      <c r="N1" s="3694"/>
      <c r="O1" s="3694"/>
      <c r="P1" s="3694"/>
      <c r="Q1" s="3695"/>
    </row>
    <row r="2" spans="1:17" ht="14.4" x14ac:dyDescent="0.25">
      <c r="A2" s="3696"/>
      <c r="B2" s="3696"/>
      <c r="C2" s="3696"/>
      <c r="D2" s="3696"/>
      <c r="E2" s="3696"/>
      <c r="P2" s="3695"/>
      <c r="Q2" s="3695"/>
    </row>
    <row r="3" spans="1:17" ht="68.25" customHeight="1" thickBot="1" x14ac:dyDescent="0.3">
      <c r="A3" s="3697" t="s">
        <v>27</v>
      </c>
      <c r="B3" s="3698" t="s">
        <v>930</v>
      </c>
      <c r="C3" s="3699" t="s">
        <v>931</v>
      </c>
      <c r="D3" s="3700" t="s">
        <v>932</v>
      </c>
      <c r="E3" s="3701" t="s">
        <v>933</v>
      </c>
      <c r="F3" s="3701" t="s">
        <v>934</v>
      </c>
      <c r="G3" s="3701" t="s">
        <v>935</v>
      </c>
      <c r="H3" s="3702" t="s">
        <v>936</v>
      </c>
      <c r="I3" s="3701" t="s">
        <v>937</v>
      </c>
      <c r="J3" s="3701" t="s">
        <v>938</v>
      </c>
      <c r="K3" s="3702" t="s">
        <v>939</v>
      </c>
      <c r="L3" s="3701" t="s">
        <v>940</v>
      </c>
      <c r="M3" s="3701" t="s">
        <v>941</v>
      </c>
      <c r="N3" s="3703" t="s">
        <v>942</v>
      </c>
      <c r="O3" s="3701" t="s">
        <v>943</v>
      </c>
      <c r="P3" s="3704" t="s">
        <v>944</v>
      </c>
      <c r="Q3" s="3705"/>
    </row>
    <row r="4" spans="1:17" ht="14.4" x14ac:dyDescent="0.3">
      <c r="A4" s="3434"/>
      <c r="B4" s="3557"/>
      <c r="C4" s="3706"/>
      <c r="D4" s="3706"/>
      <c r="E4" s="3706"/>
      <c r="F4" s="3706"/>
      <c r="G4" s="3706"/>
      <c r="H4" s="3706"/>
      <c r="I4" s="3706"/>
      <c r="J4" s="3706"/>
      <c r="K4" s="3706"/>
      <c r="L4" s="3706"/>
      <c r="M4" s="3706"/>
      <c r="N4" s="3706"/>
      <c r="O4" s="3706"/>
      <c r="P4" s="3706"/>
      <c r="Q4" s="3707"/>
    </row>
    <row r="5" spans="1:17" ht="15" customHeight="1" x14ac:dyDescent="0.3">
      <c r="A5" s="6188" t="s">
        <v>286</v>
      </c>
      <c r="B5" s="3708">
        <v>2003</v>
      </c>
      <c r="C5" s="3709">
        <v>776</v>
      </c>
      <c r="D5" s="3709"/>
      <c r="E5" s="3710">
        <v>821</v>
      </c>
      <c r="F5" s="3710"/>
      <c r="G5" s="3711">
        <v>24</v>
      </c>
      <c r="H5" s="3711">
        <v>3</v>
      </c>
      <c r="I5" s="3711">
        <v>1</v>
      </c>
      <c r="J5" s="3711">
        <v>1118</v>
      </c>
      <c r="K5" s="3711">
        <v>153</v>
      </c>
      <c r="L5" s="3711">
        <v>7</v>
      </c>
      <c r="M5" s="3711">
        <v>1</v>
      </c>
      <c r="N5" s="3711"/>
      <c r="O5" s="3711">
        <v>44</v>
      </c>
      <c r="P5" s="3712">
        <v>2948</v>
      </c>
      <c r="Q5" s="3707"/>
    </row>
    <row r="6" spans="1:17" ht="14.4" x14ac:dyDescent="0.3">
      <c r="A6" s="6188"/>
      <c r="B6" s="3713">
        <v>2004</v>
      </c>
      <c r="C6" s="3714">
        <v>890</v>
      </c>
      <c r="D6" s="3714"/>
      <c r="E6" s="3715">
        <v>928</v>
      </c>
      <c r="F6" s="3715">
        <v>1</v>
      </c>
      <c r="G6" s="3716">
        <v>29</v>
      </c>
      <c r="H6" s="3716">
        <v>2</v>
      </c>
      <c r="I6" s="3716">
        <v>1</v>
      </c>
      <c r="J6" s="3716">
        <v>1548</v>
      </c>
      <c r="K6" s="3716">
        <v>245</v>
      </c>
      <c r="L6" s="3716">
        <v>23</v>
      </c>
      <c r="M6" s="3716">
        <v>4</v>
      </c>
      <c r="N6" s="3716"/>
      <c r="O6" s="3716">
        <v>35</v>
      </c>
      <c r="P6" s="3717">
        <v>3706</v>
      </c>
      <c r="Q6" s="3707"/>
    </row>
    <row r="7" spans="1:17" ht="14.4" x14ac:dyDescent="0.3">
      <c r="A7" s="6188"/>
      <c r="B7" s="3713">
        <v>2005</v>
      </c>
      <c r="C7" s="3714">
        <v>806</v>
      </c>
      <c r="D7" s="3714"/>
      <c r="E7" s="3715">
        <v>873</v>
      </c>
      <c r="F7" s="3715">
        <v>5</v>
      </c>
      <c r="G7" s="3716">
        <v>25</v>
      </c>
      <c r="H7" s="3716">
        <v>2</v>
      </c>
      <c r="I7" s="3716">
        <v>5</v>
      </c>
      <c r="J7" s="3716">
        <v>1467</v>
      </c>
      <c r="K7" s="3716">
        <v>294</v>
      </c>
      <c r="L7" s="3716">
        <v>14</v>
      </c>
      <c r="M7" s="3716">
        <v>11</v>
      </c>
      <c r="N7" s="3716"/>
      <c r="O7" s="3716">
        <v>28</v>
      </c>
      <c r="P7" s="3717">
        <v>3530</v>
      </c>
      <c r="Q7" s="3707"/>
    </row>
    <row r="8" spans="1:17" ht="14.4" x14ac:dyDescent="0.3">
      <c r="A8" s="6188"/>
      <c r="B8" s="3713">
        <v>2006</v>
      </c>
      <c r="C8" s="3714">
        <v>643</v>
      </c>
      <c r="D8" s="3714"/>
      <c r="E8" s="3715">
        <v>760</v>
      </c>
      <c r="F8" s="3715">
        <v>3</v>
      </c>
      <c r="G8" s="3716">
        <v>24</v>
      </c>
      <c r="H8" s="3716">
        <v>9</v>
      </c>
      <c r="I8" s="3716">
        <v>0</v>
      </c>
      <c r="J8" s="3716">
        <v>1280</v>
      </c>
      <c r="K8" s="3716">
        <v>228</v>
      </c>
      <c r="L8" s="3716">
        <v>10</v>
      </c>
      <c r="M8" s="3716">
        <v>8</v>
      </c>
      <c r="N8" s="3716"/>
      <c r="O8" s="3716">
        <v>59</v>
      </c>
      <c r="P8" s="3717">
        <v>3024</v>
      </c>
      <c r="Q8" s="3707"/>
    </row>
    <row r="9" spans="1:17" ht="14.4" x14ac:dyDescent="0.3">
      <c r="A9" s="6188"/>
      <c r="B9" s="3713">
        <v>2007</v>
      </c>
      <c r="C9" s="3714">
        <v>394</v>
      </c>
      <c r="D9" s="3714"/>
      <c r="E9" s="3715">
        <v>756</v>
      </c>
      <c r="F9" s="3715"/>
      <c r="G9" s="3716">
        <v>28</v>
      </c>
      <c r="H9" s="3716">
        <v>2</v>
      </c>
      <c r="I9" s="3716">
        <v>0</v>
      </c>
      <c r="J9" s="3716">
        <v>1013</v>
      </c>
      <c r="K9" s="3716">
        <v>106</v>
      </c>
      <c r="L9" s="3716">
        <v>24</v>
      </c>
      <c r="M9" s="3716">
        <v>9</v>
      </c>
      <c r="N9" s="3716"/>
      <c r="O9" s="3716">
        <v>49</v>
      </c>
      <c r="P9" s="3717">
        <v>2381</v>
      </c>
      <c r="Q9" s="3707"/>
    </row>
    <row r="10" spans="1:17" ht="14.4" x14ac:dyDescent="0.3">
      <c r="A10" s="6188"/>
      <c r="B10" s="3713">
        <v>2008</v>
      </c>
      <c r="C10" s="3714">
        <v>484</v>
      </c>
      <c r="D10" s="3714"/>
      <c r="E10" s="3715">
        <v>975</v>
      </c>
      <c r="F10" s="3715"/>
      <c r="G10" s="3716">
        <v>19</v>
      </c>
      <c r="H10" s="3716">
        <v>3</v>
      </c>
      <c r="I10" s="3716"/>
      <c r="J10" s="3716">
        <v>1330</v>
      </c>
      <c r="K10" s="3716">
        <v>238</v>
      </c>
      <c r="L10" s="3716">
        <v>24</v>
      </c>
      <c r="M10" s="3716">
        <v>6</v>
      </c>
      <c r="N10" s="3716"/>
      <c r="O10" s="3716">
        <v>56</v>
      </c>
      <c r="P10" s="3717">
        <v>3135</v>
      </c>
      <c r="Q10" s="3707"/>
    </row>
    <row r="11" spans="1:17" ht="14.4" x14ac:dyDescent="0.3">
      <c r="A11" s="6188"/>
      <c r="B11" s="3713">
        <v>2009</v>
      </c>
      <c r="C11" s="3714">
        <v>551</v>
      </c>
      <c r="D11" s="3714"/>
      <c r="E11" s="3715">
        <v>914</v>
      </c>
      <c r="F11" s="3715"/>
      <c r="G11" s="3716">
        <v>27</v>
      </c>
      <c r="H11" s="3716">
        <v>1</v>
      </c>
      <c r="I11" s="3716">
        <v>1</v>
      </c>
      <c r="J11" s="3716">
        <v>1287</v>
      </c>
      <c r="K11" s="3716">
        <v>171</v>
      </c>
      <c r="L11" s="3716">
        <v>16</v>
      </c>
      <c r="M11" s="3716">
        <v>2</v>
      </c>
      <c r="N11" s="3716"/>
      <c r="O11" s="3716">
        <v>21</v>
      </c>
      <c r="P11" s="3717">
        <v>2991</v>
      </c>
      <c r="Q11" s="3707"/>
    </row>
    <row r="12" spans="1:17" ht="14.4" x14ac:dyDescent="0.3">
      <c r="A12" s="6188"/>
      <c r="B12" s="3713">
        <v>2010</v>
      </c>
      <c r="C12" s="3714">
        <v>675</v>
      </c>
      <c r="D12" s="3714"/>
      <c r="E12" s="3715">
        <v>1126</v>
      </c>
      <c r="F12" s="3715"/>
      <c r="G12" s="3716">
        <v>28</v>
      </c>
      <c r="H12" s="3716">
        <v>2</v>
      </c>
      <c r="I12" s="3716">
        <v>1</v>
      </c>
      <c r="J12" s="3716">
        <v>1698</v>
      </c>
      <c r="K12" s="3716">
        <v>242</v>
      </c>
      <c r="L12" s="3716">
        <v>14</v>
      </c>
      <c r="M12" s="3716">
        <v>3</v>
      </c>
      <c r="N12" s="3716"/>
      <c r="O12" s="3716">
        <v>15</v>
      </c>
      <c r="P12" s="3717">
        <f t="shared" ref="P12:P17" si="0">SUM(C12:O12)</f>
        <v>3804</v>
      </c>
      <c r="Q12" s="3707"/>
    </row>
    <row r="13" spans="1:17" ht="14.4" x14ac:dyDescent="0.3">
      <c r="A13" s="6188"/>
      <c r="B13" s="3713">
        <v>2011</v>
      </c>
      <c r="C13" s="3714">
        <v>812</v>
      </c>
      <c r="D13" s="3714"/>
      <c r="E13" s="3715">
        <v>1257</v>
      </c>
      <c r="F13" s="3715"/>
      <c r="G13" s="3716">
        <v>31</v>
      </c>
      <c r="H13" s="3716">
        <v>9</v>
      </c>
      <c r="I13" s="3716">
        <v>2</v>
      </c>
      <c r="J13" s="3716">
        <v>2124</v>
      </c>
      <c r="K13" s="3716">
        <v>196</v>
      </c>
      <c r="L13" s="3716">
        <v>21</v>
      </c>
      <c r="M13" s="3716">
        <v>6</v>
      </c>
      <c r="N13" s="3716"/>
      <c r="O13" s="3716">
        <v>46</v>
      </c>
      <c r="P13" s="3717">
        <f t="shared" si="0"/>
        <v>4504</v>
      </c>
      <c r="Q13" s="3707"/>
    </row>
    <row r="14" spans="1:17" ht="14.4" x14ac:dyDescent="0.3">
      <c r="A14" s="6188"/>
      <c r="B14" s="3713">
        <v>2012</v>
      </c>
      <c r="C14" s="3714">
        <v>618</v>
      </c>
      <c r="D14" s="3714"/>
      <c r="E14" s="3715">
        <v>1081</v>
      </c>
      <c r="F14" s="3715"/>
      <c r="G14" s="3716">
        <v>40</v>
      </c>
      <c r="H14" s="3716">
        <v>2</v>
      </c>
      <c r="I14" s="3716"/>
      <c r="J14" s="3716">
        <v>1848</v>
      </c>
      <c r="K14" s="3716">
        <v>115</v>
      </c>
      <c r="L14" s="3716">
        <v>20</v>
      </c>
      <c r="M14" s="3716">
        <v>10</v>
      </c>
      <c r="N14" s="3716"/>
      <c r="O14" s="3716">
        <v>37</v>
      </c>
      <c r="P14" s="3717">
        <f t="shared" si="0"/>
        <v>3771</v>
      </c>
      <c r="Q14" s="3707"/>
    </row>
    <row r="15" spans="1:17" ht="14.4" x14ac:dyDescent="0.3">
      <c r="A15" s="6188"/>
      <c r="B15" s="3713">
        <v>2013</v>
      </c>
      <c r="C15" s="3714">
        <v>788</v>
      </c>
      <c r="D15" s="3714"/>
      <c r="E15" s="3715">
        <v>1341</v>
      </c>
      <c r="F15" s="3715"/>
      <c r="G15" s="3716">
        <v>37</v>
      </c>
      <c r="H15" s="3716">
        <v>7</v>
      </c>
      <c r="I15" s="3716"/>
      <c r="J15" s="3716">
        <v>2315</v>
      </c>
      <c r="K15" s="3716">
        <v>243</v>
      </c>
      <c r="L15" s="3716">
        <v>47</v>
      </c>
      <c r="M15" s="3716">
        <v>14</v>
      </c>
      <c r="N15" s="3716"/>
      <c r="O15" s="3716">
        <v>16</v>
      </c>
      <c r="P15" s="3717">
        <f t="shared" si="0"/>
        <v>4808</v>
      </c>
      <c r="Q15" s="3707"/>
    </row>
    <row r="16" spans="1:17" ht="14.4" x14ac:dyDescent="0.3">
      <c r="A16" s="6188"/>
      <c r="B16" s="3713">
        <v>2014</v>
      </c>
      <c r="C16" s="3714">
        <v>592</v>
      </c>
      <c r="D16" s="3714"/>
      <c r="E16" s="3715">
        <v>1275</v>
      </c>
      <c r="F16" s="3715"/>
      <c r="G16" s="3716">
        <v>33</v>
      </c>
      <c r="H16" s="3716">
        <v>3</v>
      </c>
      <c r="I16" s="3716">
        <v>5</v>
      </c>
      <c r="J16" s="3716">
        <v>1965</v>
      </c>
      <c r="K16" s="3716">
        <v>210</v>
      </c>
      <c r="L16" s="3716">
        <v>18</v>
      </c>
      <c r="M16" s="3716">
        <v>9</v>
      </c>
      <c r="N16" s="3716"/>
      <c r="O16" s="3716">
        <v>31</v>
      </c>
      <c r="P16" s="3717">
        <f t="shared" si="0"/>
        <v>4141</v>
      </c>
      <c r="Q16" s="3707"/>
    </row>
    <row r="17" spans="1:17" ht="14.4" x14ac:dyDescent="0.3">
      <c r="A17" s="6188"/>
      <c r="B17" s="3713">
        <v>2015</v>
      </c>
      <c r="C17" s="3714">
        <v>659</v>
      </c>
      <c r="D17" s="3714"/>
      <c r="E17" s="3715">
        <v>1494</v>
      </c>
      <c r="F17" s="3715"/>
      <c r="G17" s="3716">
        <v>25</v>
      </c>
      <c r="H17" s="3716">
        <v>9</v>
      </c>
      <c r="I17" s="3716">
        <v>6</v>
      </c>
      <c r="J17" s="3716">
        <v>2339</v>
      </c>
      <c r="K17" s="3716">
        <v>192</v>
      </c>
      <c r="L17" s="3716">
        <v>44</v>
      </c>
      <c r="M17" s="3716">
        <v>4</v>
      </c>
      <c r="N17" s="3716"/>
      <c r="O17" s="3716">
        <v>39</v>
      </c>
      <c r="P17" s="3717">
        <f t="shared" si="0"/>
        <v>4811</v>
      </c>
      <c r="Q17" s="3707"/>
    </row>
    <row r="18" spans="1:17" ht="14.4" x14ac:dyDescent="0.3">
      <c r="A18" s="6188"/>
      <c r="B18" s="3713">
        <v>2016</v>
      </c>
      <c r="C18" s="3714">
        <v>659</v>
      </c>
      <c r="D18" s="3714"/>
      <c r="E18" s="3715">
        <v>1430</v>
      </c>
      <c r="F18" s="3715"/>
      <c r="G18" s="3716">
        <v>24</v>
      </c>
      <c r="H18" s="3716"/>
      <c r="I18" s="3716">
        <v>4</v>
      </c>
      <c r="J18" s="3716">
        <v>2045</v>
      </c>
      <c r="K18" s="3716">
        <v>208</v>
      </c>
      <c r="L18" s="3716">
        <v>14</v>
      </c>
      <c r="M18" s="3716">
        <v>5</v>
      </c>
      <c r="N18" s="3716"/>
      <c r="O18" s="3716">
        <v>41</v>
      </c>
      <c r="P18" s="3717">
        <f t="shared" ref="P18:P24" si="1">SUM(C18:O18)</f>
        <v>4430</v>
      </c>
      <c r="Q18" s="3707"/>
    </row>
    <row r="19" spans="1:17" ht="14.4" x14ac:dyDescent="0.3">
      <c r="A19" s="6188"/>
      <c r="B19" s="3713">
        <v>2017</v>
      </c>
      <c r="C19" s="3714">
        <v>650</v>
      </c>
      <c r="D19" s="3714"/>
      <c r="E19" s="3715">
        <v>1310</v>
      </c>
      <c r="F19" s="3715"/>
      <c r="G19" s="3716">
        <v>23</v>
      </c>
      <c r="H19" s="3716">
        <v>7</v>
      </c>
      <c r="I19" s="3716"/>
      <c r="J19" s="3716">
        <v>2105</v>
      </c>
      <c r="K19" s="3716">
        <v>190</v>
      </c>
      <c r="L19" s="3716">
        <v>28</v>
      </c>
      <c r="M19" s="3716">
        <v>5</v>
      </c>
      <c r="N19" s="3716"/>
      <c r="O19" s="3716">
        <v>26</v>
      </c>
      <c r="P19" s="3717">
        <f t="shared" si="1"/>
        <v>4344</v>
      </c>
      <c r="Q19" s="3707"/>
    </row>
    <row r="20" spans="1:17" ht="14.4" x14ac:dyDescent="0.3">
      <c r="A20" s="6188"/>
      <c r="B20" s="3713">
        <v>2018</v>
      </c>
      <c r="C20" s="3714">
        <v>628</v>
      </c>
      <c r="D20" s="3714"/>
      <c r="E20" s="3715">
        <v>1448</v>
      </c>
      <c r="F20" s="3715"/>
      <c r="G20" s="3716">
        <v>44</v>
      </c>
      <c r="H20" s="3716">
        <v>5</v>
      </c>
      <c r="I20" s="3716">
        <v>2</v>
      </c>
      <c r="J20" s="3716">
        <v>2130</v>
      </c>
      <c r="K20" s="3716">
        <v>212</v>
      </c>
      <c r="L20" s="3716">
        <v>26</v>
      </c>
      <c r="M20" s="3716">
        <v>3</v>
      </c>
      <c r="N20" s="3716"/>
      <c r="O20" s="3716">
        <v>22</v>
      </c>
      <c r="P20" s="3717">
        <f t="shared" si="1"/>
        <v>4520</v>
      </c>
      <c r="Q20" s="3707"/>
    </row>
    <row r="21" spans="1:17" ht="14.4" x14ac:dyDescent="0.3">
      <c r="A21" s="6188"/>
      <c r="B21" s="3713">
        <v>2019</v>
      </c>
      <c r="C21" s="3714">
        <v>584</v>
      </c>
      <c r="D21" s="3714"/>
      <c r="E21" s="3715">
        <v>1268</v>
      </c>
      <c r="F21" s="3715"/>
      <c r="G21" s="3716">
        <v>54</v>
      </c>
      <c r="H21" s="3716">
        <v>9</v>
      </c>
      <c r="I21" s="3716">
        <v>8</v>
      </c>
      <c r="J21" s="3716">
        <v>2023</v>
      </c>
      <c r="K21" s="3716">
        <v>235</v>
      </c>
      <c r="L21" s="3716">
        <v>25</v>
      </c>
      <c r="M21" s="3716">
        <v>5</v>
      </c>
      <c r="N21" s="3716"/>
      <c r="O21" s="3716">
        <v>18</v>
      </c>
      <c r="P21" s="3717">
        <f t="shared" si="1"/>
        <v>4229</v>
      </c>
      <c r="Q21" s="3707"/>
    </row>
    <row r="22" spans="1:17" ht="14.4" x14ac:dyDescent="0.3">
      <c r="A22" s="6188"/>
      <c r="B22" s="3713">
        <v>2020</v>
      </c>
      <c r="C22" s="3714">
        <v>158</v>
      </c>
      <c r="D22" s="3714">
        <v>485</v>
      </c>
      <c r="E22" s="3715">
        <v>895</v>
      </c>
      <c r="F22" s="3715"/>
      <c r="G22" s="3716">
        <v>21</v>
      </c>
      <c r="H22" s="3716">
        <v>4</v>
      </c>
      <c r="I22" s="3716">
        <v>8</v>
      </c>
      <c r="J22" s="3716">
        <v>1471</v>
      </c>
      <c r="K22" s="3716">
        <v>109</v>
      </c>
      <c r="L22" s="3716">
        <v>44</v>
      </c>
      <c r="M22" s="3716">
        <v>5</v>
      </c>
      <c r="N22" s="3716">
        <v>20</v>
      </c>
      <c r="O22" s="3716">
        <v>5</v>
      </c>
      <c r="P22" s="3717">
        <f t="shared" si="1"/>
        <v>3225</v>
      </c>
      <c r="Q22" s="3707"/>
    </row>
    <row r="23" spans="1:17" ht="14.4" x14ac:dyDescent="0.3">
      <c r="A23" s="6188"/>
      <c r="B23" s="3713">
        <v>2021</v>
      </c>
      <c r="C23" s="3714">
        <v>281</v>
      </c>
      <c r="D23" s="3714">
        <v>431</v>
      </c>
      <c r="E23" s="3715">
        <v>1369</v>
      </c>
      <c r="F23" s="3715"/>
      <c r="G23" s="3716">
        <v>24</v>
      </c>
      <c r="H23" s="3716">
        <v>5</v>
      </c>
      <c r="I23" s="3716">
        <v>6</v>
      </c>
      <c r="J23" s="3716">
        <v>1818</v>
      </c>
      <c r="K23" s="3716">
        <v>153</v>
      </c>
      <c r="L23" s="3716">
        <v>21</v>
      </c>
      <c r="M23" s="3716">
        <v>8</v>
      </c>
      <c r="N23" s="3716">
        <v>29</v>
      </c>
      <c r="O23" s="3716">
        <v>12</v>
      </c>
      <c r="P23" s="3717">
        <f t="shared" ref="P23" si="2">SUM(C23:O23)</f>
        <v>4157</v>
      </c>
      <c r="Q23" s="3707"/>
    </row>
    <row r="24" spans="1:17" ht="15" customHeight="1" x14ac:dyDescent="0.3">
      <c r="A24" s="6189"/>
      <c r="B24" s="3718">
        <v>2022</v>
      </c>
      <c r="C24" s="3719">
        <v>148</v>
      </c>
      <c r="D24" s="3719">
        <v>440</v>
      </c>
      <c r="E24" s="3720">
        <v>1179</v>
      </c>
      <c r="F24" s="3721"/>
      <c r="G24" s="3722">
        <v>33</v>
      </c>
      <c r="H24" s="3722">
        <v>1</v>
      </c>
      <c r="I24" s="3722">
        <v>3</v>
      </c>
      <c r="J24" s="3722">
        <v>1538</v>
      </c>
      <c r="K24" s="3722">
        <v>144</v>
      </c>
      <c r="L24" s="3722">
        <v>10</v>
      </c>
      <c r="M24" s="3722">
        <v>6</v>
      </c>
      <c r="N24" s="3722">
        <v>30</v>
      </c>
      <c r="O24" s="3722">
        <v>4</v>
      </c>
      <c r="P24" s="3723">
        <f t="shared" si="1"/>
        <v>3536</v>
      </c>
      <c r="Q24" s="3707"/>
    </row>
    <row r="25" spans="1:17" ht="15" customHeight="1" x14ac:dyDescent="0.3">
      <c r="B25" s="3557"/>
      <c r="C25" s="3724"/>
      <c r="D25" s="3724"/>
      <c r="E25" s="3724"/>
      <c r="F25" s="3724"/>
      <c r="G25" s="3725"/>
      <c r="H25" s="3725"/>
      <c r="I25" s="3725"/>
      <c r="J25" s="3725"/>
      <c r="K25" s="3725"/>
      <c r="L25" s="3725"/>
      <c r="M25" s="3725"/>
      <c r="N25" s="3725"/>
      <c r="O25" s="3725"/>
      <c r="P25" s="3726"/>
      <c r="Q25" s="3707"/>
    </row>
    <row r="26" spans="1:17" ht="15" customHeight="1" x14ac:dyDescent="0.3">
      <c r="A26" s="6190" t="s">
        <v>287</v>
      </c>
      <c r="B26" s="3708">
        <v>2006</v>
      </c>
      <c r="C26" s="3727">
        <v>3</v>
      </c>
      <c r="D26" s="3709"/>
      <c r="E26" s="3710">
        <v>4</v>
      </c>
      <c r="F26" s="3710"/>
      <c r="G26" s="3711"/>
      <c r="H26" s="3711"/>
      <c r="I26" s="3711"/>
      <c r="J26" s="3711">
        <v>8</v>
      </c>
      <c r="K26" s="3711">
        <v>3</v>
      </c>
      <c r="L26" s="3711"/>
      <c r="M26" s="3711"/>
      <c r="N26" s="3711"/>
      <c r="O26" s="3711"/>
      <c r="P26" s="3712">
        <v>18</v>
      </c>
      <c r="Q26" s="3707"/>
    </row>
    <row r="27" spans="1:17" ht="14.4" x14ac:dyDescent="0.3">
      <c r="A27" s="6190"/>
      <c r="B27" s="3713">
        <v>2007</v>
      </c>
      <c r="C27" s="3728">
        <v>4</v>
      </c>
      <c r="D27" s="3714"/>
      <c r="E27" s="3715">
        <v>55</v>
      </c>
      <c r="F27" s="3715"/>
      <c r="G27" s="3716">
        <v>1</v>
      </c>
      <c r="H27" s="3716">
        <v>1</v>
      </c>
      <c r="I27" s="3716"/>
      <c r="J27" s="3716">
        <v>57</v>
      </c>
      <c r="K27" s="3716">
        <v>18</v>
      </c>
      <c r="L27" s="3716"/>
      <c r="M27" s="3716">
        <v>1</v>
      </c>
      <c r="N27" s="3716"/>
      <c r="O27" s="3716">
        <v>2</v>
      </c>
      <c r="P27" s="3717">
        <v>139</v>
      </c>
      <c r="Q27" s="3707"/>
    </row>
    <row r="28" spans="1:17" ht="14.4" x14ac:dyDescent="0.3">
      <c r="A28" s="6190"/>
      <c r="B28" s="3713">
        <v>2008</v>
      </c>
      <c r="C28" s="3728">
        <v>9</v>
      </c>
      <c r="D28" s="3714"/>
      <c r="E28" s="3715">
        <v>151</v>
      </c>
      <c r="F28" s="3715"/>
      <c r="G28" s="3716">
        <v>9</v>
      </c>
      <c r="H28" s="3716"/>
      <c r="I28" s="3716">
        <v>2</v>
      </c>
      <c r="J28" s="3716">
        <v>182</v>
      </c>
      <c r="K28" s="3716">
        <v>36</v>
      </c>
      <c r="L28" s="3716"/>
      <c r="M28" s="3716">
        <v>1</v>
      </c>
      <c r="N28" s="3716"/>
      <c r="O28" s="3716">
        <v>6</v>
      </c>
      <c r="P28" s="3717">
        <v>396</v>
      </c>
      <c r="Q28" s="3707"/>
    </row>
    <row r="29" spans="1:17" ht="14.4" x14ac:dyDescent="0.3">
      <c r="A29" s="6190"/>
      <c r="B29" s="3713">
        <v>2009</v>
      </c>
      <c r="C29" s="3728">
        <v>19</v>
      </c>
      <c r="D29" s="3714"/>
      <c r="E29" s="3715">
        <v>119</v>
      </c>
      <c r="F29" s="3715"/>
      <c r="G29" s="3716">
        <v>9</v>
      </c>
      <c r="H29" s="3716"/>
      <c r="I29" s="3716">
        <v>2</v>
      </c>
      <c r="J29" s="3716">
        <v>140</v>
      </c>
      <c r="K29" s="3716">
        <v>50</v>
      </c>
      <c r="L29" s="3716"/>
      <c r="M29" s="3716">
        <v>1</v>
      </c>
      <c r="N29" s="3716"/>
      <c r="O29" s="3716">
        <v>9</v>
      </c>
      <c r="P29" s="3717">
        <v>349</v>
      </c>
      <c r="Q29" s="3707"/>
    </row>
    <row r="30" spans="1:17" ht="14.4" x14ac:dyDescent="0.3">
      <c r="A30" s="6190"/>
      <c r="B30" s="3713">
        <v>2010</v>
      </c>
      <c r="C30" s="3728">
        <v>38</v>
      </c>
      <c r="D30" s="3714"/>
      <c r="E30" s="3715">
        <v>208</v>
      </c>
      <c r="F30" s="3715"/>
      <c r="G30" s="3716">
        <v>13</v>
      </c>
      <c r="H30" s="3716">
        <v>1</v>
      </c>
      <c r="I30" s="3716">
        <v>2</v>
      </c>
      <c r="J30" s="3716">
        <v>303</v>
      </c>
      <c r="K30" s="3716">
        <v>47</v>
      </c>
      <c r="L30" s="3716">
        <v>5</v>
      </c>
      <c r="M30" s="3716"/>
      <c r="N30" s="3716"/>
      <c r="O30" s="3716">
        <v>15</v>
      </c>
      <c r="P30" s="3717">
        <f t="shared" ref="P30:P40" si="3">SUM(C30:O30)</f>
        <v>632</v>
      </c>
      <c r="Q30" s="3707"/>
    </row>
    <row r="31" spans="1:17" ht="14.4" x14ac:dyDescent="0.3">
      <c r="A31" s="6190"/>
      <c r="B31" s="3713">
        <v>2011</v>
      </c>
      <c r="C31" s="3728">
        <v>32</v>
      </c>
      <c r="D31" s="3714"/>
      <c r="E31" s="3715">
        <v>254</v>
      </c>
      <c r="F31" s="3715"/>
      <c r="G31" s="3716">
        <v>7</v>
      </c>
      <c r="H31" s="3716">
        <v>1</v>
      </c>
      <c r="I31" s="3716">
        <v>1</v>
      </c>
      <c r="J31" s="3716">
        <v>319</v>
      </c>
      <c r="K31" s="3716">
        <v>65</v>
      </c>
      <c r="L31" s="3716">
        <v>47</v>
      </c>
      <c r="M31" s="3716">
        <v>3</v>
      </c>
      <c r="N31" s="3716"/>
      <c r="O31" s="3716">
        <v>4</v>
      </c>
      <c r="P31" s="3717">
        <f t="shared" si="3"/>
        <v>733</v>
      </c>
      <c r="Q31" s="3707"/>
    </row>
    <row r="32" spans="1:17" ht="14.4" x14ac:dyDescent="0.3">
      <c r="A32" s="6190"/>
      <c r="B32" s="3713">
        <v>2012</v>
      </c>
      <c r="C32" s="3728">
        <v>41</v>
      </c>
      <c r="D32" s="3714"/>
      <c r="E32" s="3715">
        <v>205</v>
      </c>
      <c r="F32" s="3715"/>
      <c r="G32" s="3716">
        <v>15</v>
      </c>
      <c r="H32" s="3716">
        <v>1</v>
      </c>
      <c r="I32" s="3716">
        <v>3</v>
      </c>
      <c r="J32" s="3716">
        <v>322</v>
      </c>
      <c r="K32" s="3716">
        <v>28</v>
      </c>
      <c r="L32" s="3716">
        <v>25</v>
      </c>
      <c r="M32" s="3716"/>
      <c r="N32" s="3716"/>
      <c r="O32" s="3716">
        <v>14</v>
      </c>
      <c r="P32" s="3717">
        <f t="shared" si="3"/>
        <v>654</v>
      </c>
      <c r="Q32" s="3707"/>
    </row>
    <row r="33" spans="1:17" ht="14.4" x14ac:dyDescent="0.3">
      <c r="A33" s="6190"/>
      <c r="B33" s="3713">
        <v>2013</v>
      </c>
      <c r="C33" s="3728">
        <v>50</v>
      </c>
      <c r="D33" s="3714"/>
      <c r="E33" s="3715">
        <v>309</v>
      </c>
      <c r="F33" s="3715"/>
      <c r="G33" s="3716">
        <v>10</v>
      </c>
      <c r="H33" s="3716">
        <v>1</v>
      </c>
      <c r="I33" s="3716">
        <v>0</v>
      </c>
      <c r="J33" s="3716">
        <v>480</v>
      </c>
      <c r="K33" s="3716">
        <v>55</v>
      </c>
      <c r="L33" s="3716">
        <v>13</v>
      </c>
      <c r="M33" s="3716">
        <v>1</v>
      </c>
      <c r="N33" s="3716"/>
      <c r="O33" s="3716">
        <v>10</v>
      </c>
      <c r="P33" s="3717">
        <f t="shared" si="3"/>
        <v>929</v>
      </c>
      <c r="Q33" s="3707"/>
    </row>
    <row r="34" spans="1:17" ht="14.4" x14ac:dyDescent="0.3">
      <c r="A34" s="6190"/>
      <c r="B34" s="3713">
        <v>2014</v>
      </c>
      <c r="C34" s="3728">
        <v>34</v>
      </c>
      <c r="D34" s="3714"/>
      <c r="E34" s="3715">
        <v>237</v>
      </c>
      <c r="F34" s="3715"/>
      <c r="G34" s="3716">
        <v>10</v>
      </c>
      <c r="H34" s="3716">
        <v>1</v>
      </c>
      <c r="I34" s="3716">
        <v>2</v>
      </c>
      <c r="J34" s="3716">
        <v>358</v>
      </c>
      <c r="K34" s="3716">
        <v>34</v>
      </c>
      <c r="L34" s="3716">
        <v>5</v>
      </c>
      <c r="M34" s="3716"/>
      <c r="N34" s="3716"/>
      <c r="O34" s="3716">
        <v>6</v>
      </c>
      <c r="P34" s="3717">
        <f t="shared" si="3"/>
        <v>687</v>
      </c>
      <c r="Q34" s="3707"/>
    </row>
    <row r="35" spans="1:17" ht="14.4" x14ac:dyDescent="0.3">
      <c r="A35" s="6190"/>
      <c r="B35" s="3713">
        <v>2015</v>
      </c>
      <c r="C35" s="3728">
        <v>38</v>
      </c>
      <c r="D35" s="3714"/>
      <c r="E35" s="3715">
        <v>366</v>
      </c>
      <c r="F35" s="3715"/>
      <c r="G35" s="3716">
        <v>11</v>
      </c>
      <c r="H35" s="3716"/>
      <c r="I35" s="3716">
        <v>1</v>
      </c>
      <c r="J35" s="3716">
        <v>535</v>
      </c>
      <c r="K35" s="3716">
        <v>72</v>
      </c>
      <c r="L35" s="3716">
        <v>1</v>
      </c>
      <c r="M35" s="3716"/>
      <c r="N35" s="3716"/>
      <c r="O35" s="3716">
        <v>4</v>
      </c>
      <c r="P35" s="3717">
        <f t="shared" si="3"/>
        <v>1028</v>
      </c>
      <c r="Q35" s="3707"/>
    </row>
    <row r="36" spans="1:17" ht="14.4" x14ac:dyDescent="0.3">
      <c r="A36" s="6190"/>
      <c r="B36" s="3713">
        <v>2016</v>
      </c>
      <c r="C36" s="3728">
        <v>32</v>
      </c>
      <c r="D36" s="3714"/>
      <c r="E36" s="3715">
        <v>279</v>
      </c>
      <c r="F36" s="3715"/>
      <c r="G36" s="3716">
        <v>10</v>
      </c>
      <c r="H36" s="3716">
        <v>1</v>
      </c>
      <c r="I36" s="3716">
        <v>1</v>
      </c>
      <c r="J36" s="3716">
        <v>421</v>
      </c>
      <c r="K36" s="3716">
        <v>44</v>
      </c>
      <c r="L36" s="3716">
        <v>6</v>
      </c>
      <c r="M36" s="3716">
        <v>2</v>
      </c>
      <c r="N36" s="3716"/>
      <c r="O36" s="3716">
        <v>3</v>
      </c>
      <c r="P36" s="3717">
        <f t="shared" si="3"/>
        <v>799</v>
      </c>
      <c r="Q36" s="3707"/>
    </row>
    <row r="37" spans="1:17" ht="14.4" x14ac:dyDescent="0.3">
      <c r="A37" s="6190"/>
      <c r="B37" s="3713">
        <v>2017</v>
      </c>
      <c r="C37" s="3728">
        <v>52</v>
      </c>
      <c r="D37" s="3714"/>
      <c r="E37" s="3715">
        <v>333</v>
      </c>
      <c r="F37" s="3715"/>
      <c r="G37" s="3716">
        <v>4</v>
      </c>
      <c r="H37" s="3716">
        <v>2</v>
      </c>
      <c r="I37" s="3716">
        <v>1</v>
      </c>
      <c r="J37" s="3716">
        <v>484</v>
      </c>
      <c r="K37" s="3716">
        <v>35</v>
      </c>
      <c r="L37" s="3716">
        <v>5</v>
      </c>
      <c r="M37" s="3716">
        <v>2</v>
      </c>
      <c r="N37" s="3716"/>
      <c r="O37" s="3716">
        <v>8</v>
      </c>
      <c r="P37" s="3717">
        <f t="shared" si="3"/>
        <v>926</v>
      </c>
      <c r="Q37" s="3707"/>
    </row>
    <row r="38" spans="1:17" ht="15" customHeight="1" x14ac:dyDescent="0.3">
      <c r="A38" s="6190"/>
      <c r="B38" s="3713">
        <v>2018</v>
      </c>
      <c r="C38" s="3728">
        <v>41</v>
      </c>
      <c r="D38" s="3714"/>
      <c r="E38" s="3715">
        <v>370</v>
      </c>
      <c r="F38" s="3715"/>
      <c r="G38" s="3716">
        <v>14</v>
      </c>
      <c r="H38" s="3716">
        <v>11</v>
      </c>
      <c r="I38" s="3716">
        <v>0</v>
      </c>
      <c r="J38" s="3716">
        <v>431</v>
      </c>
      <c r="K38" s="3716">
        <v>47</v>
      </c>
      <c r="L38" s="3716">
        <v>4</v>
      </c>
      <c r="M38" s="3716">
        <v>0</v>
      </c>
      <c r="N38" s="3716"/>
      <c r="O38" s="3716">
        <v>15</v>
      </c>
      <c r="P38" s="3717">
        <f t="shared" si="3"/>
        <v>933</v>
      </c>
      <c r="Q38" s="3707"/>
    </row>
    <row r="39" spans="1:17" ht="15" customHeight="1" x14ac:dyDescent="0.3">
      <c r="A39" s="6190"/>
      <c r="B39" s="3713">
        <v>2019</v>
      </c>
      <c r="C39" s="3728">
        <v>38</v>
      </c>
      <c r="D39" s="3714"/>
      <c r="E39" s="3715">
        <v>390</v>
      </c>
      <c r="F39" s="3715"/>
      <c r="G39" s="3716">
        <v>11</v>
      </c>
      <c r="H39" s="3716">
        <v>1</v>
      </c>
      <c r="I39" s="3716">
        <v>0</v>
      </c>
      <c r="J39" s="3716">
        <v>539</v>
      </c>
      <c r="K39" s="3716">
        <v>68</v>
      </c>
      <c r="L39" s="3716">
        <v>2</v>
      </c>
      <c r="M39" s="3716">
        <v>0</v>
      </c>
      <c r="N39" s="3716"/>
      <c r="O39" s="3716">
        <v>6</v>
      </c>
      <c r="P39" s="3717">
        <f t="shared" si="3"/>
        <v>1055</v>
      </c>
      <c r="Q39" s="3707"/>
    </row>
    <row r="40" spans="1:17" ht="14.4" x14ac:dyDescent="0.3">
      <c r="A40" s="6190"/>
      <c r="B40" s="3713">
        <v>2020</v>
      </c>
      <c r="C40" s="3728">
        <v>23</v>
      </c>
      <c r="D40" s="3714">
        <v>25</v>
      </c>
      <c r="E40" s="3715">
        <v>265</v>
      </c>
      <c r="F40" s="3715"/>
      <c r="G40" s="3716">
        <v>10</v>
      </c>
      <c r="H40" s="3716">
        <v>0</v>
      </c>
      <c r="I40" s="3716">
        <v>0</v>
      </c>
      <c r="J40" s="3716">
        <v>299</v>
      </c>
      <c r="K40" s="3716">
        <v>44</v>
      </c>
      <c r="L40" s="3716">
        <v>6</v>
      </c>
      <c r="M40" s="3716">
        <v>1</v>
      </c>
      <c r="N40" s="3716">
        <v>10</v>
      </c>
      <c r="O40" s="3716">
        <v>2</v>
      </c>
      <c r="P40" s="3717">
        <f t="shared" si="3"/>
        <v>685</v>
      </c>
      <c r="Q40" s="3707"/>
    </row>
    <row r="41" spans="1:17" ht="14.4" x14ac:dyDescent="0.3">
      <c r="A41" s="6190"/>
      <c r="B41" s="3713">
        <v>2021</v>
      </c>
      <c r="C41" s="3728">
        <v>20</v>
      </c>
      <c r="D41" s="3714">
        <v>24</v>
      </c>
      <c r="E41" s="3715">
        <v>326</v>
      </c>
      <c r="F41" s="3715"/>
      <c r="G41" s="3716">
        <v>9</v>
      </c>
      <c r="H41" s="3716">
        <v>2</v>
      </c>
      <c r="I41" s="3716">
        <v>7</v>
      </c>
      <c r="J41" s="3716">
        <v>279</v>
      </c>
      <c r="K41" s="3716">
        <v>33</v>
      </c>
      <c r="L41" s="3716">
        <v>7</v>
      </c>
      <c r="M41" s="3716">
        <v>2</v>
      </c>
      <c r="N41" s="3716">
        <v>13</v>
      </c>
      <c r="O41" s="3716">
        <v>2</v>
      </c>
      <c r="P41" s="3717">
        <f>SUM(C41:O41)</f>
        <v>724</v>
      </c>
      <c r="Q41" s="3707"/>
    </row>
    <row r="42" spans="1:17" ht="15" customHeight="1" x14ac:dyDescent="0.3">
      <c r="A42" s="6191"/>
      <c r="B42" s="3718">
        <v>2022</v>
      </c>
      <c r="C42" s="3729">
        <v>24</v>
      </c>
      <c r="D42" s="3719">
        <v>21</v>
      </c>
      <c r="E42" s="3720">
        <v>314</v>
      </c>
      <c r="F42" s="3721"/>
      <c r="G42" s="3722">
        <v>12</v>
      </c>
      <c r="H42" s="3722">
        <v>2</v>
      </c>
      <c r="I42" s="3722">
        <v>2</v>
      </c>
      <c r="J42" s="3722">
        <v>370</v>
      </c>
      <c r="K42" s="3722">
        <v>43</v>
      </c>
      <c r="L42" s="3722">
        <v>2</v>
      </c>
      <c r="M42" s="3722">
        <v>4</v>
      </c>
      <c r="N42" s="3722">
        <v>16</v>
      </c>
      <c r="O42" s="3722">
        <v>1</v>
      </c>
      <c r="P42" s="3723">
        <f>SUM(C42:O42)</f>
        <v>811</v>
      </c>
      <c r="Q42" s="3707"/>
    </row>
    <row r="43" spans="1:17" ht="14.4" x14ac:dyDescent="0.3">
      <c r="B43" s="3557"/>
      <c r="C43" s="3724"/>
      <c r="D43" s="3724"/>
      <c r="E43" s="3724"/>
      <c r="F43" s="3724"/>
      <c r="G43" s="3725"/>
      <c r="H43" s="3725"/>
      <c r="I43" s="3725"/>
      <c r="J43" s="3725"/>
      <c r="K43" s="3725"/>
      <c r="L43" s="3725"/>
      <c r="M43" s="3725"/>
      <c r="N43" s="3725"/>
      <c r="O43" s="3725"/>
      <c r="P43" s="3726"/>
      <c r="Q43" s="3707"/>
    </row>
    <row r="44" spans="1:17" ht="15" customHeight="1" x14ac:dyDescent="0.3">
      <c r="A44" s="6192" t="s">
        <v>288</v>
      </c>
      <c r="B44" s="3708">
        <v>2003</v>
      </c>
      <c r="C44" s="3727">
        <v>478</v>
      </c>
      <c r="D44" s="3709"/>
      <c r="E44" s="3710">
        <v>1207</v>
      </c>
      <c r="F44" s="3710">
        <v>1</v>
      </c>
      <c r="G44" s="3711">
        <v>41</v>
      </c>
      <c r="H44" s="3711">
        <v>3</v>
      </c>
      <c r="I44" s="3711">
        <v>1</v>
      </c>
      <c r="J44" s="3711">
        <v>1840</v>
      </c>
      <c r="K44" s="3711">
        <v>189</v>
      </c>
      <c r="L44" s="3711">
        <v>9</v>
      </c>
      <c r="M44" s="3711">
        <v>5</v>
      </c>
      <c r="N44" s="3711"/>
      <c r="O44" s="3711">
        <v>78</v>
      </c>
      <c r="P44" s="3712">
        <v>3852</v>
      </c>
      <c r="Q44" s="3707"/>
    </row>
    <row r="45" spans="1:17" ht="14.4" x14ac:dyDescent="0.3">
      <c r="A45" s="6192"/>
      <c r="B45" s="3713">
        <v>2004</v>
      </c>
      <c r="C45" s="3728">
        <v>372</v>
      </c>
      <c r="D45" s="3714"/>
      <c r="E45" s="3715">
        <v>1292</v>
      </c>
      <c r="F45" s="3715">
        <v>1</v>
      </c>
      <c r="G45" s="3716">
        <v>38</v>
      </c>
      <c r="H45" s="3716">
        <v>15</v>
      </c>
      <c r="I45" s="3716">
        <v>1</v>
      </c>
      <c r="J45" s="3716">
        <v>2046</v>
      </c>
      <c r="K45" s="3716">
        <v>206</v>
      </c>
      <c r="L45" s="3716">
        <v>2</v>
      </c>
      <c r="M45" s="3716">
        <v>6</v>
      </c>
      <c r="N45" s="3716"/>
      <c r="O45" s="3716">
        <v>83</v>
      </c>
      <c r="P45" s="3717">
        <v>4062</v>
      </c>
      <c r="Q45" s="3707"/>
    </row>
    <row r="46" spans="1:17" ht="14.4" x14ac:dyDescent="0.3">
      <c r="A46" s="6192"/>
      <c r="B46" s="3713">
        <v>2005</v>
      </c>
      <c r="C46" s="3728">
        <v>536</v>
      </c>
      <c r="D46" s="3714"/>
      <c r="E46" s="3715">
        <v>1318</v>
      </c>
      <c r="F46" s="3715">
        <v>1</v>
      </c>
      <c r="G46" s="3716">
        <v>35</v>
      </c>
      <c r="H46" s="3716">
        <v>8</v>
      </c>
      <c r="I46" s="3716"/>
      <c r="J46" s="3716">
        <v>2369</v>
      </c>
      <c r="K46" s="3716">
        <v>175</v>
      </c>
      <c r="L46" s="3716">
        <v>1</v>
      </c>
      <c r="M46" s="3716">
        <v>3</v>
      </c>
      <c r="N46" s="3716"/>
      <c r="O46" s="3716">
        <v>114</v>
      </c>
      <c r="P46" s="3717">
        <v>4560</v>
      </c>
      <c r="Q46" s="3707"/>
    </row>
    <row r="47" spans="1:17" ht="14.4" x14ac:dyDescent="0.3">
      <c r="A47" s="6192"/>
      <c r="B47" s="3713">
        <v>2006</v>
      </c>
      <c r="C47" s="3728">
        <v>420</v>
      </c>
      <c r="D47" s="3714"/>
      <c r="E47" s="3715">
        <v>1326</v>
      </c>
      <c r="F47" s="3715">
        <v>3</v>
      </c>
      <c r="G47" s="3716">
        <v>37</v>
      </c>
      <c r="H47" s="3716">
        <v>7</v>
      </c>
      <c r="I47" s="3716">
        <v>4</v>
      </c>
      <c r="J47" s="3716">
        <v>2253</v>
      </c>
      <c r="K47" s="3716">
        <v>220</v>
      </c>
      <c r="L47" s="3716"/>
      <c r="M47" s="3716">
        <v>2</v>
      </c>
      <c r="N47" s="3716"/>
      <c r="O47" s="3716">
        <v>79</v>
      </c>
      <c r="P47" s="3717">
        <v>4351</v>
      </c>
      <c r="Q47" s="3707"/>
    </row>
    <row r="48" spans="1:17" ht="14.4" x14ac:dyDescent="0.3">
      <c r="A48" s="6192"/>
      <c r="B48" s="3713">
        <v>2007</v>
      </c>
      <c r="C48" s="3728">
        <v>424</v>
      </c>
      <c r="D48" s="3714"/>
      <c r="E48" s="3715">
        <v>1268</v>
      </c>
      <c r="F48" s="3715"/>
      <c r="G48" s="3716">
        <v>38</v>
      </c>
      <c r="H48" s="3716">
        <v>2</v>
      </c>
      <c r="I48" s="3716">
        <v>1</v>
      </c>
      <c r="J48" s="3716">
        <v>2211</v>
      </c>
      <c r="K48" s="3716">
        <v>168</v>
      </c>
      <c r="L48" s="3716">
        <v>3</v>
      </c>
      <c r="M48" s="3716">
        <v>2</v>
      </c>
      <c r="N48" s="3716"/>
      <c r="O48" s="3716">
        <v>49</v>
      </c>
      <c r="P48" s="3717">
        <v>4166</v>
      </c>
      <c r="Q48" s="3707"/>
    </row>
    <row r="49" spans="1:17" ht="14.4" x14ac:dyDescent="0.3">
      <c r="A49" s="6192"/>
      <c r="B49" s="3713">
        <v>2008</v>
      </c>
      <c r="C49" s="3728">
        <v>391</v>
      </c>
      <c r="D49" s="3714"/>
      <c r="E49" s="3715">
        <v>1351</v>
      </c>
      <c r="F49" s="3715">
        <v>1</v>
      </c>
      <c r="G49" s="3716">
        <v>34</v>
      </c>
      <c r="H49" s="3716">
        <v>7</v>
      </c>
      <c r="I49" s="3716">
        <v>10</v>
      </c>
      <c r="J49" s="3716">
        <v>2351</v>
      </c>
      <c r="K49" s="3716">
        <v>213</v>
      </c>
      <c r="L49" s="3716">
        <v>1</v>
      </c>
      <c r="M49" s="3716">
        <v>6</v>
      </c>
      <c r="N49" s="3716"/>
      <c r="O49" s="3716">
        <v>70</v>
      </c>
      <c r="P49" s="3717">
        <v>4435</v>
      </c>
      <c r="Q49" s="3707"/>
    </row>
    <row r="50" spans="1:17" ht="14.4" x14ac:dyDescent="0.3">
      <c r="A50" s="6192"/>
      <c r="B50" s="3713">
        <v>2009</v>
      </c>
      <c r="C50" s="3728">
        <v>319</v>
      </c>
      <c r="D50" s="3714"/>
      <c r="E50" s="3715">
        <v>1194</v>
      </c>
      <c r="F50" s="3715"/>
      <c r="G50" s="3716">
        <v>41</v>
      </c>
      <c r="H50" s="3716">
        <v>7</v>
      </c>
      <c r="I50" s="3716">
        <v>7</v>
      </c>
      <c r="J50" s="3716">
        <v>2453</v>
      </c>
      <c r="K50" s="3716">
        <v>173</v>
      </c>
      <c r="L50" s="3716">
        <v>7</v>
      </c>
      <c r="M50" s="3716">
        <v>1</v>
      </c>
      <c r="N50" s="3716"/>
      <c r="O50" s="3716">
        <v>62</v>
      </c>
      <c r="P50" s="3717">
        <v>4264</v>
      </c>
      <c r="Q50" s="3707"/>
    </row>
    <row r="51" spans="1:17" ht="14.4" x14ac:dyDescent="0.3">
      <c r="A51" s="6192"/>
      <c r="B51" s="3713">
        <v>2010</v>
      </c>
      <c r="C51" s="3728">
        <v>374</v>
      </c>
      <c r="D51" s="3714"/>
      <c r="E51" s="3715">
        <v>1381</v>
      </c>
      <c r="F51" s="3715"/>
      <c r="G51" s="3716">
        <v>53</v>
      </c>
      <c r="H51" s="3716">
        <v>5</v>
      </c>
      <c r="I51" s="3716">
        <v>12</v>
      </c>
      <c r="J51" s="3716">
        <v>2507</v>
      </c>
      <c r="K51" s="3716">
        <v>176</v>
      </c>
      <c r="L51" s="3716">
        <v>4</v>
      </c>
      <c r="M51" s="3716">
        <v>1</v>
      </c>
      <c r="N51" s="3716"/>
      <c r="O51" s="3716">
        <v>105</v>
      </c>
      <c r="P51" s="3717">
        <f t="shared" ref="P51:P61" si="4">SUM(C51:O51)</f>
        <v>4618</v>
      </c>
      <c r="Q51" s="3707"/>
    </row>
    <row r="52" spans="1:17" ht="14.4" x14ac:dyDescent="0.3">
      <c r="A52" s="6192"/>
      <c r="B52" s="3713">
        <v>2011</v>
      </c>
      <c r="C52" s="3728">
        <v>452</v>
      </c>
      <c r="D52" s="3714"/>
      <c r="E52" s="3715">
        <v>1361</v>
      </c>
      <c r="F52" s="3715"/>
      <c r="G52" s="3716">
        <v>44</v>
      </c>
      <c r="H52" s="3716">
        <v>10</v>
      </c>
      <c r="I52" s="3716">
        <v>6</v>
      </c>
      <c r="J52" s="3716">
        <v>2730</v>
      </c>
      <c r="K52" s="3716">
        <v>194</v>
      </c>
      <c r="L52" s="3716">
        <v>7</v>
      </c>
      <c r="M52" s="3716">
        <v>4</v>
      </c>
      <c r="N52" s="3716"/>
      <c r="O52" s="3716">
        <v>84</v>
      </c>
      <c r="P52" s="3717">
        <f t="shared" si="4"/>
        <v>4892</v>
      </c>
      <c r="Q52" s="3707"/>
    </row>
    <row r="53" spans="1:17" ht="14.4" x14ac:dyDescent="0.3">
      <c r="A53" s="6192"/>
      <c r="B53" s="3713">
        <v>2012</v>
      </c>
      <c r="C53" s="3728">
        <v>421</v>
      </c>
      <c r="D53" s="3714"/>
      <c r="E53" s="3715">
        <v>1369</v>
      </c>
      <c r="F53" s="3715"/>
      <c r="G53" s="3716">
        <v>47</v>
      </c>
      <c r="H53" s="3716">
        <v>12</v>
      </c>
      <c r="I53" s="3716"/>
      <c r="J53" s="3716">
        <v>2725</v>
      </c>
      <c r="K53" s="3716">
        <v>213</v>
      </c>
      <c r="L53" s="3716">
        <v>3</v>
      </c>
      <c r="M53" s="3716">
        <v>1</v>
      </c>
      <c r="N53" s="3716"/>
      <c r="O53" s="3716">
        <v>59</v>
      </c>
      <c r="P53" s="3717">
        <f t="shared" si="4"/>
        <v>4850</v>
      </c>
      <c r="Q53" s="3707"/>
    </row>
    <row r="54" spans="1:17" ht="14.4" x14ac:dyDescent="0.3">
      <c r="A54" s="6192"/>
      <c r="B54" s="3713">
        <v>2013</v>
      </c>
      <c r="C54" s="3728">
        <v>392</v>
      </c>
      <c r="D54" s="3714"/>
      <c r="E54" s="3715">
        <v>1447</v>
      </c>
      <c r="F54" s="3715"/>
      <c r="G54" s="3716">
        <v>55</v>
      </c>
      <c r="H54" s="3716">
        <v>14</v>
      </c>
      <c r="I54" s="3716">
        <v>11</v>
      </c>
      <c r="J54" s="3716">
        <v>2757</v>
      </c>
      <c r="K54" s="3716">
        <v>251</v>
      </c>
      <c r="L54" s="3716">
        <v>5</v>
      </c>
      <c r="M54" s="3716">
        <v>7</v>
      </c>
      <c r="N54" s="3716"/>
      <c r="O54" s="3716">
        <v>55</v>
      </c>
      <c r="P54" s="3717">
        <f t="shared" si="4"/>
        <v>4994</v>
      </c>
      <c r="Q54" s="3707"/>
    </row>
    <row r="55" spans="1:17" ht="14.4" x14ac:dyDescent="0.3">
      <c r="A55" s="6192"/>
      <c r="B55" s="3713">
        <v>2014</v>
      </c>
      <c r="C55" s="3728">
        <v>324</v>
      </c>
      <c r="D55" s="3714"/>
      <c r="E55" s="3715">
        <v>1271</v>
      </c>
      <c r="F55" s="3715"/>
      <c r="G55" s="3716">
        <v>29</v>
      </c>
      <c r="H55" s="3716">
        <v>14</v>
      </c>
      <c r="I55" s="3716">
        <v>6</v>
      </c>
      <c r="J55" s="3716">
        <v>2971</v>
      </c>
      <c r="K55" s="3716">
        <v>240</v>
      </c>
      <c r="L55" s="3716">
        <v>9</v>
      </c>
      <c r="M55" s="3716">
        <v>1</v>
      </c>
      <c r="N55" s="3716"/>
      <c r="O55" s="3716">
        <v>58</v>
      </c>
      <c r="P55" s="3717">
        <f t="shared" si="4"/>
        <v>4923</v>
      </c>
      <c r="Q55" s="3707"/>
    </row>
    <row r="56" spans="1:17" ht="14.4" x14ac:dyDescent="0.3">
      <c r="A56" s="6192"/>
      <c r="B56" s="3713">
        <v>2015</v>
      </c>
      <c r="C56" s="3728">
        <v>368</v>
      </c>
      <c r="D56" s="3714"/>
      <c r="E56" s="3715">
        <v>1365</v>
      </c>
      <c r="F56" s="3715"/>
      <c r="G56" s="3716">
        <v>35</v>
      </c>
      <c r="H56" s="3716">
        <v>11</v>
      </c>
      <c r="I56" s="3716">
        <v>15</v>
      </c>
      <c r="J56" s="3716">
        <v>2773</v>
      </c>
      <c r="K56" s="3716">
        <v>286</v>
      </c>
      <c r="L56" s="3716">
        <v>4</v>
      </c>
      <c r="M56" s="3716">
        <v>2</v>
      </c>
      <c r="N56" s="3716"/>
      <c r="O56" s="3716">
        <v>77</v>
      </c>
      <c r="P56" s="3717">
        <f t="shared" si="4"/>
        <v>4936</v>
      </c>
      <c r="Q56" s="3707"/>
    </row>
    <row r="57" spans="1:17" ht="15" customHeight="1" x14ac:dyDescent="0.3">
      <c r="A57" s="6192"/>
      <c r="B57" s="3713">
        <v>2016</v>
      </c>
      <c r="C57" s="3728">
        <v>309</v>
      </c>
      <c r="D57" s="3714"/>
      <c r="E57" s="3715">
        <v>1224</v>
      </c>
      <c r="F57" s="3715"/>
      <c r="G57" s="3716">
        <v>38</v>
      </c>
      <c r="H57" s="3716">
        <v>11</v>
      </c>
      <c r="I57" s="3716">
        <v>6</v>
      </c>
      <c r="J57" s="3716">
        <v>2329</v>
      </c>
      <c r="K57" s="3716">
        <v>201</v>
      </c>
      <c r="L57" s="3716">
        <v>2</v>
      </c>
      <c r="M57" s="3716">
        <v>3</v>
      </c>
      <c r="N57" s="3716"/>
      <c r="O57" s="3716">
        <v>62</v>
      </c>
      <c r="P57" s="3717">
        <f t="shared" si="4"/>
        <v>4185</v>
      </c>
      <c r="Q57" s="3707"/>
    </row>
    <row r="58" spans="1:17" ht="14.4" x14ac:dyDescent="0.3">
      <c r="A58" s="6192"/>
      <c r="B58" s="3713">
        <v>2017</v>
      </c>
      <c r="C58" s="3728">
        <v>346</v>
      </c>
      <c r="D58" s="3714"/>
      <c r="E58" s="3715">
        <v>1342</v>
      </c>
      <c r="F58" s="3715"/>
      <c r="G58" s="3716">
        <v>35</v>
      </c>
      <c r="H58" s="3716">
        <v>4</v>
      </c>
      <c r="I58" s="3716">
        <v>7</v>
      </c>
      <c r="J58" s="3716">
        <v>2326</v>
      </c>
      <c r="K58" s="3716">
        <v>200</v>
      </c>
      <c r="L58" s="3716">
        <v>4</v>
      </c>
      <c r="M58" s="3716">
        <v>5</v>
      </c>
      <c r="N58" s="3716"/>
      <c r="O58" s="3716">
        <v>59</v>
      </c>
      <c r="P58" s="3717">
        <f t="shared" si="4"/>
        <v>4328</v>
      </c>
      <c r="Q58" s="3707"/>
    </row>
    <row r="59" spans="1:17" ht="14.4" x14ac:dyDescent="0.3">
      <c r="A59" s="6192"/>
      <c r="B59" s="3713">
        <v>2018</v>
      </c>
      <c r="C59" s="3728">
        <v>289</v>
      </c>
      <c r="D59" s="3714"/>
      <c r="E59" s="3715">
        <v>1455</v>
      </c>
      <c r="F59" s="3715"/>
      <c r="G59" s="3716">
        <v>56</v>
      </c>
      <c r="H59" s="3716">
        <v>9</v>
      </c>
      <c r="I59" s="3716">
        <v>1</v>
      </c>
      <c r="J59" s="3716">
        <v>2636</v>
      </c>
      <c r="K59" s="3716">
        <v>238</v>
      </c>
      <c r="L59" s="3716">
        <v>7</v>
      </c>
      <c r="M59" s="3716">
        <v>11</v>
      </c>
      <c r="N59" s="3716"/>
      <c r="O59" s="3716">
        <v>69</v>
      </c>
      <c r="P59" s="3717">
        <f t="shared" si="4"/>
        <v>4771</v>
      </c>
      <c r="Q59" s="3707"/>
    </row>
    <row r="60" spans="1:17" ht="14.4" x14ac:dyDescent="0.3">
      <c r="A60" s="6192"/>
      <c r="B60" s="3713">
        <v>2019</v>
      </c>
      <c r="C60" s="3728">
        <v>251</v>
      </c>
      <c r="D60" s="3714"/>
      <c r="E60" s="3715">
        <v>1184</v>
      </c>
      <c r="F60" s="3715"/>
      <c r="G60" s="3716">
        <v>101</v>
      </c>
      <c r="H60" s="3716">
        <v>5</v>
      </c>
      <c r="I60" s="3716">
        <v>8</v>
      </c>
      <c r="J60" s="3716">
        <v>2103</v>
      </c>
      <c r="K60" s="3716">
        <v>192</v>
      </c>
      <c r="L60" s="3716">
        <v>5</v>
      </c>
      <c r="M60" s="3716">
        <v>1</v>
      </c>
      <c r="N60" s="3716"/>
      <c r="O60" s="3716">
        <v>60</v>
      </c>
      <c r="P60" s="3717">
        <f t="shared" si="4"/>
        <v>3910</v>
      </c>
      <c r="Q60" s="3707"/>
    </row>
    <row r="61" spans="1:17" ht="15" customHeight="1" x14ac:dyDescent="0.3">
      <c r="A61" s="6192"/>
      <c r="B61" s="3713">
        <v>2020</v>
      </c>
      <c r="C61" s="3728">
        <v>54</v>
      </c>
      <c r="D61" s="3714">
        <v>133</v>
      </c>
      <c r="E61" s="3715">
        <v>1139</v>
      </c>
      <c r="F61" s="3715"/>
      <c r="G61" s="3716">
        <v>20</v>
      </c>
      <c r="H61" s="3716">
        <v>1</v>
      </c>
      <c r="I61" s="3716">
        <v>3</v>
      </c>
      <c r="J61" s="3716">
        <v>1530</v>
      </c>
      <c r="K61" s="3716">
        <v>114</v>
      </c>
      <c r="L61" s="3716">
        <v>1</v>
      </c>
      <c r="M61" s="3716">
        <v>2</v>
      </c>
      <c r="N61" s="3716">
        <v>15</v>
      </c>
      <c r="O61" s="3716">
        <v>29</v>
      </c>
      <c r="P61" s="3717">
        <f t="shared" si="4"/>
        <v>3041</v>
      </c>
      <c r="Q61" s="3707"/>
    </row>
    <row r="62" spans="1:17" ht="15" customHeight="1" x14ac:dyDescent="0.3">
      <c r="A62" s="6192"/>
      <c r="B62" s="3713">
        <v>2021</v>
      </c>
      <c r="C62" s="3728">
        <v>84</v>
      </c>
      <c r="D62" s="3714">
        <v>213</v>
      </c>
      <c r="E62" s="3715">
        <v>1422</v>
      </c>
      <c r="F62" s="3715"/>
      <c r="G62" s="3716">
        <v>31</v>
      </c>
      <c r="H62" s="3716">
        <v>4</v>
      </c>
      <c r="I62" s="3716">
        <v>17</v>
      </c>
      <c r="J62" s="3716">
        <v>1628</v>
      </c>
      <c r="K62" s="3716">
        <v>128</v>
      </c>
      <c r="L62" s="3716">
        <v>3</v>
      </c>
      <c r="M62" s="3716">
        <v>6</v>
      </c>
      <c r="N62" s="3716">
        <v>19</v>
      </c>
      <c r="O62" s="3716">
        <v>24</v>
      </c>
      <c r="P62" s="3717">
        <f>SUM(C62:O62)</f>
        <v>3579</v>
      </c>
      <c r="Q62" s="3707"/>
    </row>
    <row r="63" spans="1:17" ht="15" customHeight="1" x14ac:dyDescent="0.3">
      <c r="A63" s="6193"/>
      <c r="B63" s="3718">
        <v>2022</v>
      </c>
      <c r="C63" s="3729">
        <v>55</v>
      </c>
      <c r="D63" s="3719">
        <v>177</v>
      </c>
      <c r="E63" s="3720">
        <v>1225</v>
      </c>
      <c r="F63" s="3721"/>
      <c r="G63" s="3722">
        <v>41</v>
      </c>
      <c r="H63" s="3722">
        <v>4</v>
      </c>
      <c r="I63" s="3722">
        <v>11</v>
      </c>
      <c r="J63" s="3722">
        <v>1411</v>
      </c>
      <c r="K63" s="3722">
        <v>129</v>
      </c>
      <c r="L63" s="3722">
        <v>1</v>
      </c>
      <c r="M63" s="3722">
        <v>4</v>
      </c>
      <c r="N63" s="3722">
        <v>19</v>
      </c>
      <c r="O63" s="3722">
        <v>4</v>
      </c>
      <c r="P63" s="3723">
        <f>SUM(C63:O63)</f>
        <v>3081</v>
      </c>
      <c r="Q63" s="3707"/>
    </row>
    <row r="64" spans="1:17" ht="15" customHeight="1" x14ac:dyDescent="0.3">
      <c r="B64" s="3706"/>
      <c r="C64" s="3724"/>
      <c r="D64" s="3724"/>
      <c r="E64" s="3724"/>
      <c r="F64" s="3434"/>
      <c r="G64" s="3725"/>
      <c r="H64" s="3725"/>
      <c r="I64" s="3725"/>
      <c r="J64" s="3725"/>
      <c r="K64" s="3725"/>
      <c r="L64" s="3725"/>
      <c r="M64" s="3725"/>
      <c r="N64" s="3725"/>
      <c r="O64" s="3725"/>
      <c r="P64" s="3726"/>
      <c r="Q64" s="3707"/>
    </row>
    <row r="65" spans="1:17" ht="14.4" x14ac:dyDescent="0.3">
      <c r="A65" s="6198" t="s">
        <v>289</v>
      </c>
      <c r="B65" s="3708">
        <v>2013</v>
      </c>
      <c r="C65" s="3727">
        <v>1</v>
      </c>
      <c r="D65" s="3709"/>
      <c r="E65" s="3710">
        <v>18</v>
      </c>
      <c r="F65" s="3710"/>
      <c r="G65" s="3711"/>
      <c r="H65" s="3711"/>
      <c r="I65" s="3711"/>
      <c r="J65" s="3711">
        <v>5</v>
      </c>
      <c r="K65" s="3711"/>
      <c r="L65" s="3711"/>
      <c r="M65" s="3711"/>
      <c r="N65" s="3711"/>
      <c r="O65" s="3711"/>
      <c r="P65" s="3712">
        <f t="shared" ref="P65:P72" si="5">SUM(C65:O65)</f>
        <v>24</v>
      </c>
      <c r="Q65" s="3707"/>
    </row>
    <row r="66" spans="1:17" ht="14.4" x14ac:dyDescent="0.3">
      <c r="A66" s="6198"/>
      <c r="B66" s="3713">
        <v>2014</v>
      </c>
      <c r="C66" s="3728">
        <v>8</v>
      </c>
      <c r="D66" s="3714"/>
      <c r="E66" s="3715">
        <v>24</v>
      </c>
      <c r="F66" s="3715"/>
      <c r="G66" s="3716"/>
      <c r="H66" s="3716"/>
      <c r="I66" s="3716"/>
      <c r="J66" s="3716">
        <v>42</v>
      </c>
      <c r="K66" s="3716">
        <v>4</v>
      </c>
      <c r="L66" s="3716"/>
      <c r="M66" s="3716">
        <v>1</v>
      </c>
      <c r="N66" s="3716"/>
      <c r="O66" s="3716">
        <v>1</v>
      </c>
      <c r="P66" s="3717">
        <f t="shared" si="5"/>
        <v>80</v>
      </c>
      <c r="Q66" s="3707"/>
    </row>
    <row r="67" spans="1:17" ht="15" customHeight="1" x14ac:dyDescent="0.3">
      <c r="A67" s="6198"/>
      <c r="B67" s="3713">
        <v>2015</v>
      </c>
      <c r="C67" s="3728">
        <v>7</v>
      </c>
      <c r="D67" s="3714"/>
      <c r="E67" s="3715">
        <v>57</v>
      </c>
      <c r="F67" s="3715"/>
      <c r="G67" s="3716">
        <v>2</v>
      </c>
      <c r="H67" s="3716"/>
      <c r="I67" s="3716"/>
      <c r="J67" s="3716">
        <v>63</v>
      </c>
      <c r="K67" s="3716">
        <v>9</v>
      </c>
      <c r="L67" s="3716"/>
      <c r="M67" s="3716"/>
      <c r="N67" s="3716"/>
      <c r="O67" s="3716"/>
      <c r="P67" s="3717">
        <f t="shared" si="5"/>
        <v>138</v>
      </c>
      <c r="Q67" s="3707"/>
    </row>
    <row r="68" spans="1:17" ht="14.4" x14ac:dyDescent="0.3">
      <c r="A68" s="6198"/>
      <c r="B68" s="3713">
        <v>2016</v>
      </c>
      <c r="C68" s="3728">
        <v>8</v>
      </c>
      <c r="D68" s="3714"/>
      <c r="E68" s="3715">
        <v>60</v>
      </c>
      <c r="F68" s="3715"/>
      <c r="G68" s="3716">
        <v>3</v>
      </c>
      <c r="H68" s="3716"/>
      <c r="I68" s="3716"/>
      <c r="J68" s="3716">
        <v>80</v>
      </c>
      <c r="K68" s="3716">
        <v>6</v>
      </c>
      <c r="L68" s="3716"/>
      <c r="M68" s="3716"/>
      <c r="N68" s="3716"/>
      <c r="O68" s="3716">
        <v>3</v>
      </c>
      <c r="P68" s="3717">
        <f t="shared" si="5"/>
        <v>160</v>
      </c>
      <c r="Q68" s="3707"/>
    </row>
    <row r="69" spans="1:17" ht="14.4" x14ac:dyDescent="0.3">
      <c r="A69" s="6198"/>
      <c r="B69" s="3713">
        <v>2017</v>
      </c>
      <c r="C69" s="3728">
        <v>27</v>
      </c>
      <c r="D69" s="3714"/>
      <c r="E69" s="3715">
        <v>137</v>
      </c>
      <c r="F69" s="3715"/>
      <c r="G69" s="3716">
        <v>2</v>
      </c>
      <c r="H69" s="3716"/>
      <c r="I69" s="3716"/>
      <c r="J69" s="3716">
        <v>152</v>
      </c>
      <c r="K69" s="3716">
        <v>21</v>
      </c>
      <c r="L69" s="3716"/>
      <c r="M69" s="3716"/>
      <c r="N69" s="3716"/>
      <c r="O69" s="3716">
        <v>4</v>
      </c>
      <c r="P69" s="3717">
        <f t="shared" si="5"/>
        <v>343</v>
      </c>
      <c r="Q69" s="3707"/>
    </row>
    <row r="70" spans="1:17" ht="14.4" x14ac:dyDescent="0.3">
      <c r="A70" s="6198"/>
      <c r="B70" s="3713">
        <v>2018</v>
      </c>
      <c r="C70" s="3728">
        <v>23</v>
      </c>
      <c r="D70" s="3714"/>
      <c r="E70" s="3715">
        <v>159</v>
      </c>
      <c r="F70" s="3715"/>
      <c r="G70" s="3716">
        <v>7</v>
      </c>
      <c r="H70" s="3716">
        <v>2</v>
      </c>
      <c r="I70" s="3716">
        <v>1</v>
      </c>
      <c r="J70" s="3716">
        <v>181</v>
      </c>
      <c r="K70" s="3716">
        <v>25</v>
      </c>
      <c r="L70" s="3716">
        <v>0</v>
      </c>
      <c r="M70" s="3716">
        <v>0</v>
      </c>
      <c r="N70" s="3716"/>
      <c r="O70" s="3716">
        <v>6</v>
      </c>
      <c r="P70" s="3717">
        <f t="shared" si="5"/>
        <v>404</v>
      </c>
      <c r="Q70" s="3707"/>
    </row>
    <row r="71" spans="1:17" ht="14.4" x14ac:dyDescent="0.3">
      <c r="A71" s="6198"/>
      <c r="B71" s="3713">
        <v>2019</v>
      </c>
      <c r="C71" s="3728">
        <v>36</v>
      </c>
      <c r="D71" s="3714"/>
      <c r="E71" s="3715">
        <v>138</v>
      </c>
      <c r="F71" s="3715"/>
      <c r="G71" s="3716">
        <v>10</v>
      </c>
      <c r="H71" s="3716">
        <v>1</v>
      </c>
      <c r="I71" s="3716">
        <v>0</v>
      </c>
      <c r="J71" s="3716">
        <v>126</v>
      </c>
      <c r="K71" s="3716">
        <v>28</v>
      </c>
      <c r="L71" s="3716">
        <v>0</v>
      </c>
      <c r="M71" s="3716">
        <v>0</v>
      </c>
      <c r="N71" s="3716"/>
      <c r="O71" s="3716">
        <v>4</v>
      </c>
      <c r="P71" s="3717">
        <f t="shared" si="5"/>
        <v>343</v>
      </c>
      <c r="Q71" s="3707"/>
    </row>
    <row r="72" spans="1:17" ht="15" customHeight="1" x14ac:dyDescent="0.3">
      <c r="A72" s="6198"/>
      <c r="B72" s="3713">
        <v>2020</v>
      </c>
      <c r="C72" s="3728">
        <v>4</v>
      </c>
      <c r="D72" s="3714">
        <v>9</v>
      </c>
      <c r="E72" s="3715">
        <v>104</v>
      </c>
      <c r="F72" s="3715"/>
      <c r="G72" s="3716">
        <v>2</v>
      </c>
      <c r="H72" s="3716">
        <v>0</v>
      </c>
      <c r="I72" s="3716">
        <v>0</v>
      </c>
      <c r="J72" s="3716">
        <v>91</v>
      </c>
      <c r="K72" s="3716">
        <v>6</v>
      </c>
      <c r="L72" s="3716">
        <v>0</v>
      </c>
      <c r="M72" s="3716">
        <v>0</v>
      </c>
      <c r="N72" s="3716">
        <v>1</v>
      </c>
      <c r="O72" s="3716">
        <v>1</v>
      </c>
      <c r="P72" s="3717">
        <f t="shared" si="5"/>
        <v>218</v>
      </c>
      <c r="Q72" s="3707"/>
    </row>
    <row r="73" spans="1:17" ht="15" customHeight="1" x14ac:dyDescent="0.3">
      <c r="A73" s="6198"/>
      <c r="B73" s="3713">
        <v>2021</v>
      </c>
      <c r="C73" s="3728">
        <v>18</v>
      </c>
      <c r="D73" s="3714">
        <v>6</v>
      </c>
      <c r="E73" s="3715">
        <v>200</v>
      </c>
      <c r="F73" s="3715"/>
      <c r="G73" s="3716">
        <v>8</v>
      </c>
      <c r="H73" s="3716">
        <v>0</v>
      </c>
      <c r="I73" s="3716">
        <v>0</v>
      </c>
      <c r="J73" s="3716">
        <v>150</v>
      </c>
      <c r="K73" s="3716">
        <v>27</v>
      </c>
      <c r="L73" s="3716">
        <v>0</v>
      </c>
      <c r="M73" s="3716">
        <v>0</v>
      </c>
      <c r="N73" s="3716">
        <v>9</v>
      </c>
      <c r="O73" s="3716">
        <v>2</v>
      </c>
      <c r="P73" s="3717">
        <f>SUM(C73:O73)</f>
        <v>420</v>
      </c>
      <c r="Q73" s="3707"/>
    </row>
    <row r="74" spans="1:17" ht="15" customHeight="1" x14ac:dyDescent="0.3">
      <c r="A74" s="6199"/>
      <c r="B74" s="3718">
        <v>2022</v>
      </c>
      <c r="C74" s="3729">
        <v>48</v>
      </c>
      <c r="D74" s="3719">
        <v>11</v>
      </c>
      <c r="E74" s="3720">
        <v>285</v>
      </c>
      <c r="F74" s="3721"/>
      <c r="G74" s="3722">
        <v>4</v>
      </c>
      <c r="H74" s="3722">
        <v>1</v>
      </c>
      <c r="I74" s="3722">
        <v>0</v>
      </c>
      <c r="J74" s="3722">
        <v>165</v>
      </c>
      <c r="K74" s="3722">
        <v>34</v>
      </c>
      <c r="L74" s="3722">
        <v>0</v>
      </c>
      <c r="M74" s="3722">
        <v>1</v>
      </c>
      <c r="N74" s="3722">
        <v>16</v>
      </c>
      <c r="O74" s="3722">
        <v>0</v>
      </c>
      <c r="P74" s="3723">
        <f>SUM(C74:O74)</f>
        <v>565</v>
      </c>
      <c r="Q74" s="3707"/>
    </row>
    <row r="75" spans="1:17" ht="14.4" x14ac:dyDescent="0.3">
      <c r="B75" s="3557"/>
      <c r="C75" s="3724"/>
      <c r="D75" s="3724"/>
      <c r="E75" s="3724"/>
      <c r="F75" s="3724"/>
      <c r="G75" s="3725"/>
      <c r="H75" s="3725"/>
      <c r="I75" s="3725"/>
      <c r="J75" s="3725"/>
      <c r="K75" s="3725"/>
      <c r="L75" s="3725"/>
      <c r="M75" s="3725"/>
      <c r="N75" s="3725"/>
      <c r="O75" s="3725"/>
      <c r="P75" s="3726"/>
      <c r="Q75" s="3707"/>
    </row>
    <row r="76" spans="1:17" ht="14.4" x14ac:dyDescent="0.3">
      <c r="A76" s="6194" t="s">
        <v>290</v>
      </c>
      <c r="B76" s="3708">
        <v>2003</v>
      </c>
      <c r="C76" s="3727">
        <v>224</v>
      </c>
      <c r="D76" s="3709"/>
      <c r="E76" s="3710">
        <v>935</v>
      </c>
      <c r="F76" s="3710">
        <v>5</v>
      </c>
      <c r="G76" s="3711">
        <v>40</v>
      </c>
      <c r="H76" s="3711">
        <v>10</v>
      </c>
      <c r="I76" s="3711">
        <v>16</v>
      </c>
      <c r="J76" s="3711">
        <v>1814</v>
      </c>
      <c r="K76" s="3711">
        <v>301</v>
      </c>
      <c r="L76" s="3711">
        <v>16</v>
      </c>
      <c r="M76" s="3711">
        <v>8</v>
      </c>
      <c r="N76" s="3711"/>
      <c r="O76" s="3711">
        <v>47</v>
      </c>
      <c r="P76" s="3712">
        <v>3416</v>
      </c>
      <c r="Q76" s="3707"/>
    </row>
    <row r="77" spans="1:17" ht="14.4" x14ac:dyDescent="0.3">
      <c r="A77" s="6194"/>
      <c r="B77" s="3713">
        <v>2004</v>
      </c>
      <c r="C77" s="3728">
        <v>279</v>
      </c>
      <c r="D77" s="3714"/>
      <c r="E77" s="3715">
        <v>959</v>
      </c>
      <c r="F77" s="3715">
        <v>1</v>
      </c>
      <c r="G77" s="3716">
        <v>34</v>
      </c>
      <c r="H77" s="3716">
        <v>9</v>
      </c>
      <c r="I77" s="3716"/>
      <c r="J77" s="3716">
        <v>2409</v>
      </c>
      <c r="K77" s="3716">
        <v>295</v>
      </c>
      <c r="L77" s="3716">
        <v>10</v>
      </c>
      <c r="M77" s="3716">
        <v>4</v>
      </c>
      <c r="N77" s="3716"/>
      <c r="O77" s="3716">
        <v>64</v>
      </c>
      <c r="P77" s="3717">
        <v>4064</v>
      </c>
      <c r="Q77" s="3707"/>
    </row>
    <row r="78" spans="1:17" ht="14.4" x14ac:dyDescent="0.3">
      <c r="A78" s="6194"/>
      <c r="B78" s="3713">
        <v>2005</v>
      </c>
      <c r="C78" s="3728">
        <v>266</v>
      </c>
      <c r="D78" s="3714"/>
      <c r="E78" s="3715">
        <v>1025</v>
      </c>
      <c r="F78" s="3715"/>
      <c r="G78" s="3716">
        <v>34</v>
      </c>
      <c r="H78" s="3716">
        <v>8</v>
      </c>
      <c r="I78" s="3716">
        <v>2</v>
      </c>
      <c r="J78" s="3716">
        <v>2230</v>
      </c>
      <c r="K78" s="3716">
        <v>257</v>
      </c>
      <c r="L78" s="3716">
        <v>20</v>
      </c>
      <c r="M78" s="3716">
        <v>4</v>
      </c>
      <c r="N78" s="3716"/>
      <c r="O78" s="3716">
        <v>61</v>
      </c>
      <c r="P78" s="3717">
        <v>3907</v>
      </c>
      <c r="Q78" s="3707"/>
    </row>
    <row r="79" spans="1:17" ht="14.4" x14ac:dyDescent="0.3">
      <c r="A79" s="6194"/>
      <c r="B79" s="3713">
        <v>2006</v>
      </c>
      <c r="C79" s="3728">
        <v>205</v>
      </c>
      <c r="D79" s="3714"/>
      <c r="E79" s="3715">
        <v>894</v>
      </c>
      <c r="F79" s="3715">
        <v>6</v>
      </c>
      <c r="G79" s="3716">
        <v>42</v>
      </c>
      <c r="H79" s="3716">
        <v>8</v>
      </c>
      <c r="I79" s="3716"/>
      <c r="J79" s="3716">
        <v>1989</v>
      </c>
      <c r="K79" s="3716">
        <v>323</v>
      </c>
      <c r="L79" s="3716">
        <v>3</v>
      </c>
      <c r="M79" s="3716"/>
      <c r="N79" s="3716"/>
      <c r="O79" s="3716">
        <v>57</v>
      </c>
      <c r="P79" s="3717">
        <v>3527</v>
      </c>
      <c r="Q79" s="3707"/>
    </row>
    <row r="80" spans="1:17" ht="14.4" x14ac:dyDescent="0.3">
      <c r="A80" s="6194"/>
      <c r="B80" s="3713">
        <v>2007</v>
      </c>
      <c r="C80" s="3728">
        <v>213</v>
      </c>
      <c r="D80" s="3714"/>
      <c r="E80" s="3715">
        <v>944</v>
      </c>
      <c r="F80" s="3715">
        <v>1</v>
      </c>
      <c r="G80" s="3716">
        <v>60</v>
      </c>
      <c r="H80" s="3716"/>
      <c r="I80" s="3716">
        <v>4</v>
      </c>
      <c r="J80" s="3716">
        <v>2102</v>
      </c>
      <c r="K80" s="3716">
        <v>253</v>
      </c>
      <c r="L80" s="3716"/>
      <c r="M80" s="3716"/>
      <c r="N80" s="3716"/>
      <c r="O80" s="3716">
        <v>45</v>
      </c>
      <c r="P80" s="3717">
        <v>3622</v>
      </c>
      <c r="Q80" s="3707"/>
    </row>
    <row r="81" spans="1:17" ht="14.4" x14ac:dyDescent="0.3">
      <c r="A81" s="6194"/>
      <c r="B81" s="3713">
        <v>2008</v>
      </c>
      <c r="C81" s="3728">
        <v>209</v>
      </c>
      <c r="D81" s="3714"/>
      <c r="E81" s="3715">
        <v>971</v>
      </c>
      <c r="F81" s="3715">
        <v>2</v>
      </c>
      <c r="G81" s="3716">
        <v>42</v>
      </c>
      <c r="H81" s="3716">
        <v>1</v>
      </c>
      <c r="I81" s="3716">
        <v>4</v>
      </c>
      <c r="J81" s="3716">
        <v>2376</v>
      </c>
      <c r="K81" s="3716">
        <v>229</v>
      </c>
      <c r="L81" s="3716">
        <v>8</v>
      </c>
      <c r="M81" s="3716">
        <v>4</v>
      </c>
      <c r="N81" s="3716"/>
      <c r="O81" s="3716">
        <v>50</v>
      </c>
      <c r="P81" s="3717">
        <v>3896</v>
      </c>
      <c r="Q81" s="3707"/>
    </row>
    <row r="82" spans="1:17" ht="14.25" customHeight="1" x14ac:dyDescent="0.3">
      <c r="A82" s="6194"/>
      <c r="B82" s="3713">
        <v>2009</v>
      </c>
      <c r="C82" s="3728">
        <v>217</v>
      </c>
      <c r="D82" s="3714"/>
      <c r="E82" s="3715">
        <v>1005</v>
      </c>
      <c r="F82" s="3715"/>
      <c r="G82" s="3716">
        <v>36</v>
      </c>
      <c r="H82" s="3716">
        <v>2</v>
      </c>
      <c r="I82" s="3716">
        <v>2</v>
      </c>
      <c r="J82" s="3716">
        <v>2606</v>
      </c>
      <c r="K82" s="3716">
        <v>260</v>
      </c>
      <c r="L82" s="3716">
        <v>13</v>
      </c>
      <c r="M82" s="3716">
        <v>1</v>
      </c>
      <c r="N82" s="3716"/>
      <c r="O82" s="3716">
        <v>47</v>
      </c>
      <c r="P82" s="3717">
        <v>4189</v>
      </c>
      <c r="Q82" s="3707"/>
    </row>
    <row r="83" spans="1:17" ht="14.25" customHeight="1" x14ac:dyDescent="0.3">
      <c r="A83" s="6194"/>
      <c r="B83" s="3713">
        <v>2010</v>
      </c>
      <c r="C83" s="3728">
        <v>360</v>
      </c>
      <c r="D83" s="3714"/>
      <c r="E83" s="3715">
        <v>1289</v>
      </c>
      <c r="F83" s="3715"/>
      <c r="G83" s="3716">
        <v>51</v>
      </c>
      <c r="H83" s="3716">
        <v>5</v>
      </c>
      <c r="I83" s="3716">
        <v>3</v>
      </c>
      <c r="J83" s="3716">
        <v>3378</v>
      </c>
      <c r="K83" s="3716">
        <v>361</v>
      </c>
      <c r="L83" s="3716">
        <v>27</v>
      </c>
      <c r="M83" s="3716"/>
      <c r="N83" s="3716"/>
      <c r="O83" s="3716">
        <v>69</v>
      </c>
      <c r="P83" s="3717">
        <f t="shared" ref="P83:P93" si="6">SUM(C83:O83)</f>
        <v>5543</v>
      </c>
      <c r="Q83" s="3707"/>
    </row>
    <row r="84" spans="1:17" ht="14.25" customHeight="1" x14ac:dyDescent="0.3">
      <c r="A84" s="6194"/>
      <c r="B84" s="3713">
        <v>2011</v>
      </c>
      <c r="C84" s="3728">
        <v>266</v>
      </c>
      <c r="D84" s="3714"/>
      <c r="E84" s="3715">
        <v>1271</v>
      </c>
      <c r="F84" s="3715"/>
      <c r="G84" s="3716">
        <v>70</v>
      </c>
      <c r="H84" s="3716"/>
      <c r="I84" s="3716"/>
      <c r="J84" s="3716">
        <v>3305</v>
      </c>
      <c r="K84" s="3716">
        <v>358</v>
      </c>
      <c r="L84" s="3716">
        <v>24</v>
      </c>
      <c r="M84" s="3716"/>
      <c r="N84" s="3716"/>
      <c r="O84" s="3716">
        <v>48</v>
      </c>
      <c r="P84" s="3717">
        <f t="shared" si="6"/>
        <v>5342</v>
      </c>
      <c r="Q84" s="3707"/>
    </row>
    <row r="85" spans="1:17" ht="14.25" customHeight="1" x14ac:dyDescent="0.3">
      <c r="A85" s="6194"/>
      <c r="B85" s="3713">
        <v>2012</v>
      </c>
      <c r="C85" s="3728">
        <v>330</v>
      </c>
      <c r="D85" s="3714"/>
      <c r="E85" s="3715">
        <v>1673</v>
      </c>
      <c r="F85" s="3715"/>
      <c r="G85" s="3716">
        <v>78</v>
      </c>
      <c r="H85" s="3716">
        <v>4</v>
      </c>
      <c r="I85" s="3716">
        <v>4</v>
      </c>
      <c r="J85" s="3716">
        <v>4154</v>
      </c>
      <c r="K85" s="3716">
        <v>353</v>
      </c>
      <c r="L85" s="3716">
        <v>22</v>
      </c>
      <c r="M85" s="3716">
        <v>5</v>
      </c>
      <c r="N85" s="3716"/>
      <c r="O85" s="3716">
        <v>84</v>
      </c>
      <c r="P85" s="3717">
        <f t="shared" si="6"/>
        <v>6707</v>
      </c>
      <c r="Q85" s="3707"/>
    </row>
    <row r="86" spans="1:17" ht="14.25" customHeight="1" x14ac:dyDescent="0.3">
      <c r="A86" s="6194"/>
      <c r="B86" s="3713">
        <v>2013</v>
      </c>
      <c r="C86" s="3728">
        <v>379</v>
      </c>
      <c r="D86" s="3714"/>
      <c r="E86" s="3715">
        <v>1231</v>
      </c>
      <c r="F86" s="3715"/>
      <c r="G86" s="3716">
        <v>59</v>
      </c>
      <c r="H86" s="3716">
        <v>13</v>
      </c>
      <c r="I86" s="3716">
        <v>10</v>
      </c>
      <c r="J86" s="3716">
        <v>3180</v>
      </c>
      <c r="K86" s="3716">
        <v>283</v>
      </c>
      <c r="L86" s="3716">
        <v>54</v>
      </c>
      <c r="M86" s="3716">
        <v>6</v>
      </c>
      <c r="N86" s="3716"/>
      <c r="O86" s="3716">
        <v>40</v>
      </c>
      <c r="P86" s="3717">
        <f t="shared" si="6"/>
        <v>5255</v>
      </c>
      <c r="Q86" s="3707"/>
    </row>
    <row r="87" spans="1:17" ht="13.5" customHeight="1" x14ac:dyDescent="0.3">
      <c r="A87" s="6194"/>
      <c r="B87" s="3713">
        <v>2014</v>
      </c>
      <c r="C87" s="3728">
        <v>582</v>
      </c>
      <c r="D87" s="3714"/>
      <c r="E87" s="3715">
        <v>1527</v>
      </c>
      <c r="F87" s="3715"/>
      <c r="G87" s="3716">
        <v>58</v>
      </c>
      <c r="H87" s="3716">
        <v>4</v>
      </c>
      <c r="I87" s="3716">
        <v>4</v>
      </c>
      <c r="J87" s="3716">
        <v>3940</v>
      </c>
      <c r="K87" s="3716">
        <v>339</v>
      </c>
      <c r="L87" s="3716">
        <v>11</v>
      </c>
      <c r="M87" s="3716"/>
      <c r="N87" s="3716"/>
      <c r="O87" s="3716">
        <v>38</v>
      </c>
      <c r="P87" s="3717">
        <f t="shared" si="6"/>
        <v>6503</v>
      </c>
      <c r="Q87" s="3707"/>
    </row>
    <row r="88" spans="1:17" ht="13.5" customHeight="1" x14ac:dyDescent="0.3">
      <c r="A88" s="6194"/>
      <c r="B88" s="3713">
        <v>2015</v>
      </c>
      <c r="C88" s="3728">
        <v>338</v>
      </c>
      <c r="D88" s="3714"/>
      <c r="E88" s="3715">
        <v>1352</v>
      </c>
      <c r="F88" s="3715"/>
      <c r="G88" s="3716">
        <v>40</v>
      </c>
      <c r="H88" s="3716">
        <v>1</v>
      </c>
      <c r="I88" s="3716"/>
      <c r="J88" s="3716">
        <v>3469</v>
      </c>
      <c r="K88" s="3716">
        <v>258</v>
      </c>
      <c r="L88" s="3716">
        <v>19</v>
      </c>
      <c r="M88" s="3716">
        <v>8</v>
      </c>
      <c r="N88" s="3716"/>
      <c r="O88" s="3716">
        <v>40</v>
      </c>
      <c r="P88" s="3717">
        <f t="shared" si="6"/>
        <v>5525</v>
      </c>
      <c r="Q88" s="3707"/>
    </row>
    <row r="89" spans="1:17" ht="13.5" customHeight="1" x14ac:dyDescent="0.3">
      <c r="A89" s="6194"/>
      <c r="B89" s="3713">
        <v>2016</v>
      </c>
      <c r="C89" s="3728">
        <v>275</v>
      </c>
      <c r="D89" s="3714"/>
      <c r="E89" s="3715">
        <v>1119</v>
      </c>
      <c r="F89" s="3715"/>
      <c r="G89" s="3716">
        <v>43</v>
      </c>
      <c r="H89" s="3716">
        <v>2</v>
      </c>
      <c r="I89" s="3716">
        <v>2</v>
      </c>
      <c r="J89" s="3716">
        <v>3413</v>
      </c>
      <c r="K89" s="3716">
        <v>250</v>
      </c>
      <c r="L89" s="3716">
        <v>3</v>
      </c>
      <c r="M89" s="3716">
        <v>1</v>
      </c>
      <c r="N89" s="3716"/>
      <c r="O89" s="3716">
        <v>34</v>
      </c>
      <c r="P89" s="3717">
        <f t="shared" si="6"/>
        <v>5142</v>
      </c>
      <c r="Q89" s="3707"/>
    </row>
    <row r="90" spans="1:17" ht="13.5" customHeight="1" x14ac:dyDescent="0.3">
      <c r="A90" s="6194"/>
      <c r="B90" s="3713">
        <v>2017</v>
      </c>
      <c r="C90" s="3728">
        <v>210</v>
      </c>
      <c r="D90" s="3714"/>
      <c r="E90" s="3715">
        <v>1189</v>
      </c>
      <c r="F90" s="3715"/>
      <c r="G90" s="3716">
        <v>43</v>
      </c>
      <c r="H90" s="3716">
        <v>3</v>
      </c>
      <c r="I90" s="3716">
        <v>7</v>
      </c>
      <c r="J90" s="3716">
        <v>3161</v>
      </c>
      <c r="K90" s="3716">
        <v>290</v>
      </c>
      <c r="L90" s="3716">
        <v>3</v>
      </c>
      <c r="M90" s="3716">
        <v>2</v>
      </c>
      <c r="N90" s="3716"/>
      <c r="O90" s="3716">
        <v>27</v>
      </c>
      <c r="P90" s="3717">
        <f t="shared" si="6"/>
        <v>4935</v>
      </c>
      <c r="Q90" s="3707"/>
    </row>
    <row r="91" spans="1:17" ht="13.5" customHeight="1" x14ac:dyDescent="0.3">
      <c r="A91" s="6194"/>
      <c r="B91" s="3713">
        <v>2018</v>
      </c>
      <c r="C91" s="3728">
        <v>314</v>
      </c>
      <c r="D91" s="3714"/>
      <c r="E91" s="3715">
        <v>1235</v>
      </c>
      <c r="F91" s="3715"/>
      <c r="G91" s="3716">
        <v>41</v>
      </c>
      <c r="H91" s="3716">
        <v>0</v>
      </c>
      <c r="I91" s="3716">
        <v>3</v>
      </c>
      <c r="J91" s="3716">
        <v>3486</v>
      </c>
      <c r="K91" s="3716">
        <v>273</v>
      </c>
      <c r="L91" s="3716">
        <v>47</v>
      </c>
      <c r="M91" s="3716">
        <v>0</v>
      </c>
      <c r="N91" s="3716"/>
      <c r="O91" s="3716">
        <v>24</v>
      </c>
      <c r="P91" s="3717">
        <f t="shared" si="6"/>
        <v>5423</v>
      </c>
      <c r="Q91" s="3707"/>
    </row>
    <row r="92" spans="1:17" ht="15" customHeight="1" x14ac:dyDescent="0.3">
      <c r="A92" s="6194"/>
      <c r="B92" s="3713">
        <v>2019</v>
      </c>
      <c r="C92" s="3728">
        <v>210</v>
      </c>
      <c r="D92" s="3714"/>
      <c r="E92" s="3715">
        <v>1160</v>
      </c>
      <c r="F92" s="3715"/>
      <c r="G92" s="3716">
        <v>50</v>
      </c>
      <c r="H92" s="3716">
        <v>3</v>
      </c>
      <c r="I92" s="3716">
        <v>10</v>
      </c>
      <c r="J92" s="3716">
        <v>3062</v>
      </c>
      <c r="K92" s="3716">
        <v>228</v>
      </c>
      <c r="L92" s="3716">
        <v>31</v>
      </c>
      <c r="M92" s="3716">
        <v>3</v>
      </c>
      <c r="N92" s="3716"/>
      <c r="O92" s="3716">
        <v>37</v>
      </c>
      <c r="P92" s="3717">
        <f t="shared" si="6"/>
        <v>4794</v>
      </c>
    </row>
    <row r="93" spans="1:17" ht="14.4" x14ac:dyDescent="0.3">
      <c r="A93" s="6194"/>
      <c r="B93" s="3713">
        <v>2020</v>
      </c>
      <c r="C93" s="3728">
        <v>129</v>
      </c>
      <c r="D93" s="3714">
        <v>68</v>
      </c>
      <c r="E93" s="3715">
        <v>754</v>
      </c>
      <c r="F93" s="3715"/>
      <c r="G93" s="3716">
        <v>21</v>
      </c>
      <c r="H93" s="3716">
        <v>5</v>
      </c>
      <c r="I93" s="3716">
        <v>4</v>
      </c>
      <c r="J93" s="3716">
        <v>1530</v>
      </c>
      <c r="K93" s="3716">
        <v>124</v>
      </c>
      <c r="L93" s="3716">
        <v>17</v>
      </c>
      <c r="M93" s="3716">
        <v>1</v>
      </c>
      <c r="N93" s="3716">
        <v>19</v>
      </c>
      <c r="O93" s="3716">
        <v>19</v>
      </c>
      <c r="P93" s="3717">
        <f t="shared" si="6"/>
        <v>2691</v>
      </c>
    </row>
    <row r="94" spans="1:17" ht="14.4" x14ac:dyDescent="0.3">
      <c r="A94" s="6194"/>
      <c r="B94" s="3713">
        <v>2021</v>
      </c>
      <c r="C94" s="3728">
        <v>227</v>
      </c>
      <c r="D94" s="3714">
        <v>71</v>
      </c>
      <c r="E94" s="3715">
        <v>1371</v>
      </c>
      <c r="F94" s="3715"/>
      <c r="G94" s="3716">
        <v>53</v>
      </c>
      <c r="H94" s="3716">
        <v>3</v>
      </c>
      <c r="I94" s="3716">
        <v>6</v>
      </c>
      <c r="J94" s="3716">
        <v>2269</v>
      </c>
      <c r="K94" s="3716">
        <v>177</v>
      </c>
      <c r="L94" s="3716">
        <v>8</v>
      </c>
      <c r="M94" s="3716">
        <v>0</v>
      </c>
      <c r="N94" s="3716">
        <v>57</v>
      </c>
      <c r="O94" s="3716">
        <v>25</v>
      </c>
      <c r="P94" s="3717">
        <f>SUM(C94:O94)</f>
        <v>4267</v>
      </c>
    </row>
    <row r="95" spans="1:17" ht="14.4" x14ac:dyDescent="0.3">
      <c r="A95" s="6195"/>
      <c r="B95" s="3718">
        <v>2022</v>
      </c>
      <c r="C95" s="3729">
        <v>210</v>
      </c>
      <c r="D95" s="3719">
        <v>102</v>
      </c>
      <c r="E95" s="3720">
        <v>1180</v>
      </c>
      <c r="F95" s="3721"/>
      <c r="G95" s="3722">
        <v>44</v>
      </c>
      <c r="H95" s="3722">
        <v>13</v>
      </c>
      <c r="I95" s="3722">
        <v>1</v>
      </c>
      <c r="J95" s="3722">
        <v>1664</v>
      </c>
      <c r="K95" s="3722">
        <v>226</v>
      </c>
      <c r="L95" s="3722">
        <v>4</v>
      </c>
      <c r="M95" s="3722">
        <v>0</v>
      </c>
      <c r="N95" s="3722">
        <v>41</v>
      </c>
      <c r="O95" s="3722">
        <v>13</v>
      </c>
      <c r="P95" s="3723">
        <f>SUM(C95:O95)</f>
        <v>3498</v>
      </c>
    </row>
    <row r="96" spans="1:17" ht="15" customHeight="1" x14ac:dyDescent="0.3">
      <c r="B96" s="3557"/>
      <c r="C96" s="3724"/>
      <c r="D96" s="3724"/>
      <c r="E96" s="3724"/>
      <c r="F96" s="3724"/>
      <c r="G96" s="3725"/>
      <c r="H96" s="3725"/>
      <c r="I96" s="3725"/>
      <c r="J96" s="3725"/>
      <c r="K96" s="3725"/>
      <c r="L96" s="3725"/>
      <c r="M96" s="3725"/>
      <c r="N96" s="3725"/>
      <c r="O96" s="3725"/>
      <c r="P96" s="3726"/>
    </row>
    <row r="97" spans="1:16" ht="14.4" x14ac:dyDescent="0.3">
      <c r="A97" s="6196" t="s">
        <v>128</v>
      </c>
      <c r="B97" s="3708">
        <v>2003</v>
      </c>
      <c r="C97" s="3727">
        <v>1478</v>
      </c>
      <c r="D97" s="3709"/>
      <c r="E97" s="3710">
        <v>2963</v>
      </c>
      <c r="F97" s="3710">
        <v>6</v>
      </c>
      <c r="G97" s="3711">
        <v>105</v>
      </c>
      <c r="H97" s="3711">
        <v>16</v>
      </c>
      <c r="I97" s="3711">
        <v>18</v>
      </c>
      <c r="J97" s="3711">
        <v>4772</v>
      </c>
      <c r="K97" s="3711">
        <v>643</v>
      </c>
      <c r="L97" s="3711">
        <v>32</v>
      </c>
      <c r="M97" s="3711">
        <v>14</v>
      </c>
      <c r="N97" s="3711"/>
      <c r="O97" s="3711">
        <v>169</v>
      </c>
      <c r="P97" s="3712">
        <v>10216</v>
      </c>
    </row>
    <row r="98" spans="1:16" ht="14.4" x14ac:dyDescent="0.3">
      <c r="A98" s="6196"/>
      <c r="B98" s="3713">
        <v>2004</v>
      </c>
      <c r="C98" s="3728">
        <v>1541</v>
      </c>
      <c r="D98" s="3714"/>
      <c r="E98" s="3715">
        <v>3179</v>
      </c>
      <c r="F98" s="3715">
        <v>3</v>
      </c>
      <c r="G98" s="3716">
        <v>101</v>
      </c>
      <c r="H98" s="3716">
        <v>26</v>
      </c>
      <c r="I98" s="3716">
        <v>2</v>
      </c>
      <c r="J98" s="3716">
        <v>6003</v>
      </c>
      <c r="K98" s="3716">
        <v>746</v>
      </c>
      <c r="L98" s="3716">
        <v>35</v>
      </c>
      <c r="M98" s="3716">
        <v>14</v>
      </c>
      <c r="N98" s="3716"/>
      <c r="O98" s="3716">
        <v>182</v>
      </c>
      <c r="P98" s="3717">
        <v>11832</v>
      </c>
    </row>
    <row r="99" spans="1:16" ht="14.4" x14ac:dyDescent="0.3">
      <c r="A99" s="6196"/>
      <c r="B99" s="3713">
        <v>2005</v>
      </c>
      <c r="C99" s="3728">
        <v>1608</v>
      </c>
      <c r="D99" s="3714"/>
      <c r="E99" s="3715">
        <v>3216</v>
      </c>
      <c r="F99" s="3715">
        <v>6</v>
      </c>
      <c r="G99" s="3716">
        <v>94</v>
      </c>
      <c r="H99" s="3716">
        <v>18</v>
      </c>
      <c r="I99" s="3716">
        <v>7</v>
      </c>
      <c r="J99" s="3716">
        <v>6066</v>
      </c>
      <c r="K99" s="3716">
        <v>726</v>
      </c>
      <c r="L99" s="3716">
        <v>35</v>
      </c>
      <c r="M99" s="3716">
        <v>18</v>
      </c>
      <c r="N99" s="3716"/>
      <c r="O99" s="3716">
        <v>203</v>
      </c>
      <c r="P99" s="3717">
        <v>11997</v>
      </c>
    </row>
    <row r="100" spans="1:16" ht="14.4" x14ac:dyDescent="0.3">
      <c r="A100" s="6196"/>
      <c r="B100" s="3713">
        <v>2006</v>
      </c>
      <c r="C100" s="3728">
        <v>1271</v>
      </c>
      <c r="D100" s="3714"/>
      <c r="E100" s="3715">
        <v>2984</v>
      </c>
      <c r="F100" s="3715">
        <v>12</v>
      </c>
      <c r="G100" s="3716">
        <v>103</v>
      </c>
      <c r="H100" s="3716">
        <v>24</v>
      </c>
      <c r="I100" s="3716">
        <v>4</v>
      </c>
      <c r="J100" s="3716">
        <v>5530</v>
      </c>
      <c r="K100" s="3716">
        <v>774</v>
      </c>
      <c r="L100" s="3716">
        <v>13</v>
      </c>
      <c r="M100" s="3716">
        <v>10</v>
      </c>
      <c r="N100" s="3716"/>
      <c r="O100" s="3716">
        <v>195</v>
      </c>
      <c r="P100" s="3717">
        <v>10920</v>
      </c>
    </row>
    <row r="101" spans="1:16" ht="14.4" x14ac:dyDescent="0.3">
      <c r="A101" s="6196"/>
      <c r="B101" s="3713">
        <v>2007</v>
      </c>
      <c r="C101" s="3728">
        <v>1035</v>
      </c>
      <c r="D101" s="3714"/>
      <c r="E101" s="3715">
        <v>3023</v>
      </c>
      <c r="F101" s="3715">
        <v>1</v>
      </c>
      <c r="G101" s="3716">
        <v>127</v>
      </c>
      <c r="H101" s="3716">
        <v>5</v>
      </c>
      <c r="I101" s="3716">
        <v>5</v>
      </c>
      <c r="J101" s="3716">
        <v>5383</v>
      </c>
      <c r="K101" s="3716">
        <v>545</v>
      </c>
      <c r="L101" s="3716">
        <v>27</v>
      </c>
      <c r="M101" s="3716">
        <v>12</v>
      </c>
      <c r="N101" s="3716"/>
      <c r="O101" s="3716">
        <v>145</v>
      </c>
      <c r="P101" s="3717">
        <v>10308</v>
      </c>
    </row>
    <row r="102" spans="1:16" ht="14.4" x14ac:dyDescent="0.3">
      <c r="A102" s="6196"/>
      <c r="B102" s="3713">
        <v>2008</v>
      </c>
      <c r="C102" s="3728">
        <v>1093</v>
      </c>
      <c r="D102" s="3714"/>
      <c r="E102" s="3715">
        <v>3448</v>
      </c>
      <c r="F102" s="3715">
        <v>3</v>
      </c>
      <c r="G102" s="3716">
        <v>104</v>
      </c>
      <c r="H102" s="3716">
        <v>11</v>
      </c>
      <c r="I102" s="3716">
        <v>16</v>
      </c>
      <c r="J102" s="3716">
        <v>6239</v>
      </c>
      <c r="K102" s="3716">
        <v>716</v>
      </c>
      <c r="L102" s="3716">
        <v>33</v>
      </c>
      <c r="M102" s="3716">
        <v>17</v>
      </c>
      <c r="N102" s="3716"/>
      <c r="O102" s="3716">
        <v>182</v>
      </c>
      <c r="P102" s="3717">
        <v>11862</v>
      </c>
    </row>
    <row r="103" spans="1:16" ht="14.4" x14ac:dyDescent="0.3">
      <c r="A103" s="6196"/>
      <c r="B103" s="3713">
        <v>2009</v>
      </c>
      <c r="C103" s="3728">
        <v>1106</v>
      </c>
      <c r="D103" s="3714"/>
      <c r="E103" s="3715">
        <v>3232</v>
      </c>
      <c r="F103" s="3715"/>
      <c r="G103" s="3716">
        <v>113</v>
      </c>
      <c r="H103" s="3716">
        <v>10</v>
      </c>
      <c r="I103" s="3716">
        <v>12</v>
      </c>
      <c r="J103" s="3716">
        <v>6486</v>
      </c>
      <c r="K103" s="3716">
        <v>654</v>
      </c>
      <c r="L103" s="3716">
        <v>36</v>
      </c>
      <c r="M103" s="3716">
        <v>5</v>
      </c>
      <c r="N103" s="3716"/>
      <c r="O103" s="3716">
        <v>139</v>
      </c>
      <c r="P103" s="3717">
        <v>11793</v>
      </c>
    </row>
    <row r="104" spans="1:16" ht="14.4" x14ac:dyDescent="0.3">
      <c r="A104" s="6196"/>
      <c r="B104" s="3713">
        <v>2010</v>
      </c>
      <c r="C104" s="3728">
        <f>SUM(C12,C30,C51,C83)</f>
        <v>1447</v>
      </c>
      <c r="D104" s="3714"/>
      <c r="E104" s="3715">
        <f>SUM(E12,E30,E51,E83)</f>
        <v>4004</v>
      </c>
      <c r="F104" s="3715"/>
      <c r="G104" s="3716">
        <f t="shared" ref="G104:M106" si="7">SUM(G12,G30,G51,G83)</f>
        <v>145</v>
      </c>
      <c r="H104" s="3716">
        <f t="shared" si="7"/>
        <v>13</v>
      </c>
      <c r="I104" s="3716">
        <f t="shared" si="7"/>
        <v>18</v>
      </c>
      <c r="J104" s="3716">
        <f t="shared" si="7"/>
        <v>7886</v>
      </c>
      <c r="K104" s="3716">
        <f t="shared" si="7"/>
        <v>826</v>
      </c>
      <c r="L104" s="3716">
        <f t="shared" si="7"/>
        <v>50</v>
      </c>
      <c r="M104" s="3716">
        <f t="shared" si="7"/>
        <v>4</v>
      </c>
      <c r="N104" s="3716"/>
      <c r="O104" s="3716">
        <f t="shared" ref="O104:P106" si="8">SUM(O12,O30,O51,O83)</f>
        <v>204</v>
      </c>
      <c r="P104" s="3717">
        <f t="shared" si="8"/>
        <v>14597</v>
      </c>
    </row>
    <row r="105" spans="1:16" ht="14.4" x14ac:dyDescent="0.3">
      <c r="A105" s="6196"/>
      <c r="B105" s="3713">
        <v>2011</v>
      </c>
      <c r="C105" s="3728">
        <f>SUM(C13,C31,C52,C84)</f>
        <v>1562</v>
      </c>
      <c r="D105" s="3714"/>
      <c r="E105" s="3715">
        <f>SUM(E13,E31,E52,E84)</f>
        <v>4143</v>
      </c>
      <c r="F105" s="3715"/>
      <c r="G105" s="3716">
        <f t="shared" si="7"/>
        <v>152</v>
      </c>
      <c r="H105" s="3716">
        <f t="shared" si="7"/>
        <v>20</v>
      </c>
      <c r="I105" s="3716">
        <f t="shared" si="7"/>
        <v>9</v>
      </c>
      <c r="J105" s="3716">
        <f t="shared" si="7"/>
        <v>8478</v>
      </c>
      <c r="K105" s="3716">
        <f t="shared" si="7"/>
        <v>813</v>
      </c>
      <c r="L105" s="3716">
        <f t="shared" si="7"/>
        <v>99</v>
      </c>
      <c r="M105" s="3716">
        <f t="shared" si="7"/>
        <v>13</v>
      </c>
      <c r="N105" s="3716"/>
      <c r="O105" s="3716">
        <f t="shared" si="8"/>
        <v>182</v>
      </c>
      <c r="P105" s="3717">
        <f t="shared" si="8"/>
        <v>15471</v>
      </c>
    </row>
    <row r="106" spans="1:16" ht="14.4" x14ac:dyDescent="0.3">
      <c r="A106" s="6196"/>
      <c r="B106" s="3713">
        <v>2012</v>
      </c>
      <c r="C106" s="3728">
        <f>SUM(C14,C32,C53,C85)</f>
        <v>1410</v>
      </c>
      <c r="D106" s="3714"/>
      <c r="E106" s="3715">
        <f>SUM(E14,E32,E53,E85)</f>
        <v>4328</v>
      </c>
      <c r="F106" s="3715"/>
      <c r="G106" s="3716">
        <f t="shared" si="7"/>
        <v>180</v>
      </c>
      <c r="H106" s="3716">
        <f t="shared" si="7"/>
        <v>19</v>
      </c>
      <c r="I106" s="3716">
        <f t="shared" si="7"/>
        <v>7</v>
      </c>
      <c r="J106" s="3716">
        <f t="shared" si="7"/>
        <v>9049</v>
      </c>
      <c r="K106" s="3716">
        <f t="shared" si="7"/>
        <v>709</v>
      </c>
      <c r="L106" s="3716">
        <f t="shared" si="7"/>
        <v>70</v>
      </c>
      <c r="M106" s="3716">
        <f t="shared" si="7"/>
        <v>16</v>
      </c>
      <c r="N106" s="3716"/>
      <c r="O106" s="3716">
        <f t="shared" si="8"/>
        <v>194</v>
      </c>
      <c r="P106" s="3717">
        <f t="shared" si="8"/>
        <v>15982</v>
      </c>
    </row>
    <row r="107" spans="1:16" ht="14.4" x14ac:dyDescent="0.3">
      <c r="A107" s="6196"/>
      <c r="B107" s="3713">
        <v>2013</v>
      </c>
      <c r="C107" s="3728">
        <f>SUM(C15,C33,C54,C65,C86)</f>
        <v>1610</v>
      </c>
      <c r="D107" s="3714"/>
      <c r="E107" s="3715">
        <f>SUM(E15,E33,E54,E65,E86)</f>
        <v>4346</v>
      </c>
      <c r="F107" s="3715"/>
      <c r="G107" s="3716">
        <f t="shared" ref="G107:M109" si="9">SUM(G15,G33,G54,G65,G86)</f>
        <v>161</v>
      </c>
      <c r="H107" s="3716">
        <f t="shared" si="9"/>
        <v>35</v>
      </c>
      <c r="I107" s="3716">
        <f t="shared" si="9"/>
        <v>21</v>
      </c>
      <c r="J107" s="3716">
        <f t="shared" si="9"/>
        <v>8737</v>
      </c>
      <c r="K107" s="3716">
        <f t="shared" si="9"/>
        <v>832</v>
      </c>
      <c r="L107" s="3716">
        <f t="shared" si="9"/>
        <v>119</v>
      </c>
      <c r="M107" s="3716">
        <f t="shared" si="9"/>
        <v>28</v>
      </c>
      <c r="N107" s="3716"/>
      <c r="O107" s="3716">
        <f t="shared" ref="O107:P109" si="10">SUM(O15,O33,O54,O65,O86)</f>
        <v>121</v>
      </c>
      <c r="P107" s="3717">
        <f t="shared" si="10"/>
        <v>16010</v>
      </c>
    </row>
    <row r="108" spans="1:16" ht="14.4" x14ac:dyDescent="0.3">
      <c r="A108" s="6196"/>
      <c r="B108" s="3713">
        <v>2014</v>
      </c>
      <c r="C108" s="3728">
        <f>SUM(C16,C34,C55,C66,C87)</f>
        <v>1540</v>
      </c>
      <c r="D108" s="3714"/>
      <c r="E108" s="3715">
        <f>SUM(E16,E34,E55,E66,E87)</f>
        <v>4334</v>
      </c>
      <c r="F108" s="3715"/>
      <c r="G108" s="3716">
        <f t="shared" si="9"/>
        <v>130</v>
      </c>
      <c r="H108" s="3716">
        <f t="shared" si="9"/>
        <v>22</v>
      </c>
      <c r="I108" s="3716">
        <f t="shared" si="9"/>
        <v>17</v>
      </c>
      <c r="J108" s="3716">
        <f t="shared" si="9"/>
        <v>9276</v>
      </c>
      <c r="K108" s="3716">
        <f t="shared" si="9"/>
        <v>827</v>
      </c>
      <c r="L108" s="3716">
        <f t="shared" si="9"/>
        <v>43</v>
      </c>
      <c r="M108" s="3716">
        <f t="shared" si="9"/>
        <v>11</v>
      </c>
      <c r="N108" s="3716"/>
      <c r="O108" s="3716">
        <f t="shared" si="10"/>
        <v>134</v>
      </c>
      <c r="P108" s="3717">
        <f t="shared" si="10"/>
        <v>16334</v>
      </c>
    </row>
    <row r="109" spans="1:16" ht="14.4" x14ac:dyDescent="0.3">
      <c r="A109" s="6196"/>
      <c r="B109" s="3713">
        <v>2015</v>
      </c>
      <c r="C109" s="3728">
        <f>SUM(C17,C35,C56,C67,C88)</f>
        <v>1410</v>
      </c>
      <c r="D109" s="3714"/>
      <c r="E109" s="3715">
        <f>SUM(E17,E35,E56,E67,E88)</f>
        <v>4634</v>
      </c>
      <c r="F109" s="3715"/>
      <c r="G109" s="3716">
        <f t="shared" si="9"/>
        <v>113</v>
      </c>
      <c r="H109" s="3716">
        <f t="shared" si="9"/>
        <v>21</v>
      </c>
      <c r="I109" s="3716">
        <f t="shared" si="9"/>
        <v>22</v>
      </c>
      <c r="J109" s="3716">
        <f t="shared" si="9"/>
        <v>9179</v>
      </c>
      <c r="K109" s="3716">
        <f t="shared" si="9"/>
        <v>817</v>
      </c>
      <c r="L109" s="3716">
        <f t="shared" si="9"/>
        <v>68</v>
      </c>
      <c r="M109" s="3716">
        <f t="shared" si="9"/>
        <v>14</v>
      </c>
      <c r="N109" s="3716"/>
      <c r="O109" s="3716">
        <f t="shared" si="10"/>
        <v>160</v>
      </c>
      <c r="P109" s="3717">
        <f t="shared" si="10"/>
        <v>16438</v>
      </c>
    </row>
    <row r="110" spans="1:16" ht="14.4" x14ac:dyDescent="0.3">
      <c r="A110" s="6196"/>
      <c r="B110" s="3713">
        <v>2016</v>
      </c>
      <c r="C110" s="3728">
        <v>1283</v>
      </c>
      <c r="D110" s="3714"/>
      <c r="E110" s="3715">
        <v>4112</v>
      </c>
      <c r="F110" s="3715"/>
      <c r="G110" s="3716">
        <v>118</v>
      </c>
      <c r="H110" s="3716">
        <v>14</v>
      </c>
      <c r="I110" s="3716">
        <v>13</v>
      </c>
      <c r="J110" s="3716">
        <v>8288</v>
      </c>
      <c r="K110" s="3716">
        <v>709</v>
      </c>
      <c r="L110" s="3716">
        <v>25</v>
      </c>
      <c r="M110" s="3716">
        <v>11</v>
      </c>
      <c r="N110" s="3716"/>
      <c r="O110" s="3716">
        <v>143</v>
      </c>
      <c r="P110" s="3717">
        <f>SUM(P18,P36,P57,P68,P89)</f>
        <v>14716</v>
      </c>
    </row>
    <row r="111" spans="1:16" ht="14.4" x14ac:dyDescent="0.3">
      <c r="A111" s="6196"/>
      <c r="B111" s="3713">
        <v>2017</v>
      </c>
      <c r="C111" s="3728">
        <v>1285</v>
      </c>
      <c r="D111" s="3714"/>
      <c r="E111" s="3715">
        <v>4311</v>
      </c>
      <c r="F111" s="3715"/>
      <c r="G111" s="3716">
        <v>107</v>
      </c>
      <c r="H111" s="3716">
        <v>16</v>
      </c>
      <c r="I111" s="3716">
        <v>15</v>
      </c>
      <c r="J111" s="3716">
        <v>8228</v>
      </c>
      <c r="K111" s="3716">
        <v>736</v>
      </c>
      <c r="L111" s="3716">
        <v>40</v>
      </c>
      <c r="M111" s="3716">
        <v>14</v>
      </c>
      <c r="N111" s="3716"/>
      <c r="O111" s="3716">
        <v>124</v>
      </c>
      <c r="P111" s="3717">
        <f>SUM(P19,P37,P58,P69,P90)</f>
        <v>14876</v>
      </c>
    </row>
    <row r="112" spans="1:16" ht="14.4" x14ac:dyDescent="0.3">
      <c r="A112" s="6196"/>
      <c r="B112" s="3713">
        <v>2018</v>
      </c>
      <c r="C112" s="3728">
        <f>SUM(C20,C38,C59,C70,C91)</f>
        <v>1295</v>
      </c>
      <c r="D112" s="3714"/>
      <c r="E112" s="3715">
        <f>SUM(E20,E38,E59,E70,E91)</f>
        <v>4667</v>
      </c>
      <c r="F112" s="3715"/>
      <c r="G112" s="3716">
        <f t="shared" ref="G112:M112" si="11">SUM(G20,G38,G59,G70,G91)</f>
        <v>162</v>
      </c>
      <c r="H112" s="3716">
        <f t="shared" si="11"/>
        <v>27</v>
      </c>
      <c r="I112" s="3716">
        <f t="shared" si="11"/>
        <v>7</v>
      </c>
      <c r="J112" s="3716">
        <f t="shared" si="11"/>
        <v>8864</v>
      </c>
      <c r="K112" s="3716">
        <f t="shared" si="11"/>
        <v>795</v>
      </c>
      <c r="L112" s="3716">
        <f t="shared" si="11"/>
        <v>84</v>
      </c>
      <c r="M112" s="3716">
        <f t="shared" si="11"/>
        <v>14</v>
      </c>
      <c r="N112" s="3716"/>
      <c r="O112" s="3716">
        <f>SUM(O20,O38,O59,O70,O91)</f>
        <v>136</v>
      </c>
      <c r="P112" s="3717">
        <f>SUM(P20,P38,P59,P70,P91)</f>
        <v>16051</v>
      </c>
    </row>
    <row r="113" spans="1:16" ht="14.4" x14ac:dyDescent="0.3">
      <c r="A113" s="6196"/>
      <c r="B113" s="3713">
        <v>2019</v>
      </c>
      <c r="C113" s="3728">
        <v>1119</v>
      </c>
      <c r="D113" s="3714"/>
      <c r="E113" s="3715">
        <v>4140</v>
      </c>
      <c r="F113" s="3715"/>
      <c r="G113" s="3716">
        <v>226</v>
      </c>
      <c r="H113" s="3716">
        <v>19</v>
      </c>
      <c r="I113" s="3716">
        <v>26</v>
      </c>
      <c r="J113" s="3716">
        <v>7853</v>
      </c>
      <c r="K113" s="3716">
        <v>751</v>
      </c>
      <c r="L113" s="3716">
        <v>63</v>
      </c>
      <c r="M113" s="3716">
        <v>9</v>
      </c>
      <c r="N113" s="3716"/>
      <c r="O113" s="3716">
        <v>125</v>
      </c>
      <c r="P113" s="3717">
        <f>SUM(P21,P39,P60,P71,P92)</f>
        <v>14331</v>
      </c>
    </row>
    <row r="114" spans="1:16" ht="14.4" x14ac:dyDescent="0.3">
      <c r="A114" s="6196"/>
      <c r="B114" s="3713">
        <v>2020</v>
      </c>
      <c r="C114" s="3728">
        <v>368</v>
      </c>
      <c r="D114" s="3714">
        <v>720</v>
      </c>
      <c r="E114" s="3715">
        <v>3157</v>
      </c>
      <c r="F114" s="3715"/>
      <c r="G114" s="3716">
        <v>74</v>
      </c>
      <c r="H114" s="3716">
        <v>10</v>
      </c>
      <c r="I114" s="3716">
        <v>15</v>
      </c>
      <c r="J114" s="3716">
        <v>4921</v>
      </c>
      <c r="K114" s="3716">
        <v>397</v>
      </c>
      <c r="L114" s="3716">
        <v>68</v>
      </c>
      <c r="M114" s="3716">
        <v>9</v>
      </c>
      <c r="N114" s="3716">
        <v>65</v>
      </c>
      <c r="O114" s="3716">
        <v>56</v>
      </c>
      <c r="P114" s="3717">
        <f>SUM(P22,P40,P61,P72,P93)</f>
        <v>9860</v>
      </c>
    </row>
    <row r="115" spans="1:16" ht="14.4" x14ac:dyDescent="0.3">
      <c r="A115" s="6196"/>
      <c r="B115" s="3713">
        <v>2021</v>
      </c>
      <c r="C115" s="3728">
        <v>630</v>
      </c>
      <c r="D115" s="3714">
        <v>745</v>
      </c>
      <c r="E115" s="3715">
        <v>4688</v>
      </c>
      <c r="F115" s="3715"/>
      <c r="G115" s="3716">
        <v>125</v>
      </c>
      <c r="H115" s="3716">
        <v>14</v>
      </c>
      <c r="I115" s="3716">
        <v>36</v>
      </c>
      <c r="J115" s="3716">
        <v>6144</v>
      </c>
      <c r="K115" s="3716">
        <v>518</v>
      </c>
      <c r="L115" s="3716">
        <v>39</v>
      </c>
      <c r="M115" s="3716">
        <v>16</v>
      </c>
      <c r="N115" s="3716">
        <v>127</v>
      </c>
      <c r="O115" s="3716">
        <v>65</v>
      </c>
      <c r="P115" s="3717">
        <f>SUM(C115:O115)</f>
        <v>13147</v>
      </c>
    </row>
    <row r="116" spans="1:16" ht="14.4" x14ac:dyDescent="0.3">
      <c r="A116" s="6197"/>
      <c r="B116" s="3713">
        <v>2022</v>
      </c>
      <c r="C116" s="3728">
        <f>SUM(C24,C42,C63,C74,C95)</f>
        <v>485</v>
      </c>
      <c r="D116" s="3714">
        <f t="shared" ref="D116:O116" si="12">SUM(D24,D42,D63,D74,D95)</f>
        <v>751</v>
      </c>
      <c r="E116" s="3715">
        <f t="shared" si="12"/>
        <v>4183</v>
      </c>
      <c r="F116" s="3715">
        <f t="shared" si="12"/>
        <v>0</v>
      </c>
      <c r="G116" s="3716">
        <f t="shared" si="12"/>
        <v>134</v>
      </c>
      <c r="H116" s="3716">
        <f t="shared" si="12"/>
        <v>21</v>
      </c>
      <c r="I116" s="3716">
        <f t="shared" si="12"/>
        <v>17</v>
      </c>
      <c r="J116" s="3716">
        <f t="shared" si="12"/>
        <v>5148</v>
      </c>
      <c r="K116" s="3716">
        <f t="shared" si="12"/>
        <v>576</v>
      </c>
      <c r="L116" s="3716">
        <f t="shared" si="12"/>
        <v>17</v>
      </c>
      <c r="M116" s="3716">
        <f t="shared" si="12"/>
        <v>15</v>
      </c>
      <c r="N116" s="3716">
        <f t="shared" si="12"/>
        <v>122</v>
      </c>
      <c r="O116" s="3716">
        <f t="shared" si="12"/>
        <v>22</v>
      </c>
      <c r="P116" s="3717">
        <f>SUM(C116:O116)</f>
        <v>11491</v>
      </c>
    </row>
    <row r="117" spans="1:16" x14ac:dyDescent="0.25">
      <c r="B117" s="3730" t="s">
        <v>945</v>
      </c>
    </row>
  </sheetData>
  <mergeCells count="6">
    <mergeCell ref="A5:A24"/>
    <mergeCell ref="A26:A42"/>
    <mergeCell ref="A44:A63"/>
    <mergeCell ref="A76:A95"/>
    <mergeCell ref="A97:A116"/>
    <mergeCell ref="A65:A74"/>
  </mergeCells>
  <printOptions horizontalCentered="1" verticalCentered="1"/>
  <pageMargins left="0.70866141732283472" right="0.70866141732283472" top="0.55118110236220474" bottom="0.55118110236220474" header="0.31496062992125984" footer="0.31496062992125984"/>
  <pageSetup scale="52" firstPageNumber="165" orientation="landscape" useFirstPageNumber="1" r:id="rId1"/>
  <headerFooter scaleWithDoc="0" alignWithMargins="0">
    <oddFooter>&amp;R&amp;P</oddFooter>
  </headerFooter>
  <rowBreaks count="1" manualBreakCount="1">
    <brk id="63" max="15" man="1"/>
  </rowBreaks>
  <colBreaks count="1" manualBreakCount="1">
    <brk id="16" max="1048575" man="1"/>
  </colBreaks>
  <ignoredErrors>
    <ignoredError sqref="P24 P42 P63 P74 P95 P116 P12:P22 P30:P40 P51:P61 P65:P72 P83:P93" formulaRange="1"/>
  </ignoredErrors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8200"/>
  </sheetPr>
  <dimension ref="A2:AQ99"/>
  <sheetViews>
    <sheetView showGridLines="0" topLeftCell="I1" zoomScaleNormal="100" zoomScaleSheetLayoutView="48" workbookViewId="0">
      <selection activeCell="Q31" sqref="Q31"/>
    </sheetView>
  </sheetViews>
  <sheetFormatPr baseColWidth="10" defaultColWidth="11.44140625" defaultRowHeight="13.2" x14ac:dyDescent="0.25"/>
  <cols>
    <col min="1" max="1" width="17.5546875" style="3770" customWidth="1"/>
    <col min="2" max="2" width="10.44140625" style="3574" customWidth="1"/>
    <col min="3" max="3" width="11.5546875" style="3574" customWidth="1"/>
    <col min="4" max="4" width="11.44140625" style="3574" customWidth="1"/>
    <col min="5" max="5" width="11" style="3574" customWidth="1"/>
    <col min="6" max="6" width="11.44140625" style="3574" customWidth="1"/>
    <col min="7" max="7" width="8.44140625" style="3574" customWidth="1"/>
    <col min="8" max="9" width="12.109375" style="3574" customWidth="1"/>
    <col min="10" max="10" width="10.109375" style="3574" bestFit="1" customWidth="1"/>
    <col min="11" max="11" width="10.44140625" style="3574" customWidth="1"/>
    <col min="12" max="12" width="11.44140625" style="3574" customWidth="1"/>
    <col min="13" max="13" width="11" style="3574" customWidth="1"/>
    <col min="14" max="14" width="9.44140625" style="3574" customWidth="1"/>
    <col min="15" max="15" width="11.33203125" style="3574" customWidth="1"/>
    <col min="16" max="16" width="8.5546875" style="3574" customWidth="1"/>
    <col min="17" max="17" width="12.33203125" style="3574" customWidth="1"/>
    <col min="18" max="18" width="10.6640625" style="3574" customWidth="1"/>
    <col min="19" max="19" width="8.6640625" style="3574" customWidth="1"/>
    <col min="20" max="20" width="10.44140625" style="3574" customWidth="1"/>
    <col min="21" max="21" width="11.33203125" style="3574" customWidth="1"/>
    <col min="22" max="22" width="11" style="3574" customWidth="1"/>
    <col min="23" max="23" width="9.88671875" style="3574" customWidth="1"/>
    <col min="24" max="24" width="11" style="3574" customWidth="1"/>
    <col min="25" max="25" width="7.5546875" style="3574" customWidth="1"/>
    <col min="26" max="26" width="11.44140625" style="3574" customWidth="1"/>
    <col min="27" max="28" width="10.44140625" style="3574" customWidth="1"/>
    <col min="29" max="29" width="9" style="3574" customWidth="1"/>
    <col min="30" max="30" width="10.44140625" style="3574" customWidth="1"/>
    <col min="31" max="31" width="9" style="3574" customWidth="1"/>
    <col min="32" max="33" width="10.44140625" style="3574" customWidth="1"/>
    <col min="34" max="34" width="11.5546875" style="3574" customWidth="1"/>
    <col min="35" max="35" width="8.44140625" style="3574" customWidth="1"/>
    <col min="36" max="36" width="9.5546875" style="3574" customWidth="1"/>
    <col min="37" max="37" width="7.5546875" style="3574" customWidth="1"/>
    <col min="38" max="16384" width="11.44140625" style="3574"/>
  </cols>
  <sheetData>
    <row r="2" spans="1:43" ht="15.75" customHeight="1" x14ac:dyDescent="0.3">
      <c r="A2" s="3731" t="s">
        <v>957</v>
      </c>
      <c r="B2" s="3731"/>
      <c r="C2" s="3731"/>
      <c r="D2" s="3731"/>
      <c r="E2" s="3731"/>
      <c r="F2" s="3731"/>
      <c r="G2" s="3731"/>
      <c r="H2" s="3731"/>
      <c r="I2" s="3731"/>
      <c r="J2" s="3731"/>
      <c r="K2" s="3731"/>
      <c r="L2" s="3731"/>
      <c r="M2" s="3731"/>
      <c r="N2" s="3731"/>
      <c r="O2" s="3731"/>
      <c r="P2" s="3731"/>
      <c r="Q2" s="3731"/>
      <c r="R2" s="3731"/>
      <c r="S2" s="3731"/>
      <c r="T2" s="3731"/>
      <c r="U2" s="3731"/>
      <c r="V2" s="3731"/>
      <c r="W2" s="3731"/>
      <c r="X2" s="3731"/>
      <c r="Y2" s="3731"/>
      <c r="Z2" s="3731"/>
      <c r="AA2" s="3731"/>
      <c r="AB2" s="3731"/>
      <c r="AC2" s="3731"/>
      <c r="AD2" s="3731"/>
      <c r="AE2" s="3731"/>
      <c r="AF2" s="3731"/>
      <c r="AG2" s="3731"/>
      <c r="AH2" s="3731"/>
      <c r="AI2" s="3731"/>
      <c r="AJ2" s="3731"/>
      <c r="AK2" s="3731"/>
      <c r="AL2" s="3731"/>
      <c r="AM2" s="3731"/>
      <c r="AN2" s="3731"/>
      <c r="AO2" s="3731"/>
      <c r="AP2" s="3731"/>
      <c r="AQ2" s="3731"/>
    </row>
    <row r="3" spans="1:43" ht="17.399999999999999" x14ac:dyDescent="0.3">
      <c r="R3" s="3731"/>
    </row>
    <row r="4" spans="1:43" ht="15" customHeight="1" x14ac:dyDescent="0.3">
      <c r="A4" s="6205" t="s">
        <v>946</v>
      </c>
      <c r="B4" s="6201">
        <v>2003</v>
      </c>
      <c r="C4" s="6202"/>
      <c r="D4" s="6202"/>
      <c r="E4" s="6202"/>
      <c r="F4" s="6202"/>
      <c r="G4" s="6202"/>
      <c r="H4" s="6203"/>
      <c r="I4" s="5001"/>
      <c r="K4" s="6201">
        <v>2004</v>
      </c>
      <c r="L4" s="6202"/>
      <c r="M4" s="6202"/>
      <c r="N4" s="6202"/>
      <c r="O4" s="6202"/>
      <c r="P4" s="6202"/>
      <c r="Q4" s="6203"/>
      <c r="R4" s="3731"/>
      <c r="T4" s="6201">
        <v>2005</v>
      </c>
      <c r="U4" s="6202"/>
      <c r="V4" s="6202"/>
      <c r="W4" s="6202"/>
      <c r="X4" s="6202"/>
      <c r="Y4" s="6202"/>
      <c r="Z4" s="6203"/>
    </row>
    <row r="5" spans="1:43" s="3513" customFormat="1" ht="40.35" customHeight="1" x14ac:dyDescent="0.3">
      <c r="A5" s="6206"/>
      <c r="B5" s="3732" t="s">
        <v>947</v>
      </c>
      <c r="C5" s="3732" t="s">
        <v>948</v>
      </c>
      <c r="D5" s="3732" t="s">
        <v>949</v>
      </c>
      <c r="E5" s="3732" t="s">
        <v>950</v>
      </c>
      <c r="F5" s="3732" t="s">
        <v>951</v>
      </c>
      <c r="G5" s="3732" t="s">
        <v>952</v>
      </c>
      <c r="H5" s="3733" t="s">
        <v>279</v>
      </c>
      <c r="I5" s="5002"/>
      <c r="J5" s="3574"/>
      <c r="K5" s="3732" t="s">
        <v>947</v>
      </c>
      <c r="L5" s="3732" t="s">
        <v>948</v>
      </c>
      <c r="M5" s="3732" t="s">
        <v>949</v>
      </c>
      <c r="N5" s="3732" t="s">
        <v>950</v>
      </c>
      <c r="O5" s="3732" t="s">
        <v>951</v>
      </c>
      <c r="P5" s="3732" t="s">
        <v>952</v>
      </c>
      <c r="Q5" s="3733" t="s">
        <v>279</v>
      </c>
      <c r="R5" s="3731"/>
      <c r="S5" s="3574"/>
      <c r="T5" s="3732" t="s">
        <v>947</v>
      </c>
      <c r="U5" s="3732" t="s">
        <v>948</v>
      </c>
      <c r="V5" s="3732" t="s">
        <v>949</v>
      </c>
      <c r="W5" s="3732" t="s">
        <v>950</v>
      </c>
      <c r="X5" s="3732" t="s">
        <v>951</v>
      </c>
      <c r="Y5" s="3732" t="s">
        <v>952</v>
      </c>
      <c r="Z5" s="3733" t="s">
        <v>279</v>
      </c>
    </row>
    <row r="6" spans="1:43" s="3580" customFormat="1" ht="25.35" customHeight="1" x14ac:dyDescent="0.3">
      <c r="A6" s="3737" t="s">
        <v>138</v>
      </c>
      <c r="B6" s="3738">
        <v>7771</v>
      </c>
      <c r="C6" s="3739">
        <v>2948</v>
      </c>
      <c r="D6" s="3739">
        <v>1930</v>
      </c>
      <c r="E6" s="3739">
        <v>113</v>
      </c>
      <c r="F6" s="3739">
        <v>367</v>
      </c>
      <c r="G6" s="3739">
        <v>143</v>
      </c>
      <c r="H6" s="3740">
        <f>SUM(B6:G6)</f>
        <v>13272</v>
      </c>
      <c r="I6" s="5003"/>
      <c r="J6" s="3574"/>
      <c r="K6" s="3738">
        <v>10083</v>
      </c>
      <c r="L6" s="3739">
        <v>3706</v>
      </c>
      <c r="M6" s="3739">
        <v>2328</v>
      </c>
      <c r="N6" s="3739">
        <v>123</v>
      </c>
      <c r="O6" s="3739">
        <v>467</v>
      </c>
      <c r="P6" s="3739">
        <v>134</v>
      </c>
      <c r="Q6" s="3740">
        <f>SUM(K6:P6)</f>
        <v>16841</v>
      </c>
      <c r="R6" s="3731"/>
      <c r="S6" s="3574"/>
      <c r="T6" s="3738">
        <v>5268</v>
      </c>
      <c r="U6" s="3739">
        <v>3530</v>
      </c>
      <c r="V6" s="3739">
        <v>2130</v>
      </c>
      <c r="W6" s="3739">
        <v>106</v>
      </c>
      <c r="X6" s="3739">
        <v>458</v>
      </c>
      <c r="Y6" s="3739">
        <v>128</v>
      </c>
      <c r="Z6" s="3740">
        <f>SUM(T6:Y6)</f>
        <v>11620</v>
      </c>
    </row>
    <row r="7" spans="1:43" s="3580" customFormat="1" ht="25.35" customHeight="1" x14ac:dyDescent="0.3">
      <c r="A7" s="3744" t="s">
        <v>134</v>
      </c>
      <c r="B7" s="3745"/>
      <c r="C7" s="3746"/>
      <c r="D7" s="3746"/>
      <c r="E7" s="3746"/>
      <c r="F7" s="3746"/>
      <c r="G7" s="3746"/>
      <c r="H7" s="3747"/>
      <c r="I7" s="5003"/>
      <c r="J7" s="3574"/>
      <c r="K7" s="3745"/>
      <c r="L7" s="3746"/>
      <c r="M7" s="3746"/>
      <c r="N7" s="3746"/>
      <c r="O7" s="3746"/>
      <c r="P7" s="3746"/>
      <c r="Q7" s="3747"/>
      <c r="R7" s="3731"/>
      <c r="S7" s="3574"/>
      <c r="T7" s="3745"/>
      <c r="U7" s="3746"/>
      <c r="V7" s="3746"/>
      <c r="W7" s="3746"/>
      <c r="X7" s="3746"/>
      <c r="Y7" s="3746"/>
      <c r="Z7" s="3747"/>
    </row>
    <row r="8" spans="1:43" s="3580" customFormat="1" ht="25.35" customHeight="1" x14ac:dyDescent="0.3">
      <c r="A8" s="3751" t="s">
        <v>135</v>
      </c>
      <c r="B8" s="3752">
        <v>7061</v>
      </c>
      <c r="C8" s="3753">
        <v>3852</v>
      </c>
      <c r="D8" s="3753">
        <v>2964</v>
      </c>
      <c r="E8" s="3753">
        <v>166</v>
      </c>
      <c r="F8" s="3753">
        <v>361</v>
      </c>
      <c r="G8" s="3753">
        <v>23</v>
      </c>
      <c r="H8" s="3754">
        <f>SUM(B8:G8)</f>
        <v>14427</v>
      </c>
      <c r="I8" s="5003"/>
      <c r="J8" s="3574"/>
      <c r="K8" s="3752">
        <v>7186</v>
      </c>
      <c r="L8" s="3753">
        <v>4062</v>
      </c>
      <c r="M8" s="3753">
        <v>3131</v>
      </c>
      <c r="N8" s="3753">
        <v>145</v>
      </c>
      <c r="O8" s="3753">
        <v>353</v>
      </c>
      <c r="P8" s="3753">
        <v>29</v>
      </c>
      <c r="Q8" s="3754">
        <f>SUM(K8:P8)</f>
        <v>14906</v>
      </c>
      <c r="R8" s="3731"/>
      <c r="S8" s="3574"/>
      <c r="T8" s="3752">
        <v>6643</v>
      </c>
      <c r="U8" s="3753">
        <v>4560</v>
      </c>
      <c r="V8" s="3753">
        <v>3946</v>
      </c>
      <c r="W8" s="3753">
        <v>161</v>
      </c>
      <c r="X8" s="3753">
        <v>414</v>
      </c>
      <c r="Y8" s="3753">
        <v>47</v>
      </c>
      <c r="Z8" s="3754">
        <f>SUM(T8:Y8)</f>
        <v>15771</v>
      </c>
    </row>
    <row r="9" spans="1:43" s="3580" customFormat="1" ht="25.35" customHeight="1" x14ac:dyDescent="0.3">
      <c r="A9" s="3756" t="s">
        <v>137</v>
      </c>
      <c r="B9" s="3757">
        <v>5019</v>
      </c>
      <c r="C9" s="3758">
        <v>3416</v>
      </c>
      <c r="D9" s="3758">
        <v>3932</v>
      </c>
      <c r="E9" s="3758">
        <v>136</v>
      </c>
      <c r="F9" s="3758">
        <v>423</v>
      </c>
      <c r="G9" s="3758">
        <v>247</v>
      </c>
      <c r="H9" s="3759">
        <f>SUM(B9:G9)</f>
        <v>13173</v>
      </c>
      <c r="I9" s="5003"/>
      <c r="J9" s="3574"/>
      <c r="K9" s="3757">
        <v>6399</v>
      </c>
      <c r="L9" s="3758">
        <v>4064</v>
      </c>
      <c r="M9" s="3758">
        <v>4589</v>
      </c>
      <c r="N9" s="3758">
        <v>138</v>
      </c>
      <c r="O9" s="3758">
        <v>588</v>
      </c>
      <c r="P9" s="3758">
        <v>255</v>
      </c>
      <c r="Q9" s="3759">
        <f>SUM(K9:P9)</f>
        <v>16033</v>
      </c>
      <c r="R9" s="3731"/>
      <c r="S9" s="3574"/>
      <c r="T9" s="3757">
        <v>3810</v>
      </c>
      <c r="U9" s="3758">
        <v>3907</v>
      </c>
      <c r="V9" s="3758">
        <v>4278</v>
      </c>
      <c r="W9" s="3758">
        <v>100</v>
      </c>
      <c r="X9" s="3758">
        <v>461</v>
      </c>
      <c r="Y9" s="3758">
        <v>162</v>
      </c>
      <c r="Z9" s="3759">
        <f>SUM(T9:Y9)</f>
        <v>12718</v>
      </c>
    </row>
    <row r="10" spans="1:43" s="3425" customFormat="1" ht="25.35" customHeight="1" x14ac:dyDescent="0.3">
      <c r="A10" s="3761" t="s">
        <v>431</v>
      </c>
      <c r="B10" s="3762">
        <f t="shared" ref="B10:H10" si="0">SUM(B6:B9)</f>
        <v>19851</v>
      </c>
      <c r="C10" s="3763">
        <f t="shared" si="0"/>
        <v>10216</v>
      </c>
      <c r="D10" s="3763">
        <f t="shared" si="0"/>
        <v>8826</v>
      </c>
      <c r="E10" s="3763">
        <f t="shared" si="0"/>
        <v>415</v>
      </c>
      <c r="F10" s="3763">
        <f t="shared" si="0"/>
        <v>1151</v>
      </c>
      <c r="G10" s="3763">
        <f t="shared" si="0"/>
        <v>413</v>
      </c>
      <c r="H10" s="3784">
        <f t="shared" si="0"/>
        <v>40872</v>
      </c>
      <c r="I10" s="5003"/>
      <c r="J10" s="3574"/>
      <c r="K10" s="3762">
        <f t="shared" ref="K10:Q10" si="1">SUM(K6:K9)</f>
        <v>23668</v>
      </c>
      <c r="L10" s="3763">
        <f t="shared" si="1"/>
        <v>11832</v>
      </c>
      <c r="M10" s="3763">
        <f t="shared" si="1"/>
        <v>10048</v>
      </c>
      <c r="N10" s="3763">
        <f t="shared" si="1"/>
        <v>406</v>
      </c>
      <c r="O10" s="3763">
        <f t="shared" si="1"/>
        <v>1408</v>
      </c>
      <c r="P10" s="3763">
        <f t="shared" si="1"/>
        <v>418</v>
      </c>
      <c r="Q10" s="3784">
        <f t="shared" si="1"/>
        <v>47780</v>
      </c>
      <c r="R10" s="3731"/>
      <c r="S10" s="3574"/>
      <c r="T10" s="3762">
        <f t="shared" ref="T10:Y10" si="2">SUM(T6:T9)</f>
        <v>15721</v>
      </c>
      <c r="U10" s="3763">
        <f t="shared" si="2"/>
        <v>11997</v>
      </c>
      <c r="V10" s="3763">
        <f t="shared" si="2"/>
        <v>10354</v>
      </c>
      <c r="W10" s="3763">
        <f t="shared" si="2"/>
        <v>367</v>
      </c>
      <c r="X10" s="3763">
        <f t="shared" si="2"/>
        <v>1333</v>
      </c>
      <c r="Y10" s="3763">
        <f t="shared" si="2"/>
        <v>337</v>
      </c>
      <c r="Z10" s="3784">
        <f>SUM(T10:Y10)</f>
        <v>40109</v>
      </c>
    </row>
    <row r="11" spans="1:43" ht="17.399999999999999" x14ac:dyDescent="0.3">
      <c r="A11" s="3767" t="s">
        <v>956</v>
      </c>
      <c r="I11" s="5003"/>
      <c r="R11" s="3731"/>
    </row>
    <row r="12" spans="1:43" ht="17.399999999999999" x14ac:dyDescent="0.3">
      <c r="A12" s="3785"/>
      <c r="I12" s="5003"/>
      <c r="R12" s="3731"/>
    </row>
    <row r="13" spans="1:43" ht="17.399999999999999" x14ac:dyDescent="0.3">
      <c r="I13" s="5003"/>
      <c r="R13" s="3731"/>
    </row>
    <row r="14" spans="1:43" ht="15" customHeight="1" x14ac:dyDescent="0.3">
      <c r="A14" s="6205" t="s">
        <v>946</v>
      </c>
      <c r="B14" s="6201">
        <v>2006</v>
      </c>
      <c r="C14" s="6202"/>
      <c r="D14" s="6202"/>
      <c r="E14" s="6202"/>
      <c r="F14" s="6202"/>
      <c r="G14" s="6202"/>
      <c r="H14" s="6203"/>
      <c r="I14" s="5003"/>
      <c r="K14" s="6201">
        <v>2007</v>
      </c>
      <c r="L14" s="6202"/>
      <c r="M14" s="6202"/>
      <c r="N14" s="6202"/>
      <c r="O14" s="6202"/>
      <c r="P14" s="6202"/>
      <c r="Q14" s="6203"/>
      <c r="R14" s="3731"/>
      <c r="T14" s="6201">
        <v>2008</v>
      </c>
      <c r="U14" s="6202"/>
      <c r="V14" s="6202"/>
      <c r="W14" s="6202"/>
      <c r="X14" s="6202"/>
      <c r="Y14" s="6202"/>
      <c r="Z14" s="6203"/>
    </row>
    <row r="15" spans="1:43" ht="40.35" customHeight="1" x14ac:dyDescent="0.3">
      <c r="A15" s="6206"/>
      <c r="B15" s="3771" t="s">
        <v>947</v>
      </c>
      <c r="C15" s="3732" t="s">
        <v>948</v>
      </c>
      <c r="D15" s="3732" t="s">
        <v>949</v>
      </c>
      <c r="E15" s="3732" t="s">
        <v>950</v>
      </c>
      <c r="F15" s="3732" t="s">
        <v>951</v>
      </c>
      <c r="G15" s="3772" t="s">
        <v>952</v>
      </c>
      <c r="H15" s="3733" t="s">
        <v>279</v>
      </c>
      <c r="I15" s="5003"/>
      <c r="K15" s="3732" t="s">
        <v>947</v>
      </c>
      <c r="L15" s="3732" t="s">
        <v>948</v>
      </c>
      <c r="M15" s="3732" t="s">
        <v>949</v>
      </c>
      <c r="N15" s="3732" t="s">
        <v>950</v>
      </c>
      <c r="O15" s="3732" t="s">
        <v>951</v>
      </c>
      <c r="P15" s="3732" t="s">
        <v>952</v>
      </c>
      <c r="Q15" s="3733" t="s">
        <v>279</v>
      </c>
      <c r="R15" s="3731"/>
      <c r="T15" s="3732" t="s">
        <v>947</v>
      </c>
      <c r="U15" s="3732" t="s">
        <v>948</v>
      </c>
      <c r="V15" s="3732" t="s">
        <v>949</v>
      </c>
      <c r="W15" s="3732" t="s">
        <v>950</v>
      </c>
      <c r="X15" s="3732" t="s">
        <v>951</v>
      </c>
      <c r="Y15" s="3732" t="s">
        <v>952</v>
      </c>
      <c r="Z15" s="3733" t="s">
        <v>279</v>
      </c>
      <c r="AA15" s="3513"/>
    </row>
    <row r="16" spans="1:43" ht="25.35" customHeight="1" x14ac:dyDescent="0.3">
      <c r="A16" s="3737" t="s">
        <v>138</v>
      </c>
      <c r="B16" s="3738">
        <v>4732</v>
      </c>
      <c r="C16" s="3739">
        <v>3024</v>
      </c>
      <c r="D16" s="3739">
        <v>2846</v>
      </c>
      <c r="E16" s="3739">
        <v>89</v>
      </c>
      <c r="F16" s="3739">
        <v>436</v>
      </c>
      <c r="G16" s="3739">
        <v>212</v>
      </c>
      <c r="H16" s="3740">
        <f>SUM(B16:G16)</f>
        <v>11339</v>
      </c>
      <c r="I16" s="5003"/>
      <c r="K16" s="3738">
        <v>5367</v>
      </c>
      <c r="L16" s="3739">
        <v>2381</v>
      </c>
      <c r="M16" s="3739">
        <v>1970</v>
      </c>
      <c r="N16" s="3739">
        <v>108</v>
      </c>
      <c r="O16" s="3739">
        <v>478</v>
      </c>
      <c r="P16" s="3739">
        <v>197</v>
      </c>
      <c r="Q16" s="3740">
        <f>SUM(K16:P16)</f>
        <v>10501</v>
      </c>
      <c r="R16" s="3731"/>
      <c r="T16" s="3738">
        <v>4909</v>
      </c>
      <c r="U16" s="3739">
        <v>3135</v>
      </c>
      <c r="V16" s="3739">
        <v>2271</v>
      </c>
      <c r="W16" s="3739">
        <v>95</v>
      </c>
      <c r="X16" s="3739">
        <v>498</v>
      </c>
      <c r="Y16" s="3739">
        <v>156</v>
      </c>
      <c r="Z16" s="3740">
        <f>SUM(T16:Y16)</f>
        <v>11064</v>
      </c>
      <c r="AA16" s="3580"/>
      <c r="AD16" s="3574" t="s">
        <v>958</v>
      </c>
    </row>
    <row r="17" spans="1:29" ht="25.35" customHeight="1" x14ac:dyDescent="0.3">
      <c r="A17" s="3744" t="s">
        <v>134</v>
      </c>
      <c r="B17" s="3752"/>
      <c r="C17" s="3753">
        <v>18</v>
      </c>
      <c r="D17" s="3753"/>
      <c r="E17" s="3753"/>
      <c r="F17" s="3753"/>
      <c r="G17" s="3753"/>
      <c r="H17" s="3773">
        <f>SUM(B17:G17)</f>
        <v>18</v>
      </c>
      <c r="I17" s="5003"/>
      <c r="K17" s="3752">
        <v>432</v>
      </c>
      <c r="L17" s="3753">
        <v>139</v>
      </c>
      <c r="M17" s="3753">
        <v>204</v>
      </c>
      <c r="N17" s="3753">
        <v>27</v>
      </c>
      <c r="O17" s="3753">
        <v>35</v>
      </c>
      <c r="P17" s="3753">
        <v>8</v>
      </c>
      <c r="Q17" s="3773">
        <f>SUM(K17:P17)</f>
        <v>845</v>
      </c>
      <c r="R17" s="3731"/>
      <c r="T17" s="3752">
        <v>769</v>
      </c>
      <c r="U17" s="3753">
        <v>396</v>
      </c>
      <c r="V17" s="3753">
        <v>524</v>
      </c>
      <c r="W17" s="3753">
        <v>34</v>
      </c>
      <c r="X17" s="3753">
        <v>112</v>
      </c>
      <c r="Y17" s="3753">
        <v>6</v>
      </c>
      <c r="Z17" s="3773">
        <f>SUM(T17:Y17)</f>
        <v>1841</v>
      </c>
      <c r="AA17" s="3580"/>
    </row>
    <row r="18" spans="1:29" ht="25.35" customHeight="1" x14ac:dyDescent="0.3">
      <c r="A18" s="3751" t="s">
        <v>135</v>
      </c>
      <c r="B18" s="3752">
        <v>6189</v>
      </c>
      <c r="C18" s="3753">
        <v>4351</v>
      </c>
      <c r="D18" s="3753">
        <v>3324</v>
      </c>
      <c r="E18" s="3753">
        <v>126</v>
      </c>
      <c r="F18" s="3753">
        <v>527</v>
      </c>
      <c r="G18" s="3753">
        <v>46</v>
      </c>
      <c r="H18" s="3754">
        <f>SUM(B18:G18)</f>
        <v>14563</v>
      </c>
      <c r="I18" s="5003"/>
      <c r="K18" s="3752">
        <v>7316</v>
      </c>
      <c r="L18" s="3753">
        <v>4166</v>
      </c>
      <c r="M18" s="3753">
        <v>3684</v>
      </c>
      <c r="N18" s="3753">
        <v>162</v>
      </c>
      <c r="O18" s="3753">
        <v>574</v>
      </c>
      <c r="P18" s="3753">
        <v>40</v>
      </c>
      <c r="Q18" s="3754">
        <f>SUM(K18:P18)</f>
        <v>15942</v>
      </c>
      <c r="R18" s="3731"/>
      <c r="T18" s="3752">
        <v>6825</v>
      </c>
      <c r="U18" s="3753">
        <v>4435</v>
      </c>
      <c r="V18" s="3753">
        <v>3629</v>
      </c>
      <c r="W18" s="3753">
        <v>157</v>
      </c>
      <c r="X18" s="3753">
        <v>440</v>
      </c>
      <c r="Y18" s="3753">
        <v>55</v>
      </c>
      <c r="Z18" s="3754">
        <f>SUM(T18:Y18)</f>
        <v>15541</v>
      </c>
      <c r="AA18" s="3580"/>
    </row>
    <row r="19" spans="1:29" ht="25.35" customHeight="1" x14ac:dyDescent="0.3">
      <c r="A19" s="3756" t="s">
        <v>137</v>
      </c>
      <c r="B19" s="3757">
        <v>3873</v>
      </c>
      <c r="C19" s="3758">
        <v>3527</v>
      </c>
      <c r="D19" s="3758">
        <v>4324</v>
      </c>
      <c r="E19" s="3758">
        <v>126</v>
      </c>
      <c r="F19" s="3758">
        <v>466</v>
      </c>
      <c r="G19" s="3758">
        <v>157</v>
      </c>
      <c r="H19" s="3759">
        <f>SUM(B19:G19)</f>
        <v>12473</v>
      </c>
      <c r="I19" s="5003"/>
      <c r="K19" s="3757">
        <v>4430</v>
      </c>
      <c r="L19" s="3758">
        <v>3622</v>
      </c>
      <c r="M19" s="3758">
        <v>4269</v>
      </c>
      <c r="N19" s="3758">
        <v>144</v>
      </c>
      <c r="O19" s="3758">
        <v>488</v>
      </c>
      <c r="P19" s="3758">
        <v>177</v>
      </c>
      <c r="Q19" s="3759">
        <f>SUM(K19:P19)</f>
        <v>13130</v>
      </c>
      <c r="R19" s="3731"/>
      <c r="T19" s="3757">
        <v>4469</v>
      </c>
      <c r="U19" s="3758">
        <v>3896</v>
      </c>
      <c r="V19" s="3758">
        <v>3786</v>
      </c>
      <c r="W19" s="3758">
        <v>117</v>
      </c>
      <c r="X19" s="3758">
        <v>521</v>
      </c>
      <c r="Y19" s="3758">
        <v>115</v>
      </c>
      <c r="Z19" s="3759">
        <f>SUM(T19:Y19)</f>
        <v>12904</v>
      </c>
      <c r="AA19" s="3580"/>
    </row>
    <row r="20" spans="1:29" ht="25.35" customHeight="1" x14ac:dyDescent="0.3">
      <c r="A20" s="3761" t="s">
        <v>431</v>
      </c>
      <c r="B20" s="3762">
        <f t="shared" ref="B20:P20" si="3">SUM(B16:B19)</f>
        <v>14794</v>
      </c>
      <c r="C20" s="3763">
        <f t="shared" si="3"/>
        <v>10920</v>
      </c>
      <c r="D20" s="3763">
        <f t="shared" si="3"/>
        <v>10494</v>
      </c>
      <c r="E20" s="3763">
        <f t="shared" si="3"/>
        <v>341</v>
      </c>
      <c r="F20" s="3763">
        <f t="shared" si="3"/>
        <v>1429</v>
      </c>
      <c r="G20" s="3763">
        <f t="shared" si="3"/>
        <v>415</v>
      </c>
      <c r="H20" s="3784">
        <f>SUM(H16:H19)</f>
        <v>38393</v>
      </c>
      <c r="I20" s="5003"/>
      <c r="K20" s="3762">
        <f t="shared" si="3"/>
        <v>17545</v>
      </c>
      <c r="L20" s="3763">
        <f t="shared" si="3"/>
        <v>10308</v>
      </c>
      <c r="M20" s="3763">
        <f t="shared" si="3"/>
        <v>10127</v>
      </c>
      <c r="N20" s="3763">
        <f t="shared" si="3"/>
        <v>441</v>
      </c>
      <c r="O20" s="3763">
        <f t="shared" si="3"/>
        <v>1575</v>
      </c>
      <c r="P20" s="3763">
        <f t="shared" si="3"/>
        <v>422</v>
      </c>
      <c r="Q20" s="3784">
        <f>SUM(Q16:Q19)</f>
        <v>40418</v>
      </c>
      <c r="R20" s="3731"/>
      <c r="T20" s="3762">
        <f t="shared" ref="T20:Y20" si="4">SUM(T16:T19)</f>
        <v>16972</v>
      </c>
      <c r="U20" s="3763">
        <f t="shared" si="4"/>
        <v>11862</v>
      </c>
      <c r="V20" s="3763">
        <f t="shared" si="4"/>
        <v>10210</v>
      </c>
      <c r="W20" s="3763">
        <f t="shared" si="4"/>
        <v>403</v>
      </c>
      <c r="X20" s="3763">
        <f t="shared" si="4"/>
        <v>1571</v>
      </c>
      <c r="Y20" s="3763">
        <f t="shared" si="4"/>
        <v>332</v>
      </c>
      <c r="Z20" s="3784">
        <f>SUM(T20:Y20)</f>
        <v>41350</v>
      </c>
      <c r="AC20" s="3774"/>
    </row>
    <row r="21" spans="1:29" ht="17.399999999999999" x14ac:dyDescent="0.3">
      <c r="A21" s="3767" t="s">
        <v>956</v>
      </c>
      <c r="I21" s="5003"/>
      <c r="R21" s="3731"/>
    </row>
    <row r="22" spans="1:29" ht="17.399999999999999" x14ac:dyDescent="0.3">
      <c r="A22" s="3767"/>
      <c r="I22" s="5003"/>
      <c r="R22" s="3731"/>
    </row>
    <row r="23" spans="1:29" ht="17.399999999999999" x14ac:dyDescent="0.3">
      <c r="I23" s="5003"/>
      <c r="R23" s="3731"/>
    </row>
    <row r="24" spans="1:29" ht="15" customHeight="1" x14ac:dyDescent="0.3">
      <c r="A24" s="6200" t="s">
        <v>946</v>
      </c>
      <c r="B24" s="6201">
        <v>2009</v>
      </c>
      <c r="C24" s="6202"/>
      <c r="D24" s="6202"/>
      <c r="E24" s="6202"/>
      <c r="F24" s="6202"/>
      <c r="G24" s="6202"/>
      <c r="H24" s="6203"/>
      <c r="I24" s="5003"/>
      <c r="K24" s="6201">
        <v>2010</v>
      </c>
      <c r="L24" s="6202"/>
      <c r="M24" s="6202"/>
      <c r="N24" s="6202"/>
      <c r="O24" s="6202"/>
      <c r="P24" s="6202"/>
      <c r="Q24" s="6203"/>
      <c r="R24" s="3731"/>
      <c r="T24" s="6201">
        <v>2011</v>
      </c>
      <c r="U24" s="6202"/>
      <c r="V24" s="6202"/>
      <c r="W24" s="6202"/>
      <c r="X24" s="6202"/>
      <c r="Y24" s="6202"/>
      <c r="Z24" s="6203"/>
    </row>
    <row r="25" spans="1:29" ht="30.6" x14ac:dyDescent="0.3">
      <c r="A25" s="6200"/>
      <c r="B25" s="3771" t="s">
        <v>947</v>
      </c>
      <c r="C25" s="3732" t="s">
        <v>948</v>
      </c>
      <c r="D25" s="3732" t="s">
        <v>949</v>
      </c>
      <c r="E25" s="3732" t="s">
        <v>950</v>
      </c>
      <c r="F25" s="3732" t="s">
        <v>951</v>
      </c>
      <c r="G25" s="3772" t="s">
        <v>952</v>
      </c>
      <c r="H25" s="3733" t="s">
        <v>279</v>
      </c>
      <c r="I25" s="5003"/>
      <c r="K25" s="3786" t="s">
        <v>947</v>
      </c>
      <c r="L25" s="3732" t="s">
        <v>948</v>
      </c>
      <c r="M25" s="3732" t="s">
        <v>949</v>
      </c>
      <c r="N25" s="3732" t="s">
        <v>950</v>
      </c>
      <c r="O25" s="3732" t="s">
        <v>951</v>
      </c>
      <c r="P25" s="3772" t="s">
        <v>952</v>
      </c>
      <c r="Q25" s="3733" t="s">
        <v>279</v>
      </c>
      <c r="R25" s="3731"/>
      <c r="T25" s="3786" t="s">
        <v>947</v>
      </c>
      <c r="U25" s="3732" t="s">
        <v>948</v>
      </c>
      <c r="V25" s="3732" t="s">
        <v>949</v>
      </c>
      <c r="W25" s="3732" t="s">
        <v>950</v>
      </c>
      <c r="X25" s="3732" t="s">
        <v>951</v>
      </c>
      <c r="Y25" s="3772" t="s">
        <v>952</v>
      </c>
      <c r="Z25" s="3733" t="s">
        <v>279</v>
      </c>
    </row>
    <row r="26" spans="1:29" ht="24.75" customHeight="1" x14ac:dyDescent="0.3">
      <c r="A26" s="3737" t="s">
        <v>138</v>
      </c>
      <c r="B26" s="3738">
        <v>6372</v>
      </c>
      <c r="C26" s="3739">
        <v>3437</v>
      </c>
      <c r="D26" s="3739">
        <v>2113</v>
      </c>
      <c r="E26" s="3739">
        <v>128</v>
      </c>
      <c r="F26" s="3739">
        <v>530</v>
      </c>
      <c r="G26" s="3739">
        <v>250</v>
      </c>
      <c r="H26" s="3740">
        <f>SUM(B26:G26)</f>
        <v>12830</v>
      </c>
      <c r="I26" s="5003"/>
      <c r="K26" s="3738">
        <v>6639</v>
      </c>
      <c r="L26" s="3739">
        <v>3804</v>
      </c>
      <c r="M26" s="3739">
        <v>2485</v>
      </c>
      <c r="N26" s="3739">
        <v>120</v>
      </c>
      <c r="O26" s="3739">
        <v>775</v>
      </c>
      <c r="P26" s="3739">
        <v>139</v>
      </c>
      <c r="Q26" s="3740">
        <f>SUM(K26:P26)</f>
        <v>13962</v>
      </c>
      <c r="R26" s="3731"/>
      <c r="T26" s="3738">
        <v>6980</v>
      </c>
      <c r="U26" s="3739">
        <v>4504</v>
      </c>
      <c r="V26" s="3739">
        <v>2691</v>
      </c>
      <c r="W26" s="3739">
        <v>129</v>
      </c>
      <c r="X26" s="3739">
        <v>777</v>
      </c>
      <c r="Y26" s="3739">
        <v>186</v>
      </c>
      <c r="Z26" s="3740">
        <f>SUM(T26:Y26)</f>
        <v>15267</v>
      </c>
    </row>
    <row r="27" spans="1:29" ht="24.75" customHeight="1" x14ac:dyDescent="0.3">
      <c r="A27" s="3744" t="s">
        <v>134</v>
      </c>
      <c r="B27" s="3752">
        <v>596</v>
      </c>
      <c r="C27" s="3753">
        <v>420</v>
      </c>
      <c r="D27" s="3753">
        <v>479</v>
      </c>
      <c r="E27" s="3753">
        <v>41</v>
      </c>
      <c r="F27" s="3753">
        <v>112</v>
      </c>
      <c r="G27" s="3753">
        <v>8</v>
      </c>
      <c r="H27" s="3773">
        <f>SUM(B27:G27)</f>
        <v>1656</v>
      </c>
      <c r="I27" s="5003"/>
      <c r="K27" s="3752">
        <v>930</v>
      </c>
      <c r="L27" s="3753">
        <v>632</v>
      </c>
      <c r="M27" s="3753">
        <v>615</v>
      </c>
      <c r="N27" s="3753">
        <v>62</v>
      </c>
      <c r="O27" s="3753">
        <v>205</v>
      </c>
      <c r="P27" s="3753">
        <v>21</v>
      </c>
      <c r="Q27" s="3773">
        <f>SUM(K27:P27)</f>
        <v>2465</v>
      </c>
      <c r="R27" s="3731"/>
      <c r="T27" s="3752">
        <v>981</v>
      </c>
      <c r="U27" s="3753">
        <v>733</v>
      </c>
      <c r="V27" s="3753">
        <v>621</v>
      </c>
      <c r="W27" s="3753">
        <v>41</v>
      </c>
      <c r="X27" s="3753">
        <v>173</v>
      </c>
      <c r="Y27" s="3753">
        <v>28</v>
      </c>
      <c r="Z27" s="3773">
        <f>SUM(T27:Y27)</f>
        <v>2577</v>
      </c>
    </row>
    <row r="28" spans="1:29" ht="24.75" customHeight="1" x14ac:dyDescent="0.3">
      <c r="A28" s="3751" t="s">
        <v>135</v>
      </c>
      <c r="B28" s="3752">
        <v>7160</v>
      </c>
      <c r="C28" s="3753">
        <v>4650</v>
      </c>
      <c r="D28" s="3753">
        <v>3612</v>
      </c>
      <c r="E28" s="3753">
        <v>154</v>
      </c>
      <c r="F28" s="3753">
        <v>393</v>
      </c>
      <c r="G28" s="3753">
        <v>64</v>
      </c>
      <c r="H28" s="3754">
        <f>SUM(B28:G28)</f>
        <v>16033</v>
      </c>
      <c r="I28" s="5003"/>
      <c r="K28" s="3752">
        <v>7779</v>
      </c>
      <c r="L28" s="3753">
        <v>4618</v>
      </c>
      <c r="M28" s="3753">
        <v>4024</v>
      </c>
      <c r="N28" s="3753">
        <v>153</v>
      </c>
      <c r="O28" s="3753">
        <v>467</v>
      </c>
      <c r="P28" s="3753">
        <v>88</v>
      </c>
      <c r="Q28" s="3754">
        <f>SUM(K28:P28)</f>
        <v>17129</v>
      </c>
      <c r="R28" s="3731"/>
      <c r="T28" s="3752">
        <v>8369</v>
      </c>
      <c r="U28" s="3753">
        <v>4892</v>
      </c>
      <c r="V28" s="3753">
        <v>3936</v>
      </c>
      <c r="W28" s="3753">
        <v>193</v>
      </c>
      <c r="X28" s="3753">
        <v>509</v>
      </c>
      <c r="Y28" s="3753">
        <v>100</v>
      </c>
      <c r="Z28" s="3754">
        <f>SUM(T28:Y28)</f>
        <v>17999</v>
      </c>
    </row>
    <row r="29" spans="1:29" ht="24.75" customHeight="1" x14ac:dyDescent="0.3">
      <c r="A29" s="3756" t="s">
        <v>137</v>
      </c>
      <c r="B29" s="3757">
        <v>5081</v>
      </c>
      <c r="C29" s="3758">
        <v>4820</v>
      </c>
      <c r="D29" s="3758">
        <v>3818</v>
      </c>
      <c r="E29" s="3758">
        <v>114</v>
      </c>
      <c r="F29" s="3758">
        <v>567</v>
      </c>
      <c r="G29" s="3758">
        <v>205</v>
      </c>
      <c r="H29" s="3759">
        <f>SUM(B29:G29)</f>
        <v>14605</v>
      </c>
      <c r="I29" s="5003"/>
      <c r="K29" s="3757">
        <v>5977</v>
      </c>
      <c r="L29" s="3758">
        <v>5543</v>
      </c>
      <c r="M29" s="3758">
        <v>4256</v>
      </c>
      <c r="N29" s="3758">
        <v>128</v>
      </c>
      <c r="O29" s="3758">
        <v>727</v>
      </c>
      <c r="P29" s="3758">
        <v>201</v>
      </c>
      <c r="Q29" s="3759">
        <f>SUM(K29:P29)</f>
        <v>16832</v>
      </c>
      <c r="R29" s="3731"/>
      <c r="T29" s="3757">
        <v>6454</v>
      </c>
      <c r="U29" s="3758">
        <v>5342</v>
      </c>
      <c r="V29" s="3758">
        <v>4472</v>
      </c>
      <c r="W29" s="3758">
        <v>139</v>
      </c>
      <c r="X29" s="3758">
        <v>725</v>
      </c>
      <c r="Y29" s="3758">
        <v>159</v>
      </c>
      <c r="Z29" s="3759">
        <f>SUM(T29:Y29)</f>
        <v>17291</v>
      </c>
    </row>
    <row r="30" spans="1:29" ht="24.75" customHeight="1" x14ac:dyDescent="0.3">
      <c r="A30" s="3761" t="s">
        <v>431</v>
      </c>
      <c r="B30" s="3762">
        <f t="shared" ref="B30:H30" si="5">SUM(B26:B29)</f>
        <v>19209</v>
      </c>
      <c r="C30" s="3763">
        <f t="shared" si="5"/>
        <v>13327</v>
      </c>
      <c r="D30" s="3763">
        <f t="shared" si="5"/>
        <v>10022</v>
      </c>
      <c r="E30" s="3763">
        <f t="shared" si="5"/>
        <v>437</v>
      </c>
      <c r="F30" s="3763">
        <f t="shared" si="5"/>
        <v>1602</v>
      </c>
      <c r="G30" s="3763">
        <f t="shared" si="5"/>
        <v>527</v>
      </c>
      <c r="H30" s="3784">
        <f t="shared" si="5"/>
        <v>45124</v>
      </c>
      <c r="I30" s="5003"/>
      <c r="K30" s="3762">
        <f t="shared" ref="K30:P30" si="6">SUM(K26:K29)</f>
        <v>21325</v>
      </c>
      <c r="L30" s="3763">
        <f t="shared" si="6"/>
        <v>14597</v>
      </c>
      <c r="M30" s="3763">
        <f t="shared" si="6"/>
        <v>11380</v>
      </c>
      <c r="N30" s="3763">
        <f t="shared" si="6"/>
        <v>463</v>
      </c>
      <c r="O30" s="3763">
        <f t="shared" si="6"/>
        <v>2174</v>
      </c>
      <c r="P30" s="3763">
        <f t="shared" si="6"/>
        <v>449</v>
      </c>
      <c r="Q30" s="3784">
        <f>SUM(K30:P30)</f>
        <v>50388</v>
      </c>
      <c r="R30" s="3731"/>
      <c r="T30" s="3762">
        <f t="shared" ref="T30:Y30" si="7">SUM(T26:T29)</f>
        <v>22784</v>
      </c>
      <c r="U30" s="3763">
        <f t="shared" si="7"/>
        <v>15471</v>
      </c>
      <c r="V30" s="3763">
        <f t="shared" si="7"/>
        <v>11720</v>
      </c>
      <c r="W30" s="3763">
        <f t="shared" si="7"/>
        <v>502</v>
      </c>
      <c r="X30" s="3763">
        <f t="shared" si="7"/>
        <v>2184</v>
      </c>
      <c r="Y30" s="3763">
        <f t="shared" si="7"/>
        <v>473</v>
      </c>
      <c r="Z30" s="3784">
        <f>SUM(T30:Y30)</f>
        <v>53134</v>
      </c>
    </row>
    <row r="31" spans="1:29" ht="17.399999999999999" x14ac:dyDescent="0.3">
      <c r="A31" s="3767" t="s">
        <v>956</v>
      </c>
      <c r="I31" s="5003"/>
      <c r="R31" s="3731"/>
    </row>
    <row r="32" spans="1:29" ht="17.399999999999999" x14ac:dyDescent="0.3">
      <c r="A32" s="3767"/>
      <c r="R32" s="3731"/>
    </row>
    <row r="33" spans="1:26" ht="17.399999999999999" x14ac:dyDescent="0.3">
      <c r="R33" s="3731"/>
    </row>
    <row r="34" spans="1:26" ht="15" customHeight="1" x14ac:dyDescent="0.3">
      <c r="A34" s="6200" t="s">
        <v>946</v>
      </c>
      <c r="B34" s="6201">
        <v>2012</v>
      </c>
      <c r="C34" s="6202"/>
      <c r="D34" s="6202"/>
      <c r="E34" s="6202"/>
      <c r="F34" s="6202"/>
      <c r="G34" s="6202"/>
      <c r="H34" s="6203"/>
      <c r="I34" s="5001"/>
      <c r="K34" s="6201">
        <v>2013</v>
      </c>
      <c r="L34" s="6202"/>
      <c r="M34" s="6202"/>
      <c r="N34" s="6202"/>
      <c r="O34" s="6202"/>
      <c r="P34" s="6202"/>
      <c r="Q34" s="6203"/>
      <c r="R34" s="3731"/>
      <c r="T34" s="6201">
        <v>2014</v>
      </c>
      <c r="U34" s="6202"/>
      <c r="V34" s="6202"/>
      <c r="W34" s="6202"/>
      <c r="X34" s="6202"/>
      <c r="Y34" s="6202"/>
      <c r="Z34" s="6203"/>
    </row>
    <row r="35" spans="1:26" ht="30.6" x14ac:dyDescent="0.3">
      <c r="A35" s="6200"/>
      <c r="B35" s="3771" t="s">
        <v>947</v>
      </c>
      <c r="C35" s="3732" t="s">
        <v>948</v>
      </c>
      <c r="D35" s="3732" t="s">
        <v>949</v>
      </c>
      <c r="E35" s="3732" t="s">
        <v>950</v>
      </c>
      <c r="F35" s="3732" t="s">
        <v>951</v>
      </c>
      <c r="G35" s="3772" t="s">
        <v>952</v>
      </c>
      <c r="H35" s="3733" t="s">
        <v>279</v>
      </c>
      <c r="I35" s="5002"/>
      <c r="K35" s="3786" t="s">
        <v>947</v>
      </c>
      <c r="L35" s="3732" t="s">
        <v>948</v>
      </c>
      <c r="M35" s="3732" t="s">
        <v>949</v>
      </c>
      <c r="N35" s="3732" t="s">
        <v>950</v>
      </c>
      <c r="O35" s="3732" t="s">
        <v>951</v>
      </c>
      <c r="P35" s="3772" t="s">
        <v>952</v>
      </c>
      <c r="Q35" s="3733" t="s">
        <v>279</v>
      </c>
      <c r="R35" s="3731"/>
      <c r="T35" s="3786" t="s">
        <v>947</v>
      </c>
      <c r="U35" s="3732" t="s">
        <v>948</v>
      </c>
      <c r="V35" s="3732" t="s">
        <v>949</v>
      </c>
      <c r="W35" s="3732" t="s">
        <v>950</v>
      </c>
      <c r="X35" s="3732" t="s">
        <v>951</v>
      </c>
      <c r="Y35" s="3772" t="s">
        <v>952</v>
      </c>
      <c r="Z35" s="3733" t="s">
        <v>279</v>
      </c>
    </row>
    <row r="36" spans="1:26" ht="24.75" customHeight="1" x14ac:dyDescent="0.3">
      <c r="A36" s="3737" t="s">
        <v>138</v>
      </c>
      <c r="B36" s="3738">
        <v>6292</v>
      </c>
      <c r="C36" s="3739">
        <v>3771</v>
      </c>
      <c r="D36" s="3739">
        <v>2835</v>
      </c>
      <c r="E36" s="3739">
        <v>92</v>
      </c>
      <c r="F36" s="3739">
        <v>790</v>
      </c>
      <c r="G36" s="3739">
        <v>231</v>
      </c>
      <c r="H36" s="3740">
        <f>SUM(B36:G36)</f>
        <v>14011</v>
      </c>
      <c r="I36" s="5003"/>
      <c r="K36" s="3738">
        <v>8099</v>
      </c>
      <c r="L36" s="3739">
        <v>4808</v>
      </c>
      <c r="M36" s="3739">
        <v>2546</v>
      </c>
      <c r="N36" s="3739">
        <v>100</v>
      </c>
      <c r="O36" s="3739">
        <v>736</v>
      </c>
      <c r="P36" s="3739">
        <v>264</v>
      </c>
      <c r="Q36" s="3740">
        <f>SUM(K36:P36)</f>
        <v>16553</v>
      </c>
      <c r="R36" s="3731"/>
      <c r="T36" s="3738">
        <v>7729</v>
      </c>
      <c r="U36" s="3739">
        <v>4141</v>
      </c>
      <c r="V36" s="3739">
        <v>2755</v>
      </c>
      <c r="W36" s="3739">
        <v>89</v>
      </c>
      <c r="X36" s="3739">
        <v>864</v>
      </c>
      <c r="Y36" s="3739">
        <v>331</v>
      </c>
      <c r="Z36" s="3740">
        <f>SUM(T36:Y36)</f>
        <v>15909</v>
      </c>
    </row>
    <row r="37" spans="1:26" ht="24.75" customHeight="1" x14ac:dyDescent="0.3">
      <c r="A37" s="3744" t="s">
        <v>134</v>
      </c>
      <c r="B37" s="3752">
        <v>1159</v>
      </c>
      <c r="C37" s="3753">
        <v>654</v>
      </c>
      <c r="D37" s="3753">
        <v>573</v>
      </c>
      <c r="E37" s="3753">
        <v>14</v>
      </c>
      <c r="F37" s="3753">
        <v>254</v>
      </c>
      <c r="G37" s="3753">
        <v>60</v>
      </c>
      <c r="H37" s="3773">
        <f>SUM(B37:G37)</f>
        <v>2714</v>
      </c>
      <c r="I37" s="5005"/>
      <c r="K37" s="3752">
        <v>1574</v>
      </c>
      <c r="L37" s="3753">
        <v>929</v>
      </c>
      <c r="M37" s="3753">
        <v>1028</v>
      </c>
      <c r="N37" s="3753">
        <v>23</v>
      </c>
      <c r="O37" s="3753">
        <v>239</v>
      </c>
      <c r="P37" s="3753">
        <v>41</v>
      </c>
      <c r="Q37" s="3773">
        <f>SUM(K37:P37)</f>
        <v>3834</v>
      </c>
      <c r="R37" s="3731"/>
      <c r="T37" s="3752">
        <v>1297</v>
      </c>
      <c r="U37" s="3753">
        <v>687</v>
      </c>
      <c r="V37" s="3753">
        <v>637</v>
      </c>
      <c r="W37" s="3753">
        <v>9</v>
      </c>
      <c r="X37" s="3753">
        <v>213</v>
      </c>
      <c r="Y37" s="3753">
        <v>33</v>
      </c>
      <c r="Z37" s="3773">
        <f>SUM(T37:Y37)</f>
        <v>2876</v>
      </c>
    </row>
    <row r="38" spans="1:26" ht="24.75" customHeight="1" x14ac:dyDescent="0.3">
      <c r="A38" s="3751" t="s">
        <v>135</v>
      </c>
      <c r="B38" s="3752">
        <v>9010</v>
      </c>
      <c r="C38" s="3753">
        <v>4850</v>
      </c>
      <c r="D38" s="3753">
        <v>4304</v>
      </c>
      <c r="E38" s="3753">
        <v>143</v>
      </c>
      <c r="F38" s="3753">
        <v>464</v>
      </c>
      <c r="G38" s="3753">
        <v>62</v>
      </c>
      <c r="H38" s="3754">
        <f>SUM(B38:G38)</f>
        <v>18833</v>
      </c>
      <c r="I38" s="5004"/>
      <c r="K38" s="3752">
        <v>10019</v>
      </c>
      <c r="L38" s="3753">
        <v>4994</v>
      </c>
      <c r="M38" s="3753">
        <v>4234</v>
      </c>
      <c r="N38" s="3753">
        <v>149</v>
      </c>
      <c r="O38" s="3753">
        <v>521</v>
      </c>
      <c r="P38" s="3753">
        <v>67</v>
      </c>
      <c r="Q38" s="3754">
        <f>SUM(K38:P38)</f>
        <v>19984</v>
      </c>
      <c r="R38" s="3731"/>
      <c r="T38" s="3752">
        <v>8268</v>
      </c>
      <c r="U38" s="3753">
        <v>4923</v>
      </c>
      <c r="V38" s="3753">
        <v>3644</v>
      </c>
      <c r="W38" s="3753">
        <v>127</v>
      </c>
      <c r="X38" s="3753">
        <v>427</v>
      </c>
      <c r="Y38" s="3753">
        <v>89</v>
      </c>
      <c r="Z38" s="3754">
        <f>SUM(T38:Y38)</f>
        <v>17478</v>
      </c>
    </row>
    <row r="39" spans="1:26" ht="24.75" customHeight="1" x14ac:dyDescent="0.3">
      <c r="A39" s="3779" t="s">
        <v>136</v>
      </c>
      <c r="B39" s="3752"/>
      <c r="C39" s="3753"/>
      <c r="D39" s="3753"/>
      <c r="E39" s="3753"/>
      <c r="F39" s="3753"/>
      <c r="G39" s="3753"/>
      <c r="H39" s="3780"/>
      <c r="I39" s="5004"/>
      <c r="K39" s="3752">
        <v>31</v>
      </c>
      <c r="L39" s="3753">
        <v>24</v>
      </c>
      <c r="M39" s="3753">
        <v>14</v>
      </c>
      <c r="N39" s="3753"/>
      <c r="O39" s="3753">
        <v>2</v>
      </c>
      <c r="P39" s="3753"/>
      <c r="Q39" s="3780">
        <f>SUM(K39:P39)</f>
        <v>71</v>
      </c>
      <c r="R39" s="3731"/>
      <c r="T39" s="3752">
        <v>98</v>
      </c>
      <c r="U39" s="3753">
        <v>80</v>
      </c>
      <c r="V39" s="3753">
        <v>68</v>
      </c>
      <c r="W39" s="3753"/>
      <c r="X39" s="3753">
        <v>7</v>
      </c>
      <c r="Y39" s="3753"/>
      <c r="Z39" s="3780">
        <f>SUM(T39:Y39)</f>
        <v>253</v>
      </c>
    </row>
    <row r="40" spans="1:26" ht="24.75" customHeight="1" x14ac:dyDescent="0.3">
      <c r="A40" s="3775" t="s">
        <v>137</v>
      </c>
      <c r="B40" s="3776">
        <v>7746</v>
      </c>
      <c r="C40" s="3777">
        <v>6707</v>
      </c>
      <c r="D40" s="3777">
        <v>6176</v>
      </c>
      <c r="E40" s="3777">
        <v>150</v>
      </c>
      <c r="F40" s="3777">
        <v>845</v>
      </c>
      <c r="G40" s="3777">
        <v>189</v>
      </c>
      <c r="H40" s="3778">
        <f>SUM(B40:G40)</f>
        <v>21813</v>
      </c>
      <c r="I40" s="5004"/>
      <c r="K40" s="3776">
        <v>5711</v>
      </c>
      <c r="L40" s="3777">
        <v>5255</v>
      </c>
      <c r="M40" s="3777">
        <v>4846</v>
      </c>
      <c r="N40" s="3777">
        <v>104</v>
      </c>
      <c r="O40" s="3777">
        <v>731</v>
      </c>
      <c r="P40" s="3777">
        <v>232</v>
      </c>
      <c r="Q40" s="3778">
        <f>SUM(K40:P40)</f>
        <v>16879</v>
      </c>
      <c r="R40" s="3731"/>
      <c r="T40" s="3776">
        <v>6667</v>
      </c>
      <c r="U40" s="3777">
        <v>6503</v>
      </c>
      <c r="V40" s="3777">
        <v>5396</v>
      </c>
      <c r="W40" s="3777">
        <v>116</v>
      </c>
      <c r="X40" s="3777">
        <v>719</v>
      </c>
      <c r="Y40" s="3777">
        <v>165</v>
      </c>
      <c r="Z40" s="3778">
        <f>SUM(T40:Y40)</f>
        <v>19566</v>
      </c>
    </row>
    <row r="41" spans="1:26" ht="24.75" customHeight="1" x14ac:dyDescent="0.3">
      <c r="A41" s="3761" t="s">
        <v>431</v>
      </c>
      <c r="B41" s="3762">
        <f>SUM(B36:B40)</f>
        <v>24207</v>
      </c>
      <c r="C41" s="3763">
        <f t="shared" ref="C41:Q41" si="8">SUM(C36:C40)</f>
        <v>15982</v>
      </c>
      <c r="D41" s="3763">
        <f t="shared" si="8"/>
        <v>13888</v>
      </c>
      <c r="E41" s="3763">
        <f t="shared" si="8"/>
        <v>399</v>
      </c>
      <c r="F41" s="3763">
        <f t="shared" si="8"/>
        <v>2353</v>
      </c>
      <c r="G41" s="3763">
        <f t="shared" si="8"/>
        <v>542</v>
      </c>
      <c r="H41" s="3784">
        <f t="shared" si="8"/>
        <v>57371</v>
      </c>
      <c r="I41" s="5004"/>
      <c r="K41" s="3762">
        <f t="shared" si="8"/>
        <v>25434</v>
      </c>
      <c r="L41" s="3763">
        <f t="shared" si="8"/>
        <v>16010</v>
      </c>
      <c r="M41" s="3763">
        <f t="shared" si="8"/>
        <v>12668</v>
      </c>
      <c r="N41" s="3763">
        <f t="shared" si="8"/>
        <v>376</v>
      </c>
      <c r="O41" s="3763">
        <f t="shared" si="8"/>
        <v>2229</v>
      </c>
      <c r="P41" s="3763">
        <f t="shared" si="8"/>
        <v>604</v>
      </c>
      <c r="Q41" s="3784">
        <f t="shared" si="8"/>
        <v>57321</v>
      </c>
      <c r="R41" s="3731"/>
      <c r="T41" s="3762">
        <f t="shared" ref="T41:Z41" si="9">SUM(T36:T40)</f>
        <v>24059</v>
      </c>
      <c r="U41" s="3763">
        <f t="shared" si="9"/>
        <v>16334</v>
      </c>
      <c r="V41" s="3763">
        <f t="shared" si="9"/>
        <v>12500</v>
      </c>
      <c r="W41" s="3763">
        <f t="shared" si="9"/>
        <v>341</v>
      </c>
      <c r="X41" s="3763">
        <f t="shared" si="9"/>
        <v>2230</v>
      </c>
      <c r="Y41" s="3763">
        <f t="shared" si="9"/>
        <v>618</v>
      </c>
      <c r="Z41" s="3784">
        <f t="shared" si="9"/>
        <v>56082</v>
      </c>
    </row>
    <row r="42" spans="1:26" ht="17.399999999999999" x14ac:dyDescent="0.3">
      <c r="A42" s="3767" t="s">
        <v>956</v>
      </c>
      <c r="I42" s="5004"/>
      <c r="R42" s="3731"/>
    </row>
    <row r="43" spans="1:26" ht="17.399999999999999" x14ac:dyDescent="0.3">
      <c r="A43" s="3731"/>
      <c r="R43" s="3731"/>
    </row>
    <row r="44" spans="1:26" ht="17.399999999999999" x14ac:dyDescent="0.3">
      <c r="A44" s="3767"/>
      <c r="R44" s="3731"/>
    </row>
    <row r="45" spans="1:26" ht="17.399999999999999" x14ac:dyDescent="0.3">
      <c r="A45" s="6200" t="s">
        <v>946</v>
      </c>
      <c r="B45" s="6201">
        <v>2015</v>
      </c>
      <c r="C45" s="6202"/>
      <c r="D45" s="6202"/>
      <c r="E45" s="6202"/>
      <c r="F45" s="6202"/>
      <c r="G45" s="6202"/>
      <c r="H45" s="6203"/>
      <c r="I45" s="5001"/>
      <c r="K45" s="6201">
        <v>2016</v>
      </c>
      <c r="L45" s="6202"/>
      <c r="M45" s="6202"/>
      <c r="N45" s="6202"/>
      <c r="O45" s="6202"/>
      <c r="P45" s="6202"/>
      <c r="Q45" s="6203"/>
      <c r="R45" s="3731"/>
      <c r="T45" s="6201">
        <v>2017</v>
      </c>
      <c r="U45" s="6202"/>
      <c r="V45" s="6202"/>
      <c r="W45" s="6202"/>
      <c r="X45" s="6202"/>
      <c r="Y45" s="6202"/>
      <c r="Z45" s="6203"/>
    </row>
    <row r="46" spans="1:26" ht="30.6" x14ac:dyDescent="0.3">
      <c r="A46" s="6200"/>
      <c r="B46" s="3771" t="s">
        <v>947</v>
      </c>
      <c r="C46" s="3732" t="s">
        <v>948</v>
      </c>
      <c r="D46" s="3732" t="s">
        <v>949</v>
      </c>
      <c r="E46" s="3732" t="s">
        <v>950</v>
      </c>
      <c r="F46" s="3732" t="s">
        <v>951</v>
      </c>
      <c r="G46" s="3772" t="s">
        <v>952</v>
      </c>
      <c r="H46" s="3733" t="s">
        <v>279</v>
      </c>
      <c r="I46" s="5002"/>
      <c r="K46" s="3786" t="s">
        <v>947</v>
      </c>
      <c r="L46" s="3786" t="s">
        <v>948</v>
      </c>
      <c r="M46" s="3786" t="s">
        <v>949</v>
      </c>
      <c r="N46" s="3786" t="s">
        <v>950</v>
      </c>
      <c r="O46" s="3786" t="s">
        <v>951</v>
      </c>
      <c r="P46" s="3786" t="s">
        <v>952</v>
      </c>
      <c r="Q46" s="3733" t="s">
        <v>279</v>
      </c>
      <c r="R46" s="3731"/>
      <c r="T46" s="3786" t="s">
        <v>947</v>
      </c>
      <c r="U46" s="3786" t="s">
        <v>948</v>
      </c>
      <c r="V46" s="3786" t="s">
        <v>949</v>
      </c>
      <c r="W46" s="3786" t="s">
        <v>950</v>
      </c>
      <c r="X46" s="3786" t="s">
        <v>951</v>
      </c>
      <c r="Y46" s="3786" t="s">
        <v>952</v>
      </c>
      <c r="Z46" s="3733" t="s">
        <v>279</v>
      </c>
    </row>
    <row r="47" spans="1:26" ht="25.35" customHeight="1" x14ac:dyDescent="0.3">
      <c r="A47" s="3737" t="s">
        <v>138</v>
      </c>
      <c r="B47" s="3738">
        <v>6849</v>
      </c>
      <c r="C47" s="3739">
        <v>4811</v>
      </c>
      <c r="D47" s="3739">
        <v>3113</v>
      </c>
      <c r="E47" s="3739">
        <v>105</v>
      </c>
      <c r="F47" s="3739">
        <v>739</v>
      </c>
      <c r="G47" s="3739">
        <v>394</v>
      </c>
      <c r="H47" s="3740">
        <f>SUM(B47:G47)</f>
        <v>16011</v>
      </c>
      <c r="I47" s="5003"/>
      <c r="K47" s="3738">
        <v>7507</v>
      </c>
      <c r="L47" s="3739">
        <v>4430</v>
      </c>
      <c r="M47" s="3739">
        <v>3238</v>
      </c>
      <c r="N47" s="3739">
        <v>86</v>
      </c>
      <c r="O47" s="3739">
        <v>862</v>
      </c>
      <c r="P47" s="3739">
        <v>211</v>
      </c>
      <c r="Q47" s="3740">
        <f>SUM(K47:P47)</f>
        <v>16334</v>
      </c>
      <c r="R47" s="3731"/>
      <c r="T47" s="3738">
        <v>6626</v>
      </c>
      <c r="U47" s="3739">
        <v>4344</v>
      </c>
      <c r="V47" s="3739">
        <v>2653</v>
      </c>
      <c r="W47" s="3739">
        <v>103</v>
      </c>
      <c r="X47" s="3739">
        <v>830</v>
      </c>
      <c r="Y47" s="3739">
        <v>247</v>
      </c>
      <c r="Z47" s="3740">
        <f>SUM(T47:Y47)</f>
        <v>14803</v>
      </c>
    </row>
    <row r="48" spans="1:26" ht="25.35" customHeight="1" x14ac:dyDescent="0.3">
      <c r="A48" s="3744" t="s">
        <v>134</v>
      </c>
      <c r="B48" s="3752">
        <v>1619</v>
      </c>
      <c r="C48" s="3753">
        <v>1028</v>
      </c>
      <c r="D48" s="3753">
        <v>974</v>
      </c>
      <c r="E48" s="3753">
        <v>21</v>
      </c>
      <c r="F48" s="3753">
        <v>241</v>
      </c>
      <c r="G48" s="3753">
        <v>34</v>
      </c>
      <c r="H48" s="3773">
        <f>SUM(B48:G48)</f>
        <v>3917</v>
      </c>
      <c r="I48" s="5005"/>
      <c r="K48" s="3752">
        <v>1548</v>
      </c>
      <c r="L48" s="3753">
        <v>799</v>
      </c>
      <c r="M48" s="3753">
        <v>823</v>
      </c>
      <c r="N48" s="3753">
        <v>16</v>
      </c>
      <c r="O48" s="3753">
        <v>207</v>
      </c>
      <c r="P48" s="3753">
        <v>29</v>
      </c>
      <c r="Q48" s="3773">
        <f>SUM(K48:P48)</f>
        <v>3422</v>
      </c>
      <c r="R48" s="3731"/>
      <c r="T48" s="3752">
        <v>2401</v>
      </c>
      <c r="U48" s="3753">
        <v>926</v>
      </c>
      <c r="V48" s="3753">
        <v>873</v>
      </c>
      <c r="W48" s="3753">
        <v>31</v>
      </c>
      <c r="X48" s="3753">
        <v>269</v>
      </c>
      <c r="Y48" s="3753">
        <v>60</v>
      </c>
      <c r="Z48" s="3773">
        <f>SUM(T48:Y48)</f>
        <v>4560</v>
      </c>
    </row>
    <row r="49" spans="1:27" ht="25.35" customHeight="1" x14ac:dyDescent="0.3">
      <c r="A49" s="3751" t="s">
        <v>135</v>
      </c>
      <c r="B49" s="3752">
        <v>9239</v>
      </c>
      <c r="C49" s="3753">
        <v>4936</v>
      </c>
      <c r="D49" s="3753">
        <v>4237</v>
      </c>
      <c r="E49" s="3753">
        <v>143</v>
      </c>
      <c r="F49" s="3753">
        <v>455</v>
      </c>
      <c r="G49" s="3753">
        <v>113</v>
      </c>
      <c r="H49" s="3754">
        <f>SUM(B49:G49)</f>
        <v>19123</v>
      </c>
      <c r="I49" s="5004"/>
      <c r="K49" s="3752">
        <v>8754</v>
      </c>
      <c r="L49" s="3753">
        <v>4185</v>
      </c>
      <c r="M49" s="3753">
        <v>3634</v>
      </c>
      <c r="N49" s="3753">
        <v>130</v>
      </c>
      <c r="O49" s="3753">
        <v>430</v>
      </c>
      <c r="P49" s="3753">
        <v>141</v>
      </c>
      <c r="Q49" s="3754">
        <f>SUM(K49:P49)</f>
        <v>17274</v>
      </c>
      <c r="R49" s="3731"/>
      <c r="T49" s="3752">
        <v>8519</v>
      </c>
      <c r="U49" s="3753">
        <v>4328</v>
      </c>
      <c r="V49" s="3753">
        <v>3341</v>
      </c>
      <c r="W49" s="3753">
        <v>115</v>
      </c>
      <c r="X49" s="3753">
        <v>370</v>
      </c>
      <c r="Y49" s="3753">
        <v>113</v>
      </c>
      <c r="Z49" s="3754">
        <f>SUM(T49:Y49)</f>
        <v>16786</v>
      </c>
    </row>
    <row r="50" spans="1:27" ht="25.35" customHeight="1" x14ac:dyDescent="0.3">
      <c r="A50" s="3779" t="s">
        <v>136</v>
      </c>
      <c r="B50" s="3752">
        <v>162</v>
      </c>
      <c r="C50" s="3753">
        <v>138</v>
      </c>
      <c r="D50" s="3753">
        <v>110</v>
      </c>
      <c r="E50" s="3753">
        <v>3</v>
      </c>
      <c r="F50" s="3753">
        <v>8</v>
      </c>
      <c r="G50" s="3753"/>
      <c r="H50" s="3780">
        <f>SUM(B50:G50)</f>
        <v>421</v>
      </c>
      <c r="I50" s="5006"/>
      <c r="K50" s="3752">
        <v>259</v>
      </c>
      <c r="L50" s="3753">
        <v>160</v>
      </c>
      <c r="M50" s="3753">
        <v>114</v>
      </c>
      <c r="N50" s="3753">
        <v>8</v>
      </c>
      <c r="O50" s="3753">
        <v>47</v>
      </c>
      <c r="P50" s="3753">
        <v>23</v>
      </c>
      <c r="Q50" s="3780">
        <f>SUM(K50:P50)</f>
        <v>611</v>
      </c>
      <c r="R50" s="3731"/>
      <c r="T50" s="3752">
        <v>739</v>
      </c>
      <c r="U50" s="3753">
        <v>343</v>
      </c>
      <c r="V50" s="3753">
        <v>338</v>
      </c>
      <c r="W50" s="3753">
        <v>43</v>
      </c>
      <c r="X50" s="3753">
        <v>59</v>
      </c>
      <c r="Y50" s="3753">
        <v>48</v>
      </c>
      <c r="Z50" s="3780">
        <f>SUM(T50:Y50)</f>
        <v>1570</v>
      </c>
    </row>
    <row r="51" spans="1:27" ht="25.35" customHeight="1" x14ac:dyDescent="0.3">
      <c r="A51" s="3775" t="s">
        <v>137</v>
      </c>
      <c r="B51" s="3776">
        <v>6294</v>
      </c>
      <c r="C51" s="3777">
        <v>5525</v>
      </c>
      <c r="D51" s="3777">
        <v>4823</v>
      </c>
      <c r="E51" s="3777">
        <v>139</v>
      </c>
      <c r="F51" s="3777">
        <v>763</v>
      </c>
      <c r="G51" s="3777">
        <v>162</v>
      </c>
      <c r="H51" s="3778">
        <f>SUM(B51:G51)</f>
        <v>17706</v>
      </c>
      <c r="I51" s="5006"/>
      <c r="K51" s="3776">
        <v>5535</v>
      </c>
      <c r="L51" s="3777">
        <v>5142</v>
      </c>
      <c r="M51" s="3777">
        <v>4381</v>
      </c>
      <c r="N51" s="3777">
        <v>110</v>
      </c>
      <c r="O51" s="3777">
        <v>549</v>
      </c>
      <c r="P51" s="3777">
        <v>287</v>
      </c>
      <c r="Q51" s="3778">
        <f>SUM(K51:P51)</f>
        <v>16004</v>
      </c>
      <c r="R51" s="3731"/>
      <c r="T51" s="3776">
        <v>5194</v>
      </c>
      <c r="U51" s="3777">
        <v>4935</v>
      </c>
      <c r="V51" s="3777">
        <v>4184</v>
      </c>
      <c r="W51" s="3777">
        <v>95</v>
      </c>
      <c r="X51" s="3777">
        <v>654</v>
      </c>
      <c r="Y51" s="3777">
        <v>225</v>
      </c>
      <c r="Z51" s="3778">
        <f>SUM(T51:Y51)</f>
        <v>15287</v>
      </c>
    </row>
    <row r="52" spans="1:27" ht="25.35" customHeight="1" x14ac:dyDescent="0.3">
      <c r="A52" s="3761" t="s">
        <v>431</v>
      </c>
      <c r="B52" s="3762">
        <f>SUM(B47:B51)</f>
        <v>24163</v>
      </c>
      <c r="C52" s="3763">
        <f t="shared" ref="C52:H52" si="10">SUM(C47:C51)</f>
        <v>16438</v>
      </c>
      <c r="D52" s="3763">
        <f t="shared" si="10"/>
        <v>13257</v>
      </c>
      <c r="E52" s="3763">
        <f t="shared" si="10"/>
        <v>411</v>
      </c>
      <c r="F52" s="3763">
        <f t="shared" si="10"/>
        <v>2206</v>
      </c>
      <c r="G52" s="3763">
        <f t="shared" si="10"/>
        <v>703</v>
      </c>
      <c r="H52" s="3784">
        <f t="shared" si="10"/>
        <v>57178</v>
      </c>
      <c r="I52" s="5006"/>
      <c r="K52" s="3762">
        <f>SUM(K47:K51)</f>
        <v>23603</v>
      </c>
      <c r="L52" s="3763">
        <f t="shared" ref="L52:Q52" si="11">SUM(L47:L51)</f>
        <v>14716</v>
      </c>
      <c r="M52" s="3763">
        <f t="shared" si="11"/>
        <v>12190</v>
      </c>
      <c r="N52" s="3763">
        <f t="shared" si="11"/>
        <v>350</v>
      </c>
      <c r="O52" s="3763">
        <f t="shared" si="11"/>
        <v>2095</v>
      </c>
      <c r="P52" s="3763">
        <f t="shared" si="11"/>
        <v>691</v>
      </c>
      <c r="Q52" s="3784">
        <f t="shared" si="11"/>
        <v>53645</v>
      </c>
      <c r="R52" s="3731"/>
      <c r="T52" s="3762">
        <f>SUM(T47:T51)</f>
        <v>23479</v>
      </c>
      <c r="U52" s="3763">
        <f t="shared" ref="U52:Z52" si="12">SUM(U47:U51)</f>
        <v>14876</v>
      </c>
      <c r="V52" s="3763">
        <f t="shared" si="12"/>
        <v>11389</v>
      </c>
      <c r="W52" s="3763">
        <f t="shared" si="12"/>
        <v>387</v>
      </c>
      <c r="X52" s="3763">
        <f t="shared" si="12"/>
        <v>2182</v>
      </c>
      <c r="Y52" s="3763">
        <f t="shared" si="12"/>
        <v>693</v>
      </c>
      <c r="Z52" s="3784">
        <f t="shared" si="12"/>
        <v>53006</v>
      </c>
    </row>
    <row r="53" spans="1:27" ht="17.399999999999999" x14ac:dyDescent="0.3">
      <c r="A53" s="3767" t="s">
        <v>956</v>
      </c>
      <c r="I53" s="5006"/>
      <c r="R53" s="3731"/>
    </row>
    <row r="54" spans="1:27" ht="17.399999999999999" x14ac:dyDescent="0.3">
      <c r="A54" s="3767"/>
      <c r="R54" s="3731"/>
    </row>
    <row r="55" spans="1:27" ht="15" customHeight="1" x14ac:dyDescent="0.3">
      <c r="B55" s="4346"/>
      <c r="C55" s="4346"/>
      <c r="D55" s="4346"/>
      <c r="E55" s="4346"/>
      <c r="F55" s="4346"/>
      <c r="G55" s="4346"/>
      <c r="H55" s="3781"/>
      <c r="I55" s="3781"/>
      <c r="K55" s="4346"/>
      <c r="L55" s="4346"/>
      <c r="M55" s="4346"/>
      <c r="N55" s="4346"/>
      <c r="O55" s="4346"/>
      <c r="P55" s="4346"/>
      <c r="Q55" s="3781"/>
      <c r="R55" s="3731"/>
      <c r="T55" s="6204"/>
      <c r="U55" s="6204"/>
      <c r="V55" s="6204"/>
      <c r="W55" s="6204"/>
      <c r="X55" s="6204"/>
      <c r="Y55" s="6204"/>
      <c r="Z55" s="3781"/>
    </row>
    <row r="56" spans="1:27" ht="38.25" customHeight="1" thickBot="1" x14ac:dyDescent="0.35">
      <c r="A56" s="3734" t="s">
        <v>946</v>
      </c>
      <c r="B56" s="3735" t="s">
        <v>947</v>
      </c>
      <c r="C56" s="3735" t="s">
        <v>948</v>
      </c>
      <c r="D56" s="3735" t="s">
        <v>953</v>
      </c>
      <c r="E56" s="3735" t="s">
        <v>950</v>
      </c>
      <c r="F56" s="3735" t="s">
        <v>951</v>
      </c>
      <c r="G56" s="3735" t="s">
        <v>954</v>
      </c>
      <c r="H56" s="3736" t="s">
        <v>1377</v>
      </c>
      <c r="I56" s="5007"/>
      <c r="K56" s="3735" t="s">
        <v>947</v>
      </c>
      <c r="L56" s="3735" t="s">
        <v>948</v>
      </c>
      <c r="M56" s="3735" t="s">
        <v>953</v>
      </c>
      <c r="N56" s="3735" t="s">
        <v>950</v>
      </c>
      <c r="O56" s="3735" t="s">
        <v>951</v>
      </c>
      <c r="P56" s="3735" t="s">
        <v>954</v>
      </c>
      <c r="Q56" s="3736" t="s">
        <v>1376</v>
      </c>
      <c r="R56" s="3731"/>
      <c r="T56" s="3735" t="s">
        <v>947</v>
      </c>
      <c r="U56" s="3735" t="s">
        <v>948</v>
      </c>
      <c r="V56" s="3735" t="s">
        <v>953</v>
      </c>
      <c r="W56" s="3735" t="s">
        <v>950</v>
      </c>
      <c r="X56" s="3735" t="s">
        <v>951</v>
      </c>
      <c r="Y56" s="3735" t="s">
        <v>954</v>
      </c>
      <c r="Z56" s="3735" t="s">
        <v>959</v>
      </c>
      <c r="AA56" s="3736" t="s">
        <v>955</v>
      </c>
    </row>
    <row r="57" spans="1:27" ht="25.35" customHeight="1" x14ac:dyDescent="0.3">
      <c r="A57" s="3787" t="s">
        <v>138</v>
      </c>
      <c r="B57" s="3742">
        <v>7571</v>
      </c>
      <c r="C57" s="3742">
        <v>4520</v>
      </c>
      <c r="D57" s="3742">
        <v>2896</v>
      </c>
      <c r="E57" s="3742">
        <v>110</v>
      </c>
      <c r="F57" s="3742">
        <v>899</v>
      </c>
      <c r="G57" s="3742">
        <v>199</v>
      </c>
      <c r="H57" s="3743">
        <f>SUM(B57:G57)</f>
        <v>16195</v>
      </c>
      <c r="I57" s="5008"/>
      <c r="K57" s="3741">
        <v>6889</v>
      </c>
      <c r="L57" s="3742">
        <v>4229</v>
      </c>
      <c r="M57" s="3742">
        <v>2511</v>
      </c>
      <c r="N57" s="3742">
        <v>108</v>
      </c>
      <c r="O57" s="3742">
        <v>747</v>
      </c>
      <c r="P57" s="3742">
        <v>202</v>
      </c>
      <c r="Q57" s="3743">
        <f>SUM(K57:P57)</f>
        <v>14686</v>
      </c>
      <c r="R57" s="3731"/>
      <c r="T57" s="3741">
        <v>3971</v>
      </c>
      <c r="U57" s="3742">
        <v>3225</v>
      </c>
      <c r="V57" s="3742">
        <v>1728</v>
      </c>
      <c r="W57" s="3742">
        <v>78</v>
      </c>
      <c r="X57" s="3742">
        <v>391</v>
      </c>
      <c r="Y57" s="3742">
        <v>161</v>
      </c>
      <c r="Z57" s="3742">
        <v>94</v>
      </c>
      <c r="AA57" s="3743">
        <f>SUM(T57:Z57)</f>
        <v>9648</v>
      </c>
    </row>
    <row r="58" spans="1:27" ht="25.35" customHeight="1" x14ac:dyDescent="0.3">
      <c r="A58" s="3788" t="s">
        <v>134</v>
      </c>
      <c r="B58" s="3749">
        <v>2160</v>
      </c>
      <c r="C58" s="3749">
        <v>933</v>
      </c>
      <c r="D58" s="3749">
        <v>994</v>
      </c>
      <c r="E58" s="3749">
        <v>24</v>
      </c>
      <c r="F58" s="3749">
        <v>258</v>
      </c>
      <c r="G58" s="3749">
        <v>11</v>
      </c>
      <c r="H58" s="3750">
        <f>SUM(B58:G58)</f>
        <v>4380</v>
      </c>
      <c r="I58" s="5009"/>
      <c r="K58" s="3748">
        <v>2481</v>
      </c>
      <c r="L58" s="3749">
        <v>1055</v>
      </c>
      <c r="M58" s="3749">
        <v>1005</v>
      </c>
      <c r="N58" s="3749">
        <v>29</v>
      </c>
      <c r="O58" s="3749">
        <v>276</v>
      </c>
      <c r="P58" s="3749">
        <v>13</v>
      </c>
      <c r="Q58" s="3750">
        <f>SUM(K58:P58)</f>
        <v>4859</v>
      </c>
      <c r="R58" s="3731"/>
      <c r="T58" s="3748">
        <v>1500</v>
      </c>
      <c r="U58" s="3749">
        <v>685</v>
      </c>
      <c r="V58" s="3749">
        <v>776</v>
      </c>
      <c r="W58" s="3749">
        <v>13</v>
      </c>
      <c r="X58" s="3749">
        <v>148</v>
      </c>
      <c r="Y58" s="3749">
        <v>12</v>
      </c>
      <c r="Z58" s="3749">
        <v>55</v>
      </c>
      <c r="AA58" s="3750">
        <f>SUM(T58:Z58)</f>
        <v>3189</v>
      </c>
    </row>
    <row r="59" spans="1:27" ht="25.35" customHeight="1" x14ac:dyDescent="0.3">
      <c r="A59" s="3789" t="s">
        <v>135</v>
      </c>
      <c r="B59" s="3749">
        <v>9886</v>
      </c>
      <c r="C59" s="3749">
        <v>4771</v>
      </c>
      <c r="D59" s="3749">
        <v>4588</v>
      </c>
      <c r="E59" s="3749">
        <v>139</v>
      </c>
      <c r="F59" s="3749">
        <v>492</v>
      </c>
      <c r="G59" s="3749">
        <v>37</v>
      </c>
      <c r="H59" s="3755">
        <f>SUM(B59:G59)</f>
        <v>19913</v>
      </c>
      <c r="I59" s="5009"/>
      <c r="K59" s="3748">
        <v>7910</v>
      </c>
      <c r="L59" s="3749">
        <v>3910</v>
      </c>
      <c r="M59" s="3749">
        <v>3653</v>
      </c>
      <c r="N59" s="3749">
        <v>131</v>
      </c>
      <c r="O59" s="3749">
        <v>355</v>
      </c>
      <c r="P59" s="3749">
        <v>67</v>
      </c>
      <c r="Q59" s="3755">
        <f>SUM(K59:P59)</f>
        <v>16026</v>
      </c>
      <c r="R59" s="3731"/>
      <c r="T59" s="3748">
        <v>5059</v>
      </c>
      <c r="U59" s="3749">
        <v>3041</v>
      </c>
      <c r="V59" s="3749">
        <v>2753</v>
      </c>
      <c r="W59" s="3749">
        <v>86</v>
      </c>
      <c r="X59" s="3749">
        <v>219</v>
      </c>
      <c r="Y59" s="3749">
        <v>31</v>
      </c>
      <c r="Z59" s="3749">
        <v>77</v>
      </c>
      <c r="AA59" s="3755">
        <f>SUM(T59:Z59)</f>
        <v>11266</v>
      </c>
    </row>
    <row r="60" spans="1:27" ht="25.35" customHeight="1" x14ac:dyDescent="0.3">
      <c r="A60" s="3790" t="s">
        <v>136</v>
      </c>
      <c r="B60" s="3749">
        <v>648</v>
      </c>
      <c r="C60" s="3749">
        <v>404</v>
      </c>
      <c r="D60" s="3749">
        <v>505</v>
      </c>
      <c r="E60" s="3749">
        <v>18</v>
      </c>
      <c r="F60" s="3749">
        <v>105</v>
      </c>
      <c r="G60" s="3749">
        <v>34</v>
      </c>
      <c r="H60" s="3760">
        <f>SUM(B60:G60)</f>
        <v>1714</v>
      </c>
      <c r="I60" s="5009"/>
      <c r="K60" s="3748">
        <v>578</v>
      </c>
      <c r="L60" s="3749">
        <v>343</v>
      </c>
      <c r="M60" s="3749">
        <v>301</v>
      </c>
      <c r="N60" s="3749">
        <v>19</v>
      </c>
      <c r="O60" s="3749">
        <v>83</v>
      </c>
      <c r="P60" s="3749">
        <v>45</v>
      </c>
      <c r="Q60" s="3760">
        <f>SUM(K60:P60)</f>
        <v>1369</v>
      </c>
      <c r="R60" s="3731"/>
      <c r="T60" s="3748">
        <v>283</v>
      </c>
      <c r="U60" s="3749">
        <v>218</v>
      </c>
      <c r="V60" s="3749">
        <v>224</v>
      </c>
      <c r="W60" s="3749">
        <v>24</v>
      </c>
      <c r="X60" s="3749">
        <v>54</v>
      </c>
      <c r="Y60" s="3749">
        <v>15</v>
      </c>
      <c r="Z60" s="3749">
        <v>13</v>
      </c>
      <c r="AA60" s="3760">
        <f>SUM(T60:Z60)</f>
        <v>831</v>
      </c>
    </row>
    <row r="61" spans="1:27" ht="25.35" customHeight="1" x14ac:dyDescent="0.3">
      <c r="A61" s="3791" t="s">
        <v>137</v>
      </c>
      <c r="B61" s="3765">
        <v>6291</v>
      </c>
      <c r="C61" s="3765">
        <v>5423</v>
      </c>
      <c r="D61" s="3765">
        <v>4913</v>
      </c>
      <c r="E61" s="3765">
        <v>104</v>
      </c>
      <c r="F61" s="3765">
        <v>735</v>
      </c>
      <c r="G61" s="3765">
        <v>193</v>
      </c>
      <c r="H61" s="3766">
        <f>SUM(B61:G61)</f>
        <v>17659</v>
      </c>
      <c r="I61" s="5009"/>
      <c r="K61" s="3764">
        <v>5431</v>
      </c>
      <c r="L61" s="3765">
        <v>4794</v>
      </c>
      <c r="M61" s="3765">
        <v>4500</v>
      </c>
      <c r="N61" s="3765">
        <v>103</v>
      </c>
      <c r="O61" s="3765">
        <v>597</v>
      </c>
      <c r="P61" s="3765">
        <v>139</v>
      </c>
      <c r="Q61" s="3766">
        <f>SUM(K61:P61)</f>
        <v>15564</v>
      </c>
      <c r="R61" s="3731"/>
      <c r="T61" s="3764">
        <v>3258</v>
      </c>
      <c r="U61" s="3765">
        <v>2691</v>
      </c>
      <c r="V61" s="3765">
        <v>2689</v>
      </c>
      <c r="W61" s="3765">
        <v>75</v>
      </c>
      <c r="X61" s="3765">
        <v>396</v>
      </c>
      <c r="Y61" s="3765">
        <v>116</v>
      </c>
      <c r="Z61" s="3765">
        <v>132</v>
      </c>
      <c r="AA61" s="3766">
        <f t="shared" ref="AA61" si="13">SUM(T61:Z61)</f>
        <v>9357</v>
      </c>
    </row>
    <row r="62" spans="1:27" ht="25.35" customHeight="1" x14ac:dyDescent="0.3">
      <c r="A62" s="3768" t="s">
        <v>431</v>
      </c>
      <c r="B62" s="3782">
        <f>SUM(B57:B61)</f>
        <v>26556</v>
      </c>
      <c r="C62" s="3782">
        <f t="shared" ref="C62:H62" si="14">SUM(C57:C61)</f>
        <v>16051</v>
      </c>
      <c r="D62" s="3782">
        <f t="shared" si="14"/>
        <v>13896</v>
      </c>
      <c r="E62" s="3782">
        <f t="shared" si="14"/>
        <v>395</v>
      </c>
      <c r="F62" s="3782">
        <f t="shared" si="14"/>
        <v>2489</v>
      </c>
      <c r="G62" s="3782">
        <f t="shared" si="14"/>
        <v>474</v>
      </c>
      <c r="H62" s="3782">
        <f t="shared" si="14"/>
        <v>59861</v>
      </c>
      <c r="I62" s="5009"/>
      <c r="K62" s="3782">
        <f>SUM(K57:K61)</f>
        <v>23289</v>
      </c>
      <c r="L62" s="3782">
        <f t="shared" ref="L62:Q62" si="15">SUM(L57:L61)</f>
        <v>14331</v>
      </c>
      <c r="M62" s="3782">
        <f t="shared" si="15"/>
        <v>11970</v>
      </c>
      <c r="N62" s="3782">
        <f t="shared" si="15"/>
        <v>390</v>
      </c>
      <c r="O62" s="3782">
        <f t="shared" si="15"/>
        <v>2058</v>
      </c>
      <c r="P62" s="3782">
        <f t="shared" si="15"/>
        <v>466</v>
      </c>
      <c r="Q62" s="3782">
        <f t="shared" si="15"/>
        <v>52504</v>
      </c>
      <c r="R62" s="3731"/>
      <c r="T62" s="3782">
        <f>SUM(T57:T61)</f>
        <v>14071</v>
      </c>
      <c r="U62" s="3782">
        <f t="shared" ref="U62:Y62" si="16">SUM(U57:U61)</f>
        <v>9860</v>
      </c>
      <c r="V62" s="3782">
        <f t="shared" si="16"/>
        <v>8170</v>
      </c>
      <c r="W62" s="3782">
        <f t="shared" si="16"/>
        <v>276</v>
      </c>
      <c r="X62" s="3782">
        <f t="shared" si="16"/>
        <v>1208</v>
      </c>
      <c r="Y62" s="3782">
        <f t="shared" si="16"/>
        <v>335</v>
      </c>
      <c r="Z62" s="3782">
        <f>SUM(Z57:Z61)</f>
        <v>371</v>
      </c>
      <c r="AA62" s="3782">
        <f>SUM(AA57:AA61)</f>
        <v>34291</v>
      </c>
    </row>
    <row r="63" spans="1:27" ht="17.399999999999999" x14ac:dyDescent="0.3">
      <c r="A63" s="3767" t="s">
        <v>956</v>
      </c>
      <c r="I63" s="5009"/>
      <c r="R63" s="3731"/>
      <c r="Z63" s="3769" t="s">
        <v>960</v>
      </c>
    </row>
    <row r="64" spans="1:27" ht="17.399999999999999" x14ac:dyDescent="0.3">
      <c r="A64" s="3767"/>
      <c r="I64" s="5009"/>
      <c r="R64" s="3731"/>
      <c r="Z64" s="3769"/>
    </row>
    <row r="65" spans="1:29" ht="17.399999999999999" x14ac:dyDescent="0.3">
      <c r="A65" s="3731" t="s">
        <v>957</v>
      </c>
      <c r="R65" s="3731"/>
      <c r="Z65" s="3769"/>
    </row>
    <row r="66" spans="1:29" x14ac:dyDescent="0.25">
      <c r="A66" s="3767"/>
      <c r="Z66" s="3769"/>
    </row>
    <row r="67" spans="1:29" ht="36.6" thickBot="1" x14ac:dyDescent="0.3">
      <c r="A67" s="3734" t="s">
        <v>946</v>
      </c>
      <c r="B67" s="3735" t="s">
        <v>947</v>
      </c>
      <c r="C67" s="3735" t="s">
        <v>948</v>
      </c>
      <c r="D67" s="3735" t="s">
        <v>953</v>
      </c>
      <c r="E67" s="3735" t="s">
        <v>950</v>
      </c>
      <c r="F67" s="3735" t="s">
        <v>951</v>
      </c>
      <c r="G67" s="3735" t="s">
        <v>954</v>
      </c>
      <c r="H67" s="3735" t="s">
        <v>959</v>
      </c>
      <c r="I67" s="3736" t="s">
        <v>1412</v>
      </c>
      <c r="K67" s="3735" t="s">
        <v>947</v>
      </c>
      <c r="L67" s="3735" t="s">
        <v>948</v>
      </c>
      <c r="M67" s="3735" t="s">
        <v>953</v>
      </c>
      <c r="N67" s="3735" t="s">
        <v>950</v>
      </c>
      <c r="O67" s="3735" t="s">
        <v>951</v>
      </c>
      <c r="P67" s="3735" t="s">
        <v>954</v>
      </c>
      <c r="Q67" s="3735" t="s">
        <v>959</v>
      </c>
      <c r="R67" s="3736" t="s">
        <v>1541</v>
      </c>
      <c r="Z67" s="3769"/>
    </row>
    <row r="68" spans="1:29" ht="24.75" customHeight="1" x14ac:dyDescent="0.25">
      <c r="A68" s="3787" t="s">
        <v>138</v>
      </c>
      <c r="B68" s="3741">
        <v>8535</v>
      </c>
      <c r="C68" s="3742">
        <v>4157</v>
      </c>
      <c r="D68" s="3742">
        <v>2985</v>
      </c>
      <c r="E68" s="3742">
        <v>133</v>
      </c>
      <c r="F68" s="3742">
        <v>562</v>
      </c>
      <c r="G68" s="3742">
        <v>202</v>
      </c>
      <c r="H68" s="3742">
        <v>171</v>
      </c>
      <c r="I68" s="4652">
        <f>SUM(B68:H68)</f>
        <v>16745</v>
      </c>
      <c r="K68" s="3741">
        <v>7602</v>
      </c>
      <c r="L68" s="3742">
        <v>3536</v>
      </c>
      <c r="M68" s="3742">
        <v>2523</v>
      </c>
      <c r="N68" s="3742">
        <v>100</v>
      </c>
      <c r="O68" s="3742">
        <v>531</v>
      </c>
      <c r="P68" s="3742">
        <v>133</v>
      </c>
      <c r="Q68" s="3742">
        <v>149</v>
      </c>
      <c r="R68" s="4652">
        <f>SUM(K68:Q68)</f>
        <v>14574</v>
      </c>
      <c r="Z68" s="3769"/>
    </row>
    <row r="69" spans="1:29" ht="24.75" customHeight="1" x14ac:dyDescent="0.25">
      <c r="A69" s="3788" t="s">
        <v>134</v>
      </c>
      <c r="B69" s="3748">
        <v>2926</v>
      </c>
      <c r="C69" s="3749">
        <v>724</v>
      </c>
      <c r="D69" s="3749">
        <v>887</v>
      </c>
      <c r="E69" s="3749">
        <v>25</v>
      </c>
      <c r="F69" s="3749">
        <v>187</v>
      </c>
      <c r="G69" s="3749">
        <v>30</v>
      </c>
      <c r="H69" s="3749">
        <v>74</v>
      </c>
      <c r="I69" s="4653">
        <f>SUM(B69:H69)</f>
        <v>4853</v>
      </c>
      <c r="K69" s="3748">
        <v>2355</v>
      </c>
      <c r="L69" s="3749">
        <v>811</v>
      </c>
      <c r="M69" s="3749">
        <v>970</v>
      </c>
      <c r="N69" s="3749">
        <v>25</v>
      </c>
      <c r="O69" s="3749">
        <v>152</v>
      </c>
      <c r="P69" s="3749">
        <v>21</v>
      </c>
      <c r="Q69" s="3749">
        <v>71</v>
      </c>
      <c r="R69" s="4653">
        <f>SUM(K69:Q69)</f>
        <v>4405</v>
      </c>
      <c r="Z69" s="3769"/>
    </row>
    <row r="70" spans="1:29" ht="24.75" customHeight="1" x14ac:dyDescent="0.25">
      <c r="A70" s="3789" t="s">
        <v>135</v>
      </c>
      <c r="B70" s="3748">
        <v>10389</v>
      </c>
      <c r="C70" s="3749">
        <v>3579</v>
      </c>
      <c r="D70" s="3749">
        <v>3742</v>
      </c>
      <c r="E70" s="3749">
        <v>155</v>
      </c>
      <c r="F70" s="3749">
        <v>398</v>
      </c>
      <c r="G70" s="3749">
        <v>49</v>
      </c>
      <c r="H70" s="3749">
        <v>215</v>
      </c>
      <c r="I70" s="4654">
        <f>SUM(B70:H70)</f>
        <v>18527</v>
      </c>
      <c r="K70" s="3748">
        <v>8359</v>
      </c>
      <c r="L70" s="3749">
        <v>3081</v>
      </c>
      <c r="M70" s="3749">
        <v>3124</v>
      </c>
      <c r="N70" s="3749">
        <v>142</v>
      </c>
      <c r="O70" s="3749">
        <v>381</v>
      </c>
      <c r="P70" s="3749">
        <v>22</v>
      </c>
      <c r="Q70" s="3749">
        <v>235</v>
      </c>
      <c r="R70" s="4654">
        <f>SUM(K70:Q70)</f>
        <v>15344</v>
      </c>
      <c r="Z70" s="3769"/>
    </row>
    <row r="71" spans="1:29" ht="24.75" customHeight="1" x14ac:dyDescent="0.25">
      <c r="A71" s="3790" t="s">
        <v>136</v>
      </c>
      <c r="B71" s="3748">
        <v>859</v>
      </c>
      <c r="C71" s="3749">
        <v>420</v>
      </c>
      <c r="D71" s="3749">
        <v>428</v>
      </c>
      <c r="E71" s="3749">
        <v>42</v>
      </c>
      <c r="F71" s="3749">
        <v>82</v>
      </c>
      <c r="G71" s="3749">
        <v>40</v>
      </c>
      <c r="H71" s="3749">
        <v>41</v>
      </c>
      <c r="I71" s="4655">
        <f>SUM(B71:H71)</f>
        <v>1912</v>
      </c>
      <c r="K71" s="3748">
        <v>1052</v>
      </c>
      <c r="L71" s="3749">
        <v>565</v>
      </c>
      <c r="M71" s="3749">
        <v>495</v>
      </c>
      <c r="N71" s="3749">
        <v>40</v>
      </c>
      <c r="O71" s="3749">
        <v>75</v>
      </c>
      <c r="P71" s="3749">
        <v>6</v>
      </c>
      <c r="Q71" s="3749">
        <v>65</v>
      </c>
      <c r="R71" s="4655">
        <f>SUM(K71:Q71)</f>
        <v>2298</v>
      </c>
      <c r="Z71" s="3769"/>
    </row>
    <row r="72" spans="1:29" ht="24.75" customHeight="1" x14ac:dyDescent="0.25">
      <c r="A72" s="3791" t="s">
        <v>137</v>
      </c>
      <c r="B72" s="3764">
        <v>6853</v>
      </c>
      <c r="C72" s="3765">
        <v>4267</v>
      </c>
      <c r="D72" s="3765">
        <v>4349</v>
      </c>
      <c r="E72" s="3765">
        <v>129</v>
      </c>
      <c r="F72" s="3765">
        <v>592</v>
      </c>
      <c r="G72" s="3765">
        <v>224</v>
      </c>
      <c r="H72" s="3765">
        <v>160</v>
      </c>
      <c r="I72" s="4656">
        <f>SUM(B72:H72)</f>
        <v>16574</v>
      </c>
      <c r="K72" s="3764">
        <v>6385</v>
      </c>
      <c r="L72" s="3765">
        <v>3498</v>
      </c>
      <c r="M72" s="3765">
        <v>3828</v>
      </c>
      <c r="N72" s="3765">
        <v>108</v>
      </c>
      <c r="O72" s="3765">
        <v>539</v>
      </c>
      <c r="P72" s="3765">
        <v>135</v>
      </c>
      <c r="Q72" s="3765">
        <v>220</v>
      </c>
      <c r="R72" s="4656">
        <f>SUM(K72:Q72)</f>
        <v>14713</v>
      </c>
      <c r="Z72" s="3769"/>
    </row>
    <row r="73" spans="1:29" ht="24.75" customHeight="1" x14ac:dyDescent="0.25">
      <c r="A73" s="3768" t="s">
        <v>431</v>
      </c>
      <c r="B73" s="3782">
        <f>SUM(B68:B72)</f>
        <v>29562</v>
      </c>
      <c r="C73" s="3782">
        <f t="shared" ref="C73:G73" si="17">SUM(C68:C72)</f>
        <v>13147</v>
      </c>
      <c r="D73" s="3782">
        <f t="shared" si="17"/>
        <v>12391</v>
      </c>
      <c r="E73" s="3782">
        <f t="shared" si="17"/>
        <v>484</v>
      </c>
      <c r="F73" s="3782">
        <f t="shared" si="17"/>
        <v>1821</v>
      </c>
      <c r="G73" s="3782">
        <f t="shared" si="17"/>
        <v>545</v>
      </c>
      <c r="H73" s="3782">
        <f>SUM(H68:H72)</f>
        <v>661</v>
      </c>
      <c r="I73" s="3638">
        <f>SUM(I68:I72)</f>
        <v>58611</v>
      </c>
      <c r="K73" s="3782">
        <f>SUM(K68:K72)</f>
        <v>25753</v>
      </c>
      <c r="L73" s="3782">
        <f t="shared" ref="L73:P73" si="18">SUM(L68:L72)</f>
        <v>11491</v>
      </c>
      <c r="M73" s="3782">
        <f t="shared" si="18"/>
        <v>10940</v>
      </c>
      <c r="N73" s="3782">
        <f t="shared" si="18"/>
        <v>415</v>
      </c>
      <c r="O73" s="3782">
        <f t="shared" si="18"/>
        <v>1678</v>
      </c>
      <c r="P73" s="3782">
        <f t="shared" si="18"/>
        <v>317</v>
      </c>
      <c r="Q73" s="3782">
        <f>SUM(Q68:Q72)</f>
        <v>740</v>
      </c>
      <c r="R73" s="3638">
        <f>SUM(R68:R72)</f>
        <v>51334</v>
      </c>
      <c r="Z73" s="3769"/>
    </row>
    <row r="74" spans="1:29" x14ac:dyDescent="0.25">
      <c r="A74" s="3767"/>
      <c r="Z74" s="3769"/>
    </row>
    <row r="76" spans="1:29" x14ac:dyDescent="0.25">
      <c r="A76" s="3574"/>
    </row>
    <row r="77" spans="1:29" x14ac:dyDescent="0.25">
      <c r="A77" s="3574"/>
    </row>
    <row r="78" spans="1:29" x14ac:dyDescent="0.25">
      <c r="A78" s="3574"/>
    </row>
    <row r="79" spans="1:29" x14ac:dyDescent="0.25">
      <c r="A79" s="3574"/>
    </row>
    <row r="80" spans="1:29" x14ac:dyDescent="0.25">
      <c r="A80" s="3574"/>
      <c r="AC80" s="4657">
        <v>2003</v>
      </c>
    </row>
    <row r="81" spans="1:29" x14ac:dyDescent="0.25">
      <c r="A81" s="3574"/>
      <c r="AC81" s="4657">
        <v>2004</v>
      </c>
    </row>
    <row r="82" spans="1:29" x14ac:dyDescent="0.25">
      <c r="A82" s="3574"/>
      <c r="AC82" s="4657">
        <v>2005</v>
      </c>
    </row>
    <row r="83" spans="1:29" x14ac:dyDescent="0.25">
      <c r="A83" s="3574"/>
      <c r="AC83" s="4657">
        <v>2006</v>
      </c>
    </row>
    <row r="84" spans="1:29" x14ac:dyDescent="0.25">
      <c r="A84" s="3574"/>
      <c r="AC84" s="4657">
        <v>2007</v>
      </c>
    </row>
    <row r="85" spans="1:29" x14ac:dyDescent="0.25">
      <c r="A85" s="3574"/>
      <c r="AC85" s="4657">
        <v>2008</v>
      </c>
    </row>
    <row r="86" spans="1:29" x14ac:dyDescent="0.25">
      <c r="A86" s="3574"/>
      <c r="AC86" s="4657">
        <v>2009</v>
      </c>
    </row>
    <row r="87" spans="1:29" x14ac:dyDescent="0.25">
      <c r="A87" s="3574"/>
      <c r="AC87" s="4657">
        <v>2010</v>
      </c>
    </row>
    <row r="88" spans="1:29" x14ac:dyDescent="0.25">
      <c r="A88" s="3574"/>
      <c r="AC88" s="4657">
        <v>2011</v>
      </c>
    </row>
    <row r="89" spans="1:29" x14ac:dyDescent="0.25">
      <c r="A89" s="3574"/>
      <c r="AC89" s="4657">
        <v>2012</v>
      </c>
    </row>
    <row r="90" spans="1:29" x14ac:dyDescent="0.25">
      <c r="A90" s="3574"/>
      <c r="AC90" s="4657">
        <v>2013</v>
      </c>
    </row>
    <row r="91" spans="1:29" x14ac:dyDescent="0.25">
      <c r="A91" s="3574"/>
      <c r="AC91" s="4657">
        <v>2014</v>
      </c>
    </row>
    <row r="92" spans="1:29" x14ac:dyDescent="0.25">
      <c r="A92" s="3574"/>
      <c r="AC92" s="4657">
        <v>2015</v>
      </c>
    </row>
    <row r="93" spans="1:29" x14ac:dyDescent="0.25">
      <c r="AC93" s="4657">
        <v>2016</v>
      </c>
    </row>
    <row r="94" spans="1:29" x14ac:dyDescent="0.25">
      <c r="AC94" s="4657">
        <v>2017</v>
      </c>
    </row>
    <row r="95" spans="1:29" x14ac:dyDescent="0.25">
      <c r="AC95" s="4657">
        <v>2018</v>
      </c>
    </row>
    <row r="96" spans="1:29" x14ac:dyDescent="0.25">
      <c r="AC96" s="4657">
        <v>2019</v>
      </c>
    </row>
    <row r="97" spans="29:29" x14ac:dyDescent="0.25">
      <c r="AC97" s="4657">
        <v>2020</v>
      </c>
    </row>
    <row r="98" spans="29:29" x14ac:dyDescent="0.25">
      <c r="AC98" s="4657">
        <v>2021</v>
      </c>
    </row>
    <row r="99" spans="29:29" x14ac:dyDescent="0.25">
      <c r="AC99" s="4657">
        <v>2022</v>
      </c>
    </row>
  </sheetData>
  <mergeCells count="21">
    <mergeCell ref="A4:A5"/>
    <mergeCell ref="B4:H4"/>
    <mergeCell ref="K4:Q4"/>
    <mergeCell ref="T4:Z4"/>
    <mergeCell ref="A14:A15"/>
    <mergeCell ref="B14:H14"/>
    <mergeCell ref="K14:Q14"/>
    <mergeCell ref="T14:Z14"/>
    <mergeCell ref="A24:A25"/>
    <mergeCell ref="B24:H24"/>
    <mergeCell ref="K24:Q24"/>
    <mergeCell ref="T24:Z24"/>
    <mergeCell ref="A34:A35"/>
    <mergeCell ref="B34:H34"/>
    <mergeCell ref="K34:Q34"/>
    <mergeCell ref="T34:Z34"/>
    <mergeCell ref="A45:A46"/>
    <mergeCell ref="B45:H45"/>
    <mergeCell ref="K45:Q45"/>
    <mergeCell ref="T45:Z45"/>
    <mergeCell ref="T55:Y55"/>
  </mergeCells>
  <printOptions horizontalCentered="1" verticalCentered="1"/>
  <pageMargins left="0.70866141732283472" right="0.70866141732283472" top="0.55118110236220474" bottom="0.55118110236220474" header="0.31496062992125984" footer="0.31496062992125984"/>
  <pageSetup scale="42" firstPageNumber="168" orientation="landscape" useFirstPageNumber="1" r:id="rId1"/>
  <headerFooter scaleWithDoc="0" alignWithMargins="0">
    <oddFooter>&amp;R&amp;P</oddFooter>
  </headerFooter>
  <rowBreaks count="1" manualBreakCount="1">
    <brk id="74" max="24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B1:AU63"/>
  <sheetViews>
    <sheetView showGridLines="0" zoomScaleNormal="100" zoomScaleSheetLayoutView="90" workbookViewId="0">
      <pane xSplit="2" ySplit="5" topLeftCell="W6" activePane="bottomRight" state="frozen"/>
      <selection activeCell="Q31" sqref="Q31"/>
      <selection pane="topRight" activeCell="Q31" sqref="Q31"/>
      <selection pane="bottomLeft" activeCell="Q31" sqref="Q31"/>
      <selection pane="bottomRight" activeCell="Q31" sqref="Q31"/>
    </sheetView>
  </sheetViews>
  <sheetFormatPr baseColWidth="10" defaultRowHeight="13.2" x14ac:dyDescent="0.25"/>
  <cols>
    <col min="1" max="1" width="1.88671875" customWidth="1"/>
    <col min="2" max="2" width="17" customWidth="1"/>
    <col min="3" max="32" width="9.109375" customWidth="1"/>
    <col min="33" max="74" width="8.88671875" customWidth="1"/>
  </cols>
  <sheetData>
    <row r="1" spans="2:47" ht="27.6" x14ac:dyDescent="0.25">
      <c r="B1" s="355" t="s">
        <v>146</v>
      </c>
      <c r="C1" s="356"/>
    </row>
    <row r="3" spans="2:47" ht="15" customHeight="1" x14ac:dyDescent="0.25">
      <c r="B3" s="5727" t="s">
        <v>132</v>
      </c>
      <c r="C3" s="5729">
        <v>2008</v>
      </c>
      <c r="D3" s="5730"/>
      <c r="E3" s="5731"/>
      <c r="F3" s="5729">
        <v>2009</v>
      </c>
      <c r="G3" s="5730"/>
      <c r="H3" s="5731"/>
      <c r="I3" s="5729">
        <v>2010</v>
      </c>
      <c r="J3" s="5730"/>
      <c r="K3" s="5731"/>
      <c r="L3" s="5729">
        <v>2011</v>
      </c>
      <c r="M3" s="5730"/>
      <c r="N3" s="5731"/>
      <c r="O3" s="5729">
        <v>2012</v>
      </c>
      <c r="P3" s="5730"/>
      <c r="Q3" s="5731"/>
      <c r="R3" s="5729">
        <v>2013</v>
      </c>
      <c r="S3" s="5730"/>
      <c r="T3" s="5731"/>
      <c r="U3" s="5729">
        <v>2014</v>
      </c>
      <c r="V3" s="5730"/>
      <c r="W3" s="5731"/>
      <c r="X3" s="5729">
        <v>2015</v>
      </c>
      <c r="Y3" s="5730"/>
      <c r="Z3" s="5731"/>
      <c r="AA3" s="5729">
        <v>2016</v>
      </c>
      <c r="AB3" s="5730"/>
      <c r="AC3" s="5731"/>
      <c r="AD3" s="5729">
        <v>2017</v>
      </c>
      <c r="AE3" s="5730"/>
      <c r="AF3" s="5731"/>
      <c r="AG3" s="5729">
        <v>2018</v>
      </c>
      <c r="AH3" s="5730"/>
      <c r="AI3" s="5731"/>
      <c r="AJ3" s="5729">
        <v>2019</v>
      </c>
      <c r="AK3" s="5730"/>
      <c r="AL3" s="5731"/>
      <c r="AM3" s="5729">
        <v>2020</v>
      </c>
      <c r="AN3" s="5730"/>
      <c r="AO3" s="5731"/>
      <c r="AP3" s="5729">
        <v>2021</v>
      </c>
      <c r="AQ3" s="5730"/>
      <c r="AR3" s="5731"/>
      <c r="AS3" s="5729">
        <v>2022</v>
      </c>
      <c r="AT3" s="5730"/>
      <c r="AU3" s="5731"/>
    </row>
    <row r="4" spans="2:47" ht="14.4" x14ac:dyDescent="0.25">
      <c r="B4" s="5728"/>
      <c r="C4" s="211" t="s">
        <v>140</v>
      </c>
      <c r="D4" s="211" t="s">
        <v>141</v>
      </c>
      <c r="E4" s="212" t="s">
        <v>48</v>
      </c>
      <c r="F4" s="211" t="s">
        <v>140</v>
      </c>
      <c r="G4" s="211" t="s">
        <v>141</v>
      </c>
      <c r="H4" s="212" t="s">
        <v>48</v>
      </c>
      <c r="I4" s="211" t="s">
        <v>140</v>
      </c>
      <c r="J4" s="211" t="s">
        <v>141</v>
      </c>
      <c r="K4" s="212" t="s">
        <v>48</v>
      </c>
      <c r="L4" s="211" t="s">
        <v>140</v>
      </c>
      <c r="M4" s="211" t="s">
        <v>141</v>
      </c>
      <c r="N4" s="212" t="s">
        <v>48</v>
      </c>
      <c r="O4" s="211" t="s">
        <v>140</v>
      </c>
      <c r="P4" s="211" t="s">
        <v>141</v>
      </c>
      <c r="Q4" s="212" t="s">
        <v>48</v>
      </c>
      <c r="R4" s="211" t="s">
        <v>140</v>
      </c>
      <c r="S4" s="211" t="s">
        <v>141</v>
      </c>
      <c r="T4" s="212" t="s">
        <v>48</v>
      </c>
      <c r="U4" s="211" t="s">
        <v>140</v>
      </c>
      <c r="V4" s="211" t="s">
        <v>141</v>
      </c>
      <c r="W4" s="212" t="s">
        <v>48</v>
      </c>
      <c r="X4" s="211" t="s">
        <v>140</v>
      </c>
      <c r="Y4" s="211" t="s">
        <v>141</v>
      </c>
      <c r="Z4" s="212" t="s">
        <v>48</v>
      </c>
      <c r="AA4" s="211" t="s">
        <v>140</v>
      </c>
      <c r="AB4" s="211" t="s">
        <v>141</v>
      </c>
      <c r="AC4" s="212" t="s">
        <v>48</v>
      </c>
      <c r="AD4" s="211" t="s">
        <v>140</v>
      </c>
      <c r="AE4" s="211" t="s">
        <v>141</v>
      </c>
      <c r="AF4" s="212" t="s">
        <v>48</v>
      </c>
      <c r="AG4" s="211" t="s">
        <v>140</v>
      </c>
      <c r="AH4" s="211" t="s">
        <v>141</v>
      </c>
      <c r="AI4" s="212" t="s">
        <v>48</v>
      </c>
      <c r="AJ4" s="211" t="s">
        <v>140</v>
      </c>
      <c r="AK4" s="211" t="s">
        <v>141</v>
      </c>
      <c r="AL4" s="212" t="s">
        <v>48</v>
      </c>
      <c r="AM4" s="211" t="s">
        <v>140</v>
      </c>
      <c r="AN4" s="211" t="s">
        <v>141</v>
      </c>
      <c r="AO4" s="212" t="s">
        <v>48</v>
      </c>
      <c r="AP4" s="211" t="s">
        <v>140</v>
      </c>
      <c r="AQ4" s="211" t="s">
        <v>141</v>
      </c>
      <c r="AR4" s="212" t="s">
        <v>48</v>
      </c>
      <c r="AS4" s="211" t="s">
        <v>140</v>
      </c>
      <c r="AT4" s="211" t="s">
        <v>141</v>
      </c>
      <c r="AU4" s="212" t="s">
        <v>48</v>
      </c>
    </row>
    <row r="5" spans="2:47" ht="13.8" x14ac:dyDescent="0.25">
      <c r="B5" s="149"/>
    </row>
    <row r="6" spans="2:47" ht="15" customHeight="1" x14ac:dyDescent="0.3">
      <c r="B6" s="150" t="s">
        <v>59</v>
      </c>
      <c r="C6" s="216">
        <v>521.50904392764858</v>
      </c>
      <c r="D6" s="217">
        <v>1598.4909560723515</v>
      </c>
      <c r="E6" s="215">
        <f>SUM(C6:D6)</f>
        <v>2120</v>
      </c>
      <c r="F6" s="216">
        <v>502.97771739130434</v>
      </c>
      <c r="G6" s="217">
        <v>1540.0222826086956</v>
      </c>
      <c r="H6" s="215">
        <f>SUM(F6:G6)</f>
        <v>2043</v>
      </c>
      <c r="I6" s="216">
        <v>654</v>
      </c>
      <c r="J6" s="217">
        <v>1731</v>
      </c>
      <c r="K6" s="215">
        <f>SUM(I6:J6)</f>
        <v>2385</v>
      </c>
      <c r="L6" s="216">
        <v>512</v>
      </c>
      <c r="M6" s="217">
        <v>1524</v>
      </c>
      <c r="N6" s="213">
        <f>SUM(L6:M6)</f>
        <v>2036</v>
      </c>
      <c r="O6" s="216">
        <v>344</v>
      </c>
      <c r="P6" s="217">
        <v>1105</v>
      </c>
      <c r="Q6" s="215">
        <f>SUM(O6:P6)</f>
        <v>1449</v>
      </c>
      <c r="R6" s="216">
        <v>399</v>
      </c>
      <c r="S6" s="217">
        <v>1149</v>
      </c>
      <c r="T6" s="215">
        <f>SUM(R6:S6)</f>
        <v>1548</v>
      </c>
      <c r="U6" s="216">
        <v>386</v>
      </c>
      <c r="V6" s="217">
        <v>1068</v>
      </c>
      <c r="W6" s="215">
        <f>SUM(U6:V6)</f>
        <v>1454</v>
      </c>
      <c r="X6" s="216">
        <v>314</v>
      </c>
      <c r="Y6" s="217">
        <v>935</v>
      </c>
      <c r="Z6" s="215">
        <f>SUM(X6:Y6)</f>
        <v>1249</v>
      </c>
      <c r="AA6" s="216">
        <v>431</v>
      </c>
      <c r="AB6" s="217">
        <v>1137</v>
      </c>
      <c r="AC6" s="215">
        <f>SUM(AA6:AB6)</f>
        <v>1568</v>
      </c>
      <c r="AD6" s="216">
        <v>469</v>
      </c>
      <c r="AE6" s="217">
        <v>1192</v>
      </c>
      <c r="AF6" s="215">
        <f>SUM(AD6:AE6)</f>
        <v>1661</v>
      </c>
      <c r="AG6" s="216">
        <v>503</v>
      </c>
      <c r="AH6" s="217">
        <v>1339</v>
      </c>
      <c r="AI6" s="215">
        <f>SUM(AG6:AH6)</f>
        <v>1842</v>
      </c>
      <c r="AJ6" s="216">
        <v>655</v>
      </c>
      <c r="AK6" s="217">
        <v>1630</v>
      </c>
      <c r="AL6" s="215">
        <f>SUM(AJ6:AK6)</f>
        <v>2285</v>
      </c>
      <c r="AM6" s="216">
        <v>439</v>
      </c>
      <c r="AN6" s="217">
        <v>997</v>
      </c>
      <c r="AO6" s="215">
        <f>SUM(AM6:AN6)</f>
        <v>1436</v>
      </c>
      <c r="AP6" s="216">
        <v>449</v>
      </c>
      <c r="AQ6" s="217">
        <v>1012</v>
      </c>
      <c r="AR6" s="215">
        <f>SUM(AP6:AQ6)</f>
        <v>1461</v>
      </c>
      <c r="AS6" s="216">
        <v>460</v>
      </c>
      <c r="AT6" s="217">
        <v>1105</v>
      </c>
      <c r="AU6" s="215">
        <f>SUM(AS6:AT6)</f>
        <v>1565</v>
      </c>
    </row>
    <row r="7" spans="2:47" ht="15" customHeight="1" x14ac:dyDescent="0.3">
      <c r="B7" s="154" t="s">
        <v>64</v>
      </c>
      <c r="C7" s="221">
        <v>721.30599848139707</v>
      </c>
      <c r="D7" s="222">
        <v>675.69400151860293</v>
      </c>
      <c r="E7" s="220">
        <f t="shared" ref="E7:E36" si="0">SUM(C7:D7)</f>
        <v>1397</v>
      </c>
      <c r="F7" s="221">
        <v>790.09119010819165</v>
      </c>
      <c r="G7" s="222">
        <v>651.90880989180835</v>
      </c>
      <c r="H7" s="220">
        <f t="shared" ref="H7:H36" si="1">SUM(F7:G7)</f>
        <v>1442</v>
      </c>
      <c r="I7" s="221">
        <v>708</v>
      </c>
      <c r="J7" s="222">
        <v>641</v>
      </c>
      <c r="K7" s="220">
        <f t="shared" ref="K7:K36" si="2">SUM(I7:J7)</f>
        <v>1349</v>
      </c>
      <c r="L7" s="221">
        <v>725</v>
      </c>
      <c r="M7" s="222">
        <v>680</v>
      </c>
      <c r="N7" s="218">
        <f t="shared" ref="N7:N36" si="3">SUM(L7:M7)</f>
        <v>1405</v>
      </c>
      <c r="O7" s="221">
        <v>801</v>
      </c>
      <c r="P7" s="222">
        <v>785</v>
      </c>
      <c r="Q7" s="220">
        <f t="shared" ref="Q7:Q36" si="4">SUM(O7:P7)</f>
        <v>1586</v>
      </c>
      <c r="R7" s="221">
        <v>797</v>
      </c>
      <c r="S7" s="222">
        <v>715</v>
      </c>
      <c r="T7" s="220">
        <f t="shared" ref="T7:T36" si="5">SUM(R7:S7)</f>
        <v>1512</v>
      </c>
      <c r="U7" s="221">
        <v>733</v>
      </c>
      <c r="V7" s="222">
        <v>721</v>
      </c>
      <c r="W7" s="220">
        <f>SUM(U7:V7)</f>
        <v>1454</v>
      </c>
      <c r="X7" s="221">
        <v>837</v>
      </c>
      <c r="Y7" s="222">
        <v>779</v>
      </c>
      <c r="Z7" s="220">
        <f>SUM(X7:Y7)</f>
        <v>1616</v>
      </c>
      <c r="AA7" s="221">
        <v>850</v>
      </c>
      <c r="AB7" s="222">
        <v>732</v>
      </c>
      <c r="AC7" s="220">
        <f>SUM(AA7:AB7)</f>
        <v>1582</v>
      </c>
      <c r="AD7" s="221">
        <v>834</v>
      </c>
      <c r="AE7" s="222">
        <v>732</v>
      </c>
      <c r="AF7" s="220">
        <f>SUM(AD7:AE7)</f>
        <v>1566</v>
      </c>
      <c r="AG7" s="221">
        <v>900</v>
      </c>
      <c r="AH7" s="222">
        <v>699</v>
      </c>
      <c r="AI7" s="220">
        <f>SUM(AG7:AH7)</f>
        <v>1599</v>
      </c>
      <c r="AJ7" s="221">
        <v>966</v>
      </c>
      <c r="AK7" s="222">
        <v>794</v>
      </c>
      <c r="AL7" s="220">
        <f>SUM(AJ7:AK7)</f>
        <v>1760</v>
      </c>
      <c r="AM7" s="221">
        <v>731</v>
      </c>
      <c r="AN7" s="222">
        <v>651</v>
      </c>
      <c r="AO7" s="220">
        <f>SUM(AM7:AN7)</f>
        <v>1382</v>
      </c>
      <c r="AP7" s="221">
        <v>779</v>
      </c>
      <c r="AQ7" s="222">
        <v>666</v>
      </c>
      <c r="AR7" s="220">
        <f>SUM(AP7:AQ7)</f>
        <v>1445</v>
      </c>
      <c r="AS7" s="221">
        <v>812</v>
      </c>
      <c r="AT7" s="222">
        <v>659</v>
      </c>
      <c r="AU7" s="220">
        <f>SUM(AS7:AT7)</f>
        <v>1471</v>
      </c>
    </row>
    <row r="8" spans="2:47" ht="15" customHeight="1" x14ac:dyDescent="0.25">
      <c r="B8" s="154" t="s">
        <v>68</v>
      </c>
      <c r="C8" s="219">
        <v>248.70868824531516</v>
      </c>
      <c r="D8" s="218">
        <v>367.29131175468484</v>
      </c>
      <c r="E8" s="220">
        <f t="shared" si="0"/>
        <v>616</v>
      </c>
      <c r="F8" s="219">
        <v>246.6897746967071</v>
      </c>
      <c r="G8" s="218">
        <v>400.3102253032929</v>
      </c>
      <c r="H8" s="220">
        <f t="shared" si="1"/>
        <v>647</v>
      </c>
      <c r="I8" s="219">
        <v>300</v>
      </c>
      <c r="J8" s="218">
        <v>322</v>
      </c>
      <c r="K8" s="220">
        <f t="shared" si="2"/>
        <v>622</v>
      </c>
      <c r="L8" s="219">
        <v>305</v>
      </c>
      <c r="M8" s="218">
        <v>353</v>
      </c>
      <c r="N8" s="218">
        <f t="shared" si="3"/>
        <v>658</v>
      </c>
      <c r="O8" s="219">
        <v>298</v>
      </c>
      <c r="P8" s="218">
        <v>342</v>
      </c>
      <c r="Q8" s="220">
        <f t="shared" si="4"/>
        <v>640</v>
      </c>
      <c r="R8" s="219">
        <v>327</v>
      </c>
      <c r="S8" s="218">
        <v>364</v>
      </c>
      <c r="T8" s="220">
        <f t="shared" si="5"/>
        <v>691</v>
      </c>
      <c r="U8" s="219">
        <v>308</v>
      </c>
      <c r="V8" s="218">
        <v>359</v>
      </c>
      <c r="W8" s="220">
        <f>SUM(U8:V8)</f>
        <v>667</v>
      </c>
      <c r="X8" s="219">
        <v>355</v>
      </c>
      <c r="Y8" s="218">
        <v>370</v>
      </c>
      <c r="Z8" s="220">
        <f>SUM(X8:Y8)</f>
        <v>725</v>
      </c>
      <c r="AA8" s="219">
        <v>377</v>
      </c>
      <c r="AB8" s="218">
        <v>346</v>
      </c>
      <c r="AC8" s="220">
        <f>SUM(AA8:AB8)</f>
        <v>723</v>
      </c>
      <c r="AD8" s="219">
        <v>373</v>
      </c>
      <c r="AE8" s="218">
        <v>442</v>
      </c>
      <c r="AF8" s="220">
        <f>SUM(AD8:AE8)</f>
        <v>815</v>
      </c>
      <c r="AG8" s="219">
        <v>423</v>
      </c>
      <c r="AH8" s="218">
        <v>421</v>
      </c>
      <c r="AI8" s="220">
        <f>SUM(AG8:AH8)</f>
        <v>844</v>
      </c>
      <c r="AJ8" s="219">
        <v>385</v>
      </c>
      <c r="AK8" s="218">
        <v>444</v>
      </c>
      <c r="AL8" s="220">
        <f>SUM(AJ8:AK8)</f>
        <v>829</v>
      </c>
      <c r="AM8" s="219">
        <v>385</v>
      </c>
      <c r="AN8" s="218">
        <v>381</v>
      </c>
      <c r="AO8" s="220">
        <f>SUM(AM8:AN8)</f>
        <v>766</v>
      </c>
      <c r="AP8" s="219">
        <v>391</v>
      </c>
      <c r="AQ8" s="218">
        <v>384</v>
      </c>
      <c r="AR8" s="220">
        <f>SUM(AP8:AQ8)</f>
        <v>775</v>
      </c>
      <c r="AS8" s="219">
        <v>422</v>
      </c>
      <c r="AT8" s="218">
        <v>380</v>
      </c>
      <c r="AU8" s="220">
        <f>SUM(AS8:AT8)</f>
        <v>802</v>
      </c>
    </row>
    <row r="9" spans="2:47" ht="15" customHeight="1" x14ac:dyDescent="0.3">
      <c r="B9" s="157" t="s">
        <v>133</v>
      </c>
      <c r="C9" s="226">
        <f t="shared" ref="C9:AO9" si="6">SUM(C6:C8)</f>
        <v>1491.5237306543609</v>
      </c>
      <c r="D9" s="227">
        <f t="shared" si="6"/>
        <v>2641.4762693456396</v>
      </c>
      <c r="E9" s="227">
        <f t="shared" si="6"/>
        <v>4133</v>
      </c>
      <c r="F9" s="226">
        <f t="shared" si="6"/>
        <v>1539.7586821962032</v>
      </c>
      <c r="G9" s="227">
        <f t="shared" si="6"/>
        <v>2592.2413178037968</v>
      </c>
      <c r="H9" s="227">
        <f t="shared" si="6"/>
        <v>4132</v>
      </c>
      <c r="I9" s="226">
        <f t="shared" si="6"/>
        <v>1662</v>
      </c>
      <c r="J9" s="227">
        <f t="shared" si="6"/>
        <v>2694</v>
      </c>
      <c r="K9" s="227">
        <f t="shared" si="6"/>
        <v>4356</v>
      </c>
      <c r="L9" s="226">
        <f t="shared" si="6"/>
        <v>1542</v>
      </c>
      <c r="M9" s="227">
        <f t="shared" si="6"/>
        <v>2557</v>
      </c>
      <c r="N9" s="227">
        <f>SUM(N6:N8)</f>
        <v>4099</v>
      </c>
      <c r="O9" s="226">
        <f>SUM(O6:O8)</f>
        <v>1443</v>
      </c>
      <c r="P9" s="227">
        <f>SUM(P6:P8)</f>
        <v>2232</v>
      </c>
      <c r="Q9" s="357">
        <f>SUM(Q6:Q8)</f>
        <v>3675</v>
      </c>
      <c r="R9" s="226">
        <f t="shared" si="6"/>
        <v>1523</v>
      </c>
      <c r="S9" s="227">
        <f t="shared" si="6"/>
        <v>2228</v>
      </c>
      <c r="T9" s="227">
        <f t="shared" si="6"/>
        <v>3751</v>
      </c>
      <c r="U9" s="226">
        <f t="shared" si="6"/>
        <v>1427</v>
      </c>
      <c r="V9" s="227">
        <f t="shared" si="6"/>
        <v>2148</v>
      </c>
      <c r="W9" s="357">
        <f t="shared" si="6"/>
        <v>3575</v>
      </c>
      <c r="X9" s="226">
        <f t="shared" si="6"/>
        <v>1506</v>
      </c>
      <c r="Y9" s="227">
        <f t="shared" si="6"/>
        <v>2084</v>
      </c>
      <c r="Z9" s="357">
        <f t="shared" si="6"/>
        <v>3590</v>
      </c>
      <c r="AA9" s="226">
        <f t="shared" si="6"/>
        <v>1658</v>
      </c>
      <c r="AB9" s="227">
        <f t="shared" si="6"/>
        <v>2215</v>
      </c>
      <c r="AC9" s="357">
        <f t="shared" si="6"/>
        <v>3873</v>
      </c>
      <c r="AD9" s="226">
        <f t="shared" si="6"/>
        <v>1676</v>
      </c>
      <c r="AE9" s="227">
        <f t="shared" si="6"/>
        <v>2366</v>
      </c>
      <c r="AF9" s="357">
        <f t="shared" si="6"/>
        <v>4042</v>
      </c>
      <c r="AG9" s="226">
        <f t="shared" si="6"/>
        <v>1826</v>
      </c>
      <c r="AH9" s="227">
        <f t="shared" si="6"/>
        <v>2459</v>
      </c>
      <c r="AI9" s="357">
        <f t="shared" si="6"/>
        <v>4285</v>
      </c>
      <c r="AJ9" s="226">
        <f t="shared" si="6"/>
        <v>2006</v>
      </c>
      <c r="AK9" s="227">
        <f t="shared" si="6"/>
        <v>2868</v>
      </c>
      <c r="AL9" s="357">
        <f t="shared" si="6"/>
        <v>4874</v>
      </c>
      <c r="AM9" s="226">
        <f t="shared" si="6"/>
        <v>1555</v>
      </c>
      <c r="AN9" s="227">
        <f t="shared" si="6"/>
        <v>2029</v>
      </c>
      <c r="AO9" s="357">
        <f t="shared" si="6"/>
        <v>3584</v>
      </c>
      <c r="AP9" s="226">
        <f t="shared" ref="AP9:AR9" si="7">SUM(AP6:AP8)</f>
        <v>1619</v>
      </c>
      <c r="AQ9" s="227">
        <f t="shared" si="7"/>
        <v>2062</v>
      </c>
      <c r="AR9" s="357">
        <f t="shared" si="7"/>
        <v>3681</v>
      </c>
      <c r="AS9" s="226">
        <f t="shared" ref="AS9:AU9" si="8">SUM(AS6:AS8)</f>
        <v>1694</v>
      </c>
      <c r="AT9" s="227">
        <f t="shared" si="8"/>
        <v>2144</v>
      </c>
      <c r="AU9" s="357">
        <f t="shared" si="8"/>
        <v>3838</v>
      </c>
    </row>
    <row r="10" spans="2:47" ht="15" customHeight="1" x14ac:dyDescent="0.25">
      <c r="B10" s="162"/>
      <c r="C10" s="228"/>
      <c r="D10" s="228"/>
      <c r="E10" s="228"/>
      <c r="F10" s="228"/>
      <c r="G10" s="228"/>
      <c r="H10" s="228"/>
      <c r="I10" s="228"/>
      <c r="J10" s="228"/>
      <c r="K10" s="228"/>
      <c r="L10" s="228"/>
      <c r="M10" s="228"/>
      <c r="N10" s="228"/>
      <c r="O10" s="228"/>
      <c r="P10" s="228"/>
      <c r="Q10" s="228"/>
      <c r="R10" s="228"/>
      <c r="S10" s="228"/>
      <c r="T10" s="228"/>
      <c r="U10" s="228"/>
      <c r="V10" s="228"/>
      <c r="W10" s="228"/>
      <c r="X10" s="228"/>
      <c r="Y10" s="228"/>
      <c r="Z10" s="228"/>
      <c r="AA10" s="228"/>
      <c r="AB10" s="228"/>
      <c r="AC10" s="228"/>
      <c r="AD10" s="228"/>
      <c r="AE10" s="228"/>
      <c r="AF10" s="228"/>
      <c r="AG10" s="228"/>
      <c r="AH10" s="228"/>
      <c r="AI10" s="228"/>
      <c r="AJ10" s="228"/>
      <c r="AK10" s="228"/>
      <c r="AL10" s="228"/>
      <c r="AM10" s="228"/>
      <c r="AN10" s="228"/>
      <c r="AO10" s="228"/>
      <c r="AP10" s="228"/>
      <c r="AQ10" s="228"/>
      <c r="AR10" s="228"/>
      <c r="AS10" s="228"/>
      <c r="AT10" s="228"/>
      <c r="AU10" s="228"/>
    </row>
    <row r="11" spans="2:47" ht="15" customHeight="1" x14ac:dyDescent="0.3">
      <c r="B11" s="150" t="s">
        <v>64</v>
      </c>
      <c r="C11" s="216">
        <v>76</v>
      </c>
      <c r="D11" s="217">
        <v>46</v>
      </c>
      <c r="E11" s="215">
        <f t="shared" si="0"/>
        <v>122</v>
      </c>
      <c r="F11" s="216">
        <v>49.879518072289159</v>
      </c>
      <c r="G11" s="217">
        <v>40.120481927710841</v>
      </c>
      <c r="H11" s="215">
        <f t="shared" si="1"/>
        <v>90</v>
      </c>
      <c r="I11" s="216">
        <v>61</v>
      </c>
      <c r="J11" s="217">
        <v>54</v>
      </c>
      <c r="K11" s="215">
        <f t="shared" si="2"/>
        <v>115</v>
      </c>
      <c r="L11" s="216">
        <v>54</v>
      </c>
      <c r="M11" s="217">
        <v>51</v>
      </c>
      <c r="N11" s="213">
        <f t="shared" si="3"/>
        <v>105</v>
      </c>
      <c r="O11" s="216">
        <v>63</v>
      </c>
      <c r="P11" s="217">
        <v>43</v>
      </c>
      <c r="Q11" s="215">
        <f t="shared" si="4"/>
        <v>106</v>
      </c>
      <c r="R11" s="216">
        <v>64</v>
      </c>
      <c r="S11" s="217">
        <v>59</v>
      </c>
      <c r="T11" s="215">
        <f t="shared" si="5"/>
        <v>123</v>
      </c>
      <c r="U11" s="216">
        <v>112</v>
      </c>
      <c r="V11" s="217">
        <v>115</v>
      </c>
      <c r="W11" s="215">
        <f>SUM(U11:V11)</f>
        <v>227</v>
      </c>
      <c r="X11" s="216">
        <v>149</v>
      </c>
      <c r="Y11" s="217">
        <v>126</v>
      </c>
      <c r="Z11" s="215">
        <f>SUM(X11:Y11)</f>
        <v>275</v>
      </c>
      <c r="AA11" s="216">
        <v>149</v>
      </c>
      <c r="AB11" s="217">
        <v>119</v>
      </c>
      <c r="AC11" s="215">
        <f>SUM(AA11:AB11)</f>
        <v>268</v>
      </c>
      <c r="AD11" s="216">
        <v>132</v>
      </c>
      <c r="AE11" s="217">
        <v>134</v>
      </c>
      <c r="AF11" s="215">
        <f>SUM(AD11:AE11)</f>
        <v>266</v>
      </c>
      <c r="AG11" s="216">
        <v>149</v>
      </c>
      <c r="AH11" s="217">
        <v>133</v>
      </c>
      <c r="AI11" s="215">
        <f>SUM(AG11:AH11)</f>
        <v>282</v>
      </c>
      <c r="AJ11" s="216">
        <v>153</v>
      </c>
      <c r="AK11" s="217">
        <v>114</v>
      </c>
      <c r="AL11" s="215">
        <f>SUM(AJ11:AK11)</f>
        <v>267</v>
      </c>
      <c r="AM11" s="216">
        <v>139</v>
      </c>
      <c r="AN11" s="217">
        <v>105</v>
      </c>
      <c r="AO11" s="215">
        <f>SUM(AM11:AN11)</f>
        <v>244</v>
      </c>
      <c r="AP11" s="216">
        <v>129</v>
      </c>
      <c r="AQ11" s="217">
        <v>105</v>
      </c>
      <c r="AR11" s="215">
        <f>SUM(AP11:AQ11)</f>
        <v>234</v>
      </c>
      <c r="AS11" s="216">
        <v>128</v>
      </c>
      <c r="AT11" s="217">
        <v>89</v>
      </c>
      <c r="AU11" s="215">
        <f>SUM(AS11:AT11)</f>
        <v>217</v>
      </c>
    </row>
    <row r="12" spans="2:47" ht="15" customHeight="1" x14ac:dyDescent="0.3">
      <c r="B12" s="154" t="s">
        <v>111</v>
      </c>
      <c r="C12" s="221">
        <v>60</v>
      </c>
      <c r="D12" s="222">
        <v>84</v>
      </c>
      <c r="E12" s="220">
        <f t="shared" si="0"/>
        <v>144</v>
      </c>
      <c r="F12" s="221">
        <v>49.269230769230774</v>
      </c>
      <c r="G12" s="222">
        <v>72.730769230769226</v>
      </c>
      <c r="H12" s="220">
        <f t="shared" si="1"/>
        <v>122</v>
      </c>
      <c r="I12" s="221">
        <v>52</v>
      </c>
      <c r="J12" s="222">
        <v>86</v>
      </c>
      <c r="K12" s="220">
        <f t="shared" si="2"/>
        <v>138</v>
      </c>
      <c r="L12" s="221">
        <v>72</v>
      </c>
      <c r="M12" s="222">
        <v>86</v>
      </c>
      <c r="N12" s="218">
        <f t="shared" si="3"/>
        <v>158</v>
      </c>
      <c r="O12" s="221">
        <v>62</v>
      </c>
      <c r="P12" s="222">
        <v>91</v>
      </c>
      <c r="Q12" s="220">
        <f t="shared" si="4"/>
        <v>153</v>
      </c>
      <c r="R12" s="221">
        <v>66</v>
      </c>
      <c r="S12" s="222">
        <v>92</v>
      </c>
      <c r="T12" s="220">
        <f t="shared" si="5"/>
        <v>158</v>
      </c>
      <c r="U12" s="221">
        <v>72</v>
      </c>
      <c r="V12" s="222">
        <v>117</v>
      </c>
      <c r="W12" s="220">
        <f>SUM(U12:V12)</f>
        <v>189</v>
      </c>
      <c r="X12" s="221">
        <v>94</v>
      </c>
      <c r="Y12" s="222">
        <v>140</v>
      </c>
      <c r="Z12" s="220">
        <f>SUM(X12:Y12)</f>
        <v>234</v>
      </c>
      <c r="AA12" s="221">
        <v>123</v>
      </c>
      <c r="AB12" s="222">
        <v>128</v>
      </c>
      <c r="AC12" s="220">
        <f>SUM(AA12:AB12)</f>
        <v>251</v>
      </c>
      <c r="AD12" s="221">
        <v>110</v>
      </c>
      <c r="AE12" s="222">
        <v>147</v>
      </c>
      <c r="AF12" s="220">
        <f>SUM(AD12:AE12)</f>
        <v>257</v>
      </c>
      <c r="AG12" s="221">
        <v>121</v>
      </c>
      <c r="AH12" s="222">
        <v>151</v>
      </c>
      <c r="AI12" s="220">
        <f>SUM(AG12:AH12)</f>
        <v>272</v>
      </c>
      <c r="AJ12" s="221">
        <v>129</v>
      </c>
      <c r="AK12" s="222">
        <v>128</v>
      </c>
      <c r="AL12" s="220">
        <f>SUM(AJ12:AK12)</f>
        <v>257</v>
      </c>
      <c r="AM12" s="221">
        <v>114</v>
      </c>
      <c r="AN12" s="222">
        <v>127</v>
      </c>
      <c r="AO12" s="220">
        <f>SUM(AM12:AN12)</f>
        <v>241</v>
      </c>
      <c r="AP12" s="221">
        <v>125</v>
      </c>
      <c r="AQ12" s="222">
        <v>130</v>
      </c>
      <c r="AR12" s="220">
        <f>SUM(AP12:AQ12)</f>
        <v>255</v>
      </c>
      <c r="AS12" s="221">
        <v>124</v>
      </c>
      <c r="AT12" s="222">
        <v>139</v>
      </c>
      <c r="AU12" s="220">
        <f>SUM(AS12:AT12)</f>
        <v>263</v>
      </c>
    </row>
    <row r="13" spans="2:47" ht="15" customHeight="1" x14ac:dyDescent="0.25">
      <c r="B13" s="154" t="s">
        <v>115</v>
      </c>
      <c r="C13" s="219">
        <v>44.118644067796609</v>
      </c>
      <c r="D13" s="218">
        <v>92.881355932203391</v>
      </c>
      <c r="E13" s="220">
        <f t="shared" si="0"/>
        <v>137</v>
      </c>
      <c r="F13" s="219">
        <v>34.719101123595507</v>
      </c>
      <c r="G13" s="218">
        <v>68.280898876404493</v>
      </c>
      <c r="H13" s="220">
        <f t="shared" si="1"/>
        <v>103</v>
      </c>
      <c r="I13" s="219">
        <v>58</v>
      </c>
      <c r="J13" s="218">
        <v>88</v>
      </c>
      <c r="K13" s="220">
        <f t="shared" si="2"/>
        <v>146</v>
      </c>
      <c r="L13" s="219">
        <v>73</v>
      </c>
      <c r="M13" s="218">
        <v>93</v>
      </c>
      <c r="N13" s="218">
        <f t="shared" si="3"/>
        <v>166</v>
      </c>
      <c r="O13" s="219">
        <v>60</v>
      </c>
      <c r="P13" s="218">
        <v>115</v>
      </c>
      <c r="Q13" s="220">
        <f t="shared" si="4"/>
        <v>175</v>
      </c>
      <c r="R13" s="219">
        <v>86</v>
      </c>
      <c r="S13" s="218">
        <v>136</v>
      </c>
      <c r="T13" s="220">
        <f t="shared" si="5"/>
        <v>222</v>
      </c>
      <c r="U13" s="219">
        <v>131</v>
      </c>
      <c r="V13" s="218">
        <v>162</v>
      </c>
      <c r="W13" s="220">
        <f>SUM(U13:V13)</f>
        <v>293</v>
      </c>
      <c r="X13" s="219">
        <v>110</v>
      </c>
      <c r="Y13" s="218">
        <v>173</v>
      </c>
      <c r="Z13" s="220">
        <f>SUM(X13:Y13)</f>
        <v>283</v>
      </c>
      <c r="AA13" s="219">
        <v>129</v>
      </c>
      <c r="AB13" s="218">
        <v>181</v>
      </c>
      <c r="AC13" s="220">
        <f>SUM(AA13:AB13)</f>
        <v>310</v>
      </c>
      <c r="AD13" s="219">
        <v>136</v>
      </c>
      <c r="AE13" s="218">
        <v>186</v>
      </c>
      <c r="AF13" s="220">
        <f>SUM(AD13:AE13)</f>
        <v>322</v>
      </c>
      <c r="AG13" s="219">
        <v>130</v>
      </c>
      <c r="AH13" s="218">
        <v>207</v>
      </c>
      <c r="AI13" s="220">
        <f>SUM(AG13:AH13)</f>
        <v>337</v>
      </c>
      <c r="AJ13" s="219">
        <v>120</v>
      </c>
      <c r="AK13" s="218">
        <v>177</v>
      </c>
      <c r="AL13" s="220">
        <f>SUM(AJ13:AK13)</f>
        <v>297</v>
      </c>
      <c r="AM13" s="219">
        <v>123</v>
      </c>
      <c r="AN13" s="218">
        <v>167</v>
      </c>
      <c r="AO13" s="220">
        <f>SUM(AM13:AN13)</f>
        <v>290</v>
      </c>
      <c r="AP13" s="219">
        <v>122</v>
      </c>
      <c r="AQ13" s="218">
        <v>156</v>
      </c>
      <c r="AR13" s="220">
        <f>SUM(AP13:AQ13)</f>
        <v>278</v>
      </c>
      <c r="AS13" s="219">
        <v>130</v>
      </c>
      <c r="AT13" s="218">
        <v>169</v>
      </c>
      <c r="AU13" s="220">
        <f>SUM(AS13:AT13)</f>
        <v>299</v>
      </c>
    </row>
    <row r="14" spans="2:47" ht="15" customHeight="1" x14ac:dyDescent="0.3">
      <c r="B14" s="166" t="s">
        <v>134</v>
      </c>
      <c r="C14" s="237">
        <f t="shared" ref="C14:AO14" si="9">SUM(C11:C13)</f>
        <v>180.11864406779659</v>
      </c>
      <c r="D14" s="238">
        <f t="shared" si="9"/>
        <v>222.88135593220341</v>
      </c>
      <c r="E14" s="238">
        <f t="shared" si="9"/>
        <v>403</v>
      </c>
      <c r="F14" s="237">
        <f t="shared" si="9"/>
        <v>133.86784996511545</v>
      </c>
      <c r="G14" s="238">
        <f t="shared" si="9"/>
        <v>181.13215003488455</v>
      </c>
      <c r="H14" s="238">
        <f t="shared" si="9"/>
        <v>315</v>
      </c>
      <c r="I14" s="237">
        <f t="shared" si="9"/>
        <v>171</v>
      </c>
      <c r="J14" s="238">
        <f t="shared" si="9"/>
        <v>228</v>
      </c>
      <c r="K14" s="238">
        <f t="shared" si="9"/>
        <v>399</v>
      </c>
      <c r="L14" s="237">
        <f t="shared" si="9"/>
        <v>199</v>
      </c>
      <c r="M14" s="238">
        <f t="shared" si="9"/>
        <v>230</v>
      </c>
      <c r="N14" s="238">
        <f>SUM(N11:N13)</f>
        <v>429</v>
      </c>
      <c r="O14" s="237">
        <f>SUM(O11:O13)</f>
        <v>185</v>
      </c>
      <c r="P14" s="238">
        <f>SUM(P11:P13)</f>
        <v>249</v>
      </c>
      <c r="Q14" s="358">
        <f>SUM(Q11:Q13)</f>
        <v>434</v>
      </c>
      <c r="R14" s="237">
        <f t="shared" si="9"/>
        <v>216</v>
      </c>
      <c r="S14" s="238">
        <f t="shared" si="9"/>
        <v>287</v>
      </c>
      <c r="T14" s="238">
        <f t="shared" si="9"/>
        <v>503</v>
      </c>
      <c r="U14" s="237">
        <f t="shared" si="9"/>
        <v>315</v>
      </c>
      <c r="V14" s="238">
        <f t="shared" si="9"/>
        <v>394</v>
      </c>
      <c r="W14" s="358">
        <f t="shared" si="9"/>
        <v>709</v>
      </c>
      <c r="X14" s="237">
        <f t="shared" si="9"/>
        <v>353</v>
      </c>
      <c r="Y14" s="238">
        <f t="shared" si="9"/>
        <v>439</v>
      </c>
      <c r="Z14" s="358">
        <f t="shared" si="9"/>
        <v>792</v>
      </c>
      <c r="AA14" s="237">
        <f t="shared" si="9"/>
        <v>401</v>
      </c>
      <c r="AB14" s="238">
        <f t="shared" si="9"/>
        <v>428</v>
      </c>
      <c r="AC14" s="358">
        <f t="shared" si="9"/>
        <v>829</v>
      </c>
      <c r="AD14" s="237">
        <f t="shared" si="9"/>
        <v>378</v>
      </c>
      <c r="AE14" s="238">
        <f t="shared" si="9"/>
        <v>467</v>
      </c>
      <c r="AF14" s="358">
        <f t="shared" si="9"/>
        <v>845</v>
      </c>
      <c r="AG14" s="237">
        <f t="shared" si="9"/>
        <v>400</v>
      </c>
      <c r="AH14" s="238">
        <f t="shared" si="9"/>
        <v>491</v>
      </c>
      <c r="AI14" s="358">
        <f t="shared" si="9"/>
        <v>891</v>
      </c>
      <c r="AJ14" s="237">
        <f t="shared" si="9"/>
        <v>402</v>
      </c>
      <c r="AK14" s="238">
        <f t="shared" si="9"/>
        <v>419</v>
      </c>
      <c r="AL14" s="358">
        <f t="shared" si="9"/>
        <v>821</v>
      </c>
      <c r="AM14" s="237">
        <f t="shared" si="9"/>
        <v>376</v>
      </c>
      <c r="AN14" s="238">
        <f t="shared" si="9"/>
        <v>399</v>
      </c>
      <c r="AO14" s="358">
        <f t="shared" si="9"/>
        <v>775</v>
      </c>
      <c r="AP14" s="237">
        <f t="shared" ref="AP14:AR14" si="10">SUM(AP11:AP13)</f>
        <v>376</v>
      </c>
      <c r="AQ14" s="238">
        <f t="shared" si="10"/>
        <v>391</v>
      </c>
      <c r="AR14" s="358">
        <f t="shared" si="10"/>
        <v>767</v>
      </c>
      <c r="AS14" s="237">
        <f t="shared" ref="AS14:AU14" si="11">SUM(AS11:AS13)</f>
        <v>382</v>
      </c>
      <c r="AT14" s="238">
        <f t="shared" si="11"/>
        <v>397</v>
      </c>
      <c r="AU14" s="358">
        <f t="shared" si="11"/>
        <v>779</v>
      </c>
    </row>
    <row r="15" spans="2:47" ht="15" customHeight="1" x14ac:dyDescent="0.3">
      <c r="B15" s="170"/>
      <c r="C15" s="239"/>
      <c r="D15" s="239"/>
      <c r="E15" s="239"/>
      <c r="F15" s="239"/>
      <c r="G15" s="239"/>
      <c r="H15" s="239"/>
      <c r="I15" s="239"/>
      <c r="J15" s="239"/>
      <c r="K15" s="239"/>
      <c r="L15" s="239"/>
      <c r="M15" s="239"/>
      <c r="N15" s="239"/>
      <c r="O15" s="239"/>
      <c r="P15" s="239"/>
      <c r="Q15" s="239"/>
      <c r="R15" s="239"/>
      <c r="S15" s="239"/>
      <c r="T15" s="239"/>
      <c r="U15" s="239"/>
      <c r="V15" s="239"/>
      <c r="W15" s="239"/>
      <c r="X15" s="239"/>
      <c r="Y15" s="239"/>
      <c r="Z15" s="239"/>
      <c r="AA15" s="239"/>
      <c r="AB15" s="239"/>
      <c r="AC15" s="239"/>
      <c r="AD15" s="239"/>
      <c r="AE15" s="239"/>
      <c r="AF15" s="239"/>
      <c r="AG15" s="239"/>
      <c r="AH15" s="239"/>
      <c r="AI15" s="239"/>
      <c r="AJ15" s="239"/>
      <c r="AK15" s="239"/>
      <c r="AL15" s="239"/>
      <c r="AM15" s="239"/>
      <c r="AN15" s="239"/>
      <c r="AO15" s="239"/>
      <c r="AP15" s="239"/>
      <c r="AQ15" s="239"/>
      <c r="AR15" s="239"/>
      <c r="AS15" s="239"/>
      <c r="AT15" s="239"/>
      <c r="AU15" s="239"/>
    </row>
    <row r="16" spans="2:47" ht="15" customHeight="1" x14ac:dyDescent="0.3">
      <c r="B16" s="150" t="s">
        <v>59</v>
      </c>
      <c r="C16" s="216">
        <v>282.58437146092865</v>
      </c>
      <c r="D16" s="217">
        <v>631.41562853907135</v>
      </c>
      <c r="E16" s="215">
        <f t="shared" si="0"/>
        <v>914</v>
      </c>
      <c r="F16" s="216">
        <v>254.53545232273839</v>
      </c>
      <c r="G16" s="217">
        <v>631.46454767726163</v>
      </c>
      <c r="H16" s="215">
        <f t="shared" si="1"/>
        <v>886</v>
      </c>
      <c r="I16" s="216">
        <v>324</v>
      </c>
      <c r="J16" s="217">
        <v>732</v>
      </c>
      <c r="K16" s="215">
        <f t="shared" si="2"/>
        <v>1056</v>
      </c>
      <c r="L16" s="216">
        <v>314</v>
      </c>
      <c r="M16" s="217">
        <v>784</v>
      </c>
      <c r="N16" s="213">
        <f t="shared" si="3"/>
        <v>1098</v>
      </c>
      <c r="O16" s="216">
        <v>343</v>
      </c>
      <c r="P16" s="217">
        <v>776</v>
      </c>
      <c r="Q16" s="215">
        <f t="shared" si="4"/>
        <v>1119</v>
      </c>
      <c r="R16" s="216">
        <v>374</v>
      </c>
      <c r="S16" s="217">
        <v>916</v>
      </c>
      <c r="T16" s="215">
        <f t="shared" si="5"/>
        <v>1290</v>
      </c>
      <c r="U16" s="216">
        <v>324</v>
      </c>
      <c r="V16" s="217">
        <v>728</v>
      </c>
      <c r="W16" s="215">
        <f>SUM(U16:V16)</f>
        <v>1052</v>
      </c>
      <c r="X16" s="216">
        <v>294</v>
      </c>
      <c r="Y16" s="217">
        <v>684</v>
      </c>
      <c r="Z16" s="215">
        <f>SUM(X16:Y16)</f>
        <v>978</v>
      </c>
      <c r="AA16" s="216">
        <v>354</v>
      </c>
      <c r="AB16" s="217">
        <v>740</v>
      </c>
      <c r="AC16" s="215">
        <f>SUM(AA16:AB16)</f>
        <v>1094</v>
      </c>
      <c r="AD16" s="216">
        <v>255</v>
      </c>
      <c r="AE16" s="217">
        <v>652</v>
      </c>
      <c r="AF16" s="215">
        <f>SUM(AD16:AE16)</f>
        <v>907</v>
      </c>
      <c r="AG16" s="216">
        <v>262</v>
      </c>
      <c r="AH16" s="217">
        <v>676</v>
      </c>
      <c r="AI16" s="215">
        <f>SUM(AG16:AH16)</f>
        <v>938</v>
      </c>
      <c r="AJ16" s="216">
        <v>311</v>
      </c>
      <c r="AK16" s="217">
        <v>658</v>
      </c>
      <c r="AL16" s="215">
        <f>SUM(AJ16:AK16)</f>
        <v>969</v>
      </c>
      <c r="AM16" s="216">
        <v>273</v>
      </c>
      <c r="AN16" s="217">
        <v>521</v>
      </c>
      <c r="AO16" s="215">
        <f>SUM(AM16:AN16)</f>
        <v>794</v>
      </c>
      <c r="AP16" s="216">
        <v>173</v>
      </c>
      <c r="AQ16" s="217">
        <v>457</v>
      </c>
      <c r="AR16" s="215">
        <f>SUM(AP16:AQ16)</f>
        <v>630</v>
      </c>
      <c r="AS16" s="216">
        <v>272</v>
      </c>
      <c r="AT16" s="217">
        <v>597</v>
      </c>
      <c r="AU16" s="215">
        <f>SUM(AS16:AT16)</f>
        <v>869</v>
      </c>
    </row>
    <row r="17" spans="2:47" ht="15" customHeight="1" x14ac:dyDescent="0.3">
      <c r="B17" s="154" t="s">
        <v>64</v>
      </c>
      <c r="C17" s="221">
        <v>695.63090472377894</v>
      </c>
      <c r="D17" s="222">
        <v>595.36909527622106</v>
      </c>
      <c r="E17" s="220">
        <f t="shared" si="0"/>
        <v>1291</v>
      </c>
      <c r="F17" s="221">
        <v>740.68764940239043</v>
      </c>
      <c r="G17" s="222">
        <v>620.31235059760957</v>
      </c>
      <c r="H17" s="220">
        <f t="shared" si="1"/>
        <v>1361</v>
      </c>
      <c r="I17" s="221">
        <v>745</v>
      </c>
      <c r="J17" s="222">
        <v>647</v>
      </c>
      <c r="K17" s="220">
        <f t="shared" si="2"/>
        <v>1392</v>
      </c>
      <c r="L17" s="221">
        <v>749</v>
      </c>
      <c r="M17" s="222">
        <v>626</v>
      </c>
      <c r="N17" s="218">
        <f t="shared" si="3"/>
        <v>1375</v>
      </c>
      <c r="O17" s="221">
        <v>738</v>
      </c>
      <c r="P17" s="222">
        <v>647</v>
      </c>
      <c r="Q17" s="220">
        <f t="shared" si="4"/>
        <v>1385</v>
      </c>
      <c r="R17" s="221">
        <v>693</v>
      </c>
      <c r="S17" s="222">
        <v>619</v>
      </c>
      <c r="T17" s="220">
        <f t="shared" si="5"/>
        <v>1312</v>
      </c>
      <c r="U17" s="221">
        <v>720</v>
      </c>
      <c r="V17" s="222">
        <v>595</v>
      </c>
      <c r="W17" s="220">
        <f>SUM(U17:V17)</f>
        <v>1315</v>
      </c>
      <c r="X17" s="221">
        <v>711</v>
      </c>
      <c r="Y17" s="222">
        <v>595</v>
      </c>
      <c r="Z17" s="220">
        <f>SUM(X17:Y17)</f>
        <v>1306</v>
      </c>
      <c r="AA17" s="221">
        <v>688</v>
      </c>
      <c r="AB17" s="222">
        <v>662</v>
      </c>
      <c r="AC17" s="220">
        <f>SUM(AA17:AB17)</f>
        <v>1350</v>
      </c>
      <c r="AD17" s="221">
        <v>723</v>
      </c>
      <c r="AE17" s="222">
        <v>641</v>
      </c>
      <c r="AF17" s="220">
        <f>SUM(AD17:AE17)</f>
        <v>1364</v>
      </c>
      <c r="AG17" s="221">
        <v>791</v>
      </c>
      <c r="AH17" s="222">
        <v>634</v>
      </c>
      <c r="AI17" s="220">
        <f>SUM(AG17:AH17)</f>
        <v>1425</v>
      </c>
      <c r="AJ17" s="221">
        <v>683</v>
      </c>
      <c r="AK17" s="222">
        <v>571</v>
      </c>
      <c r="AL17" s="220">
        <f>SUM(AJ17:AK17)</f>
        <v>1254</v>
      </c>
      <c r="AM17" s="221">
        <v>649</v>
      </c>
      <c r="AN17" s="222">
        <v>518</v>
      </c>
      <c r="AO17" s="220">
        <f>SUM(AM17:AN17)</f>
        <v>1167</v>
      </c>
      <c r="AP17" s="221">
        <v>687</v>
      </c>
      <c r="AQ17" s="222">
        <v>500</v>
      </c>
      <c r="AR17" s="220">
        <f>SUM(AP17:AQ17)</f>
        <v>1187</v>
      </c>
      <c r="AS17" s="221">
        <v>603</v>
      </c>
      <c r="AT17" s="222">
        <v>551</v>
      </c>
      <c r="AU17" s="220">
        <f>SUM(AS17:AT17)</f>
        <v>1154</v>
      </c>
    </row>
    <row r="18" spans="2:47" ht="15" customHeight="1" x14ac:dyDescent="0.25">
      <c r="B18" s="154" t="s">
        <v>92</v>
      </c>
      <c r="C18" s="219">
        <v>479.5435684647303</v>
      </c>
      <c r="D18" s="218">
        <v>282.4564315352697</v>
      </c>
      <c r="E18" s="220">
        <f t="shared" si="0"/>
        <v>762</v>
      </c>
      <c r="F18" s="219">
        <v>545.35252643948297</v>
      </c>
      <c r="G18" s="218">
        <v>373.64747356051703</v>
      </c>
      <c r="H18" s="220">
        <f t="shared" si="1"/>
        <v>919</v>
      </c>
      <c r="I18" s="219">
        <v>582</v>
      </c>
      <c r="J18" s="218">
        <v>396</v>
      </c>
      <c r="K18" s="220">
        <f t="shared" si="2"/>
        <v>978</v>
      </c>
      <c r="L18" s="219">
        <v>591</v>
      </c>
      <c r="M18" s="218">
        <v>415</v>
      </c>
      <c r="N18" s="218">
        <f t="shared" si="3"/>
        <v>1006</v>
      </c>
      <c r="O18" s="219">
        <v>584</v>
      </c>
      <c r="P18" s="218">
        <v>422</v>
      </c>
      <c r="Q18" s="220">
        <f t="shared" si="4"/>
        <v>1006</v>
      </c>
      <c r="R18" s="219">
        <v>579</v>
      </c>
      <c r="S18" s="218">
        <v>389</v>
      </c>
      <c r="T18" s="220">
        <f t="shared" si="5"/>
        <v>968</v>
      </c>
      <c r="U18" s="219">
        <v>521</v>
      </c>
      <c r="V18" s="218">
        <v>340</v>
      </c>
      <c r="W18" s="220">
        <f>SUM(U18:V18)</f>
        <v>861</v>
      </c>
      <c r="X18" s="219">
        <v>491</v>
      </c>
      <c r="Y18" s="218">
        <v>314</v>
      </c>
      <c r="Z18" s="220">
        <f>SUM(X18:Y18)</f>
        <v>805</v>
      </c>
      <c r="AA18" s="219">
        <v>521</v>
      </c>
      <c r="AB18" s="218">
        <v>283</v>
      </c>
      <c r="AC18" s="220">
        <f>SUM(AA18:AB18)</f>
        <v>804</v>
      </c>
      <c r="AD18" s="219">
        <v>512</v>
      </c>
      <c r="AE18" s="218">
        <v>298</v>
      </c>
      <c r="AF18" s="220">
        <f>SUM(AD18:AE18)</f>
        <v>810</v>
      </c>
      <c r="AG18" s="219">
        <v>384</v>
      </c>
      <c r="AH18" s="218">
        <v>257</v>
      </c>
      <c r="AI18" s="220">
        <f>SUM(AG18:AH18)</f>
        <v>641</v>
      </c>
      <c r="AJ18" s="219">
        <v>389</v>
      </c>
      <c r="AK18" s="218">
        <v>245</v>
      </c>
      <c r="AL18" s="220">
        <f>SUM(AJ18:AK18)</f>
        <v>634</v>
      </c>
      <c r="AM18" s="219">
        <v>396</v>
      </c>
      <c r="AN18" s="218">
        <v>218</v>
      </c>
      <c r="AO18" s="220">
        <f>SUM(AM18:AN18)</f>
        <v>614</v>
      </c>
      <c r="AP18" s="219">
        <v>394</v>
      </c>
      <c r="AQ18" s="218">
        <v>228</v>
      </c>
      <c r="AR18" s="220">
        <f>SUM(AP18:AQ18)</f>
        <v>622</v>
      </c>
      <c r="AS18" s="219">
        <v>397</v>
      </c>
      <c r="AT18" s="218">
        <v>241</v>
      </c>
      <c r="AU18" s="220">
        <f>SUM(AS18:AT18)</f>
        <v>638</v>
      </c>
    </row>
    <row r="19" spans="2:47" ht="15" customHeight="1" x14ac:dyDescent="0.3">
      <c r="B19" s="174" t="s">
        <v>135</v>
      </c>
      <c r="C19" s="243">
        <f t="shared" ref="C19:AO19" si="12">SUM(C16:C18)</f>
        <v>1457.7588446494378</v>
      </c>
      <c r="D19" s="244">
        <f t="shared" si="12"/>
        <v>1509.2411553505622</v>
      </c>
      <c r="E19" s="244">
        <f t="shared" si="12"/>
        <v>2967</v>
      </c>
      <c r="F19" s="243">
        <f t="shared" si="12"/>
        <v>1540.5756281646118</v>
      </c>
      <c r="G19" s="244">
        <f t="shared" si="12"/>
        <v>1625.4243718353882</v>
      </c>
      <c r="H19" s="244">
        <f t="shared" si="12"/>
        <v>3166</v>
      </c>
      <c r="I19" s="243">
        <f t="shared" si="12"/>
        <v>1651</v>
      </c>
      <c r="J19" s="244">
        <f t="shared" si="12"/>
        <v>1775</v>
      </c>
      <c r="K19" s="244">
        <f t="shared" si="12"/>
        <v>3426</v>
      </c>
      <c r="L19" s="243">
        <f t="shared" si="12"/>
        <v>1654</v>
      </c>
      <c r="M19" s="244">
        <f t="shared" si="12"/>
        <v>1825</v>
      </c>
      <c r="N19" s="244">
        <f>SUM(N16:N18)</f>
        <v>3479</v>
      </c>
      <c r="O19" s="243">
        <f>SUM(O16:O18)</f>
        <v>1665</v>
      </c>
      <c r="P19" s="244">
        <f>SUM(P16:P18)</f>
        <v>1845</v>
      </c>
      <c r="Q19" s="359">
        <f>SUM(Q16:Q18)</f>
        <v>3510</v>
      </c>
      <c r="R19" s="243">
        <f t="shared" si="12"/>
        <v>1646</v>
      </c>
      <c r="S19" s="244">
        <f t="shared" si="12"/>
        <v>1924</v>
      </c>
      <c r="T19" s="244">
        <f t="shared" si="12"/>
        <v>3570</v>
      </c>
      <c r="U19" s="243">
        <f t="shared" si="12"/>
        <v>1565</v>
      </c>
      <c r="V19" s="244">
        <f t="shared" si="12"/>
        <v>1663</v>
      </c>
      <c r="W19" s="359">
        <f t="shared" si="12"/>
        <v>3228</v>
      </c>
      <c r="X19" s="243">
        <f t="shared" si="12"/>
        <v>1496</v>
      </c>
      <c r="Y19" s="244">
        <f t="shared" si="12"/>
        <v>1593</v>
      </c>
      <c r="Z19" s="359">
        <f t="shared" si="12"/>
        <v>3089</v>
      </c>
      <c r="AA19" s="243">
        <f t="shared" si="12"/>
        <v>1563</v>
      </c>
      <c r="AB19" s="244">
        <f t="shared" si="12"/>
        <v>1685</v>
      </c>
      <c r="AC19" s="359">
        <f t="shared" si="12"/>
        <v>3248</v>
      </c>
      <c r="AD19" s="243">
        <f t="shared" si="12"/>
        <v>1490</v>
      </c>
      <c r="AE19" s="244">
        <f t="shared" si="12"/>
        <v>1591</v>
      </c>
      <c r="AF19" s="359">
        <f t="shared" si="12"/>
        <v>3081</v>
      </c>
      <c r="AG19" s="243">
        <f t="shared" si="12"/>
        <v>1437</v>
      </c>
      <c r="AH19" s="244">
        <f t="shared" si="12"/>
        <v>1567</v>
      </c>
      <c r="AI19" s="359">
        <f t="shared" si="12"/>
        <v>3004</v>
      </c>
      <c r="AJ19" s="243">
        <f t="shared" si="12"/>
        <v>1383</v>
      </c>
      <c r="AK19" s="244">
        <f t="shared" si="12"/>
        <v>1474</v>
      </c>
      <c r="AL19" s="359">
        <f t="shared" si="12"/>
        <v>2857</v>
      </c>
      <c r="AM19" s="243">
        <f t="shared" si="12"/>
        <v>1318</v>
      </c>
      <c r="AN19" s="244">
        <f t="shared" si="12"/>
        <v>1257</v>
      </c>
      <c r="AO19" s="359">
        <f t="shared" si="12"/>
        <v>2575</v>
      </c>
      <c r="AP19" s="243">
        <f t="shared" ref="AP19:AR19" si="13">SUM(AP16:AP18)</f>
        <v>1254</v>
      </c>
      <c r="AQ19" s="244">
        <f t="shared" si="13"/>
        <v>1185</v>
      </c>
      <c r="AR19" s="359">
        <f t="shared" si="13"/>
        <v>2439</v>
      </c>
      <c r="AS19" s="243">
        <f t="shared" ref="AS19:AU19" si="14">SUM(AS16:AS18)</f>
        <v>1272</v>
      </c>
      <c r="AT19" s="244">
        <f t="shared" si="14"/>
        <v>1389</v>
      </c>
      <c r="AU19" s="359">
        <f t="shared" si="14"/>
        <v>2661</v>
      </c>
    </row>
    <row r="20" spans="2:47" ht="14.4" x14ac:dyDescent="0.25">
      <c r="B20" s="162"/>
      <c r="C20" s="245"/>
      <c r="D20" s="245"/>
      <c r="E20" s="245"/>
      <c r="F20" s="245"/>
      <c r="G20" s="245"/>
      <c r="H20" s="245"/>
      <c r="I20" s="245"/>
      <c r="J20" s="245"/>
      <c r="K20" s="245"/>
      <c r="L20" s="245"/>
      <c r="M20" s="245"/>
      <c r="N20" s="245"/>
      <c r="O20" s="245"/>
      <c r="P20" s="245"/>
      <c r="Q20" s="245"/>
      <c r="R20" s="245"/>
      <c r="S20" s="245"/>
      <c r="T20" s="245"/>
      <c r="U20" s="245"/>
      <c r="V20" s="245"/>
      <c r="W20" s="245"/>
      <c r="X20" s="245"/>
      <c r="Y20" s="245"/>
      <c r="Z20" s="245"/>
      <c r="AA20" s="245"/>
      <c r="AB20" s="245"/>
      <c r="AC20" s="245"/>
      <c r="AD20" s="245"/>
      <c r="AE20" s="245"/>
      <c r="AF20" s="245"/>
      <c r="AG20" s="245"/>
      <c r="AH20" s="245"/>
      <c r="AI20" s="245"/>
      <c r="AJ20" s="245"/>
      <c r="AK20" s="245"/>
      <c r="AL20" s="245"/>
      <c r="AM20" s="245"/>
      <c r="AN20" s="245"/>
      <c r="AO20" s="245"/>
      <c r="AP20" s="245"/>
      <c r="AQ20" s="245"/>
      <c r="AR20" s="245"/>
      <c r="AS20" s="245"/>
      <c r="AT20" s="245"/>
      <c r="AU20" s="245"/>
    </row>
    <row r="21" spans="2:47" ht="15" customHeight="1" x14ac:dyDescent="0.3">
      <c r="B21" s="150" t="s">
        <v>59</v>
      </c>
      <c r="C21" s="216"/>
      <c r="D21" s="217"/>
      <c r="E21" s="213"/>
      <c r="F21" s="217"/>
      <c r="G21" s="217"/>
      <c r="H21" s="213"/>
      <c r="I21" s="217"/>
      <c r="J21" s="217"/>
      <c r="K21" s="215"/>
      <c r="L21" s="216">
        <v>24</v>
      </c>
      <c r="M21" s="217">
        <v>53</v>
      </c>
      <c r="N21" s="213">
        <f t="shared" si="3"/>
        <v>77</v>
      </c>
      <c r="O21" s="216">
        <v>15</v>
      </c>
      <c r="P21" s="217">
        <v>17</v>
      </c>
      <c r="Q21" s="215">
        <f t="shared" si="4"/>
        <v>32</v>
      </c>
      <c r="R21" s="216">
        <v>31</v>
      </c>
      <c r="S21" s="217">
        <v>42</v>
      </c>
      <c r="T21" s="215">
        <f t="shared" si="5"/>
        <v>73</v>
      </c>
      <c r="U21" s="216">
        <v>27</v>
      </c>
      <c r="V21" s="217">
        <v>29</v>
      </c>
      <c r="W21" s="215">
        <f>SUM(U21:V21)</f>
        <v>56</v>
      </c>
      <c r="X21" s="216">
        <v>33</v>
      </c>
      <c r="Y21" s="217">
        <v>46</v>
      </c>
      <c r="Z21" s="215">
        <f>SUM(X21:Y21)</f>
        <v>79</v>
      </c>
      <c r="AA21" s="216">
        <v>12</v>
      </c>
      <c r="AB21" s="217">
        <v>50</v>
      </c>
      <c r="AC21" s="215">
        <f>SUM(AA21:AB21)</f>
        <v>62</v>
      </c>
      <c r="AD21" s="360">
        <v>53</v>
      </c>
      <c r="AE21" s="361">
        <v>81</v>
      </c>
      <c r="AF21" s="215">
        <f>SUM(AD21:AE21)</f>
        <v>134</v>
      </c>
      <c r="AG21" s="360">
        <v>41</v>
      </c>
      <c r="AH21" s="361">
        <v>115</v>
      </c>
      <c r="AI21" s="215">
        <f>SUM(AG21:AH21)</f>
        <v>156</v>
      </c>
      <c r="AJ21" s="360">
        <v>57</v>
      </c>
      <c r="AK21" s="361">
        <v>138</v>
      </c>
      <c r="AL21" s="215">
        <f>SUM(AJ21:AK21)</f>
        <v>195</v>
      </c>
      <c r="AM21" s="360">
        <v>51</v>
      </c>
      <c r="AN21" s="361">
        <v>115</v>
      </c>
      <c r="AO21" s="215">
        <f>SUM(AM21:AN21)</f>
        <v>166</v>
      </c>
      <c r="AP21" s="360">
        <v>37</v>
      </c>
      <c r="AQ21" s="361">
        <v>115</v>
      </c>
      <c r="AR21" s="215">
        <f>SUM(AP21:AQ21)</f>
        <v>152</v>
      </c>
      <c r="AS21" s="360">
        <v>51</v>
      </c>
      <c r="AT21" s="361">
        <v>153</v>
      </c>
      <c r="AU21" s="215">
        <f>SUM(AS21:AT21)</f>
        <v>204</v>
      </c>
    </row>
    <row r="22" spans="2:47" ht="15" customHeight="1" x14ac:dyDescent="0.3">
      <c r="B22" s="154" t="s">
        <v>64</v>
      </c>
      <c r="C22" s="221"/>
      <c r="D22" s="222"/>
      <c r="E22" s="218"/>
      <c r="F22" s="222"/>
      <c r="G22" s="222"/>
      <c r="H22" s="218"/>
      <c r="I22" s="222"/>
      <c r="J22" s="222"/>
      <c r="K22" s="220"/>
      <c r="L22" s="221">
        <v>47</v>
      </c>
      <c r="M22" s="222">
        <v>34</v>
      </c>
      <c r="N22" s="218">
        <f t="shared" si="3"/>
        <v>81</v>
      </c>
      <c r="O22" s="221">
        <v>18</v>
      </c>
      <c r="P22" s="222">
        <v>19</v>
      </c>
      <c r="Q22" s="220">
        <f t="shared" si="4"/>
        <v>37</v>
      </c>
      <c r="R22" s="221">
        <v>45</v>
      </c>
      <c r="S22" s="222">
        <v>43</v>
      </c>
      <c r="T22" s="220">
        <f t="shared" si="5"/>
        <v>88</v>
      </c>
      <c r="U22" s="221">
        <v>32</v>
      </c>
      <c r="V22" s="222">
        <v>33</v>
      </c>
      <c r="W22" s="220">
        <f>SUM(U22:V22)</f>
        <v>65</v>
      </c>
      <c r="X22" s="221">
        <v>46</v>
      </c>
      <c r="Y22" s="222">
        <v>30</v>
      </c>
      <c r="Z22" s="220">
        <f>SUM(X22:Y22)</f>
        <v>76</v>
      </c>
      <c r="AA22" s="221">
        <v>65</v>
      </c>
      <c r="AB22" s="222">
        <v>40</v>
      </c>
      <c r="AC22" s="220">
        <f>SUM(AA22:AB22)</f>
        <v>105</v>
      </c>
      <c r="AD22" s="362">
        <v>66</v>
      </c>
      <c r="AE22" s="363">
        <v>55</v>
      </c>
      <c r="AF22" s="220">
        <f>SUM(AD22:AE22)</f>
        <v>121</v>
      </c>
      <c r="AG22" s="362">
        <v>87</v>
      </c>
      <c r="AH22" s="363">
        <v>75</v>
      </c>
      <c r="AI22" s="220">
        <f>SUM(AG22:AH22)</f>
        <v>162</v>
      </c>
      <c r="AJ22" s="362">
        <v>67</v>
      </c>
      <c r="AK22" s="363">
        <v>69</v>
      </c>
      <c r="AL22" s="220">
        <f>SUM(AJ22:AK22)</f>
        <v>136</v>
      </c>
      <c r="AM22" s="362">
        <v>99</v>
      </c>
      <c r="AN22" s="363">
        <v>60</v>
      </c>
      <c r="AO22" s="220">
        <f>SUM(AM22:AN22)</f>
        <v>159</v>
      </c>
      <c r="AP22" s="362">
        <v>84</v>
      </c>
      <c r="AQ22" s="363">
        <v>74</v>
      </c>
      <c r="AR22" s="220">
        <f>SUM(AP22:AQ22)</f>
        <v>158</v>
      </c>
      <c r="AS22" s="362">
        <v>94</v>
      </c>
      <c r="AT22" s="363">
        <v>54</v>
      </c>
      <c r="AU22" s="220">
        <f>SUM(AS22:AT22)</f>
        <v>148</v>
      </c>
    </row>
    <row r="23" spans="2:47" ht="15" customHeight="1" x14ac:dyDescent="0.25">
      <c r="B23" s="154" t="s">
        <v>92</v>
      </c>
      <c r="C23" s="219"/>
      <c r="D23" s="218"/>
      <c r="E23" s="218"/>
      <c r="F23" s="218"/>
      <c r="G23" s="218"/>
      <c r="H23" s="218"/>
      <c r="I23" s="218"/>
      <c r="J23" s="218"/>
      <c r="K23" s="220"/>
      <c r="L23" s="219">
        <v>54</v>
      </c>
      <c r="M23" s="218">
        <v>26</v>
      </c>
      <c r="N23" s="218">
        <f t="shared" si="3"/>
        <v>80</v>
      </c>
      <c r="O23" s="219">
        <v>23</v>
      </c>
      <c r="P23" s="218">
        <v>15</v>
      </c>
      <c r="Q23" s="220">
        <f t="shared" si="4"/>
        <v>38</v>
      </c>
      <c r="R23" s="219">
        <v>52</v>
      </c>
      <c r="S23" s="218">
        <v>21</v>
      </c>
      <c r="T23" s="220">
        <f t="shared" si="5"/>
        <v>73</v>
      </c>
      <c r="U23" s="219">
        <v>42</v>
      </c>
      <c r="V23" s="218">
        <v>24</v>
      </c>
      <c r="W23" s="220">
        <f>SUM(U23:V23)</f>
        <v>66</v>
      </c>
      <c r="X23" s="219">
        <v>59</v>
      </c>
      <c r="Y23" s="218">
        <v>26</v>
      </c>
      <c r="Z23" s="220">
        <f>SUM(X23:Y23)</f>
        <v>85</v>
      </c>
      <c r="AA23" s="219">
        <v>65</v>
      </c>
      <c r="AB23" s="218">
        <v>34</v>
      </c>
      <c r="AC23" s="220">
        <f>SUM(AA23:AB23)</f>
        <v>99</v>
      </c>
      <c r="AD23" s="364">
        <v>83</v>
      </c>
      <c r="AE23" s="365">
        <v>42</v>
      </c>
      <c r="AF23" s="220">
        <f>SUM(AD23:AE23)</f>
        <v>125</v>
      </c>
      <c r="AG23" s="364">
        <v>94</v>
      </c>
      <c r="AH23" s="365">
        <v>38</v>
      </c>
      <c r="AI23" s="220">
        <f>SUM(AG23:AH23)</f>
        <v>132</v>
      </c>
      <c r="AJ23" s="364">
        <v>97</v>
      </c>
      <c r="AK23" s="365">
        <v>43</v>
      </c>
      <c r="AL23" s="220">
        <f>SUM(AJ23:AK23)</f>
        <v>140</v>
      </c>
      <c r="AM23" s="364">
        <v>119</v>
      </c>
      <c r="AN23" s="365">
        <v>33</v>
      </c>
      <c r="AO23" s="220">
        <f>SUM(AM23:AN23)</f>
        <v>152</v>
      </c>
      <c r="AP23" s="364">
        <v>103</v>
      </c>
      <c r="AQ23" s="365">
        <v>49</v>
      </c>
      <c r="AR23" s="220">
        <f>SUM(AP23:AQ23)</f>
        <v>152</v>
      </c>
      <c r="AS23" s="364">
        <v>122</v>
      </c>
      <c r="AT23" s="365">
        <v>40</v>
      </c>
      <c r="AU23" s="220">
        <f>SUM(AS23:AT23)</f>
        <v>162</v>
      </c>
    </row>
    <row r="24" spans="2:47" ht="15" customHeight="1" x14ac:dyDescent="0.3">
      <c r="B24" s="178" t="s">
        <v>136</v>
      </c>
      <c r="C24" s="255"/>
      <c r="D24" s="254"/>
      <c r="E24" s="254"/>
      <c r="F24" s="254"/>
      <c r="G24" s="254"/>
      <c r="H24" s="254"/>
      <c r="I24" s="254"/>
      <c r="J24" s="254"/>
      <c r="K24" s="366"/>
      <c r="L24" s="255">
        <f t="shared" ref="L24:AO24" si="15">SUM(L21:L23)</f>
        <v>125</v>
      </c>
      <c r="M24" s="254">
        <f t="shared" si="15"/>
        <v>113</v>
      </c>
      <c r="N24" s="254">
        <f>SUM(N21:N23)</f>
        <v>238</v>
      </c>
      <c r="O24" s="255">
        <f>SUM(O21:O23)</f>
        <v>56</v>
      </c>
      <c r="P24" s="254">
        <f>SUM(P21:P23)</f>
        <v>51</v>
      </c>
      <c r="Q24" s="366">
        <f>SUM(Q21:Q23)</f>
        <v>107</v>
      </c>
      <c r="R24" s="255">
        <f t="shared" si="15"/>
        <v>128</v>
      </c>
      <c r="S24" s="254">
        <f t="shared" si="15"/>
        <v>106</v>
      </c>
      <c r="T24" s="254">
        <f t="shared" si="15"/>
        <v>234</v>
      </c>
      <c r="U24" s="255">
        <f t="shared" si="15"/>
        <v>101</v>
      </c>
      <c r="V24" s="254">
        <f t="shared" si="15"/>
        <v>86</v>
      </c>
      <c r="W24" s="366">
        <f t="shared" si="15"/>
        <v>187</v>
      </c>
      <c r="X24" s="255">
        <f t="shared" si="15"/>
        <v>138</v>
      </c>
      <c r="Y24" s="254">
        <f t="shared" si="15"/>
        <v>102</v>
      </c>
      <c r="Z24" s="366">
        <f t="shared" si="15"/>
        <v>240</v>
      </c>
      <c r="AA24" s="255">
        <f t="shared" si="15"/>
        <v>142</v>
      </c>
      <c r="AB24" s="254">
        <f t="shared" si="15"/>
        <v>124</v>
      </c>
      <c r="AC24" s="366">
        <f t="shared" si="15"/>
        <v>266</v>
      </c>
      <c r="AD24" s="255">
        <f t="shared" si="15"/>
        <v>202</v>
      </c>
      <c r="AE24" s="254">
        <f t="shared" si="15"/>
        <v>178</v>
      </c>
      <c r="AF24" s="366">
        <f t="shared" si="15"/>
        <v>380</v>
      </c>
      <c r="AG24" s="255">
        <f t="shared" si="15"/>
        <v>222</v>
      </c>
      <c r="AH24" s="254">
        <f t="shared" si="15"/>
        <v>228</v>
      </c>
      <c r="AI24" s="366">
        <f t="shared" si="15"/>
        <v>450</v>
      </c>
      <c r="AJ24" s="255">
        <f t="shared" si="15"/>
        <v>221</v>
      </c>
      <c r="AK24" s="254">
        <f t="shared" si="15"/>
        <v>250</v>
      </c>
      <c r="AL24" s="366">
        <f t="shared" si="15"/>
        <v>471</v>
      </c>
      <c r="AM24" s="255">
        <f t="shared" si="15"/>
        <v>269</v>
      </c>
      <c r="AN24" s="254">
        <f t="shared" si="15"/>
        <v>208</v>
      </c>
      <c r="AO24" s="366">
        <f t="shared" si="15"/>
        <v>477</v>
      </c>
      <c r="AP24" s="255">
        <f t="shared" ref="AP24:AR24" si="16">SUM(AP21:AP23)</f>
        <v>224</v>
      </c>
      <c r="AQ24" s="254">
        <f t="shared" si="16"/>
        <v>238</v>
      </c>
      <c r="AR24" s="366">
        <f t="shared" si="16"/>
        <v>462</v>
      </c>
      <c r="AS24" s="255">
        <f t="shared" ref="AS24:AU24" si="17">SUM(AS21:AS23)</f>
        <v>267</v>
      </c>
      <c r="AT24" s="254">
        <f t="shared" si="17"/>
        <v>247</v>
      </c>
      <c r="AU24" s="366">
        <f t="shared" si="17"/>
        <v>514</v>
      </c>
    </row>
    <row r="25" spans="2:47" ht="14.4" x14ac:dyDescent="0.3">
      <c r="B25" s="170"/>
      <c r="C25" s="239"/>
      <c r="D25" s="239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239"/>
      <c r="X25" s="239"/>
      <c r="Y25" s="239"/>
      <c r="Z25" s="239"/>
      <c r="AA25" s="239"/>
      <c r="AB25" s="239"/>
      <c r="AC25" s="239"/>
      <c r="AD25" s="239"/>
      <c r="AE25" s="239"/>
      <c r="AF25" s="239"/>
      <c r="AG25" s="239"/>
      <c r="AH25" s="239"/>
      <c r="AI25" s="239"/>
      <c r="AJ25" s="239"/>
      <c r="AK25" s="239"/>
      <c r="AL25" s="239"/>
      <c r="AM25" s="239"/>
      <c r="AN25" s="239"/>
      <c r="AO25" s="239"/>
      <c r="AP25" s="239"/>
      <c r="AQ25" s="239"/>
      <c r="AR25" s="239"/>
      <c r="AS25" s="239"/>
      <c r="AT25" s="239"/>
      <c r="AU25" s="239"/>
    </row>
    <row r="26" spans="2:47" ht="15" customHeight="1" x14ac:dyDescent="0.3">
      <c r="B26" s="150" t="s">
        <v>64</v>
      </c>
      <c r="C26" s="216">
        <v>791.92426367461439</v>
      </c>
      <c r="D26" s="217">
        <v>732.07573632538572</v>
      </c>
      <c r="E26" s="215">
        <f t="shared" si="0"/>
        <v>1524</v>
      </c>
      <c r="F26" s="216">
        <v>824.38276113951781</v>
      </c>
      <c r="G26" s="217">
        <v>721.61723886048208</v>
      </c>
      <c r="H26" s="215">
        <f t="shared" si="1"/>
        <v>1546</v>
      </c>
      <c r="I26" s="216">
        <v>822</v>
      </c>
      <c r="J26" s="217">
        <v>794</v>
      </c>
      <c r="K26" s="215">
        <f t="shared" si="2"/>
        <v>1616</v>
      </c>
      <c r="L26" s="216">
        <v>813</v>
      </c>
      <c r="M26" s="217">
        <v>798</v>
      </c>
      <c r="N26" s="213">
        <f t="shared" si="3"/>
        <v>1611</v>
      </c>
      <c r="O26" s="216">
        <v>850</v>
      </c>
      <c r="P26" s="217">
        <v>813</v>
      </c>
      <c r="Q26" s="215">
        <f t="shared" si="4"/>
        <v>1663</v>
      </c>
      <c r="R26" s="216">
        <v>767</v>
      </c>
      <c r="S26" s="217">
        <v>780</v>
      </c>
      <c r="T26" s="215">
        <f t="shared" si="5"/>
        <v>1547</v>
      </c>
      <c r="U26" s="216">
        <v>794</v>
      </c>
      <c r="V26" s="217">
        <v>778</v>
      </c>
      <c r="W26" s="215">
        <f>SUM(U26:V26)</f>
        <v>1572</v>
      </c>
      <c r="X26" s="216">
        <v>809</v>
      </c>
      <c r="Y26" s="217">
        <v>797</v>
      </c>
      <c r="Z26" s="215">
        <f>SUM(X26:Y26)</f>
        <v>1606</v>
      </c>
      <c r="AA26" s="216">
        <v>884</v>
      </c>
      <c r="AB26" s="217">
        <v>834</v>
      </c>
      <c r="AC26" s="215">
        <f>SUM(AA26:AB26)</f>
        <v>1718</v>
      </c>
      <c r="AD26" s="216">
        <v>871</v>
      </c>
      <c r="AE26" s="217">
        <v>787</v>
      </c>
      <c r="AF26" s="215">
        <f>SUM(AD26:AE26)</f>
        <v>1658</v>
      </c>
      <c r="AG26" s="216">
        <v>846</v>
      </c>
      <c r="AH26" s="217">
        <v>802</v>
      </c>
      <c r="AI26" s="215">
        <f>SUM(AG26:AH26)</f>
        <v>1648</v>
      </c>
      <c r="AJ26" s="216">
        <v>943</v>
      </c>
      <c r="AK26" s="217">
        <v>753</v>
      </c>
      <c r="AL26" s="215">
        <f>SUM(AJ26:AK26)</f>
        <v>1696</v>
      </c>
      <c r="AM26" s="216">
        <v>799</v>
      </c>
      <c r="AN26" s="217">
        <v>677</v>
      </c>
      <c r="AO26" s="215">
        <f>SUM(AM26:AN26)</f>
        <v>1476</v>
      </c>
      <c r="AP26" s="216">
        <v>732</v>
      </c>
      <c r="AQ26" s="217">
        <v>647</v>
      </c>
      <c r="AR26" s="215">
        <f>SUM(AP26:AQ26)</f>
        <v>1379</v>
      </c>
      <c r="AS26" s="216">
        <v>774</v>
      </c>
      <c r="AT26" s="217">
        <v>707</v>
      </c>
      <c r="AU26" s="215">
        <f>SUM(AS26:AT26)</f>
        <v>1481</v>
      </c>
    </row>
    <row r="27" spans="2:47" ht="15" customHeight="1" x14ac:dyDescent="0.3">
      <c r="B27" s="154" t="s">
        <v>92</v>
      </c>
      <c r="C27" s="221">
        <v>1111.3910073989755</v>
      </c>
      <c r="D27" s="222">
        <v>782.6089926010244</v>
      </c>
      <c r="E27" s="220">
        <f t="shared" si="0"/>
        <v>1894</v>
      </c>
      <c r="F27" s="221">
        <v>1216.7635933806146</v>
      </c>
      <c r="G27" s="222">
        <v>740.23640661938532</v>
      </c>
      <c r="H27" s="220">
        <f t="shared" si="1"/>
        <v>1957</v>
      </c>
      <c r="I27" s="221">
        <v>1321</v>
      </c>
      <c r="J27" s="222">
        <v>785</v>
      </c>
      <c r="K27" s="220">
        <f t="shared" si="2"/>
        <v>2106</v>
      </c>
      <c r="L27" s="221">
        <v>1220</v>
      </c>
      <c r="M27" s="222">
        <v>861</v>
      </c>
      <c r="N27" s="218">
        <f t="shared" si="3"/>
        <v>2081</v>
      </c>
      <c r="O27" s="221">
        <v>1224</v>
      </c>
      <c r="P27" s="222">
        <v>843</v>
      </c>
      <c r="Q27" s="220">
        <f t="shared" si="4"/>
        <v>2067</v>
      </c>
      <c r="R27" s="221">
        <v>1310</v>
      </c>
      <c r="S27" s="222">
        <v>777</v>
      </c>
      <c r="T27" s="220">
        <f t="shared" si="5"/>
        <v>2087</v>
      </c>
      <c r="U27" s="221">
        <v>1220</v>
      </c>
      <c r="V27" s="222">
        <v>724</v>
      </c>
      <c r="W27" s="220">
        <f>SUM(U27:V27)</f>
        <v>1944</v>
      </c>
      <c r="X27" s="221">
        <v>1254</v>
      </c>
      <c r="Y27" s="222">
        <v>764</v>
      </c>
      <c r="Z27" s="220">
        <f>SUM(X27:Y27)</f>
        <v>2018</v>
      </c>
      <c r="AA27" s="221">
        <v>1401</v>
      </c>
      <c r="AB27" s="222">
        <v>817</v>
      </c>
      <c r="AC27" s="220">
        <f>SUM(AA27:AB27)</f>
        <v>2218</v>
      </c>
      <c r="AD27" s="221">
        <v>1441</v>
      </c>
      <c r="AE27" s="222">
        <v>812</v>
      </c>
      <c r="AF27" s="220">
        <f>SUM(AD27:AE27)</f>
        <v>2253</v>
      </c>
      <c r="AG27" s="221">
        <v>1387</v>
      </c>
      <c r="AH27" s="222">
        <v>839</v>
      </c>
      <c r="AI27" s="220">
        <f>SUM(AG27:AH27)</f>
        <v>2226</v>
      </c>
      <c r="AJ27" s="221">
        <v>1314</v>
      </c>
      <c r="AK27" s="222">
        <v>712</v>
      </c>
      <c r="AL27" s="220">
        <f>SUM(AJ27:AK27)</f>
        <v>2026</v>
      </c>
      <c r="AM27" s="221">
        <v>1160</v>
      </c>
      <c r="AN27" s="222">
        <v>638</v>
      </c>
      <c r="AO27" s="220">
        <f>SUM(AM27:AN27)</f>
        <v>1798</v>
      </c>
      <c r="AP27" s="221">
        <v>1207</v>
      </c>
      <c r="AQ27" s="222">
        <v>605</v>
      </c>
      <c r="AR27" s="220">
        <f>SUM(AP27:AQ27)</f>
        <v>1812</v>
      </c>
      <c r="AS27" s="221">
        <v>1251</v>
      </c>
      <c r="AT27" s="222">
        <v>643</v>
      </c>
      <c r="AU27" s="220">
        <f>SUM(AS27:AT27)</f>
        <v>1894</v>
      </c>
    </row>
    <row r="28" spans="2:47" ht="15" customHeight="1" x14ac:dyDescent="0.25">
      <c r="B28" s="154" t="s">
        <v>68</v>
      </c>
      <c r="C28" s="219">
        <v>310.88156123822341</v>
      </c>
      <c r="D28" s="218">
        <v>472.11843876177659</v>
      </c>
      <c r="E28" s="220">
        <f t="shared" si="0"/>
        <v>783</v>
      </c>
      <c r="F28" s="219">
        <v>288.71406959152802</v>
      </c>
      <c r="G28" s="218">
        <v>445.28593040847204</v>
      </c>
      <c r="H28" s="220">
        <f t="shared" si="1"/>
        <v>734</v>
      </c>
      <c r="I28" s="219">
        <v>285</v>
      </c>
      <c r="J28" s="218">
        <v>459</v>
      </c>
      <c r="K28" s="220">
        <f t="shared" si="2"/>
        <v>744</v>
      </c>
      <c r="L28" s="219">
        <v>325</v>
      </c>
      <c r="M28" s="218">
        <v>451</v>
      </c>
      <c r="N28" s="218">
        <f t="shared" si="3"/>
        <v>776</v>
      </c>
      <c r="O28" s="219">
        <v>300</v>
      </c>
      <c r="P28" s="218">
        <v>471</v>
      </c>
      <c r="Q28" s="220">
        <f t="shared" si="4"/>
        <v>771</v>
      </c>
      <c r="R28" s="219">
        <v>281</v>
      </c>
      <c r="S28" s="218">
        <v>437</v>
      </c>
      <c r="T28" s="220">
        <f t="shared" si="5"/>
        <v>718</v>
      </c>
      <c r="U28" s="219">
        <v>277</v>
      </c>
      <c r="V28" s="218">
        <v>419</v>
      </c>
      <c r="W28" s="220">
        <f>SUM(U28:V28)</f>
        <v>696</v>
      </c>
      <c r="X28" s="219">
        <v>289</v>
      </c>
      <c r="Y28" s="218">
        <v>461</v>
      </c>
      <c r="Z28" s="220">
        <f>SUM(X28:Y28)</f>
        <v>750</v>
      </c>
      <c r="AA28" s="219">
        <v>330</v>
      </c>
      <c r="AB28" s="218">
        <v>464</v>
      </c>
      <c r="AC28" s="220">
        <f>SUM(AA28:AB28)</f>
        <v>794</v>
      </c>
      <c r="AD28" s="219">
        <v>317</v>
      </c>
      <c r="AE28" s="218">
        <v>433</v>
      </c>
      <c r="AF28" s="220">
        <f>SUM(AD28:AE28)</f>
        <v>750</v>
      </c>
      <c r="AG28" s="219">
        <v>350</v>
      </c>
      <c r="AH28" s="218">
        <v>401</v>
      </c>
      <c r="AI28" s="220">
        <f>SUM(AG28:AH28)</f>
        <v>751</v>
      </c>
      <c r="AJ28" s="219">
        <v>321</v>
      </c>
      <c r="AK28" s="218">
        <v>447</v>
      </c>
      <c r="AL28" s="220">
        <f>SUM(AJ28:AK28)</f>
        <v>768</v>
      </c>
      <c r="AM28" s="219">
        <v>308</v>
      </c>
      <c r="AN28" s="218">
        <v>371</v>
      </c>
      <c r="AO28" s="220">
        <f>SUM(AM28:AN28)</f>
        <v>679</v>
      </c>
      <c r="AP28" s="219">
        <v>296</v>
      </c>
      <c r="AQ28" s="218">
        <v>370</v>
      </c>
      <c r="AR28" s="220">
        <f>SUM(AP28:AQ28)</f>
        <v>666</v>
      </c>
      <c r="AS28" s="219">
        <v>305</v>
      </c>
      <c r="AT28" s="218">
        <v>399</v>
      </c>
      <c r="AU28" s="220">
        <f>SUM(AS28:AT28)</f>
        <v>704</v>
      </c>
    </row>
    <row r="29" spans="2:47" ht="15" customHeight="1" x14ac:dyDescent="0.3">
      <c r="B29" s="188" t="s">
        <v>137</v>
      </c>
      <c r="C29" s="259">
        <f t="shared" ref="C29:AO29" si="18">SUM(C26:C28)</f>
        <v>2214.1968323118135</v>
      </c>
      <c r="D29" s="260">
        <f t="shared" si="18"/>
        <v>1986.8031676881867</v>
      </c>
      <c r="E29" s="260">
        <f t="shared" si="18"/>
        <v>4201</v>
      </c>
      <c r="F29" s="259">
        <f t="shared" si="18"/>
        <v>2329.8604241116604</v>
      </c>
      <c r="G29" s="260">
        <f t="shared" si="18"/>
        <v>1907.1395758883393</v>
      </c>
      <c r="H29" s="260">
        <f t="shared" si="18"/>
        <v>4237</v>
      </c>
      <c r="I29" s="259">
        <f t="shared" si="18"/>
        <v>2428</v>
      </c>
      <c r="J29" s="260">
        <f t="shared" si="18"/>
        <v>2038</v>
      </c>
      <c r="K29" s="260">
        <f t="shared" si="18"/>
        <v>4466</v>
      </c>
      <c r="L29" s="259">
        <f t="shared" si="18"/>
        <v>2358</v>
      </c>
      <c r="M29" s="260">
        <f t="shared" si="18"/>
        <v>2110</v>
      </c>
      <c r="N29" s="260">
        <f>SUM(N26:N28)</f>
        <v>4468</v>
      </c>
      <c r="O29" s="259">
        <f>SUM(O26:O28)</f>
        <v>2374</v>
      </c>
      <c r="P29" s="260">
        <f>SUM(P26:P28)</f>
        <v>2127</v>
      </c>
      <c r="Q29" s="367">
        <f>SUM(Q26:Q28)</f>
        <v>4501</v>
      </c>
      <c r="R29" s="259">
        <f t="shared" si="18"/>
        <v>2358</v>
      </c>
      <c r="S29" s="260">
        <f t="shared" si="18"/>
        <v>1994</v>
      </c>
      <c r="T29" s="260">
        <f t="shared" si="18"/>
        <v>4352</v>
      </c>
      <c r="U29" s="259">
        <f t="shared" si="18"/>
        <v>2291</v>
      </c>
      <c r="V29" s="260">
        <f t="shared" si="18"/>
        <v>1921</v>
      </c>
      <c r="W29" s="367">
        <f t="shared" si="18"/>
        <v>4212</v>
      </c>
      <c r="X29" s="259">
        <f t="shared" si="18"/>
        <v>2352</v>
      </c>
      <c r="Y29" s="260">
        <f t="shared" si="18"/>
        <v>2022</v>
      </c>
      <c r="Z29" s="367">
        <f t="shared" si="18"/>
        <v>4374</v>
      </c>
      <c r="AA29" s="259">
        <f t="shared" si="18"/>
        <v>2615</v>
      </c>
      <c r="AB29" s="260">
        <f t="shared" si="18"/>
        <v>2115</v>
      </c>
      <c r="AC29" s="367">
        <f t="shared" si="18"/>
        <v>4730</v>
      </c>
      <c r="AD29" s="259">
        <f t="shared" si="18"/>
        <v>2629</v>
      </c>
      <c r="AE29" s="260">
        <f t="shared" si="18"/>
        <v>2032</v>
      </c>
      <c r="AF29" s="367">
        <f t="shared" si="18"/>
        <v>4661</v>
      </c>
      <c r="AG29" s="259">
        <f t="shared" si="18"/>
        <v>2583</v>
      </c>
      <c r="AH29" s="260">
        <f t="shared" si="18"/>
        <v>2042</v>
      </c>
      <c r="AI29" s="367">
        <f t="shared" si="18"/>
        <v>4625</v>
      </c>
      <c r="AJ29" s="259">
        <f t="shared" si="18"/>
        <v>2578</v>
      </c>
      <c r="AK29" s="260">
        <f t="shared" si="18"/>
        <v>1912</v>
      </c>
      <c r="AL29" s="367">
        <f t="shared" si="18"/>
        <v>4490</v>
      </c>
      <c r="AM29" s="259">
        <f t="shared" si="18"/>
        <v>2267</v>
      </c>
      <c r="AN29" s="260">
        <f t="shared" si="18"/>
        <v>1686</v>
      </c>
      <c r="AO29" s="367">
        <f t="shared" si="18"/>
        <v>3953</v>
      </c>
      <c r="AP29" s="259">
        <f t="shared" ref="AP29:AR29" si="19">SUM(AP26:AP28)</f>
        <v>2235</v>
      </c>
      <c r="AQ29" s="260">
        <f t="shared" si="19"/>
        <v>1622</v>
      </c>
      <c r="AR29" s="367">
        <f t="shared" si="19"/>
        <v>3857</v>
      </c>
      <c r="AS29" s="259">
        <f t="shared" ref="AS29:AU29" si="20">SUM(AS26:AS28)</f>
        <v>2330</v>
      </c>
      <c r="AT29" s="260">
        <f t="shared" si="20"/>
        <v>1749</v>
      </c>
      <c r="AU29" s="367">
        <f t="shared" si="20"/>
        <v>4079</v>
      </c>
    </row>
    <row r="30" spans="2:47" ht="14.4" x14ac:dyDescent="0.3">
      <c r="B30" s="3"/>
      <c r="C30" s="239"/>
      <c r="D30" s="239"/>
      <c r="E30" s="239"/>
      <c r="F30" s="239"/>
      <c r="G30" s="239"/>
      <c r="H30" s="239"/>
      <c r="I30" s="239"/>
      <c r="J30" s="239"/>
      <c r="K30" s="239"/>
      <c r="L30" s="239"/>
      <c r="M30" s="239"/>
      <c r="N30" s="239"/>
      <c r="O30" s="239"/>
      <c r="P30" s="239"/>
      <c r="Q30" s="239"/>
      <c r="R30" s="239"/>
      <c r="S30" s="239"/>
      <c r="T30" s="239"/>
      <c r="U30" s="239"/>
      <c r="V30" s="239"/>
      <c r="W30" s="239"/>
      <c r="X30" s="239"/>
      <c r="Y30" s="239"/>
      <c r="Z30" s="239"/>
      <c r="AA30" s="239"/>
      <c r="AB30" s="239"/>
      <c r="AC30" s="239"/>
      <c r="AD30" s="239"/>
      <c r="AE30" s="239"/>
      <c r="AF30" s="239"/>
      <c r="AG30" s="239"/>
      <c r="AH30" s="239"/>
      <c r="AI30" s="239"/>
      <c r="AJ30" s="239"/>
      <c r="AK30" s="239"/>
      <c r="AL30" s="239"/>
      <c r="AM30" s="239"/>
      <c r="AN30" s="239"/>
      <c r="AO30" s="239"/>
      <c r="AP30" s="239"/>
      <c r="AQ30" s="239"/>
      <c r="AR30" s="239"/>
      <c r="AS30" s="239"/>
      <c r="AT30" s="239"/>
      <c r="AU30" s="239"/>
    </row>
    <row r="31" spans="2:47" ht="14.4" x14ac:dyDescent="0.3">
      <c r="B31" s="150" t="s">
        <v>59</v>
      </c>
      <c r="C31" s="216">
        <f t="shared" ref="C31:S31" si="21">SUM(C6,C16,C21)</f>
        <v>804.09341538857723</v>
      </c>
      <c r="D31" s="217">
        <f t="shared" si="21"/>
        <v>2229.9065846114227</v>
      </c>
      <c r="E31" s="261">
        <f t="shared" si="0"/>
        <v>3034</v>
      </c>
      <c r="F31" s="216">
        <f t="shared" si="21"/>
        <v>757.51316971404276</v>
      </c>
      <c r="G31" s="217">
        <f t="shared" si="21"/>
        <v>2171.4868302859572</v>
      </c>
      <c r="H31" s="261">
        <f t="shared" si="1"/>
        <v>2929</v>
      </c>
      <c r="I31" s="216">
        <f t="shared" si="21"/>
        <v>978</v>
      </c>
      <c r="J31" s="217">
        <f t="shared" si="21"/>
        <v>2463</v>
      </c>
      <c r="K31" s="261">
        <f t="shared" si="2"/>
        <v>3441</v>
      </c>
      <c r="L31" s="216">
        <f t="shared" si="21"/>
        <v>850</v>
      </c>
      <c r="M31" s="217">
        <f t="shared" si="21"/>
        <v>2361</v>
      </c>
      <c r="N31" s="261">
        <f t="shared" si="3"/>
        <v>3211</v>
      </c>
      <c r="O31" s="216">
        <f t="shared" si="21"/>
        <v>702</v>
      </c>
      <c r="P31" s="217">
        <f t="shared" si="21"/>
        <v>1898</v>
      </c>
      <c r="Q31" s="261">
        <f t="shared" si="4"/>
        <v>2600</v>
      </c>
      <c r="R31" s="216">
        <f t="shared" si="21"/>
        <v>804</v>
      </c>
      <c r="S31" s="217">
        <f t="shared" si="21"/>
        <v>2107</v>
      </c>
      <c r="T31" s="261">
        <f t="shared" si="5"/>
        <v>2911</v>
      </c>
      <c r="U31" s="216">
        <f t="shared" ref="U31:AO31" si="22">SUM(U6,U16,U21)</f>
        <v>737</v>
      </c>
      <c r="V31" s="217">
        <f t="shared" si="22"/>
        <v>1825</v>
      </c>
      <c r="W31" s="261">
        <f t="shared" si="22"/>
        <v>2562</v>
      </c>
      <c r="X31" s="216">
        <f t="shared" si="22"/>
        <v>641</v>
      </c>
      <c r="Y31" s="217">
        <f t="shared" si="22"/>
        <v>1665</v>
      </c>
      <c r="Z31" s="261">
        <f t="shared" si="22"/>
        <v>2306</v>
      </c>
      <c r="AA31" s="216">
        <f t="shared" si="22"/>
        <v>797</v>
      </c>
      <c r="AB31" s="217">
        <f t="shared" si="22"/>
        <v>1927</v>
      </c>
      <c r="AC31" s="261">
        <f t="shared" si="22"/>
        <v>2724</v>
      </c>
      <c r="AD31" s="216">
        <f t="shared" si="22"/>
        <v>777</v>
      </c>
      <c r="AE31" s="217">
        <f t="shared" si="22"/>
        <v>1925</v>
      </c>
      <c r="AF31" s="261">
        <f t="shared" si="22"/>
        <v>2702</v>
      </c>
      <c r="AG31" s="216">
        <f t="shared" si="22"/>
        <v>806</v>
      </c>
      <c r="AH31" s="217">
        <f t="shared" si="22"/>
        <v>2130</v>
      </c>
      <c r="AI31" s="261">
        <f t="shared" si="22"/>
        <v>2936</v>
      </c>
      <c r="AJ31" s="216">
        <f t="shared" si="22"/>
        <v>1023</v>
      </c>
      <c r="AK31" s="217">
        <f t="shared" si="22"/>
        <v>2426</v>
      </c>
      <c r="AL31" s="261">
        <f t="shared" si="22"/>
        <v>3449</v>
      </c>
      <c r="AM31" s="216">
        <f t="shared" si="22"/>
        <v>763</v>
      </c>
      <c r="AN31" s="217">
        <f t="shared" si="22"/>
        <v>1633</v>
      </c>
      <c r="AO31" s="261">
        <f t="shared" si="22"/>
        <v>2396</v>
      </c>
      <c r="AP31" s="216">
        <f t="shared" ref="AP31:AR31" si="23">SUM(AP6,AP16,AP21)</f>
        <v>659</v>
      </c>
      <c r="AQ31" s="217">
        <f t="shared" si="23"/>
        <v>1584</v>
      </c>
      <c r="AR31" s="261">
        <f t="shared" si="23"/>
        <v>2243</v>
      </c>
      <c r="AS31" s="216">
        <f t="shared" ref="AS31:AU31" si="24">SUM(AS6,AS16,AS21)</f>
        <v>783</v>
      </c>
      <c r="AT31" s="217">
        <f t="shared" si="24"/>
        <v>1855</v>
      </c>
      <c r="AU31" s="261">
        <f t="shared" si="24"/>
        <v>2638</v>
      </c>
    </row>
    <row r="32" spans="2:47" ht="14.4" x14ac:dyDescent="0.3">
      <c r="B32" s="154" t="s">
        <v>64</v>
      </c>
      <c r="C32" s="232">
        <f t="shared" ref="C32:S32" si="25">SUM(C7,C11,C17,C22,C26)</f>
        <v>2284.8611668797903</v>
      </c>
      <c r="D32" s="233">
        <f t="shared" si="25"/>
        <v>2049.1388331202097</v>
      </c>
      <c r="E32" s="262">
        <f t="shared" si="0"/>
        <v>4334</v>
      </c>
      <c r="F32" s="232">
        <f t="shared" si="25"/>
        <v>2405.041118722389</v>
      </c>
      <c r="G32" s="233">
        <f t="shared" si="25"/>
        <v>2033.9588812776108</v>
      </c>
      <c r="H32" s="262">
        <f t="shared" si="1"/>
        <v>4439</v>
      </c>
      <c r="I32" s="232">
        <f t="shared" si="25"/>
        <v>2336</v>
      </c>
      <c r="J32" s="233">
        <f t="shared" si="25"/>
        <v>2136</v>
      </c>
      <c r="K32" s="262">
        <f t="shared" si="2"/>
        <v>4472</v>
      </c>
      <c r="L32" s="232">
        <f t="shared" si="25"/>
        <v>2388</v>
      </c>
      <c r="M32" s="233">
        <f t="shared" si="25"/>
        <v>2189</v>
      </c>
      <c r="N32" s="262">
        <f t="shared" si="3"/>
        <v>4577</v>
      </c>
      <c r="O32" s="232">
        <f t="shared" si="25"/>
        <v>2470</v>
      </c>
      <c r="P32" s="233">
        <f t="shared" si="25"/>
        <v>2307</v>
      </c>
      <c r="Q32" s="262">
        <f t="shared" si="4"/>
        <v>4777</v>
      </c>
      <c r="R32" s="232">
        <f t="shared" si="25"/>
        <v>2366</v>
      </c>
      <c r="S32" s="233">
        <f t="shared" si="25"/>
        <v>2216</v>
      </c>
      <c r="T32" s="262">
        <f t="shared" si="5"/>
        <v>4582</v>
      </c>
      <c r="U32" s="232">
        <f t="shared" ref="U32:AO32" si="26">SUM(U7,U11,U17,U22,U26)</f>
        <v>2391</v>
      </c>
      <c r="V32" s="233">
        <f t="shared" si="26"/>
        <v>2242</v>
      </c>
      <c r="W32" s="262">
        <f t="shared" si="26"/>
        <v>4633</v>
      </c>
      <c r="X32" s="232">
        <f t="shared" si="26"/>
        <v>2552</v>
      </c>
      <c r="Y32" s="233">
        <f t="shared" si="26"/>
        <v>2327</v>
      </c>
      <c r="Z32" s="262">
        <f t="shared" si="26"/>
        <v>4879</v>
      </c>
      <c r="AA32" s="232">
        <f t="shared" si="26"/>
        <v>2636</v>
      </c>
      <c r="AB32" s="233">
        <f t="shared" si="26"/>
        <v>2387</v>
      </c>
      <c r="AC32" s="262">
        <f t="shared" si="26"/>
        <v>5023</v>
      </c>
      <c r="AD32" s="232">
        <f t="shared" si="26"/>
        <v>2626</v>
      </c>
      <c r="AE32" s="233">
        <f t="shared" si="26"/>
        <v>2349</v>
      </c>
      <c r="AF32" s="262">
        <f t="shared" si="26"/>
        <v>4975</v>
      </c>
      <c r="AG32" s="232">
        <f t="shared" si="26"/>
        <v>2773</v>
      </c>
      <c r="AH32" s="233">
        <f t="shared" si="26"/>
        <v>2343</v>
      </c>
      <c r="AI32" s="262">
        <f t="shared" si="26"/>
        <v>5116</v>
      </c>
      <c r="AJ32" s="232">
        <f t="shared" si="26"/>
        <v>2812</v>
      </c>
      <c r="AK32" s="233">
        <f t="shared" si="26"/>
        <v>2301</v>
      </c>
      <c r="AL32" s="262">
        <f t="shared" si="26"/>
        <v>5113</v>
      </c>
      <c r="AM32" s="232">
        <f t="shared" si="26"/>
        <v>2417</v>
      </c>
      <c r="AN32" s="233">
        <f t="shared" si="26"/>
        <v>2011</v>
      </c>
      <c r="AO32" s="262">
        <f t="shared" si="26"/>
        <v>4428</v>
      </c>
      <c r="AP32" s="232">
        <f t="shared" ref="AP32:AR32" si="27">SUM(AP7,AP11,AP17,AP22,AP26)</f>
        <v>2411</v>
      </c>
      <c r="AQ32" s="233">
        <f t="shared" si="27"/>
        <v>1992</v>
      </c>
      <c r="AR32" s="262">
        <f t="shared" si="27"/>
        <v>4403</v>
      </c>
      <c r="AS32" s="232">
        <f t="shared" ref="AS32:AU32" si="28">SUM(AS7,AS11,AS17,AS22,AS26)</f>
        <v>2411</v>
      </c>
      <c r="AT32" s="233">
        <f t="shared" si="28"/>
        <v>2060</v>
      </c>
      <c r="AU32" s="262">
        <f t="shared" si="28"/>
        <v>4471</v>
      </c>
    </row>
    <row r="33" spans="2:47" ht="14.4" x14ac:dyDescent="0.3">
      <c r="B33" s="154" t="s">
        <v>92</v>
      </c>
      <c r="C33" s="232">
        <f t="shared" ref="C33:S33" si="29">SUM(C18,C23,C27)</f>
        <v>1590.9345758637057</v>
      </c>
      <c r="D33" s="233">
        <f t="shared" si="29"/>
        <v>1065.065424136294</v>
      </c>
      <c r="E33" s="262">
        <f t="shared" si="0"/>
        <v>2656</v>
      </c>
      <c r="F33" s="232">
        <f t="shared" si="29"/>
        <v>1762.1161198200975</v>
      </c>
      <c r="G33" s="233">
        <f t="shared" si="29"/>
        <v>1113.8838801799025</v>
      </c>
      <c r="H33" s="262">
        <f t="shared" si="1"/>
        <v>2876</v>
      </c>
      <c r="I33" s="232">
        <f t="shared" si="29"/>
        <v>1903</v>
      </c>
      <c r="J33" s="233">
        <f t="shared" si="29"/>
        <v>1181</v>
      </c>
      <c r="K33" s="262">
        <f t="shared" si="2"/>
        <v>3084</v>
      </c>
      <c r="L33" s="232">
        <f t="shared" si="29"/>
        <v>1865</v>
      </c>
      <c r="M33" s="233">
        <f t="shared" si="29"/>
        <v>1302</v>
      </c>
      <c r="N33" s="262">
        <f t="shared" si="3"/>
        <v>3167</v>
      </c>
      <c r="O33" s="232">
        <f t="shared" si="29"/>
        <v>1831</v>
      </c>
      <c r="P33" s="233">
        <f t="shared" si="29"/>
        <v>1280</v>
      </c>
      <c r="Q33" s="262">
        <f t="shared" si="4"/>
        <v>3111</v>
      </c>
      <c r="R33" s="232">
        <f t="shared" si="29"/>
        <v>1941</v>
      </c>
      <c r="S33" s="233">
        <f t="shared" si="29"/>
        <v>1187</v>
      </c>
      <c r="T33" s="262">
        <f t="shared" si="5"/>
        <v>3128</v>
      </c>
      <c r="U33" s="232">
        <f t="shared" ref="U33:AO33" si="30">SUM(U18,U23,U27)</f>
        <v>1783</v>
      </c>
      <c r="V33" s="233">
        <f t="shared" si="30"/>
        <v>1088</v>
      </c>
      <c r="W33" s="262">
        <f t="shared" si="30"/>
        <v>2871</v>
      </c>
      <c r="X33" s="232">
        <f t="shared" si="30"/>
        <v>1804</v>
      </c>
      <c r="Y33" s="233">
        <f t="shared" si="30"/>
        <v>1104</v>
      </c>
      <c r="Z33" s="262">
        <f t="shared" si="30"/>
        <v>2908</v>
      </c>
      <c r="AA33" s="232">
        <f t="shared" si="30"/>
        <v>1987</v>
      </c>
      <c r="AB33" s="233">
        <f t="shared" si="30"/>
        <v>1134</v>
      </c>
      <c r="AC33" s="262">
        <f t="shared" si="30"/>
        <v>3121</v>
      </c>
      <c r="AD33" s="232">
        <f t="shared" si="30"/>
        <v>2036</v>
      </c>
      <c r="AE33" s="233">
        <f t="shared" si="30"/>
        <v>1152</v>
      </c>
      <c r="AF33" s="262">
        <f t="shared" si="30"/>
        <v>3188</v>
      </c>
      <c r="AG33" s="232">
        <f t="shared" si="30"/>
        <v>1865</v>
      </c>
      <c r="AH33" s="233">
        <f t="shared" si="30"/>
        <v>1134</v>
      </c>
      <c r="AI33" s="262">
        <f t="shared" si="30"/>
        <v>2999</v>
      </c>
      <c r="AJ33" s="232">
        <f t="shared" si="30"/>
        <v>1800</v>
      </c>
      <c r="AK33" s="233">
        <f t="shared" si="30"/>
        <v>1000</v>
      </c>
      <c r="AL33" s="262">
        <f t="shared" si="30"/>
        <v>2800</v>
      </c>
      <c r="AM33" s="232">
        <f t="shared" si="30"/>
        <v>1675</v>
      </c>
      <c r="AN33" s="233">
        <f t="shared" si="30"/>
        <v>889</v>
      </c>
      <c r="AO33" s="262">
        <f t="shared" si="30"/>
        <v>2564</v>
      </c>
      <c r="AP33" s="232">
        <f t="shared" ref="AP33:AR33" si="31">SUM(AP18,AP23,AP27)</f>
        <v>1704</v>
      </c>
      <c r="AQ33" s="233">
        <f t="shared" si="31"/>
        <v>882</v>
      </c>
      <c r="AR33" s="262">
        <f t="shared" si="31"/>
        <v>2586</v>
      </c>
      <c r="AS33" s="232">
        <f t="shared" ref="AS33:AU33" si="32">SUM(AS18,AS23,AS27)</f>
        <v>1770</v>
      </c>
      <c r="AT33" s="233">
        <f t="shared" si="32"/>
        <v>924</v>
      </c>
      <c r="AU33" s="262">
        <f t="shared" si="32"/>
        <v>2694</v>
      </c>
    </row>
    <row r="34" spans="2:47" ht="14.4" x14ac:dyDescent="0.3">
      <c r="B34" s="154" t="s">
        <v>68</v>
      </c>
      <c r="C34" s="232">
        <f t="shared" ref="C34:S34" si="33">SUM(C8,C28)</f>
        <v>559.59024948353863</v>
      </c>
      <c r="D34" s="233">
        <f t="shared" si="33"/>
        <v>839.40975051646137</v>
      </c>
      <c r="E34" s="262">
        <f t="shared" si="0"/>
        <v>1399</v>
      </c>
      <c r="F34" s="232">
        <f t="shared" si="33"/>
        <v>535.40384428823518</v>
      </c>
      <c r="G34" s="233">
        <f t="shared" si="33"/>
        <v>845.59615571176494</v>
      </c>
      <c r="H34" s="262">
        <f t="shared" si="1"/>
        <v>1381</v>
      </c>
      <c r="I34" s="232">
        <f t="shared" si="33"/>
        <v>585</v>
      </c>
      <c r="J34" s="233">
        <f t="shared" si="33"/>
        <v>781</v>
      </c>
      <c r="K34" s="262">
        <f t="shared" si="2"/>
        <v>1366</v>
      </c>
      <c r="L34" s="232">
        <f t="shared" si="33"/>
        <v>630</v>
      </c>
      <c r="M34" s="233">
        <f t="shared" si="33"/>
        <v>804</v>
      </c>
      <c r="N34" s="262">
        <f t="shared" si="3"/>
        <v>1434</v>
      </c>
      <c r="O34" s="232">
        <f t="shared" si="33"/>
        <v>598</v>
      </c>
      <c r="P34" s="233">
        <f t="shared" si="33"/>
        <v>813</v>
      </c>
      <c r="Q34" s="262">
        <f t="shared" si="4"/>
        <v>1411</v>
      </c>
      <c r="R34" s="232">
        <f t="shared" si="33"/>
        <v>608</v>
      </c>
      <c r="S34" s="233">
        <f t="shared" si="33"/>
        <v>801</v>
      </c>
      <c r="T34" s="262">
        <f t="shared" si="5"/>
        <v>1409</v>
      </c>
      <c r="U34" s="232">
        <f t="shared" ref="U34:AO34" si="34">SUM(U8,U28)</f>
        <v>585</v>
      </c>
      <c r="V34" s="233">
        <f t="shared" si="34"/>
        <v>778</v>
      </c>
      <c r="W34" s="262">
        <f t="shared" si="34"/>
        <v>1363</v>
      </c>
      <c r="X34" s="232">
        <f t="shared" si="34"/>
        <v>644</v>
      </c>
      <c r="Y34" s="233">
        <f t="shared" si="34"/>
        <v>831</v>
      </c>
      <c r="Z34" s="262">
        <f t="shared" si="34"/>
        <v>1475</v>
      </c>
      <c r="AA34" s="232">
        <f t="shared" si="34"/>
        <v>707</v>
      </c>
      <c r="AB34" s="233">
        <f t="shared" si="34"/>
        <v>810</v>
      </c>
      <c r="AC34" s="262">
        <f t="shared" si="34"/>
        <v>1517</v>
      </c>
      <c r="AD34" s="232">
        <f t="shared" si="34"/>
        <v>690</v>
      </c>
      <c r="AE34" s="233">
        <f t="shared" si="34"/>
        <v>875</v>
      </c>
      <c r="AF34" s="262">
        <f t="shared" si="34"/>
        <v>1565</v>
      </c>
      <c r="AG34" s="232">
        <f t="shared" si="34"/>
        <v>773</v>
      </c>
      <c r="AH34" s="233">
        <f t="shared" si="34"/>
        <v>822</v>
      </c>
      <c r="AI34" s="262">
        <f t="shared" si="34"/>
        <v>1595</v>
      </c>
      <c r="AJ34" s="232">
        <f t="shared" si="34"/>
        <v>706</v>
      </c>
      <c r="AK34" s="233">
        <f t="shared" si="34"/>
        <v>891</v>
      </c>
      <c r="AL34" s="262">
        <f t="shared" si="34"/>
        <v>1597</v>
      </c>
      <c r="AM34" s="232">
        <f t="shared" si="34"/>
        <v>693</v>
      </c>
      <c r="AN34" s="233">
        <f t="shared" si="34"/>
        <v>752</v>
      </c>
      <c r="AO34" s="262">
        <f t="shared" si="34"/>
        <v>1445</v>
      </c>
      <c r="AP34" s="232">
        <f t="shared" ref="AP34:AR34" si="35">SUM(AP8,AP28)</f>
        <v>687</v>
      </c>
      <c r="AQ34" s="233">
        <f t="shared" si="35"/>
        <v>754</v>
      </c>
      <c r="AR34" s="262">
        <f t="shared" si="35"/>
        <v>1441</v>
      </c>
      <c r="AS34" s="232">
        <f t="shared" ref="AS34:AU34" si="36">SUM(AS8,AS28)</f>
        <v>727</v>
      </c>
      <c r="AT34" s="233">
        <f t="shared" si="36"/>
        <v>779</v>
      </c>
      <c r="AU34" s="262">
        <f t="shared" si="36"/>
        <v>1506</v>
      </c>
    </row>
    <row r="35" spans="2:47" ht="14.4" x14ac:dyDescent="0.3">
      <c r="B35" s="154" t="s">
        <v>111</v>
      </c>
      <c r="C35" s="232">
        <f t="shared" ref="C35:S35" si="37">SUM(C12)</f>
        <v>60</v>
      </c>
      <c r="D35" s="233">
        <f t="shared" si="37"/>
        <v>84</v>
      </c>
      <c r="E35" s="262">
        <f t="shared" si="0"/>
        <v>144</v>
      </c>
      <c r="F35" s="232">
        <f t="shared" si="37"/>
        <v>49.269230769230774</v>
      </c>
      <c r="G35" s="233">
        <f t="shared" si="37"/>
        <v>72.730769230769226</v>
      </c>
      <c r="H35" s="262">
        <f t="shared" si="1"/>
        <v>122</v>
      </c>
      <c r="I35" s="232">
        <f t="shared" si="37"/>
        <v>52</v>
      </c>
      <c r="J35" s="233">
        <f t="shared" si="37"/>
        <v>86</v>
      </c>
      <c r="K35" s="262">
        <f t="shared" si="2"/>
        <v>138</v>
      </c>
      <c r="L35" s="232">
        <f t="shared" si="37"/>
        <v>72</v>
      </c>
      <c r="M35" s="233">
        <f t="shared" si="37"/>
        <v>86</v>
      </c>
      <c r="N35" s="262">
        <f t="shared" si="3"/>
        <v>158</v>
      </c>
      <c r="O35" s="232">
        <f t="shared" si="37"/>
        <v>62</v>
      </c>
      <c r="P35" s="233">
        <f t="shared" si="37"/>
        <v>91</v>
      </c>
      <c r="Q35" s="262">
        <f t="shared" si="4"/>
        <v>153</v>
      </c>
      <c r="R35" s="232">
        <f t="shared" si="37"/>
        <v>66</v>
      </c>
      <c r="S35" s="233">
        <f t="shared" si="37"/>
        <v>92</v>
      </c>
      <c r="T35" s="262">
        <f t="shared" si="5"/>
        <v>158</v>
      </c>
      <c r="U35" s="232">
        <f t="shared" ref="U35:AO36" si="38">SUM(U12)</f>
        <v>72</v>
      </c>
      <c r="V35" s="233">
        <f t="shared" si="38"/>
        <v>117</v>
      </c>
      <c r="W35" s="262">
        <f t="shared" si="38"/>
        <v>189</v>
      </c>
      <c r="X35" s="232">
        <f t="shared" si="38"/>
        <v>94</v>
      </c>
      <c r="Y35" s="233">
        <f t="shared" si="38"/>
        <v>140</v>
      </c>
      <c r="Z35" s="262">
        <f t="shared" si="38"/>
        <v>234</v>
      </c>
      <c r="AA35" s="232">
        <f t="shared" si="38"/>
        <v>123</v>
      </c>
      <c r="AB35" s="233">
        <f t="shared" si="38"/>
        <v>128</v>
      </c>
      <c r="AC35" s="262">
        <f t="shared" si="38"/>
        <v>251</v>
      </c>
      <c r="AD35" s="232">
        <f t="shared" si="38"/>
        <v>110</v>
      </c>
      <c r="AE35" s="233">
        <f t="shared" si="38"/>
        <v>147</v>
      </c>
      <c r="AF35" s="262">
        <f t="shared" si="38"/>
        <v>257</v>
      </c>
      <c r="AG35" s="232">
        <f t="shared" si="38"/>
        <v>121</v>
      </c>
      <c r="AH35" s="233">
        <f t="shared" si="38"/>
        <v>151</v>
      </c>
      <c r="AI35" s="262">
        <f t="shared" si="38"/>
        <v>272</v>
      </c>
      <c r="AJ35" s="232">
        <f t="shared" si="38"/>
        <v>129</v>
      </c>
      <c r="AK35" s="233">
        <f t="shared" si="38"/>
        <v>128</v>
      </c>
      <c r="AL35" s="262">
        <f t="shared" si="38"/>
        <v>257</v>
      </c>
      <c r="AM35" s="232">
        <f t="shared" si="38"/>
        <v>114</v>
      </c>
      <c r="AN35" s="233">
        <f t="shared" si="38"/>
        <v>127</v>
      </c>
      <c r="AO35" s="262">
        <f t="shared" si="38"/>
        <v>241</v>
      </c>
      <c r="AP35" s="232">
        <f t="shared" ref="AP35:AR35" si="39">SUM(AP12)</f>
        <v>125</v>
      </c>
      <c r="AQ35" s="233">
        <f t="shared" si="39"/>
        <v>130</v>
      </c>
      <c r="AR35" s="262">
        <f t="shared" si="39"/>
        <v>255</v>
      </c>
      <c r="AS35" s="232">
        <f t="shared" ref="AS35:AU35" si="40">SUM(AS12)</f>
        <v>124</v>
      </c>
      <c r="AT35" s="233">
        <f t="shared" si="40"/>
        <v>139</v>
      </c>
      <c r="AU35" s="262">
        <f t="shared" si="40"/>
        <v>263</v>
      </c>
    </row>
    <row r="36" spans="2:47" ht="14.4" x14ac:dyDescent="0.3">
      <c r="B36" s="263" t="s">
        <v>115</v>
      </c>
      <c r="C36" s="264">
        <f t="shared" ref="C36:S36" si="41">SUM(C13)</f>
        <v>44.118644067796609</v>
      </c>
      <c r="D36" s="265">
        <f t="shared" si="41"/>
        <v>92.881355932203391</v>
      </c>
      <c r="E36" s="266">
        <f t="shared" si="0"/>
        <v>137</v>
      </c>
      <c r="F36" s="264">
        <f t="shared" si="41"/>
        <v>34.719101123595507</v>
      </c>
      <c r="G36" s="265">
        <f t="shared" si="41"/>
        <v>68.280898876404493</v>
      </c>
      <c r="H36" s="266">
        <f t="shared" si="1"/>
        <v>103</v>
      </c>
      <c r="I36" s="264">
        <f t="shared" si="41"/>
        <v>58</v>
      </c>
      <c r="J36" s="265">
        <f t="shared" si="41"/>
        <v>88</v>
      </c>
      <c r="K36" s="266">
        <f t="shared" si="2"/>
        <v>146</v>
      </c>
      <c r="L36" s="264">
        <f t="shared" si="41"/>
        <v>73</v>
      </c>
      <c r="M36" s="265">
        <f t="shared" si="41"/>
        <v>93</v>
      </c>
      <c r="N36" s="266">
        <f t="shared" si="3"/>
        <v>166</v>
      </c>
      <c r="O36" s="264">
        <f t="shared" si="41"/>
        <v>60</v>
      </c>
      <c r="P36" s="265">
        <f t="shared" si="41"/>
        <v>115</v>
      </c>
      <c r="Q36" s="266">
        <f t="shared" si="4"/>
        <v>175</v>
      </c>
      <c r="R36" s="264">
        <f t="shared" si="41"/>
        <v>86</v>
      </c>
      <c r="S36" s="265">
        <f t="shared" si="41"/>
        <v>136</v>
      </c>
      <c r="T36" s="266">
        <f t="shared" si="5"/>
        <v>222</v>
      </c>
      <c r="U36" s="264">
        <f t="shared" si="38"/>
        <v>131</v>
      </c>
      <c r="V36" s="265">
        <f t="shared" si="38"/>
        <v>162</v>
      </c>
      <c r="W36" s="266">
        <f t="shared" si="38"/>
        <v>293</v>
      </c>
      <c r="X36" s="264">
        <f t="shared" si="38"/>
        <v>110</v>
      </c>
      <c r="Y36" s="265">
        <f t="shared" si="38"/>
        <v>173</v>
      </c>
      <c r="Z36" s="266">
        <f t="shared" si="38"/>
        <v>283</v>
      </c>
      <c r="AA36" s="264">
        <f t="shared" si="38"/>
        <v>129</v>
      </c>
      <c r="AB36" s="265">
        <f t="shared" si="38"/>
        <v>181</v>
      </c>
      <c r="AC36" s="266">
        <f t="shared" si="38"/>
        <v>310</v>
      </c>
      <c r="AD36" s="264">
        <f t="shared" si="38"/>
        <v>136</v>
      </c>
      <c r="AE36" s="265">
        <f t="shared" si="38"/>
        <v>186</v>
      </c>
      <c r="AF36" s="266">
        <f t="shared" si="38"/>
        <v>322</v>
      </c>
      <c r="AG36" s="264">
        <f t="shared" si="38"/>
        <v>130</v>
      </c>
      <c r="AH36" s="265">
        <f t="shared" si="38"/>
        <v>207</v>
      </c>
      <c r="AI36" s="266">
        <f t="shared" si="38"/>
        <v>337</v>
      </c>
      <c r="AJ36" s="264">
        <f t="shared" si="38"/>
        <v>120</v>
      </c>
      <c r="AK36" s="265">
        <f t="shared" si="38"/>
        <v>177</v>
      </c>
      <c r="AL36" s="266">
        <f t="shared" si="38"/>
        <v>297</v>
      </c>
      <c r="AM36" s="264">
        <f t="shared" si="38"/>
        <v>123</v>
      </c>
      <c r="AN36" s="265">
        <f t="shared" si="38"/>
        <v>167</v>
      </c>
      <c r="AO36" s="266">
        <f t="shared" si="38"/>
        <v>290</v>
      </c>
      <c r="AP36" s="264">
        <f t="shared" ref="AP36:AR36" si="42">SUM(AP13)</f>
        <v>122</v>
      </c>
      <c r="AQ36" s="265">
        <f t="shared" si="42"/>
        <v>156</v>
      </c>
      <c r="AR36" s="266">
        <f t="shared" si="42"/>
        <v>278</v>
      </c>
      <c r="AS36" s="264">
        <f t="shared" ref="AS36:AU36" si="43">SUM(AS13)</f>
        <v>130</v>
      </c>
      <c r="AT36" s="265">
        <f t="shared" si="43"/>
        <v>169</v>
      </c>
      <c r="AU36" s="266">
        <f t="shared" si="43"/>
        <v>299</v>
      </c>
    </row>
    <row r="37" spans="2:47" ht="14.4" x14ac:dyDescent="0.3">
      <c r="B37" s="267" t="s">
        <v>128</v>
      </c>
      <c r="C37" s="368">
        <f t="shared" ref="C37:T37" si="44">SUM(C31:C36)</f>
        <v>5343.5980516834088</v>
      </c>
      <c r="D37" s="369">
        <f t="shared" si="44"/>
        <v>6360.4019483165912</v>
      </c>
      <c r="E37" s="370">
        <f t="shared" si="44"/>
        <v>11704</v>
      </c>
      <c r="F37" s="368">
        <f t="shared" si="44"/>
        <v>5544.06258443759</v>
      </c>
      <c r="G37" s="369">
        <f t="shared" si="44"/>
        <v>6305.9374155624091</v>
      </c>
      <c r="H37" s="370">
        <f t="shared" si="44"/>
        <v>11850</v>
      </c>
      <c r="I37" s="368">
        <f t="shared" si="44"/>
        <v>5912</v>
      </c>
      <c r="J37" s="369">
        <f t="shared" si="44"/>
        <v>6735</v>
      </c>
      <c r="K37" s="370">
        <f t="shared" si="44"/>
        <v>12647</v>
      </c>
      <c r="L37" s="368">
        <f t="shared" si="44"/>
        <v>5878</v>
      </c>
      <c r="M37" s="369">
        <f t="shared" si="44"/>
        <v>6835</v>
      </c>
      <c r="N37" s="370">
        <f>SUM(N31:N36)</f>
        <v>12713</v>
      </c>
      <c r="O37" s="369">
        <f>SUM(O31:O36)</f>
        <v>5723</v>
      </c>
      <c r="P37" s="369">
        <f>SUM(P31:P36)</f>
        <v>6504</v>
      </c>
      <c r="Q37" s="370">
        <f t="shared" si="44"/>
        <v>12227</v>
      </c>
      <c r="R37" s="368">
        <f t="shared" si="44"/>
        <v>5871</v>
      </c>
      <c r="S37" s="369">
        <f t="shared" si="44"/>
        <v>6539</v>
      </c>
      <c r="T37" s="370">
        <f t="shared" si="44"/>
        <v>12410</v>
      </c>
      <c r="U37" s="368">
        <f t="shared" ref="U37:AO37" si="45">SUM(U31:U36)</f>
        <v>5699</v>
      </c>
      <c r="V37" s="369">
        <f t="shared" si="45"/>
        <v>6212</v>
      </c>
      <c r="W37" s="370">
        <f t="shared" si="45"/>
        <v>11911</v>
      </c>
      <c r="X37" s="368">
        <f t="shared" si="45"/>
        <v>5845</v>
      </c>
      <c r="Y37" s="369">
        <f t="shared" si="45"/>
        <v>6240</v>
      </c>
      <c r="Z37" s="370">
        <f t="shared" si="45"/>
        <v>12085</v>
      </c>
      <c r="AA37" s="368">
        <f t="shared" si="45"/>
        <v>6379</v>
      </c>
      <c r="AB37" s="369">
        <f t="shared" si="45"/>
        <v>6567</v>
      </c>
      <c r="AC37" s="370">
        <f t="shared" si="45"/>
        <v>12946</v>
      </c>
      <c r="AD37" s="368">
        <f t="shared" si="45"/>
        <v>6375</v>
      </c>
      <c r="AE37" s="369">
        <f t="shared" si="45"/>
        <v>6634</v>
      </c>
      <c r="AF37" s="370">
        <f t="shared" si="45"/>
        <v>13009</v>
      </c>
      <c r="AG37" s="368">
        <f t="shared" si="45"/>
        <v>6468</v>
      </c>
      <c r="AH37" s="369">
        <f t="shared" si="45"/>
        <v>6787</v>
      </c>
      <c r="AI37" s="370">
        <f t="shared" si="45"/>
        <v>13255</v>
      </c>
      <c r="AJ37" s="368">
        <f t="shared" si="45"/>
        <v>6590</v>
      </c>
      <c r="AK37" s="369">
        <f t="shared" si="45"/>
        <v>6923</v>
      </c>
      <c r="AL37" s="370">
        <f t="shared" si="45"/>
        <v>13513</v>
      </c>
      <c r="AM37" s="368">
        <f t="shared" si="45"/>
        <v>5785</v>
      </c>
      <c r="AN37" s="369">
        <f t="shared" si="45"/>
        <v>5579</v>
      </c>
      <c r="AO37" s="370">
        <f t="shared" si="45"/>
        <v>11364</v>
      </c>
      <c r="AP37" s="368">
        <f t="shared" ref="AP37:AR37" si="46">SUM(AP31:AP36)</f>
        <v>5708</v>
      </c>
      <c r="AQ37" s="369">
        <f t="shared" si="46"/>
        <v>5498</v>
      </c>
      <c r="AR37" s="370">
        <f t="shared" si="46"/>
        <v>11206</v>
      </c>
      <c r="AS37" s="368">
        <f t="shared" ref="AS37:AU37" si="47">SUM(AS31:AS36)</f>
        <v>5945</v>
      </c>
      <c r="AT37" s="369">
        <f t="shared" si="47"/>
        <v>5926</v>
      </c>
      <c r="AU37" s="370">
        <f t="shared" si="47"/>
        <v>11871</v>
      </c>
    </row>
    <row r="40" spans="2:47" ht="15" customHeight="1" x14ac:dyDescent="0.25"/>
    <row r="41" spans="2:47" ht="15" customHeight="1" x14ac:dyDescent="0.25"/>
    <row r="42" spans="2:47" ht="15" customHeight="1" x14ac:dyDescent="0.25">
      <c r="AB42" s="371">
        <v>2008</v>
      </c>
    </row>
    <row r="43" spans="2:47" ht="15" customHeight="1" x14ac:dyDescent="0.25">
      <c r="AB43" s="371">
        <v>2009</v>
      </c>
    </row>
    <row r="44" spans="2:47" x14ac:dyDescent="0.25">
      <c r="AB44" s="371">
        <v>2010</v>
      </c>
    </row>
    <row r="45" spans="2:47" ht="15" customHeight="1" x14ac:dyDescent="0.25">
      <c r="AB45" s="371">
        <v>2011</v>
      </c>
    </row>
    <row r="46" spans="2:47" ht="15" customHeight="1" x14ac:dyDescent="0.25">
      <c r="AB46" s="371">
        <v>2012</v>
      </c>
    </row>
    <row r="47" spans="2:47" ht="15" customHeight="1" x14ac:dyDescent="0.25">
      <c r="AB47" s="371">
        <v>2013</v>
      </c>
    </row>
    <row r="48" spans="2:47" ht="15" customHeight="1" x14ac:dyDescent="0.25">
      <c r="AB48" s="371">
        <v>2014</v>
      </c>
    </row>
    <row r="49" spans="28:28" x14ac:dyDescent="0.25">
      <c r="AB49" s="371">
        <v>2015</v>
      </c>
    </row>
    <row r="50" spans="28:28" ht="15" customHeight="1" x14ac:dyDescent="0.25">
      <c r="AB50" s="371">
        <v>2016</v>
      </c>
    </row>
    <row r="51" spans="28:28" ht="15" customHeight="1" x14ac:dyDescent="0.25">
      <c r="AB51" s="371">
        <v>2017</v>
      </c>
    </row>
    <row r="52" spans="28:28" ht="15" customHeight="1" x14ac:dyDescent="0.25">
      <c r="AB52" s="371">
        <v>2018</v>
      </c>
    </row>
    <row r="53" spans="28:28" ht="15" customHeight="1" x14ac:dyDescent="0.25">
      <c r="AB53" s="371">
        <v>2019</v>
      </c>
    </row>
    <row r="54" spans="28:28" x14ac:dyDescent="0.25">
      <c r="AB54" s="371">
        <v>2020</v>
      </c>
    </row>
    <row r="55" spans="28:28" ht="15" customHeight="1" x14ac:dyDescent="0.25">
      <c r="AB55" s="371">
        <v>2021</v>
      </c>
    </row>
    <row r="56" spans="28:28" ht="15" customHeight="1" x14ac:dyDescent="0.25">
      <c r="AB56" s="371">
        <v>2022</v>
      </c>
    </row>
    <row r="57" spans="28:28" ht="15" customHeight="1" x14ac:dyDescent="0.25"/>
    <row r="58" spans="28:28" ht="15" customHeight="1" x14ac:dyDescent="0.25"/>
    <row r="60" spans="28:28" ht="15" customHeight="1" x14ac:dyDescent="0.25"/>
    <row r="61" spans="28:28" ht="15" customHeight="1" x14ac:dyDescent="0.25"/>
    <row r="62" spans="28:28" ht="15" customHeight="1" x14ac:dyDescent="0.25"/>
    <row r="63" spans="28:28" ht="15" customHeight="1" x14ac:dyDescent="0.25"/>
  </sheetData>
  <mergeCells count="16">
    <mergeCell ref="AS3:AU3"/>
    <mergeCell ref="AP3:AR3"/>
    <mergeCell ref="O3:Q3"/>
    <mergeCell ref="B3:B4"/>
    <mergeCell ref="C3:E3"/>
    <mergeCell ref="F3:H3"/>
    <mergeCell ref="I3:K3"/>
    <mergeCell ref="L3:N3"/>
    <mergeCell ref="AJ3:AL3"/>
    <mergeCell ref="AM3:AO3"/>
    <mergeCell ref="R3:T3"/>
    <mergeCell ref="U3:W3"/>
    <mergeCell ref="X3:Z3"/>
    <mergeCell ref="AA3:AC3"/>
    <mergeCell ref="AD3:AF3"/>
    <mergeCell ref="AG3:AI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75" firstPageNumber="11" pageOrder="overThenDown" orientation="landscape" useFirstPageNumber="1" r:id="rId1"/>
  <headerFooter scaleWithDoc="0" alignWithMargins="0">
    <oddFooter>&amp;R&amp;P</oddFooter>
  </headerFooter>
  <rowBreaks count="1" manualBreakCount="1">
    <brk id="38" max="16383" man="1"/>
  </rowBreaks>
  <colBreaks count="1" manualBreakCount="1">
    <brk id="20" max="75" man="1"/>
  </colBreaks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D25A8"/>
  </sheetPr>
  <dimension ref="B1:U548"/>
  <sheetViews>
    <sheetView showGridLines="0" zoomScaleNormal="100" zoomScaleSheetLayoutView="90" workbookViewId="0">
      <selection activeCell="Q31" sqref="Q31"/>
    </sheetView>
  </sheetViews>
  <sheetFormatPr baseColWidth="10" defaultColWidth="11.44140625" defaultRowHeight="14.4" x14ac:dyDescent="0.3"/>
  <cols>
    <col min="1" max="1" width="1.88671875" style="3794" customWidth="1"/>
    <col min="2" max="2" width="32.109375" style="3794" customWidth="1"/>
    <col min="3" max="3" width="9.88671875" style="3794" customWidth="1"/>
    <col min="4" max="4" width="14.109375" style="3794" customWidth="1"/>
    <col min="5" max="5" width="3.88671875" style="3794" customWidth="1"/>
    <col min="6" max="6" width="39.44140625" style="3794" customWidth="1"/>
    <col min="7" max="7" width="9.88671875" style="3794" customWidth="1"/>
    <col min="8" max="8" width="13.88671875" style="3794" customWidth="1"/>
    <col min="9" max="9" width="18.33203125" style="3794" customWidth="1"/>
    <col min="10" max="10" width="33.109375" style="3794" customWidth="1"/>
    <col min="11" max="11" width="3.88671875" style="3794" customWidth="1"/>
    <col min="12" max="12" width="30.88671875" style="3794" customWidth="1"/>
    <col min="13" max="13" width="12.88671875" style="3794" bestFit="1" customWidth="1"/>
    <col min="14" max="14" width="17.44140625" style="3794" bestFit="1" customWidth="1"/>
    <col min="15" max="15" width="15" style="3794" bestFit="1" customWidth="1"/>
    <col min="16" max="16" width="31.88671875" style="3794" bestFit="1" customWidth="1"/>
    <col min="17" max="17" width="12.88671875" style="3794" customWidth="1"/>
    <col min="18" max="18" width="14.88671875" style="3794" customWidth="1"/>
    <col min="19" max="19" width="12.109375" style="3794" customWidth="1"/>
    <col min="20" max="16384" width="11.44140625" style="3794"/>
  </cols>
  <sheetData>
    <row r="1" spans="2:19" ht="18" x14ac:dyDescent="0.35">
      <c r="B1" s="3792" t="s">
        <v>961</v>
      </c>
      <c r="C1" s="3793"/>
      <c r="D1" s="3793"/>
      <c r="E1" s="3793"/>
      <c r="F1" s="3793"/>
      <c r="G1" s="3793"/>
      <c r="H1" s="3793"/>
      <c r="I1" s="3793"/>
      <c r="J1" s="3793"/>
      <c r="K1" s="3793"/>
      <c r="L1" s="3793"/>
      <c r="M1" s="3793"/>
      <c r="N1" s="3793"/>
      <c r="O1" s="3793"/>
      <c r="P1" s="3793"/>
      <c r="R1" s="3795"/>
      <c r="S1" s="3795"/>
    </row>
    <row r="2" spans="2:19" ht="18" x14ac:dyDescent="0.35">
      <c r="B2" s="3792"/>
      <c r="C2" s="3793"/>
      <c r="D2" s="3793"/>
      <c r="E2" s="3793"/>
      <c r="F2" s="3793"/>
      <c r="G2" s="3793"/>
      <c r="H2" s="3793"/>
      <c r="I2" s="3793"/>
      <c r="J2" s="3793"/>
      <c r="K2" s="3793"/>
      <c r="L2" s="3793"/>
      <c r="M2" s="3793"/>
      <c r="N2" s="3793"/>
      <c r="O2" s="3793"/>
      <c r="P2" s="3793"/>
      <c r="R2" s="3795"/>
      <c r="S2" s="3795"/>
    </row>
    <row r="3" spans="2:19" x14ac:dyDescent="0.3">
      <c r="B3" s="6207" t="s">
        <v>1616</v>
      </c>
      <c r="C3" s="6208"/>
      <c r="D3" s="6208"/>
      <c r="E3" s="5588"/>
      <c r="F3" s="5613" t="s">
        <v>1617</v>
      </c>
      <c r="G3" s="5613"/>
      <c r="H3" s="5613"/>
      <c r="I3" s="3793"/>
      <c r="J3" s="3793"/>
      <c r="K3" s="3793"/>
      <c r="L3" s="6209" t="s">
        <v>1618</v>
      </c>
      <c r="M3" s="6210"/>
      <c r="N3" s="6210"/>
      <c r="O3" s="6211"/>
      <c r="P3" s="3793"/>
      <c r="R3" s="3795"/>
      <c r="S3" s="3795"/>
    </row>
    <row r="4" spans="2:19" x14ac:dyDescent="0.3">
      <c r="B4" s="6212" t="s">
        <v>1425</v>
      </c>
      <c r="C4" s="6213"/>
      <c r="D4" s="6213"/>
      <c r="E4" s="5588"/>
      <c r="F4" s="5614" t="s">
        <v>1628</v>
      </c>
      <c r="G4" s="5614"/>
      <c r="H4" s="5614"/>
      <c r="I4" s="3793"/>
      <c r="J4" s="3793"/>
      <c r="K4" s="3793"/>
      <c r="L4" s="5598"/>
      <c r="M4" s="5598"/>
      <c r="N4" s="5598"/>
      <c r="O4" s="5598"/>
      <c r="P4" s="3793"/>
      <c r="R4" s="3795"/>
      <c r="S4" s="3795"/>
    </row>
    <row r="5" spans="2:19" x14ac:dyDescent="0.3">
      <c r="B5" s="6214" t="s">
        <v>1471</v>
      </c>
      <c r="C5" s="6216" t="s">
        <v>1466</v>
      </c>
      <c r="D5" s="6218" t="s">
        <v>1465</v>
      </c>
      <c r="E5" s="4681"/>
      <c r="F5" s="6220" t="s">
        <v>970</v>
      </c>
      <c r="G5" s="6222" t="s">
        <v>1469</v>
      </c>
      <c r="H5" s="6224" t="s">
        <v>1464</v>
      </c>
      <c r="I5" s="3793"/>
      <c r="J5" s="3793"/>
      <c r="K5" s="3793"/>
      <c r="L5" s="6226" t="s">
        <v>1467</v>
      </c>
      <c r="M5" s="6228" t="s">
        <v>1468</v>
      </c>
      <c r="N5" s="6230" t="s">
        <v>1464</v>
      </c>
      <c r="O5" s="6231"/>
      <c r="P5" s="3793"/>
      <c r="R5" s="3795"/>
      <c r="S5" s="3795"/>
    </row>
    <row r="6" spans="2:19" ht="15" thickBot="1" x14ac:dyDescent="0.35">
      <c r="B6" s="6215"/>
      <c r="C6" s="6217"/>
      <c r="D6" s="6219"/>
      <c r="E6" s="4681"/>
      <c r="F6" s="6221"/>
      <c r="G6" s="6223"/>
      <c r="H6" s="6225"/>
      <c r="I6" s="3793"/>
      <c r="J6" s="3793"/>
      <c r="K6" s="3793"/>
      <c r="L6" s="6227"/>
      <c r="M6" s="6229"/>
      <c r="N6" s="5592" t="s">
        <v>974</v>
      </c>
      <c r="O6" s="5593" t="s">
        <v>975</v>
      </c>
      <c r="P6" s="3793"/>
      <c r="R6" s="3795"/>
      <c r="S6" s="3795"/>
    </row>
    <row r="7" spans="2:19" x14ac:dyDescent="0.3">
      <c r="B7" s="5604" t="s">
        <v>976</v>
      </c>
      <c r="C7" s="5605">
        <v>7</v>
      </c>
      <c r="D7" s="5606">
        <v>200</v>
      </c>
      <c r="E7" s="5603"/>
      <c r="F7" s="5604" t="s">
        <v>1623</v>
      </c>
      <c r="G7" s="5605">
        <v>13595</v>
      </c>
      <c r="H7" s="5606">
        <v>121449</v>
      </c>
      <c r="I7" s="3793"/>
      <c r="J7" s="3793"/>
      <c r="K7" s="3793"/>
      <c r="L7" s="5604" t="s">
        <v>1629</v>
      </c>
      <c r="M7" s="5615"/>
      <c r="N7" s="5616">
        <v>2694</v>
      </c>
      <c r="O7" s="3793"/>
      <c r="P7" s="3793"/>
      <c r="R7" s="3795"/>
      <c r="S7" s="3795"/>
    </row>
    <row r="8" spans="2:19" ht="28.8" x14ac:dyDescent="0.3">
      <c r="B8" s="5607" t="s">
        <v>1619</v>
      </c>
      <c r="C8" s="2220">
        <v>2</v>
      </c>
      <c r="D8" s="2221">
        <v>714</v>
      </c>
      <c r="E8" s="5603"/>
      <c r="F8" s="5607" t="s">
        <v>978</v>
      </c>
      <c r="G8" s="2220">
        <v>491</v>
      </c>
      <c r="H8" s="2221">
        <v>2304</v>
      </c>
      <c r="I8" s="3793"/>
      <c r="J8" s="3793"/>
      <c r="K8" s="3793"/>
      <c r="L8" s="5608" t="s">
        <v>1630</v>
      </c>
      <c r="M8" s="2220" t="s">
        <v>1634</v>
      </c>
      <c r="N8" s="2221">
        <v>7500</v>
      </c>
      <c r="O8" s="3793"/>
      <c r="P8" s="3793"/>
      <c r="R8" s="3795"/>
      <c r="S8" s="3795"/>
    </row>
    <row r="9" spans="2:19" ht="28.8" x14ac:dyDescent="0.3">
      <c r="B9" s="5608" t="s">
        <v>1620</v>
      </c>
      <c r="C9" s="2220">
        <v>10</v>
      </c>
      <c r="D9" s="2221">
        <v>323</v>
      </c>
      <c r="E9" s="5603"/>
      <c r="F9" s="5608" t="s">
        <v>994</v>
      </c>
      <c r="G9" s="2220">
        <v>61</v>
      </c>
      <c r="H9" s="2221">
        <v>244</v>
      </c>
      <c r="I9" s="3793"/>
      <c r="J9" s="3793"/>
      <c r="K9" s="3793"/>
      <c r="L9" s="5607" t="s">
        <v>1631</v>
      </c>
      <c r="M9" s="2220" t="s">
        <v>1632</v>
      </c>
      <c r="N9" s="2221">
        <v>450</v>
      </c>
      <c r="O9" s="3793"/>
      <c r="P9" s="3793"/>
      <c r="R9" s="3795"/>
      <c r="S9" s="3795"/>
    </row>
    <row r="10" spans="2:19" x14ac:dyDescent="0.3">
      <c r="B10" s="5608" t="s">
        <v>1212</v>
      </c>
      <c r="C10" s="2220">
        <v>1</v>
      </c>
      <c r="D10" s="2221">
        <v>1550</v>
      </c>
      <c r="E10" s="5603"/>
      <c r="F10" s="5608" t="s">
        <v>993</v>
      </c>
      <c r="G10" s="2220">
        <v>6</v>
      </c>
      <c r="H10" s="2221">
        <v>536</v>
      </c>
      <c r="I10" s="3793"/>
      <c r="J10" s="3793"/>
      <c r="K10" s="3793"/>
      <c r="L10" s="5621" t="s">
        <v>1633</v>
      </c>
      <c r="M10" s="5617" t="s">
        <v>1634</v>
      </c>
      <c r="N10" s="5618">
        <v>800</v>
      </c>
      <c r="O10" s="3793"/>
      <c r="P10" s="3793"/>
      <c r="R10" s="3795"/>
      <c r="S10" s="3795"/>
    </row>
    <row r="11" spans="2:19" x14ac:dyDescent="0.3">
      <c r="B11" s="5607" t="s">
        <v>1005</v>
      </c>
      <c r="C11" s="2220">
        <v>12</v>
      </c>
      <c r="D11" s="2221">
        <v>128</v>
      </c>
      <c r="E11" s="5603"/>
      <c r="F11" s="5607" t="s">
        <v>1002</v>
      </c>
      <c r="G11" s="2220">
        <v>90838</v>
      </c>
      <c r="H11" s="2221">
        <v>90838</v>
      </c>
      <c r="I11" s="3793"/>
      <c r="J11" s="3793"/>
      <c r="K11" s="3793"/>
      <c r="L11" s="5603"/>
      <c r="M11" s="5620" t="s">
        <v>279</v>
      </c>
      <c r="N11" s="5619">
        <f>SUM(N7:N10)</f>
        <v>11444</v>
      </c>
      <c r="O11" s="3793"/>
      <c r="P11" s="3793"/>
      <c r="R11" s="3795"/>
      <c r="S11" s="3795"/>
    </row>
    <row r="12" spans="2:19" x14ac:dyDescent="0.3">
      <c r="B12" s="5607" t="s">
        <v>993</v>
      </c>
      <c r="C12" s="2220">
        <v>17</v>
      </c>
      <c r="D12" s="2221">
        <v>2064</v>
      </c>
      <c r="E12" s="5603"/>
      <c r="F12" s="5607" t="s">
        <v>1624</v>
      </c>
      <c r="G12" s="2220">
        <v>6757</v>
      </c>
      <c r="H12" s="2221">
        <v>31862</v>
      </c>
      <c r="I12" s="3793"/>
      <c r="J12" s="3793"/>
      <c r="K12" s="3793"/>
      <c r="L12" s="3793"/>
      <c r="M12" s="3793"/>
      <c r="N12" s="3793"/>
      <c r="O12" s="3793"/>
      <c r="P12" s="3793"/>
      <c r="R12" s="3795"/>
      <c r="S12" s="3795"/>
    </row>
    <row r="13" spans="2:19" x14ac:dyDescent="0.3">
      <c r="B13" s="5607" t="s">
        <v>998</v>
      </c>
      <c r="C13" s="2220">
        <v>6</v>
      </c>
      <c r="D13" s="2221">
        <v>436</v>
      </c>
      <c r="E13" s="5603"/>
      <c r="F13" s="5607" t="s">
        <v>1008</v>
      </c>
      <c r="G13" s="2220">
        <v>12</v>
      </c>
      <c r="H13" s="2221">
        <v>48</v>
      </c>
      <c r="I13" s="3793"/>
      <c r="J13" s="3793"/>
      <c r="K13" s="3793"/>
      <c r="L13" s="3793"/>
      <c r="M13" s="3793"/>
      <c r="N13" s="3793"/>
      <c r="O13" s="3793"/>
      <c r="P13" s="3793"/>
      <c r="R13" s="3795"/>
      <c r="S13" s="3795"/>
    </row>
    <row r="14" spans="2:19" x14ac:dyDescent="0.3">
      <c r="B14" s="5607" t="s">
        <v>999</v>
      </c>
      <c r="C14" s="2220">
        <v>9</v>
      </c>
      <c r="D14" s="2221">
        <v>1375</v>
      </c>
      <c r="E14" s="5603"/>
      <c r="F14" s="5607" t="s">
        <v>1012</v>
      </c>
      <c r="G14" s="2220">
        <v>15825</v>
      </c>
      <c r="H14" s="2221">
        <v>15825</v>
      </c>
      <c r="I14" s="3793"/>
      <c r="J14" s="3793"/>
      <c r="K14" s="3793"/>
      <c r="L14" s="3793"/>
      <c r="M14" s="3793"/>
      <c r="N14" s="3793"/>
      <c r="O14" s="3793"/>
      <c r="P14" s="3793"/>
      <c r="R14" s="3795"/>
      <c r="S14" s="3795"/>
    </row>
    <row r="15" spans="2:19" x14ac:dyDescent="0.3">
      <c r="B15" s="5607" t="s">
        <v>1003</v>
      </c>
      <c r="C15" s="2220">
        <v>7</v>
      </c>
      <c r="D15" s="2221">
        <v>72</v>
      </c>
      <c r="E15" s="5603"/>
      <c r="F15" s="5607" t="s">
        <v>1017</v>
      </c>
      <c r="G15" s="2220">
        <v>295</v>
      </c>
      <c r="H15" s="2221">
        <v>7551</v>
      </c>
      <c r="I15" s="3793"/>
      <c r="J15" s="3793"/>
      <c r="K15" s="3793"/>
      <c r="L15" s="3793"/>
      <c r="M15" s="3793"/>
      <c r="N15" s="3793"/>
      <c r="O15" s="3793"/>
      <c r="P15" s="3793"/>
      <c r="R15" s="3795"/>
      <c r="S15" s="3795"/>
    </row>
    <row r="16" spans="2:19" x14ac:dyDescent="0.3">
      <c r="B16" s="5607" t="s">
        <v>1052</v>
      </c>
      <c r="C16" s="2220">
        <v>5</v>
      </c>
      <c r="D16" s="2221"/>
      <c r="E16" s="5603"/>
      <c r="F16" s="5607" t="s">
        <v>1011</v>
      </c>
      <c r="G16" s="2220">
        <v>420</v>
      </c>
      <c r="H16" s="2221">
        <v>840</v>
      </c>
      <c r="I16" s="3793"/>
      <c r="J16" s="3793"/>
      <c r="K16" s="3793"/>
      <c r="L16" s="3793"/>
      <c r="M16" s="3793"/>
      <c r="N16" s="3793"/>
      <c r="O16" s="3793"/>
      <c r="P16" s="3793"/>
      <c r="R16" s="3795"/>
      <c r="S16" s="3795"/>
    </row>
    <row r="17" spans="2:19" x14ac:dyDescent="0.3">
      <c r="B17" s="5607" t="s">
        <v>1621</v>
      </c>
      <c r="C17" s="2220">
        <v>6</v>
      </c>
      <c r="D17" s="2221">
        <v>62</v>
      </c>
      <c r="E17" s="5603"/>
      <c r="F17" s="5607" t="s">
        <v>1014</v>
      </c>
      <c r="G17" s="2220">
        <v>1254</v>
      </c>
      <c r="H17" s="2221">
        <v>2671</v>
      </c>
      <c r="I17" s="3793"/>
      <c r="J17" s="3793"/>
      <c r="K17" s="3793"/>
      <c r="L17" s="3793"/>
      <c r="M17" s="3793"/>
      <c r="N17" s="3793"/>
      <c r="O17" s="3793"/>
      <c r="P17" s="3793"/>
      <c r="R17" s="3795"/>
      <c r="S17" s="3795"/>
    </row>
    <row r="18" spans="2:19" x14ac:dyDescent="0.3">
      <c r="B18" s="5607" t="s">
        <v>1014</v>
      </c>
      <c r="C18" s="2220">
        <v>1</v>
      </c>
      <c r="D18" s="2221">
        <v>18</v>
      </c>
      <c r="E18" s="5603"/>
      <c r="F18" s="5607" t="s">
        <v>1016</v>
      </c>
      <c r="G18" s="2220">
        <v>1738</v>
      </c>
      <c r="H18" s="2221">
        <v>12159</v>
      </c>
      <c r="I18" s="3793"/>
      <c r="J18" s="3793"/>
      <c r="K18" s="3793"/>
      <c r="L18" s="3793"/>
      <c r="M18" s="3793"/>
      <c r="N18" s="3793"/>
      <c r="O18" s="3793"/>
      <c r="P18" s="3793"/>
      <c r="R18" s="3795"/>
      <c r="S18" s="3795"/>
    </row>
    <row r="19" spans="2:19" x14ac:dyDescent="0.3">
      <c r="B19" s="5607" t="s">
        <v>1016</v>
      </c>
      <c r="C19" s="2220">
        <v>9</v>
      </c>
      <c r="D19" s="2221">
        <v>168</v>
      </c>
      <c r="E19" s="5603"/>
      <c r="F19" s="5607" t="s">
        <v>1028</v>
      </c>
      <c r="G19" s="2220">
        <v>120</v>
      </c>
      <c r="H19" s="2221">
        <v>1440</v>
      </c>
      <c r="I19" s="3793"/>
      <c r="J19" s="3793"/>
      <c r="K19" s="3793"/>
      <c r="L19" s="3793"/>
      <c r="M19" s="3793"/>
      <c r="N19" s="3793"/>
      <c r="O19" s="3793"/>
      <c r="P19" s="3793"/>
      <c r="R19" s="3795"/>
      <c r="S19" s="3795"/>
    </row>
    <row r="20" spans="2:19" x14ac:dyDescent="0.3">
      <c r="B20" s="5608" t="s">
        <v>1018</v>
      </c>
      <c r="C20" s="2220">
        <v>3</v>
      </c>
      <c r="D20" s="2221">
        <v>90</v>
      </c>
      <c r="E20" s="5603"/>
      <c r="F20" s="5608" t="s">
        <v>1625</v>
      </c>
      <c r="G20" s="2220">
        <v>126</v>
      </c>
      <c r="H20" s="2221">
        <v>4163</v>
      </c>
      <c r="I20" s="3793"/>
      <c r="J20" s="3793"/>
      <c r="K20" s="3793"/>
      <c r="L20" s="3793"/>
      <c r="M20" s="3793"/>
      <c r="N20" s="3793"/>
      <c r="O20" s="3793"/>
      <c r="P20" s="3793"/>
      <c r="R20" s="3795"/>
      <c r="S20" s="3795"/>
    </row>
    <row r="21" spans="2:19" x14ac:dyDescent="0.3">
      <c r="B21" s="5607" t="s">
        <v>1021</v>
      </c>
      <c r="C21" s="2220">
        <v>9</v>
      </c>
      <c r="D21" s="2221">
        <v>263</v>
      </c>
      <c r="E21" s="5603"/>
      <c r="F21" s="5607" t="s">
        <v>1626</v>
      </c>
      <c r="G21" s="2220">
        <v>73</v>
      </c>
      <c r="H21" s="2221">
        <v>1460</v>
      </c>
      <c r="I21" s="3793"/>
      <c r="J21" s="3793"/>
      <c r="K21" s="3793"/>
      <c r="L21" s="3793"/>
      <c r="M21" s="3793"/>
      <c r="N21" s="3793"/>
      <c r="O21" s="3793"/>
      <c r="P21" s="3793"/>
      <c r="R21" s="3795"/>
      <c r="S21" s="3795"/>
    </row>
    <row r="22" spans="2:19" x14ac:dyDescent="0.3">
      <c r="B22" s="5607" t="s">
        <v>1024</v>
      </c>
      <c r="C22" s="2220">
        <v>5</v>
      </c>
      <c r="D22" s="2221">
        <v>236</v>
      </c>
      <c r="E22" s="5603"/>
      <c r="F22" s="5607" t="s">
        <v>1627</v>
      </c>
      <c r="G22" s="2220">
        <v>1120</v>
      </c>
      <c r="H22" s="2221">
        <v>1120</v>
      </c>
      <c r="I22" s="3793"/>
      <c r="J22" s="3793"/>
      <c r="K22" s="3793"/>
      <c r="L22" s="3793"/>
      <c r="M22" s="3793"/>
      <c r="N22" s="3793"/>
      <c r="O22" s="3793"/>
      <c r="P22" s="3793"/>
      <c r="R22" s="3795"/>
      <c r="S22" s="3795"/>
    </row>
    <row r="23" spans="2:19" x14ac:dyDescent="0.3">
      <c r="B23" s="5607" t="s">
        <v>1622</v>
      </c>
      <c r="C23" s="2220">
        <v>2</v>
      </c>
      <c r="D23" s="2221">
        <v>70</v>
      </c>
      <c r="E23" s="5603"/>
      <c r="F23" s="5607"/>
      <c r="G23" s="2220"/>
      <c r="H23" s="2221"/>
      <c r="I23" s="3793"/>
      <c r="J23" s="3793"/>
      <c r="K23" s="3793"/>
      <c r="L23" s="3793"/>
      <c r="M23" s="3793"/>
      <c r="N23" s="3793"/>
      <c r="O23" s="3793"/>
      <c r="P23" s="3793"/>
      <c r="R23" s="3795"/>
      <c r="S23" s="3795"/>
    </row>
    <row r="24" spans="2:19" x14ac:dyDescent="0.3">
      <c r="B24" s="5609" t="s">
        <v>279</v>
      </c>
      <c r="C24" s="5610">
        <f>SUM(C7:C23)</f>
        <v>111</v>
      </c>
      <c r="D24" s="5611">
        <f>SUM(D7:D23)</f>
        <v>7769</v>
      </c>
      <c r="E24" s="5603"/>
      <c r="F24" s="5609" t="s">
        <v>279</v>
      </c>
      <c r="G24" s="5610">
        <f>SUM(G7:G23)</f>
        <v>132731</v>
      </c>
      <c r="H24" s="5611">
        <f>SUM(H7:H23)</f>
        <v>294510</v>
      </c>
      <c r="I24" s="3793"/>
      <c r="J24" s="3793"/>
      <c r="K24" s="3793"/>
      <c r="L24" s="3793"/>
      <c r="M24" s="3793"/>
      <c r="N24" s="3793"/>
      <c r="O24" s="3793"/>
      <c r="P24" s="3793"/>
      <c r="R24" s="3795"/>
      <c r="S24" s="3795"/>
    </row>
    <row r="25" spans="2:19" x14ac:dyDescent="0.3">
      <c r="B25" s="5612" t="s">
        <v>1027</v>
      </c>
      <c r="C25"/>
      <c r="D25"/>
      <c r="E25" s="3793"/>
      <c r="F25" s="5612" t="s">
        <v>1027</v>
      </c>
      <c r="G25"/>
      <c r="H25"/>
      <c r="I25" s="3793"/>
      <c r="J25" s="3793"/>
      <c r="K25" s="3793"/>
      <c r="L25" s="3793"/>
      <c r="M25" s="3793"/>
      <c r="N25" s="3793"/>
      <c r="O25" s="3793"/>
      <c r="P25" s="3793"/>
      <c r="R25" s="3795"/>
      <c r="S25" s="3795"/>
    </row>
    <row r="26" spans="2:19" ht="18" x14ac:dyDescent="0.35">
      <c r="B26" s="3792"/>
      <c r="C26" s="3793"/>
      <c r="D26" s="3793"/>
      <c r="E26" s="3793"/>
      <c r="F26" s="3793"/>
      <c r="G26" s="3793"/>
      <c r="H26" s="3793"/>
      <c r="I26" s="3793"/>
      <c r="J26" s="3793"/>
      <c r="K26" s="3793"/>
      <c r="L26" s="3793"/>
      <c r="M26" s="3793"/>
      <c r="N26" s="3793"/>
      <c r="O26" s="3793"/>
      <c r="P26" s="3793"/>
      <c r="R26" s="3795"/>
      <c r="S26" s="3795"/>
    </row>
    <row r="27" spans="2:19" ht="18" x14ac:dyDescent="0.35">
      <c r="B27" s="3792"/>
      <c r="C27" s="3793"/>
      <c r="D27" s="3793"/>
      <c r="E27" s="3793"/>
      <c r="F27" s="3793"/>
      <c r="G27" s="3793"/>
      <c r="H27" s="3793"/>
      <c r="I27" s="3793"/>
      <c r="J27" s="3793"/>
      <c r="K27" s="3793"/>
      <c r="L27" s="3793"/>
      <c r="M27" s="3793"/>
      <c r="N27" s="3793"/>
      <c r="O27" s="3793"/>
      <c r="P27" s="3793"/>
      <c r="R27" s="3795"/>
      <c r="S27" s="3795"/>
    </row>
    <row r="28" spans="2:19" x14ac:dyDescent="0.3">
      <c r="B28" s="6214" t="s">
        <v>1423</v>
      </c>
      <c r="C28" s="6345"/>
      <c r="D28" s="6345"/>
      <c r="E28" s="5588"/>
      <c r="F28" s="6226" t="s">
        <v>1431</v>
      </c>
      <c r="G28" s="6228"/>
      <c r="H28" s="6228"/>
      <c r="I28" s="6228"/>
      <c r="J28" s="6340"/>
      <c r="K28" s="3793"/>
      <c r="L28" s="6209" t="s">
        <v>1424</v>
      </c>
      <c r="M28" s="6210"/>
      <c r="N28" s="6210"/>
      <c r="O28" s="6211"/>
      <c r="S28" s="3795"/>
    </row>
    <row r="29" spans="2:19" x14ac:dyDescent="0.3">
      <c r="B29" s="6346" t="s">
        <v>1425</v>
      </c>
      <c r="C29" s="6347"/>
      <c r="D29" s="6347"/>
      <c r="E29" s="4681"/>
      <c r="F29" s="6341" t="s">
        <v>1432</v>
      </c>
      <c r="G29" s="6342"/>
      <c r="H29" s="6342"/>
      <c r="I29" s="6342"/>
      <c r="J29" s="6343"/>
      <c r="K29" s="3793"/>
      <c r="L29" s="5598"/>
      <c r="M29" s="5598"/>
      <c r="N29" s="5598"/>
      <c r="O29" s="5598"/>
      <c r="S29" s="3795"/>
    </row>
    <row r="30" spans="2:19" x14ac:dyDescent="0.3">
      <c r="B30" s="6214" t="s">
        <v>1471</v>
      </c>
      <c r="C30" s="6216" t="s">
        <v>1466</v>
      </c>
      <c r="D30" s="6218" t="s">
        <v>1465</v>
      </c>
      <c r="E30" s="4681"/>
      <c r="F30" s="6220" t="s">
        <v>970</v>
      </c>
      <c r="G30" s="6222" t="s">
        <v>1469</v>
      </c>
      <c r="H30" s="6222" t="s">
        <v>1464</v>
      </c>
      <c r="I30" s="6222" t="s">
        <v>1470</v>
      </c>
      <c r="J30" s="6224" t="s">
        <v>1472</v>
      </c>
      <c r="K30" s="3793"/>
      <c r="L30" s="6226" t="s">
        <v>1467</v>
      </c>
      <c r="M30" s="6228" t="s">
        <v>1468</v>
      </c>
      <c r="N30" s="6230" t="s">
        <v>1464</v>
      </c>
      <c r="O30" s="6231"/>
      <c r="S30" s="3795"/>
    </row>
    <row r="31" spans="2:19" ht="15" thickBot="1" x14ac:dyDescent="0.35">
      <c r="B31" s="6215"/>
      <c r="C31" s="6217"/>
      <c r="D31" s="6219"/>
      <c r="E31" s="4681"/>
      <c r="F31" s="6221"/>
      <c r="G31" s="6223"/>
      <c r="H31" s="6223"/>
      <c r="I31" s="6348"/>
      <c r="J31" s="6344"/>
      <c r="K31" s="3793"/>
      <c r="L31" s="6227"/>
      <c r="M31" s="6229"/>
      <c r="N31" s="5592" t="s">
        <v>974</v>
      </c>
      <c r="O31" s="5593" t="s">
        <v>975</v>
      </c>
      <c r="S31" s="3795"/>
    </row>
    <row r="32" spans="2:19" x14ac:dyDescent="0.3">
      <c r="B32" s="5561" t="s">
        <v>1427</v>
      </c>
      <c r="C32" s="5567" t="s">
        <v>1428</v>
      </c>
      <c r="D32" s="5564">
        <v>80</v>
      </c>
      <c r="E32" s="4681"/>
      <c r="F32" s="5580" t="s">
        <v>1433</v>
      </c>
      <c r="G32" s="5581">
        <v>3</v>
      </c>
      <c r="H32" s="5582">
        <v>34</v>
      </c>
      <c r="I32" s="5583" t="s">
        <v>1434</v>
      </c>
      <c r="J32" s="5584">
        <v>660</v>
      </c>
      <c r="K32" s="3793"/>
      <c r="L32" s="5599" t="s">
        <v>1426</v>
      </c>
      <c r="M32" s="5590" t="s">
        <v>1208</v>
      </c>
      <c r="N32" s="5590">
        <v>77</v>
      </c>
      <c r="O32" s="5591"/>
      <c r="S32" s="3795"/>
    </row>
    <row r="33" spans="2:19" x14ac:dyDescent="0.3">
      <c r="B33" s="5562" t="s">
        <v>1430</v>
      </c>
      <c r="C33" s="5568" t="s">
        <v>977</v>
      </c>
      <c r="D33" s="5565">
        <v>40</v>
      </c>
      <c r="E33" s="4681"/>
      <c r="F33" s="5574" t="s">
        <v>1435</v>
      </c>
      <c r="G33" s="5575">
        <v>3</v>
      </c>
      <c r="H33" s="5573">
        <v>52</v>
      </c>
      <c r="I33" s="5573" t="s">
        <v>1434</v>
      </c>
      <c r="J33" s="5585">
        <v>1102</v>
      </c>
      <c r="K33" s="3793"/>
      <c r="L33" s="5600" t="s">
        <v>1429</v>
      </c>
      <c r="M33" s="5576" t="s">
        <v>1208</v>
      </c>
      <c r="N33" s="5576">
        <v>34</v>
      </c>
      <c r="O33" s="5589"/>
      <c r="S33" s="3795"/>
    </row>
    <row r="34" spans="2:19" x14ac:dyDescent="0.3">
      <c r="B34" s="5563" t="s">
        <v>48</v>
      </c>
      <c r="C34" s="5569">
        <v>6</v>
      </c>
      <c r="D34" s="5566">
        <f>SUM(D32:D33)</f>
        <v>120</v>
      </c>
      <c r="E34" s="4681"/>
      <c r="F34" s="5574" t="s">
        <v>1436</v>
      </c>
      <c r="G34" s="5575">
        <v>3</v>
      </c>
      <c r="H34" s="5573">
        <v>22</v>
      </c>
      <c r="I34" s="5573" t="s">
        <v>1434</v>
      </c>
      <c r="J34" s="5585">
        <v>462</v>
      </c>
      <c r="K34" s="3793"/>
      <c r="L34" s="5594" t="s">
        <v>48</v>
      </c>
      <c r="M34" s="3793"/>
      <c r="N34" s="5595">
        <f>SUM(N32:N33)</f>
        <v>111</v>
      </c>
      <c r="O34" s="5596"/>
      <c r="P34" s="3793"/>
      <c r="R34" s="3795"/>
      <c r="S34" s="3795"/>
    </row>
    <row r="35" spans="2:19" x14ac:dyDescent="0.3">
      <c r="B35" s="4682"/>
      <c r="C35" s="4682"/>
      <c r="D35" s="4682"/>
      <c r="E35" s="4681"/>
      <c r="F35" s="5570" t="s">
        <v>1437</v>
      </c>
      <c r="G35" s="5576">
        <v>2</v>
      </c>
      <c r="H35" s="5573">
        <v>217</v>
      </c>
      <c r="I35" s="5573" t="s">
        <v>1434</v>
      </c>
      <c r="J35" s="5585">
        <v>1980</v>
      </c>
      <c r="K35" s="3793"/>
      <c r="L35" s="3793"/>
      <c r="M35" s="3793"/>
      <c r="N35" s="3793"/>
      <c r="O35" s="3793"/>
      <c r="P35" s="3793"/>
      <c r="R35" s="3795"/>
      <c r="S35" s="3795"/>
    </row>
    <row r="36" spans="2:19" x14ac:dyDescent="0.3">
      <c r="B36" s="4682"/>
      <c r="C36" s="4682"/>
      <c r="D36" s="4682"/>
      <c r="E36" s="4681"/>
      <c r="F36" s="5570" t="s">
        <v>1438</v>
      </c>
      <c r="G36" s="5576">
        <v>1</v>
      </c>
      <c r="H36" s="5573">
        <v>90</v>
      </c>
      <c r="I36" s="5573" t="s">
        <v>1434</v>
      </c>
      <c r="J36" s="5585">
        <v>990</v>
      </c>
      <c r="K36" s="3793"/>
      <c r="L36" s="3793"/>
      <c r="M36" s="3793"/>
      <c r="N36" s="3793"/>
      <c r="O36" s="3793"/>
      <c r="P36" s="3793"/>
      <c r="R36" s="3795"/>
      <c r="S36" s="3795"/>
    </row>
    <row r="37" spans="2:19" x14ac:dyDescent="0.3">
      <c r="F37" s="5570" t="s">
        <v>1439</v>
      </c>
      <c r="G37" s="5571">
        <v>1</v>
      </c>
      <c r="H37" s="5572">
        <v>27</v>
      </c>
      <c r="I37" s="5573" t="s">
        <v>1434</v>
      </c>
      <c r="J37" s="5585">
        <v>132</v>
      </c>
      <c r="K37" s="3793"/>
      <c r="L37" s="3793"/>
      <c r="M37" s="3793"/>
      <c r="N37" s="3793"/>
      <c r="O37" s="3793"/>
      <c r="P37" s="3793"/>
      <c r="R37" s="3795"/>
      <c r="S37" s="3795"/>
    </row>
    <row r="38" spans="2:19" x14ac:dyDescent="0.3">
      <c r="F38" s="5570" t="s">
        <v>1440</v>
      </c>
      <c r="G38" s="5571">
        <v>9</v>
      </c>
      <c r="H38" s="5572">
        <v>735</v>
      </c>
      <c r="I38" s="5573" t="s">
        <v>1441</v>
      </c>
      <c r="J38" s="5585">
        <v>2355</v>
      </c>
      <c r="K38" s="3793"/>
      <c r="L38" s="3793"/>
      <c r="M38" s="3793"/>
      <c r="N38" s="3793"/>
      <c r="O38" s="3793"/>
      <c r="P38" s="3793"/>
      <c r="R38" s="3795"/>
      <c r="S38" s="3795"/>
    </row>
    <row r="39" spans="2:19" x14ac:dyDescent="0.3">
      <c r="F39" s="5570" t="s">
        <v>1442</v>
      </c>
      <c r="G39" s="5576">
        <v>2</v>
      </c>
      <c r="H39" s="5573">
        <v>54</v>
      </c>
      <c r="I39" s="5573" t="s">
        <v>1443</v>
      </c>
      <c r="J39" s="5585">
        <v>1106</v>
      </c>
      <c r="K39" s="3793"/>
      <c r="L39" s="3793"/>
      <c r="M39" s="3793"/>
      <c r="N39" s="3793"/>
      <c r="O39" s="3793"/>
      <c r="P39" s="3793"/>
      <c r="R39" s="3795"/>
      <c r="S39" s="3795"/>
    </row>
    <row r="40" spans="2:19" x14ac:dyDescent="0.3">
      <c r="F40" s="5570" t="s">
        <v>1444</v>
      </c>
      <c r="G40" s="5571">
        <v>7</v>
      </c>
      <c r="H40" s="5572">
        <v>250</v>
      </c>
      <c r="I40" s="5573" t="s">
        <v>1445</v>
      </c>
      <c r="J40" s="5585">
        <v>2429</v>
      </c>
      <c r="K40" s="3793"/>
      <c r="L40" s="3793"/>
      <c r="M40" s="3793"/>
      <c r="N40" s="3793"/>
      <c r="O40" s="3793"/>
      <c r="P40" s="3793"/>
      <c r="R40" s="3795"/>
      <c r="S40" s="3795"/>
    </row>
    <row r="41" spans="2:19" x14ac:dyDescent="0.3">
      <c r="F41" s="5570" t="s">
        <v>1446</v>
      </c>
      <c r="G41" s="5576">
        <v>45</v>
      </c>
      <c r="H41" s="5573">
        <v>453</v>
      </c>
      <c r="I41" s="5573" t="s">
        <v>1447</v>
      </c>
      <c r="J41" s="5585">
        <v>4253</v>
      </c>
      <c r="K41" s="3793"/>
      <c r="L41" s="3793"/>
      <c r="M41" s="3793"/>
      <c r="N41" s="3793"/>
      <c r="O41" s="3793"/>
      <c r="P41" s="3793"/>
      <c r="R41" s="3795"/>
      <c r="S41" s="3795"/>
    </row>
    <row r="42" spans="2:19" x14ac:dyDescent="0.3">
      <c r="F42" s="5570" t="s">
        <v>1448</v>
      </c>
      <c r="G42" s="5576">
        <v>3</v>
      </c>
      <c r="H42" s="5573">
        <v>150</v>
      </c>
      <c r="I42" s="5573" t="s">
        <v>1434</v>
      </c>
      <c r="J42" s="5585">
        <v>895</v>
      </c>
      <c r="K42" s="3793"/>
      <c r="L42" s="3793"/>
      <c r="M42" s="3793"/>
      <c r="N42" s="3793"/>
      <c r="O42" s="3793"/>
      <c r="P42" s="3793"/>
      <c r="R42" s="3795"/>
      <c r="S42" s="3795"/>
    </row>
    <row r="43" spans="2:19" x14ac:dyDescent="0.3">
      <c r="F43" s="5570" t="s">
        <v>1449</v>
      </c>
      <c r="G43" s="5576">
        <v>2</v>
      </c>
      <c r="H43" s="5573">
        <v>52</v>
      </c>
      <c r="I43" s="5573" t="s">
        <v>1450</v>
      </c>
      <c r="J43" s="5585">
        <v>345</v>
      </c>
      <c r="K43" s="3793"/>
      <c r="L43" s="3793"/>
      <c r="M43" s="3793"/>
      <c r="N43" s="3793"/>
      <c r="O43" s="3793"/>
      <c r="P43" s="3793"/>
      <c r="R43" s="3795"/>
      <c r="S43" s="3795"/>
    </row>
    <row r="44" spans="2:19" x14ac:dyDescent="0.3">
      <c r="F44" s="5570" t="s">
        <v>1451</v>
      </c>
      <c r="G44" s="5576">
        <v>1</v>
      </c>
      <c r="H44" s="5573">
        <v>32</v>
      </c>
      <c r="I44" s="5573" t="s">
        <v>1434</v>
      </c>
      <c r="J44" s="5585">
        <v>305</v>
      </c>
      <c r="K44" s="3793"/>
      <c r="L44" s="3793"/>
      <c r="M44" s="3793"/>
      <c r="N44" s="3793"/>
      <c r="O44" s="3793"/>
      <c r="P44" s="3793"/>
      <c r="R44" s="3795"/>
      <c r="S44" s="3795"/>
    </row>
    <row r="45" spans="2:19" x14ac:dyDescent="0.3">
      <c r="F45" s="5570" t="s">
        <v>1452</v>
      </c>
      <c r="G45" s="5576">
        <v>5</v>
      </c>
      <c r="H45" s="5573">
        <v>1260</v>
      </c>
      <c r="I45" s="5573" t="s">
        <v>1453</v>
      </c>
      <c r="J45" s="5585">
        <v>1260</v>
      </c>
      <c r="K45" s="3793"/>
      <c r="L45" s="3793"/>
      <c r="M45" s="3793"/>
      <c r="N45" s="3793"/>
      <c r="O45" s="3793"/>
      <c r="P45" s="3793"/>
      <c r="R45" s="3795"/>
      <c r="S45" s="3795"/>
    </row>
    <row r="46" spans="2:19" x14ac:dyDescent="0.3">
      <c r="F46" s="5570" t="s">
        <v>1454</v>
      </c>
      <c r="G46" s="5576">
        <v>2</v>
      </c>
      <c r="H46" s="5573">
        <v>80</v>
      </c>
      <c r="I46" s="5573" t="s">
        <v>1455</v>
      </c>
      <c r="J46" s="5585">
        <v>253</v>
      </c>
      <c r="K46" s="3793"/>
      <c r="L46" s="3793"/>
      <c r="M46" s="3793"/>
      <c r="N46" s="3793"/>
      <c r="O46" s="3793"/>
      <c r="P46" s="3793"/>
      <c r="R46" s="3795"/>
      <c r="S46" s="3795"/>
    </row>
    <row r="47" spans="2:19" x14ac:dyDescent="0.3">
      <c r="F47" s="5577" t="s">
        <v>1456</v>
      </c>
      <c r="G47" s="5576">
        <v>9</v>
      </c>
      <c r="H47" s="5576">
        <v>844</v>
      </c>
      <c r="I47" s="5576" t="s">
        <v>1445</v>
      </c>
      <c r="J47" s="5586">
        <v>4956</v>
      </c>
      <c r="K47" s="3793"/>
      <c r="L47" s="3793"/>
      <c r="M47" s="3793"/>
      <c r="N47" s="3793"/>
      <c r="O47" s="3793"/>
      <c r="P47" s="3793"/>
      <c r="R47" s="3795"/>
      <c r="S47" s="3795"/>
    </row>
    <row r="48" spans="2:19" x14ac:dyDescent="0.3">
      <c r="F48" s="5577" t="s">
        <v>1457</v>
      </c>
      <c r="G48" s="5571">
        <v>75</v>
      </c>
      <c r="H48" s="5571">
        <v>2653</v>
      </c>
      <c r="I48" s="5576" t="s">
        <v>1455</v>
      </c>
      <c r="J48" s="5586">
        <v>5953</v>
      </c>
      <c r="K48" s="3793"/>
      <c r="L48" s="3793"/>
      <c r="M48" s="3793"/>
      <c r="N48" s="3793"/>
      <c r="O48" s="3793"/>
      <c r="P48" s="3793"/>
      <c r="R48" s="3795"/>
      <c r="S48" s="3795"/>
    </row>
    <row r="49" spans="2:21" x14ac:dyDescent="0.3">
      <c r="F49" s="5577" t="s">
        <v>1458</v>
      </c>
      <c r="G49" s="5571">
        <v>30</v>
      </c>
      <c r="H49" s="5571">
        <v>603</v>
      </c>
      <c r="I49" s="5576" t="s">
        <v>1455</v>
      </c>
      <c r="J49" s="5586">
        <v>14151</v>
      </c>
      <c r="K49" s="3793"/>
      <c r="L49" s="3793"/>
      <c r="M49" s="3793"/>
      <c r="N49" s="3793"/>
      <c r="O49" s="3793"/>
      <c r="P49" s="3793"/>
      <c r="R49" s="3795"/>
      <c r="S49" s="3795"/>
    </row>
    <row r="50" spans="2:21" x14ac:dyDescent="0.3">
      <c r="F50" s="5577" t="s">
        <v>1459</v>
      </c>
      <c r="G50" s="5571">
        <v>6</v>
      </c>
      <c r="H50" s="5571">
        <v>600</v>
      </c>
      <c r="I50" s="5576" t="s">
        <v>1460</v>
      </c>
      <c r="J50" s="5586">
        <v>1753</v>
      </c>
      <c r="K50" s="3793"/>
      <c r="L50" s="3793"/>
      <c r="M50" s="3793"/>
      <c r="N50" s="3793"/>
      <c r="O50" s="3793"/>
      <c r="P50" s="3793"/>
      <c r="R50" s="3795"/>
      <c r="S50" s="3795"/>
    </row>
    <row r="51" spans="2:21" x14ac:dyDescent="0.3">
      <c r="F51" s="5570" t="s">
        <v>1461</v>
      </c>
      <c r="G51" s="5571">
        <v>12</v>
      </c>
      <c r="H51" s="5572">
        <v>429</v>
      </c>
      <c r="I51" s="5573" t="s">
        <v>1462</v>
      </c>
      <c r="J51" s="5585">
        <v>2253</v>
      </c>
      <c r="K51" s="3793"/>
      <c r="L51" s="3793"/>
      <c r="M51" s="3793"/>
      <c r="N51" s="3793"/>
      <c r="O51" s="3793"/>
      <c r="P51" s="3793"/>
      <c r="R51" s="3795"/>
      <c r="S51" s="3795"/>
    </row>
    <row r="52" spans="2:21" x14ac:dyDescent="0.3">
      <c r="F52" s="5570" t="s">
        <v>1463</v>
      </c>
      <c r="G52" s="5571">
        <v>250</v>
      </c>
      <c r="H52" s="5572">
        <v>543</v>
      </c>
      <c r="I52" s="5573" t="s">
        <v>1447</v>
      </c>
      <c r="J52" s="5585">
        <v>3078</v>
      </c>
      <c r="K52" s="3793"/>
      <c r="L52" s="3793"/>
      <c r="M52" s="3793"/>
      <c r="N52" s="3793"/>
      <c r="O52" s="3793"/>
      <c r="P52" s="3793"/>
      <c r="R52" s="3795"/>
      <c r="S52" s="3795"/>
    </row>
    <row r="53" spans="2:21" x14ac:dyDescent="0.3">
      <c r="F53" s="5578" t="s">
        <v>48</v>
      </c>
      <c r="G53" s="5569">
        <f t="shared" ref="G53:H53" si="0">SUM(G32:G52)</f>
        <v>471</v>
      </c>
      <c r="H53" s="5579">
        <f t="shared" si="0"/>
        <v>9180</v>
      </c>
      <c r="I53" s="3793"/>
      <c r="J53" s="5587">
        <f>SUM(J32:J52)</f>
        <v>50671</v>
      </c>
      <c r="K53" s="3793"/>
      <c r="L53" s="3793"/>
      <c r="M53" s="3793"/>
      <c r="N53" s="3793"/>
      <c r="O53" s="3793"/>
      <c r="P53" s="3793"/>
      <c r="R53" s="3795"/>
      <c r="S53" s="3795"/>
    </row>
    <row r="54" spans="2:21" x14ac:dyDescent="0.3">
      <c r="G54" s="4683"/>
      <c r="H54" s="4683"/>
      <c r="I54" s="3793"/>
      <c r="J54" s="3793"/>
      <c r="K54" s="3793"/>
      <c r="L54" s="3793"/>
      <c r="M54" s="3793"/>
      <c r="N54" s="3793"/>
      <c r="O54" s="3793"/>
      <c r="P54" s="3793"/>
      <c r="R54" s="3795"/>
      <c r="S54" s="3795"/>
    </row>
    <row r="55" spans="2:21" ht="18" x14ac:dyDescent="0.35">
      <c r="B55" s="3792"/>
      <c r="C55" s="3793"/>
      <c r="D55" s="3793"/>
      <c r="E55" s="3793"/>
      <c r="F55" s="3793"/>
      <c r="G55" s="3793"/>
      <c r="H55" s="3793"/>
      <c r="I55" s="3793"/>
      <c r="J55" s="3793"/>
      <c r="K55" s="3793"/>
      <c r="L55" s="3793"/>
      <c r="M55" s="3793"/>
      <c r="N55" s="3793"/>
      <c r="O55" s="3793"/>
      <c r="P55" s="3793"/>
      <c r="R55" s="3795"/>
      <c r="S55" s="3795"/>
    </row>
    <row r="56" spans="2:21" ht="18" x14ac:dyDescent="0.3">
      <c r="B56" s="6232" t="s">
        <v>962</v>
      </c>
      <c r="C56" s="6232"/>
      <c r="D56" s="6232"/>
      <c r="E56" s="3793"/>
      <c r="F56" s="6232" t="s">
        <v>962</v>
      </c>
      <c r="G56" s="6232"/>
      <c r="H56" s="6232"/>
      <c r="I56" s="4788"/>
      <c r="J56" s="4788"/>
      <c r="K56" s="3793"/>
      <c r="L56" s="3793"/>
      <c r="M56" s="3793"/>
      <c r="N56" s="3793"/>
      <c r="O56" s="3793"/>
      <c r="P56" s="3793"/>
      <c r="Q56" s="3793"/>
      <c r="R56" s="3793"/>
      <c r="T56" s="3795"/>
      <c r="U56" s="3795"/>
    </row>
    <row r="57" spans="2:21" ht="14.4" customHeight="1" x14ac:dyDescent="0.3">
      <c r="B57" s="6234" t="s">
        <v>964</v>
      </c>
      <c r="C57" s="6235"/>
      <c r="D57" s="6236"/>
      <c r="E57" s="3793"/>
      <c r="F57" s="6234" t="s">
        <v>965</v>
      </c>
      <c r="G57" s="6235"/>
      <c r="H57" s="6236"/>
      <c r="I57" s="4837"/>
      <c r="J57" s="4837"/>
      <c r="K57" s="3793"/>
      <c r="L57" s="6233" t="s">
        <v>963</v>
      </c>
      <c r="M57" s="6233"/>
      <c r="N57" s="6233"/>
      <c r="O57" s="6233"/>
      <c r="P57" s="3793"/>
      <c r="Q57" s="3793"/>
      <c r="R57" s="3793"/>
      <c r="T57" s="3795"/>
      <c r="U57" s="3795"/>
    </row>
    <row r="58" spans="2:21" ht="28.2" thickBot="1" x14ac:dyDescent="0.35">
      <c r="B58" s="3796" t="s">
        <v>967</v>
      </c>
      <c r="C58" s="3797" t="s">
        <v>968</v>
      </c>
      <c r="D58" s="3797" t="s">
        <v>969</v>
      </c>
      <c r="E58" s="3793"/>
      <c r="F58" s="3796" t="s">
        <v>970</v>
      </c>
      <c r="G58" s="3797" t="s">
        <v>971</v>
      </c>
      <c r="H58" s="3797" t="s">
        <v>972</v>
      </c>
      <c r="I58" s="4838"/>
      <c r="J58" s="4838"/>
      <c r="K58" s="3793"/>
      <c r="N58" s="6237" t="s">
        <v>966</v>
      </c>
      <c r="O58" s="6237"/>
      <c r="P58" s="3793"/>
      <c r="Q58" s="3793"/>
      <c r="R58" s="3793"/>
      <c r="T58" s="3795"/>
      <c r="U58" s="3795"/>
    </row>
    <row r="59" spans="2:21" ht="15" thickBot="1" x14ac:dyDescent="0.35">
      <c r="B59" s="3801" t="s">
        <v>976</v>
      </c>
      <c r="C59" s="3802" t="s">
        <v>977</v>
      </c>
      <c r="D59" s="3803">
        <v>35</v>
      </c>
      <c r="E59" s="3793"/>
      <c r="F59" s="3804" t="s">
        <v>978</v>
      </c>
      <c r="G59" s="3805">
        <v>365</v>
      </c>
      <c r="H59" s="3806">
        <v>1080</v>
      </c>
      <c r="I59" s="4839"/>
      <c r="J59" s="4839"/>
      <c r="K59" s="3793"/>
      <c r="L59" s="3798" t="s">
        <v>970</v>
      </c>
      <c r="M59" s="3798" t="s">
        <v>973</v>
      </c>
      <c r="N59" s="3799" t="s">
        <v>974</v>
      </c>
      <c r="O59" s="3800" t="s">
        <v>975</v>
      </c>
      <c r="P59" s="3793"/>
      <c r="Q59" s="3793"/>
      <c r="R59" s="3793"/>
      <c r="T59" s="3795"/>
      <c r="U59" s="3795"/>
    </row>
    <row r="60" spans="2:21" ht="27.6" x14ac:dyDescent="0.3">
      <c r="B60" s="3811" t="s">
        <v>981</v>
      </c>
      <c r="C60" s="3812" t="s">
        <v>982</v>
      </c>
      <c r="D60" s="3813">
        <v>30</v>
      </c>
      <c r="E60" s="3793"/>
      <c r="F60" s="3814" t="s">
        <v>983</v>
      </c>
      <c r="G60" s="3815">
        <v>117</v>
      </c>
      <c r="H60" s="3816">
        <v>292</v>
      </c>
      <c r="I60" s="4839"/>
      <c r="J60" s="4839"/>
      <c r="K60" s="3793"/>
      <c r="L60" s="3807" t="s">
        <v>979</v>
      </c>
      <c r="M60" s="3808" t="s">
        <v>980</v>
      </c>
      <c r="N60" s="3809"/>
      <c r="O60" s="3810"/>
      <c r="P60" s="3793"/>
      <c r="Q60" s="3793"/>
      <c r="R60" s="3793"/>
      <c r="T60" s="3795"/>
      <c r="U60" s="3795"/>
    </row>
    <row r="61" spans="2:21" x14ac:dyDescent="0.3">
      <c r="B61" s="3811" t="s">
        <v>985</v>
      </c>
      <c r="C61" s="3812">
        <v>3</v>
      </c>
      <c r="D61" s="3820">
        <v>151</v>
      </c>
      <c r="E61" s="3793"/>
      <c r="F61" s="3821" t="s">
        <v>986</v>
      </c>
      <c r="G61" s="3815">
        <v>1</v>
      </c>
      <c r="H61" s="3816">
        <v>5</v>
      </c>
      <c r="I61" s="4839"/>
      <c r="J61" s="4839"/>
      <c r="K61" s="3793"/>
      <c r="L61" s="3817" t="s">
        <v>984</v>
      </c>
      <c r="M61" s="3802" t="s">
        <v>980</v>
      </c>
      <c r="N61" s="3818"/>
      <c r="O61" s="3819"/>
      <c r="P61" s="3793"/>
      <c r="Q61" s="3793"/>
      <c r="R61" s="3793"/>
      <c r="T61" s="3795"/>
      <c r="U61" s="3795"/>
    </row>
    <row r="62" spans="2:21" x14ac:dyDescent="0.3">
      <c r="B62" s="3811" t="s">
        <v>989</v>
      </c>
      <c r="C62" s="3824">
        <v>1</v>
      </c>
      <c r="D62" s="3820">
        <v>28</v>
      </c>
      <c r="E62" s="3793"/>
      <c r="F62" s="3825" t="s">
        <v>990</v>
      </c>
      <c r="G62" s="3824">
        <v>845</v>
      </c>
      <c r="H62" s="3816">
        <v>11272</v>
      </c>
      <c r="I62" s="4839"/>
      <c r="J62" s="4839"/>
      <c r="K62" s="3793"/>
      <c r="L62" s="3822" t="s">
        <v>987</v>
      </c>
      <c r="M62" s="3812" t="s">
        <v>988</v>
      </c>
      <c r="N62" s="3823"/>
      <c r="O62" s="3820"/>
      <c r="P62" s="3793"/>
      <c r="Q62" s="3793"/>
      <c r="R62" s="3793"/>
      <c r="T62" s="3795"/>
      <c r="U62" s="3795"/>
    </row>
    <row r="63" spans="2:21" x14ac:dyDescent="0.3">
      <c r="B63" s="3811" t="s">
        <v>991</v>
      </c>
      <c r="C63" s="3824">
        <v>1</v>
      </c>
      <c r="D63" s="3820">
        <v>11</v>
      </c>
      <c r="E63" s="3793"/>
      <c r="F63" s="3829" t="s">
        <v>992</v>
      </c>
      <c r="G63" s="3824">
        <v>80</v>
      </c>
      <c r="H63" s="3816">
        <v>400</v>
      </c>
      <c r="I63" s="4839"/>
      <c r="J63" s="4839"/>
      <c r="K63" s="3793"/>
      <c r="L63" s="3826" t="s">
        <v>279</v>
      </c>
      <c r="M63" s="3827">
        <f>N63+O63</f>
        <v>0</v>
      </c>
      <c r="N63" s="3827">
        <f>SUM(N60:N62)</f>
        <v>0</v>
      </c>
      <c r="O63" s="3828">
        <f>SUM(O60:O62)</f>
        <v>0</v>
      </c>
      <c r="P63" s="3793"/>
      <c r="Q63" s="3793"/>
      <c r="R63" s="3793"/>
      <c r="T63" s="3795"/>
      <c r="U63" s="3795"/>
    </row>
    <row r="64" spans="2:21" x14ac:dyDescent="0.3">
      <c r="B64" s="3811" t="s">
        <v>993</v>
      </c>
      <c r="C64" s="3824">
        <v>6</v>
      </c>
      <c r="D64" s="3820">
        <v>1370</v>
      </c>
      <c r="E64" s="3793"/>
      <c r="F64" s="3829" t="s">
        <v>994</v>
      </c>
      <c r="G64" s="3830">
        <v>64</v>
      </c>
      <c r="H64" s="3816">
        <v>128</v>
      </c>
      <c r="I64" s="4839"/>
      <c r="J64" s="4839"/>
      <c r="K64" s="3793"/>
      <c r="L64" s="3793"/>
      <c r="M64" s="3793"/>
      <c r="N64" s="3793"/>
      <c r="O64" s="3793"/>
      <c r="P64" s="3793"/>
      <c r="Q64" s="3793"/>
      <c r="R64" s="3793"/>
      <c r="T64" s="3795"/>
      <c r="U64" s="3795"/>
    </row>
    <row r="65" spans="2:21" x14ac:dyDescent="0.3">
      <c r="B65" s="3811" t="s">
        <v>995</v>
      </c>
      <c r="C65" s="3824"/>
      <c r="D65" s="3820"/>
      <c r="E65" s="3793"/>
      <c r="F65" s="3829" t="s">
        <v>996</v>
      </c>
      <c r="G65" s="3830">
        <v>1</v>
      </c>
      <c r="H65" s="3816">
        <v>4</v>
      </c>
      <c r="I65" s="4839"/>
      <c r="J65" s="4839"/>
      <c r="K65" s="3793"/>
      <c r="L65" s="3793"/>
      <c r="M65" s="3793"/>
      <c r="N65" s="3793"/>
      <c r="O65" s="3793"/>
      <c r="P65" s="3793"/>
      <c r="Q65" s="3793"/>
      <c r="R65" s="3793"/>
      <c r="T65" s="3795"/>
      <c r="U65" s="3795"/>
    </row>
    <row r="66" spans="2:21" x14ac:dyDescent="0.3">
      <c r="B66" s="3811" t="s">
        <v>997</v>
      </c>
      <c r="C66" s="3824">
        <v>1</v>
      </c>
      <c r="D66" s="3820">
        <v>25</v>
      </c>
      <c r="E66" s="3793"/>
      <c r="F66" s="3829" t="s">
        <v>993</v>
      </c>
      <c r="G66" s="3830">
        <v>104</v>
      </c>
      <c r="H66" s="3816">
        <v>1040</v>
      </c>
      <c r="I66" s="4839"/>
      <c r="J66" s="4839"/>
      <c r="K66" s="3793"/>
      <c r="L66" s="3793"/>
      <c r="M66" s="3793"/>
      <c r="N66" s="3793"/>
      <c r="O66" s="3793"/>
      <c r="P66" s="3793"/>
      <c r="Q66" s="3793"/>
      <c r="R66" s="3793"/>
      <c r="T66" s="3795"/>
      <c r="U66" s="3795"/>
    </row>
    <row r="67" spans="2:21" x14ac:dyDescent="0.3">
      <c r="B67" s="3811" t="s">
        <v>998</v>
      </c>
      <c r="C67" s="3824">
        <v>4</v>
      </c>
      <c r="D67" s="3820">
        <v>554</v>
      </c>
      <c r="E67" s="3793"/>
      <c r="F67" s="3822" t="s">
        <v>999</v>
      </c>
      <c r="G67" s="3824">
        <v>266</v>
      </c>
      <c r="H67" s="3816">
        <v>2514</v>
      </c>
      <c r="I67" s="4839"/>
      <c r="J67" s="4839"/>
      <c r="K67" s="3793"/>
      <c r="L67" s="3793"/>
      <c r="M67" s="3793"/>
      <c r="N67" s="3793"/>
      <c r="O67" s="3793"/>
      <c r="P67" s="3793"/>
      <c r="Q67" s="3793"/>
      <c r="R67" s="3793"/>
      <c r="T67" s="3795"/>
      <c r="U67" s="3795"/>
    </row>
    <row r="68" spans="2:21" x14ac:dyDescent="0.3">
      <c r="B68" s="3811" t="s">
        <v>999</v>
      </c>
      <c r="C68" s="3824">
        <v>1</v>
      </c>
      <c r="D68" s="3820">
        <v>245</v>
      </c>
      <c r="E68" s="3793"/>
      <c r="F68" s="3825" t="s">
        <v>1000</v>
      </c>
      <c r="G68" s="3824">
        <v>292</v>
      </c>
      <c r="H68" s="3816">
        <v>292</v>
      </c>
      <c r="I68" s="4839"/>
      <c r="J68" s="4839"/>
      <c r="K68" s="3793"/>
      <c r="L68" s="3793"/>
      <c r="M68" s="3793"/>
      <c r="N68" s="3793"/>
      <c r="O68" s="3793"/>
      <c r="P68" s="3793"/>
      <c r="Q68" s="3793"/>
      <c r="R68" s="3793"/>
      <c r="T68" s="3795"/>
      <c r="U68" s="3795"/>
    </row>
    <row r="69" spans="2:21" x14ac:dyDescent="0.3">
      <c r="B69" s="3811" t="s">
        <v>1001</v>
      </c>
      <c r="C69" s="3824"/>
      <c r="D69" s="3820"/>
      <c r="E69" s="3793"/>
      <c r="F69" s="3822" t="s">
        <v>1002</v>
      </c>
      <c r="G69" s="3824">
        <v>79993</v>
      </c>
      <c r="H69" s="3816">
        <v>79993</v>
      </c>
      <c r="I69" s="4839"/>
      <c r="J69" s="4839"/>
      <c r="K69" s="3793"/>
      <c r="L69" s="3793"/>
      <c r="M69" s="3793"/>
      <c r="N69" s="3793"/>
      <c r="O69" s="3793"/>
      <c r="P69" s="3793"/>
      <c r="Q69" s="3793"/>
      <c r="R69" s="3793"/>
      <c r="T69" s="3795"/>
      <c r="U69" s="3795"/>
    </row>
    <row r="70" spans="2:21" x14ac:dyDescent="0.3">
      <c r="B70" s="3811" t="s">
        <v>1003</v>
      </c>
      <c r="C70" s="3824">
        <v>3</v>
      </c>
      <c r="D70" s="3820">
        <v>12</v>
      </c>
      <c r="E70" s="3793"/>
      <c r="F70" s="3822" t="s">
        <v>1004</v>
      </c>
      <c r="G70" s="3824">
        <v>8355</v>
      </c>
      <c r="H70" s="3816">
        <v>8355</v>
      </c>
      <c r="I70" s="4839"/>
      <c r="J70" s="4839"/>
      <c r="K70" s="3793"/>
      <c r="L70" s="3793"/>
      <c r="M70" s="3793"/>
      <c r="N70" s="3793"/>
      <c r="O70" s="3793"/>
      <c r="P70" s="3793"/>
      <c r="Q70" s="3793"/>
      <c r="R70" s="3793"/>
      <c r="T70" s="3795"/>
      <c r="U70" s="3795"/>
    </row>
    <row r="71" spans="2:21" x14ac:dyDescent="0.3">
      <c r="B71" s="3811" t="s">
        <v>1005</v>
      </c>
      <c r="C71" s="3824">
        <v>5</v>
      </c>
      <c r="D71" s="3820">
        <v>60</v>
      </c>
      <c r="E71" s="3793"/>
      <c r="F71" s="3822" t="s">
        <v>1006</v>
      </c>
      <c r="G71" s="3824">
        <v>855</v>
      </c>
      <c r="H71" s="3816">
        <v>3418</v>
      </c>
      <c r="I71" s="4839"/>
      <c r="J71" s="4839"/>
      <c r="K71" s="3793"/>
      <c r="L71" s="3793"/>
      <c r="M71" s="3793"/>
      <c r="N71" s="3793"/>
      <c r="O71" s="3793"/>
      <c r="P71" s="3793"/>
      <c r="Q71" s="3793"/>
      <c r="R71" s="3793"/>
      <c r="T71" s="3795"/>
      <c r="U71" s="3795"/>
    </row>
    <row r="72" spans="2:21" x14ac:dyDescent="0.3">
      <c r="B72" s="3811" t="s">
        <v>1007</v>
      </c>
      <c r="C72" s="3824">
        <v>2</v>
      </c>
      <c r="D72" s="3820">
        <v>17</v>
      </c>
      <c r="E72" s="3793"/>
      <c r="F72" s="3822" t="s">
        <v>1008</v>
      </c>
      <c r="G72" s="3824">
        <v>40</v>
      </c>
      <c r="H72" s="3816">
        <v>160</v>
      </c>
      <c r="I72" s="4839"/>
      <c r="J72" s="4839"/>
      <c r="K72" s="3793"/>
      <c r="L72" s="3793"/>
      <c r="M72" s="3793"/>
      <c r="N72" s="3793"/>
      <c r="O72" s="3793"/>
      <c r="P72" s="3793"/>
      <c r="Q72" s="3793"/>
      <c r="R72" s="3793"/>
      <c r="T72" s="3795"/>
      <c r="U72" s="3795"/>
    </row>
    <row r="73" spans="2:21" x14ac:dyDescent="0.3">
      <c r="B73" s="3811" t="s">
        <v>1009</v>
      </c>
      <c r="C73" s="3824">
        <v>1</v>
      </c>
      <c r="D73" s="3820">
        <v>25</v>
      </c>
      <c r="E73" s="3793"/>
      <c r="F73" s="3822" t="s">
        <v>1010</v>
      </c>
      <c r="G73" s="3824">
        <v>188</v>
      </c>
      <c r="H73" s="3816">
        <v>188</v>
      </c>
      <c r="I73" s="4839"/>
      <c r="J73" s="4839"/>
      <c r="K73" s="3793"/>
      <c r="L73" s="3793"/>
      <c r="M73" s="3793"/>
      <c r="N73" s="3793"/>
      <c r="O73" s="3793"/>
      <c r="P73" s="3793"/>
      <c r="Q73" s="3793"/>
      <c r="R73" s="3793"/>
      <c r="T73" s="3795"/>
      <c r="U73" s="3795"/>
    </row>
    <row r="74" spans="2:21" x14ac:dyDescent="0.3">
      <c r="B74" s="3811" t="s">
        <v>1011</v>
      </c>
      <c r="C74" s="3824"/>
      <c r="D74" s="3820"/>
      <c r="E74" s="3793"/>
      <c r="F74" s="3822" t="s">
        <v>1012</v>
      </c>
      <c r="G74" s="3824" t="s">
        <v>1013</v>
      </c>
      <c r="H74" s="3816">
        <v>10553</v>
      </c>
      <c r="I74" s="4839"/>
      <c r="J74" s="4839"/>
      <c r="K74" s="3793"/>
      <c r="L74" s="3793"/>
      <c r="M74" s="3793"/>
      <c r="N74" s="3793"/>
      <c r="O74" s="3793"/>
      <c r="P74" s="3793"/>
      <c r="Q74" s="3793"/>
      <c r="R74" s="3793"/>
      <c r="T74" s="3795"/>
      <c r="U74" s="3795"/>
    </row>
    <row r="75" spans="2:21" x14ac:dyDescent="0.3">
      <c r="B75" s="3811" t="s">
        <v>1014</v>
      </c>
      <c r="C75" s="3824"/>
      <c r="D75" s="3820"/>
      <c r="E75" s="3793"/>
      <c r="F75" s="3822" t="s">
        <v>1015</v>
      </c>
      <c r="G75" s="3824">
        <v>3424</v>
      </c>
      <c r="H75" s="3816">
        <v>53390</v>
      </c>
      <c r="I75" s="4839"/>
      <c r="J75" s="4839"/>
      <c r="K75" s="3793"/>
      <c r="L75" s="3793"/>
      <c r="M75" s="3793"/>
      <c r="N75" s="3793"/>
      <c r="O75" s="3793"/>
      <c r="P75" s="3793"/>
      <c r="Q75" s="3793"/>
      <c r="R75" s="3793"/>
      <c r="T75" s="3795"/>
      <c r="U75" s="3795"/>
    </row>
    <row r="76" spans="2:21" x14ac:dyDescent="0.3">
      <c r="B76" s="3811" t="s">
        <v>1016</v>
      </c>
      <c r="C76" s="3824">
        <v>2</v>
      </c>
      <c r="D76" s="3820">
        <v>26</v>
      </c>
      <c r="E76" s="3793"/>
      <c r="F76" s="3822" t="s">
        <v>1017</v>
      </c>
      <c r="G76" s="3824">
        <v>5480</v>
      </c>
      <c r="H76" s="3816">
        <v>5480</v>
      </c>
      <c r="I76" s="4839"/>
      <c r="J76" s="4839"/>
      <c r="K76" s="3793"/>
      <c r="L76" s="3793"/>
      <c r="M76" s="3793"/>
      <c r="N76" s="3793"/>
      <c r="O76" s="3793"/>
      <c r="P76" s="3793"/>
      <c r="Q76" s="3793"/>
      <c r="R76" s="3793"/>
      <c r="T76" s="3795"/>
      <c r="U76" s="3795"/>
    </row>
    <row r="77" spans="2:21" x14ac:dyDescent="0.3">
      <c r="B77" s="3811" t="s">
        <v>1018</v>
      </c>
      <c r="C77" s="3824">
        <v>1</v>
      </c>
      <c r="D77" s="3820">
        <v>70</v>
      </c>
      <c r="E77" s="3793"/>
      <c r="F77" s="3822" t="s">
        <v>1011</v>
      </c>
      <c r="G77" s="3824">
        <v>300</v>
      </c>
      <c r="H77" s="3816">
        <v>600</v>
      </c>
      <c r="I77" s="4839"/>
      <c r="J77" s="4839"/>
      <c r="K77" s="3793"/>
      <c r="L77" s="3793"/>
      <c r="M77" s="3793"/>
      <c r="N77" s="3793"/>
      <c r="O77" s="3793"/>
      <c r="P77" s="3793"/>
      <c r="Q77" s="3793"/>
      <c r="R77" s="3793"/>
      <c r="T77" s="3795"/>
      <c r="U77" s="3795"/>
    </row>
    <row r="78" spans="2:21" x14ac:dyDescent="0.3">
      <c r="B78" s="3811" t="s">
        <v>1019</v>
      </c>
      <c r="C78" s="3824"/>
      <c r="D78" s="3820"/>
      <c r="E78" s="3793"/>
      <c r="F78" s="3822" t="s">
        <v>1020</v>
      </c>
      <c r="G78" s="3824">
        <v>36</v>
      </c>
      <c r="H78" s="3816">
        <v>612</v>
      </c>
      <c r="I78" s="4839"/>
      <c r="J78" s="4839"/>
      <c r="K78" s="3793"/>
      <c r="L78" s="3793"/>
      <c r="M78" s="3793"/>
      <c r="N78" s="3793"/>
      <c r="O78" s="3793"/>
      <c r="P78" s="3793"/>
      <c r="Q78" s="3793"/>
      <c r="R78" s="3793"/>
      <c r="T78" s="3795"/>
      <c r="U78" s="3795"/>
    </row>
    <row r="79" spans="2:21" x14ac:dyDescent="0.3">
      <c r="B79" s="3811" t="s">
        <v>1021</v>
      </c>
      <c r="C79" s="3824">
        <v>1</v>
      </c>
      <c r="D79" s="3820">
        <v>36</v>
      </c>
      <c r="E79" s="3793"/>
      <c r="F79" s="3822" t="s">
        <v>1016</v>
      </c>
      <c r="G79" s="3824">
        <v>814</v>
      </c>
      <c r="H79" s="3816">
        <v>2227</v>
      </c>
      <c r="I79" s="4839"/>
      <c r="J79" s="4839"/>
      <c r="K79" s="3793"/>
      <c r="L79" s="3793"/>
      <c r="M79" s="3793"/>
      <c r="N79" s="3793"/>
      <c r="O79" s="3793"/>
      <c r="P79" s="3793"/>
      <c r="Q79" s="3793"/>
      <c r="R79" s="3793"/>
      <c r="T79" s="3795"/>
      <c r="U79" s="3795"/>
    </row>
    <row r="80" spans="2:21" x14ac:dyDescent="0.3">
      <c r="B80" s="3801" t="s">
        <v>1022</v>
      </c>
      <c r="C80" s="3802"/>
      <c r="D80" s="3803"/>
      <c r="E80" s="3793"/>
      <c r="F80" s="3822" t="s">
        <v>1023</v>
      </c>
      <c r="G80" s="3824">
        <v>80</v>
      </c>
      <c r="H80" s="3816">
        <v>1200</v>
      </c>
      <c r="I80" s="4839"/>
      <c r="J80" s="4839"/>
      <c r="K80" s="3793"/>
      <c r="L80" s="3793"/>
      <c r="M80" s="3793"/>
      <c r="N80" s="3793"/>
      <c r="O80" s="3793"/>
      <c r="P80" s="3793"/>
      <c r="Q80" s="3793"/>
      <c r="R80" s="3793"/>
      <c r="T80" s="3795"/>
      <c r="U80" s="3795"/>
    </row>
    <row r="81" spans="2:21" x14ac:dyDescent="0.3">
      <c r="B81" s="3811" t="s">
        <v>1024</v>
      </c>
      <c r="C81" s="3812">
        <v>3</v>
      </c>
      <c r="D81" s="3813">
        <v>158</v>
      </c>
      <c r="E81" s="3793"/>
      <c r="F81" s="3822" t="s">
        <v>1025</v>
      </c>
      <c r="G81" s="3824">
        <v>189</v>
      </c>
      <c r="H81" s="3816">
        <v>2693</v>
      </c>
      <c r="I81" s="4839"/>
      <c r="J81" s="4839"/>
      <c r="K81" s="3793"/>
      <c r="L81" s="3793"/>
      <c r="M81" s="3793"/>
      <c r="N81" s="3793"/>
      <c r="O81" s="3793"/>
      <c r="P81" s="3793"/>
      <c r="Q81" s="3793"/>
      <c r="R81" s="3793"/>
      <c r="T81" s="3795"/>
      <c r="U81" s="3795"/>
    </row>
    <row r="82" spans="2:21" x14ac:dyDescent="0.3">
      <c r="B82" s="3831" t="s">
        <v>279</v>
      </c>
      <c r="C82" s="3827">
        <f>SUM(C61:C81)</f>
        <v>35</v>
      </c>
      <c r="D82" s="3828">
        <f>SUM(D59:D81)</f>
        <v>2853</v>
      </c>
      <c r="E82" s="3793"/>
      <c r="F82" s="3822" t="s">
        <v>1026</v>
      </c>
      <c r="G82" s="3824">
        <v>20</v>
      </c>
      <c r="H82" s="3816">
        <v>90</v>
      </c>
      <c r="I82" s="4839"/>
      <c r="J82" s="4839"/>
      <c r="K82" s="3793"/>
      <c r="L82" s="3793"/>
      <c r="M82" s="3793"/>
      <c r="N82" s="3793"/>
      <c r="O82" s="3793"/>
      <c r="P82" s="3793"/>
      <c r="Q82" s="3793"/>
      <c r="R82" s="3793"/>
      <c r="T82" s="3795"/>
      <c r="U82" s="3795"/>
    </row>
    <row r="83" spans="2:21" x14ac:dyDescent="0.3">
      <c r="B83" s="3832" t="s">
        <v>1027</v>
      </c>
      <c r="C83" s="3833"/>
      <c r="D83" s="3834"/>
      <c r="E83" s="3793"/>
      <c r="F83" s="3804" t="s">
        <v>1028</v>
      </c>
      <c r="G83" s="3805">
        <v>80</v>
      </c>
      <c r="H83" s="3806">
        <v>2240</v>
      </c>
      <c r="I83" s="4839"/>
      <c r="J83" s="4839"/>
      <c r="K83" s="3793"/>
      <c r="L83" s="3793"/>
      <c r="M83" s="3793"/>
      <c r="N83" s="3793"/>
      <c r="O83" s="3793"/>
      <c r="P83" s="3793"/>
      <c r="Q83" s="3793"/>
      <c r="R83" s="3793"/>
      <c r="T83" s="3795"/>
      <c r="U83" s="3795"/>
    </row>
    <row r="84" spans="2:21" ht="18" x14ac:dyDescent="0.35">
      <c r="B84" s="3792"/>
      <c r="C84" s="3793"/>
      <c r="D84" s="3793"/>
      <c r="E84" s="3793"/>
      <c r="F84" s="3831" t="s">
        <v>279</v>
      </c>
      <c r="G84" s="3827">
        <f>SUM(G59:G83)</f>
        <v>101989</v>
      </c>
      <c r="H84" s="3828">
        <f>SUM(H59:H83)</f>
        <v>188226</v>
      </c>
      <c r="I84" s="4839"/>
      <c r="J84" s="4839"/>
      <c r="K84" s="3793"/>
      <c r="L84" s="3793"/>
      <c r="M84" s="3793"/>
      <c r="N84" s="3793"/>
      <c r="O84" s="3793"/>
      <c r="P84" s="3793"/>
      <c r="Q84" s="3793"/>
      <c r="R84" s="3793"/>
      <c r="T84" s="3795"/>
      <c r="U84" s="3795"/>
    </row>
    <row r="85" spans="2:21" ht="18" x14ac:dyDescent="0.35">
      <c r="B85" s="3792"/>
      <c r="C85" s="3793"/>
      <c r="D85" s="3793"/>
      <c r="E85" s="3793"/>
      <c r="F85" s="3832" t="s">
        <v>1027</v>
      </c>
      <c r="G85" s="3834"/>
      <c r="H85" s="3834"/>
      <c r="I85" s="4839"/>
      <c r="J85" s="4839"/>
      <c r="K85" s="3793"/>
      <c r="L85" s="3793"/>
      <c r="M85" s="3793"/>
      <c r="N85" s="3793"/>
      <c r="O85" s="3793"/>
      <c r="P85" s="3793"/>
      <c r="Q85" s="3793"/>
      <c r="R85" s="3793"/>
      <c r="T85" s="3795"/>
      <c r="U85" s="3795"/>
    </row>
    <row r="86" spans="2:21" ht="14.4" customHeight="1" x14ac:dyDescent="0.35">
      <c r="B86" s="3792"/>
      <c r="C86" s="3793"/>
      <c r="D86" s="3793"/>
      <c r="E86" s="3793"/>
      <c r="F86" s="3793"/>
      <c r="G86" s="3793"/>
      <c r="H86" s="3793"/>
      <c r="I86" s="4839"/>
      <c r="J86" s="4839"/>
      <c r="K86" s="3793"/>
      <c r="L86" s="3793"/>
      <c r="M86" s="3793"/>
      <c r="N86" s="3793"/>
      <c r="O86" s="3793"/>
      <c r="P86" s="3793"/>
      <c r="Q86" s="3793"/>
      <c r="R86" s="3793"/>
      <c r="T86" s="3795"/>
      <c r="U86" s="3795"/>
    </row>
    <row r="87" spans="2:21" ht="18" x14ac:dyDescent="0.35">
      <c r="B87" s="3792"/>
      <c r="C87" s="3793"/>
      <c r="D87" s="3793"/>
      <c r="E87" s="3793"/>
      <c r="F87" s="3793"/>
      <c r="G87" s="3793"/>
      <c r="H87" s="3793"/>
      <c r="I87" s="4839"/>
      <c r="J87" s="4839"/>
      <c r="K87" s="3793"/>
      <c r="L87" s="3793"/>
      <c r="M87" s="3793"/>
      <c r="N87" s="3793"/>
      <c r="O87" s="3793"/>
      <c r="P87" s="3793"/>
      <c r="Q87" s="3793"/>
      <c r="R87" s="3793"/>
      <c r="T87" s="3795"/>
      <c r="U87" s="3795"/>
    </row>
    <row r="88" spans="2:21" ht="15" customHeight="1" x14ac:dyDescent="0.3">
      <c r="B88" s="6232" t="s">
        <v>1029</v>
      </c>
      <c r="C88" s="6232"/>
      <c r="D88" s="6232"/>
      <c r="E88" s="3793"/>
      <c r="F88" s="6238" t="s">
        <v>1030</v>
      </c>
      <c r="G88" s="6238"/>
      <c r="H88" s="6238"/>
      <c r="I88" s="4839"/>
      <c r="J88" s="4839"/>
      <c r="K88" s="3793"/>
      <c r="L88" s="3793"/>
      <c r="M88" s="3793"/>
      <c r="N88" s="3793"/>
      <c r="O88" s="3793"/>
      <c r="P88" s="3793"/>
      <c r="Q88" s="3793"/>
      <c r="R88" s="3793"/>
      <c r="T88" s="3795"/>
      <c r="U88" s="3795"/>
    </row>
    <row r="89" spans="2:21" ht="15" customHeight="1" x14ac:dyDescent="0.3">
      <c r="B89" s="6234" t="s">
        <v>964</v>
      </c>
      <c r="C89" s="6235"/>
      <c r="D89" s="6236"/>
      <c r="E89" s="3793"/>
      <c r="F89" s="6234" t="s">
        <v>965</v>
      </c>
      <c r="G89" s="6235"/>
      <c r="H89" s="6236"/>
      <c r="I89" s="4839"/>
      <c r="J89" s="4839"/>
      <c r="K89" s="3793"/>
      <c r="L89" s="6233" t="s">
        <v>1031</v>
      </c>
      <c r="M89" s="6233"/>
      <c r="N89" s="6233"/>
      <c r="O89" s="6233"/>
      <c r="P89" s="3793"/>
      <c r="Q89" s="3793"/>
      <c r="R89" s="3793"/>
      <c r="T89" s="3795"/>
      <c r="U89" s="3795"/>
    </row>
    <row r="90" spans="2:21" ht="28.2" thickBot="1" x14ac:dyDescent="0.35">
      <c r="B90" s="3796" t="s">
        <v>967</v>
      </c>
      <c r="C90" s="3797" t="s">
        <v>968</v>
      </c>
      <c r="D90" s="3797" t="s">
        <v>969</v>
      </c>
      <c r="E90" s="3793"/>
      <c r="F90" s="3796" t="s">
        <v>970</v>
      </c>
      <c r="G90" s="3797" t="s">
        <v>971</v>
      </c>
      <c r="H90" s="3797" t="s">
        <v>972</v>
      </c>
      <c r="I90" s="4839"/>
      <c r="J90" s="4839"/>
      <c r="K90" s="3793"/>
      <c r="N90" s="6237" t="s">
        <v>972</v>
      </c>
      <c r="O90" s="6237"/>
      <c r="P90" s="3793"/>
      <c r="Q90" s="3793"/>
      <c r="R90" s="3793"/>
      <c r="T90" s="3795"/>
      <c r="U90" s="3795"/>
    </row>
    <row r="91" spans="2:21" ht="15" customHeight="1" thickBot="1" x14ac:dyDescent="0.35">
      <c r="B91" s="3801" t="s">
        <v>976</v>
      </c>
      <c r="C91" s="3802" t="s">
        <v>1034</v>
      </c>
      <c r="D91" s="3803">
        <v>214</v>
      </c>
      <c r="E91" s="3793"/>
      <c r="F91" s="3804" t="s">
        <v>978</v>
      </c>
      <c r="G91" s="3805">
        <v>3600</v>
      </c>
      <c r="H91" s="3806">
        <v>7500</v>
      </c>
      <c r="I91" s="4839"/>
      <c r="J91" s="4839"/>
      <c r="K91" s="3793"/>
      <c r="L91" s="3835" t="s">
        <v>970</v>
      </c>
      <c r="M91" s="3835" t="s">
        <v>973</v>
      </c>
      <c r="N91" s="3836" t="s">
        <v>1032</v>
      </c>
      <c r="O91" s="3837" t="s">
        <v>1033</v>
      </c>
      <c r="P91" s="3793"/>
      <c r="Q91" s="3793"/>
      <c r="R91" s="3793"/>
      <c r="T91" s="3795"/>
      <c r="U91" s="3795"/>
    </row>
    <row r="92" spans="2:21" ht="15" customHeight="1" x14ac:dyDescent="0.3">
      <c r="B92" s="3811" t="s">
        <v>985</v>
      </c>
      <c r="C92" s="3812">
        <v>17</v>
      </c>
      <c r="D92" s="3813">
        <v>850</v>
      </c>
      <c r="E92" s="3793"/>
      <c r="F92" s="3814" t="s">
        <v>983</v>
      </c>
      <c r="G92" s="3815">
        <v>2</v>
      </c>
      <c r="H92" s="3816">
        <v>100</v>
      </c>
      <c r="I92" s="4839"/>
      <c r="J92" s="4839"/>
      <c r="K92" s="3793"/>
      <c r="L92" s="3807" t="s">
        <v>1035</v>
      </c>
      <c r="M92" s="3808" t="s">
        <v>1036</v>
      </c>
      <c r="N92" s="3809">
        <v>8350</v>
      </c>
      <c r="O92" s="3810">
        <v>1760</v>
      </c>
      <c r="P92" s="3793"/>
      <c r="Q92" s="3793"/>
      <c r="R92" s="3793"/>
      <c r="T92" s="3795"/>
      <c r="U92" s="3795"/>
    </row>
    <row r="93" spans="2:21" ht="15" customHeight="1" x14ac:dyDescent="0.3">
      <c r="B93" s="3811" t="s">
        <v>989</v>
      </c>
      <c r="C93" s="3812">
        <v>1</v>
      </c>
      <c r="D93" s="3820">
        <v>20</v>
      </c>
      <c r="E93" s="3793"/>
      <c r="F93" s="3821" t="s">
        <v>990</v>
      </c>
      <c r="G93" s="3815">
        <v>3000</v>
      </c>
      <c r="H93" s="3816">
        <v>21053</v>
      </c>
      <c r="I93" s="4839"/>
      <c r="J93" s="4839"/>
      <c r="K93" s="3793"/>
      <c r="L93" s="3817" t="s">
        <v>979</v>
      </c>
      <c r="M93" s="3802" t="s">
        <v>980</v>
      </c>
      <c r="N93" s="3818">
        <v>5223</v>
      </c>
      <c r="O93" s="3819">
        <v>7350</v>
      </c>
      <c r="P93" s="3793"/>
      <c r="Q93" s="3793"/>
      <c r="R93" s="3793"/>
      <c r="T93" s="3795"/>
      <c r="U93" s="3795"/>
    </row>
    <row r="94" spans="2:21" ht="15" customHeight="1" x14ac:dyDescent="0.3">
      <c r="B94" s="3811" t="s">
        <v>993</v>
      </c>
      <c r="C94" s="3824">
        <v>25</v>
      </c>
      <c r="D94" s="3820">
        <v>4290</v>
      </c>
      <c r="E94" s="3793"/>
      <c r="F94" s="3825" t="s">
        <v>992</v>
      </c>
      <c r="G94" s="3824">
        <v>60</v>
      </c>
      <c r="H94" s="3816">
        <v>1100</v>
      </c>
      <c r="I94" s="4839"/>
      <c r="J94" s="4839"/>
      <c r="K94" s="3793"/>
      <c r="L94" s="3822" t="s">
        <v>984</v>
      </c>
      <c r="M94" s="3812" t="s">
        <v>980</v>
      </c>
      <c r="N94" s="3823">
        <v>7310</v>
      </c>
      <c r="O94" s="3820">
        <v>7350</v>
      </c>
      <c r="P94" s="3793"/>
      <c r="Q94" s="3793"/>
      <c r="R94" s="3793"/>
      <c r="T94" s="3795"/>
      <c r="U94" s="3795"/>
    </row>
    <row r="95" spans="2:21" ht="15" customHeight="1" x14ac:dyDescent="0.3">
      <c r="B95" s="3811" t="s">
        <v>995</v>
      </c>
      <c r="C95" s="3824">
        <v>2</v>
      </c>
      <c r="D95" s="3820">
        <v>35</v>
      </c>
      <c r="E95" s="3793"/>
      <c r="F95" s="3829" t="s">
        <v>994</v>
      </c>
      <c r="G95" s="3824">
        <v>557</v>
      </c>
      <c r="H95" s="3816">
        <v>2228</v>
      </c>
      <c r="I95" s="4839"/>
      <c r="J95" s="4839"/>
      <c r="K95" s="3793"/>
      <c r="L95" s="3838" t="s">
        <v>987</v>
      </c>
      <c r="M95" s="3812" t="s">
        <v>988</v>
      </c>
      <c r="N95" s="3823">
        <v>1600</v>
      </c>
      <c r="O95" s="3839">
        <v>7600</v>
      </c>
      <c r="P95" s="3793"/>
      <c r="Q95" s="3793"/>
      <c r="R95" s="3793"/>
      <c r="T95" s="3795"/>
      <c r="U95" s="3795"/>
    </row>
    <row r="96" spans="2:21" ht="15" customHeight="1" x14ac:dyDescent="0.3">
      <c r="B96" s="3811" t="s">
        <v>997</v>
      </c>
      <c r="C96" s="3824">
        <v>1</v>
      </c>
      <c r="D96" s="3820">
        <v>50</v>
      </c>
      <c r="E96" s="3793"/>
      <c r="F96" s="3829" t="s">
        <v>993</v>
      </c>
      <c r="G96" s="3830">
        <v>90</v>
      </c>
      <c r="H96" s="3816">
        <v>2300</v>
      </c>
      <c r="I96" s="4839"/>
      <c r="J96" s="4839"/>
      <c r="K96" s="3793"/>
      <c r="L96" s="3826" t="s">
        <v>279</v>
      </c>
      <c r="M96" s="3827">
        <v>46543</v>
      </c>
      <c r="N96" s="3827">
        <v>22483</v>
      </c>
      <c r="O96" s="3828">
        <v>24060</v>
      </c>
      <c r="P96" s="3793"/>
      <c r="Q96" s="3793"/>
      <c r="R96" s="3793"/>
      <c r="T96" s="3795"/>
      <c r="U96" s="3795"/>
    </row>
    <row r="97" spans="2:21" ht="15" customHeight="1" x14ac:dyDescent="0.3">
      <c r="B97" s="3811" t="s">
        <v>998</v>
      </c>
      <c r="C97" s="3824">
        <v>9</v>
      </c>
      <c r="D97" s="3820">
        <v>1710</v>
      </c>
      <c r="E97" s="3793"/>
      <c r="F97" s="3829" t="s">
        <v>999</v>
      </c>
      <c r="G97" s="3830">
        <v>294</v>
      </c>
      <c r="H97" s="3816">
        <v>8496</v>
      </c>
      <c r="I97" s="4839"/>
      <c r="J97" s="4839"/>
      <c r="K97" s="3793"/>
      <c r="M97" s="3793"/>
      <c r="N97" s="3793"/>
      <c r="O97" s="3793"/>
      <c r="P97" s="3793"/>
      <c r="Q97" s="3793"/>
      <c r="R97" s="3793"/>
      <c r="T97" s="3795"/>
      <c r="U97" s="3795"/>
    </row>
    <row r="98" spans="2:21" ht="15" customHeight="1" x14ac:dyDescent="0.3">
      <c r="B98" s="3811" t="s">
        <v>999</v>
      </c>
      <c r="C98" s="3824">
        <v>6</v>
      </c>
      <c r="D98" s="3820">
        <v>800</v>
      </c>
      <c r="E98" s="3793"/>
      <c r="F98" s="3829" t="s">
        <v>1002</v>
      </c>
      <c r="G98" s="3830">
        <v>180684</v>
      </c>
      <c r="H98" s="3816">
        <v>180684</v>
      </c>
      <c r="I98" s="4839"/>
      <c r="J98" s="4839"/>
      <c r="K98" s="3793"/>
      <c r="L98" s="3793"/>
      <c r="M98" s="3793"/>
      <c r="N98" s="3793"/>
      <c r="O98" s="3793"/>
      <c r="P98" s="3793"/>
      <c r="Q98" s="3793"/>
      <c r="R98" s="3793"/>
      <c r="T98" s="3795"/>
      <c r="U98" s="3795"/>
    </row>
    <row r="99" spans="2:21" ht="15" customHeight="1" x14ac:dyDescent="0.3">
      <c r="B99" s="3811" t="s">
        <v>1001</v>
      </c>
      <c r="C99" s="3824">
        <v>1</v>
      </c>
      <c r="D99" s="3820">
        <v>70</v>
      </c>
      <c r="E99" s="3793"/>
      <c r="F99" s="3822" t="s">
        <v>1004</v>
      </c>
      <c r="G99" s="3824">
        <v>22165</v>
      </c>
      <c r="H99" s="3816">
        <v>22165</v>
      </c>
      <c r="I99" s="4839"/>
      <c r="J99" s="4839"/>
      <c r="K99" s="3793"/>
      <c r="L99" s="3793"/>
      <c r="M99" s="3793"/>
      <c r="N99" s="3793"/>
      <c r="O99" s="3793"/>
      <c r="P99" s="3793"/>
      <c r="Q99" s="3793"/>
      <c r="R99" s="3793"/>
      <c r="T99" s="3795"/>
      <c r="U99" s="3795"/>
    </row>
    <row r="100" spans="2:21" ht="15" customHeight="1" x14ac:dyDescent="0.3">
      <c r="B100" s="3811" t="s">
        <v>1003</v>
      </c>
      <c r="C100" s="3824">
        <v>5</v>
      </c>
      <c r="D100" s="3820">
        <v>60</v>
      </c>
      <c r="E100" s="3793"/>
      <c r="F100" s="3825" t="s">
        <v>1006</v>
      </c>
      <c r="G100" s="3824">
        <v>1368</v>
      </c>
      <c r="H100" s="3816">
        <v>7527</v>
      </c>
      <c r="I100" s="4839"/>
      <c r="J100" s="4839"/>
      <c r="K100" s="3793"/>
      <c r="L100" s="3793"/>
      <c r="M100" s="3793"/>
      <c r="N100" s="3793"/>
      <c r="O100" s="3793"/>
      <c r="P100" s="3793"/>
      <c r="Q100" s="3793"/>
      <c r="R100" s="3793"/>
      <c r="T100" s="3795"/>
      <c r="U100" s="3795"/>
    </row>
    <row r="101" spans="2:21" ht="15" customHeight="1" x14ac:dyDescent="0.3">
      <c r="B101" s="3811" t="s">
        <v>1005</v>
      </c>
      <c r="C101" s="3824">
        <v>4</v>
      </c>
      <c r="D101" s="3820">
        <v>113</v>
      </c>
      <c r="E101" s="3793"/>
      <c r="F101" s="3822" t="s">
        <v>1008</v>
      </c>
      <c r="G101" s="3824">
        <v>50</v>
      </c>
      <c r="H101" s="3816">
        <v>500</v>
      </c>
      <c r="I101" s="4839"/>
      <c r="J101" s="4839"/>
      <c r="K101" s="3793"/>
      <c r="L101" s="3793"/>
      <c r="M101" s="3793"/>
      <c r="N101" s="3793"/>
      <c r="O101" s="3793"/>
      <c r="P101" s="3793"/>
      <c r="Q101" s="3793"/>
      <c r="R101" s="3793"/>
      <c r="T101" s="3795"/>
      <c r="U101" s="3795"/>
    </row>
    <row r="102" spans="2:21" ht="15" customHeight="1" x14ac:dyDescent="0.3">
      <c r="B102" s="3811" t="s">
        <v>1007</v>
      </c>
      <c r="C102" s="3824">
        <v>4</v>
      </c>
      <c r="D102" s="3820">
        <v>60</v>
      </c>
      <c r="E102" s="3793"/>
      <c r="F102" s="3822" t="s">
        <v>1037</v>
      </c>
      <c r="G102" s="3824">
        <v>1453</v>
      </c>
      <c r="H102" s="3816">
        <v>1453</v>
      </c>
      <c r="I102" s="4839"/>
      <c r="J102" s="4839"/>
      <c r="K102" s="3793"/>
      <c r="L102" s="3793"/>
      <c r="M102" s="3793"/>
      <c r="N102" s="3793"/>
      <c r="O102" s="3793"/>
      <c r="P102" s="3793"/>
      <c r="Q102" s="3793"/>
      <c r="R102" s="3793"/>
      <c r="T102" s="3795"/>
      <c r="U102" s="3795"/>
    </row>
    <row r="103" spans="2:21" ht="15" customHeight="1" x14ac:dyDescent="0.3">
      <c r="B103" s="3811" t="s">
        <v>1011</v>
      </c>
      <c r="C103" s="3824">
        <v>1</v>
      </c>
      <c r="D103" s="3820">
        <v>20</v>
      </c>
      <c r="E103" s="3793"/>
      <c r="F103" s="3822" t="s">
        <v>1010</v>
      </c>
      <c r="G103" s="3824">
        <v>1370</v>
      </c>
      <c r="H103" s="3816">
        <v>1370</v>
      </c>
      <c r="I103" s="4839"/>
      <c r="J103" s="4839"/>
      <c r="K103" s="3793"/>
      <c r="L103" s="3793"/>
      <c r="M103" s="3793"/>
      <c r="N103" s="3793"/>
      <c r="O103" s="3793"/>
      <c r="P103" s="3793"/>
      <c r="Q103" s="3793"/>
      <c r="R103" s="3793"/>
      <c r="T103" s="3795"/>
      <c r="U103" s="3795"/>
    </row>
    <row r="104" spans="2:21" ht="15" customHeight="1" x14ac:dyDescent="0.3">
      <c r="B104" s="3811" t="s">
        <v>1014</v>
      </c>
      <c r="C104" s="3824">
        <v>1</v>
      </c>
      <c r="D104" s="3820">
        <v>16</v>
      </c>
      <c r="E104" s="3793"/>
      <c r="F104" s="3822" t="s">
        <v>1012</v>
      </c>
      <c r="G104" s="3824">
        <v>16153</v>
      </c>
      <c r="H104" s="3816">
        <v>16153</v>
      </c>
      <c r="I104" s="4839"/>
      <c r="J104" s="4839"/>
      <c r="K104" s="3793"/>
      <c r="L104" s="3793"/>
      <c r="M104" s="3793"/>
      <c r="N104" s="3793"/>
      <c r="O104" s="3793"/>
      <c r="P104" s="3793"/>
      <c r="Q104" s="3793"/>
      <c r="R104" s="3793"/>
      <c r="T104" s="3795"/>
      <c r="U104" s="3795"/>
    </row>
    <row r="105" spans="2:21" ht="15" customHeight="1" x14ac:dyDescent="0.3">
      <c r="B105" s="3811" t="s">
        <v>1016</v>
      </c>
      <c r="C105" s="3824">
        <v>14</v>
      </c>
      <c r="D105" s="3820">
        <v>240</v>
      </c>
      <c r="E105" s="3793"/>
      <c r="F105" s="3822" t="s">
        <v>1015</v>
      </c>
      <c r="G105" s="3824">
        <v>4660</v>
      </c>
      <c r="H105" s="3816">
        <v>65240</v>
      </c>
      <c r="I105" s="4839"/>
      <c r="J105" s="4839"/>
      <c r="K105" s="3793"/>
      <c r="L105" s="3793"/>
      <c r="M105" s="3793"/>
      <c r="N105" s="3793"/>
      <c r="O105" s="3793"/>
      <c r="P105" s="3793"/>
      <c r="Q105" s="3793"/>
      <c r="R105" s="3793"/>
      <c r="T105" s="3795"/>
      <c r="U105" s="3795"/>
    </row>
    <row r="106" spans="2:21" ht="15" customHeight="1" x14ac:dyDescent="0.3">
      <c r="B106" s="3811" t="s">
        <v>1018</v>
      </c>
      <c r="C106" s="3824">
        <v>2</v>
      </c>
      <c r="D106" s="3820">
        <v>87</v>
      </c>
      <c r="E106" s="3793"/>
      <c r="F106" s="3822" t="s">
        <v>1017</v>
      </c>
      <c r="G106" s="3824">
        <v>5900</v>
      </c>
      <c r="H106" s="3816">
        <v>11800</v>
      </c>
      <c r="I106" s="4839"/>
      <c r="J106" s="4839"/>
      <c r="K106" s="3793"/>
      <c r="L106" s="3793"/>
      <c r="M106" s="3793"/>
      <c r="N106" s="3793"/>
      <c r="O106" s="3793"/>
      <c r="P106" s="3793"/>
      <c r="Q106" s="3793"/>
      <c r="R106" s="3793"/>
      <c r="T106" s="3795"/>
      <c r="U106" s="3795"/>
    </row>
    <row r="107" spans="2:21" ht="15" customHeight="1" x14ac:dyDescent="0.3">
      <c r="B107" s="3811" t="s">
        <v>1019</v>
      </c>
      <c r="C107" s="3824">
        <v>26</v>
      </c>
      <c r="D107" s="3820">
        <v>371</v>
      </c>
      <c r="E107" s="3793"/>
      <c r="F107" s="3822" t="s">
        <v>1011</v>
      </c>
      <c r="G107" s="3824">
        <v>1068</v>
      </c>
      <c r="H107" s="3816">
        <v>2136</v>
      </c>
      <c r="I107" s="4839"/>
      <c r="J107" s="4839"/>
      <c r="K107" s="3793"/>
      <c r="L107" s="3793"/>
      <c r="M107" s="3793"/>
      <c r="N107" s="3793"/>
      <c r="O107" s="3793"/>
      <c r="P107" s="3793"/>
      <c r="Q107" s="3793"/>
      <c r="R107" s="3793"/>
      <c r="T107" s="3795"/>
      <c r="U107" s="3795"/>
    </row>
    <row r="108" spans="2:21" ht="15" customHeight="1" x14ac:dyDescent="0.3">
      <c r="B108" s="3811" t="s">
        <v>1021</v>
      </c>
      <c r="C108" s="3824">
        <v>4</v>
      </c>
      <c r="D108" s="3820">
        <v>59</v>
      </c>
      <c r="E108" s="3793"/>
      <c r="F108" s="3822" t="s">
        <v>1020</v>
      </c>
      <c r="G108" s="3824">
        <v>160</v>
      </c>
      <c r="H108" s="3816">
        <v>2758</v>
      </c>
      <c r="I108" s="4839"/>
      <c r="J108" s="4839"/>
      <c r="K108" s="3793"/>
      <c r="L108" s="3793"/>
      <c r="M108" s="3793"/>
      <c r="N108" s="3793"/>
      <c r="O108" s="3793"/>
      <c r="P108" s="3793"/>
      <c r="Q108" s="3793"/>
      <c r="R108" s="3793"/>
      <c r="T108" s="3795"/>
      <c r="U108" s="3795"/>
    </row>
    <row r="109" spans="2:21" ht="15" customHeight="1" x14ac:dyDescent="0.3">
      <c r="B109" s="3811" t="s">
        <v>1022</v>
      </c>
      <c r="C109" s="3824">
        <v>3</v>
      </c>
      <c r="D109" s="3820">
        <v>15</v>
      </c>
      <c r="E109" s="3793"/>
      <c r="F109" s="3822" t="s">
        <v>1016</v>
      </c>
      <c r="G109" s="3824">
        <v>2087</v>
      </c>
      <c r="H109" s="3816">
        <v>8975</v>
      </c>
      <c r="I109" s="4839"/>
      <c r="J109" s="4839"/>
      <c r="K109" s="3793"/>
      <c r="L109" s="3793"/>
      <c r="M109" s="3793"/>
      <c r="N109" s="3793"/>
      <c r="O109" s="3793"/>
      <c r="P109" s="3793"/>
      <c r="Q109" s="3793"/>
      <c r="R109" s="3793"/>
      <c r="T109" s="3795"/>
      <c r="U109" s="3795"/>
    </row>
    <row r="110" spans="2:21" ht="15" customHeight="1" x14ac:dyDescent="0.3">
      <c r="B110" s="3811" t="s">
        <v>1024</v>
      </c>
      <c r="C110" s="3824">
        <v>13</v>
      </c>
      <c r="D110" s="3820">
        <v>741</v>
      </c>
      <c r="E110" s="3793"/>
      <c r="F110" s="3822" t="s">
        <v>1023</v>
      </c>
      <c r="G110" s="3824">
        <v>373</v>
      </c>
      <c r="H110" s="3816">
        <v>6564</v>
      </c>
      <c r="I110" s="4839"/>
      <c r="J110" s="4839"/>
      <c r="K110" s="3793"/>
      <c r="L110" s="3793"/>
      <c r="M110" s="3793"/>
      <c r="N110" s="3793"/>
      <c r="O110" s="3793"/>
      <c r="P110" s="3793"/>
      <c r="Q110" s="3793"/>
      <c r="R110" s="3793"/>
      <c r="T110" s="3795"/>
      <c r="U110" s="3795"/>
    </row>
    <row r="111" spans="2:21" ht="15" customHeight="1" x14ac:dyDescent="0.3">
      <c r="B111" s="3831" t="s">
        <v>279</v>
      </c>
      <c r="C111" s="3827">
        <f>SUM(C92:C110)</f>
        <v>139</v>
      </c>
      <c r="D111" s="3828">
        <f>SUM(D91:D110)</f>
        <v>9821</v>
      </c>
      <c r="E111" s="3793"/>
      <c r="F111" s="3822" t="s">
        <v>1025</v>
      </c>
      <c r="G111" s="3824">
        <v>520</v>
      </c>
      <c r="H111" s="3816">
        <v>11116</v>
      </c>
      <c r="I111" s="4839"/>
      <c r="J111" s="4839"/>
      <c r="K111" s="3793"/>
      <c r="L111" s="3793"/>
      <c r="M111" s="3793"/>
      <c r="N111" s="3793"/>
      <c r="O111" s="3793"/>
      <c r="P111" s="3793"/>
      <c r="Q111" s="3793"/>
      <c r="R111" s="3793"/>
      <c r="T111" s="3795"/>
      <c r="U111" s="3795"/>
    </row>
    <row r="112" spans="2:21" ht="15" customHeight="1" x14ac:dyDescent="0.3">
      <c r="B112" s="3840" t="s">
        <v>1027</v>
      </c>
      <c r="E112" s="3793"/>
      <c r="F112" s="3822" t="s">
        <v>1026</v>
      </c>
      <c r="G112" s="3824">
        <v>360</v>
      </c>
      <c r="H112" s="3816">
        <v>4320</v>
      </c>
      <c r="I112" s="4839"/>
      <c r="J112" s="4839"/>
      <c r="K112" s="3793"/>
      <c r="L112" s="3793"/>
      <c r="M112" s="3793"/>
      <c r="N112" s="3793"/>
      <c r="O112" s="3793"/>
      <c r="P112" s="3793"/>
      <c r="Q112" s="3793"/>
      <c r="R112" s="3793"/>
      <c r="T112" s="3795"/>
      <c r="U112" s="3795"/>
    </row>
    <row r="113" spans="2:21" ht="15" customHeight="1" x14ac:dyDescent="0.3">
      <c r="B113" s="3841"/>
      <c r="C113" s="3841"/>
      <c r="D113" s="3841"/>
      <c r="E113" s="3793"/>
      <c r="F113" s="3821" t="s">
        <v>1028</v>
      </c>
      <c r="G113" s="3842">
        <v>80</v>
      </c>
      <c r="H113" s="3816">
        <v>2800</v>
      </c>
      <c r="I113" s="4839"/>
      <c r="J113" s="4839"/>
      <c r="K113" s="3793"/>
      <c r="L113" s="3793"/>
      <c r="M113" s="3793"/>
      <c r="N113" s="3793"/>
      <c r="O113" s="3793"/>
      <c r="P113" s="3793"/>
      <c r="Q113" s="3793"/>
      <c r="R113" s="3793"/>
      <c r="T113" s="3795"/>
      <c r="U113" s="3795"/>
    </row>
    <row r="114" spans="2:21" ht="15" customHeight="1" x14ac:dyDescent="0.3">
      <c r="B114" s="3841"/>
      <c r="C114" s="3841"/>
      <c r="D114" s="3841"/>
      <c r="E114" s="3793"/>
      <c r="F114" s="3831" t="s">
        <v>279</v>
      </c>
      <c r="G114" s="3827">
        <f>SUM(G91:G113)</f>
        <v>246054</v>
      </c>
      <c r="H114" s="3828">
        <f>SUM(H91:H113)</f>
        <v>388338</v>
      </c>
      <c r="I114" s="4839"/>
      <c r="J114" s="4839"/>
      <c r="K114" s="3793"/>
      <c r="L114" s="3793"/>
      <c r="M114" s="3793"/>
      <c r="N114" s="3793"/>
      <c r="O114" s="3793"/>
      <c r="P114" s="3793"/>
      <c r="Q114" s="3793"/>
      <c r="R114" s="3793"/>
      <c r="T114" s="3795"/>
      <c r="U114" s="3795"/>
    </row>
    <row r="115" spans="2:21" ht="15" customHeight="1" x14ac:dyDescent="0.35">
      <c r="B115" s="3792"/>
      <c r="C115" s="3793"/>
      <c r="D115" s="3793"/>
      <c r="E115" s="3793"/>
      <c r="F115" s="3793"/>
      <c r="G115" s="3793"/>
      <c r="H115" s="3793"/>
      <c r="I115" s="4839"/>
      <c r="J115" s="4839"/>
      <c r="K115" s="3793"/>
      <c r="L115" s="3793"/>
      <c r="M115" s="3793"/>
      <c r="N115" s="3793"/>
      <c r="O115" s="3793"/>
      <c r="P115" s="3793"/>
      <c r="Q115" s="3793"/>
      <c r="R115" s="3793"/>
      <c r="T115" s="3795"/>
      <c r="U115" s="3795"/>
    </row>
    <row r="116" spans="2:21" ht="15" customHeight="1" x14ac:dyDescent="0.35">
      <c r="B116" s="3792"/>
      <c r="C116" s="3793"/>
      <c r="D116" s="3793"/>
      <c r="E116" s="3793"/>
      <c r="F116" s="3793"/>
      <c r="G116" s="3793"/>
      <c r="H116" s="3793"/>
      <c r="I116" s="4839"/>
      <c r="J116" s="4839"/>
      <c r="K116" s="3793"/>
      <c r="L116" s="3793"/>
      <c r="M116" s="3793"/>
      <c r="N116" s="3793"/>
      <c r="O116" s="3793"/>
      <c r="P116" s="3793"/>
      <c r="Q116" s="3793"/>
      <c r="R116" s="3793"/>
      <c r="T116" s="3795"/>
      <c r="U116" s="3795"/>
    </row>
    <row r="117" spans="2:21" ht="20.100000000000001" customHeight="1" x14ac:dyDescent="0.3">
      <c r="B117" s="6238" t="s">
        <v>1038</v>
      </c>
      <c r="C117" s="6239"/>
      <c r="D117" s="6240"/>
      <c r="E117" s="3793"/>
      <c r="F117" s="6238" t="s">
        <v>1039</v>
      </c>
      <c r="G117" s="6239"/>
      <c r="H117" s="6240"/>
      <c r="I117" s="4839"/>
      <c r="J117" s="4839"/>
      <c r="K117" s="3793"/>
      <c r="L117" s="3793"/>
      <c r="M117" s="3793"/>
      <c r="N117" s="3793"/>
      <c r="O117" s="3793"/>
      <c r="P117" s="3793"/>
      <c r="Q117" s="3793"/>
      <c r="R117" s="3793"/>
      <c r="T117" s="3795"/>
      <c r="U117" s="3795"/>
    </row>
    <row r="118" spans="2:21" x14ac:dyDescent="0.3">
      <c r="B118" s="6234" t="s">
        <v>964</v>
      </c>
      <c r="C118" s="6235"/>
      <c r="D118" s="6236"/>
      <c r="E118" s="3793"/>
      <c r="F118" s="6234" t="s">
        <v>965</v>
      </c>
      <c r="G118" s="6235"/>
      <c r="H118" s="6236"/>
      <c r="I118" s="4839"/>
      <c r="J118" s="4839"/>
      <c r="K118" s="3793"/>
      <c r="L118" s="3793"/>
      <c r="M118" s="3793"/>
      <c r="N118" s="3793"/>
      <c r="O118" s="3793"/>
      <c r="P118" s="3793"/>
      <c r="Q118" s="3793"/>
      <c r="R118" s="3793"/>
      <c r="T118" s="3795"/>
      <c r="U118" s="3795"/>
    </row>
    <row r="119" spans="2:21" ht="28.2" thickBot="1" x14ac:dyDescent="0.35">
      <c r="B119" s="3796" t="s">
        <v>967</v>
      </c>
      <c r="C119" s="3797" t="s">
        <v>968</v>
      </c>
      <c r="D119" s="3797" t="s">
        <v>969</v>
      </c>
      <c r="E119" s="3843"/>
      <c r="F119" s="3796" t="s">
        <v>970</v>
      </c>
      <c r="G119" s="3797" t="s">
        <v>971</v>
      </c>
      <c r="H119" s="3797" t="s">
        <v>972</v>
      </c>
      <c r="I119" s="4839"/>
      <c r="J119" s="4839"/>
      <c r="K119" s="3793"/>
      <c r="L119" s="6233" t="s">
        <v>1040</v>
      </c>
      <c r="M119" s="6233"/>
      <c r="N119" s="6233"/>
      <c r="O119" s="6233"/>
      <c r="P119" s="3793"/>
      <c r="Q119" s="3793"/>
      <c r="R119" s="3793"/>
      <c r="T119" s="3795"/>
      <c r="U119" s="3795"/>
    </row>
    <row r="120" spans="2:21" ht="19.5" customHeight="1" x14ac:dyDescent="0.3">
      <c r="B120" s="3801" t="s">
        <v>976</v>
      </c>
      <c r="C120" s="3802" t="s">
        <v>1041</v>
      </c>
      <c r="D120" s="3803">
        <v>306</v>
      </c>
      <c r="E120" s="3793"/>
      <c r="F120" s="3804" t="s">
        <v>978</v>
      </c>
      <c r="G120" s="3805">
        <v>5006</v>
      </c>
      <c r="H120" s="3806">
        <v>10013</v>
      </c>
      <c r="I120" s="4839"/>
      <c r="J120" s="4839"/>
      <c r="K120" s="3793"/>
      <c r="N120" s="6237" t="s">
        <v>972</v>
      </c>
      <c r="O120" s="6237"/>
      <c r="P120" s="3793"/>
      <c r="Q120" s="3793"/>
      <c r="R120" s="3793"/>
      <c r="T120" s="3795"/>
      <c r="U120" s="3795"/>
    </row>
    <row r="121" spans="2:21" ht="15" thickBot="1" x14ac:dyDescent="0.35">
      <c r="B121" s="3811" t="s">
        <v>985</v>
      </c>
      <c r="C121" s="3812">
        <v>20</v>
      </c>
      <c r="D121" s="3813">
        <v>1157</v>
      </c>
      <c r="E121" s="3793"/>
      <c r="F121" s="3814" t="s">
        <v>983</v>
      </c>
      <c r="G121" s="3815">
        <v>2</v>
      </c>
      <c r="H121" s="3816">
        <v>44</v>
      </c>
      <c r="I121" s="4839"/>
      <c r="J121" s="4839"/>
      <c r="K121" s="3793"/>
      <c r="L121" s="3835" t="s">
        <v>970</v>
      </c>
      <c r="M121" s="3835" t="s">
        <v>973</v>
      </c>
      <c r="N121" s="3836" t="s">
        <v>1032</v>
      </c>
      <c r="O121" s="3837" t="s">
        <v>1033</v>
      </c>
      <c r="P121" s="3793"/>
      <c r="Q121" s="3793"/>
      <c r="R121" s="3793"/>
      <c r="T121" s="3795"/>
      <c r="U121" s="3795"/>
    </row>
    <row r="122" spans="2:21" ht="27.6" x14ac:dyDescent="0.3">
      <c r="B122" s="3811" t="s">
        <v>989</v>
      </c>
      <c r="C122" s="3812">
        <v>1</v>
      </c>
      <c r="D122" s="3820">
        <v>20</v>
      </c>
      <c r="E122" s="3793"/>
      <c r="F122" s="3821" t="s">
        <v>990</v>
      </c>
      <c r="G122" s="3815">
        <v>4481</v>
      </c>
      <c r="H122" s="3816">
        <v>27078</v>
      </c>
      <c r="I122" s="4839"/>
      <c r="J122" s="4839"/>
      <c r="K122" s="3793"/>
      <c r="L122" s="3807" t="s">
        <v>979</v>
      </c>
      <c r="M122" s="3808" t="s">
        <v>980</v>
      </c>
      <c r="N122" s="3809">
        <v>4819</v>
      </c>
      <c r="O122" s="3844">
        <v>7850</v>
      </c>
      <c r="P122" s="3793"/>
      <c r="Q122" s="3793"/>
      <c r="R122" s="3793"/>
      <c r="T122" s="3795"/>
      <c r="U122" s="3795"/>
    </row>
    <row r="123" spans="2:21" x14ac:dyDescent="0.3">
      <c r="B123" s="3811" t="s">
        <v>993</v>
      </c>
      <c r="C123" s="3824">
        <v>33</v>
      </c>
      <c r="D123" s="3820">
        <v>5670</v>
      </c>
      <c r="E123" s="3793"/>
      <c r="F123" s="3825" t="s">
        <v>992</v>
      </c>
      <c r="G123" s="3824">
        <v>90</v>
      </c>
      <c r="H123" s="3816">
        <v>1620</v>
      </c>
      <c r="I123" s="4839"/>
      <c r="J123" s="4839"/>
      <c r="K123" s="3793"/>
      <c r="L123" s="3822" t="s">
        <v>984</v>
      </c>
      <c r="M123" s="3812" t="s">
        <v>980</v>
      </c>
      <c r="N123" s="3823">
        <v>6335</v>
      </c>
      <c r="O123" s="3845">
        <v>7850</v>
      </c>
      <c r="P123" s="3793"/>
      <c r="Q123" s="3793"/>
      <c r="R123" s="3793"/>
      <c r="T123" s="3795"/>
      <c r="U123" s="3795"/>
    </row>
    <row r="124" spans="2:21" x14ac:dyDescent="0.3">
      <c r="B124" s="3811" t="s">
        <v>995</v>
      </c>
      <c r="C124" s="3824">
        <v>2</v>
      </c>
      <c r="D124" s="3820">
        <v>35</v>
      </c>
      <c r="E124" s="3793"/>
      <c r="F124" s="3829" t="s">
        <v>994</v>
      </c>
      <c r="G124" s="3824">
        <v>1157</v>
      </c>
      <c r="H124" s="3816">
        <v>4627</v>
      </c>
      <c r="I124" s="4839"/>
      <c r="J124" s="4839"/>
      <c r="K124" s="3793"/>
      <c r="L124" s="3838" t="s">
        <v>987</v>
      </c>
      <c r="M124" s="3812" t="s">
        <v>988</v>
      </c>
      <c r="N124" s="3823">
        <v>1600</v>
      </c>
      <c r="O124" s="3846">
        <v>9605</v>
      </c>
      <c r="P124" s="3793"/>
      <c r="Q124" s="3793"/>
      <c r="R124" s="3793"/>
      <c r="T124" s="3795"/>
      <c r="U124" s="3795"/>
    </row>
    <row r="125" spans="2:21" x14ac:dyDescent="0.3">
      <c r="B125" s="3811" t="s">
        <v>997</v>
      </c>
      <c r="C125" s="3824">
        <v>1</v>
      </c>
      <c r="D125" s="3820">
        <v>50</v>
      </c>
      <c r="E125" s="3793"/>
      <c r="F125" s="3829" t="s">
        <v>993</v>
      </c>
      <c r="G125" s="3830">
        <v>135</v>
      </c>
      <c r="H125" s="3816">
        <v>3500</v>
      </c>
      <c r="I125" s="4839"/>
      <c r="J125" s="4839"/>
      <c r="K125" s="3793"/>
      <c r="L125" s="3826" t="s">
        <v>279</v>
      </c>
      <c r="M125" s="3827">
        <v>38059</v>
      </c>
      <c r="N125" s="3827">
        <v>12754</v>
      </c>
      <c r="O125" s="3828">
        <v>25305</v>
      </c>
      <c r="P125" s="3793"/>
      <c r="Q125" s="3793"/>
      <c r="R125" s="3793"/>
      <c r="T125" s="3795"/>
      <c r="U125" s="3795"/>
    </row>
    <row r="126" spans="2:21" x14ac:dyDescent="0.3">
      <c r="B126" s="3811" t="s">
        <v>998</v>
      </c>
      <c r="C126" s="3824">
        <v>12</v>
      </c>
      <c r="D126" s="3820">
        <v>2282</v>
      </c>
      <c r="E126" s="3793"/>
      <c r="F126" s="3829" t="s">
        <v>999</v>
      </c>
      <c r="G126" s="3830">
        <v>442</v>
      </c>
      <c r="H126" s="3816">
        <v>13419</v>
      </c>
      <c r="I126" s="4839"/>
      <c r="J126" s="4839"/>
      <c r="K126" s="3793"/>
      <c r="M126" s="3793"/>
      <c r="N126" s="3793"/>
      <c r="O126" s="3793"/>
      <c r="P126" s="3793"/>
      <c r="Q126" s="3793"/>
      <c r="R126" s="3793"/>
      <c r="T126" s="3795"/>
      <c r="U126" s="3795"/>
    </row>
    <row r="127" spans="2:21" x14ac:dyDescent="0.3">
      <c r="B127" s="3811" t="s">
        <v>999</v>
      </c>
      <c r="C127" s="3824">
        <v>6</v>
      </c>
      <c r="D127" s="3820">
        <v>1500</v>
      </c>
      <c r="E127" s="3793"/>
      <c r="F127" s="3829" t="s">
        <v>1002</v>
      </c>
      <c r="G127" s="3830">
        <v>249300</v>
      </c>
      <c r="H127" s="3816">
        <v>249300</v>
      </c>
      <c r="I127" s="4839"/>
      <c r="J127" s="4839"/>
      <c r="K127" s="3793"/>
      <c r="L127" s="3793"/>
      <c r="M127" s="3793"/>
      <c r="N127" s="3793"/>
      <c r="O127" s="3793"/>
      <c r="P127" s="3793"/>
      <c r="Q127" s="3793"/>
      <c r="R127" s="3793"/>
      <c r="T127" s="3795"/>
      <c r="U127" s="3795"/>
    </row>
    <row r="128" spans="2:21" x14ac:dyDescent="0.3">
      <c r="B128" s="3811" t="s">
        <v>1001</v>
      </c>
      <c r="C128" s="3824">
        <v>2</v>
      </c>
      <c r="D128" s="3820">
        <v>50</v>
      </c>
      <c r="E128" s="3793"/>
      <c r="F128" s="3822" t="s">
        <v>1004</v>
      </c>
      <c r="G128" s="3824">
        <v>34608</v>
      </c>
      <c r="H128" s="3816">
        <v>34608</v>
      </c>
      <c r="I128" s="4839"/>
      <c r="J128" s="4839"/>
      <c r="K128" s="3793"/>
      <c r="L128" s="3793"/>
      <c r="M128" s="3793"/>
      <c r="N128" s="3793"/>
      <c r="O128" s="3793"/>
      <c r="P128" s="3793"/>
      <c r="Q128" s="3793"/>
      <c r="R128" s="3793"/>
      <c r="T128" s="3795"/>
      <c r="U128" s="3795"/>
    </row>
    <row r="129" spans="2:21" x14ac:dyDescent="0.3">
      <c r="B129" s="3811" t="s">
        <v>1003</v>
      </c>
      <c r="C129" s="3824">
        <v>9</v>
      </c>
      <c r="D129" s="3820">
        <v>136</v>
      </c>
      <c r="E129" s="3793"/>
      <c r="F129" s="3825" t="s">
        <v>1006</v>
      </c>
      <c r="G129" s="3824">
        <v>2053</v>
      </c>
      <c r="H129" s="3816">
        <v>11373</v>
      </c>
      <c r="I129" s="4839"/>
      <c r="J129" s="4839"/>
      <c r="K129" s="3793"/>
      <c r="L129" s="3793"/>
      <c r="M129" s="3793"/>
      <c r="N129" s="3793"/>
      <c r="O129" s="3793"/>
      <c r="P129" s="3793"/>
      <c r="Q129" s="3793"/>
      <c r="R129" s="3793"/>
      <c r="T129" s="3795"/>
      <c r="U129" s="3795"/>
    </row>
    <row r="130" spans="2:21" x14ac:dyDescent="0.3">
      <c r="B130" s="3811" t="s">
        <v>1005</v>
      </c>
      <c r="C130" s="3824">
        <v>15</v>
      </c>
      <c r="D130" s="3820">
        <v>328</v>
      </c>
      <c r="E130" s="3793"/>
      <c r="F130" s="3822" t="s">
        <v>1008</v>
      </c>
      <c r="G130" s="3824">
        <v>72</v>
      </c>
      <c r="H130" s="3816">
        <v>720</v>
      </c>
      <c r="I130" s="4839"/>
      <c r="J130" s="4839"/>
      <c r="K130" s="3793"/>
      <c r="L130" s="3793"/>
      <c r="M130" s="3793"/>
      <c r="N130" s="3793"/>
      <c r="O130" s="3793"/>
      <c r="P130" s="3793"/>
      <c r="Q130" s="3793"/>
      <c r="R130" s="3793"/>
      <c r="T130" s="3795"/>
      <c r="U130" s="3795"/>
    </row>
    <row r="131" spans="2:21" x14ac:dyDescent="0.3">
      <c r="B131" s="3811" t="s">
        <v>1007</v>
      </c>
      <c r="C131" s="3824">
        <v>4</v>
      </c>
      <c r="D131" s="3820">
        <v>80</v>
      </c>
      <c r="E131" s="3793"/>
      <c r="F131" s="3822" t="s">
        <v>1042</v>
      </c>
      <c r="G131" s="3824">
        <v>72</v>
      </c>
      <c r="H131" s="3816">
        <v>1440</v>
      </c>
      <c r="I131" s="4839"/>
      <c r="J131" s="4839"/>
      <c r="K131" s="3793"/>
      <c r="L131" s="3793"/>
      <c r="M131" s="3793"/>
      <c r="N131" s="3793"/>
      <c r="O131" s="3793"/>
      <c r="P131" s="3793"/>
      <c r="Q131" s="3793"/>
      <c r="R131" s="3793"/>
      <c r="T131" s="3795"/>
      <c r="U131" s="3795"/>
    </row>
    <row r="132" spans="2:21" x14ac:dyDescent="0.3">
      <c r="B132" s="3811" t="s">
        <v>1011</v>
      </c>
      <c r="C132" s="3824">
        <v>3</v>
      </c>
      <c r="D132" s="3820">
        <v>80</v>
      </c>
      <c r="E132" s="3793"/>
      <c r="F132" s="3822" t="s">
        <v>1037</v>
      </c>
      <c r="G132" s="3824">
        <v>2120</v>
      </c>
      <c r="H132" s="3816">
        <v>2120</v>
      </c>
      <c r="I132" s="4839"/>
      <c r="J132" s="4839"/>
      <c r="K132" s="3793"/>
      <c r="L132" s="3793"/>
      <c r="M132" s="3793"/>
      <c r="N132" s="3793"/>
      <c r="O132" s="3793"/>
      <c r="P132" s="3793"/>
      <c r="Q132" s="3793"/>
      <c r="R132" s="3793"/>
      <c r="T132" s="3795"/>
      <c r="U132" s="3795"/>
    </row>
    <row r="133" spans="2:21" x14ac:dyDescent="0.3">
      <c r="B133" s="3811" t="s">
        <v>1014</v>
      </c>
      <c r="C133" s="3824">
        <v>6</v>
      </c>
      <c r="D133" s="3820">
        <v>120</v>
      </c>
      <c r="E133" s="3793"/>
      <c r="F133" s="3822" t="s">
        <v>1010</v>
      </c>
      <c r="G133" s="3824">
        <v>2450</v>
      </c>
      <c r="H133" s="3816">
        <v>2450</v>
      </c>
      <c r="I133" s="4839"/>
      <c r="J133" s="4839"/>
      <c r="K133" s="3793"/>
      <c r="L133" s="3793"/>
      <c r="M133" s="3793"/>
      <c r="N133" s="3793"/>
      <c r="O133" s="3793"/>
      <c r="P133" s="3793"/>
      <c r="Q133" s="3793"/>
      <c r="R133" s="3793"/>
      <c r="T133" s="3795"/>
      <c r="U133" s="3795"/>
    </row>
    <row r="134" spans="2:21" x14ac:dyDescent="0.3">
      <c r="B134" s="3811" t="s">
        <v>1016</v>
      </c>
      <c r="C134" s="3824">
        <v>10</v>
      </c>
      <c r="D134" s="3820">
        <v>161</v>
      </c>
      <c r="E134" s="3793"/>
      <c r="F134" s="3822" t="s">
        <v>1012</v>
      </c>
      <c r="G134" s="3824">
        <v>21920</v>
      </c>
      <c r="H134" s="3816">
        <v>21920</v>
      </c>
      <c r="I134" s="4839"/>
      <c r="J134" s="4839"/>
      <c r="K134" s="3793"/>
      <c r="L134" s="3793"/>
      <c r="M134" s="3793"/>
      <c r="N134" s="3793"/>
      <c r="O134" s="3793"/>
      <c r="P134" s="3793"/>
      <c r="Q134" s="3793"/>
      <c r="R134" s="3793"/>
      <c r="T134" s="3795"/>
      <c r="U134" s="3795"/>
    </row>
    <row r="135" spans="2:21" x14ac:dyDescent="0.3">
      <c r="B135" s="3811" t="s">
        <v>1018</v>
      </c>
      <c r="C135" s="3824">
        <v>2</v>
      </c>
      <c r="D135" s="3820">
        <v>120</v>
      </c>
      <c r="E135" s="3793"/>
      <c r="F135" s="3822" t="s">
        <v>1015</v>
      </c>
      <c r="G135" s="3824">
        <v>6917</v>
      </c>
      <c r="H135" s="3816">
        <v>92282</v>
      </c>
      <c r="I135" s="4839"/>
      <c r="J135" s="4839"/>
      <c r="K135" s="3793"/>
      <c r="L135" s="3793"/>
      <c r="M135" s="3793"/>
      <c r="N135" s="3793"/>
      <c r="O135" s="3793"/>
      <c r="P135" s="3793"/>
      <c r="Q135" s="3793"/>
      <c r="R135" s="3793"/>
      <c r="T135" s="3795"/>
      <c r="U135" s="3795"/>
    </row>
    <row r="136" spans="2:21" x14ac:dyDescent="0.3">
      <c r="B136" s="3811" t="s">
        <v>1019</v>
      </c>
      <c r="C136" s="3824">
        <v>61</v>
      </c>
      <c r="D136" s="3820">
        <v>997</v>
      </c>
      <c r="E136" s="3793"/>
      <c r="F136" s="3822" t="s">
        <v>1017</v>
      </c>
      <c r="G136" s="3824">
        <v>17700</v>
      </c>
      <c r="H136" s="3816">
        <v>17700</v>
      </c>
      <c r="I136" s="4839"/>
      <c r="J136" s="4839"/>
      <c r="K136" s="3793"/>
      <c r="L136" s="3793"/>
      <c r="M136" s="3793"/>
      <c r="N136" s="3793"/>
      <c r="O136" s="3793"/>
      <c r="P136" s="3793"/>
      <c r="Q136" s="3793"/>
      <c r="R136" s="3793"/>
      <c r="T136" s="3795"/>
      <c r="U136" s="3795"/>
    </row>
    <row r="137" spans="2:21" x14ac:dyDescent="0.3">
      <c r="B137" s="3811" t="s">
        <v>1021</v>
      </c>
      <c r="C137" s="3824">
        <v>4</v>
      </c>
      <c r="D137" s="3820">
        <v>80</v>
      </c>
      <c r="E137" s="3793"/>
      <c r="F137" s="3822" t="s">
        <v>1011</v>
      </c>
      <c r="G137" s="3824">
        <v>1748</v>
      </c>
      <c r="H137" s="3816">
        <v>3496</v>
      </c>
      <c r="I137" s="4839"/>
      <c r="J137" s="4839"/>
      <c r="K137" s="3793"/>
      <c r="L137" s="3793"/>
      <c r="M137" s="3793"/>
      <c r="N137" s="3793"/>
      <c r="O137" s="3793"/>
      <c r="P137" s="3793"/>
      <c r="Q137" s="3793"/>
      <c r="R137" s="3793"/>
      <c r="T137" s="3795"/>
      <c r="U137" s="3795"/>
    </row>
    <row r="138" spans="2:21" x14ac:dyDescent="0.3">
      <c r="B138" s="3811" t="s">
        <v>1022</v>
      </c>
      <c r="C138" s="3824">
        <v>6</v>
      </c>
      <c r="D138" s="3820">
        <v>180</v>
      </c>
      <c r="E138" s="3793"/>
      <c r="F138" s="3822" t="s">
        <v>1020</v>
      </c>
      <c r="G138" s="3824">
        <v>243</v>
      </c>
      <c r="H138" s="3816">
        <v>4189</v>
      </c>
      <c r="I138" s="4839"/>
      <c r="J138" s="4839"/>
      <c r="K138" s="3793"/>
      <c r="L138" s="3793"/>
      <c r="M138" s="3793"/>
      <c r="N138" s="3793"/>
      <c r="O138" s="3793"/>
      <c r="P138" s="3793"/>
      <c r="Q138" s="3793"/>
      <c r="R138" s="3793"/>
      <c r="T138" s="3795"/>
      <c r="U138" s="3795"/>
    </row>
    <row r="139" spans="2:21" x14ac:dyDescent="0.3">
      <c r="B139" s="3811" t="s">
        <v>1024</v>
      </c>
      <c r="C139" s="3824">
        <v>13</v>
      </c>
      <c r="D139" s="3820">
        <v>886</v>
      </c>
      <c r="E139" s="3793"/>
      <c r="F139" s="3822" t="s">
        <v>1016</v>
      </c>
      <c r="G139" s="3824">
        <v>3479</v>
      </c>
      <c r="H139" s="3816">
        <v>15269</v>
      </c>
      <c r="I139" s="4839"/>
      <c r="J139" s="4839"/>
      <c r="K139" s="3793"/>
      <c r="L139" s="3793"/>
      <c r="M139" s="3793"/>
      <c r="N139" s="3793"/>
      <c r="O139" s="3793"/>
      <c r="P139" s="3793"/>
      <c r="Q139" s="3793"/>
      <c r="R139" s="3793"/>
      <c r="T139" s="3795"/>
      <c r="U139" s="3795"/>
    </row>
    <row r="140" spans="2:21" x14ac:dyDescent="0.3">
      <c r="B140" s="3811"/>
      <c r="C140" s="3824"/>
      <c r="D140" s="3820"/>
      <c r="E140" s="3793"/>
      <c r="F140" s="3822" t="s">
        <v>1023</v>
      </c>
      <c r="G140" s="3824">
        <v>560</v>
      </c>
      <c r="H140" s="3816">
        <v>9886</v>
      </c>
      <c r="I140" s="4839"/>
      <c r="J140" s="4839"/>
      <c r="K140" s="3793"/>
      <c r="L140" s="3793"/>
      <c r="M140" s="3793"/>
      <c r="N140" s="3793"/>
      <c r="O140" s="3793"/>
      <c r="P140" s="3793"/>
      <c r="Q140" s="3793"/>
      <c r="R140" s="3793"/>
      <c r="T140" s="3795"/>
      <c r="U140" s="3795"/>
    </row>
    <row r="141" spans="2:21" x14ac:dyDescent="0.3">
      <c r="B141" s="3831" t="s">
        <v>279</v>
      </c>
      <c r="C141" s="3827">
        <f>SUM(C120:C140)</f>
        <v>210</v>
      </c>
      <c r="D141" s="3828">
        <f>SUM(D120:D140)</f>
        <v>14238</v>
      </c>
      <c r="E141" s="3793"/>
      <c r="F141" s="3822" t="s">
        <v>1043</v>
      </c>
      <c r="G141" s="3824">
        <v>150</v>
      </c>
      <c r="H141" s="3816">
        <v>900</v>
      </c>
      <c r="I141" s="4839"/>
      <c r="J141" s="4839"/>
      <c r="K141" s="3793"/>
      <c r="L141" s="3793"/>
      <c r="M141" s="3793"/>
      <c r="N141" s="3793"/>
      <c r="O141" s="3793"/>
      <c r="P141" s="3793"/>
      <c r="Q141" s="3793"/>
      <c r="R141" s="3793"/>
      <c r="T141" s="3795"/>
      <c r="U141" s="3795"/>
    </row>
    <row r="142" spans="2:21" x14ac:dyDescent="0.3">
      <c r="B142" s="6254" t="s">
        <v>1027</v>
      </c>
      <c r="C142" s="6254"/>
      <c r="D142" s="6254"/>
      <c r="E142" s="3793"/>
      <c r="F142" s="3821" t="s">
        <v>1025</v>
      </c>
      <c r="G142" s="3842">
        <v>874</v>
      </c>
      <c r="H142" s="3816">
        <v>18685</v>
      </c>
      <c r="I142" s="4839"/>
      <c r="J142" s="4839"/>
      <c r="K142" s="3793"/>
      <c r="L142" s="3793"/>
      <c r="M142" s="3793"/>
      <c r="N142" s="3793"/>
      <c r="O142" s="3793"/>
      <c r="P142" s="3793"/>
      <c r="Q142" s="3793"/>
      <c r="R142" s="3793"/>
      <c r="T142" s="3795"/>
      <c r="U142" s="3795"/>
    </row>
    <row r="143" spans="2:21" x14ac:dyDescent="0.3">
      <c r="B143" s="6254"/>
      <c r="C143" s="6254"/>
      <c r="D143" s="6254"/>
      <c r="E143" s="3793"/>
      <c r="F143" s="3847" t="s">
        <v>1026</v>
      </c>
      <c r="G143" s="3842">
        <v>1080</v>
      </c>
      <c r="H143" s="3816">
        <v>6480</v>
      </c>
      <c r="I143" s="4839"/>
      <c r="J143" s="4839"/>
      <c r="K143" s="3793"/>
      <c r="L143" s="3793"/>
      <c r="M143" s="3793"/>
      <c r="N143" s="3793"/>
      <c r="O143" s="3793"/>
      <c r="P143" s="3793"/>
      <c r="Q143" s="3793"/>
      <c r="R143" s="3793"/>
      <c r="T143" s="3795"/>
      <c r="U143" s="3795"/>
    </row>
    <row r="144" spans="2:21" ht="18" x14ac:dyDescent="0.35">
      <c r="B144" s="3792"/>
      <c r="C144" s="3793"/>
      <c r="D144" s="3793"/>
      <c r="E144" s="3793"/>
      <c r="F144" s="3811" t="s">
        <v>1028</v>
      </c>
      <c r="G144" s="3824">
        <v>120</v>
      </c>
      <c r="H144" s="3820">
        <v>4200</v>
      </c>
      <c r="I144" s="4839"/>
      <c r="J144" s="4839"/>
      <c r="K144" s="3793"/>
      <c r="L144" s="3793"/>
      <c r="M144" s="3793"/>
      <c r="N144" s="3793"/>
      <c r="O144" s="3793"/>
      <c r="P144" s="3793"/>
      <c r="Q144" s="3793"/>
      <c r="R144" s="3793"/>
      <c r="T144" s="3795"/>
      <c r="U144" s="3795"/>
    </row>
    <row r="145" spans="2:21" ht="18" x14ac:dyDescent="0.35">
      <c r="B145" s="3792"/>
      <c r="C145" s="3793"/>
      <c r="D145" s="3793"/>
      <c r="E145" s="3793"/>
      <c r="F145" s="3831" t="s">
        <v>279</v>
      </c>
      <c r="G145" s="3827">
        <v>356779</v>
      </c>
      <c r="H145" s="3828">
        <v>557319</v>
      </c>
      <c r="I145" s="4839"/>
      <c r="J145" s="4839"/>
      <c r="K145" s="3793"/>
      <c r="L145" s="3793"/>
      <c r="M145" s="3793"/>
      <c r="N145" s="3793"/>
      <c r="O145" s="3793"/>
      <c r="P145" s="3793"/>
      <c r="Q145" s="3793"/>
      <c r="R145" s="3793"/>
      <c r="T145" s="3795"/>
      <c r="U145" s="3795"/>
    </row>
    <row r="146" spans="2:21" ht="18" x14ac:dyDescent="0.35">
      <c r="B146" s="3792"/>
      <c r="C146" s="3793"/>
      <c r="D146" s="3793"/>
      <c r="E146" s="3793"/>
      <c r="F146" s="3793"/>
      <c r="G146" s="3793"/>
      <c r="H146" s="3793"/>
      <c r="I146" s="4839"/>
      <c r="J146" s="4839"/>
      <c r="K146" s="3793"/>
      <c r="L146" s="3793"/>
      <c r="M146" s="3793"/>
      <c r="N146" s="3793"/>
      <c r="O146" s="3793"/>
      <c r="P146" s="3793"/>
      <c r="Q146" s="3793"/>
      <c r="R146" s="3793"/>
      <c r="T146" s="3795"/>
      <c r="U146" s="3795"/>
    </row>
    <row r="147" spans="2:21" ht="18" x14ac:dyDescent="0.35">
      <c r="B147" s="3792"/>
      <c r="C147" s="3793"/>
      <c r="D147" s="3793"/>
      <c r="E147" s="3793"/>
      <c r="F147" s="3793"/>
      <c r="G147" s="3793"/>
      <c r="H147" s="3793"/>
      <c r="I147" s="4839"/>
      <c r="J147" s="4839"/>
      <c r="K147" s="3793"/>
      <c r="L147" s="3793"/>
      <c r="M147" s="3793"/>
      <c r="N147" s="3793"/>
      <c r="O147" s="3793"/>
      <c r="P147" s="3793"/>
      <c r="Q147" s="3793"/>
      <c r="R147" s="3793"/>
      <c r="T147" s="3795"/>
      <c r="U147" s="3795"/>
    </row>
    <row r="148" spans="2:21" x14ac:dyDescent="0.3">
      <c r="B148" s="6255" t="s">
        <v>1044</v>
      </c>
      <c r="C148" s="6249"/>
      <c r="D148" s="6250"/>
      <c r="E148" s="3848"/>
      <c r="F148" s="6255" t="s">
        <v>1045</v>
      </c>
      <c r="G148" s="6249"/>
      <c r="H148" s="6250"/>
      <c r="I148" s="4839"/>
      <c r="J148" s="4839"/>
      <c r="K148" s="3793"/>
      <c r="L148" s="3793"/>
      <c r="M148" s="3793"/>
      <c r="N148" s="3793"/>
      <c r="O148" s="3793"/>
      <c r="P148" s="3793"/>
      <c r="Q148" s="3793"/>
      <c r="R148" s="3793"/>
      <c r="T148" s="3795"/>
      <c r="U148" s="3795"/>
    </row>
    <row r="149" spans="2:21" x14ac:dyDescent="0.3">
      <c r="B149" s="6256" t="s">
        <v>964</v>
      </c>
      <c r="C149" s="6257"/>
      <c r="D149" s="6258"/>
      <c r="E149" s="3848"/>
      <c r="F149" s="6256" t="s">
        <v>965</v>
      </c>
      <c r="G149" s="6257"/>
      <c r="H149" s="6258"/>
      <c r="I149" s="4839"/>
      <c r="J149" s="4839"/>
      <c r="K149" s="3793"/>
      <c r="L149" s="3793"/>
      <c r="M149" s="3793"/>
      <c r="N149" s="3793"/>
      <c r="O149" s="3793"/>
      <c r="P149" s="3793"/>
      <c r="Q149" s="3793"/>
      <c r="R149" s="3793"/>
      <c r="T149" s="3795"/>
      <c r="U149" s="3795"/>
    </row>
    <row r="150" spans="2:21" x14ac:dyDescent="0.3">
      <c r="B150" s="6259" t="s">
        <v>967</v>
      </c>
      <c r="C150" s="6241" t="s">
        <v>968</v>
      </c>
      <c r="D150" s="6241" t="s">
        <v>969</v>
      </c>
      <c r="E150" s="3848"/>
      <c r="F150" s="6259" t="s">
        <v>970</v>
      </c>
      <c r="G150" s="6241" t="s">
        <v>971</v>
      </c>
      <c r="H150" s="6241" t="s">
        <v>972</v>
      </c>
      <c r="I150" s="4839"/>
      <c r="J150" s="4839"/>
      <c r="K150" s="3793"/>
      <c r="L150" s="6248" t="s">
        <v>1046</v>
      </c>
      <c r="M150" s="6249"/>
      <c r="N150" s="6249"/>
      <c r="O150" s="6250"/>
      <c r="P150" s="3793"/>
      <c r="Q150" s="3793"/>
      <c r="R150" s="3793"/>
      <c r="T150" s="3795"/>
      <c r="U150" s="3795"/>
    </row>
    <row r="151" spans="2:21" ht="15" customHeight="1" x14ac:dyDescent="0.3">
      <c r="B151" s="6259"/>
      <c r="C151" s="6242"/>
      <c r="D151" s="6242"/>
      <c r="E151" s="3848"/>
      <c r="F151" s="6259"/>
      <c r="G151" s="6242"/>
      <c r="H151" s="6242"/>
      <c r="I151" s="4839"/>
      <c r="J151" s="4839"/>
      <c r="K151" s="3793"/>
      <c r="L151" s="6243" t="s">
        <v>970</v>
      </c>
      <c r="M151" s="6245" t="s">
        <v>973</v>
      </c>
      <c r="N151" s="6246" t="s">
        <v>972</v>
      </c>
      <c r="O151" s="6247"/>
      <c r="P151" s="3793"/>
      <c r="Q151" s="3793"/>
      <c r="R151" s="3793"/>
      <c r="T151" s="3795"/>
      <c r="U151" s="3795"/>
    </row>
    <row r="152" spans="2:21" x14ac:dyDescent="0.3">
      <c r="B152" s="3851" t="s">
        <v>976</v>
      </c>
      <c r="C152" s="3851" t="s">
        <v>1041</v>
      </c>
      <c r="D152" s="3852">
        <v>206</v>
      </c>
      <c r="E152" s="3848"/>
      <c r="F152" s="3853" t="s">
        <v>978</v>
      </c>
      <c r="G152" s="3854">
        <v>693</v>
      </c>
      <c r="H152" s="3854">
        <v>2326</v>
      </c>
      <c r="I152" s="4839"/>
      <c r="J152" s="4839"/>
      <c r="K152" s="3793"/>
      <c r="L152" s="6244"/>
      <c r="M152" s="6244"/>
      <c r="N152" s="3849" t="s">
        <v>1032</v>
      </c>
      <c r="O152" s="3850" t="s">
        <v>1033</v>
      </c>
      <c r="P152" s="3793"/>
      <c r="Q152" s="3793"/>
      <c r="R152" s="3793"/>
      <c r="T152" s="3795"/>
      <c r="U152" s="3795"/>
    </row>
    <row r="153" spans="2:21" ht="27.6" x14ac:dyDescent="0.3">
      <c r="B153" s="3851" t="s">
        <v>985</v>
      </c>
      <c r="C153" s="3851">
        <v>15</v>
      </c>
      <c r="D153" s="3852">
        <v>734</v>
      </c>
      <c r="E153" s="3848"/>
      <c r="F153" s="3853" t="s">
        <v>983</v>
      </c>
      <c r="G153" s="3854">
        <v>360</v>
      </c>
      <c r="H153" s="3854">
        <v>13390</v>
      </c>
      <c r="I153" s="4839"/>
      <c r="J153" s="4839"/>
      <c r="K153" s="3793"/>
      <c r="L153" s="3855" t="s">
        <v>979</v>
      </c>
      <c r="M153" s="3851" t="s">
        <v>980</v>
      </c>
      <c r="N153" s="3852">
        <v>4131</v>
      </c>
      <c r="O153" s="6251">
        <v>8000</v>
      </c>
      <c r="P153" s="3793"/>
      <c r="Q153" s="3793"/>
      <c r="R153" s="3793"/>
      <c r="T153" s="3795"/>
      <c r="U153" s="3795"/>
    </row>
    <row r="154" spans="2:21" x14ac:dyDescent="0.3">
      <c r="B154" s="3851" t="s">
        <v>989</v>
      </c>
      <c r="C154" s="3858">
        <v>3</v>
      </c>
      <c r="D154" s="3858">
        <v>60</v>
      </c>
      <c r="E154" s="3848"/>
      <c r="F154" s="3859" t="s">
        <v>990</v>
      </c>
      <c r="G154" s="3854">
        <v>1864</v>
      </c>
      <c r="H154" s="3854">
        <v>30250</v>
      </c>
      <c r="I154" s="4839"/>
      <c r="J154" s="4839"/>
      <c r="K154" s="3793"/>
      <c r="L154" s="3856" t="s">
        <v>1047</v>
      </c>
      <c r="M154" s="3851" t="s">
        <v>980</v>
      </c>
      <c r="N154" s="3857">
        <v>6385</v>
      </c>
      <c r="O154" s="6252"/>
      <c r="P154" s="3793"/>
      <c r="Q154" s="3793"/>
      <c r="R154" s="3793"/>
      <c r="T154" s="3795"/>
      <c r="U154" s="3795"/>
    </row>
    <row r="155" spans="2:21" x14ac:dyDescent="0.3">
      <c r="B155" s="3851" t="s">
        <v>1049</v>
      </c>
      <c r="C155" s="3858">
        <v>3</v>
      </c>
      <c r="D155" s="3858">
        <v>45</v>
      </c>
      <c r="E155" s="3848"/>
      <c r="F155" s="3855" t="s">
        <v>992</v>
      </c>
      <c r="G155" s="3858">
        <v>974</v>
      </c>
      <c r="H155" s="3854">
        <v>2954</v>
      </c>
      <c r="I155" s="4839"/>
      <c r="J155" s="4839"/>
      <c r="K155" s="3793"/>
      <c r="L155" s="3860" t="s">
        <v>1048</v>
      </c>
      <c r="M155" s="3851" t="s">
        <v>988</v>
      </c>
      <c r="N155" s="3857">
        <v>1192</v>
      </c>
      <c r="O155" s="3861">
        <v>8762</v>
      </c>
      <c r="P155" s="3793"/>
      <c r="Q155" s="3793"/>
      <c r="R155" s="3793"/>
      <c r="T155" s="3795"/>
      <c r="U155" s="3795"/>
    </row>
    <row r="156" spans="2:21" x14ac:dyDescent="0.3">
      <c r="B156" s="3851" t="s">
        <v>1050</v>
      </c>
      <c r="C156" s="3858">
        <v>1</v>
      </c>
      <c r="D156" s="3858">
        <v>40</v>
      </c>
      <c r="E156" s="3848"/>
      <c r="F156" s="3862" t="s">
        <v>994</v>
      </c>
      <c r="G156" s="3858">
        <v>298</v>
      </c>
      <c r="H156" s="3854">
        <v>1028</v>
      </c>
      <c r="I156" s="4839"/>
      <c r="J156" s="4839"/>
      <c r="K156" s="3793"/>
      <c r="P156" s="3793"/>
      <c r="Q156" s="3793"/>
      <c r="R156" s="3793"/>
      <c r="T156" s="3795"/>
      <c r="U156" s="3795"/>
    </row>
    <row r="157" spans="2:21" x14ac:dyDescent="0.3">
      <c r="B157" s="3851" t="s">
        <v>1005</v>
      </c>
      <c r="C157" s="3858">
        <v>12</v>
      </c>
      <c r="D157" s="3858">
        <v>198</v>
      </c>
      <c r="E157" s="3848"/>
      <c r="F157" s="3862" t="s">
        <v>993</v>
      </c>
      <c r="G157" s="3861">
        <v>90</v>
      </c>
      <c r="H157" s="3854">
        <v>2700</v>
      </c>
      <c r="I157" s="4839"/>
      <c r="J157" s="4839"/>
      <c r="K157" s="3793"/>
      <c r="M157" s="3863" t="s">
        <v>279</v>
      </c>
      <c r="N157" s="3864">
        <f>SUM(N153:N155)</f>
        <v>11708</v>
      </c>
      <c r="O157" s="3864">
        <f>SUM(O153:O155)</f>
        <v>16762</v>
      </c>
      <c r="P157" s="3793"/>
      <c r="Q157" s="3793"/>
      <c r="R157" s="3793"/>
      <c r="T157" s="3795"/>
      <c r="U157" s="3795"/>
    </row>
    <row r="158" spans="2:21" x14ac:dyDescent="0.3">
      <c r="B158" s="3851" t="s">
        <v>1051</v>
      </c>
      <c r="C158" s="3858">
        <v>2</v>
      </c>
      <c r="D158" s="3858">
        <v>138</v>
      </c>
      <c r="E158" s="3848"/>
      <c r="F158" s="3862" t="s">
        <v>999</v>
      </c>
      <c r="G158" s="3861">
        <v>1409</v>
      </c>
      <c r="H158" s="3854">
        <v>23084</v>
      </c>
      <c r="I158" s="4839"/>
      <c r="J158" s="4839"/>
      <c r="K158" s="3793"/>
      <c r="L158" s="3793"/>
      <c r="M158" s="3793"/>
      <c r="N158" s="3793"/>
      <c r="O158" s="3793"/>
      <c r="P158" s="3793"/>
      <c r="Q158" s="3793"/>
      <c r="R158" s="3793"/>
      <c r="T158" s="3795"/>
      <c r="U158" s="3795"/>
    </row>
    <row r="159" spans="2:21" x14ac:dyDescent="0.3">
      <c r="B159" s="3851" t="s">
        <v>993</v>
      </c>
      <c r="C159" s="3858">
        <v>26</v>
      </c>
      <c r="D159" s="3858">
        <v>6542</v>
      </c>
      <c r="E159" s="3848"/>
      <c r="F159" s="3862" t="s">
        <v>1002</v>
      </c>
      <c r="G159" s="3861">
        <v>239458</v>
      </c>
      <c r="H159" s="3854">
        <v>239458</v>
      </c>
      <c r="I159" s="4839"/>
      <c r="J159" s="4839"/>
      <c r="K159" s="3793"/>
      <c r="L159" s="3793"/>
      <c r="M159" s="3793"/>
      <c r="N159" s="3793"/>
      <c r="O159" s="3793"/>
      <c r="P159" s="3793"/>
      <c r="Q159" s="3793"/>
      <c r="R159" s="3793"/>
      <c r="T159" s="3795"/>
      <c r="U159" s="3795"/>
    </row>
    <row r="160" spans="2:21" x14ac:dyDescent="0.3">
      <c r="B160" s="3851" t="s">
        <v>998</v>
      </c>
      <c r="C160" s="3858">
        <v>6</v>
      </c>
      <c r="D160" s="3858">
        <v>1608</v>
      </c>
      <c r="E160" s="3848"/>
      <c r="F160" s="3856" t="s">
        <v>1004</v>
      </c>
      <c r="G160" s="3858">
        <v>19500</v>
      </c>
      <c r="H160" s="3854">
        <v>19500</v>
      </c>
      <c r="I160" s="4839"/>
      <c r="J160" s="4839"/>
      <c r="K160" s="3793"/>
      <c r="L160" s="3793"/>
      <c r="M160" s="3793"/>
      <c r="N160" s="3793"/>
      <c r="O160" s="3793"/>
      <c r="P160" s="3793"/>
      <c r="Q160" s="3793"/>
      <c r="R160" s="3793"/>
      <c r="T160" s="3795"/>
      <c r="U160" s="3795"/>
    </row>
    <row r="161" spans="2:21" x14ac:dyDescent="0.3">
      <c r="B161" s="3851" t="s">
        <v>999</v>
      </c>
      <c r="C161" s="3858">
        <v>5</v>
      </c>
      <c r="D161" s="3858">
        <v>1416</v>
      </c>
      <c r="E161" s="3848"/>
      <c r="F161" s="3855" t="s">
        <v>1006</v>
      </c>
      <c r="G161" s="3858">
        <v>2399</v>
      </c>
      <c r="H161" s="3854">
        <v>10185</v>
      </c>
      <c r="I161" s="4839"/>
      <c r="J161" s="4839"/>
      <c r="K161" s="3793"/>
      <c r="L161" s="3793"/>
      <c r="M161" s="3793"/>
      <c r="N161" s="3793"/>
      <c r="O161" s="3793"/>
      <c r="P161" s="3793"/>
      <c r="Q161" s="3793"/>
      <c r="R161" s="3793"/>
      <c r="T161" s="3795"/>
      <c r="U161" s="3795"/>
    </row>
    <row r="162" spans="2:21" x14ac:dyDescent="0.3">
      <c r="B162" s="3851" t="s">
        <v>1003</v>
      </c>
      <c r="C162" s="3858">
        <v>9</v>
      </c>
      <c r="D162" s="3858">
        <v>81</v>
      </c>
      <c r="E162" s="3848"/>
      <c r="F162" s="3856" t="s">
        <v>1008</v>
      </c>
      <c r="G162" s="3858">
        <v>76</v>
      </c>
      <c r="H162" s="3854">
        <v>1260</v>
      </c>
      <c r="I162" s="4839"/>
      <c r="J162" s="4839"/>
      <c r="K162" s="3793"/>
      <c r="L162" s="3793"/>
      <c r="M162" s="3793"/>
      <c r="N162" s="3793"/>
      <c r="O162" s="3793"/>
      <c r="P162" s="3793"/>
      <c r="Q162" s="3793"/>
      <c r="R162" s="3793"/>
      <c r="T162" s="3795"/>
      <c r="U162" s="3795"/>
    </row>
    <row r="163" spans="2:21" x14ac:dyDescent="0.3">
      <c r="B163" s="3851" t="s">
        <v>1052</v>
      </c>
      <c r="C163" s="3858">
        <v>2</v>
      </c>
      <c r="D163" s="3858">
        <v>265</v>
      </c>
      <c r="E163" s="3848"/>
      <c r="F163" s="3856" t="s">
        <v>1042</v>
      </c>
      <c r="G163" s="3858">
        <v>66</v>
      </c>
      <c r="H163" s="3854">
        <v>1625</v>
      </c>
      <c r="I163" s="4839"/>
      <c r="J163" s="4839"/>
      <c r="K163" s="3793"/>
      <c r="L163" s="3793"/>
      <c r="M163" s="3793"/>
      <c r="N163" s="3793"/>
      <c r="O163" s="3793"/>
      <c r="P163" s="3793"/>
      <c r="Q163" s="3793"/>
      <c r="R163" s="3793"/>
      <c r="T163" s="3795"/>
      <c r="U163" s="3795"/>
    </row>
    <row r="164" spans="2:21" x14ac:dyDescent="0.3">
      <c r="B164" s="3851" t="s">
        <v>1053</v>
      </c>
      <c r="C164" s="3858">
        <v>2</v>
      </c>
      <c r="D164" s="3858">
        <v>66</v>
      </c>
      <c r="E164" s="3848"/>
      <c r="F164" s="3856" t="s">
        <v>1010</v>
      </c>
      <c r="G164" s="3858">
        <v>2273</v>
      </c>
      <c r="H164" s="3854">
        <v>2273</v>
      </c>
      <c r="I164" s="4839"/>
      <c r="J164" s="4839"/>
      <c r="K164" s="3793"/>
      <c r="L164" s="3793"/>
      <c r="M164" s="3793"/>
      <c r="N164" s="3793"/>
      <c r="O164" s="3793"/>
      <c r="P164" s="3793"/>
      <c r="Q164" s="3793"/>
      <c r="R164" s="3793"/>
      <c r="T164" s="3795"/>
      <c r="U164" s="3795"/>
    </row>
    <row r="165" spans="2:21" x14ac:dyDescent="0.3">
      <c r="B165" s="3851" t="s">
        <v>1054</v>
      </c>
      <c r="C165" s="3858">
        <v>1</v>
      </c>
      <c r="D165" s="3858">
        <v>90</v>
      </c>
      <c r="E165" s="3848"/>
      <c r="F165" s="3856" t="s">
        <v>1012</v>
      </c>
      <c r="G165" s="3858">
        <v>20883</v>
      </c>
      <c r="H165" s="3854">
        <v>20883</v>
      </c>
      <c r="I165" s="4839"/>
      <c r="J165" s="4839"/>
      <c r="K165" s="3793"/>
      <c r="L165" s="3793"/>
      <c r="M165" s="3793"/>
      <c r="N165" s="3793"/>
      <c r="O165" s="3793"/>
      <c r="P165" s="3793"/>
      <c r="Q165" s="3793"/>
      <c r="R165" s="3793"/>
      <c r="T165" s="3795"/>
      <c r="U165" s="3795"/>
    </row>
    <row r="166" spans="2:21" x14ac:dyDescent="0.3">
      <c r="B166" s="3851" t="s">
        <v>1011</v>
      </c>
      <c r="C166" s="3858">
        <v>1</v>
      </c>
      <c r="D166" s="3858">
        <v>30</v>
      </c>
      <c r="E166" s="3848"/>
      <c r="F166" s="3856" t="s">
        <v>1015</v>
      </c>
      <c r="G166" s="3858">
        <v>1603</v>
      </c>
      <c r="H166" s="3854">
        <v>12460</v>
      </c>
      <c r="I166" s="4839"/>
      <c r="J166" s="4839"/>
      <c r="K166" s="3793"/>
      <c r="L166" s="3793"/>
      <c r="M166" s="3793"/>
      <c r="N166" s="3793"/>
      <c r="O166" s="3793"/>
      <c r="P166" s="3793"/>
      <c r="Q166" s="3793"/>
      <c r="R166" s="3793"/>
      <c r="T166" s="3795"/>
      <c r="U166" s="3795"/>
    </row>
    <row r="167" spans="2:21" x14ac:dyDescent="0.3">
      <c r="B167" s="3851" t="s">
        <v>1014</v>
      </c>
      <c r="C167" s="3858">
        <v>3</v>
      </c>
      <c r="D167" s="3858">
        <v>75</v>
      </c>
      <c r="E167" s="3848"/>
      <c r="F167" s="3856" t="s">
        <v>1055</v>
      </c>
      <c r="G167" s="3858">
        <v>5597</v>
      </c>
      <c r="H167" s="3854">
        <v>16634</v>
      </c>
      <c r="I167" s="4839"/>
      <c r="J167" s="4839"/>
      <c r="K167" s="3793"/>
      <c r="L167" s="3793"/>
      <c r="M167" s="3793"/>
      <c r="N167" s="3793"/>
      <c r="O167" s="3793"/>
      <c r="P167" s="3793"/>
      <c r="Q167" s="3793"/>
      <c r="R167" s="3793"/>
      <c r="T167" s="3795"/>
      <c r="U167" s="3795"/>
    </row>
    <row r="168" spans="2:21" x14ac:dyDescent="0.3">
      <c r="B168" s="3851" t="s">
        <v>1016</v>
      </c>
      <c r="C168" s="3858">
        <v>7</v>
      </c>
      <c r="D168" s="3858">
        <v>133</v>
      </c>
      <c r="E168" s="3848"/>
      <c r="F168" s="3856" t="s">
        <v>1017</v>
      </c>
      <c r="G168" s="3858">
        <v>267</v>
      </c>
      <c r="H168" s="3854">
        <v>21276</v>
      </c>
      <c r="I168" s="4839"/>
      <c r="J168" s="4839"/>
      <c r="K168" s="3793"/>
      <c r="L168" s="3793"/>
      <c r="M168" s="3793"/>
      <c r="N168" s="3793"/>
      <c r="O168" s="3793"/>
      <c r="P168" s="3793"/>
      <c r="Q168" s="3793"/>
      <c r="R168" s="3793"/>
      <c r="T168" s="3795"/>
      <c r="U168" s="3795"/>
    </row>
    <row r="169" spans="2:21" x14ac:dyDescent="0.3">
      <c r="B169" s="3851" t="s">
        <v>1018</v>
      </c>
      <c r="C169" s="3858">
        <v>3</v>
      </c>
      <c r="D169" s="3858">
        <v>72</v>
      </c>
      <c r="E169" s="3848"/>
      <c r="F169" s="3856" t="s">
        <v>1011</v>
      </c>
      <c r="G169" s="3858">
        <v>5400</v>
      </c>
      <c r="H169" s="3854">
        <v>21600</v>
      </c>
      <c r="I169" s="4839"/>
      <c r="J169" s="4839"/>
      <c r="K169" s="3793"/>
      <c r="L169" s="3793"/>
      <c r="M169" s="3793"/>
      <c r="N169" s="3793"/>
      <c r="O169" s="3793"/>
      <c r="P169" s="3793"/>
      <c r="Q169" s="3793"/>
      <c r="R169" s="3793"/>
      <c r="T169" s="3795"/>
      <c r="U169" s="3795"/>
    </row>
    <row r="170" spans="2:21" x14ac:dyDescent="0.3">
      <c r="B170" s="3851" t="s">
        <v>1019</v>
      </c>
      <c r="C170" s="3858">
        <v>60</v>
      </c>
      <c r="D170" s="3858">
        <v>900</v>
      </c>
      <c r="E170" s="3848"/>
      <c r="F170" s="3856" t="s">
        <v>1020</v>
      </c>
      <c r="G170" s="3858">
        <v>216</v>
      </c>
      <c r="H170" s="3854">
        <v>3515</v>
      </c>
      <c r="I170" s="4839"/>
      <c r="J170" s="4839"/>
      <c r="K170" s="3793"/>
      <c r="L170" s="3793"/>
      <c r="M170" s="3793"/>
      <c r="N170" s="3793"/>
      <c r="O170" s="3793"/>
      <c r="P170" s="3793"/>
      <c r="Q170" s="3793"/>
      <c r="R170" s="3793"/>
      <c r="T170" s="3795"/>
      <c r="U170" s="3795"/>
    </row>
    <row r="171" spans="2:21" x14ac:dyDescent="0.3">
      <c r="B171" s="3851" t="s">
        <v>1021</v>
      </c>
      <c r="C171" s="3858">
        <v>3</v>
      </c>
      <c r="D171" s="3858">
        <v>77</v>
      </c>
      <c r="E171" s="3848"/>
      <c r="F171" s="3856" t="s">
        <v>1016</v>
      </c>
      <c r="G171" s="3858">
        <v>2215</v>
      </c>
      <c r="H171" s="3854">
        <v>12041</v>
      </c>
      <c r="I171" s="4839"/>
      <c r="J171" s="4839"/>
      <c r="K171" s="3793"/>
      <c r="L171" s="3793"/>
      <c r="M171" s="3793"/>
      <c r="N171" s="3793"/>
      <c r="O171" s="3793"/>
      <c r="P171" s="3793"/>
      <c r="Q171" s="3793"/>
      <c r="R171" s="3793"/>
      <c r="T171" s="3795"/>
      <c r="U171" s="3795"/>
    </row>
    <row r="172" spans="2:21" x14ac:dyDescent="0.3">
      <c r="B172" s="3851" t="s">
        <v>1024</v>
      </c>
      <c r="C172" s="3858">
        <v>10</v>
      </c>
      <c r="D172" s="3858">
        <v>586</v>
      </c>
      <c r="E172" s="3848"/>
      <c r="F172" s="3856" t="s">
        <v>1023</v>
      </c>
      <c r="G172" s="3858">
        <v>535</v>
      </c>
      <c r="H172" s="3854">
        <v>9080</v>
      </c>
      <c r="I172" s="4839"/>
      <c r="J172" s="4839"/>
      <c r="K172" s="3793"/>
      <c r="L172" s="3793"/>
      <c r="M172" s="3793"/>
      <c r="N172" s="3793"/>
      <c r="O172" s="3793"/>
      <c r="P172" s="3793"/>
      <c r="Q172" s="3793"/>
      <c r="R172" s="3793"/>
      <c r="T172" s="3795"/>
      <c r="U172" s="3795"/>
    </row>
    <row r="173" spans="2:21" x14ac:dyDescent="0.3">
      <c r="B173" s="3863" t="s">
        <v>279</v>
      </c>
      <c r="C173" s="3865">
        <f>SUM(C152:C172)</f>
        <v>174</v>
      </c>
      <c r="D173" s="3864">
        <f>SUM(D152:D172)</f>
        <v>13362</v>
      </c>
      <c r="E173" s="3848"/>
      <c r="F173" s="3856" t="s">
        <v>1056</v>
      </c>
      <c r="G173" s="3858">
        <v>99</v>
      </c>
      <c r="H173" s="3854">
        <v>772</v>
      </c>
      <c r="I173" s="4839"/>
      <c r="J173" s="4839"/>
      <c r="K173" s="3793"/>
      <c r="L173" s="3793"/>
      <c r="M173" s="3793"/>
      <c r="N173" s="3793"/>
      <c r="O173" s="3793"/>
      <c r="P173" s="3793"/>
      <c r="Q173" s="3793"/>
      <c r="R173" s="3793"/>
      <c r="T173" s="3795"/>
      <c r="U173" s="3795"/>
    </row>
    <row r="174" spans="2:21" x14ac:dyDescent="0.3">
      <c r="B174" s="6253" t="s">
        <v>1027</v>
      </c>
      <c r="C174" s="6253"/>
      <c r="D174" s="6253"/>
      <c r="E174" s="3848"/>
      <c r="F174" s="3859" t="s">
        <v>1025</v>
      </c>
      <c r="G174" s="3866">
        <v>782</v>
      </c>
      <c r="H174" s="3854">
        <v>8816</v>
      </c>
      <c r="I174" s="4839"/>
      <c r="J174" s="4839"/>
      <c r="K174" s="3793"/>
      <c r="L174" s="3793"/>
      <c r="M174" s="3793"/>
      <c r="N174" s="3793"/>
      <c r="O174" s="3793"/>
      <c r="P174" s="3793"/>
      <c r="Q174" s="3793"/>
      <c r="R174" s="3793"/>
      <c r="T174" s="3795"/>
      <c r="U174" s="3795"/>
    </row>
    <row r="175" spans="2:21" x14ac:dyDescent="0.3">
      <c r="B175" s="6254"/>
      <c r="C175" s="6254"/>
      <c r="D175" s="6254"/>
      <c r="E175" s="3848"/>
      <c r="F175" s="3867" t="s">
        <v>1026</v>
      </c>
      <c r="G175" s="3866">
        <v>720</v>
      </c>
      <c r="H175" s="3854">
        <v>8640</v>
      </c>
      <c r="I175" s="4839"/>
      <c r="J175" s="4839"/>
      <c r="K175" s="3793"/>
      <c r="L175" s="3793"/>
      <c r="M175" s="3793"/>
      <c r="N175" s="3793"/>
      <c r="O175" s="3793"/>
      <c r="P175" s="3793"/>
      <c r="Q175" s="3793"/>
      <c r="R175" s="3793"/>
      <c r="T175" s="3795"/>
      <c r="U175" s="3795"/>
    </row>
    <row r="176" spans="2:21" x14ac:dyDescent="0.3">
      <c r="B176" s="3868"/>
      <c r="C176" s="3868"/>
      <c r="D176" s="3868"/>
      <c r="E176" s="3848"/>
      <c r="F176" s="3859" t="s">
        <v>1028</v>
      </c>
      <c r="G176" s="3866">
        <v>117</v>
      </c>
      <c r="H176" s="3854">
        <v>2925</v>
      </c>
      <c r="I176" s="4839"/>
      <c r="J176" s="4839"/>
      <c r="K176" s="3793"/>
      <c r="L176" s="3793"/>
      <c r="M176" s="3793"/>
      <c r="N176" s="3793"/>
      <c r="O176" s="3793"/>
      <c r="P176" s="3793"/>
      <c r="Q176" s="3793"/>
      <c r="R176" s="3793"/>
      <c r="T176" s="3795"/>
      <c r="U176" s="3795"/>
    </row>
    <row r="177" spans="2:21" ht="18" x14ac:dyDescent="0.35">
      <c r="B177" s="3792"/>
      <c r="C177" s="3793"/>
      <c r="D177" s="3793"/>
      <c r="E177" s="3793"/>
      <c r="F177" s="3863" t="s">
        <v>279</v>
      </c>
      <c r="G177" s="3865">
        <f>SUM(G152:G176)</f>
        <v>307894</v>
      </c>
      <c r="H177" s="3864">
        <f>SUM(H152:H176)</f>
        <v>488675</v>
      </c>
      <c r="I177" s="4839"/>
      <c r="J177" s="4839"/>
      <c r="K177" s="3793"/>
      <c r="L177" s="3793"/>
      <c r="M177" s="3793"/>
      <c r="N177" s="3793"/>
      <c r="O177" s="3793"/>
      <c r="P177" s="3793"/>
      <c r="Q177" s="3793"/>
      <c r="R177" s="3793"/>
      <c r="T177" s="3795"/>
      <c r="U177" s="3795"/>
    </row>
    <row r="178" spans="2:21" ht="18" x14ac:dyDescent="0.35">
      <c r="B178" s="3792"/>
      <c r="C178" s="3793"/>
      <c r="D178" s="3793"/>
      <c r="E178" s="3793"/>
      <c r="F178" s="3793"/>
      <c r="G178" s="3793"/>
      <c r="H178" s="3793"/>
      <c r="I178" s="4839"/>
      <c r="J178" s="4839"/>
      <c r="K178" s="3793"/>
      <c r="L178" s="3793"/>
      <c r="M178" s="3793"/>
      <c r="N178" s="3793"/>
      <c r="O178" s="3793"/>
      <c r="P178" s="3793"/>
      <c r="Q178" s="3793"/>
      <c r="R178" s="3793"/>
      <c r="T178" s="3795"/>
      <c r="U178" s="3795"/>
    </row>
    <row r="179" spans="2:21" ht="18" x14ac:dyDescent="0.35">
      <c r="B179" s="3792"/>
      <c r="C179" s="3793"/>
      <c r="D179" s="3793"/>
      <c r="E179" s="3793"/>
      <c r="F179" s="3793"/>
      <c r="G179" s="3793"/>
      <c r="H179" s="3793"/>
      <c r="I179" s="4839"/>
      <c r="J179" s="4839"/>
      <c r="K179" s="3793"/>
      <c r="L179" s="3793"/>
      <c r="M179" s="3793"/>
      <c r="N179" s="3793"/>
      <c r="O179" s="3793"/>
      <c r="P179" s="3793"/>
      <c r="Q179" s="3793"/>
      <c r="R179" s="3793"/>
      <c r="T179" s="3795"/>
      <c r="U179" s="3795"/>
    </row>
    <row r="180" spans="2:21" x14ac:dyDescent="0.3">
      <c r="B180" s="6255" t="s">
        <v>1057</v>
      </c>
      <c r="C180" s="6249"/>
      <c r="D180" s="6250"/>
      <c r="E180" s="3848"/>
      <c r="F180" s="6255" t="s">
        <v>1058</v>
      </c>
      <c r="G180" s="6249"/>
      <c r="H180" s="6250"/>
      <c r="I180" s="4839"/>
      <c r="J180" s="4839"/>
      <c r="K180" s="3793"/>
      <c r="L180" s="3793"/>
      <c r="M180" s="3793"/>
      <c r="N180" s="3793"/>
      <c r="O180" s="3793"/>
      <c r="P180" s="3793"/>
      <c r="Q180" s="3793"/>
      <c r="R180" s="3793"/>
      <c r="T180" s="3795"/>
      <c r="U180" s="3795"/>
    </row>
    <row r="181" spans="2:21" x14ac:dyDescent="0.3">
      <c r="B181" s="6256" t="s">
        <v>964</v>
      </c>
      <c r="C181" s="6257"/>
      <c r="D181" s="6258"/>
      <c r="E181" s="3848"/>
      <c r="F181" s="6256" t="s">
        <v>965</v>
      </c>
      <c r="G181" s="6257"/>
      <c r="H181" s="6258"/>
      <c r="I181" s="4839"/>
      <c r="J181" s="4839"/>
      <c r="K181" s="3793"/>
      <c r="L181" s="3793"/>
      <c r="M181" s="3793"/>
      <c r="N181" s="3793"/>
      <c r="O181" s="3793"/>
      <c r="P181" s="3793"/>
      <c r="Q181" s="3793"/>
      <c r="R181" s="3793"/>
      <c r="T181" s="3795"/>
      <c r="U181" s="3795"/>
    </row>
    <row r="182" spans="2:21" x14ac:dyDescent="0.3">
      <c r="B182" s="6259" t="s">
        <v>967</v>
      </c>
      <c r="C182" s="6241" t="s">
        <v>968</v>
      </c>
      <c r="D182" s="6241" t="s">
        <v>969</v>
      </c>
      <c r="E182" s="3848"/>
      <c r="F182" s="6259" t="s">
        <v>970</v>
      </c>
      <c r="G182" s="6241" t="s">
        <v>971</v>
      </c>
      <c r="H182" s="6241" t="s">
        <v>972</v>
      </c>
      <c r="I182" s="4839"/>
      <c r="J182" s="4839"/>
      <c r="K182" s="3793"/>
      <c r="L182" s="6248" t="s">
        <v>1059</v>
      </c>
      <c r="M182" s="6249"/>
      <c r="N182" s="6249"/>
      <c r="O182" s="6250"/>
      <c r="P182" s="3793"/>
      <c r="Q182" s="3793"/>
      <c r="R182" s="3793"/>
      <c r="T182" s="3795"/>
      <c r="U182" s="3795"/>
    </row>
    <row r="183" spans="2:21" ht="15" customHeight="1" x14ac:dyDescent="0.3">
      <c r="B183" s="6259"/>
      <c r="C183" s="6242"/>
      <c r="D183" s="6242"/>
      <c r="E183" s="3848"/>
      <c r="F183" s="6259"/>
      <c r="G183" s="6242"/>
      <c r="H183" s="6242"/>
      <c r="I183" s="4839"/>
      <c r="J183" s="4839"/>
      <c r="K183" s="3793"/>
      <c r="L183" s="6243" t="s">
        <v>970</v>
      </c>
      <c r="M183" s="6245" t="s">
        <v>973</v>
      </c>
      <c r="N183" s="6246" t="s">
        <v>972</v>
      </c>
      <c r="O183" s="6247"/>
      <c r="P183" s="3793"/>
      <c r="Q183" s="3793"/>
      <c r="R183" s="3793"/>
      <c r="T183" s="3795"/>
      <c r="U183" s="3795"/>
    </row>
    <row r="184" spans="2:21" ht="15" customHeight="1" x14ac:dyDescent="0.3">
      <c r="B184" s="3851" t="s">
        <v>976</v>
      </c>
      <c r="C184" s="3851">
        <v>7</v>
      </c>
      <c r="D184" s="3852">
        <v>136</v>
      </c>
      <c r="E184" s="3848"/>
      <c r="F184" s="3853" t="s">
        <v>1060</v>
      </c>
      <c r="G184" s="3854">
        <v>13146</v>
      </c>
      <c r="H184" s="3854">
        <v>13146</v>
      </c>
      <c r="I184" s="4839"/>
      <c r="J184" s="4839"/>
      <c r="K184" s="3793"/>
      <c r="L184" s="6244"/>
      <c r="M184" s="6244"/>
      <c r="N184" s="3849" t="s">
        <v>1032</v>
      </c>
      <c r="O184" s="3850" t="s">
        <v>1033</v>
      </c>
      <c r="P184" s="3793"/>
      <c r="Q184" s="3793"/>
      <c r="R184" s="3793"/>
      <c r="T184" s="3795"/>
      <c r="U184" s="3795"/>
    </row>
    <row r="185" spans="2:21" ht="15" customHeight="1" x14ac:dyDescent="0.3">
      <c r="B185" s="3851" t="s">
        <v>981</v>
      </c>
      <c r="C185" s="3851">
        <v>2</v>
      </c>
      <c r="D185" s="3852">
        <v>45</v>
      </c>
      <c r="E185" s="3848"/>
      <c r="F185" s="3853" t="s">
        <v>1062</v>
      </c>
      <c r="G185" s="3854">
        <v>248</v>
      </c>
      <c r="H185" s="3854">
        <v>873</v>
      </c>
      <c r="I185" s="4839"/>
      <c r="J185" s="4839"/>
      <c r="K185" s="3793"/>
      <c r="L185" s="3855" t="s">
        <v>979</v>
      </c>
      <c r="M185" s="3851" t="s">
        <v>1061</v>
      </c>
      <c r="N185" s="3852">
        <v>4110</v>
      </c>
      <c r="O185" s="3858">
        <v>13460</v>
      </c>
      <c r="P185" s="3793"/>
      <c r="Q185" s="3793"/>
      <c r="R185" s="3793"/>
      <c r="T185" s="3795"/>
      <c r="U185" s="3795"/>
    </row>
    <row r="186" spans="2:21" ht="15" customHeight="1" x14ac:dyDescent="0.3">
      <c r="B186" s="3851" t="s">
        <v>985</v>
      </c>
      <c r="C186" s="3858">
        <v>19</v>
      </c>
      <c r="D186" s="3858">
        <v>756</v>
      </c>
      <c r="E186" s="3848"/>
      <c r="F186" s="3859" t="s">
        <v>1063</v>
      </c>
      <c r="G186" s="3854">
        <v>112</v>
      </c>
      <c r="H186" s="3854">
        <v>4480</v>
      </c>
      <c r="I186" s="4839"/>
      <c r="J186" s="4839"/>
      <c r="K186" s="3793"/>
      <c r="L186" s="3856" t="s">
        <v>1047</v>
      </c>
      <c r="M186" s="3851" t="s">
        <v>1061</v>
      </c>
      <c r="N186" s="3857">
        <v>6080</v>
      </c>
      <c r="O186" s="3869">
        <v>13460</v>
      </c>
      <c r="P186" s="3793"/>
      <c r="Q186" s="3793"/>
      <c r="R186" s="3793"/>
      <c r="T186" s="3795"/>
      <c r="U186" s="3795"/>
    </row>
    <row r="187" spans="2:21" ht="15" customHeight="1" x14ac:dyDescent="0.3">
      <c r="B187" s="3851" t="s">
        <v>1064</v>
      </c>
      <c r="C187" s="3858">
        <v>2</v>
      </c>
      <c r="D187" s="3858">
        <v>60</v>
      </c>
      <c r="E187" s="3848"/>
      <c r="F187" s="3855" t="s">
        <v>1065</v>
      </c>
      <c r="G187" s="3858">
        <v>4964</v>
      </c>
      <c r="H187" s="3854">
        <v>30790</v>
      </c>
      <c r="I187" s="4839"/>
      <c r="J187" s="4839"/>
      <c r="K187" s="3793"/>
      <c r="L187" s="3860" t="s">
        <v>1048</v>
      </c>
      <c r="M187" s="3851" t="s">
        <v>1061</v>
      </c>
      <c r="N187" s="3857">
        <v>1142</v>
      </c>
      <c r="O187" s="3861">
        <v>6785</v>
      </c>
      <c r="P187" s="3793"/>
      <c r="Q187" s="3793"/>
      <c r="R187" s="3793"/>
      <c r="T187" s="3795"/>
      <c r="U187" s="3795"/>
    </row>
    <row r="188" spans="2:21" ht="15" customHeight="1" x14ac:dyDescent="0.3">
      <c r="B188" s="3851" t="s">
        <v>1049</v>
      </c>
      <c r="C188" s="3858">
        <v>2</v>
      </c>
      <c r="D188" s="3858">
        <v>40</v>
      </c>
      <c r="E188" s="3848"/>
      <c r="F188" s="3862" t="s">
        <v>1066</v>
      </c>
      <c r="G188" s="3858">
        <v>441</v>
      </c>
      <c r="H188" s="3854">
        <v>2073</v>
      </c>
      <c r="I188" s="4839"/>
      <c r="J188" s="4839"/>
      <c r="K188" s="3793"/>
      <c r="P188" s="3793"/>
      <c r="Q188" s="3793"/>
      <c r="R188" s="3793"/>
      <c r="T188" s="3795"/>
      <c r="U188" s="3795"/>
    </row>
    <row r="189" spans="2:21" ht="15" customHeight="1" x14ac:dyDescent="0.3">
      <c r="B189" s="3851" t="s">
        <v>1005</v>
      </c>
      <c r="C189" s="3858">
        <v>15</v>
      </c>
      <c r="D189" s="3858">
        <v>177</v>
      </c>
      <c r="E189" s="3848"/>
      <c r="F189" s="3862" t="s">
        <v>1067</v>
      </c>
      <c r="G189" s="3861">
        <v>1</v>
      </c>
      <c r="H189" s="3854">
        <v>12</v>
      </c>
      <c r="I189" s="4839"/>
      <c r="J189" s="4839"/>
      <c r="K189" s="3793"/>
      <c r="M189" s="3863" t="s">
        <v>279</v>
      </c>
      <c r="N189" s="3864">
        <f>SUM(N185:N187)</f>
        <v>11332</v>
      </c>
      <c r="O189" s="3864">
        <f>SUM(O185:O187)</f>
        <v>33705</v>
      </c>
      <c r="P189" s="3793"/>
      <c r="Q189" s="3793"/>
      <c r="R189" s="3793"/>
      <c r="T189" s="3795"/>
      <c r="U189" s="3795"/>
    </row>
    <row r="190" spans="2:21" ht="15" customHeight="1" x14ac:dyDescent="0.3">
      <c r="B190" s="3851" t="s">
        <v>1008</v>
      </c>
      <c r="C190" s="3858">
        <v>2</v>
      </c>
      <c r="D190" s="3858">
        <v>40</v>
      </c>
      <c r="E190" s="3848"/>
      <c r="F190" s="3862" t="s">
        <v>1068</v>
      </c>
      <c r="G190" s="3861">
        <v>2</v>
      </c>
      <c r="H190" s="3854">
        <v>95</v>
      </c>
      <c r="I190" s="4839"/>
      <c r="J190" s="4839"/>
      <c r="K190" s="3793"/>
      <c r="L190" s="3793"/>
      <c r="M190" s="3793"/>
      <c r="N190" s="3793"/>
      <c r="O190" s="3793"/>
      <c r="P190" s="3793"/>
      <c r="Q190" s="3793"/>
      <c r="R190" s="3793"/>
      <c r="T190" s="3795"/>
      <c r="U190" s="3795"/>
    </row>
    <row r="191" spans="2:21" ht="15" customHeight="1" x14ac:dyDescent="0.3">
      <c r="B191" s="3851" t="s">
        <v>993</v>
      </c>
      <c r="C191" s="3858">
        <v>22</v>
      </c>
      <c r="D191" s="3858">
        <v>6000</v>
      </c>
      <c r="E191" s="3848"/>
      <c r="F191" s="3862" t="s">
        <v>1069</v>
      </c>
      <c r="G191" s="3861">
        <v>2703</v>
      </c>
      <c r="H191" s="3854">
        <v>2703</v>
      </c>
      <c r="I191" s="4839"/>
      <c r="J191" s="4839"/>
      <c r="K191" s="3793"/>
      <c r="L191" s="3793"/>
      <c r="M191" s="3793"/>
      <c r="N191" s="3793"/>
      <c r="O191" s="3793"/>
      <c r="P191" s="3793"/>
      <c r="Q191" s="3793"/>
      <c r="R191" s="3793"/>
      <c r="T191" s="3795"/>
      <c r="U191" s="3795"/>
    </row>
    <row r="192" spans="2:21" ht="15" customHeight="1" x14ac:dyDescent="0.3">
      <c r="B192" s="3851" t="s">
        <v>998</v>
      </c>
      <c r="C192" s="3858">
        <v>12</v>
      </c>
      <c r="D192" s="3858">
        <v>2897</v>
      </c>
      <c r="E192" s="3848"/>
      <c r="F192" s="3856" t="s">
        <v>1070</v>
      </c>
      <c r="G192" s="3858">
        <v>1770</v>
      </c>
      <c r="H192" s="3854">
        <v>2028</v>
      </c>
      <c r="I192" s="4839"/>
      <c r="J192" s="4839"/>
      <c r="K192" s="3793"/>
      <c r="L192" s="3793"/>
      <c r="M192" s="3793"/>
      <c r="N192" s="3793"/>
      <c r="O192" s="3793"/>
      <c r="P192" s="3793"/>
      <c r="Q192" s="3793"/>
      <c r="R192" s="3793"/>
      <c r="T192" s="3795"/>
      <c r="U192" s="3795"/>
    </row>
    <row r="193" spans="2:21" ht="15" customHeight="1" x14ac:dyDescent="0.3">
      <c r="B193" s="3851" t="s">
        <v>999</v>
      </c>
      <c r="C193" s="3858">
        <v>9</v>
      </c>
      <c r="D193" s="3858">
        <v>1364</v>
      </c>
      <c r="E193" s="3848"/>
      <c r="F193" s="3855" t="s">
        <v>1071</v>
      </c>
      <c r="G193" s="3858">
        <v>1171</v>
      </c>
      <c r="H193" s="3854">
        <v>1210</v>
      </c>
      <c r="I193" s="4839"/>
      <c r="J193" s="4839"/>
      <c r="K193" s="3793"/>
      <c r="L193" s="3793"/>
      <c r="M193" s="3793"/>
      <c r="N193" s="3793"/>
      <c r="O193" s="3793"/>
      <c r="P193" s="3793"/>
      <c r="Q193" s="3793"/>
      <c r="R193" s="3793"/>
      <c r="T193" s="3795"/>
      <c r="U193" s="3795"/>
    </row>
    <row r="194" spans="2:21" ht="15" customHeight="1" x14ac:dyDescent="0.3">
      <c r="B194" s="3851" t="s">
        <v>1003</v>
      </c>
      <c r="C194" s="3858">
        <v>19</v>
      </c>
      <c r="D194" s="3858">
        <v>180</v>
      </c>
      <c r="E194" s="3848"/>
      <c r="F194" s="3856" t="s">
        <v>993</v>
      </c>
      <c r="G194" s="3858">
        <v>98</v>
      </c>
      <c r="H194" s="3854">
        <v>1536</v>
      </c>
      <c r="I194" s="4839"/>
      <c r="J194" s="4839"/>
      <c r="K194" s="3793"/>
      <c r="L194" s="3793"/>
      <c r="M194" s="3793"/>
      <c r="N194" s="3793"/>
      <c r="O194" s="3793"/>
      <c r="P194" s="3793"/>
      <c r="Q194" s="3793"/>
      <c r="R194" s="3793"/>
      <c r="T194" s="3795"/>
      <c r="U194" s="3795"/>
    </row>
    <row r="195" spans="2:21" ht="15" customHeight="1" x14ac:dyDescent="0.3">
      <c r="B195" s="3851" t="s">
        <v>1072</v>
      </c>
      <c r="C195" s="3858">
        <v>1</v>
      </c>
      <c r="D195" s="3858">
        <v>40</v>
      </c>
      <c r="E195" s="3848"/>
      <c r="F195" s="3856" t="s">
        <v>999</v>
      </c>
      <c r="G195" s="3858">
        <v>744</v>
      </c>
      <c r="H195" s="3854">
        <v>11160</v>
      </c>
      <c r="I195" s="4839"/>
      <c r="J195" s="4839"/>
      <c r="K195" s="3793"/>
      <c r="L195" s="3793"/>
      <c r="M195" s="3793"/>
      <c r="N195" s="3793"/>
      <c r="O195" s="3793"/>
      <c r="P195" s="3793"/>
      <c r="Q195" s="3793"/>
      <c r="R195" s="3793"/>
      <c r="T195" s="3795"/>
      <c r="U195" s="3795"/>
    </row>
    <row r="196" spans="2:21" ht="15" customHeight="1" x14ac:dyDescent="0.3">
      <c r="B196" s="3851" t="s">
        <v>1073</v>
      </c>
      <c r="C196" s="3858">
        <v>3</v>
      </c>
      <c r="D196" s="3858">
        <v>699</v>
      </c>
      <c r="E196" s="3848"/>
      <c r="F196" s="3856" t="s">
        <v>1002</v>
      </c>
      <c r="G196" s="3858">
        <v>149850</v>
      </c>
      <c r="H196" s="3854">
        <v>316686</v>
      </c>
      <c r="I196" s="4839"/>
      <c r="J196" s="4839"/>
      <c r="K196" s="3793"/>
      <c r="L196" s="3793"/>
      <c r="M196" s="3793"/>
      <c r="N196" s="3793"/>
      <c r="O196" s="3793"/>
      <c r="P196" s="3793"/>
      <c r="Q196" s="3793"/>
      <c r="R196" s="3793"/>
      <c r="T196" s="3795"/>
      <c r="U196" s="3795"/>
    </row>
    <row r="197" spans="2:21" ht="15" customHeight="1" x14ac:dyDescent="0.3">
      <c r="B197" s="3851" t="s">
        <v>1074</v>
      </c>
      <c r="C197" s="3858">
        <v>2</v>
      </c>
      <c r="D197" s="3858">
        <v>20</v>
      </c>
      <c r="E197" s="3848"/>
      <c r="F197" s="3856" t="s">
        <v>1075</v>
      </c>
      <c r="G197" s="3858">
        <v>2750</v>
      </c>
      <c r="H197" s="3854">
        <v>2750</v>
      </c>
      <c r="I197" s="4839"/>
      <c r="J197" s="4839"/>
      <c r="K197" s="3793"/>
      <c r="L197" s="3793"/>
      <c r="M197" s="3793"/>
      <c r="N197" s="3793"/>
      <c r="O197" s="3793"/>
      <c r="P197" s="3793"/>
      <c r="Q197" s="3793"/>
      <c r="R197" s="3793"/>
      <c r="T197" s="3795"/>
      <c r="U197" s="3795"/>
    </row>
    <row r="198" spans="2:21" ht="15" customHeight="1" x14ac:dyDescent="0.3">
      <c r="B198" s="3851" t="s">
        <v>1011</v>
      </c>
      <c r="C198" s="3858">
        <v>4</v>
      </c>
      <c r="D198" s="3858">
        <v>94</v>
      </c>
      <c r="E198" s="3848"/>
      <c r="F198" s="3856" t="s">
        <v>1006</v>
      </c>
      <c r="G198" s="3858">
        <v>279</v>
      </c>
      <c r="H198" s="3854">
        <v>1116</v>
      </c>
      <c r="I198" s="4839"/>
      <c r="J198" s="4839"/>
      <c r="K198" s="3793"/>
      <c r="L198" s="3793"/>
      <c r="M198" s="3793"/>
      <c r="N198" s="3793"/>
      <c r="O198" s="3793"/>
      <c r="P198" s="3793"/>
      <c r="Q198" s="3793"/>
      <c r="R198" s="3793"/>
      <c r="T198" s="3795"/>
      <c r="U198" s="3795"/>
    </row>
    <row r="199" spans="2:21" ht="15" customHeight="1" x14ac:dyDescent="0.3">
      <c r="B199" s="3851" t="s">
        <v>1014</v>
      </c>
      <c r="C199" s="3858">
        <v>3</v>
      </c>
      <c r="D199" s="3858">
        <v>32</v>
      </c>
      <c r="E199" s="3848"/>
      <c r="F199" s="3856" t="s">
        <v>1076</v>
      </c>
      <c r="G199" s="3858">
        <v>55</v>
      </c>
      <c r="H199" s="3854">
        <v>550</v>
      </c>
      <c r="I199" s="4839"/>
      <c r="J199" s="4839"/>
      <c r="K199" s="3793"/>
      <c r="L199" s="3793"/>
      <c r="M199" s="3793"/>
      <c r="N199" s="3793"/>
      <c r="O199" s="3793"/>
      <c r="P199" s="3793"/>
      <c r="Q199" s="3793"/>
      <c r="R199" s="3793"/>
      <c r="T199" s="3795"/>
      <c r="U199" s="3795"/>
    </row>
    <row r="200" spans="2:21" ht="15" customHeight="1" x14ac:dyDescent="0.3">
      <c r="B200" s="3851" t="s">
        <v>1016</v>
      </c>
      <c r="C200" s="3858">
        <v>7</v>
      </c>
      <c r="D200" s="3858">
        <v>121</v>
      </c>
      <c r="E200" s="3848"/>
      <c r="F200" s="3856" t="s">
        <v>1042</v>
      </c>
      <c r="G200" s="3858">
        <v>35</v>
      </c>
      <c r="H200" s="3854">
        <v>525</v>
      </c>
      <c r="I200" s="4839"/>
      <c r="J200" s="4839"/>
      <c r="K200" s="3793"/>
      <c r="L200" s="3793"/>
      <c r="M200" s="3793"/>
      <c r="N200" s="3793"/>
      <c r="O200" s="3793"/>
      <c r="P200" s="3793"/>
      <c r="Q200" s="3793"/>
      <c r="R200" s="3793"/>
      <c r="T200" s="3795"/>
      <c r="U200" s="3795"/>
    </row>
    <row r="201" spans="2:21" ht="15" customHeight="1" x14ac:dyDescent="0.3">
      <c r="B201" s="3851" t="s">
        <v>1018</v>
      </c>
      <c r="C201" s="3858">
        <v>6</v>
      </c>
      <c r="D201" s="3858">
        <v>380</v>
      </c>
      <c r="E201" s="3848"/>
      <c r="F201" s="3856" t="s">
        <v>1010</v>
      </c>
      <c r="G201" s="3858">
        <v>1580</v>
      </c>
      <c r="H201" s="3854">
        <v>1658</v>
      </c>
      <c r="I201" s="4839"/>
      <c r="J201" s="4839"/>
      <c r="K201" s="3793"/>
      <c r="L201" s="3793"/>
      <c r="M201" s="3793"/>
      <c r="N201" s="3793"/>
      <c r="O201" s="3793"/>
      <c r="P201" s="3793"/>
      <c r="Q201" s="3793"/>
      <c r="R201" s="3793"/>
      <c r="T201" s="3795"/>
      <c r="U201" s="3795"/>
    </row>
    <row r="202" spans="2:21" ht="15" customHeight="1" x14ac:dyDescent="0.3">
      <c r="B202" s="3851" t="s">
        <v>1022</v>
      </c>
      <c r="C202" s="3858">
        <v>3</v>
      </c>
      <c r="D202" s="3858">
        <v>237</v>
      </c>
      <c r="E202" s="3848"/>
      <c r="F202" s="3867" t="s">
        <v>1077</v>
      </c>
      <c r="G202" s="3858">
        <v>2436</v>
      </c>
      <c r="H202" s="3854">
        <v>2436</v>
      </c>
      <c r="I202" s="4839"/>
      <c r="J202" s="4839"/>
      <c r="K202" s="3793"/>
      <c r="L202" s="3793"/>
      <c r="M202" s="3793"/>
      <c r="N202" s="3793"/>
      <c r="O202" s="3793"/>
      <c r="P202" s="3793"/>
      <c r="Q202" s="3793"/>
      <c r="R202" s="3793"/>
      <c r="T202" s="3795"/>
      <c r="U202" s="3795"/>
    </row>
    <row r="203" spans="2:21" ht="15" customHeight="1" x14ac:dyDescent="0.3">
      <c r="B203" s="3851" t="s">
        <v>1078</v>
      </c>
      <c r="C203" s="3858">
        <v>12</v>
      </c>
      <c r="D203" s="3858">
        <v>694</v>
      </c>
      <c r="E203" s="3848"/>
      <c r="F203" s="3855" t="s">
        <v>1012</v>
      </c>
      <c r="G203" s="3858">
        <v>5270</v>
      </c>
      <c r="H203" s="3854">
        <v>5270</v>
      </c>
      <c r="I203" s="4839"/>
      <c r="J203" s="4839"/>
      <c r="K203" s="3793"/>
      <c r="L203" s="3793"/>
      <c r="M203" s="3793"/>
      <c r="N203" s="3793"/>
      <c r="O203" s="3793"/>
      <c r="P203" s="3793"/>
      <c r="Q203" s="3793"/>
      <c r="R203" s="3793"/>
      <c r="T203" s="3795"/>
      <c r="U203" s="3795"/>
    </row>
    <row r="204" spans="2:21" ht="15" customHeight="1" x14ac:dyDescent="0.3">
      <c r="B204" s="3863" t="s">
        <v>279</v>
      </c>
      <c r="C204" s="3865">
        <f>SUM(C184:C203)</f>
        <v>152</v>
      </c>
      <c r="D204" s="3864">
        <f>SUM(D184:D203)</f>
        <v>14012</v>
      </c>
      <c r="E204" s="3848"/>
      <c r="F204" s="3856" t="s">
        <v>1079</v>
      </c>
      <c r="G204" s="3858">
        <v>6510</v>
      </c>
      <c r="H204" s="3854">
        <v>6510</v>
      </c>
      <c r="I204" s="4839"/>
      <c r="J204" s="4839"/>
      <c r="K204" s="3793"/>
      <c r="L204" s="3793"/>
      <c r="M204" s="3793"/>
      <c r="N204" s="3793"/>
      <c r="O204" s="3793"/>
      <c r="P204" s="3793"/>
      <c r="Q204" s="3793"/>
      <c r="R204" s="3793"/>
      <c r="T204" s="3795"/>
      <c r="U204" s="3795"/>
    </row>
    <row r="205" spans="2:21" ht="15" customHeight="1" x14ac:dyDescent="0.3">
      <c r="B205" s="6253" t="s">
        <v>1027</v>
      </c>
      <c r="C205" s="6253"/>
      <c r="D205" s="6253"/>
      <c r="E205" s="3848"/>
      <c r="F205" s="3859" t="s">
        <v>1080</v>
      </c>
      <c r="G205" s="3866">
        <v>4507</v>
      </c>
      <c r="H205" s="3854">
        <v>4507</v>
      </c>
      <c r="I205" s="4839"/>
      <c r="J205" s="4839"/>
      <c r="K205" s="3793"/>
      <c r="L205" s="3793"/>
      <c r="M205" s="3793"/>
      <c r="N205" s="3793"/>
      <c r="O205" s="3793"/>
      <c r="P205" s="3793"/>
      <c r="Q205" s="3793"/>
      <c r="R205" s="3793"/>
      <c r="T205" s="3795"/>
      <c r="U205" s="3795"/>
    </row>
    <row r="206" spans="2:21" ht="15" customHeight="1" x14ac:dyDescent="0.3">
      <c r="B206" s="6254"/>
      <c r="C206" s="6254"/>
      <c r="D206" s="6254"/>
      <c r="E206" s="3848"/>
      <c r="F206" s="3867" t="s">
        <v>1015</v>
      </c>
      <c r="G206" s="3866">
        <v>19404</v>
      </c>
      <c r="H206" s="3854">
        <v>19404</v>
      </c>
      <c r="I206" s="4839"/>
      <c r="J206" s="4839"/>
      <c r="K206" s="3793"/>
      <c r="L206" s="3793"/>
      <c r="M206" s="3793"/>
      <c r="N206" s="3793"/>
      <c r="O206" s="3793"/>
      <c r="P206" s="3793"/>
      <c r="Q206" s="3793"/>
      <c r="R206" s="3793"/>
      <c r="T206" s="3795"/>
      <c r="U206" s="3795"/>
    </row>
    <row r="207" spans="2:21" ht="15" customHeight="1" x14ac:dyDescent="0.3">
      <c r="B207" s="3868"/>
      <c r="C207" s="3868"/>
      <c r="D207" s="3868"/>
      <c r="E207" s="3848"/>
      <c r="F207" s="3859" t="s">
        <v>1081</v>
      </c>
      <c r="G207" s="3866">
        <v>395</v>
      </c>
      <c r="H207" s="3854">
        <v>395</v>
      </c>
      <c r="I207" s="4839"/>
      <c r="J207" s="4839"/>
      <c r="K207" s="3793"/>
      <c r="L207" s="3793"/>
      <c r="M207" s="3793"/>
      <c r="N207" s="3793"/>
      <c r="O207" s="3793"/>
      <c r="P207" s="3793"/>
      <c r="Q207" s="3793"/>
      <c r="R207" s="3793"/>
      <c r="T207" s="3795"/>
      <c r="U207" s="3795"/>
    </row>
    <row r="208" spans="2:21" ht="15" customHeight="1" x14ac:dyDescent="0.3">
      <c r="E208" s="3848"/>
      <c r="F208" s="3859" t="s">
        <v>1054</v>
      </c>
      <c r="G208" s="3866">
        <v>2</v>
      </c>
      <c r="H208" s="3854">
        <v>120</v>
      </c>
      <c r="I208" s="4839"/>
      <c r="J208" s="4839"/>
      <c r="K208" s="3793"/>
      <c r="L208" s="3793"/>
      <c r="M208" s="3793"/>
      <c r="N208" s="3793"/>
      <c r="O208" s="3793"/>
      <c r="P208" s="3793"/>
      <c r="Q208" s="3793"/>
      <c r="R208" s="3793"/>
      <c r="T208" s="3795"/>
      <c r="U208" s="3795"/>
    </row>
    <row r="209" spans="2:21" ht="15" customHeight="1" x14ac:dyDescent="0.3">
      <c r="E209" s="3848"/>
      <c r="F209" s="3856" t="s">
        <v>1017</v>
      </c>
      <c r="G209" s="3858">
        <v>137</v>
      </c>
      <c r="H209" s="3854">
        <v>15850</v>
      </c>
      <c r="I209" s="4839"/>
      <c r="J209" s="4839"/>
      <c r="K209" s="3793"/>
      <c r="L209" s="3793"/>
      <c r="M209" s="3793"/>
      <c r="N209" s="3793"/>
      <c r="O209" s="3793"/>
      <c r="P209" s="3793"/>
      <c r="Q209" s="3793"/>
      <c r="R209" s="3793"/>
      <c r="T209" s="3795"/>
      <c r="U209" s="3795"/>
    </row>
    <row r="210" spans="2:21" ht="15" customHeight="1" x14ac:dyDescent="0.3">
      <c r="B210" s="3848"/>
      <c r="C210" s="3848"/>
      <c r="D210" s="3848"/>
      <c r="E210" s="3848"/>
      <c r="F210" s="3856" t="s">
        <v>1011</v>
      </c>
      <c r="G210" s="3858">
        <v>1634</v>
      </c>
      <c r="H210" s="3854">
        <v>3268</v>
      </c>
      <c r="I210" s="4839"/>
      <c r="J210" s="4839"/>
      <c r="K210" s="3793"/>
      <c r="L210" s="3793"/>
      <c r="M210" s="3793"/>
      <c r="N210" s="3793"/>
      <c r="O210" s="3793"/>
      <c r="P210" s="3793"/>
      <c r="Q210" s="3793"/>
      <c r="R210" s="3793"/>
      <c r="T210" s="3795"/>
      <c r="U210" s="3795"/>
    </row>
    <row r="211" spans="2:21" ht="15" customHeight="1" x14ac:dyDescent="0.3">
      <c r="B211" s="3848"/>
      <c r="C211" s="3848"/>
      <c r="D211" s="3848"/>
      <c r="E211" s="3848"/>
      <c r="F211" s="3856" t="s">
        <v>1082</v>
      </c>
      <c r="G211" s="3858">
        <v>2</v>
      </c>
      <c r="H211" s="3854">
        <v>10</v>
      </c>
      <c r="I211" s="4839"/>
      <c r="J211" s="4839"/>
      <c r="K211" s="3793"/>
      <c r="L211" s="3793"/>
      <c r="M211" s="3793"/>
      <c r="N211" s="3793"/>
      <c r="O211" s="3793"/>
      <c r="P211" s="3793"/>
      <c r="Q211" s="3793"/>
      <c r="R211" s="3793"/>
      <c r="T211" s="3795"/>
      <c r="U211" s="3795"/>
    </row>
    <row r="212" spans="2:21" ht="15" customHeight="1" x14ac:dyDescent="0.3">
      <c r="B212" s="3848"/>
      <c r="C212" s="3848"/>
      <c r="D212" s="3848"/>
      <c r="E212" s="3848"/>
      <c r="F212" s="3856" t="s">
        <v>1020</v>
      </c>
      <c r="G212" s="3858">
        <v>136</v>
      </c>
      <c r="H212" s="3854">
        <v>2852</v>
      </c>
      <c r="I212" s="4839"/>
      <c r="J212" s="4839"/>
      <c r="K212" s="3793"/>
      <c r="L212" s="3793"/>
      <c r="M212" s="3793"/>
      <c r="N212" s="3793"/>
      <c r="O212" s="3793"/>
      <c r="P212" s="3793"/>
      <c r="Q212" s="3793"/>
      <c r="R212" s="3793"/>
      <c r="T212" s="3795"/>
      <c r="U212" s="3795"/>
    </row>
    <row r="213" spans="2:21" ht="15" customHeight="1" x14ac:dyDescent="0.3">
      <c r="B213" s="3848"/>
      <c r="C213" s="3848"/>
      <c r="D213" s="3848"/>
      <c r="E213" s="3848"/>
      <c r="F213" s="3860" t="s">
        <v>1083</v>
      </c>
      <c r="G213" s="3852">
        <v>1600</v>
      </c>
      <c r="H213" s="3854">
        <v>3200</v>
      </c>
      <c r="I213" s="4839"/>
      <c r="J213" s="4839"/>
      <c r="K213" s="3793"/>
      <c r="L213" s="3793"/>
      <c r="M213" s="3793"/>
      <c r="N213" s="3793"/>
      <c r="O213" s="3793"/>
      <c r="P213" s="3793"/>
      <c r="Q213" s="3793"/>
      <c r="R213" s="3793"/>
      <c r="T213" s="3795"/>
      <c r="U213" s="3795"/>
    </row>
    <row r="214" spans="2:21" ht="15" customHeight="1" x14ac:dyDescent="0.3">
      <c r="B214" s="3848"/>
      <c r="C214" s="3793"/>
      <c r="D214" s="3793"/>
      <c r="E214" s="3793"/>
      <c r="F214" s="3856" t="s">
        <v>1084</v>
      </c>
      <c r="G214" s="3858">
        <v>1890</v>
      </c>
      <c r="H214" s="3854">
        <v>8512</v>
      </c>
      <c r="I214" s="4839"/>
      <c r="J214" s="4839"/>
      <c r="K214" s="3793"/>
      <c r="L214" s="3793"/>
      <c r="M214" s="3793"/>
      <c r="N214" s="3793"/>
      <c r="O214" s="3793"/>
      <c r="P214" s="3793"/>
      <c r="Q214" s="3793"/>
      <c r="R214" s="3793"/>
      <c r="T214" s="3795"/>
      <c r="U214" s="3795"/>
    </row>
    <row r="215" spans="2:21" ht="15" customHeight="1" x14ac:dyDescent="0.3">
      <c r="B215" s="3848"/>
      <c r="C215" s="3793"/>
      <c r="D215" s="3793"/>
      <c r="E215" s="3793"/>
      <c r="F215" s="3856" t="s">
        <v>1085</v>
      </c>
      <c r="G215" s="3858"/>
      <c r="H215" s="3854">
        <v>5394</v>
      </c>
      <c r="I215" s="4839"/>
      <c r="J215" s="4839"/>
      <c r="K215" s="3793"/>
      <c r="L215" s="3793"/>
      <c r="M215" s="3793"/>
      <c r="N215" s="3793"/>
      <c r="O215" s="3793"/>
      <c r="P215" s="3793"/>
      <c r="Q215" s="3793"/>
      <c r="R215" s="3793"/>
      <c r="T215" s="3795"/>
      <c r="U215" s="3795"/>
    </row>
    <row r="216" spans="2:21" ht="15" customHeight="1" x14ac:dyDescent="0.3">
      <c r="B216" s="3848"/>
      <c r="C216" s="3793"/>
      <c r="D216" s="3793"/>
      <c r="E216" s="3793"/>
      <c r="F216" s="3856" t="s">
        <v>1022</v>
      </c>
      <c r="G216" s="3858">
        <v>250</v>
      </c>
      <c r="H216" s="3854">
        <v>1000</v>
      </c>
      <c r="I216" s="4839"/>
      <c r="J216" s="4839"/>
      <c r="K216" s="3793"/>
      <c r="L216" s="3793"/>
      <c r="M216" s="3793"/>
      <c r="N216" s="3793"/>
      <c r="O216" s="3793"/>
      <c r="P216" s="3793"/>
      <c r="Q216" s="3793"/>
      <c r="R216" s="3793"/>
      <c r="T216" s="3795"/>
      <c r="U216" s="3795"/>
    </row>
    <row r="217" spans="2:21" ht="15" customHeight="1" x14ac:dyDescent="0.3">
      <c r="B217" s="3848"/>
      <c r="C217" s="3793"/>
      <c r="D217" s="3793"/>
      <c r="E217" s="3793"/>
      <c r="F217" s="3856" t="s">
        <v>1078</v>
      </c>
      <c r="G217" s="3858">
        <v>852</v>
      </c>
      <c r="H217" s="3854">
        <v>8082</v>
      </c>
      <c r="I217" s="4839"/>
      <c r="J217" s="4839"/>
      <c r="K217" s="3793"/>
      <c r="L217" s="3793"/>
      <c r="M217" s="3793"/>
      <c r="N217" s="3793"/>
      <c r="O217" s="3793"/>
      <c r="P217" s="3793"/>
      <c r="Q217" s="3793"/>
      <c r="R217" s="3793"/>
      <c r="T217" s="3795"/>
      <c r="U217" s="3795"/>
    </row>
    <row r="218" spans="2:21" ht="15" customHeight="1" x14ac:dyDescent="0.35">
      <c r="B218" s="3792"/>
      <c r="C218" s="3793"/>
      <c r="D218" s="3793"/>
      <c r="E218" s="3793"/>
      <c r="F218" s="3856" t="s">
        <v>1028</v>
      </c>
      <c r="G218" s="3858">
        <v>60</v>
      </c>
      <c r="H218" s="3854">
        <v>720</v>
      </c>
      <c r="I218" s="4839"/>
      <c r="J218" s="4839"/>
      <c r="K218" s="3793"/>
      <c r="L218" s="3793"/>
      <c r="M218" s="3793"/>
      <c r="N218" s="3793"/>
      <c r="O218" s="3793"/>
      <c r="P218" s="3793"/>
      <c r="Q218" s="3793"/>
      <c r="R218" s="3793"/>
      <c r="T218" s="3795"/>
      <c r="U218" s="3795"/>
    </row>
    <row r="219" spans="2:21" ht="15" customHeight="1" x14ac:dyDescent="0.35">
      <c r="B219" s="3792"/>
      <c r="C219" s="3793"/>
      <c r="D219" s="3793"/>
      <c r="E219" s="3793"/>
      <c r="F219" s="3856" t="s">
        <v>1086</v>
      </c>
      <c r="G219" s="3858">
        <v>1</v>
      </c>
      <c r="H219" s="3854">
        <v>12</v>
      </c>
      <c r="I219" s="4839"/>
      <c r="J219" s="4839"/>
      <c r="K219" s="3793"/>
      <c r="L219" s="3793"/>
      <c r="M219" s="3793"/>
      <c r="N219" s="3793"/>
      <c r="O219" s="3793"/>
      <c r="P219" s="3793"/>
      <c r="Q219" s="3793"/>
      <c r="R219" s="3793"/>
      <c r="T219" s="3795"/>
      <c r="U219" s="3795"/>
    </row>
    <row r="220" spans="2:21" ht="15" customHeight="1" x14ac:dyDescent="0.35">
      <c r="B220" s="3792"/>
      <c r="C220" s="3793"/>
      <c r="D220" s="3793"/>
      <c r="E220" s="3793"/>
      <c r="F220" s="3863" t="s">
        <v>279</v>
      </c>
      <c r="G220" s="3865">
        <f>SUM(G184:G219)</f>
        <v>225035</v>
      </c>
      <c r="H220" s="3864">
        <f>SUM(H184:H219)</f>
        <v>480933</v>
      </c>
      <c r="I220" s="4839"/>
      <c r="J220" s="4839"/>
      <c r="K220" s="3793"/>
      <c r="L220" s="3793"/>
      <c r="M220" s="3793"/>
      <c r="N220" s="3793"/>
      <c r="O220" s="3793"/>
      <c r="P220" s="3793"/>
      <c r="Q220" s="3793"/>
      <c r="R220" s="3793"/>
      <c r="T220" s="3795"/>
      <c r="U220" s="3795"/>
    </row>
    <row r="221" spans="2:21" ht="15" customHeight="1" x14ac:dyDescent="0.35">
      <c r="B221" s="3792"/>
      <c r="C221" s="3793"/>
      <c r="D221" s="3793"/>
      <c r="E221" s="3793"/>
      <c r="F221" s="3793"/>
      <c r="G221" s="3793"/>
      <c r="H221" s="3793"/>
      <c r="I221" s="4839"/>
      <c r="J221" s="4839"/>
      <c r="K221" s="3793"/>
      <c r="L221" s="3793"/>
      <c r="M221" s="3793"/>
      <c r="N221" s="3793"/>
      <c r="O221" s="3793"/>
      <c r="P221" s="3793"/>
      <c r="Q221" s="3793"/>
      <c r="R221" s="3793"/>
      <c r="T221" s="3795"/>
      <c r="U221" s="3795"/>
    </row>
    <row r="222" spans="2:21" ht="18" x14ac:dyDescent="0.35">
      <c r="B222" s="3792"/>
      <c r="C222" s="3793"/>
      <c r="D222" s="3793"/>
      <c r="E222" s="3793"/>
      <c r="F222" s="3793"/>
      <c r="G222" s="3793"/>
      <c r="H222" s="3793"/>
      <c r="I222" s="4839"/>
      <c r="J222" s="4839"/>
      <c r="K222" s="3793"/>
      <c r="L222" s="3793"/>
      <c r="M222" s="3793"/>
      <c r="N222" s="3793"/>
      <c r="O222" s="3793"/>
      <c r="P222" s="3793"/>
      <c r="Q222" s="3793"/>
      <c r="R222" s="3793"/>
      <c r="T222" s="3795"/>
      <c r="U222" s="3795"/>
    </row>
    <row r="223" spans="2:21" ht="15" customHeight="1" x14ac:dyDescent="0.3">
      <c r="B223" s="6255" t="s">
        <v>1087</v>
      </c>
      <c r="C223" s="6249"/>
      <c r="D223" s="6250"/>
      <c r="E223" s="3848"/>
      <c r="F223" s="6255" t="s">
        <v>1088</v>
      </c>
      <c r="G223" s="6249"/>
      <c r="H223" s="6250"/>
      <c r="I223" s="4839"/>
      <c r="J223" s="4839"/>
      <c r="K223" s="3793"/>
      <c r="L223" s="3793"/>
      <c r="M223" s="3793"/>
      <c r="N223" s="3793"/>
      <c r="O223" s="3793"/>
      <c r="P223" s="3793"/>
      <c r="Q223" s="3793"/>
      <c r="R223" s="3793"/>
      <c r="T223" s="3795"/>
      <c r="U223" s="3795"/>
    </row>
    <row r="224" spans="2:21" x14ac:dyDescent="0.3">
      <c r="B224" s="6256" t="s">
        <v>964</v>
      </c>
      <c r="C224" s="6257"/>
      <c r="D224" s="6258"/>
      <c r="E224" s="3848"/>
      <c r="F224" s="6256" t="s">
        <v>965</v>
      </c>
      <c r="G224" s="6257"/>
      <c r="H224" s="6258"/>
      <c r="I224" s="4839"/>
      <c r="J224" s="4839"/>
      <c r="K224" s="3793"/>
      <c r="L224" s="3793"/>
      <c r="M224" s="3793"/>
      <c r="N224" s="3793"/>
      <c r="O224" s="3793"/>
      <c r="P224" s="3793"/>
      <c r="Q224" s="3793"/>
      <c r="R224" s="3793"/>
      <c r="T224" s="3795"/>
      <c r="U224" s="3795"/>
    </row>
    <row r="225" spans="2:21" x14ac:dyDescent="0.3">
      <c r="B225" s="6259" t="s">
        <v>967</v>
      </c>
      <c r="C225" s="6241" t="s">
        <v>968</v>
      </c>
      <c r="D225" s="6241" t="s">
        <v>969</v>
      </c>
      <c r="E225" s="3848"/>
      <c r="F225" s="6259" t="s">
        <v>970</v>
      </c>
      <c r="G225" s="6241" t="s">
        <v>971</v>
      </c>
      <c r="H225" s="6241" t="s">
        <v>972</v>
      </c>
      <c r="I225" s="4839"/>
      <c r="J225" s="4839"/>
      <c r="K225" s="3793"/>
      <c r="L225" s="6248" t="s">
        <v>1089</v>
      </c>
      <c r="M225" s="6249"/>
      <c r="N225" s="6249"/>
      <c r="O225" s="6250"/>
      <c r="P225" s="3793"/>
      <c r="Q225" s="3793"/>
      <c r="R225" s="3793"/>
      <c r="T225" s="3795"/>
      <c r="U225" s="3795"/>
    </row>
    <row r="226" spans="2:21" ht="15" customHeight="1" x14ac:dyDescent="0.3">
      <c r="B226" s="6259"/>
      <c r="C226" s="6242"/>
      <c r="D226" s="6242"/>
      <c r="E226" s="3848"/>
      <c r="F226" s="6259"/>
      <c r="G226" s="6242"/>
      <c r="H226" s="6242"/>
      <c r="I226" s="4839"/>
      <c r="J226" s="4839"/>
      <c r="K226" s="3793"/>
      <c r="L226" s="6243" t="s">
        <v>970</v>
      </c>
      <c r="M226" s="6245" t="s">
        <v>973</v>
      </c>
      <c r="N226" s="6246" t="s">
        <v>972</v>
      </c>
      <c r="O226" s="6247"/>
      <c r="P226" s="3793"/>
      <c r="Q226" s="3793"/>
      <c r="R226" s="3793"/>
      <c r="T226" s="3795"/>
      <c r="U226" s="3795"/>
    </row>
    <row r="227" spans="2:21" x14ac:dyDescent="0.3">
      <c r="B227" s="3860" t="s">
        <v>976</v>
      </c>
      <c r="C227" s="3851">
        <v>12</v>
      </c>
      <c r="D227" s="3852">
        <v>218</v>
      </c>
      <c r="E227" s="3848"/>
      <c r="F227" s="3853" t="s">
        <v>1060</v>
      </c>
      <c r="G227" s="3853">
        <v>26457</v>
      </c>
      <c r="H227" s="3854">
        <v>26457</v>
      </c>
      <c r="I227" s="4839"/>
      <c r="J227" s="4839"/>
      <c r="K227" s="3793"/>
      <c r="L227" s="6244"/>
      <c r="M227" s="6244"/>
      <c r="N227" s="3870" t="s">
        <v>1032</v>
      </c>
      <c r="O227" s="3871" t="s">
        <v>1033</v>
      </c>
      <c r="P227" s="3793"/>
      <c r="Q227" s="3793"/>
      <c r="R227" s="3793"/>
      <c r="T227" s="3795"/>
      <c r="U227" s="3795"/>
    </row>
    <row r="228" spans="2:21" x14ac:dyDescent="0.3">
      <c r="B228" s="3860" t="s">
        <v>981</v>
      </c>
      <c r="C228" s="3851">
        <v>1</v>
      </c>
      <c r="D228" s="3852">
        <v>55</v>
      </c>
      <c r="E228" s="3848"/>
      <c r="F228" s="3853" t="s">
        <v>1062</v>
      </c>
      <c r="G228" s="3853">
        <v>449</v>
      </c>
      <c r="H228" s="3854">
        <v>897</v>
      </c>
      <c r="I228" s="4839"/>
      <c r="J228" s="4839"/>
      <c r="K228" s="3793"/>
      <c r="L228" s="6260" t="s">
        <v>979</v>
      </c>
      <c r="M228" s="3872" t="s">
        <v>1090</v>
      </c>
      <c r="N228" s="3857"/>
      <c r="O228" s="3869"/>
      <c r="P228" s="3793"/>
      <c r="Q228" s="3793"/>
      <c r="R228" s="3793"/>
      <c r="T228" s="3795"/>
      <c r="U228" s="3795"/>
    </row>
    <row r="229" spans="2:21" x14ac:dyDescent="0.3">
      <c r="B229" s="3856" t="s">
        <v>985</v>
      </c>
      <c r="C229" s="3858">
        <v>6</v>
      </c>
      <c r="D229" s="3858">
        <v>350</v>
      </c>
      <c r="E229" s="3848"/>
      <c r="F229" s="3856" t="s">
        <v>990</v>
      </c>
      <c r="G229" s="3858">
        <v>5517</v>
      </c>
      <c r="H229" s="3858">
        <v>55170</v>
      </c>
      <c r="I229" s="4839"/>
      <c r="J229" s="4839"/>
      <c r="K229" s="3793"/>
      <c r="L229" s="6261"/>
      <c r="M229" s="3872" t="s">
        <v>1091</v>
      </c>
      <c r="N229" s="3857"/>
      <c r="O229" s="3869"/>
      <c r="P229" s="3793"/>
      <c r="Q229" s="3793"/>
      <c r="R229" s="3793"/>
      <c r="T229" s="3795"/>
      <c r="U229" s="3795"/>
    </row>
    <row r="230" spans="2:21" x14ac:dyDescent="0.3">
      <c r="B230" s="3856" t="s">
        <v>1093</v>
      </c>
      <c r="C230" s="3858">
        <v>10</v>
      </c>
      <c r="D230" s="3858">
        <v>233</v>
      </c>
      <c r="E230" s="3848"/>
      <c r="F230" s="3856" t="s">
        <v>1094</v>
      </c>
      <c r="G230" s="3858">
        <v>25</v>
      </c>
      <c r="H230" s="3858">
        <v>300</v>
      </c>
      <c r="I230" s="4839"/>
      <c r="J230" s="4839"/>
      <c r="K230" s="3793"/>
      <c r="L230" s="3856" t="s">
        <v>1047</v>
      </c>
      <c r="M230" s="3872" t="s">
        <v>1092</v>
      </c>
      <c r="N230" s="3857">
        <v>5987</v>
      </c>
      <c r="O230" s="3869">
        <v>7150</v>
      </c>
      <c r="P230" s="3793"/>
      <c r="Q230" s="3793"/>
      <c r="R230" s="3793"/>
      <c r="T230" s="3795"/>
      <c r="U230" s="3795"/>
    </row>
    <row r="231" spans="2:21" x14ac:dyDescent="0.3">
      <c r="B231" s="3856" t="s">
        <v>994</v>
      </c>
      <c r="C231" s="3858">
        <v>1</v>
      </c>
      <c r="D231" s="3858">
        <v>16</v>
      </c>
      <c r="E231" s="3848"/>
      <c r="F231" s="3862" t="s">
        <v>992</v>
      </c>
      <c r="G231" s="3862">
        <v>440</v>
      </c>
      <c r="H231" s="3862">
        <v>440</v>
      </c>
      <c r="I231" s="4839"/>
      <c r="J231" s="4839"/>
      <c r="K231" s="3793"/>
      <c r="L231" s="6262" t="s">
        <v>1095</v>
      </c>
      <c r="M231" s="3872" t="s">
        <v>1096</v>
      </c>
      <c r="N231" s="3857">
        <v>3846</v>
      </c>
      <c r="O231" s="3869">
        <v>7150</v>
      </c>
      <c r="P231" s="3793"/>
      <c r="Q231" s="3793"/>
      <c r="R231" s="3793"/>
      <c r="T231" s="3795"/>
      <c r="U231" s="3795"/>
    </row>
    <row r="232" spans="2:21" x14ac:dyDescent="0.3">
      <c r="B232" s="3856" t="s">
        <v>993</v>
      </c>
      <c r="C232" s="3858">
        <v>22</v>
      </c>
      <c r="D232" s="3858">
        <v>6010</v>
      </c>
      <c r="E232" s="3848"/>
      <c r="F232" s="3862" t="s">
        <v>1068</v>
      </c>
      <c r="G232" s="3862">
        <v>2</v>
      </c>
      <c r="H232" s="3862">
        <v>60</v>
      </c>
      <c r="I232" s="4839"/>
      <c r="J232" s="4839"/>
      <c r="K232" s="3793"/>
      <c r="L232" s="6263"/>
      <c r="M232" s="3872" t="s">
        <v>1097</v>
      </c>
      <c r="N232" s="3857"/>
      <c r="O232" s="3869"/>
      <c r="P232" s="3793"/>
      <c r="Q232" s="3793"/>
      <c r="R232" s="3793"/>
      <c r="T232" s="3795"/>
      <c r="U232" s="3795"/>
    </row>
    <row r="233" spans="2:21" x14ac:dyDescent="0.3">
      <c r="B233" s="3856" t="s">
        <v>998</v>
      </c>
      <c r="C233" s="3858">
        <v>14</v>
      </c>
      <c r="D233" s="3858">
        <v>3207</v>
      </c>
      <c r="E233" s="3848"/>
      <c r="F233" s="3862" t="s">
        <v>994</v>
      </c>
      <c r="G233" s="3862">
        <v>562</v>
      </c>
      <c r="H233" s="3862">
        <v>1942</v>
      </c>
      <c r="I233" s="4839"/>
      <c r="J233" s="4839"/>
      <c r="K233" s="3793"/>
      <c r="L233" s="3873" t="s">
        <v>1048</v>
      </c>
      <c r="M233" s="3872"/>
      <c r="N233" s="3857"/>
      <c r="O233" s="3869"/>
      <c r="P233" s="3793"/>
      <c r="Q233" s="3793"/>
      <c r="R233" s="3793"/>
      <c r="T233" s="3795"/>
      <c r="U233" s="3795"/>
    </row>
    <row r="234" spans="2:21" x14ac:dyDescent="0.3">
      <c r="B234" s="3856" t="s">
        <v>999</v>
      </c>
      <c r="C234" s="3858">
        <v>4</v>
      </c>
      <c r="D234" s="3858">
        <v>1116</v>
      </c>
      <c r="E234" s="3848"/>
      <c r="F234" s="3856" t="s">
        <v>1070</v>
      </c>
      <c r="G234" s="3858">
        <v>6055</v>
      </c>
      <c r="H234" s="3858">
        <v>6055</v>
      </c>
      <c r="I234" s="4839"/>
      <c r="J234" s="4839"/>
      <c r="K234" s="3793"/>
      <c r="L234" s="6264" t="s">
        <v>1098</v>
      </c>
      <c r="M234" s="6265" t="s">
        <v>1099</v>
      </c>
      <c r="N234" s="6266">
        <v>1133</v>
      </c>
      <c r="O234" s="6267">
        <v>4450</v>
      </c>
      <c r="P234" s="3793"/>
      <c r="Q234" s="3793"/>
      <c r="R234" s="3793"/>
      <c r="T234" s="3795"/>
      <c r="U234" s="3795"/>
    </row>
    <row r="235" spans="2:21" x14ac:dyDescent="0.3">
      <c r="B235" s="3856" t="s">
        <v>1100</v>
      </c>
      <c r="C235" s="3858">
        <v>1</v>
      </c>
      <c r="D235" s="3858">
        <v>15</v>
      </c>
      <c r="E235" s="3848"/>
      <c r="F235" s="3856" t="s">
        <v>1101</v>
      </c>
      <c r="G235" s="3858">
        <v>809</v>
      </c>
      <c r="H235" s="3858">
        <v>4121</v>
      </c>
      <c r="I235" s="4839"/>
      <c r="J235" s="4839"/>
      <c r="K235" s="3793"/>
      <c r="L235" s="6264"/>
      <c r="M235" s="6265"/>
      <c r="N235" s="6266"/>
      <c r="O235" s="6267"/>
      <c r="P235" s="3793"/>
      <c r="Q235" s="3793"/>
      <c r="R235" s="3793"/>
      <c r="T235" s="3795"/>
      <c r="U235" s="3795"/>
    </row>
    <row r="236" spans="2:21" x14ac:dyDescent="0.3">
      <c r="B236" s="3856" t="s">
        <v>1102</v>
      </c>
      <c r="C236" s="3858">
        <v>1</v>
      </c>
      <c r="D236" s="3858">
        <v>36</v>
      </c>
      <c r="E236" s="3848"/>
      <c r="F236" s="3856" t="s">
        <v>993</v>
      </c>
      <c r="G236" s="3858">
        <v>1046</v>
      </c>
      <c r="H236" s="3858">
        <v>7522</v>
      </c>
      <c r="I236" s="4839"/>
      <c r="J236" s="4839"/>
      <c r="K236" s="3793"/>
      <c r="L236" s="6264"/>
      <c r="M236" s="6265"/>
      <c r="N236" s="6266"/>
      <c r="O236" s="6267"/>
      <c r="P236" s="3793"/>
      <c r="Q236" s="3793"/>
      <c r="R236" s="3793"/>
      <c r="T236" s="3795"/>
      <c r="U236" s="3795"/>
    </row>
    <row r="237" spans="2:21" x14ac:dyDescent="0.3">
      <c r="B237" s="3856" t="s">
        <v>1103</v>
      </c>
      <c r="C237" s="3858">
        <v>2</v>
      </c>
      <c r="D237" s="3858">
        <v>260</v>
      </c>
      <c r="E237" s="3848"/>
      <c r="F237" s="3856" t="s">
        <v>999</v>
      </c>
      <c r="G237" s="3858">
        <v>1036</v>
      </c>
      <c r="H237" s="3858">
        <v>15964</v>
      </c>
      <c r="I237" s="4839"/>
      <c r="J237" s="4839"/>
      <c r="K237" s="3793"/>
      <c r="L237" s="6264"/>
      <c r="M237" s="6265"/>
      <c r="N237" s="6266"/>
      <c r="O237" s="6267"/>
      <c r="P237" s="3793"/>
      <c r="Q237" s="3793"/>
      <c r="R237" s="3793"/>
      <c r="T237" s="3795"/>
      <c r="U237" s="3795"/>
    </row>
    <row r="238" spans="2:21" x14ac:dyDescent="0.3">
      <c r="B238" s="3856" t="s">
        <v>1052</v>
      </c>
      <c r="C238" s="3858">
        <v>2</v>
      </c>
      <c r="D238" s="3858">
        <v>530</v>
      </c>
      <c r="E238" s="3848"/>
      <c r="F238" s="3856" t="s">
        <v>1104</v>
      </c>
      <c r="G238" s="3858">
        <v>246</v>
      </c>
      <c r="H238" s="3858">
        <v>3291</v>
      </c>
      <c r="I238" s="4839"/>
      <c r="J238" s="4839"/>
      <c r="K238" s="3793"/>
      <c r="P238" s="3793"/>
      <c r="Q238" s="3793"/>
      <c r="R238" s="3793"/>
      <c r="T238" s="3795"/>
      <c r="U238" s="3795"/>
    </row>
    <row r="239" spans="2:21" x14ac:dyDescent="0.3">
      <c r="B239" s="3856" t="s">
        <v>1105</v>
      </c>
      <c r="C239" s="3858">
        <v>1</v>
      </c>
      <c r="D239" s="3858">
        <v>175</v>
      </c>
      <c r="E239" s="3848"/>
      <c r="F239" s="3856" t="s">
        <v>1002</v>
      </c>
      <c r="G239" s="3858">
        <v>296379</v>
      </c>
      <c r="H239" s="3858">
        <v>296379</v>
      </c>
      <c r="I239" s="4839"/>
      <c r="J239" s="4839"/>
      <c r="K239" s="3793"/>
      <c r="M239" s="3863" t="s">
        <v>279</v>
      </c>
      <c r="N239" s="3864">
        <f>SUM(N228:N236)</f>
        <v>10966</v>
      </c>
      <c r="O239" s="3864">
        <v>18750</v>
      </c>
      <c r="P239" s="3793"/>
      <c r="Q239" s="3793"/>
      <c r="R239" s="3793"/>
      <c r="T239" s="3795"/>
      <c r="U239" s="3795"/>
    </row>
    <row r="240" spans="2:21" x14ac:dyDescent="0.3">
      <c r="B240" s="3856" t="s">
        <v>1053</v>
      </c>
      <c r="C240" s="3858">
        <v>6</v>
      </c>
      <c r="D240" s="3858">
        <v>107</v>
      </c>
      <c r="E240" s="3848"/>
      <c r="F240" s="3856" t="s">
        <v>1006</v>
      </c>
      <c r="G240" s="3858">
        <v>185</v>
      </c>
      <c r="H240" s="3858">
        <v>740</v>
      </c>
      <c r="I240" s="4839"/>
      <c r="J240" s="4839"/>
      <c r="K240" s="3793"/>
      <c r="L240" s="3793"/>
      <c r="M240" s="3793"/>
      <c r="N240" s="3793"/>
      <c r="O240" s="3793"/>
      <c r="P240" s="3793"/>
      <c r="Q240" s="3793"/>
      <c r="R240" s="3793"/>
      <c r="T240" s="3795"/>
      <c r="U240" s="3795"/>
    </row>
    <row r="241" spans="2:21" x14ac:dyDescent="0.3">
      <c r="B241" s="3856" t="s">
        <v>1011</v>
      </c>
      <c r="C241" s="3858">
        <v>6</v>
      </c>
      <c r="D241" s="3858">
        <v>110</v>
      </c>
      <c r="E241" s="3848"/>
      <c r="F241" s="3856" t="s">
        <v>1076</v>
      </c>
      <c r="G241" s="3858">
        <v>39</v>
      </c>
      <c r="H241" s="3858">
        <v>234</v>
      </c>
      <c r="I241" s="4839"/>
      <c r="J241" s="4839"/>
      <c r="K241" s="3793"/>
      <c r="L241" s="3793"/>
      <c r="M241" s="3793"/>
      <c r="N241" s="3793"/>
      <c r="O241" s="3793"/>
      <c r="P241" s="3793"/>
      <c r="Q241" s="3793"/>
      <c r="R241" s="3793"/>
      <c r="T241" s="3795"/>
      <c r="U241" s="3795"/>
    </row>
    <row r="242" spans="2:21" x14ac:dyDescent="0.3">
      <c r="B242" s="3856" t="s">
        <v>1014</v>
      </c>
      <c r="C242" s="3858">
        <v>3</v>
      </c>
      <c r="D242" s="3858">
        <v>46</v>
      </c>
      <c r="E242" s="3848"/>
      <c r="F242" s="3856" t="s">
        <v>1042</v>
      </c>
      <c r="G242" s="3858">
        <v>63</v>
      </c>
      <c r="H242" s="3858">
        <v>1260</v>
      </c>
      <c r="I242" s="4839"/>
      <c r="J242" s="4839"/>
      <c r="K242" s="3793"/>
      <c r="L242" s="3793"/>
      <c r="M242" s="3793"/>
      <c r="N242" s="3793"/>
      <c r="O242" s="3793"/>
      <c r="P242" s="3793"/>
      <c r="Q242" s="3793"/>
      <c r="R242" s="3793"/>
      <c r="T242" s="3795"/>
      <c r="U242" s="3795"/>
    </row>
    <row r="243" spans="2:21" x14ac:dyDescent="0.3">
      <c r="B243" s="3856" t="s">
        <v>1016</v>
      </c>
      <c r="C243" s="3858">
        <v>7</v>
      </c>
      <c r="D243" s="3858">
        <v>108</v>
      </c>
      <c r="E243" s="3848"/>
      <c r="F243" s="3856" t="s">
        <v>1010</v>
      </c>
      <c r="G243" s="3858">
        <v>2265</v>
      </c>
      <c r="H243" s="3858">
        <v>2265</v>
      </c>
      <c r="I243" s="4839"/>
      <c r="J243" s="4839"/>
      <c r="K243" s="3793"/>
      <c r="L243" s="3793"/>
      <c r="M243" s="3793"/>
      <c r="N243" s="3793"/>
      <c r="O243" s="3793"/>
      <c r="P243" s="3793"/>
      <c r="Q243" s="3793"/>
      <c r="R243" s="3793"/>
      <c r="T243" s="3795"/>
      <c r="U243" s="3795"/>
    </row>
    <row r="244" spans="2:21" x14ac:dyDescent="0.3">
      <c r="B244" s="3855" t="s">
        <v>1018</v>
      </c>
      <c r="C244" s="3858">
        <v>4</v>
      </c>
      <c r="D244" s="3858">
        <v>348</v>
      </c>
      <c r="E244" s="3848"/>
      <c r="F244" s="3855" t="s">
        <v>1012</v>
      </c>
      <c r="G244" s="3858">
        <v>55700</v>
      </c>
      <c r="H244" s="3858">
        <v>55700</v>
      </c>
      <c r="I244" s="4839"/>
      <c r="J244" s="4839"/>
      <c r="K244" s="3793"/>
      <c r="L244" s="3793"/>
      <c r="M244" s="3793"/>
      <c r="N244" s="3793"/>
      <c r="O244" s="3793"/>
      <c r="P244" s="3793"/>
      <c r="Q244" s="3793"/>
      <c r="R244" s="3793"/>
      <c r="T244" s="3795"/>
      <c r="U244" s="3795"/>
    </row>
    <row r="245" spans="2:21" x14ac:dyDescent="0.3">
      <c r="B245" s="3856" t="s">
        <v>1106</v>
      </c>
      <c r="C245" s="3858">
        <v>8</v>
      </c>
      <c r="D245" s="3858">
        <v>125</v>
      </c>
      <c r="E245" s="3848"/>
      <c r="F245" s="3856" t="s">
        <v>1107</v>
      </c>
      <c r="G245" s="3858">
        <v>1821</v>
      </c>
      <c r="H245" s="3858">
        <v>1821</v>
      </c>
      <c r="I245" s="4839"/>
      <c r="J245" s="4839"/>
      <c r="K245" s="3793"/>
      <c r="L245" s="3793"/>
      <c r="M245" s="3793"/>
      <c r="N245" s="3793"/>
      <c r="O245" s="3793"/>
      <c r="P245" s="3793"/>
      <c r="Q245" s="3793"/>
      <c r="R245" s="3793"/>
      <c r="T245" s="3795"/>
      <c r="U245" s="3795"/>
    </row>
    <row r="246" spans="2:21" x14ac:dyDescent="0.3">
      <c r="B246" s="3851" t="s">
        <v>1108</v>
      </c>
      <c r="C246" s="3858">
        <v>6</v>
      </c>
      <c r="D246" s="3858">
        <v>120</v>
      </c>
      <c r="E246" s="3848"/>
      <c r="F246" s="3856" t="s">
        <v>1017</v>
      </c>
      <c r="G246" s="3858">
        <v>16238</v>
      </c>
      <c r="H246" s="3858">
        <v>16238</v>
      </c>
      <c r="I246" s="4839"/>
      <c r="J246" s="4839"/>
      <c r="K246" s="3793"/>
      <c r="L246" s="3793"/>
      <c r="M246" s="3793"/>
      <c r="N246" s="3793"/>
      <c r="O246" s="3793"/>
      <c r="P246" s="3793"/>
      <c r="Q246" s="3793"/>
      <c r="R246" s="3793"/>
      <c r="T246" s="3795"/>
      <c r="U246" s="3795"/>
    </row>
    <row r="247" spans="2:21" x14ac:dyDescent="0.3">
      <c r="B247" s="3851" t="s">
        <v>1078</v>
      </c>
      <c r="C247" s="3858">
        <v>7</v>
      </c>
      <c r="D247" s="3858">
        <v>308</v>
      </c>
      <c r="E247" s="3848"/>
      <c r="F247" s="3856" t="s">
        <v>1011</v>
      </c>
      <c r="G247" s="3858">
        <v>5792</v>
      </c>
      <c r="H247" s="3858">
        <v>11596</v>
      </c>
      <c r="I247" s="4839"/>
      <c r="J247" s="4839"/>
      <c r="K247" s="3793"/>
      <c r="L247" s="3793"/>
      <c r="M247" s="3793"/>
      <c r="N247" s="3793"/>
      <c r="O247" s="3793"/>
      <c r="P247" s="3793"/>
      <c r="Q247" s="3793"/>
      <c r="R247" s="3793"/>
      <c r="T247" s="3795"/>
      <c r="U247" s="3795"/>
    </row>
    <row r="248" spans="2:21" x14ac:dyDescent="0.3">
      <c r="B248" s="3862" t="s">
        <v>1021</v>
      </c>
      <c r="C248" s="3862">
        <v>2</v>
      </c>
      <c r="D248" s="3862">
        <v>41</v>
      </c>
      <c r="E248" s="3848"/>
      <c r="F248" s="3856" t="s">
        <v>1020</v>
      </c>
      <c r="G248" s="3858">
        <v>106</v>
      </c>
      <c r="H248" s="3858">
        <v>1630</v>
      </c>
      <c r="I248" s="4839"/>
      <c r="J248" s="4839"/>
      <c r="K248" s="3793"/>
      <c r="L248" s="3793"/>
      <c r="M248" s="3793"/>
      <c r="N248" s="3793"/>
      <c r="O248" s="3793"/>
      <c r="P248" s="3793"/>
      <c r="Q248" s="3793"/>
      <c r="R248" s="3793"/>
      <c r="T248" s="3795"/>
      <c r="U248" s="3795"/>
    </row>
    <row r="249" spans="2:21" x14ac:dyDescent="0.3">
      <c r="B249" s="3863" t="s">
        <v>279</v>
      </c>
      <c r="C249" s="3874">
        <f>SUM(C227:C247)</f>
        <v>124</v>
      </c>
      <c r="D249" s="3864">
        <f>SUM(D227:D247)</f>
        <v>13493</v>
      </c>
      <c r="E249" s="3848"/>
      <c r="F249" s="3860" t="s">
        <v>1014</v>
      </c>
      <c r="G249" s="3851">
        <v>825</v>
      </c>
      <c r="H249" s="3852">
        <v>1650</v>
      </c>
      <c r="I249" s="4839"/>
      <c r="J249" s="4839"/>
      <c r="K249" s="3793"/>
      <c r="L249" s="3793"/>
      <c r="M249" s="3793"/>
      <c r="N249" s="3793"/>
      <c r="O249" s="3793"/>
      <c r="P249" s="3793"/>
      <c r="Q249" s="3793"/>
      <c r="R249" s="3793"/>
      <c r="T249" s="3795"/>
      <c r="U249" s="3795"/>
    </row>
    <row r="250" spans="2:21" x14ac:dyDescent="0.3">
      <c r="B250" s="6253" t="s">
        <v>1027</v>
      </c>
      <c r="C250" s="6253"/>
      <c r="D250" s="6253"/>
      <c r="E250" s="3848"/>
      <c r="F250" s="3856" t="s">
        <v>1016</v>
      </c>
      <c r="G250" s="3858">
        <v>3758</v>
      </c>
      <c r="H250" s="3858">
        <v>13976</v>
      </c>
      <c r="I250" s="4839"/>
      <c r="J250" s="4839"/>
      <c r="K250" s="3793"/>
      <c r="L250" s="3793"/>
      <c r="M250" s="3793"/>
      <c r="N250" s="3793"/>
      <c r="O250" s="3793"/>
      <c r="P250" s="3793"/>
      <c r="Q250" s="3793"/>
      <c r="R250" s="3793"/>
      <c r="T250" s="3795"/>
      <c r="U250" s="3795"/>
    </row>
    <row r="251" spans="2:21" x14ac:dyDescent="0.3">
      <c r="B251" s="6254"/>
      <c r="C251" s="6254"/>
      <c r="D251" s="6254"/>
      <c r="E251" s="3848"/>
      <c r="F251" s="3856" t="s">
        <v>1022</v>
      </c>
      <c r="G251" s="3858">
        <v>100</v>
      </c>
      <c r="H251" s="3858">
        <v>400</v>
      </c>
      <c r="I251" s="4839"/>
      <c r="J251" s="4839"/>
      <c r="K251" s="3793"/>
      <c r="L251" s="3793"/>
      <c r="M251" s="3793"/>
      <c r="N251" s="3793"/>
      <c r="O251" s="3793"/>
      <c r="P251" s="3793"/>
      <c r="Q251" s="3793"/>
      <c r="R251" s="3793"/>
      <c r="T251" s="3795"/>
      <c r="U251" s="3795"/>
    </row>
    <row r="252" spans="2:21" x14ac:dyDescent="0.3">
      <c r="B252" s="3848"/>
      <c r="C252" s="3848"/>
      <c r="D252" s="3848"/>
      <c r="E252" s="3848"/>
      <c r="F252" s="3856" t="s">
        <v>1078</v>
      </c>
      <c r="G252" s="3858">
        <v>589</v>
      </c>
      <c r="H252" s="3858">
        <v>6099</v>
      </c>
      <c r="I252" s="4839"/>
      <c r="J252" s="4839"/>
      <c r="K252" s="3793"/>
      <c r="L252" s="3793"/>
      <c r="M252" s="3793"/>
      <c r="N252" s="3793"/>
      <c r="O252" s="3793"/>
      <c r="P252" s="3793"/>
      <c r="Q252" s="3793"/>
      <c r="R252" s="3793"/>
      <c r="T252" s="3795"/>
      <c r="U252" s="3795"/>
    </row>
    <row r="253" spans="2:21" x14ac:dyDescent="0.3">
      <c r="B253" s="3848"/>
      <c r="C253" s="3848"/>
      <c r="D253" s="3848"/>
      <c r="E253" s="3848"/>
      <c r="F253" s="3856" t="s">
        <v>1028</v>
      </c>
      <c r="G253" s="3858">
        <v>5400</v>
      </c>
      <c r="H253" s="3858">
        <v>5400</v>
      </c>
      <c r="I253" s="4839"/>
      <c r="J253" s="4839"/>
      <c r="K253" s="3793"/>
      <c r="L253" s="3793"/>
      <c r="M253" s="3793"/>
      <c r="N253" s="3793"/>
      <c r="O253" s="3793"/>
      <c r="P253" s="3793"/>
      <c r="Q253" s="3793"/>
      <c r="R253" s="3793"/>
      <c r="T253" s="3795"/>
      <c r="U253" s="3795"/>
    </row>
    <row r="254" spans="2:21" x14ac:dyDescent="0.3">
      <c r="B254" s="3848"/>
      <c r="C254" s="3848"/>
      <c r="D254" s="3848"/>
      <c r="E254" s="3848"/>
      <c r="F254" s="3856" t="s">
        <v>1086</v>
      </c>
      <c r="G254" s="3858">
        <v>9000</v>
      </c>
      <c r="H254" s="3858">
        <v>9000</v>
      </c>
      <c r="I254" s="4839"/>
      <c r="J254" s="4839"/>
      <c r="K254" s="3793"/>
      <c r="L254" s="3793"/>
      <c r="M254" s="3793"/>
      <c r="N254" s="3793"/>
      <c r="O254" s="3793"/>
      <c r="P254" s="3793"/>
      <c r="Q254" s="3793"/>
      <c r="R254" s="3793"/>
      <c r="T254" s="3795"/>
      <c r="U254" s="3795"/>
    </row>
    <row r="255" spans="2:21" x14ac:dyDescent="0.3">
      <c r="B255" s="3848"/>
      <c r="C255" s="3848"/>
      <c r="D255" s="3848"/>
      <c r="E255" s="3848"/>
      <c r="F255" s="3863" t="s">
        <v>279</v>
      </c>
      <c r="G255" s="3874">
        <f>SUM(G227:G254)</f>
        <v>440904</v>
      </c>
      <c r="H255" s="3864">
        <f>SUM(H227:H254)</f>
        <v>546607</v>
      </c>
      <c r="I255" s="4839"/>
      <c r="J255" s="4839"/>
      <c r="K255" s="3793"/>
      <c r="L255" s="3793"/>
      <c r="M255" s="3793"/>
      <c r="N255" s="3793"/>
      <c r="O255" s="3793"/>
      <c r="P255" s="3793"/>
      <c r="Q255" s="3793"/>
      <c r="R255" s="3793"/>
      <c r="T255" s="3795"/>
      <c r="U255" s="3795"/>
    </row>
    <row r="256" spans="2:21" x14ac:dyDescent="0.3">
      <c r="B256" s="3848"/>
      <c r="C256" s="3848"/>
      <c r="D256" s="3848"/>
      <c r="E256" s="3848"/>
      <c r="F256" s="3848"/>
      <c r="G256" s="3848"/>
      <c r="H256" s="3848"/>
      <c r="I256" s="4839"/>
      <c r="J256" s="4839"/>
      <c r="K256" s="3793"/>
      <c r="L256" s="3793"/>
      <c r="M256" s="3793"/>
      <c r="N256" s="3793"/>
      <c r="O256" s="3793"/>
      <c r="P256" s="3793"/>
      <c r="Q256" s="3793"/>
      <c r="R256" s="3793"/>
      <c r="T256" s="3795"/>
      <c r="U256" s="3795"/>
    </row>
    <row r="257" spans="2:21" x14ac:dyDescent="0.3">
      <c r="B257" s="3795"/>
      <c r="C257" s="3795"/>
      <c r="D257" s="3795"/>
      <c r="E257" s="3795"/>
      <c r="F257" s="3795"/>
      <c r="G257" s="3795"/>
      <c r="H257" s="3795"/>
      <c r="I257" s="4839"/>
      <c r="J257" s="4839"/>
      <c r="K257" s="3793"/>
      <c r="L257" s="3793"/>
      <c r="M257" s="3793"/>
      <c r="N257" s="3793"/>
      <c r="O257" s="3793"/>
      <c r="P257" s="3793"/>
      <c r="Q257" s="3793"/>
      <c r="R257" s="3793"/>
      <c r="T257" s="3795"/>
      <c r="U257" s="3795"/>
    </row>
    <row r="258" spans="2:21" x14ac:dyDescent="0.3">
      <c r="B258" s="6255" t="s">
        <v>1109</v>
      </c>
      <c r="C258" s="6249"/>
      <c r="D258" s="6250"/>
      <c r="E258" s="3848"/>
      <c r="F258" s="6255" t="s">
        <v>1110</v>
      </c>
      <c r="G258" s="6249"/>
      <c r="H258" s="6250"/>
      <c r="I258" s="4839"/>
      <c r="J258" s="4839"/>
      <c r="K258" s="3793"/>
      <c r="L258" s="3793"/>
      <c r="M258" s="3793"/>
      <c r="N258" s="3793"/>
      <c r="O258" s="3793"/>
      <c r="P258" s="3795"/>
      <c r="Q258" s="3795"/>
      <c r="R258" s="3795"/>
    </row>
    <row r="259" spans="2:21" x14ac:dyDescent="0.3">
      <c r="B259" s="6256" t="s">
        <v>1111</v>
      </c>
      <c r="C259" s="6257"/>
      <c r="D259" s="6258"/>
      <c r="E259" s="3848"/>
      <c r="F259" s="6256" t="s">
        <v>965</v>
      </c>
      <c r="G259" s="6257"/>
      <c r="H259" s="6258"/>
      <c r="I259" s="4839"/>
      <c r="J259" s="4839"/>
      <c r="K259" s="3795"/>
      <c r="L259" s="3795"/>
      <c r="M259" s="3795"/>
      <c r="N259" s="3795"/>
      <c r="O259" s="3795"/>
      <c r="P259" s="3875"/>
      <c r="Q259" s="3875"/>
      <c r="R259" s="3875"/>
      <c r="S259" s="3876"/>
      <c r="T259" s="3876"/>
      <c r="U259" s="3877"/>
    </row>
    <row r="260" spans="2:21" x14ac:dyDescent="0.3">
      <c r="B260" s="6245" t="s">
        <v>967</v>
      </c>
      <c r="C260" s="6241" t="s">
        <v>968</v>
      </c>
      <c r="D260" s="6241" t="s">
        <v>969</v>
      </c>
      <c r="E260" s="3848"/>
      <c r="F260" s="6245" t="s">
        <v>970</v>
      </c>
      <c r="G260" s="6241" t="s">
        <v>971</v>
      </c>
      <c r="H260" s="6241" t="s">
        <v>972</v>
      </c>
      <c r="I260" s="4839"/>
      <c r="J260" s="4839"/>
      <c r="K260" s="3848"/>
      <c r="L260" s="6248" t="s">
        <v>1112</v>
      </c>
      <c r="M260" s="6249"/>
      <c r="N260" s="6249"/>
      <c r="O260" s="6250"/>
      <c r="P260" s="3875"/>
      <c r="Q260" s="3875"/>
      <c r="R260" s="3875"/>
      <c r="S260" s="3875"/>
      <c r="T260" s="3875"/>
    </row>
    <row r="261" spans="2:21" ht="15" customHeight="1" x14ac:dyDescent="0.3">
      <c r="B261" s="6244"/>
      <c r="C261" s="6242"/>
      <c r="D261" s="6242"/>
      <c r="E261" s="3848"/>
      <c r="F261" s="6244"/>
      <c r="G261" s="6242"/>
      <c r="H261" s="6242"/>
      <c r="I261" s="4839"/>
      <c r="J261" s="4839"/>
      <c r="K261" s="3848"/>
      <c r="L261" s="6245" t="s">
        <v>970</v>
      </c>
      <c r="M261" s="6245" t="s">
        <v>973</v>
      </c>
      <c r="N261" s="6246" t="s">
        <v>1113</v>
      </c>
      <c r="O261" s="6247"/>
      <c r="P261" s="3875"/>
      <c r="Q261" s="3875"/>
      <c r="R261" s="3875"/>
      <c r="S261" s="3875"/>
      <c r="T261" s="3875"/>
    </row>
    <row r="262" spans="2:21" x14ac:dyDescent="0.3">
      <c r="B262" s="3860" t="s">
        <v>976</v>
      </c>
      <c r="C262" s="3851">
        <f>2+2+1+4</f>
        <v>9</v>
      </c>
      <c r="D262" s="3852">
        <f>40+36+20+82</f>
        <v>178</v>
      </c>
      <c r="E262" s="3848"/>
      <c r="F262" s="3853" t="s">
        <v>1060</v>
      </c>
      <c r="G262" s="3853">
        <v>85</v>
      </c>
      <c r="H262" s="3854">
        <v>1700</v>
      </c>
      <c r="I262" s="4839"/>
      <c r="J262" s="4839"/>
      <c r="K262" s="3878"/>
      <c r="L262" s="6244"/>
      <c r="M262" s="6244"/>
      <c r="N262" s="3870" t="s">
        <v>974</v>
      </c>
      <c r="O262" s="3871" t="s">
        <v>975</v>
      </c>
      <c r="P262" s="3875"/>
      <c r="Q262" s="3875"/>
      <c r="R262" s="3875"/>
      <c r="S262" s="3875"/>
      <c r="T262" s="3875"/>
    </row>
    <row r="263" spans="2:21" x14ac:dyDescent="0.3">
      <c r="B263" s="3856" t="s">
        <v>985</v>
      </c>
      <c r="C263" s="3858">
        <f>0+1+3+0+4</f>
        <v>8</v>
      </c>
      <c r="D263" s="3858">
        <f>0+18+145+0+308</f>
        <v>471</v>
      </c>
      <c r="E263" s="3848"/>
      <c r="F263" s="3856" t="s">
        <v>990</v>
      </c>
      <c r="G263" s="3858">
        <f>4213+212+280+2034</f>
        <v>6739</v>
      </c>
      <c r="H263" s="3858">
        <f>42130+2120+1120+20340</f>
        <v>65710</v>
      </c>
      <c r="I263" s="4839"/>
      <c r="J263" s="4839"/>
      <c r="K263" s="3881"/>
      <c r="L263" s="3879"/>
      <c r="M263" s="3879"/>
      <c r="N263" s="3879"/>
      <c r="O263" s="3880"/>
      <c r="P263" s="3875"/>
      <c r="Q263" s="3875"/>
      <c r="R263" s="3875"/>
      <c r="S263" s="3875"/>
      <c r="T263" s="3875"/>
    </row>
    <row r="264" spans="2:21" ht="15" customHeight="1" x14ac:dyDescent="0.3">
      <c r="B264" s="3856" t="s">
        <v>1116</v>
      </c>
      <c r="C264" s="3858">
        <v>2</v>
      </c>
      <c r="D264" s="3858">
        <v>34</v>
      </c>
      <c r="E264" s="3848"/>
      <c r="F264" s="3856" t="s">
        <v>1117</v>
      </c>
      <c r="G264" s="3858">
        <v>60</v>
      </c>
      <c r="H264" s="3858">
        <v>60</v>
      </c>
      <c r="I264" s="4839"/>
      <c r="J264" s="4839"/>
      <c r="K264" s="3848"/>
      <c r="L264" s="3879" t="s">
        <v>1114</v>
      </c>
      <c r="M264" s="6268" t="s">
        <v>1115</v>
      </c>
      <c r="N264" s="6271">
        <v>1876</v>
      </c>
      <c r="O264" s="6251">
        <v>2755</v>
      </c>
      <c r="P264" s="3875"/>
      <c r="Q264" s="3875"/>
      <c r="R264" s="3875"/>
      <c r="S264" s="3875"/>
      <c r="T264" s="3875"/>
    </row>
    <row r="265" spans="2:21" x14ac:dyDescent="0.3">
      <c r="B265" s="3856" t="s">
        <v>994</v>
      </c>
      <c r="C265" s="3858">
        <v>3</v>
      </c>
      <c r="D265" s="3858">
        <v>16</v>
      </c>
      <c r="E265" s="3848"/>
      <c r="F265" s="3856" t="s">
        <v>1094</v>
      </c>
      <c r="G265" s="3858">
        <v>21</v>
      </c>
      <c r="H265" s="3858">
        <v>252</v>
      </c>
      <c r="I265" s="4839"/>
      <c r="J265" s="4839"/>
      <c r="K265" s="3848"/>
      <c r="L265" s="6268" t="s">
        <v>1118</v>
      </c>
      <c r="M265" s="6269"/>
      <c r="N265" s="6272"/>
      <c r="O265" s="6274"/>
      <c r="P265" s="3875"/>
      <c r="Q265" s="3875"/>
      <c r="R265" s="3875"/>
      <c r="S265" s="3875"/>
      <c r="T265" s="3875"/>
    </row>
    <row r="266" spans="2:21" x14ac:dyDescent="0.3">
      <c r="B266" s="3856" t="s">
        <v>993</v>
      </c>
      <c r="C266" s="3858">
        <f>6+2+4+2+8</f>
        <v>22</v>
      </c>
      <c r="D266" s="3858">
        <f>2880+516+1550+210+1812</f>
        <v>6968</v>
      </c>
      <c r="E266" s="3848"/>
      <c r="F266" s="3856" t="s">
        <v>1119</v>
      </c>
      <c r="G266" s="3858">
        <v>10</v>
      </c>
      <c r="H266" s="3858">
        <v>150</v>
      </c>
      <c r="I266" s="4839"/>
      <c r="J266" s="4839"/>
      <c r="K266" s="3848"/>
      <c r="L266" s="6269"/>
      <c r="M266" s="6269"/>
      <c r="N266" s="6272"/>
      <c r="O266" s="6274"/>
      <c r="P266" s="3875"/>
      <c r="Q266" s="3875"/>
      <c r="R266" s="3875"/>
      <c r="S266" s="3875"/>
      <c r="T266" s="3875"/>
    </row>
    <row r="267" spans="2:21" x14ac:dyDescent="0.3">
      <c r="B267" s="3856" t="s">
        <v>998</v>
      </c>
      <c r="C267" s="3858">
        <f>1+3+3</f>
        <v>7</v>
      </c>
      <c r="D267" s="3858">
        <f>192+314+576</f>
        <v>1082</v>
      </c>
      <c r="E267" s="3848"/>
      <c r="F267" s="3856" t="s">
        <v>1068</v>
      </c>
      <c r="G267" s="3858">
        <v>2</v>
      </c>
      <c r="H267" s="3858">
        <v>50</v>
      </c>
      <c r="I267" s="4839"/>
      <c r="J267" s="4839"/>
      <c r="K267" s="3848"/>
      <c r="L267" s="6270"/>
      <c r="M267" s="6270"/>
      <c r="N267" s="6273"/>
      <c r="O267" s="6252"/>
      <c r="P267" s="3875"/>
      <c r="Q267" s="3875"/>
      <c r="R267" s="3875"/>
      <c r="S267" s="3875"/>
      <c r="T267" s="3875"/>
    </row>
    <row r="268" spans="2:21" x14ac:dyDescent="0.3">
      <c r="B268" s="3856" t="s">
        <v>999</v>
      </c>
      <c r="C268" s="3858">
        <f>2+4+4</f>
        <v>10</v>
      </c>
      <c r="D268" s="3858">
        <f>210+1230+1576</f>
        <v>3016</v>
      </c>
      <c r="E268" s="3848"/>
      <c r="F268" s="3856" t="s">
        <v>994</v>
      </c>
      <c r="G268" s="3858">
        <v>388</v>
      </c>
      <c r="H268" s="3858">
        <v>1552</v>
      </c>
      <c r="I268" s="4839"/>
      <c r="J268" s="4839"/>
      <c r="K268" s="3848"/>
      <c r="L268" s="3873" t="s">
        <v>1120</v>
      </c>
      <c r="M268" s="6268" t="s">
        <v>1121</v>
      </c>
      <c r="N268" s="6271">
        <v>1009</v>
      </c>
      <c r="O268" s="6251">
        <v>2480</v>
      </c>
      <c r="P268" s="3875"/>
      <c r="Q268" s="3875"/>
      <c r="R268" s="3875"/>
      <c r="S268" s="3875"/>
      <c r="T268" s="3875"/>
    </row>
    <row r="269" spans="2:21" x14ac:dyDescent="0.3">
      <c r="B269" s="3856" t="s">
        <v>1003</v>
      </c>
      <c r="C269" s="3858">
        <f>3+1</f>
        <v>4</v>
      </c>
      <c r="D269" s="3858">
        <f>69+25</f>
        <v>94</v>
      </c>
      <c r="E269" s="3848"/>
      <c r="F269" s="3856" t="s">
        <v>1070</v>
      </c>
      <c r="G269" s="3858">
        <f>3599+2290</f>
        <v>5889</v>
      </c>
      <c r="H269" s="3858">
        <f>3599+2290</f>
        <v>5889</v>
      </c>
      <c r="I269" s="4839"/>
      <c r="J269" s="4839"/>
      <c r="K269" s="3848"/>
      <c r="L269" s="6275" t="s">
        <v>1122</v>
      </c>
      <c r="M269" s="6269"/>
      <c r="N269" s="6272"/>
      <c r="O269" s="6274"/>
      <c r="P269" s="3875"/>
      <c r="Q269" s="3875"/>
      <c r="R269" s="3875"/>
      <c r="S269" s="3875"/>
      <c r="T269" s="3875"/>
    </row>
    <row r="270" spans="2:21" x14ac:dyDescent="0.3">
      <c r="B270" s="3856" t="s">
        <v>1123</v>
      </c>
      <c r="C270" s="3858">
        <v>1</v>
      </c>
      <c r="D270" s="3858">
        <v>310</v>
      </c>
      <c r="E270" s="3848"/>
      <c r="F270" s="3856" t="s">
        <v>1101</v>
      </c>
      <c r="G270" s="3858">
        <v>1142</v>
      </c>
      <c r="H270" s="3858">
        <v>22840</v>
      </c>
      <c r="I270" s="4839"/>
      <c r="J270" s="4839"/>
      <c r="K270" s="3848"/>
      <c r="L270" s="6276"/>
      <c r="M270" s="6269"/>
      <c r="N270" s="6272"/>
      <c r="O270" s="6274"/>
      <c r="P270" s="3875"/>
      <c r="Q270" s="3875"/>
      <c r="R270" s="3875"/>
      <c r="S270" s="3875"/>
      <c r="T270" s="3875"/>
    </row>
    <row r="271" spans="2:21" x14ac:dyDescent="0.3">
      <c r="B271" s="3856" t="s">
        <v>1052</v>
      </c>
      <c r="C271" s="3858">
        <v>1</v>
      </c>
      <c r="D271" s="3858">
        <v>248</v>
      </c>
      <c r="E271" s="3848"/>
      <c r="F271" s="3856" t="s">
        <v>993</v>
      </c>
      <c r="G271" s="3858">
        <f>535+230</f>
        <v>765</v>
      </c>
      <c r="H271" s="3858">
        <f>5295+1380</f>
        <v>6675</v>
      </c>
      <c r="I271" s="4839"/>
      <c r="J271" s="4839"/>
      <c r="K271" s="3848"/>
      <c r="L271" s="6276"/>
      <c r="M271" s="6269"/>
      <c r="N271" s="6272"/>
      <c r="O271" s="6274"/>
      <c r="P271" s="3875"/>
      <c r="Q271" s="3875"/>
      <c r="R271" s="3875"/>
      <c r="S271" s="3875"/>
      <c r="T271" s="3875"/>
    </row>
    <row r="272" spans="2:21" x14ac:dyDescent="0.3">
      <c r="B272" s="3856" t="s">
        <v>1053</v>
      </c>
      <c r="C272" s="3858">
        <v>6</v>
      </c>
      <c r="D272" s="3858">
        <v>130</v>
      </c>
      <c r="E272" s="3848"/>
      <c r="F272" s="3856" t="s">
        <v>999</v>
      </c>
      <c r="G272" s="3858">
        <f>1213+680</f>
        <v>1893</v>
      </c>
      <c r="H272" s="3858">
        <f>24706+14960</f>
        <v>39666</v>
      </c>
      <c r="I272" s="4839"/>
      <c r="J272" s="4839"/>
      <c r="K272" s="3848"/>
      <c r="L272" s="6277"/>
      <c r="M272" s="6270"/>
      <c r="N272" s="6273"/>
      <c r="O272" s="6252"/>
      <c r="P272" s="3875"/>
      <c r="Q272" s="3875"/>
      <c r="R272" s="3875"/>
      <c r="S272" s="3875"/>
      <c r="T272" s="3875"/>
    </row>
    <row r="273" spans="2:20" x14ac:dyDescent="0.3">
      <c r="B273" s="3856" t="s">
        <v>1011</v>
      </c>
      <c r="C273" s="3858">
        <v>4</v>
      </c>
      <c r="D273" s="3858">
        <v>70</v>
      </c>
      <c r="E273" s="3848"/>
      <c r="F273" s="3856" t="s">
        <v>1104</v>
      </c>
      <c r="G273" s="3858">
        <f>80+161</f>
        <v>241</v>
      </c>
      <c r="H273" s="3858">
        <f>600+2415</f>
        <v>3015</v>
      </c>
      <c r="I273" s="4839"/>
      <c r="J273" s="4839"/>
      <c r="K273" s="3848"/>
      <c r="L273" s="6260" t="s">
        <v>979</v>
      </c>
      <c r="M273" s="3872" t="s">
        <v>1124</v>
      </c>
      <c r="N273" s="3857"/>
      <c r="O273" s="3869"/>
      <c r="P273" s="3875"/>
      <c r="Q273" s="3875"/>
      <c r="R273" s="3875"/>
      <c r="S273" s="3875"/>
      <c r="T273" s="3875"/>
    </row>
    <row r="274" spans="2:20" x14ac:dyDescent="0.3">
      <c r="B274" s="3856" t="s">
        <v>1014</v>
      </c>
      <c r="C274" s="3858">
        <v>2</v>
      </c>
      <c r="D274" s="3858">
        <v>26</v>
      </c>
      <c r="E274" s="3848"/>
      <c r="F274" s="3856" t="s">
        <v>1002</v>
      </c>
      <c r="G274" s="3858">
        <f>3955+142285+163300</f>
        <v>309540</v>
      </c>
      <c r="H274" s="3858">
        <f>3955+142285+163300</f>
        <v>309540</v>
      </c>
      <c r="I274" s="4839"/>
      <c r="J274" s="4839"/>
      <c r="K274" s="3848"/>
      <c r="L274" s="6261"/>
      <c r="M274" s="3872" t="s">
        <v>1125</v>
      </c>
      <c r="N274" s="3857"/>
      <c r="O274" s="3869"/>
      <c r="P274" s="3875"/>
      <c r="Q274" s="3875"/>
      <c r="R274" s="3875"/>
      <c r="S274" s="3875"/>
      <c r="T274" s="3875"/>
    </row>
    <row r="275" spans="2:20" x14ac:dyDescent="0.3">
      <c r="B275" s="3856" t="s">
        <v>1016</v>
      </c>
      <c r="C275" s="3858">
        <f>1+2+6</f>
        <v>9</v>
      </c>
      <c r="D275" s="3858">
        <f>40+40+92</f>
        <v>172</v>
      </c>
      <c r="E275" s="3848"/>
      <c r="F275" s="3856" t="s">
        <v>1127</v>
      </c>
      <c r="G275" s="3858">
        <v>8</v>
      </c>
      <c r="H275" s="3858">
        <v>96</v>
      </c>
      <c r="I275" s="4839"/>
      <c r="J275" s="4839"/>
      <c r="K275" s="3848"/>
      <c r="L275" s="3856" t="s">
        <v>1047</v>
      </c>
      <c r="M275" s="3872" t="s">
        <v>1126</v>
      </c>
      <c r="N275" s="3857">
        <v>4332</v>
      </c>
      <c r="O275" s="3869">
        <v>7350</v>
      </c>
      <c r="P275" s="3875"/>
      <c r="Q275" s="3875"/>
      <c r="R275" s="3875"/>
      <c r="S275" s="3875"/>
      <c r="T275" s="3875"/>
    </row>
    <row r="276" spans="2:20" x14ac:dyDescent="0.3">
      <c r="B276" s="3855" t="s">
        <v>1018</v>
      </c>
      <c r="C276" s="3858">
        <v>2</v>
      </c>
      <c r="D276" s="3858">
        <v>128</v>
      </c>
      <c r="E276" s="3848"/>
      <c r="F276" s="3856" t="s">
        <v>1006</v>
      </c>
      <c r="G276" s="3858">
        <f>251+556</f>
        <v>807</v>
      </c>
      <c r="H276" s="3858">
        <f>1004+2224</f>
        <v>3228</v>
      </c>
      <c r="I276" s="4839"/>
      <c r="J276" s="4839"/>
      <c r="K276" s="3848"/>
      <c r="L276" s="6262" t="s">
        <v>1095</v>
      </c>
      <c r="M276" s="3872" t="s">
        <v>1128</v>
      </c>
      <c r="N276" s="3857">
        <v>4975</v>
      </c>
      <c r="O276" s="3869">
        <v>7350</v>
      </c>
      <c r="P276" s="3875"/>
      <c r="Q276" s="3875"/>
      <c r="R276" s="3875"/>
      <c r="S276" s="3875"/>
      <c r="T276" s="3875"/>
    </row>
    <row r="277" spans="2:20" x14ac:dyDescent="0.3">
      <c r="B277" s="3856" t="s">
        <v>1106</v>
      </c>
      <c r="C277" s="3858">
        <v>7</v>
      </c>
      <c r="D277" s="3858">
        <v>52</v>
      </c>
      <c r="E277" s="3848"/>
      <c r="F277" s="3856" t="s">
        <v>1130</v>
      </c>
      <c r="G277" s="3858">
        <v>1</v>
      </c>
      <c r="H277" s="3858">
        <v>35</v>
      </c>
      <c r="I277" s="4839"/>
      <c r="J277" s="4839"/>
      <c r="K277" s="3848"/>
      <c r="L277" s="6263"/>
      <c r="M277" s="3872" t="s">
        <v>1129</v>
      </c>
      <c r="N277" s="3857"/>
      <c r="O277" s="3869"/>
      <c r="P277" s="3875"/>
      <c r="Q277" s="3875"/>
      <c r="R277" s="3875"/>
      <c r="S277" s="3875"/>
      <c r="T277" s="3875"/>
    </row>
    <row r="278" spans="2:20" x14ac:dyDescent="0.3">
      <c r="B278" s="3851" t="s">
        <v>1108</v>
      </c>
      <c r="C278" s="3858">
        <v>6</v>
      </c>
      <c r="D278" s="3858">
        <v>100</v>
      </c>
      <c r="E278" s="3848"/>
      <c r="F278" s="3856" t="s">
        <v>1076</v>
      </c>
      <c r="G278" s="3858">
        <v>40</v>
      </c>
      <c r="H278" s="3858">
        <v>240</v>
      </c>
      <c r="I278" s="4839"/>
      <c r="J278" s="4839"/>
      <c r="K278" s="3848"/>
      <c r="L278" s="3873" t="s">
        <v>1048</v>
      </c>
      <c r="M278" s="3872"/>
      <c r="N278" s="3857"/>
      <c r="O278" s="3869"/>
      <c r="P278" s="3875"/>
      <c r="Q278" s="3875"/>
      <c r="R278" s="3875"/>
      <c r="S278" s="3875"/>
      <c r="T278" s="3875"/>
    </row>
    <row r="279" spans="2:20" x14ac:dyDescent="0.3">
      <c r="B279" s="3851" t="s">
        <v>1078</v>
      </c>
      <c r="C279" s="3858">
        <f>1+7</f>
        <v>8</v>
      </c>
      <c r="D279" s="3858">
        <f>40+664</f>
        <v>704</v>
      </c>
      <c r="E279" s="3848"/>
      <c r="F279" s="3856" t="s">
        <v>1042</v>
      </c>
      <c r="G279" s="3858">
        <v>66</v>
      </c>
      <c r="H279" s="3858">
        <v>1320</v>
      </c>
      <c r="I279" s="4839"/>
      <c r="J279" s="4839"/>
      <c r="K279" s="3848"/>
      <c r="L279" s="6275" t="s">
        <v>1131</v>
      </c>
      <c r="M279" s="6278" t="s">
        <v>1099</v>
      </c>
      <c r="N279" s="6271">
        <v>777</v>
      </c>
      <c r="O279" s="6251">
        <v>2300</v>
      </c>
      <c r="P279" s="3875"/>
      <c r="Q279" s="3875"/>
      <c r="R279" s="3875"/>
      <c r="S279" s="3875"/>
      <c r="T279" s="3875"/>
    </row>
    <row r="280" spans="2:20" x14ac:dyDescent="0.3">
      <c r="B280" s="3863" t="s">
        <v>279</v>
      </c>
      <c r="C280" s="3864">
        <f>SUM(C262:C279)</f>
        <v>111</v>
      </c>
      <c r="D280" s="3864">
        <f>SUM(D262:D279)</f>
        <v>13799</v>
      </c>
      <c r="E280" s="3848"/>
      <c r="F280" s="3856" t="s">
        <v>1010</v>
      </c>
      <c r="G280" s="3858">
        <v>4158</v>
      </c>
      <c r="H280" s="3858">
        <v>4158</v>
      </c>
      <c r="I280" s="4839"/>
      <c r="J280" s="4839"/>
      <c r="K280" s="3848"/>
      <c r="L280" s="6276"/>
      <c r="M280" s="6279"/>
      <c r="N280" s="6272"/>
      <c r="O280" s="6274"/>
      <c r="P280" s="3875"/>
      <c r="Q280" s="3875"/>
      <c r="R280" s="3875"/>
      <c r="S280" s="3875"/>
      <c r="T280" s="3875"/>
    </row>
    <row r="281" spans="2:20" x14ac:dyDescent="0.3">
      <c r="B281" s="6281" t="s">
        <v>1027</v>
      </c>
      <c r="C281" s="6281"/>
      <c r="D281" s="6281"/>
      <c r="E281" s="3848"/>
      <c r="F281" s="3855" t="s">
        <v>1012</v>
      </c>
      <c r="G281" s="3858">
        <f>800+21300</f>
        <v>22100</v>
      </c>
      <c r="H281" s="3858">
        <f>800+21300</f>
        <v>22100</v>
      </c>
      <c r="I281" s="4839"/>
      <c r="J281" s="4839"/>
      <c r="K281" s="3848"/>
      <c r="L281" s="6277"/>
      <c r="M281" s="6280"/>
      <c r="N281" s="6273"/>
      <c r="O281" s="6252"/>
      <c r="P281" s="3875"/>
      <c r="Q281" s="3875"/>
      <c r="R281" s="3875"/>
      <c r="S281" s="3875"/>
      <c r="T281" s="3875"/>
    </row>
    <row r="282" spans="2:20" x14ac:dyDescent="0.3">
      <c r="B282" s="3841"/>
      <c r="C282" s="3884"/>
      <c r="D282" s="3884"/>
      <c r="E282" s="3848"/>
      <c r="F282" s="3856" t="s">
        <v>1107</v>
      </c>
      <c r="G282" s="3858">
        <v>485</v>
      </c>
      <c r="H282" s="3858">
        <v>485</v>
      </c>
      <c r="I282" s="4839"/>
      <c r="J282" s="4839"/>
      <c r="K282" s="3848"/>
      <c r="L282" s="3882" t="s">
        <v>279</v>
      </c>
      <c r="M282" s="3883"/>
      <c r="N282" s="3864">
        <f>SUM(N264:N281)</f>
        <v>12969</v>
      </c>
      <c r="O282" s="3864">
        <f>SUM(O264:O281)</f>
        <v>22235</v>
      </c>
      <c r="P282" s="3875"/>
      <c r="Q282" s="3875"/>
      <c r="R282" s="3875"/>
      <c r="S282" s="3875"/>
      <c r="T282" s="3875"/>
    </row>
    <row r="283" spans="2:20" x14ac:dyDescent="0.3">
      <c r="B283" s="3848"/>
      <c r="C283" s="3848"/>
      <c r="D283" s="3848"/>
      <c r="E283" s="3848"/>
      <c r="F283" s="3856" t="s">
        <v>1017</v>
      </c>
      <c r="G283" s="3858">
        <v>16380</v>
      </c>
      <c r="H283" s="3858">
        <v>16380</v>
      </c>
      <c r="I283" s="4839"/>
      <c r="J283" s="4839"/>
      <c r="K283" s="3848"/>
      <c r="L283" s="3848"/>
      <c r="M283" s="3848"/>
      <c r="N283" s="3848"/>
      <c r="O283" s="3848"/>
      <c r="P283" s="3875"/>
      <c r="Q283" s="3875"/>
      <c r="R283" s="3875"/>
      <c r="S283" s="3875"/>
      <c r="T283" s="3875"/>
    </row>
    <row r="284" spans="2:20" x14ac:dyDescent="0.3">
      <c r="B284" s="3848"/>
      <c r="C284" s="3848"/>
      <c r="D284" s="3848"/>
      <c r="E284" s="3848"/>
      <c r="F284" s="3856" t="s">
        <v>1011</v>
      </c>
      <c r="G284" s="3858">
        <v>4039</v>
      </c>
      <c r="H284" s="3858">
        <v>8078</v>
      </c>
      <c r="I284" s="4839"/>
      <c r="J284" s="4839"/>
      <c r="K284" s="3848"/>
      <c r="L284" s="3848"/>
      <c r="M284" s="3848"/>
      <c r="N284" s="3848"/>
      <c r="O284" s="3848"/>
      <c r="P284" s="3875"/>
      <c r="Q284" s="3875"/>
      <c r="R284" s="3875"/>
      <c r="S284" s="3875"/>
      <c r="T284" s="3875"/>
    </row>
    <row r="285" spans="2:20" x14ac:dyDescent="0.3">
      <c r="B285" s="3848"/>
      <c r="C285" s="3848"/>
      <c r="D285" s="3848"/>
      <c r="E285" s="3848"/>
      <c r="F285" s="3856" t="s">
        <v>1020</v>
      </c>
      <c r="G285" s="3858">
        <v>91</v>
      </c>
      <c r="H285" s="3858">
        <v>910</v>
      </c>
      <c r="I285" s="4839"/>
      <c r="J285" s="4839"/>
      <c r="K285" s="3848"/>
      <c r="L285" s="3848"/>
      <c r="M285" s="3848"/>
      <c r="N285" s="3848"/>
      <c r="O285" s="3848"/>
      <c r="P285" s="3875"/>
      <c r="Q285" s="3875"/>
      <c r="R285" s="3875"/>
      <c r="S285" s="3875"/>
      <c r="T285" s="3875"/>
    </row>
    <row r="286" spans="2:20" x14ac:dyDescent="0.3">
      <c r="B286" s="3848"/>
      <c r="C286" s="3848"/>
      <c r="D286" s="3848"/>
      <c r="E286" s="3848"/>
      <c r="F286" s="3860" t="s">
        <v>978</v>
      </c>
      <c r="G286" s="3851">
        <f>488+153+165</f>
        <v>806</v>
      </c>
      <c r="H286" s="3852">
        <f>976+306+330</f>
        <v>1612</v>
      </c>
      <c r="I286" s="4839"/>
      <c r="J286" s="4839"/>
      <c r="K286" s="3848"/>
      <c r="L286" s="3848"/>
      <c r="M286" s="3848"/>
      <c r="N286" s="3848"/>
      <c r="O286" s="3848"/>
      <c r="P286" s="3875"/>
      <c r="Q286" s="3875"/>
      <c r="R286" s="3875"/>
      <c r="S286" s="3875"/>
      <c r="T286" s="3875"/>
    </row>
    <row r="287" spans="2:20" x14ac:dyDescent="0.3">
      <c r="B287" s="3848"/>
      <c r="C287" s="3848"/>
      <c r="D287" s="3848"/>
      <c r="E287" s="3848"/>
      <c r="F287" s="3856" t="s">
        <v>1016</v>
      </c>
      <c r="G287" s="3858">
        <f>5184+872+2430+322</f>
        <v>8808</v>
      </c>
      <c r="H287" s="3858">
        <f>10368+3488+4860+1932</f>
        <v>20648</v>
      </c>
      <c r="I287" s="4839"/>
      <c r="J287" s="4839"/>
      <c r="K287" s="3848"/>
      <c r="L287" s="3848"/>
      <c r="M287" s="3848"/>
      <c r="N287" s="3848"/>
      <c r="O287" s="3848"/>
      <c r="P287" s="3885"/>
      <c r="Q287" s="3885"/>
      <c r="R287" s="3885"/>
      <c r="S287" s="3875"/>
      <c r="T287" s="3875"/>
    </row>
    <row r="288" spans="2:20" x14ac:dyDescent="0.3">
      <c r="B288" s="3848"/>
      <c r="C288" s="3848"/>
      <c r="D288" s="3848"/>
      <c r="E288" s="3848"/>
      <c r="F288" s="3856" t="s">
        <v>1022</v>
      </c>
      <c r="G288" s="3858">
        <v>114</v>
      </c>
      <c r="H288" s="3858">
        <v>456</v>
      </c>
      <c r="I288" s="4839"/>
      <c r="J288" s="4839"/>
      <c r="K288" s="3848"/>
      <c r="L288" s="3848"/>
      <c r="M288" s="3848"/>
      <c r="N288" s="3848"/>
      <c r="O288" s="3848"/>
      <c r="P288" s="3875"/>
      <c r="Q288" s="3875"/>
      <c r="R288" s="3875"/>
      <c r="S288" s="3875"/>
      <c r="T288" s="3875"/>
    </row>
    <row r="289" spans="2:20" x14ac:dyDescent="0.3">
      <c r="B289" s="3848"/>
      <c r="C289" s="3848"/>
      <c r="D289" s="3848"/>
      <c r="E289" s="3848"/>
      <c r="F289" s="3856" t="s">
        <v>1078</v>
      </c>
      <c r="G289" s="3858">
        <f>12+241</f>
        <v>253</v>
      </c>
      <c r="H289" s="3858">
        <f>482+2892</f>
        <v>3374</v>
      </c>
      <c r="I289" s="4839"/>
      <c r="J289" s="4839"/>
      <c r="K289" s="3848"/>
      <c r="L289" s="3848"/>
      <c r="M289" s="3848"/>
      <c r="N289" s="3848"/>
      <c r="O289" s="3848"/>
      <c r="P289" s="3875"/>
      <c r="Q289" s="3875"/>
      <c r="R289" s="3875"/>
      <c r="S289" s="3875"/>
      <c r="T289" s="3875"/>
    </row>
    <row r="290" spans="2:20" ht="15" customHeight="1" x14ac:dyDescent="0.3">
      <c r="B290" s="3848"/>
      <c r="C290" s="3848"/>
      <c r="D290" s="3848"/>
      <c r="E290" s="3848"/>
      <c r="F290" s="3863" t="s">
        <v>279</v>
      </c>
      <c r="G290" s="3864">
        <f>SUM(G262:G289)</f>
        <v>384931</v>
      </c>
      <c r="H290" s="3864">
        <f>SUM(H262:H289)</f>
        <v>540219</v>
      </c>
      <c r="I290" s="4839"/>
      <c r="J290" s="4839"/>
      <c r="K290" s="3848"/>
      <c r="L290" s="3886"/>
      <c r="M290" s="3848"/>
      <c r="N290" s="3848"/>
      <c r="O290" s="3848"/>
      <c r="P290" s="3875"/>
      <c r="Q290" s="3875"/>
      <c r="R290" s="3875"/>
      <c r="S290" s="3875"/>
      <c r="T290" s="3875"/>
    </row>
    <row r="291" spans="2:20" ht="15" customHeight="1" x14ac:dyDescent="0.3">
      <c r="B291" s="3848"/>
      <c r="C291" s="3848"/>
      <c r="D291" s="3848"/>
      <c r="E291" s="3848"/>
      <c r="F291" s="3887" t="s">
        <v>1027</v>
      </c>
      <c r="G291" s="3848"/>
      <c r="H291" s="3848"/>
      <c r="I291" s="4839"/>
      <c r="J291" s="4839"/>
      <c r="K291" s="3848"/>
      <c r="L291" s="3848"/>
      <c r="M291" s="3848"/>
      <c r="N291" s="3848"/>
      <c r="O291" s="3848"/>
      <c r="P291" s="3875"/>
      <c r="Q291" s="3875"/>
      <c r="R291" s="3875"/>
      <c r="S291" s="3875"/>
      <c r="T291" s="3875"/>
    </row>
    <row r="292" spans="2:20" x14ac:dyDescent="0.3">
      <c r="B292" s="3875"/>
      <c r="C292" s="3875"/>
      <c r="D292" s="3875"/>
      <c r="E292" s="3875"/>
      <c r="F292" s="3875"/>
      <c r="G292" s="3875"/>
      <c r="H292" s="3875"/>
      <c r="I292" s="4839"/>
      <c r="J292" s="4839"/>
      <c r="K292" s="3848"/>
      <c r="L292" s="3886"/>
      <c r="M292" s="3848"/>
      <c r="N292" s="3848"/>
      <c r="O292" s="3848"/>
      <c r="P292" s="3875"/>
      <c r="Q292" s="3875"/>
      <c r="R292" s="3875"/>
      <c r="S292" s="3875"/>
      <c r="T292" s="3875"/>
    </row>
    <row r="293" spans="2:20" x14ac:dyDescent="0.3">
      <c r="B293" s="6282" t="s">
        <v>1109</v>
      </c>
      <c r="C293" s="6283"/>
      <c r="D293" s="6284"/>
      <c r="E293" s="3887"/>
      <c r="F293" s="6282" t="s">
        <v>1132</v>
      </c>
      <c r="G293" s="6283"/>
      <c r="H293" s="6284"/>
      <c r="I293" s="4839"/>
      <c r="J293" s="4839"/>
      <c r="K293" s="3848"/>
      <c r="L293" s="3848"/>
      <c r="M293" s="3848"/>
      <c r="N293" s="3848"/>
      <c r="O293" s="3848"/>
      <c r="P293" s="3875"/>
      <c r="Q293" s="3875"/>
      <c r="R293" s="3875"/>
      <c r="S293" s="3875"/>
      <c r="T293" s="3875"/>
    </row>
    <row r="294" spans="2:20" x14ac:dyDescent="0.3">
      <c r="B294" s="6256" t="s">
        <v>1133</v>
      </c>
      <c r="C294" s="6257"/>
      <c r="D294" s="6258"/>
      <c r="E294" s="3887"/>
      <c r="F294" s="6256" t="s">
        <v>965</v>
      </c>
      <c r="G294" s="6257"/>
      <c r="H294" s="6258"/>
      <c r="I294" s="4839"/>
      <c r="J294" s="4839"/>
      <c r="K294" s="3875"/>
      <c r="L294" s="3875"/>
      <c r="M294" s="3875"/>
      <c r="N294" s="3875"/>
      <c r="O294" s="3875"/>
      <c r="P294" s="3875"/>
      <c r="Q294" s="3875"/>
      <c r="R294" s="3875"/>
      <c r="S294" s="3875"/>
      <c r="T294" s="3875"/>
    </row>
    <row r="295" spans="2:20" x14ac:dyDescent="0.3">
      <c r="B295" s="6299" t="s">
        <v>967</v>
      </c>
      <c r="C295" s="6300" t="s">
        <v>968</v>
      </c>
      <c r="D295" s="6287" t="s">
        <v>1032</v>
      </c>
      <c r="E295" s="3848"/>
      <c r="F295" s="6299" t="s">
        <v>970</v>
      </c>
      <c r="G295" s="6287" t="s">
        <v>1135</v>
      </c>
      <c r="H295" s="6287" t="s">
        <v>1136</v>
      </c>
      <c r="I295" s="4839"/>
      <c r="J295" s="4839"/>
      <c r="K295" s="3848"/>
      <c r="L295" s="6302" t="s">
        <v>1134</v>
      </c>
      <c r="M295" s="6283"/>
      <c r="N295" s="6283"/>
      <c r="O295" s="6284"/>
      <c r="P295" s="3875"/>
      <c r="Q295" s="3875"/>
      <c r="R295" s="3875"/>
      <c r="S295" s="3875"/>
      <c r="T295" s="3875"/>
    </row>
    <row r="296" spans="2:20" ht="15" customHeight="1" x14ac:dyDescent="0.3">
      <c r="B296" s="6299"/>
      <c r="C296" s="6301"/>
      <c r="D296" s="6286"/>
      <c r="E296" s="3848"/>
      <c r="F296" s="6299"/>
      <c r="G296" s="6286"/>
      <c r="H296" s="6286"/>
      <c r="I296" s="4839"/>
      <c r="J296" s="4839"/>
      <c r="K296" s="3848"/>
      <c r="L296" s="6285" t="s">
        <v>970</v>
      </c>
      <c r="M296" s="6287" t="s">
        <v>973</v>
      </c>
      <c r="N296" s="6288" t="s">
        <v>1136</v>
      </c>
      <c r="O296" s="6289"/>
      <c r="P296" s="3875"/>
      <c r="Q296" s="3875"/>
      <c r="R296" s="3875"/>
      <c r="S296" s="3875"/>
      <c r="T296" s="3875"/>
    </row>
    <row r="297" spans="2:20" x14ac:dyDescent="0.3">
      <c r="B297" s="323"/>
      <c r="C297" s="323"/>
      <c r="D297" s="323"/>
      <c r="E297" s="3887"/>
      <c r="F297" s="323"/>
      <c r="G297" s="323"/>
      <c r="H297" s="323"/>
      <c r="I297" s="4839"/>
      <c r="J297" s="4839"/>
      <c r="K297" s="3848"/>
      <c r="L297" s="6286"/>
      <c r="M297" s="6286"/>
      <c r="N297" s="3888" t="s">
        <v>974</v>
      </c>
      <c r="O297" s="3889" t="s">
        <v>975</v>
      </c>
      <c r="P297" s="3875"/>
      <c r="Q297" s="3875"/>
      <c r="R297" s="3875"/>
      <c r="S297" s="3875"/>
      <c r="T297" s="3875"/>
    </row>
    <row r="298" spans="2:20" x14ac:dyDescent="0.3">
      <c r="B298" s="3890" t="s">
        <v>976</v>
      </c>
      <c r="C298" s="3891">
        <f>2+3+7+1</f>
        <v>13</v>
      </c>
      <c r="D298" s="3892">
        <f>38+78+126+50</f>
        <v>292</v>
      </c>
      <c r="E298" s="3887"/>
      <c r="F298" s="3893" t="s">
        <v>978</v>
      </c>
      <c r="G298" s="3891">
        <f>96+0+0+320</f>
        <v>416</v>
      </c>
      <c r="H298" s="3892">
        <f>2112+0+0+675</f>
        <v>2787</v>
      </c>
      <c r="I298" s="4839"/>
      <c r="J298" s="4839"/>
      <c r="K298" s="3848"/>
      <c r="L298" s="323"/>
      <c r="M298" s="323"/>
      <c r="N298" s="323"/>
      <c r="O298" s="3848"/>
      <c r="P298" s="3875"/>
      <c r="Q298" s="3875"/>
      <c r="R298" s="3875"/>
      <c r="S298" s="3875"/>
      <c r="T298" s="3875"/>
    </row>
    <row r="299" spans="2:20" x14ac:dyDescent="0.3">
      <c r="B299" s="3890" t="s">
        <v>981</v>
      </c>
      <c r="C299" s="3891">
        <v>8</v>
      </c>
      <c r="D299" s="3892">
        <f>0+0+2298</f>
        <v>2298</v>
      </c>
      <c r="E299" s="3887"/>
      <c r="F299" s="3895" t="s">
        <v>1139</v>
      </c>
      <c r="G299" s="3896">
        <f>0+0+140</f>
        <v>140</v>
      </c>
      <c r="H299" s="3896">
        <f>0+0+274</f>
        <v>274</v>
      </c>
      <c r="I299" s="4839"/>
      <c r="J299" s="4839"/>
      <c r="K299" s="3887"/>
      <c r="L299" s="3894" t="s">
        <v>1137</v>
      </c>
      <c r="M299" s="6290" t="s">
        <v>1138</v>
      </c>
      <c r="N299" s="6292">
        <v>1044</v>
      </c>
      <c r="O299" s="6295">
        <f>4840-1044</f>
        <v>3796</v>
      </c>
      <c r="P299" s="3875"/>
      <c r="Q299" s="3875"/>
      <c r="R299" s="3875"/>
      <c r="S299" s="3875"/>
      <c r="T299" s="3875"/>
    </row>
    <row r="300" spans="2:20" x14ac:dyDescent="0.3">
      <c r="B300" s="3897" t="s">
        <v>985</v>
      </c>
      <c r="C300" s="3861">
        <f>0+1+5+7</f>
        <v>13</v>
      </c>
      <c r="D300" s="3861">
        <f>0+12+396+192</f>
        <v>600</v>
      </c>
      <c r="E300" s="3887"/>
      <c r="F300" s="3898" t="s">
        <v>1141</v>
      </c>
      <c r="G300" s="3899">
        <f>75+51</f>
        <v>126</v>
      </c>
      <c r="H300" s="3899">
        <f>715+128+51</f>
        <v>894</v>
      </c>
      <c r="I300" s="4839"/>
      <c r="J300" s="4839"/>
      <c r="K300" s="3887"/>
      <c r="L300" s="6298" t="s">
        <v>1140</v>
      </c>
      <c r="M300" s="6291"/>
      <c r="N300" s="6293"/>
      <c r="O300" s="6296"/>
      <c r="P300" s="3875"/>
      <c r="Q300" s="3875"/>
      <c r="R300" s="3875"/>
      <c r="S300" s="3875"/>
      <c r="T300" s="3875"/>
    </row>
    <row r="301" spans="2:20" x14ac:dyDescent="0.3">
      <c r="B301" s="6307" t="s">
        <v>1142</v>
      </c>
      <c r="C301" s="6251">
        <f>2+0+2</f>
        <v>4</v>
      </c>
      <c r="D301" s="6251">
        <f>36+0+85</f>
        <v>121</v>
      </c>
      <c r="E301" s="3887"/>
      <c r="F301" s="3900" t="s">
        <v>1143</v>
      </c>
      <c r="G301" s="3896">
        <f>0+0+213</f>
        <v>213</v>
      </c>
      <c r="H301" s="3896">
        <f>0+0+1700</f>
        <v>1700</v>
      </c>
      <c r="I301" s="4839"/>
      <c r="J301" s="4839"/>
      <c r="K301" s="3887"/>
      <c r="L301" s="6298"/>
      <c r="M301" s="6291"/>
      <c r="N301" s="6293"/>
      <c r="O301" s="6296"/>
      <c r="P301" s="3875"/>
      <c r="Q301" s="3875"/>
      <c r="R301" s="3875"/>
      <c r="S301" s="3875"/>
      <c r="T301" s="3875"/>
    </row>
    <row r="302" spans="2:20" x14ac:dyDescent="0.3">
      <c r="B302" s="6308"/>
      <c r="C302" s="6252"/>
      <c r="D302" s="6252"/>
      <c r="E302" s="3887"/>
      <c r="F302" s="3901" t="s">
        <v>990</v>
      </c>
      <c r="G302" s="3858">
        <f>0+2880+2024+606</f>
        <v>5510</v>
      </c>
      <c r="H302" s="3858">
        <f>G302*6</f>
        <v>33060</v>
      </c>
      <c r="I302" s="4839"/>
      <c r="J302" s="4839"/>
      <c r="K302" s="3887"/>
      <c r="L302" s="6298"/>
      <c r="M302" s="6291"/>
      <c r="N302" s="6293"/>
      <c r="O302" s="6296"/>
      <c r="P302" s="3875"/>
      <c r="Q302" s="3875"/>
      <c r="R302" s="3875"/>
      <c r="S302" s="3875"/>
      <c r="T302" s="3875"/>
    </row>
    <row r="303" spans="2:20" x14ac:dyDescent="0.3">
      <c r="B303" s="3897" t="s">
        <v>1049</v>
      </c>
      <c r="C303" s="3861">
        <v>4</v>
      </c>
      <c r="D303" s="3861">
        <v>125</v>
      </c>
      <c r="E303" s="3887"/>
      <c r="F303" s="3901" t="s">
        <v>1144</v>
      </c>
      <c r="G303" s="3858">
        <v>72</v>
      </c>
      <c r="H303" s="3858">
        <v>185</v>
      </c>
      <c r="I303" s="4839"/>
      <c r="J303" s="4839"/>
      <c r="K303" s="3887"/>
      <c r="L303" s="6298"/>
      <c r="M303" s="6291"/>
      <c r="N303" s="6293"/>
      <c r="O303" s="6296"/>
      <c r="P303" s="3875"/>
      <c r="Q303" s="3875"/>
      <c r="R303" s="3875"/>
      <c r="S303" s="3875"/>
      <c r="T303" s="3875"/>
    </row>
    <row r="304" spans="2:20" x14ac:dyDescent="0.3">
      <c r="B304" s="3897" t="s">
        <v>1147</v>
      </c>
      <c r="C304" s="3861">
        <f>0+0+6</f>
        <v>6</v>
      </c>
      <c r="D304" s="3861">
        <f>0+0+18</f>
        <v>18</v>
      </c>
      <c r="E304" s="3887"/>
      <c r="F304" s="3895" t="s">
        <v>1148</v>
      </c>
      <c r="G304" s="3896">
        <f>0+37+0</f>
        <v>37</v>
      </c>
      <c r="H304" s="3896">
        <f>0+235+0</f>
        <v>235</v>
      </c>
      <c r="I304" s="4839"/>
      <c r="J304" s="4839"/>
      <c r="K304" s="3887"/>
      <c r="L304" s="3902" t="s">
        <v>1145</v>
      </c>
      <c r="M304" s="6309" t="s">
        <v>1146</v>
      </c>
      <c r="N304" s="6293"/>
      <c r="O304" s="6296"/>
      <c r="P304" s="3875"/>
      <c r="Q304" s="3875"/>
      <c r="R304" s="3875"/>
      <c r="S304" s="3875"/>
      <c r="T304" s="3875"/>
    </row>
    <row r="305" spans="2:20" x14ac:dyDescent="0.3">
      <c r="B305" s="3903" t="s">
        <v>993</v>
      </c>
      <c r="C305" s="3861">
        <f>0+6+6+5</f>
        <v>17</v>
      </c>
      <c r="D305" s="3861">
        <f>0+2760+1292+5314</f>
        <v>9366</v>
      </c>
      <c r="E305" s="3887"/>
      <c r="F305" s="3901" t="s">
        <v>1150</v>
      </c>
      <c r="G305" s="3858">
        <f>0+0+42</f>
        <v>42</v>
      </c>
      <c r="H305" s="3858">
        <f>0+0+333</f>
        <v>333</v>
      </c>
      <c r="I305" s="4839"/>
      <c r="J305" s="4839"/>
      <c r="K305" s="3887"/>
      <c r="L305" s="3902" t="s">
        <v>1149</v>
      </c>
      <c r="M305" s="6309"/>
      <c r="N305" s="6293"/>
      <c r="O305" s="6296"/>
      <c r="P305" s="3875"/>
      <c r="Q305" s="3875"/>
      <c r="R305" s="3875"/>
      <c r="S305" s="3875"/>
      <c r="T305" s="3875"/>
    </row>
    <row r="306" spans="2:20" x14ac:dyDescent="0.3">
      <c r="B306" s="3903" t="s">
        <v>998</v>
      </c>
      <c r="C306" s="3861">
        <f>3+0+3</f>
        <v>6</v>
      </c>
      <c r="D306" s="3861">
        <f>420+0+672</f>
        <v>1092</v>
      </c>
      <c r="E306" s="3887"/>
      <c r="F306" s="3901" t="s">
        <v>1119</v>
      </c>
      <c r="G306" s="3858">
        <v>79</v>
      </c>
      <c r="H306" s="3858">
        <v>227</v>
      </c>
      <c r="I306" s="4839"/>
      <c r="J306" s="4839"/>
      <c r="K306" s="3887"/>
      <c r="L306" s="3902" t="s">
        <v>1151</v>
      </c>
      <c r="M306" s="6309"/>
      <c r="N306" s="6293"/>
      <c r="O306" s="6296"/>
      <c r="P306" s="3875"/>
      <c r="Q306" s="3875"/>
      <c r="R306" s="3875"/>
      <c r="S306" s="3875"/>
      <c r="T306" s="3875"/>
    </row>
    <row r="307" spans="2:20" x14ac:dyDescent="0.3">
      <c r="B307" s="3903" t="s">
        <v>999</v>
      </c>
      <c r="C307" s="3861">
        <f>0+0+6+2</f>
        <v>8</v>
      </c>
      <c r="D307" s="3858">
        <f>0+0+1642+1200</f>
        <v>2842</v>
      </c>
      <c r="E307" s="3887"/>
      <c r="F307" s="3901" t="s">
        <v>1153</v>
      </c>
      <c r="G307" s="3858">
        <v>225</v>
      </c>
      <c r="H307" s="3858">
        <v>451</v>
      </c>
      <c r="I307" s="4839"/>
      <c r="J307" s="4839"/>
      <c r="K307" s="3887"/>
      <c r="L307" s="3902" t="s">
        <v>1152</v>
      </c>
      <c r="M307" s="6309"/>
      <c r="N307" s="6293"/>
      <c r="O307" s="6296"/>
      <c r="P307" s="3875"/>
      <c r="Q307" s="3875"/>
      <c r="R307" s="3875"/>
      <c r="S307" s="3875"/>
      <c r="T307" s="3875"/>
    </row>
    <row r="308" spans="2:20" x14ac:dyDescent="0.3">
      <c r="B308" s="3903" t="s">
        <v>1155</v>
      </c>
      <c r="C308" s="3861">
        <v>5</v>
      </c>
      <c r="D308" s="3861">
        <v>115</v>
      </c>
      <c r="E308" s="3887"/>
      <c r="F308" s="3901" t="s">
        <v>1070</v>
      </c>
      <c r="G308" s="3858">
        <v>6</v>
      </c>
      <c r="H308" s="3858">
        <v>3420</v>
      </c>
      <c r="I308" s="4839"/>
      <c r="J308" s="4839"/>
      <c r="K308" s="3887"/>
      <c r="L308" s="3902" t="s">
        <v>1154</v>
      </c>
      <c r="M308" s="6309"/>
      <c r="N308" s="6293"/>
      <c r="O308" s="6296"/>
      <c r="P308" s="3875"/>
      <c r="Q308" s="3875"/>
      <c r="R308" s="3875"/>
      <c r="S308" s="3875"/>
      <c r="T308" s="3875"/>
    </row>
    <row r="309" spans="2:20" x14ac:dyDescent="0.3">
      <c r="B309" s="3903" t="s">
        <v>1003</v>
      </c>
      <c r="C309" s="3861">
        <f>0+1+3+7</f>
        <v>11</v>
      </c>
      <c r="D309" s="3861">
        <f>0+27+246+138</f>
        <v>411</v>
      </c>
      <c r="E309" s="3887"/>
      <c r="F309" s="3901" t="s">
        <v>1157</v>
      </c>
      <c r="G309" s="3858">
        <v>73</v>
      </c>
      <c r="H309" s="3858">
        <v>331</v>
      </c>
      <c r="I309" s="4839"/>
      <c r="J309" s="4839"/>
      <c r="K309" s="3887"/>
      <c r="L309" s="3902" t="s">
        <v>1156</v>
      </c>
      <c r="M309" s="6309"/>
      <c r="N309" s="6293"/>
      <c r="O309" s="6296"/>
      <c r="P309" s="3875"/>
      <c r="Q309" s="3875"/>
      <c r="R309" s="3875"/>
      <c r="S309" s="3875"/>
      <c r="T309" s="3875"/>
    </row>
    <row r="310" spans="2:20" x14ac:dyDescent="0.3">
      <c r="B310" s="3903" t="s">
        <v>1123</v>
      </c>
      <c r="C310" s="3861">
        <v>2</v>
      </c>
      <c r="D310" s="3861">
        <v>670</v>
      </c>
      <c r="E310" s="3887"/>
      <c r="F310" s="3901" t="s">
        <v>1101</v>
      </c>
      <c r="G310" s="3858">
        <f>95+287</f>
        <v>382</v>
      </c>
      <c r="H310" s="3858">
        <f>403+574</f>
        <v>977</v>
      </c>
      <c r="I310" s="4839"/>
      <c r="J310" s="4839"/>
      <c r="K310" s="3887"/>
      <c r="L310" s="3902" t="s">
        <v>1158</v>
      </c>
      <c r="M310" s="6309"/>
      <c r="N310" s="6293"/>
      <c r="O310" s="6296"/>
      <c r="P310" s="3875"/>
      <c r="Q310" s="3875"/>
      <c r="R310" s="3875"/>
      <c r="S310" s="3875"/>
      <c r="T310" s="3875"/>
    </row>
    <row r="311" spans="2:20" x14ac:dyDescent="0.3">
      <c r="B311" s="3903" t="s">
        <v>1008</v>
      </c>
      <c r="C311" s="3861">
        <f>0+0+3</f>
        <v>3</v>
      </c>
      <c r="D311" s="3861">
        <f>0+0+24</f>
        <v>24</v>
      </c>
      <c r="E311" s="3887"/>
      <c r="F311" s="3901" t="s">
        <v>993</v>
      </c>
      <c r="G311" s="3858">
        <f>96+540+182+124</f>
        <v>942</v>
      </c>
      <c r="H311" s="3858">
        <f>2464+4320+1092+496</f>
        <v>8372</v>
      </c>
      <c r="I311" s="4839"/>
      <c r="J311" s="4839"/>
      <c r="K311" s="3887"/>
      <c r="L311" s="3902" t="s">
        <v>1159</v>
      </c>
      <c r="M311" s="6309"/>
      <c r="N311" s="6293"/>
      <c r="O311" s="6296"/>
      <c r="P311" s="3875"/>
      <c r="Q311" s="3875"/>
      <c r="R311" s="3875"/>
      <c r="S311" s="3875"/>
      <c r="T311" s="3875"/>
    </row>
    <row r="312" spans="2:20" x14ac:dyDescent="0.3">
      <c r="B312" s="3904" t="s">
        <v>1100</v>
      </c>
      <c r="C312" s="3861">
        <v>4</v>
      </c>
      <c r="D312" s="3861">
        <v>51</v>
      </c>
      <c r="E312" s="3887"/>
      <c r="F312" s="3903" t="s">
        <v>999</v>
      </c>
      <c r="G312" s="3861">
        <f>0+0+796+170</f>
        <v>966</v>
      </c>
      <c r="H312" s="3861">
        <f>0+0+7956+1589</f>
        <v>9545</v>
      </c>
      <c r="I312" s="4839"/>
      <c r="J312" s="4839"/>
      <c r="K312" s="3887"/>
      <c r="L312" s="3902" t="s">
        <v>1160</v>
      </c>
      <c r="M312" s="6309"/>
      <c r="N312" s="6293"/>
      <c r="O312" s="6296"/>
      <c r="P312" s="3875"/>
      <c r="Q312" s="3875"/>
      <c r="R312" s="3875"/>
      <c r="S312" s="3875"/>
      <c r="T312" s="3875"/>
    </row>
    <row r="313" spans="2:20" x14ac:dyDescent="0.3">
      <c r="B313" s="3903" t="s">
        <v>1052</v>
      </c>
      <c r="C313" s="3861">
        <f>1+0+2</f>
        <v>3</v>
      </c>
      <c r="D313" s="3858">
        <f>0+350+190</f>
        <v>540</v>
      </c>
      <c r="E313" s="3887"/>
      <c r="F313" s="3903" t="s">
        <v>1162</v>
      </c>
      <c r="G313" s="3861">
        <v>70</v>
      </c>
      <c r="H313" s="3861">
        <v>127</v>
      </c>
      <c r="I313" s="4839"/>
      <c r="J313" s="4839"/>
      <c r="K313" s="3887"/>
      <c r="L313" s="3902" t="s">
        <v>1161</v>
      </c>
      <c r="M313" s="6309"/>
      <c r="N313" s="6293"/>
      <c r="O313" s="6296"/>
      <c r="P313" s="3875"/>
      <c r="Q313" s="3875"/>
      <c r="R313" s="3875"/>
      <c r="S313" s="3875"/>
      <c r="T313" s="3875"/>
    </row>
    <row r="314" spans="2:20" x14ac:dyDescent="0.3">
      <c r="B314" s="3903" t="s">
        <v>1053</v>
      </c>
      <c r="C314" s="3861">
        <f>0+0+6</f>
        <v>6</v>
      </c>
      <c r="D314" s="3861">
        <f>0+0+107</f>
        <v>107</v>
      </c>
      <c r="E314" s="3887"/>
      <c r="F314" s="3903" t="s">
        <v>1164</v>
      </c>
      <c r="G314" s="3861">
        <v>165</v>
      </c>
      <c r="H314" s="3861">
        <v>4000</v>
      </c>
      <c r="I314" s="4839"/>
      <c r="J314" s="4839"/>
      <c r="K314" s="3887"/>
      <c r="L314" s="3902" t="s">
        <v>1163</v>
      </c>
      <c r="M314" s="6309"/>
      <c r="N314" s="6293"/>
      <c r="O314" s="6296"/>
      <c r="P314" s="3875"/>
      <c r="Q314" s="3875"/>
      <c r="R314" s="3875"/>
      <c r="S314" s="3875"/>
      <c r="T314" s="3875"/>
    </row>
    <row r="315" spans="2:20" x14ac:dyDescent="0.3">
      <c r="B315" s="3903" t="s">
        <v>1011</v>
      </c>
      <c r="C315" s="3861">
        <f>0+3</f>
        <v>3</v>
      </c>
      <c r="D315" s="3861">
        <f>0+90</f>
        <v>90</v>
      </c>
      <c r="E315" s="3887"/>
      <c r="F315" s="3903" t="s">
        <v>1002</v>
      </c>
      <c r="G315" s="3861">
        <f>274+90400+130500+2974</f>
        <v>224148</v>
      </c>
      <c r="H315" s="3861">
        <f>274+90400+130500+2974</f>
        <v>224148</v>
      </c>
      <c r="I315" s="4839"/>
      <c r="J315" s="4839"/>
      <c r="K315" s="3887"/>
      <c r="L315" s="3905" t="s">
        <v>1165</v>
      </c>
      <c r="M315" s="6310"/>
      <c r="N315" s="6294"/>
      <c r="O315" s="6297"/>
      <c r="P315" s="3875"/>
      <c r="Q315" s="3875"/>
      <c r="R315" s="3875"/>
      <c r="S315" s="3875"/>
      <c r="T315" s="3875"/>
    </row>
    <row r="316" spans="2:20" x14ac:dyDescent="0.3">
      <c r="B316" s="3903" t="s">
        <v>1014</v>
      </c>
      <c r="C316" s="3861">
        <f>0+3</f>
        <v>3</v>
      </c>
      <c r="D316" s="3861">
        <f>0+90</f>
        <v>90</v>
      </c>
      <c r="E316" s="3887"/>
      <c r="F316" s="3897" t="s">
        <v>1130</v>
      </c>
      <c r="G316" s="3861">
        <f>33+0+0</f>
        <v>33</v>
      </c>
      <c r="H316" s="3861">
        <f>462+0+0</f>
        <v>462</v>
      </c>
      <c r="I316" s="4839"/>
      <c r="J316" s="4839"/>
      <c r="K316" s="3887"/>
      <c r="L316" s="6305" t="s">
        <v>1166</v>
      </c>
      <c r="M316" s="3906" t="s">
        <v>1167</v>
      </c>
      <c r="N316" s="6274">
        <v>4580</v>
      </c>
      <c r="O316" s="6303">
        <v>6460</v>
      </c>
      <c r="P316" s="3875"/>
      <c r="Q316" s="3875"/>
      <c r="R316" s="3875"/>
      <c r="S316" s="3875"/>
      <c r="T316" s="3875"/>
    </row>
    <row r="317" spans="2:20" x14ac:dyDescent="0.3">
      <c r="B317" s="3903" t="s">
        <v>1016</v>
      </c>
      <c r="C317" s="3861">
        <f>1+0+7</f>
        <v>8</v>
      </c>
      <c r="D317" s="3861">
        <f>25+0+89</f>
        <v>114</v>
      </c>
      <c r="E317" s="3887"/>
      <c r="F317" s="3897" t="s">
        <v>1008</v>
      </c>
      <c r="G317" s="3861">
        <f>0+0+136</f>
        <v>136</v>
      </c>
      <c r="H317" s="3861">
        <f>0+0+1088</f>
        <v>1088</v>
      </c>
      <c r="I317" s="4839"/>
      <c r="J317" s="4839"/>
      <c r="K317" s="3887"/>
      <c r="L317" s="6261"/>
      <c r="M317" s="3906" t="s">
        <v>1168</v>
      </c>
      <c r="N317" s="6252"/>
      <c r="O317" s="6304"/>
      <c r="P317" s="3875"/>
      <c r="Q317" s="3875"/>
      <c r="R317" s="3875"/>
      <c r="S317" s="3875"/>
      <c r="T317" s="3875"/>
    </row>
    <row r="318" spans="2:20" x14ac:dyDescent="0.3">
      <c r="B318" s="3907" t="s">
        <v>1171</v>
      </c>
      <c r="C318" s="3869">
        <f>0+0+3</f>
        <v>3</v>
      </c>
      <c r="D318" s="3869">
        <f>0+0+19</f>
        <v>19</v>
      </c>
      <c r="E318" s="3887"/>
      <c r="F318" s="3903" t="s">
        <v>1042</v>
      </c>
      <c r="G318" s="3861">
        <f>0+0+169</f>
        <v>169</v>
      </c>
      <c r="H318" s="3861">
        <f>0+0+674</f>
        <v>674</v>
      </c>
      <c r="I318" s="4839"/>
      <c r="J318" s="4839"/>
      <c r="K318" s="3887"/>
      <c r="L318" s="6260" t="s">
        <v>1169</v>
      </c>
      <c r="M318" s="3906" t="s">
        <v>1170</v>
      </c>
      <c r="N318" s="6251">
        <v>3231</v>
      </c>
      <c r="O318" s="6303">
        <v>6460</v>
      </c>
      <c r="P318" s="3875"/>
      <c r="Q318" s="3875"/>
      <c r="R318" s="3875"/>
      <c r="S318" s="3875"/>
      <c r="T318" s="3875"/>
    </row>
    <row r="319" spans="2:20" x14ac:dyDescent="0.3">
      <c r="B319" s="6307" t="s">
        <v>1018</v>
      </c>
      <c r="C319" s="6251">
        <v>5</v>
      </c>
      <c r="D319" s="6251">
        <v>543</v>
      </c>
      <c r="E319" s="3887"/>
      <c r="F319" s="3903" t="s">
        <v>1043</v>
      </c>
      <c r="G319" s="3861">
        <v>108</v>
      </c>
      <c r="H319" s="3861">
        <v>291</v>
      </c>
      <c r="I319" s="4839"/>
      <c r="J319" s="4839"/>
      <c r="K319" s="3887"/>
      <c r="L319" s="6305"/>
      <c r="M319" s="3906" t="s">
        <v>1172</v>
      </c>
      <c r="N319" s="6274"/>
      <c r="O319" s="6306"/>
      <c r="P319" s="3875"/>
      <c r="Q319" s="3875"/>
      <c r="R319" s="3875"/>
      <c r="S319" s="3875"/>
      <c r="T319" s="3875"/>
    </row>
    <row r="320" spans="2:20" x14ac:dyDescent="0.3">
      <c r="B320" s="6308"/>
      <c r="C320" s="6252"/>
      <c r="D320" s="6252"/>
      <c r="E320" s="3887"/>
      <c r="F320" s="3903" t="s">
        <v>1010</v>
      </c>
      <c r="G320" s="3861">
        <v>2256</v>
      </c>
      <c r="H320" s="3861">
        <v>2256</v>
      </c>
      <c r="I320" s="4839"/>
      <c r="J320" s="4839"/>
      <c r="K320" s="3887"/>
      <c r="L320" s="6261"/>
      <c r="M320" s="3908" t="s">
        <v>1173</v>
      </c>
      <c r="N320" s="6252"/>
      <c r="O320" s="6304"/>
      <c r="P320" s="3875"/>
      <c r="Q320" s="3875"/>
      <c r="R320" s="3875"/>
      <c r="S320" s="3875"/>
      <c r="T320" s="3875"/>
    </row>
    <row r="321" spans="2:20" x14ac:dyDescent="0.3">
      <c r="B321" s="3911"/>
      <c r="C321" s="3858"/>
      <c r="D321" s="3858"/>
      <c r="E321" s="3887"/>
      <c r="F321" s="3903" t="s">
        <v>1174</v>
      </c>
      <c r="G321" s="3861">
        <v>51</v>
      </c>
      <c r="H321" s="3861">
        <v>135</v>
      </c>
      <c r="I321" s="4839"/>
      <c r="J321" s="4839"/>
      <c r="K321" s="3887"/>
      <c r="L321" s="3887"/>
      <c r="M321" s="3909" t="s">
        <v>279</v>
      </c>
      <c r="N321" s="3910">
        <f>SUM(N299:N320)</f>
        <v>8855</v>
      </c>
      <c r="O321" s="3910">
        <f>SUM(O299:O320)</f>
        <v>16716</v>
      </c>
      <c r="P321" s="3875"/>
      <c r="Q321" s="3875"/>
      <c r="R321" s="3875"/>
      <c r="S321" s="3875"/>
      <c r="T321" s="3875"/>
    </row>
    <row r="322" spans="2:20" x14ac:dyDescent="0.3">
      <c r="B322" s="3912" t="s">
        <v>1078</v>
      </c>
      <c r="C322" s="3861">
        <f>0+4+8+1</f>
        <v>13</v>
      </c>
      <c r="D322" s="3858">
        <f>0+132+336+9</f>
        <v>477</v>
      </c>
      <c r="E322" s="3887"/>
      <c r="F322" s="3903" t="s">
        <v>1012</v>
      </c>
      <c r="G322" s="3861">
        <f>0+39900+0</f>
        <v>39900</v>
      </c>
      <c r="H322" s="3861">
        <f>0+39900+0</f>
        <v>39900</v>
      </c>
      <c r="I322" s="4839"/>
      <c r="J322" s="4839"/>
      <c r="K322" s="3887"/>
      <c r="L322" s="3887"/>
      <c r="M322" s="3887"/>
      <c r="N322" s="3887"/>
      <c r="O322" s="3887"/>
      <c r="P322" s="3875"/>
      <c r="Q322" s="3875"/>
      <c r="R322" s="3875"/>
      <c r="S322" s="3875"/>
      <c r="T322" s="3875"/>
    </row>
    <row r="323" spans="2:20" x14ac:dyDescent="0.3">
      <c r="B323" s="3912" t="s">
        <v>1022</v>
      </c>
      <c r="C323" s="3861">
        <f>0+0+3+1</f>
        <v>4</v>
      </c>
      <c r="D323" s="3858">
        <f>0+0+17+12</f>
        <v>29</v>
      </c>
      <c r="E323" s="3887"/>
      <c r="F323" s="3903" t="s">
        <v>1175</v>
      </c>
      <c r="G323" s="3861">
        <v>1</v>
      </c>
      <c r="H323" s="3861">
        <v>120</v>
      </c>
      <c r="I323" s="4839"/>
      <c r="J323" s="4839"/>
      <c r="K323" s="3887"/>
      <c r="L323" s="3887"/>
      <c r="M323" s="3887"/>
      <c r="N323" s="3887"/>
      <c r="O323" s="3887"/>
      <c r="P323" s="3875"/>
      <c r="Q323" s="3875"/>
      <c r="R323" s="3875"/>
      <c r="S323" s="3875"/>
      <c r="T323" s="3875"/>
    </row>
    <row r="324" spans="2:20" x14ac:dyDescent="0.3">
      <c r="B324" s="3909" t="s">
        <v>279</v>
      </c>
      <c r="C324" s="3910">
        <f>SUM(C298:C323)</f>
        <v>152</v>
      </c>
      <c r="D324" s="3910">
        <f>SUM(D298:D323)</f>
        <v>20034</v>
      </c>
      <c r="E324" s="3887"/>
      <c r="F324" s="3903" t="s">
        <v>1155</v>
      </c>
      <c r="G324" s="3861">
        <v>79</v>
      </c>
      <c r="H324" s="3861">
        <v>244</v>
      </c>
      <c r="I324" s="4839"/>
      <c r="J324" s="4839"/>
      <c r="K324" s="3887"/>
      <c r="L324" s="3887"/>
      <c r="M324" s="323"/>
      <c r="N324" s="3913"/>
      <c r="O324" s="3887"/>
      <c r="P324" s="3875"/>
      <c r="Q324" s="3875"/>
      <c r="R324" s="3875"/>
      <c r="S324" s="3875"/>
      <c r="T324" s="3875"/>
    </row>
    <row r="325" spans="2:20" x14ac:dyDescent="0.3">
      <c r="B325" s="3887"/>
      <c r="C325" s="3887"/>
      <c r="D325" s="3887"/>
      <c r="E325" s="3887"/>
      <c r="F325" s="3903" t="s">
        <v>1107</v>
      </c>
      <c r="G325" s="3861">
        <f>0+0+997</f>
        <v>997</v>
      </c>
      <c r="H325" s="3861">
        <f>0+0+997</f>
        <v>997</v>
      </c>
      <c r="I325" s="4839"/>
      <c r="J325" s="4839"/>
      <c r="K325" s="3887"/>
      <c r="L325" s="3887"/>
      <c r="M325" s="3914"/>
      <c r="N325" s="3914"/>
      <c r="O325" s="3914"/>
      <c r="P325" s="3875"/>
      <c r="Q325" s="3875"/>
      <c r="R325" s="3875"/>
      <c r="S325" s="3875"/>
      <c r="T325" s="3875"/>
    </row>
    <row r="326" spans="2:20" x14ac:dyDescent="0.3">
      <c r="B326" s="3915" t="s">
        <v>1176</v>
      </c>
      <c r="C326" s="3915"/>
      <c r="D326" s="3915"/>
      <c r="E326" s="3887"/>
      <c r="F326" s="3904" t="s">
        <v>1017</v>
      </c>
      <c r="G326" s="3861">
        <f>0+0+15000+5250</f>
        <v>20250</v>
      </c>
      <c r="H326" s="3861">
        <f>0+0+15000+5250</f>
        <v>20250</v>
      </c>
      <c r="I326" s="4839"/>
      <c r="J326" s="4839"/>
      <c r="K326" s="3887"/>
      <c r="L326" s="3887"/>
      <c r="M326" s="3887"/>
      <c r="N326" s="3887"/>
      <c r="O326" s="3887"/>
      <c r="P326" s="3875"/>
      <c r="Q326" s="3875"/>
      <c r="R326" s="3875"/>
      <c r="S326" s="3875"/>
      <c r="T326" s="3875"/>
    </row>
    <row r="327" spans="2:20" x14ac:dyDescent="0.3">
      <c r="B327" s="3887" t="s">
        <v>1177</v>
      </c>
      <c r="C327" s="3916"/>
      <c r="D327" s="3916"/>
      <c r="E327" s="3887"/>
      <c r="F327" s="3903" t="s">
        <v>1011</v>
      </c>
      <c r="G327" s="3861">
        <f>0+5103+0</f>
        <v>5103</v>
      </c>
      <c r="H327" s="3861">
        <f>0+10206+0</f>
        <v>10206</v>
      </c>
      <c r="I327" s="4839"/>
      <c r="J327" s="4839"/>
      <c r="K327" s="3887"/>
      <c r="L327" s="3887"/>
      <c r="M327" s="3887"/>
      <c r="N327" s="3887"/>
      <c r="O327" s="3887"/>
      <c r="P327" s="3875"/>
      <c r="Q327" s="3875"/>
      <c r="R327" s="3875"/>
      <c r="S327" s="3875"/>
      <c r="T327" s="3875"/>
    </row>
    <row r="328" spans="2:20" x14ac:dyDescent="0.3">
      <c r="B328" s="3887" t="s">
        <v>1178</v>
      </c>
      <c r="C328" s="3887"/>
      <c r="D328" s="3887"/>
      <c r="E328" s="3887"/>
      <c r="F328" s="3903" t="s">
        <v>1020</v>
      </c>
      <c r="G328" s="3861">
        <f>0+0+105</f>
        <v>105</v>
      </c>
      <c r="H328" s="3861">
        <f>0+0+1050</f>
        <v>1050</v>
      </c>
      <c r="I328" s="4839"/>
      <c r="J328" s="4839"/>
      <c r="K328" s="3887"/>
      <c r="L328" s="3887"/>
      <c r="M328" s="3887"/>
      <c r="N328" s="3887"/>
      <c r="O328" s="3887"/>
      <c r="P328" s="3875"/>
      <c r="Q328" s="3875"/>
      <c r="R328" s="3875"/>
      <c r="S328" s="3875"/>
      <c r="T328" s="3875"/>
    </row>
    <row r="329" spans="2:20" x14ac:dyDescent="0.3">
      <c r="B329" s="3887"/>
      <c r="C329" s="3887"/>
      <c r="D329" s="3887"/>
      <c r="E329" s="3887"/>
      <c r="F329" s="3904" t="s">
        <v>1016</v>
      </c>
      <c r="G329" s="3858">
        <f>96+750+1475+780+1440</f>
        <v>4541</v>
      </c>
      <c r="H329" s="3858">
        <f>1856+6000+2956+1548+2288</f>
        <v>14648</v>
      </c>
      <c r="I329" s="4839"/>
      <c r="J329" s="4839"/>
      <c r="K329" s="3887"/>
      <c r="L329" s="3887"/>
      <c r="M329" s="3887"/>
      <c r="N329" s="3887"/>
      <c r="O329" s="3887"/>
      <c r="P329" s="3875"/>
      <c r="Q329" s="3875"/>
      <c r="R329" s="3875"/>
      <c r="S329" s="3875"/>
      <c r="T329" s="3875"/>
    </row>
    <row r="330" spans="2:20" x14ac:dyDescent="0.3">
      <c r="B330" s="3887"/>
      <c r="C330" s="3887"/>
      <c r="D330" s="3887"/>
      <c r="E330" s="3887"/>
      <c r="F330" s="3904" t="s">
        <v>1025</v>
      </c>
      <c r="G330" s="3858">
        <f>0+0+477+49</f>
        <v>526</v>
      </c>
      <c r="H330" s="3858">
        <f>0+0+2862+98</f>
        <v>2960</v>
      </c>
      <c r="I330" s="4839"/>
      <c r="J330" s="4839"/>
      <c r="K330" s="3887"/>
      <c r="L330" s="3887"/>
      <c r="M330" s="3887"/>
      <c r="N330" s="3887"/>
      <c r="O330" s="3887"/>
      <c r="P330" s="3875"/>
      <c r="Q330" s="3875"/>
      <c r="R330" s="3875"/>
      <c r="S330" s="3875"/>
      <c r="T330" s="3875"/>
    </row>
    <row r="331" spans="2:20" x14ac:dyDescent="0.3">
      <c r="B331" s="3887"/>
      <c r="C331" s="3887"/>
      <c r="D331" s="3887"/>
      <c r="E331" s="3915"/>
      <c r="F331" s="3904" t="s">
        <v>1028</v>
      </c>
      <c r="G331" s="3858">
        <f>96+0+0+75</f>
        <v>171</v>
      </c>
      <c r="H331" s="3858">
        <f>2144+0+0+304</f>
        <v>2448</v>
      </c>
      <c r="I331" s="4839"/>
      <c r="J331" s="4839"/>
      <c r="K331" s="3887"/>
      <c r="L331" s="3887"/>
      <c r="M331" s="3887"/>
      <c r="N331" s="3887"/>
      <c r="O331" s="3887"/>
      <c r="P331" s="3875"/>
      <c r="Q331" s="3875"/>
      <c r="R331" s="3875"/>
      <c r="S331" s="3875"/>
      <c r="T331" s="3875"/>
    </row>
    <row r="332" spans="2:20" x14ac:dyDescent="0.3">
      <c r="B332" s="3887"/>
      <c r="C332" s="3887"/>
      <c r="D332" s="3887"/>
      <c r="E332" s="3916"/>
      <c r="F332" s="3903" t="s">
        <v>1086</v>
      </c>
      <c r="G332" s="3861">
        <f>96+0+0+50</f>
        <v>146</v>
      </c>
      <c r="H332" s="3858">
        <f>2112+0+0+419</f>
        <v>2531</v>
      </c>
      <c r="I332" s="4839"/>
      <c r="J332" s="4839"/>
      <c r="K332" s="3887"/>
      <c r="L332" s="3887"/>
      <c r="M332" s="3887"/>
      <c r="N332" s="3887"/>
      <c r="O332" s="3887"/>
      <c r="P332" s="3875"/>
      <c r="Q332" s="3875"/>
      <c r="R332" s="3875"/>
      <c r="S332" s="3875"/>
      <c r="T332" s="3875"/>
    </row>
    <row r="333" spans="2:20" x14ac:dyDescent="0.3">
      <c r="B333" s="3887"/>
      <c r="C333" s="3887"/>
      <c r="D333" s="3887"/>
      <c r="E333" s="3887"/>
      <c r="F333" s="3909" t="s">
        <v>279</v>
      </c>
      <c r="G333" s="3910">
        <f>SUM(G298:G332)</f>
        <v>308184</v>
      </c>
      <c r="H333" s="3910">
        <f>SUM(H298:H332)</f>
        <v>391326</v>
      </c>
      <c r="I333" s="4839"/>
      <c r="J333" s="4839"/>
      <c r="K333" s="3887"/>
      <c r="L333" s="3887"/>
      <c r="M333" s="3887"/>
      <c r="N333" s="3887"/>
      <c r="O333" s="3887"/>
      <c r="P333" s="3875"/>
      <c r="Q333" s="3875"/>
      <c r="R333" s="3875"/>
      <c r="S333" s="3875"/>
      <c r="T333" s="3875"/>
    </row>
    <row r="334" spans="2:20" x14ac:dyDescent="0.3">
      <c r="B334" s="3875"/>
      <c r="C334" s="3875"/>
      <c r="D334" s="3875"/>
      <c r="E334" s="3875"/>
      <c r="F334" s="3875"/>
      <c r="G334" s="3875"/>
      <c r="H334" s="3875"/>
      <c r="I334" s="4839"/>
      <c r="J334" s="4839"/>
      <c r="K334" s="3887"/>
      <c r="L334" s="3887"/>
      <c r="M334" s="3887"/>
      <c r="N334" s="3887"/>
      <c r="O334" s="3887"/>
      <c r="P334" s="3875"/>
      <c r="Q334" s="3875"/>
      <c r="R334" s="3875"/>
      <c r="S334" s="3875"/>
      <c r="T334" s="3875"/>
    </row>
    <row r="335" spans="2:20" x14ac:dyDescent="0.3">
      <c r="B335" s="3875"/>
      <c r="C335" s="3875"/>
      <c r="D335" s="3875"/>
      <c r="E335" s="3875"/>
      <c r="F335" s="3875"/>
      <c r="G335" s="3875"/>
      <c r="H335" s="3875"/>
      <c r="I335" s="4839"/>
      <c r="J335" s="4839"/>
      <c r="K335" s="3887"/>
      <c r="L335" s="3887"/>
      <c r="M335" s="3887"/>
      <c r="N335" s="3887"/>
      <c r="O335" s="3887"/>
      <c r="P335" s="3875"/>
      <c r="Q335" s="3875"/>
      <c r="R335" s="3875"/>
      <c r="S335" s="3875"/>
      <c r="T335" s="3875"/>
    </row>
    <row r="336" spans="2:20" x14ac:dyDescent="0.3">
      <c r="B336" s="6255" t="s">
        <v>1109</v>
      </c>
      <c r="C336" s="6249"/>
      <c r="D336" s="6250"/>
      <c r="E336" s="3887"/>
      <c r="F336" s="6255" t="s">
        <v>1179</v>
      </c>
      <c r="G336" s="6249"/>
      <c r="H336" s="6250"/>
      <c r="I336" s="4839"/>
      <c r="J336" s="4839"/>
      <c r="K336" s="3875"/>
      <c r="L336" s="3875"/>
      <c r="M336" s="3875"/>
      <c r="N336" s="3875"/>
      <c r="O336" s="3875"/>
      <c r="P336" s="3875"/>
      <c r="Q336" s="3875"/>
      <c r="R336" s="3875"/>
      <c r="S336" s="3875"/>
      <c r="T336" s="3875"/>
    </row>
    <row r="337" spans="2:20" x14ac:dyDescent="0.3">
      <c r="B337" s="6255" t="s">
        <v>1180</v>
      </c>
      <c r="C337" s="6249"/>
      <c r="D337" s="6250"/>
      <c r="E337" s="3887"/>
      <c r="F337" s="6255" t="s">
        <v>965</v>
      </c>
      <c r="G337" s="6249"/>
      <c r="H337" s="6250"/>
      <c r="I337" s="4839"/>
      <c r="J337" s="4839"/>
      <c r="K337" s="3875"/>
      <c r="L337" s="3875"/>
      <c r="M337" s="3875"/>
      <c r="N337" s="3875"/>
      <c r="O337" s="3875"/>
      <c r="P337" s="3875"/>
      <c r="Q337" s="3875"/>
      <c r="R337" s="3875"/>
      <c r="S337" s="3875"/>
      <c r="T337" s="3875"/>
    </row>
    <row r="338" spans="2:20" x14ac:dyDescent="0.3">
      <c r="B338" s="6322" t="s">
        <v>967</v>
      </c>
      <c r="C338" s="6323" t="s">
        <v>968</v>
      </c>
      <c r="D338" s="6323" t="s">
        <v>969</v>
      </c>
      <c r="E338" s="3848"/>
      <c r="F338" s="6322" t="s">
        <v>970</v>
      </c>
      <c r="G338" s="6323" t="s">
        <v>971</v>
      </c>
      <c r="H338" s="6323" t="s">
        <v>972</v>
      </c>
      <c r="I338" s="4839"/>
      <c r="J338" s="4839"/>
      <c r="K338" s="3887"/>
      <c r="L338" s="6248" t="s">
        <v>1181</v>
      </c>
      <c r="M338" s="6249"/>
      <c r="N338" s="6249"/>
      <c r="O338" s="6250"/>
      <c r="P338" s="3875"/>
      <c r="Q338" s="3875"/>
      <c r="R338" s="3875"/>
      <c r="S338" s="3875"/>
      <c r="T338" s="3875"/>
    </row>
    <row r="339" spans="2:20" x14ac:dyDescent="0.3">
      <c r="B339" s="6322"/>
      <c r="C339" s="6324"/>
      <c r="D339" s="6324"/>
      <c r="E339" s="3848"/>
      <c r="F339" s="6322"/>
      <c r="G339" s="6324"/>
      <c r="H339" s="6324"/>
      <c r="I339" s="4839"/>
      <c r="J339" s="4839"/>
      <c r="K339" s="3848"/>
      <c r="L339" s="6311" t="s">
        <v>970</v>
      </c>
      <c r="M339" s="6313" t="s">
        <v>973</v>
      </c>
      <c r="N339" s="6314" t="s">
        <v>972</v>
      </c>
      <c r="O339" s="6315"/>
      <c r="P339" s="3875"/>
      <c r="Q339" s="3875"/>
      <c r="R339" s="3875"/>
      <c r="S339" s="3875"/>
      <c r="T339" s="3875"/>
    </row>
    <row r="340" spans="2:20" x14ac:dyDescent="0.3">
      <c r="B340" s="323"/>
      <c r="C340" s="323"/>
      <c r="D340" s="323"/>
      <c r="E340" s="3848"/>
      <c r="F340" s="323"/>
      <c r="G340" s="323"/>
      <c r="H340" s="323"/>
      <c r="I340" s="4839"/>
      <c r="J340" s="4839"/>
      <c r="K340" s="3848"/>
      <c r="L340" s="6312"/>
      <c r="M340" s="6312"/>
      <c r="N340" s="3917" t="s">
        <v>1032</v>
      </c>
      <c r="O340" s="3918" t="s">
        <v>1033</v>
      </c>
      <c r="P340" s="3875"/>
      <c r="Q340" s="3875"/>
      <c r="R340" s="3875"/>
      <c r="S340" s="3875"/>
      <c r="T340" s="3875"/>
    </row>
    <row r="341" spans="2:20" x14ac:dyDescent="0.3">
      <c r="B341" s="3890" t="s">
        <v>976</v>
      </c>
      <c r="C341" s="3891">
        <f>0+1+1+6</f>
        <v>8</v>
      </c>
      <c r="D341" s="3892">
        <f>0+18+30+91</f>
        <v>139</v>
      </c>
      <c r="E341" s="3848"/>
      <c r="F341" s="3893" t="s">
        <v>978</v>
      </c>
      <c r="G341" s="3891">
        <f>332+96+23</f>
        <v>451</v>
      </c>
      <c r="H341" s="3892">
        <f>665+1440+46</f>
        <v>2151</v>
      </c>
      <c r="I341" s="4839"/>
      <c r="J341" s="4839"/>
      <c r="K341" s="3848"/>
      <c r="L341" s="323"/>
      <c r="M341" s="323"/>
      <c r="N341" s="323"/>
      <c r="O341" s="3848"/>
      <c r="P341" s="3875"/>
      <c r="Q341" s="3875"/>
      <c r="R341" s="3875"/>
      <c r="S341" s="3875"/>
      <c r="T341" s="3875"/>
    </row>
    <row r="342" spans="2:20" x14ac:dyDescent="0.3">
      <c r="B342" s="3890" t="s">
        <v>981</v>
      </c>
      <c r="C342" s="3891">
        <f>0+0+0+8</f>
        <v>8</v>
      </c>
      <c r="D342" s="3892">
        <f>0+0+0+1842</f>
        <v>1842</v>
      </c>
      <c r="E342" s="3848"/>
      <c r="F342" s="3897" t="s">
        <v>1184</v>
      </c>
      <c r="G342" s="3861">
        <v>108</v>
      </c>
      <c r="H342" s="3861">
        <v>1620</v>
      </c>
      <c r="I342" s="4839"/>
      <c r="J342" s="4839"/>
      <c r="K342" s="3848"/>
      <c r="L342" s="3919" t="s">
        <v>1182</v>
      </c>
      <c r="M342" s="6316" t="s">
        <v>1183</v>
      </c>
      <c r="N342" s="6318">
        <v>940</v>
      </c>
      <c r="O342" s="6251">
        <v>3100</v>
      </c>
      <c r="P342" s="3875"/>
      <c r="Q342" s="3875"/>
      <c r="R342" s="3875"/>
      <c r="S342" s="3875"/>
      <c r="T342" s="3875"/>
    </row>
    <row r="343" spans="2:20" x14ac:dyDescent="0.3">
      <c r="B343" s="3897" t="s">
        <v>985</v>
      </c>
      <c r="C343" s="3861">
        <f>3+0+115</f>
        <v>118</v>
      </c>
      <c r="D343" s="3861">
        <f>141+0+50+538</f>
        <v>729</v>
      </c>
      <c r="E343" s="3848"/>
      <c r="F343" s="3920" t="s">
        <v>1141</v>
      </c>
      <c r="G343" s="3861">
        <f>3+315+820</f>
        <v>1138</v>
      </c>
      <c r="H343" s="3861">
        <f>213+1260+9020</f>
        <v>10493</v>
      </c>
      <c r="I343" s="4839"/>
      <c r="J343" s="4839"/>
      <c r="K343" s="3848"/>
      <c r="L343" s="6321" t="s">
        <v>1140</v>
      </c>
      <c r="M343" s="6317"/>
      <c r="N343" s="6319"/>
      <c r="O343" s="6274"/>
      <c r="P343" s="3875"/>
      <c r="Q343" s="3875"/>
      <c r="R343" s="3875"/>
      <c r="S343" s="3875"/>
      <c r="T343" s="3875"/>
    </row>
    <row r="344" spans="2:20" x14ac:dyDescent="0.3">
      <c r="B344" s="6307" t="s">
        <v>1185</v>
      </c>
      <c r="C344" s="6251">
        <f>0+1</f>
        <v>1</v>
      </c>
      <c r="D344" s="6251">
        <f>0+24</f>
        <v>24</v>
      </c>
      <c r="E344" s="3848"/>
      <c r="F344" s="3901" t="s">
        <v>990</v>
      </c>
      <c r="G344" s="3858">
        <f>1194+685+1669</f>
        <v>3548</v>
      </c>
      <c r="H344" s="3858">
        <f>4775+6850+10014</f>
        <v>21639</v>
      </c>
      <c r="I344" s="4839"/>
      <c r="J344" s="4839"/>
      <c r="K344" s="3848"/>
      <c r="L344" s="6321"/>
      <c r="M344" s="6309" t="s">
        <v>1146</v>
      </c>
      <c r="N344" s="6319"/>
      <c r="O344" s="6274"/>
      <c r="P344" s="3875"/>
      <c r="Q344" s="3875"/>
      <c r="R344" s="3875"/>
      <c r="S344" s="3875"/>
      <c r="T344" s="3875"/>
    </row>
    <row r="345" spans="2:20" x14ac:dyDescent="0.3">
      <c r="B345" s="6308"/>
      <c r="C345" s="6252"/>
      <c r="D345" s="6252"/>
      <c r="E345" s="3848"/>
      <c r="F345" s="3901" t="s">
        <v>1186</v>
      </c>
      <c r="G345" s="3858">
        <v>1</v>
      </c>
      <c r="H345" s="3858">
        <v>167</v>
      </c>
      <c r="I345" s="4839"/>
      <c r="J345" s="4839"/>
      <c r="K345" s="3848"/>
      <c r="L345" s="6321"/>
      <c r="M345" s="6309"/>
      <c r="N345" s="6319"/>
      <c r="O345" s="6274"/>
      <c r="P345" s="3875"/>
      <c r="Q345" s="3875"/>
      <c r="R345" s="3875"/>
      <c r="S345" s="3875"/>
      <c r="T345" s="3875"/>
    </row>
    <row r="346" spans="2:20" x14ac:dyDescent="0.3">
      <c r="B346" s="3897" t="s">
        <v>1049</v>
      </c>
      <c r="C346" s="3861">
        <v>1</v>
      </c>
      <c r="D346" s="3861">
        <v>34</v>
      </c>
      <c r="E346" s="3848"/>
      <c r="F346" s="3901" t="s">
        <v>1187</v>
      </c>
      <c r="G346" s="3858">
        <v>3</v>
      </c>
      <c r="H346" s="3858">
        <v>5438</v>
      </c>
      <c r="I346" s="4839"/>
      <c r="J346" s="4839"/>
      <c r="K346" s="3848"/>
      <c r="L346" s="6321"/>
      <c r="M346" s="6309"/>
      <c r="N346" s="6319"/>
      <c r="O346" s="6274"/>
      <c r="P346" s="3875"/>
      <c r="Q346" s="3875"/>
      <c r="R346" s="3875"/>
      <c r="S346" s="3875"/>
      <c r="T346" s="3875"/>
    </row>
    <row r="347" spans="2:20" x14ac:dyDescent="0.3">
      <c r="B347" s="3897" t="s">
        <v>1147</v>
      </c>
      <c r="C347" s="3861">
        <f>0+0+0+7</f>
        <v>7</v>
      </c>
      <c r="D347" s="3861">
        <f>0+0+0+28</f>
        <v>28</v>
      </c>
      <c r="E347" s="3848"/>
      <c r="F347" s="3901" t="s">
        <v>994</v>
      </c>
      <c r="G347" s="3858">
        <v>10</v>
      </c>
      <c r="H347" s="3858">
        <v>406</v>
      </c>
      <c r="I347" s="4839"/>
      <c r="J347" s="4839"/>
      <c r="K347" s="3848"/>
      <c r="L347" s="6321" t="s">
        <v>1188</v>
      </c>
      <c r="M347" s="6309"/>
      <c r="N347" s="6319"/>
      <c r="O347" s="6274"/>
      <c r="P347" s="3875"/>
      <c r="Q347" s="3875"/>
      <c r="R347" s="3875"/>
      <c r="S347" s="3875"/>
      <c r="T347" s="3875"/>
    </row>
    <row r="348" spans="2:20" x14ac:dyDescent="0.3">
      <c r="B348" s="3897" t="s">
        <v>1005</v>
      </c>
      <c r="C348" s="3861">
        <f>0+0+2+3</f>
        <v>5</v>
      </c>
      <c r="D348" s="3861">
        <f>0+0+80+289</f>
        <v>369</v>
      </c>
      <c r="E348" s="3848"/>
      <c r="F348" s="3901" t="s">
        <v>1070</v>
      </c>
      <c r="G348" s="3858">
        <v>10</v>
      </c>
      <c r="H348" s="3858">
        <v>4451</v>
      </c>
      <c r="I348" s="4839"/>
      <c r="J348" s="4839"/>
      <c r="K348" s="3848"/>
      <c r="L348" s="6321"/>
      <c r="M348" s="6309"/>
      <c r="N348" s="6319"/>
      <c r="O348" s="6274"/>
      <c r="P348" s="3875"/>
      <c r="Q348" s="3875"/>
      <c r="R348" s="3875"/>
      <c r="S348" s="3875"/>
      <c r="T348" s="3875"/>
    </row>
    <row r="349" spans="2:20" x14ac:dyDescent="0.3">
      <c r="B349" s="3897" t="s">
        <v>1116</v>
      </c>
      <c r="C349" s="3861">
        <f>0+0+0+2</f>
        <v>2</v>
      </c>
      <c r="D349" s="3861">
        <f>0+0+0+34</f>
        <v>34</v>
      </c>
      <c r="E349" s="3848"/>
      <c r="F349" s="3901" t="s">
        <v>1101</v>
      </c>
      <c r="G349" s="3858">
        <v>185</v>
      </c>
      <c r="H349" s="3858">
        <v>1486</v>
      </c>
      <c r="I349" s="4839"/>
      <c r="J349" s="4839"/>
      <c r="K349" s="3848"/>
      <c r="L349" s="6321"/>
      <c r="M349" s="6309"/>
      <c r="N349" s="6319"/>
      <c r="O349" s="6274"/>
      <c r="P349" s="3875"/>
      <c r="Q349" s="3875"/>
      <c r="R349" s="3875"/>
      <c r="S349" s="3875"/>
      <c r="T349" s="3875"/>
    </row>
    <row r="350" spans="2:20" x14ac:dyDescent="0.3">
      <c r="B350" s="3897" t="s">
        <v>994</v>
      </c>
      <c r="C350" s="3861">
        <f>0+0+0+4</f>
        <v>4</v>
      </c>
      <c r="D350" s="3861">
        <f>0+0+0+112</f>
        <v>112</v>
      </c>
      <c r="E350" s="3848"/>
      <c r="F350" s="3901" t="s">
        <v>993</v>
      </c>
      <c r="G350" s="3858">
        <f>11+525+350</f>
        <v>886</v>
      </c>
      <c r="H350" s="3858">
        <f>113+4200+4560</f>
        <v>8873</v>
      </c>
      <c r="I350" s="4839"/>
      <c r="J350" s="4839"/>
      <c r="K350" s="3848"/>
      <c r="L350" s="6321"/>
      <c r="M350" s="6309"/>
      <c r="N350" s="6319"/>
      <c r="O350" s="6274"/>
      <c r="P350" s="3875"/>
      <c r="Q350" s="3875"/>
      <c r="R350" s="3875"/>
      <c r="S350" s="3875"/>
      <c r="T350" s="3875"/>
    </row>
    <row r="351" spans="2:20" x14ac:dyDescent="0.3">
      <c r="B351" s="3903" t="s">
        <v>1189</v>
      </c>
      <c r="C351" s="3861">
        <f>0+0+1+1</f>
        <v>2</v>
      </c>
      <c r="D351" s="3861">
        <f>0+0+17+3</f>
        <v>20</v>
      </c>
      <c r="E351" s="3848"/>
      <c r="F351" s="3903" t="s">
        <v>999</v>
      </c>
      <c r="G351" s="3861">
        <f>362+96+270+339</f>
        <v>1067</v>
      </c>
      <c r="H351" s="3861">
        <f>3623+1920+6558+4068</f>
        <v>16169</v>
      </c>
      <c r="I351" s="4839"/>
      <c r="J351" s="4839"/>
      <c r="K351" s="3848"/>
      <c r="L351" s="6321"/>
      <c r="M351" s="6309"/>
      <c r="N351" s="6319"/>
      <c r="O351" s="6274"/>
      <c r="P351" s="3875"/>
      <c r="Q351" s="3875"/>
      <c r="R351" s="3875"/>
      <c r="S351" s="3875"/>
      <c r="T351" s="3875"/>
    </row>
    <row r="352" spans="2:20" x14ac:dyDescent="0.3">
      <c r="B352" s="3903" t="s">
        <v>993</v>
      </c>
      <c r="C352" s="3861">
        <f>6+1+1+13</f>
        <v>21</v>
      </c>
      <c r="D352" s="3861">
        <f>4752+120+4464+1687</f>
        <v>11023</v>
      </c>
      <c r="E352" s="3848"/>
      <c r="F352" s="3903" t="s">
        <v>1190</v>
      </c>
      <c r="G352" s="3861">
        <v>38</v>
      </c>
      <c r="H352" s="3861">
        <v>380</v>
      </c>
      <c r="I352" s="4839"/>
      <c r="J352" s="4839"/>
      <c r="K352" s="3848"/>
      <c r="L352" s="6308"/>
      <c r="M352" s="6310"/>
      <c r="N352" s="6320"/>
      <c r="O352" s="6252"/>
      <c r="P352" s="3875"/>
      <c r="Q352" s="3875"/>
      <c r="R352" s="3875"/>
      <c r="S352" s="3875"/>
      <c r="T352" s="3875"/>
    </row>
    <row r="353" spans="2:20" x14ac:dyDescent="0.3">
      <c r="B353" s="3903" t="s">
        <v>1193</v>
      </c>
      <c r="C353" s="3861">
        <f>0+0+0+1</f>
        <v>1</v>
      </c>
      <c r="D353" s="3861">
        <f>0+0+0+387</f>
        <v>387</v>
      </c>
      <c r="E353" s="3848"/>
      <c r="F353" s="3903" t="s">
        <v>1104</v>
      </c>
      <c r="G353" s="3861">
        <v>10</v>
      </c>
      <c r="H353" s="3861">
        <v>50</v>
      </c>
      <c r="I353" s="4839"/>
      <c r="J353" s="4839"/>
      <c r="K353" s="3848"/>
      <c r="L353" s="3921" t="s">
        <v>1191</v>
      </c>
      <c r="M353" s="6251" t="s">
        <v>1192</v>
      </c>
      <c r="N353" s="6251">
        <v>1332</v>
      </c>
      <c r="O353" s="6251">
        <v>13642</v>
      </c>
      <c r="P353" s="3875"/>
      <c r="Q353" s="3875"/>
      <c r="R353" s="3875"/>
      <c r="S353" s="3875"/>
      <c r="T353" s="3875"/>
    </row>
    <row r="354" spans="2:20" x14ac:dyDescent="0.3">
      <c r="B354" s="3903" t="s">
        <v>998</v>
      </c>
      <c r="C354" s="3861">
        <f>0+2</f>
        <v>2</v>
      </c>
      <c r="D354" s="3861">
        <f>0+210</f>
        <v>210</v>
      </c>
      <c r="E354" s="3848"/>
      <c r="F354" s="3903" t="s">
        <v>1002</v>
      </c>
      <c r="G354" s="3861">
        <f>168000+26400+180</f>
        <v>194580</v>
      </c>
      <c r="H354" s="3861">
        <f>168000+26400+90000</f>
        <v>284400</v>
      </c>
      <c r="I354" s="4839"/>
      <c r="J354" s="4839"/>
      <c r="K354" s="3848"/>
      <c r="L354" s="6321" t="s">
        <v>1194</v>
      </c>
      <c r="M354" s="6274"/>
      <c r="N354" s="6274"/>
      <c r="O354" s="6274"/>
      <c r="P354" s="3875"/>
      <c r="Q354" s="3875"/>
      <c r="R354" s="3875"/>
      <c r="S354" s="3875"/>
      <c r="T354" s="3875"/>
    </row>
    <row r="355" spans="2:20" x14ac:dyDescent="0.3">
      <c r="B355" s="3903" t="s">
        <v>999</v>
      </c>
      <c r="C355" s="3861">
        <f>4+10</f>
        <v>14</v>
      </c>
      <c r="D355" s="3858">
        <f>1297+1929</f>
        <v>3226</v>
      </c>
      <c r="E355" s="3848"/>
      <c r="F355" s="3897" t="s">
        <v>1130</v>
      </c>
      <c r="G355" s="3861">
        <f>33</f>
        <v>33</v>
      </c>
      <c r="H355" s="3861">
        <f>396</f>
        <v>396</v>
      </c>
      <c r="I355" s="4839"/>
      <c r="J355" s="4839"/>
      <c r="K355" s="3848"/>
      <c r="L355" s="6321"/>
      <c r="M355" s="6309" t="s">
        <v>1146</v>
      </c>
      <c r="N355" s="6274"/>
      <c r="O355" s="6274"/>
      <c r="P355" s="3875"/>
      <c r="Q355" s="3875"/>
      <c r="R355" s="3875"/>
      <c r="S355" s="3875"/>
      <c r="T355" s="3875"/>
    </row>
    <row r="356" spans="2:20" x14ac:dyDescent="0.3">
      <c r="B356" s="3903" t="s">
        <v>1003</v>
      </c>
      <c r="C356" s="3861">
        <v>2</v>
      </c>
      <c r="D356" s="3861">
        <f>140+37</f>
        <v>177</v>
      </c>
      <c r="E356" s="3848"/>
      <c r="F356" s="3897" t="s">
        <v>1008</v>
      </c>
      <c r="G356" s="3861">
        <f>32+72</f>
        <v>104</v>
      </c>
      <c r="H356" s="3861">
        <f>320+1296</f>
        <v>1616</v>
      </c>
      <c r="I356" s="4839"/>
      <c r="J356" s="4839"/>
      <c r="K356" s="3848"/>
      <c r="L356" s="6321"/>
      <c r="M356" s="6309"/>
      <c r="N356" s="6274"/>
      <c r="O356" s="6274"/>
      <c r="P356" s="3875"/>
      <c r="Q356" s="3875"/>
      <c r="R356" s="3875"/>
      <c r="S356" s="3875"/>
      <c r="T356" s="3875"/>
    </row>
    <row r="357" spans="2:20" x14ac:dyDescent="0.3">
      <c r="B357" s="3903" t="s">
        <v>1123</v>
      </c>
      <c r="C357" s="3861">
        <v>1</v>
      </c>
      <c r="D357" s="3861">
        <f>281</f>
        <v>281</v>
      </c>
      <c r="E357" s="3848"/>
      <c r="F357" s="3903" t="s">
        <v>1042</v>
      </c>
      <c r="G357" s="3861">
        <v>108</v>
      </c>
      <c r="H357" s="3861">
        <v>756</v>
      </c>
      <c r="I357" s="4839"/>
      <c r="J357" s="4839"/>
      <c r="K357" s="3848"/>
      <c r="L357" s="6321"/>
      <c r="M357" s="6309"/>
      <c r="N357" s="6274"/>
      <c r="O357" s="6274"/>
      <c r="P357" s="3875"/>
      <c r="Q357" s="3875"/>
      <c r="R357" s="3875"/>
      <c r="S357" s="3875"/>
      <c r="T357" s="3875"/>
    </row>
    <row r="358" spans="2:20" x14ac:dyDescent="0.3">
      <c r="B358" s="3903" t="s">
        <v>1195</v>
      </c>
      <c r="C358" s="3861">
        <f>1</f>
        <v>1</v>
      </c>
      <c r="D358" s="3861">
        <f>318</f>
        <v>318</v>
      </c>
      <c r="E358" s="3848"/>
      <c r="F358" s="3903" t="s">
        <v>1012</v>
      </c>
      <c r="G358" s="3861">
        <f>42000+180</f>
        <v>42180</v>
      </c>
      <c r="H358" s="3861">
        <f>42000+10800</f>
        <v>52800</v>
      </c>
      <c r="I358" s="4839"/>
      <c r="J358" s="4839"/>
      <c r="K358" s="3848"/>
      <c r="L358" s="6321"/>
      <c r="M358" s="6309"/>
      <c r="N358" s="6274"/>
      <c r="O358" s="6274"/>
      <c r="P358" s="3875"/>
      <c r="Q358" s="3875"/>
      <c r="R358" s="3875"/>
      <c r="S358" s="3875"/>
      <c r="T358" s="3875"/>
    </row>
    <row r="359" spans="2:20" x14ac:dyDescent="0.3">
      <c r="B359" s="3903" t="s">
        <v>1008</v>
      </c>
      <c r="C359" s="3861">
        <v>3</v>
      </c>
      <c r="D359" s="3861">
        <v>17</v>
      </c>
      <c r="E359" s="3848"/>
      <c r="F359" s="3903" t="s">
        <v>1175</v>
      </c>
      <c r="G359" s="3861">
        <v>1</v>
      </c>
      <c r="H359" s="3861">
        <v>102</v>
      </c>
      <c r="I359" s="4839"/>
      <c r="J359" s="4839"/>
      <c r="K359" s="3848"/>
      <c r="L359" s="6321"/>
      <c r="M359" s="6309"/>
      <c r="N359" s="6274"/>
      <c r="O359" s="6274"/>
      <c r="P359" s="3875"/>
      <c r="Q359" s="3875"/>
      <c r="R359" s="3875"/>
      <c r="S359" s="3875"/>
      <c r="T359" s="3875"/>
    </row>
    <row r="360" spans="2:20" x14ac:dyDescent="0.3">
      <c r="B360" s="3904" t="s">
        <v>1100</v>
      </c>
      <c r="C360" s="3861">
        <v>2</v>
      </c>
      <c r="D360" s="3861">
        <v>67</v>
      </c>
      <c r="E360" s="3848"/>
      <c r="F360" s="3903" t="s">
        <v>1155</v>
      </c>
      <c r="G360" s="3861">
        <v>3</v>
      </c>
      <c r="H360" s="3861">
        <v>69</v>
      </c>
      <c r="I360" s="4839"/>
      <c r="J360" s="4839"/>
      <c r="K360" s="3848"/>
      <c r="L360" s="6321"/>
      <c r="M360" s="6309"/>
      <c r="N360" s="6274"/>
      <c r="O360" s="6274"/>
      <c r="P360" s="3875"/>
      <c r="Q360" s="3875"/>
      <c r="R360" s="3875"/>
      <c r="S360" s="3875"/>
      <c r="T360" s="3875"/>
    </row>
    <row r="361" spans="2:20" x14ac:dyDescent="0.3">
      <c r="B361" s="3903" t="s">
        <v>1052</v>
      </c>
      <c r="C361" s="3861">
        <f>2+1</f>
        <v>3</v>
      </c>
      <c r="D361" s="3858">
        <f>225+360</f>
        <v>585</v>
      </c>
      <c r="E361" s="3848"/>
      <c r="F361" s="3903" t="s">
        <v>1107</v>
      </c>
      <c r="G361" s="3861">
        <v>231</v>
      </c>
      <c r="H361" s="3861">
        <v>3465</v>
      </c>
      <c r="I361" s="4839"/>
      <c r="J361" s="4839"/>
      <c r="K361" s="3848"/>
      <c r="L361" s="6321"/>
      <c r="M361" s="6309"/>
      <c r="N361" s="6274"/>
      <c r="O361" s="6274"/>
      <c r="P361" s="3875"/>
      <c r="Q361" s="3875"/>
      <c r="R361" s="3875"/>
      <c r="S361" s="3875"/>
      <c r="T361" s="3875"/>
    </row>
    <row r="362" spans="2:20" x14ac:dyDescent="0.3">
      <c r="B362" s="3903" t="s">
        <v>1053</v>
      </c>
      <c r="C362" s="3861">
        <f>0+0+6</f>
        <v>6</v>
      </c>
      <c r="D362" s="3861">
        <f>0+0+0+122</f>
        <v>122</v>
      </c>
      <c r="E362" s="3848"/>
      <c r="F362" s="3904" t="s">
        <v>1017</v>
      </c>
      <c r="G362" s="3861">
        <v>180</v>
      </c>
      <c r="H362" s="3861">
        <v>12600</v>
      </c>
      <c r="I362" s="4839"/>
      <c r="J362" s="4839"/>
      <c r="K362" s="3848"/>
      <c r="L362" s="6308"/>
      <c r="M362" s="6310"/>
      <c r="N362" s="6252"/>
      <c r="O362" s="6252"/>
      <c r="P362" s="3875"/>
      <c r="Q362" s="3875"/>
      <c r="R362" s="3875"/>
      <c r="S362" s="3875"/>
      <c r="T362" s="3875"/>
    </row>
    <row r="363" spans="2:20" x14ac:dyDescent="0.3">
      <c r="B363" s="3903" t="s">
        <v>1011</v>
      </c>
      <c r="C363" s="3861">
        <f>0+0+3</f>
        <v>3</v>
      </c>
      <c r="D363" s="3861">
        <f>0+0+65</f>
        <v>65</v>
      </c>
      <c r="E363" s="3848"/>
      <c r="F363" s="3903" t="s">
        <v>1011</v>
      </c>
      <c r="G363" s="3861">
        <v>8750</v>
      </c>
      <c r="H363" s="3861">
        <v>17500</v>
      </c>
      <c r="I363" s="4839"/>
      <c r="J363" s="4839"/>
      <c r="K363" s="3848"/>
      <c r="L363" s="6260" t="s">
        <v>1196</v>
      </c>
      <c r="M363" s="3922" t="s">
        <v>1197</v>
      </c>
      <c r="N363" s="6251">
        <f>1469+239+133+1696+1309</f>
        <v>4846</v>
      </c>
      <c r="O363" s="6251">
        <f>1700+60+30+2000+1600</f>
        <v>5390</v>
      </c>
      <c r="P363" s="3875"/>
      <c r="Q363" s="3875"/>
      <c r="R363" s="3875"/>
      <c r="S363" s="3875"/>
      <c r="T363" s="3875"/>
    </row>
    <row r="364" spans="2:20" x14ac:dyDescent="0.3">
      <c r="B364" s="3903" t="s">
        <v>1014</v>
      </c>
      <c r="C364" s="3861">
        <f>0+0+2</f>
        <v>2</v>
      </c>
      <c r="D364" s="3861">
        <f>0+0+56</f>
        <v>56</v>
      </c>
      <c r="E364" s="3848"/>
      <c r="F364" s="3903" t="s">
        <v>1020</v>
      </c>
      <c r="G364" s="3861">
        <f>4+108</f>
        <v>112</v>
      </c>
      <c r="H364" s="3861">
        <f>25+1404</f>
        <v>1429</v>
      </c>
      <c r="I364" s="4839"/>
      <c r="J364" s="4839"/>
      <c r="K364" s="3848"/>
      <c r="L364" s="6261"/>
      <c r="M364" s="3906" t="s">
        <v>1198</v>
      </c>
      <c r="N364" s="6252"/>
      <c r="O364" s="6252"/>
      <c r="P364" s="3875"/>
      <c r="Q364" s="3875"/>
      <c r="R364" s="3875"/>
      <c r="S364" s="3875"/>
      <c r="T364" s="3875"/>
    </row>
    <row r="365" spans="2:20" x14ac:dyDescent="0.3">
      <c r="B365" s="3903" t="s">
        <v>1016</v>
      </c>
      <c r="C365" s="3861">
        <f>0+1+0+5</f>
        <v>6</v>
      </c>
      <c r="D365" s="3861">
        <f>0+15+0+99</f>
        <v>114</v>
      </c>
      <c r="E365" s="3848"/>
      <c r="F365" s="3904" t="s">
        <v>1014</v>
      </c>
      <c r="G365" s="3861">
        <f>40+595+7</f>
        <v>642</v>
      </c>
      <c r="H365" s="3858">
        <f>80+1190+14</f>
        <v>1284</v>
      </c>
      <c r="I365" s="4839"/>
      <c r="J365" s="4839"/>
      <c r="K365" s="3848"/>
      <c r="L365" s="6260" t="s">
        <v>1199</v>
      </c>
      <c r="M365" s="3906" t="s">
        <v>1200</v>
      </c>
      <c r="N365" s="6251">
        <f>526+101+141+757+675</f>
        <v>2200</v>
      </c>
      <c r="O365" s="6251">
        <v>5390</v>
      </c>
      <c r="P365" s="3875"/>
      <c r="Q365" s="3875"/>
      <c r="R365" s="3875"/>
      <c r="S365" s="3875"/>
      <c r="T365" s="3875"/>
    </row>
    <row r="366" spans="2:20" x14ac:dyDescent="0.3">
      <c r="B366" s="6307" t="s">
        <v>1018</v>
      </c>
      <c r="C366" s="6251">
        <f>4</f>
        <v>4</v>
      </c>
      <c r="D366" s="6251">
        <f>522</f>
        <v>522</v>
      </c>
      <c r="E366" s="3848"/>
      <c r="F366" s="3904" t="s">
        <v>1016</v>
      </c>
      <c r="G366" s="3858">
        <f>527+96+443</f>
        <v>1066</v>
      </c>
      <c r="H366" s="3858">
        <f>2110+1152+1772</f>
        <v>5034</v>
      </c>
      <c r="I366" s="4839"/>
      <c r="J366" s="4839"/>
      <c r="K366" s="3848"/>
      <c r="L366" s="6305"/>
      <c r="M366" s="3906" t="s">
        <v>1201</v>
      </c>
      <c r="N366" s="6274"/>
      <c r="O366" s="6274"/>
      <c r="P366" s="3875"/>
      <c r="Q366" s="3875"/>
      <c r="R366" s="3875"/>
      <c r="S366" s="3875"/>
      <c r="T366" s="3875"/>
    </row>
    <row r="367" spans="2:20" x14ac:dyDescent="0.3">
      <c r="B367" s="6308"/>
      <c r="C367" s="6252"/>
      <c r="D367" s="6252"/>
      <c r="E367" s="3848"/>
      <c r="F367" s="3904" t="s">
        <v>1025</v>
      </c>
      <c r="G367" s="3858">
        <f>84+365</f>
        <v>449</v>
      </c>
      <c r="H367" s="3858">
        <f>421+2920</f>
        <v>3341</v>
      </c>
      <c r="I367" s="4839"/>
      <c r="J367" s="4839"/>
      <c r="K367" s="3848"/>
      <c r="L367" s="6261"/>
      <c r="M367" s="3908" t="s">
        <v>1202</v>
      </c>
      <c r="N367" s="6252"/>
      <c r="O367" s="6252"/>
      <c r="P367" s="3875"/>
      <c r="Q367" s="3875"/>
      <c r="R367" s="3875"/>
      <c r="S367" s="3875"/>
      <c r="T367" s="3875"/>
    </row>
    <row r="368" spans="2:20" x14ac:dyDescent="0.3">
      <c r="B368" s="3911" t="s">
        <v>1106</v>
      </c>
      <c r="C368" s="3858">
        <v>3</v>
      </c>
      <c r="D368" s="3858">
        <v>50</v>
      </c>
      <c r="E368" s="3848"/>
      <c r="F368" s="3904" t="s">
        <v>1028</v>
      </c>
      <c r="G368" s="3858">
        <f>0+96</f>
        <v>96</v>
      </c>
      <c r="H368" s="3858">
        <f>0+1536</f>
        <v>1536</v>
      </c>
      <c r="I368" s="4839"/>
      <c r="J368" s="4839"/>
      <c r="K368" s="3848"/>
      <c r="L368" s="3923"/>
      <c r="M368" s="323"/>
      <c r="N368" s="3913"/>
      <c r="O368" s="3848"/>
      <c r="P368" s="3875"/>
      <c r="Q368" s="3875"/>
      <c r="R368" s="3875"/>
      <c r="S368" s="3875"/>
      <c r="T368" s="3875"/>
    </row>
    <row r="369" spans="2:20" x14ac:dyDescent="0.3">
      <c r="B369" s="3912" t="s">
        <v>1025</v>
      </c>
      <c r="C369" s="3861">
        <f>1+0+4+6</f>
        <v>11</v>
      </c>
      <c r="D369" s="3858">
        <f>22+0+144+355</f>
        <v>521</v>
      </c>
      <c r="E369" s="3848"/>
      <c r="F369" s="3903" t="s">
        <v>1086</v>
      </c>
      <c r="G369" s="3861">
        <f>0+96</f>
        <v>96</v>
      </c>
      <c r="H369" s="3858">
        <f>0+1728</f>
        <v>1728</v>
      </c>
      <c r="I369" s="4839"/>
      <c r="J369" s="4839"/>
      <c r="K369" s="3848"/>
      <c r="L369" s="3909" t="s">
        <v>279</v>
      </c>
      <c r="M369" s="3910"/>
      <c r="N369" s="3910">
        <f>SUM(N342:N367)</f>
        <v>9318</v>
      </c>
      <c r="O369" s="3910">
        <f>SUM(O342:O365)</f>
        <v>27522</v>
      </c>
      <c r="P369" s="3875"/>
      <c r="Q369" s="3875"/>
      <c r="R369" s="3875"/>
      <c r="S369" s="3875"/>
      <c r="T369" s="3875"/>
    </row>
    <row r="370" spans="2:20" x14ac:dyDescent="0.3">
      <c r="B370" s="323"/>
      <c r="C370" s="323"/>
      <c r="D370" s="3913"/>
      <c r="E370" s="3848"/>
      <c r="F370" s="323"/>
      <c r="G370" s="323"/>
      <c r="H370" s="3913"/>
      <c r="I370" s="4839"/>
      <c r="J370" s="4839"/>
      <c r="K370" s="3848"/>
      <c r="L370" s="3848"/>
      <c r="M370" s="3848"/>
      <c r="N370" s="3848"/>
      <c r="O370" s="3848"/>
      <c r="P370" s="3875"/>
      <c r="Q370" s="3875"/>
      <c r="R370" s="3875"/>
      <c r="S370" s="3875"/>
      <c r="T370" s="3875"/>
    </row>
    <row r="371" spans="2:20" x14ac:dyDescent="0.3">
      <c r="B371" s="3909" t="s">
        <v>279</v>
      </c>
      <c r="C371" s="3910">
        <f>SUM(C341:C370)</f>
        <v>241</v>
      </c>
      <c r="D371" s="3910">
        <f>SUM(D341:D370)</f>
        <v>21072</v>
      </c>
      <c r="E371" s="3848"/>
      <c r="F371" s="3909" t="s">
        <v>279</v>
      </c>
      <c r="G371" s="3910">
        <f>SUM(G341:G370)</f>
        <v>256086</v>
      </c>
      <c r="H371" s="3910">
        <f>SUM(H341:H370)</f>
        <v>461379</v>
      </c>
      <c r="I371" s="4839"/>
      <c r="J371" s="4839"/>
      <c r="K371" s="3848"/>
      <c r="L371" s="3848"/>
      <c r="M371" s="3848"/>
      <c r="N371" s="3848"/>
      <c r="O371" s="3848"/>
      <c r="P371" s="3875"/>
      <c r="Q371" s="3875"/>
      <c r="R371" s="3875"/>
      <c r="S371" s="3875"/>
      <c r="T371" s="3875"/>
    </row>
    <row r="372" spans="2:20" x14ac:dyDescent="0.3">
      <c r="B372" s="6351" t="s">
        <v>1203</v>
      </c>
      <c r="C372" s="6351"/>
      <c r="D372" s="6351"/>
      <c r="E372" s="6351"/>
      <c r="F372" s="6351"/>
      <c r="G372" s="6351"/>
      <c r="H372" s="6351"/>
      <c r="I372" s="4839"/>
      <c r="J372" s="4839"/>
      <c r="K372" s="3848"/>
      <c r="L372" s="3848"/>
      <c r="M372" s="3848"/>
      <c r="N372" s="3848"/>
      <c r="O372" s="3848"/>
      <c r="P372" s="3875"/>
      <c r="Q372" s="3875"/>
      <c r="R372" s="3875"/>
      <c r="S372" s="3875"/>
      <c r="T372" s="3875"/>
    </row>
    <row r="373" spans="2:20" x14ac:dyDescent="0.3">
      <c r="B373" s="3875"/>
      <c r="C373" s="3875"/>
      <c r="D373" s="3875"/>
      <c r="E373" s="3875"/>
      <c r="F373" s="3875"/>
      <c r="G373" s="3875"/>
      <c r="H373" s="3875"/>
      <c r="I373" s="4839"/>
      <c r="J373" s="4839"/>
      <c r="K373" s="3848"/>
      <c r="L373" s="3848"/>
      <c r="M373" s="3848"/>
      <c r="N373" s="3848"/>
      <c r="O373" s="3848"/>
      <c r="P373" s="3875"/>
      <c r="Q373" s="3875"/>
      <c r="R373" s="3875"/>
      <c r="S373" s="3875"/>
      <c r="T373" s="3875"/>
    </row>
    <row r="374" spans="2:20" x14ac:dyDescent="0.3">
      <c r="B374" s="3875"/>
      <c r="C374" s="3875"/>
      <c r="D374" s="3875"/>
      <c r="E374" s="3875"/>
      <c r="F374" s="3875"/>
      <c r="G374" s="3875"/>
      <c r="H374" s="3875"/>
      <c r="I374" s="4839"/>
      <c r="J374" s="4839"/>
      <c r="K374" s="3848"/>
      <c r="L374" s="3848"/>
      <c r="M374" s="3848"/>
      <c r="N374" s="3848"/>
      <c r="O374" s="3848"/>
      <c r="P374" s="3875"/>
      <c r="Q374" s="3875"/>
      <c r="R374" s="3875"/>
      <c r="S374" s="3875"/>
      <c r="T374" s="3875"/>
    </row>
    <row r="375" spans="2:20" x14ac:dyDescent="0.3">
      <c r="B375" s="6255" t="s">
        <v>1109</v>
      </c>
      <c r="C375" s="6249"/>
      <c r="D375" s="6250"/>
      <c r="E375" s="3875"/>
      <c r="F375" s="6255" t="s">
        <v>1204</v>
      </c>
      <c r="G375" s="6249"/>
      <c r="H375" s="6250"/>
      <c r="I375" s="4839"/>
      <c r="J375" s="4839"/>
      <c r="K375" s="3875"/>
      <c r="L375" s="3875"/>
      <c r="M375" s="3875"/>
      <c r="N375" s="3875"/>
      <c r="O375" s="3875"/>
      <c r="P375" s="3875"/>
      <c r="Q375" s="3875"/>
      <c r="R375" s="3875"/>
      <c r="S375" s="3875"/>
      <c r="T375" s="3875"/>
    </row>
    <row r="376" spans="2:20" x14ac:dyDescent="0.3">
      <c r="B376" s="6256" t="s">
        <v>1205</v>
      </c>
      <c r="C376" s="6257"/>
      <c r="D376" s="6258"/>
      <c r="E376" s="3875"/>
      <c r="F376" s="6256" t="s">
        <v>965</v>
      </c>
      <c r="G376" s="6257"/>
      <c r="H376" s="6258"/>
      <c r="I376" s="4839"/>
      <c r="J376" s="4839"/>
      <c r="K376" s="3875"/>
      <c r="L376" s="3875"/>
      <c r="M376" s="3875"/>
      <c r="N376" s="3875"/>
      <c r="O376" s="3875"/>
      <c r="P376" s="3875"/>
      <c r="Q376" s="3875"/>
      <c r="R376" s="3875"/>
      <c r="S376" s="3875"/>
      <c r="T376" s="3875"/>
    </row>
    <row r="377" spans="2:20" x14ac:dyDescent="0.3">
      <c r="B377" s="6322" t="s">
        <v>967</v>
      </c>
      <c r="C377" s="6323" t="s">
        <v>968</v>
      </c>
      <c r="D377" s="6323" t="s">
        <v>969</v>
      </c>
      <c r="E377" s="3875"/>
      <c r="F377" s="6322" t="s">
        <v>970</v>
      </c>
      <c r="G377" s="6323" t="s">
        <v>971</v>
      </c>
      <c r="H377" s="6323" t="s">
        <v>972</v>
      </c>
      <c r="I377" s="4839"/>
      <c r="J377" s="4839"/>
      <c r="K377" s="3875"/>
      <c r="L377" s="6325" t="s">
        <v>1206</v>
      </c>
      <c r="M377" s="6257"/>
      <c r="N377" s="6257"/>
      <c r="O377" s="6258"/>
      <c r="P377" s="3875"/>
      <c r="Q377" s="3875"/>
      <c r="R377" s="3875"/>
      <c r="S377" s="3875"/>
      <c r="T377" s="3875"/>
    </row>
    <row r="378" spans="2:20" x14ac:dyDescent="0.3">
      <c r="B378" s="6322"/>
      <c r="C378" s="6324"/>
      <c r="D378" s="6324"/>
      <c r="E378" s="3875"/>
      <c r="F378" s="6322"/>
      <c r="G378" s="6324"/>
      <c r="H378" s="6324"/>
      <c r="I378" s="4839"/>
      <c r="J378" s="4839"/>
      <c r="K378" s="3875"/>
      <c r="L378" s="6311" t="s">
        <v>970</v>
      </c>
      <c r="M378" s="6313" t="s">
        <v>973</v>
      </c>
      <c r="N378" s="6314" t="s">
        <v>972</v>
      </c>
      <c r="O378" s="6315"/>
      <c r="P378" s="3875"/>
      <c r="Q378" s="3875"/>
      <c r="R378" s="3875"/>
      <c r="S378" s="3875"/>
      <c r="T378" s="3875"/>
    </row>
    <row r="379" spans="2:20" x14ac:dyDescent="0.3">
      <c r="B379" s="3890" t="s">
        <v>976</v>
      </c>
      <c r="C379" s="3891">
        <v>12</v>
      </c>
      <c r="D379" s="3892">
        <v>900</v>
      </c>
      <c r="E379" s="3875"/>
      <c r="F379" s="354"/>
      <c r="G379" s="354"/>
      <c r="H379" s="354"/>
      <c r="I379" s="4839"/>
      <c r="J379" s="4839"/>
      <c r="K379" s="3875"/>
      <c r="L379" s="6312"/>
      <c r="M379" s="6312"/>
      <c r="N379" s="3924" t="s">
        <v>1032</v>
      </c>
      <c r="O379" s="3925" t="s">
        <v>1033</v>
      </c>
      <c r="P379" s="3875"/>
      <c r="Q379" s="3875"/>
      <c r="R379" s="3875"/>
      <c r="S379" s="3875"/>
      <c r="T379" s="3875"/>
    </row>
    <row r="380" spans="2:20" x14ac:dyDescent="0.3">
      <c r="B380" s="3901" t="s">
        <v>986</v>
      </c>
      <c r="C380" s="3858">
        <v>2</v>
      </c>
      <c r="D380" s="3858">
        <v>35</v>
      </c>
      <c r="E380" s="3875"/>
      <c r="F380" s="3893" t="s">
        <v>978</v>
      </c>
      <c r="G380" s="3891">
        <f>87+87</f>
        <v>174</v>
      </c>
      <c r="H380" s="3892">
        <v>348</v>
      </c>
      <c r="I380" s="4839"/>
      <c r="J380" s="4839"/>
      <c r="K380" s="3875"/>
      <c r="L380" s="323"/>
      <c r="M380" s="323"/>
      <c r="N380" s="323"/>
      <c r="O380" s="3848"/>
      <c r="P380" s="3875"/>
      <c r="Q380" s="3875"/>
      <c r="R380" s="3875"/>
      <c r="S380" s="3875"/>
      <c r="T380" s="3875"/>
    </row>
    <row r="381" spans="2:20" x14ac:dyDescent="0.3">
      <c r="B381" s="3901" t="s">
        <v>985</v>
      </c>
      <c r="C381" s="3858">
        <v>11</v>
      </c>
      <c r="D381" s="3858">
        <v>774</v>
      </c>
      <c r="E381" s="3875"/>
      <c r="F381" s="3901" t="s">
        <v>986</v>
      </c>
      <c r="G381" s="3858">
        <v>72</v>
      </c>
      <c r="H381" s="3858">
        <v>855</v>
      </c>
      <c r="I381" s="4839"/>
      <c r="J381" s="4839"/>
      <c r="K381" s="3875"/>
      <c r="L381" s="3926" t="s">
        <v>1207</v>
      </c>
      <c r="M381" s="3927" t="s">
        <v>1208</v>
      </c>
      <c r="N381" s="3928">
        <v>1149</v>
      </c>
      <c r="O381" s="3861">
        <f>15426-1149</f>
        <v>14277</v>
      </c>
      <c r="P381" s="3875"/>
      <c r="Q381" s="3875"/>
      <c r="R381" s="3875"/>
      <c r="S381" s="3875"/>
      <c r="T381" s="3875"/>
    </row>
    <row r="382" spans="2:20" ht="27.6" x14ac:dyDescent="0.3">
      <c r="B382" s="3929" t="s">
        <v>1185</v>
      </c>
      <c r="C382" s="3858">
        <v>20</v>
      </c>
      <c r="D382" s="3858">
        <v>858</v>
      </c>
      <c r="E382" s="3875"/>
      <c r="F382" s="3900" t="s">
        <v>1210</v>
      </c>
      <c r="G382" s="3853">
        <v>2873</v>
      </c>
      <c r="H382" s="3853">
        <v>6746</v>
      </c>
      <c r="I382" s="4839"/>
      <c r="J382" s="4839"/>
      <c r="K382" s="3875"/>
      <c r="L382" s="6349" t="s">
        <v>979</v>
      </c>
      <c r="M382" s="6350" t="s">
        <v>1209</v>
      </c>
      <c r="N382" s="6267">
        <v>3563</v>
      </c>
      <c r="O382" s="6251">
        <v>4945</v>
      </c>
      <c r="P382" s="3875"/>
      <c r="Q382" s="3875"/>
      <c r="R382" s="3875"/>
      <c r="S382" s="3875"/>
      <c r="T382" s="3875"/>
    </row>
    <row r="383" spans="2:20" x14ac:dyDescent="0.3">
      <c r="B383" s="3901" t="s">
        <v>1049</v>
      </c>
      <c r="C383" s="3858">
        <v>1</v>
      </c>
      <c r="D383" s="3858">
        <v>36</v>
      </c>
      <c r="E383" s="3875"/>
      <c r="F383" s="3901" t="s">
        <v>990</v>
      </c>
      <c r="G383" s="3858">
        <f>659+174+1057</f>
        <v>1890</v>
      </c>
      <c r="H383" s="3858">
        <v>9677</v>
      </c>
      <c r="I383" s="4839"/>
      <c r="J383" s="4839"/>
      <c r="K383" s="3875"/>
      <c r="L383" s="6349"/>
      <c r="M383" s="6350"/>
      <c r="N383" s="6267"/>
      <c r="O383" s="6252"/>
      <c r="P383" s="3875"/>
      <c r="Q383" s="3875"/>
      <c r="R383" s="3875"/>
      <c r="S383" s="3875"/>
      <c r="T383" s="3875"/>
    </row>
    <row r="384" spans="2:20" ht="27.6" x14ac:dyDescent="0.3">
      <c r="B384" s="3901" t="s">
        <v>1147</v>
      </c>
      <c r="C384" s="3858">
        <v>8</v>
      </c>
      <c r="D384" s="3858">
        <v>43</v>
      </c>
      <c r="E384" s="3875"/>
      <c r="F384" s="3901" t="s">
        <v>1117</v>
      </c>
      <c r="G384" s="3858">
        <v>24</v>
      </c>
      <c r="H384" s="3858">
        <v>164</v>
      </c>
      <c r="I384" s="4839"/>
      <c r="J384" s="4839"/>
      <c r="K384" s="3875"/>
      <c r="L384" s="3901" t="s">
        <v>1047</v>
      </c>
      <c r="M384" s="3930" t="s">
        <v>1211</v>
      </c>
      <c r="N384" s="3858">
        <v>2698</v>
      </c>
      <c r="O384" s="3858">
        <v>4945</v>
      </c>
      <c r="P384" s="3875"/>
      <c r="Q384" s="3875"/>
      <c r="R384" s="3875"/>
      <c r="S384" s="3875"/>
      <c r="T384" s="3875"/>
    </row>
    <row r="385" spans="2:20" x14ac:dyDescent="0.3">
      <c r="B385" s="3931" t="s">
        <v>1212</v>
      </c>
      <c r="C385" s="3858">
        <v>4</v>
      </c>
      <c r="D385" s="3858">
        <v>191</v>
      </c>
      <c r="E385" s="3875"/>
      <c r="F385" s="3901" t="s">
        <v>1213</v>
      </c>
      <c r="G385" s="3858">
        <v>24</v>
      </c>
      <c r="H385" s="3858">
        <v>186</v>
      </c>
      <c r="I385" s="4839"/>
      <c r="J385" s="4839"/>
      <c r="K385" s="3875"/>
      <c r="L385" s="3897" t="s">
        <v>1048</v>
      </c>
      <c r="M385" s="3861" t="s">
        <v>1208</v>
      </c>
      <c r="N385" s="3861">
        <v>558</v>
      </c>
      <c r="O385" s="3861">
        <v>2360</v>
      </c>
      <c r="P385" s="3875"/>
      <c r="Q385" s="3875"/>
      <c r="R385" s="3875"/>
      <c r="S385" s="3875"/>
      <c r="T385" s="3875"/>
    </row>
    <row r="386" spans="2:20" x14ac:dyDescent="0.3">
      <c r="B386" s="3904" t="s">
        <v>1214</v>
      </c>
      <c r="C386" s="3858">
        <v>3</v>
      </c>
      <c r="D386" s="3858">
        <v>1162</v>
      </c>
      <c r="E386" s="3875"/>
      <c r="F386" s="3901" t="s">
        <v>994</v>
      </c>
      <c r="G386" s="3858">
        <v>16</v>
      </c>
      <c r="H386" s="3858">
        <v>64</v>
      </c>
      <c r="I386" s="4839"/>
      <c r="J386" s="4839"/>
      <c r="K386" s="3875"/>
      <c r="L386" s="3848"/>
      <c r="M386" s="3848"/>
      <c r="N386" s="3848"/>
      <c r="O386" s="3848"/>
      <c r="P386" s="3875"/>
      <c r="Q386" s="3875"/>
      <c r="R386" s="3875"/>
      <c r="S386" s="3875"/>
      <c r="T386" s="3875"/>
    </row>
    <row r="387" spans="2:20" x14ac:dyDescent="0.3">
      <c r="B387" s="3901" t="s">
        <v>1005</v>
      </c>
      <c r="C387" s="3858">
        <v>8</v>
      </c>
      <c r="D387" s="3858">
        <v>355</v>
      </c>
      <c r="E387" s="3875"/>
      <c r="F387" s="3901" t="s">
        <v>993</v>
      </c>
      <c r="G387" s="3858">
        <f>110+3948+36</f>
        <v>4094</v>
      </c>
      <c r="H387" s="3858">
        <v>49122</v>
      </c>
      <c r="I387" s="4839"/>
      <c r="J387" s="4839"/>
      <c r="K387" s="3875"/>
      <c r="L387" s="3932" t="s">
        <v>279</v>
      </c>
      <c r="M387" s="3933"/>
      <c r="N387" s="3910">
        <f>SUM(N381:N385)</f>
        <v>7968</v>
      </c>
      <c r="O387" s="3910">
        <f>SUM(O381:O385)</f>
        <v>26527</v>
      </c>
      <c r="P387" s="3875"/>
      <c r="Q387" s="3875"/>
      <c r="R387" s="3875"/>
      <c r="S387" s="3875"/>
      <c r="T387" s="3875"/>
    </row>
    <row r="388" spans="2:20" x14ac:dyDescent="0.3">
      <c r="B388" s="3901" t="s">
        <v>1116</v>
      </c>
      <c r="C388" s="3858">
        <v>1</v>
      </c>
      <c r="D388" s="3858">
        <v>15</v>
      </c>
      <c r="E388" s="3875"/>
      <c r="F388" s="3904" t="s">
        <v>999</v>
      </c>
      <c r="G388" s="3858">
        <f>396+171</f>
        <v>567</v>
      </c>
      <c r="H388" s="3858">
        <f>7924+6020</f>
        <v>13944</v>
      </c>
      <c r="I388" s="4839"/>
      <c r="J388" s="4839"/>
      <c r="K388" s="3875"/>
      <c r="L388" s="3875"/>
      <c r="M388" s="3875"/>
      <c r="N388" s="3875"/>
      <c r="O388" s="3875"/>
      <c r="P388" s="3875"/>
      <c r="Q388" s="3875"/>
      <c r="R388" s="3875"/>
      <c r="S388" s="3875"/>
      <c r="T388" s="3875"/>
    </row>
    <row r="389" spans="2:20" x14ac:dyDescent="0.3">
      <c r="B389" s="3901" t="s">
        <v>994</v>
      </c>
      <c r="C389" s="3858">
        <v>1</v>
      </c>
      <c r="D389" s="3858">
        <v>23</v>
      </c>
      <c r="E389" s="3875"/>
      <c r="F389" s="3904" t="s">
        <v>1002</v>
      </c>
      <c r="G389" s="3858">
        <f>93210+61050+18975</f>
        <v>173235</v>
      </c>
      <c r="H389" s="3858">
        <v>173235</v>
      </c>
      <c r="I389" s="4839"/>
      <c r="J389" s="4839"/>
      <c r="K389" s="3875"/>
      <c r="L389" s="3875"/>
      <c r="M389" s="3875"/>
      <c r="N389" s="3875"/>
      <c r="O389" s="3875"/>
      <c r="P389" s="3875"/>
      <c r="Q389" s="3875"/>
      <c r="R389" s="3875"/>
      <c r="S389" s="3875"/>
      <c r="T389" s="3875"/>
    </row>
    <row r="390" spans="2:20" x14ac:dyDescent="0.3">
      <c r="B390" s="3904" t="s">
        <v>1189</v>
      </c>
      <c r="C390" s="3858">
        <v>1</v>
      </c>
      <c r="D390" s="3858">
        <v>32</v>
      </c>
      <c r="E390" s="3875"/>
      <c r="F390" s="3904" t="s">
        <v>1215</v>
      </c>
      <c r="G390" s="3858">
        <v>36</v>
      </c>
      <c r="H390" s="3858">
        <v>420</v>
      </c>
      <c r="I390" s="4839"/>
      <c r="J390" s="4839"/>
      <c r="K390" s="3875"/>
      <c r="L390" s="3875"/>
      <c r="M390" s="3875"/>
      <c r="N390" s="3875"/>
      <c r="O390" s="3875"/>
      <c r="P390" s="3875"/>
      <c r="Q390" s="3875"/>
      <c r="R390" s="3875"/>
      <c r="S390" s="3875"/>
      <c r="T390" s="3875"/>
    </row>
    <row r="391" spans="2:20" x14ac:dyDescent="0.3">
      <c r="B391" s="3904" t="s">
        <v>993</v>
      </c>
      <c r="C391" s="3858">
        <v>24</v>
      </c>
      <c r="D391" s="3858">
        <v>8887</v>
      </c>
      <c r="E391" s="3875"/>
      <c r="F391" s="3901" t="s">
        <v>1006</v>
      </c>
      <c r="G391" s="3858">
        <v>780</v>
      </c>
      <c r="H391" s="3858">
        <v>8680</v>
      </c>
      <c r="I391" s="4839"/>
      <c r="J391" s="4839"/>
      <c r="K391" s="3875"/>
      <c r="L391" s="3875"/>
      <c r="M391" s="3875"/>
      <c r="N391" s="3875"/>
      <c r="O391" s="3875"/>
      <c r="P391" s="3875"/>
      <c r="Q391" s="3875"/>
      <c r="R391" s="3875"/>
      <c r="S391" s="3875"/>
      <c r="T391" s="3875"/>
    </row>
    <row r="392" spans="2:20" x14ac:dyDescent="0.3">
      <c r="B392" s="3904" t="s">
        <v>1216</v>
      </c>
      <c r="C392" s="3858">
        <v>3</v>
      </c>
      <c r="D392" s="3858">
        <v>407</v>
      </c>
      <c r="E392" s="3875"/>
      <c r="F392" s="3901" t="s">
        <v>1130</v>
      </c>
      <c r="G392" s="3858">
        <v>33</v>
      </c>
      <c r="H392" s="3858">
        <v>462</v>
      </c>
      <c r="I392" s="4839"/>
      <c r="J392" s="4839"/>
      <c r="K392" s="3875"/>
      <c r="L392" s="3875"/>
      <c r="M392" s="3875"/>
      <c r="N392" s="3875"/>
      <c r="O392" s="3875"/>
      <c r="P392" s="3875"/>
      <c r="Q392" s="3875"/>
      <c r="R392" s="3875"/>
      <c r="S392" s="3875"/>
      <c r="T392" s="3875"/>
    </row>
    <row r="393" spans="2:20" x14ac:dyDescent="0.3">
      <c r="B393" s="3904" t="s">
        <v>998</v>
      </c>
      <c r="C393" s="3858">
        <v>2</v>
      </c>
      <c r="D393" s="3858">
        <v>430</v>
      </c>
      <c r="E393" s="3875"/>
      <c r="F393" s="3901" t="s">
        <v>1008</v>
      </c>
      <c r="G393" s="3858">
        <v>72</v>
      </c>
      <c r="H393" s="3858">
        <v>642</v>
      </c>
      <c r="I393" s="4839"/>
      <c r="J393" s="4839"/>
      <c r="K393" s="3875"/>
      <c r="L393" s="3875"/>
      <c r="M393" s="3875"/>
      <c r="N393" s="3875"/>
      <c r="O393" s="3875"/>
      <c r="P393" s="3875"/>
      <c r="Q393" s="3875"/>
      <c r="R393" s="3875"/>
      <c r="S393" s="3875"/>
      <c r="T393" s="3875"/>
    </row>
    <row r="394" spans="2:20" x14ac:dyDescent="0.3">
      <c r="B394" s="3904" t="s">
        <v>999</v>
      </c>
      <c r="C394" s="3858">
        <v>10</v>
      </c>
      <c r="D394" s="3858">
        <v>3460</v>
      </c>
      <c r="E394" s="3875"/>
      <c r="F394" s="3904" t="s">
        <v>1042</v>
      </c>
      <c r="G394" s="3858">
        <v>72</v>
      </c>
      <c r="H394" s="3858">
        <v>562</v>
      </c>
      <c r="I394" s="4839"/>
      <c r="J394" s="4839"/>
      <c r="K394" s="3875"/>
      <c r="L394" s="3875"/>
      <c r="M394" s="3875"/>
      <c r="N394" s="3875"/>
      <c r="O394" s="3875"/>
      <c r="P394" s="3875"/>
      <c r="Q394" s="3875"/>
      <c r="R394" s="3875"/>
      <c r="S394" s="3875"/>
      <c r="T394" s="3875"/>
    </row>
    <row r="395" spans="2:20" x14ac:dyDescent="0.3">
      <c r="B395" s="3904" t="s">
        <v>1003</v>
      </c>
      <c r="C395" s="3858">
        <v>6</v>
      </c>
      <c r="D395" s="3858">
        <v>195</v>
      </c>
      <c r="E395" s="3875"/>
      <c r="F395" s="3904" t="s">
        <v>1174</v>
      </c>
      <c r="G395" s="3858">
        <v>24</v>
      </c>
      <c r="H395" s="3858">
        <v>145</v>
      </c>
      <c r="I395" s="4839"/>
      <c r="J395" s="4839"/>
      <c r="K395" s="3875"/>
      <c r="L395" s="3875"/>
      <c r="M395" s="3875"/>
      <c r="N395" s="3875"/>
      <c r="O395" s="3875"/>
      <c r="P395" s="3875"/>
      <c r="Q395" s="3875"/>
      <c r="R395" s="3875"/>
      <c r="S395" s="3875"/>
      <c r="T395" s="3875"/>
    </row>
    <row r="396" spans="2:20" x14ac:dyDescent="0.3">
      <c r="B396" s="3904" t="s">
        <v>1100</v>
      </c>
      <c r="C396" s="3858">
        <v>3</v>
      </c>
      <c r="D396" s="3858">
        <v>85</v>
      </c>
      <c r="E396" s="3875"/>
      <c r="F396" s="3931" t="s">
        <v>1012</v>
      </c>
      <c r="G396" s="3858">
        <v>10920</v>
      </c>
      <c r="H396" s="3858">
        <v>10920</v>
      </c>
      <c r="I396" s="4839"/>
      <c r="J396" s="4839"/>
      <c r="K396" s="3875"/>
      <c r="L396" s="3875"/>
      <c r="M396" s="3875"/>
      <c r="N396" s="3875"/>
      <c r="O396" s="3875"/>
      <c r="P396" s="3875"/>
      <c r="Q396" s="3875"/>
      <c r="R396" s="3875"/>
      <c r="S396" s="3875"/>
      <c r="T396" s="3875"/>
    </row>
    <row r="397" spans="2:20" x14ac:dyDescent="0.3">
      <c r="B397" s="3904" t="s">
        <v>1052</v>
      </c>
      <c r="C397" s="3858">
        <v>1</v>
      </c>
      <c r="D397" s="3858">
        <v>412</v>
      </c>
      <c r="E397" s="3875"/>
      <c r="F397" s="3904" t="s">
        <v>1017</v>
      </c>
      <c r="G397" s="3858">
        <f>180+132</f>
        <v>312</v>
      </c>
      <c r="H397" s="3858">
        <v>13421</v>
      </c>
      <c r="I397" s="4839"/>
      <c r="J397" s="4839"/>
      <c r="K397" s="3875"/>
      <c r="L397" s="3875"/>
      <c r="M397" s="3875"/>
      <c r="N397" s="3875"/>
      <c r="O397" s="3875"/>
      <c r="P397" s="3875"/>
      <c r="Q397" s="3875"/>
      <c r="R397" s="3875"/>
      <c r="S397" s="3875"/>
      <c r="T397" s="3875"/>
    </row>
    <row r="398" spans="2:20" x14ac:dyDescent="0.3">
      <c r="B398" s="3904" t="s">
        <v>1053</v>
      </c>
      <c r="C398" s="3858">
        <v>9</v>
      </c>
      <c r="D398" s="3858">
        <f>32+93</f>
        <v>125</v>
      </c>
      <c r="E398" s="3875"/>
      <c r="F398" s="3904" t="s">
        <v>1011</v>
      </c>
      <c r="G398" s="3858">
        <v>8664</v>
      </c>
      <c r="H398" s="3858">
        <v>17328</v>
      </c>
      <c r="I398" s="4839"/>
      <c r="J398" s="4839"/>
      <c r="K398" s="3875"/>
      <c r="L398" s="3875"/>
      <c r="M398" s="3875"/>
      <c r="N398" s="3875"/>
      <c r="O398" s="3875"/>
      <c r="P398" s="3875"/>
      <c r="Q398" s="3875"/>
      <c r="R398" s="3875"/>
      <c r="S398" s="3875"/>
      <c r="T398" s="3875"/>
    </row>
    <row r="399" spans="2:20" x14ac:dyDescent="0.3">
      <c r="B399" s="3904" t="s">
        <v>1011</v>
      </c>
      <c r="C399" s="3858">
        <v>2</v>
      </c>
      <c r="D399" s="3858">
        <v>125</v>
      </c>
      <c r="E399" s="3875"/>
      <c r="F399" s="3904" t="s">
        <v>1217</v>
      </c>
      <c r="G399" s="3858">
        <v>24</v>
      </c>
      <c r="H399" s="3858">
        <v>179</v>
      </c>
      <c r="I399" s="4839"/>
      <c r="J399" s="4839"/>
      <c r="K399" s="3875"/>
      <c r="L399" s="3875"/>
      <c r="M399" s="3875"/>
      <c r="N399" s="3875"/>
      <c r="O399" s="3875"/>
      <c r="P399" s="3875"/>
      <c r="Q399" s="3875"/>
      <c r="R399" s="3875"/>
      <c r="S399" s="3875"/>
      <c r="T399" s="3875"/>
    </row>
    <row r="400" spans="2:20" x14ac:dyDescent="0.3">
      <c r="B400" s="3904" t="s">
        <v>1014</v>
      </c>
      <c r="C400" s="3858">
        <v>4</v>
      </c>
      <c r="D400" s="3858">
        <v>266</v>
      </c>
      <c r="E400" s="3875"/>
      <c r="F400" s="3904" t="s">
        <v>1020</v>
      </c>
      <c r="G400" s="3858">
        <v>72</v>
      </c>
      <c r="H400" s="3858">
        <v>848</v>
      </c>
      <c r="I400" s="4839"/>
      <c r="J400" s="4839"/>
      <c r="K400" s="3875"/>
      <c r="L400" s="3875"/>
      <c r="M400" s="3875"/>
      <c r="N400" s="3875"/>
      <c r="O400" s="3875"/>
      <c r="P400" s="3875"/>
      <c r="Q400" s="3875"/>
      <c r="R400" s="3875"/>
      <c r="S400" s="3875"/>
      <c r="T400" s="3875"/>
    </row>
    <row r="401" spans="2:20" x14ac:dyDescent="0.3">
      <c r="B401" s="3904" t="s">
        <v>1016</v>
      </c>
      <c r="C401" s="3858">
        <v>10</v>
      </c>
      <c r="D401" s="3858">
        <v>180</v>
      </c>
      <c r="E401" s="3875"/>
      <c r="F401" s="3904" t="s">
        <v>1014</v>
      </c>
      <c r="G401" s="3858">
        <v>630</v>
      </c>
      <c r="H401" s="3858">
        <v>1260</v>
      </c>
      <c r="I401" s="4839"/>
      <c r="J401" s="4839"/>
      <c r="K401" s="3875"/>
      <c r="L401" s="3875"/>
      <c r="M401" s="3875"/>
      <c r="N401" s="3875"/>
      <c r="O401" s="3875"/>
      <c r="P401" s="3875"/>
      <c r="Q401" s="3875"/>
      <c r="R401" s="3875"/>
      <c r="S401" s="3875"/>
      <c r="T401" s="3875"/>
    </row>
    <row r="402" spans="2:20" x14ac:dyDescent="0.3">
      <c r="B402" s="3931" t="s">
        <v>1018</v>
      </c>
      <c r="C402" s="3858">
        <v>5</v>
      </c>
      <c r="D402" s="3858">
        <f>593+60</f>
        <v>653</v>
      </c>
      <c r="E402" s="3875"/>
      <c r="F402" s="3904" t="s">
        <v>1016</v>
      </c>
      <c r="G402" s="3858">
        <f>87+651</f>
        <v>738</v>
      </c>
      <c r="H402" s="3858">
        <v>4404</v>
      </c>
      <c r="I402" s="4839"/>
      <c r="J402" s="4839"/>
      <c r="K402" s="3875"/>
      <c r="L402" s="3875"/>
      <c r="M402" s="3875"/>
      <c r="N402" s="3875"/>
      <c r="O402" s="3875"/>
      <c r="P402" s="3875"/>
      <c r="Q402" s="3875"/>
      <c r="R402" s="3875"/>
      <c r="S402" s="3875"/>
      <c r="T402" s="3875"/>
    </row>
    <row r="403" spans="2:20" x14ac:dyDescent="0.3">
      <c r="B403" s="3904" t="s">
        <v>1021</v>
      </c>
      <c r="C403" s="3858">
        <v>2</v>
      </c>
      <c r="D403" s="3858">
        <v>127</v>
      </c>
      <c r="E403" s="3875"/>
      <c r="F403" s="3904" t="s">
        <v>1025</v>
      </c>
      <c r="G403" s="3858">
        <v>49</v>
      </c>
      <c r="H403" s="3858">
        <v>125</v>
      </c>
      <c r="I403" s="4839"/>
      <c r="J403" s="4839"/>
      <c r="K403" s="3875"/>
      <c r="L403" s="3875"/>
      <c r="M403" s="3875"/>
      <c r="N403" s="3875"/>
      <c r="O403" s="3875"/>
      <c r="P403" s="3875"/>
      <c r="Q403" s="3875"/>
      <c r="R403" s="3875"/>
      <c r="S403" s="3875"/>
      <c r="T403" s="3875"/>
    </row>
    <row r="404" spans="2:20" x14ac:dyDescent="0.3">
      <c r="B404" s="3934" t="s">
        <v>1024</v>
      </c>
      <c r="C404" s="3858">
        <v>16</v>
      </c>
      <c r="D404" s="3858">
        <v>704</v>
      </c>
      <c r="E404" s="3875"/>
      <c r="F404" s="3904" t="s">
        <v>1028</v>
      </c>
      <c r="G404" s="3858">
        <v>87</v>
      </c>
      <c r="H404" s="3858">
        <v>1218</v>
      </c>
      <c r="I404" s="4839"/>
      <c r="J404" s="4839"/>
      <c r="K404" s="3875"/>
      <c r="L404" s="3875"/>
      <c r="M404" s="3875"/>
      <c r="N404" s="3875"/>
      <c r="O404" s="3875"/>
      <c r="P404" s="3875"/>
      <c r="Q404" s="3875"/>
      <c r="R404" s="3875"/>
      <c r="S404" s="3875"/>
      <c r="T404" s="3875"/>
    </row>
    <row r="405" spans="2:20" x14ac:dyDescent="0.3">
      <c r="B405" s="3909" t="s">
        <v>279</v>
      </c>
      <c r="C405" s="3910">
        <f>SUM(C379:C404)</f>
        <v>169</v>
      </c>
      <c r="D405" s="3910">
        <f>SUM(D379:D404)</f>
        <v>20480</v>
      </c>
      <c r="E405" s="3875"/>
      <c r="F405" s="3909" t="s">
        <v>279</v>
      </c>
      <c r="G405" s="3910">
        <f>SUM(G380:G404)</f>
        <v>205482</v>
      </c>
      <c r="H405" s="3910">
        <f>SUM(H380:H404)</f>
        <v>314955</v>
      </c>
      <c r="I405" s="4839"/>
      <c r="J405" s="4839"/>
      <c r="K405" s="3875"/>
      <c r="L405" s="3875"/>
      <c r="M405" s="3875"/>
      <c r="N405" s="3875"/>
      <c r="O405" s="3875"/>
      <c r="P405" s="3875"/>
      <c r="Q405" s="3875"/>
      <c r="R405" s="3875"/>
      <c r="S405" s="3875"/>
      <c r="T405" s="3875"/>
    </row>
    <row r="406" spans="2:20" x14ac:dyDescent="0.3">
      <c r="B406" s="3887" t="s">
        <v>1027</v>
      </c>
      <c r="C406" s="3848"/>
      <c r="D406" s="3848"/>
      <c r="E406" s="3875"/>
      <c r="F406" s="3887" t="s">
        <v>1027</v>
      </c>
      <c r="G406" s="3848"/>
      <c r="H406" s="3848"/>
      <c r="I406" s="4839"/>
      <c r="J406" s="4839"/>
      <c r="K406" s="3875"/>
      <c r="L406" s="3875"/>
      <c r="M406" s="3875"/>
      <c r="N406" s="3875"/>
      <c r="O406" s="3875"/>
      <c r="P406" s="3875"/>
      <c r="Q406" s="3875"/>
      <c r="R406" s="3875"/>
      <c r="S406" s="3875"/>
      <c r="T406" s="3875"/>
    </row>
    <row r="407" spans="2:20" x14ac:dyDescent="0.3">
      <c r="B407" s="3875"/>
      <c r="C407" s="3875"/>
      <c r="D407" s="3875"/>
      <c r="E407" s="3875"/>
      <c r="F407" s="3875"/>
      <c r="G407" s="3875"/>
      <c r="H407" s="3875"/>
      <c r="I407" s="4839"/>
      <c r="J407" s="4839"/>
      <c r="K407" s="3875"/>
      <c r="L407" s="3875"/>
      <c r="M407" s="3875"/>
      <c r="N407" s="3875"/>
      <c r="O407" s="3875"/>
      <c r="P407" s="3875"/>
      <c r="Q407" s="3875"/>
      <c r="R407" s="3875"/>
      <c r="S407" s="3875"/>
      <c r="T407" s="3875"/>
    </row>
    <row r="408" spans="2:20" x14ac:dyDescent="0.3">
      <c r="B408" s="6255" t="s">
        <v>1109</v>
      </c>
      <c r="C408" s="6249"/>
      <c r="D408" s="6250"/>
      <c r="E408" s="3935"/>
      <c r="F408" s="6255" t="s">
        <v>1218</v>
      </c>
      <c r="G408" s="6249"/>
      <c r="H408" s="6250"/>
      <c r="I408" s="4839"/>
      <c r="J408" s="4839"/>
      <c r="K408" s="3875"/>
      <c r="L408" s="3875"/>
      <c r="M408" s="3875"/>
      <c r="N408" s="3875"/>
      <c r="O408" s="3875"/>
      <c r="P408" s="3875"/>
      <c r="Q408" s="3875"/>
      <c r="R408" s="3875"/>
      <c r="S408" s="3875"/>
      <c r="T408" s="3875"/>
    </row>
    <row r="409" spans="2:20" x14ac:dyDescent="0.3">
      <c r="B409" s="6256" t="s">
        <v>1219</v>
      </c>
      <c r="C409" s="6257"/>
      <c r="D409" s="6258"/>
      <c r="E409" s="3935"/>
      <c r="F409" s="6256" t="s">
        <v>965</v>
      </c>
      <c r="G409" s="6257"/>
      <c r="H409" s="6258"/>
      <c r="I409" s="4839"/>
      <c r="J409" s="4839"/>
      <c r="K409" s="3875"/>
      <c r="L409" s="3875"/>
      <c r="M409" s="3875"/>
      <c r="N409" s="3875"/>
      <c r="O409" s="3875"/>
      <c r="P409" s="3875"/>
      <c r="Q409" s="3875"/>
      <c r="R409" s="3875"/>
      <c r="S409" s="3875"/>
      <c r="T409" s="3875"/>
    </row>
    <row r="410" spans="2:20" x14ac:dyDescent="0.3">
      <c r="B410" s="6322" t="s">
        <v>967</v>
      </c>
      <c r="C410" s="6323" t="s">
        <v>1221</v>
      </c>
      <c r="D410" s="6323" t="s">
        <v>1222</v>
      </c>
      <c r="E410" s="3935"/>
      <c r="F410" s="6322" t="s">
        <v>970</v>
      </c>
      <c r="G410" s="6323" t="s">
        <v>1223</v>
      </c>
      <c r="H410" s="6323" t="s">
        <v>1224</v>
      </c>
      <c r="I410" s="4839"/>
      <c r="J410" s="4839"/>
      <c r="K410" s="3935"/>
      <c r="L410" s="6248" t="s">
        <v>1220</v>
      </c>
      <c r="M410" s="6249"/>
      <c r="N410" s="6249"/>
      <c r="O410" s="6250"/>
      <c r="P410" s="3875"/>
      <c r="Q410" s="3875"/>
      <c r="R410" s="3875"/>
      <c r="S410" s="3875"/>
      <c r="T410" s="3875"/>
    </row>
    <row r="411" spans="2:20" x14ac:dyDescent="0.3">
      <c r="B411" s="6322"/>
      <c r="C411" s="6324"/>
      <c r="D411" s="6324"/>
      <c r="E411" s="3935"/>
      <c r="F411" s="6322"/>
      <c r="G411" s="6324"/>
      <c r="H411" s="6324"/>
      <c r="I411" s="4839"/>
      <c r="J411" s="4839"/>
      <c r="K411" s="3935"/>
      <c r="L411" s="6312" t="s">
        <v>970</v>
      </c>
      <c r="M411" s="6311" t="s">
        <v>973</v>
      </c>
      <c r="N411" s="6288" t="s">
        <v>972</v>
      </c>
      <c r="O411" s="6289"/>
      <c r="P411" s="3875"/>
      <c r="Q411" s="3875"/>
      <c r="R411" s="3875"/>
      <c r="S411" s="3875"/>
      <c r="T411" s="3875"/>
    </row>
    <row r="412" spans="2:20" x14ac:dyDescent="0.3">
      <c r="B412" s="354"/>
      <c r="C412" s="354"/>
      <c r="D412" s="354"/>
      <c r="E412" s="3935"/>
      <c r="F412" s="354"/>
      <c r="G412" s="354"/>
      <c r="H412" s="354"/>
      <c r="I412" s="4839"/>
      <c r="J412" s="4839"/>
      <c r="K412" s="3935"/>
      <c r="L412" s="6322"/>
      <c r="M412" s="6312"/>
      <c r="N412" s="3917" t="s">
        <v>1032</v>
      </c>
      <c r="O412" s="3917" t="s">
        <v>1033</v>
      </c>
      <c r="P412" s="3875"/>
      <c r="Q412" s="3875"/>
      <c r="R412" s="3875"/>
      <c r="S412" s="3875"/>
      <c r="T412" s="3875"/>
    </row>
    <row r="413" spans="2:20" x14ac:dyDescent="0.3">
      <c r="B413" s="3900" t="s">
        <v>976</v>
      </c>
      <c r="C413" s="3858">
        <f>3+3+1+2</f>
        <v>9</v>
      </c>
      <c r="D413" s="3858">
        <f>74+193+18+30+42</f>
        <v>357</v>
      </c>
      <c r="E413" s="3935"/>
      <c r="F413" s="3900" t="s">
        <v>976</v>
      </c>
      <c r="G413" s="3858">
        <f>500+49+63+20</f>
        <v>632</v>
      </c>
      <c r="H413" s="3858">
        <f>1000+98+126+40</f>
        <v>1264</v>
      </c>
      <c r="I413" s="4839"/>
      <c r="J413" s="4839"/>
      <c r="K413" s="3935"/>
      <c r="L413" s="354"/>
      <c r="M413" s="354"/>
      <c r="N413" s="354"/>
      <c r="O413" s="3935"/>
      <c r="P413" s="3875"/>
      <c r="Q413" s="3875"/>
      <c r="R413" s="3875"/>
      <c r="S413" s="3875"/>
      <c r="T413" s="3875"/>
    </row>
    <row r="414" spans="2:20" x14ac:dyDescent="0.3">
      <c r="B414" s="3900" t="s">
        <v>985</v>
      </c>
      <c r="C414" s="3858">
        <v>10</v>
      </c>
      <c r="D414" s="3858">
        <v>912</v>
      </c>
      <c r="E414" s="3935"/>
      <c r="F414" s="3900" t="s">
        <v>986</v>
      </c>
      <c r="G414" s="3858">
        <v>11</v>
      </c>
      <c r="H414" s="3858">
        <v>111</v>
      </c>
      <c r="I414" s="4839"/>
      <c r="J414" s="4839"/>
      <c r="K414" s="3935"/>
      <c r="L414" s="3900" t="s">
        <v>1207</v>
      </c>
      <c r="M414" s="3891" t="s">
        <v>1208</v>
      </c>
      <c r="N414" s="3892">
        <v>1256</v>
      </c>
      <c r="O414" s="3892">
        <v>11361</v>
      </c>
      <c r="P414" s="3875"/>
      <c r="Q414" s="3875"/>
      <c r="R414" s="3875"/>
      <c r="S414" s="3875"/>
      <c r="T414" s="3875"/>
    </row>
    <row r="415" spans="2:20" ht="27.6" x14ac:dyDescent="0.3">
      <c r="B415" s="3900" t="s">
        <v>1064</v>
      </c>
      <c r="C415" s="3858">
        <v>1</v>
      </c>
      <c r="D415" s="3858">
        <v>18</v>
      </c>
      <c r="E415" s="3935"/>
      <c r="F415" s="3900" t="s">
        <v>990</v>
      </c>
      <c r="G415" s="3858">
        <f>250+432</f>
        <v>682</v>
      </c>
      <c r="H415" s="3858">
        <f>750+2592</f>
        <v>3342</v>
      </c>
      <c r="I415" s="4839"/>
      <c r="J415" s="4839"/>
      <c r="K415" s="3935"/>
      <c r="L415" s="3900" t="s">
        <v>979</v>
      </c>
      <c r="M415" s="3930" t="s">
        <v>1209</v>
      </c>
      <c r="N415" s="3858">
        <v>2658</v>
      </c>
      <c r="O415" s="3858">
        <v>3040</v>
      </c>
      <c r="P415" s="3875"/>
      <c r="Q415" s="3875"/>
      <c r="R415" s="3875"/>
      <c r="S415" s="3875"/>
      <c r="T415" s="3875"/>
    </row>
    <row r="416" spans="2:20" ht="27.6" x14ac:dyDescent="0.3">
      <c r="B416" s="3900" t="s">
        <v>1225</v>
      </c>
      <c r="C416" s="3858">
        <v>1</v>
      </c>
      <c r="D416" s="3858">
        <v>478</v>
      </c>
      <c r="E416" s="3935"/>
      <c r="F416" s="3900" t="s">
        <v>994</v>
      </c>
      <c r="G416" s="3858">
        <f>4+19</f>
        <v>23</v>
      </c>
      <c r="H416" s="3858">
        <v>92</v>
      </c>
      <c r="I416" s="4839"/>
      <c r="J416" s="4839"/>
      <c r="K416" s="3935"/>
      <c r="L416" s="3900" t="s">
        <v>1047</v>
      </c>
      <c r="M416" s="3930" t="s">
        <v>1211</v>
      </c>
      <c r="N416" s="3858">
        <v>2052</v>
      </c>
      <c r="O416" s="3858">
        <v>3040</v>
      </c>
      <c r="P416" s="3875"/>
      <c r="Q416" s="3875"/>
      <c r="R416" s="3875"/>
      <c r="S416" s="3875"/>
      <c r="T416" s="3875"/>
    </row>
    <row r="417" spans="2:20" x14ac:dyDescent="0.3">
      <c r="B417" s="3900" t="s">
        <v>1226</v>
      </c>
      <c r="C417" s="3891">
        <f>1+1</f>
        <v>2</v>
      </c>
      <c r="D417" s="3892">
        <f>49+64</f>
        <v>113</v>
      </c>
      <c r="E417" s="3935"/>
      <c r="F417" s="3900" t="s">
        <v>1227</v>
      </c>
      <c r="G417" s="3858">
        <v>6187</v>
      </c>
      <c r="H417" s="3858">
        <v>6187</v>
      </c>
      <c r="I417" s="4839"/>
      <c r="J417" s="4839"/>
      <c r="K417" s="3935"/>
      <c r="L417" s="3900" t="s">
        <v>1048</v>
      </c>
      <c r="M417" s="3858" t="s">
        <v>1208</v>
      </c>
      <c r="N417" s="3858">
        <v>866</v>
      </c>
      <c r="O417" s="3858">
        <v>2764</v>
      </c>
      <c r="P417" s="3875"/>
      <c r="Q417" s="3875"/>
      <c r="R417" s="3875"/>
      <c r="S417" s="3875"/>
      <c r="T417" s="3875"/>
    </row>
    <row r="418" spans="2:20" x14ac:dyDescent="0.3">
      <c r="B418" s="3900" t="s">
        <v>1228</v>
      </c>
      <c r="C418" s="3858">
        <v>1</v>
      </c>
      <c r="D418" s="3858">
        <v>26</v>
      </c>
      <c r="E418" s="3935"/>
      <c r="F418" s="3900" t="s">
        <v>993</v>
      </c>
      <c r="G418" s="3858">
        <f>1915+500+5+23</f>
        <v>2443</v>
      </c>
      <c r="H418" s="3858">
        <v>27448</v>
      </c>
      <c r="I418" s="4839"/>
      <c r="J418" s="4839"/>
      <c r="K418" s="3935"/>
      <c r="L418" s="354"/>
      <c r="M418" s="354"/>
      <c r="N418" s="3936"/>
      <c r="O418" s="3935"/>
      <c r="P418" s="3875"/>
      <c r="Q418" s="3875"/>
      <c r="R418" s="3875"/>
      <c r="S418" s="3875"/>
      <c r="T418" s="3875"/>
    </row>
    <row r="419" spans="2:20" x14ac:dyDescent="0.3">
      <c r="B419" s="3900" t="s">
        <v>1229</v>
      </c>
      <c r="C419" s="3858">
        <v>1</v>
      </c>
      <c r="D419" s="3858">
        <v>16</v>
      </c>
      <c r="E419" s="3935"/>
      <c r="F419" s="3900" t="s">
        <v>999</v>
      </c>
      <c r="G419" s="3858">
        <f>209+500+20+154+33+167+17</f>
        <v>1100</v>
      </c>
      <c r="H419" s="3858">
        <v>19363</v>
      </c>
      <c r="I419" s="4839"/>
      <c r="J419" s="4839"/>
      <c r="K419" s="3935"/>
      <c r="L419" s="3909" t="s">
        <v>279</v>
      </c>
      <c r="M419" s="3910"/>
      <c r="N419" s="3910">
        <f>SUM(N414:N418)</f>
        <v>6832</v>
      </c>
      <c r="O419" s="3910">
        <f>SUM(O414:O418)</f>
        <v>20205</v>
      </c>
      <c r="P419" s="3875"/>
      <c r="Q419" s="3875"/>
      <c r="R419" s="3875"/>
      <c r="S419" s="3875"/>
      <c r="T419" s="3875"/>
    </row>
    <row r="420" spans="2:20" x14ac:dyDescent="0.3">
      <c r="B420" s="3900" t="s">
        <v>994</v>
      </c>
      <c r="C420" s="3858">
        <v>3</v>
      </c>
      <c r="D420" s="3858">
        <f>29+20+34</f>
        <v>83</v>
      </c>
      <c r="E420" s="3935"/>
      <c r="F420" s="3900" t="s">
        <v>1002</v>
      </c>
      <c r="G420" s="3858">
        <f>19672+105600</f>
        <v>125272</v>
      </c>
      <c r="H420" s="3858">
        <f>19672+105600</f>
        <v>125272</v>
      </c>
      <c r="I420" s="4839"/>
      <c r="J420" s="4839"/>
      <c r="K420" s="3935"/>
      <c r="L420" s="3937"/>
      <c r="M420" s="3937"/>
      <c r="N420" s="3937"/>
      <c r="O420" s="3937"/>
      <c r="P420" s="3875"/>
      <c r="Q420" s="3875"/>
      <c r="R420" s="3875"/>
      <c r="S420" s="3875"/>
      <c r="T420" s="3875"/>
    </row>
    <row r="421" spans="2:20" x14ac:dyDescent="0.3">
      <c r="B421" s="3900" t="s">
        <v>1189</v>
      </c>
      <c r="C421" s="3858">
        <v>1</v>
      </c>
      <c r="D421" s="3858">
        <v>21</v>
      </c>
      <c r="E421" s="3935"/>
      <c r="F421" s="3900" t="s">
        <v>1215</v>
      </c>
      <c r="G421" s="3858">
        <v>90</v>
      </c>
      <c r="H421" s="3858">
        <v>90</v>
      </c>
      <c r="I421" s="4839"/>
      <c r="J421" s="4839"/>
      <c r="K421" s="3935"/>
      <c r="L421" s="3937"/>
      <c r="M421" s="3937"/>
      <c r="N421" s="3937"/>
      <c r="O421" s="3937"/>
      <c r="P421" s="3875"/>
      <c r="Q421" s="3875"/>
      <c r="R421" s="3875"/>
      <c r="S421" s="3875"/>
      <c r="T421" s="3875"/>
    </row>
    <row r="422" spans="2:20" x14ac:dyDescent="0.3">
      <c r="B422" s="3900" t="s">
        <v>993</v>
      </c>
      <c r="C422" s="3858">
        <v>13</v>
      </c>
      <c r="D422" s="3858">
        <f>5407+75+580</f>
        <v>6062</v>
      </c>
      <c r="E422" s="3935"/>
      <c r="F422" s="3900" t="s">
        <v>1006</v>
      </c>
      <c r="G422" s="3858">
        <v>3000</v>
      </c>
      <c r="H422" s="3858">
        <v>9000</v>
      </c>
      <c r="I422" s="4839"/>
      <c r="J422" s="4839"/>
      <c r="K422" s="3935"/>
      <c r="L422" s="3937"/>
      <c r="M422" s="3937"/>
      <c r="N422" s="3937"/>
      <c r="O422" s="3937"/>
      <c r="P422" s="3875"/>
      <c r="Q422" s="3875"/>
      <c r="R422" s="3875"/>
      <c r="S422" s="3875"/>
      <c r="T422" s="3875"/>
    </row>
    <row r="423" spans="2:20" x14ac:dyDescent="0.3">
      <c r="B423" s="3900" t="s">
        <v>1230</v>
      </c>
      <c r="C423" s="3858">
        <v>1</v>
      </c>
      <c r="D423" s="3858">
        <v>219</v>
      </c>
      <c r="E423" s="3935"/>
      <c r="F423" s="3900" t="s">
        <v>1008</v>
      </c>
      <c r="G423" s="3858">
        <v>360</v>
      </c>
      <c r="H423" s="3858">
        <v>360</v>
      </c>
      <c r="I423" s="4839"/>
      <c r="J423" s="4839"/>
      <c r="K423" s="3935"/>
      <c r="L423" s="3937"/>
      <c r="M423" s="3937"/>
      <c r="N423" s="3937"/>
      <c r="O423" s="3937"/>
      <c r="P423" s="3875"/>
      <c r="Q423" s="3875"/>
      <c r="R423" s="3875"/>
      <c r="S423" s="3875"/>
      <c r="T423" s="3875"/>
    </row>
    <row r="424" spans="2:20" x14ac:dyDescent="0.3">
      <c r="B424" s="3900" t="s">
        <v>999</v>
      </c>
      <c r="C424" s="3858">
        <v>7</v>
      </c>
      <c r="D424" s="3858">
        <f>3285+838</f>
        <v>4123</v>
      </c>
      <c r="E424" s="3935"/>
      <c r="F424" s="3900" t="s">
        <v>1012</v>
      </c>
      <c r="G424" s="3858">
        <v>11000</v>
      </c>
      <c r="H424" s="3858">
        <v>11000</v>
      </c>
      <c r="I424" s="4839"/>
      <c r="J424" s="4839"/>
      <c r="K424" s="3935"/>
      <c r="L424" s="3937"/>
      <c r="M424" s="3937"/>
      <c r="N424" s="3937"/>
      <c r="O424" s="3937"/>
      <c r="P424" s="3875"/>
      <c r="Q424" s="3875"/>
      <c r="R424" s="3875"/>
      <c r="S424" s="3875"/>
      <c r="T424" s="3875"/>
    </row>
    <row r="425" spans="2:20" x14ac:dyDescent="0.3">
      <c r="B425" s="3900" t="s">
        <v>1052</v>
      </c>
      <c r="C425" s="3858">
        <v>1</v>
      </c>
      <c r="D425" s="3858">
        <v>500</v>
      </c>
      <c r="E425" s="3935"/>
      <c r="F425" s="3900" t="s">
        <v>1107</v>
      </c>
      <c r="G425" s="3891">
        <v>154</v>
      </c>
      <c r="H425" s="3892">
        <v>154</v>
      </c>
      <c r="I425" s="4839"/>
      <c r="J425" s="4839"/>
      <c r="K425" s="3935"/>
      <c r="L425" s="3937"/>
      <c r="M425" s="3937"/>
      <c r="N425" s="3937"/>
      <c r="O425" s="3937"/>
      <c r="P425" s="3875"/>
      <c r="Q425" s="3875"/>
      <c r="R425" s="3875"/>
      <c r="S425" s="3875"/>
      <c r="T425" s="3875"/>
    </row>
    <row r="426" spans="2:20" x14ac:dyDescent="0.3">
      <c r="B426" s="3900" t="s">
        <v>1231</v>
      </c>
      <c r="C426" s="3858">
        <v>3</v>
      </c>
      <c r="D426" s="3858">
        <f>56+46+22</f>
        <v>124</v>
      </c>
      <c r="E426" s="3935"/>
      <c r="F426" s="3900" t="s">
        <v>1017</v>
      </c>
      <c r="G426" s="3858">
        <v>1357</v>
      </c>
      <c r="H426" s="3858">
        <v>1357</v>
      </c>
      <c r="I426" s="4839"/>
      <c r="J426" s="4839"/>
      <c r="K426" s="3935"/>
      <c r="L426" s="3937"/>
      <c r="M426" s="3937"/>
      <c r="N426" s="3937"/>
      <c r="O426" s="3937"/>
      <c r="P426" s="3875"/>
      <c r="Q426" s="3875"/>
      <c r="R426" s="3875"/>
      <c r="S426" s="3875"/>
      <c r="T426" s="3875"/>
    </row>
    <row r="427" spans="2:20" x14ac:dyDescent="0.3">
      <c r="B427" s="3900" t="s">
        <v>1011</v>
      </c>
      <c r="C427" s="3858">
        <v>2</v>
      </c>
      <c r="D427" s="3858">
        <v>115</v>
      </c>
      <c r="E427" s="3935"/>
      <c r="F427" s="3900" t="s">
        <v>1011</v>
      </c>
      <c r="G427" s="3858">
        <v>8815</v>
      </c>
      <c r="H427" s="3858">
        <v>17630</v>
      </c>
      <c r="I427" s="4839"/>
      <c r="J427" s="4839"/>
      <c r="K427" s="3935"/>
      <c r="L427" s="3937"/>
      <c r="M427" s="3937"/>
      <c r="N427" s="3937"/>
      <c r="O427" s="3937"/>
      <c r="P427" s="3875"/>
      <c r="Q427" s="3875"/>
      <c r="R427" s="3875"/>
      <c r="S427" s="3875"/>
      <c r="T427" s="3875"/>
    </row>
    <row r="428" spans="2:20" x14ac:dyDescent="0.3">
      <c r="B428" s="3900" t="s">
        <v>1014</v>
      </c>
      <c r="C428" s="3858">
        <v>3</v>
      </c>
      <c r="D428" s="3858">
        <v>168</v>
      </c>
      <c r="E428" s="3935"/>
      <c r="F428" s="3900" t="s">
        <v>1020</v>
      </c>
      <c r="G428" s="3858">
        <v>186</v>
      </c>
      <c r="H428" s="3858">
        <v>186</v>
      </c>
      <c r="I428" s="4839"/>
      <c r="J428" s="4839"/>
      <c r="K428" s="3935"/>
      <c r="L428" s="3937"/>
      <c r="M428" s="3937"/>
      <c r="N428" s="3937"/>
      <c r="O428" s="3937"/>
      <c r="P428" s="3875"/>
      <c r="Q428" s="3875"/>
      <c r="R428" s="3875"/>
      <c r="S428" s="3875"/>
      <c r="T428" s="3875"/>
    </row>
    <row r="429" spans="2:20" x14ac:dyDescent="0.3">
      <c r="B429" s="3900" t="s">
        <v>1016</v>
      </c>
      <c r="C429" s="3858">
        <f>1+2+1+1</f>
        <v>5</v>
      </c>
      <c r="D429" s="3858">
        <f>18+30+24+32</f>
        <v>104</v>
      </c>
      <c r="E429" s="3935"/>
      <c r="F429" s="3900" t="s">
        <v>1014</v>
      </c>
      <c r="G429" s="3858">
        <v>603</v>
      </c>
      <c r="H429" s="3858">
        <v>1206</v>
      </c>
      <c r="I429" s="4839"/>
      <c r="J429" s="4839"/>
      <c r="K429" s="3935"/>
      <c r="L429" s="3937"/>
      <c r="M429" s="3937"/>
      <c r="N429" s="3937"/>
      <c r="O429" s="3937"/>
      <c r="P429" s="3875"/>
      <c r="Q429" s="3875"/>
      <c r="R429" s="3875"/>
      <c r="S429" s="3875"/>
      <c r="T429" s="3875"/>
    </row>
    <row r="430" spans="2:20" x14ac:dyDescent="0.3">
      <c r="B430" s="3900" t="s">
        <v>1232</v>
      </c>
      <c r="C430" s="3858">
        <v>3</v>
      </c>
      <c r="D430" s="3858">
        <v>834</v>
      </c>
      <c r="E430" s="3935"/>
      <c r="F430" s="3900" t="s">
        <v>1016</v>
      </c>
      <c r="G430" s="3858">
        <v>2687</v>
      </c>
      <c r="H430" s="3858">
        <f>150+4000+508+550+166</f>
        <v>5374</v>
      </c>
      <c r="I430" s="4839"/>
      <c r="J430" s="4839"/>
      <c r="K430" s="3935"/>
      <c r="L430" s="3937"/>
      <c r="M430" s="3937"/>
      <c r="N430" s="3937"/>
      <c r="O430" s="3937"/>
      <c r="P430" s="3875"/>
      <c r="Q430" s="3875"/>
      <c r="R430" s="3875"/>
      <c r="S430" s="3875"/>
      <c r="T430" s="3875"/>
    </row>
    <row r="431" spans="2:20" x14ac:dyDescent="0.3">
      <c r="B431" s="3900" t="s">
        <v>1025</v>
      </c>
      <c r="C431" s="3858">
        <f>4+2</f>
        <v>6</v>
      </c>
      <c r="D431" s="3858">
        <f>98+80+172</f>
        <v>350</v>
      </c>
      <c r="E431" s="3935"/>
      <c r="F431" s="3900" t="s">
        <v>1233</v>
      </c>
      <c r="G431" s="3858">
        <v>250</v>
      </c>
      <c r="H431" s="3858">
        <v>3250</v>
      </c>
      <c r="I431" s="4839"/>
      <c r="J431" s="4839"/>
      <c r="K431" s="3935"/>
      <c r="L431" s="3937"/>
      <c r="M431" s="3937"/>
      <c r="N431" s="3937"/>
      <c r="O431" s="3937"/>
      <c r="P431" s="3875"/>
      <c r="Q431" s="3875"/>
      <c r="R431" s="3875"/>
      <c r="S431" s="3875"/>
      <c r="T431" s="3875"/>
    </row>
    <row r="432" spans="2:20" x14ac:dyDescent="0.3">
      <c r="B432" s="354"/>
      <c r="C432" s="354"/>
      <c r="D432" s="3936"/>
      <c r="E432" s="3935"/>
      <c r="F432" s="3900" t="s">
        <v>1025</v>
      </c>
      <c r="G432" s="3858">
        <v>63</v>
      </c>
      <c r="H432" s="3858">
        <v>252</v>
      </c>
      <c r="I432" s="4839"/>
      <c r="J432" s="4839"/>
      <c r="K432" s="3935"/>
      <c r="L432" s="3937"/>
      <c r="M432" s="3937"/>
      <c r="N432" s="3937"/>
      <c r="O432" s="3937"/>
      <c r="P432" s="3875"/>
      <c r="Q432" s="3875"/>
      <c r="R432" s="3875"/>
      <c r="S432" s="3875"/>
      <c r="T432" s="3875"/>
    </row>
    <row r="433" spans="2:20" x14ac:dyDescent="0.3">
      <c r="B433" s="3909" t="s">
        <v>279</v>
      </c>
      <c r="C433" s="3910">
        <f>SUM(C413:C432)</f>
        <v>73</v>
      </c>
      <c r="D433" s="3910">
        <f>SUM(D413:D432)</f>
        <v>14623</v>
      </c>
      <c r="E433" s="3935"/>
      <c r="F433" s="3900" t="s">
        <v>1028</v>
      </c>
      <c r="G433" s="3858">
        <v>118</v>
      </c>
      <c r="H433" s="3858">
        <v>118</v>
      </c>
      <c r="I433" s="4839"/>
      <c r="J433" s="4839"/>
      <c r="K433" s="3935"/>
      <c r="L433" s="3937"/>
      <c r="M433" s="3937"/>
      <c r="N433" s="3937"/>
      <c r="O433" s="3937"/>
      <c r="P433" s="3875"/>
      <c r="Q433" s="3875"/>
      <c r="R433" s="3875"/>
      <c r="S433" s="3875"/>
      <c r="T433" s="3875"/>
    </row>
    <row r="434" spans="2:20" x14ac:dyDescent="0.3">
      <c r="B434" s="3915" t="s">
        <v>1027</v>
      </c>
      <c r="C434" s="3937"/>
      <c r="D434" s="3937"/>
      <c r="E434" s="3935"/>
      <c r="F434" s="354"/>
      <c r="G434" s="354"/>
      <c r="H434" s="3936"/>
      <c r="I434" s="4839"/>
      <c r="J434" s="4839"/>
      <c r="K434" s="3935"/>
      <c r="L434" s="3938"/>
      <c r="M434" s="3937"/>
      <c r="N434" s="3937"/>
      <c r="O434" s="3937"/>
      <c r="P434" s="3875"/>
      <c r="Q434" s="3875"/>
      <c r="R434" s="3875"/>
      <c r="S434" s="3875"/>
      <c r="T434" s="3875"/>
    </row>
    <row r="435" spans="2:20" x14ac:dyDescent="0.3">
      <c r="B435" s="3937"/>
      <c r="C435" s="3939"/>
      <c r="D435" s="3939"/>
      <c r="E435" s="3935"/>
      <c r="F435" s="3909" t="s">
        <v>279</v>
      </c>
      <c r="G435" s="3910">
        <f>SUM(G413:G434)</f>
        <v>165033</v>
      </c>
      <c r="H435" s="3910">
        <f>SUM(H413:H434)</f>
        <v>233056</v>
      </c>
      <c r="I435" s="4839"/>
      <c r="J435" s="4839"/>
      <c r="K435" s="3935"/>
      <c r="L435" s="3937"/>
      <c r="M435" s="3937"/>
      <c r="N435" s="3937"/>
      <c r="O435" s="3937"/>
      <c r="P435" s="3875"/>
      <c r="Q435" s="3875"/>
      <c r="R435" s="3875"/>
      <c r="S435" s="3875"/>
      <c r="T435" s="3875"/>
    </row>
    <row r="436" spans="2:20" x14ac:dyDescent="0.3">
      <c r="B436" s="3935"/>
      <c r="C436" s="3935"/>
      <c r="D436" s="3935"/>
      <c r="E436" s="3935"/>
      <c r="F436" s="3915" t="s">
        <v>1027</v>
      </c>
      <c r="G436" s="3935"/>
      <c r="H436" s="3935"/>
      <c r="I436" s="4839"/>
      <c r="J436" s="4839"/>
      <c r="K436" s="3935"/>
      <c r="L436" s="3937"/>
      <c r="M436" s="3937"/>
      <c r="N436" s="3937"/>
      <c r="O436" s="3937"/>
      <c r="P436" s="3875"/>
      <c r="Q436" s="3875"/>
      <c r="R436" s="3875"/>
      <c r="S436" s="3875"/>
      <c r="T436" s="3875"/>
    </row>
    <row r="437" spans="2:20" x14ac:dyDescent="0.3">
      <c r="B437" s="3935"/>
      <c r="C437" s="3935"/>
      <c r="D437" s="3935"/>
      <c r="E437" s="3935"/>
      <c r="F437" s="3935"/>
      <c r="G437" s="3935"/>
      <c r="H437" s="3935"/>
      <c r="I437" s="4839"/>
      <c r="J437" s="4839"/>
      <c r="K437" s="3935"/>
      <c r="L437" s="3937"/>
      <c r="M437" s="3937"/>
      <c r="N437" s="3937"/>
      <c r="O437" s="3937"/>
      <c r="P437" s="3875"/>
      <c r="Q437" s="3875"/>
      <c r="R437" s="3875"/>
      <c r="S437" s="3875"/>
      <c r="T437" s="3875"/>
    </row>
    <row r="438" spans="2:20" x14ac:dyDescent="0.3">
      <c r="B438" s="3848"/>
      <c r="C438" s="3848"/>
      <c r="D438" s="3848"/>
      <c r="E438" s="3887"/>
      <c r="F438" s="3875"/>
      <c r="G438" s="3848"/>
      <c r="H438" s="3848"/>
      <c r="I438" s="4839"/>
      <c r="J438" s="4839"/>
      <c r="K438" s="3935"/>
      <c r="L438" s="3937"/>
      <c r="M438" s="3937"/>
      <c r="N438" s="3937"/>
      <c r="O438" s="3937"/>
      <c r="P438" s="3875"/>
      <c r="Q438" s="3875"/>
      <c r="R438" s="3875"/>
      <c r="S438" s="3875"/>
      <c r="T438" s="3875"/>
    </row>
    <row r="439" spans="2:20" x14ac:dyDescent="0.3">
      <c r="B439" s="3875"/>
      <c r="C439" s="3875"/>
      <c r="D439" s="3875"/>
      <c r="E439" s="3875"/>
      <c r="F439" s="3875"/>
      <c r="G439" s="3875"/>
      <c r="H439" s="3875"/>
      <c r="I439" s="4839"/>
      <c r="J439" s="4839"/>
      <c r="K439" s="3935"/>
      <c r="L439" s="3937"/>
      <c r="M439" s="3937"/>
      <c r="N439" s="3937"/>
      <c r="O439" s="3937"/>
      <c r="P439" s="3875"/>
    </row>
    <row r="440" spans="2:20" x14ac:dyDescent="0.3">
      <c r="B440" s="3875"/>
      <c r="C440" s="3875"/>
      <c r="D440" s="3875"/>
      <c r="E440" s="3875"/>
      <c r="F440" s="3875"/>
      <c r="G440" s="3875"/>
      <c r="H440" s="3875"/>
      <c r="I440" s="4839"/>
      <c r="J440" s="4839"/>
      <c r="K440" s="3887"/>
      <c r="L440" s="6248" t="s">
        <v>1234</v>
      </c>
      <c r="M440" s="6249"/>
      <c r="N440" s="6249"/>
      <c r="O440" s="6250"/>
      <c r="P440" s="3875"/>
    </row>
    <row r="441" spans="2:20" ht="15" customHeight="1" x14ac:dyDescent="0.3">
      <c r="B441" s="3875"/>
      <c r="C441" s="3875"/>
      <c r="D441" s="3875"/>
      <c r="E441" s="3875"/>
      <c r="F441" s="3875"/>
      <c r="G441" s="3875"/>
      <c r="H441" s="3875"/>
      <c r="I441" s="4839"/>
      <c r="J441" s="4839"/>
      <c r="K441" s="3875"/>
      <c r="L441" s="6312" t="s">
        <v>970</v>
      </c>
      <c r="M441" s="6311" t="s">
        <v>973</v>
      </c>
      <c r="N441" s="6288" t="s">
        <v>972</v>
      </c>
      <c r="O441" s="6289"/>
      <c r="P441" s="3875"/>
    </row>
    <row r="442" spans="2:20" ht="15" customHeight="1" x14ac:dyDescent="0.3">
      <c r="B442" s="3875"/>
      <c r="C442" s="3875"/>
      <c r="D442" s="3875"/>
      <c r="E442" s="3875"/>
      <c r="F442" s="3875"/>
      <c r="G442" s="3875"/>
      <c r="H442" s="3875"/>
      <c r="I442" s="4839"/>
      <c r="J442" s="4839"/>
      <c r="K442" s="3875"/>
      <c r="L442" s="6322"/>
      <c r="M442" s="6312"/>
      <c r="N442" s="3917" t="s">
        <v>1032</v>
      </c>
      <c r="O442" s="3917" t="s">
        <v>1033</v>
      </c>
      <c r="P442" s="3875"/>
    </row>
    <row r="443" spans="2:20" x14ac:dyDescent="0.3">
      <c r="B443" s="3875"/>
      <c r="C443" s="3875"/>
      <c r="D443" s="3875"/>
      <c r="E443" s="3875"/>
      <c r="F443" s="3875"/>
      <c r="G443" s="3875"/>
      <c r="H443" s="3875"/>
      <c r="I443" s="4839"/>
      <c r="J443" s="4839"/>
      <c r="K443" s="3875"/>
      <c r="L443" s="354"/>
      <c r="M443" s="354"/>
      <c r="N443" s="354"/>
      <c r="O443" s="3935"/>
      <c r="P443" s="3875"/>
    </row>
    <row r="444" spans="2:20" x14ac:dyDescent="0.3">
      <c r="B444" s="3875"/>
      <c r="C444" s="3875"/>
      <c r="D444" s="3875"/>
      <c r="E444" s="3875"/>
      <c r="F444" s="3875"/>
      <c r="G444" s="3875"/>
      <c r="H444" s="3875"/>
      <c r="I444" s="4839"/>
      <c r="J444" s="4839"/>
      <c r="K444" s="3875"/>
      <c r="L444" s="3940" t="s">
        <v>1235</v>
      </c>
      <c r="M444" s="3891" t="s">
        <v>1208</v>
      </c>
      <c r="N444" s="3941">
        <v>1690</v>
      </c>
      <c r="O444" s="3941">
        <v>8360</v>
      </c>
      <c r="P444" s="3875"/>
    </row>
    <row r="445" spans="2:20" ht="27.6" x14ac:dyDescent="0.3">
      <c r="B445" s="3875"/>
      <c r="C445" s="3875"/>
      <c r="D445" s="3875"/>
      <c r="E445" s="3875"/>
      <c r="F445" s="3875"/>
      <c r="G445" s="3875"/>
      <c r="H445" s="3875"/>
      <c r="I445" s="4839"/>
      <c r="J445" s="4839"/>
      <c r="K445" s="3875"/>
      <c r="L445" s="3940" t="s">
        <v>979</v>
      </c>
      <c r="M445" s="3942" t="s">
        <v>1209</v>
      </c>
      <c r="N445" s="3858">
        <v>2631</v>
      </c>
      <c r="O445" s="3858"/>
      <c r="P445" s="3875"/>
    </row>
    <row r="446" spans="2:20" x14ac:dyDescent="0.3">
      <c r="B446" s="3875"/>
      <c r="C446" s="3875"/>
      <c r="D446" s="3875"/>
      <c r="E446" s="3875"/>
      <c r="F446" s="3875"/>
      <c r="G446" s="3875"/>
      <c r="H446" s="3875"/>
      <c r="I446" s="4839"/>
      <c r="J446" s="4839"/>
      <c r="K446" s="3875"/>
      <c r="L446" s="3943" t="s">
        <v>1048</v>
      </c>
      <c r="M446" s="3944" t="s">
        <v>1208</v>
      </c>
      <c r="N446" s="3858">
        <v>4321</v>
      </c>
      <c r="O446" s="3858"/>
      <c r="P446" s="3875"/>
    </row>
    <row r="447" spans="2:20" x14ac:dyDescent="0.3">
      <c r="B447" s="3875"/>
      <c r="C447" s="3875"/>
      <c r="D447" s="3875"/>
      <c r="E447" s="3875"/>
      <c r="F447" s="3875"/>
      <c r="G447" s="3875"/>
      <c r="H447" s="3875"/>
      <c r="I447" s="3875"/>
      <c r="J447" s="3875"/>
      <c r="K447" s="3875"/>
      <c r="L447" s="3945" t="s">
        <v>1236</v>
      </c>
      <c r="M447" s="3859" t="s">
        <v>1208</v>
      </c>
      <c r="N447" s="3891">
        <v>975</v>
      </c>
      <c r="O447" s="3891">
        <v>7010</v>
      </c>
      <c r="P447" s="3875"/>
    </row>
    <row r="448" spans="2:20" x14ac:dyDescent="0.3">
      <c r="B448" s="3875"/>
      <c r="C448" s="3875"/>
      <c r="D448" s="3875"/>
      <c r="E448" s="3875"/>
      <c r="F448" s="3875"/>
      <c r="G448" s="3875"/>
      <c r="H448" s="3875"/>
      <c r="I448" s="3875"/>
      <c r="J448" s="3875"/>
      <c r="K448" s="3875"/>
      <c r="L448" s="3932" t="s">
        <v>279</v>
      </c>
      <c r="M448" s="3933"/>
      <c r="N448" s="3946">
        <f>SUM(N444:N447)</f>
        <v>9617</v>
      </c>
      <c r="O448" s="3946">
        <f>SUM(O444:O447)</f>
        <v>15370</v>
      </c>
      <c r="P448" s="3875"/>
    </row>
    <row r="449" spans="2:16" x14ac:dyDescent="0.3">
      <c r="B449" s="3875"/>
      <c r="C449" s="3875"/>
      <c r="D449" s="3875"/>
      <c r="E449" s="3875"/>
      <c r="F449" s="3875"/>
      <c r="G449" s="3875"/>
      <c r="H449" s="3875"/>
      <c r="I449" s="3875"/>
      <c r="J449" s="3875"/>
      <c r="K449" s="3875"/>
      <c r="L449" s="3875"/>
      <c r="M449" s="3875"/>
      <c r="N449" s="3875"/>
      <c r="O449" s="3875"/>
      <c r="P449" s="3875"/>
    </row>
    <row r="450" spans="2:16" ht="27.6" x14ac:dyDescent="0.3">
      <c r="B450" s="3875"/>
      <c r="C450" s="3875"/>
      <c r="D450" s="3875"/>
      <c r="E450" s="3875"/>
      <c r="F450" s="3875"/>
      <c r="G450" s="3875"/>
      <c r="H450" s="3875"/>
      <c r="I450" s="3875"/>
      <c r="J450" s="3875"/>
      <c r="K450" s="3875"/>
      <c r="L450" s="3909" t="s">
        <v>1237</v>
      </c>
      <c r="M450" s="3909" t="s">
        <v>1238</v>
      </c>
      <c r="N450" s="3947" t="s">
        <v>968</v>
      </c>
      <c r="O450" s="3947" t="s">
        <v>1239</v>
      </c>
      <c r="P450" s="3875"/>
    </row>
    <row r="451" spans="2:16" ht="15" customHeight="1" x14ac:dyDescent="0.3">
      <c r="B451" s="3875"/>
      <c r="C451" s="3875"/>
      <c r="D451" s="3875"/>
      <c r="E451" s="3875"/>
      <c r="F451" s="3875"/>
      <c r="G451" s="3875"/>
      <c r="H451" s="3875"/>
      <c r="I451" s="3875"/>
      <c r="J451" s="3875"/>
      <c r="K451" s="3875"/>
      <c r="L451" s="3848"/>
      <c r="M451" s="323"/>
      <c r="N451" s="323"/>
      <c r="O451" s="323"/>
      <c r="P451" s="3875"/>
    </row>
    <row r="452" spans="2:16" x14ac:dyDescent="0.3">
      <c r="B452" s="3875"/>
      <c r="C452" s="3875"/>
      <c r="D452" s="3875"/>
      <c r="E452" s="3875"/>
      <c r="F452" s="3875"/>
      <c r="G452" s="3875"/>
      <c r="H452" s="3875"/>
      <c r="I452" s="3875"/>
      <c r="J452" s="3875"/>
      <c r="K452" s="3875"/>
      <c r="L452" s="6329" t="s">
        <v>286</v>
      </c>
      <c r="M452" s="3948" t="s">
        <v>1240</v>
      </c>
      <c r="N452" s="3949">
        <v>3</v>
      </c>
      <c r="O452" s="3950">
        <v>1214</v>
      </c>
      <c r="P452" s="3875"/>
    </row>
    <row r="453" spans="2:16" x14ac:dyDescent="0.3">
      <c r="B453" s="3875"/>
      <c r="C453" s="3875"/>
      <c r="D453" s="3875"/>
      <c r="E453" s="3875"/>
      <c r="F453" s="3875"/>
      <c r="G453" s="3875"/>
      <c r="H453" s="3875"/>
      <c r="I453" s="3875"/>
      <c r="J453" s="3875"/>
      <c r="K453" s="3875"/>
      <c r="L453" s="6329"/>
      <c r="M453" s="3951" t="s">
        <v>1241</v>
      </c>
      <c r="N453" s="3952">
        <v>3</v>
      </c>
      <c r="O453" s="3953">
        <v>5031</v>
      </c>
      <c r="P453" s="3875"/>
    </row>
    <row r="454" spans="2:16" x14ac:dyDescent="0.3">
      <c r="B454" s="3875"/>
      <c r="C454" s="3875"/>
      <c r="D454" s="3875"/>
      <c r="E454" s="3875"/>
      <c r="F454" s="3875"/>
      <c r="G454" s="3875"/>
      <c r="H454" s="3875"/>
      <c r="I454" s="3875"/>
      <c r="J454" s="3875"/>
      <c r="K454" s="3875"/>
      <c r="L454" s="6329"/>
      <c r="M454" s="3951" t="s">
        <v>1242</v>
      </c>
      <c r="N454" s="3952">
        <v>3</v>
      </c>
      <c r="O454" s="3953">
        <v>741</v>
      </c>
      <c r="P454" s="3875"/>
    </row>
    <row r="455" spans="2:16" x14ac:dyDescent="0.3">
      <c r="B455" s="3875"/>
      <c r="C455" s="3875"/>
      <c r="D455" s="3875"/>
      <c r="E455" s="3875"/>
      <c r="F455" s="3875"/>
      <c r="G455" s="3875"/>
      <c r="H455" s="3875"/>
      <c r="I455" s="3875"/>
      <c r="J455" s="3875"/>
      <c r="K455" s="3875"/>
      <c r="L455" s="6329"/>
      <c r="M455" s="3954" t="s">
        <v>1243</v>
      </c>
      <c r="N455" s="3952">
        <v>3</v>
      </c>
      <c r="O455" s="3953">
        <v>580</v>
      </c>
      <c r="P455" s="3875"/>
    </row>
    <row r="456" spans="2:16" x14ac:dyDescent="0.3">
      <c r="B456" s="3875"/>
      <c r="C456" s="3875"/>
      <c r="D456" s="3875"/>
      <c r="E456" s="3875"/>
      <c r="F456" s="3875"/>
      <c r="G456" s="3875"/>
      <c r="H456" s="3875"/>
      <c r="I456" s="3875"/>
      <c r="J456" s="3875"/>
      <c r="K456" s="3875"/>
      <c r="L456" s="6329"/>
      <c r="M456" s="3951" t="s">
        <v>1244</v>
      </c>
      <c r="N456" s="3952">
        <v>3</v>
      </c>
      <c r="O456" s="3953">
        <v>865</v>
      </c>
      <c r="P456" s="3875"/>
    </row>
    <row r="457" spans="2:16" x14ac:dyDescent="0.3">
      <c r="B457" s="3875"/>
      <c r="C457" s="3875"/>
      <c r="D457" s="3875"/>
      <c r="E457" s="3875"/>
      <c r="F457" s="3875"/>
      <c r="G457" s="3875"/>
      <c r="H457" s="3875"/>
      <c r="I457" s="3875"/>
      <c r="J457" s="3875"/>
      <c r="K457" s="3875"/>
      <c r="L457" s="6329"/>
      <c r="M457" s="3951" t="s">
        <v>976</v>
      </c>
      <c r="N457" s="3952">
        <v>2</v>
      </c>
      <c r="O457" s="3953">
        <v>57</v>
      </c>
      <c r="P457" s="3875"/>
    </row>
    <row r="458" spans="2:16" x14ac:dyDescent="0.3">
      <c r="B458" s="3875"/>
      <c r="C458" s="3875"/>
      <c r="D458" s="3875"/>
      <c r="E458" s="3875"/>
      <c r="F458" s="3875"/>
      <c r="G458" s="3875"/>
      <c r="H458" s="3875"/>
      <c r="I458" s="3875"/>
      <c r="J458" s="3875"/>
      <c r="K458" s="3875"/>
      <c r="L458" s="6329"/>
      <c r="M458" s="3951" t="s">
        <v>1003</v>
      </c>
      <c r="N458" s="3952">
        <v>3</v>
      </c>
      <c r="O458" s="3953">
        <v>244</v>
      </c>
      <c r="P458" s="3875"/>
    </row>
    <row r="459" spans="2:16" x14ac:dyDescent="0.3">
      <c r="B459" s="3875"/>
      <c r="C459" s="3875"/>
      <c r="D459" s="3875"/>
      <c r="E459" s="3875"/>
      <c r="F459" s="3875"/>
      <c r="G459" s="3875"/>
      <c r="H459" s="3875"/>
      <c r="I459" s="3875"/>
      <c r="J459" s="3875"/>
      <c r="K459" s="3875"/>
      <c r="L459" s="6329"/>
      <c r="M459" s="3951" t="s">
        <v>1245</v>
      </c>
      <c r="N459" s="3952">
        <v>3</v>
      </c>
      <c r="O459" s="3953">
        <v>1963</v>
      </c>
      <c r="P459" s="3875"/>
    </row>
    <row r="460" spans="2:16" x14ac:dyDescent="0.3">
      <c r="B460" s="3875"/>
      <c r="C460" s="3875"/>
      <c r="D460" s="3875"/>
      <c r="E460" s="3875"/>
      <c r="F460" s="3875"/>
      <c r="G460" s="3875"/>
      <c r="H460" s="3875"/>
      <c r="I460" s="3875"/>
      <c r="J460" s="3875"/>
      <c r="K460" s="3875"/>
      <c r="L460" s="6329"/>
      <c r="M460" s="3951" t="s">
        <v>1014</v>
      </c>
      <c r="N460" s="3952">
        <v>2</v>
      </c>
      <c r="O460" s="3953">
        <v>48</v>
      </c>
      <c r="P460" s="3875"/>
    </row>
    <row r="461" spans="2:16" x14ac:dyDescent="0.3">
      <c r="B461" s="3875"/>
      <c r="C461" s="3875"/>
      <c r="D461" s="3875"/>
      <c r="E461" s="3875"/>
      <c r="F461" s="3875"/>
      <c r="G461" s="3875"/>
      <c r="H461" s="3875"/>
      <c r="I461" s="3875"/>
      <c r="J461" s="3875"/>
      <c r="K461" s="3875"/>
      <c r="L461" s="6329"/>
      <c r="M461" s="3955" t="s">
        <v>1025</v>
      </c>
      <c r="N461" s="3956">
        <v>1</v>
      </c>
      <c r="O461" s="3957">
        <v>42</v>
      </c>
      <c r="P461" s="3875"/>
    </row>
    <row r="462" spans="2:16" x14ac:dyDescent="0.3">
      <c r="B462" s="3875"/>
      <c r="C462" s="3875"/>
      <c r="D462" s="3875"/>
      <c r="E462" s="3875"/>
      <c r="F462" s="3875"/>
      <c r="G462" s="3875"/>
      <c r="H462" s="3875"/>
      <c r="I462" s="3875"/>
      <c r="J462" s="3875"/>
      <c r="K462" s="3875"/>
      <c r="L462" s="6329"/>
      <c r="M462" s="3909" t="s">
        <v>279</v>
      </c>
      <c r="N462" s="3910">
        <f>SUM(N452:N461)</f>
        <v>26</v>
      </c>
      <c r="O462" s="3910">
        <f>SUM(O452:O461)</f>
        <v>10785</v>
      </c>
      <c r="P462" s="3875"/>
    </row>
    <row r="463" spans="2:16" x14ac:dyDescent="0.3">
      <c r="B463" s="3875"/>
      <c r="C463" s="3875"/>
      <c r="D463" s="3875"/>
      <c r="E463" s="3875"/>
      <c r="F463" s="3875"/>
      <c r="G463" s="3875"/>
      <c r="H463" s="3875"/>
      <c r="I463" s="3875"/>
      <c r="J463" s="3875"/>
      <c r="K463" s="3875"/>
      <c r="L463" s="6330" t="s">
        <v>287</v>
      </c>
      <c r="M463" s="3958" t="s">
        <v>1246</v>
      </c>
      <c r="N463" s="3959">
        <v>3</v>
      </c>
      <c r="O463" s="3960">
        <v>360</v>
      </c>
      <c r="P463" s="3875"/>
    </row>
    <row r="464" spans="2:16" x14ac:dyDescent="0.3">
      <c r="B464" s="3875"/>
      <c r="C464" s="3875"/>
      <c r="D464" s="3875"/>
      <c r="E464" s="3875"/>
      <c r="F464" s="3875"/>
      <c r="G464" s="3875"/>
      <c r="H464" s="3875"/>
      <c r="I464" s="3875"/>
      <c r="J464" s="3875"/>
      <c r="K464" s="3875"/>
      <c r="L464" s="6331"/>
      <c r="M464" s="3961" t="s">
        <v>985</v>
      </c>
      <c r="N464" s="3962">
        <v>1</v>
      </c>
      <c r="O464" s="3963">
        <v>40</v>
      </c>
      <c r="P464" s="3875"/>
    </row>
    <row r="465" spans="2:16" x14ac:dyDescent="0.3">
      <c r="B465" s="3875"/>
      <c r="C465" s="3875"/>
      <c r="D465" s="3875"/>
      <c r="E465" s="3875"/>
      <c r="F465" s="3875"/>
      <c r="G465" s="3875"/>
      <c r="H465" s="3875"/>
      <c r="I465" s="3875"/>
      <c r="J465" s="3875"/>
      <c r="K465" s="3875"/>
      <c r="L465" s="6331"/>
      <c r="M465" s="3961" t="s">
        <v>976</v>
      </c>
      <c r="N465" s="3962">
        <v>2</v>
      </c>
      <c r="O465" s="3963">
        <v>36</v>
      </c>
      <c r="P465" s="3875"/>
    </row>
    <row r="466" spans="2:16" x14ac:dyDescent="0.3">
      <c r="B466" s="3875"/>
      <c r="C466" s="3875"/>
      <c r="D466" s="3875"/>
      <c r="E466" s="3875"/>
      <c r="F466" s="3875"/>
      <c r="G466" s="3875"/>
      <c r="H466" s="3875"/>
      <c r="I466" s="3875"/>
      <c r="J466" s="3875"/>
      <c r="K466" s="3875"/>
      <c r="L466" s="6331"/>
      <c r="M466" s="3961" t="s">
        <v>1247</v>
      </c>
      <c r="N466" s="3962">
        <v>2</v>
      </c>
      <c r="O466" s="3963">
        <v>580</v>
      </c>
      <c r="P466" s="3875"/>
    </row>
    <row r="467" spans="2:16" x14ac:dyDescent="0.3">
      <c r="B467" s="3875"/>
      <c r="C467" s="3875"/>
      <c r="D467" s="3875"/>
      <c r="E467" s="3875"/>
      <c r="F467" s="3875"/>
      <c r="G467" s="3875"/>
      <c r="H467" s="3875"/>
      <c r="I467" s="3875"/>
      <c r="J467" s="3875"/>
      <c r="K467" s="3875"/>
      <c r="L467" s="6331"/>
      <c r="M467" s="3964" t="s">
        <v>1248</v>
      </c>
      <c r="N467" s="3965">
        <v>2</v>
      </c>
      <c r="O467" s="3966">
        <v>16</v>
      </c>
      <c r="P467" s="3875"/>
    </row>
    <row r="468" spans="2:16" x14ac:dyDescent="0.3">
      <c r="B468" s="3875"/>
      <c r="C468" s="3875"/>
      <c r="D468" s="3875"/>
      <c r="E468" s="3875"/>
      <c r="F468" s="3875"/>
      <c r="G468" s="3875"/>
      <c r="H468" s="3875"/>
      <c r="I468" s="3875"/>
      <c r="J468" s="3875"/>
      <c r="K468" s="3875"/>
      <c r="L468" s="6332"/>
      <c r="M468" s="3909" t="s">
        <v>279</v>
      </c>
      <c r="N468" s="3910">
        <f>SUM(N463:N467)</f>
        <v>10</v>
      </c>
      <c r="O468" s="3910">
        <f>SUM(O463:O467)</f>
        <v>1032</v>
      </c>
      <c r="P468" s="3875"/>
    </row>
    <row r="469" spans="2:16" x14ac:dyDescent="0.3">
      <c r="B469" s="3875"/>
      <c r="C469" s="3875"/>
      <c r="D469" s="3875"/>
      <c r="E469" s="3875"/>
      <c r="F469" s="3875"/>
      <c r="G469" s="3875"/>
      <c r="H469" s="3875"/>
      <c r="I469" s="3875"/>
      <c r="J469" s="3875"/>
      <c r="K469" s="3875"/>
      <c r="L469" s="6333" t="s">
        <v>288</v>
      </c>
      <c r="M469" s="3967" t="s">
        <v>1241</v>
      </c>
      <c r="N469" s="3968">
        <v>3</v>
      </c>
      <c r="O469" s="3969">
        <v>528</v>
      </c>
      <c r="P469" s="3875"/>
    </row>
    <row r="470" spans="2:16" x14ac:dyDescent="0.3">
      <c r="B470" s="3875"/>
      <c r="C470" s="3875"/>
      <c r="D470" s="3875"/>
      <c r="E470" s="3875"/>
      <c r="F470" s="3875"/>
      <c r="G470" s="3875"/>
      <c r="H470" s="3875"/>
      <c r="I470" s="3875"/>
      <c r="J470" s="3875"/>
      <c r="K470" s="3875"/>
      <c r="L470" s="6334"/>
      <c r="M470" s="3970" t="s">
        <v>1246</v>
      </c>
      <c r="N470" s="3971">
        <v>2</v>
      </c>
      <c r="O470" s="3972">
        <v>2028</v>
      </c>
      <c r="P470" s="3875"/>
    </row>
    <row r="471" spans="2:16" x14ac:dyDescent="0.3">
      <c r="B471" s="3875"/>
      <c r="C471" s="3875"/>
      <c r="D471" s="3875"/>
      <c r="E471" s="3875"/>
      <c r="F471" s="3875"/>
      <c r="G471" s="3875"/>
      <c r="H471" s="3875"/>
      <c r="I471" s="3875"/>
      <c r="J471" s="3875"/>
      <c r="K471" s="3875"/>
      <c r="L471" s="6334"/>
      <c r="M471" s="3970" t="s">
        <v>985</v>
      </c>
      <c r="N471" s="3971">
        <v>4</v>
      </c>
      <c r="O471" s="3972">
        <v>516</v>
      </c>
      <c r="P471" s="3875"/>
    </row>
    <row r="472" spans="2:16" x14ac:dyDescent="0.3">
      <c r="B472" s="3875"/>
      <c r="C472" s="3875"/>
      <c r="D472" s="3875"/>
      <c r="E472" s="3875"/>
      <c r="F472" s="3875"/>
      <c r="G472" s="3875"/>
      <c r="H472" s="3875"/>
      <c r="I472" s="3875"/>
      <c r="J472" s="3875"/>
      <c r="K472" s="3875"/>
      <c r="L472" s="6334"/>
      <c r="M472" s="3970" t="s">
        <v>976</v>
      </c>
      <c r="N472" s="3971">
        <v>4</v>
      </c>
      <c r="O472" s="3972">
        <v>95</v>
      </c>
      <c r="P472" s="3875"/>
    </row>
    <row r="473" spans="2:16" x14ac:dyDescent="0.3">
      <c r="B473" s="3875"/>
      <c r="C473" s="3875"/>
      <c r="D473" s="3875"/>
      <c r="E473" s="3875"/>
      <c r="F473" s="3875"/>
      <c r="G473" s="3875"/>
      <c r="H473" s="3875"/>
      <c r="I473" s="3875"/>
      <c r="J473" s="3875"/>
      <c r="K473" s="3875"/>
      <c r="L473" s="6334"/>
      <c r="M473" s="3970" t="s">
        <v>1014</v>
      </c>
      <c r="N473" s="3971">
        <v>3</v>
      </c>
      <c r="O473" s="3972">
        <v>153</v>
      </c>
      <c r="P473" s="3875"/>
    </row>
    <row r="474" spans="2:16" x14ac:dyDescent="0.3">
      <c r="B474" s="3875"/>
      <c r="C474" s="3875"/>
      <c r="D474" s="3875"/>
      <c r="E474" s="3875"/>
      <c r="F474" s="3875"/>
      <c r="G474" s="3875"/>
      <c r="H474" s="3875"/>
      <c r="I474" s="3875"/>
      <c r="J474" s="3875"/>
      <c r="K474" s="3875"/>
      <c r="L474" s="6334"/>
      <c r="M474" s="3970" t="s">
        <v>1011</v>
      </c>
      <c r="N474" s="3971">
        <v>2</v>
      </c>
      <c r="O474" s="3972">
        <v>137</v>
      </c>
      <c r="P474" s="3875"/>
    </row>
    <row r="475" spans="2:16" x14ac:dyDescent="0.3">
      <c r="B475" s="3875"/>
      <c r="C475" s="3875"/>
      <c r="D475" s="3875"/>
      <c r="E475" s="3875"/>
      <c r="F475" s="3875"/>
      <c r="G475" s="3875"/>
      <c r="H475" s="3875"/>
      <c r="I475" s="3875"/>
      <c r="J475" s="3875"/>
      <c r="K475" s="3875"/>
      <c r="L475" s="6334"/>
      <c r="M475" s="3970" t="s">
        <v>1025</v>
      </c>
      <c r="N475" s="3971">
        <v>2</v>
      </c>
      <c r="O475" s="3972">
        <v>162</v>
      </c>
      <c r="P475" s="3875"/>
    </row>
    <row r="476" spans="2:16" x14ac:dyDescent="0.3">
      <c r="B476" s="3875"/>
      <c r="C476" s="3875"/>
      <c r="D476" s="3875"/>
      <c r="E476" s="3875"/>
      <c r="F476" s="3875"/>
      <c r="G476" s="3875"/>
      <c r="H476" s="3875"/>
      <c r="I476" s="3875"/>
      <c r="J476" s="3875"/>
      <c r="K476" s="3875"/>
      <c r="L476" s="6334"/>
      <c r="M476" s="3970" t="s">
        <v>1249</v>
      </c>
      <c r="N476" s="3971">
        <v>1</v>
      </c>
      <c r="O476" s="3972">
        <v>23</v>
      </c>
      <c r="P476" s="3875"/>
    </row>
    <row r="477" spans="2:16" x14ac:dyDescent="0.3">
      <c r="B477" s="3875"/>
      <c r="C477" s="3875"/>
      <c r="D477" s="3875"/>
      <c r="E477" s="3875"/>
      <c r="F477" s="3875"/>
      <c r="G477" s="3875"/>
      <c r="H477" s="3875"/>
      <c r="I477" s="3875"/>
      <c r="J477" s="3875"/>
      <c r="K477" s="3875"/>
      <c r="L477" s="6334"/>
      <c r="M477" s="3973" t="s">
        <v>1072</v>
      </c>
      <c r="N477" s="3974">
        <v>1</v>
      </c>
      <c r="O477" s="3975">
        <v>45</v>
      </c>
      <c r="P477" s="3875"/>
    </row>
    <row r="478" spans="2:16" x14ac:dyDescent="0.3">
      <c r="B478" s="3875"/>
      <c r="C478" s="3875"/>
      <c r="D478" s="3875"/>
      <c r="E478" s="3875"/>
      <c r="F478" s="3875"/>
      <c r="G478" s="3875"/>
      <c r="H478" s="3875"/>
      <c r="I478" s="3875"/>
      <c r="J478" s="3875"/>
      <c r="K478" s="3875"/>
      <c r="L478" s="6335"/>
      <c r="M478" s="3917" t="s">
        <v>279</v>
      </c>
      <c r="N478" s="3946">
        <f>SUM(N469:N477)</f>
        <v>22</v>
      </c>
      <c r="O478" s="3910">
        <f>SUM(O469:O477)</f>
        <v>3687</v>
      </c>
      <c r="P478" s="3875"/>
    </row>
    <row r="479" spans="2:16" x14ac:dyDescent="0.3">
      <c r="B479" s="3875"/>
      <c r="C479" s="3875"/>
      <c r="D479" s="3875"/>
      <c r="E479" s="3875"/>
      <c r="F479" s="3875"/>
      <c r="G479" s="3875"/>
      <c r="H479" s="3875"/>
      <c r="I479" s="3875"/>
      <c r="J479" s="3875"/>
      <c r="K479" s="3875"/>
      <c r="L479" s="6336" t="s">
        <v>290</v>
      </c>
      <c r="M479" s="3976" t="s">
        <v>1241</v>
      </c>
      <c r="N479" s="3977">
        <v>7</v>
      </c>
      <c r="O479" s="3960">
        <v>803</v>
      </c>
      <c r="P479" s="3875"/>
    </row>
    <row r="480" spans="2:16" x14ac:dyDescent="0.3">
      <c r="B480" s="3875"/>
      <c r="C480" s="3875"/>
      <c r="D480" s="3875"/>
      <c r="E480" s="3875"/>
      <c r="F480" s="3875"/>
      <c r="G480" s="3875"/>
      <c r="H480" s="3875"/>
      <c r="I480" s="3875"/>
      <c r="J480" s="3875"/>
      <c r="K480" s="3875"/>
      <c r="L480" s="6337"/>
      <c r="M480" s="3978" t="s">
        <v>1246</v>
      </c>
      <c r="N480" s="3979">
        <v>7</v>
      </c>
      <c r="O480" s="3963">
        <v>406</v>
      </c>
      <c r="P480" s="3875"/>
    </row>
    <row r="481" spans="2:20" x14ac:dyDescent="0.3">
      <c r="B481" s="3875"/>
      <c r="C481" s="3875"/>
      <c r="D481" s="3875"/>
      <c r="E481" s="3875"/>
      <c r="F481" s="3875"/>
      <c r="G481" s="3875"/>
      <c r="H481" s="3875"/>
      <c r="I481" s="3875"/>
      <c r="J481" s="3875"/>
      <c r="K481" s="3875"/>
      <c r="L481" s="6337"/>
      <c r="M481" s="3980" t="s">
        <v>985</v>
      </c>
      <c r="N481" s="3979">
        <v>5</v>
      </c>
      <c r="O481" s="3963">
        <v>196</v>
      </c>
      <c r="P481" s="3875"/>
    </row>
    <row r="482" spans="2:20" x14ac:dyDescent="0.3">
      <c r="B482" s="3875"/>
      <c r="C482" s="3875"/>
      <c r="D482" s="3875"/>
      <c r="E482" s="3875"/>
      <c r="F482" s="3875"/>
      <c r="G482" s="3875"/>
      <c r="H482" s="3875"/>
      <c r="I482" s="3875"/>
      <c r="J482" s="3875"/>
      <c r="K482" s="3875"/>
      <c r="L482" s="6337"/>
      <c r="M482" s="3980" t="s">
        <v>976</v>
      </c>
      <c r="N482" s="3979">
        <v>8</v>
      </c>
      <c r="O482" s="3963">
        <v>181</v>
      </c>
      <c r="P482" s="3875"/>
    </row>
    <row r="483" spans="2:20" x14ac:dyDescent="0.3">
      <c r="B483" s="3875"/>
      <c r="C483" s="3875"/>
      <c r="D483" s="3875"/>
      <c r="E483" s="3875"/>
      <c r="F483" s="3875"/>
      <c r="G483" s="3875"/>
      <c r="H483" s="3875"/>
      <c r="I483" s="3875"/>
      <c r="J483" s="3875"/>
      <c r="K483" s="3875"/>
      <c r="L483" s="6337"/>
      <c r="M483" s="3980" t="s">
        <v>1247</v>
      </c>
      <c r="N483" s="3979">
        <v>3</v>
      </c>
      <c r="O483" s="3963">
        <v>117</v>
      </c>
      <c r="P483" s="3875"/>
    </row>
    <row r="484" spans="2:20" x14ac:dyDescent="0.3">
      <c r="B484" s="3875"/>
      <c r="C484" s="3875"/>
      <c r="D484" s="3875"/>
      <c r="E484" s="3875"/>
      <c r="F484" s="3875"/>
      <c r="G484" s="3875"/>
      <c r="H484" s="3875"/>
      <c r="I484" s="3875"/>
      <c r="J484" s="3875"/>
      <c r="K484" s="3875"/>
      <c r="L484" s="6337"/>
      <c r="M484" s="3980" t="s">
        <v>1250</v>
      </c>
      <c r="N484" s="3979">
        <v>2</v>
      </c>
      <c r="O484" s="3963">
        <v>165</v>
      </c>
      <c r="P484" s="3875"/>
      <c r="Q484" s="3875"/>
      <c r="R484" s="3875"/>
      <c r="S484" s="3875"/>
      <c r="T484" s="3875"/>
    </row>
    <row r="485" spans="2:20" x14ac:dyDescent="0.3">
      <c r="B485" s="3875"/>
      <c r="C485" s="3875"/>
      <c r="D485" s="3875"/>
      <c r="E485" s="3875"/>
      <c r="F485" s="3875"/>
      <c r="G485" s="3875"/>
      <c r="H485" s="3875"/>
      <c r="I485" s="3875"/>
      <c r="J485" s="3875"/>
      <c r="K485" s="3875"/>
      <c r="L485" s="6337"/>
      <c r="M485" s="3980" t="s">
        <v>1251</v>
      </c>
      <c r="N485" s="3979">
        <v>1</v>
      </c>
      <c r="O485" s="3963">
        <v>3</v>
      </c>
      <c r="P485" s="3875"/>
      <c r="Q485" s="3875"/>
      <c r="R485" s="3875"/>
      <c r="S485" s="3875"/>
      <c r="T485" s="3875"/>
    </row>
    <row r="486" spans="2:20" x14ac:dyDescent="0.3">
      <c r="B486" s="3875"/>
      <c r="C486" s="3875"/>
      <c r="D486" s="3875"/>
      <c r="E486" s="3875"/>
      <c r="F486" s="3875"/>
      <c r="G486" s="3875"/>
      <c r="H486" s="3875"/>
      <c r="I486" s="3875"/>
      <c r="J486" s="3875"/>
      <c r="K486" s="3875"/>
      <c r="L486" s="6337"/>
      <c r="M486" s="3980" t="s">
        <v>1025</v>
      </c>
      <c r="N486" s="3979">
        <v>5</v>
      </c>
      <c r="O486" s="3963">
        <v>134</v>
      </c>
      <c r="P486" s="3875"/>
      <c r="Q486" s="3875"/>
      <c r="R486" s="3875"/>
      <c r="S486" s="3875"/>
      <c r="T486" s="3875"/>
    </row>
    <row r="487" spans="2:20" x14ac:dyDescent="0.3">
      <c r="B487" s="3875"/>
      <c r="C487" s="3875"/>
      <c r="D487" s="3875"/>
      <c r="E487" s="3875"/>
      <c r="F487" s="3875"/>
      <c r="G487" s="3875"/>
      <c r="H487" s="3875"/>
      <c r="I487" s="3875"/>
      <c r="J487" s="3875"/>
      <c r="K487" s="3875"/>
      <c r="L487" s="6337"/>
      <c r="M487" s="3980" t="s">
        <v>1252</v>
      </c>
      <c r="N487" s="3979">
        <v>7</v>
      </c>
      <c r="O487" s="3963">
        <v>414</v>
      </c>
      <c r="P487" s="3875"/>
      <c r="Q487" s="3875"/>
      <c r="R487" s="3875"/>
      <c r="S487" s="3875"/>
      <c r="T487" s="3875"/>
    </row>
    <row r="488" spans="2:20" x14ac:dyDescent="0.3">
      <c r="B488" s="3875"/>
      <c r="C488" s="3875"/>
      <c r="D488" s="3875"/>
      <c r="E488" s="3875"/>
      <c r="F488" s="3875"/>
      <c r="G488" s="3875"/>
      <c r="H488" s="3875"/>
      <c r="I488" s="3875"/>
      <c r="J488" s="3875"/>
      <c r="K488" s="3875"/>
      <c r="L488" s="6337"/>
      <c r="M488" s="3980" t="s">
        <v>1020</v>
      </c>
      <c r="N488" s="3979">
        <v>4</v>
      </c>
      <c r="O488" s="3963">
        <v>14</v>
      </c>
      <c r="P488" s="3875"/>
      <c r="Q488" s="3875"/>
      <c r="R488" s="3875"/>
      <c r="S488" s="3875"/>
      <c r="T488" s="3875"/>
    </row>
    <row r="489" spans="2:20" x14ac:dyDescent="0.3">
      <c r="B489" s="3875"/>
      <c r="C489" s="3875"/>
      <c r="D489" s="3875"/>
      <c r="E489" s="3875"/>
      <c r="F489" s="3875"/>
      <c r="G489" s="3875"/>
      <c r="H489" s="3875"/>
      <c r="I489" s="3875"/>
      <c r="J489" s="3875"/>
      <c r="K489" s="3875"/>
      <c r="L489" s="6337"/>
      <c r="M489" s="3980" t="s">
        <v>1008</v>
      </c>
      <c r="N489" s="3979">
        <v>3</v>
      </c>
      <c r="O489" s="3963">
        <v>6</v>
      </c>
      <c r="P489" s="3875"/>
      <c r="Q489" s="3875"/>
      <c r="R489" s="3875"/>
      <c r="S489" s="3875"/>
      <c r="T489" s="3875"/>
    </row>
    <row r="490" spans="2:20" x14ac:dyDescent="0.3">
      <c r="B490" s="3875"/>
      <c r="C490" s="3875"/>
      <c r="D490" s="3875"/>
      <c r="E490" s="3875"/>
      <c r="F490" s="3875"/>
      <c r="G490" s="3875"/>
      <c r="H490" s="3875"/>
      <c r="I490" s="3875"/>
      <c r="J490" s="3875"/>
      <c r="K490" s="3875"/>
      <c r="L490" s="6337"/>
      <c r="M490" s="3980" t="s">
        <v>981</v>
      </c>
      <c r="N490" s="3979">
        <v>5</v>
      </c>
      <c r="O490" s="3963">
        <v>67</v>
      </c>
      <c r="P490" s="3875"/>
      <c r="Q490" s="3875"/>
      <c r="R490" s="3875"/>
      <c r="S490" s="3875"/>
      <c r="T490" s="3875"/>
    </row>
    <row r="491" spans="2:20" x14ac:dyDescent="0.3">
      <c r="B491" s="3875"/>
      <c r="C491" s="3875"/>
      <c r="D491" s="3875"/>
      <c r="E491" s="3875"/>
      <c r="F491" s="3875"/>
      <c r="G491" s="3875"/>
      <c r="H491" s="3875"/>
      <c r="I491" s="3875"/>
      <c r="J491" s="3875"/>
      <c r="K491" s="3875"/>
      <c r="L491" s="6337"/>
      <c r="M491" s="3980" t="s">
        <v>1253</v>
      </c>
      <c r="N491" s="3979">
        <v>3</v>
      </c>
      <c r="O491" s="3963">
        <v>50</v>
      </c>
      <c r="P491" s="3875"/>
      <c r="Q491" s="3875"/>
      <c r="R491" s="3875"/>
      <c r="S491" s="3875"/>
      <c r="T491" s="3875"/>
    </row>
    <row r="492" spans="2:20" x14ac:dyDescent="0.3">
      <c r="B492" s="3875"/>
      <c r="C492" s="3875"/>
      <c r="D492" s="3875"/>
      <c r="E492" s="3875"/>
      <c r="F492" s="3875"/>
      <c r="G492" s="3875"/>
      <c r="H492" s="3875"/>
      <c r="I492" s="3875"/>
      <c r="J492" s="3875"/>
      <c r="K492" s="3875"/>
      <c r="L492" s="6337"/>
      <c r="M492" s="3981" t="s">
        <v>1254</v>
      </c>
      <c r="N492" s="3982">
        <v>4</v>
      </c>
      <c r="O492" s="3966">
        <v>81</v>
      </c>
      <c r="P492" s="3875"/>
      <c r="Q492" s="3875"/>
      <c r="R492" s="3875"/>
      <c r="S492" s="3875"/>
      <c r="T492" s="3875"/>
    </row>
    <row r="493" spans="2:20" x14ac:dyDescent="0.3">
      <c r="B493" s="3875"/>
      <c r="C493" s="3875"/>
      <c r="D493" s="3875"/>
      <c r="E493" s="3875"/>
      <c r="F493" s="3875"/>
      <c r="G493" s="3875"/>
      <c r="H493" s="3875"/>
      <c r="I493" s="3875"/>
      <c r="J493" s="3875"/>
      <c r="K493" s="3875"/>
      <c r="L493" s="6338"/>
      <c r="M493" s="3983" t="s">
        <v>279</v>
      </c>
      <c r="N493" s="3984">
        <f>SUM(N479:N492)</f>
        <v>64</v>
      </c>
      <c r="O493" s="3910">
        <f>SUM(O479:O492)</f>
        <v>2637</v>
      </c>
      <c r="P493" s="3875"/>
      <c r="Q493" s="3875"/>
      <c r="R493" s="3875"/>
      <c r="S493" s="3875"/>
      <c r="T493" s="3875"/>
    </row>
    <row r="494" spans="2:20" x14ac:dyDescent="0.3">
      <c r="B494" s="3875"/>
      <c r="C494" s="3875"/>
      <c r="D494" s="3875"/>
      <c r="E494" s="3875"/>
      <c r="F494" s="3875"/>
      <c r="G494" s="3875"/>
      <c r="H494" s="3875"/>
      <c r="I494" s="3875"/>
      <c r="J494" s="3875"/>
      <c r="K494" s="3875"/>
      <c r="L494" s="3985" t="s">
        <v>7</v>
      </c>
      <c r="M494" s="3986"/>
      <c r="N494" s="3910">
        <f>N462+N478+N493+N468</f>
        <v>122</v>
      </c>
      <c r="O494" s="3910">
        <f>O462+O478+O493+O468</f>
        <v>18141</v>
      </c>
      <c r="P494" s="3875"/>
      <c r="Q494" s="3875"/>
      <c r="R494" s="3875"/>
      <c r="S494" s="3875"/>
      <c r="T494" s="3875"/>
    </row>
    <row r="495" spans="2:20" x14ac:dyDescent="0.3">
      <c r="B495" s="3875"/>
      <c r="C495" s="3875"/>
      <c r="D495" s="3875"/>
      <c r="E495" s="3875"/>
      <c r="F495" s="3875"/>
      <c r="G495" s="3875"/>
      <c r="H495" s="3875"/>
      <c r="I495" s="3875"/>
      <c r="J495" s="3875"/>
      <c r="K495" s="3875"/>
      <c r="L495" s="3875"/>
      <c r="M495" s="3875"/>
      <c r="N495" s="3875"/>
      <c r="O495" s="3875"/>
      <c r="P495" s="3875"/>
      <c r="Q495" s="3875"/>
      <c r="R495" s="3875"/>
      <c r="S495" s="3875"/>
      <c r="T495" s="3875"/>
    </row>
    <row r="496" spans="2:20" x14ac:dyDescent="0.3">
      <c r="B496" s="3875"/>
      <c r="C496" s="3875"/>
      <c r="D496" s="3875"/>
      <c r="E496" s="3875"/>
      <c r="F496" s="3875"/>
      <c r="G496" s="3875"/>
      <c r="H496" s="3875"/>
      <c r="I496" s="3875"/>
      <c r="J496" s="3875"/>
      <c r="K496" s="3875"/>
      <c r="L496" s="3875"/>
      <c r="M496" s="3875"/>
      <c r="N496" s="3875"/>
      <c r="O496" s="3875"/>
      <c r="P496" s="3875"/>
      <c r="Q496" s="3875"/>
      <c r="R496" s="3875"/>
      <c r="S496" s="3875"/>
      <c r="T496" s="3875"/>
    </row>
    <row r="497" spans="2:20" x14ac:dyDescent="0.3">
      <c r="B497" s="3875"/>
      <c r="C497" s="3875"/>
      <c r="D497" s="3875"/>
      <c r="E497" s="3875"/>
      <c r="F497" s="3875"/>
      <c r="G497" s="3875"/>
      <c r="H497" s="3875"/>
      <c r="I497" s="3875"/>
      <c r="J497" s="3875"/>
      <c r="K497" s="3875"/>
      <c r="L497" s="3875"/>
      <c r="M497" s="3875"/>
      <c r="N497" s="3875"/>
      <c r="O497" s="3875"/>
      <c r="P497" s="3875"/>
      <c r="Q497" s="3875"/>
      <c r="R497" s="3875"/>
      <c r="S497" s="3875"/>
      <c r="T497" s="3875"/>
    </row>
    <row r="498" spans="2:20" x14ac:dyDescent="0.3">
      <c r="B498" s="3875"/>
      <c r="C498" s="3875"/>
      <c r="D498" s="3875"/>
      <c r="E498" s="3875"/>
      <c r="F498" s="3875"/>
      <c r="G498" s="3875"/>
      <c r="H498" s="3875"/>
      <c r="I498" s="3875"/>
      <c r="J498" s="3875"/>
      <c r="K498" s="3875"/>
      <c r="L498" s="3875"/>
      <c r="M498" s="3875"/>
      <c r="N498" s="3875"/>
      <c r="O498" s="3875"/>
      <c r="P498" s="3875"/>
    </row>
    <row r="499" spans="2:20" x14ac:dyDescent="0.3">
      <c r="B499" s="3875"/>
      <c r="C499" s="3875"/>
      <c r="D499" s="3875"/>
      <c r="E499" s="3875"/>
      <c r="F499" s="3875"/>
      <c r="G499" s="3875"/>
      <c r="H499" s="3875"/>
      <c r="I499" s="3875"/>
      <c r="J499" s="3875"/>
      <c r="K499" s="3875"/>
      <c r="L499" s="6248" t="s">
        <v>1255</v>
      </c>
      <c r="M499" s="6249"/>
      <c r="N499" s="6249"/>
      <c r="O499" s="6250"/>
      <c r="P499" s="3875"/>
    </row>
    <row r="500" spans="2:20" x14ac:dyDescent="0.3">
      <c r="B500" s="3875"/>
      <c r="C500" s="3875"/>
      <c r="D500" s="3875"/>
      <c r="E500" s="3875"/>
      <c r="F500" s="3875"/>
      <c r="G500" s="3875"/>
      <c r="H500" s="3875"/>
      <c r="I500" s="3875"/>
      <c r="J500" s="3875"/>
      <c r="K500" s="3875"/>
      <c r="L500" s="6312" t="s">
        <v>970</v>
      </c>
      <c r="M500" s="6311" t="s">
        <v>973</v>
      </c>
      <c r="N500" s="6288" t="s">
        <v>972</v>
      </c>
      <c r="O500" s="6289"/>
      <c r="P500" s="3875"/>
    </row>
    <row r="501" spans="2:20" x14ac:dyDescent="0.3">
      <c r="B501" s="3875"/>
      <c r="C501" s="3875"/>
      <c r="D501" s="3875"/>
      <c r="E501" s="3875"/>
      <c r="F501" s="3875"/>
      <c r="G501" s="3875"/>
      <c r="H501" s="3875"/>
      <c r="I501" s="3875"/>
      <c r="J501" s="3875"/>
      <c r="K501" s="3875"/>
      <c r="L501" s="6322"/>
      <c r="M501" s="6312"/>
      <c r="N501" s="3917" t="s">
        <v>1032</v>
      </c>
      <c r="O501" s="3917" t="s">
        <v>1033</v>
      </c>
      <c r="P501" s="3875"/>
    </row>
    <row r="502" spans="2:20" x14ac:dyDescent="0.3">
      <c r="B502" s="3875"/>
      <c r="C502" s="3875"/>
      <c r="D502" s="3875"/>
      <c r="E502" s="3875"/>
      <c r="F502" s="3875"/>
      <c r="G502" s="3875"/>
      <c r="H502" s="3875"/>
      <c r="I502" s="3875"/>
      <c r="J502" s="3875"/>
      <c r="K502" s="3875"/>
      <c r="L502" s="354"/>
      <c r="M502" s="354"/>
      <c r="N502" s="354"/>
      <c r="O502" s="3935"/>
      <c r="P502" s="3875"/>
    </row>
    <row r="503" spans="2:20" x14ac:dyDescent="0.3">
      <c r="B503" s="3875"/>
      <c r="C503" s="3875"/>
      <c r="D503" s="3875"/>
      <c r="E503" s="3875"/>
      <c r="F503" s="3875"/>
      <c r="G503" s="3875"/>
      <c r="H503" s="3875"/>
      <c r="I503" s="3875"/>
      <c r="J503" s="3875"/>
      <c r="K503" s="3875"/>
      <c r="L503" s="3940" t="s">
        <v>1256</v>
      </c>
      <c r="M503" s="3891" t="s">
        <v>1208</v>
      </c>
      <c r="N503" s="3941">
        <v>1708</v>
      </c>
      <c r="O503" s="3941">
        <v>7230</v>
      </c>
      <c r="P503" s="3875"/>
    </row>
    <row r="504" spans="2:20" ht="27.6" x14ac:dyDescent="0.3">
      <c r="B504" s="3875"/>
      <c r="C504" s="3875"/>
      <c r="D504" s="3875"/>
      <c r="E504" s="3875"/>
      <c r="F504" s="3875"/>
      <c r="G504" s="3875"/>
      <c r="H504" s="3875"/>
      <c r="I504" s="3875"/>
      <c r="J504" s="3875"/>
      <c r="K504" s="3875"/>
      <c r="L504" s="3943" t="s">
        <v>979</v>
      </c>
      <c r="M504" s="3987" t="s">
        <v>1209</v>
      </c>
      <c r="N504" s="3941">
        <v>705</v>
      </c>
      <c r="O504" s="3941"/>
      <c r="P504" s="3875"/>
    </row>
    <row r="505" spans="2:20" x14ac:dyDescent="0.3">
      <c r="B505" s="3875"/>
      <c r="C505" s="3875"/>
      <c r="D505" s="3875"/>
      <c r="E505" s="3875"/>
      <c r="F505" s="3875"/>
      <c r="G505" s="3875"/>
      <c r="H505" s="3875"/>
      <c r="I505" s="3875"/>
      <c r="J505" s="3875"/>
      <c r="K505" s="3875"/>
      <c r="L505" s="3940" t="s">
        <v>1048</v>
      </c>
      <c r="M505" s="3858" t="s">
        <v>1208</v>
      </c>
      <c r="N505" s="3858">
        <v>538</v>
      </c>
      <c r="O505" s="3858"/>
      <c r="P505" s="3875"/>
    </row>
    <row r="506" spans="2:20" x14ac:dyDescent="0.3">
      <c r="B506" s="3875"/>
      <c r="C506" s="3875"/>
      <c r="D506" s="3875"/>
      <c r="E506" s="3875"/>
      <c r="F506" s="3875"/>
      <c r="G506" s="3875"/>
      <c r="H506" s="3875"/>
      <c r="I506" s="3875"/>
      <c r="J506" s="3875"/>
      <c r="K506" s="3875"/>
      <c r="L506" s="3875"/>
      <c r="M506" s="3875"/>
      <c r="N506" s="3875"/>
      <c r="O506" s="3875"/>
      <c r="P506" s="3875"/>
    </row>
    <row r="507" spans="2:20" x14ac:dyDescent="0.3">
      <c r="B507" s="3875"/>
      <c r="C507" s="3875"/>
      <c r="D507" s="3875"/>
      <c r="E507" s="3875"/>
      <c r="F507" s="3875"/>
      <c r="G507" s="3875"/>
      <c r="H507" s="3875"/>
      <c r="I507" s="3875"/>
      <c r="J507" s="3875"/>
      <c r="K507" s="3875"/>
      <c r="L507" s="3932" t="s">
        <v>279</v>
      </c>
      <c r="M507" s="3988"/>
      <c r="N507" s="3910">
        <f>SUM(N503:N506)</f>
        <v>2951</v>
      </c>
      <c r="O507" s="3910">
        <f>SUM(O503:O506)</f>
        <v>7230</v>
      </c>
      <c r="P507" s="3875"/>
    </row>
    <row r="508" spans="2:20" x14ac:dyDescent="0.3">
      <c r="B508" s="3875"/>
      <c r="C508" s="3875"/>
      <c r="D508" s="3875"/>
      <c r="E508" s="3875"/>
      <c r="F508" s="3875"/>
      <c r="G508" s="3875"/>
      <c r="H508" s="3875"/>
      <c r="I508" s="3875"/>
      <c r="J508" s="3875"/>
      <c r="K508" s="3875"/>
      <c r="L508" s="3875"/>
      <c r="M508" s="3875"/>
      <c r="N508" s="3875"/>
      <c r="O508" s="3875"/>
      <c r="P508" s="3875"/>
    </row>
    <row r="509" spans="2:20" x14ac:dyDescent="0.3">
      <c r="B509" s="3875"/>
      <c r="C509" s="3875"/>
      <c r="D509" s="3875"/>
      <c r="E509" s="3875"/>
      <c r="F509" s="3875"/>
      <c r="G509" s="3875"/>
      <c r="H509" s="3875"/>
      <c r="I509" s="3875"/>
      <c r="J509" s="3875"/>
      <c r="K509" s="3875"/>
      <c r="L509" s="3875"/>
      <c r="M509" s="3875"/>
      <c r="N509" s="3875"/>
      <c r="O509" s="3875"/>
      <c r="P509" s="3875"/>
    </row>
    <row r="510" spans="2:20" ht="27.6" x14ac:dyDescent="0.3">
      <c r="B510" s="3875"/>
      <c r="C510" s="3875"/>
      <c r="D510" s="3875"/>
      <c r="E510" s="3875"/>
      <c r="F510" s="3875"/>
      <c r="G510" s="3875"/>
      <c r="H510" s="3875"/>
      <c r="I510" s="3875"/>
      <c r="J510" s="3875"/>
      <c r="K510" s="3875"/>
      <c r="L510" s="3947" t="s">
        <v>1237</v>
      </c>
      <c r="M510" s="3947" t="s">
        <v>1257</v>
      </c>
      <c r="N510" s="3989" t="s">
        <v>968</v>
      </c>
      <c r="O510" s="3989" t="s">
        <v>969</v>
      </c>
      <c r="P510" s="3875"/>
    </row>
    <row r="511" spans="2:20" x14ac:dyDescent="0.3">
      <c r="B511" s="3875"/>
      <c r="C511" s="3875"/>
      <c r="D511" s="3875"/>
      <c r="E511" s="3875"/>
      <c r="F511" s="3875"/>
      <c r="G511" s="3875"/>
      <c r="H511" s="3875"/>
      <c r="I511" s="3875"/>
      <c r="J511" s="3875"/>
      <c r="K511" s="3875"/>
      <c r="L511" s="6339" t="s">
        <v>286</v>
      </c>
      <c r="M511" s="3990" t="s">
        <v>1240</v>
      </c>
      <c r="N511" s="3991">
        <v>3</v>
      </c>
      <c r="O511" s="3941">
        <v>6348</v>
      </c>
      <c r="P511" s="3875"/>
    </row>
    <row r="512" spans="2:20" x14ac:dyDescent="0.3">
      <c r="B512" s="3875"/>
      <c r="C512" s="3875"/>
      <c r="D512" s="3875"/>
      <c r="E512" s="3875"/>
      <c r="F512" s="3875"/>
      <c r="G512" s="3875"/>
      <c r="H512" s="3875"/>
      <c r="I512" s="3875"/>
      <c r="J512" s="3875"/>
      <c r="K512" s="3875"/>
      <c r="L512" s="6339"/>
      <c r="M512" s="3992" t="s">
        <v>1241</v>
      </c>
      <c r="N512" s="3993">
        <v>4</v>
      </c>
      <c r="O512" s="3994">
        <v>1714</v>
      </c>
      <c r="P512" s="3875"/>
    </row>
    <row r="513" spans="2:16" x14ac:dyDescent="0.3">
      <c r="B513" s="3875"/>
      <c r="C513" s="3875"/>
      <c r="D513" s="3875"/>
      <c r="E513" s="3875"/>
      <c r="F513" s="3875"/>
      <c r="G513" s="3875"/>
      <c r="H513" s="3875"/>
      <c r="I513" s="3875"/>
      <c r="J513" s="3875"/>
      <c r="K513" s="3875"/>
      <c r="L513" s="6339"/>
      <c r="M513" s="3992" t="s">
        <v>1244</v>
      </c>
      <c r="N513" s="3993">
        <v>6</v>
      </c>
      <c r="O513" s="3994">
        <v>1156</v>
      </c>
      <c r="P513" s="3875"/>
    </row>
    <row r="514" spans="2:16" x14ac:dyDescent="0.3">
      <c r="B514" s="3875"/>
      <c r="C514" s="3875"/>
      <c r="D514" s="3875"/>
      <c r="E514" s="3875"/>
      <c r="F514" s="3875"/>
      <c r="G514" s="3875"/>
      <c r="H514" s="3875"/>
      <c r="I514" s="3875"/>
      <c r="J514" s="3875"/>
      <c r="K514" s="3875"/>
      <c r="L514" s="6339"/>
      <c r="M514" s="3992" t="s">
        <v>1247</v>
      </c>
      <c r="N514" s="3993">
        <v>7</v>
      </c>
      <c r="O514" s="3994">
        <v>227</v>
      </c>
      <c r="P514" s="3875"/>
    </row>
    <row r="515" spans="2:16" x14ac:dyDescent="0.3">
      <c r="B515" s="3875"/>
      <c r="C515" s="3875"/>
      <c r="D515" s="3875"/>
      <c r="E515" s="3875"/>
      <c r="F515" s="3875"/>
      <c r="G515" s="3875"/>
      <c r="H515" s="3875"/>
      <c r="I515" s="3875"/>
      <c r="J515" s="3875"/>
      <c r="K515" s="3875"/>
      <c r="L515" s="6339"/>
      <c r="M515" s="3992" t="s">
        <v>1245</v>
      </c>
      <c r="N515" s="3993">
        <v>2</v>
      </c>
      <c r="O515" s="3994">
        <v>1680</v>
      </c>
      <c r="P515" s="3875"/>
    </row>
    <row r="516" spans="2:16" x14ac:dyDescent="0.3">
      <c r="B516" s="3875"/>
      <c r="C516" s="3875"/>
      <c r="D516" s="3875"/>
      <c r="E516" s="3875"/>
      <c r="F516" s="3875"/>
      <c r="G516" s="3875"/>
      <c r="H516" s="3875"/>
      <c r="I516" s="3875"/>
      <c r="J516" s="3875"/>
      <c r="K516" s="3875"/>
      <c r="L516" s="6339"/>
      <c r="M516" s="3992" t="s">
        <v>1011</v>
      </c>
      <c r="N516" s="3993">
        <v>1</v>
      </c>
      <c r="O516" s="3994">
        <v>20</v>
      </c>
      <c r="P516" s="3875"/>
    </row>
    <row r="517" spans="2:16" x14ac:dyDescent="0.3">
      <c r="B517" s="3875"/>
      <c r="C517" s="3875"/>
      <c r="D517" s="3875"/>
      <c r="E517" s="3875"/>
      <c r="F517" s="3875"/>
      <c r="G517" s="3875"/>
      <c r="H517" s="3875"/>
      <c r="I517" s="3875"/>
      <c r="J517" s="3875"/>
      <c r="K517" s="3875"/>
      <c r="L517" s="6339"/>
      <c r="M517" s="3992" t="s">
        <v>1025</v>
      </c>
      <c r="N517" s="3993">
        <v>4</v>
      </c>
      <c r="O517" s="3994">
        <v>48</v>
      </c>
      <c r="P517" s="3875"/>
    </row>
    <row r="518" spans="2:16" x14ac:dyDescent="0.3">
      <c r="B518" s="3875"/>
      <c r="C518" s="3875"/>
      <c r="D518" s="3875"/>
      <c r="E518" s="3875"/>
      <c r="F518" s="3875"/>
      <c r="G518" s="3875"/>
      <c r="H518" s="3875"/>
      <c r="I518" s="3875"/>
      <c r="J518" s="3875"/>
      <c r="K518" s="3875"/>
      <c r="L518" s="6339"/>
      <c r="M518" s="3992" t="s">
        <v>1014</v>
      </c>
      <c r="N518" s="3993">
        <v>1</v>
      </c>
      <c r="O518" s="3994">
        <v>28</v>
      </c>
      <c r="P518" s="3875"/>
    </row>
    <row r="519" spans="2:16" x14ac:dyDescent="0.3">
      <c r="B519" s="3875"/>
      <c r="C519" s="3875"/>
      <c r="D519" s="3875"/>
      <c r="E519" s="3875"/>
      <c r="F519" s="3875"/>
      <c r="G519" s="3875"/>
      <c r="H519" s="3875"/>
      <c r="I519" s="3875"/>
      <c r="J519" s="3875"/>
      <c r="K519" s="3875"/>
      <c r="L519" s="6339"/>
      <c r="M519" s="3992" t="s">
        <v>1258</v>
      </c>
      <c r="N519" s="3993">
        <v>4</v>
      </c>
      <c r="O519" s="3994">
        <v>673</v>
      </c>
      <c r="P519" s="3875"/>
    </row>
    <row r="520" spans="2:16" x14ac:dyDescent="0.3">
      <c r="B520" s="3875"/>
      <c r="C520" s="3875"/>
      <c r="D520" s="3875"/>
      <c r="E520" s="3875"/>
      <c r="F520" s="3875"/>
      <c r="G520" s="3875"/>
      <c r="H520" s="3875"/>
      <c r="I520" s="3875"/>
      <c r="J520" s="3875"/>
      <c r="K520" s="3875"/>
      <c r="L520" s="6339"/>
      <c r="M520" s="3909" t="s">
        <v>279</v>
      </c>
      <c r="N520" s="3910">
        <f>SUM(N511:N519)</f>
        <v>32</v>
      </c>
      <c r="O520" s="3910">
        <f>SUM(O511:O519)</f>
        <v>11894</v>
      </c>
      <c r="P520" s="3875"/>
    </row>
    <row r="521" spans="2:16" x14ac:dyDescent="0.3">
      <c r="B521" s="3875"/>
      <c r="C521" s="3875"/>
      <c r="D521" s="3875"/>
      <c r="E521" s="3875"/>
      <c r="F521" s="3875"/>
      <c r="G521" s="3875"/>
      <c r="H521" s="3875"/>
      <c r="I521" s="3875"/>
      <c r="J521" s="3875"/>
      <c r="K521" s="3875"/>
      <c r="L521" s="6326" t="s">
        <v>287</v>
      </c>
      <c r="M521" s="3995" t="s">
        <v>1241</v>
      </c>
      <c r="N521" s="3922">
        <v>7</v>
      </c>
      <c r="O521" s="3996">
        <v>80</v>
      </c>
      <c r="P521" s="3875"/>
    </row>
    <row r="522" spans="2:16" x14ac:dyDescent="0.3">
      <c r="B522" s="3875"/>
      <c r="C522" s="3875"/>
      <c r="D522" s="3875"/>
      <c r="E522" s="3875"/>
      <c r="F522" s="3875"/>
      <c r="G522" s="3875"/>
      <c r="H522" s="3875"/>
      <c r="I522" s="3875"/>
      <c r="J522" s="3875"/>
      <c r="K522" s="3875"/>
      <c r="L522" s="6327"/>
      <c r="M522" s="3997" t="s">
        <v>1246</v>
      </c>
      <c r="N522" s="3906">
        <v>1</v>
      </c>
      <c r="O522" s="3998">
        <v>130</v>
      </c>
      <c r="P522" s="3875"/>
    </row>
    <row r="523" spans="2:16" x14ac:dyDescent="0.3">
      <c r="B523" s="3875"/>
      <c r="C523" s="3875"/>
      <c r="D523" s="3875"/>
      <c r="E523" s="3875"/>
      <c r="F523" s="3875"/>
      <c r="G523" s="3875"/>
      <c r="H523" s="3875"/>
      <c r="I523" s="3875"/>
      <c r="J523" s="3875"/>
      <c r="K523" s="3875"/>
      <c r="L523" s="6327"/>
      <c r="M523" s="3997" t="s">
        <v>985</v>
      </c>
      <c r="N523" s="3906">
        <v>1</v>
      </c>
      <c r="O523" s="3998">
        <v>24</v>
      </c>
      <c r="P523" s="3875"/>
    </row>
    <row r="524" spans="2:16" x14ac:dyDescent="0.3">
      <c r="B524" s="3875"/>
      <c r="C524" s="3875"/>
      <c r="D524" s="3875"/>
      <c r="E524" s="3875"/>
      <c r="F524" s="3875"/>
      <c r="G524" s="3875"/>
      <c r="H524" s="3875"/>
      <c r="I524" s="3875"/>
      <c r="J524" s="3875"/>
      <c r="K524" s="3875"/>
      <c r="L524" s="6327"/>
      <c r="M524" s="3997" t="s">
        <v>976</v>
      </c>
      <c r="N524" s="3906">
        <v>1</v>
      </c>
      <c r="O524" s="3998">
        <v>15</v>
      </c>
      <c r="P524" s="3875"/>
    </row>
    <row r="525" spans="2:16" x14ac:dyDescent="0.3">
      <c r="B525" s="3875"/>
      <c r="C525" s="3875"/>
      <c r="D525" s="3875"/>
      <c r="E525" s="3875"/>
      <c r="F525" s="3875"/>
      <c r="G525" s="3875"/>
      <c r="H525" s="3875"/>
      <c r="I525" s="3875"/>
      <c r="J525" s="3875"/>
      <c r="K525" s="3875"/>
      <c r="L525" s="6327"/>
      <c r="M525" s="3997" t="s">
        <v>1247</v>
      </c>
      <c r="N525" s="3906">
        <v>1</v>
      </c>
      <c r="O525" s="3998">
        <v>60</v>
      </c>
      <c r="P525" s="3875"/>
    </row>
    <row r="526" spans="2:16" x14ac:dyDescent="0.3">
      <c r="B526" s="3875"/>
      <c r="C526" s="3875"/>
      <c r="D526" s="3875"/>
      <c r="E526" s="3875"/>
      <c r="F526" s="3875"/>
      <c r="G526" s="3875"/>
      <c r="H526" s="3875"/>
      <c r="I526" s="3875"/>
      <c r="J526" s="3875"/>
      <c r="K526" s="3875"/>
      <c r="L526" s="6328"/>
      <c r="M526" s="3909" t="s">
        <v>279</v>
      </c>
      <c r="N526" s="3910">
        <f>SUM(N521:N525)</f>
        <v>11</v>
      </c>
      <c r="O526" s="3910">
        <f>SUM(O521:O525)</f>
        <v>309</v>
      </c>
      <c r="P526" s="3875"/>
    </row>
    <row r="527" spans="2:16" x14ac:dyDescent="0.3">
      <c r="B527" s="3875"/>
      <c r="C527" s="3875"/>
      <c r="D527" s="3875"/>
      <c r="E527" s="3875"/>
      <c r="F527" s="3875"/>
      <c r="G527" s="3875"/>
      <c r="H527" s="3875"/>
      <c r="I527" s="3875"/>
      <c r="J527" s="3875"/>
      <c r="K527" s="3875"/>
      <c r="L527" s="6326" t="s">
        <v>288</v>
      </c>
      <c r="M527" s="3995" t="s">
        <v>1241</v>
      </c>
      <c r="N527" s="3922">
        <v>2</v>
      </c>
      <c r="O527" s="3996">
        <v>876</v>
      </c>
      <c r="P527" s="3875"/>
    </row>
    <row r="528" spans="2:16" x14ac:dyDescent="0.3">
      <c r="B528" s="3875"/>
      <c r="C528" s="3875"/>
      <c r="D528" s="3875"/>
      <c r="E528" s="3875"/>
      <c r="F528" s="3875"/>
      <c r="G528" s="3875"/>
      <c r="H528" s="3875"/>
      <c r="I528" s="3875"/>
      <c r="J528" s="3875"/>
      <c r="K528" s="3875"/>
      <c r="L528" s="6327"/>
      <c r="M528" s="3997" t="s">
        <v>1246</v>
      </c>
      <c r="N528" s="3906">
        <v>2</v>
      </c>
      <c r="O528" s="3998">
        <v>1537</v>
      </c>
      <c r="P528" s="3875"/>
    </row>
    <row r="529" spans="2:16" x14ac:dyDescent="0.3">
      <c r="B529" s="3875"/>
      <c r="C529" s="3875"/>
      <c r="D529" s="3875"/>
      <c r="E529" s="3875"/>
      <c r="F529" s="3875"/>
      <c r="G529" s="3875"/>
      <c r="H529" s="3875"/>
      <c r="I529" s="3875"/>
      <c r="J529" s="3875"/>
      <c r="K529" s="3875"/>
      <c r="L529" s="6327"/>
      <c r="M529" s="3997" t="s">
        <v>985</v>
      </c>
      <c r="N529" s="3906">
        <v>4</v>
      </c>
      <c r="O529" s="3998">
        <v>413</v>
      </c>
      <c r="P529" s="3875"/>
    </row>
    <row r="530" spans="2:16" x14ac:dyDescent="0.3">
      <c r="B530" s="3875"/>
      <c r="C530" s="3875"/>
      <c r="D530" s="3875"/>
      <c r="E530" s="3875"/>
      <c r="F530" s="3875"/>
      <c r="G530" s="3875"/>
      <c r="H530" s="3875"/>
      <c r="I530" s="3875"/>
      <c r="J530" s="3875"/>
      <c r="K530" s="3875"/>
      <c r="L530" s="6327"/>
      <c r="M530" s="3997" t="s">
        <v>976</v>
      </c>
      <c r="N530" s="3906">
        <v>5</v>
      </c>
      <c r="O530" s="3998">
        <v>165</v>
      </c>
      <c r="P530" s="3875"/>
    </row>
    <row r="531" spans="2:16" x14ac:dyDescent="0.3">
      <c r="B531" s="3875"/>
      <c r="C531" s="3875"/>
      <c r="D531" s="3875"/>
      <c r="E531" s="3875"/>
      <c r="F531" s="3875"/>
      <c r="G531" s="3875"/>
      <c r="H531" s="3875"/>
      <c r="I531" s="3875"/>
      <c r="J531" s="3875"/>
      <c r="K531" s="3875"/>
      <c r="L531" s="6327"/>
      <c r="M531" s="3997" t="s">
        <v>1247</v>
      </c>
      <c r="N531" s="3906">
        <v>4</v>
      </c>
      <c r="O531" s="3998">
        <v>123</v>
      </c>
      <c r="P531" s="3875"/>
    </row>
    <row r="532" spans="2:16" x14ac:dyDescent="0.3">
      <c r="B532" s="3875"/>
      <c r="C532" s="3875"/>
      <c r="D532" s="3875"/>
      <c r="E532" s="3875"/>
      <c r="F532" s="3875"/>
      <c r="G532" s="3875"/>
      <c r="H532" s="3875"/>
      <c r="I532" s="3875"/>
      <c r="J532" s="3875"/>
      <c r="K532" s="3875"/>
      <c r="L532" s="6327"/>
      <c r="M532" s="3997" t="s">
        <v>1014</v>
      </c>
      <c r="N532" s="3906">
        <v>3</v>
      </c>
      <c r="O532" s="3998">
        <v>136</v>
      </c>
      <c r="P532" s="3875"/>
    </row>
    <row r="533" spans="2:16" x14ac:dyDescent="0.3">
      <c r="B533" s="3875"/>
      <c r="C533" s="3875"/>
      <c r="D533" s="3875"/>
      <c r="E533" s="3875"/>
      <c r="F533" s="3875"/>
      <c r="G533" s="3875"/>
      <c r="H533" s="3875"/>
      <c r="I533" s="3875"/>
      <c r="J533" s="3875"/>
      <c r="K533" s="3875"/>
      <c r="L533" s="6327"/>
      <c r="M533" s="3997" t="s">
        <v>1011</v>
      </c>
      <c r="N533" s="3906">
        <v>2</v>
      </c>
      <c r="O533" s="3998">
        <v>72</v>
      </c>
      <c r="P533" s="3875"/>
    </row>
    <row r="534" spans="2:16" x14ac:dyDescent="0.3">
      <c r="B534" s="3875"/>
      <c r="C534" s="3875"/>
      <c r="D534" s="3875"/>
      <c r="E534" s="3875"/>
      <c r="F534" s="3875"/>
      <c r="G534" s="3875"/>
      <c r="H534" s="3875"/>
      <c r="I534" s="3875"/>
      <c r="J534" s="3875"/>
      <c r="K534" s="3875"/>
      <c r="L534" s="6327"/>
      <c r="M534" s="3999" t="s">
        <v>1025</v>
      </c>
      <c r="N534" s="3908">
        <v>2</v>
      </c>
      <c r="O534" s="4000">
        <v>144</v>
      </c>
      <c r="P534" s="3875"/>
    </row>
    <row r="535" spans="2:16" x14ac:dyDescent="0.3">
      <c r="B535" s="3875"/>
      <c r="C535" s="3875"/>
      <c r="D535" s="3875"/>
      <c r="E535" s="3875"/>
      <c r="F535" s="3875"/>
      <c r="G535" s="3875"/>
      <c r="H535" s="3875"/>
      <c r="I535" s="3875"/>
      <c r="J535" s="3875"/>
      <c r="K535" s="3875"/>
      <c r="L535" s="6328"/>
      <c r="M535" s="3909" t="s">
        <v>279</v>
      </c>
      <c r="N535" s="3910">
        <f>SUM(N527:N534)</f>
        <v>24</v>
      </c>
      <c r="O535" s="3910">
        <f>SUM(O527:O534)</f>
        <v>3466</v>
      </c>
      <c r="P535" s="3875"/>
    </row>
    <row r="536" spans="2:16" x14ac:dyDescent="0.3">
      <c r="B536" s="3875"/>
      <c r="C536" s="3875"/>
      <c r="D536" s="3875"/>
      <c r="E536" s="3875"/>
      <c r="F536" s="3875"/>
      <c r="G536" s="3875"/>
      <c r="H536" s="3875"/>
      <c r="I536" s="3875"/>
      <c r="J536" s="3875"/>
      <c r="K536" s="3875"/>
      <c r="L536" s="6326" t="s">
        <v>1259</v>
      </c>
      <c r="M536" s="3995" t="s">
        <v>976</v>
      </c>
      <c r="N536" s="3991">
        <f>4+3+1</f>
        <v>8</v>
      </c>
      <c r="O536" s="3991">
        <f>30+22+5</f>
        <v>57</v>
      </c>
      <c r="P536" s="3875"/>
    </row>
    <row r="537" spans="2:16" x14ac:dyDescent="0.3">
      <c r="B537" s="3875"/>
      <c r="C537" s="3875"/>
      <c r="D537" s="3875"/>
      <c r="E537" s="3875"/>
      <c r="F537" s="3875"/>
      <c r="G537" s="3875"/>
      <c r="H537" s="3875"/>
      <c r="I537" s="3875"/>
      <c r="J537" s="3875"/>
      <c r="K537" s="3875"/>
      <c r="L537" s="6327"/>
      <c r="M537" s="4001" t="s">
        <v>1260</v>
      </c>
      <c r="N537" s="3993">
        <f>2+6+1</f>
        <v>9</v>
      </c>
      <c r="O537" s="3993">
        <f>11+199+8</f>
        <v>218</v>
      </c>
    </row>
    <row r="538" spans="2:16" x14ac:dyDescent="0.3">
      <c r="K538" s="3875"/>
      <c r="L538" s="6327"/>
      <c r="M538" s="4001" t="s">
        <v>1261</v>
      </c>
      <c r="N538" s="3993">
        <f>1+1+1+1</f>
        <v>4</v>
      </c>
      <c r="O538" s="3993">
        <f>10+2+2+4</f>
        <v>18</v>
      </c>
    </row>
    <row r="539" spans="2:16" x14ac:dyDescent="0.3">
      <c r="K539" s="3875"/>
      <c r="L539" s="6327"/>
      <c r="M539" s="4001" t="s">
        <v>990</v>
      </c>
      <c r="N539" s="3993">
        <f>3+2+3+3+1+1</f>
        <v>13</v>
      </c>
      <c r="O539" s="3993">
        <f>35+24+86+92+12+12</f>
        <v>261</v>
      </c>
    </row>
    <row r="540" spans="2:16" x14ac:dyDescent="0.3">
      <c r="L540" s="6327"/>
      <c r="M540" s="4001" t="s">
        <v>1147</v>
      </c>
      <c r="N540" s="3993">
        <f>3+1</f>
        <v>4</v>
      </c>
      <c r="O540" s="3993">
        <f>10+2</f>
        <v>12</v>
      </c>
    </row>
    <row r="541" spans="2:16" x14ac:dyDescent="0.3">
      <c r="L541" s="6327"/>
      <c r="M541" s="3997" t="s">
        <v>1246</v>
      </c>
      <c r="N541" s="3993">
        <f>2+5+1+1</f>
        <v>9</v>
      </c>
      <c r="O541" s="3993">
        <f>27+1666+13</f>
        <v>1706</v>
      </c>
    </row>
    <row r="542" spans="2:16" x14ac:dyDescent="0.3">
      <c r="L542" s="6327"/>
      <c r="M542" s="3997" t="s">
        <v>1241</v>
      </c>
      <c r="N542" s="3993">
        <f>5+1+1</f>
        <v>7</v>
      </c>
      <c r="O542" s="3993">
        <f>209+22+35</f>
        <v>266</v>
      </c>
    </row>
    <row r="543" spans="2:16" x14ac:dyDescent="0.3">
      <c r="L543" s="6327"/>
      <c r="M543" s="4002" t="s">
        <v>1014</v>
      </c>
      <c r="N543" s="3993">
        <v>1</v>
      </c>
      <c r="O543" s="3993">
        <v>2</v>
      </c>
    </row>
    <row r="544" spans="2:16" x14ac:dyDescent="0.3">
      <c r="L544" s="6327"/>
      <c r="M544" s="4001" t="s">
        <v>1005</v>
      </c>
      <c r="N544" s="3993">
        <f>2+2</f>
        <v>4</v>
      </c>
      <c r="O544" s="3993">
        <f>10+19</f>
        <v>29</v>
      </c>
    </row>
    <row r="545" spans="12:15" x14ac:dyDescent="0.3">
      <c r="L545" s="6327"/>
      <c r="M545" s="4001" t="s">
        <v>1262</v>
      </c>
      <c r="N545" s="3993">
        <f>6+1</f>
        <v>7</v>
      </c>
      <c r="O545" s="3993">
        <f>70+14</f>
        <v>84</v>
      </c>
    </row>
    <row r="546" spans="12:15" x14ac:dyDescent="0.3">
      <c r="L546" s="6327"/>
      <c r="M546" s="3997" t="s">
        <v>1025</v>
      </c>
      <c r="N546" s="4003">
        <f>5+1+1</f>
        <v>7</v>
      </c>
      <c r="O546" s="4003">
        <f>123+14+15</f>
        <v>152</v>
      </c>
    </row>
    <row r="547" spans="12:15" x14ac:dyDescent="0.3">
      <c r="L547" s="6328"/>
      <c r="M547" s="3983" t="s">
        <v>279</v>
      </c>
      <c r="N547" s="3984">
        <f>SUM(N536:N546)</f>
        <v>73</v>
      </c>
      <c r="O547" s="3910">
        <f>SUM(O536:O546)</f>
        <v>2805</v>
      </c>
    </row>
    <row r="548" spans="12:15" x14ac:dyDescent="0.3">
      <c r="L548" s="3985" t="s">
        <v>7</v>
      </c>
      <c r="M548" s="3986"/>
      <c r="N548" s="3910">
        <f>N520+N535+N547+N526</f>
        <v>140</v>
      </c>
      <c r="O548" s="3910">
        <f>O520+O535+O547+O526</f>
        <v>18474</v>
      </c>
    </row>
  </sheetData>
  <mergeCells count="245">
    <mergeCell ref="L382:L383"/>
    <mergeCell ref="M382:M383"/>
    <mergeCell ref="N382:N383"/>
    <mergeCell ref="O382:O383"/>
    <mergeCell ref="B372:H372"/>
    <mergeCell ref="B375:D375"/>
    <mergeCell ref="F375:H375"/>
    <mergeCell ref="B376:D376"/>
    <mergeCell ref="F376:H376"/>
    <mergeCell ref="B377:B378"/>
    <mergeCell ref="C377:C378"/>
    <mergeCell ref="D377:D378"/>
    <mergeCell ref="F377:F378"/>
    <mergeCell ref="G377:G378"/>
    <mergeCell ref="L28:O28"/>
    <mergeCell ref="N30:O30"/>
    <mergeCell ref="F28:J28"/>
    <mergeCell ref="F29:J29"/>
    <mergeCell ref="J30:J31"/>
    <mergeCell ref="B28:D28"/>
    <mergeCell ref="B29:D29"/>
    <mergeCell ref="B30:B31"/>
    <mergeCell ref="C30:C31"/>
    <mergeCell ref="D30:D31"/>
    <mergeCell ref="F30:F31"/>
    <mergeCell ref="G30:G31"/>
    <mergeCell ref="H30:H31"/>
    <mergeCell ref="I30:I31"/>
    <mergeCell ref="L30:L31"/>
    <mergeCell ref="M30:M31"/>
    <mergeCell ref="N500:O500"/>
    <mergeCell ref="L511:L520"/>
    <mergeCell ref="L521:L526"/>
    <mergeCell ref="L527:L535"/>
    <mergeCell ref="N411:O411"/>
    <mergeCell ref="N441:O441"/>
    <mergeCell ref="B408:D408"/>
    <mergeCell ref="F408:H408"/>
    <mergeCell ref="B409:D409"/>
    <mergeCell ref="F409:H409"/>
    <mergeCell ref="B410:B411"/>
    <mergeCell ref="C410:C411"/>
    <mergeCell ref="D410:D411"/>
    <mergeCell ref="F410:F411"/>
    <mergeCell ref="G410:G411"/>
    <mergeCell ref="H410:H411"/>
    <mergeCell ref="L410:O410"/>
    <mergeCell ref="L440:O440"/>
    <mergeCell ref="L499:O499"/>
    <mergeCell ref="L536:L547"/>
    <mergeCell ref="L452:L462"/>
    <mergeCell ref="L463:L468"/>
    <mergeCell ref="L469:L478"/>
    <mergeCell ref="L479:L493"/>
    <mergeCell ref="L500:L501"/>
    <mergeCell ref="M500:M501"/>
    <mergeCell ref="L411:L412"/>
    <mergeCell ref="M411:M412"/>
    <mergeCell ref="L441:L442"/>
    <mergeCell ref="M441:M442"/>
    <mergeCell ref="L365:L367"/>
    <mergeCell ref="N365:N367"/>
    <mergeCell ref="O365:O367"/>
    <mergeCell ref="B366:B367"/>
    <mergeCell ref="C366:C367"/>
    <mergeCell ref="D366:D367"/>
    <mergeCell ref="L377:O377"/>
    <mergeCell ref="H377:H378"/>
    <mergeCell ref="L378:L379"/>
    <mergeCell ref="M378:M379"/>
    <mergeCell ref="N378:O378"/>
    <mergeCell ref="O353:O362"/>
    <mergeCell ref="L354:L362"/>
    <mergeCell ref="M355:M362"/>
    <mergeCell ref="L363:L364"/>
    <mergeCell ref="N363:N364"/>
    <mergeCell ref="O363:O364"/>
    <mergeCell ref="B344:B345"/>
    <mergeCell ref="C344:C345"/>
    <mergeCell ref="D344:D345"/>
    <mergeCell ref="L347:L352"/>
    <mergeCell ref="M353:M354"/>
    <mergeCell ref="N353:N362"/>
    <mergeCell ref="L339:L340"/>
    <mergeCell ref="M339:M340"/>
    <mergeCell ref="N339:O339"/>
    <mergeCell ref="M342:M343"/>
    <mergeCell ref="N342:N352"/>
    <mergeCell ref="O342:O352"/>
    <mergeCell ref="L343:L346"/>
    <mergeCell ref="M344:M352"/>
    <mergeCell ref="B336:D336"/>
    <mergeCell ref="F336:H336"/>
    <mergeCell ref="B337:D337"/>
    <mergeCell ref="F337:H337"/>
    <mergeCell ref="B338:B339"/>
    <mergeCell ref="C338:C339"/>
    <mergeCell ref="D338:D339"/>
    <mergeCell ref="F338:F339"/>
    <mergeCell ref="G338:G339"/>
    <mergeCell ref="H338:H339"/>
    <mergeCell ref="L338:O338"/>
    <mergeCell ref="O316:O317"/>
    <mergeCell ref="L318:L320"/>
    <mergeCell ref="N318:N320"/>
    <mergeCell ref="O318:O320"/>
    <mergeCell ref="B319:B320"/>
    <mergeCell ref="C319:C320"/>
    <mergeCell ref="D319:D320"/>
    <mergeCell ref="B301:B302"/>
    <mergeCell ref="C301:C302"/>
    <mergeCell ref="D301:D302"/>
    <mergeCell ref="M304:M315"/>
    <mergeCell ref="L316:L317"/>
    <mergeCell ref="N316:N317"/>
    <mergeCell ref="L296:L297"/>
    <mergeCell ref="M296:M297"/>
    <mergeCell ref="N296:O296"/>
    <mergeCell ref="M299:M303"/>
    <mergeCell ref="N299:N315"/>
    <mergeCell ref="O299:O315"/>
    <mergeCell ref="L300:L303"/>
    <mergeCell ref="B294:D294"/>
    <mergeCell ref="F294:H294"/>
    <mergeCell ref="B295:B296"/>
    <mergeCell ref="C295:C296"/>
    <mergeCell ref="D295:D296"/>
    <mergeCell ref="F295:F296"/>
    <mergeCell ref="G295:G296"/>
    <mergeCell ref="H295:H296"/>
    <mergeCell ref="L295:O295"/>
    <mergeCell ref="L279:L281"/>
    <mergeCell ref="M279:M281"/>
    <mergeCell ref="N279:N281"/>
    <mergeCell ref="O279:O281"/>
    <mergeCell ref="B281:D281"/>
    <mergeCell ref="B293:D293"/>
    <mergeCell ref="F293:H293"/>
    <mergeCell ref="M268:M272"/>
    <mergeCell ref="N268:N272"/>
    <mergeCell ref="O268:O272"/>
    <mergeCell ref="L269:L272"/>
    <mergeCell ref="L273:L274"/>
    <mergeCell ref="L276:L277"/>
    <mergeCell ref="M264:M267"/>
    <mergeCell ref="N264:N267"/>
    <mergeCell ref="O264:O267"/>
    <mergeCell ref="L265:L267"/>
    <mergeCell ref="B250:D251"/>
    <mergeCell ref="B258:D258"/>
    <mergeCell ref="F258:H258"/>
    <mergeCell ref="B259:D259"/>
    <mergeCell ref="F259:H259"/>
    <mergeCell ref="B260:B261"/>
    <mergeCell ref="C260:C261"/>
    <mergeCell ref="D260:D261"/>
    <mergeCell ref="F260:F261"/>
    <mergeCell ref="G260:G261"/>
    <mergeCell ref="L260:O260"/>
    <mergeCell ref="L228:L229"/>
    <mergeCell ref="L231:L232"/>
    <mergeCell ref="L234:L237"/>
    <mergeCell ref="M234:M237"/>
    <mergeCell ref="N234:N237"/>
    <mergeCell ref="O234:O237"/>
    <mergeCell ref="H260:H261"/>
    <mergeCell ref="L261:L262"/>
    <mergeCell ref="M261:M262"/>
    <mergeCell ref="N261:O261"/>
    <mergeCell ref="L183:L184"/>
    <mergeCell ref="L226:L227"/>
    <mergeCell ref="L225:O225"/>
    <mergeCell ref="M183:M184"/>
    <mergeCell ref="N183:O183"/>
    <mergeCell ref="B205:D206"/>
    <mergeCell ref="B223:D223"/>
    <mergeCell ref="F223:H223"/>
    <mergeCell ref="M226:M227"/>
    <mergeCell ref="N226:O226"/>
    <mergeCell ref="B182:B183"/>
    <mergeCell ref="C182:C183"/>
    <mergeCell ref="D182:D183"/>
    <mergeCell ref="F182:F183"/>
    <mergeCell ref="G182:G183"/>
    <mergeCell ref="H182:H183"/>
    <mergeCell ref="B224:D224"/>
    <mergeCell ref="F224:H224"/>
    <mergeCell ref="B225:B226"/>
    <mergeCell ref="C225:C226"/>
    <mergeCell ref="D225:D226"/>
    <mergeCell ref="F225:F226"/>
    <mergeCell ref="G225:G226"/>
    <mergeCell ref="H225:H226"/>
    <mergeCell ref="L182:O182"/>
    <mergeCell ref="O153:O154"/>
    <mergeCell ref="B174:D175"/>
    <mergeCell ref="B142:D143"/>
    <mergeCell ref="B148:D148"/>
    <mergeCell ref="F148:H148"/>
    <mergeCell ref="B149:D149"/>
    <mergeCell ref="F149:H149"/>
    <mergeCell ref="B150:B151"/>
    <mergeCell ref="C150:C151"/>
    <mergeCell ref="D150:D151"/>
    <mergeCell ref="F150:F151"/>
    <mergeCell ref="G150:G151"/>
    <mergeCell ref="L150:O150"/>
    <mergeCell ref="B180:D180"/>
    <mergeCell ref="F180:H180"/>
    <mergeCell ref="B181:D181"/>
    <mergeCell ref="F181:H181"/>
    <mergeCell ref="L119:O119"/>
    <mergeCell ref="N120:O120"/>
    <mergeCell ref="B88:D88"/>
    <mergeCell ref="F88:H88"/>
    <mergeCell ref="L89:O89"/>
    <mergeCell ref="B89:D89"/>
    <mergeCell ref="F89:H89"/>
    <mergeCell ref="N90:O90"/>
    <mergeCell ref="H150:H151"/>
    <mergeCell ref="L151:L152"/>
    <mergeCell ref="M151:M152"/>
    <mergeCell ref="N151:O151"/>
    <mergeCell ref="B56:D56"/>
    <mergeCell ref="F56:H56"/>
    <mergeCell ref="L57:O57"/>
    <mergeCell ref="B57:D57"/>
    <mergeCell ref="F57:H57"/>
    <mergeCell ref="N58:O58"/>
    <mergeCell ref="B117:D117"/>
    <mergeCell ref="F117:H117"/>
    <mergeCell ref="B118:D118"/>
    <mergeCell ref="F118:H118"/>
    <mergeCell ref="B3:D3"/>
    <mergeCell ref="L3:O3"/>
    <mergeCell ref="B4:D4"/>
    <mergeCell ref="B5:B6"/>
    <mergeCell ref="C5:C6"/>
    <mergeCell ref="D5:D6"/>
    <mergeCell ref="F5:F6"/>
    <mergeCell ref="G5:G6"/>
    <mergeCell ref="H5:H6"/>
    <mergeCell ref="L5:L6"/>
    <mergeCell ref="M5:M6"/>
    <mergeCell ref="N5:O5"/>
  </mergeCells>
  <printOptions horizontalCentered="1" verticalCentered="1"/>
  <pageMargins left="0.19685039370078741" right="0.19685039370078741" top="0.19685039370078741" bottom="0.31496062992125984" header="0.15748031496062992" footer="0.31496062992125984"/>
  <pageSetup scale="50" firstPageNumber="170" orientation="landscape" useFirstPageNumber="1" r:id="rId1"/>
  <headerFooter scaleWithDoc="0" alignWithMargins="0">
    <oddFooter>&amp;R&amp;P</oddFooter>
  </headerFooter>
  <rowBreaks count="7" manualBreakCount="7">
    <brk id="54" max="14" man="1"/>
    <brk id="115" max="14" man="1"/>
    <brk id="256" max="16383" man="1"/>
    <brk id="335" max="12" man="1"/>
    <brk id="407" max="12" man="1"/>
    <brk id="438" max="16383" man="1"/>
    <brk id="495" max="16383" man="1"/>
  </rowBreaks>
  <ignoredErrors>
    <ignoredError sqref="C32:C33" numberStoredAsText="1"/>
  </ignoredErrors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D25A8"/>
  </sheetPr>
  <dimension ref="B1:U101"/>
  <sheetViews>
    <sheetView showGridLines="0" zoomScaleNormal="100" workbookViewId="0">
      <pane xSplit="3" ySplit="4" topLeftCell="D5" activePane="bottomRight" state="frozen"/>
      <selection activeCell="Q31" sqref="Q31"/>
      <selection pane="topRight" activeCell="Q31" sqref="Q31"/>
      <selection pane="bottomLeft" activeCell="Q31" sqref="Q31"/>
      <selection pane="bottomRight" activeCell="Q31" sqref="Q31"/>
    </sheetView>
  </sheetViews>
  <sheetFormatPr baseColWidth="10" defaultColWidth="11.44140625" defaultRowHeight="14.4" x14ac:dyDescent="0.3"/>
  <cols>
    <col min="1" max="1" width="1.88671875" style="4005" customWidth="1"/>
    <col min="2" max="2" width="28.44140625" style="4005" customWidth="1"/>
    <col min="3" max="3" width="1.109375" style="4005" customWidth="1"/>
    <col min="4" max="38" width="10.6640625" style="4005" customWidth="1"/>
    <col min="39" max="16384" width="11.44140625" style="4005"/>
  </cols>
  <sheetData>
    <row r="1" spans="2:21" ht="72" x14ac:dyDescent="0.3">
      <c r="B1" s="4777" t="s">
        <v>1263</v>
      </c>
      <c r="C1" s="4004"/>
      <c r="E1" s="4006"/>
      <c r="F1" s="4006"/>
      <c r="G1" s="4006"/>
      <c r="H1" s="4006"/>
      <c r="I1" s="4006"/>
      <c r="J1" s="4006"/>
      <c r="K1" s="4006"/>
      <c r="L1" s="4006"/>
    </row>
    <row r="2" spans="2:21" ht="11.25" customHeight="1" x14ac:dyDescent="0.3"/>
    <row r="3" spans="2:21" ht="33.75" customHeight="1" thickBot="1" x14ac:dyDescent="0.35">
      <c r="B3" s="4007" t="s">
        <v>781</v>
      </c>
      <c r="C3" s="4008"/>
      <c r="D3" s="4009">
        <v>2005</v>
      </c>
      <c r="E3" s="4009">
        <v>2006</v>
      </c>
      <c r="F3" s="4009">
        <v>2007</v>
      </c>
      <c r="G3" s="4009">
        <v>2008</v>
      </c>
      <c r="H3" s="4009">
        <v>2009</v>
      </c>
      <c r="I3" s="4009">
        <v>2010</v>
      </c>
      <c r="J3" s="4009">
        <v>2011</v>
      </c>
      <c r="K3" s="4009">
        <v>2012</v>
      </c>
      <c r="L3" s="4009">
        <v>2013</v>
      </c>
      <c r="M3" s="4009">
        <v>2014</v>
      </c>
      <c r="N3" s="4009">
        <v>2015</v>
      </c>
      <c r="O3" s="4009">
        <v>2016</v>
      </c>
      <c r="P3" s="4009">
        <v>2017</v>
      </c>
      <c r="Q3" s="4009">
        <v>2018</v>
      </c>
      <c r="R3" s="4009">
        <v>2019</v>
      </c>
      <c r="S3" s="4009">
        <v>2020</v>
      </c>
      <c r="T3" s="4009">
        <v>2021</v>
      </c>
      <c r="U3" s="4009">
        <v>2022</v>
      </c>
    </row>
    <row r="4" spans="2:21" ht="11.25" customHeight="1" x14ac:dyDescent="0.3"/>
    <row r="5" spans="2:21" ht="21" customHeight="1" x14ac:dyDescent="0.3">
      <c r="B5" s="4010" t="s">
        <v>782</v>
      </c>
      <c r="D5" s="4011">
        <v>143</v>
      </c>
      <c r="E5" s="4011">
        <v>193</v>
      </c>
      <c r="F5" s="4011">
        <v>317</v>
      </c>
      <c r="G5" s="4011">
        <v>346</v>
      </c>
      <c r="H5" s="4011">
        <v>381</v>
      </c>
      <c r="I5" s="4011">
        <v>487</v>
      </c>
      <c r="J5" s="4011">
        <v>510</v>
      </c>
      <c r="K5" s="4011">
        <v>562</v>
      </c>
      <c r="L5" s="4011">
        <v>573</v>
      </c>
      <c r="M5" s="4011">
        <v>557</v>
      </c>
      <c r="N5" s="4011">
        <v>568</v>
      </c>
      <c r="O5" s="4011">
        <v>591</v>
      </c>
      <c r="P5" s="4011">
        <v>588</v>
      </c>
      <c r="Q5" s="4011">
        <v>543</v>
      </c>
      <c r="R5" s="4011">
        <v>530</v>
      </c>
      <c r="S5" s="4011">
        <v>519</v>
      </c>
      <c r="T5" s="4011">
        <v>432</v>
      </c>
      <c r="U5" s="4011">
        <v>427</v>
      </c>
    </row>
    <row r="6" spans="2:21" ht="21" customHeight="1" x14ac:dyDescent="0.3">
      <c r="B6" s="4012" t="s">
        <v>783</v>
      </c>
      <c r="D6" s="4013">
        <v>287</v>
      </c>
      <c r="E6" s="4013">
        <v>300</v>
      </c>
      <c r="F6" s="4013">
        <v>355</v>
      </c>
      <c r="G6" s="4013">
        <v>376</v>
      </c>
      <c r="H6" s="4013">
        <v>398</v>
      </c>
      <c r="I6" s="4013">
        <v>423</v>
      </c>
      <c r="J6" s="4013">
        <v>461</v>
      </c>
      <c r="K6" s="4013">
        <v>484</v>
      </c>
      <c r="L6" s="4013">
        <v>493</v>
      </c>
      <c r="M6" s="4013">
        <v>533</v>
      </c>
      <c r="N6" s="4013">
        <v>532</v>
      </c>
      <c r="O6" s="4013">
        <v>562</v>
      </c>
      <c r="P6" s="4013">
        <v>567</v>
      </c>
      <c r="Q6" s="4013">
        <v>588</v>
      </c>
      <c r="R6" s="4013">
        <v>548</v>
      </c>
      <c r="S6" s="4013">
        <v>535</v>
      </c>
      <c r="T6" s="4013">
        <v>516</v>
      </c>
      <c r="U6" s="4013">
        <v>516</v>
      </c>
    </row>
    <row r="7" spans="2:21" ht="21" customHeight="1" x14ac:dyDescent="0.3">
      <c r="B7" s="4012" t="s">
        <v>784</v>
      </c>
      <c r="D7" s="4013">
        <v>496</v>
      </c>
      <c r="E7" s="4013">
        <v>508</v>
      </c>
      <c r="F7" s="4013">
        <v>576</v>
      </c>
      <c r="G7" s="4013">
        <v>577</v>
      </c>
      <c r="H7" s="4013">
        <v>595</v>
      </c>
      <c r="I7" s="4013">
        <v>608</v>
      </c>
      <c r="J7" s="4013">
        <v>563</v>
      </c>
      <c r="K7" s="4013">
        <v>548</v>
      </c>
      <c r="L7" s="4013">
        <v>575</v>
      </c>
      <c r="M7" s="4013">
        <v>591</v>
      </c>
      <c r="N7" s="4013">
        <v>593</v>
      </c>
      <c r="O7" s="4013">
        <v>629</v>
      </c>
      <c r="P7" s="4013">
        <v>650</v>
      </c>
      <c r="Q7" s="4013">
        <v>655</v>
      </c>
      <c r="R7" s="4013">
        <v>678</v>
      </c>
      <c r="S7" s="4013">
        <v>684</v>
      </c>
      <c r="T7" s="4013">
        <v>682</v>
      </c>
      <c r="U7" s="4013">
        <v>698</v>
      </c>
    </row>
    <row r="8" spans="2:21" ht="21" customHeight="1" x14ac:dyDescent="0.3">
      <c r="B8" s="4012" t="s">
        <v>785</v>
      </c>
      <c r="D8" s="4013">
        <v>731</v>
      </c>
      <c r="E8" s="4013">
        <v>735</v>
      </c>
      <c r="F8" s="4013">
        <v>795</v>
      </c>
      <c r="G8" s="4013">
        <v>769</v>
      </c>
      <c r="H8" s="4013">
        <v>725</v>
      </c>
      <c r="I8" s="4013">
        <v>710</v>
      </c>
      <c r="J8" s="4013">
        <v>709</v>
      </c>
      <c r="K8" s="4013">
        <v>741</v>
      </c>
      <c r="L8" s="4013">
        <v>719</v>
      </c>
      <c r="M8" s="4013">
        <v>738</v>
      </c>
      <c r="N8" s="4013">
        <v>728</v>
      </c>
      <c r="O8" s="4013">
        <v>694</v>
      </c>
      <c r="P8" s="4013">
        <v>680</v>
      </c>
      <c r="Q8" s="4013">
        <v>682</v>
      </c>
      <c r="R8" s="4013">
        <v>687</v>
      </c>
      <c r="S8" s="4013">
        <v>677</v>
      </c>
      <c r="T8" s="4013">
        <v>709</v>
      </c>
      <c r="U8" s="4013">
        <v>733</v>
      </c>
    </row>
    <row r="9" spans="2:21" ht="21" customHeight="1" x14ac:dyDescent="0.3">
      <c r="B9" s="4012" t="s">
        <v>786</v>
      </c>
      <c r="D9" s="4013">
        <v>892</v>
      </c>
      <c r="E9" s="4013">
        <v>893</v>
      </c>
      <c r="F9" s="4013">
        <v>885</v>
      </c>
      <c r="G9" s="4013">
        <v>888</v>
      </c>
      <c r="H9" s="4013">
        <v>894</v>
      </c>
      <c r="I9" s="4013">
        <v>898</v>
      </c>
      <c r="J9" s="4013">
        <v>899</v>
      </c>
      <c r="K9" s="4013">
        <v>854</v>
      </c>
      <c r="L9" s="4013">
        <v>834</v>
      </c>
      <c r="M9" s="4013">
        <v>794</v>
      </c>
      <c r="N9" s="4013">
        <v>749</v>
      </c>
      <c r="O9" s="4013">
        <v>779</v>
      </c>
      <c r="P9" s="4013">
        <v>821</v>
      </c>
      <c r="Q9" s="4013">
        <v>785</v>
      </c>
      <c r="R9" s="4013">
        <v>803</v>
      </c>
      <c r="S9" s="4013">
        <v>797</v>
      </c>
      <c r="T9" s="4013">
        <v>723</v>
      </c>
      <c r="U9" s="4013">
        <v>716</v>
      </c>
    </row>
    <row r="10" spans="2:21" ht="21" customHeight="1" x14ac:dyDescent="0.3">
      <c r="B10" s="4012" t="s">
        <v>787</v>
      </c>
      <c r="D10" s="4013">
        <v>861</v>
      </c>
      <c r="E10" s="4013">
        <v>825</v>
      </c>
      <c r="F10" s="4013">
        <v>727</v>
      </c>
      <c r="G10" s="4013">
        <v>759</v>
      </c>
      <c r="H10" s="4013">
        <v>792</v>
      </c>
      <c r="I10" s="4013">
        <v>821</v>
      </c>
      <c r="J10" s="4013">
        <v>817</v>
      </c>
      <c r="K10" s="4013">
        <v>807</v>
      </c>
      <c r="L10" s="4013">
        <v>814</v>
      </c>
      <c r="M10" s="4013">
        <v>826</v>
      </c>
      <c r="N10" s="4013">
        <v>841</v>
      </c>
      <c r="O10" s="4013">
        <v>853</v>
      </c>
      <c r="P10" s="4013">
        <v>798</v>
      </c>
      <c r="Q10" s="4014">
        <v>807</v>
      </c>
      <c r="R10" s="4014">
        <v>795</v>
      </c>
      <c r="S10" s="4014">
        <v>766</v>
      </c>
      <c r="T10" s="4014">
        <v>787</v>
      </c>
      <c r="U10" s="4014">
        <v>834</v>
      </c>
    </row>
    <row r="11" spans="2:21" ht="21" customHeight="1" x14ac:dyDescent="0.3">
      <c r="B11" s="4012" t="s">
        <v>788</v>
      </c>
      <c r="D11" s="4013">
        <v>554</v>
      </c>
      <c r="E11" s="4013">
        <v>529</v>
      </c>
      <c r="F11" s="4013">
        <v>463</v>
      </c>
      <c r="G11" s="4013">
        <v>463</v>
      </c>
      <c r="H11" s="4013">
        <v>471</v>
      </c>
      <c r="I11" s="4013">
        <v>500</v>
      </c>
      <c r="J11" s="4013">
        <v>534</v>
      </c>
      <c r="K11" s="4013">
        <v>560</v>
      </c>
      <c r="L11" s="4013">
        <v>575</v>
      </c>
      <c r="M11" s="4013">
        <v>575</v>
      </c>
      <c r="N11" s="4013">
        <v>581</v>
      </c>
      <c r="O11" s="4013">
        <v>570</v>
      </c>
      <c r="P11" s="4013">
        <v>575</v>
      </c>
      <c r="Q11" s="4013">
        <v>613</v>
      </c>
      <c r="R11" s="4013">
        <v>645</v>
      </c>
      <c r="S11" s="4013">
        <v>672</v>
      </c>
      <c r="T11" s="4013">
        <v>695</v>
      </c>
      <c r="U11" s="4013">
        <v>655</v>
      </c>
    </row>
    <row r="12" spans="2:21" ht="21" customHeight="1" x14ac:dyDescent="0.3">
      <c r="B12" s="4012" t="s">
        <v>789</v>
      </c>
      <c r="D12" s="4013">
        <v>300</v>
      </c>
      <c r="E12" s="4013">
        <v>287</v>
      </c>
      <c r="F12" s="4013">
        <v>220</v>
      </c>
      <c r="G12" s="4013">
        <v>240</v>
      </c>
      <c r="H12" s="4013">
        <v>265</v>
      </c>
      <c r="I12" s="4013">
        <v>282</v>
      </c>
      <c r="J12" s="4013">
        <v>302</v>
      </c>
      <c r="K12" s="4013">
        <v>304</v>
      </c>
      <c r="L12" s="4013">
        <v>301</v>
      </c>
      <c r="M12" s="4013">
        <v>321</v>
      </c>
      <c r="N12" s="4013">
        <v>323</v>
      </c>
      <c r="O12" s="4013">
        <v>319</v>
      </c>
      <c r="P12" s="4013">
        <v>323</v>
      </c>
      <c r="Q12" s="4013">
        <v>331</v>
      </c>
      <c r="R12" s="4013">
        <v>346</v>
      </c>
      <c r="S12" s="4013">
        <v>380</v>
      </c>
      <c r="T12" s="4013">
        <v>396</v>
      </c>
      <c r="U12" s="4013">
        <v>415</v>
      </c>
    </row>
    <row r="13" spans="2:21" ht="21" customHeight="1" x14ac:dyDescent="0.3">
      <c r="B13" s="4012" t="s">
        <v>790</v>
      </c>
      <c r="D13" s="4013">
        <v>145</v>
      </c>
      <c r="E13" s="4013">
        <v>127</v>
      </c>
      <c r="F13" s="4013">
        <v>98</v>
      </c>
      <c r="G13" s="4013">
        <v>102</v>
      </c>
      <c r="H13" s="4013">
        <v>110</v>
      </c>
      <c r="I13" s="4013">
        <v>124</v>
      </c>
      <c r="J13" s="4013">
        <v>143</v>
      </c>
      <c r="K13" s="4013">
        <v>148</v>
      </c>
      <c r="L13" s="4013">
        <v>147</v>
      </c>
      <c r="M13" s="4013">
        <v>143</v>
      </c>
      <c r="N13" s="4013">
        <v>145</v>
      </c>
      <c r="O13" s="4013">
        <v>142</v>
      </c>
      <c r="P13" s="4013">
        <v>157</v>
      </c>
      <c r="Q13" s="4013">
        <v>141</v>
      </c>
      <c r="R13" s="4013">
        <v>161</v>
      </c>
      <c r="S13" s="4013">
        <v>180</v>
      </c>
      <c r="T13" s="4013">
        <v>192</v>
      </c>
      <c r="U13" s="4013">
        <v>188</v>
      </c>
    </row>
    <row r="14" spans="2:21" ht="21" customHeight="1" x14ac:dyDescent="0.3">
      <c r="B14" s="4012" t="s">
        <v>791</v>
      </c>
      <c r="D14" s="4013">
        <v>89</v>
      </c>
      <c r="E14" s="4013">
        <v>82</v>
      </c>
      <c r="F14" s="4013">
        <v>58</v>
      </c>
      <c r="G14" s="4013">
        <v>58</v>
      </c>
      <c r="H14" s="4013">
        <v>63</v>
      </c>
      <c r="I14" s="4013">
        <v>65</v>
      </c>
      <c r="J14" s="4013">
        <v>68</v>
      </c>
      <c r="K14" s="4013">
        <v>71</v>
      </c>
      <c r="L14" s="4013">
        <v>66</v>
      </c>
      <c r="M14" s="4013">
        <v>71</v>
      </c>
      <c r="N14" s="4013">
        <v>68</v>
      </c>
      <c r="O14" s="4013">
        <v>79</v>
      </c>
      <c r="P14" s="4013">
        <v>75</v>
      </c>
      <c r="Q14" s="4013">
        <v>78</v>
      </c>
      <c r="R14" s="4013">
        <v>92</v>
      </c>
      <c r="S14" s="4013">
        <v>89</v>
      </c>
      <c r="T14" s="4013">
        <v>105</v>
      </c>
      <c r="U14" s="4013">
        <v>107</v>
      </c>
    </row>
    <row r="15" spans="2:21" ht="11.25" customHeight="1" x14ac:dyDescent="0.3">
      <c r="D15" s="4015"/>
      <c r="E15" s="4015"/>
      <c r="F15" s="4015"/>
      <c r="G15" s="4015"/>
      <c r="H15" s="4015"/>
      <c r="I15" s="4015"/>
      <c r="J15" s="4015"/>
      <c r="K15" s="4015"/>
      <c r="L15" s="4015"/>
      <c r="M15" s="4015"/>
      <c r="N15" s="4015"/>
      <c r="O15" s="4015"/>
      <c r="P15" s="4015"/>
      <c r="Q15" s="4015"/>
      <c r="R15" s="4015"/>
      <c r="S15" s="4015"/>
      <c r="T15" s="4015"/>
      <c r="U15" s="4015"/>
    </row>
    <row r="16" spans="2:21" ht="21.75" customHeight="1" x14ac:dyDescent="0.3">
      <c r="B16" s="4016" t="s">
        <v>279</v>
      </c>
      <c r="D16" s="4017">
        <f t="shared" ref="D16:Q16" si="0">SUM(D5:D14)</f>
        <v>4498</v>
      </c>
      <c r="E16" s="4017">
        <f t="shared" si="0"/>
        <v>4479</v>
      </c>
      <c r="F16" s="4017">
        <f t="shared" si="0"/>
        <v>4494</v>
      </c>
      <c r="G16" s="4017">
        <f t="shared" si="0"/>
        <v>4578</v>
      </c>
      <c r="H16" s="4017">
        <f t="shared" si="0"/>
        <v>4694</v>
      </c>
      <c r="I16" s="4017">
        <f>SUM(I5:I14)</f>
        <v>4918</v>
      </c>
      <c r="J16" s="4017">
        <v>5006</v>
      </c>
      <c r="K16" s="4017">
        <f t="shared" si="0"/>
        <v>5079</v>
      </c>
      <c r="L16" s="4017">
        <f t="shared" si="0"/>
        <v>5097</v>
      </c>
      <c r="M16" s="4017">
        <f t="shared" si="0"/>
        <v>5149</v>
      </c>
      <c r="N16" s="4017">
        <f t="shared" si="0"/>
        <v>5128</v>
      </c>
      <c r="O16" s="4017">
        <f t="shared" si="0"/>
        <v>5218</v>
      </c>
      <c r="P16" s="4017">
        <f t="shared" si="0"/>
        <v>5234</v>
      </c>
      <c r="Q16" s="4017">
        <f t="shared" si="0"/>
        <v>5223</v>
      </c>
      <c r="R16" s="4017">
        <f>SUM(R5:R14)</f>
        <v>5285</v>
      </c>
      <c r="S16" s="4017">
        <f>SUM(S5:S14)</f>
        <v>5299</v>
      </c>
      <c r="T16" s="4017">
        <f>SUM(T5:T14)</f>
        <v>5237</v>
      </c>
      <c r="U16" s="4017">
        <f>SUM(U5:U14)</f>
        <v>5289</v>
      </c>
    </row>
    <row r="17" spans="2:21" ht="11.25" customHeight="1" x14ac:dyDescent="0.3">
      <c r="D17" s="4015"/>
      <c r="E17" s="4015"/>
      <c r="F17" s="4015"/>
      <c r="G17" s="4015"/>
      <c r="H17" s="4015"/>
      <c r="I17" s="4015"/>
      <c r="J17" s="4015"/>
      <c r="K17" s="4015"/>
      <c r="L17" s="4015"/>
      <c r="M17" s="4015"/>
      <c r="N17" s="4015"/>
      <c r="O17" s="4015"/>
      <c r="P17" s="4015"/>
      <c r="Q17" s="4015"/>
      <c r="R17" s="4015"/>
      <c r="S17" s="4015"/>
      <c r="T17" s="4015"/>
      <c r="U17" s="4015"/>
    </row>
    <row r="18" spans="2:21" ht="21.75" customHeight="1" x14ac:dyDescent="0.3">
      <c r="B18" s="4018" t="s">
        <v>792</v>
      </c>
      <c r="D18" s="4482">
        <v>48.867718986216097</v>
      </c>
      <c r="E18" s="4482">
        <v>48.294038847957097</v>
      </c>
      <c r="F18" s="4482">
        <v>46.478415665331603</v>
      </c>
      <c r="G18" s="4482">
        <v>46.455657492354703</v>
      </c>
      <c r="H18" s="4482">
        <v>46.425436727737498</v>
      </c>
      <c r="I18" s="4482">
        <v>46.116307442049603</v>
      </c>
      <c r="J18" s="4482">
        <v>46.243507790651201</v>
      </c>
      <c r="K18" s="4482">
        <v>46.066154754873004</v>
      </c>
      <c r="L18" s="4482">
        <v>46.03</v>
      </c>
      <c r="M18" s="4482">
        <v>45.9584385317537</v>
      </c>
      <c r="N18" s="4482">
        <v>45.926482059282399</v>
      </c>
      <c r="O18" s="4482">
        <v>45.774434649290903</v>
      </c>
      <c r="P18" s="4482">
        <v>45.769201375620902</v>
      </c>
      <c r="Q18" s="4482">
        <v>45.967068734443799</v>
      </c>
      <c r="R18" s="4482">
        <v>46.331125827814603</v>
      </c>
      <c r="S18" s="4482">
        <v>46.652009813172299</v>
      </c>
      <c r="T18" s="4482">
        <v>47.257972121443601</v>
      </c>
      <c r="U18" s="4482">
        <v>47.261107959916799</v>
      </c>
    </row>
    <row r="19" spans="2:21" ht="11.25" customHeight="1" x14ac:dyDescent="0.3"/>
    <row r="20" spans="2:21" x14ac:dyDescent="0.3">
      <c r="B20" s="4019" t="s">
        <v>1264</v>
      </c>
    </row>
    <row r="21" spans="2:21" x14ac:dyDescent="0.3">
      <c r="B21" s="4020" t="s">
        <v>765</v>
      </c>
    </row>
    <row r="22" spans="2:21" x14ac:dyDescent="0.3">
      <c r="B22" s="4020"/>
    </row>
    <row r="23" spans="2:21" x14ac:dyDescent="0.3">
      <c r="B23" s="4020"/>
    </row>
    <row r="25" spans="2:21" s="4022" customFormat="1" ht="10.199999999999999" x14ac:dyDescent="0.2">
      <c r="B25" s="4021" t="s">
        <v>781</v>
      </c>
      <c r="D25" s="4023">
        <v>2005</v>
      </c>
      <c r="E25" s="4023">
        <v>2006</v>
      </c>
      <c r="F25" s="4023">
        <v>2007</v>
      </c>
      <c r="G25" s="4023">
        <v>2008</v>
      </c>
      <c r="H25" s="4023">
        <v>2009</v>
      </c>
      <c r="I25" s="4023">
        <v>2010</v>
      </c>
      <c r="J25" s="4023">
        <v>2011</v>
      </c>
      <c r="K25" s="4023">
        <v>2012</v>
      </c>
      <c r="L25" s="4023">
        <v>2013</v>
      </c>
      <c r="M25" s="4023">
        <v>2014</v>
      </c>
      <c r="N25" s="4023">
        <v>2015</v>
      </c>
      <c r="O25" s="4023">
        <v>2016</v>
      </c>
      <c r="P25" s="4023">
        <v>2017</v>
      </c>
      <c r="Q25" s="4023">
        <v>2018</v>
      </c>
      <c r="R25" s="4023">
        <v>2019</v>
      </c>
      <c r="S25" s="4023">
        <v>2020</v>
      </c>
      <c r="T25" s="4023">
        <v>2021</v>
      </c>
      <c r="U25" s="4023">
        <v>2022</v>
      </c>
    </row>
    <row r="26" spans="2:21" s="4022" customFormat="1" ht="10.199999999999999" x14ac:dyDescent="0.2">
      <c r="B26" s="4024" t="s">
        <v>782</v>
      </c>
      <c r="D26" s="4025">
        <v>143</v>
      </c>
      <c r="E26" s="4025">
        <v>193</v>
      </c>
      <c r="F26" s="4026">
        <v>317</v>
      </c>
      <c r="G26" s="4026">
        <v>346</v>
      </c>
      <c r="H26" s="4026">
        <v>381</v>
      </c>
      <c r="I26" s="4026">
        <v>487</v>
      </c>
      <c r="J26" s="4025">
        <v>510</v>
      </c>
      <c r="K26" s="4026">
        <v>562</v>
      </c>
      <c r="L26" s="4025">
        <v>573</v>
      </c>
      <c r="M26" s="4025">
        <f t="shared" ref="M26:R26" si="1">+M5</f>
        <v>557</v>
      </c>
      <c r="N26" s="4025">
        <f t="shared" si="1"/>
        <v>568</v>
      </c>
      <c r="O26" s="4025">
        <f t="shared" si="1"/>
        <v>591</v>
      </c>
      <c r="P26" s="4025">
        <f t="shared" si="1"/>
        <v>588</v>
      </c>
      <c r="Q26" s="4025">
        <f t="shared" si="1"/>
        <v>543</v>
      </c>
      <c r="R26" s="4025">
        <f t="shared" si="1"/>
        <v>530</v>
      </c>
      <c r="S26" s="4025">
        <f>+S5</f>
        <v>519</v>
      </c>
      <c r="T26" s="4025">
        <f>+T5</f>
        <v>432</v>
      </c>
      <c r="U26" s="4025">
        <f>+U5</f>
        <v>427</v>
      </c>
    </row>
    <row r="27" spans="2:21" s="4022" customFormat="1" ht="10.199999999999999" x14ac:dyDescent="0.2">
      <c r="B27" s="4027" t="s">
        <v>794</v>
      </c>
      <c r="D27" s="4028">
        <f t="shared" ref="D27:O27" si="2">SUM(D6:D7)</f>
        <v>783</v>
      </c>
      <c r="E27" s="4028">
        <f t="shared" si="2"/>
        <v>808</v>
      </c>
      <c r="F27" s="4028">
        <f t="shared" si="2"/>
        <v>931</v>
      </c>
      <c r="G27" s="4028">
        <f t="shared" si="2"/>
        <v>953</v>
      </c>
      <c r="H27" s="4028">
        <f t="shared" si="2"/>
        <v>993</v>
      </c>
      <c r="I27" s="4028">
        <f t="shared" si="2"/>
        <v>1031</v>
      </c>
      <c r="J27" s="4028">
        <f t="shared" si="2"/>
        <v>1024</v>
      </c>
      <c r="K27" s="4028">
        <f t="shared" si="2"/>
        <v>1032</v>
      </c>
      <c r="L27" s="4028">
        <f t="shared" si="2"/>
        <v>1068</v>
      </c>
      <c r="M27" s="4028">
        <f t="shared" si="2"/>
        <v>1124</v>
      </c>
      <c r="N27" s="4028">
        <f t="shared" si="2"/>
        <v>1125</v>
      </c>
      <c r="O27" s="4028">
        <f t="shared" si="2"/>
        <v>1191</v>
      </c>
      <c r="P27" s="4028">
        <f t="shared" ref="P27:U27" si="3">SUM(P6:P7)</f>
        <v>1217</v>
      </c>
      <c r="Q27" s="4028">
        <f t="shared" si="3"/>
        <v>1243</v>
      </c>
      <c r="R27" s="4028">
        <f t="shared" si="3"/>
        <v>1226</v>
      </c>
      <c r="S27" s="4028">
        <f t="shared" si="3"/>
        <v>1219</v>
      </c>
      <c r="T27" s="4028">
        <f t="shared" si="3"/>
        <v>1198</v>
      </c>
      <c r="U27" s="4028">
        <f t="shared" si="3"/>
        <v>1214</v>
      </c>
    </row>
    <row r="28" spans="2:21" s="4022" customFormat="1" ht="10.199999999999999" x14ac:dyDescent="0.2">
      <c r="B28" s="4027" t="s">
        <v>1265</v>
      </c>
      <c r="D28" s="4028">
        <f t="shared" ref="D28:O28" si="4">SUM(D8:D9)</f>
        <v>1623</v>
      </c>
      <c r="E28" s="4028">
        <f t="shared" si="4"/>
        <v>1628</v>
      </c>
      <c r="F28" s="4028">
        <f t="shared" si="4"/>
        <v>1680</v>
      </c>
      <c r="G28" s="4028">
        <f t="shared" si="4"/>
        <v>1657</v>
      </c>
      <c r="H28" s="4028">
        <f t="shared" si="4"/>
        <v>1619</v>
      </c>
      <c r="I28" s="4028">
        <f t="shared" si="4"/>
        <v>1608</v>
      </c>
      <c r="J28" s="4028">
        <f t="shared" si="4"/>
        <v>1608</v>
      </c>
      <c r="K28" s="4028">
        <f t="shared" si="4"/>
        <v>1595</v>
      </c>
      <c r="L28" s="4028">
        <f t="shared" si="4"/>
        <v>1553</v>
      </c>
      <c r="M28" s="4028">
        <f t="shared" si="4"/>
        <v>1532</v>
      </c>
      <c r="N28" s="4028">
        <f t="shared" si="4"/>
        <v>1477</v>
      </c>
      <c r="O28" s="4028">
        <f t="shared" si="4"/>
        <v>1473</v>
      </c>
      <c r="P28" s="4028">
        <f t="shared" ref="P28:U28" si="5">SUM(P8:P9)</f>
        <v>1501</v>
      </c>
      <c r="Q28" s="4028">
        <f t="shared" si="5"/>
        <v>1467</v>
      </c>
      <c r="R28" s="4028">
        <f t="shared" si="5"/>
        <v>1490</v>
      </c>
      <c r="S28" s="4028">
        <f t="shared" si="5"/>
        <v>1474</v>
      </c>
      <c r="T28" s="4028">
        <f t="shared" si="5"/>
        <v>1432</v>
      </c>
      <c r="U28" s="4028">
        <f t="shared" si="5"/>
        <v>1449</v>
      </c>
    </row>
    <row r="29" spans="2:21" s="4022" customFormat="1" ht="10.199999999999999" x14ac:dyDescent="0.2">
      <c r="B29" s="4027" t="s">
        <v>796</v>
      </c>
      <c r="D29" s="4028">
        <f t="shared" ref="D29:O29" si="6">SUM(D10:D11)</f>
        <v>1415</v>
      </c>
      <c r="E29" s="4028">
        <f t="shared" si="6"/>
        <v>1354</v>
      </c>
      <c r="F29" s="4028">
        <f t="shared" si="6"/>
        <v>1190</v>
      </c>
      <c r="G29" s="4028">
        <f t="shared" si="6"/>
        <v>1222</v>
      </c>
      <c r="H29" s="4028">
        <f t="shared" si="6"/>
        <v>1263</v>
      </c>
      <c r="I29" s="4028">
        <f t="shared" si="6"/>
        <v>1321</v>
      </c>
      <c r="J29" s="4028">
        <f t="shared" si="6"/>
        <v>1351</v>
      </c>
      <c r="K29" s="4028">
        <f t="shared" si="6"/>
        <v>1367</v>
      </c>
      <c r="L29" s="4028">
        <f t="shared" si="6"/>
        <v>1389</v>
      </c>
      <c r="M29" s="4028">
        <f t="shared" si="6"/>
        <v>1401</v>
      </c>
      <c r="N29" s="4028">
        <f t="shared" si="6"/>
        <v>1422</v>
      </c>
      <c r="O29" s="4028">
        <f t="shared" si="6"/>
        <v>1423</v>
      </c>
      <c r="P29" s="4028">
        <f t="shared" ref="P29:U29" si="7">SUM(P10:P11)</f>
        <v>1373</v>
      </c>
      <c r="Q29" s="4028">
        <f t="shared" si="7"/>
        <v>1420</v>
      </c>
      <c r="R29" s="4028">
        <f t="shared" si="7"/>
        <v>1440</v>
      </c>
      <c r="S29" s="4028">
        <f t="shared" si="7"/>
        <v>1438</v>
      </c>
      <c r="T29" s="4028">
        <f t="shared" si="7"/>
        <v>1482</v>
      </c>
      <c r="U29" s="4028">
        <f t="shared" si="7"/>
        <v>1489</v>
      </c>
    </row>
    <row r="30" spans="2:21" s="4022" customFormat="1" ht="10.199999999999999" x14ac:dyDescent="0.2">
      <c r="B30" s="4027" t="s">
        <v>1266</v>
      </c>
      <c r="D30" s="4028">
        <f t="shared" ref="D30:O30" si="8">SUM(D12:D13)</f>
        <v>445</v>
      </c>
      <c r="E30" s="4028">
        <f t="shared" si="8"/>
        <v>414</v>
      </c>
      <c r="F30" s="4028">
        <f t="shared" si="8"/>
        <v>318</v>
      </c>
      <c r="G30" s="4028">
        <f t="shared" si="8"/>
        <v>342</v>
      </c>
      <c r="H30" s="4028">
        <f t="shared" si="8"/>
        <v>375</v>
      </c>
      <c r="I30" s="4028">
        <f t="shared" si="8"/>
        <v>406</v>
      </c>
      <c r="J30" s="4028">
        <f t="shared" si="8"/>
        <v>445</v>
      </c>
      <c r="K30" s="4028">
        <f t="shared" si="8"/>
        <v>452</v>
      </c>
      <c r="L30" s="4028">
        <f t="shared" si="8"/>
        <v>448</v>
      </c>
      <c r="M30" s="4028">
        <f t="shared" si="8"/>
        <v>464</v>
      </c>
      <c r="N30" s="4028">
        <f t="shared" si="8"/>
        <v>468</v>
      </c>
      <c r="O30" s="4028">
        <f t="shared" si="8"/>
        <v>461</v>
      </c>
      <c r="P30" s="4028">
        <f t="shared" ref="P30:U30" si="9">SUM(P12:P13)</f>
        <v>480</v>
      </c>
      <c r="Q30" s="4028">
        <f t="shared" si="9"/>
        <v>472</v>
      </c>
      <c r="R30" s="4028">
        <f t="shared" si="9"/>
        <v>507</v>
      </c>
      <c r="S30" s="4028">
        <f t="shared" si="9"/>
        <v>560</v>
      </c>
      <c r="T30" s="4028">
        <f t="shared" si="9"/>
        <v>588</v>
      </c>
      <c r="U30" s="4028">
        <f t="shared" si="9"/>
        <v>603</v>
      </c>
    </row>
    <row r="31" spans="2:21" s="4022" customFormat="1" ht="10.199999999999999" x14ac:dyDescent="0.2">
      <c r="B31" s="4029" t="s">
        <v>791</v>
      </c>
      <c r="D31" s="4030">
        <v>89</v>
      </c>
      <c r="E31" s="4030">
        <v>82</v>
      </c>
      <c r="F31" s="4031">
        <v>58</v>
      </c>
      <c r="G31" s="4031">
        <v>58</v>
      </c>
      <c r="H31" s="4031">
        <v>63</v>
      </c>
      <c r="I31" s="4031">
        <v>65</v>
      </c>
      <c r="J31" s="4030">
        <v>68</v>
      </c>
      <c r="K31" s="4031">
        <v>71</v>
      </c>
      <c r="L31" s="4030">
        <v>66</v>
      </c>
      <c r="M31" s="4030">
        <f t="shared" ref="M31:R31" si="10">+M14</f>
        <v>71</v>
      </c>
      <c r="N31" s="4030">
        <f t="shared" si="10"/>
        <v>68</v>
      </c>
      <c r="O31" s="4030">
        <f t="shared" si="10"/>
        <v>79</v>
      </c>
      <c r="P31" s="4030">
        <f t="shared" si="10"/>
        <v>75</v>
      </c>
      <c r="Q31" s="4030">
        <f t="shared" si="10"/>
        <v>78</v>
      </c>
      <c r="R31" s="4030">
        <f t="shared" si="10"/>
        <v>92</v>
      </c>
      <c r="S31" s="4030">
        <f>+S14</f>
        <v>89</v>
      </c>
      <c r="T31" s="4030">
        <f>+T14</f>
        <v>105</v>
      </c>
      <c r="U31" s="4030">
        <f>+U14</f>
        <v>107</v>
      </c>
    </row>
    <row r="32" spans="2:21" s="4022" customFormat="1" ht="10.199999999999999" x14ac:dyDescent="0.2">
      <c r="B32" s="4023" t="s">
        <v>279</v>
      </c>
      <c r="D32" s="4032">
        <f t="shared" ref="D32:I32" si="11">SUM(D26:D31)</f>
        <v>4498</v>
      </c>
      <c r="E32" s="4032">
        <f t="shared" si="11"/>
        <v>4479</v>
      </c>
      <c r="F32" s="4032">
        <f t="shared" si="11"/>
        <v>4494</v>
      </c>
      <c r="G32" s="4032">
        <f t="shared" si="11"/>
        <v>4578</v>
      </c>
      <c r="H32" s="4032">
        <f t="shared" si="11"/>
        <v>4694</v>
      </c>
      <c r="I32" s="4032">
        <f t="shared" si="11"/>
        <v>4918</v>
      </c>
      <c r="J32" s="4032">
        <v>5006</v>
      </c>
      <c r="K32" s="4032">
        <f t="shared" ref="K32:P32" si="12">SUM(K26:K31)</f>
        <v>5079</v>
      </c>
      <c r="L32" s="4032">
        <f t="shared" si="12"/>
        <v>5097</v>
      </c>
      <c r="M32" s="4032">
        <f t="shared" si="12"/>
        <v>5149</v>
      </c>
      <c r="N32" s="4032">
        <f t="shared" si="12"/>
        <v>5128</v>
      </c>
      <c r="O32" s="4032">
        <f t="shared" si="12"/>
        <v>5218</v>
      </c>
      <c r="P32" s="4032">
        <f t="shared" si="12"/>
        <v>5234</v>
      </c>
      <c r="Q32" s="4032">
        <f>SUM(Q26:Q31)</f>
        <v>5223</v>
      </c>
      <c r="R32" s="4032">
        <f>SUM(R26:R31)</f>
        <v>5285</v>
      </c>
      <c r="S32" s="4032">
        <f>SUM(S26:S31)</f>
        <v>5299</v>
      </c>
      <c r="T32" s="4032">
        <f>SUM(T26:T31)</f>
        <v>5237</v>
      </c>
      <c r="U32" s="4032">
        <f>SUM(U26:U31)</f>
        <v>5289</v>
      </c>
    </row>
    <row r="33" spans="2:21" s="4022" customFormat="1" ht="10.199999999999999" x14ac:dyDescent="0.2"/>
    <row r="34" spans="2:21" s="4022" customFormat="1" ht="10.199999999999999" x14ac:dyDescent="0.2">
      <c r="B34" s="4021" t="s">
        <v>781</v>
      </c>
      <c r="D34" s="4023">
        <v>2005</v>
      </c>
      <c r="E34" s="4023">
        <v>2006</v>
      </c>
      <c r="F34" s="4023">
        <v>2007</v>
      </c>
      <c r="G34" s="4023">
        <v>2008</v>
      </c>
      <c r="H34" s="4023">
        <v>2009</v>
      </c>
      <c r="I34" s="4023">
        <v>2010</v>
      </c>
      <c r="J34" s="4023">
        <v>2011</v>
      </c>
      <c r="K34" s="4023">
        <v>2012</v>
      </c>
      <c r="L34" s="4023">
        <v>2013</v>
      </c>
      <c r="M34" s="4023">
        <v>2014</v>
      </c>
      <c r="N34" s="4023">
        <v>2015</v>
      </c>
      <c r="O34" s="4023">
        <v>2016</v>
      </c>
      <c r="P34" s="4023">
        <v>2017</v>
      </c>
      <c r="Q34" s="4023">
        <v>2018</v>
      </c>
      <c r="R34" s="4023">
        <v>2019</v>
      </c>
      <c r="S34" s="4023">
        <v>2020</v>
      </c>
      <c r="T34" s="4023">
        <v>2021</v>
      </c>
      <c r="U34" s="4023">
        <v>2022</v>
      </c>
    </row>
    <row r="35" spans="2:21" s="4022" customFormat="1" ht="10.199999999999999" x14ac:dyDescent="0.2">
      <c r="B35" s="4024" t="s">
        <v>782</v>
      </c>
      <c r="D35" s="4033">
        <f t="shared" ref="D35:D40" si="13">D26/$D$32</f>
        <v>3.1791907514450865E-2</v>
      </c>
      <c r="E35" s="4033">
        <f t="shared" ref="E35:E40" si="14">E26/$E$32</f>
        <v>4.3089975440946643E-2</v>
      </c>
      <c r="F35" s="4033">
        <f t="shared" ref="F35:F40" si="15">F26/$F$32</f>
        <v>7.0538495772140636E-2</v>
      </c>
      <c r="G35" s="4033">
        <f t="shared" ref="G35:G40" si="16">G26/$G$32</f>
        <v>7.5578855395369154E-2</v>
      </c>
      <c r="H35" s="4033">
        <f t="shared" ref="H35:H40" si="17">H26/$H$32</f>
        <v>8.116744780570942E-2</v>
      </c>
      <c r="I35" s="4033">
        <f t="shared" ref="I35:I40" si="18">I26/$I$32</f>
        <v>9.9023993493289955E-2</v>
      </c>
      <c r="J35" s="4033">
        <f t="shared" ref="J35:J40" si="19">J26/$J$32</f>
        <v>0.10187774670395526</v>
      </c>
      <c r="K35" s="4033">
        <f t="shared" ref="K35:K40" si="20">K26/$K$32</f>
        <v>0.11065170309115968</v>
      </c>
      <c r="L35" s="4033">
        <f t="shared" ref="L35:L40" si="21">L26/$L$32</f>
        <v>0.11241907004120071</v>
      </c>
      <c r="M35" s="4033">
        <f t="shared" ref="M35:M40" si="22">M26/$M$32</f>
        <v>0.10817634492134395</v>
      </c>
      <c r="N35" s="4033">
        <f t="shared" ref="N35:N40" si="23">N26/$N$32</f>
        <v>0.11076443057722309</v>
      </c>
      <c r="O35" s="4034">
        <f t="shared" ref="O35:O40" si="24">O26/$O$32</f>
        <v>0.11326178612495209</v>
      </c>
      <c r="P35" s="4034">
        <f t="shared" ref="P35:P40" si="25">P26/$P$32</f>
        <v>0.11234237676729079</v>
      </c>
      <c r="Q35" s="4034">
        <f t="shared" ref="Q35:Q40" si="26">Q26/$Q$32</f>
        <v>0.10396323951751867</v>
      </c>
      <c r="R35" s="4034">
        <f t="shared" ref="R35:R40" si="27">R26/$R$32</f>
        <v>0.10028382213812677</v>
      </c>
      <c r="S35" s="4034">
        <f t="shared" ref="S35:S40" si="28">S26/$S$32</f>
        <v>9.7943008114738633E-2</v>
      </c>
      <c r="T35" s="4034">
        <f>T26/$T$32</f>
        <v>8.2489975176627844E-2</v>
      </c>
      <c r="U35" s="4034">
        <f>U26/$U$32</f>
        <v>8.0733598033654749E-2</v>
      </c>
    </row>
    <row r="36" spans="2:21" s="4022" customFormat="1" ht="10.199999999999999" x14ac:dyDescent="0.2">
      <c r="B36" s="4027" t="s">
        <v>794</v>
      </c>
      <c r="D36" s="4035">
        <f t="shared" si="13"/>
        <v>0.17407736771898621</v>
      </c>
      <c r="E36" s="4035">
        <f t="shared" si="14"/>
        <v>0.18039741013619112</v>
      </c>
      <c r="F36" s="4035">
        <f t="shared" si="15"/>
        <v>0.20716510903426791</v>
      </c>
      <c r="G36" s="4035">
        <f t="shared" si="16"/>
        <v>0.20816950633464396</v>
      </c>
      <c r="H36" s="4035">
        <f t="shared" si="17"/>
        <v>0.21154665530464423</v>
      </c>
      <c r="I36" s="4035">
        <f t="shared" si="18"/>
        <v>0.20963806425376169</v>
      </c>
      <c r="J36" s="4035">
        <f t="shared" si="19"/>
        <v>0.20455453455852976</v>
      </c>
      <c r="K36" s="4035">
        <f t="shared" si="20"/>
        <v>0.20318960425280566</v>
      </c>
      <c r="L36" s="4035">
        <f t="shared" si="21"/>
        <v>0.20953502060035314</v>
      </c>
      <c r="M36" s="4035">
        <f t="shared" si="22"/>
        <v>0.21829481452709265</v>
      </c>
      <c r="N36" s="4035">
        <f t="shared" si="23"/>
        <v>0.21938377535101405</v>
      </c>
      <c r="O36" s="4036">
        <f t="shared" si="24"/>
        <v>0.22824837102338061</v>
      </c>
      <c r="P36" s="4036">
        <f t="shared" si="25"/>
        <v>0.23251815055406955</v>
      </c>
      <c r="Q36" s="4036">
        <f t="shared" si="26"/>
        <v>0.23798583189737699</v>
      </c>
      <c r="R36" s="4036">
        <f t="shared" si="27"/>
        <v>0.23197729422894986</v>
      </c>
      <c r="S36" s="4036">
        <f t="shared" si="28"/>
        <v>0.23004340441592752</v>
      </c>
      <c r="T36" s="4036">
        <f t="shared" ref="T36:T40" si="29">T27/$T$32</f>
        <v>0.22875692190185221</v>
      </c>
      <c r="U36" s="4036">
        <f t="shared" ref="U36:U40" si="30">U27/$U$32</f>
        <v>0.22953299300434865</v>
      </c>
    </row>
    <row r="37" spans="2:21" s="4022" customFormat="1" ht="10.199999999999999" x14ac:dyDescent="0.2">
      <c r="B37" s="4027" t="s">
        <v>1265</v>
      </c>
      <c r="D37" s="4035">
        <f t="shared" si="13"/>
        <v>0.36082703423743884</v>
      </c>
      <c r="E37" s="4035">
        <f t="shared" si="14"/>
        <v>0.3634739897298504</v>
      </c>
      <c r="F37" s="4035">
        <f t="shared" si="15"/>
        <v>0.37383177570093457</v>
      </c>
      <c r="G37" s="4035">
        <f t="shared" si="16"/>
        <v>0.36194844910441243</v>
      </c>
      <c r="H37" s="4035">
        <f t="shared" si="17"/>
        <v>0.34490839369407755</v>
      </c>
      <c r="I37" s="4035">
        <f t="shared" si="18"/>
        <v>0.32696217974786501</v>
      </c>
      <c r="J37" s="4035">
        <f t="shared" si="19"/>
        <v>0.32121454254894127</v>
      </c>
      <c r="K37" s="4035">
        <f t="shared" si="20"/>
        <v>0.31403819649537312</v>
      </c>
      <c r="L37" s="4035">
        <f t="shared" si="21"/>
        <v>0.3046890327643712</v>
      </c>
      <c r="M37" s="4035">
        <f t="shared" si="22"/>
        <v>0.297533501650806</v>
      </c>
      <c r="N37" s="4035">
        <f t="shared" si="23"/>
        <v>0.28802652106084242</v>
      </c>
      <c r="O37" s="4036">
        <f t="shared" si="24"/>
        <v>0.28229206592564199</v>
      </c>
      <c r="P37" s="4036">
        <f t="shared" si="25"/>
        <v>0.28677875429881544</v>
      </c>
      <c r="Q37" s="4036">
        <f t="shared" si="26"/>
        <v>0.28087306145893165</v>
      </c>
      <c r="R37" s="4036">
        <f t="shared" si="27"/>
        <v>0.28192999053926204</v>
      </c>
      <c r="S37" s="4036">
        <f t="shared" si="28"/>
        <v>0.27816569163993204</v>
      </c>
      <c r="T37" s="4036">
        <f t="shared" si="29"/>
        <v>0.27343899178919229</v>
      </c>
      <c r="U37" s="4036">
        <f t="shared" si="30"/>
        <v>0.2739648326715825</v>
      </c>
    </row>
    <row r="38" spans="2:21" s="4022" customFormat="1" ht="10.199999999999999" x14ac:dyDescent="0.2">
      <c r="B38" s="4027" t="s">
        <v>796</v>
      </c>
      <c r="D38" s="4035">
        <f t="shared" si="13"/>
        <v>0.31458425967096487</v>
      </c>
      <c r="E38" s="4035">
        <f t="shared" si="14"/>
        <v>0.30229962045099351</v>
      </c>
      <c r="F38" s="4035">
        <f t="shared" si="15"/>
        <v>0.26479750778816197</v>
      </c>
      <c r="G38" s="4035">
        <f t="shared" si="16"/>
        <v>0.26692878986456969</v>
      </c>
      <c r="H38" s="4035">
        <f t="shared" si="17"/>
        <v>0.26906689390711547</v>
      </c>
      <c r="I38" s="4035">
        <f t="shared" si="18"/>
        <v>0.2686051240341602</v>
      </c>
      <c r="J38" s="4035">
        <f t="shared" si="19"/>
        <v>0.26987614862165399</v>
      </c>
      <c r="K38" s="4035">
        <f t="shared" si="20"/>
        <v>0.26914746997440442</v>
      </c>
      <c r="L38" s="4035">
        <f t="shared" si="21"/>
        <v>0.27251324308416713</v>
      </c>
      <c r="M38" s="4035">
        <f t="shared" si="22"/>
        <v>0.27209166828510389</v>
      </c>
      <c r="N38" s="4035">
        <f t="shared" si="23"/>
        <v>0.27730109204368175</v>
      </c>
      <c r="O38" s="4036">
        <f t="shared" si="24"/>
        <v>0.27270985051743962</v>
      </c>
      <c r="P38" s="4036">
        <f t="shared" si="25"/>
        <v>0.2623232709209018</v>
      </c>
      <c r="Q38" s="4036">
        <f t="shared" si="26"/>
        <v>0.27187440168485544</v>
      </c>
      <c r="R38" s="4036">
        <f t="shared" si="27"/>
        <v>0.27246925260170296</v>
      </c>
      <c r="S38" s="4036">
        <f t="shared" si="28"/>
        <v>0.27137195697301375</v>
      </c>
      <c r="T38" s="4036">
        <f t="shared" si="29"/>
        <v>0.28298644261982053</v>
      </c>
      <c r="U38" s="4036">
        <f t="shared" si="30"/>
        <v>0.28152769899792024</v>
      </c>
    </row>
    <row r="39" spans="2:21" s="4022" customFormat="1" ht="10.199999999999999" x14ac:dyDescent="0.2">
      <c r="B39" s="4027" t="s">
        <v>1266</v>
      </c>
      <c r="D39" s="4035">
        <f t="shared" si="13"/>
        <v>9.8932859048465979E-2</v>
      </c>
      <c r="E39" s="4035">
        <f t="shared" si="14"/>
        <v>9.2431346282652371E-2</v>
      </c>
      <c r="F39" s="4035">
        <f t="shared" si="15"/>
        <v>7.0761014686248333E-2</v>
      </c>
      <c r="G39" s="4035">
        <f t="shared" si="16"/>
        <v>7.4705111402359109E-2</v>
      </c>
      <c r="H39" s="4035">
        <f t="shared" si="17"/>
        <v>7.9889220281210052E-2</v>
      </c>
      <c r="I39" s="4035">
        <f t="shared" si="18"/>
        <v>8.255388369255795E-2</v>
      </c>
      <c r="J39" s="4035">
        <f t="shared" si="19"/>
        <v>8.8893328006392325E-2</v>
      </c>
      <c r="K39" s="4035">
        <f t="shared" si="20"/>
        <v>8.8993896436306355E-2</v>
      </c>
      <c r="L39" s="4035">
        <f t="shared" si="21"/>
        <v>8.7894840102020796E-2</v>
      </c>
      <c r="M39" s="4035">
        <f t="shared" si="22"/>
        <v>9.0114585356379881E-2</v>
      </c>
      <c r="N39" s="4035">
        <f t="shared" si="23"/>
        <v>9.1263650546021841E-2</v>
      </c>
      <c r="O39" s="4036">
        <f t="shared" si="24"/>
        <v>8.8348026063625906E-2</v>
      </c>
      <c r="P39" s="4036">
        <f t="shared" si="25"/>
        <v>9.1708062667176155E-2</v>
      </c>
      <c r="Q39" s="4036">
        <f t="shared" si="26"/>
        <v>9.0369519433275897E-2</v>
      </c>
      <c r="R39" s="4036">
        <f t="shared" si="27"/>
        <v>9.5931882686849573E-2</v>
      </c>
      <c r="S39" s="4036">
        <f t="shared" si="28"/>
        <v>0.10568031704095113</v>
      </c>
      <c r="T39" s="4036">
        <f t="shared" si="29"/>
        <v>0.11227802176818789</v>
      </c>
      <c r="U39" s="4036">
        <f t="shared" si="30"/>
        <v>0.11401020986954055</v>
      </c>
    </row>
    <row r="40" spans="2:21" s="4022" customFormat="1" ht="10.199999999999999" x14ac:dyDescent="0.2">
      <c r="B40" s="4029" t="s">
        <v>791</v>
      </c>
      <c r="D40" s="4037">
        <f t="shared" si="13"/>
        <v>1.9786571809693197E-2</v>
      </c>
      <c r="E40" s="4037">
        <f t="shared" si="14"/>
        <v>1.8307657959365928E-2</v>
      </c>
      <c r="F40" s="4037">
        <f t="shared" si="15"/>
        <v>1.290609701824655E-2</v>
      </c>
      <c r="G40" s="4037">
        <f t="shared" si="16"/>
        <v>1.2669287898645697E-2</v>
      </c>
      <c r="H40" s="4037">
        <f t="shared" si="17"/>
        <v>1.342138900724329E-2</v>
      </c>
      <c r="I40" s="4037">
        <f t="shared" si="18"/>
        <v>1.3216754778365189E-2</v>
      </c>
      <c r="J40" s="4037">
        <f t="shared" si="19"/>
        <v>1.3583699560527367E-2</v>
      </c>
      <c r="K40" s="4037">
        <f t="shared" si="20"/>
        <v>1.3979129749950778E-2</v>
      </c>
      <c r="L40" s="4037">
        <f t="shared" si="21"/>
        <v>1.2948793407886992E-2</v>
      </c>
      <c r="M40" s="4037">
        <f t="shared" si="22"/>
        <v>1.3789085259273645E-2</v>
      </c>
      <c r="N40" s="4037">
        <f t="shared" si="23"/>
        <v>1.3260530421216849E-2</v>
      </c>
      <c r="O40" s="4038">
        <f t="shared" si="24"/>
        <v>1.5139900344959755E-2</v>
      </c>
      <c r="P40" s="4038">
        <f t="shared" si="25"/>
        <v>1.4329384791746275E-2</v>
      </c>
      <c r="Q40" s="4038">
        <f t="shared" si="26"/>
        <v>1.4933946008041356E-2</v>
      </c>
      <c r="R40" s="4038">
        <f t="shared" si="27"/>
        <v>1.7407757805108798E-2</v>
      </c>
      <c r="S40" s="4038">
        <f t="shared" si="28"/>
        <v>1.6795621815436874E-2</v>
      </c>
      <c r="T40" s="4038">
        <f t="shared" si="29"/>
        <v>2.0049646744319267E-2</v>
      </c>
      <c r="U40" s="4038">
        <f t="shared" si="30"/>
        <v>2.0230667422953298E-2</v>
      </c>
    </row>
    <row r="41" spans="2:21" s="4022" customFormat="1" ht="10.199999999999999" x14ac:dyDescent="0.2">
      <c r="B41" s="4023" t="s">
        <v>279</v>
      </c>
      <c r="D41" s="4039">
        <f t="shared" ref="D41:R41" si="31">SUM(D35:D40)</f>
        <v>1</v>
      </c>
      <c r="E41" s="4039">
        <f t="shared" si="31"/>
        <v>1</v>
      </c>
      <c r="F41" s="4039">
        <f t="shared" si="31"/>
        <v>0.99999999999999989</v>
      </c>
      <c r="G41" s="4039">
        <f t="shared" si="31"/>
        <v>1</v>
      </c>
      <c r="H41" s="4039">
        <f t="shared" si="31"/>
        <v>1</v>
      </c>
      <c r="I41" s="4039">
        <f t="shared" si="31"/>
        <v>0.99999999999999989</v>
      </c>
      <c r="J41" s="4039">
        <f t="shared" si="31"/>
        <v>1</v>
      </c>
      <c r="K41" s="4039">
        <f t="shared" si="31"/>
        <v>1</v>
      </c>
      <c r="L41" s="4039">
        <f t="shared" si="31"/>
        <v>1</v>
      </c>
      <c r="M41" s="4039">
        <f t="shared" si="31"/>
        <v>1</v>
      </c>
      <c r="N41" s="4039">
        <f t="shared" si="31"/>
        <v>1</v>
      </c>
      <c r="O41" s="4039">
        <f t="shared" si="31"/>
        <v>0.99999999999999989</v>
      </c>
      <c r="P41" s="4039">
        <f t="shared" si="31"/>
        <v>1</v>
      </c>
      <c r="Q41" s="4039">
        <f t="shared" si="31"/>
        <v>0.99999999999999989</v>
      </c>
      <c r="R41" s="4039">
        <f t="shared" si="31"/>
        <v>1</v>
      </c>
      <c r="S41" s="4039">
        <f>SUM(S35:S40)</f>
        <v>1</v>
      </c>
      <c r="T41" s="4039">
        <f>SUM(T35:T40)</f>
        <v>1</v>
      </c>
      <c r="U41" s="4039">
        <f>SUM(U35:U40)</f>
        <v>1</v>
      </c>
    </row>
    <row r="45" spans="2:21" ht="21" x14ac:dyDescent="0.3">
      <c r="D45" s="4006"/>
    </row>
    <row r="57" spans="3:3" x14ac:dyDescent="0.3">
      <c r="C57" s="4040"/>
    </row>
    <row r="58" spans="3:3" x14ac:dyDescent="0.3">
      <c r="C58" s="4040"/>
    </row>
    <row r="98" spans="2:13" ht="15.6" x14ac:dyDescent="0.3">
      <c r="B98" s="4008"/>
      <c r="C98" s="4008"/>
      <c r="D98" s="4008"/>
      <c r="F98" s="4041"/>
      <c r="G98" s="4008"/>
      <c r="H98" s="4008"/>
      <c r="J98" s="4041"/>
      <c r="K98" s="4008"/>
      <c r="L98" s="4008"/>
      <c r="M98" s="4008"/>
    </row>
    <row r="99" spans="2:13" ht="15.6" x14ac:dyDescent="0.3">
      <c r="B99" s="4041"/>
      <c r="C99" s="4008"/>
      <c r="D99" s="4008"/>
      <c r="F99" s="4008"/>
      <c r="G99" s="4008"/>
      <c r="H99" s="4008"/>
      <c r="L99" s="4042"/>
      <c r="M99" s="4042"/>
    </row>
    <row r="100" spans="2:13" x14ac:dyDescent="0.3">
      <c r="C100" s="4043"/>
      <c r="D100" s="4043"/>
      <c r="G100" s="4044"/>
      <c r="H100" s="4044"/>
      <c r="L100" s="4042"/>
      <c r="M100" s="4045"/>
    </row>
    <row r="101" spans="2:13" x14ac:dyDescent="0.3">
      <c r="C101" s="4043"/>
      <c r="D101" s="4043"/>
      <c r="G101" s="4044"/>
      <c r="H101" s="4044"/>
    </row>
  </sheetData>
  <printOptions horizontalCentered="1" verticalCentered="1"/>
  <pageMargins left="0.70866141732283472" right="0.70866141732283472" top="0.74803149606299213" bottom="0.74803149606299213" header="0.31496062992125984" footer="0.31496062992125984"/>
  <pageSetup scale="59" firstPageNumber="172" orientation="landscape" useFirstPageNumber="1" r:id="rId1"/>
  <headerFooter scaleWithDoc="0" alignWithMargins="0">
    <oddFooter>&amp;R&amp;P</oddFooter>
  </headerFooter>
  <rowBreaks count="1" manualBreakCount="1">
    <brk id="42" max="16" man="1"/>
  </rowBreaks>
  <ignoredErrors>
    <ignoredError sqref="D27:S30 T27:T30 U27:U30" formulaRange="1"/>
  </ignoredErrors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D25A8"/>
  </sheetPr>
  <dimension ref="B1:U35"/>
  <sheetViews>
    <sheetView showGridLines="0" zoomScaleNormal="100" workbookViewId="0">
      <pane xSplit="3" ySplit="4" topLeftCell="F33" activePane="bottomRight" state="frozen"/>
      <selection activeCell="Q31" sqref="Q31"/>
      <selection pane="topRight" activeCell="Q31" sqref="Q31"/>
      <selection pane="bottomLeft" activeCell="Q31" sqref="Q31"/>
      <selection pane="bottomRight" activeCell="Q31" sqref="Q31"/>
    </sheetView>
  </sheetViews>
  <sheetFormatPr baseColWidth="10" defaultColWidth="11.44140625" defaultRowHeight="14.4" x14ac:dyDescent="0.3"/>
  <cols>
    <col min="1" max="1" width="1.88671875" style="4005" customWidth="1"/>
    <col min="2" max="2" width="28.44140625" style="4005" customWidth="1"/>
    <col min="3" max="3" width="1.109375" style="4005" customWidth="1"/>
    <col min="4" max="36" width="10.6640625" style="4005" customWidth="1"/>
    <col min="37" max="16384" width="11.44140625" style="4005"/>
  </cols>
  <sheetData>
    <row r="1" spans="2:21" ht="72" x14ac:dyDescent="0.3">
      <c r="B1" s="4777" t="s">
        <v>1267</v>
      </c>
      <c r="C1" s="4004"/>
      <c r="E1" s="4006"/>
      <c r="F1" s="4006"/>
      <c r="G1" s="4006"/>
      <c r="H1" s="4006"/>
      <c r="I1" s="4006"/>
      <c r="J1" s="4006"/>
      <c r="K1" s="4006"/>
      <c r="L1" s="4006"/>
    </row>
    <row r="3" spans="2:21" ht="16.2" thickBot="1" x14ac:dyDescent="0.35">
      <c r="B3" s="4007" t="s">
        <v>799</v>
      </c>
      <c r="C3" s="4008"/>
      <c r="D3" s="4009">
        <v>2005</v>
      </c>
      <c r="E3" s="4009">
        <v>2006</v>
      </c>
      <c r="F3" s="4009">
        <v>2007</v>
      </c>
      <c r="G3" s="4009">
        <v>2008</v>
      </c>
      <c r="H3" s="4009">
        <v>2009</v>
      </c>
      <c r="I3" s="4009">
        <v>2010</v>
      </c>
      <c r="J3" s="4009">
        <v>2011</v>
      </c>
      <c r="K3" s="4009">
        <v>2012</v>
      </c>
      <c r="L3" s="4009">
        <v>2013</v>
      </c>
      <c r="M3" s="4009">
        <v>2014</v>
      </c>
      <c r="N3" s="4009">
        <v>2015</v>
      </c>
      <c r="O3" s="4009">
        <v>2016</v>
      </c>
      <c r="P3" s="4009">
        <v>2017</v>
      </c>
      <c r="Q3" s="4009">
        <v>2018</v>
      </c>
      <c r="R3" s="4009">
        <v>2019</v>
      </c>
      <c r="S3" s="4009">
        <v>2020</v>
      </c>
      <c r="T3" s="4009">
        <v>2021</v>
      </c>
      <c r="U3" s="4009">
        <v>2022</v>
      </c>
    </row>
    <row r="5" spans="2:21" ht="21" customHeight="1" x14ac:dyDescent="0.3">
      <c r="B5" s="4010" t="s">
        <v>800</v>
      </c>
      <c r="D5" s="4046">
        <v>500</v>
      </c>
      <c r="E5" s="4046">
        <v>480</v>
      </c>
      <c r="F5" s="4046">
        <v>638</v>
      </c>
      <c r="G5" s="4046">
        <v>668</v>
      </c>
      <c r="H5" s="4046">
        <v>850</v>
      </c>
      <c r="I5" s="4046">
        <v>1133</v>
      </c>
      <c r="J5" s="4046">
        <v>1259</v>
      </c>
      <c r="K5" s="4046">
        <v>1423</v>
      </c>
      <c r="L5" s="4046">
        <v>1462</v>
      </c>
      <c r="M5" s="4046">
        <v>1500</v>
      </c>
      <c r="N5" s="4046">
        <v>1473</v>
      </c>
      <c r="O5" s="4046">
        <v>1437</v>
      </c>
      <c r="P5" s="4046">
        <v>1410</v>
      </c>
      <c r="Q5" s="4046">
        <v>1308</v>
      </c>
      <c r="R5" s="4046">
        <v>1236</v>
      </c>
      <c r="S5" s="4046">
        <v>1126</v>
      </c>
      <c r="T5" s="4046">
        <v>957</v>
      </c>
      <c r="U5" s="4046">
        <v>956</v>
      </c>
    </row>
    <row r="6" spans="2:21" ht="21" customHeight="1" x14ac:dyDescent="0.3">
      <c r="B6" s="4012" t="s">
        <v>801</v>
      </c>
      <c r="D6" s="4014">
        <v>627</v>
      </c>
      <c r="E6" s="4014">
        <v>637</v>
      </c>
      <c r="F6" s="4014">
        <v>536</v>
      </c>
      <c r="G6" s="4014">
        <v>580</v>
      </c>
      <c r="H6" s="4014">
        <v>550</v>
      </c>
      <c r="I6" s="4014">
        <v>480</v>
      </c>
      <c r="J6" s="4014">
        <v>433</v>
      </c>
      <c r="K6" s="4014">
        <v>446</v>
      </c>
      <c r="L6" s="4014">
        <v>523</v>
      </c>
      <c r="M6" s="4014">
        <v>661</v>
      </c>
      <c r="N6" s="4014">
        <v>826</v>
      </c>
      <c r="O6" s="4014">
        <v>1054</v>
      </c>
      <c r="P6" s="4014">
        <v>1160</v>
      </c>
      <c r="Q6" s="4014">
        <v>1232</v>
      </c>
      <c r="R6" s="4014">
        <v>1273</v>
      </c>
      <c r="S6" s="4014">
        <v>1306</v>
      </c>
      <c r="T6" s="4014">
        <v>1228</v>
      </c>
      <c r="U6" s="4014">
        <v>1224</v>
      </c>
    </row>
    <row r="7" spans="2:21" ht="21" customHeight="1" x14ac:dyDescent="0.3">
      <c r="B7" s="4012" t="s">
        <v>802</v>
      </c>
      <c r="D7" s="4014">
        <v>860</v>
      </c>
      <c r="E7" s="4014">
        <v>778</v>
      </c>
      <c r="F7" s="4014">
        <v>655</v>
      </c>
      <c r="G7" s="4014">
        <v>641</v>
      </c>
      <c r="H7" s="4014">
        <v>599</v>
      </c>
      <c r="I7" s="4014">
        <v>598</v>
      </c>
      <c r="J7" s="4014">
        <v>620</v>
      </c>
      <c r="K7" s="4014">
        <v>610</v>
      </c>
      <c r="L7" s="4014">
        <v>539</v>
      </c>
      <c r="M7" s="4014">
        <v>498</v>
      </c>
      <c r="N7" s="4014">
        <v>430</v>
      </c>
      <c r="O7" s="4014">
        <v>379</v>
      </c>
      <c r="P7" s="4014">
        <v>406</v>
      </c>
      <c r="Q7" s="4014">
        <v>484</v>
      </c>
      <c r="R7" s="4014">
        <v>607</v>
      </c>
      <c r="S7" s="4014">
        <v>766</v>
      </c>
      <c r="T7" s="4014">
        <v>977</v>
      </c>
      <c r="U7" s="4014">
        <v>1088</v>
      </c>
    </row>
    <row r="8" spans="2:21" ht="21" customHeight="1" x14ac:dyDescent="0.3">
      <c r="B8" s="4012" t="s">
        <v>803</v>
      </c>
      <c r="D8" s="4014">
        <v>777</v>
      </c>
      <c r="E8" s="4014">
        <v>768</v>
      </c>
      <c r="F8" s="4014">
        <v>832</v>
      </c>
      <c r="G8" s="4014">
        <v>857</v>
      </c>
      <c r="H8" s="4014">
        <v>831</v>
      </c>
      <c r="I8" s="4014">
        <v>792</v>
      </c>
      <c r="J8" s="4014">
        <v>719</v>
      </c>
      <c r="K8" s="4014">
        <v>590</v>
      </c>
      <c r="L8" s="4014">
        <v>584</v>
      </c>
      <c r="M8" s="4014">
        <v>538</v>
      </c>
      <c r="N8" s="4014">
        <v>524</v>
      </c>
      <c r="O8" s="4014">
        <v>555</v>
      </c>
      <c r="P8" s="4014">
        <v>547</v>
      </c>
      <c r="Q8" s="4014">
        <v>488</v>
      </c>
      <c r="R8" s="4014">
        <v>458</v>
      </c>
      <c r="S8" s="4014">
        <v>388</v>
      </c>
      <c r="T8" s="4014">
        <v>335</v>
      </c>
      <c r="U8" s="4014">
        <v>356</v>
      </c>
    </row>
    <row r="9" spans="2:21" ht="21" customHeight="1" x14ac:dyDescent="0.3">
      <c r="B9" s="4012" t="s">
        <v>804</v>
      </c>
      <c r="D9" s="4014">
        <v>989</v>
      </c>
      <c r="E9" s="4014">
        <v>994</v>
      </c>
      <c r="F9" s="4014">
        <v>937</v>
      </c>
      <c r="G9" s="4014">
        <v>814</v>
      </c>
      <c r="H9" s="4014">
        <v>698</v>
      </c>
      <c r="I9" s="4014">
        <v>720</v>
      </c>
      <c r="J9" s="4014">
        <v>718</v>
      </c>
      <c r="K9" s="4014">
        <v>764</v>
      </c>
      <c r="L9" s="4014">
        <v>776</v>
      </c>
      <c r="M9" s="4014">
        <v>762</v>
      </c>
      <c r="N9" s="4014">
        <v>719</v>
      </c>
      <c r="O9" s="4014">
        <v>647</v>
      </c>
      <c r="P9" s="4014">
        <v>529</v>
      </c>
      <c r="Q9" s="4014">
        <v>516</v>
      </c>
      <c r="R9" s="4014">
        <v>474</v>
      </c>
      <c r="S9" s="4014">
        <v>475</v>
      </c>
      <c r="T9" s="4014">
        <v>498</v>
      </c>
      <c r="U9" s="4014">
        <v>488</v>
      </c>
    </row>
    <row r="10" spans="2:21" ht="21" customHeight="1" x14ac:dyDescent="0.3">
      <c r="B10" s="4012" t="s">
        <v>805</v>
      </c>
      <c r="D10" s="4014">
        <v>658</v>
      </c>
      <c r="E10" s="4014">
        <v>646</v>
      </c>
      <c r="F10" s="4014">
        <v>622</v>
      </c>
      <c r="G10" s="4014">
        <v>755</v>
      </c>
      <c r="H10" s="4014">
        <v>881</v>
      </c>
      <c r="I10" s="4014">
        <v>829</v>
      </c>
      <c r="J10" s="4014">
        <v>820</v>
      </c>
      <c r="K10" s="4014">
        <v>778</v>
      </c>
      <c r="L10" s="4014">
        <v>669</v>
      </c>
      <c r="M10" s="4014">
        <v>588</v>
      </c>
      <c r="N10" s="4014">
        <v>572</v>
      </c>
      <c r="O10" s="4014">
        <v>600</v>
      </c>
      <c r="P10" s="4014">
        <v>639</v>
      </c>
      <c r="Q10" s="4014">
        <v>648</v>
      </c>
      <c r="R10" s="4014">
        <v>633</v>
      </c>
      <c r="S10" s="4014">
        <v>595</v>
      </c>
      <c r="T10" s="4014">
        <v>529</v>
      </c>
      <c r="U10" s="4014">
        <v>447</v>
      </c>
    </row>
    <row r="11" spans="2:21" ht="21" customHeight="1" x14ac:dyDescent="0.3">
      <c r="B11" s="4012" t="s">
        <v>1268</v>
      </c>
      <c r="D11" s="4014">
        <v>87</v>
      </c>
      <c r="E11" s="4014">
        <v>176</v>
      </c>
      <c r="F11" s="4014">
        <v>274</v>
      </c>
      <c r="G11" s="4014">
        <v>263</v>
      </c>
      <c r="H11" s="4014">
        <v>285</v>
      </c>
      <c r="I11" s="4014">
        <v>366</v>
      </c>
      <c r="J11" s="4014">
        <v>437</v>
      </c>
      <c r="K11" s="4014">
        <v>468</v>
      </c>
      <c r="L11" s="4014">
        <v>544</v>
      </c>
      <c r="M11" s="4014">
        <v>602</v>
      </c>
      <c r="N11" s="4014">
        <v>584</v>
      </c>
      <c r="O11" s="4014">
        <v>546</v>
      </c>
      <c r="P11" s="4014">
        <v>543</v>
      </c>
      <c r="Q11" s="4014">
        <v>547</v>
      </c>
      <c r="R11" s="4014">
        <v>604</v>
      </c>
      <c r="S11" s="4014">
        <v>643</v>
      </c>
      <c r="T11" s="4014">
        <v>713</v>
      </c>
      <c r="U11" s="4014">
        <v>730</v>
      </c>
    </row>
    <row r="12" spans="2:21" x14ac:dyDescent="0.3">
      <c r="D12" s="4015"/>
      <c r="E12" s="4015"/>
      <c r="F12" s="4015"/>
      <c r="G12" s="4015"/>
      <c r="H12" s="4015"/>
      <c r="I12" s="4015"/>
      <c r="J12" s="4015"/>
      <c r="K12" s="4015"/>
      <c r="L12" s="4015"/>
      <c r="M12" s="4015"/>
      <c r="N12" s="4015"/>
      <c r="O12" s="4015"/>
      <c r="P12" s="4015"/>
      <c r="Q12" s="4015"/>
      <c r="R12" s="4015"/>
      <c r="S12" s="4015"/>
      <c r="T12" s="4015"/>
      <c r="U12" s="4015"/>
    </row>
    <row r="13" spans="2:21" ht="21" customHeight="1" x14ac:dyDescent="0.3">
      <c r="B13" s="4016" t="s">
        <v>279</v>
      </c>
      <c r="D13" s="4017">
        <f t="shared" ref="D13:I13" si="0">SUM(D5:D11)</f>
        <v>4498</v>
      </c>
      <c r="E13" s="4017">
        <f t="shared" si="0"/>
        <v>4479</v>
      </c>
      <c r="F13" s="4017">
        <f t="shared" si="0"/>
        <v>4494</v>
      </c>
      <c r="G13" s="4017">
        <f t="shared" si="0"/>
        <v>4578</v>
      </c>
      <c r="H13" s="4017">
        <f t="shared" si="0"/>
        <v>4694</v>
      </c>
      <c r="I13" s="4017">
        <f t="shared" si="0"/>
        <v>4918</v>
      </c>
      <c r="J13" s="4017">
        <v>5006</v>
      </c>
      <c r="K13" s="4017">
        <f t="shared" ref="K13:P13" si="1">SUM(K5:K12)</f>
        <v>5079</v>
      </c>
      <c r="L13" s="4017">
        <f t="shared" si="1"/>
        <v>5097</v>
      </c>
      <c r="M13" s="4017">
        <f t="shared" si="1"/>
        <v>5149</v>
      </c>
      <c r="N13" s="4017">
        <f t="shared" si="1"/>
        <v>5128</v>
      </c>
      <c r="O13" s="4017">
        <f t="shared" si="1"/>
        <v>5218</v>
      </c>
      <c r="P13" s="4017">
        <f t="shared" si="1"/>
        <v>5234</v>
      </c>
      <c r="Q13" s="4017">
        <f>SUM(Q5:Q12)</f>
        <v>5223</v>
      </c>
      <c r="R13" s="4017">
        <f>SUM(R5:R12)</f>
        <v>5285</v>
      </c>
      <c r="S13" s="4017">
        <f>SUM(S5:S12)</f>
        <v>5299</v>
      </c>
      <c r="T13" s="4017">
        <f>SUM(T5:T12)</f>
        <v>5237</v>
      </c>
      <c r="U13" s="4017">
        <f>SUM(U5:U12)</f>
        <v>5289</v>
      </c>
    </row>
    <row r="14" spans="2:21" x14ac:dyDescent="0.3">
      <c r="D14" s="4015"/>
      <c r="E14" s="4015"/>
      <c r="F14" s="4015"/>
      <c r="G14" s="4015"/>
      <c r="H14" s="4015"/>
      <c r="I14" s="4015"/>
      <c r="J14" s="4015"/>
      <c r="K14" s="4015"/>
      <c r="L14" s="4015"/>
      <c r="M14" s="4015"/>
      <c r="N14" s="4015"/>
      <c r="O14" s="4015"/>
      <c r="P14" s="4015"/>
      <c r="Q14" s="4015"/>
      <c r="R14" s="4015"/>
      <c r="S14" s="4015"/>
      <c r="T14" s="4015"/>
      <c r="U14" s="4015"/>
    </row>
    <row r="15" spans="2:21" ht="21" customHeight="1" x14ac:dyDescent="0.3">
      <c r="B15" s="4018" t="s">
        <v>1269</v>
      </c>
      <c r="D15" s="4482">
        <v>16.829702089817701</v>
      </c>
      <c r="E15" s="4482">
        <v>17.190667559723199</v>
      </c>
      <c r="F15" s="4482">
        <v>17.146568736092501</v>
      </c>
      <c r="G15" s="4482">
        <v>17.0421581476627</v>
      </c>
      <c r="H15" s="4482">
        <v>16.8206220707286</v>
      </c>
      <c r="I15" s="4482">
        <v>16.293005286701899</v>
      </c>
      <c r="J15" s="4482">
        <v>16.300039952057499</v>
      </c>
      <c r="K15" s="4482">
        <v>15.89722386296515</v>
      </c>
      <c r="L15" s="4482">
        <v>15.81</v>
      </c>
      <c r="M15" s="4482">
        <v>15.456205088366699</v>
      </c>
      <c r="N15" s="4482">
        <v>15.2377145085803</v>
      </c>
      <c r="O15" s="4482">
        <v>14.861249520889199</v>
      </c>
      <c r="P15" s="4482">
        <v>14.7307986243791</v>
      </c>
      <c r="Q15" s="4482">
        <v>14.838789967451699</v>
      </c>
      <c r="R15" s="4482">
        <v>15.084768211920499</v>
      </c>
      <c r="S15" s="4482">
        <v>15.2685412341951</v>
      </c>
      <c r="T15" s="4482">
        <v>15.8825663547833</v>
      </c>
      <c r="U15" s="4482">
        <v>15.673095103044099</v>
      </c>
    </row>
    <row r="16" spans="2:21" ht="11.25" customHeight="1" x14ac:dyDescent="0.3"/>
    <row r="17" spans="2:21" x14ac:dyDescent="0.3">
      <c r="B17" s="4019" t="s">
        <v>1264</v>
      </c>
    </row>
    <row r="18" spans="2:21" x14ac:dyDescent="0.3">
      <c r="B18" s="4020" t="s">
        <v>765</v>
      </c>
    </row>
    <row r="19" spans="2:21" x14ac:dyDescent="0.3">
      <c r="B19" s="4020"/>
    </row>
    <row r="20" spans="2:21" x14ac:dyDescent="0.3">
      <c r="B20" s="4020"/>
    </row>
    <row r="21" spans="2:21" x14ac:dyDescent="0.3">
      <c r="B21" s="4020"/>
    </row>
    <row r="22" spans="2:21" x14ac:dyDescent="0.3">
      <c r="B22" s="4020"/>
    </row>
    <row r="24" spans="2:21" s="4022" customFormat="1" ht="10.199999999999999" x14ac:dyDescent="0.2">
      <c r="B24" s="4047" t="s">
        <v>799</v>
      </c>
      <c r="D24" s="4023">
        <v>2005</v>
      </c>
      <c r="E24" s="4023">
        <v>2006</v>
      </c>
      <c r="F24" s="4023">
        <v>2007</v>
      </c>
      <c r="G24" s="4023">
        <v>2008</v>
      </c>
      <c r="H24" s="4023">
        <v>2009</v>
      </c>
      <c r="I24" s="4023">
        <v>2010</v>
      </c>
      <c r="J24" s="4023">
        <v>2011</v>
      </c>
      <c r="K24" s="4023">
        <v>2012</v>
      </c>
      <c r="L24" s="4023">
        <v>2013</v>
      </c>
      <c r="M24" s="4023">
        <v>2014</v>
      </c>
      <c r="N24" s="4023">
        <v>2015</v>
      </c>
      <c r="O24" s="4023">
        <v>2016</v>
      </c>
      <c r="P24" s="4023">
        <v>2017</v>
      </c>
      <c r="Q24" s="4023">
        <v>2018</v>
      </c>
      <c r="R24" s="4023">
        <v>2019</v>
      </c>
      <c r="S24" s="4023">
        <v>2020</v>
      </c>
      <c r="T24" s="4023">
        <v>2021</v>
      </c>
      <c r="U24" s="4023">
        <v>2022</v>
      </c>
    </row>
    <row r="25" spans="2:21" s="4022" customFormat="1" ht="10.199999999999999" x14ac:dyDescent="0.2">
      <c r="B25" s="4024" t="s">
        <v>800</v>
      </c>
      <c r="D25" s="4048">
        <f t="shared" ref="D25:D31" si="2">D5/$D$13</f>
        <v>0.11116051578479325</v>
      </c>
      <c r="E25" s="4048">
        <f t="shared" ref="E25:E31" si="3">E5/$E$13</f>
        <v>0.10716677829872739</v>
      </c>
      <c r="F25" s="4048">
        <f t="shared" ref="F25:F31" si="4">F5/$F$13</f>
        <v>0.14196706720071206</v>
      </c>
      <c r="G25" s="4048">
        <f t="shared" ref="G25:G31" si="5">G5/$G$13</f>
        <v>0.14591524683267804</v>
      </c>
      <c r="H25" s="4048">
        <f t="shared" ref="H25:H31" si="6">H5/$H$13</f>
        <v>0.18108223263740947</v>
      </c>
      <c r="I25" s="4048">
        <f t="shared" ref="I25:I31" si="7">I5/$I$13</f>
        <v>0.23037820252135013</v>
      </c>
      <c r="J25" s="4048">
        <f t="shared" ref="J25:J31" si="8">J5/$J$13</f>
        <v>0.25149820215741109</v>
      </c>
      <c r="K25" s="4048">
        <f t="shared" ref="K25:K31" si="9">K5/$K$13</f>
        <v>0.28017326245323881</v>
      </c>
      <c r="L25" s="4048">
        <f t="shared" ref="L25:L31" si="10">L5/$L$13</f>
        <v>0.28683539336864822</v>
      </c>
      <c r="M25" s="4048">
        <f t="shared" ref="M25:M31" si="11">M5/$M$13</f>
        <v>0.2913187026607108</v>
      </c>
      <c r="N25" s="4048">
        <f t="shared" ref="N25:N31" si="12">N5/$N$13</f>
        <v>0.28724648985959439</v>
      </c>
      <c r="O25" s="4048">
        <f t="shared" ref="O25:O31" si="13">O5/$O$13</f>
        <v>0.2753928708317363</v>
      </c>
      <c r="P25" s="4048">
        <f>P5/$P$13</f>
        <v>0.26939243408482993</v>
      </c>
      <c r="Q25" s="4048">
        <f t="shared" ref="Q25:Q31" si="14">Q5/$Q$13</f>
        <v>0.25043078690407811</v>
      </c>
      <c r="R25" s="4048">
        <f>R5/$R$13</f>
        <v>0.23386944181646169</v>
      </c>
      <c r="S25" s="4048">
        <f t="shared" ref="S25:S31" si="15">S5/$S$13</f>
        <v>0.21249292319305529</v>
      </c>
      <c r="T25" s="4048">
        <f>T5/$T$13</f>
        <v>0.18273820889822417</v>
      </c>
      <c r="U25" s="4048">
        <f>U5/$U$13</f>
        <v>0.18075250519947059</v>
      </c>
    </row>
    <row r="26" spans="2:21" s="4022" customFormat="1" ht="10.199999999999999" x14ac:dyDescent="0.2">
      <c r="B26" s="4027" t="s">
        <v>801</v>
      </c>
      <c r="D26" s="4049">
        <f t="shared" si="2"/>
        <v>0.13939528679413071</v>
      </c>
      <c r="E26" s="4049">
        <f t="shared" si="3"/>
        <v>0.14221924536726949</v>
      </c>
      <c r="F26" s="4049">
        <f t="shared" si="4"/>
        <v>0.11927013796172675</v>
      </c>
      <c r="G26" s="4049">
        <f t="shared" si="5"/>
        <v>0.12669287898645698</v>
      </c>
      <c r="H26" s="4049">
        <f t="shared" si="6"/>
        <v>0.11717085641244142</v>
      </c>
      <c r="I26" s="4049">
        <f t="shared" si="7"/>
        <v>9.7600650671004471E-2</v>
      </c>
      <c r="J26" s="4049">
        <f t="shared" si="8"/>
        <v>8.6496204554534564E-2</v>
      </c>
      <c r="K26" s="4049">
        <f t="shared" si="9"/>
        <v>8.7812561527859809E-2</v>
      </c>
      <c r="L26" s="4049">
        <f t="shared" si="10"/>
        <v>0.10260937806552874</v>
      </c>
      <c r="M26" s="4049">
        <f t="shared" si="11"/>
        <v>0.12837444163915324</v>
      </c>
      <c r="N26" s="4049">
        <f t="shared" si="12"/>
        <v>0.16107644305772231</v>
      </c>
      <c r="O26" s="4049">
        <f t="shared" si="13"/>
        <v>0.20199310080490609</v>
      </c>
      <c r="P26" s="4049">
        <f t="shared" ref="P26:P31" si="16">P6/$P$13</f>
        <v>0.22162781811234239</v>
      </c>
      <c r="Q26" s="4049">
        <f t="shared" si="14"/>
        <v>0.23587976258855065</v>
      </c>
      <c r="R26" s="4049">
        <f t="shared" ref="R26:R31" si="17">R6/$R$13</f>
        <v>0.24087038789025544</v>
      </c>
      <c r="S26" s="4049">
        <f t="shared" si="15"/>
        <v>0.24646159652764674</v>
      </c>
      <c r="T26" s="4049">
        <f t="shared" ref="T26:T31" si="18">T6/$T$13</f>
        <v>0.23448539240022914</v>
      </c>
      <c r="U26" s="4049">
        <f t="shared" ref="U26:U31" si="19">U6/$U$13</f>
        <v>0.23142370958593306</v>
      </c>
    </row>
    <row r="27" spans="2:21" s="4022" customFormat="1" ht="10.199999999999999" x14ac:dyDescent="0.2">
      <c r="B27" s="4027" t="s">
        <v>802</v>
      </c>
      <c r="D27" s="4049">
        <f t="shared" si="2"/>
        <v>0.19119608714984437</v>
      </c>
      <c r="E27" s="4049">
        <f t="shared" si="3"/>
        <v>0.17369948649252065</v>
      </c>
      <c r="F27" s="4049">
        <f t="shared" si="4"/>
        <v>0.14574988874054295</v>
      </c>
      <c r="G27" s="4049">
        <f t="shared" si="5"/>
        <v>0.14001747487986019</v>
      </c>
      <c r="H27" s="4049">
        <f t="shared" si="6"/>
        <v>0.12760971452918621</v>
      </c>
      <c r="I27" s="4049">
        <f t="shared" si="7"/>
        <v>0.12159414396095974</v>
      </c>
      <c r="J27" s="4049">
        <f t="shared" si="8"/>
        <v>0.12385137834598482</v>
      </c>
      <c r="K27" s="4049">
        <f t="shared" si="9"/>
        <v>0.12010238235873204</v>
      </c>
      <c r="L27" s="4049">
        <f t="shared" si="10"/>
        <v>0.10574847949774377</v>
      </c>
      <c r="M27" s="4049">
        <f t="shared" si="11"/>
        <v>9.6717809283355993E-2</v>
      </c>
      <c r="N27" s="4049">
        <f t="shared" si="12"/>
        <v>8.3853354134165364E-2</v>
      </c>
      <c r="O27" s="4049">
        <f t="shared" si="13"/>
        <v>7.2633192794174017E-2</v>
      </c>
      <c r="P27" s="4049">
        <f t="shared" si="16"/>
        <v>7.7569736339319836E-2</v>
      </c>
      <c r="Q27" s="4049">
        <f t="shared" si="14"/>
        <v>9.2667049588359182E-2</v>
      </c>
      <c r="R27" s="4049">
        <f t="shared" si="17"/>
        <v>0.11485335856196784</v>
      </c>
      <c r="S27" s="4049">
        <f t="shared" si="15"/>
        <v>0.14455557652387244</v>
      </c>
      <c r="T27" s="4049">
        <f t="shared" si="18"/>
        <v>0.18655718923047546</v>
      </c>
      <c r="U27" s="4049">
        <f t="shared" si="19"/>
        <v>0.20570996407638495</v>
      </c>
    </row>
    <row r="28" spans="2:21" s="4022" customFormat="1" ht="10.199999999999999" x14ac:dyDescent="0.2">
      <c r="B28" s="4027" t="s">
        <v>803</v>
      </c>
      <c r="D28" s="4049">
        <f t="shared" si="2"/>
        <v>0.17274344152956869</v>
      </c>
      <c r="E28" s="4049">
        <f t="shared" si="3"/>
        <v>0.17146684527796383</v>
      </c>
      <c r="F28" s="4049">
        <f t="shared" si="4"/>
        <v>0.18513573653760571</v>
      </c>
      <c r="G28" s="4049">
        <f t="shared" si="5"/>
        <v>0.18719965050240281</v>
      </c>
      <c r="H28" s="4049">
        <f t="shared" si="6"/>
        <v>0.17703451214316149</v>
      </c>
      <c r="I28" s="4049">
        <f t="shared" si="7"/>
        <v>0.16104107360715739</v>
      </c>
      <c r="J28" s="4049">
        <f t="shared" si="8"/>
        <v>0.14362764682381143</v>
      </c>
      <c r="K28" s="4049">
        <f t="shared" si="9"/>
        <v>0.11616459933057688</v>
      </c>
      <c r="L28" s="4049">
        <f t="shared" si="10"/>
        <v>0.11457720227584854</v>
      </c>
      <c r="M28" s="4049">
        <f t="shared" si="11"/>
        <v>0.10448630802097494</v>
      </c>
      <c r="N28" s="4049">
        <f t="shared" si="12"/>
        <v>0.10218408736349453</v>
      </c>
      <c r="O28" s="4049">
        <f t="shared" si="13"/>
        <v>0.10636259103104638</v>
      </c>
      <c r="P28" s="4049">
        <f t="shared" si="16"/>
        <v>0.10450897974780282</v>
      </c>
      <c r="Q28" s="4049">
        <f t="shared" si="14"/>
        <v>9.3432892973386944E-2</v>
      </c>
      <c r="R28" s="4049">
        <f t="shared" si="17"/>
        <v>8.6660359508041629E-2</v>
      </c>
      <c r="S28" s="4049">
        <f t="shared" si="15"/>
        <v>7.3221362521230418E-2</v>
      </c>
      <c r="T28" s="4049">
        <f t="shared" si="18"/>
        <v>6.3967920565209085E-2</v>
      </c>
      <c r="U28" s="4049">
        <f t="shared" si="19"/>
        <v>6.7309510304405365E-2</v>
      </c>
    </row>
    <row r="29" spans="2:21" s="4022" customFormat="1" ht="10.199999999999999" x14ac:dyDescent="0.2">
      <c r="B29" s="4027" t="s">
        <v>804</v>
      </c>
      <c r="D29" s="4049">
        <f t="shared" si="2"/>
        <v>0.21987550022232102</v>
      </c>
      <c r="E29" s="4049">
        <f t="shared" si="3"/>
        <v>0.22192453672694798</v>
      </c>
      <c r="F29" s="4049">
        <f t="shared" si="4"/>
        <v>0.20850022251891412</v>
      </c>
      <c r="G29" s="4049">
        <f t="shared" si="5"/>
        <v>0.17780690257754478</v>
      </c>
      <c r="H29" s="4049">
        <f t="shared" si="6"/>
        <v>0.14870046868342565</v>
      </c>
      <c r="I29" s="4049">
        <f t="shared" si="7"/>
        <v>0.1464009760065067</v>
      </c>
      <c r="J29" s="4049">
        <f t="shared" si="8"/>
        <v>0.14342788653615662</v>
      </c>
      <c r="K29" s="4049">
        <f t="shared" si="9"/>
        <v>0.15042331167552667</v>
      </c>
      <c r="L29" s="4049">
        <f t="shared" si="10"/>
        <v>0.15224641946242887</v>
      </c>
      <c r="M29" s="4049">
        <f t="shared" si="11"/>
        <v>0.14798990095164111</v>
      </c>
      <c r="N29" s="4049">
        <f t="shared" si="12"/>
        <v>0.14021060842433697</v>
      </c>
      <c r="O29" s="4049">
        <f t="shared" si="13"/>
        <v>0.12399386738213874</v>
      </c>
      <c r="P29" s="4049">
        <f t="shared" si="16"/>
        <v>0.10106992739778373</v>
      </c>
      <c r="Q29" s="4049">
        <f t="shared" si="14"/>
        <v>9.8793796668581277E-2</v>
      </c>
      <c r="R29" s="4049">
        <f t="shared" si="17"/>
        <v>8.968779564806055E-2</v>
      </c>
      <c r="S29" s="4049">
        <f t="shared" si="15"/>
        <v>8.963955463294962E-2</v>
      </c>
      <c r="T29" s="4049">
        <f t="shared" si="18"/>
        <v>9.5092610273057099E-2</v>
      </c>
      <c r="U29" s="4049">
        <f t="shared" si="19"/>
        <v>9.2266969181319713E-2</v>
      </c>
    </row>
    <row r="30" spans="2:21" s="4022" customFormat="1" ht="10.199999999999999" x14ac:dyDescent="0.2">
      <c r="B30" s="4027" t="s">
        <v>805</v>
      </c>
      <c r="D30" s="4049">
        <f t="shared" si="2"/>
        <v>0.1462872387727879</v>
      </c>
      <c r="E30" s="4049">
        <f t="shared" si="3"/>
        <v>0.14422862246037063</v>
      </c>
      <c r="F30" s="4049">
        <f t="shared" si="4"/>
        <v>0.13840676457498888</v>
      </c>
      <c r="G30" s="4049">
        <f t="shared" si="5"/>
        <v>0.16491917868064657</v>
      </c>
      <c r="H30" s="4049">
        <f t="shared" si="6"/>
        <v>0.18768640818065616</v>
      </c>
      <c r="I30" s="4049">
        <f t="shared" si="7"/>
        <v>0.16856445709638065</v>
      </c>
      <c r="J30" s="4049">
        <f t="shared" si="8"/>
        <v>0.16380343587694765</v>
      </c>
      <c r="K30" s="4049">
        <f t="shared" si="9"/>
        <v>0.15317975979523529</v>
      </c>
      <c r="L30" s="4049">
        <f t="shared" si="10"/>
        <v>0.13125367863449089</v>
      </c>
      <c r="M30" s="4049">
        <f t="shared" si="11"/>
        <v>0.11419693144299864</v>
      </c>
      <c r="N30" s="4049">
        <f t="shared" si="12"/>
        <v>0.11154446177847113</v>
      </c>
      <c r="O30" s="4049">
        <f t="shared" si="13"/>
        <v>0.11498658489842851</v>
      </c>
      <c r="P30" s="4049">
        <f t="shared" si="16"/>
        <v>0.12208635842567826</v>
      </c>
      <c r="Q30" s="4049">
        <f t="shared" si="14"/>
        <v>0.12406662837449742</v>
      </c>
      <c r="R30" s="4049">
        <f t="shared" si="17"/>
        <v>0.11977294228949859</v>
      </c>
      <c r="S30" s="4049">
        <f t="shared" si="15"/>
        <v>0.11228533685601057</v>
      </c>
      <c r="T30" s="4049">
        <f t="shared" si="18"/>
        <v>0.10101202978804659</v>
      </c>
      <c r="U30" s="4049">
        <f t="shared" si="19"/>
        <v>8.451503119682359E-2</v>
      </c>
    </row>
    <row r="31" spans="2:21" s="4022" customFormat="1" ht="10.199999999999999" x14ac:dyDescent="0.2">
      <c r="B31" s="4029" t="s">
        <v>1268</v>
      </c>
      <c r="D31" s="4050">
        <f t="shared" si="2"/>
        <v>1.9341929746554024E-2</v>
      </c>
      <c r="E31" s="4050">
        <f t="shared" si="3"/>
        <v>3.9294485376200047E-2</v>
      </c>
      <c r="F31" s="4050">
        <f t="shared" si="4"/>
        <v>6.0970182465509566E-2</v>
      </c>
      <c r="G31" s="4050">
        <f t="shared" si="5"/>
        <v>5.7448667540410663E-2</v>
      </c>
      <c r="H31" s="4050">
        <f t="shared" si="6"/>
        <v>6.0715807413719645E-2</v>
      </c>
      <c r="I31" s="4050">
        <f t="shared" si="7"/>
        <v>7.442049613664091E-2</v>
      </c>
      <c r="J31" s="4050">
        <f t="shared" si="8"/>
        <v>8.7295245705153818E-2</v>
      </c>
      <c r="K31" s="4050">
        <f t="shared" si="9"/>
        <v>9.2144122858830474E-2</v>
      </c>
      <c r="L31" s="4050">
        <f t="shared" si="10"/>
        <v>0.10672944869531097</v>
      </c>
      <c r="M31" s="4050">
        <f t="shared" si="11"/>
        <v>0.11691590600116528</v>
      </c>
      <c r="N31" s="4050">
        <f t="shared" si="12"/>
        <v>0.11388455538221529</v>
      </c>
      <c r="O31" s="4050">
        <f t="shared" si="13"/>
        <v>0.10463779225756994</v>
      </c>
      <c r="P31" s="4050">
        <f t="shared" si="16"/>
        <v>0.10374474589224303</v>
      </c>
      <c r="Q31" s="4050">
        <f t="shared" si="14"/>
        <v>0.10472908290254643</v>
      </c>
      <c r="R31" s="4050">
        <f t="shared" si="17"/>
        <v>0.11428571428571428</v>
      </c>
      <c r="S31" s="4050">
        <f t="shared" si="15"/>
        <v>0.12134364974523495</v>
      </c>
      <c r="T31" s="4050">
        <f t="shared" si="18"/>
        <v>0.13614664884475844</v>
      </c>
      <c r="U31" s="4050">
        <f t="shared" si="19"/>
        <v>0.13802231045566268</v>
      </c>
    </row>
    <row r="32" spans="2:21" s="4022" customFormat="1" ht="10.199999999999999" x14ac:dyDescent="0.2">
      <c r="B32" s="4051" t="s">
        <v>279</v>
      </c>
      <c r="D32" s="4052">
        <f t="shared" ref="D32:R32" si="20">SUM(D25:D31)</f>
        <v>1</v>
      </c>
      <c r="E32" s="4052">
        <f t="shared" si="20"/>
        <v>1</v>
      </c>
      <c r="F32" s="4052">
        <f t="shared" si="20"/>
        <v>1</v>
      </c>
      <c r="G32" s="4052">
        <f t="shared" si="20"/>
        <v>1</v>
      </c>
      <c r="H32" s="4052">
        <f t="shared" si="20"/>
        <v>1</v>
      </c>
      <c r="I32" s="4052">
        <f t="shared" si="20"/>
        <v>1</v>
      </c>
      <c r="J32" s="4052">
        <f t="shared" si="20"/>
        <v>1</v>
      </c>
      <c r="K32" s="4052">
        <f t="shared" si="20"/>
        <v>1</v>
      </c>
      <c r="L32" s="4052">
        <f t="shared" si="20"/>
        <v>1</v>
      </c>
      <c r="M32" s="4052">
        <f t="shared" si="20"/>
        <v>1</v>
      </c>
      <c r="N32" s="4052">
        <f t="shared" si="20"/>
        <v>1</v>
      </c>
      <c r="O32" s="4052">
        <f t="shared" si="20"/>
        <v>1</v>
      </c>
      <c r="P32" s="4052">
        <f t="shared" si="20"/>
        <v>1</v>
      </c>
      <c r="Q32" s="4052">
        <f t="shared" si="20"/>
        <v>1</v>
      </c>
      <c r="R32" s="4052">
        <f t="shared" si="20"/>
        <v>1</v>
      </c>
      <c r="S32" s="4052">
        <f>SUM(S25:S31)</f>
        <v>1</v>
      </c>
      <c r="T32" s="4052">
        <f>SUM(T25:T31)</f>
        <v>1</v>
      </c>
      <c r="U32" s="4052">
        <f>SUM(U25:U31)</f>
        <v>1</v>
      </c>
    </row>
    <row r="33" spans="2:7" ht="15.6" x14ac:dyDescent="0.3">
      <c r="B33" s="4053"/>
    </row>
    <row r="35" spans="2:7" ht="21" x14ac:dyDescent="0.3">
      <c r="G35" s="4006"/>
    </row>
  </sheetData>
  <printOptions horizontalCentered="1" verticalCentered="1"/>
  <pageMargins left="0.70866141732283472" right="0.70866141732283472" top="0.74803149606299213" bottom="0.74803149606299213" header="0.31496062992125984" footer="0.31496062992125984"/>
  <pageSetup scale="62" firstPageNumber="174" orientation="landscape" useFirstPageNumber="1" r:id="rId1"/>
  <headerFooter scaleWithDoc="0" alignWithMargins="0">
    <oddFooter>&amp;R&amp;P</oddFooter>
  </headerFooter>
  <rowBreaks count="1" manualBreakCount="1">
    <brk id="33" max="16" man="1"/>
  </rowBreaks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D25A8"/>
  </sheetPr>
  <dimension ref="B1:T452"/>
  <sheetViews>
    <sheetView showGridLines="0" topLeftCell="A79" zoomScaleNormal="100" zoomScaleSheetLayoutView="80" workbookViewId="0">
      <selection activeCell="Q31" sqref="Q31"/>
    </sheetView>
  </sheetViews>
  <sheetFormatPr baseColWidth="10" defaultColWidth="11.44140625" defaultRowHeight="13.8" x14ac:dyDescent="0.25"/>
  <cols>
    <col min="1" max="1" width="1.88671875" style="3580" customWidth="1"/>
    <col min="2" max="2" width="18.44140625" style="3939" bestFit="1" customWidth="1"/>
    <col min="3" max="3" width="18.5546875" style="3937" customWidth="1"/>
    <col min="4" max="6" width="15.88671875" style="3937" customWidth="1"/>
    <col min="7" max="7" width="15.88671875" style="3939" customWidth="1"/>
    <col min="8" max="9" width="10.88671875" style="3580" customWidth="1"/>
    <col min="10" max="10" width="9" style="3580" bestFit="1" customWidth="1"/>
    <col min="11" max="11" width="4.88671875" style="3580" bestFit="1" customWidth="1"/>
    <col min="12" max="16384" width="11.44140625" style="3580"/>
  </cols>
  <sheetData>
    <row r="1" spans="3:20" ht="18" x14ac:dyDescent="0.25">
      <c r="C1" s="4054" t="s">
        <v>1270</v>
      </c>
      <c r="D1" s="4055"/>
      <c r="E1" s="4055"/>
      <c r="F1" s="4055"/>
      <c r="G1" s="4055"/>
    </row>
    <row r="2" spans="3:20" ht="18" customHeight="1" x14ac:dyDescent="0.25">
      <c r="C2" s="4054"/>
      <c r="D2" s="4055"/>
      <c r="E2" s="4055"/>
      <c r="F2" s="4055"/>
      <c r="G2" s="3580"/>
    </row>
    <row r="3" spans="3:20" ht="18" customHeight="1" x14ac:dyDescent="0.25">
      <c r="C3" s="1353"/>
      <c r="D3" s="6352">
        <v>2022</v>
      </c>
      <c r="E3" s="6352"/>
      <c r="F3" s="6352"/>
      <c r="G3" s="6352"/>
    </row>
    <row r="4" spans="3:20" ht="27" thickBot="1" x14ac:dyDescent="0.3">
      <c r="C4" s="4056" t="s">
        <v>1271</v>
      </c>
      <c r="D4" s="4056" t="s">
        <v>1272</v>
      </c>
      <c r="E4" s="4056" t="s">
        <v>1273</v>
      </c>
      <c r="F4" s="4056" t="s">
        <v>38</v>
      </c>
      <c r="G4" s="4057" t="s">
        <v>1274</v>
      </c>
    </row>
    <row r="5" spans="3:20" ht="18" customHeight="1" x14ac:dyDescent="0.25">
      <c r="C5" s="5493" t="s">
        <v>59</v>
      </c>
      <c r="D5" s="5494">
        <v>3602</v>
      </c>
      <c r="E5" s="5494"/>
      <c r="F5" s="5494">
        <v>7249.4920000000002</v>
      </c>
      <c r="G5" s="5495">
        <v>10851.492</v>
      </c>
      <c r="Q5" s="5521"/>
      <c r="R5" s="5521"/>
      <c r="S5" s="5521"/>
      <c r="T5" s="5521"/>
    </row>
    <row r="6" spans="3:20" ht="18" customHeight="1" x14ac:dyDescent="0.25">
      <c r="C6" s="2785" t="s">
        <v>64</v>
      </c>
      <c r="D6" s="4062">
        <v>9460.2099999999991</v>
      </c>
      <c r="E6" s="4062"/>
      <c r="F6" s="4062">
        <v>1365.2</v>
      </c>
      <c r="G6" s="4063">
        <v>10825.41</v>
      </c>
      <c r="Q6" s="5521"/>
      <c r="R6" s="5521"/>
      <c r="S6" s="5521"/>
      <c r="T6" s="5521"/>
    </row>
    <row r="7" spans="3:20" ht="18" customHeight="1" x14ac:dyDescent="0.25">
      <c r="C7" s="2785" t="s">
        <v>68</v>
      </c>
      <c r="D7" s="4062"/>
      <c r="E7" s="4062"/>
      <c r="F7" s="4062">
        <v>280.72000000000003</v>
      </c>
      <c r="G7" s="4063">
        <v>280.72000000000003</v>
      </c>
      <c r="Q7" s="5521"/>
      <c r="R7" s="5521"/>
      <c r="S7" s="5521"/>
      <c r="T7" s="5521"/>
    </row>
    <row r="8" spans="3:20" ht="18" customHeight="1" x14ac:dyDescent="0.25">
      <c r="C8" s="2785" t="s">
        <v>1276</v>
      </c>
      <c r="D8" s="5496"/>
      <c r="E8" s="5496"/>
      <c r="F8" s="4062">
        <v>498.8</v>
      </c>
      <c r="G8" s="4063">
        <v>498.8</v>
      </c>
      <c r="Q8" s="5521"/>
      <c r="R8" s="5521"/>
      <c r="S8" s="5521"/>
      <c r="T8" s="5521"/>
    </row>
    <row r="9" spans="3:20" ht="18" customHeight="1" x14ac:dyDescent="0.25">
      <c r="C9" s="5497" t="s">
        <v>138</v>
      </c>
      <c r="D9" s="5498">
        <v>13062.21</v>
      </c>
      <c r="E9" s="5498">
        <v>0</v>
      </c>
      <c r="F9" s="5498">
        <v>9394.2119999999995</v>
      </c>
      <c r="G9" s="5499">
        <v>22456.421999999999</v>
      </c>
      <c r="Q9" s="5521"/>
      <c r="R9" s="5521"/>
      <c r="S9" s="5521"/>
      <c r="T9" s="5521"/>
    </row>
    <row r="10" spans="3:20" ht="18" customHeight="1" x14ac:dyDescent="0.25">
      <c r="C10" s="2806" t="s">
        <v>111</v>
      </c>
      <c r="D10" s="5500">
        <v>1520.405</v>
      </c>
      <c r="E10" s="5500"/>
      <c r="F10" s="5500">
        <v>124.5</v>
      </c>
      <c r="G10" s="5501">
        <v>1644.905</v>
      </c>
      <c r="Q10" s="5521"/>
      <c r="R10" s="5521"/>
      <c r="S10" s="5521"/>
      <c r="T10" s="5521"/>
    </row>
    <row r="11" spans="3:20" ht="18" customHeight="1" x14ac:dyDescent="0.25">
      <c r="C11" s="2785" t="s">
        <v>115</v>
      </c>
      <c r="D11" s="4062">
        <v>520</v>
      </c>
      <c r="E11" s="4062"/>
      <c r="F11" s="4062">
        <v>2763.8816499999998</v>
      </c>
      <c r="G11" s="4063">
        <v>3283.8816499999998</v>
      </c>
      <c r="Q11" s="5521"/>
      <c r="R11" s="5521"/>
      <c r="S11" s="5521"/>
      <c r="T11" s="5521"/>
    </row>
    <row r="12" spans="3:20" ht="18" customHeight="1" x14ac:dyDescent="0.25">
      <c r="C12" s="2785" t="s">
        <v>64</v>
      </c>
      <c r="D12" s="4062"/>
      <c r="E12" s="4062"/>
      <c r="F12" s="4062">
        <v>623</v>
      </c>
      <c r="G12" s="4063">
        <v>623</v>
      </c>
      <c r="Q12" s="5521"/>
      <c r="R12" s="5521"/>
      <c r="S12" s="5521"/>
      <c r="T12" s="5521"/>
    </row>
    <row r="13" spans="3:20" ht="18" customHeight="1" x14ac:dyDescent="0.25">
      <c r="C13" s="2785" t="s">
        <v>1276</v>
      </c>
      <c r="D13" s="5496"/>
      <c r="E13" s="5496"/>
      <c r="F13" s="5496"/>
      <c r="G13" s="4063">
        <v>0</v>
      </c>
      <c r="Q13" s="5521"/>
      <c r="R13" s="5521"/>
      <c r="S13" s="5521"/>
      <c r="T13" s="5521"/>
    </row>
    <row r="14" spans="3:20" ht="18" customHeight="1" x14ac:dyDescent="0.25">
      <c r="C14" s="5502" t="s">
        <v>134</v>
      </c>
      <c r="D14" s="5503">
        <v>2040.405</v>
      </c>
      <c r="E14" s="5503">
        <v>0</v>
      </c>
      <c r="F14" s="5503">
        <v>3511.3816499999998</v>
      </c>
      <c r="G14" s="5504">
        <v>5551.78665</v>
      </c>
      <c r="Q14" s="5521"/>
      <c r="R14" s="5521"/>
      <c r="S14" s="5521"/>
      <c r="T14" s="5521"/>
    </row>
    <row r="15" spans="3:20" ht="18" customHeight="1" x14ac:dyDescent="0.25">
      <c r="C15" s="2806" t="s">
        <v>59</v>
      </c>
      <c r="D15" s="5500">
        <v>2357.009</v>
      </c>
      <c r="E15" s="5500"/>
      <c r="F15" s="5500">
        <v>1775.0350000000001</v>
      </c>
      <c r="G15" s="5501">
        <v>4132.0439999999999</v>
      </c>
      <c r="Q15" s="5521"/>
      <c r="R15" s="5521"/>
      <c r="S15" s="5521"/>
      <c r="T15" s="5521"/>
    </row>
    <row r="16" spans="3:20" ht="18" customHeight="1" x14ac:dyDescent="0.25">
      <c r="C16" s="2785" t="s">
        <v>64</v>
      </c>
      <c r="D16" s="4062"/>
      <c r="E16" s="4062"/>
      <c r="F16" s="4062">
        <v>1606.6617699999999</v>
      </c>
      <c r="G16" s="4063">
        <v>1606.6617699999999</v>
      </c>
      <c r="Q16" s="5521"/>
      <c r="R16" s="5521"/>
      <c r="S16" s="5521"/>
      <c r="T16" s="5521"/>
    </row>
    <row r="17" spans="3:20" ht="18" customHeight="1" x14ac:dyDescent="0.25">
      <c r="C17" s="2785" t="s">
        <v>92</v>
      </c>
      <c r="D17" s="4062">
        <v>1508.7249999999999</v>
      </c>
      <c r="E17" s="4062"/>
      <c r="F17" s="4062">
        <v>3778.5057099999999</v>
      </c>
      <c r="G17" s="4063">
        <v>5287.2307099999998</v>
      </c>
      <c r="Q17" s="5521"/>
      <c r="R17" s="5521"/>
      <c r="S17" s="5521"/>
      <c r="T17" s="5521"/>
    </row>
    <row r="18" spans="3:20" ht="18" customHeight="1" x14ac:dyDescent="0.25">
      <c r="C18" s="2785" t="s">
        <v>1276</v>
      </c>
      <c r="D18" s="5496"/>
      <c r="E18" s="5496"/>
      <c r="F18" s="4062">
        <v>292</v>
      </c>
      <c r="G18" s="4063">
        <v>292</v>
      </c>
      <c r="Q18" s="5521"/>
      <c r="R18" s="5521"/>
      <c r="S18" s="5521"/>
      <c r="T18" s="5521"/>
    </row>
    <row r="19" spans="3:20" ht="18" customHeight="1" x14ac:dyDescent="0.25">
      <c r="C19" s="5505" t="s">
        <v>135</v>
      </c>
      <c r="D19" s="5506">
        <v>3865.7339999999999</v>
      </c>
      <c r="E19" s="5506">
        <v>0</v>
      </c>
      <c r="F19" s="5506">
        <v>7452.2024800000008</v>
      </c>
      <c r="G19" s="5507">
        <v>11317.93648</v>
      </c>
      <c r="Q19" s="5521"/>
      <c r="R19" s="5521"/>
      <c r="S19" s="5521"/>
      <c r="T19" s="5521"/>
    </row>
    <row r="20" spans="3:20" ht="18" customHeight="1" x14ac:dyDescent="0.25">
      <c r="C20" s="2806" t="s">
        <v>59</v>
      </c>
      <c r="D20" s="5500"/>
      <c r="E20" s="5500"/>
      <c r="F20" s="5500">
        <v>50</v>
      </c>
      <c r="G20" s="5501">
        <v>50</v>
      </c>
      <c r="Q20" s="5521"/>
      <c r="R20" s="5521"/>
      <c r="S20" s="5521"/>
      <c r="T20" s="5521"/>
    </row>
    <row r="21" spans="3:20" ht="18" customHeight="1" x14ac:dyDescent="0.25">
      <c r="C21" s="2785" t="s">
        <v>64</v>
      </c>
      <c r="D21" s="4062"/>
      <c r="E21" s="4062"/>
      <c r="F21" s="4062">
        <v>1020.00001</v>
      </c>
      <c r="G21" s="4063">
        <v>1020.00001</v>
      </c>
      <c r="Q21" s="5521"/>
      <c r="R21" s="5521"/>
      <c r="S21" s="5521"/>
      <c r="T21" s="5521"/>
    </row>
    <row r="22" spans="3:20" ht="18" customHeight="1" x14ac:dyDescent="0.25">
      <c r="C22" s="2785" t="s">
        <v>92</v>
      </c>
      <c r="D22" s="4062"/>
      <c r="E22" s="4062"/>
      <c r="F22" s="4062">
        <v>750</v>
      </c>
      <c r="G22" s="4063">
        <v>750</v>
      </c>
      <c r="Q22" s="5521"/>
      <c r="R22" s="5521"/>
      <c r="S22" s="5521"/>
      <c r="T22" s="5521"/>
    </row>
    <row r="23" spans="3:20" ht="18" customHeight="1" x14ac:dyDescent="0.25">
      <c r="C23" s="2785" t="s">
        <v>1276</v>
      </c>
      <c r="D23" s="5496"/>
      <c r="E23" s="5496"/>
      <c r="F23" s="5496"/>
      <c r="G23" s="4063">
        <v>0</v>
      </c>
      <c r="Q23" s="5521"/>
      <c r="R23" s="5521"/>
      <c r="S23" s="5521"/>
      <c r="T23" s="5521"/>
    </row>
    <row r="24" spans="3:20" ht="18" customHeight="1" x14ac:dyDescent="0.25">
      <c r="C24" s="5508" t="s">
        <v>136</v>
      </c>
      <c r="D24" s="5509">
        <v>0</v>
      </c>
      <c r="E24" s="5509">
        <v>0</v>
      </c>
      <c r="F24" s="5509">
        <v>1820.00001</v>
      </c>
      <c r="G24" s="5510">
        <v>1820.00001</v>
      </c>
      <c r="Q24" s="5521"/>
      <c r="R24" s="5521"/>
      <c r="S24" s="5521"/>
      <c r="T24" s="5521"/>
    </row>
    <row r="25" spans="3:20" ht="18" customHeight="1" x14ac:dyDescent="0.25">
      <c r="C25" s="2806" t="s">
        <v>92</v>
      </c>
      <c r="D25" s="5500">
        <v>283.42874</v>
      </c>
      <c r="E25" s="5500">
        <v>0</v>
      </c>
      <c r="F25" s="5500">
        <v>10445.763999999999</v>
      </c>
      <c r="G25" s="5501">
        <v>10729.19274</v>
      </c>
      <c r="Q25" s="5521"/>
      <c r="R25" s="5521"/>
      <c r="S25" s="5521"/>
      <c r="T25" s="5521"/>
    </row>
    <row r="26" spans="3:20" ht="18" customHeight="1" x14ac:dyDescent="0.25">
      <c r="C26" s="2785" t="s">
        <v>64</v>
      </c>
      <c r="D26" s="4062">
        <v>3043.239</v>
      </c>
      <c r="E26" s="4062">
        <v>5243</v>
      </c>
      <c r="F26" s="4062">
        <v>19141.691999999999</v>
      </c>
      <c r="G26" s="4063">
        <v>27427.931</v>
      </c>
      <c r="Q26" s="5521"/>
      <c r="R26" s="5521"/>
      <c r="S26" s="5521"/>
      <c r="T26" s="5521"/>
    </row>
    <row r="27" spans="3:20" ht="18" customHeight="1" x14ac:dyDescent="0.25">
      <c r="C27" s="2785" t="s">
        <v>68</v>
      </c>
      <c r="D27" s="4062"/>
      <c r="E27" s="4062"/>
      <c r="F27" s="4062">
        <v>1658.8</v>
      </c>
      <c r="G27" s="4063">
        <v>1658.8</v>
      </c>
      <c r="Q27" s="5521"/>
      <c r="R27" s="5521"/>
      <c r="S27" s="5521"/>
      <c r="T27" s="5521"/>
    </row>
    <row r="28" spans="3:20" ht="18" customHeight="1" x14ac:dyDescent="0.25">
      <c r="C28" s="2785" t="s">
        <v>1276</v>
      </c>
      <c r="D28" s="4062"/>
      <c r="E28" s="4062">
        <v>5970</v>
      </c>
      <c r="F28" s="4062">
        <v>2657.9948699999995</v>
      </c>
      <c r="G28" s="4063">
        <v>8627.9948699999986</v>
      </c>
      <c r="Q28" s="5521"/>
      <c r="R28" s="5521"/>
      <c r="S28" s="5521"/>
      <c r="T28" s="5521"/>
    </row>
    <row r="29" spans="3:20" ht="18" customHeight="1" x14ac:dyDescent="0.25">
      <c r="C29" s="5511" t="s">
        <v>137</v>
      </c>
      <c r="D29" s="5512">
        <v>3326.6677400000003</v>
      </c>
      <c r="E29" s="5512">
        <v>11213</v>
      </c>
      <c r="F29" s="5512">
        <v>33904.250869999996</v>
      </c>
      <c r="G29" s="5513">
        <v>48443.918610000001</v>
      </c>
      <c r="Q29" s="5521"/>
      <c r="R29" s="5521"/>
      <c r="S29" s="5521"/>
      <c r="T29" s="5521"/>
    </row>
    <row r="30" spans="3:20" ht="18" customHeight="1" x14ac:dyDescent="0.25">
      <c r="C30" s="5514" t="s">
        <v>1613</v>
      </c>
      <c r="D30" s="5515"/>
      <c r="E30" s="5515"/>
      <c r="F30" s="5515">
        <v>200</v>
      </c>
      <c r="G30" s="5516">
        <v>200</v>
      </c>
      <c r="Q30" s="5521"/>
      <c r="R30" s="5521"/>
      <c r="S30" s="5521"/>
      <c r="T30" s="5521"/>
    </row>
    <row r="31" spans="3:20" ht="18" customHeight="1" x14ac:dyDescent="0.25">
      <c r="C31" s="5514" t="s">
        <v>1277</v>
      </c>
      <c r="D31" s="5515"/>
      <c r="E31" s="5515"/>
      <c r="F31" s="5515">
        <v>2540</v>
      </c>
      <c r="G31" s="5516">
        <v>2540</v>
      </c>
      <c r="Q31" s="5521"/>
      <c r="R31" s="5521"/>
      <c r="S31" s="5521"/>
      <c r="T31" s="5521"/>
    </row>
    <row r="32" spans="3:20" ht="18" customHeight="1" x14ac:dyDescent="0.25">
      <c r="C32" s="5517" t="s">
        <v>431</v>
      </c>
      <c r="D32" s="5518">
        <v>22295.016740000003</v>
      </c>
      <c r="E32" s="5518">
        <v>11213</v>
      </c>
      <c r="F32" s="5518">
        <v>58822.047010000002</v>
      </c>
      <c r="G32" s="5519">
        <v>92330.063750000001</v>
      </c>
      <c r="Q32" s="5521"/>
      <c r="R32" s="5521"/>
      <c r="S32" s="5521"/>
      <c r="T32" s="5521"/>
    </row>
    <row r="33" spans="3:8" ht="18" customHeight="1" x14ac:dyDescent="0.25">
      <c r="C33" s="4116" t="s">
        <v>1614</v>
      </c>
      <c r="D33" s="25"/>
      <c r="E33" s="4088"/>
      <c r="F33" s="25"/>
      <c r="G33" s="25"/>
      <c r="H33" s="25"/>
    </row>
    <row r="34" spans="3:8" ht="18" customHeight="1" x14ac:dyDescent="0.25">
      <c r="C34" s="4054"/>
      <c r="D34" s="4055"/>
      <c r="E34" s="4055"/>
      <c r="F34" s="4055"/>
      <c r="G34" s="4055"/>
    </row>
    <row r="35" spans="3:8" ht="18" customHeight="1" x14ac:dyDescent="0.25">
      <c r="C35" s="1353"/>
      <c r="D35" s="6352">
        <v>2021</v>
      </c>
      <c r="E35" s="6352"/>
      <c r="F35" s="6352"/>
      <c r="G35" s="6352"/>
    </row>
    <row r="36" spans="3:8" ht="27" thickBot="1" x14ac:dyDescent="0.3">
      <c r="C36" s="4056" t="s">
        <v>10</v>
      </c>
      <c r="D36" s="4056" t="s">
        <v>1272</v>
      </c>
      <c r="E36" s="4056" t="s">
        <v>1273</v>
      </c>
      <c r="F36" s="4056" t="s">
        <v>38</v>
      </c>
      <c r="G36" s="4057" t="s">
        <v>1274</v>
      </c>
    </row>
    <row r="37" spans="3:8" ht="18" customHeight="1" x14ac:dyDescent="0.25">
      <c r="C37" s="4058" t="s">
        <v>1418</v>
      </c>
      <c r="D37" s="4059">
        <v>8712.6690199999994</v>
      </c>
      <c r="E37" s="4059">
        <v>0</v>
      </c>
      <c r="F37" s="4059">
        <v>8600.0499799999998</v>
      </c>
      <c r="G37" s="4060">
        <v>17312.719000000001</v>
      </c>
    </row>
    <row r="38" spans="3:8" ht="18" customHeight="1" x14ac:dyDescent="0.25">
      <c r="C38" s="4061" t="s">
        <v>59</v>
      </c>
      <c r="D38" s="4062">
        <v>8354.6690199999994</v>
      </c>
      <c r="E38" s="4062">
        <v>0</v>
      </c>
      <c r="F38" s="4062">
        <v>7903.7499800000005</v>
      </c>
      <c r="G38" s="4063">
        <v>16258.419</v>
      </c>
    </row>
    <row r="39" spans="3:8" ht="18" customHeight="1" x14ac:dyDescent="0.25">
      <c r="C39" s="4061" t="s">
        <v>64</v>
      </c>
      <c r="D39" s="4062">
        <v>358</v>
      </c>
      <c r="E39" s="4062">
        <v>0</v>
      </c>
      <c r="F39" s="4062">
        <v>365.7</v>
      </c>
      <c r="G39" s="4063">
        <v>723.7</v>
      </c>
    </row>
    <row r="40" spans="3:8" ht="18" customHeight="1" x14ac:dyDescent="0.25">
      <c r="C40" s="4061" t="s">
        <v>68</v>
      </c>
      <c r="D40" s="4062">
        <v>0</v>
      </c>
      <c r="E40" s="4062">
        <v>0</v>
      </c>
      <c r="F40" s="4062">
        <v>330.6</v>
      </c>
      <c r="G40" s="4063">
        <v>330.6</v>
      </c>
    </row>
    <row r="41" spans="3:8" ht="18" customHeight="1" x14ac:dyDescent="0.25">
      <c r="C41" s="4064" t="s">
        <v>1276</v>
      </c>
      <c r="D41" s="4065">
        <v>0</v>
      </c>
      <c r="E41" s="4065">
        <v>0</v>
      </c>
      <c r="F41" s="4065">
        <v>0</v>
      </c>
      <c r="G41" s="4066">
        <v>0</v>
      </c>
    </row>
    <row r="42" spans="3:8" ht="18" customHeight="1" x14ac:dyDescent="0.25">
      <c r="C42" s="4067" t="s">
        <v>1419</v>
      </c>
      <c r="D42" s="4068">
        <v>3876.2530000000002</v>
      </c>
      <c r="E42" s="4068">
        <v>0</v>
      </c>
      <c r="F42" s="4068">
        <v>100</v>
      </c>
      <c r="G42" s="4069">
        <v>3976.2530000000002</v>
      </c>
    </row>
    <row r="43" spans="3:8" ht="18" customHeight="1" x14ac:dyDescent="0.25">
      <c r="C43" s="4061" t="s">
        <v>111</v>
      </c>
      <c r="D43" s="4062">
        <v>328.54899999999998</v>
      </c>
      <c r="E43" s="4062">
        <v>0</v>
      </c>
      <c r="F43" s="4062">
        <v>0</v>
      </c>
      <c r="G43" s="4063">
        <v>328.54899999999998</v>
      </c>
    </row>
    <row r="44" spans="3:8" ht="18" customHeight="1" x14ac:dyDescent="0.25">
      <c r="C44" s="4061" t="s">
        <v>115</v>
      </c>
      <c r="D44" s="4062">
        <v>2028.104</v>
      </c>
      <c r="E44" s="4062">
        <v>0</v>
      </c>
      <c r="F44" s="4062">
        <v>0</v>
      </c>
      <c r="G44" s="4063">
        <v>2028.104</v>
      </c>
    </row>
    <row r="45" spans="3:8" ht="18" customHeight="1" x14ac:dyDescent="0.25">
      <c r="C45" s="4061" t="s">
        <v>64</v>
      </c>
      <c r="D45" s="4062">
        <v>1519.6</v>
      </c>
      <c r="E45" s="4062">
        <v>0</v>
      </c>
      <c r="F45" s="4062">
        <v>100</v>
      </c>
      <c r="G45" s="4063">
        <v>1619.6</v>
      </c>
    </row>
    <row r="46" spans="3:8" ht="18" customHeight="1" x14ac:dyDescent="0.25">
      <c r="C46" s="4064" t="s">
        <v>1276</v>
      </c>
      <c r="D46" s="4065">
        <v>0</v>
      </c>
      <c r="E46" s="4065">
        <v>0</v>
      </c>
      <c r="F46" s="4065">
        <v>0</v>
      </c>
      <c r="G46" s="4066">
        <v>0</v>
      </c>
    </row>
    <row r="47" spans="3:8" ht="18" customHeight="1" x14ac:dyDescent="0.25">
      <c r="C47" s="4070" t="s">
        <v>1420</v>
      </c>
      <c r="D47" s="4071">
        <v>33814.566780000001</v>
      </c>
      <c r="E47" s="4071">
        <v>0</v>
      </c>
      <c r="F47" s="4071">
        <v>6182.50558</v>
      </c>
      <c r="G47" s="4072">
        <v>39997.072359999998</v>
      </c>
    </row>
    <row r="48" spans="3:8" ht="18" customHeight="1" x14ac:dyDescent="0.25">
      <c r="C48" s="4061" t="s">
        <v>59</v>
      </c>
      <c r="D48" s="4062">
        <v>27715.58179</v>
      </c>
      <c r="E48" s="4062">
        <v>0</v>
      </c>
      <c r="F48" s="4062">
        <v>2020.5228999999999</v>
      </c>
      <c r="G48" s="4063">
        <v>29736.104689999996</v>
      </c>
    </row>
    <row r="49" spans="2:14" ht="18" customHeight="1" x14ac:dyDescent="0.25">
      <c r="C49" s="4061" t="s">
        <v>92</v>
      </c>
      <c r="D49" s="4062">
        <v>3895</v>
      </c>
      <c r="E49" s="4062">
        <v>0</v>
      </c>
      <c r="F49" s="4062">
        <v>1222.473</v>
      </c>
      <c r="G49" s="4063">
        <v>5117.473</v>
      </c>
    </row>
    <row r="50" spans="2:14" ht="18" customHeight="1" x14ac:dyDescent="0.25">
      <c r="C50" s="4061" t="s">
        <v>64</v>
      </c>
      <c r="D50" s="4062">
        <v>2203.9849900000004</v>
      </c>
      <c r="E50" s="4062">
        <v>0</v>
      </c>
      <c r="F50" s="4062">
        <v>2769.5096800000001</v>
      </c>
      <c r="G50" s="4063">
        <v>4973.49467</v>
      </c>
    </row>
    <row r="51" spans="2:14" ht="18" customHeight="1" x14ac:dyDescent="0.25">
      <c r="C51" s="4061" t="s">
        <v>1276</v>
      </c>
      <c r="D51" s="4062">
        <v>0</v>
      </c>
      <c r="E51" s="4062">
        <v>0</v>
      </c>
      <c r="F51" s="4062">
        <v>170</v>
      </c>
      <c r="G51" s="4063">
        <v>170</v>
      </c>
    </row>
    <row r="52" spans="2:14" ht="18" customHeight="1" x14ac:dyDescent="0.25">
      <c r="C52" s="4073" t="s">
        <v>1421</v>
      </c>
      <c r="D52" s="4074">
        <v>262</v>
      </c>
      <c r="E52" s="4074">
        <v>212</v>
      </c>
      <c r="F52" s="4074">
        <v>244.88</v>
      </c>
      <c r="G52" s="4075">
        <v>718.88</v>
      </c>
    </row>
    <row r="53" spans="2:14" ht="18" customHeight="1" x14ac:dyDescent="0.25">
      <c r="C53" s="4061" t="s">
        <v>59</v>
      </c>
      <c r="D53" s="4062">
        <v>0</v>
      </c>
      <c r="E53" s="4062">
        <v>0</v>
      </c>
      <c r="F53" s="4062">
        <v>50</v>
      </c>
      <c r="G53" s="4063">
        <v>50</v>
      </c>
    </row>
    <row r="54" spans="2:14" ht="18" customHeight="1" x14ac:dyDescent="0.25">
      <c r="C54" s="4061" t="s">
        <v>92</v>
      </c>
      <c r="D54" s="4062">
        <v>262</v>
      </c>
      <c r="E54" s="4062">
        <v>212</v>
      </c>
      <c r="F54" s="4062">
        <v>0</v>
      </c>
      <c r="G54" s="4063">
        <v>474</v>
      </c>
    </row>
    <row r="55" spans="2:14" ht="18" customHeight="1" x14ac:dyDescent="0.25">
      <c r="C55" s="4061" t="s">
        <v>64</v>
      </c>
      <c r="D55" s="4062">
        <v>0</v>
      </c>
      <c r="E55" s="4062">
        <v>0</v>
      </c>
      <c r="F55" s="4062">
        <v>194.88</v>
      </c>
      <c r="G55" s="4063">
        <v>194.88</v>
      </c>
    </row>
    <row r="56" spans="2:14" ht="18" customHeight="1" x14ac:dyDescent="0.25">
      <c r="C56" s="4665" t="s">
        <v>1276</v>
      </c>
      <c r="D56" s="4666">
        <v>0</v>
      </c>
      <c r="E56" s="4666">
        <v>0</v>
      </c>
      <c r="F56" s="4666">
        <v>0</v>
      </c>
      <c r="G56" s="4667">
        <v>0</v>
      </c>
    </row>
    <row r="57" spans="2:14" ht="18" customHeight="1" x14ac:dyDescent="0.25">
      <c r="C57" s="4076" t="s">
        <v>1422</v>
      </c>
      <c r="D57" s="4077">
        <v>4113.3077800000001</v>
      </c>
      <c r="E57" s="4077">
        <v>19964</v>
      </c>
      <c r="F57" s="4077">
        <v>21351.400799999999</v>
      </c>
      <c r="G57" s="4078">
        <v>45428.708579999999</v>
      </c>
    </row>
    <row r="58" spans="2:14" ht="18" customHeight="1" x14ac:dyDescent="0.25">
      <c r="C58" s="4061" t="s">
        <v>92</v>
      </c>
      <c r="D58" s="4062">
        <v>2423.4287400000003</v>
      </c>
      <c r="E58" s="4062">
        <v>0</v>
      </c>
      <c r="F58" s="4062">
        <v>6915</v>
      </c>
      <c r="G58" s="4063">
        <v>9338.4287399999994</v>
      </c>
    </row>
    <row r="59" spans="2:14" ht="18" customHeight="1" x14ac:dyDescent="0.25">
      <c r="C59" s="4061" t="s">
        <v>64</v>
      </c>
      <c r="D59" s="4062">
        <v>1689.87904</v>
      </c>
      <c r="E59" s="4062">
        <v>19964</v>
      </c>
      <c r="F59" s="4062">
        <v>10988.355</v>
      </c>
      <c r="G59" s="4063">
        <v>32642.234039999999</v>
      </c>
    </row>
    <row r="60" spans="2:14" ht="18" customHeight="1" x14ac:dyDescent="0.25">
      <c r="C60" s="4061" t="s">
        <v>68</v>
      </c>
      <c r="D60" s="4062">
        <v>0</v>
      </c>
      <c r="E60" s="4062">
        <v>0</v>
      </c>
      <c r="F60" s="4062">
        <v>0</v>
      </c>
      <c r="G60" s="4063">
        <v>0</v>
      </c>
    </row>
    <row r="61" spans="2:14" ht="18" customHeight="1" x14ac:dyDescent="0.25">
      <c r="C61" s="4061" t="s">
        <v>1276</v>
      </c>
      <c r="D61" s="4062">
        <v>0</v>
      </c>
      <c r="E61" s="4062">
        <v>0</v>
      </c>
      <c r="F61" s="4062">
        <v>3448.0458000000003</v>
      </c>
      <c r="G61" s="4063">
        <v>3448.0458000000003</v>
      </c>
    </row>
    <row r="62" spans="2:14" ht="18" customHeight="1" x14ac:dyDescent="0.25">
      <c r="C62" s="4669" t="s">
        <v>1416</v>
      </c>
      <c r="D62" s="4080">
        <v>0</v>
      </c>
      <c r="E62" s="4080">
        <v>0</v>
      </c>
      <c r="F62" s="4080">
        <v>4490.143</v>
      </c>
      <c r="G62" s="4081">
        <v>4490.143</v>
      </c>
    </row>
    <row r="63" spans="2:14" ht="18" customHeight="1" x14ac:dyDescent="0.25">
      <c r="C63" s="4082" t="s">
        <v>431</v>
      </c>
      <c r="D63" s="4083">
        <v>50778.796579999995</v>
      </c>
      <c r="E63" s="4083">
        <v>20176</v>
      </c>
      <c r="F63" s="4083">
        <v>40968.979359999998</v>
      </c>
      <c r="G63" s="4083">
        <v>111923.77593999999</v>
      </c>
      <c r="N63" s="4783"/>
    </row>
    <row r="64" spans="2:14" ht="18" customHeight="1" x14ac:dyDescent="0.25">
      <c r="B64" s="3580"/>
      <c r="C64" s="4084" t="s">
        <v>1417</v>
      </c>
      <c r="D64" s="4668"/>
      <c r="E64" s="328"/>
      <c r="F64" s="328"/>
      <c r="G64" s="328"/>
    </row>
    <row r="65" spans="3:7" ht="18" customHeight="1" x14ac:dyDescent="0.25">
      <c r="C65" s="4054"/>
      <c r="D65" s="4055"/>
      <c r="E65" s="4055"/>
      <c r="F65" s="4055"/>
      <c r="G65" s="4055"/>
    </row>
    <row r="66" spans="3:7" ht="18" x14ac:dyDescent="0.25">
      <c r="C66" s="4054"/>
      <c r="D66" s="6352">
        <v>2020</v>
      </c>
      <c r="E66" s="6352"/>
      <c r="F66" s="6352"/>
      <c r="G66" s="6352"/>
    </row>
    <row r="67" spans="3:7" ht="27" thickBot="1" x14ac:dyDescent="0.3">
      <c r="C67" s="4056" t="s">
        <v>1271</v>
      </c>
      <c r="D67" s="4056" t="s">
        <v>1272</v>
      </c>
      <c r="E67" s="4056" t="s">
        <v>1273</v>
      </c>
      <c r="F67" s="4056" t="s">
        <v>38</v>
      </c>
      <c r="G67" s="4057" t="s">
        <v>1274</v>
      </c>
    </row>
    <row r="68" spans="3:7" ht="14.4" x14ac:dyDescent="0.25">
      <c r="C68" s="4058" t="s">
        <v>1275</v>
      </c>
      <c r="D68" s="4059">
        <v>5066.3411299999998</v>
      </c>
      <c r="E68" s="4059">
        <v>1587.00614</v>
      </c>
      <c r="F68" s="4059">
        <v>12279.599989999999</v>
      </c>
      <c r="G68" s="4060">
        <v>18932.947260000001</v>
      </c>
    </row>
    <row r="69" spans="3:7" ht="14.4" x14ac:dyDescent="0.25">
      <c r="C69" s="4061" t="s">
        <v>59</v>
      </c>
      <c r="D69" s="4062">
        <v>3664.60113</v>
      </c>
      <c r="E69" s="4062">
        <v>1297.00614</v>
      </c>
      <c r="F69" s="4062">
        <v>9995.1999899999992</v>
      </c>
      <c r="G69" s="4063">
        <v>14956.80726</v>
      </c>
    </row>
    <row r="70" spans="3:7" ht="14.4" x14ac:dyDescent="0.25">
      <c r="C70" s="4061" t="s">
        <v>64</v>
      </c>
      <c r="D70" s="4062">
        <v>1401.74</v>
      </c>
      <c r="E70" s="4062">
        <v>170</v>
      </c>
      <c r="F70" s="4062">
        <v>310.39999999999998</v>
      </c>
      <c r="G70" s="4063">
        <v>1882.1399999999999</v>
      </c>
    </row>
    <row r="71" spans="3:7" ht="14.4" x14ac:dyDescent="0.25">
      <c r="C71" s="4061" t="s">
        <v>68</v>
      </c>
      <c r="D71" s="4062"/>
      <c r="E71" s="4062">
        <v>120</v>
      </c>
      <c r="F71" s="4062">
        <v>1974</v>
      </c>
      <c r="G71" s="4063">
        <v>2094</v>
      </c>
    </row>
    <row r="72" spans="3:7" ht="14.4" x14ac:dyDescent="0.25">
      <c r="C72" s="4064" t="s">
        <v>1276</v>
      </c>
      <c r="D72" s="4065"/>
      <c r="E72" s="4065"/>
      <c r="F72" s="4065"/>
      <c r="G72" s="4066">
        <v>0</v>
      </c>
    </row>
    <row r="73" spans="3:7" ht="14.4" x14ac:dyDescent="0.25">
      <c r="C73" s="4067" t="s">
        <v>134</v>
      </c>
      <c r="D73" s="4068">
        <v>8785.0969999999998</v>
      </c>
      <c r="E73" s="4068">
        <v>90</v>
      </c>
      <c r="F73" s="4068">
        <v>373.73599999999999</v>
      </c>
      <c r="G73" s="4069">
        <v>9248.8330000000005</v>
      </c>
    </row>
    <row r="74" spans="3:7" ht="14.4" x14ac:dyDescent="0.25">
      <c r="C74" s="4061" t="s">
        <v>111</v>
      </c>
      <c r="D74" s="4062">
        <v>358.60399999999998</v>
      </c>
      <c r="E74" s="4062"/>
      <c r="F74" s="4062"/>
      <c r="G74" s="4063">
        <v>358.60399999999998</v>
      </c>
    </row>
    <row r="75" spans="3:7" ht="14.4" x14ac:dyDescent="0.25">
      <c r="C75" s="4061" t="s">
        <v>115</v>
      </c>
      <c r="D75" s="4062">
        <v>4924.0039999999999</v>
      </c>
      <c r="E75" s="4062">
        <v>30</v>
      </c>
      <c r="F75" s="4062">
        <v>313.73599999999999</v>
      </c>
      <c r="G75" s="4063">
        <v>5267.74</v>
      </c>
    </row>
    <row r="76" spans="3:7" ht="14.4" x14ac:dyDescent="0.25">
      <c r="C76" s="4061" t="s">
        <v>64</v>
      </c>
      <c r="D76" s="4062">
        <v>3502.489</v>
      </c>
      <c r="E76" s="4062">
        <v>60</v>
      </c>
      <c r="F76" s="4062"/>
      <c r="G76" s="4063">
        <v>3562.489</v>
      </c>
    </row>
    <row r="77" spans="3:7" ht="14.4" x14ac:dyDescent="0.25">
      <c r="C77" s="4064" t="s">
        <v>1276</v>
      </c>
      <c r="D77" s="4065"/>
      <c r="E77" s="4065"/>
      <c r="F77" s="4065">
        <v>60</v>
      </c>
      <c r="G77" s="4066">
        <v>60</v>
      </c>
    </row>
    <row r="78" spans="3:7" ht="14.4" x14ac:dyDescent="0.25">
      <c r="C78" s="4070" t="s">
        <v>135</v>
      </c>
      <c r="D78" s="4071">
        <v>23730.682790000003</v>
      </c>
      <c r="E78" s="4071">
        <v>1041.99188</v>
      </c>
      <c r="F78" s="4071">
        <v>10494.651210000002</v>
      </c>
      <c r="G78" s="4072">
        <v>35267.325880000004</v>
      </c>
    </row>
    <row r="79" spans="3:7" ht="14.4" x14ac:dyDescent="0.25">
      <c r="C79" s="4061" t="s">
        <v>59</v>
      </c>
      <c r="D79" s="4062">
        <v>15432.48178</v>
      </c>
      <c r="E79" s="4062">
        <v>519.99188000000004</v>
      </c>
      <c r="F79" s="4062">
        <v>5763.3586100000002</v>
      </c>
      <c r="G79" s="4063">
        <v>21715.832269999999</v>
      </c>
    </row>
    <row r="80" spans="3:7" ht="14.4" x14ac:dyDescent="0.25">
      <c r="C80" s="4061" t="s">
        <v>92</v>
      </c>
      <c r="D80" s="4062">
        <v>4788.1930000000002</v>
      </c>
      <c r="E80" s="4062">
        <v>242</v>
      </c>
      <c r="F80" s="4062">
        <v>1444.2470000000001</v>
      </c>
      <c r="G80" s="4063">
        <v>6474.4400000000005</v>
      </c>
    </row>
    <row r="81" spans="3:7" ht="14.4" x14ac:dyDescent="0.25">
      <c r="C81" s="4061" t="s">
        <v>64</v>
      </c>
      <c r="D81" s="4062">
        <v>3510.00801</v>
      </c>
      <c r="E81" s="4062">
        <v>280</v>
      </c>
      <c r="F81" s="4062">
        <v>3100.2856000000002</v>
      </c>
      <c r="G81" s="4063">
        <v>6890.2936100000006</v>
      </c>
    </row>
    <row r="82" spans="3:7" ht="14.4" x14ac:dyDescent="0.25">
      <c r="C82" s="4061" t="s">
        <v>1276</v>
      </c>
      <c r="D82" s="4062"/>
      <c r="E82" s="4062"/>
      <c r="F82" s="4062">
        <v>186.76</v>
      </c>
      <c r="G82" s="4063">
        <v>186.76</v>
      </c>
    </row>
    <row r="83" spans="3:7" ht="14.4" x14ac:dyDescent="0.25">
      <c r="C83" s="4073" t="s">
        <v>136</v>
      </c>
      <c r="D83" s="4074">
        <v>100</v>
      </c>
      <c r="E83" s="4074">
        <v>544</v>
      </c>
      <c r="F83" s="4074">
        <v>2490.49442</v>
      </c>
      <c r="G83" s="4075">
        <v>3134.49442</v>
      </c>
    </row>
    <row r="84" spans="3:7" ht="14.4" x14ac:dyDescent="0.25">
      <c r="C84" s="4061" t="s">
        <v>59</v>
      </c>
      <c r="D84" s="4062">
        <v>100</v>
      </c>
      <c r="E84" s="4062"/>
      <c r="F84" s="4062">
        <v>1360.49442</v>
      </c>
      <c r="G84" s="4063">
        <v>1460.49442</v>
      </c>
    </row>
    <row r="85" spans="3:7" ht="14.4" x14ac:dyDescent="0.25">
      <c r="C85" s="4061" t="s">
        <v>92</v>
      </c>
      <c r="D85" s="4062"/>
      <c r="E85" s="4062">
        <v>484</v>
      </c>
      <c r="F85" s="4062">
        <v>630</v>
      </c>
      <c r="G85" s="4063">
        <v>1114</v>
      </c>
    </row>
    <row r="86" spans="3:7" ht="14.4" x14ac:dyDescent="0.25">
      <c r="C86" s="4061" t="s">
        <v>64</v>
      </c>
      <c r="D86" s="4062"/>
      <c r="E86" s="4062">
        <v>60</v>
      </c>
      <c r="F86" s="4062">
        <v>500</v>
      </c>
      <c r="G86" s="4063">
        <v>560</v>
      </c>
    </row>
    <row r="87" spans="3:7" ht="14.4" x14ac:dyDescent="0.25">
      <c r="C87" s="4064" t="s">
        <v>1276</v>
      </c>
      <c r="D87" s="4065"/>
      <c r="E87" s="4065"/>
      <c r="F87" s="4065"/>
      <c r="G87" s="4066">
        <v>0</v>
      </c>
    </row>
    <row r="88" spans="3:7" ht="14.4" x14ac:dyDescent="0.25">
      <c r="C88" s="4076" t="s">
        <v>137</v>
      </c>
      <c r="D88" s="4077">
        <v>8866.1672300000009</v>
      </c>
      <c r="E88" s="4077">
        <v>5315.13465</v>
      </c>
      <c r="F88" s="4077">
        <v>32653.160610000003</v>
      </c>
      <c r="G88" s="4078">
        <v>46834.462490000005</v>
      </c>
    </row>
    <row r="89" spans="3:7" ht="14.4" x14ac:dyDescent="0.25">
      <c r="C89" s="4061" t="s">
        <v>92</v>
      </c>
      <c r="D89" s="4062">
        <v>1610.7945500000001</v>
      </c>
      <c r="E89" s="4062">
        <v>421.149</v>
      </c>
      <c r="F89" s="4062">
        <v>13921.267980000001</v>
      </c>
      <c r="G89" s="4063">
        <v>15953.21153</v>
      </c>
    </row>
    <row r="90" spans="3:7" ht="14.4" x14ac:dyDescent="0.25">
      <c r="C90" s="4061" t="s">
        <v>64</v>
      </c>
      <c r="D90" s="4062">
        <v>7255.3726800000004</v>
      </c>
      <c r="E90" s="4062">
        <v>635.98564999999996</v>
      </c>
      <c r="F90" s="4062">
        <v>16328.63989</v>
      </c>
      <c r="G90" s="4063">
        <v>24219.998220000001</v>
      </c>
    </row>
    <row r="91" spans="3:7" ht="14.4" x14ac:dyDescent="0.25">
      <c r="C91" s="4061" t="s">
        <v>68</v>
      </c>
      <c r="D91" s="4062"/>
      <c r="E91" s="4062">
        <v>70</v>
      </c>
      <c r="F91" s="4062">
        <v>1300</v>
      </c>
      <c r="G91" s="4063">
        <v>1370</v>
      </c>
    </row>
    <row r="92" spans="3:7" ht="14.4" x14ac:dyDescent="0.25">
      <c r="C92" s="4061" t="s">
        <v>1276</v>
      </c>
      <c r="D92" s="4062"/>
      <c r="E92" s="4062">
        <v>4188</v>
      </c>
      <c r="F92" s="4062">
        <v>1103.2527399999999</v>
      </c>
      <c r="G92" s="4063">
        <v>5291.2527399999999</v>
      </c>
    </row>
    <row r="93" spans="3:7" ht="14.4" x14ac:dyDescent="0.25">
      <c r="C93" s="4079" t="s">
        <v>1277</v>
      </c>
      <c r="D93" s="4080">
        <v>0</v>
      </c>
      <c r="E93" s="4080">
        <v>0</v>
      </c>
      <c r="F93" s="4080">
        <v>0</v>
      </c>
      <c r="G93" s="4081">
        <v>0</v>
      </c>
    </row>
    <row r="94" spans="3:7" ht="14.4" x14ac:dyDescent="0.25">
      <c r="C94" s="4082" t="s">
        <v>431</v>
      </c>
      <c r="D94" s="4083">
        <f>SUM(D68,D73,D78,D83,D88)</f>
        <v>46548.28815</v>
      </c>
      <c r="E94" s="4083">
        <f t="shared" ref="E94:G94" si="0">SUM(E68,E73,E78,E83,E88)</f>
        <v>8578.1326699999991</v>
      </c>
      <c r="F94" s="4083">
        <f t="shared" si="0"/>
        <v>58291.642230000005</v>
      </c>
      <c r="G94" s="4083">
        <f t="shared" si="0"/>
        <v>113418.06305000001</v>
      </c>
    </row>
    <row r="95" spans="3:7" x14ac:dyDescent="0.25">
      <c r="C95" s="4084" t="s">
        <v>1278</v>
      </c>
      <c r="D95" s="3580"/>
      <c r="E95" s="3580"/>
      <c r="F95" s="3580"/>
    </row>
    <row r="96" spans="3:7" x14ac:dyDescent="0.25">
      <c r="C96" s="4084"/>
      <c r="D96" s="3580"/>
      <c r="E96" s="3580"/>
      <c r="F96" s="3580"/>
    </row>
    <row r="97" spans="2:8" x14ac:dyDescent="0.25">
      <c r="C97" s="4084"/>
      <c r="D97" s="3580"/>
      <c r="E97" s="3580"/>
      <c r="F97" s="3580"/>
    </row>
    <row r="98" spans="2:8" ht="18" x14ac:dyDescent="0.25">
      <c r="C98" s="4054"/>
      <c r="D98" s="6352">
        <v>2019</v>
      </c>
      <c r="E98" s="6352"/>
      <c r="F98" s="6352"/>
      <c r="G98" s="6352"/>
    </row>
    <row r="99" spans="2:8" ht="29.4" thickBot="1" x14ac:dyDescent="0.3">
      <c r="B99" s="4054"/>
      <c r="C99" s="4056" t="s">
        <v>1271</v>
      </c>
      <c r="D99" s="4056" t="s">
        <v>1272</v>
      </c>
      <c r="E99" s="4056" t="s">
        <v>1273</v>
      </c>
      <c r="F99" s="4056" t="s">
        <v>38</v>
      </c>
      <c r="G99" s="4057" t="s">
        <v>1279</v>
      </c>
      <c r="H99" s="5597"/>
    </row>
    <row r="100" spans="2:8" ht="18" x14ac:dyDescent="0.25">
      <c r="B100" s="4054"/>
      <c r="C100" s="4058" t="s">
        <v>1275</v>
      </c>
      <c r="D100" s="4059">
        <v>8243.5685699999995</v>
      </c>
      <c r="E100" s="4059">
        <v>3431.0819999999999</v>
      </c>
      <c r="F100" s="4059">
        <v>14864.62199</v>
      </c>
      <c r="G100" s="4060">
        <v>26539.272559999998</v>
      </c>
    </row>
    <row r="101" spans="2:8" ht="18" x14ac:dyDescent="0.25">
      <c r="B101" s="4054"/>
      <c r="C101" s="4061" t="s">
        <v>59</v>
      </c>
      <c r="D101" s="4062">
        <v>7102.5685700000004</v>
      </c>
      <c r="E101" s="4062">
        <v>2693.0819999999999</v>
      </c>
      <c r="F101" s="4062">
        <v>10555.62199</v>
      </c>
      <c r="G101" s="4063">
        <v>20351.272559999998</v>
      </c>
    </row>
    <row r="102" spans="2:8" ht="18" x14ac:dyDescent="0.25">
      <c r="B102" s="4054"/>
      <c r="C102" s="4061" t="s">
        <v>64</v>
      </c>
      <c r="D102" s="4062">
        <v>1141</v>
      </c>
      <c r="E102" s="4062">
        <v>262</v>
      </c>
      <c r="F102" s="4062">
        <v>4309</v>
      </c>
      <c r="G102" s="4063">
        <v>5712</v>
      </c>
    </row>
    <row r="103" spans="2:8" ht="18" x14ac:dyDescent="0.25">
      <c r="B103" s="4054"/>
      <c r="C103" s="4061" t="s">
        <v>68</v>
      </c>
      <c r="D103" s="4062">
        <v>0</v>
      </c>
      <c r="E103" s="4062">
        <v>476</v>
      </c>
      <c r="F103" s="4062">
        <v>0</v>
      </c>
      <c r="G103" s="4063">
        <v>476</v>
      </c>
    </row>
    <row r="104" spans="2:8" ht="18" customHeight="1" x14ac:dyDescent="0.25">
      <c r="B104" s="4054"/>
      <c r="C104" s="4064" t="s">
        <v>1276</v>
      </c>
      <c r="D104" s="4065"/>
      <c r="E104" s="4065"/>
      <c r="F104" s="4065"/>
      <c r="G104" s="4066">
        <v>0</v>
      </c>
    </row>
    <row r="105" spans="2:8" ht="18" x14ac:dyDescent="0.25">
      <c r="B105" s="4054"/>
      <c r="C105" s="4067" t="s">
        <v>134</v>
      </c>
      <c r="D105" s="4068">
        <v>7178.2199999999993</v>
      </c>
      <c r="E105" s="4068">
        <v>1511.9929999999999</v>
      </c>
      <c r="F105" s="4068">
        <v>4967.7759999999998</v>
      </c>
      <c r="G105" s="4069">
        <v>13657.989</v>
      </c>
    </row>
    <row r="106" spans="2:8" ht="18" x14ac:dyDescent="0.25">
      <c r="B106" s="4054"/>
      <c r="C106" s="4061" t="s">
        <v>111</v>
      </c>
      <c r="D106" s="4062">
        <v>0</v>
      </c>
      <c r="E106" s="4062">
        <v>30</v>
      </c>
      <c r="F106" s="4062">
        <v>0</v>
      </c>
      <c r="G106" s="4063">
        <v>30</v>
      </c>
    </row>
    <row r="107" spans="2:8" ht="18" x14ac:dyDescent="0.25">
      <c r="B107" s="4054"/>
      <c r="C107" s="4061" t="s">
        <v>115</v>
      </c>
      <c r="D107" s="4062">
        <v>3066.8629999999998</v>
      </c>
      <c r="E107" s="4062">
        <v>1371.9929999999999</v>
      </c>
      <c r="F107" s="4062">
        <v>2063.7759999999998</v>
      </c>
      <c r="G107" s="4063">
        <v>6502.6319999999996</v>
      </c>
    </row>
    <row r="108" spans="2:8" ht="18" x14ac:dyDescent="0.25">
      <c r="B108" s="4054"/>
      <c r="C108" s="4061" t="s">
        <v>64</v>
      </c>
      <c r="D108" s="4062">
        <v>4111.357</v>
      </c>
      <c r="E108" s="4062">
        <v>110</v>
      </c>
      <c r="F108" s="4062">
        <v>2904</v>
      </c>
      <c r="G108" s="4063">
        <v>7125.357</v>
      </c>
    </row>
    <row r="109" spans="2:8" ht="18" x14ac:dyDescent="0.25">
      <c r="B109" s="4054"/>
      <c r="C109" s="4064" t="s">
        <v>1276</v>
      </c>
      <c r="D109" s="4065"/>
      <c r="E109" s="4065"/>
      <c r="F109" s="4065"/>
      <c r="G109" s="4066">
        <v>0</v>
      </c>
    </row>
    <row r="110" spans="2:8" ht="18" x14ac:dyDescent="0.25">
      <c r="B110" s="4054"/>
      <c r="C110" s="4070" t="s">
        <v>135</v>
      </c>
      <c r="D110" s="4071">
        <v>36385.634379999996</v>
      </c>
      <c r="E110" s="4071">
        <v>7424.8441000000003</v>
      </c>
      <c r="F110" s="4071">
        <v>16924.021099999998</v>
      </c>
      <c r="G110" s="4072">
        <v>60734.499579999996</v>
      </c>
    </row>
    <row r="111" spans="2:8" ht="18" x14ac:dyDescent="0.25">
      <c r="B111" s="4054"/>
      <c r="C111" s="4061" t="s">
        <v>59</v>
      </c>
      <c r="D111" s="4062">
        <v>31322.241379999999</v>
      </c>
      <c r="E111" s="4062">
        <v>4202.9470000000001</v>
      </c>
      <c r="F111" s="4062">
        <v>8747.3359899999996</v>
      </c>
      <c r="G111" s="4063">
        <v>44272.524369999999</v>
      </c>
    </row>
    <row r="112" spans="2:8" ht="18" x14ac:dyDescent="0.25">
      <c r="B112" s="4054"/>
      <c r="C112" s="4061" t="s">
        <v>92</v>
      </c>
      <c r="D112" s="4062">
        <v>3391.107</v>
      </c>
      <c r="E112" s="4062">
        <v>1914.752</v>
      </c>
      <c r="F112" s="4062">
        <v>3912.1750000000002</v>
      </c>
      <c r="G112" s="4063">
        <v>9218.0339999999997</v>
      </c>
    </row>
    <row r="113" spans="2:7" ht="18" x14ac:dyDescent="0.25">
      <c r="B113" s="4054"/>
      <c r="C113" s="4061" t="s">
        <v>64</v>
      </c>
      <c r="D113" s="4062">
        <v>1672.2860000000001</v>
      </c>
      <c r="E113" s="4062">
        <v>1307.1451000000002</v>
      </c>
      <c r="F113" s="4062">
        <v>3363.1371099999997</v>
      </c>
      <c r="G113" s="4063">
        <v>6342.5682099999995</v>
      </c>
    </row>
    <row r="114" spans="2:7" ht="18" x14ac:dyDescent="0.25">
      <c r="B114" s="4054"/>
      <c r="C114" s="4061" t="s">
        <v>1276</v>
      </c>
      <c r="D114" s="4062">
        <v>0</v>
      </c>
      <c r="E114" s="4062">
        <v>0</v>
      </c>
      <c r="F114" s="4062">
        <v>901.37300000000005</v>
      </c>
      <c r="G114" s="4063">
        <v>901.37300000000005</v>
      </c>
    </row>
    <row r="115" spans="2:7" ht="18" x14ac:dyDescent="0.25">
      <c r="B115" s="4054"/>
      <c r="C115" s="4064" t="s">
        <v>1280</v>
      </c>
      <c r="D115" s="4065"/>
      <c r="E115" s="4065"/>
      <c r="F115" s="4065"/>
      <c r="G115" s="4066">
        <v>0</v>
      </c>
    </row>
    <row r="116" spans="2:7" ht="18" x14ac:dyDescent="0.25">
      <c r="B116" s="4054"/>
      <c r="C116" s="4073" t="s">
        <v>136</v>
      </c>
      <c r="D116" s="4074">
        <v>805.47199999999998</v>
      </c>
      <c r="E116" s="4074">
        <v>1482.8220000000001</v>
      </c>
      <c r="F116" s="4074">
        <v>687.45</v>
      </c>
      <c r="G116" s="4075">
        <v>2975.7439999999997</v>
      </c>
    </row>
    <row r="117" spans="2:7" ht="18" x14ac:dyDescent="0.25">
      <c r="B117" s="4054"/>
      <c r="C117" s="4061" t="s">
        <v>59</v>
      </c>
      <c r="D117" s="4062">
        <v>0</v>
      </c>
      <c r="E117" s="4062">
        <v>852.822</v>
      </c>
      <c r="F117" s="4062">
        <v>0</v>
      </c>
      <c r="G117" s="4063">
        <v>852.822</v>
      </c>
    </row>
    <row r="118" spans="2:7" ht="18" x14ac:dyDescent="0.25">
      <c r="B118" s="4054"/>
      <c r="C118" s="4061" t="s">
        <v>92</v>
      </c>
      <c r="D118" s="4062">
        <v>805.47199999999998</v>
      </c>
      <c r="E118" s="4062">
        <v>504</v>
      </c>
      <c r="F118" s="4062">
        <v>277.45</v>
      </c>
      <c r="G118" s="4063">
        <v>1586.922</v>
      </c>
    </row>
    <row r="119" spans="2:7" ht="18" x14ac:dyDescent="0.25">
      <c r="B119" s="4054"/>
      <c r="C119" s="4061" t="s">
        <v>64</v>
      </c>
      <c r="D119" s="4062">
        <v>0</v>
      </c>
      <c r="E119" s="4062">
        <v>126</v>
      </c>
      <c r="F119" s="4062">
        <v>410</v>
      </c>
      <c r="G119" s="4063">
        <v>536</v>
      </c>
    </row>
    <row r="120" spans="2:7" ht="18" x14ac:dyDescent="0.25">
      <c r="B120" s="4054"/>
      <c r="C120" s="4064" t="s">
        <v>1276</v>
      </c>
      <c r="D120" s="4065"/>
      <c r="E120" s="4065"/>
      <c r="F120" s="4065"/>
      <c r="G120" s="4066">
        <v>0</v>
      </c>
    </row>
    <row r="121" spans="2:7" ht="18" x14ac:dyDescent="0.25">
      <c r="B121" s="4054"/>
      <c r="C121" s="4076" t="s">
        <v>137</v>
      </c>
      <c r="D121" s="4077">
        <v>4064.5147899999997</v>
      </c>
      <c r="E121" s="4077">
        <v>3383.1289999999999</v>
      </c>
      <c r="F121" s="4077">
        <v>33676.788069999995</v>
      </c>
      <c r="G121" s="4078">
        <v>41124.431859999997</v>
      </c>
    </row>
    <row r="122" spans="2:7" ht="18" x14ac:dyDescent="0.25">
      <c r="B122" s="4054"/>
      <c r="C122" s="4061" t="s">
        <v>92</v>
      </c>
      <c r="D122" s="4062">
        <v>3059.3415099999997</v>
      </c>
      <c r="E122" s="4062">
        <v>1544.8409999999999</v>
      </c>
      <c r="F122" s="4062">
        <v>14023.955169999999</v>
      </c>
      <c r="G122" s="4063">
        <v>18628.13768</v>
      </c>
    </row>
    <row r="123" spans="2:7" ht="18" x14ac:dyDescent="0.25">
      <c r="B123" s="4054"/>
      <c r="C123" s="4061" t="s">
        <v>64</v>
      </c>
      <c r="D123" s="4062">
        <v>1005.17328</v>
      </c>
      <c r="E123" s="4062">
        <v>1728.288</v>
      </c>
      <c r="F123" s="4062">
        <v>8902.1371999999992</v>
      </c>
      <c r="G123" s="4063">
        <v>11635.598479999999</v>
      </c>
    </row>
    <row r="124" spans="2:7" ht="18" x14ac:dyDescent="0.25">
      <c r="B124" s="4054"/>
      <c r="C124" s="4061" t="s">
        <v>68</v>
      </c>
      <c r="D124" s="4062">
        <v>0</v>
      </c>
      <c r="E124" s="4062">
        <v>0</v>
      </c>
      <c r="F124" s="4062">
        <v>7050.6957000000002</v>
      </c>
      <c r="G124" s="4063">
        <v>7050.6957000000002</v>
      </c>
    </row>
    <row r="125" spans="2:7" ht="18" x14ac:dyDescent="0.25">
      <c r="B125" s="4054"/>
      <c r="C125" s="4061" t="s">
        <v>1276</v>
      </c>
      <c r="D125" s="4062">
        <v>0</v>
      </c>
      <c r="E125" s="4062">
        <v>110</v>
      </c>
      <c r="F125" s="4062">
        <v>3700</v>
      </c>
      <c r="G125" s="4063">
        <v>3810</v>
      </c>
    </row>
    <row r="126" spans="2:7" ht="18" x14ac:dyDescent="0.25">
      <c r="B126" s="4054"/>
      <c r="C126" s="4064" t="s">
        <v>1280</v>
      </c>
      <c r="D126" s="4065"/>
      <c r="E126" s="4065"/>
      <c r="F126" s="4065"/>
      <c r="G126" s="4066">
        <v>0</v>
      </c>
    </row>
    <row r="127" spans="2:7" ht="18" x14ac:dyDescent="0.25">
      <c r="B127" s="4054"/>
      <c r="C127" s="4079" t="s">
        <v>1277</v>
      </c>
      <c r="D127" s="4080">
        <v>0</v>
      </c>
      <c r="E127" s="4080">
        <v>0</v>
      </c>
      <c r="F127" s="4080">
        <v>2000</v>
      </c>
      <c r="G127" s="4081">
        <v>2000</v>
      </c>
    </row>
    <row r="128" spans="2:7" ht="18" x14ac:dyDescent="0.25">
      <c r="B128" s="4054"/>
      <c r="C128" s="4082" t="s">
        <v>431</v>
      </c>
      <c r="D128" s="4085">
        <v>56677.409739999996</v>
      </c>
      <c r="E128" s="4085">
        <v>17233.8701</v>
      </c>
      <c r="F128" s="4085">
        <v>73120.657159999988</v>
      </c>
      <c r="G128" s="4085">
        <v>147031.93699999998</v>
      </c>
    </row>
    <row r="129" spans="2:7" ht="18" x14ac:dyDescent="0.25">
      <c r="B129" s="4054"/>
      <c r="C129" s="4084" t="s">
        <v>1281</v>
      </c>
      <c r="D129" s="3580"/>
      <c r="E129" s="3580"/>
      <c r="F129" s="3580"/>
      <c r="G129" s="3580"/>
    </row>
    <row r="130" spans="2:7" ht="18" x14ac:dyDescent="0.25">
      <c r="B130" s="4054"/>
      <c r="C130" s="4055"/>
      <c r="D130" s="4055"/>
      <c r="E130" s="4055"/>
      <c r="F130" s="4055"/>
      <c r="G130" s="4055"/>
    </row>
    <row r="131" spans="2:7" ht="15" thickBot="1" x14ac:dyDescent="0.3">
      <c r="B131" s="4086"/>
      <c r="C131" s="4056" t="s">
        <v>1271</v>
      </c>
      <c r="D131" s="4056" t="s">
        <v>1272</v>
      </c>
      <c r="E131" s="4056" t="s">
        <v>1273</v>
      </c>
      <c r="F131" s="4056" t="s">
        <v>38</v>
      </c>
      <c r="G131" s="4056" t="s">
        <v>1282</v>
      </c>
    </row>
    <row r="132" spans="2:7" ht="17.100000000000001" customHeight="1" x14ac:dyDescent="0.25">
      <c r="B132" s="6355"/>
      <c r="C132" s="4058" t="s">
        <v>1275</v>
      </c>
      <c r="D132" s="4059">
        <f>SUM(D133:D136)</f>
        <v>3228590</v>
      </c>
      <c r="E132" s="4059">
        <f>SUM(E133:E136)</f>
        <v>5837289.0600000005</v>
      </c>
      <c r="F132" s="4059">
        <f>SUM(F133:F136)</f>
        <v>10181800</v>
      </c>
      <c r="G132" s="4060">
        <f>SUM(D132:F132)</f>
        <v>19247679.060000002</v>
      </c>
    </row>
    <row r="133" spans="2:7" ht="17.100000000000001" customHeight="1" x14ac:dyDescent="0.25">
      <c r="B133" s="6355"/>
      <c r="C133" s="4061" t="s">
        <v>59</v>
      </c>
      <c r="D133" s="4062">
        <v>1327600</v>
      </c>
      <c r="E133" s="4062">
        <v>3169916</v>
      </c>
      <c r="F133" s="4062">
        <v>9653800</v>
      </c>
      <c r="G133" s="4063">
        <v>14151316</v>
      </c>
    </row>
    <row r="134" spans="2:7" ht="17.100000000000001" customHeight="1" x14ac:dyDescent="0.25">
      <c r="B134" s="6355"/>
      <c r="C134" s="4061" t="s">
        <v>64</v>
      </c>
      <c r="D134" s="4062">
        <v>1900990</v>
      </c>
      <c r="E134" s="4062">
        <v>1796373.06</v>
      </c>
      <c r="F134" s="4062">
        <v>493000</v>
      </c>
      <c r="G134" s="4063">
        <v>4190363.06</v>
      </c>
    </row>
    <row r="135" spans="2:7" ht="17.100000000000001" customHeight="1" x14ac:dyDescent="0.25">
      <c r="B135" s="6355"/>
      <c r="C135" s="4061" t="s">
        <v>68</v>
      </c>
      <c r="D135" s="4062"/>
      <c r="E135" s="4062">
        <v>871000</v>
      </c>
      <c r="F135" s="4062">
        <v>35000</v>
      </c>
      <c r="G135" s="4063">
        <v>906000</v>
      </c>
    </row>
    <row r="136" spans="2:7" ht="17.100000000000001" customHeight="1" x14ac:dyDescent="0.25">
      <c r="B136" s="6355"/>
      <c r="C136" s="4064" t="s">
        <v>1276</v>
      </c>
      <c r="D136" s="4065"/>
      <c r="E136" s="4065"/>
      <c r="F136" s="4065"/>
      <c r="G136" s="4066">
        <v>0</v>
      </c>
    </row>
    <row r="137" spans="2:7" ht="17.100000000000001" customHeight="1" x14ac:dyDescent="0.25">
      <c r="B137" s="6356"/>
      <c r="C137" s="4067" t="s">
        <v>134</v>
      </c>
      <c r="D137" s="4068">
        <f>SUM(D138:D140)</f>
        <v>5525572</v>
      </c>
      <c r="E137" s="4068">
        <f>SUM(E138:E140)</f>
        <v>569403</v>
      </c>
      <c r="F137" s="4068">
        <f>SUM(F138:F140)</f>
        <v>15050974</v>
      </c>
      <c r="G137" s="4069">
        <f>SUM(D137:F137)</f>
        <v>21145949</v>
      </c>
    </row>
    <row r="138" spans="2:7" ht="17.100000000000001" customHeight="1" x14ac:dyDescent="0.25">
      <c r="B138" s="6356"/>
      <c r="C138" s="4061" t="s">
        <v>111</v>
      </c>
      <c r="D138" s="4062">
        <v>1365300</v>
      </c>
      <c r="E138" s="4062">
        <v>70000</v>
      </c>
      <c r="F138" s="4062">
        <v>485546</v>
      </c>
      <c r="G138" s="4063">
        <v>1920846</v>
      </c>
    </row>
    <row r="139" spans="2:7" ht="17.100000000000001" customHeight="1" x14ac:dyDescent="0.25">
      <c r="B139" s="6356"/>
      <c r="C139" s="4061" t="s">
        <v>115</v>
      </c>
      <c r="D139" s="4062">
        <v>3893572</v>
      </c>
      <c r="E139" s="4062">
        <v>481403</v>
      </c>
      <c r="F139" s="4062">
        <v>3656840</v>
      </c>
      <c r="G139" s="4063">
        <v>8031815</v>
      </c>
    </row>
    <row r="140" spans="2:7" ht="17.100000000000001" customHeight="1" x14ac:dyDescent="0.25">
      <c r="B140" s="6356"/>
      <c r="C140" s="4061" t="s">
        <v>64</v>
      </c>
      <c r="D140" s="4062">
        <v>266700</v>
      </c>
      <c r="E140" s="4062">
        <v>18000</v>
      </c>
      <c r="F140" s="4062">
        <v>10908588</v>
      </c>
      <c r="G140" s="4063">
        <v>11193288</v>
      </c>
    </row>
    <row r="141" spans="2:7" ht="17.100000000000001" customHeight="1" x14ac:dyDescent="0.25">
      <c r="B141" s="6356"/>
      <c r="C141" s="4064" t="s">
        <v>1276</v>
      </c>
      <c r="D141" s="4065"/>
      <c r="E141" s="4065"/>
      <c r="F141" s="4065"/>
      <c r="G141" s="4066">
        <v>0</v>
      </c>
    </row>
    <row r="142" spans="2:7" ht="17.100000000000001" customHeight="1" x14ac:dyDescent="0.25">
      <c r="B142" s="6357"/>
      <c r="C142" s="4070" t="s">
        <v>135</v>
      </c>
      <c r="D142" s="4071">
        <f>SUM(D143:D147)</f>
        <v>22236199.030000001</v>
      </c>
      <c r="E142" s="4071">
        <f>SUM(E143:E147)</f>
        <v>11331306.050000001</v>
      </c>
      <c r="F142" s="4071">
        <f>SUM(F143:F147)</f>
        <v>31222259</v>
      </c>
      <c r="G142" s="4072">
        <f>SUM(G143:G147)</f>
        <v>64789764.079999998</v>
      </c>
    </row>
    <row r="143" spans="2:7" ht="17.100000000000001" customHeight="1" x14ac:dyDescent="0.25">
      <c r="B143" s="6357"/>
      <c r="C143" s="4061" t="s">
        <v>59</v>
      </c>
      <c r="D143" s="4062">
        <v>17246617</v>
      </c>
      <c r="E143" s="4062">
        <v>5704114.1600000001</v>
      </c>
      <c r="F143" s="4062">
        <v>13730891.32</v>
      </c>
      <c r="G143" s="4063">
        <v>36681622.479999997</v>
      </c>
    </row>
    <row r="144" spans="2:7" ht="17.100000000000001" customHeight="1" x14ac:dyDescent="0.25">
      <c r="B144" s="6357"/>
      <c r="C144" s="4061" t="s">
        <v>92</v>
      </c>
      <c r="D144" s="4062">
        <v>4418147.03</v>
      </c>
      <c r="E144" s="4062">
        <v>4585070</v>
      </c>
      <c r="F144" s="4062">
        <v>6303631.3799999999</v>
      </c>
      <c r="G144" s="4063">
        <v>15306848.41</v>
      </c>
    </row>
    <row r="145" spans="2:7" ht="17.100000000000001" customHeight="1" x14ac:dyDescent="0.25">
      <c r="B145" s="6357"/>
      <c r="C145" s="4061" t="s">
        <v>64</v>
      </c>
      <c r="D145" s="4062">
        <v>571435</v>
      </c>
      <c r="E145" s="4062">
        <v>1042121.89</v>
      </c>
      <c r="F145" s="4062">
        <v>9961036.3000000007</v>
      </c>
      <c r="G145" s="4063">
        <v>11574593.189999999</v>
      </c>
    </row>
    <row r="146" spans="2:7" ht="17.100000000000001" customHeight="1" x14ac:dyDescent="0.25">
      <c r="B146" s="6357"/>
      <c r="C146" s="4061" t="s">
        <v>1276</v>
      </c>
      <c r="D146" s="4062"/>
      <c r="E146" s="4062"/>
      <c r="F146" s="4062">
        <v>1226700</v>
      </c>
      <c r="G146" s="4063">
        <v>1226700</v>
      </c>
    </row>
    <row r="147" spans="2:7" ht="17.100000000000001" customHeight="1" x14ac:dyDescent="0.25">
      <c r="B147" s="6357"/>
      <c r="C147" s="4064" t="s">
        <v>1280</v>
      </c>
      <c r="D147" s="4065"/>
      <c r="E147" s="4065"/>
      <c r="F147" s="4065"/>
      <c r="G147" s="4066">
        <v>0</v>
      </c>
    </row>
    <row r="148" spans="2:7" ht="17.100000000000001" customHeight="1" x14ac:dyDescent="0.25">
      <c r="B148" s="6358"/>
      <c r="C148" s="4073" t="s">
        <v>136</v>
      </c>
      <c r="D148" s="4074">
        <f>SUM(D149:D152)</f>
        <v>3928055.6</v>
      </c>
      <c r="E148" s="4074">
        <f>SUM(E149:E152)</f>
        <v>1504574</v>
      </c>
      <c r="F148" s="4074">
        <f>SUM(F149:F152)</f>
        <v>900000</v>
      </c>
      <c r="G148" s="4075">
        <f>SUM(G149:G152)</f>
        <v>6332629.5999999996</v>
      </c>
    </row>
    <row r="149" spans="2:7" ht="17.100000000000001" customHeight="1" x14ac:dyDescent="0.25">
      <c r="B149" s="6358"/>
      <c r="C149" s="4061" t="s">
        <v>59</v>
      </c>
      <c r="D149" s="4062"/>
      <c r="E149" s="4062">
        <v>1004806</v>
      </c>
      <c r="F149" s="4062"/>
      <c r="G149" s="4063">
        <v>1004806</v>
      </c>
    </row>
    <row r="150" spans="2:7" ht="17.100000000000001" customHeight="1" x14ac:dyDescent="0.25">
      <c r="B150" s="6358"/>
      <c r="C150" s="4061" t="s">
        <v>92</v>
      </c>
      <c r="D150" s="4062">
        <v>1278056</v>
      </c>
      <c r="E150" s="4062">
        <v>334507</v>
      </c>
      <c r="F150" s="4062"/>
      <c r="G150" s="4063">
        <v>1612563</v>
      </c>
    </row>
    <row r="151" spans="2:7" ht="17.100000000000001" customHeight="1" x14ac:dyDescent="0.25">
      <c r="B151" s="6358"/>
      <c r="C151" s="4061" t="s">
        <v>64</v>
      </c>
      <c r="D151" s="4062">
        <v>2649999.6</v>
      </c>
      <c r="E151" s="4062">
        <v>165261</v>
      </c>
      <c r="F151" s="4062">
        <v>900000</v>
      </c>
      <c r="G151" s="4063">
        <v>3715260.6</v>
      </c>
    </row>
    <row r="152" spans="2:7" ht="17.100000000000001" customHeight="1" x14ac:dyDescent="0.25">
      <c r="B152" s="6358"/>
      <c r="C152" s="4064" t="s">
        <v>1276</v>
      </c>
      <c r="D152" s="4065"/>
      <c r="E152" s="4065"/>
      <c r="F152" s="4065"/>
      <c r="G152" s="4066">
        <v>0</v>
      </c>
    </row>
    <row r="153" spans="2:7" ht="17.100000000000001" customHeight="1" x14ac:dyDescent="0.25">
      <c r="B153" s="6359"/>
      <c r="C153" s="4076" t="s">
        <v>137</v>
      </c>
      <c r="D153" s="4077">
        <f>SUM(D154:D158)</f>
        <v>4480772</v>
      </c>
      <c r="E153" s="4077">
        <f>SUM(E154:E158)</f>
        <v>4104288</v>
      </c>
      <c r="F153" s="4077">
        <f>SUM(F154:F158)</f>
        <v>38087439.109999999</v>
      </c>
      <c r="G153" s="4078">
        <f>SUM(G154:G158)</f>
        <v>46672499.109999999</v>
      </c>
    </row>
    <row r="154" spans="2:7" ht="17.100000000000001" customHeight="1" x14ac:dyDescent="0.25">
      <c r="B154" s="6359"/>
      <c r="C154" s="4061" t="s">
        <v>92</v>
      </c>
      <c r="D154" s="4062">
        <v>2172572</v>
      </c>
      <c r="E154" s="4062">
        <v>2513676</v>
      </c>
      <c r="F154" s="4062">
        <v>8926137.4800000004</v>
      </c>
      <c r="G154" s="4063">
        <v>13612385.48</v>
      </c>
    </row>
    <row r="155" spans="2:7" ht="17.100000000000001" customHeight="1" x14ac:dyDescent="0.25">
      <c r="B155" s="6359"/>
      <c r="C155" s="4061" t="s">
        <v>64</v>
      </c>
      <c r="D155" s="4062">
        <v>2308200</v>
      </c>
      <c r="E155" s="4062">
        <v>982806</v>
      </c>
      <c r="F155" s="4062">
        <v>14302950</v>
      </c>
      <c r="G155" s="4063">
        <v>17593956</v>
      </c>
    </row>
    <row r="156" spans="2:7" ht="17.100000000000001" customHeight="1" x14ac:dyDescent="0.25">
      <c r="B156" s="6359"/>
      <c r="C156" s="4061" t="s">
        <v>68</v>
      </c>
      <c r="D156" s="4062"/>
      <c r="E156" s="4062">
        <v>607806</v>
      </c>
      <c r="F156" s="4062">
        <v>696000</v>
      </c>
      <c r="G156" s="4063">
        <v>1303806</v>
      </c>
    </row>
    <row r="157" spans="2:7" ht="17.100000000000001" customHeight="1" x14ac:dyDescent="0.25">
      <c r="B157" s="6359"/>
      <c r="C157" s="4061" t="s">
        <v>1276</v>
      </c>
      <c r="D157" s="4062"/>
      <c r="E157" s="4062"/>
      <c r="F157" s="4062">
        <v>14162351.630000001</v>
      </c>
      <c r="G157" s="4063">
        <v>14162351.630000001</v>
      </c>
    </row>
    <row r="158" spans="2:7" ht="17.100000000000001" customHeight="1" x14ac:dyDescent="0.25">
      <c r="B158" s="6359"/>
      <c r="C158" s="4064" t="s">
        <v>1280</v>
      </c>
      <c r="D158" s="4065"/>
      <c r="E158" s="4065"/>
      <c r="F158" s="4065"/>
      <c r="G158" s="4066">
        <v>0</v>
      </c>
    </row>
    <row r="159" spans="2:7" ht="17.100000000000001" customHeight="1" x14ac:dyDescent="0.25">
      <c r="B159" s="4087"/>
      <c r="C159" s="4079" t="s">
        <v>1277</v>
      </c>
      <c r="D159" s="4080">
        <v>0</v>
      </c>
      <c r="E159" s="4080">
        <v>0</v>
      </c>
      <c r="F159" s="4080">
        <v>29156424.789999999</v>
      </c>
      <c r="G159" s="4081">
        <v>29156424.789999999</v>
      </c>
    </row>
    <row r="160" spans="2:7" ht="17.100000000000001" customHeight="1" x14ac:dyDescent="0.25">
      <c r="B160" s="3580"/>
      <c r="C160" s="4082" t="s">
        <v>431</v>
      </c>
      <c r="D160" s="4085">
        <f>D132+D137+D142+D148+D153+D159</f>
        <v>39399188.630000003</v>
      </c>
      <c r="E160" s="4085">
        <f>E132+E137+E142+E148+E153+E159</f>
        <v>23346860.109999999</v>
      </c>
      <c r="F160" s="4085">
        <f>F132+F137+F142+F148+F153+F159</f>
        <v>124598896.90000001</v>
      </c>
      <c r="G160" s="4085">
        <f>G132+G137+G142+G148+G153+G159</f>
        <v>187344945.63999999</v>
      </c>
    </row>
    <row r="161" spans="2:7" ht="13.2" x14ac:dyDescent="0.25">
      <c r="B161" s="3580"/>
      <c r="C161" s="4084" t="s">
        <v>1283</v>
      </c>
      <c r="D161" s="4088"/>
      <c r="E161" s="25"/>
      <c r="F161" s="25"/>
      <c r="G161" s="25"/>
    </row>
    <row r="162" spans="2:7" ht="18" x14ac:dyDescent="0.25">
      <c r="B162" s="4054"/>
      <c r="C162" s="4055"/>
      <c r="D162" s="4055"/>
      <c r="E162" s="4055"/>
      <c r="F162" s="4055"/>
      <c r="G162" s="4055"/>
    </row>
    <row r="163" spans="2:7" ht="15.6" x14ac:dyDescent="0.25">
      <c r="B163" s="4089" t="s">
        <v>27</v>
      </c>
      <c r="C163" s="4090" t="s">
        <v>10</v>
      </c>
      <c r="D163" s="4089" t="s">
        <v>1272</v>
      </c>
      <c r="E163" s="4089" t="s">
        <v>1273</v>
      </c>
      <c r="F163" s="4089" t="s">
        <v>38</v>
      </c>
      <c r="G163" s="4091" t="s">
        <v>1284</v>
      </c>
    </row>
    <row r="164" spans="2:7" ht="14.4" x14ac:dyDescent="0.25">
      <c r="B164" s="6360" t="s">
        <v>138</v>
      </c>
      <c r="C164" s="4092" t="s">
        <v>48</v>
      </c>
      <c r="D164" s="4093">
        <f>SUM(D165:D168)</f>
        <v>3467000</v>
      </c>
      <c r="E164" s="4093">
        <f>SUM(E165:E168)</f>
        <v>2812778</v>
      </c>
      <c r="F164" s="4093">
        <f>SUM(F165:F168)</f>
        <v>15091234.42</v>
      </c>
      <c r="G164" s="4094">
        <f>SUM(D164:F164)</f>
        <v>21371012.420000002</v>
      </c>
    </row>
    <row r="165" spans="2:7" ht="14.4" x14ac:dyDescent="0.25">
      <c r="B165" s="6361"/>
      <c r="C165" s="4095" t="s">
        <v>59</v>
      </c>
      <c r="D165" s="4096">
        <v>1439000</v>
      </c>
      <c r="E165" s="4097">
        <v>518022</v>
      </c>
      <c r="F165" s="4098">
        <v>10815440.68</v>
      </c>
      <c r="G165" s="4099">
        <f t="shared" ref="G165:G191" si="1">SUM(D165:F165)</f>
        <v>12772462.68</v>
      </c>
    </row>
    <row r="166" spans="2:7" ht="14.4" x14ac:dyDescent="0.25">
      <c r="B166" s="6361"/>
      <c r="C166" s="4095" t="s">
        <v>64</v>
      </c>
      <c r="D166" s="4096">
        <v>2028000</v>
      </c>
      <c r="E166" s="4097">
        <v>1074678</v>
      </c>
      <c r="F166" s="4098">
        <v>3187740.55</v>
      </c>
      <c r="G166" s="4099">
        <f t="shared" si="1"/>
        <v>6290418.5499999998</v>
      </c>
    </row>
    <row r="167" spans="2:7" ht="14.4" x14ac:dyDescent="0.25">
      <c r="B167" s="6361"/>
      <c r="C167" s="4095" t="s">
        <v>68</v>
      </c>
      <c r="D167" s="4096"/>
      <c r="E167" s="4097">
        <v>1220078</v>
      </c>
      <c r="F167" s="4098">
        <v>1088053.19</v>
      </c>
      <c r="G167" s="4099">
        <f t="shared" si="1"/>
        <v>2308131.19</v>
      </c>
    </row>
    <row r="168" spans="2:7" ht="14.4" x14ac:dyDescent="0.25">
      <c r="B168" s="6362"/>
      <c r="C168" s="4095" t="s">
        <v>1276</v>
      </c>
      <c r="D168" s="4096"/>
      <c r="E168" s="4097"/>
      <c r="F168" s="4098"/>
      <c r="G168" s="4100">
        <f t="shared" si="1"/>
        <v>0</v>
      </c>
    </row>
    <row r="169" spans="2:7" ht="14.4" x14ac:dyDescent="0.25">
      <c r="B169" s="6363" t="s">
        <v>134</v>
      </c>
      <c r="C169" s="4101" t="s">
        <v>48</v>
      </c>
      <c r="D169" s="4102">
        <f>SUM(D170:D172)</f>
        <v>2198000</v>
      </c>
      <c r="E169" s="4102">
        <f>SUM(E170:E172)</f>
        <v>230000</v>
      </c>
      <c r="F169" s="4102">
        <f>SUM(F170:F172)</f>
        <v>20448675</v>
      </c>
      <c r="G169" s="4103">
        <f t="shared" si="1"/>
        <v>22876675</v>
      </c>
    </row>
    <row r="170" spans="2:7" ht="14.4" x14ac:dyDescent="0.25">
      <c r="B170" s="6364"/>
      <c r="C170" s="4095" t="s">
        <v>111</v>
      </c>
      <c r="D170" s="4096">
        <v>1220000</v>
      </c>
      <c r="E170" s="4097">
        <v>10000</v>
      </c>
      <c r="F170" s="4098">
        <v>1021140</v>
      </c>
      <c r="G170" s="4099">
        <f t="shared" si="1"/>
        <v>2251140</v>
      </c>
    </row>
    <row r="171" spans="2:7" ht="14.4" x14ac:dyDescent="0.25">
      <c r="B171" s="6364"/>
      <c r="C171" s="4095" t="s">
        <v>115</v>
      </c>
      <c r="D171" s="4096">
        <v>276000</v>
      </c>
      <c r="E171" s="4097"/>
      <c r="F171" s="4098">
        <v>13137236</v>
      </c>
      <c r="G171" s="4099">
        <f t="shared" si="1"/>
        <v>13413236</v>
      </c>
    </row>
    <row r="172" spans="2:7" ht="14.4" x14ac:dyDescent="0.25">
      <c r="B172" s="6364"/>
      <c r="C172" s="4095" t="s">
        <v>64</v>
      </c>
      <c r="D172" s="4096">
        <v>702000</v>
      </c>
      <c r="E172" s="4097">
        <v>220000</v>
      </c>
      <c r="F172" s="4098">
        <v>6290299</v>
      </c>
      <c r="G172" s="4099">
        <f t="shared" si="1"/>
        <v>7212299</v>
      </c>
    </row>
    <row r="173" spans="2:7" ht="14.4" x14ac:dyDescent="0.25">
      <c r="B173" s="6365"/>
      <c r="C173" s="4104" t="s">
        <v>1276</v>
      </c>
      <c r="D173" s="4096"/>
      <c r="E173" s="4097"/>
      <c r="F173" s="4098"/>
      <c r="G173" s="4100">
        <f t="shared" si="1"/>
        <v>0</v>
      </c>
    </row>
    <row r="174" spans="2:7" ht="14.4" x14ac:dyDescent="0.25">
      <c r="B174" s="6366" t="s">
        <v>135</v>
      </c>
      <c r="C174" s="4105" t="s">
        <v>48</v>
      </c>
      <c r="D174" s="4106">
        <f>SUM(D175:D179)</f>
        <v>12101000</v>
      </c>
      <c r="E174" s="4106">
        <f>SUM(E175:E179)</f>
        <v>7598919.0899999999</v>
      </c>
      <c r="F174" s="4106">
        <f>SUM(F175:F179)</f>
        <v>54887550.060000002</v>
      </c>
      <c r="G174" s="4106">
        <f>SUM(G175:G179)</f>
        <v>74587469.150000006</v>
      </c>
    </row>
    <row r="175" spans="2:7" ht="14.4" x14ac:dyDescent="0.25">
      <c r="B175" s="6367"/>
      <c r="C175" s="4095" t="s">
        <v>59</v>
      </c>
      <c r="D175" s="4096">
        <v>4737000</v>
      </c>
      <c r="E175" s="4097">
        <v>5085128</v>
      </c>
      <c r="F175" s="4098">
        <v>29657999</v>
      </c>
      <c r="G175" s="4099">
        <f t="shared" si="1"/>
        <v>39480127</v>
      </c>
    </row>
    <row r="176" spans="2:7" ht="14.4" x14ac:dyDescent="0.25">
      <c r="B176" s="6367"/>
      <c r="C176" s="4095" t="s">
        <v>92</v>
      </c>
      <c r="D176" s="4096">
        <v>5670000</v>
      </c>
      <c r="E176" s="4097">
        <v>1572246</v>
      </c>
      <c r="F176" s="4098">
        <v>10585118.08</v>
      </c>
      <c r="G176" s="4099">
        <f>SUM(D176:F176)</f>
        <v>17827364.079999998</v>
      </c>
    </row>
    <row r="177" spans="2:7" ht="14.4" x14ac:dyDescent="0.25">
      <c r="B177" s="6367"/>
      <c r="C177" s="4095" t="s">
        <v>64</v>
      </c>
      <c r="D177" s="4096">
        <v>1694000</v>
      </c>
      <c r="E177" s="4097">
        <v>941545.09</v>
      </c>
      <c r="F177" s="4098">
        <v>10542157.98</v>
      </c>
      <c r="G177" s="4099">
        <f>SUM(D177:F177)</f>
        <v>13177703.07</v>
      </c>
    </row>
    <row r="178" spans="2:7" ht="14.4" x14ac:dyDescent="0.25">
      <c r="B178" s="6367"/>
      <c r="C178" s="4095" t="s">
        <v>1276</v>
      </c>
      <c r="D178" s="4096"/>
      <c r="E178" s="4096"/>
      <c r="F178" s="4098">
        <v>4102275</v>
      </c>
      <c r="G178" s="4099">
        <f t="shared" si="1"/>
        <v>4102275</v>
      </c>
    </row>
    <row r="179" spans="2:7" ht="14.4" x14ac:dyDescent="0.25">
      <c r="B179" s="6368"/>
      <c r="C179" s="4104" t="s">
        <v>1280</v>
      </c>
      <c r="D179" s="4096"/>
      <c r="E179" s="4097"/>
      <c r="F179" s="4098"/>
      <c r="G179" s="4099">
        <f>SUM(D179:F179)</f>
        <v>0</v>
      </c>
    </row>
    <row r="180" spans="2:7" ht="14.4" x14ac:dyDescent="0.25">
      <c r="B180" s="6369" t="s">
        <v>136</v>
      </c>
      <c r="C180" s="4107" t="s">
        <v>48</v>
      </c>
      <c r="D180" s="4108">
        <f>SUM(D181:D184)</f>
        <v>0</v>
      </c>
      <c r="E180" s="4108">
        <f>SUM(E181:E184)</f>
        <v>1807617</v>
      </c>
      <c r="F180" s="4108">
        <f>SUM(F181:F184)</f>
        <v>2619998</v>
      </c>
      <c r="G180" s="4108">
        <f>SUM(G181:G184)</f>
        <v>4427615</v>
      </c>
    </row>
    <row r="181" spans="2:7" ht="14.4" x14ac:dyDescent="0.25">
      <c r="B181" s="6370"/>
      <c r="C181" s="4095" t="s">
        <v>59</v>
      </c>
      <c r="D181" s="4096"/>
      <c r="E181" s="4096">
        <v>70000</v>
      </c>
      <c r="F181" s="4096">
        <v>2429998</v>
      </c>
      <c r="G181" s="4099">
        <f t="shared" si="1"/>
        <v>2499998</v>
      </c>
    </row>
    <row r="182" spans="2:7" ht="14.4" x14ac:dyDescent="0.25">
      <c r="B182" s="6370"/>
      <c r="C182" s="4095" t="s">
        <v>92</v>
      </c>
      <c r="D182" s="4096"/>
      <c r="E182" s="4096">
        <v>651539</v>
      </c>
      <c r="F182" s="4096">
        <v>190000</v>
      </c>
      <c r="G182" s="4099">
        <f>SUM(E182:F182)</f>
        <v>841539</v>
      </c>
    </row>
    <row r="183" spans="2:7" ht="14.4" x14ac:dyDescent="0.25">
      <c r="B183" s="6370"/>
      <c r="C183" s="4095" t="s">
        <v>64</v>
      </c>
      <c r="D183" s="4096"/>
      <c r="E183" s="4096">
        <v>1086078</v>
      </c>
      <c r="F183" s="4096"/>
      <c r="G183" s="4099">
        <f>SUM(E183:F183)</f>
        <v>1086078</v>
      </c>
    </row>
    <row r="184" spans="2:7" ht="14.4" x14ac:dyDescent="0.25">
      <c r="B184" s="6371"/>
      <c r="C184" s="4104" t="s">
        <v>1276</v>
      </c>
      <c r="D184" s="4096"/>
      <c r="E184" s="4096"/>
      <c r="F184" s="4096"/>
      <c r="G184" s="4099">
        <f t="shared" si="1"/>
        <v>0</v>
      </c>
    </row>
    <row r="185" spans="2:7" ht="14.4" x14ac:dyDescent="0.25">
      <c r="B185" s="6372" t="s">
        <v>137</v>
      </c>
      <c r="C185" s="4109" t="s">
        <v>48</v>
      </c>
      <c r="D185" s="4110">
        <f>SUM(D186:D190)</f>
        <v>3178000</v>
      </c>
      <c r="E185" s="4110">
        <f>SUM(E186:E190)</f>
        <v>28211162.490000002</v>
      </c>
      <c r="F185" s="4110">
        <f>SUM(F186:F190)</f>
        <v>67428810.75</v>
      </c>
      <c r="G185" s="4110">
        <f>SUM(G186:G190)</f>
        <v>98817973.24000001</v>
      </c>
    </row>
    <row r="186" spans="2:7" ht="14.4" x14ac:dyDescent="0.25">
      <c r="B186" s="6373"/>
      <c r="C186" s="4095" t="s">
        <v>92</v>
      </c>
      <c r="D186" s="4096">
        <v>1142000</v>
      </c>
      <c r="E186" s="4097">
        <v>2773452.5700000003</v>
      </c>
      <c r="F186" s="4098">
        <v>13659231.800000001</v>
      </c>
      <c r="G186" s="4099">
        <f t="shared" si="1"/>
        <v>17574684.370000001</v>
      </c>
    </row>
    <row r="187" spans="2:7" ht="14.4" x14ac:dyDescent="0.25">
      <c r="B187" s="6373"/>
      <c r="C187" s="4095" t="s">
        <v>64</v>
      </c>
      <c r="D187" s="4096">
        <v>1734000</v>
      </c>
      <c r="E187" s="4097">
        <v>1342110.92</v>
      </c>
      <c r="F187" s="4098">
        <v>47558825.700000003</v>
      </c>
      <c r="G187" s="4099">
        <f t="shared" si="1"/>
        <v>50634936.620000005</v>
      </c>
    </row>
    <row r="188" spans="2:7" ht="14.4" x14ac:dyDescent="0.25">
      <c r="B188" s="6373"/>
      <c r="C188" s="4095" t="s">
        <v>68</v>
      </c>
      <c r="D188" s="4096">
        <v>302000</v>
      </c>
      <c r="E188" s="4097">
        <v>245539</v>
      </c>
      <c r="F188" s="4098">
        <v>1182080</v>
      </c>
      <c r="G188" s="4099">
        <f t="shared" si="1"/>
        <v>1729619</v>
      </c>
    </row>
    <row r="189" spans="2:7" ht="14.4" x14ac:dyDescent="0.25">
      <c r="B189" s="6373"/>
      <c r="C189" s="4095" t="s">
        <v>1276</v>
      </c>
      <c r="D189" s="4096"/>
      <c r="E189" s="4097">
        <v>23850060</v>
      </c>
      <c r="F189" s="4098">
        <v>5028673.2499999991</v>
      </c>
      <c r="G189" s="4099">
        <f t="shared" si="1"/>
        <v>28878733.25</v>
      </c>
    </row>
    <row r="190" spans="2:7" ht="14.4" x14ac:dyDescent="0.25">
      <c r="B190" s="6374"/>
      <c r="C190" s="4104" t="s">
        <v>1280</v>
      </c>
      <c r="D190" s="4096"/>
      <c r="E190" s="4097"/>
      <c r="F190" s="4098"/>
      <c r="G190" s="4100">
        <f t="shared" si="1"/>
        <v>0</v>
      </c>
    </row>
    <row r="191" spans="2:7" ht="14.4" x14ac:dyDescent="0.25">
      <c r="B191" s="4111" t="s">
        <v>1277</v>
      </c>
      <c r="C191" s="4112" t="s">
        <v>48</v>
      </c>
      <c r="D191" s="4113">
        <v>1200000</v>
      </c>
      <c r="E191" s="4114"/>
      <c r="F191" s="4113"/>
      <c r="G191" s="4115">
        <f t="shared" si="1"/>
        <v>1200000</v>
      </c>
    </row>
    <row r="192" spans="2:7" ht="14.4" x14ac:dyDescent="0.25">
      <c r="B192" s="6353" t="s">
        <v>431</v>
      </c>
      <c r="C192" s="6354"/>
      <c r="D192" s="4083">
        <f>D164+D169+D174+D180+D185+D191</f>
        <v>22144000</v>
      </c>
      <c r="E192" s="4083">
        <f>E164+E169+E174+E180+E185+E191</f>
        <v>40660476.579999998</v>
      </c>
      <c r="F192" s="4083">
        <f>F164+F169+F174+F180+F185+F191</f>
        <v>160476268.23000002</v>
      </c>
      <c r="G192" s="4083">
        <f>G164+G169+G174+G180+G185+G191</f>
        <v>223280744.81</v>
      </c>
    </row>
    <row r="193" spans="2:7" ht="13.2" x14ac:dyDescent="0.25">
      <c r="B193" s="4116" t="s">
        <v>1285</v>
      </c>
      <c r="C193" s="25"/>
      <c r="D193" s="4088"/>
      <c r="E193" s="25"/>
      <c r="F193" s="25"/>
      <c r="G193" s="25"/>
    </row>
    <row r="194" spans="2:7" ht="18" x14ac:dyDescent="0.25">
      <c r="B194" s="4054"/>
      <c r="C194" s="4055"/>
      <c r="D194" s="4055"/>
      <c r="E194" s="4055"/>
      <c r="F194" s="4055"/>
      <c r="G194" s="4055"/>
    </row>
    <row r="195" spans="2:7" ht="18" x14ac:dyDescent="0.25">
      <c r="B195" s="4054"/>
      <c r="C195" s="4055"/>
      <c r="D195" s="4055"/>
      <c r="E195" s="4055"/>
      <c r="F195" s="4055"/>
      <c r="G195" s="4055"/>
    </row>
    <row r="196" spans="2:7" ht="15.6" x14ac:dyDescent="0.25">
      <c r="B196" s="4089" t="s">
        <v>27</v>
      </c>
      <c r="C196" s="4090" t="s">
        <v>10</v>
      </c>
      <c r="D196" s="4089" t="s">
        <v>1286</v>
      </c>
      <c r="E196" s="4089" t="s">
        <v>1273</v>
      </c>
      <c r="F196" s="4089" t="s">
        <v>38</v>
      </c>
      <c r="G196" s="4091" t="s">
        <v>1287</v>
      </c>
    </row>
    <row r="197" spans="2:7" ht="14.4" x14ac:dyDescent="0.25">
      <c r="B197" s="6360" t="s">
        <v>138</v>
      </c>
      <c r="C197" s="4092" t="s">
        <v>48</v>
      </c>
      <c r="D197" s="4093">
        <f>SUM(D198:D201)</f>
        <v>11216155.98</v>
      </c>
      <c r="E197" s="4093">
        <f>SUM(E198:E201)</f>
        <v>8269335</v>
      </c>
      <c r="F197" s="4093">
        <f>SUM(F198:F201)</f>
        <v>24260078.460000001</v>
      </c>
      <c r="G197" s="4094">
        <f>SUM(D197:F197)</f>
        <v>43745569.439999998</v>
      </c>
    </row>
    <row r="198" spans="2:7" ht="14.4" x14ac:dyDescent="0.25">
      <c r="B198" s="6361"/>
      <c r="C198" s="4095" t="s">
        <v>59</v>
      </c>
      <c r="D198" s="4096">
        <v>7112323.96</v>
      </c>
      <c r="E198" s="4097">
        <v>5007359.2</v>
      </c>
      <c r="F198" s="4098">
        <v>20025250.280000001</v>
      </c>
      <c r="G198" s="4099">
        <f t="shared" ref="G198:G224" si="2">SUM(D198:F198)</f>
        <v>32144933.440000001</v>
      </c>
    </row>
    <row r="199" spans="2:7" ht="14.4" x14ac:dyDescent="0.25">
      <c r="B199" s="6361"/>
      <c r="C199" s="4095" t="s">
        <v>64</v>
      </c>
      <c r="D199" s="4096">
        <v>4103832.02</v>
      </c>
      <c r="E199" s="4097">
        <v>1861316.8</v>
      </c>
      <c r="F199" s="4098">
        <v>3699484.4199999985</v>
      </c>
      <c r="G199" s="4099">
        <f t="shared" si="2"/>
        <v>9664633.2399999984</v>
      </c>
    </row>
    <row r="200" spans="2:7" ht="14.4" x14ac:dyDescent="0.25">
      <c r="B200" s="6361"/>
      <c r="C200" s="4095" t="s">
        <v>68</v>
      </c>
      <c r="D200" s="4096">
        <v>0</v>
      </c>
      <c r="E200" s="4097">
        <v>0</v>
      </c>
      <c r="F200" s="4098">
        <v>0</v>
      </c>
      <c r="G200" s="4099">
        <f t="shared" si="2"/>
        <v>0</v>
      </c>
    </row>
    <row r="201" spans="2:7" ht="14.4" x14ac:dyDescent="0.25">
      <c r="B201" s="6362"/>
      <c r="C201" s="4095" t="s">
        <v>1276</v>
      </c>
      <c r="D201" s="4096">
        <v>0</v>
      </c>
      <c r="E201" s="4097">
        <v>1400659</v>
      </c>
      <c r="F201" s="4098">
        <v>535343.76</v>
      </c>
      <c r="G201" s="4100">
        <f t="shared" si="2"/>
        <v>1936002.76</v>
      </c>
    </row>
    <row r="202" spans="2:7" ht="14.4" x14ac:dyDescent="0.25">
      <c r="B202" s="6363" t="s">
        <v>134</v>
      </c>
      <c r="C202" s="4101" t="s">
        <v>48</v>
      </c>
      <c r="D202" s="4102">
        <f>SUM(D203:D205)</f>
        <v>3154000</v>
      </c>
      <c r="E202" s="4102">
        <f>SUM(E203:E205)</f>
        <v>2752319</v>
      </c>
      <c r="F202" s="4102">
        <f>SUM(F203:F205)</f>
        <v>10396788.99</v>
      </c>
      <c r="G202" s="4103">
        <f t="shared" si="2"/>
        <v>16303107.99</v>
      </c>
    </row>
    <row r="203" spans="2:7" ht="14.4" x14ac:dyDescent="0.25">
      <c r="B203" s="6364"/>
      <c r="C203" s="4095" t="s">
        <v>111</v>
      </c>
      <c r="D203" s="4096">
        <v>276000</v>
      </c>
      <c r="E203" s="4097">
        <v>500660</v>
      </c>
      <c r="F203" s="4098">
        <v>680000</v>
      </c>
      <c r="G203" s="4099">
        <f t="shared" si="2"/>
        <v>1456660</v>
      </c>
    </row>
    <row r="204" spans="2:7" ht="14.4" x14ac:dyDescent="0.25">
      <c r="B204" s="6364"/>
      <c r="C204" s="4095" t="s">
        <v>115</v>
      </c>
      <c r="D204" s="4096">
        <v>910000</v>
      </c>
      <c r="E204" s="4097">
        <v>1415659</v>
      </c>
      <c r="F204" s="4098">
        <v>6295094.0099999998</v>
      </c>
      <c r="G204" s="4099">
        <f t="shared" si="2"/>
        <v>8620753.0099999998</v>
      </c>
    </row>
    <row r="205" spans="2:7" ht="14.4" x14ac:dyDescent="0.25">
      <c r="B205" s="6364"/>
      <c r="C205" s="4095" t="s">
        <v>64</v>
      </c>
      <c r="D205" s="4096">
        <v>1968000</v>
      </c>
      <c r="E205" s="4097">
        <v>836000</v>
      </c>
      <c r="F205" s="4098">
        <v>3421694.9800000004</v>
      </c>
      <c r="G205" s="4099">
        <f t="shared" si="2"/>
        <v>6225694.9800000004</v>
      </c>
    </row>
    <row r="206" spans="2:7" ht="14.4" x14ac:dyDescent="0.25">
      <c r="B206" s="6365"/>
      <c r="C206" s="4104" t="s">
        <v>1276</v>
      </c>
      <c r="D206" s="4096">
        <v>0</v>
      </c>
      <c r="E206" s="4097">
        <v>0</v>
      </c>
      <c r="F206" s="4098">
        <v>0</v>
      </c>
      <c r="G206" s="4100">
        <f t="shared" si="2"/>
        <v>0</v>
      </c>
    </row>
    <row r="207" spans="2:7" ht="14.4" x14ac:dyDescent="0.25">
      <c r="B207" s="6366" t="s">
        <v>135</v>
      </c>
      <c r="C207" s="4105" t="s">
        <v>48</v>
      </c>
      <c r="D207" s="4106">
        <f>SUM(D208:D212)</f>
        <v>53760828</v>
      </c>
      <c r="E207" s="4106">
        <f>SUM(E208:E212)</f>
        <v>9910727.3200000003</v>
      </c>
      <c r="F207" s="4106">
        <f>SUM(F208:F212)</f>
        <v>69919047.229999989</v>
      </c>
      <c r="G207" s="4106">
        <f>SUM(G208:G212)</f>
        <v>133590602.54999998</v>
      </c>
    </row>
    <row r="208" spans="2:7" ht="14.4" x14ac:dyDescent="0.25">
      <c r="B208" s="6367"/>
      <c r="C208" s="4095" t="s">
        <v>59</v>
      </c>
      <c r="D208" s="4096">
        <v>45365061.43</v>
      </c>
      <c r="E208" s="4097">
        <v>3122443</v>
      </c>
      <c r="F208" s="4098">
        <v>25927800.809999995</v>
      </c>
      <c r="G208" s="4099">
        <f t="shared" si="2"/>
        <v>74415305.239999995</v>
      </c>
    </row>
    <row r="209" spans="2:7" ht="14.4" x14ac:dyDescent="0.25">
      <c r="B209" s="6367"/>
      <c r="C209" s="4095" t="s">
        <v>92</v>
      </c>
      <c r="D209" s="4096">
        <v>4914000</v>
      </c>
      <c r="E209" s="4097">
        <v>563660</v>
      </c>
      <c r="F209" s="4098">
        <v>6153759.0199999996</v>
      </c>
      <c r="G209" s="4099">
        <f>SUM(D209:F209)</f>
        <v>11631419.02</v>
      </c>
    </row>
    <row r="210" spans="2:7" ht="14.4" x14ac:dyDescent="0.25">
      <c r="B210" s="6367"/>
      <c r="C210" s="4095" t="s">
        <v>64</v>
      </c>
      <c r="D210" s="4096">
        <v>3481766.5700000003</v>
      </c>
      <c r="E210" s="4097">
        <v>4724624.32</v>
      </c>
      <c r="F210" s="4098">
        <v>32633242.829999998</v>
      </c>
      <c r="G210" s="4099">
        <f>SUM(D210:F210)</f>
        <v>40839633.719999999</v>
      </c>
    </row>
    <row r="211" spans="2:7" ht="14.4" x14ac:dyDescent="0.25">
      <c r="B211" s="6367"/>
      <c r="C211" s="4095" t="s">
        <v>1276</v>
      </c>
      <c r="D211" s="4096">
        <v>0</v>
      </c>
      <c r="E211" s="4096">
        <v>0</v>
      </c>
      <c r="F211" s="4098">
        <v>4978539.25</v>
      </c>
      <c r="G211" s="4099">
        <f t="shared" si="2"/>
        <v>4978539.25</v>
      </c>
    </row>
    <row r="212" spans="2:7" ht="14.4" x14ac:dyDescent="0.25">
      <c r="B212" s="6368"/>
      <c r="C212" s="4104" t="s">
        <v>1280</v>
      </c>
      <c r="D212" s="4096">
        <v>0</v>
      </c>
      <c r="E212" s="4097">
        <v>1500000</v>
      </c>
      <c r="F212" s="4098">
        <v>225705.32000000007</v>
      </c>
      <c r="G212" s="4099">
        <f>SUM(D212:F212)</f>
        <v>1725705.32</v>
      </c>
    </row>
    <row r="213" spans="2:7" ht="14.4" x14ac:dyDescent="0.25">
      <c r="B213" s="6369" t="s">
        <v>136</v>
      </c>
      <c r="C213" s="4107" t="s">
        <v>48</v>
      </c>
      <c r="D213" s="4108">
        <f>SUM(D214:D217)</f>
        <v>0</v>
      </c>
      <c r="E213" s="4108">
        <f>SUM(E214:E217)</f>
        <v>3467640</v>
      </c>
      <c r="F213" s="4108">
        <f>SUM(F214:F217)</f>
        <v>18260431.91</v>
      </c>
      <c r="G213" s="4108">
        <f>SUM(G214:G217)</f>
        <v>21728071.91</v>
      </c>
    </row>
    <row r="214" spans="2:7" ht="14.4" x14ac:dyDescent="0.25">
      <c r="B214" s="6370"/>
      <c r="C214" s="4095" t="s">
        <v>59</v>
      </c>
      <c r="D214" s="4096">
        <v>0</v>
      </c>
      <c r="E214" s="4096">
        <v>870000</v>
      </c>
      <c r="F214" s="4096">
        <v>582176.43999999994</v>
      </c>
      <c r="G214" s="4099">
        <f t="shared" si="2"/>
        <v>1452176.44</v>
      </c>
    </row>
    <row r="215" spans="2:7" ht="14.4" x14ac:dyDescent="0.25">
      <c r="B215" s="6370"/>
      <c r="C215" s="4095" t="s">
        <v>92</v>
      </c>
      <c r="D215" s="4096">
        <v>0</v>
      </c>
      <c r="E215" s="4096">
        <v>312000</v>
      </c>
      <c r="F215" s="4096">
        <v>4685570</v>
      </c>
      <c r="G215" s="4099">
        <f>SUM(E215:F215)</f>
        <v>4997570</v>
      </c>
    </row>
    <row r="216" spans="2:7" ht="14.4" x14ac:dyDescent="0.25">
      <c r="B216" s="6370"/>
      <c r="C216" s="4095" t="s">
        <v>64</v>
      </c>
      <c r="D216" s="4096">
        <v>0</v>
      </c>
      <c r="E216" s="4096">
        <v>2285640</v>
      </c>
      <c r="F216" s="4096">
        <v>992685.46999999974</v>
      </c>
      <c r="G216" s="4099">
        <f>SUM(E216:F216)</f>
        <v>3278325.4699999997</v>
      </c>
    </row>
    <row r="217" spans="2:7" ht="14.4" x14ac:dyDescent="0.25">
      <c r="B217" s="6371"/>
      <c r="C217" s="4104" t="s">
        <v>1276</v>
      </c>
      <c r="D217" s="4096">
        <v>0</v>
      </c>
      <c r="E217" s="4096">
        <v>0</v>
      </c>
      <c r="F217" s="4096">
        <v>12000000</v>
      </c>
      <c r="G217" s="4099">
        <f t="shared" si="2"/>
        <v>12000000</v>
      </c>
    </row>
    <row r="218" spans="2:7" ht="14.4" x14ac:dyDescent="0.25">
      <c r="B218" s="6372" t="s">
        <v>137</v>
      </c>
      <c r="C218" s="4109" t="s">
        <v>48</v>
      </c>
      <c r="D218" s="4110">
        <f>SUM(D219:D223)</f>
        <v>15549156.400000002</v>
      </c>
      <c r="E218" s="4110">
        <f>SUM(E219:E223)</f>
        <v>8117204.3499999996</v>
      </c>
      <c r="F218" s="4110">
        <f>SUM(F219:F223)</f>
        <v>49187176.739999995</v>
      </c>
      <c r="G218" s="4110">
        <f>SUM(G219:G223)</f>
        <v>72853537.489999995</v>
      </c>
    </row>
    <row r="219" spans="2:7" ht="14.4" x14ac:dyDescent="0.25">
      <c r="B219" s="6373"/>
      <c r="C219" s="4095" t="s">
        <v>92</v>
      </c>
      <c r="D219" s="4096">
        <v>7412775.6400000006</v>
      </c>
      <c r="E219" s="4097">
        <v>2691910</v>
      </c>
      <c r="F219" s="4098">
        <v>9536022.5199999996</v>
      </c>
      <c r="G219" s="4099">
        <f t="shared" si="2"/>
        <v>19640708.16</v>
      </c>
    </row>
    <row r="220" spans="2:7" ht="14.4" x14ac:dyDescent="0.25">
      <c r="B220" s="6373"/>
      <c r="C220" s="4095" t="s">
        <v>64</v>
      </c>
      <c r="D220" s="4096">
        <v>7548380.7600000007</v>
      </c>
      <c r="E220" s="4097">
        <v>1208990</v>
      </c>
      <c r="F220" s="4098">
        <v>25896443.16</v>
      </c>
      <c r="G220" s="4099">
        <f t="shared" si="2"/>
        <v>34653813.920000002</v>
      </c>
    </row>
    <row r="221" spans="2:7" ht="14.4" x14ac:dyDescent="0.25">
      <c r="B221" s="6373"/>
      <c r="C221" s="4095" t="s">
        <v>68</v>
      </c>
      <c r="D221" s="4096">
        <v>0</v>
      </c>
      <c r="E221" s="4097">
        <v>0</v>
      </c>
      <c r="F221" s="4098">
        <v>0</v>
      </c>
      <c r="G221" s="4099">
        <f t="shared" si="2"/>
        <v>0</v>
      </c>
    </row>
    <row r="222" spans="2:7" ht="14.4" x14ac:dyDescent="0.25">
      <c r="B222" s="6373"/>
      <c r="C222" s="4095" t="s">
        <v>1276</v>
      </c>
      <c r="D222" s="4096">
        <v>0</v>
      </c>
      <c r="E222" s="4097">
        <v>3991304.35</v>
      </c>
      <c r="F222" s="4098">
        <v>5398202.9700000007</v>
      </c>
      <c r="G222" s="4099">
        <f t="shared" si="2"/>
        <v>9389507.3200000003</v>
      </c>
    </row>
    <row r="223" spans="2:7" ht="14.4" x14ac:dyDescent="0.25">
      <c r="B223" s="6374"/>
      <c r="C223" s="4104" t="s">
        <v>1280</v>
      </c>
      <c r="D223" s="4096">
        <v>588000</v>
      </c>
      <c r="E223" s="4097">
        <v>225000</v>
      </c>
      <c r="F223" s="4098">
        <v>8356508.0899999999</v>
      </c>
      <c r="G223" s="4100">
        <f t="shared" si="2"/>
        <v>9169508.0899999999</v>
      </c>
    </row>
    <row r="224" spans="2:7" ht="21" customHeight="1" x14ac:dyDescent="0.25">
      <c r="B224" s="4111" t="s">
        <v>1277</v>
      </c>
      <c r="C224" s="4112" t="s">
        <v>48</v>
      </c>
      <c r="D224" s="4113">
        <v>0</v>
      </c>
      <c r="E224" s="4114">
        <v>0</v>
      </c>
      <c r="F224" s="4113">
        <v>2494000</v>
      </c>
      <c r="G224" s="4115">
        <f t="shared" si="2"/>
        <v>2494000</v>
      </c>
    </row>
    <row r="225" spans="2:7" ht="14.4" x14ac:dyDescent="0.25">
      <c r="B225" s="6353" t="s">
        <v>431</v>
      </c>
      <c r="C225" s="6354"/>
      <c r="D225" s="4083">
        <f>D197+D202+D207+D213+D218+D224</f>
        <v>83680140.38000001</v>
      </c>
      <c r="E225" s="4083">
        <f>E197+E202+E207+E213+E218+E224</f>
        <v>32517225.670000002</v>
      </c>
      <c r="F225" s="4083">
        <f>F197+F202+F207+F213+F218+F224</f>
        <v>174517523.32999998</v>
      </c>
      <c r="G225" s="4083">
        <f>G197+G202+G207+G213+G218+G224</f>
        <v>290714889.38</v>
      </c>
    </row>
    <row r="226" spans="2:7" ht="13.2" x14ac:dyDescent="0.25">
      <c r="B226" s="4116" t="s">
        <v>1288</v>
      </c>
      <c r="C226" s="25"/>
      <c r="D226" s="4088"/>
      <c r="E226" s="25"/>
      <c r="F226" s="25"/>
      <c r="G226" s="25"/>
    </row>
    <row r="227" spans="2:7" ht="18" x14ac:dyDescent="0.25">
      <c r="B227" s="4054"/>
      <c r="C227" s="4055"/>
      <c r="D227" s="4055"/>
      <c r="E227" s="4055"/>
      <c r="F227" s="4055"/>
      <c r="G227" s="4055"/>
    </row>
    <row r="228" spans="2:7" ht="18" x14ac:dyDescent="0.25">
      <c r="B228" s="4054"/>
      <c r="C228" s="4055"/>
      <c r="D228" s="4055"/>
      <c r="E228" s="4055"/>
      <c r="F228" s="4055"/>
      <c r="G228" s="4055"/>
    </row>
    <row r="229" spans="2:7" ht="15.6" x14ac:dyDescent="0.25">
      <c r="B229" s="4089" t="s">
        <v>27</v>
      </c>
      <c r="C229" s="4090" t="s">
        <v>10</v>
      </c>
      <c r="D229" s="4089" t="s">
        <v>1286</v>
      </c>
      <c r="E229" s="4089" t="s">
        <v>1273</v>
      </c>
      <c r="F229" s="4089" t="s">
        <v>38</v>
      </c>
      <c r="G229" s="4091" t="s">
        <v>1289</v>
      </c>
    </row>
    <row r="230" spans="2:7" ht="14.4" x14ac:dyDescent="0.25">
      <c r="B230" s="6360" t="s">
        <v>138</v>
      </c>
      <c r="C230" s="4092" t="s">
        <v>48</v>
      </c>
      <c r="D230" s="4093">
        <v>15691746.49</v>
      </c>
      <c r="E230" s="4093">
        <v>10053315.49</v>
      </c>
      <c r="F230" s="4093">
        <v>7077457.1699999999</v>
      </c>
      <c r="G230" s="4094">
        <v>32822519.149999999</v>
      </c>
    </row>
    <row r="231" spans="2:7" ht="14.4" x14ac:dyDescent="0.25">
      <c r="B231" s="6361"/>
      <c r="C231" s="4095" t="s">
        <v>59</v>
      </c>
      <c r="D231" s="4096">
        <v>12534228.49</v>
      </c>
      <c r="E231" s="4097">
        <v>4231102.2300000004</v>
      </c>
      <c r="F231" s="4098">
        <v>4739408.83</v>
      </c>
      <c r="G231" s="4099">
        <v>21504739.550000001</v>
      </c>
    </row>
    <row r="232" spans="2:7" ht="14.4" x14ac:dyDescent="0.25">
      <c r="B232" s="6361"/>
      <c r="C232" s="4095" t="s">
        <v>64</v>
      </c>
      <c r="D232" s="4096">
        <v>1978518</v>
      </c>
      <c r="E232" s="4097">
        <v>3498522</v>
      </c>
      <c r="F232" s="4098">
        <v>545981.67000000004</v>
      </c>
      <c r="G232" s="4099">
        <v>6023021.6699999999</v>
      </c>
    </row>
    <row r="233" spans="2:7" ht="14.4" x14ac:dyDescent="0.25">
      <c r="B233" s="6362"/>
      <c r="C233" s="4095" t="s">
        <v>68</v>
      </c>
      <c r="D233" s="4096">
        <v>1179000</v>
      </c>
      <c r="E233" s="4097">
        <v>2323691.2599999998</v>
      </c>
      <c r="F233" s="4098">
        <v>1792066.67</v>
      </c>
      <c r="G233" s="4100">
        <v>5294757.93</v>
      </c>
    </row>
    <row r="234" spans="2:7" ht="14.4" x14ac:dyDescent="0.25">
      <c r="B234" s="6363" t="s">
        <v>134</v>
      </c>
      <c r="C234" s="4101" t="s">
        <v>48</v>
      </c>
      <c r="D234" s="4102">
        <v>12248378.780000001</v>
      </c>
      <c r="E234" s="4102">
        <v>4602822</v>
      </c>
      <c r="F234" s="4102">
        <v>2037929.14</v>
      </c>
      <c r="G234" s="4103">
        <v>18889129.920000002</v>
      </c>
    </row>
    <row r="235" spans="2:7" ht="14.4" x14ac:dyDescent="0.25">
      <c r="B235" s="6364"/>
      <c r="C235" s="4095" t="s">
        <v>111</v>
      </c>
      <c r="D235" s="4096">
        <v>0</v>
      </c>
      <c r="E235" s="4097">
        <v>1429587</v>
      </c>
      <c r="F235" s="4098">
        <v>0</v>
      </c>
      <c r="G235" s="4099">
        <v>1429587</v>
      </c>
    </row>
    <row r="236" spans="2:7" ht="14.4" x14ac:dyDescent="0.25">
      <c r="B236" s="6364"/>
      <c r="C236" s="4095" t="s">
        <v>115</v>
      </c>
      <c r="D236" s="4096">
        <v>10549378.780000001</v>
      </c>
      <c r="E236" s="4097">
        <v>1084000</v>
      </c>
      <c r="F236" s="4098">
        <v>1957047.8599999999</v>
      </c>
      <c r="G236" s="4099">
        <v>13590426.640000001</v>
      </c>
    </row>
    <row r="237" spans="2:7" ht="14.4" x14ac:dyDescent="0.25">
      <c r="B237" s="6364"/>
      <c r="C237" s="4095" t="s">
        <v>64</v>
      </c>
      <c r="D237" s="4096">
        <v>1699000</v>
      </c>
      <c r="E237" s="4097">
        <v>2089235</v>
      </c>
      <c r="F237" s="4098">
        <v>67903.23</v>
      </c>
      <c r="G237" s="4099">
        <v>3856138.23</v>
      </c>
    </row>
    <row r="238" spans="2:7" ht="14.4" x14ac:dyDescent="0.25">
      <c r="B238" s="6365"/>
      <c r="C238" s="4104" t="s">
        <v>1276</v>
      </c>
      <c r="D238" s="4096">
        <v>0</v>
      </c>
      <c r="E238" s="4097">
        <v>0</v>
      </c>
      <c r="F238" s="4098">
        <v>12978.05</v>
      </c>
      <c r="G238" s="4100">
        <v>12978.05</v>
      </c>
    </row>
    <row r="239" spans="2:7" ht="14.4" x14ac:dyDescent="0.25">
      <c r="B239" s="6366" t="s">
        <v>135</v>
      </c>
      <c r="C239" s="4105" t="s">
        <v>48</v>
      </c>
      <c r="D239" s="4106">
        <v>112250971.52</v>
      </c>
      <c r="E239" s="4106">
        <v>12336639.439999999</v>
      </c>
      <c r="F239" s="4106">
        <v>61882870.219999999</v>
      </c>
      <c r="G239" s="4117">
        <v>186470481.18000001</v>
      </c>
    </row>
    <row r="240" spans="2:7" ht="14.4" x14ac:dyDescent="0.25">
      <c r="B240" s="6367"/>
      <c r="C240" s="4095" t="s">
        <v>59</v>
      </c>
      <c r="D240" s="4096">
        <v>85547818.859999999</v>
      </c>
      <c r="E240" s="4097">
        <v>4203761</v>
      </c>
      <c r="F240" s="4098">
        <v>16020184.84</v>
      </c>
      <c r="G240" s="4099">
        <v>105771764.7</v>
      </c>
    </row>
    <row r="241" spans="2:7" ht="14.4" x14ac:dyDescent="0.25">
      <c r="B241" s="6367"/>
      <c r="C241" s="4095" t="s">
        <v>92</v>
      </c>
      <c r="D241" s="4096">
        <v>20123089.91</v>
      </c>
      <c r="E241" s="4097">
        <v>4502283</v>
      </c>
      <c r="F241" s="4098">
        <v>21342884.32</v>
      </c>
      <c r="G241" s="4099">
        <v>45968257.230000004</v>
      </c>
    </row>
    <row r="242" spans="2:7" ht="14.4" x14ac:dyDescent="0.25">
      <c r="B242" s="6367"/>
      <c r="C242" s="4095" t="s">
        <v>64</v>
      </c>
      <c r="D242" s="4096">
        <v>6580062.75</v>
      </c>
      <c r="E242" s="4097">
        <v>2130595.44</v>
      </c>
      <c r="F242" s="4098">
        <v>15391791.789999999</v>
      </c>
      <c r="G242" s="4099">
        <v>24102449.979999997</v>
      </c>
    </row>
    <row r="243" spans="2:7" ht="14.4" x14ac:dyDescent="0.25">
      <c r="B243" s="6368"/>
      <c r="C243" s="4104" t="s">
        <v>1276</v>
      </c>
      <c r="D243" s="4096">
        <v>0</v>
      </c>
      <c r="E243" s="4097">
        <v>1500000</v>
      </c>
      <c r="F243" s="4098">
        <v>9128009.2700000014</v>
      </c>
      <c r="G243" s="4100">
        <v>10628009.270000001</v>
      </c>
    </row>
    <row r="244" spans="2:7" ht="14.4" x14ac:dyDescent="0.25">
      <c r="B244" s="6369" t="s">
        <v>136</v>
      </c>
      <c r="C244" s="4107" t="s">
        <v>48</v>
      </c>
      <c r="D244" s="4108">
        <v>9264572.0199999996</v>
      </c>
      <c r="E244" s="4108">
        <v>490087</v>
      </c>
      <c r="F244" s="4108">
        <v>1353729.26</v>
      </c>
      <c r="G244" s="4118">
        <v>11108388.279999999</v>
      </c>
    </row>
    <row r="245" spans="2:7" ht="14.4" x14ac:dyDescent="0.25">
      <c r="B245" s="6370"/>
      <c r="C245" s="4095" t="s">
        <v>59</v>
      </c>
      <c r="D245" s="4096">
        <v>0</v>
      </c>
      <c r="E245" s="4096">
        <v>40000</v>
      </c>
      <c r="F245" s="4096">
        <v>0</v>
      </c>
      <c r="G245" s="4099">
        <v>40000</v>
      </c>
    </row>
    <row r="246" spans="2:7" ht="14.4" x14ac:dyDescent="0.25">
      <c r="B246" s="6370"/>
      <c r="C246" s="4095" t="s">
        <v>92</v>
      </c>
      <c r="D246" s="4096">
        <v>384169.98</v>
      </c>
      <c r="E246" s="4096">
        <v>450087</v>
      </c>
      <c r="F246" s="4096">
        <v>283500</v>
      </c>
      <c r="G246" s="4099">
        <v>1117756.98</v>
      </c>
    </row>
    <row r="247" spans="2:7" ht="14.4" x14ac:dyDescent="0.25">
      <c r="B247" s="6370"/>
      <c r="C247" s="4095" t="s">
        <v>64</v>
      </c>
      <c r="D247" s="4096">
        <v>0</v>
      </c>
      <c r="E247" s="4096">
        <v>0</v>
      </c>
      <c r="F247" s="4096">
        <v>1053056.8500000001</v>
      </c>
      <c r="G247" s="4099">
        <v>1053056.8500000001</v>
      </c>
    </row>
    <row r="248" spans="2:7" ht="14.4" x14ac:dyDescent="0.25">
      <c r="B248" s="6371"/>
      <c r="C248" s="4104" t="s">
        <v>1276</v>
      </c>
      <c r="D248" s="4096">
        <v>8880402.0399999991</v>
      </c>
      <c r="E248" s="4096">
        <v>0</v>
      </c>
      <c r="F248" s="4096">
        <v>17172.41</v>
      </c>
      <c r="G248" s="4099">
        <v>8897574.4499999993</v>
      </c>
    </row>
    <row r="249" spans="2:7" ht="14.4" x14ac:dyDescent="0.25">
      <c r="B249" s="6372" t="s">
        <v>137</v>
      </c>
      <c r="C249" s="4109" t="s">
        <v>48</v>
      </c>
      <c r="D249" s="4110">
        <v>12748810.75</v>
      </c>
      <c r="E249" s="4110">
        <v>20368552.18</v>
      </c>
      <c r="F249" s="4110">
        <v>27992782.59</v>
      </c>
      <c r="G249" s="4119">
        <v>61110145.519999996</v>
      </c>
    </row>
    <row r="250" spans="2:7" ht="14.4" x14ac:dyDescent="0.25">
      <c r="B250" s="6373"/>
      <c r="C250" s="4095" t="s">
        <v>92</v>
      </c>
      <c r="D250" s="4096">
        <v>5101877.5699999994</v>
      </c>
      <c r="E250" s="4097">
        <v>3214463.25</v>
      </c>
      <c r="F250" s="4098">
        <v>6674104.0199999996</v>
      </c>
      <c r="G250" s="4099">
        <v>14990444.84</v>
      </c>
    </row>
    <row r="251" spans="2:7" ht="14.4" x14ac:dyDescent="0.25">
      <c r="B251" s="6373"/>
      <c r="C251" s="4095" t="s">
        <v>64</v>
      </c>
      <c r="D251" s="4096">
        <v>7585933.1799999997</v>
      </c>
      <c r="E251" s="4097">
        <v>1607088.9300000002</v>
      </c>
      <c r="F251" s="4098">
        <v>12485349.879999999</v>
      </c>
      <c r="G251" s="4099">
        <v>21678371.989999998</v>
      </c>
    </row>
    <row r="252" spans="2:7" ht="14.4" x14ac:dyDescent="0.25">
      <c r="B252" s="6373"/>
      <c r="C252" s="4095" t="s">
        <v>68</v>
      </c>
      <c r="D252" s="4096">
        <v>61000</v>
      </c>
      <c r="E252" s="4097">
        <v>427000</v>
      </c>
      <c r="F252" s="4098">
        <v>4814643.16</v>
      </c>
      <c r="G252" s="4099">
        <v>5302643.16</v>
      </c>
    </row>
    <row r="253" spans="2:7" ht="14.4" x14ac:dyDescent="0.25">
      <c r="B253" s="6374"/>
      <c r="C253" s="4104" t="s">
        <v>1276</v>
      </c>
      <c r="D253" s="4096">
        <v>0</v>
      </c>
      <c r="E253" s="4097">
        <v>15120000</v>
      </c>
      <c r="F253" s="4098">
        <v>4018685.5300000003</v>
      </c>
      <c r="G253" s="4100">
        <v>19138685.530000001</v>
      </c>
    </row>
    <row r="254" spans="2:7" ht="14.4" x14ac:dyDescent="0.25">
      <c r="B254" s="4111" t="s">
        <v>1277</v>
      </c>
      <c r="C254" s="4112" t="s">
        <v>48</v>
      </c>
      <c r="D254" s="4113">
        <v>450000</v>
      </c>
      <c r="E254" s="4114">
        <v>0</v>
      </c>
      <c r="F254" s="4113">
        <v>23418729.120000001</v>
      </c>
      <c r="G254" s="4115">
        <v>23868729.120000001</v>
      </c>
    </row>
    <row r="255" spans="2:7" ht="14.4" x14ac:dyDescent="0.25">
      <c r="B255" s="6353" t="s">
        <v>431</v>
      </c>
      <c r="C255" s="6354"/>
      <c r="D255" s="4083">
        <v>162654479.56</v>
      </c>
      <c r="E255" s="4083">
        <v>47851416.109999999</v>
      </c>
      <c r="F255" s="4083">
        <v>123763497.50000001</v>
      </c>
      <c r="G255" s="4083">
        <v>334269393.17000002</v>
      </c>
    </row>
    <row r="256" spans="2:7" ht="13.2" x14ac:dyDescent="0.25">
      <c r="B256" s="4116" t="s">
        <v>1290</v>
      </c>
      <c r="C256" s="25"/>
      <c r="D256" s="4088"/>
      <c r="E256" s="25"/>
      <c r="F256" s="25"/>
      <c r="G256" s="25"/>
    </row>
    <row r="257" spans="2:7" ht="18" x14ac:dyDescent="0.25">
      <c r="B257" s="4054"/>
      <c r="C257" s="4055"/>
      <c r="D257" s="4055"/>
      <c r="E257" s="4055"/>
      <c r="F257" s="4055"/>
      <c r="G257" s="4055"/>
    </row>
    <row r="258" spans="2:7" ht="18" x14ac:dyDescent="0.25">
      <c r="B258" s="4054"/>
      <c r="C258" s="4055"/>
      <c r="D258" s="4055"/>
      <c r="E258" s="4055"/>
      <c r="F258" s="4055"/>
      <c r="G258" s="4055"/>
    </row>
    <row r="259" spans="2:7" ht="20.25" customHeight="1" x14ac:dyDescent="0.25">
      <c r="B259" s="4120" t="s">
        <v>27</v>
      </c>
      <c r="C259" s="4121" t="s">
        <v>10</v>
      </c>
      <c r="D259" s="4120" t="s">
        <v>1286</v>
      </c>
      <c r="E259" s="4120" t="s">
        <v>1273</v>
      </c>
      <c r="F259" s="4120" t="s">
        <v>38</v>
      </c>
      <c r="G259" s="4122" t="s">
        <v>1291</v>
      </c>
    </row>
    <row r="260" spans="2:7" ht="14.4" x14ac:dyDescent="0.25">
      <c r="B260" s="6377" t="s">
        <v>138</v>
      </c>
      <c r="C260" s="4123" t="s">
        <v>48</v>
      </c>
      <c r="D260" s="4093">
        <f>D263+D262+D261</f>
        <v>17789133.18</v>
      </c>
      <c r="E260" s="4124">
        <f>E263+E262+E261</f>
        <v>3600021.73</v>
      </c>
      <c r="F260" s="4125">
        <f>F263+F262+F261</f>
        <v>5611025.9800000004</v>
      </c>
      <c r="G260" s="4126">
        <f>G263+G262+G261</f>
        <v>27000180.890000001</v>
      </c>
    </row>
    <row r="261" spans="2:7" ht="14.4" x14ac:dyDescent="0.25">
      <c r="B261" s="6378"/>
      <c r="C261" s="4127" t="s">
        <v>59</v>
      </c>
      <c r="D261" s="4096">
        <v>11146044.289999999</v>
      </c>
      <c r="E261" s="4097">
        <v>1065666.73</v>
      </c>
      <c r="F261" s="4098">
        <v>4136533.6</v>
      </c>
      <c r="G261" s="4128">
        <f>+D261+E261+F261</f>
        <v>16348244.619999999</v>
      </c>
    </row>
    <row r="262" spans="2:7" ht="14.4" x14ac:dyDescent="0.25">
      <c r="B262" s="6378"/>
      <c r="C262" s="4127" t="s">
        <v>64</v>
      </c>
      <c r="D262" s="4096">
        <v>5414429.8899999997</v>
      </c>
      <c r="E262" s="4097">
        <v>1828244</v>
      </c>
      <c r="F262" s="4098">
        <v>1224492.3799999999</v>
      </c>
      <c r="G262" s="4128">
        <f>+D262+E262+F262</f>
        <v>8467166.2699999996</v>
      </c>
    </row>
    <row r="263" spans="2:7" ht="14.4" x14ac:dyDescent="0.25">
      <c r="B263" s="6379"/>
      <c r="C263" s="4127" t="s">
        <v>68</v>
      </c>
      <c r="D263" s="4129">
        <v>1228659</v>
      </c>
      <c r="E263" s="4130">
        <v>706111</v>
      </c>
      <c r="F263" s="4131">
        <v>250000</v>
      </c>
      <c r="G263" s="4132">
        <f>+D263+E263+F263</f>
        <v>2184770</v>
      </c>
    </row>
    <row r="264" spans="2:7" ht="14.4" x14ac:dyDescent="0.25">
      <c r="B264" s="6380" t="s">
        <v>134</v>
      </c>
      <c r="C264" s="4133" t="s">
        <v>48</v>
      </c>
      <c r="D264" s="4102">
        <f>+D265+D266+D267+D268</f>
        <v>5410324.1299999999</v>
      </c>
      <c r="E264" s="4134">
        <f>+E265+E266+E267+E268</f>
        <v>1898306.61</v>
      </c>
      <c r="F264" s="4135">
        <f>+F268+F267+F266+F265</f>
        <v>268388.11</v>
      </c>
      <c r="G264" s="4136">
        <f>+G268+G267+G266+G265</f>
        <v>7577018.8499999996</v>
      </c>
    </row>
    <row r="265" spans="2:7" ht="14.4" x14ac:dyDescent="0.25">
      <c r="B265" s="6381"/>
      <c r="C265" s="4127" t="s">
        <v>111</v>
      </c>
      <c r="D265" s="4096"/>
      <c r="E265" s="4097">
        <v>1818306.61</v>
      </c>
      <c r="F265" s="4098">
        <v>124751.75</v>
      </c>
      <c r="G265" s="4128">
        <f>+D265+E265+F265</f>
        <v>1943058.36</v>
      </c>
    </row>
    <row r="266" spans="2:7" ht="14.4" x14ac:dyDescent="0.25">
      <c r="B266" s="6381"/>
      <c r="C266" s="4127" t="s">
        <v>115</v>
      </c>
      <c r="D266" s="4096">
        <v>1328028.1299999999</v>
      </c>
      <c r="E266" s="4097">
        <v>40000</v>
      </c>
      <c r="F266" s="4098"/>
      <c r="G266" s="4128">
        <f>+D266+E266+F266</f>
        <v>1368028.13</v>
      </c>
    </row>
    <row r="267" spans="2:7" ht="14.4" x14ac:dyDescent="0.25">
      <c r="B267" s="6381"/>
      <c r="C267" s="4127" t="s">
        <v>64</v>
      </c>
      <c r="D267" s="4096">
        <v>1345296</v>
      </c>
      <c r="E267" s="4097">
        <v>40000</v>
      </c>
      <c r="F267" s="4098"/>
      <c r="G267" s="4128">
        <f>+D267+E267+F267</f>
        <v>1385296</v>
      </c>
    </row>
    <row r="268" spans="2:7" ht="14.4" x14ac:dyDescent="0.25">
      <c r="B268" s="6382"/>
      <c r="C268" s="4137" t="s">
        <v>1276</v>
      </c>
      <c r="D268" s="4129">
        <v>2737000</v>
      </c>
      <c r="E268" s="4130"/>
      <c r="F268" s="4131">
        <v>143636.35999999999</v>
      </c>
      <c r="G268" s="4132">
        <f>+D268+E268+F268</f>
        <v>2880636.36</v>
      </c>
    </row>
    <row r="269" spans="2:7" ht="14.4" x14ac:dyDescent="0.25">
      <c r="B269" s="6383" t="s">
        <v>135</v>
      </c>
      <c r="C269" s="4138" t="s">
        <v>48</v>
      </c>
      <c r="D269" s="4106">
        <f>+D270+D271+D272+D273</f>
        <v>130801864.45999999</v>
      </c>
      <c r="E269" s="4139">
        <f>+E270+E271+E272+E273</f>
        <v>6107504.1099999994</v>
      </c>
      <c r="F269" s="4140">
        <f>+F273+F272+F271+F270</f>
        <v>21483205.110000003</v>
      </c>
      <c r="G269" s="4141">
        <f>+G273+G272+G271+G270</f>
        <v>158392573.67999998</v>
      </c>
    </row>
    <row r="270" spans="2:7" ht="14.4" x14ac:dyDescent="0.25">
      <c r="B270" s="6384"/>
      <c r="C270" s="4127" t="s">
        <v>59</v>
      </c>
      <c r="D270" s="4096">
        <v>93656180.349999994</v>
      </c>
      <c r="E270" s="4097">
        <v>2512654.63</v>
      </c>
      <c r="F270" s="4098">
        <v>3712352.35</v>
      </c>
      <c r="G270" s="4128">
        <f>+D270+E270+F270</f>
        <v>99881187.329999983</v>
      </c>
    </row>
    <row r="271" spans="2:7" ht="14.4" x14ac:dyDescent="0.25">
      <c r="B271" s="6384"/>
      <c r="C271" s="4127" t="s">
        <v>92</v>
      </c>
      <c r="D271" s="4096">
        <v>24529190.199999999</v>
      </c>
      <c r="E271" s="4097">
        <v>2021122</v>
      </c>
      <c r="F271" s="4098">
        <v>2477984.11</v>
      </c>
      <c r="G271" s="4128">
        <f>+D271+E271+F271</f>
        <v>29028296.309999999</v>
      </c>
    </row>
    <row r="272" spans="2:7" ht="14.4" x14ac:dyDescent="0.25">
      <c r="B272" s="6384"/>
      <c r="C272" s="4127" t="s">
        <v>64</v>
      </c>
      <c r="D272" s="4096">
        <v>12176493.91</v>
      </c>
      <c r="E272" s="4097">
        <v>1573727.48</v>
      </c>
      <c r="F272" s="4098">
        <v>4539057.84</v>
      </c>
      <c r="G272" s="4128">
        <f>+D272+E272+F272</f>
        <v>18289279.23</v>
      </c>
    </row>
    <row r="273" spans="2:7" ht="14.4" x14ac:dyDescent="0.25">
      <c r="B273" s="6385"/>
      <c r="C273" s="4137" t="s">
        <v>1276</v>
      </c>
      <c r="D273" s="4129">
        <v>440000</v>
      </c>
      <c r="E273" s="4130"/>
      <c r="F273" s="4131">
        <v>10753810.810000001</v>
      </c>
      <c r="G273" s="4132">
        <f>+D273+E273+F273</f>
        <v>11193810.810000001</v>
      </c>
    </row>
    <row r="274" spans="2:7" ht="14.4" x14ac:dyDescent="0.25">
      <c r="B274" s="6386" t="s">
        <v>136</v>
      </c>
      <c r="C274" s="4142" t="s">
        <v>48</v>
      </c>
      <c r="D274" s="4108">
        <f>D275+D276+D277+D278</f>
        <v>1924698</v>
      </c>
      <c r="E274" s="4108">
        <f>E275+E276+E277+E278</f>
        <v>864561</v>
      </c>
      <c r="F274" s="4108">
        <f>F275+F276+F277+F278</f>
        <v>0</v>
      </c>
      <c r="G274" s="4143">
        <f>SUM(D274:F274)</f>
        <v>2789259</v>
      </c>
    </row>
    <row r="275" spans="2:7" ht="14.4" x14ac:dyDescent="0.25">
      <c r="B275" s="6387"/>
      <c r="C275" s="4127" t="s">
        <v>59</v>
      </c>
      <c r="D275" s="4096"/>
      <c r="E275" s="4096">
        <v>80000</v>
      </c>
      <c r="F275" s="4096"/>
      <c r="G275" s="4128">
        <f>+D275+E275+F275</f>
        <v>80000</v>
      </c>
    </row>
    <row r="276" spans="2:7" ht="14.4" x14ac:dyDescent="0.25">
      <c r="B276" s="6387"/>
      <c r="C276" s="4127" t="s">
        <v>92</v>
      </c>
      <c r="D276" s="4096">
        <v>1714698</v>
      </c>
      <c r="E276" s="4096"/>
      <c r="F276" s="4096"/>
      <c r="G276" s="4128">
        <f>+D276+E276+F276</f>
        <v>1714698</v>
      </c>
    </row>
    <row r="277" spans="2:7" ht="14.4" x14ac:dyDescent="0.25">
      <c r="B277" s="6387"/>
      <c r="C277" s="4127" t="s">
        <v>64</v>
      </c>
      <c r="D277" s="4096">
        <v>210000</v>
      </c>
      <c r="E277" s="4097">
        <v>784561</v>
      </c>
      <c r="F277" s="4098"/>
      <c r="G277" s="4128">
        <f>+D277+E277+F277</f>
        <v>994561</v>
      </c>
    </row>
    <row r="278" spans="2:7" ht="14.4" x14ac:dyDescent="0.25">
      <c r="B278" s="6388"/>
      <c r="C278" s="4137" t="s">
        <v>1276</v>
      </c>
      <c r="D278" s="4129"/>
      <c r="E278" s="4130"/>
      <c r="F278" s="4131"/>
      <c r="G278" s="4132"/>
    </row>
    <row r="279" spans="2:7" ht="14.4" x14ac:dyDescent="0.25">
      <c r="B279" s="6389" t="s">
        <v>137</v>
      </c>
      <c r="C279" s="4144" t="s">
        <v>48</v>
      </c>
      <c r="D279" s="4110">
        <f>+D282+D281+D280+D283</f>
        <v>22218023.149999999</v>
      </c>
      <c r="E279" s="4145">
        <f>+E282+E281+E280+E283</f>
        <v>3899169.4299999997</v>
      </c>
      <c r="F279" s="4146">
        <f>+F282+F281+F280+F283</f>
        <v>24853748.830000002</v>
      </c>
      <c r="G279" s="4147">
        <f>SUM(D279:F279)</f>
        <v>50970941.409999996</v>
      </c>
    </row>
    <row r="280" spans="2:7" ht="14.4" x14ac:dyDescent="0.25">
      <c r="B280" s="6390"/>
      <c r="C280" s="4127" t="s">
        <v>92</v>
      </c>
      <c r="D280" s="4096">
        <v>10993677.58</v>
      </c>
      <c r="E280" s="4097">
        <v>2090787.43</v>
      </c>
      <c r="F280" s="4098">
        <v>494655.17</v>
      </c>
      <c r="G280" s="4128">
        <f>+D280+E280+F280</f>
        <v>13579120.18</v>
      </c>
    </row>
    <row r="281" spans="2:7" ht="14.4" x14ac:dyDescent="0.25">
      <c r="B281" s="6390"/>
      <c r="C281" s="4127" t="s">
        <v>64</v>
      </c>
      <c r="D281" s="4096">
        <v>10110345.57</v>
      </c>
      <c r="E281" s="4097">
        <v>895821</v>
      </c>
      <c r="F281" s="4098">
        <v>16564083.58</v>
      </c>
      <c r="G281" s="4128">
        <f>+D281+E281+F281</f>
        <v>27570250.149999999</v>
      </c>
    </row>
    <row r="282" spans="2:7" ht="14.4" x14ac:dyDescent="0.25">
      <c r="B282" s="6390"/>
      <c r="C282" s="4127" t="s">
        <v>68</v>
      </c>
      <c r="D282" s="4096"/>
      <c r="E282" s="4097">
        <v>912561</v>
      </c>
      <c r="F282" s="4098">
        <v>3756317.9</v>
      </c>
      <c r="G282" s="4128">
        <f>+D282+E282+F282</f>
        <v>4668878.9000000004</v>
      </c>
    </row>
    <row r="283" spans="2:7" ht="14.4" x14ac:dyDescent="0.25">
      <c r="B283" s="6391"/>
      <c r="C283" s="4137" t="s">
        <v>1276</v>
      </c>
      <c r="D283" s="4129">
        <v>1114000</v>
      </c>
      <c r="E283" s="4130"/>
      <c r="F283" s="4131">
        <v>4038692.18</v>
      </c>
      <c r="G283" s="4132">
        <f>+D283+E283+F283</f>
        <v>5152692.18</v>
      </c>
    </row>
    <row r="284" spans="2:7" ht="14.4" x14ac:dyDescent="0.25">
      <c r="B284" s="4148" t="s">
        <v>1277</v>
      </c>
      <c r="C284" s="4149" t="s">
        <v>48</v>
      </c>
      <c r="D284" s="4150">
        <v>1366806</v>
      </c>
      <c r="E284" s="4151"/>
      <c r="F284" s="4150">
        <v>18343386.16</v>
      </c>
      <c r="G284" s="4152">
        <f>+D284+E284+F284</f>
        <v>19710192.16</v>
      </c>
    </row>
    <row r="285" spans="2:7" ht="20.100000000000001" customHeight="1" x14ac:dyDescent="0.25">
      <c r="B285" s="6375" t="s">
        <v>431</v>
      </c>
      <c r="C285" s="6376"/>
      <c r="D285" s="4153">
        <f>SUM(D260,D264,D269,D274,D279,D284)</f>
        <v>179510848.91999999</v>
      </c>
      <c r="E285" s="4153">
        <f>SUM(E260,E264,E269,E274,E279,E284)</f>
        <v>16369562.879999999</v>
      </c>
      <c r="F285" s="4153">
        <f>SUM(F260,F264,F269,F274,F279,F284)</f>
        <v>70559754.189999998</v>
      </c>
      <c r="G285" s="4153">
        <f>SUM(G260,G264,G269,G274,G279,G284)</f>
        <v>266440165.98999998</v>
      </c>
    </row>
    <row r="286" spans="2:7" ht="15" customHeight="1" x14ac:dyDescent="0.25">
      <c r="B286" s="3642" t="s">
        <v>1292</v>
      </c>
      <c r="C286" s="3580"/>
      <c r="D286" s="3580"/>
      <c r="E286" s="3580"/>
      <c r="F286" s="3580"/>
      <c r="G286" s="3580"/>
    </row>
    <row r="287" spans="2:7" ht="15" customHeight="1" x14ac:dyDescent="0.25">
      <c r="B287" s="4054"/>
      <c r="C287" s="4055"/>
      <c r="D287" s="4055"/>
      <c r="E287" s="4055"/>
      <c r="F287" s="4055"/>
      <c r="G287" s="4055"/>
    </row>
    <row r="288" spans="2:7" ht="15.75" customHeight="1" x14ac:dyDescent="0.25">
      <c r="B288" s="4154"/>
      <c r="C288" s="4154"/>
      <c r="D288" s="4154"/>
      <c r="E288" s="4154"/>
      <c r="F288" s="4154"/>
      <c r="G288" s="4154"/>
    </row>
    <row r="289" spans="2:7" ht="15.75" customHeight="1" x14ac:dyDescent="0.25">
      <c r="B289" s="4120" t="s">
        <v>27</v>
      </c>
      <c r="C289" s="4121" t="s">
        <v>10</v>
      </c>
      <c r="D289" s="4120" t="s">
        <v>1286</v>
      </c>
      <c r="E289" s="4120" t="s">
        <v>1273</v>
      </c>
      <c r="F289" s="4120" t="s">
        <v>38</v>
      </c>
      <c r="G289" s="4122" t="s">
        <v>1293</v>
      </c>
    </row>
    <row r="290" spans="2:7" ht="15.75" customHeight="1" x14ac:dyDescent="0.25">
      <c r="B290" s="6377" t="s">
        <v>138</v>
      </c>
      <c r="C290" s="4123" t="s">
        <v>48</v>
      </c>
      <c r="D290" s="4126">
        <f>D293+D292+D291</f>
        <v>6154939.3399999999</v>
      </c>
      <c r="E290" s="4155">
        <f>E293+E292+E291</f>
        <v>11929784.07</v>
      </c>
      <c r="F290" s="4156">
        <f>F293+F292+F291</f>
        <v>6966310.6500000013</v>
      </c>
      <c r="G290" s="4126">
        <f>G293+G292+G291</f>
        <v>25051034.060000002</v>
      </c>
    </row>
    <row r="291" spans="2:7" ht="15.75" customHeight="1" x14ac:dyDescent="0.25">
      <c r="B291" s="6378"/>
      <c r="C291" s="4127" t="s">
        <v>59</v>
      </c>
      <c r="D291" s="4128">
        <v>4105171</v>
      </c>
      <c r="E291" s="4157">
        <v>4459670.1899999995</v>
      </c>
      <c r="F291" s="4158">
        <v>2923239.3800000008</v>
      </c>
      <c r="G291" s="4128">
        <f>+D291+E291+F291</f>
        <v>11488080.57</v>
      </c>
    </row>
    <row r="292" spans="2:7" ht="15.75" customHeight="1" x14ac:dyDescent="0.25">
      <c r="B292" s="6378"/>
      <c r="C292" s="4127" t="s">
        <v>64</v>
      </c>
      <c r="D292" s="4128">
        <v>2031768.34</v>
      </c>
      <c r="E292" s="4157">
        <v>4530756</v>
      </c>
      <c r="F292" s="4158">
        <v>4025158.1500000004</v>
      </c>
      <c r="G292" s="4128">
        <f>+D292+E292+F292</f>
        <v>10587682.49</v>
      </c>
    </row>
    <row r="293" spans="2:7" ht="15.75" customHeight="1" x14ac:dyDescent="0.25">
      <c r="B293" s="6379"/>
      <c r="C293" s="4127" t="s">
        <v>68</v>
      </c>
      <c r="D293" s="4132">
        <v>18000</v>
      </c>
      <c r="E293" s="4159">
        <v>2939357.88</v>
      </c>
      <c r="F293" s="4160">
        <v>17913.12</v>
      </c>
      <c r="G293" s="4132">
        <f>+D293+E293+F293</f>
        <v>2975271</v>
      </c>
    </row>
    <row r="294" spans="2:7" ht="15.75" customHeight="1" x14ac:dyDescent="0.25">
      <c r="B294" s="6380" t="s">
        <v>134</v>
      </c>
      <c r="C294" s="4133" t="s">
        <v>48</v>
      </c>
      <c r="D294" s="4136">
        <f>+D295+D296+D297+D298</f>
        <v>1422593</v>
      </c>
      <c r="E294" s="4161">
        <f>+E295+E296+E297+E298</f>
        <v>4355759</v>
      </c>
      <c r="F294" s="4162">
        <f>+F298+F297+F296+F295</f>
        <v>3247058.8800000004</v>
      </c>
      <c r="G294" s="4136">
        <f>+G298+G297+G296+G295</f>
        <v>9025410.879999999</v>
      </c>
    </row>
    <row r="295" spans="2:7" ht="15.75" customHeight="1" x14ac:dyDescent="0.25">
      <c r="B295" s="6381"/>
      <c r="C295" s="4127" t="s">
        <v>111</v>
      </c>
      <c r="D295" s="4128"/>
      <c r="E295" s="4157">
        <v>629637</v>
      </c>
      <c r="F295" s="4158"/>
      <c r="G295" s="4128">
        <f>+D295+E295+F295</f>
        <v>629637</v>
      </c>
    </row>
    <row r="296" spans="2:7" ht="15.75" customHeight="1" x14ac:dyDescent="0.25">
      <c r="B296" s="6381"/>
      <c r="C296" s="4127" t="s">
        <v>115</v>
      </c>
      <c r="D296" s="4128">
        <v>435100</v>
      </c>
      <c r="E296" s="4157">
        <v>2671211</v>
      </c>
      <c r="F296" s="4158">
        <v>2405068.6800000002</v>
      </c>
      <c r="G296" s="4128">
        <f>+D296+E296+F296</f>
        <v>5511379.6799999997</v>
      </c>
    </row>
    <row r="297" spans="2:7" ht="15.75" customHeight="1" x14ac:dyDescent="0.25">
      <c r="B297" s="6381"/>
      <c r="C297" s="4127" t="s">
        <v>64</v>
      </c>
      <c r="D297" s="4128">
        <v>115493</v>
      </c>
      <c r="E297" s="4157">
        <v>1054911</v>
      </c>
      <c r="F297" s="4158">
        <v>841990.20000000007</v>
      </c>
      <c r="G297" s="4128">
        <f>+D297+E297+F297</f>
        <v>2012394.2000000002</v>
      </c>
    </row>
    <row r="298" spans="2:7" ht="15.75" customHeight="1" x14ac:dyDescent="0.25">
      <c r="B298" s="6382"/>
      <c r="C298" s="4137" t="s">
        <v>1276</v>
      </c>
      <c r="D298" s="4132">
        <v>872000</v>
      </c>
      <c r="E298" s="4159"/>
      <c r="F298" s="4160"/>
      <c r="G298" s="4132">
        <f>+D298+E298+F298</f>
        <v>872000</v>
      </c>
    </row>
    <row r="299" spans="2:7" ht="15.75" customHeight="1" x14ac:dyDescent="0.25">
      <c r="B299" s="6383" t="s">
        <v>135</v>
      </c>
      <c r="C299" s="4138" t="s">
        <v>48</v>
      </c>
      <c r="D299" s="4141">
        <f>+D300+D301+D302+D303</f>
        <v>58222623.220000006</v>
      </c>
      <c r="E299" s="4163">
        <f>+E300+E301+E302+E303</f>
        <v>18607209.43</v>
      </c>
      <c r="F299" s="4164">
        <f>+F303+F302+F301+F300</f>
        <v>34822147.730000004</v>
      </c>
      <c r="G299" s="4141">
        <f>+G303+G302+G301+G300</f>
        <v>111651980.38000001</v>
      </c>
    </row>
    <row r="300" spans="2:7" ht="15.75" customHeight="1" x14ac:dyDescent="0.25">
      <c r="B300" s="6384"/>
      <c r="C300" s="4127" t="s">
        <v>59</v>
      </c>
      <c r="D300" s="4128">
        <v>26820686.170000002</v>
      </c>
      <c r="E300" s="4157">
        <v>4981422.5999999996</v>
      </c>
      <c r="F300" s="4158">
        <v>6936098.370000001</v>
      </c>
      <c r="G300" s="4128">
        <f>+D300+E300+F300</f>
        <v>38738207.140000001</v>
      </c>
    </row>
    <row r="301" spans="2:7" ht="15.75" customHeight="1" x14ac:dyDescent="0.25">
      <c r="B301" s="6384"/>
      <c r="C301" s="4127" t="s">
        <v>92</v>
      </c>
      <c r="D301" s="4128">
        <v>21029427.449999999</v>
      </c>
      <c r="E301" s="4157">
        <v>6409992</v>
      </c>
      <c r="F301" s="4158">
        <v>2666748.02</v>
      </c>
      <c r="G301" s="4128">
        <f>+D301+E301+F301</f>
        <v>30106167.469999999</v>
      </c>
    </row>
    <row r="302" spans="2:7" ht="15.75" customHeight="1" x14ac:dyDescent="0.25">
      <c r="B302" s="6384"/>
      <c r="C302" s="4127" t="s">
        <v>64</v>
      </c>
      <c r="D302" s="4128">
        <v>9995009.5999999996</v>
      </c>
      <c r="E302" s="4157">
        <v>7215794.8300000001</v>
      </c>
      <c r="F302" s="4158">
        <v>19572878.41</v>
      </c>
      <c r="G302" s="4128">
        <f>+D302+E302+F302</f>
        <v>36783682.840000004</v>
      </c>
    </row>
    <row r="303" spans="2:7" ht="15.75" customHeight="1" x14ac:dyDescent="0.25">
      <c r="B303" s="6385"/>
      <c r="C303" s="4137" t="s">
        <v>1276</v>
      </c>
      <c r="D303" s="4132">
        <v>377500</v>
      </c>
      <c r="E303" s="4159"/>
      <c r="F303" s="4160">
        <v>5646422.9299999997</v>
      </c>
      <c r="G303" s="4132">
        <f>+D303+E303+F303</f>
        <v>6023922.9299999997</v>
      </c>
    </row>
    <row r="304" spans="2:7" ht="15.75" customHeight="1" x14ac:dyDescent="0.25">
      <c r="B304" s="6386" t="s">
        <v>136</v>
      </c>
      <c r="C304" s="4142" t="s">
        <v>48</v>
      </c>
      <c r="D304" s="4143">
        <f>+D305+D306</f>
        <v>1134919.05</v>
      </c>
      <c r="E304" s="4165"/>
      <c r="F304" s="4166"/>
      <c r="G304" s="4143">
        <f>+G305+G306</f>
        <v>1134919.05</v>
      </c>
    </row>
    <row r="305" spans="2:7" ht="15.75" customHeight="1" x14ac:dyDescent="0.25">
      <c r="B305" s="6387"/>
      <c r="C305" s="4127" t="s">
        <v>92</v>
      </c>
      <c r="D305" s="4128">
        <v>923719.05</v>
      </c>
      <c r="E305" s="4157"/>
      <c r="F305" s="4158"/>
      <c r="G305" s="4128">
        <f>+D305+E305+F305</f>
        <v>923719.05</v>
      </c>
    </row>
    <row r="306" spans="2:7" ht="15.75" customHeight="1" x14ac:dyDescent="0.25">
      <c r="B306" s="6388"/>
      <c r="C306" s="4137" t="s">
        <v>1276</v>
      </c>
      <c r="D306" s="4132">
        <v>211200</v>
      </c>
      <c r="E306" s="4159"/>
      <c r="F306" s="4160"/>
      <c r="G306" s="4132">
        <f>+D306+E306+F306</f>
        <v>211200</v>
      </c>
    </row>
    <row r="307" spans="2:7" ht="15.75" customHeight="1" x14ac:dyDescent="0.25">
      <c r="B307" s="6389" t="s">
        <v>137</v>
      </c>
      <c r="C307" s="4144" t="s">
        <v>48</v>
      </c>
      <c r="D307" s="4147">
        <f>+D310+D309+D308+D311</f>
        <v>23502690.960000001</v>
      </c>
      <c r="E307" s="4167">
        <f>+E310+E309+E308+E311</f>
        <v>14510991.82</v>
      </c>
      <c r="F307" s="4168">
        <f>+F310+F309+F308+F311</f>
        <v>26517036.219999999</v>
      </c>
      <c r="G307" s="4147">
        <f>+G310+G309+G308+G311</f>
        <v>64530719</v>
      </c>
    </row>
    <row r="308" spans="2:7" ht="15.75" customHeight="1" x14ac:dyDescent="0.25">
      <c r="B308" s="6390"/>
      <c r="C308" s="4127" t="s">
        <v>92</v>
      </c>
      <c r="D308" s="4128">
        <v>7142617.3099999996</v>
      </c>
      <c r="E308" s="4157">
        <v>3457437.8599999994</v>
      </c>
      <c r="F308" s="4158">
        <v>5502417.5999999996</v>
      </c>
      <c r="G308" s="4128">
        <f>+D308+E308+F308</f>
        <v>16102472.769999998</v>
      </c>
    </row>
    <row r="309" spans="2:7" ht="15.75" customHeight="1" x14ac:dyDescent="0.25">
      <c r="B309" s="6390"/>
      <c r="C309" s="4127" t="s">
        <v>64</v>
      </c>
      <c r="D309" s="4128">
        <v>9400073.6500000004</v>
      </c>
      <c r="E309" s="4157">
        <v>1594740.79</v>
      </c>
      <c r="F309" s="4158">
        <v>13034936.359999999</v>
      </c>
      <c r="G309" s="4128">
        <f>+D309+E309+F309</f>
        <v>24029750.800000001</v>
      </c>
    </row>
    <row r="310" spans="2:7" ht="15.75" customHeight="1" x14ac:dyDescent="0.25">
      <c r="B310" s="6390"/>
      <c r="C310" s="4127" t="s">
        <v>68</v>
      </c>
      <c r="D310" s="4128">
        <v>276000</v>
      </c>
      <c r="E310" s="4157">
        <v>512000</v>
      </c>
      <c r="F310" s="4158">
        <v>5105397.3000000007</v>
      </c>
      <c r="G310" s="4128">
        <f>+D310+E310+F310</f>
        <v>5893397.3000000007</v>
      </c>
    </row>
    <row r="311" spans="2:7" ht="15.75" customHeight="1" x14ac:dyDescent="0.25">
      <c r="B311" s="6391"/>
      <c r="C311" s="4137" t="s">
        <v>1276</v>
      </c>
      <c r="D311" s="4132">
        <v>6684000</v>
      </c>
      <c r="E311" s="4159">
        <v>8946813.1699999999</v>
      </c>
      <c r="F311" s="4160">
        <v>2874284.9600000004</v>
      </c>
      <c r="G311" s="4132">
        <f>+D311+E311+F311</f>
        <v>18505098.129999999</v>
      </c>
    </row>
    <row r="312" spans="2:7" ht="15.75" customHeight="1" x14ac:dyDescent="0.25">
      <c r="B312" s="4148" t="s">
        <v>1277</v>
      </c>
      <c r="C312" s="4169" t="s">
        <v>48</v>
      </c>
      <c r="D312" s="4170">
        <v>1730989.5</v>
      </c>
      <c r="E312" s="4171"/>
      <c r="F312" s="4170">
        <v>156900</v>
      </c>
      <c r="G312" s="4172">
        <f>+D312+E312+F312</f>
        <v>1887889.5</v>
      </c>
    </row>
    <row r="313" spans="2:7" ht="15.75" customHeight="1" x14ac:dyDescent="0.25">
      <c r="B313" s="6375" t="s">
        <v>431</v>
      </c>
      <c r="C313" s="6376"/>
      <c r="D313" s="4153">
        <f>+D307+D312+D299+D294+D290+D304</f>
        <v>92168755.070000008</v>
      </c>
      <c r="E313" s="4173">
        <f>+E307+E312+E299+E294+E290+E304</f>
        <v>49403744.32</v>
      </c>
      <c r="F313" s="4153">
        <f>+F307+F312+F299+F294+F290+F304</f>
        <v>71709453.480000004</v>
      </c>
      <c r="G313" s="4174">
        <f>+G307+G312+G299+G294+G290+G304</f>
        <v>213281952.87</v>
      </c>
    </row>
    <row r="314" spans="2:7" ht="15.75" customHeight="1" x14ac:dyDescent="0.25">
      <c r="B314" s="3937"/>
      <c r="G314" s="3937"/>
    </row>
    <row r="315" spans="2:7" ht="28.8" x14ac:dyDescent="0.25">
      <c r="B315" s="4120" t="s">
        <v>1237</v>
      </c>
      <c r="C315" s="4120" t="s">
        <v>186</v>
      </c>
      <c r="D315" s="4120" t="s">
        <v>1272</v>
      </c>
      <c r="E315" s="4120" t="s">
        <v>1294</v>
      </c>
      <c r="F315" s="4175" t="s">
        <v>1295</v>
      </c>
      <c r="G315" s="4122" t="s">
        <v>1296</v>
      </c>
    </row>
    <row r="316" spans="2:7" ht="15.75" customHeight="1" x14ac:dyDescent="0.3">
      <c r="B316" s="6393" t="s">
        <v>286</v>
      </c>
      <c r="C316" s="4176" t="s">
        <v>279</v>
      </c>
      <c r="D316" s="4177">
        <f>D319+D318+D317</f>
        <v>27417803.18</v>
      </c>
      <c r="E316" s="4177">
        <f>E319+E318+E317</f>
        <v>21349620</v>
      </c>
      <c r="F316" s="4177">
        <f>F319+F318+F317</f>
        <v>5087018.1599999992</v>
      </c>
      <c r="G316" s="4177">
        <f>G319+G318+G317</f>
        <v>53854441.340000004</v>
      </c>
    </row>
    <row r="317" spans="2:7" ht="15.75" customHeight="1" x14ac:dyDescent="0.3">
      <c r="B317" s="6394"/>
      <c r="C317" s="3998" t="s">
        <v>59</v>
      </c>
      <c r="D317" s="4178">
        <v>19936463.18</v>
      </c>
      <c r="E317" s="4179">
        <v>9838573</v>
      </c>
      <c r="F317" s="4179">
        <v>3842229.919999999</v>
      </c>
      <c r="G317" s="4180">
        <f>+D317+E317+F317</f>
        <v>33617266.100000001</v>
      </c>
    </row>
    <row r="318" spans="2:7" ht="15.75" customHeight="1" x14ac:dyDescent="0.3">
      <c r="B318" s="6394"/>
      <c r="C318" s="3998" t="s">
        <v>64</v>
      </c>
      <c r="D318" s="4178">
        <v>6938340</v>
      </c>
      <c r="E318" s="4179">
        <v>6305976</v>
      </c>
      <c r="F318" s="4179">
        <v>1244788.24</v>
      </c>
      <c r="G318" s="4180">
        <f>+D318+E318+F318</f>
        <v>14489104.24</v>
      </c>
    </row>
    <row r="319" spans="2:7" ht="15.75" customHeight="1" x14ac:dyDescent="0.3">
      <c r="B319" s="6395"/>
      <c r="C319" s="4000" t="s">
        <v>68</v>
      </c>
      <c r="D319" s="4181">
        <v>543000</v>
      </c>
      <c r="E319" s="4182">
        <v>5205071</v>
      </c>
      <c r="F319" s="4182">
        <v>0</v>
      </c>
      <c r="G319" s="4183">
        <f>+D319+E319+F319</f>
        <v>5748071</v>
      </c>
    </row>
    <row r="320" spans="2:7" ht="15.75" customHeight="1" x14ac:dyDescent="0.3">
      <c r="B320" s="6393" t="s">
        <v>287</v>
      </c>
      <c r="C320" s="4176" t="s">
        <v>279</v>
      </c>
      <c r="D320" s="4177">
        <f>+D324+D323+D322+D321</f>
        <v>14643020.629999999</v>
      </c>
      <c r="E320" s="4177">
        <f>+E324+E323+E322+E321</f>
        <v>11228688</v>
      </c>
      <c r="F320" s="4177">
        <f>+F324+F323+F322+F321</f>
        <v>665614.40999999992</v>
      </c>
      <c r="G320" s="4177">
        <f>+G324+G323+G322+G321</f>
        <v>26537323.039999999</v>
      </c>
    </row>
    <row r="321" spans="2:7" ht="15.75" customHeight="1" x14ac:dyDescent="0.3">
      <c r="B321" s="6394"/>
      <c r="C321" s="3998" t="s">
        <v>111</v>
      </c>
      <c r="D321" s="4178">
        <v>904563.19999999995</v>
      </c>
      <c r="E321" s="4179">
        <v>1583686</v>
      </c>
      <c r="F321" s="4179">
        <v>0</v>
      </c>
      <c r="G321" s="4180">
        <f>+D321+E321+F321</f>
        <v>2488249.2000000002</v>
      </c>
    </row>
    <row r="322" spans="2:7" ht="15.75" customHeight="1" x14ac:dyDescent="0.3">
      <c r="B322" s="6394"/>
      <c r="C322" s="3998" t="s">
        <v>115</v>
      </c>
      <c r="D322" s="4178">
        <v>10619229.43</v>
      </c>
      <c r="E322" s="4179">
        <v>6438796</v>
      </c>
      <c r="F322" s="4179">
        <v>665614.40999999992</v>
      </c>
      <c r="G322" s="4180">
        <f>+D322+E322+F322</f>
        <v>17723639.84</v>
      </c>
    </row>
    <row r="323" spans="2:7" ht="15.75" customHeight="1" x14ac:dyDescent="0.3">
      <c r="B323" s="6394"/>
      <c r="C323" s="3998" t="s">
        <v>64</v>
      </c>
      <c r="D323" s="4178">
        <v>2319228</v>
      </c>
      <c r="E323" s="4179">
        <v>3206206</v>
      </c>
      <c r="F323" s="4179">
        <v>0</v>
      </c>
      <c r="G323" s="4180">
        <f>+D323+E323+F323</f>
        <v>5525434</v>
      </c>
    </row>
    <row r="324" spans="2:7" ht="15.75" customHeight="1" x14ac:dyDescent="0.3">
      <c r="B324" s="6395"/>
      <c r="C324" s="4000" t="s">
        <v>1297</v>
      </c>
      <c r="D324" s="4181">
        <v>800000</v>
      </c>
      <c r="E324" s="4182"/>
      <c r="F324" s="4182">
        <v>0</v>
      </c>
      <c r="G324" s="4183">
        <f>+D324+E324+F324</f>
        <v>800000</v>
      </c>
    </row>
    <row r="325" spans="2:7" ht="15.75" customHeight="1" x14ac:dyDescent="0.3">
      <c r="B325" s="6393" t="s">
        <v>288</v>
      </c>
      <c r="C325" s="4176" t="s">
        <v>279</v>
      </c>
      <c r="D325" s="4177">
        <f>+D329+D328+D327+D326</f>
        <v>112569799.26000001</v>
      </c>
      <c r="E325" s="4177">
        <f>+E329+E328+E327+E326</f>
        <v>20716545.740000002</v>
      </c>
      <c r="F325" s="4177">
        <f>+F329+F328+F327+F326</f>
        <v>157571363.01999995</v>
      </c>
      <c r="G325" s="4177">
        <f>+G329+G328+G327+G326</f>
        <v>290857708.01999998</v>
      </c>
    </row>
    <row r="326" spans="2:7" ht="15.75" customHeight="1" x14ac:dyDescent="0.3">
      <c r="B326" s="6394"/>
      <c r="C326" s="3998" t="s">
        <v>59</v>
      </c>
      <c r="D326" s="4178">
        <v>66476683.100000001</v>
      </c>
      <c r="E326" s="4179">
        <v>8632768</v>
      </c>
      <c r="F326" s="4179">
        <v>5632841.29</v>
      </c>
      <c r="G326" s="4180">
        <f>+D326+E326+F326</f>
        <v>80742292.390000001</v>
      </c>
    </row>
    <row r="327" spans="2:7" ht="15.75" customHeight="1" x14ac:dyDescent="0.3">
      <c r="B327" s="6394"/>
      <c r="C327" s="3998" t="s">
        <v>92</v>
      </c>
      <c r="D327" s="4178">
        <v>34326278.490000002</v>
      </c>
      <c r="E327" s="4179">
        <v>6370425</v>
      </c>
      <c r="F327" s="4179">
        <v>1868755.57</v>
      </c>
      <c r="G327" s="4180">
        <f>+D327+E327+F327</f>
        <v>42565459.060000002</v>
      </c>
    </row>
    <row r="328" spans="2:7" ht="15.75" customHeight="1" x14ac:dyDescent="0.3">
      <c r="B328" s="6394"/>
      <c r="C328" s="3998" t="s">
        <v>64</v>
      </c>
      <c r="D328" s="4178">
        <v>11257727.67</v>
      </c>
      <c r="E328" s="4179">
        <v>5060514</v>
      </c>
      <c r="F328" s="4179">
        <v>140523475.68999997</v>
      </c>
      <c r="G328" s="4180">
        <f>+D328+E328+F328</f>
        <v>156841717.35999995</v>
      </c>
    </row>
    <row r="329" spans="2:7" ht="15.75" customHeight="1" x14ac:dyDescent="0.3">
      <c r="B329" s="6395"/>
      <c r="C329" s="4000" t="s">
        <v>1297</v>
      </c>
      <c r="D329" s="4181">
        <v>509110</v>
      </c>
      <c r="E329" s="4182">
        <v>652838.74</v>
      </c>
      <c r="F329" s="4182">
        <v>9546290.4699999988</v>
      </c>
      <c r="G329" s="4183">
        <f>+D329+E329+F329</f>
        <v>10708239.209999999</v>
      </c>
    </row>
    <row r="330" spans="2:7" ht="15.75" customHeight="1" x14ac:dyDescent="0.3">
      <c r="B330" s="6393" t="s">
        <v>289</v>
      </c>
      <c r="C330" s="4176" t="s">
        <v>279</v>
      </c>
      <c r="D330" s="4177">
        <f>+D331+D332+D333</f>
        <v>308290</v>
      </c>
      <c r="E330" s="4177">
        <f>+E331+E332+E333</f>
        <v>8692250</v>
      </c>
      <c r="F330" s="4177">
        <f>+F331+F332+F333</f>
        <v>300142.86</v>
      </c>
      <c r="G330" s="4177">
        <f>+G331+G332+G333</f>
        <v>9300682.8599999994</v>
      </c>
    </row>
    <row r="331" spans="2:7" ht="15.75" customHeight="1" x14ac:dyDescent="0.3">
      <c r="B331" s="6394"/>
      <c r="C331" s="3998" t="s">
        <v>59</v>
      </c>
      <c r="D331" s="4178">
        <v>0</v>
      </c>
      <c r="E331" s="4179">
        <v>3828750</v>
      </c>
      <c r="F331" s="4179">
        <v>0</v>
      </c>
      <c r="G331" s="4180">
        <f>+D331+E331+F331</f>
        <v>3828750</v>
      </c>
    </row>
    <row r="332" spans="2:7" ht="15.75" customHeight="1" x14ac:dyDescent="0.3">
      <c r="B332" s="6394"/>
      <c r="C332" s="3998" t="s">
        <v>92</v>
      </c>
      <c r="D332" s="4178">
        <v>308290</v>
      </c>
      <c r="E332" s="4179">
        <v>2928750</v>
      </c>
      <c r="F332" s="4179">
        <v>300142.86</v>
      </c>
      <c r="G332" s="4180">
        <f>+D332+E332+F332</f>
        <v>3537182.86</v>
      </c>
    </row>
    <row r="333" spans="2:7" ht="15.75" customHeight="1" x14ac:dyDescent="0.3">
      <c r="B333" s="6395"/>
      <c r="C333" s="4000" t="s">
        <v>64</v>
      </c>
      <c r="D333" s="4181">
        <v>0</v>
      </c>
      <c r="E333" s="4182">
        <v>1934750</v>
      </c>
      <c r="F333" s="4182">
        <v>0</v>
      </c>
      <c r="G333" s="4183">
        <f>+D333+E333+F333</f>
        <v>1934750</v>
      </c>
    </row>
    <row r="334" spans="2:7" ht="15.75" customHeight="1" x14ac:dyDescent="0.3">
      <c r="B334" s="6393" t="s">
        <v>290</v>
      </c>
      <c r="C334" s="4176" t="s">
        <v>279</v>
      </c>
      <c r="D334" s="4177">
        <f>+D337+D336+D335+D338</f>
        <v>30624889.840000004</v>
      </c>
      <c r="E334" s="4177">
        <f>+E337+E336+E335+E338</f>
        <v>15138745.460000001</v>
      </c>
      <c r="F334" s="4177">
        <f>+F337+F336+F335+F338</f>
        <v>54244373.470000006</v>
      </c>
      <c r="G334" s="4177">
        <f>+G337+G336+G335+G338</f>
        <v>100008008.77</v>
      </c>
    </row>
    <row r="335" spans="2:7" ht="15.75" customHeight="1" x14ac:dyDescent="0.3">
      <c r="B335" s="6394"/>
      <c r="C335" s="3998" t="s">
        <v>92</v>
      </c>
      <c r="D335" s="4178">
        <v>13835065.760000002</v>
      </c>
      <c r="E335" s="4179">
        <v>7153005.54</v>
      </c>
      <c r="F335" s="4179">
        <v>23899801.34</v>
      </c>
      <c r="G335" s="4180">
        <f>+D335+E335+F335</f>
        <v>44887872.640000001</v>
      </c>
    </row>
    <row r="336" spans="2:7" ht="15.75" customHeight="1" x14ac:dyDescent="0.3">
      <c r="B336" s="6394"/>
      <c r="C336" s="3998" t="s">
        <v>64</v>
      </c>
      <c r="D336" s="4178">
        <v>10720507.57</v>
      </c>
      <c r="E336" s="4179">
        <v>5494840.9199999999</v>
      </c>
      <c r="F336" s="4179">
        <v>19686251.84</v>
      </c>
      <c r="G336" s="4180">
        <f>+D336+E336+F336</f>
        <v>35901600.329999998</v>
      </c>
    </row>
    <row r="337" spans="2:7" ht="15.75" customHeight="1" x14ac:dyDescent="0.3">
      <c r="B337" s="6394"/>
      <c r="C337" s="3998" t="s">
        <v>68</v>
      </c>
      <c r="D337" s="4178">
        <v>5926316.5099999998</v>
      </c>
      <c r="E337" s="4179">
        <v>2490899</v>
      </c>
      <c r="F337" s="4179">
        <v>8251736.1600000001</v>
      </c>
      <c r="G337" s="4180">
        <f>+D337+E337+F337</f>
        <v>16668951.67</v>
      </c>
    </row>
    <row r="338" spans="2:7" ht="15.75" customHeight="1" x14ac:dyDescent="0.3">
      <c r="B338" s="6395"/>
      <c r="C338" s="4000" t="s">
        <v>1297</v>
      </c>
      <c r="D338" s="4181">
        <v>143000</v>
      </c>
      <c r="E338" s="4182"/>
      <c r="F338" s="4182">
        <v>2406584.13</v>
      </c>
      <c r="G338" s="4183">
        <f>+D338+E338+F338</f>
        <v>2549584.13</v>
      </c>
    </row>
    <row r="339" spans="2:7" ht="15.75" customHeight="1" x14ac:dyDescent="0.3">
      <c r="B339" s="4184" t="s">
        <v>1298</v>
      </c>
      <c r="C339" s="4176" t="s">
        <v>279</v>
      </c>
      <c r="D339" s="4177">
        <v>1604012</v>
      </c>
      <c r="E339" s="4177">
        <v>2295278</v>
      </c>
      <c r="F339" s="4177">
        <v>0</v>
      </c>
      <c r="G339" s="4177">
        <f>+D339+E339+F339</f>
        <v>3899290</v>
      </c>
    </row>
    <row r="340" spans="2:7" ht="15.75" customHeight="1" x14ac:dyDescent="0.3">
      <c r="B340" s="6396" t="s">
        <v>128</v>
      </c>
      <c r="C340" s="6397"/>
      <c r="D340" s="4185">
        <f>+D334+D339+D325+D320+D316+D330</f>
        <v>187167814.91000003</v>
      </c>
      <c r="E340" s="4185">
        <f>+E334+E339+E325+E320+E316+E330</f>
        <v>79421127.200000003</v>
      </c>
      <c r="F340" s="4185">
        <f>+F334+F339+F325+F320+F316+F330</f>
        <v>217868511.91999996</v>
      </c>
      <c r="G340" s="4185">
        <f>+G334+G339+G325+G320+G316+G330</f>
        <v>484457454.02999997</v>
      </c>
    </row>
    <row r="341" spans="2:7" ht="15.75" customHeight="1" x14ac:dyDescent="0.25">
      <c r="B341" s="4154"/>
      <c r="C341" s="4154"/>
      <c r="D341" s="4154"/>
      <c r="E341" s="4154"/>
      <c r="F341" s="4154"/>
      <c r="G341" s="4154"/>
    </row>
    <row r="342" spans="2:7" ht="15.75" customHeight="1" x14ac:dyDescent="0.3">
      <c r="B342" s="4186" t="s">
        <v>1237</v>
      </c>
      <c r="C342" s="4186" t="s">
        <v>186</v>
      </c>
      <c r="D342" s="4186" t="s">
        <v>1272</v>
      </c>
      <c r="E342" s="4186" t="s">
        <v>1273</v>
      </c>
      <c r="F342" s="4186" t="s">
        <v>1299</v>
      </c>
      <c r="G342" s="4187" t="s">
        <v>1300</v>
      </c>
    </row>
    <row r="343" spans="2:7" ht="15.75" customHeight="1" x14ac:dyDescent="0.3">
      <c r="B343" s="4188" t="s">
        <v>286</v>
      </c>
      <c r="C343" s="4189" t="s">
        <v>279</v>
      </c>
      <c r="D343" s="4190">
        <v>9872554.8300000001</v>
      </c>
      <c r="E343" s="4191">
        <v>8073775.9500000002</v>
      </c>
      <c r="F343" s="4190">
        <v>39329618.890000001</v>
      </c>
      <c r="G343" s="4191">
        <v>57275949.670000002</v>
      </c>
    </row>
    <row r="344" spans="2:7" ht="15.75" customHeight="1" x14ac:dyDescent="0.3">
      <c r="B344" s="4192"/>
      <c r="C344" s="3998" t="s">
        <v>68</v>
      </c>
      <c r="D344" s="4178">
        <v>202276</v>
      </c>
      <c r="E344" s="4179">
        <v>2170234</v>
      </c>
      <c r="F344" s="4178">
        <v>3002510.21</v>
      </c>
      <c r="G344" s="4179">
        <v>5375020.21</v>
      </c>
    </row>
    <row r="345" spans="2:7" ht="15.75" customHeight="1" x14ac:dyDescent="0.3">
      <c r="B345" s="4192"/>
      <c r="C345" s="3998" t="s">
        <v>59</v>
      </c>
      <c r="D345" s="4178">
        <v>8319909.8300000001</v>
      </c>
      <c r="E345" s="4179">
        <v>4023497.95</v>
      </c>
      <c r="F345" s="4178">
        <v>4318259.3600000003</v>
      </c>
      <c r="G345" s="4179">
        <v>16661667.140000001</v>
      </c>
    </row>
    <row r="346" spans="2:7" ht="15.75" customHeight="1" x14ac:dyDescent="0.3">
      <c r="B346" s="4193"/>
      <c r="C346" s="4000" t="s">
        <v>64</v>
      </c>
      <c r="D346" s="4181">
        <v>1350369</v>
      </c>
      <c r="E346" s="4182">
        <v>1880044</v>
      </c>
      <c r="F346" s="4181">
        <v>32008849.32</v>
      </c>
      <c r="G346" s="4182">
        <v>35239262.32</v>
      </c>
    </row>
    <row r="347" spans="2:7" ht="15.75" customHeight="1" x14ac:dyDescent="0.3">
      <c r="B347" s="4194" t="s">
        <v>287</v>
      </c>
      <c r="C347" s="4189" t="s">
        <v>279</v>
      </c>
      <c r="D347" s="4190">
        <v>6647051.8200000003</v>
      </c>
      <c r="E347" s="4191">
        <v>6062661</v>
      </c>
      <c r="F347" s="4190">
        <v>972736.27</v>
      </c>
      <c r="G347" s="4191">
        <v>13682449.09</v>
      </c>
    </row>
    <row r="348" spans="2:7" ht="15.75" customHeight="1" x14ac:dyDescent="0.3">
      <c r="B348" s="4192"/>
      <c r="C348" s="3998" t="s">
        <v>111</v>
      </c>
      <c r="D348" s="4178">
        <v>69500</v>
      </c>
      <c r="E348" s="4179">
        <v>1306034</v>
      </c>
      <c r="F348" s="4178">
        <v>0</v>
      </c>
      <c r="G348" s="4179">
        <v>1375534</v>
      </c>
    </row>
    <row r="349" spans="2:7" ht="15.75" customHeight="1" x14ac:dyDescent="0.3">
      <c r="B349" s="4192"/>
      <c r="C349" s="3998" t="s">
        <v>115</v>
      </c>
      <c r="D349" s="4178">
        <v>3251378.8200000003</v>
      </c>
      <c r="E349" s="4179">
        <v>1737836</v>
      </c>
      <c r="F349" s="4178">
        <v>972736.27</v>
      </c>
      <c r="G349" s="4179">
        <v>5961951.0899999999</v>
      </c>
    </row>
    <row r="350" spans="2:7" ht="15.75" customHeight="1" x14ac:dyDescent="0.3">
      <c r="B350" s="4192"/>
      <c r="C350" s="3998" t="s">
        <v>64</v>
      </c>
      <c r="D350" s="4178">
        <v>3326173</v>
      </c>
      <c r="E350" s="4179">
        <v>2937401</v>
      </c>
      <c r="F350" s="4178">
        <v>0</v>
      </c>
      <c r="G350" s="4179">
        <v>6263574</v>
      </c>
    </row>
    <row r="351" spans="2:7" ht="15.75" customHeight="1" x14ac:dyDescent="0.3">
      <c r="B351" s="4192"/>
      <c r="C351" s="3998" t="s">
        <v>1301</v>
      </c>
      <c r="D351" s="4178">
        <v>0</v>
      </c>
      <c r="E351" s="4179">
        <v>81390</v>
      </c>
      <c r="F351" s="4178">
        <v>0</v>
      </c>
      <c r="G351" s="4179">
        <v>81390</v>
      </c>
    </row>
    <row r="352" spans="2:7" ht="15.75" customHeight="1" x14ac:dyDescent="0.3">
      <c r="B352" s="4188" t="s">
        <v>288</v>
      </c>
      <c r="C352" s="4189" t="s">
        <v>279</v>
      </c>
      <c r="D352" s="4190">
        <v>37093508.290000007</v>
      </c>
      <c r="E352" s="4191">
        <v>4491230.78</v>
      </c>
      <c r="F352" s="4190">
        <v>58931438.5</v>
      </c>
      <c r="G352" s="4191">
        <v>100516177.56999999</v>
      </c>
    </row>
    <row r="353" spans="2:7" ht="15.75" customHeight="1" x14ac:dyDescent="0.3">
      <c r="B353" s="4192"/>
      <c r="C353" s="3998" t="s">
        <v>59</v>
      </c>
      <c r="D353" s="4178">
        <v>20512638.850000001</v>
      </c>
      <c r="E353" s="4179">
        <v>947668</v>
      </c>
      <c r="F353" s="4178">
        <v>6576584.4499999993</v>
      </c>
      <c r="G353" s="4179">
        <v>28036891.300000001</v>
      </c>
    </row>
    <row r="354" spans="2:7" ht="15.75" customHeight="1" x14ac:dyDescent="0.3">
      <c r="B354" s="4192"/>
      <c r="C354" s="3998" t="s">
        <v>92</v>
      </c>
      <c r="D354" s="4178">
        <v>13641842.060000001</v>
      </c>
      <c r="E354" s="4179">
        <v>2580034</v>
      </c>
      <c r="F354" s="4178">
        <v>1546483.01</v>
      </c>
      <c r="G354" s="4179">
        <v>17768359.07</v>
      </c>
    </row>
    <row r="355" spans="2:7" ht="15.75" customHeight="1" x14ac:dyDescent="0.3">
      <c r="B355" s="4192"/>
      <c r="C355" s="3998" t="s">
        <v>64</v>
      </c>
      <c r="D355" s="4178">
        <v>2818851.38</v>
      </c>
      <c r="E355" s="4179">
        <v>963528.78</v>
      </c>
      <c r="F355" s="4178">
        <v>44370307.859999999</v>
      </c>
      <c r="G355" s="4179">
        <v>48152688.019999996</v>
      </c>
    </row>
    <row r="356" spans="2:7" ht="15.75" customHeight="1" x14ac:dyDescent="0.3">
      <c r="B356" s="4193"/>
      <c r="C356" s="4000" t="s">
        <v>1301</v>
      </c>
      <c r="D356" s="4181">
        <v>120176</v>
      </c>
      <c r="E356" s="4182">
        <v>0</v>
      </c>
      <c r="F356" s="4181">
        <v>6438063.1800000006</v>
      </c>
      <c r="G356" s="4182">
        <v>6558239.1800000006</v>
      </c>
    </row>
    <row r="357" spans="2:7" ht="15.75" customHeight="1" x14ac:dyDescent="0.3">
      <c r="B357" s="4194" t="s">
        <v>290</v>
      </c>
      <c r="C357" s="4189" t="s">
        <v>279</v>
      </c>
      <c r="D357" s="4190">
        <v>27099225</v>
      </c>
      <c r="E357" s="4191">
        <v>6619238.7300000004</v>
      </c>
      <c r="F357" s="4190">
        <v>43319024.119999997</v>
      </c>
      <c r="G357" s="4191">
        <v>77037487.850000009</v>
      </c>
    </row>
    <row r="358" spans="2:7" ht="15.75" customHeight="1" x14ac:dyDescent="0.3">
      <c r="B358" s="4192"/>
      <c r="C358" s="3998" t="s">
        <v>68</v>
      </c>
      <c r="D358" s="4178">
        <v>3283554.04</v>
      </c>
      <c r="E358" s="4179">
        <v>726175</v>
      </c>
      <c r="F358" s="4178">
        <v>15325840.699999999</v>
      </c>
      <c r="G358" s="4179">
        <v>19335569.739999998</v>
      </c>
    </row>
    <row r="359" spans="2:7" ht="15.75" customHeight="1" x14ac:dyDescent="0.3">
      <c r="B359" s="4192"/>
      <c r="C359" s="3998" t="s">
        <v>92</v>
      </c>
      <c r="D359" s="4178">
        <v>16724133.289999999</v>
      </c>
      <c r="E359" s="4179">
        <v>3131085.73</v>
      </c>
      <c r="F359" s="4178">
        <v>14047176.720000001</v>
      </c>
      <c r="G359" s="4179">
        <v>33902395.740000002</v>
      </c>
    </row>
    <row r="360" spans="2:7" ht="15.75" customHeight="1" x14ac:dyDescent="0.3">
      <c r="B360" s="4192"/>
      <c r="C360" s="3998" t="s">
        <v>64</v>
      </c>
      <c r="D360" s="4178">
        <v>6803537.6699999999</v>
      </c>
      <c r="E360" s="4179">
        <v>2761978</v>
      </c>
      <c r="F360" s="4178">
        <v>9509134.1600000001</v>
      </c>
      <c r="G360" s="4179">
        <v>19074649.829999998</v>
      </c>
    </row>
    <row r="361" spans="2:7" ht="15.75" customHeight="1" x14ac:dyDescent="0.3">
      <c r="B361" s="4192"/>
      <c r="C361" s="3998" t="s">
        <v>1301</v>
      </c>
      <c r="D361" s="4178">
        <v>288000</v>
      </c>
      <c r="E361" s="4179">
        <v>0</v>
      </c>
      <c r="F361" s="4178">
        <v>4436872.54</v>
      </c>
      <c r="G361" s="4179">
        <v>4724872.54</v>
      </c>
    </row>
    <row r="362" spans="2:7" ht="15.75" customHeight="1" x14ac:dyDescent="0.3">
      <c r="B362" s="4188" t="s">
        <v>289</v>
      </c>
      <c r="C362" s="4189" t="s">
        <v>279</v>
      </c>
      <c r="D362" s="4190">
        <v>150000</v>
      </c>
      <c r="E362" s="4191">
        <v>0</v>
      </c>
      <c r="F362" s="4190">
        <v>0</v>
      </c>
      <c r="G362" s="4191">
        <v>150000</v>
      </c>
    </row>
    <row r="363" spans="2:7" ht="15.75" customHeight="1" x14ac:dyDescent="0.3">
      <c r="B363" s="4193"/>
      <c r="C363" s="4000" t="s">
        <v>92</v>
      </c>
      <c r="D363" s="4181">
        <v>150000</v>
      </c>
      <c r="E363" s="4182">
        <v>0</v>
      </c>
      <c r="F363" s="4181">
        <v>0</v>
      </c>
      <c r="G363" s="4182">
        <v>150000</v>
      </c>
    </row>
    <row r="364" spans="2:7" ht="15.75" customHeight="1" x14ac:dyDescent="0.3">
      <c r="B364" s="4188" t="s">
        <v>1302</v>
      </c>
      <c r="C364" s="4189" t="s">
        <v>279</v>
      </c>
      <c r="D364" s="4190">
        <v>3621700.3100000005</v>
      </c>
      <c r="E364" s="4191">
        <v>0</v>
      </c>
      <c r="F364" s="4190">
        <v>60000</v>
      </c>
      <c r="G364" s="4191">
        <v>3681700.3100000005</v>
      </c>
    </row>
    <row r="365" spans="2:7" ht="15.75" customHeight="1" x14ac:dyDescent="0.3">
      <c r="B365" s="6398" t="s">
        <v>128</v>
      </c>
      <c r="C365" s="6399"/>
      <c r="D365" s="4195">
        <v>84484040.250000015</v>
      </c>
      <c r="E365" s="4195">
        <v>25246906.460000001</v>
      </c>
      <c r="F365" s="4196">
        <v>142612817.78</v>
      </c>
      <c r="G365" s="4195">
        <v>252343764.49000001</v>
      </c>
    </row>
    <row r="366" spans="2:7" ht="15.75" customHeight="1" x14ac:dyDescent="0.25">
      <c r="B366" s="4154"/>
      <c r="C366" s="4154"/>
      <c r="D366" s="4154"/>
      <c r="E366" s="4154"/>
      <c r="F366" s="4154"/>
      <c r="G366" s="4154"/>
    </row>
    <row r="367" spans="2:7" ht="15.75" customHeight="1" x14ac:dyDescent="0.25">
      <c r="B367" s="3918" t="s">
        <v>1237</v>
      </c>
      <c r="C367" s="3918" t="s">
        <v>186</v>
      </c>
      <c r="D367" s="3918" t="s">
        <v>1272</v>
      </c>
      <c r="E367" s="3918" t="s">
        <v>1303</v>
      </c>
      <c r="F367" s="3918" t="s">
        <v>1299</v>
      </c>
      <c r="G367" s="4122" t="s">
        <v>1304</v>
      </c>
    </row>
    <row r="368" spans="2:7" ht="15.75" customHeight="1" x14ac:dyDescent="0.3">
      <c r="B368" s="6400" t="s">
        <v>286</v>
      </c>
      <c r="C368" s="4197" t="s">
        <v>59</v>
      </c>
      <c r="D368" s="4198">
        <v>11055328.869999999</v>
      </c>
      <c r="E368" s="4199">
        <v>1584329.97</v>
      </c>
      <c r="F368" s="4198">
        <v>2853791.4</v>
      </c>
      <c r="G368" s="4199">
        <v>15493450.24</v>
      </c>
    </row>
    <row r="369" spans="2:7" ht="15.75" customHeight="1" x14ac:dyDescent="0.3">
      <c r="B369" s="6401"/>
      <c r="C369" s="4200" t="s">
        <v>64</v>
      </c>
      <c r="D369" s="4201">
        <v>3053660.8</v>
      </c>
      <c r="E369" s="4202">
        <v>759053.12</v>
      </c>
      <c r="F369" s="4201">
        <v>12667468.51</v>
      </c>
      <c r="G369" s="4202">
        <v>16480182.43</v>
      </c>
    </row>
    <row r="370" spans="2:7" ht="15.75" customHeight="1" x14ac:dyDescent="0.3">
      <c r="B370" s="6401"/>
      <c r="C370" s="4200" t="s">
        <v>68</v>
      </c>
      <c r="D370" s="4201"/>
      <c r="E370" s="4202">
        <v>820373.94</v>
      </c>
      <c r="F370" s="4201">
        <v>192337.66</v>
      </c>
      <c r="G370" s="4202">
        <v>1012711.6</v>
      </c>
    </row>
    <row r="371" spans="2:7" ht="15.75" customHeight="1" x14ac:dyDescent="0.3">
      <c r="B371" s="6401"/>
      <c r="C371" s="4200" t="s">
        <v>1301</v>
      </c>
      <c r="D371" s="4201"/>
      <c r="E371" s="4202"/>
      <c r="F371" s="4201">
        <v>42460409.419999994</v>
      </c>
      <c r="G371" s="4202">
        <v>42460409.419999994</v>
      </c>
    </row>
    <row r="372" spans="2:7" ht="15.75" customHeight="1" x14ac:dyDescent="0.3">
      <c r="B372" s="6402"/>
      <c r="C372" s="4203" t="s">
        <v>279</v>
      </c>
      <c r="D372" s="4204">
        <v>14108989.669999998</v>
      </c>
      <c r="E372" s="4205">
        <v>3163757.0300000003</v>
      </c>
      <c r="F372" s="4204">
        <v>58174006.989999987</v>
      </c>
      <c r="G372" s="4205">
        <v>75446753.689999998</v>
      </c>
    </row>
    <row r="373" spans="2:7" ht="15.75" customHeight="1" x14ac:dyDescent="0.3">
      <c r="B373" s="6400" t="s">
        <v>287</v>
      </c>
      <c r="C373" s="4197" t="s">
        <v>111</v>
      </c>
      <c r="D373" s="4198"/>
      <c r="E373" s="4199">
        <v>1699782</v>
      </c>
      <c r="F373" s="4198">
        <v>0</v>
      </c>
      <c r="G373" s="4199">
        <v>1699782</v>
      </c>
    </row>
    <row r="374" spans="2:7" ht="15.75" customHeight="1" x14ac:dyDescent="0.3">
      <c r="B374" s="6401"/>
      <c r="C374" s="4200" t="s">
        <v>115</v>
      </c>
      <c r="D374" s="4201">
        <v>4798600</v>
      </c>
      <c r="E374" s="4202">
        <v>3322544.01</v>
      </c>
      <c r="F374" s="4201">
        <v>0</v>
      </c>
      <c r="G374" s="4202">
        <v>8121144.0099999998</v>
      </c>
    </row>
    <row r="375" spans="2:7" ht="15.75" customHeight="1" x14ac:dyDescent="0.3">
      <c r="B375" s="6401"/>
      <c r="C375" s="4200" t="s">
        <v>64</v>
      </c>
      <c r="D375" s="4201">
        <v>1612000</v>
      </c>
      <c r="E375" s="4202">
        <v>1453649</v>
      </c>
      <c r="F375" s="4201">
        <v>2466009.15</v>
      </c>
      <c r="G375" s="4202">
        <v>5531658.1500000004</v>
      </c>
    </row>
    <row r="376" spans="2:7" ht="15.75" customHeight="1" x14ac:dyDescent="0.3">
      <c r="B376" s="6401"/>
      <c r="C376" s="4200" t="s">
        <v>1305</v>
      </c>
      <c r="D376" s="4201"/>
      <c r="E376" s="4202">
        <v>930000</v>
      </c>
      <c r="F376" s="4201">
        <v>0</v>
      </c>
      <c r="G376" s="4202">
        <v>930000</v>
      </c>
    </row>
    <row r="377" spans="2:7" ht="15.75" customHeight="1" x14ac:dyDescent="0.3">
      <c r="B377" s="6402"/>
      <c r="C377" s="4203" t="s">
        <v>279</v>
      </c>
      <c r="D377" s="4204">
        <v>6410600</v>
      </c>
      <c r="E377" s="4205">
        <v>7405975.0099999998</v>
      </c>
      <c r="F377" s="4204">
        <v>2466009.15</v>
      </c>
      <c r="G377" s="4205">
        <v>16282584.16</v>
      </c>
    </row>
    <row r="378" spans="2:7" ht="15.75" customHeight="1" x14ac:dyDescent="0.3">
      <c r="B378" s="6400" t="s">
        <v>288</v>
      </c>
      <c r="C378" s="4197" t="s">
        <v>59</v>
      </c>
      <c r="D378" s="4198">
        <v>32969055.5</v>
      </c>
      <c r="E378" s="4199">
        <v>2915100.9</v>
      </c>
      <c r="F378" s="4198">
        <v>6731856.8399999999</v>
      </c>
      <c r="G378" s="4199">
        <v>42616013.239999995</v>
      </c>
    </row>
    <row r="379" spans="2:7" ht="15.75" customHeight="1" x14ac:dyDescent="0.3">
      <c r="B379" s="6401"/>
      <c r="C379" s="4200" t="s">
        <v>92</v>
      </c>
      <c r="D379" s="4201">
        <v>19051320</v>
      </c>
      <c r="E379" s="4202">
        <v>3137110.92</v>
      </c>
      <c r="F379" s="4201">
        <v>8254541.1900000004</v>
      </c>
      <c r="G379" s="4202">
        <v>30442972.110000003</v>
      </c>
    </row>
    <row r="380" spans="2:7" ht="15.75" customHeight="1" x14ac:dyDescent="0.3">
      <c r="B380" s="6401"/>
      <c r="C380" s="4200" t="s">
        <v>64</v>
      </c>
      <c r="D380" s="4201">
        <v>10277140.540000001</v>
      </c>
      <c r="E380" s="4202">
        <v>1856838.41</v>
      </c>
      <c r="F380" s="4201">
        <v>42021176.009999998</v>
      </c>
      <c r="G380" s="4202">
        <v>54155154.960000001</v>
      </c>
    </row>
    <row r="381" spans="2:7" ht="15.75" customHeight="1" x14ac:dyDescent="0.3">
      <c r="B381" s="6401"/>
      <c r="C381" s="4200" t="s">
        <v>1301</v>
      </c>
      <c r="D381" s="4201">
        <v>300000</v>
      </c>
      <c r="E381" s="4202">
        <v>40000</v>
      </c>
      <c r="F381" s="4201">
        <v>1393936.16</v>
      </c>
      <c r="G381" s="4202">
        <v>1733936.16</v>
      </c>
    </row>
    <row r="382" spans="2:7" ht="15.75" customHeight="1" x14ac:dyDescent="0.3">
      <c r="B382" s="6402"/>
      <c r="C382" s="4203" t="s">
        <v>279</v>
      </c>
      <c r="D382" s="4204">
        <v>62597516.039999999</v>
      </c>
      <c r="E382" s="4205">
        <v>7949050.2300000004</v>
      </c>
      <c r="F382" s="4204">
        <v>58401510.199999988</v>
      </c>
      <c r="G382" s="4205">
        <v>128948076.47</v>
      </c>
    </row>
    <row r="383" spans="2:7" ht="15.75" customHeight="1" x14ac:dyDescent="0.3">
      <c r="B383" s="6400" t="s">
        <v>290</v>
      </c>
      <c r="C383" s="4197" t="s">
        <v>92</v>
      </c>
      <c r="D383" s="4198">
        <v>1741489.49</v>
      </c>
      <c r="E383" s="4199">
        <v>1069004</v>
      </c>
      <c r="F383" s="4198">
        <v>13771462.439999998</v>
      </c>
      <c r="G383" s="4199">
        <v>16581955.929999998</v>
      </c>
    </row>
    <row r="384" spans="2:7" ht="15.75" customHeight="1" x14ac:dyDescent="0.3">
      <c r="B384" s="6401"/>
      <c r="C384" s="4200" t="s">
        <v>64</v>
      </c>
      <c r="D384" s="4201">
        <v>3729817.24</v>
      </c>
      <c r="E384" s="4202">
        <v>1438585.43</v>
      </c>
      <c r="F384" s="4201">
        <v>9737869.4500000011</v>
      </c>
      <c r="G384" s="4202">
        <v>14906272.120000001</v>
      </c>
    </row>
    <row r="385" spans="2:7" ht="15.75" customHeight="1" x14ac:dyDescent="0.3">
      <c r="B385" s="6401"/>
      <c r="C385" s="4200" t="s">
        <v>68</v>
      </c>
      <c r="D385" s="4201">
        <v>1689090</v>
      </c>
      <c r="E385" s="4202">
        <v>611473.25</v>
      </c>
      <c r="F385" s="4201">
        <v>13614352.57</v>
      </c>
      <c r="G385" s="4202">
        <v>15914915.82</v>
      </c>
    </row>
    <row r="386" spans="2:7" ht="15.75" customHeight="1" x14ac:dyDescent="0.3">
      <c r="B386" s="6401"/>
      <c r="C386" s="4200" t="s">
        <v>1305</v>
      </c>
      <c r="D386" s="4201"/>
      <c r="E386" s="4202"/>
      <c r="F386" s="4201"/>
      <c r="G386" s="4202">
        <v>0</v>
      </c>
    </row>
    <row r="387" spans="2:7" ht="15.75" customHeight="1" x14ac:dyDescent="0.3">
      <c r="B387" s="6402"/>
      <c r="C387" s="4203" t="s">
        <v>279</v>
      </c>
      <c r="D387" s="4204">
        <v>7160396.7300000004</v>
      </c>
      <c r="E387" s="4205">
        <v>3119062.6799999997</v>
      </c>
      <c r="F387" s="4204">
        <v>37123684.460000001</v>
      </c>
      <c r="G387" s="4205">
        <v>47403143.869999997</v>
      </c>
    </row>
    <row r="388" spans="2:7" ht="15.75" customHeight="1" x14ac:dyDescent="0.3">
      <c r="B388" s="3896" t="s">
        <v>289</v>
      </c>
      <c r="C388" s="4206"/>
      <c r="D388" s="4207"/>
      <c r="E388" s="4207"/>
      <c r="F388" s="4207"/>
      <c r="G388" s="4207">
        <v>0</v>
      </c>
    </row>
    <row r="389" spans="2:7" ht="15.75" customHeight="1" x14ac:dyDescent="0.3">
      <c r="B389" s="3896" t="s">
        <v>1302</v>
      </c>
      <c r="C389" s="4208" t="s">
        <v>279</v>
      </c>
      <c r="D389" s="4209">
        <v>2234937.08</v>
      </c>
      <c r="E389" s="4209">
        <v>48940000</v>
      </c>
      <c r="F389" s="4209">
        <v>2709513.06</v>
      </c>
      <c r="G389" s="4209">
        <v>53884450.140000001</v>
      </c>
    </row>
    <row r="390" spans="2:7" ht="15.75" customHeight="1" x14ac:dyDescent="0.25">
      <c r="B390" s="6392" t="s">
        <v>128</v>
      </c>
      <c r="C390" s="6392"/>
      <c r="D390" s="4210">
        <v>92512439.519999996</v>
      </c>
      <c r="E390" s="4210">
        <v>70577844.950000003</v>
      </c>
      <c r="F390" s="4210">
        <v>158874723.85999998</v>
      </c>
      <c r="G390" s="4210">
        <v>321965008.32999998</v>
      </c>
    </row>
    <row r="391" spans="2:7" ht="15" customHeight="1" x14ac:dyDescent="0.25">
      <c r="B391" s="3937"/>
      <c r="G391" s="3937"/>
    </row>
    <row r="392" spans="2:7" ht="27.6" x14ac:dyDescent="0.25">
      <c r="B392" s="4211" t="s">
        <v>1237</v>
      </c>
      <c r="C392" s="4212" t="s">
        <v>1272</v>
      </c>
      <c r="D392" s="4213" t="s">
        <v>1306</v>
      </c>
      <c r="E392" s="4213" t="s">
        <v>1307</v>
      </c>
      <c r="F392" s="4214" t="s">
        <v>1308</v>
      </c>
      <c r="G392" s="4215" t="s">
        <v>1309</v>
      </c>
    </row>
    <row r="393" spans="2:7" ht="15" customHeight="1" x14ac:dyDescent="0.25">
      <c r="B393" s="4216" t="s">
        <v>286</v>
      </c>
      <c r="C393" s="4217"/>
      <c r="D393" s="4217">
        <v>9254426.5</v>
      </c>
      <c r="E393" s="4217">
        <v>5464969</v>
      </c>
      <c r="F393" s="4217"/>
      <c r="G393" s="4218">
        <f>SUM(C393:F393)</f>
        <v>14719395.5</v>
      </c>
    </row>
    <row r="394" spans="2:7" ht="15" customHeight="1" x14ac:dyDescent="0.25">
      <c r="B394" s="4219" t="s">
        <v>287</v>
      </c>
      <c r="C394" s="4220"/>
      <c r="D394" s="4220">
        <v>11133507.5</v>
      </c>
      <c r="E394" s="4220">
        <v>7867523</v>
      </c>
      <c r="F394" s="4220"/>
      <c r="G394" s="4221">
        <f>SUM(C394:F394)</f>
        <v>19001030.5</v>
      </c>
    </row>
    <row r="395" spans="2:7" ht="15" customHeight="1" x14ac:dyDescent="0.25">
      <c r="B395" s="4219" t="s">
        <v>288</v>
      </c>
      <c r="C395" s="4220"/>
      <c r="D395" s="4220">
        <v>11902608.5</v>
      </c>
      <c r="E395" s="4220">
        <v>10264607.279999999</v>
      </c>
      <c r="F395" s="4220"/>
      <c r="G395" s="4221">
        <f>SUM(C395:F395)</f>
        <v>22167215.780000001</v>
      </c>
    </row>
    <row r="396" spans="2:7" ht="15" customHeight="1" x14ac:dyDescent="0.25">
      <c r="B396" s="4219" t="s">
        <v>290</v>
      </c>
      <c r="C396" s="4220"/>
      <c r="D396" s="4220">
        <v>10907726.5</v>
      </c>
      <c r="E396" s="4220">
        <v>7862411.3700000001</v>
      </c>
      <c r="F396" s="4220"/>
      <c r="G396" s="4221">
        <f>SUM(C396:F396)</f>
        <v>18770137.870000001</v>
      </c>
    </row>
    <row r="397" spans="2:7" ht="15" customHeight="1" x14ac:dyDescent="0.25">
      <c r="B397" s="4219" t="s">
        <v>1302</v>
      </c>
      <c r="C397" s="4220"/>
      <c r="D397" s="4222">
        <v>6435628</v>
      </c>
      <c r="E397" s="4220"/>
      <c r="F397" s="4220"/>
      <c r="G397" s="4221">
        <f>SUM(C397:F397)</f>
        <v>6435628</v>
      </c>
    </row>
    <row r="398" spans="2:7" ht="15" customHeight="1" x14ac:dyDescent="0.25">
      <c r="B398" s="4223" t="s">
        <v>128</v>
      </c>
      <c r="C398" s="4224">
        <f>SUM(C393:C397)</f>
        <v>0</v>
      </c>
      <c r="D398" s="4225">
        <f>SUM(D393:D397)</f>
        <v>49633897</v>
      </c>
      <c r="E398" s="4225">
        <f>SUM(E393:E397)</f>
        <v>31459510.650000002</v>
      </c>
      <c r="F398" s="4226">
        <f>SUM(F393:F397)</f>
        <v>0</v>
      </c>
      <c r="G398" s="4226">
        <f>SUM(G393:G397)</f>
        <v>81093407.650000006</v>
      </c>
    </row>
    <row r="399" spans="2:7" ht="15" customHeight="1" x14ac:dyDescent="0.25">
      <c r="B399" s="3580"/>
      <c r="C399" s="3580"/>
      <c r="D399" s="3580"/>
      <c r="E399" s="3580"/>
      <c r="F399" s="3580"/>
      <c r="G399" s="3580"/>
    </row>
    <row r="400" spans="2:7" ht="27.6" x14ac:dyDescent="0.25">
      <c r="B400" s="4227" t="s">
        <v>1237</v>
      </c>
      <c r="C400" s="4228" t="s">
        <v>1272</v>
      </c>
      <c r="D400" s="4229" t="s">
        <v>1306</v>
      </c>
      <c r="E400" s="4229" t="s">
        <v>1307</v>
      </c>
      <c r="F400" s="4230" t="s">
        <v>1308</v>
      </c>
      <c r="G400" s="4215" t="s">
        <v>1310</v>
      </c>
    </row>
    <row r="401" spans="2:7" ht="15" customHeight="1" x14ac:dyDescent="0.25">
      <c r="B401" s="4231" t="s">
        <v>286</v>
      </c>
      <c r="C401" s="4232">
        <v>9727056</v>
      </c>
      <c r="D401" s="4233">
        <v>8261586.5</v>
      </c>
      <c r="E401" s="4234">
        <v>6262672.3899999997</v>
      </c>
      <c r="F401" s="4235">
        <v>271144834.35000002</v>
      </c>
      <c r="G401" s="4218">
        <f>SUM(C401:F401)</f>
        <v>295396149.24000001</v>
      </c>
    </row>
    <row r="402" spans="2:7" ht="15" customHeight="1" x14ac:dyDescent="0.25">
      <c r="B402" s="4219" t="s">
        <v>287</v>
      </c>
      <c r="C402" s="4236">
        <v>5932280</v>
      </c>
      <c r="D402" s="4237">
        <v>12613481.49</v>
      </c>
      <c r="E402" s="4237">
        <v>1689340</v>
      </c>
      <c r="F402" s="4238">
        <v>21127838.989999998</v>
      </c>
      <c r="G402" s="4221">
        <f>SUM(C402:F402)</f>
        <v>41362940.480000004</v>
      </c>
    </row>
    <row r="403" spans="2:7" ht="15" customHeight="1" x14ac:dyDescent="0.25">
      <c r="B403" s="4219" t="s">
        <v>288</v>
      </c>
      <c r="C403" s="4236">
        <v>42493904</v>
      </c>
      <c r="D403" s="4237">
        <v>10524274.49</v>
      </c>
      <c r="E403" s="4237">
        <v>1901804</v>
      </c>
      <c r="F403" s="4238">
        <v>42076951.130000003</v>
      </c>
      <c r="G403" s="4221">
        <f>SUM(C403:F403)</f>
        <v>96996933.620000005</v>
      </c>
    </row>
    <row r="404" spans="2:7" ht="15" customHeight="1" x14ac:dyDescent="0.25">
      <c r="B404" s="4219" t="s">
        <v>290</v>
      </c>
      <c r="C404" s="4236">
        <v>9442000</v>
      </c>
      <c r="D404" s="4237">
        <v>9619077</v>
      </c>
      <c r="E404" s="4237">
        <v>3226235</v>
      </c>
      <c r="F404" s="4238">
        <v>63932340.630000003</v>
      </c>
      <c r="G404" s="4221">
        <f>SUM(C404:F404)</f>
        <v>86219652.629999995</v>
      </c>
    </row>
    <row r="405" spans="2:7" ht="15" customHeight="1" x14ac:dyDescent="0.25">
      <c r="B405" s="4219" t="s">
        <v>1302</v>
      </c>
      <c r="C405" s="4239"/>
      <c r="D405" s="4220">
        <v>6104073</v>
      </c>
      <c r="E405" s="4237"/>
      <c r="F405" s="4238">
        <v>29753020.530000001</v>
      </c>
      <c r="G405" s="4221">
        <f>SUM(C405:F405)</f>
        <v>35857093.530000001</v>
      </c>
    </row>
    <row r="406" spans="2:7" ht="15" customHeight="1" x14ac:dyDescent="0.25">
      <c r="B406" s="4223" t="s">
        <v>128</v>
      </c>
      <c r="C406" s="4224">
        <f>SUM(C401:C404)</f>
        <v>67595240</v>
      </c>
      <c r="D406" s="4225">
        <f>SUM(D401:D405)</f>
        <v>47122492.480000004</v>
      </c>
      <c r="E406" s="4225">
        <f>SUM(E401:E405)</f>
        <v>13080051.390000001</v>
      </c>
      <c r="F406" s="4226">
        <f>SUM(F401:F405)</f>
        <v>428034985.63</v>
      </c>
      <c r="G406" s="4226">
        <f t="shared" ref="G406:G444" si="3">SUM(C406:F406)</f>
        <v>555832769.5</v>
      </c>
    </row>
    <row r="407" spans="2:7" ht="15" customHeight="1" x14ac:dyDescent="0.25">
      <c r="B407" s="3580"/>
      <c r="C407" s="3580"/>
      <c r="D407" s="3580"/>
      <c r="E407" s="3580"/>
      <c r="F407" s="3580"/>
      <c r="G407" s="3580"/>
    </row>
    <row r="408" spans="2:7" ht="27.6" x14ac:dyDescent="0.25">
      <c r="B408" s="4227" t="s">
        <v>1237</v>
      </c>
      <c r="C408" s="4228" t="s">
        <v>1272</v>
      </c>
      <c r="D408" s="4229" t="s">
        <v>1306</v>
      </c>
      <c r="E408" s="4229" t="s">
        <v>1307</v>
      </c>
      <c r="F408" s="4230" t="s">
        <v>1308</v>
      </c>
      <c r="G408" s="4215" t="s">
        <v>1311</v>
      </c>
    </row>
    <row r="409" spans="2:7" ht="15" customHeight="1" x14ac:dyDescent="0.25">
      <c r="B409" s="4219" t="s">
        <v>286</v>
      </c>
      <c r="C409" s="4239">
        <v>6302501</v>
      </c>
      <c r="D409" s="4220">
        <v>9938520</v>
      </c>
      <c r="E409" s="4220">
        <v>5098179</v>
      </c>
      <c r="F409" s="4240">
        <v>184991467</v>
      </c>
      <c r="G409" s="4221">
        <f t="shared" si="3"/>
        <v>206330667</v>
      </c>
    </row>
    <row r="410" spans="2:7" ht="15" customHeight="1" x14ac:dyDescent="0.25">
      <c r="B410" s="4219" t="s">
        <v>287</v>
      </c>
      <c r="C410" s="4236">
        <v>4410959</v>
      </c>
      <c r="D410" s="4237">
        <v>6227891.5</v>
      </c>
      <c r="E410" s="4237">
        <v>3548227.5</v>
      </c>
      <c r="F410" s="4238">
        <v>1662486</v>
      </c>
      <c r="G410" s="4221">
        <f t="shared" si="3"/>
        <v>15849564</v>
      </c>
    </row>
    <row r="411" spans="2:7" ht="15" customHeight="1" x14ac:dyDescent="0.25">
      <c r="B411" s="4219" t="s">
        <v>288</v>
      </c>
      <c r="C411" s="4236">
        <v>104076015</v>
      </c>
      <c r="D411" s="4237">
        <v>20547239.5</v>
      </c>
      <c r="E411" s="4237">
        <v>4781768.82</v>
      </c>
      <c r="F411" s="4238">
        <v>72916433</v>
      </c>
      <c r="G411" s="4221">
        <f t="shared" si="3"/>
        <v>202321456.31999999</v>
      </c>
    </row>
    <row r="412" spans="2:7" ht="15" customHeight="1" x14ac:dyDescent="0.25">
      <c r="B412" s="4219" t="s">
        <v>290</v>
      </c>
      <c r="C412" s="4236">
        <v>7327765</v>
      </c>
      <c r="D412" s="4237">
        <v>8460064.5</v>
      </c>
      <c r="E412" s="4237">
        <v>3249246.5</v>
      </c>
      <c r="F412" s="4238">
        <v>114111673.52</v>
      </c>
      <c r="G412" s="4221">
        <f t="shared" si="3"/>
        <v>133148749.52</v>
      </c>
    </row>
    <row r="413" spans="2:7" ht="15" customHeight="1" x14ac:dyDescent="0.25">
      <c r="B413" s="4223" t="s">
        <v>128</v>
      </c>
      <c r="C413" s="4224">
        <f>SUM(C409:C412)</f>
        <v>122117240</v>
      </c>
      <c r="D413" s="4225">
        <f>SUM(D409:D412)</f>
        <v>45173715.5</v>
      </c>
      <c r="E413" s="4225">
        <f>SUM(E409:E412)</f>
        <v>16677421.82</v>
      </c>
      <c r="F413" s="4226">
        <f>SUM(F409:F412)</f>
        <v>373682059.51999998</v>
      </c>
      <c r="G413" s="4226">
        <f t="shared" si="3"/>
        <v>557650436.83999991</v>
      </c>
    </row>
    <row r="414" spans="2:7" ht="15" customHeight="1" x14ac:dyDescent="0.25">
      <c r="B414" s="3580"/>
      <c r="C414" s="3580"/>
      <c r="D414" s="3580"/>
      <c r="E414" s="3580"/>
      <c r="F414" s="3580"/>
      <c r="G414" s="3580"/>
    </row>
    <row r="415" spans="2:7" ht="27.6" x14ac:dyDescent="0.25">
      <c r="B415" s="4227" t="s">
        <v>1237</v>
      </c>
      <c r="C415" s="4228" t="s">
        <v>1272</v>
      </c>
      <c r="D415" s="4229" t="s">
        <v>1306</v>
      </c>
      <c r="E415" s="4229" t="s">
        <v>1307</v>
      </c>
      <c r="F415" s="4230" t="s">
        <v>1308</v>
      </c>
      <c r="G415" s="4215" t="s">
        <v>1312</v>
      </c>
    </row>
    <row r="416" spans="2:7" ht="15" customHeight="1" x14ac:dyDescent="0.25">
      <c r="B416" s="4219" t="s">
        <v>286</v>
      </c>
      <c r="C416" s="4237">
        <v>1328274</v>
      </c>
      <c r="D416" s="4237">
        <v>9182741</v>
      </c>
      <c r="E416" s="4237">
        <v>1138406</v>
      </c>
      <c r="F416" s="4237">
        <v>166598735</v>
      </c>
      <c r="G416" s="4221">
        <f t="shared" si="3"/>
        <v>178248156</v>
      </c>
    </row>
    <row r="417" spans="2:7" ht="15" customHeight="1" x14ac:dyDescent="0.25">
      <c r="B417" s="4219" t="s">
        <v>287</v>
      </c>
      <c r="C417" s="4237">
        <v>3213709.75</v>
      </c>
      <c r="D417" s="4237">
        <v>2441999</v>
      </c>
      <c r="E417" s="4237">
        <v>0</v>
      </c>
      <c r="F417" s="4237">
        <v>0</v>
      </c>
      <c r="G417" s="4221">
        <f t="shared" si="3"/>
        <v>5655708.75</v>
      </c>
    </row>
    <row r="418" spans="2:7" ht="15" customHeight="1" x14ac:dyDescent="0.25">
      <c r="B418" s="4219" t="s">
        <v>288</v>
      </c>
      <c r="C418" s="4237">
        <v>14134764.5</v>
      </c>
      <c r="D418" s="4237">
        <v>20303835</v>
      </c>
      <c r="E418" s="4237">
        <v>534536.12000000104</v>
      </c>
      <c r="F418" s="4237">
        <v>87034635.359999999</v>
      </c>
      <c r="G418" s="4221">
        <f t="shared" si="3"/>
        <v>122007770.98</v>
      </c>
    </row>
    <row r="419" spans="2:7" ht="15" customHeight="1" x14ac:dyDescent="0.25">
      <c r="B419" s="4219" t="s">
        <v>290</v>
      </c>
      <c r="C419" s="4237">
        <v>1793539</v>
      </c>
      <c r="D419" s="4237">
        <v>14339635</v>
      </c>
      <c r="E419" s="4237">
        <v>0</v>
      </c>
      <c r="F419" s="4237">
        <v>26044889.030000001</v>
      </c>
      <c r="G419" s="4221">
        <f t="shared" si="3"/>
        <v>42178063.030000001</v>
      </c>
    </row>
    <row r="420" spans="2:7" ht="15" customHeight="1" x14ac:dyDescent="0.25">
      <c r="B420" s="4223" t="s">
        <v>128</v>
      </c>
      <c r="C420" s="4224">
        <f>SUM(C416:C419)</f>
        <v>20470287.25</v>
      </c>
      <c r="D420" s="4225">
        <f>SUM(D416:D419)</f>
        <v>46268210</v>
      </c>
      <c r="E420" s="4225">
        <f>SUM(E416:E419)</f>
        <v>1672942.120000001</v>
      </c>
      <c r="F420" s="4226">
        <f>SUM(F416:F419)</f>
        <v>279678259.38999999</v>
      </c>
      <c r="G420" s="4226">
        <f t="shared" si="3"/>
        <v>348089698.75999999</v>
      </c>
    </row>
    <row r="421" spans="2:7" ht="15" customHeight="1" x14ac:dyDescent="0.25">
      <c r="B421" s="3580"/>
      <c r="C421" s="3580"/>
      <c r="D421" s="3580"/>
      <c r="E421" s="3580"/>
      <c r="F421" s="3580"/>
      <c r="G421" s="3580"/>
    </row>
    <row r="422" spans="2:7" ht="27.6" x14ac:dyDescent="0.25">
      <c r="B422" s="4227" t="s">
        <v>1237</v>
      </c>
      <c r="C422" s="4228" t="s">
        <v>1272</v>
      </c>
      <c r="D422" s="4229" t="s">
        <v>1306</v>
      </c>
      <c r="E422" s="4229" t="s">
        <v>1307</v>
      </c>
      <c r="F422" s="4230" t="s">
        <v>1308</v>
      </c>
      <c r="G422" s="4215" t="s">
        <v>1313</v>
      </c>
    </row>
    <row r="423" spans="2:7" ht="15" customHeight="1" x14ac:dyDescent="0.25">
      <c r="B423" s="4219" t="s">
        <v>286</v>
      </c>
      <c r="C423" s="4236">
        <v>1589645</v>
      </c>
      <c r="D423" s="4237">
        <v>14508470</v>
      </c>
      <c r="E423" s="4237">
        <v>5357922</v>
      </c>
      <c r="F423" s="4238">
        <v>94658674</v>
      </c>
      <c r="G423" s="4221">
        <f t="shared" si="3"/>
        <v>116114711</v>
      </c>
    </row>
    <row r="424" spans="2:7" ht="15" customHeight="1" x14ac:dyDescent="0.25">
      <c r="B424" s="4219" t="s">
        <v>287</v>
      </c>
      <c r="C424" s="4236">
        <v>590057</v>
      </c>
      <c r="D424" s="4237">
        <v>3000000</v>
      </c>
      <c r="E424" s="4237">
        <v>0</v>
      </c>
      <c r="F424" s="4238">
        <v>0</v>
      </c>
      <c r="G424" s="4221">
        <f t="shared" si="3"/>
        <v>3590057</v>
      </c>
    </row>
    <row r="425" spans="2:7" ht="15" customHeight="1" x14ac:dyDescent="0.25">
      <c r="B425" s="4219" t="s">
        <v>288</v>
      </c>
      <c r="C425" s="4236">
        <v>38597941</v>
      </c>
      <c r="D425" s="4237">
        <v>14770800</v>
      </c>
      <c r="E425" s="4237">
        <v>4106781</v>
      </c>
      <c r="F425" s="4238">
        <v>133158463</v>
      </c>
      <c r="G425" s="4221">
        <f t="shared" si="3"/>
        <v>190633985</v>
      </c>
    </row>
    <row r="426" spans="2:7" ht="15" customHeight="1" x14ac:dyDescent="0.25">
      <c r="B426" s="4219" t="s">
        <v>290</v>
      </c>
      <c r="C426" s="4236">
        <v>4233736</v>
      </c>
      <c r="D426" s="4237">
        <v>15642200</v>
      </c>
      <c r="E426" s="4237">
        <v>979538</v>
      </c>
      <c r="F426" s="4238">
        <v>25099467.310000002</v>
      </c>
      <c r="G426" s="4221">
        <f t="shared" si="3"/>
        <v>45954941.310000002</v>
      </c>
    </row>
    <row r="427" spans="2:7" ht="15" customHeight="1" x14ac:dyDescent="0.25">
      <c r="B427" s="4219" t="s">
        <v>1302</v>
      </c>
      <c r="C427" s="4236"/>
      <c r="D427" s="4237">
        <v>3282300</v>
      </c>
      <c r="E427" s="4237"/>
      <c r="F427" s="4238"/>
      <c r="G427" s="4221">
        <f t="shared" si="3"/>
        <v>3282300</v>
      </c>
    </row>
    <row r="428" spans="2:7" ht="15" customHeight="1" x14ac:dyDescent="0.25">
      <c r="B428" s="4223" t="s">
        <v>128</v>
      </c>
      <c r="C428" s="4224">
        <f>SUM(C423:C426)</f>
        <v>45011379</v>
      </c>
      <c r="D428" s="4225">
        <f>SUM(D423:D427)</f>
        <v>51203770</v>
      </c>
      <c r="E428" s="4225">
        <f>SUM(E423:E426)</f>
        <v>10444241</v>
      </c>
      <c r="F428" s="4226">
        <f>SUM(F423:F426)</f>
        <v>252916604.31</v>
      </c>
      <c r="G428" s="4226">
        <f t="shared" si="3"/>
        <v>359575994.31</v>
      </c>
    </row>
    <row r="429" spans="2:7" ht="15" customHeight="1" x14ac:dyDescent="0.25">
      <c r="B429" s="3580"/>
      <c r="C429" s="3580"/>
      <c r="D429" s="3580"/>
      <c r="E429" s="3580"/>
      <c r="F429" s="3580"/>
      <c r="G429" s="3580"/>
    </row>
    <row r="430" spans="2:7" ht="27.6" x14ac:dyDescent="0.25">
      <c r="B430" s="4227" t="s">
        <v>1237</v>
      </c>
      <c r="C430" s="4228" t="s">
        <v>1272</v>
      </c>
      <c r="D430" s="4229" t="s">
        <v>1306</v>
      </c>
      <c r="E430" s="4229" t="s">
        <v>1307</v>
      </c>
      <c r="F430" s="4230" t="s">
        <v>1308</v>
      </c>
      <c r="G430" s="4215" t="s">
        <v>1314</v>
      </c>
    </row>
    <row r="431" spans="2:7" ht="15" customHeight="1" x14ac:dyDescent="0.25">
      <c r="B431" s="4219" t="s">
        <v>286</v>
      </c>
      <c r="C431" s="4236">
        <v>7032471</v>
      </c>
      <c r="D431" s="4237">
        <v>21120000</v>
      </c>
      <c r="E431" s="4237">
        <v>13257010</v>
      </c>
      <c r="F431" s="4238">
        <v>60054495</v>
      </c>
      <c r="G431" s="4221">
        <f t="shared" si="3"/>
        <v>101463976</v>
      </c>
    </row>
    <row r="432" spans="2:7" ht="15" hidden="1" customHeight="1" x14ac:dyDescent="0.25">
      <c r="B432" s="4219" t="s">
        <v>287</v>
      </c>
      <c r="C432" s="4236"/>
      <c r="D432" s="4237"/>
      <c r="E432" s="4237">
        <v>0</v>
      </c>
      <c r="F432" s="4238"/>
      <c r="G432" s="4221">
        <f t="shared" si="3"/>
        <v>0</v>
      </c>
    </row>
    <row r="433" spans="2:7" ht="15" customHeight="1" x14ac:dyDescent="0.25">
      <c r="B433" s="4219" t="s">
        <v>288</v>
      </c>
      <c r="C433" s="4236">
        <v>44277028</v>
      </c>
      <c r="D433" s="4237">
        <v>23299500</v>
      </c>
      <c r="E433" s="4237">
        <v>21294567</v>
      </c>
      <c r="F433" s="4238">
        <v>67360925</v>
      </c>
      <c r="G433" s="4221">
        <f t="shared" si="3"/>
        <v>156232020</v>
      </c>
    </row>
    <row r="434" spans="2:7" ht="15" customHeight="1" x14ac:dyDescent="0.25">
      <c r="B434" s="4219" t="s">
        <v>290</v>
      </c>
      <c r="C434" s="4236">
        <v>13399515</v>
      </c>
      <c r="D434" s="4237">
        <v>4827560</v>
      </c>
      <c r="E434" s="4237">
        <v>10975188.600000001</v>
      </c>
      <c r="F434" s="4238">
        <v>24953540.850000001</v>
      </c>
      <c r="G434" s="4221">
        <f t="shared" si="3"/>
        <v>54155804.450000003</v>
      </c>
    </row>
    <row r="435" spans="2:7" ht="15" customHeight="1" x14ac:dyDescent="0.25">
      <c r="B435" s="4219" t="s">
        <v>1302</v>
      </c>
      <c r="C435" s="4236"/>
      <c r="D435" s="4237">
        <v>1200000</v>
      </c>
      <c r="E435" s="4237">
        <v>0</v>
      </c>
      <c r="F435" s="4238"/>
      <c r="G435" s="4221">
        <f t="shared" si="3"/>
        <v>1200000</v>
      </c>
    </row>
    <row r="436" spans="2:7" ht="15" customHeight="1" x14ac:dyDescent="0.25">
      <c r="B436" s="4223" t="s">
        <v>128</v>
      </c>
      <c r="C436" s="4224">
        <f>SUM(C431:C434)</f>
        <v>64709014</v>
      </c>
      <c r="D436" s="4225">
        <f>SUM(D431:D435)</f>
        <v>50447060</v>
      </c>
      <c r="E436" s="4225">
        <f>SUM(E431:E434)</f>
        <v>45526765.600000001</v>
      </c>
      <c r="F436" s="4226">
        <f>SUM(F431:F434)</f>
        <v>152368960.84999999</v>
      </c>
      <c r="G436" s="4226">
        <f t="shared" si="3"/>
        <v>313051800.44999999</v>
      </c>
    </row>
    <row r="437" spans="2:7" ht="15" customHeight="1" x14ac:dyDescent="0.25">
      <c r="B437" s="3580"/>
      <c r="C437" s="3580"/>
      <c r="D437" s="3580"/>
      <c r="E437" s="3580"/>
      <c r="F437" s="3580"/>
      <c r="G437" s="3580"/>
    </row>
    <row r="438" spans="2:7" ht="27.6" x14ac:dyDescent="0.25">
      <c r="B438" s="4227" t="s">
        <v>1237</v>
      </c>
      <c r="C438" s="4228" t="s">
        <v>1272</v>
      </c>
      <c r="D438" s="4229" t="s">
        <v>1306</v>
      </c>
      <c r="E438" s="4229" t="s">
        <v>1307</v>
      </c>
      <c r="F438" s="4230" t="s">
        <v>1308</v>
      </c>
      <c r="G438" s="4215" t="s">
        <v>1315</v>
      </c>
    </row>
    <row r="439" spans="2:7" ht="15" customHeight="1" x14ac:dyDescent="0.25">
      <c r="B439" s="4219" t="s">
        <v>286</v>
      </c>
      <c r="C439" s="4236">
        <v>4620779</v>
      </c>
      <c r="D439" s="4237">
        <v>8323780</v>
      </c>
      <c r="E439" s="4237">
        <v>0</v>
      </c>
      <c r="F439" s="4238">
        <v>48075657</v>
      </c>
      <c r="G439" s="4221">
        <f t="shared" si="3"/>
        <v>61020216</v>
      </c>
    </row>
    <row r="440" spans="2:7" ht="15" hidden="1" customHeight="1" x14ac:dyDescent="0.25">
      <c r="B440" s="4219" t="s">
        <v>287</v>
      </c>
      <c r="C440" s="4236"/>
      <c r="D440" s="4237"/>
      <c r="E440" s="4237">
        <v>0</v>
      </c>
      <c r="F440" s="4238"/>
      <c r="G440" s="4221">
        <f t="shared" si="3"/>
        <v>0</v>
      </c>
    </row>
    <row r="441" spans="2:7" ht="15" customHeight="1" x14ac:dyDescent="0.25">
      <c r="B441" s="4219" t="s">
        <v>288</v>
      </c>
      <c r="C441" s="4236">
        <v>53075214</v>
      </c>
      <c r="D441" s="4237">
        <v>22563080</v>
      </c>
      <c r="E441" s="4237">
        <v>0</v>
      </c>
      <c r="F441" s="4238">
        <v>51907185</v>
      </c>
      <c r="G441" s="4221">
        <f t="shared" si="3"/>
        <v>127545479</v>
      </c>
    </row>
    <row r="442" spans="2:7" ht="15" customHeight="1" x14ac:dyDescent="0.25">
      <c r="B442" s="4219" t="s">
        <v>290</v>
      </c>
      <c r="C442" s="4236">
        <v>2539424</v>
      </c>
      <c r="D442" s="4237">
        <v>21162980</v>
      </c>
      <c r="E442" s="4237">
        <v>0</v>
      </c>
      <c r="F442" s="4238">
        <v>21889498</v>
      </c>
      <c r="G442" s="4221">
        <f t="shared" si="3"/>
        <v>45591902</v>
      </c>
    </row>
    <row r="443" spans="2:7" ht="15" customHeight="1" x14ac:dyDescent="0.25">
      <c r="B443" s="4241" t="s">
        <v>1302</v>
      </c>
      <c r="C443" s="4242"/>
      <c r="D443" s="4243">
        <v>2200000</v>
      </c>
      <c r="E443" s="4243"/>
      <c r="F443" s="4244"/>
      <c r="G443" s="4245">
        <f t="shared" si="3"/>
        <v>2200000</v>
      </c>
    </row>
    <row r="444" spans="2:7" ht="15" customHeight="1" x14ac:dyDescent="0.25">
      <c r="B444" s="4223" t="s">
        <v>128</v>
      </c>
      <c r="C444" s="4224">
        <f>SUM(C439:C442)</f>
        <v>60235417</v>
      </c>
      <c r="D444" s="4225">
        <f>SUM(D439:D443)</f>
        <v>54249840</v>
      </c>
      <c r="E444" s="4225">
        <f>SUM(E439:E442)</f>
        <v>0</v>
      </c>
      <c r="F444" s="4226">
        <f>SUM(F439:F442)</f>
        <v>121872340</v>
      </c>
      <c r="G444" s="4226">
        <f t="shared" si="3"/>
        <v>236357597</v>
      </c>
    </row>
    <row r="445" spans="2:7" ht="15" customHeight="1" x14ac:dyDescent="0.25">
      <c r="B445" s="4084"/>
      <c r="C445" s="4246"/>
      <c r="D445" s="4246"/>
      <c r="E445" s="4246"/>
      <c r="F445" s="4246"/>
      <c r="G445" s="4246"/>
    </row>
    <row r="446" spans="2:7" x14ac:dyDescent="0.25">
      <c r="B446" s="4084"/>
    </row>
    <row r="447" spans="2:7" ht="13.2" x14ac:dyDescent="0.25">
      <c r="B447" s="204"/>
      <c r="C447" s="204"/>
      <c r="D447" s="204"/>
      <c r="E447" s="204"/>
      <c r="F447" s="204"/>
      <c r="G447" s="204"/>
    </row>
    <row r="448" spans="2:7" ht="13.2" x14ac:dyDescent="0.25">
      <c r="B448" s="3783"/>
      <c r="C448" s="3783"/>
      <c r="D448" s="3783"/>
      <c r="E448" s="4247"/>
      <c r="F448" s="3783"/>
      <c r="G448" s="3783"/>
    </row>
    <row r="449" spans="2:7" ht="13.2" x14ac:dyDescent="0.25">
      <c r="B449" s="3783"/>
      <c r="C449" s="3783"/>
      <c r="D449" s="3783"/>
      <c r="E449" s="3783"/>
      <c r="F449" s="3783"/>
      <c r="G449" s="3783"/>
    </row>
    <row r="450" spans="2:7" ht="13.2" x14ac:dyDescent="0.25">
      <c r="B450" s="3783"/>
      <c r="C450" s="3783"/>
      <c r="D450" s="3783"/>
      <c r="E450" s="3783"/>
      <c r="F450" s="3783"/>
      <c r="G450" s="3783"/>
    </row>
    <row r="451" spans="2:7" ht="13.2" x14ac:dyDescent="0.25">
      <c r="B451" s="3783"/>
      <c r="C451" s="3783"/>
      <c r="D451" s="3783"/>
      <c r="E451" s="3783"/>
      <c r="F451" s="3783"/>
      <c r="G451" s="3783"/>
    </row>
    <row r="452" spans="2:7" x14ac:dyDescent="0.25">
      <c r="B452" s="3937"/>
    </row>
  </sheetData>
  <mergeCells count="51">
    <mergeCell ref="B390:C390"/>
    <mergeCell ref="B316:B319"/>
    <mergeCell ref="B320:B324"/>
    <mergeCell ref="B325:B329"/>
    <mergeCell ref="B330:B333"/>
    <mergeCell ref="B334:B338"/>
    <mergeCell ref="B340:C340"/>
    <mergeCell ref="B365:C365"/>
    <mergeCell ref="B368:B372"/>
    <mergeCell ref="B373:B377"/>
    <mergeCell ref="B378:B382"/>
    <mergeCell ref="B383:B387"/>
    <mergeCell ref="B313:C313"/>
    <mergeCell ref="B260:B263"/>
    <mergeCell ref="B264:B268"/>
    <mergeCell ref="B269:B273"/>
    <mergeCell ref="B274:B278"/>
    <mergeCell ref="B279:B283"/>
    <mergeCell ref="B285:C285"/>
    <mergeCell ref="B290:B293"/>
    <mergeCell ref="B294:B298"/>
    <mergeCell ref="B299:B303"/>
    <mergeCell ref="B304:B306"/>
    <mergeCell ref="B307:B311"/>
    <mergeCell ref="B255:C255"/>
    <mergeCell ref="B197:B201"/>
    <mergeCell ref="B202:B206"/>
    <mergeCell ref="B207:B212"/>
    <mergeCell ref="B213:B217"/>
    <mergeCell ref="B218:B223"/>
    <mergeCell ref="B225:C225"/>
    <mergeCell ref="B230:B233"/>
    <mergeCell ref="B234:B238"/>
    <mergeCell ref="B239:B243"/>
    <mergeCell ref="B244:B248"/>
    <mergeCell ref="B249:B253"/>
    <mergeCell ref="D3:G3"/>
    <mergeCell ref="D35:G35"/>
    <mergeCell ref="B192:C192"/>
    <mergeCell ref="D66:G66"/>
    <mergeCell ref="B132:B136"/>
    <mergeCell ref="B137:B141"/>
    <mergeCell ref="B142:B147"/>
    <mergeCell ref="B148:B152"/>
    <mergeCell ref="B153:B158"/>
    <mergeCell ref="B164:B168"/>
    <mergeCell ref="B169:B173"/>
    <mergeCell ref="B174:B179"/>
    <mergeCell ref="B180:B184"/>
    <mergeCell ref="B185:B190"/>
    <mergeCell ref="D98:G9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44" firstPageNumber="176" orientation="landscape" useFirstPageNumber="1" r:id="rId1"/>
  <headerFooter scaleWithDoc="0" alignWithMargins="0">
    <oddFooter>&amp;R&amp;P</oddFooter>
  </headerFooter>
  <rowBreaks count="7" manualBreakCount="7">
    <brk id="129" max="14" man="1"/>
    <brk id="161" max="14" man="1"/>
    <brk id="194" max="16383" man="1"/>
    <brk id="256" max="16383" man="1"/>
    <brk id="313" min="1" max="6" man="1"/>
    <brk id="365" min="1" max="6" man="1"/>
    <brk id="420" min="1" max="6" man="1"/>
  </rowBreaks>
  <ignoredErrors>
    <ignoredError sqref="D153:G153 D185 D202:F202 G215:G216 D218:F218 E436" formulaRange="1"/>
    <ignoredError sqref="G174 G180 G185 G207 G213 G218 G264 G269 G274 G294 G299 G304 G307 G320 G325 G330 G334 D428 D436 D444" formula="1"/>
  </ignoredErrors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D25A8"/>
  </sheetPr>
  <dimension ref="B1:AN166"/>
  <sheetViews>
    <sheetView showGridLines="0" zoomScaleNormal="100" workbookViewId="0">
      <selection activeCell="K56" sqref="K56"/>
    </sheetView>
  </sheetViews>
  <sheetFormatPr baseColWidth="10" defaultColWidth="11.44140625" defaultRowHeight="13.2" x14ac:dyDescent="0.25"/>
  <cols>
    <col min="1" max="1" width="1.88671875" style="3574" customWidth="1"/>
    <col min="2" max="2" width="20.6640625" style="3574" customWidth="1"/>
    <col min="3" max="3" width="11.44140625" style="3574" customWidth="1"/>
    <col min="4" max="4" width="13" style="3574" customWidth="1"/>
    <col min="5" max="5" width="10.88671875" style="3574" customWidth="1"/>
    <col min="6" max="6" width="11.44140625" style="3574"/>
    <col min="7" max="7" width="12.5546875" style="3574" customWidth="1"/>
    <col min="8" max="8" width="10.88671875" style="3574" customWidth="1"/>
    <col min="9" max="10" width="11.44140625" style="3574"/>
    <col min="11" max="11" width="10.88671875" style="3574" customWidth="1"/>
    <col min="12" max="12" width="11.44140625" style="3574"/>
    <col min="13" max="13" width="20.88671875" style="3574" customWidth="1"/>
    <col min="14" max="58" width="8.6640625" style="3574" customWidth="1"/>
    <col min="59" max="16384" width="11.44140625" style="3574"/>
  </cols>
  <sheetData>
    <row r="1" spans="2:33" ht="17.399999999999999" x14ac:dyDescent="0.25">
      <c r="C1" s="4248" t="s">
        <v>1316</v>
      </c>
      <c r="D1" s="4249"/>
      <c r="E1" s="4249"/>
      <c r="F1" s="4249"/>
      <c r="G1" s="4249"/>
      <c r="H1" s="4249"/>
    </row>
    <row r="2" spans="2:33" ht="17.399999999999999" x14ac:dyDescent="0.25">
      <c r="C2" s="4248"/>
      <c r="D2" s="4249"/>
      <c r="E2" s="4249"/>
      <c r="F2" s="4249"/>
      <c r="G2" s="4249"/>
      <c r="H2" s="4249"/>
    </row>
    <row r="3" spans="2:33" ht="14.4" x14ac:dyDescent="0.25">
      <c r="B3" s="6403" t="s">
        <v>1317</v>
      </c>
      <c r="C3" s="6405" t="s">
        <v>1318</v>
      </c>
      <c r="D3" s="6405"/>
      <c r="E3" s="4250"/>
      <c r="F3" s="6405" t="s">
        <v>1319</v>
      </c>
      <c r="G3" s="6405"/>
      <c r="H3" s="4250"/>
      <c r="I3" s="6406" t="s">
        <v>1637</v>
      </c>
      <c r="J3" s="6406"/>
      <c r="K3" s="6406"/>
    </row>
    <row r="4" spans="2:33" ht="15" thickBot="1" x14ac:dyDescent="0.3">
      <c r="B4" s="6404"/>
      <c r="C4" s="4251" t="s">
        <v>1321</v>
      </c>
      <c r="D4" s="4252" t="s">
        <v>1322</v>
      </c>
      <c r="E4" s="4253" t="s">
        <v>48</v>
      </c>
      <c r="F4" s="4251" t="s">
        <v>1321</v>
      </c>
      <c r="G4" s="4252" t="s">
        <v>1322</v>
      </c>
      <c r="H4" s="4253" t="s">
        <v>48</v>
      </c>
      <c r="I4" s="4251" t="s">
        <v>1321</v>
      </c>
      <c r="J4" s="4252" t="s">
        <v>1322</v>
      </c>
      <c r="K4" s="4253" t="s">
        <v>48</v>
      </c>
    </row>
    <row r="5" spans="2:33" ht="14.4" x14ac:dyDescent="0.25">
      <c r="B5" s="4257" t="s">
        <v>1342</v>
      </c>
      <c r="C5" s="4258">
        <v>26</v>
      </c>
      <c r="D5" s="4259">
        <v>12</v>
      </c>
      <c r="E5" s="4260">
        <f t="shared" ref="E5:E10" si="0">SUM(C5:D5)</f>
        <v>38</v>
      </c>
      <c r="F5" s="4258"/>
      <c r="G5" s="4259">
        <v>2</v>
      </c>
      <c r="H5" s="4261">
        <f t="shared" ref="H5:H10" si="1">SUM(F5:G5)</f>
        <v>2</v>
      </c>
      <c r="I5" s="4262">
        <f t="shared" ref="I5:I6" si="2">SUM(C5,F5)</f>
        <v>26</v>
      </c>
      <c r="J5" s="4259">
        <f t="shared" ref="J5:J6" si="3">SUM(D5,G5)</f>
        <v>14</v>
      </c>
      <c r="K5" s="4263">
        <f t="shared" ref="K5:K10" si="4">SUM(I5:J5)</f>
        <v>40</v>
      </c>
    </row>
    <row r="6" spans="2:33" ht="14.4" x14ac:dyDescent="0.25">
      <c r="B6" s="4266" t="s">
        <v>1343</v>
      </c>
      <c r="C6" s="4267">
        <v>1</v>
      </c>
      <c r="D6" s="4268">
        <v>16</v>
      </c>
      <c r="E6" s="4269">
        <f t="shared" si="0"/>
        <v>17</v>
      </c>
      <c r="F6" s="4267">
        <v>1</v>
      </c>
      <c r="G6" s="4268">
        <v>1</v>
      </c>
      <c r="H6" s="4270">
        <f t="shared" si="1"/>
        <v>2</v>
      </c>
      <c r="I6" s="4271">
        <f t="shared" si="2"/>
        <v>2</v>
      </c>
      <c r="J6" s="4268">
        <f t="shared" si="3"/>
        <v>17</v>
      </c>
      <c r="K6" s="4272">
        <f t="shared" si="4"/>
        <v>19</v>
      </c>
    </row>
    <row r="7" spans="2:33" ht="14.4" x14ac:dyDescent="0.25">
      <c r="B7" s="4275" t="s">
        <v>135</v>
      </c>
      <c r="C7" s="4267">
        <v>10</v>
      </c>
      <c r="D7" s="4268">
        <v>28</v>
      </c>
      <c r="E7" s="4269">
        <f t="shared" si="0"/>
        <v>38</v>
      </c>
      <c r="F7" s="4267">
        <v>2</v>
      </c>
      <c r="G7" s="4268">
        <v>4</v>
      </c>
      <c r="H7" s="4270">
        <f t="shared" si="1"/>
        <v>6</v>
      </c>
      <c r="I7" s="4271">
        <f>SUM(C7,F7)</f>
        <v>12</v>
      </c>
      <c r="J7" s="4268">
        <f>SUM(D7,G7)</f>
        <v>32</v>
      </c>
      <c r="K7" s="4272">
        <f t="shared" si="4"/>
        <v>44</v>
      </c>
    </row>
    <row r="8" spans="2:33" ht="14.4" x14ac:dyDescent="0.25">
      <c r="B8" s="4278" t="s">
        <v>136</v>
      </c>
      <c r="C8" s="4267">
        <v>4</v>
      </c>
      <c r="D8" s="4268">
        <v>4</v>
      </c>
      <c r="E8" s="4269">
        <f t="shared" si="0"/>
        <v>8</v>
      </c>
      <c r="F8" s="4267">
        <v>1</v>
      </c>
      <c r="G8" s="4268"/>
      <c r="H8" s="4270">
        <f t="shared" si="1"/>
        <v>1</v>
      </c>
      <c r="I8" s="4271">
        <f t="shared" ref="I8:I10" si="5">SUM(C8,F8)</f>
        <v>5</v>
      </c>
      <c r="J8" s="4268">
        <f t="shared" ref="J8:J10" si="6">SUM(D8,G8)</f>
        <v>4</v>
      </c>
      <c r="K8" s="4272">
        <f t="shared" si="4"/>
        <v>9</v>
      </c>
    </row>
    <row r="9" spans="2:33" ht="14.4" x14ac:dyDescent="0.25">
      <c r="B9" s="4279" t="s">
        <v>137</v>
      </c>
      <c r="C9" s="4267">
        <v>36</v>
      </c>
      <c r="D9" s="4268">
        <v>49</v>
      </c>
      <c r="E9" s="4269">
        <f t="shared" si="0"/>
        <v>85</v>
      </c>
      <c r="F9" s="4267"/>
      <c r="G9" s="4268">
        <v>12</v>
      </c>
      <c r="H9" s="4270">
        <f t="shared" si="1"/>
        <v>12</v>
      </c>
      <c r="I9" s="4271">
        <f t="shared" si="5"/>
        <v>36</v>
      </c>
      <c r="J9" s="4268">
        <f t="shared" si="6"/>
        <v>61</v>
      </c>
      <c r="K9" s="4272">
        <f t="shared" si="4"/>
        <v>97</v>
      </c>
    </row>
    <row r="10" spans="2:33" ht="14.4" x14ac:dyDescent="0.25">
      <c r="B10" s="4280" t="s">
        <v>1277</v>
      </c>
      <c r="C10" s="4267">
        <v>3</v>
      </c>
      <c r="D10" s="4268">
        <v>55</v>
      </c>
      <c r="E10" s="4269">
        <f t="shared" si="0"/>
        <v>58</v>
      </c>
      <c r="F10" s="4267"/>
      <c r="G10" s="4268">
        <v>86</v>
      </c>
      <c r="H10" s="4270">
        <f t="shared" si="1"/>
        <v>86</v>
      </c>
      <c r="I10" s="4271">
        <f t="shared" si="5"/>
        <v>3</v>
      </c>
      <c r="J10" s="4268">
        <f t="shared" si="6"/>
        <v>141</v>
      </c>
      <c r="K10" s="4272">
        <f t="shared" si="4"/>
        <v>144</v>
      </c>
    </row>
    <row r="11" spans="2:33" ht="14.4" x14ac:dyDescent="0.25">
      <c r="B11" s="4281" t="s">
        <v>1344</v>
      </c>
      <c r="C11" s="4282">
        <f t="shared" ref="C11:K11" si="7">SUM(C5:C10)</f>
        <v>80</v>
      </c>
      <c r="D11" s="4283">
        <f t="shared" si="7"/>
        <v>164</v>
      </c>
      <c r="E11" s="4284">
        <f t="shared" si="7"/>
        <v>244</v>
      </c>
      <c r="F11" s="4282">
        <f t="shared" si="7"/>
        <v>4</v>
      </c>
      <c r="G11" s="4283">
        <f t="shared" si="7"/>
        <v>105</v>
      </c>
      <c r="H11" s="4285">
        <f t="shared" si="7"/>
        <v>109</v>
      </c>
      <c r="I11" s="4286">
        <f t="shared" si="7"/>
        <v>84</v>
      </c>
      <c r="J11" s="4283">
        <f t="shared" si="7"/>
        <v>269</v>
      </c>
      <c r="K11" s="4284">
        <f t="shared" si="7"/>
        <v>353</v>
      </c>
    </row>
    <row r="12" spans="2:33" ht="15.6" x14ac:dyDescent="0.25">
      <c r="C12" s="4249"/>
      <c r="D12" s="4249"/>
      <c r="E12" s="4249"/>
      <c r="F12" s="4249"/>
      <c r="G12" s="4249"/>
      <c r="H12" s="4249"/>
      <c r="K12" s="4287" t="s">
        <v>1638</v>
      </c>
    </row>
    <row r="13" spans="2:33" ht="17.399999999999999" x14ac:dyDescent="0.25">
      <c r="C13" s="4248"/>
      <c r="D13" s="4249"/>
      <c r="E13" s="4249"/>
      <c r="F13" s="4249"/>
      <c r="G13" s="4249"/>
      <c r="H13" s="4249"/>
    </row>
    <row r="14" spans="2:33" ht="15" customHeight="1" x14ac:dyDescent="0.25">
      <c r="B14" s="6403" t="s">
        <v>1317</v>
      </c>
      <c r="C14" s="6405" t="s">
        <v>1318</v>
      </c>
      <c r="D14" s="6405"/>
      <c r="E14" s="4250"/>
      <c r="F14" s="6405" t="s">
        <v>1319</v>
      </c>
      <c r="G14" s="6405"/>
      <c r="H14" s="4250"/>
      <c r="I14" s="6406" t="s">
        <v>1398</v>
      </c>
      <c r="J14" s="6406"/>
      <c r="K14" s="6406"/>
    </row>
    <row r="15" spans="2:33" ht="15" thickBot="1" x14ac:dyDescent="0.3">
      <c r="B15" s="6404"/>
      <c r="C15" s="4251" t="s">
        <v>1321</v>
      </c>
      <c r="D15" s="4252" t="s">
        <v>1322</v>
      </c>
      <c r="E15" s="4253" t="s">
        <v>48</v>
      </c>
      <c r="F15" s="4251" t="s">
        <v>1321</v>
      </c>
      <c r="G15" s="4252" t="s">
        <v>1322</v>
      </c>
      <c r="H15" s="4253" t="s">
        <v>48</v>
      </c>
      <c r="I15" s="4251" t="s">
        <v>1321</v>
      </c>
      <c r="J15" s="4252" t="s">
        <v>1322</v>
      </c>
      <c r="K15" s="4253" t="s">
        <v>48</v>
      </c>
      <c r="M15" s="4254" t="s">
        <v>1323</v>
      </c>
      <c r="N15" s="4255" t="s">
        <v>1324</v>
      </c>
      <c r="O15" s="4255" t="s">
        <v>1325</v>
      </c>
      <c r="P15" s="4255" t="s">
        <v>1326</v>
      </c>
      <c r="Q15" s="4255" t="s">
        <v>1327</v>
      </c>
      <c r="R15" s="4255" t="s">
        <v>1328</v>
      </c>
      <c r="S15" s="4255" t="s">
        <v>1329</v>
      </c>
      <c r="T15" s="4255" t="s">
        <v>1330</v>
      </c>
      <c r="U15" s="4255" t="s">
        <v>1331</v>
      </c>
      <c r="V15" s="4255" t="s">
        <v>1332</v>
      </c>
      <c r="W15" s="4255" t="s">
        <v>1333</v>
      </c>
      <c r="X15" s="4255" t="s">
        <v>1334</v>
      </c>
      <c r="Y15" s="4255" t="s">
        <v>1335</v>
      </c>
      <c r="Z15" s="4255" t="s">
        <v>1336</v>
      </c>
      <c r="AA15" s="4255" t="s">
        <v>1337</v>
      </c>
      <c r="AB15" s="4255" t="s">
        <v>1338</v>
      </c>
      <c r="AC15" s="4255" t="s">
        <v>1339</v>
      </c>
      <c r="AD15" s="4255" t="s">
        <v>1340</v>
      </c>
      <c r="AE15" s="4256" t="s">
        <v>1341</v>
      </c>
      <c r="AF15" s="4255" t="s">
        <v>1399</v>
      </c>
      <c r="AG15" s="4255" t="s">
        <v>1612</v>
      </c>
    </row>
    <row r="16" spans="2:33" ht="14.4" x14ac:dyDescent="0.25">
      <c r="B16" s="4257" t="s">
        <v>1342</v>
      </c>
      <c r="C16" s="4258">
        <v>22</v>
      </c>
      <c r="D16" s="4259">
        <v>12</v>
      </c>
      <c r="E16" s="4260">
        <f t="shared" ref="E16:E21" si="8">SUM(C16:D16)</f>
        <v>34</v>
      </c>
      <c r="F16" s="4258"/>
      <c r="G16" s="4259">
        <v>1</v>
      </c>
      <c r="H16" s="4261">
        <f t="shared" ref="H16:H21" si="9">SUM(F16:G16)</f>
        <v>1</v>
      </c>
      <c r="I16" s="4262">
        <f t="shared" ref="I16:I21" si="10">SUM(C16,F16)</f>
        <v>22</v>
      </c>
      <c r="J16" s="4259">
        <f t="shared" ref="J16:J21" si="11">SUM(D16,G16)</f>
        <v>13</v>
      </c>
      <c r="K16" s="4263">
        <f t="shared" ref="K16:K21" si="12">SUM(I16:J16)</f>
        <v>35</v>
      </c>
      <c r="M16" s="4264" t="s">
        <v>138</v>
      </c>
      <c r="N16" s="4264">
        <v>95</v>
      </c>
      <c r="O16" s="4264">
        <v>48</v>
      </c>
      <c r="P16" s="4264">
        <v>50</v>
      </c>
      <c r="Q16" s="4264">
        <v>51</v>
      </c>
      <c r="R16" s="4264">
        <v>135</v>
      </c>
      <c r="S16" s="4264">
        <v>102</v>
      </c>
      <c r="T16" s="4264">
        <v>63</v>
      </c>
      <c r="U16" s="4264">
        <v>90</v>
      </c>
      <c r="V16" s="4264">
        <v>111</v>
      </c>
      <c r="W16" s="4264">
        <v>50</v>
      </c>
      <c r="X16" s="4264">
        <v>23</v>
      </c>
      <c r="Y16" s="4264">
        <v>94</v>
      </c>
      <c r="Z16" s="4264">
        <v>122</v>
      </c>
      <c r="AA16" s="4264">
        <v>138</v>
      </c>
      <c r="AB16" s="4264">
        <v>45</v>
      </c>
      <c r="AC16" s="4264">
        <f t="shared" ref="AC16:AC21" si="13">+K49</f>
        <v>24</v>
      </c>
      <c r="AD16" s="4264">
        <v>34</v>
      </c>
      <c r="AE16" s="4265">
        <v>38</v>
      </c>
      <c r="AF16" s="4265">
        <v>35</v>
      </c>
      <c r="AG16" s="4265">
        <v>40</v>
      </c>
    </row>
    <row r="17" spans="2:33" ht="14.4" x14ac:dyDescent="0.25">
      <c r="B17" s="4266" t="s">
        <v>1343</v>
      </c>
      <c r="C17" s="4267"/>
      <c r="D17" s="4268">
        <v>7</v>
      </c>
      <c r="E17" s="4269">
        <f t="shared" si="8"/>
        <v>7</v>
      </c>
      <c r="F17" s="4267"/>
      <c r="G17" s="4268">
        <v>2</v>
      </c>
      <c r="H17" s="4270">
        <f t="shared" si="9"/>
        <v>2</v>
      </c>
      <c r="I17" s="4271">
        <f t="shared" si="10"/>
        <v>0</v>
      </c>
      <c r="J17" s="4268">
        <f t="shared" si="11"/>
        <v>9</v>
      </c>
      <c r="K17" s="4272">
        <f t="shared" si="12"/>
        <v>9</v>
      </c>
      <c r="M17" s="4273" t="s">
        <v>134</v>
      </c>
      <c r="N17" s="4273"/>
      <c r="O17" s="4273"/>
      <c r="P17" s="4273">
        <v>1</v>
      </c>
      <c r="Q17" s="4273">
        <v>2</v>
      </c>
      <c r="R17" s="4273">
        <v>1</v>
      </c>
      <c r="S17" s="4273">
        <v>46</v>
      </c>
      <c r="T17" s="4273">
        <v>2</v>
      </c>
      <c r="U17" s="4273">
        <v>2</v>
      </c>
      <c r="V17" s="4273">
        <v>19</v>
      </c>
      <c r="W17" s="4273">
        <v>29</v>
      </c>
      <c r="X17" s="4273">
        <v>38</v>
      </c>
      <c r="Y17" s="4273">
        <v>26</v>
      </c>
      <c r="Z17" s="4273">
        <v>55</v>
      </c>
      <c r="AA17" s="4273">
        <v>74</v>
      </c>
      <c r="AB17" s="4273">
        <v>57</v>
      </c>
      <c r="AC17" s="4273">
        <f t="shared" si="13"/>
        <v>22</v>
      </c>
      <c r="AD17" s="4273">
        <v>15</v>
      </c>
      <c r="AE17" s="4274">
        <v>15</v>
      </c>
      <c r="AF17" s="4274">
        <v>9</v>
      </c>
      <c r="AG17" s="4274">
        <v>19</v>
      </c>
    </row>
    <row r="18" spans="2:33" ht="14.4" x14ac:dyDescent="0.25">
      <c r="B18" s="4275" t="s">
        <v>135</v>
      </c>
      <c r="C18" s="4267">
        <v>22</v>
      </c>
      <c r="D18" s="4268">
        <v>29</v>
      </c>
      <c r="E18" s="4269">
        <f t="shared" si="8"/>
        <v>51</v>
      </c>
      <c r="F18" s="4267">
        <v>3</v>
      </c>
      <c r="G18" s="4268">
        <v>4</v>
      </c>
      <c r="H18" s="4270">
        <f t="shared" si="9"/>
        <v>7</v>
      </c>
      <c r="I18" s="4271">
        <f>SUM(C18,F18)</f>
        <v>25</v>
      </c>
      <c r="J18" s="4268">
        <f>SUM(D18,G18)</f>
        <v>33</v>
      </c>
      <c r="K18" s="4272">
        <f t="shared" si="12"/>
        <v>58</v>
      </c>
      <c r="M18" s="4276" t="s">
        <v>135</v>
      </c>
      <c r="N18" s="4276">
        <v>178</v>
      </c>
      <c r="O18" s="4276">
        <v>147</v>
      </c>
      <c r="P18" s="4276">
        <v>154</v>
      </c>
      <c r="Q18" s="4276">
        <v>164</v>
      </c>
      <c r="R18" s="4276">
        <v>137</v>
      </c>
      <c r="S18" s="4276">
        <v>315</v>
      </c>
      <c r="T18" s="4276">
        <v>117</v>
      </c>
      <c r="U18" s="4276">
        <v>173</v>
      </c>
      <c r="V18" s="4276">
        <v>85</v>
      </c>
      <c r="W18" s="4276">
        <v>366</v>
      </c>
      <c r="X18" s="4276">
        <v>115</v>
      </c>
      <c r="Y18" s="4276">
        <v>234</v>
      </c>
      <c r="Z18" s="4276">
        <v>286</v>
      </c>
      <c r="AA18" s="4276">
        <v>288</v>
      </c>
      <c r="AB18" s="4276">
        <v>103</v>
      </c>
      <c r="AC18" s="4276">
        <f t="shared" si="13"/>
        <v>109</v>
      </c>
      <c r="AD18" s="4276">
        <v>67</v>
      </c>
      <c r="AE18" s="4277">
        <v>39</v>
      </c>
      <c r="AF18" s="4277">
        <v>58</v>
      </c>
      <c r="AG18" s="4277">
        <v>44</v>
      </c>
    </row>
    <row r="19" spans="2:33" ht="14.4" x14ac:dyDescent="0.25">
      <c r="B19" s="4278" t="s">
        <v>136</v>
      </c>
      <c r="C19" s="4267">
        <v>3</v>
      </c>
      <c r="D19" s="4268"/>
      <c r="E19" s="4269">
        <f t="shared" si="8"/>
        <v>3</v>
      </c>
      <c r="F19" s="4267"/>
      <c r="G19" s="4268"/>
      <c r="H19" s="4270">
        <f t="shared" si="9"/>
        <v>0</v>
      </c>
      <c r="I19" s="4271">
        <f t="shared" si="10"/>
        <v>3</v>
      </c>
      <c r="J19" s="4268">
        <f t="shared" si="11"/>
        <v>0</v>
      </c>
      <c r="K19" s="4272">
        <f t="shared" si="12"/>
        <v>3</v>
      </c>
      <c r="M19" s="4273" t="s">
        <v>136</v>
      </c>
      <c r="N19" s="4273"/>
      <c r="O19" s="4273"/>
      <c r="P19" s="4273"/>
      <c r="Q19" s="4273"/>
      <c r="R19" s="4273"/>
      <c r="S19" s="4273"/>
      <c r="T19" s="4273"/>
      <c r="U19" s="4273"/>
      <c r="V19" s="4273">
        <v>4</v>
      </c>
      <c r="W19" s="4273"/>
      <c r="X19" s="4273">
        <v>10</v>
      </c>
      <c r="Y19" s="4273">
        <v>19</v>
      </c>
      <c r="Z19" s="4273">
        <v>20</v>
      </c>
      <c r="AA19" s="4273">
        <v>27</v>
      </c>
      <c r="AB19" s="4273">
        <v>23</v>
      </c>
      <c r="AC19" s="4273">
        <f t="shared" si="13"/>
        <v>20</v>
      </c>
      <c r="AD19" s="4273">
        <v>4</v>
      </c>
      <c r="AE19" s="4274">
        <v>7</v>
      </c>
      <c r="AF19" s="4274">
        <v>3</v>
      </c>
      <c r="AG19" s="4274">
        <v>9</v>
      </c>
    </row>
    <row r="20" spans="2:33" ht="14.4" x14ac:dyDescent="0.25">
      <c r="B20" s="4279" t="s">
        <v>137</v>
      </c>
      <c r="C20" s="4267">
        <v>12</v>
      </c>
      <c r="D20" s="4268">
        <v>47</v>
      </c>
      <c r="E20" s="4269">
        <f t="shared" si="8"/>
        <v>59</v>
      </c>
      <c r="F20" s="4267"/>
      <c r="G20" s="4268">
        <v>2</v>
      </c>
      <c r="H20" s="4270">
        <f t="shared" si="9"/>
        <v>2</v>
      </c>
      <c r="I20" s="4271">
        <f t="shared" si="10"/>
        <v>12</v>
      </c>
      <c r="J20" s="4268">
        <f t="shared" si="11"/>
        <v>49</v>
      </c>
      <c r="K20" s="4272">
        <f t="shared" si="12"/>
        <v>61</v>
      </c>
      <c r="M20" s="4276" t="s">
        <v>137</v>
      </c>
      <c r="N20" s="4276">
        <v>89</v>
      </c>
      <c r="O20" s="4276">
        <v>113</v>
      </c>
      <c r="P20" s="4276">
        <v>94</v>
      </c>
      <c r="Q20" s="4276">
        <v>172</v>
      </c>
      <c r="R20" s="4276">
        <v>100</v>
      </c>
      <c r="S20" s="4276">
        <v>107</v>
      </c>
      <c r="T20" s="4276">
        <v>123</v>
      </c>
      <c r="U20" s="4276">
        <v>22</v>
      </c>
      <c r="V20" s="4276">
        <v>134</v>
      </c>
      <c r="W20" s="4276">
        <v>166</v>
      </c>
      <c r="X20" s="4276">
        <v>135</v>
      </c>
      <c r="Y20" s="4276">
        <v>194</v>
      </c>
      <c r="Z20" s="4276">
        <v>151</v>
      </c>
      <c r="AA20" s="4276">
        <v>226</v>
      </c>
      <c r="AB20" s="4276">
        <v>137</v>
      </c>
      <c r="AC20" s="4276">
        <f t="shared" si="13"/>
        <v>103</v>
      </c>
      <c r="AD20" s="4276">
        <v>119</v>
      </c>
      <c r="AE20" s="4277">
        <v>88</v>
      </c>
      <c r="AF20" s="4277">
        <v>61</v>
      </c>
      <c r="AG20" s="4277">
        <v>97</v>
      </c>
    </row>
    <row r="21" spans="2:33" ht="14.4" x14ac:dyDescent="0.25">
      <c r="B21" s="4280" t="s">
        <v>1277</v>
      </c>
      <c r="C21" s="4267">
        <v>3</v>
      </c>
      <c r="D21" s="4268">
        <v>43</v>
      </c>
      <c r="E21" s="4269">
        <f t="shared" si="8"/>
        <v>46</v>
      </c>
      <c r="F21" s="4267"/>
      <c r="G21" s="4268">
        <v>31</v>
      </c>
      <c r="H21" s="4270">
        <f t="shared" si="9"/>
        <v>31</v>
      </c>
      <c r="I21" s="4271">
        <f t="shared" si="10"/>
        <v>3</v>
      </c>
      <c r="J21" s="4268">
        <f t="shared" si="11"/>
        <v>74</v>
      </c>
      <c r="K21" s="4272">
        <f t="shared" si="12"/>
        <v>77</v>
      </c>
      <c r="M21" s="4273" t="s">
        <v>1277</v>
      </c>
      <c r="N21" s="4273">
        <v>50</v>
      </c>
      <c r="O21" s="4273">
        <v>40</v>
      </c>
      <c r="P21" s="4273">
        <v>59</v>
      </c>
      <c r="Q21" s="4273">
        <v>52</v>
      </c>
      <c r="R21" s="4273">
        <v>60</v>
      </c>
      <c r="S21" s="4273">
        <v>66</v>
      </c>
      <c r="T21" s="4273">
        <v>61</v>
      </c>
      <c r="U21" s="4273">
        <v>54</v>
      </c>
      <c r="V21" s="4273">
        <v>121</v>
      </c>
      <c r="W21" s="4273">
        <v>202</v>
      </c>
      <c r="X21" s="4273">
        <v>76</v>
      </c>
      <c r="Y21" s="4273">
        <v>88</v>
      </c>
      <c r="Z21" s="4273">
        <v>145</v>
      </c>
      <c r="AA21" s="4273">
        <v>89</v>
      </c>
      <c r="AB21" s="4273">
        <v>66</v>
      </c>
      <c r="AC21" s="4273">
        <f t="shared" si="13"/>
        <v>170</v>
      </c>
      <c r="AD21" s="4273">
        <v>120</v>
      </c>
      <c r="AE21" s="4274">
        <v>67</v>
      </c>
      <c r="AF21" s="4274">
        <v>77</v>
      </c>
      <c r="AG21" s="4274">
        <v>144</v>
      </c>
    </row>
    <row r="22" spans="2:33" ht="14.4" x14ac:dyDescent="0.25">
      <c r="B22" s="4281" t="s">
        <v>1344</v>
      </c>
      <c r="C22" s="4282">
        <f t="shared" ref="C22:K22" si="14">SUM(C16:C21)</f>
        <v>62</v>
      </c>
      <c r="D22" s="4283">
        <f t="shared" si="14"/>
        <v>138</v>
      </c>
      <c r="E22" s="4284">
        <f t="shared" si="14"/>
        <v>200</v>
      </c>
      <c r="F22" s="4282">
        <f t="shared" si="14"/>
        <v>3</v>
      </c>
      <c r="G22" s="4283">
        <f t="shared" si="14"/>
        <v>40</v>
      </c>
      <c r="H22" s="4285">
        <f t="shared" si="14"/>
        <v>43</v>
      </c>
      <c r="I22" s="4286">
        <f t="shared" si="14"/>
        <v>65</v>
      </c>
      <c r="J22" s="4283">
        <f t="shared" si="14"/>
        <v>178</v>
      </c>
      <c r="K22" s="4284">
        <f t="shared" si="14"/>
        <v>243</v>
      </c>
      <c r="M22" s="4538" t="s">
        <v>279</v>
      </c>
      <c r="N22" s="4538">
        <f>SUM(N16:N21)</f>
        <v>412</v>
      </c>
      <c r="O22" s="4538">
        <f t="shared" ref="O22:AE22" si="15">SUM(O16:O21)</f>
        <v>348</v>
      </c>
      <c r="P22" s="4538">
        <f t="shared" si="15"/>
        <v>358</v>
      </c>
      <c r="Q22" s="4538">
        <f t="shared" si="15"/>
        <v>441</v>
      </c>
      <c r="R22" s="4538">
        <f t="shared" si="15"/>
        <v>433</v>
      </c>
      <c r="S22" s="4538">
        <f t="shared" si="15"/>
        <v>636</v>
      </c>
      <c r="T22" s="4538">
        <f t="shared" si="15"/>
        <v>366</v>
      </c>
      <c r="U22" s="4538">
        <f t="shared" si="15"/>
        <v>341</v>
      </c>
      <c r="V22" s="4538">
        <f t="shared" si="15"/>
        <v>474</v>
      </c>
      <c r="W22" s="4538">
        <f t="shared" si="15"/>
        <v>813</v>
      </c>
      <c r="X22" s="4538">
        <f t="shared" si="15"/>
        <v>397</v>
      </c>
      <c r="Y22" s="4538">
        <f t="shared" si="15"/>
        <v>655</v>
      </c>
      <c r="Z22" s="4538">
        <f t="shared" si="15"/>
        <v>779</v>
      </c>
      <c r="AA22" s="4538">
        <f t="shared" si="15"/>
        <v>842</v>
      </c>
      <c r="AB22" s="4538">
        <f t="shared" si="15"/>
        <v>431</v>
      </c>
      <c r="AC22" s="4538">
        <f t="shared" si="15"/>
        <v>448</v>
      </c>
      <c r="AD22" s="4538">
        <f t="shared" si="15"/>
        <v>359</v>
      </c>
      <c r="AE22" s="4538">
        <f t="shared" si="15"/>
        <v>254</v>
      </c>
      <c r="AF22" s="4538">
        <f>SUM(AF16:AF21)</f>
        <v>243</v>
      </c>
      <c r="AG22" s="4538">
        <f>SUM(AG16:AG21)</f>
        <v>353</v>
      </c>
    </row>
    <row r="23" spans="2:33" ht="15.6" x14ac:dyDescent="0.25">
      <c r="C23" s="4249"/>
      <c r="D23" s="4249"/>
      <c r="E23" s="4249"/>
      <c r="F23" s="4249"/>
      <c r="G23" s="4249"/>
      <c r="H23" s="4249"/>
      <c r="K23" s="4287" t="s">
        <v>1638</v>
      </c>
      <c r="M23" s="4288" t="s">
        <v>1345</v>
      </c>
    </row>
    <row r="24" spans="2:33" ht="17.399999999999999" x14ac:dyDescent="0.25">
      <c r="C24" s="4248"/>
      <c r="D24" s="4249"/>
      <c r="E24" s="4249"/>
      <c r="F24" s="4249"/>
      <c r="G24" s="4249"/>
      <c r="H24" s="4249"/>
      <c r="M24" s="4288"/>
    </row>
    <row r="25" spans="2:33" ht="14.4" x14ac:dyDescent="0.25">
      <c r="B25" s="6403" t="s">
        <v>1317</v>
      </c>
      <c r="C25" s="6405" t="s">
        <v>1318</v>
      </c>
      <c r="D25" s="6405"/>
      <c r="E25" s="4250"/>
      <c r="F25" s="6405" t="s">
        <v>1319</v>
      </c>
      <c r="G25" s="6405"/>
      <c r="H25" s="4250"/>
      <c r="I25" s="6406" t="s">
        <v>1320</v>
      </c>
      <c r="J25" s="6406"/>
      <c r="K25" s="6406"/>
    </row>
    <row r="26" spans="2:33" ht="15" thickBot="1" x14ac:dyDescent="0.3">
      <c r="B26" s="6404"/>
      <c r="C26" s="4251" t="s">
        <v>1321</v>
      </c>
      <c r="D26" s="4252" t="s">
        <v>1322</v>
      </c>
      <c r="E26" s="4253" t="s">
        <v>48</v>
      </c>
      <c r="F26" s="4251" t="s">
        <v>1321</v>
      </c>
      <c r="G26" s="4252" t="s">
        <v>1322</v>
      </c>
      <c r="H26" s="4253" t="s">
        <v>48</v>
      </c>
      <c r="I26" s="4251" t="s">
        <v>1321</v>
      </c>
      <c r="J26" s="4252" t="s">
        <v>1322</v>
      </c>
      <c r="K26" s="4253" t="s">
        <v>48</v>
      </c>
    </row>
    <row r="27" spans="2:33" ht="14.4" x14ac:dyDescent="0.25">
      <c r="B27" s="4257" t="s">
        <v>1342</v>
      </c>
      <c r="C27" s="4258">
        <v>28</v>
      </c>
      <c r="D27" s="4259">
        <v>10</v>
      </c>
      <c r="E27" s="4260">
        <f t="shared" ref="E27:E32" si="16">SUM(C27:D27)</f>
        <v>38</v>
      </c>
      <c r="F27" s="4258"/>
      <c r="G27" s="4259"/>
      <c r="H27" s="4261">
        <f t="shared" ref="H27:H32" si="17">SUM(F27:G27)</f>
        <v>0</v>
      </c>
      <c r="I27" s="4262">
        <f t="shared" ref="I27:J32" si="18">SUM(C27,F27)</f>
        <v>28</v>
      </c>
      <c r="J27" s="4259">
        <f t="shared" si="18"/>
        <v>10</v>
      </c>
      <c r="K27" s="4263">
        <f t="shared" ref="K27:K32" si="19">SUM(I27:J27)</f>
        <v>38</v>
      </c>
    </row>
    <row r="28" spans="2:33" ht="14.4" x14ac:dyDescent="0.25">
      <c r="B28" s="4266" t="s">
        <v>1343</v>
      </c>
      <c r="C28" s="4267">
        <v>8</v>
      </c>
      <c r="D28" s="4268">
        <v>7</v>
      </c>
      <c r="E28" s="4269">
        <f t="shared" si="16"/>
        <v>15</v>
      </c>
      <c r="F28" s="4267"/>
      <c r="G28" s="4268"/>
      <c r="H28" s="4270">
        <f t="shared" si="17"/>
        <v>0</v>
      </c>
      <c r="I28" s="4271">
        <f t="shared" si="18"/>
        <v>8</v>
      </c>
      <c r="J28" s="4268">
        <f t="shared" si="18"/>
        <v>7</v>
      </c>
      <c r="K28" s="4272">
        <f t="shared" si="19"/>
        <v>15</v>
      </c>
      <c r="AE28" s="3585"/>
    </row>
    <row r="29" spans="2:33" ht="14.4" x14ac:dyDescent="0.25">
      <c r="B29" s="4275" t="s">
        <v>135</v>
      </c>
      <c r="C29" s="4267">
        <v>24</v>
      </c>
      <c r="D29" s="4268">
        <v>13</v>
      </c>
      <c r="E29" s="4269">
        <f t="shared" si="16"/>
        <v>37</v>
      </c>
      <c r="F29" s="4267"/>
      <c r="G29" s="4268">
        <v>2</v>
      </c>
      <c r="H29" s="4270">
        <f t="shared" si="17"/>
        <v>2</v>
      </c>
      <c r="I29" s="4271">
        <f t="shared" si="18"/>
        <v>24</v>
      </c>
      <c r="J29" s="4268">
        <f t="shared" si="18"/>
        <v>15</v>
      </c>
      <c r="K29" s="4272">
        <f t="shared" si="19"/>
        <v>39</v>
      </c>
      <c r="AE29" s="3585"/>
    </row>
    <row r="30" spans="2:33" ht="14.4" x14ac:dyDescent="0.25">
      <c r="B30" s="4278" t="s">
        <v>136</v>
      </c>
      <c r="C30" s="4267">
        <v>5</v>
      </c>
      <c r="D30" s="4268">
        <v>2</v>
      </c>
      <c r="E30" s="4269">
        <f t="shared" si="16"/>
        <v>7</v>
      </c>
      <c r="F30" s="4267"/>
      <c r="G30" s="4268"/>
      <c r="H30" s="4270">
        <f t="shared" si="17"/>
        <v>0</v>
      </c>
      <c r="I30" s="4271">
        <f t="shared" si="18"/>
        <v>5</v>
      </c>
      <c r="J30" s="4268">
        <f t="shared" si="18"/>
        <v>2</v>
      </c>
      <c r="K30" s="4272">
        <f t="shared" si="19"/>
        <v>7</v>
      </c>
      <c r="AE30" s="3585"/>
    </row>
    <row r="31" spans="2:33" ht="14.4" x14ac:dyDescent="0.25">
      <c r="B31" s="4279" t="s">
        <v>137</v>
      </c>
      <c r="C31" s="4267">
        <v>46</v>
      </c>
      <c r="D31" s="4268">
        <v>27</v>
      </c>
      <c r="E31" s="4269">
        <f t="shared" si="16"/>
        <v>73</v>
      </c>
      <c r="F31" s="4267">
        <v>2</v>
      </c>
      <c r="G31" s="4268">
        <v>13</v>
      </c>
      <c r="H31" s="4270">
        <f t="shared" si="17"/>
        <v>15</v>
      </c>
      <c r="I31" s="4271">
        <f t="shared" si="18"/>
        <v>48</v>
      </c>
      <c r="J31" s="4268">
        <f t="shared" si="18"/>
        <v>40</v>
      </c>
      <c r="K31" s="4272">
        <f t="shared" si="19"/>
        <v>88</v>
      </c>
      <c r="AE31" s="3585"/>
    </row>
    <row r="32" spans="2:33" ht="14.4" x14ac:dyDescent="0.25">
      <c r="B32" s="4280" t="s">
        <v>1277</v>
      </c>
      <c r="C32" s="4267">
        <v>2</v>
      </c>
      <c r="D32" s="4268">
        <v>36</v>
      </c>
      <c r="E32" s="4269">
        <f t="shared" si="16"/>
        <v>38</v>
      </c>
      <c r="F32" s="4267"/>
      <c r="G32" s="4268">
        <v>29</v>
      </c>
      <c r="H32" s="4270">
        <f t="shared" si="17"/>
        <v>29</v>
      </c>
      <c r="I32" s="4271">
        <f t="shared" si="18"/>
        <v>2</v>
      </c>
      <c r="J32" s="4268">
        <f t="shared" si="18"/>
        <v>65</v>
      </c>
      <c r="K32" s="4272">
        <f t="shared" si="19"/>
        <v>67</v>
      </c>
      <c r="AE32" s="3585"/>
    </row>
    <row r="33" spans="2:40" ht="14.4" x14ac:dyDescent="0.25">
      <c r="B33" s="4281" t="s">
        <v>1344</v>
      </c>
      <c r="C33" s="4282">
        <f t="shared" ref="C33:K33" si="20">SUM(C27:C32)</f>
        <v>113</v>
      </c>
      <c r="D33" s="4283">
        <f t="shared" si="20"/>
        <v>95</v>
      </c>
      <c r="E33" s="4284">
        <f t="shared" si="20"/>
        <v>208</v>
      </c>
      <c r="F33" s="4282">
        <f t="shared" si="20"/>
        <v>2</v>
      </c>
      <c r="G33" s="4283">
        <f t="shared" si="20"/>
        <v>44</v>
      </c>
      <c r="H33" s="4285">
        <f t="shared" si="20"/>
        <v>46</v>
      </c>
      <c r="I33" s="4286">
        <f t="shared" si="20"/>
        <v>115</v>
      </c>
      <c r="J33" s="4283">
        <f t="shared" si="20"/>
        <v>139</v>
      </c>
      <c r="K33" s="4284">
        <f t="shared" si="20"/>
        <v>254</v>
      </c>
      <c r="AE33" s="3585"/>
    </row>
    <row r="34" spans="2:40" ht="15.6" x14ac:dyDescent="0.25">
      <c r="C34" s="4249"/>
      <c r="D34" s="4249"/>
      <c r="E34" s="4249"/>
      <c r="F34" s="4249"/>
      <c r="G34" s="4249"/>
      <c r="H34" s="4249"/>
      <c r="K34" s="4287" t="s">
        <v>1638</v>
      </c>
      <c r="AE34" s="3585"/>
    </row>
    <row r="35" spans="2:40" ht="17.399999999999999" x14ac:dyDescent="0.25">
      <c r="C35" s="4248"/>
      <c r="D35" s="4249"/>
      <c r="E35" s="4249"/>
      <c r="F35" s="4249"/>
      <c r="G35" s="4249"/>
      <c r="H35" s="4249"/>
    </row>
    <row r="36" spans="2:40" ht="17.100000000000001" customHeight="1" x14ac:dyDescent="0.25">
      <c r="B36" s="6403" t="s">
        <v>1317</v>
      </c>
      <c r="C36" s="6405" t="s">
        <v>1318</v>
      </c>
      <c r="D36" s="6405"/>
      <c r="E36" s="4250"/>
      <c r="F36" s="6405" t="s">
        <v>1319</v>
      </c>
      <c r="G36" s="6405"/>
      <c r="H36" s="4250"/>
      <c r="I36" s="6406" t="s">
        <v>1346</v>
      </c>
      <c r="J36" s="6406"/>
      <c r="K36" s="6406"/>
    </row>
    <row r="37" spans="2:40" ht="17.100000000000001" customHeight="1" thickBot="1" x14ac:dyDescent="0.3">
      <c r="B37" s="6404"/>
      <c r="C37" s="4251" t="s">
        <v>1321</v>
      </c>
      <c r="D37" s="4252" t="s">
        <v>1322</v>
      </c>
      <c r="E37" s="4253" t="s">
        <v>48</v>
      </c>
      <c r="F37" s="4251" t="s">
        <v>1321</v>
      </c>
      <c r="G37" s="4252" t="s">
        <v>1322</v>
      </c>
      <c r="H37" s="4253" t="s">
        <v>48</v>
      </c>
      <c r="I37" s="4251" t="s">
        <v>1321</v>
      </c>
      <c r="J37" s="4252" t="s">
        <v>1322</v>
      </c>
      <c r="K37" s="4253" t="s">
        <v>48</v>
      </c>
      <c r="AJ37" s="3585"/>
      <c r="AK37" s="3585"/>
      <c r="AL37" s="3585"/>
      <c r="AM37" s="3585"/>
    </row>
    <row r="38" spans="2:40" s="3585" customFormat="1" ht="17.100000000000001" customHeight="1" x14ac:dyDescent="0.25">
      <c r="B38" s="4257" t="s">
        <v>1342</v>
      </c>
      <c r="C38" s="4258">
        <v>28</v>
      </c>
      <c r="D38" s="4259">
        <v>6</v>
      </c>
      <c r="E38" s="4260">
        <f t="shared" ref="E38:E43" si="21">SUM(C38:D38)</f>
        <v>34</v>
      </c>
      <c r="F38" s="4258"/>
      <c r="G38" s="4259"/>
      <c r="H38" s="4261">
        <f t="shared" ref="H38:H43" si="22">SUM(F38:G38)</f>
        <v>0</v>
      </c>
      <c r="I38" s="4262">
        <f t="shared" ref="I38:J43" si="23">SUM(C38,F38)</f>
        <v>28</v>
      </c>
      <c r="J38" s="4259">
        <f t="shared" si="23"/>
        <v>6</v>
      </c>
      <c r="K38" s="4263">
        <f t="shared" ref="K38:K43" si="24">SUM(I38:J38)</f>
        <v>34</v>
      </c>
      <c r="L38" s="3574"/>
      <c r="M38" s="3574"/>
      <c r="N38" s="3574"/>
      <c r="O38" s="3574"/>
      <c r="P38" s="3574"/>
      <c r="Q38" s="3574"/>
      <c r="R38" s="3574"/>
      <c r="S38" s="3574"/>
      <c r="T38" s="3574"/>
      <c r="U38" s="3574"/>
      <c r="V38" s="3574"/>
      <c r="W38" s="3574"/>
      <c r="X38" s="3574"/>
      <c r="Y38" s="3574"/>
      <c r="Z38" s="3574"/>
      <c r="AA38" s="3574"/>
      <c r="AB38" s="3574"/>
      <c r="AC38" s="3574"/>
      <c r="AD38" s="3574"/>
      <c r="AE38" s="3574"/>
      <c r="AF38" s="3574"/>
    </row>
    <row r="39" spans="2:40" s="3585" customFormat="1" ht="17.100000000000001" customHeight="1" x14ac:dyDescent="0.25">
      <c r="B39" s="4266" t="s">
        <v>1343</v>
      </c>
      <c r="C39" s="4267">
        <v>11</v>
      </c>
      <c r="D39" s="4268">
        <v>3</v>
      </c>
      <c r="E39" s="4269">
        <f t="shared" si="21"/>
        <v>14</v>
      </c>
      <c r="F39" s="4267"/>
      <c r="G39" s="4268">
        <v>1</v>
      </c>
      <c r="H39" s="4270">
        <f t="shared" si="22"/>
        <v>1</v>
      </c>
      <c r="I39" s="4271">
        <f t="shared" si="23"/>
        <v>11</v>
      </c>
      <c r="J39" s="4268">
        <f t="shared" si="23"/>
        <v>4</v>
      </c>
      <c r="K39" s="4272">
        <f t="shared" si="24"/>
        <v>15</v>
      </c>
      <c r="M39" s="3574"/>
      <c r="N39" s="3574"/>
      <c r="O39" s="3574"/>
      <c r="P39" s="3574"/>
      <c r="Q39" s="3574"/>
      <c r="R39" s="3574"/>
      <c r="S39" s="3574"/>
      <c r="T39" s="3574"/>
      <c r="U39" s="3574"/>
      <c r="V39" s="3574"/>
      <c r="W39" s="3574"/>
      <c r="X39" s="3574"/>
      <c r="Y39" s="3574"/>
      <c r="Z39" s="3574"/>
      <c r="AA39" s="3574"/>
      <c r="AB39" s="3574"/>
      <c r="AC39" s="3574"/>
      <c r="AD39" s="3574"/>
      <c r="AE39" s="3574"/>
    </row>
    <row r="40" spans="2:40" s="3585" customFormat="1" ht="17.100000000000001" customHeight="1" x14ac:dyDescent="0.25">
      <c r="B40" s="4275" t="s">
        <v>135</v>
      </c>
      <c r="C40" s="4267">
        <v>37</v>
      </c>
      <c r="D40" s="4268">
        <v>22</v>
      </c>
      <c r="E40" s="4269">
        <f t="shared" si="21"/>
        <v>59</v>
      </c>
      <c r="F40" s="4267">
        <v>1</v>
      </c>
      <c r="G40" s="4268">
        <v>7</v>
      </c>
      <c r="H40" s="4270">
        <f t="shared" si="22"/>
        <v>8</v>
      </c>
      <c r="I40" s="4271">
        <f t="shared" si="23"/>
        <v>38</v>
      </c>
      <c r="J40" s="4268">
        <f t="shared" si="23"/>
        <v>29</v>
      </c>
      <c r="K40" s="4272">
        <f t="shared" si="24"/>
        <v>67</v>
      </c>
      <c r="M40" s="3574"/>
      <c r="N40" s="3574"/>
      <c r="O40" s="3574"/>
      <c r="P40" s="3574"/>
      <c r="Q40" s="3574"/>
      <c r="R40" s="3574"/>
      <c r="S40" s="3574"/>
      <c r="T40" s="3574"/>
      <c r="U40" s="3574"/>
      <c r="V40" s="3574"/>
      <c r="W40" s="3574"/>
      <c r="X40" s="3574"/>
      <c r="Y40" s="3574"/>
      <c r="Z40" s="3574"/>
      <c r="AA40" s="3574"/>
      <c r="AB40" s="3574"/>
      <c r="AC40" s="3574"/>
      <c r="AD40" s="3574"/>
      <c r="AE40" s="3574"/>
    </row>
    <row r="41" spans="2:40" s="3585" customFormat="1" ht="17.100000000000001" customHeight="1" x14ac:dyDescent="0.25">
      <c r="B41" s="4278" t="s">
        <v>136</v>
      </c>
      <c r="C41" s="4267">
        <v>3</v>
      </c>
      <c r="D41" s="4268">
        <v>1</v>
      </c>
      <c r="E41" s="4269">
        <f t="shared" si="21"/>
        <v>4</v>
      </c>
      <c r="F41" s="4267"/>
      <c r="G41" s="4268"/>
      <c r="H41" s="4270">
        <f t="shared" si="22"/>
        <v>0</v>
      </c>
      <c r="I41" s="4271">
        <f t="shared" si="23"/>
        <v>3</v>
      </c>
      <c r="J41" s="4268">
        <f t="shared" si="23"/>
        <v>1</v>
      </c>
      <c r="K41" s="4272">
        <f t="shared" si="24"/>
        <v>4</v>
      </c>
      <c r="M41" s="3574"/>
      <c r="N41" s="3574"/>
      <c r="O41" s="3574"/>
      <c r="P41" s="3574"/>
      <c r="Q41" s="3574"/>
      <c r="R41" s="3574"/>
      <c r="S41" s="3574"/>
      <c r="T41" s="3574"/>
      <c r="U41" s="3574"/>
      <c r="V41" s="3574"/>
      <c r="W41" s="3574"/>
      <c r="X41" s="3574"/>
      <c r="Y41" s="3574"/>
      <c r="Z41" s="3574"/>
      <c r="AA41" s="3574"/>
      <c r="AB41" s="3574"/>
      <c r="AC41" s="3574"/>
      <c r="AD41" s="3574"/>
      <c r="AE41" s="3574"/>
    </row>
    <row r="42" spans="2:40" s="3585" customFormat="1" ht="17.100000000000001" customHeight="1" x14ac:dyDescent="0.25">
      <c r="B42" s="4279" t="s">
        <v>137</v>
      </c>
      <c r="C42" s="4267">
        <v>54</v>
      </c>
      <c r="D42" s="4268">
        <v>49</v>
      </c>
      <c r="E42" s="4269">
        <f t="shared" si="21"/>
        <v>103</v>
      </c>
      <c r="F42" s="4267">
        <v>2</v>
      </c>
      <c r="G42" s="4268">
        <v>14</v>
      </c>
      <c r="H42" s="4270">
        <f t="shared" si="22"/>
        <v>16</v>
      </c>
      <c r="I42" s="4271">
        <f t="shared" si="23"/>
        <v>56</v>
      </c>
      <c r="J42" s="4268">
        <f t="shared" si="23"/>
        <v>63</v>
      </c>
      <c r="K42" s="4272">
        <f t="shared" si="24"/>
        <v>119</v>
      </c>
      <c r="M42" s="3574"/>
      <c r="N42" s="3574"/>
      <c r="O42" s="3574"/>
      <c r="P42" s="3574"/>
      <c r="Q42" s="3574"/>
      <c r="R42" s="3574"/>
      <c r="S42" s="3574"/>
      <c r="T42" s="3574"/>
      <c r="U42" s="3574"/>
      <c r="V42" s="3574"/>
      <c r="W42" s="3574"/>
      <c r="X42" s="3574"/>
      <c r="Y42" s="3574"/>
      <c r="Z42" s="3574"/>
      <c r="AA42" s="3574"/>
      <c r="AB42" s="3574"/>
      <c r="AC42" s="3574"/>
      <c r="AD42" s="3574"/>
      <c r="AE42" s="3574"/>
    </row>
    <row r="43" spans="2:40" s="3585" customFormat="1" ht="17.100000000000001" customHeight="1" x14ac:dyDescent="0.25">
      <c r="B43" s="4280" t="s">
        <v>1277</v>
      </c>
      <c r="C43" s="4267">
        <v>3</v>
      </c>
      <c r="D43" s="4268">
        <v>50</v>
      </c>
      <c r="E43" s="4269">
        <f t="shared" si="21"/>
        <v>53</v>
      </c>
      <c r="F43" s="4267"/>
      <c r="G43" s="4268">
        <v>67</v>
      </c>
      <c r="H43" s="4270">
        <f t="shared" si="22"/>
        <v>67</v>
      </c>
      <c r="I43" s="4271">
        <f t="shared" si="23"/>
        <v>3</v>
      </c>
      <c r="J43" s="4268">
        <f t="shared" si="23"/>
        <v>117</v>
      </c>
      <c r="K43" s="4272">
        <f t="shared" si="24"/>
        <v>120</v>
      </c>
      <c r="M43" s="3574"/>
      <c r="N43" s="3574"/>
      <c r="O43" s="3574"/>
      <c r="P43" s="3574"/>
      <c r="Q43" s="3574"/>
      <c r="R43" s="3574"/>
      <c r="S43" s="3574"/>
      <c r="T43" s="3574"/>
      <c r="U43" s="3574"/>
      <c r="V43" s="3574"/>
      <c r="W43" s="3574"/>
      <c r="X43" s="3574"/>
      <c r="Y43" s="3574"/>
      <c r="Z43" s="3574"/>
      <c r="AA43" s="3574"/>
      <c r="AB43" s="3574"/>
      <c r="AC43" s="3574"/>
      <c r="AD43" s="3574"/>
      <c r="AE43" s="3574"/>
    </row>
    <row r="44" spans="2:40" s="3585" customFormat="1" ht="17.100000000000001" customHeight="1" x14ac:dyDescent="0.25">
      <c r="B44" s="4281" t="s">
        <v>1344</v>
      </c>
      <c r="C44" s="4282">
        <f t="shared" ref="C44:K44" si="25">SUM(C38:C43)</f>
        <v>136</v>
      </c>
      <c r="D44" s="4283">
        <f t="shared" si="25"/>
        <v>131</v>
      </c>
      <c r="E44" s="4284">
        <f t="shared" si="25"/>
        <v>267</v>
      </c>
      <c r="F44" s="4282">
        <f t="shared" si="25"/>
        <v>3</v>
      </c>
      <c r="G44" s="4283">
        <f t="shared" si="25"/>
        <v>89</v>
      </c>
      <c r="H44" s="4285">
        <f t="shared" si="25"/>
        <v>92</v>
      </c>
      <c r="I44" s="4286">
        <f t="shared" si="25"/>
        <v>139</v>
      </c>
      <c r="J44" s="4283">
        <f t="shared" si="25"/>
        <v>220</v>
      </c>
      <c r="K44" s="4284">
        <f t="shared" si="25"/>
        <v>359</v>
      </c>
      <c r="M44" s="3574"/>
      <c r="N44" s="3574"/>
      <c r="O44" s="3574"/>
      <c r="P44" s="3574"/>
      <c r="Q44" s="3574"/>
      <c r="R44" s="3574"/>
      <c r="S44" s="3574"/>
      <c r="T44" s="3574"/>
      <c r="U44" s="3574"/>
      <c r="V44" s="3574"/>
      <c r="W44" s="3574"/>
      <c r="X44" s="3574"/>
      <c r="Y44" s="3574"/>
      <c r="Z44" s="3574"/>
      <c r="AA44" s="3574"/>
      <c r="AB44" s="3574"/>
      <c r="AC44" s="3574"/>
      <c r="AD44" s="3574"/>
      <c r="AE44" s="3574"/>
    </row>
    <row r="45" spans="2:40" ht="15.6" x14ac:dyDescent="0.25">
      <c r="B45" s="3574" t="s">
        <v>976</v>
      </c>
      <c r="C45" s="4249"/>
      <c r="D45" s="4249"/>
      <c r="E45" s="4249"/>
      <c r="F45" s="4249"/>
      <c r="G45" s="4249"/>
      <c r="H45" s="4249"/>
      <c r="K45" s="4287" t="s">
        <v>1638</v>
      </c>
      <c r="L45" s="3585"/>
      <c r="AF45" s="3585"/>
      <c r="AN45" s="3585"/>
    </row>
    <row r="46" spans="2:40" ht="15.6" x14ac:dyDescent="0.25">
      <c r="C46" s="4249"/>
      <c r="D46" s="4249"/>
      <c r="E46" s="4249"/>
      <c r="F46" s="4249"/>
      <c r="G46" s="4249"/>
      <c r="H46" s="4249"/>
      <c r="AN46" s="3585"/>
    </row>
    <row r="47" spans="2:40" ht="18" customHeight="1" x14ac:dyDescent="0.25">
      <c r="B47" s="6403" t="s">
        <v>1317</v>
      </c>
      <c r="C47" s="6405" t="s">
        <v>1318</v>
      </c>
      <c r="D47" s="6405"/>
      <c r="E47" s="4250"/>
      <c r="F47" s="6405" t="s">
        <v>1319</v>
      </c>
      <c r="G47" s="6405"/>
      <c r="H47" s="4250"/>
      <c r="I47" s="6406" t="s">
        <v>1347</v>
      </c>
      <c r="J47" s="6406"/>
      <c r="K47" s="6406"/>
      <c r="AN47" s="3585"/>
    </row>
    <row r="48" spans="2:40" ht="18" customHeight="1" thickBot="1" x14ac:dyDescent="0.3">
      <c r="B48" s="6404"/>
      <c r="C48" s="4251" t="s">
        <v>1321</v>
      </c>
      <c r="D48" s="4252" t="s">
        <v>1322</v>
      </c>
      <c r="E48" s="4253" t="s">
        <v>48</v>
      </c>
      <c r="F48" s="4251" t="s">
        <v>1321</v>
      </c>
      <c r="G48" s="4252" t="s">
        <v>1322</v>
      </c>
      <c r="H48" s="4253" t="s">
        <v>48</v>
      </c>
      <c r="I48" s="4251" t="s">
        <v>1321</v>
      </c>
      <c r="J48" s="4252" t="s">
        <v>1322</v>
      </c>
      <c r="K48" s="4253" t="s">
        <v>48</v>
      </c>
    </row>
    <row r="49" spans="2:40" ht="18" customHeight="1" x14ac:dyDescent="0.25">
      <c r="B49" s="4257" t="s">
        <v>1342</v>
      </c>
      <c r="C49" s="4258">
        <v>17</v>
      </c>
      <c r="D49" s="4259">
        <v>7</v>
      </c>
      <c r="E49" s="4260">
        <f t="shared" ref="E49:E54" si="26">SUM(C49:D49)</f>
        <v>24</v>
      </c>
      <c r="F49" s="4258"/>
      <c r="G49" s="4259"/>
      <c r="H49" s="4261">
        <f t="shared" ref="H49:H54" si="27">SUM(F49:G49)</f>
        <v>0</v>
      </c>
      <c r="I49" s="4262">
        <f t="shared" ref="I49:J54" si="28">SUM(C49,F49)</f>
        <v>17</v>
      </c>
      <c r="J49" s="4259">
        <f t="shared" si="28"/>
        <v>7</v>
      </c>
      <c r="K49" s="4263">
        <f t="shared" ref="K49:K54" si="29">SUM(I49:J49)</f>
        <v>24</v>
      </c>
    </row>
    <row r="50" spans="2:40" ht="15" customHeight="1" x14ac:dyDescent="0.25">
      <c r="B50" s="4266" t="s">
        <v>1343</v>
      </c>
      <c r="C50" s="4267">
        <v>7</v>
      </c>
      <c r="D50" s="4268">
        <v>11</v>
      </c>
      <c r="E50" s="4269">
        <f t="shared" si="26"/>
        <v>18</v>
      </c>
      <c r="F50" s="4267">
        <v>1</v>
      </c>
      <c r="G50" s="4268">
        <v>3</v>
      </c>
      <c r="H50" s="4270">
        <f t="shared" si="27"/>
        <v>4</v>
      </c>
      <c r="I50" s="4271">
        <f t="shared" si="28"/>
        <v>8</v>
      </c>
      <c r="J50" s="4268">
        <f t="shared" si="28"/>
        <v>14</v>
      </c>
      <c r="K50" s="4272">
        <f t="shared" si="29"/>
        <v>22</v>
      </c>
    </row>
    <row r="51" spans="2:40" ht="15" customHeight="1" x14ac:dyDescent="0.25">
      <c r="B51" s="4275" t="s">
        <v>135</v>
      </c>
      <c r="C51" s="4267">
        <v>56</v>
      </c>
      <c r="D51" s="4268">
        <v>47</v>
      </c>
      <c r="E51" s="4269">
        <f t="shared" si="26"/>
        <v>103</v>
      </c>
      <c r="F51" s="4267">
        <v>1</v>
      </c>
      <c r="G51" s="4268">
        <v>5</v>
      </c>
      <c r="H51" s="4270">
        <f t="shared" si="27"/>
        <v>6</v>
      </c>
      <c r="I51" s="4271">
        <f t="shared" si="28"/>
        <v>57</v>
      </c>
      <c r="J51" s="4268">
        <f t="shared" si="28"/>
        <v>52</v>
      </c>
      <c r="K51" s="4272">
        <f t="shared" si="29"/>
        <v>109</v>
      </c>
    </row>
    <row r="52" spans="2:40" ht="15" customHeight="1" x14ac:dyDescent="0.25">
      <c r="B52" s="4278" t="s">
        <v>136</v>
      </c>
      <c r="C52" s="4267">
        <v>13</v>
      </c>
      <c r="D52" s="4268">
        <v>7</v>
      </c>
      <c r="E52" s="4269">
        <f t="shared" si="26"/>
        <v>20</v>
      </c>
      <c r="F52" s="4267"/>
      <c r="G52" s="4268"/>
      <c r="H52" s="4270">
        <f t="shared" si="27"/>
        <v>0</v>
      </c>
      <c r="I52" s="4271">
        <f t="shared" si="28"/>
        <v>13</v>
      </c>
      <c r="J52" s="4268">
        <f t="shared" si="28"/>
        <v>7</v>
      </c>
      <c r="K52" s="4272">
        <f t="shared" si="29"/>
        <v>20</v>
      </c>
    </row>
    <row r="53" spans="2:40" s="3585" customFormat="1" ht="15" customHeight="1" x14ac:dyDescent="0.25">
      <c r="B53" s="4279" t="s">
        <v>137</v>
      </c>
      <c r="C53" s="4267">
        <v>42</v>
      </c>
      <c r="D53" s="4268">
        <v>31</v>
      </c>
      <c r="E53" s="4269">
        <f t="shared" si="26"/>
        <v>73</v>
      </c>
      <c r="F53" s="4267">
        <v>2</v>
      </c>
      <c r="G53" s="4268">
        <v>28</v>
      </c>
      <c r="H53" s="4270">
        <f t="shared" si="27"/>
        <v>30</v>
      </c>
      <c r="I53" s="4271">
        <f t="shared" si="28"/>
        <v>44</v>
      </c>
      <c r="J53" s="4268">
        <f t="shared" si="28"/>
        <v>59</v>
      </c>
      <c r="K53" s="4272">
        <f t="shared" si="29"/>
        <v>103</v>
      </c>
      <c r="L53" s="3574"/>
      <c r="M53" s="3574"/>
      <c r="N53" s="3574"/>
      <c r="O53" s="3574"/>
      <c r="P53" s="3574"/>
      <c r="Q53" s="3574"/>
      <c r="R53" s="3574"/>
      <c r="S53" s="3574"/>
      <c r="T53" s="3574"/>
      <c r="U53" s="3574"/>
      <c r="V53" s="3574"/>
      <c r="W53" s="3574"/>
      <c r="X53" s="3574"/>
      <c r="Y53" s="3574"/>
      <c r="Z53" s="3574"/>
      <c r="AA53" s="3574"/>
      <c r="AB53" s="3574"/>
      <c r="AC53" s="3574"/>
      <c r="AD53" s="3574"/>
      <c r="AE53" s="3574"/>
      <c r="AF53" s="3574"/>
      <c r="AG53" s="3574"/>
      <c r="AH53" s="3574"/>
      <c r="AI53" s="3574"/>
      <c r="AJ53" s="3574"/>
      <c r="AK53" s="3574"/>
      <c r="AL53" s="3574"/>
      <c r="AM53" s="3574"/>
      <c r="AN53" s="3574"/>
    </row>
    <row r="54" spans="2:40" s="3585" customFormat="1" ht="15" customHeight="1" x14ac:dyDescent="0.25">
      <c r="B54" s="4280" t="s">
        <v>1277</v>
      </c>
      <c r="C54" s="4267">
        <v>6</v>
      </c>
      <c r="D54" s="4268">
        <v>65</v>
      </c>
      <c r="E54" s="4269">
        <f t="shared" si="26"/>
        <v>71</v>
      </c>
      <c r="F54" s="4267"/>
      <c r="G54" s="4268">
        <v>99</v>
      </c>
      <c r="H54" s="4270">
        <f t="shared" si="27"/>
        <v>99</v>
      </c>
      <c r="I54" s="4271">
        <f t="shared" si="28"/>
        <v>6</v>
      </c>
      <c r="J54" s="4268">
        <f t="shared" si="28"/>
        <v>164</v>
      </c>
      <c r="K54" s="4272">
        <f t="shared" si="29"/>
        <v>170</v>
      </c>
      <c r="M54" s="3574"/>
      <c r="N54" s="3574"/>
      <c r="O54" s="3574"/>
      <c r="P54" s="3574"/>
      <c r="Q54" s="3574"/>
      <c r="R54" s="3574"/>
      <c r="S54" s="3574"/>
      <c r="T54" s="3574"/>
      <c r="U54" s="3574"/>
      <c r="V54" s="3574"/>
      <c r="W54" s="3574"/>
      <c r="X54" s="3574"/>
      <c r="Y54" s="3574"/>
      <c r="Z54" s="3574"/>
      <c r="AA54" s="3574"/>
      <c r="AB54" s="3574"/>
      <c r="AC54" s="3574"/>
      <c r="AD54" s="3574"/>
      <c r="AE54" s="3574"/>
      <c r="AF54" s="3574"/>
      <c r="AG54" s="3574"/>
      <c r="AH54" s="3574"/>
      <c r="AI54" s="3574"/>
      <c r="AJ54" s="3574"/>
      <c r="AK54" s="3574"/>
      <c r="AL54" s="3574"/>
      <c r="AM54" s="3574"/>
      <c r="AN54" s="3574"/>
    </row>
    <row r="55" spans="2:40" s="3585" customFormat="1" ht="15" customHeight="1" x14ac:dyDescent="0.25">
      <c r="B55" s="4281" t="s">
        <v>1344</v>
      </c>
      <c r="C55" s="4282">
        <f t="shared" ref="C55:K55" si="30">SUM(C49:C54)</f>
        <v>141</v>
      </c>
      <c r="D55" s="4283">
        <f t="shared" si="30"/>
        <v>168</v>
      </c>
      <c r="E55" s="4284">
        <f t="shared" si="30"/>
        <v>309</v>
      </c>
      <c r="F55" s="4282">
        <f t="shared" si="30"/>
        <v>4</v>
      </c>
      <c r="G55" s="4283">
        <f t="shared" si="30"/>
        <v>135</v>
      </c>
      <c r="H55" s="4285">
        <f t="shared" si="30"/>
        <v>139</v>
      </c>
      <c r="I55" s="4286">
        <f t="shared" si="30"/>
        <v>145</v>
      </c>
      <c r="J55" s="4283">
        <f t="shared" si="30"/>
        <v>303</v>
      </c>
      <c r="K55" s="4284">
        <f t="shared" si="30"/>
        <v>448</v>
      </c>
      <c r="M55" s="3574"/>
      <c r="N55" s="3574"/>
      <c r="O55" s="3574"/>
      <c r="P55" s="3574"/>
      <c r="Q55" s="3574"/>
      <c r="R55" s="3574"/>
      <c r="S55" s="3574"/>
      <c r="T55" s="3574"/>
      <c r="U55" s="3574"/>
      <c r="V55" s="3574"/>
      <c r="W55" s="3574"/>
      <c r="X55" s="3574"/>
      <c r="Y55" s="3574"/>
      <c r="Z55" s="3574"/>
      <c r="AD55" s="3574"/>
      <c r="AE55" s="3574"/>
      <c r="AF55" s="3574"/>
      <c r="AG55" s="3574"/>
      <c r="AH55" s="3574"/>
      <c r="AI55" s="3574"/>
      <c r="AJ55" s="3574"/>
      <c r="AK55" s="3574"/>
      <c r="AL55" s="3574"/>
      <c r="AM55" s="3574"/>
      <c r="AN55" s="3574"/>
    </row>
    <row r="56" spans="2:40" s="3585" customFormat="1" ht="15.6" x14ac:dyDescent="0.25">
      <c r="B56" s="3574"/>
      <c r="C56" s="4249"/>
      <c r="D56" s="4249"/>
      <c r="E56" s="4249"/>
      <c r="F56" s="4249"/>
      <c r="G56" s="4249"/>
      <c r="H56" s="4249"/>
      <c r="I56" s="3574"/>
      <c r="J56" s="3574"/>
      <c r="K56" s="4287" t="s">
        <v>1638</v>
      </c>
      <c r="M56" s="3574"/>
      <c r="N56" s="3574"/>
      <c r="O56" s="3574"/>
      <c r="P56" s="3574"/>
      <c r="Q56" s="3574"/>
      <c r="R56" s="3574"/>
      <c r="S56" s="3574"/>
      <c r="T56" s="3574"/>
      <c r="U56" s="3574"/>
      <c r="V56" s="3574"/>
      <c r="W56" s="3574"/>
      <c r="X56" s="3574"/>
      <c r="Y56" s="3574"/>
      <c r="Z56" s="3574"/>
      <c r="AD56" s="3574"/>
      <c r="AE56" s="3574"/>
      <c r="AF56" s="3574"/>
      <c r="AG56" s="3574"/>
      <c r="AH56" s="3574"/>
      <c r="AI56" s="3574"/>
      <c r="AJ56" s="3574"/>
      <c r="AK56" s="3574"/>
      <c r="AL56" s="3574"/>
      <c r="AM56" s="3574"/>
      <c r="AN56" s="3574"/>
    </row>
    <row r="57" spans="2:40" s="3585" customFormat="1" ht="20.100000000000001" customHeight="1" x14ac:dyDescent="0.25">
      <c r="B57" s="3574"/>
      <c r="C57" s="3574"/>
      <c r="D57" s="3574"/>
      <c r="E57" s="3574"/>
      <c r="F57" s="3574"/>
      <c r="G57" s="3574"/>
      <c r="H57" s="3574"/>
      <c r="I57" s="3574"/>
      <c r="J57" s="3574"/>
      <c r="K57" s="3574"/>
      <c r="M57" s="4254" t="s">
        <v>1353</v>
      </c>
      <c r="N57" s="4254" t="s">
        <v>1324</v>
      </c>
      <c r="O57" s="4254" t="s">
        <v>1325</v>
      </c>
      <c r="P57" s="4254" t="s">
        <v>1326</v>
      </c>
      <c r="Q57" s="4254" t="s">
        <v>1327</v>
      </c>
      <c r="R57" s="4254" t="s">
        <v>1328</v>
      </c>
      <c r="S57" s="4254" t="s">
        <v>1329</v>
      </c>
      <c r="T57" s="4254" t="s">
        <v>1330</v>
      </c>
      <c r="U57" s="4254" t="s">
        <v>1331</v>
      </c>
      <c r="V57" s="4254" t="s">
        <v>1332</v>
      </c>
      <c r="W57" s="4254" t="s">
        <v>1333</v>
      </c>
      <c r="X57" s="4254" t="s">
        <v>1334</v>
      </c>
      <c r="Y57" s="4254" t="s">
        <v>1335</v>
      </c>
      <c r="Z57" s="4254" t="s">
        <v>1336</v>
      </c>
      <c r="AA57" s="4254" t="s">
        <v>1337</v>
      </c>
      <c r="AB57" s="4254" t="s">
        <v>1338</v>
      </c>
      <c r="AC57" s="4254" t="s">
        <v>1339</v>
      </c>
      <c r="AD57" s="4254" t="s">
        <v>1340</v>
      </c>
      <c r="AE57" s="4256" t="s">
        <v>1341</v>
      </c>
      <c r="AF57" s="4256">
        <v>2021</v>
      </c>
      <c r="AG57" s="4256">
        <v>2022</v>
      </c>
      <c r="AH57" s="3574"/>
      <c r="AI57" s="3574"/>
      <c r="AJ57" s="3574"/>
      <c r="AK57" s="3574"/>
      <c r="AL57" s="3574"/>
      <c r="AM57" s="3574"/>
      <c r="AN57" s="3574"/>
    </row>
    <row r="58" spans="2:40" ht="14.4" x14ac:dyDescent="0.25">
      <c r="B58" s="6403" t="s">
        <v>1317</v>
      </c>
      <c r="C58" s="6405" t="s">
        <v>1318</v>
      </c>
      <c r="D58" s="6405"/>
      <c r="E58" s="4250"/>
      <c r="F58" s="6405" t="s">
        <v>1319</v>
      </c>
      <c r="G58" s="6405"/>
      <c r="H58" s="4250"/>
      <c r="I58" s="6406" t="s">
        <v>1348</v>
      </c>
      <c r="J58" s="6406"/>
      <c r="K58" s="6406"/>
      <c r="L58" s="3585"/>
      <c r="M58" s="4264" t="s">
        <v>1356</v>
      </c>
      <c r="N58" s="4264">
        <v>367</v>
      </c>
      <c r="O58" s="4264">
        <v>291</v>
      </c>
      <c r="P58" s="4264">
        <v>302</v>
      </c>
      <c r="Q58" s="4264">
        <v>395</v>
      </c>
      <c r="R58" s="4264">
        <v>377</v>
      </c>
      <c r="S58" s="4264">
        <v>606</v>
      </c>
      <c r="T58" s="4264">
        <v>320</v>
      </c>
      <c r="U58" s="4264">
        <v>304</v>
      </c>
      <c r="V58" s="4264">
        <v>405</v>
      </c>
      <c r="W58" s="4264">
        <v>698</v>
      </c>
      <c r="X58" s="4264">
        <v>344</v>
      </c>
      <c r="Y58" s="4264">
        <v>594</v>
      </c>
      <c r="Z58" s="4264">
        <v>693</v>
      </c>
      <c r="AA58" s="4264">
        <v>763</v>
      </c>
      <c r="AB58" s="4264">
        <v>370</v>
      </c>
      <c r="AC58" s="4264">
        <f>+E55</f>
        <v>309</v>
      </c>
      <c r="AD58" s="4264">
        <v>267</v>
      </c>
      <c r="AE58" s="4265">
        <v>208</v>
      </c>
      <c r="AF58" s="4265">
        <v>200</v>
      </c>
      <c r="AG58" s="4265">
        <v>244</v>
      </c>
    </row>
    <row r="59" spans="2:40" ht="15" thickBot="1" x14ac:dyDescent="0.3">
      <c r="B59" s="6404"/>
      <c r="C59" s="4251" t="s">
        <v>1349</v>
      </c>
      <c r="D59" s="4252" t="s">
        <v>1350</v>
      </c>
      <c r="E59" s="4253" t="s">
        <v>279</v>
      </c>
      <c r="F59" s="4251" t="s">
        <v>1349</v>
      </c>
      <c r="G59" s="4252" t="s">
        <v>1350</v>
      </c>
      <c r="H59" s="4253" t="s">
        <v>279</v>
      </c>
      <c r="I59" s="4251" t="s">
        <v>1321</v>
      </c>
      <c r="J59" s="4252" t="s">
        <v>1322</v>
      </c>
      <c r="K59" s="4253" t="s">
        <v>48</v>
      </c>
      <c r="M59" s="4273" t="s">
        <v>1357</v>
      </c>
      <c r="N59" s="4273">
        <v>45</v>
      </c>
      <c r="O59" s="4273">
        <v>57</v>
      </c>
      <c r="P59" s="4273">
        <v>56</v>
      </c>
      <c r="Q59" s="4273">
        <v>46</v>
      </c>
      <c r="R59" s="4273">
        <v>56</v>
      </c>
      <c r="S59" s="4273">
        <v>30</v>
      </c>
      <c r="T59" s="4273">
        <v>46</v>
      </c>
      <c r="U59" s="4273">
        <v>37</v>
      </c>
      <c r="V59" s="4273">
        <v>69</v>
      </c>
      <c r="W59" s="4273">
        <v>115</v>
      </c>
      <c r="X59" s="4273">
        <v>53</v>
      </c>
      <c r="Y59" s="4273">
        <v>61</v>
      </c>
      <c r="Z59" s="4273">
        <v>86</v>
      </c>
      <c r="AA59" s="4273">
        <v>79</v>
      </c>
      <c r="AB59" s="4273">
        <v>61</v>
      </c>
      <c r="AC59" s="4273">
        <f>+H55</f>
        <v>139</v>
      </c>
      <c r="AD59" s="4273">
        <v>92</v>
      </c>
      <c r="AE59" s="4274">
        <v>46</v>
      </c>
      <c r="AF59" s="4274">
        <v>43</v>
      </c>
      <c r="AG59" s="4274">
        <v>109</v>
      </c>
    </row>
    <row r="60" spans="2:40" ht="17.100000000000001" customHeight="1" x14ac:dyDescent="0.25">
      <c r="B60" s="4257" t="s">
        <v>1342</v>
      </c>
      <c r="C60" s="4258">
        <v>24</v>
      </c>
      <c r="D60" s="4259">
        <v>19</v>
      </c>
      <c r="E60" s="4260">
        <f t="shared" ref="E60:E65" si="31">SUM(C60:D60)</f>
        <v>43</v>
      </c>
      <c r="F60" s="4258">
        <v>2</v>
      </c>
      <c r="G60" s="4259" t="s">
        <v>1351</v>
      </c>
      <c r="H60" s="4261">
        <f t="shared" ref="H60:H65" si="32">SUM(F60:G60)</f>
        <v>2</v>
      </c>
      <c r="I60" s="4262">
        <f t="shared" ref="I60:J65" si="33">SUM(C60,F60)</f>
        <v>26</v>
      </c>
      <c r="J60" s="4259">
        <f t="shared" si="33"/>
        <v>19</v>
      </c>
      <c r="K60" s="4263">
        <f t="shared" ref="K60:K65" si="34">SUM(I60:J60)</f>
        <v>45</v>
      </c>
      <c r="M60" s="4538" t="s">
        <v>431</v>
      </c>
      <c r="N60" s="4538">
        <f>SUM(N58:N59)</f>
        <v>412</v>
      </c>
      <c r="O60" s="4538">
        <f t="shared" ref="O60:Z60" si="35">SUM(O58:O59)</f>
        <v>348</v>
      </c>
      <c r="P60" s="4538">
        <f t="shared" si="35"/>
        <v>358</v>
      </c>
      <c r="Q60" s="4538">
        <f t="shared" si="35"/>
        <v>441</v>
      </c>
      <c r="R60" s="4538">
        <f t="shared" si="35"/>
        <v>433</v>
      </c>
      <c r="S60" s="4538">
        <f t="shared" si="35"/>
        <v>636</v>
      </c>
      <c r="T60" s="4538">
        <f t="shared" si="35"/>
        <v>366</v>
      </c>
      <c r="U60" s="4538">
        <f t="shared" si="35"/>
        <v>341</v>
      </c>
      <c r="V60" s="4538">
        <f t="shared" si="35"/>
        <v>474</v>
      </c>
      <c r="W60" s="4538">
        <f t="shared" si="35"/>
        <v>813</v>
      </c>
      <c r="X60" s="4538">
        <f t="shared" si="35"/>
        <v>397</v>
      </c>
      <c r="Y60" s="4538">
        <f t="shared" si="35"/>
        <v>655</v>
      </c>
      <c r="Z60" s="4538">
        <f t="shared" si="35"/>
        <v>779</v>
      </c>
      <c r="AA60" s="4538">
        <f t="shared" ref="AA60:AF60" si="36">SUM(AA58:AA59)</f>
        <v>842</v>
      </c>
      <c r="AB60" s="4538">
        <f t="shared" si="36"/>
        <v>431</v>
      </c>
      <c r="AC60" s="4538">
        <f t="shared" si="36"/>
        <v>448</v>
      </c>
      <c r="AD60" s="4538">
        <f t="shared" si="36"/>
        <v>359</v>
      </c>
      <c r="AE60" s="4538">
        <f t="shared" si="36"/>
        <v>254</v>
      </c>
      <c r="AF60" s="4538">
        <f t="shared" si="36"/>
        <v>243</v>
      </c>
      <c r="AG60" s="4538">
        <f>SUM(AG58:AG59)</f>
        <v>353</v>
      </c>
    </row>
    <row r="61" spans="2:40" ht="17.100000000000001" customHeight="1" x14ac:dyDescent="0.25">
      <c r="B61" s="4266" t="s">
        <v>1343</v>
      </c>
      <c r="C61" s="4267">
        <v>49</v>
      </c>
      <c r="D61" s="4268">
        <v>8</v>
      </c>
      <c r="E61" s="4269">
        <f t="shared" si="31"/>
        <v>57</v>
      </c>
      <c r="F61" s="4267" t="s">
        <v>1351</v>
      </c>
      <c r="G61" s="4268" t="s">
        <v>1351</v>
      </c>
      <c r="H61" s="4270">
        <f t="shared" si="32"/>
        <v>0</v>
      </c>
      <c r="I61" s="4271">
        <f t="shared" si="33"/>
        <v>49</v>
      </c>
      <c r="J61" s="4268">
        <f t="shared" si="33"/>
        <v>8</v>
      </c>
      <c r="K61" s="4272">
        <f t="shared" si="34"/>
        <v>57</v>
      </c>
    </row>
    <row r="62" spans="2:40" ht="17.100000000000001" customHeight="1" x14ac:dyDescent="0.25">
      <c r="B62" s="4275" t="s">
        <v>135</v>
      </c>
      <c r="C62" s="4267">
        <v>55</v>
      </c>
      <c r="D62" s="4268">
        <v>41</v>
      </c>
      <c r="E62" s="4269">
        <f t="shared" si="31"/>
        <v>96</v>
      </c>
      <c r="F62" s="4267">
        <v>2</v>
      </c>
      <c r="G62" s="4268">
        <v>5</v>
      </c>
      <c r="H62" s="4270">
        <f t="shared" si="32"/>
        <v>7</v>
      </c>
      <c r="I62" s="4271">
        <f t="shared" si="33"/>
        <v>57</v>
      </c>
      <c r="J62" s="4268">
        <f t="shared" si="33"/>
        <v>46</v>
      </c>
      <c r="K62" s="4272">
        <f t="shared" si="34"/>
        <v>103</v>
      </c>
    </row>
    <row r="63" spans="2:40" ht="17.100000000000001" customHeight="1" x14ac:dyDescent="0.25">
      <c r="B63" s="4278" t="s">
        <v>136</v>
      </c>
      <c r="C63" s="4267">
        <v>11</v>
      </c>
      <c r="D63" s="4268">
        <v>12</v>
      </c>
      <c r="E63" s="4269">
        <f t="shared" si="31"/>
        <v>23</v>
      </c>
      <c r="F63" s="4267" t="s">
        <v>1351</v>
      </c>
      <c r="G63" s="4268" t="s">
        <v>1351</v>
      </c>
      <c r="H63" s="4270">
        <f t="shared" si="32"/>
        <v>0</v>
      </c>
      <c r="I63" s="4271">
        <f t="shared" si="33"/>
        <v>11</v>
      </c>
      <c r="J63" s="4268">
        <f t="shared" si="33"/>
        <v>12</v>
      </c>
      <c r="K63" s="4272">
        <f t="shared" si="34"/>
        <v>23</v>
      </c>
    </row>
    <row r="64" spans="2:40" ht="17.100000000000001" customHeight="1" x14ac:dyDescent="0.25">
      <c r="B64" s="4279" t="s">
        <v>137</v>
      </c>
      <c r="C64" s="4267">
        <v>51</v>
      </c>
      <c r="D64" s="4268">
        <v>60</v>
      </c>
      <c r="E64" s="4269">
        <f t="shared" si="31"/>
        <v>111</v>
      </c>
      <c r="F64" s="4267">
        <v>3</v>
      </c>
      <c r="G64" s="4268">
        <v>23</v>
      </c>
      <c r="H64" s="4270">
        <f t="shared" si="32"/>
        <v>26</v>
      </c>
      <c r="I64" s="4271">
        <f t="shared" si="33"/>
        <v>54</v>
      </c>
      <c r="J64" s="4268">
        <f t="shared" si="33"/>
        <v>83</v>
      </c>
      <c r="K64" s="4272">
        <f t="shared" si="34"/>
        <v>137</v>
      </c>
    </row>
    <row r="65" spans="2:30" ht="17.100000000000001" customHeight="1" x14ac:dyDescent="0.25">
      <c r="B65" s="4280" t="s">
        <v>1277</v>
      </c>
      <c r="C65" s="4267">
        <v>3</v>
      </c>
      <c r="D65" s="4268">
        <v>37</v>
      </c>
      <c r="E65" s="4269">
        <f t="shared" si="31"/>
        <v>40</v>
      </c>
      <c r="F65" s="4267" t="s">
        <v>1351</v>
      </c>
      <c r="G65" s="4268">
        <v>26</v>
      </c>
      <c r="H65" s="4270">
        <f t="shared" si="32"/>
        <v>26</v>
      </c>
      <c r="I65" s="4271">
        <f t="shared" si="33"/>
        <v>3</v>
      </c>
      <c r="J65" s="4268">
        <f t="shared" si="33"/>
        <v>63</v>
      </c>
      <c r="K65" s="4272">
        <f t="shared" si="34"/>
        <v>66</v>
      </c>
    </row>
    <row r="66" spans="2:30" ht="17.100000000000001" customHeight="1" x14ac:dyDescent="0.25">
      <c r="B66" s="4281" t="s">
        <v>1344</v>
      </c>
      <c r="C66" s="4282">
        <f t="shared" ref="C66:H66" si="37">SUM(C60:C65)</f>
        <v>193</v>
      </c>
      <c r="D66" s="4283">
        <f t="shared" si="37"/>
        <v>177</v>
      </c>
      <c r="E66" s="4284">
        <f t="shared" si="37"/>
        <v>370</v>
      </c>
      <c r="F66" s="4282">
        <f t="shared" si="37"/>
        <v>7</v>
      </c>
      <c r="G66" s="4283">
        <f t="shared" si="37"/>
        <v>54</v>
      </c>
      <c r="H66" s="4285">
        <f t="shared" si="37"/>
        <v>61</v>
      </c>
      <c r="I66" s="4286">
        <f>SUM(I60:I65)</f>
        <v>200</v>
      </c>
      <c r="J66" s="4283">
        <f>SUM(J60:J65)</f>
        <v>231</v>
      </c>
      <c r="K66" s="4284">
        <f>SUM(K60:K65)</f>
        <v>431</v>
      </c>
    </row>
    <row r="67" spans="2:30" ht="22.5" customHeight="1" x14ac:dyDescent="0.25">
      <c r="B67" s="3424"/>
      <c r="C67" s="3424"/>
      <c r="D67" s="3424"/>
      <c r="E67" s="3424"/>
      <c r="F67" s="3424"/>
      <c r="G67" s="3424"/>
      <c r="H67" s="3424"/>
      <c r="I67" s="3585"/>
      <c r="J67" s="3585"/>
      <c r="K67" s="4289" t="s">
        <v>1352</v>
      </c>
    </row>
    <row r="68" spans="2:30" ht="17.100000000000001" customHeight="1" x14ac:dyDescent="0.25"/>
    <row r="69" spans="2:30" ht="14.4" x14ac:dyDescent="0.25">
      <c r="B69" s="6403" t="s">
        <v>1354</v>
      </c>
      <c r="C69" s="6405" t="s">
        <v>1318</v>
      </c>
      <c r="D69" s="6405"/>
      <c r="E69" s="4250"/>
      <c r="F69" s="6405" t="s">
        <v>1319</v>
      </c>
      <c r="G69" s="6405"/>
      <c r="H69" s="4250"/>
      <c r="I69" s="6406" t="s">
        <v>1355</v>
      </c>
      <c r="J69" s="6406"/>
      <c r="K69" s="6406"/>
    </row>
    <row r="70" spans="2:30" ht="21.75" customHeight="1" thickBot="1" x14ac:dyDescent="0.3">
      <c r="B70" s="6404"/>
      <c r="C70" s="4251" t="s">
        <v>1349</v>
      </c>
      <c r="D70" s="4252" t="s">
        <v>1350</v>
      </c>
      <c r="E70" s="4253" t="s">
        <v>279</v>
      </c>
      <c r="F70" s="4251" t="s">
        <v>1349</v>
      </c>
      <c r="G70" s="4252" t="s">
        <v>1350</v>
      </c>
      <c r="H70" s="4253" t="s">
        <v>279</v>
      </c>
      <c r="I70" s="4251" t="s">
        <v>1321</v>
      </c>
      <c r="J70" s="4252" t="s">
        <v>1322</v>
      </c>
      <c r="K70" s="4253" t="s">
        <v>48</v>
      </c>
    </row>
    <row r="71" spans="2:30" ht="25.5" customHeight="1" x14ac:dyDescent="0.25">
      <c r="B71" s="4257" t="s">
        <v>1342</v>
      </c>
      <c r="C71" s="4258">
        <v>131</v>
      </c>
      <c r="D71" s="4259">
        <v>6</v>
      </c>
      <c r="E71" s="4260">
        <f t="shared" ref="E71:E76" si="38">SUM(C71:D71)</f>
        <v>137</v>
      </c>
      <c r="F71" s="4258">
        <v>1</v>
      </c>
      <c r="G71" s="4259">
        <v>0</v>
      </c>
      <c r="H71" s="4261">
        <f t="shared" ref="H71:H76" si="39">SUM(F71:G71)</f>
        <v>1</v>
      </c>
      <c r="I71" s="4262">
        <f t="shared" ref="I71:J76" si="40">SUM(C71,F71)</f>
        <v>132</v>
      </c>
      <c r="J71" s="4259">
        <f t="shared" si="40"/>
        <v>6</v>
      </c>
      <c r="K71" s="4263">
        <f t="shared" ref="K71:K76" si="41">SUM(I71:J71)</f>
        <v>138</v>
      </c>
      <c r="AD71" s="3585"/>
    </row>
    <row r="72" spans="2:30" ht="14.4" x14ac:dyDescent="0.25">
      <c r="B72" s="4266" t="s">
        <v>1343</v>
      </c>
      <c r="C72" s="4267">
        <v>58</v>
      </c>
      <c r="D72" s="4268">
        <v>14</v>
      </c>
      <c r="E72" s="4269">
        <f t="shared" si="38"/>
        <v>72</v>
      </c>
      <c r="F72" s="4267">
        <v>0</v>
      </c>
      <c r="G72" s="4268">
        <v>2</v>
      </c>
      <c r="H72" s="4270">
        <f t="shared" si="39"/>
        <v>2</v>
      </c>
      <c r="I72" s="4271">
        <f t="shared" si="40"/>
        <v>58</v>
      </c>
      <c r="J72" s="4268">
        <f t="shared" si="40"/>
        <v>16</v>
      </c>
      <c r="K72" s="4272">
        <f t="shared" si="41"/>
        <v>74</v>
      </c>
      <c r="AD72" s="3585"/>
    </row>
    <row r="73" spans="2:30" ht="14.4" x14ac:dyDescent="0.25">
      <c r="B73" s="4275" t="s">
        <v>135</v>
      </c>
      <c r="C73" s="4267">
        <v>256</v>
      </c>
      <c r="D73" s="4268">
        <v>23</v>
      </c>
      <c r="E73" s="4269">
        <f t="shared" si="38"/>
        <v>279</v>
      </c>
      <c r="F73" s="4267">
        <v>5</v>
      </c>
      <c r="G73" s="4268">
        <v>4</v>
      </c>
      <c r="H73" s="4270">
        <f t="shared" si="39"/>
        <v>9</v>
      </c>
      <c r="I73" s="4271">
        <f t="shared" si="40"/>
        <v>261</v>
      </c>
      <c r="J73" s="4268">
        <f t="shared" si="40"/>
        <v>27</v>
      </c>
      <c r="K73" s="4272">
        <f t="shared" si="41"/>
        <v>288</v>
      </c>
      <c r="AD73" s="3585"/>
    </row>
    <row r="74" spans="2:30" ht="17.100000000000001" customHeight="1" x14ac:dyDescent="0.25">
      <c r="B74" s="4278" t="s">
        <v>136</v>
      </c>
      <c r="C74" s="4267">
        <v>23</v>
      </c>
      <c r="D74" s="4268">
        <v>4</v>
      </c>
      <c r="E74" s="4269">
        <f t="shared" si="38"/>
        <v>27</v>
      </c>
      <c r="F74" s="4267">
        <v>0</v>
      </c>
      <c r="G74" s="4268">
        <v>0</v>
      </c>
      <c r="H74" s="4270">
        <f t="shared" si="39"/>
        <v>0</v>
      </c>
      <c r="I74" s="4271">
        <f t="shared" si="40"/>
        <v>23</v>
      </c>
      <c r="J74" s="4268">
        <f t="shared" si="40"/>
        <v>4</v>
      </c>
      <c r="K74" s="4272">
        <f t="shared" si="41"/>
        <v>27</v>
      </c>
      <c r="L74" s="4291"/>
      <c r="AD74" s="3585"/>
    </row>
    <row r="75" spans="2:30" ht="17.100000000000001" customHeight="1" x14ac:dyDescent="0.25">
      <c r="B75" s="4279" t="s">
        <v>137</v>
      </c>
      <c r="C75" s="4267">
        <v>142</v>
      </c>
      <c r="D75" s="4268">
        <v>64</v>
      </c>
      <c r="E75" s="4269">
        <f t="shared" si="38"/>
        <v>206</v>
      </c>
      <c r="F75" s="4267">
        <v>1</v>
      </c>
      <c r="G75" s="4268">
        <v>19</v>
      </c>
      <c r="H75" s="4270">
        <f t="shared" si="39"/>
        <v>20</v>
      </c>
      <c r="I75" s="4271">
        <f t="shared" si="40"/>
        <v>143</v>
      </c>
      <c r="J75" s="4268">
        <f t="shared" si="40"/>
        <v>83</v>
      </c>
      <c r="K75" s="4272">
        <f t="shared" si="41"/>
        <v>226</v>
      </c>
      <c r="L75" s="4291"/>
      <c r="AD75" s="3585"/>
    </row>
    <row r="76" spans="2:30" ht="17.100000000000001" customHeight="1" x14ac:dyDescent="0.25">
      <c r="B76" s="4280" t="s">
        <v>1277</v>
      </c>
      <c r="C76" s="4267">
        <v>2</v>
      </c>
      <c r="D76" s="4268">
        <v>40</v>
      </c>
      <c r="E76" s="4269">
        <f t="shared" si="38"/>
        <v>42</v>
      </c>
      <c r="F76" s="4267">
        <v>0</v>
      </c>
      <c r="G76" s="4268">
        <v>47</v>
      </c>
      <c r="H76" s="4270">
        <f t="shared" si="39"/>
        <v>47</v>
      </c>
      <c r="I76" s="4271">
        <f t="shared" si="40"/>
        <v>2</v>
      </c>
      <c r="J76" s="4268">
        <f t="shared" si="40"/>
        <v>87</v>
      </c>
      <c r="K76" s="4272">
        <f t="shared" si="41"/>
        <v>89</v>
      </c>
      <c r="L76" s="4291"/>
    </row>
    <row r="77" spans="2:30" ht="17.100000000000001" customHeight="1" x14ac:dyDescent="0.25">
      <c r="B77" s="4281" t="s">
        <v>1358</v>
      </c>
      <c r="C77" s="4282">
        <f t="shared" ref="C77:K77" si="42">SUM(C71:C76)</f>
        <v>612</v>
      </c>
      <c r="D77" s="4283">
        <f t="shared" si="42"/>
        <v>151</v>
      </c>
      <c r="E77" s="4284">
        <f t="shared" si="42"/>
        <v>763</v>
      </c>
      <c r="F77" s="4282">
        <f t="shared" si="42"/>
        <v>7</v>
      </c>
      <c r="G77" s="4283">
        <f t="shared" si="42"/>
        <v>72</v>
      </c>
      <c r="H77" s="4285">
        <f t="shared" si="42"/>
        <v>79</v>
      </c>
      <c r="I77" s="4286">
        <f t="shared" si="42"/>
        <v>619</v>
      </c>
      <c r="J77" s="4283">
        <f t="shared" si="42"/>
        <v>223</v>
      </c>
      <c r="K77" s="4284">
        <f t="shared" si="42"/>
        <v>842</v>
      </c>
      <c r="L77" s="4291"/>
    </row>
    <row r="78" spans="2:30" ht="17.100000000000001" customHeight="1" x14ac:dyDescent="0.25">
      <c r="B78" s="4290" t="s">
        <v>1359</v>
      </c>
      <c r="C78" s="3424"/>
      <c r="D78" s="3424"/>
      <c r="E78" s="3424"/>
      <c r="F78" s="3424"/>
      <c r="G78" s="3424"/>
      <c r="H78" s="3424"/>
      <c r="I78" s="3424"/>
      <c r="L78" s="4291"/>
    </row>
    <row r="79" spans="2:30" ht="17.100000000000001" customHeight="1" x14ac:dyDescent="0.25">
      <c r="B79" s="6407" t="s">
        <v>1360</v>
      </c>
      <c r="C79" s="6407"/>
      <c r="D79" s="6407"/>
      <c r="E79" s="6407"/>
      <c r="F79" s="6407"/>
      <c r="G79" s="6407"/>
      <c r="H79" s="6407"/>
      <c r="I79" s="6407"/>
      <c r="J79" s="6407"/>
      <c r="K79" s="6407"/>
      <c r="L79" s="4291"/>
    </row>
    <row r="80" spans="2:30" ht="17.100000000000001" customHeight="1" x14ac:dyDescent="0.25">
      <c r="L80" s="4086"/>
    </row>
    <row r="81" spans="2:39" ht="17.100000000000001" customHeight="1" x14ac:dyDescent="0.25">
      <c r="B81" s="6403" t="s">
        <v>27</v>
      </c>
      <c r="C81" s="6405" t="s">
        <v>1361</v>
      </c>
      <c r="D81" s="6405"/>
      <c r="E81" s="4250"/>
      <c r="F81" s="6405" t="s">
        <v>1362</v>
      </c>
      <c r="G81" s="6405"/>
      <c r="H81" s="4250"/>
      <c r="I81" s="6406" t="s">
        <v>1363</v>
      </c>
      <c r="J81" s="6406"/>
      <c r="K81" s="6406"/>
      <c r="AE81" s="3585"/>
    </row>
    <row r="82" spans="2:39" ht="17.100000000000001" customHeight="1" thickBot="1" x14ac:dyDescent="0.3">
      <c r="B82" s="6404"/>
      <c r="C82" s="4251" t="s">
        <v>1321</v>
      </c>
      <c r="D82" s="4252" t="s">
        <v>1322</v>
      </c>
      <c r="E82" s="4253" t="s">
        <v>48</v>
      </c>
      <c r="F82" s="4251" t="s">
        <v>1321</v>
      </c>
      <c r="G82" s="4252" t="s">
        <v>1322</v>
      </c>
      <c r="H82" s="4253" t="s">
        <v>48</v>
      </c>
      <c r="I82" s="4251" t="s">
        <v>1321</v>
      </c>
      <c r="J82" s="4252" t="s">
        <v>1322</v>
      </c>
      <c r="K82" s="4253" t="s">
        <v>48</v>
      </c>
      <c r="AE82" s="3585"/>
    </row>
    <row r="83" spans="2:39" ht="17.100000000000001" customHeight="1" x14ac:dyDescent="0.25">
      <c r="B83" s="4257" t="s">
        <v>138</v>
      </c>
      <c r="C83" s="4258">
        <v>109</v>
      </c>
      <c r="D83" s="4259">
        <v>12</v>
      </c>
      <c r="E83" s="4260">
        <f t="shared" ref="E83:E88" si="43">SUM(C83:D83)</f>
        <v>121</v>
      </c>
      <c r="F83" s="4258">
        <v>1</v>
      </c>
      <c r="G83" s="4259">
        <v>0</v>
      </c>
      <c r="H83" s="4261">
        <f t="shared" ref="H83:H88" si="44">SUM(F83:G83)</f>
        <v>1</v>
      </c>
      <c r="I83" s="4262">
        <f t="shared" ref="I83:J88" si="45">SUM(C83,F83)</f>
        <v>110</v>
      </c>
      <c r="J83" s="4259">
        <f t="shared" si="45"/>
        <v>12</v>
      </c>
      <c r="K83" s="4263">
        <f t="shared" ref="K83:K88" si="46">SUM(I83:J83)</f>
        <v>122</v>
      </c>
      <c r="AE83" s="3585"/>
    </row>
    <row r="84" spans="2:39" ht="17.100000000000001" customHeight="1" x14ac:dyDescent="0.25">
      <c r="B84" s="4266" t="s">
        <v>134</v>
      </c>
      <c r="C84" s="4267">
        <v>53</v>
      </c>
      <c r="D84" s="4268">
        <v>1</v>
      </c>
      <c r="E84" s="4269">
        <f t="shared" si="43"/>
        <v>54</v>
      </c>
      <c r="F84" s="4267">
        <v>1</v>
      </c>
      <c r="G84" s="4268">
        <v>0</v>
      </c>
      <c r="H84" s="4270">
        <f t="shared" si="44"/>
        <v>1</v>
      </c>
      <c r="I84" s="4271">
        <f t="shared" si="45"/>
        <v>54</v>
      </c>
      <c r="J84" s="4268">
        <f t="shared" si="45"/>
        <v>1</v>
      </c>
      <c r="K84" s="4272">
        <f t="shared" si="46"/>
        <v>55</v>
      </c>
      <c r="AE84" s="3585"/>
    </row>
    <row r="85" spans="2:39" ht="17.100000000000001" customHeight="1" x14ac:dyDescent="0.25">
      <c r="B85" s="4275" t="s">
        <v>135</v>
      </c>
      <c r="C85" s="4267">
        <v>252</v>
      </c>
      <c r="D85" s="4268">
        <v>31</v>
      </c>
      <c r="E85" s="4269">
        <f t="shared" si="43"/>
        <v>283</v>
      </c>
      <c r="F85" s="4267">
        <v>2</v>
      </c>
      <c r="G85" s="4268">
        <v>1</v>
      </c>
      <c r="H85" s="4270">
        <f t="shared" si="44"/>
        <v>3</v>
      </c>
      <c r="I85" s="4271">
        <f t="shared" si="45"/>
        <v>254</v>
      </c>
      <c r="J85" s="4268">
        <f t="shared" si="45"/>
        <v>32</v>
      </c>
      <c r="K85" s="4272">
        <f t="shared" si="46"/>
        <v>286</v>
      </c>
      <c r="AE85" s="3585"/>
    </row>
    <row r="86" spans="2:39" ht="17.100000000000001" customHeight="1" x14ac:dyDescent="0.25">
      <c r="B86" s="4278" t="s">
        <v>136</v>
      </c>
      <c r="C86" s="4267">
        <v>12</v>
      </c>
      <c r="D86" s="4268">
        <v>7</v>
      </c>
      <c r="E86" s="4269">
        <f t="shared" si="43"/>
        <v>19</v>
      </c>
      <c r="F86" s="4267">
        <v>1</v>
      </c>
      <c r="G86" s="4268">
        <v>0</v>
      </c>
      <c r="H86" s="4270">
        <f t="shared" si="44"/>
        <v>1</v>
      </c>
      <c r="I86" s="4271">
        <f t="shared" si="45"/>
        <v>13</v>
      </c>
      <c r="J86" s="4268">
        <f t="shared" si="45"/>
        <v>7</v>
      </c>
      <c r="K86" s="4272">
        <f t="shared" si="46"/>
        <v>20</v>
      </c>
    </row>
    <row r="87" spans="2:39" ht="17.100000000000001" customHeight="1" x14ac:dyDescent="0.25">
      <c r="B87" s="4279" t="s">
        <v>137</v>
      </c>
      <c r="C87" s="4267">
        <v>118</v>
      </c>
      <c r="D87" s="4268">
        <v>27</v>
      </c>
      <c r="E87" s="4269">
        <f t="shared" si="43"/>
        <v>145</v>
      </c>
      <c r="F87" s="4267">
        <v>4</v>
      </c>
      <c r="G87" s="4268">
        <v>2</v>
      </c>
      <c r="H87" s="4270">
        <f t="shared" si="44"/>
        <v>6</v>
      </c>
      <c r="I87" s="4271">
        <f t="shared" si="45"/>
        <v>122</v>
      </c>
      <c r="J87" s="4268">
        <f t="shared" si="45"/>
        <v>29</v>
      </c>
      <c r="K87" s="4272">
        <f t="shared" si="46"/>
        <v>151</v>
      </c>
    </row>
    <row r="88" spans="2:39" ht="17.100000000000001" customHeight="1" x14ac:dyDescent="0.25">
      <c r="B88" s="4280" t="s">
        <v>1277</v>
      </c>
      <c r="C88" s="4267">
        <v>10</v>
      </c>
      <c r="D88" s="4268">
        <v>61</v>
      </c>
      <c r="E88" s="4269">
        <f t="shared" si="43"/>
        <v>71</v>
      </c>
      <c r="F88" s="4267">
        <v>0</v>
      </c>
      <c r="G88" s="4268">
        <v>74</v>
      </c>
      <c r="H88" s="4270">
        <f t="shared" si="44"/>
        <v>74</v>
      </c>
      <c r="I88" s="4271">
        <f t="shared" si="45"/>
        <v>10</v>
      </c>
      <c r="J88" s="4268">
        <f t="shared" si="45"/>
        <v>135</v>
      </c>
      <c r="K88" s="4272">
        <f t="shared" si="46"/>
        <v>145</v>
      </c>
    </row>
    <row r="89" spans="2:39" ht="17.100000000000001" customHeight="1" x14ac:dyDescent="0.25">
      <c r="B89" s="4281" t="s">
        <v>431</v>
      </c>
      <c r="C89" s="4282">
        <f t="shared" ref="C89:K89" si="47">SUM(C83:C88)</f>
        <v>554</v>
      </c>
      <c r="D89" s="4283">
        <f t="shared" si="47"/>
        <v>139</v>
      </c>
      <c r="E89" s="4284">
        <f t="shared" si="47"/>
        <v>693</v>
      </c>
      <c r="F89" s="4282">
        <f t="shared" si="47"/>
        <v>9</v>
      </c>
      <c r="G89" s="4283">
        <f t="shared" si="47"/>
        <v>77</v>
      </c>
      <c r="H89" s="4285">
        <f t="shared" si="47"/>
        <v>86</v>
      </c>
      <c r="I89" s="4286">
        <f t="shared" si="47"/>
        <v>563</v>
      </c>
      <c r="J89" s="4283">
        <f t="shared" si="47"/>
        <v>216</v>
      </c>
      <c r="K89" s="4284">
        <f t="shared" si="47"/>
        <v>779</v>
      </c>
    </row>
    <row r="90" spans="2:39" ht="17.100000000000001" customHeight="1" x14ac:dyDescent="0.25">
      <c r="AG90" s="3585"/>
      <c r="AH90" s="3585"/>
      <c r="AI90" s="3585"/>
    </row>
    <row r="91" spans="2:39" ht="17.100000000000001" customHeight="1" x14ac:dyDescent="0.25">
      <c r="AF91" s="3585"/>
      <c r="AG91" s="3585"/>
      <c r="AH91" s="3585"/>
      <c r="AI91" s="3585"/>
    </row>
    <row r="92" spans="2:39" ht="17.100000000000001" customHeight="1" x14ac:dyDescent="0.25">
      <c r="B92" s="6414" t="s">
        <v>27</v>
      </c>
      <c r="C92" s="6416" t="s">
        <v>1361</v>
      </c>
      <c r="D92" s="6417"/>
      <c r="E92" s="6418"/>
      <c r="F92" s="6416" t="s">
        <v>1362</v>
      </c>
      <c r="G92" s="6417"/>
      <c r="H92" s="6418"/>
      <c r="I92" s="6408">
        <v>2014</v>
      </c>
      <c r="J92" s="6409"/>
      <c r="K92" s="6410"/>
      <c r="AF92" s="3585"/>
      <c r="AG92" s="3585"/>
      <c r="AH92" s="3585"/>
      <c r="AI92" s="3585"/>
      <c r="AJ92" s="3585"/>
      <c r="AK92" s="3585"/>
      <c r="AL92" s="3585"/>
      <c r="AM92" s="3585"/>
    </row>
    <row r="93" spans="2:39" ht="14.4" x14ac:dyDescent="0.25">
      <c r="B93" s="6415"/>
      <c r="C93" s="4292" t="s">
        <v>1321</v>
      </c>
      <c r="D93" s="4293" t="s">
        <v>1322</v>
      </c>
      <c r="E93" s="4294" t="s">
        <v>48</v>
      </c>
      <c r="F93" s="4293" t="s">
        <v>1321</v>
      </c>
      <c r="G93" s="4293" t="s">
        <v>1322</v>
      </c>
      <c r="H93" s="4294" t="s">
        <v>48</v>
      </c>
      <c r="I93" s="4293" t="s">
        <v>1321</v>
      </c>
      <c r="J93" s="4293" t="s">
        <v>1322</v>
      </c>
      <c r="K93" s="4294" t="s">
        <v>48</v>
      </c>
      <c r="AF93" s="3585"/>
      <c r="AG93" s="3585"/>
      <c r="AH93" s="3585"/>
      <c r="AI93" s="3585"/>
      <c r="AJ93" s="3585"/>
      <c r="AK93" s="3585"/>
      <c r="AL93" s="3585"/>
      <c r="AM93" s="3585"/>
    </row>
    <row r="94" spans="2:39" ht="14.4" x14ac:dyDescent="0.25">
      <c r="B94" s="4295" t="s">
        <v>138</v>
      </c>
      <c r="C94" s="4296">
        <v>85</v>
      </c>
      <c r="D94" s="4297">
        <v>8</v>
      </c>
      <c r="E94" s="4298">
        <f t="shared" ref="E94:E99" si="48">SUM(C94:D94)</f>
        <v>93</v>
      </c>
      <c r="F94" s="4296">
        <v>1</v>
      </c>
      <c r="G94" s="4297"/>
      <c r="H94" s="4299">
        <f t="shared" ref="H94:H99" si="49">SUM(F94:G94)</f>
        <v>1</v>
      </c>
      <c r="I94" s="4296">
        <f t="shared" ref="I94:J99" si="50">SUM(C94,F94)</f>
        <v>86</v>
      </c>
      <c r="J94" s="4297">
        <f t="shared" si="50"/>
        <v>8</v>
      </c>
      <c r="K94" s="4299">
        <f t="shared" ref="K94:K99" si="51">SUM(I94:J94)</f>
        <v>94</v>
      </c>
      <c r="AF94" s="3585"/>
      <c r="AG94" s="3585"/>
      <c r="AH94" s="3585"/>
      <c r="AI94" s="3585"/>
      <c r="AJ94" s="3585"/>
      <c r="AK94" s="3585"/>
      <c r="AL94" s="3585"/>
      <c r="AM94" s="3585"/>
    </row>
    <row r="95" spans="2:39" ht="14.4" x14ac:dyDescent="0.25">
      <c r="B95" s="4300" t="s">
        <v>134</v>
      </c>
      <c r="C95" s="4301">
        <v>23</v>
      </c>
      <c r="D95" s="4302">
        <v>2</v>
      </c>
      <c r="E95" s="4303">
        <f t="shared" si="48"/>
        <v>25</v>
      </c>
      <c r="F95" s="4301"/>
      <c r="G95" s="4302">
        <v>1</v>
      </c>
      <c r="H95" s="4304">
        <f t="shared" si="49"/>
        <v>1</v>
      </c>
      <c r="I95" s="4301">
        <f t="shared" si="50"/>
        <v>23</v>
      </c>
      <c r="J95" s="4302">
        <f t="shared" si="50"/>
        <v>3</v>
      </c>
      <c r="K95" s="4304">
        <f t="shared" si="51"/>
        <v>26</v>
      </c>
      <c r="AF95" s="3585"/>
      <c r="AJ95" s="3585"/>
      <c r="AK95" s="3585"/>
      <c r="AL95" s="3585"/>
      <c r="AM95" s="3585"/>
    </row>
    <row r="96" spans="2:39" ht="17.100000000000001" customHeight="1" x14ac:dyDescent="0.25">
      <c r="B96" s="4305" t="s">
        <v>135</v>
      </c>
      <c r="C96" s="4301">
        <v>209</v>
      </c>
      <c r="D96" s="4306">
        <v>21</v>
      </c>
      <c r="E96" s="4303">
        <f t="shared" si="48"/>
        <v>230</v>
      </c>
      <c r="F96" s="4301"/>
      <c r="G96" s="4306">
        <v>4</v>
      </c>
      <c r="H96" s="4304">
        <f t="shared" si="49"/>
        <v>4</v>
      </c>
      <c r="I96" s="4301">
        <f t="shared" si="50"/>
        <v>209</v>
      </c>
      <c r="J96" s="4306">
        <f t="shared" si="50"/>
        <v>25</v>
      </c>
      <c r="K96" s="4304">
        <f t="shared" si="51"/>
        <v>234</v>
      </c>
      <c r="AJ96" s="3585"/>
      <c r="AK96" s="3585"/>
      <c r="AL96" s="3585"/>
      <c r="AM96" s="3585"/>
    </row>
    <row r="97" spans="2:40" ht="17.100000000000001" customHeight="1" x14ac:dyDescent="0.25">
      <c r="B97" s="4307" t="s">
        <v>136</v>
      </c>
      <c r="C97" s="4301">
        <v>18</v>
      </c>
      <c r="D97" s="4302">
        <v>1</v>
      </c>
      <c r="E97" s="4303">
        <f t="shared" si="48"/>
        <v>19</v>
      </c>
      <c r="F97" s="4301"/>
      <c r="G97" s="4302"/>
      <c r="H97" s="4304">
        <f t="shared" si="49"/>
        <v>0</v>
      </c>
      <c r="I97" s="4301">
        <f t="shared" si="50"/>
        <v>18</v>
      </c>
      <c r="J97" s="4302">
        <f t="shared" si="50"/>
        <v>1</v>
      </c>
      <c r="K97" s="4304">
        <f t="shared" si="51"/>
        <v>19</v>
      </c>
    </row>
    <row r="98" spans="2:40" ht="17.100000000000001" customHeight="1" x14ac:dyDescent="0.25">
      <c r="B98" s="4308" t="s">
        <v>137</v>
      </c>
      <c r="C98" s="4301">
        <v>129</v>
      </c>
      <c r="D98" s="4302">
        <v>51</v>
      </c>
      <c r="E98" s="4303">
        <f t="shared" si="48"/>
        <v>180</v>
      </c>
      <c r="F98" s="4301">
        <v>4</v>
      </c>
      <c r="G98" s="4302">
        <v>10</v>
      </c>
      <c r="H98" s="4304">
        <f t="shared" si="49"/>
        <v>14</v>
      </c>
      <c r="I98" s="4301">
        <f t="shared" si="50"/>
        <v>133</v>
      </c>
      <c r="J98" s="4302">
        <f t="shared" si="50"/>
        <v>61</v>
      </c>
      <c r="K98" s="4304">
        <f t="shared" si="51"/>
        <v>194</v>
      </c>
      <c r="M98" s="4254" t="s">
        <v>1364</v>
      </c>
      <c r="N98" s="4785">
        <v>2003</v>
      </c>
      <c r="O98" s="4785">
        <v>2004</v>
      </c>
      <c r="P98" s="4785">
        <v>2005</v>
      </c>
      <c r="Q98" s="4785">
        <v>2006</v>
      </c>
      <c r="R98" s="4785">
        <v>2007</v>
      </c>
      <c r="S98" s="4785">
        <v>2008</v>
      </c>
      <c r="T98" s="4785">
        <v>2009</v>
      </c>
      <c r="U98" s="4785">
        <v>2010</v>
      </c>
      <c r="V98" s="4785">
        <v>2011</v>
      </c>
      <c r="W98" s="4785">
        <v>2012</v>
      </c>
      <c r="X98" s="4785">
        <v>2013</v>
      </c>
      <c r="Y98" s="4785">
        <v>2014</v>
      </c>
      <c r="Z98" s="4785">
        <v>2015</v>
      </c>
      <c r="AA98" s="4785">
        <v>2016</v>
      </c>
      <c r="AB98" s="4785">
        <v>2017</v>
      </c>
      <c r="AC98" s="4785">
        <v>2018</v>
      </c>
      <c r="AD98" s="4785">
        <v>2019</v>
      </c>
      <c r="AE98" s="4786">
        <v>2020</v>
      </c>
      <c r="AF98" s="4256">
        <v>2021</v>
      </c>
      <c r="AG98" s="4256">
        <v>2022</v>
      </c>
    </row>
    <row r="99" spans="2:40" ht="17.100000000000001" customHeight="1" x14ac:dyDescent="0.25">
      <c r="B99" s="4309" t="s">
        <v>1277</v>
      </c>
      <c r="C99" s="4310">
        <v>12</v>
      </c>
      <c r="D99" s="4311">
        <v>35</v>
      </c>
      <c r="E99" s="4312">
        <f t="shared" si="48"/>
        <v>47</v>
      </c>
      <c r="F99" s="4310"/>
      <c r="G99" s="4311">
        <v>41</v>
      </c>
      <c r="H99" s="4313">
        <f t="shared" si="49"/>
        <v>41</v>
      </c>
      <c r="I99" s="4310">
        <f t="shared" si="50"/>
        <v>12</v>
      </c>
      <c r="J99" s="4311">
        <f t="shared" si="50"/>
        <v>76</v>
      </c>
      <c r="K99" s="4313">
        <f t="shared" si="51"/>
        <v>88</v>
      </c>
      <c r="M99" s="4264" t="s">
        <v>1321</v>
      </c>
      <c r="N99" s="4264">
        <v>125</v>
      </c>
      <c r="O99" s="4264">
        <v>107</v>
      </c>
      <c r="P99" s="4264">
        <v>129</v>
      </c>
      <c r="Q99" s="4264">
        <v>166</v>
      </c>
      <c r="R99" s="4264">
        <v>212</v>
      </c>
      <c r="S99" s="4264">
        <v>301</v>
      </c>
      <c r="T99" s="4264">
        <v>181</v>
      </c>
      <c r="U99" s="4264">
        <v>75</v>
      </c>
      <c r="V99" s="4264">
        <v>218</v>
      </c>
      <c r="W99" s="4264">
        <v>441</v>
      </c>
      <c r="X99" s="4264">
        <v>182</v>
      </c>
      <c r="Y99" s="4264">
        <v>481</v>
      </c>
      <c r="Z99" s="4264">
        <v>563</v>
      </c>
      <c r="AA99" s="4264">
        <v>619</v>
      </c>
      <c r="AB99" s="4264">
        <v>200</v>
      </c>
      <c r="AC99" s="4264">
        <f>+I55</f>
        <v>145</v>
      </c>
      <c r="AD99" s="4264">
        <v>139</v>
      </c>
      <c r="AE99" s="4265">
        <v>115</v>
      </c>
      <c r="AF99" s="4265">
        <v>65</v>
      </c>
      <c r="AG99" s="4265">
        <v>84</v>
      </c>
    </row>
    <row r="100" spans="2:40" ht="17.100000000000001" customHeight="1" x14ac:dyDescent="0.25">
      <c r="B100" s="4314" t="s">
        <v>431</v>
      </c>
      <c r="C100" s="4315">
        <f>SUM(C94:C99)</f>
        <v>476</v>
      </c>
      <c r="D100" s="4316">
        <f t="shared" ref="D100:K100" si="52">SUM(D94:D99)</f>
        <v>118</v>
      </c>
      <c r="E100" s="4317">
        <f t="shared" si="52"/>
        <v>594</v>
      </c>
      <c r="F100" s="4315">
        <f t="shared" si="52"/>
        <v>5</v>
      </c>
      <c r="G100" s="4316">
        <f t="shared" si="52"/>
        <v>56</v>
      </c>
      <c r="H100" s="4317">
        <f t="shared" si="52"/>
        <v>61</v>
      </c>
      <c r="I100" s="4315">
        <f>SUM(I94:I99)</f>
        <v>481</v>
      </c>
      <c r="J100" s="4316">
        <f>SUM(J94:J99)</f>
        <v>174</v>
      </c>
      <c r="K100" s="4317">
        <f t="shared" si="52"/>
        <v>655</v>
      </c>
      <c r="M100" s="4273" t="s">
        <v>1322</v>
      </c>
      <c r="N100" s="4273">
        <v>287</v>
      </c>
      <c r="O100" s="4273">
        <v>241</v>
      </c>
      <c r="P100" s="4273">
        <v>229</v>
      </c>
      <c r="Q100" s="4273">
        <v>275</v>
      </c>
      <c r="R100" s="4273">
        <v>221</v>
      </c>
      <c r="S100" s="4273">
        <v>335</v>
      </c>
      <c r="T100" s="4273">
        <v>185</v>
      </c>
      <c r="U100" s="4273">
        <v>266</v>
      </c>
      <c r="V100" s="4273">
        <v>256</v>
      </c>
      <c r="W100" s="4273">
        <v>372</v>
      </c>
      <c r="X100" s="4273">
        <v>215</v>
      </c>
      <c r="Y100" s="4273">
        <v>174</v>
      </c>
      <c r="Z100" s="4273">
        <v>216</v>
      </c>
      <c r="AA100" s="4273">
        <v>223</v>
      </c>
      <c r="AB100" s="4273">
        <v>231</v>
      </c>
      <c r="AC100" s="4273">
        <f>+J55</f>
        <v>303</v>
      </c>
      <c r="AD100" s="4273">
        <v>220</v>
      </c>
      <c r="AE100" s="4274">
        <v>139</v>
      </c>
      <c r="AF100" s="4274">
        <v>178</v>
      </c>
      <c r="AG100" s="4274">
        <v>269</v>
      </c>
    </row>
    <row r="101" spans="2:40" ht="17.100000000000001" customHeight="1" x14ac:dyDescent="0.25">
      <c r="M101" s="4538" t="s">
        <v>431</v>
      </c>
      <c r="N101" s="4538">
        <f>SUM(N99:N100)</f>
        <v>412</v>
      </c>
      <c r="O101" s="4538">
        <f t="shared" ref="O101:Z101" si="53">SUM(O99:O100)</f>
        <v>348</v>
      </c>
      <c r="P101" s="4538">
        <f t="shared" si="53"/>
        <v>358</v>
      </c>
      <c r="Q101" s="4538">
        <f t="shared" si="53"/>
        <v>441</v>
      </c>
      <c r="R101" s="4538">
        <f t="shared" si="53"/>
        <v>433</v>
      </c>
      <c r="S101" s="4538">
        <f t="shared" si="53"/>
        <v>636</v>
      </c>
      <c r="T101" s="4538">
        <f t="shared" si="53"/>
        <v>366</v>
      </c>
      <c r="U101" s="4538">
        <f t="shared" si="53"/>
        <v>341</v>
      </c>
      <c r="V101" s="4538">
        <f t="shared" si="53"/>
        <v>474</v>
      </c>
      <c r="W101" s="4538">
        <f t="shared" si="53"/>
        <v>813</v>
      </c>
      <c r="X101" s="4538">
        <f t="shared" si="53"/>
        <v>397</v>
      </c>
      <c r="Y101" s="4538">
        <f t="shared" si="53"/>
        <v>655</v>
      </c>
      <c r="Z101" s="4538">
        <f t="shared" si="53"/>
        <v>779</v>
      </c>
      <c r="AA101" s="4538">
        <f>SUM(AA99:AA100)</f>
        <v>842</v>
      </c>
      <c r="AB101" s="4538">
        <f>SUM(AB99:AB100)</f>
        <v>431</v>
      </c>
      <c r="AC101" s="4538">
        <f>SUM(AC99:AC100)</f>
        <v>448</v>
      </c>
      <c r="AD101" s="4538">
        <f>SUM(AD99:AD100)</f>
        <v>359</v>
      </c>
      <c r="AE101" s="4539">
        <f>SUBTOTAL(109,AE99:AE100)</f>
        <v>254</v>
      </c>
      <c r="AF101" s="4539">
        <f>SUM(AF99:AF100)</f>
        <v>243</v>
      </c>
      <c r="AG101" s="4539">
        <f>SUM(AG99:AG100)</f>
        <v>353</v>
      </c>
      <c r="AN101" s="3585"/>
    </row>
    <row r="102" spans="2:40" ht="17.100000000000001" customHeight="1" x14ac:dyDescent="0.25">
      <c r="AN102" s="3585"/>
    </row>
    <row r="103" spans="2:40" ht="17.100000000000001" customHeight="1" x14ac:dyDescent="0.25">
      <c r="B103" s="6414" t="s">
        <v>27</v>
      </c>
      <c r="C103" s="6416" t="s">
        <v>1361</v>
      </c>
      <c r="D103" s="6417"/>
      <c r="E103" s="6418"/>
      <c r="F103" s="6416" t="s">
        <v>1362</v>
      </c>
      <c r="G103" s="6417"/>
      <c r="H103" s="6418"/>
      <c r="I103" s="6408">
        <v>2013</v>
      </c>
      <c r="J103" s="6409"/>
      <c r="K103" s="6410"/>
      <c r="AN103" s="3585"/>
    </row>
    <row r="104" spans="2:40" ht="17.100000000000001" customHeight="1" x14ac:dyDescent="0.25">
      <c r="B104" s="6415"/>
      <c r="C104" s="4292" t="s">
        <v>1321</v>
      </c>
      <c r="D104" s="4293" t="s">
        <v>1322</v>
      </c>
      <c r="E104" s="4294" t="s">
        <v>48</v>
      </c>
      <c r="F104" s="4293" t="s">
        <v>1321</v>
      </c>
      <c r="G104" s="4293" t="s">
        <v>1322</v>
      </c>
      <c r="H104" s="4294" t="s">
        <v>48</v>
      </c>
      <c r="I104" s="4293" t="s">
        <v>1321</v>
      </c>
      <c r="J104" s="4293" t="s">
        <v>1322</v>
      </c>
      <c r="K104" s="4294" t="s">
        <v>48</v>
      </c>
      <c r="AN104" s="3585"/>
    </row>
    <row r="105" spans="2:40" ht="14.4" x14ac:dyDescent="0.25">
      <c r="B105" s="4295" t="s">
        <v>138</v>
      </c>
      <c r="C105" s="4296">
        <v>19</v>
      </c>
      <c r="D105" s="4297">
        <v>4</v>
      </c>
      <c r="E105" s="4298">
        <f t="shared" ref="E105:E110" si="54">SUM(C105:D105)</f>
        <v>23</v>
      </c>
      <c r="F105" s="4296"/>
      <c r="G105" s="4297"/>
      <c r="H105" s="4299">
        <f t="shared" ref="H105:H110" si="55">SUM(F105:G105)</f>
        <v>0</v>
      </c>
      <c r="I105" s="4296">
        <f t="shared" ref="I105:J110" si="56">SUM(C105,F105)</f>
        <v>19</v>
      </c>
      <c r="J105" s="4297">
        <f t="shared" si="56"/>
        <v>4</v>
      </c>
      <c r="K105" s="4299">
        <f t="shared" ref="K105:K110" si="57">SUM(I105:J105)</f>
        <v>23</v>
      </c>
      <c r="AN105" s="3585"/>
    </row>
    <row r="106" spans="2:40" ht="15" customHeight="1" x14ac:dyDescent="0.25">
      <c r="B106" s="4300" t="s">
        <v>134</v>
      </c>
      <c r="C106" s="4301">
        <v>31</v>
      </c>
      <c r="D106" s="4302">
        <v>7</v>
      </c>
      <c r="E106" s="4303">
        <f t="shared" si="54"/>
        <v>38</v>
      </c>
      <c r="F106" s="4301"/>
      <c r="G106" s="4302"/>
      <c r="H106" s="4304">
        <f t="shared" si="55"/>
        <v>0</v>
      </c>
      <c r="I106" s="4301">
        <f t="shared" si="56"/>
        <v>31</v>
      </c>
      <c r="J106" s="4302">
        <f t="shared" si="56"/>
        <v>7</v>
      </c>
      <c r="K106" s="4304">
        <f t="shared" si="57"/>
        <v>38</v>
      </c>
    </row>
    <row r="107" spans="2:40" ht="15" customHeight="1" x14ac:dyDescent="0.25">
      <c r="B107" s="4305" t="s">
        <v>135</v>
      </c>
      <c r="C107" s="4301">
        <v>76</v>
      </c>
      <c r="D107" s="4306">
        <v>34</v>
      </c>
      <c r="E107" s="4303">
        <f t="shared" si="54"/>
        <v>110</v>
      </c>
      <c r="F107" s="4301">
        <v>0</v>
      </c>
      <c r="G107" s="4306">
        <v>5</v>
      </c>
      <c r="H107" s="4304">
        <f t="shared" si="55"/>
        <v>5</v>
      </c>
      <c r="I107" s="4301">
        <f t="shared" si="56"/>
        <v>76</v>
      </c>
      <c r="J107" s="4306">
        <f t="shared" si="56"/>
        <v>39</v>
      </c>
      <c r="K107" s="4304">
        <f t="shared" si="57"/>
        <v>115</v>
      </c>
    </row>
    <row r="108" spans="2:40" s="3585" customFormat="1" ht="20.100000000000001" customHeight="1" x14ac:dyDescent="0.25">
      <c r="B108" s="4307" t="s">
        <v>136</v>
      </c>
      <c r="C108" s="4301">
        <v>7</v>
      </c>
      <c r="D108" s="4302">
        <v>3</v>
      </c>
      <c r="E108" s="4303">
        <f t="shared" si="54"/>
        <v>10</v>
      </c>
      <c r="F108" s="4301"/>
      <c r="G108" s="4302"/>
      <c r="H108" s="4304">
        <f t="shared" si="55"/>
        <v>0</v>
      </c>
      <c r="I108" s="4301">
        <f t="shared" si="56"/>
        <v>7</v>
      </c>
      <c r="J108" s="4302">
        <f t="shared" si="56"/>
        <v>3</v>
      </c>
      <c r="K108" s="4304">
        <f t="shared" si="57"/>
        <v>10</v>
      </c>
      <c r="L108" s="3574"/>
      <c r="M108" s="3574"/>
      <c r="N108" s="3574"/>
      <c r="O108" s="3574"/>
      <c r="P108" s="3574"/>
      <c r="Q108" s="3574"/>
      <c r="R108" s="3574"/>
      <c r="S108" s="3574"/>
      <c r="T108" s="3574"/>
      <c r="U108" s="3574"/>
      <c r="V108" s="3574"/>
      <c r="W108" s="3574"/>
      <c r="X108" s="3574"/>
      <c r="Y108" s="3574"/>
      <c r="Z108" s="3574"/>
      <c r="AA108" s="3574"/>
      <c r="AB108" s="3574"/>
      <c r="AC108" s="3574"/>
      <c r="AD108" s="3574"/>
      <c r="AE108" s="3574"/>
      <c r="AF108" s="3574"/>
      <c r="AG108" s="3574"/>
      <c r="AH108" s="3574"/>
      <c r="AI108" s="3574"/>
      <c r="AJ108" s="3574"/>
      <c r="AK108" s="3574"/>
      <c r="AL108" s="3574"/>
      <c r="AM108" s="3574"/>
      <c r="AN108" s="3574"/>
    </row>
    <row r="109" spans="2:40" s="3585" customFormat="1" ht="20.100000000000001" customHeight="1" x14ac:dyDescent="0.25">
      <c r="B109" s="4308" t="s">
        <v>137</v>
      </c>
      <c r="C109" s="4301">
        <v>47</v>
      </c>
      <c r="D109" s="4302">
        <v>70</v>
      </c>
      <c r="E109" s="4303">
        <f t="shared" si="54"/>
        <v>117</v>
      </c>
      <c r="F109" s="4301"/>
      <c r="G109" s="4302">
        <v>18</v>
      </c>
      <c r="H109" s="4304">
        <f t="shared" si="55"/>
        <v>18</v>
      </c>
      <c r="I109" s="4301">
        <f t="shared" si="56"/>
        <v>47</v>
      </c>
      <c r="J109" s="4302">
        <f t="shared" si="56"/>
        <v>88</v>
      </c>
      <c r="K109" s="4304">
        <f t="shared" si="57"/>
        <v>135</v>
      </c>
      <c r="M109" s="3574"/>
      <c r="N109" s="3574"/>
      <c r="O109" s="3574"/>
      <c r="P109" s="3574"/>
      <c r="Q109" s="3574"/>
      <c r="R109" s="3574"/>
      <c r="S109" s="3574"/>
      <c r="T109" s="3574"/>
      <c r="U109" s="3574"/>
      <c r="V109" s="3574"/>
      <c r="W109" s="3574"/>
      <c r="X109" s="3574"/>
      <c r="Y109" s="3574"/>
      <c r="Z109" s="3574"/>
      <c r="AA109" s="3574"/>
      <c r="AB109" s="3574"/>
      <c r="AC109" s="3574"/>
      <c r="AD109" s="3574"/>
      <c r="AE109" s="3574"/>
      <c r="AF109" s="3574"/>
      <c r="AG109" s="3574"/>
      <c r="AH109" s="3574"/>
      <c r="AI109" s="3574"/>
      <c r="AJ109" s="3574"/>
      <c r="AK109" s="3574"/>
      <c r="AL109" s="3574"/>
      <c r="AM109" s="3574"/>
      <c r="AN109" s="3574"/>
    </row>
    <row r="110" spans="2:40" s="3585" customFormat="1" ht="20.100000000000001" customHeight="1" x14ac:dyDescent="0.25">
      <c r="B110" s="4309" t="s">
        <v>1277</v>
      </c>
      <c r="C110" s="4310">
        <v>2</v>
      </c>
      <c r="D110" s="4311">
        <v>44</v>
      </c>
      <c r="E110" s="4312">
        <f t="shared" si="54"/>
        <v>46</v>
      </c>
      <c r="F110" s="4310"/>
      <c r="G110" s="4311">
        <v>30</v>
      </c>
      <c r="H110" s="4313">
        <f t="shared" si="55"/>
        <v>30</v>
      </c>
      <c r="I110" s="4310">
        <f t="shared" si="56"/>
        <v>2</v>
      </c>
      <c r="J110" s="4311">
        <f t="shared" si="56"/>
        <v>74</v>
      </c>
      <c r="K110" s="4313">
        <f t="shared" si="57"/>
        <v>76</v>
      </c>
      <c r="M110" s="3574"/>
      <c r="N110" s="3574"/>
      <c r="O110" s="3574"/>
      <c r="P110" s="3574"/>
      <c r="Q110" s="3574"/>
      <c r="R110" s="3574"/>
      <c r="S110" s="3574"/>
      <c r="T110" s="3574"/>
      <c r="U110" s="3574"/>
      <c r="V110" s="3574"/>
      <c r="W110" s="3574"/>
      <c r="X110" s="3574"/>
      <c r="Y110" s="3574"/>
      <c r="Z110" s="3574"/>
      <c r="AA110" s="3574"/>
      <c r="AB110" s="3574"/>
      <c r="AC110" s="3574"/>
      <c r="AD110" s="3574"/>
      <c r="AE110" s="3574"/>
      <c r="AF110" s="3574"/>
      <c r="AG110" s="3574"/>
      <c r="AH110" s="3574"/>
      <c r="AI110" s="3574"/>
      <c r="AJ110" s="3574"/>
      <c r="AK110" s="3574"/>
      <c r="AL110" s="3574"/>
      <c r="AM110" s="3574"/>
      <c r="AN110" s="3574"/>
    </row>
    <row r="111" spans="2:40" s="3585" customFormat="1" ht="20.100000000000001" customHeight="1" x14ac:dyDescent="0.25">
      <c r="B111" s="4314" t="s">
        <v>431</v>
      </c>
      <c r="C111" s="4315">
        <f>SUM(C105:C110)</f>
        <v>182</v>
      </c>
      <c r="D111" s="4316">
        <f>SUM(D105:D110)</f>
        <v>162</v>
      </c>
      <c r="E111" s="4317">
        <f>SUM(E105:E110)</f>
        <v>344</v>
      </c>
      <c r="F111" s="4315"/>
      <c r="G111" s="4316">
        <f>SUM(G109:G110)</f>
        <v>48</v>
      </c>
      <c r="H111" s="4317">
        <f>SUM(H105:H110)</f>
        <v>53</v>
      </c>
      <c r="I111" s="4315">
        <f>SUM(I105:I110)</f>
        <v>182</v>
      </c>
      <c r="J111" s="4316">
        <f>SUM(J105:J110)</f>
        <v>215</v>
      </c>
      <c r="K111" s="4317">
        <f>SUM(K105:K110)</f>
        <v>397</v>
      </c>
      <c r="M111" s="3574"/>
      <c r="N111" s="3574"/>
      <c r="O111" s="3574"/>
      <c r="P111" s="3574"/>
      <c r="Q111" s="3574"/>
      <c r="R111" s="3574"/>
      <c r="S111" s="3574"/>
      <c r="T111" s="3574"/>
      <c r="U111" s="3574"/>
      <c r="V111" s="3574"/>
      <c r="W111" s="3574"/>
      <c r="X111" s="3574"/>
      <c r="Y111" s="3574"/>
      <c r="Z111" s="3574"/>
      <c r="AA111" s="3574"/>
      <c r="AB111" s="3574"/>
      <c r="AC111" s="3574"/>
      <c r="AD111" s="3574"/>
      <c r="AE111" s="3574"/>
      <c r="AF111" s="3574"/>
      <c r="AG111" s="3574"/>
      <c r="AH111" s="3574"/>
      <c r="AI111" s="3574"/>
      <c r="AJ111" s="3574"/>
      <c r="AK111" s="3574"/>
      <c r="AL111" s="3574"/>
      <c r="AM111" s="3574"/>
      <c r="AN111" s="3574"/>
    </row>
    <row r="112" spans="2:40" s="3585" customFormat="1" ht="20.100000000000001" customHeight="1" x14ac:dyDescent="0.25">
      <c r="B112" s="3574"/>
      <c r="C112" s="3574"/>
      <c r="D112" s="3574"/>
      <c r="E112" s="3574"/>
      <c r="F112" s="3574"/>
      <c r="G112" s="3574"/>
      <c r="H112" s="3574"/>
      <c r="I112" s="3574"/>
      <c r="J112" s="3574"/>
      <c r="K112" s="3574"/>
      <c r="M112" s="3574"/>
      <c r="N112" s="3574"/>
      <c r="O112" s="3574"/>
      <c r="P112" s="3574"/>
      <c r="Q112" s="3574"/>
      <c r="R112" s="3574"/>
      <c r="S112" s="3574"/>
      <c r="T112" s="3574"/>
      <c r="U112" s="3574"/>
      <c r="V112" s="3574"/>
      <c r="W112" s="3574"/>
      <c r="X112" s="3574"/>
      <c r="Y112" s="3574"/>
      <c r="Z112" s="3574"/>
      <c r="AA112" s="3574"/>
      <c r="AB112" s="3574"/>
      <c r="AC112" s="3574"/>
      <c r="AD112" s="3574"/>
      <c r="AE112" s="3574"/>
      <c r="AF112" s="3574"/>
      <c r="AG112" s="3574"/>
      <c r="AH112" s="3574"/>
      <c r="AI112" s="3574"/>
      <c r="AJ112" s="3574"/>
      <c r="AK112" s="3574"/>
      <c r="AL112" s="3574"/>
      <c r="AM112" s="3574"/>
      <c r="AN112" s="3574"/>
    </row>
    <row r="113" spans="2:12" ht="20.100000000000001" customHeight="1" x14ac:dyDescent="0.25">
      <c r="L113" s="3585"/>
    </row>
    <row r="114" spans="2:12" ht="14.4" x14ac:dyDescent="0.25">
      <c r="B114" s="6414" t="s">
        <v>27</v>
      </c>
      <c r="C114" s="6416" t="s">
        <v>1361</v>
      </c>
      <c r="D114" s="6417"/>
      <c r="E114" s="6418"/>
      <c r="F114" s="6416" t="s">
        <v>1362</v>
      </c>
      <c r="G114" s="6417"/>
      <c r="H114" s="6418"/>
      <c r="I114" s="6408">
        <v>2012</v>
      </c>
      <c r="J114" s="6409"/>
      <c r="K114" s="6410"/>
    </row>
    <row r="115" spans="2:12" ht="14.4" x14ac:dyDescent="0.25">
      <c r="B115" s="6415"/>
      <c r="C115" s="4292" t="s">
        <v>1321</v>
      </c>
      <c r="D115" s="4293" t="s">
        <v>1322</v>
      </c>
      <c r="E115" s="4294" t="s">
        <v>48</v>
      </c>
      <c r="F115" s="4293" t="s">
        <v>1321</v>
      </c>
      <c r="G115" s="4293" t="s">
        <v>1322</v>
      </c>
      <c r="H115" s="4294" t="s">
        <v>48</v>
      </c>
      <c r="I115" s="4293" t="s">
        <v>1321</v>
      </c>
      <c r="J115" s="4293" t="s">
        <v>1322</v>
      </c>
      <c r="K115" s="4294" t="s">
        <v>48</v>
      </c>
    </row>
    <row r="116" spans="2:12" ht="14.4" x14ac:dyDescent="0.25">
      <c r="B116" s="4295" t="s">
        <v>138</v>
      </c>
      <c r="C116" s="4296">
        <v>42</v>
      </c>
      <c r="D116" s="4297">
        <v>8</v>
      </c>
      <c r="E116" s="4298">
        <f t="shared" ref="E116:E121" si="58">SUM(C116:D116)</f>
        <v>50</v>
      </c>
      <c r="F116" s="4296"/>
      <c r="G116" s="4297"/>
      <c r="H116" s="4299">
        <f t="shared" ref="H116:H121" si="59">SUM(F116:G116)</f>
        <v>0</v>
      </c>
      <c r="I116" s="4296">
        <f t="shared" ref="I116:J121" si="60">SUM(C116,F116)</f>
        <v>42</v>
      </c>
      <c r="J116" s="4297">
        <f t="shared" si="60"/>
        <v>8</v>
      </c>
      <c r="K116" s="4299">
        <f t="shared" ref="K116:K121" si="61">SUM(I116:J116)</f>
        <v>50</v>
      </c>
    </row>
    <row r="117" spans="2:12" ht="14.4" x14ac:dyDescent="0.25">
      <c r="B117" s="4300" t="s">
        <v>134</v>
      </c>
      <c r="C117" s="4301">
        <v>3</v>
      </c>
      <c r="D117" s="4302">
        <v>26</v>
      </c>
      <c r="E117" s="4303">
        <f t="shared" si="58"/>
        <v>29</v>
      </c>
      <c r="F117" s="4301"/>
      <c r="G117" s="4302"/>
      <c r="H117" s="4304">
        <f t="shared" si="59"/>
        <v>0</v>
      </c>
      <c r="I117" s="4301">
        <f t="shared" si="60"/>
        <v>3</v>
      </c>
      <c r="J117" s="4302">
        <f t="shared" si="60"/>
        <v>26</v>
      </c>
      <c r="K117" s="4304">
        <f t="shared" si="61"/>
        <v>29</v>
      </c>
    </row>
    <row r="118" spans="2:12" ht="17.100000000000001" customHeight="1" x14ac:dyDescent="0.25">
      <c r="B118" s="4305" t="s">
        <v>135</v>
      </c>
      <c r="C118" s="4301">
        <v>311</v>
      </c>
      <c r="D118" s="4306">
        <v>44</v>
      </c>
      <c r="E118" s="4303">
        <f t="shared" si="58"/>
        <v>355</v>
      </c>
      <c r="F118" s="4301">
        <v>1</v>
      </c>
      <c r="G118" s="4306">
        <v>10</v>
      </c>
      <c r="H118" s="4304">
        <f t="shared" si="59"/>
        <v>11</v>
      </c>
      <c r="I118" s="4301">
        <f t="shared" si="60"/>
        <v>312</v>
      </c>
      <c r="J118" s="4306">
        <f t="shared" si="60"/>
        <v>54</v>
      </c>
      <c r="K118" s="4304">
        <f t="shared" si="61"/>
        <v>366</v>
      </c>
    </row>
    <row r="119" spans="2:12" ht="17.100000000000001" customHeight="1" x14ac:dyDescent="0.25">
      <c r="B119" s="4307" t="s">
        <v>136</v>
      </c>
      <c r="C119" s="4301">
        <v>76</v>
      </c>
      <c r="D119" s="4302">
        <v>59</v>
      </c>
      <c r="E119" s="4303">
        <f t="shared" si="58"/>
        <v>135</v>
      </c>
      <c r="F119" s="4301">
        <v>2</v>
      </c>
      <c r="G119" s="4302">
        <v>29</v>
      </c>
      <c r="H119" s="4304">
        <f t="shared" si="59"/>
        <v>31</v>
      </c>
      <c r="I119" s="4301">
        <f t="shared" si="60"/>
        <v>78</v>
      </c>
      <c r="J119" s="4302">
        <f t="shared" si="60"/>
        <v>88</v>
      </c>
      <c r="K119" s="4304">
        <f t="shared" si="61"/>
        <v>166</v>
      </c>
    </row>
    <row r="120" spans="2:12" ht="17.100000000000001" customHeight="1" x14ac:dyDescent="0.25">
      <c r="B120" s="4308" t="s">
        <v>137</v>
      </c>
      <c r="C120" s="4301"/>
      <c r="D120" s="4302"/>
      <c r="E120" s="4303">
        <f t="shared" si="58"/>
        <v>0</v>
      </c>
      <c r="F120" s="4301"/>
      <c r="G120" s="4302"/>
      <c r="H120" s="4304">
        <f t="shared" si="59"/>
        <v>0</v>
      </c>
      <c r="I120" s="4301">
        <f t="shared" si="60"/>
        <v>0</v>
      </c>
      <c r="J120" s="4302">
        <f t="shared" si="60"/>
        <v>0</v>
      </c>
      <c r="K120" s="4304">
        <f t="shared" si="61"/>
        <v>0</v>
      </c>
    </row>
    <row r="121" spans="2:12" ht="17.100000000000001" customHeight="1" x14ac:dyDescent="0.25">
      <c r="B121" s="4309" t="s">
        <v>1277</v>
      </c>
      <c r="C121" s="4310">
        <v>4</v>
      </c>
      <c r="D121" s="4311">
        <v>125</v>
      </c>
      <c r="E121" s="4312">
        <f t="shared" si="58"/>
        <v>129</v>
      </c>
      <c r="F121" s="4310">
        <v>2</v>
      </c>
      <c r="G121" s="4311">
        <v>71</v>
      </c>
      <c r="H121" s="4313">
        <f t="shared" si="59"/>
        <v>73</v>
      </c>
      <c r="I121" s="4310">
        <f t="shared" si="60"/>
        <v>6</v>
      </c>
      <c r="J121" s="4311">
        <f t="shared" si="60"/>
        <v>196</v>
      </c>
      <c r="K121" s="4313">
        <f t="shared" si="61"/>
        <v>202</v>
      </c>
    </row>
    <row r="122" spans="2:12" ht="17.100000000000001" customHeight="1" x14ac:dyDescent="0.25">
      <c r="B122" s="4314" t="s">
        <v>431</v>
      </c>
      <c r="C122" s="4315">
        <f t="shared" ref="C122:K122" si="62">SUM(C116:C121)</f>
        <v>436</v>
      </c>
      <c r="D122" s="4316">
        <f t="shared" si="62"/>
        <v>262</v>
      </c>
      <c r="E122" s="4317">
        <f t="shared" si="62"/>
        <v>698</v>
      </c>
      <c r="F122" s="4315">
        <f t="shared" si="62"/>
        <v>5</v>
      </c>
      <c r="G122" s="4316">
        <f t="shared" si="62"/>
        <v>110</v>
      </c>
      <c r="H122" s="4317">
        <f t="shared" si="62"/>
        <v>115</v>
      </c>
      <c r="I122" s="4315">
        <f t="shared" si="62"/>
        <v>441</v>
      </c>
      <c r="J122" s="4316">
        <f t="shared" si="62"/>
        <v>372</v>
      </c>
      <c r="K122" s="4317">
        <f t="shared" si="62"/>
        <v>813</v>
      </c>
    </row>
    <row r="123" spans="2:12" ht="17.100000000000001" customHeight="1" x14ac:dyDescent="0.25"/>
    <row r="124" spans="2:12" ht="17.100000000000001" customHeight="1" x14ac:dyDescent="0.25"/>
    <row r="125" spans="2:12" ht="17.100000000000001" customHeight="1" x14ac:dyDescent="0.25">
      <c r="B125" s="6411">
        <v>2011</v>
      </c>
      <c r="C125" s="6412"/>
      <c r="D125" s="6412"/>
      <c r="E125" s="6412"/>
      <c r="F125" s="6412"/>
      <c r="G125" s="6412"/>
      <c r="H125" s="6413"/>
    </row>
    <row r="126" spans="2:12" ht="17.100000000000001" customHeight="1" x14ac:dyDescent="0.25">
      <c r="B126" s="4318" t="s">
        <v>1317</v>
      </c>
      <c r="C126" s="4319" t="s">
        <v>1365</v>
      </c>
      <c r="D126" s="4319" t="s">
        <v>1366</v>
      </c>
      <c r="E126" s="4320" t="s">
        <v>48</v>
      </c>
      <c r="F126" s="4321" t="s">
        <v>1321</v>
      </c>
      <c r="G126" s="4322" t="s">
        <v>1322</v>
      </c>
      <c r="H126" s="4320" t="s">
        <v>48</v>
      </c>
    </row>
    <row r="127" spans="2:12" ht="14.4" x14ac:dyDescent="0.25">
      <c r="B127" s="4323" t="s">
        <v>1342</v>
      </c>
      <c r="C127" s="4324">
        <v>102</v>
      </c>
      <c r="D127" s="4325">
        <v>9</v>
      </c>
      <c r="E127" s="4326">
        <f t="shared" ref="E127:E132" si="63">SUM(C127:D127)</f>
        <v>111</v>
      </c>
      <c r="F127" s="4327">
        <v>75</v>
      </c>
      <c r="G127" s="4325">
        <v>36</v>
      </c>
      <c r="H127" s="4326">
        <f t="shared" ref="H127:H132" si="64">SUM(F127:G127)</f>
        <v>111</v>
      </c>
    </row>
    <row r="128" spans="2:12" ht="14.4" x14ac:dyDescent="0.25">
      <c r="B128" s="4328" t="s">
        <v>1343</v>
      </c>
      <c r="C128" s="4267">
        <v>16</v>
      </c>
      <c r="D128" s="4268">
        <v>3</v>
      </c>
      <c r="E128" s="4329">
        <f t="shared" si="63"/>
        <v>19</v>
      </c>
      <c r="F128" s="4271">
        <v>5</v>
      </c>
      <c r="G128" s="4268">
        <v>14</v>
      </c>
      <c r="H128" s="4329">
        <f t="shared" si="64"/>
        <v>19</v>
      </c>
    </row>
    <row r="129" spans="2:8" ht="14.4" x14ac:dyDescent="0.25">
      <c r="B129" s="4330" t="s">
        <v>135</v>
      </c>
      <c r="C129" s="4267">
        <v>80</v>
      </c>
      <c r="D129" s="4268">
        <v>5</v>
      </c>
      <c r="E129" s="4329">
        <f t="shared" si="63"/>
        <v>85</v>
      </c>
      <c r="F129" s="4271">
        <v>73</v>
      </c>
      <c r="G129" s="4268">
        <v>12</v>
      </c>
      <c r="H129" s="4329">
        <f t="shared" si="64"/>
        <v>85</v>
      </c>
    </row>
    <row r="130" spans="2:8" ht="14.4" x14ac:dyDescent="0.25">
      <c r="B130" s="4331" t="s">
        <v>137</v>
      </c>
      <c r="C130" s="4267">
        <v>126</v>
      </c>
      <c r="D130" s="4268">
        <v>8</v>
      </c>
      <c r="E130" s="4329">
        <f t="shared" si="63"/>
        <v>134</v>
      </c>
      <c r="F130" s="4271">
        <v>56</v>
      </c>
      <c r="G130" s="4268">
        <v>78</v>
      </c>
      <c r="H130" s="4329">
        <f t="shared" si="64"/>
        <v>134</v>
      </c>
    </row>
    <row r="131" spans="2:8" ht="14.4" x14ac:dyDescent="0.25">
      <c r="B131" s="4332" t="s">
        <v>136</v>
      </c>
      <c r="C131" s="4267">
        <v>4</v>
      </c>
      <c r="D131" s="4268"/>
      <c r="E131" s="4329">
        <f t="shared" si="63"/>
        <v>4</v>
      </c>
      <c r="F131" s="4271">
        <v>1</v>
      </c>
      <c r="G131" s="4268">
        <v>3</v>
      </c>
      <c r="H131" s="4329">
        <f t="shared" si="64"/>
        <v>4</v>
      </c>
    </row>
    <row r="132" spans="2:8" ht="14.4" x14ac:dyDescent="0.25">
      <c r="B132" s="4333" t="s">
        <v>1277</v>
      </c>
      <c r="C132" s="4334">
        <v>77</v>
      </c>
      <c r="D132" s="4335">
        <v>44</v>
      </c>
      <c r="E132" s="4336">
        <f t="shared" si="63"/>
        <v>121</v>
      </c>
      <c r="F132" s="4337">
        <v>8</v>
      </c>
      <c r="G132" s="4335">
        <v>113</v>
      </c>
      <c r="H132" s="4336">
        <f t="shared" si="64"/>
        <v>121</v>
      </c>
    </row>
    <row r="133" spans="2:8" ht="14.4" x14ac:dyDescent="0.25">
      <c r="B133" s="4318" t="s">
        <v>1344</v>
      </c>
      <c r="C133" s="4338">
        <f t="shared" ref="C133:H133" si="65">SUM(C127:C132)</f>
        <v>405</v>
      </c>
      <c r="D133" s="4339">
        <f t="shared" si="65"/>
        <v>69</v>
      </c>
      <c r="E133" s="4340">
        <f t="shared" si="65"/>
        <v>474</v>
      </c>
      <c r="F133" s="4338">
        <f t="shared" si="65"/>
        <v>218</v>
      </c>
      <c r="G133" s="4339">
        <f t="shared" si="65"/>
        <v>256</v>
      </c>
      <c r="H133" s="4340">
        <f t="shared" si="65"/>
        <v>474</v>
      </c>
    </row>
    <row r="163" ht="20.100000000000001" customHeight="1" x14ac:dyDescent="0.25"/>
    <row r="164" ht="20.100000000000001" customHeight="1" x14ac:dyDescent="0.25"/>
    <row r="165" ht="20.100000000000001" customHeight="1" x14ac:dyDescent="0.25"/>
    <row r="166" ht="20.100000000000001" customHeight="1" x14ac:dyDescent="0.25"/>
  </sheetData>
  <mergeCells count="46">
    <mergeCell ref="B14:B15"/>
    <mergeCell ref="C14:D14"/>
    <mergeCell ref="F14:G14"/>
    <mergeCell ref="I14:K14"/>
    <mergeCell ref="B125:H125"/>
    <mergeCell ref="B103:B104"/>
    <mergeCell ref="C103:E103"/>
    <mergeCell ref="F103:H103"/>
    <mergeCell ref="I103:K103"/>
    <mergeCell ref="B114:B115"/>
    <mergeCell ref="C114:E114"/>
    <mergeCell ref="F114:H114"/>
    <mergeCell ref="I114:K114"/>
    <mergeCell ref="B92:B93"/>
    <mergeCell ref="C92:E92"/>
    <mergeCell ref="F92:H92"/>
    <mergeCell ref="I92:K92"/>
    <mergeCell ref="B81:B82"/>
    <mergeCell ref="C81:D81"/>
    <mergeCell ref="F81:G81"/>
    <mergeCell ref="I81:K81"/>
    <mergeCell ref="B58:B59"/>
    <mergeCell ref="C58:D58"/>
    <mergeCell ref="F58:G58"/>
    <mergeCell ref="I58:K58"/>
    <mergeCell ref="B79:K79"/>
    <mergeCell ref="B69:B70"/>
    <mergeCell ref="C69:D69"/>
    <mergeCell ref="F69:G69"/>
    <mergeCell ref="I69:K69"/>
    <mergeCell ref="B3:B4"/>
    <mergeCell ref="C3:D3"/>
    <mergeCell ref="F3:G3"/>
    <mergeCell ref="I3:K3"/>
    <mergeCell ref="B47:B48"/>
    <mergeCell ref="C47:D47"/>
    <mergeCell ref="F47:G47"/>
    <mergeCell ref="I47:K47"/>
    <mergeCell ref="B25:B26"/>
    <mergeCell ref="C25:D25"/>
    <mergeCell ref="F25:G25"/>
    <mergeCell ref="I25:K25"/>
    <mergeCell ref="B36:B37"/>
    <mergeCell ref="C36:D36"/>
    <mergeCell ref="F36:G36"/>
    <mergeCell ref="I36:K36"/>
  </mergeCells>
  <printOptions horizontalCentered="1" verticalCentered="1"/>
  <pageMargins left="1.2598425196850394" right="0.70866141732283472" top="0.74803149606299213" bottom="0.74803149606299213" header="0.31496062992125984" footer="0.31496062992125984"/>
  <pageSetup scale="58" firstPageNumber="178" orientation="landscape" useFirstPageNumber="1" r:id="rId1"/>
  <headerFooter scaleWithDoc="0" alignWithMargins="0">
    <oddFooter>&amp;R&amp;P</oddFooter>
  </headerFooter>
  <rowBreaks count="3" manualBreakCount="3">
    <brk id="67" min="1" max="10" man="1"/>
    <brk id="112" min="1" max="10" man="1"/>
    <brk id="157" max="16383" man="1"/>
  </rowBreaks>
  <colBreaks count="1" manualBreakCount="1">
    <brk id="12" max="1048575" man="1"/>
  </colBreaks>
  <ignoredErrors>
    <ignoredError sqref="N15:AF15 N57:AF57" numberStoredAsText="1"/>
    <ignoredError sqref="AF60 N101:AB101 AD101:AF101" formulaRange="1"/>
  </ignoredErrors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D25A8"/>
    <pageSetUpPr fitToPage="1"/>
  </sheetPr>
  <dimension ref="B1:S17"/>
  <sheetViews>
    <sheetView showGridLines="0" zoomScaleNormal="100" zoomScaleSheetLayoutView="70" workbookViewId="0">
      <pane xSplit="2" ySplit="4" topLeftCell="C5" activePane="bottomRight" state="frozen"/>
      <selection activeCell="Q31" sqref="Q31"/>
      <selection pane="topRight" activeCell="Q31" sqref="Q31"/>
      <selection pane="bottomLeft" activeCell="Q31" sqref="Q31"/>
      <selection pane="bottomRight" activeCell="F33" sqref="F33"/>
    </sheetView>
  </sheetViews>
  <sheetFormatPr baseColWidth="10" defaultColWidth="11.44140625" defaultRowHeight="14.4" x14ac:dyDescent="0.3"/>
  <cols>
    <col min="1" max="1" width="1.88671875" style="4342" customWidth="1"/>
    <col min="2" max="2" width="37.109375" style="4342" customWidth="1"/>
    <col min="3" max="7" width="11.88671875" style="4342" customWidth="1"/>
    <col min="8" max="8" width="13" style="4342" customWidth="1"/>
    <col min="9" max="12" width="13.88671875" style="4342" bestFit="1" customWidth="1"/>
    <col min="13" max="13" width="13.5546875" style="4342" bestFit="1" customWidth="1"/>
    <col min="14" max="14" width="13.109375" style="4342" bestFit="1" customWidth="1"/>
    <col min="15" max="15" width="14.33203125" style="4342" bestFit="1" customWidth="1"/>
    <col min="16" max="17" width="14.109375" style="4342" customWidth="1"/>
    <col min="18" max="19" width="13.44140625" style="4342" customWidth="1"/>
    <col min="20" max="16384" width="11.44140625" style="4342"/>
  </cols>
  <sheetData>
    <row r="1" spans="2:19" ht="18" x14ac:dyDescent="0.3">
      <c r="B1" s="4341" t="s">
        <v>1367</v>
      </c>
    </row>
    <row r="2" spans="2:19" ht="15" customHeight="1" x14ac:dyDescent="0.3">
      <c r="B2" s="4341"/>
    </row>
    <row r="3" spans="2:19" x14ac:dyDescent="0.3">
      <c r="D3" s="4343"/>
      <c r="E3" s="4343"/>
      <c r="F3" s="4343"/>
      <c r="G3" s="4343"/>
      <c r="H3" s="4343"/>
      <c r="I3" s="4343"/>
      <c r="J3" s="4343"/>
      <c r="K3" s="4343"/>
      <c r="L3" s="4343"/>
      <c r="M3" s="4343"/>
      <c r="N3" s="4343"/>
      <c r="O3" s="4343"/>
      <c r="P3" s="4343"/>
      <c r="S3" s="4344" t="s">
        <v>1367</v>
      </c>
    </row>
    <row r="4" spans="2:19" ht="15" thickBot="1" x14ac:dyDescent="0.35">
      <c r="B4" s="5491" t="s">
        <v>1368</v>
      </c>
      <c r="C4" s="4345">
        <v>2006</v>
      </c>
      <c r="D4" s="4345">
        <v>2007</v>
      </c>
      <c r="E4" s="4345">
        <v>2008</v>
      </c>
      <c r="F4" s="4345">
        <v>2009</v>
      </c>
      <c r="G4" s="4345">
        <v>2010</v>
      </c>
      <c r="H4" s="4345">
        <v>2011</v>
      </c>
      <c r="I4" s="4345">
        <v>2012</v>
      </c>
      <c r="J4" s="4345">
        <v>2013</v>
      </c>
      <c r="K4" s="4345">
        <v>2014</v>
      </c>
      <c r="L4" s="4345">
        <v>2015</v>
      </c>
      <c r="M4" s="4345">
        <v>2016</v>
      </c>
      <c r="N4" s="4345">
        <v>2017</v>
      </c>
      <c r="O4" s="4345">
        <v>2018</v>
      </c>
      <c r="P4" s="4345">
        <v>2019</v>
      </c>
      <c r="Q4" s="4345">
        <v>2020</v>
      </c>
      <c r="R4" s="4675">
        <v>2021</v>
      </c>
      <c r="S4" s="5488">
        <v>2022</v>
      </c>
    </row>
    <row r="5" spans="2:19" s="4916" customFormat="1" ht="28.8" x14ac:dyDescent="0.3">
      <c r="B5" s="4913" t="s">
        <v>1369</v>
      </c>
      <c r="C5" s="4914">
        <v>3</v>
      </c>
      <c r="D5" s="4914">
        <v>5</v>
      </c>
      <c r="E5" s="4914">
        <v>5</v>
      </c>
      <c r="F5" s="4914">
        <v>10</v>
      </c>
      <c r="G5" s="4914">
        <v>13</v>
      </c>
      <c r="H5" s="4914">
        <v>7</v>
      </c>
      <c r="I5" s="4914">
        <v>10</v>
      </c>
      <c r="J5" s="4914">
        <v>12</v>
      </c>
      <c r="K5" s="4914">
        <v>8</v>
      </c>
      <c r="L5" s="4915">
        <v>8</v>
      </c>
      <c r="M5" s="4914">
        <v>7</v>
      </c>
      <c r="N5" s="4914">
        <v>10</v>
      </c>
      <c r="O5" s="4910">
        <v>5</v>
      </c>
      <c r="P5" s="4910">
        <v>3</v>
      </c>
      <c r="Q5" s="4910">
        <v>5</v>
      </c>
      <c r="R5" s="4910">
        <v>1</v>
      </c>
      <c r="S5" s="4910">
        <v>4</v>
      </c>
    </row>
    <row r="6" spans="2:19" s="4916" customFormat="1" ht="28.8" hidden="1" x14ac:dyDescent="0.3">
      <c r="B6" s="4917" t="s">
        <v>1370</v>
      </c>
      <c r="C6" s="4918">
        <v>1</v>
      </c>
      <c r="D6" s="4918">
        <v>2</v>
      </c>
      <c r="E6" s="4918">
        <v>1</v>
      </c>
      <c r="F6" s="4918">
        <v>4</v>
      </c>
      <c r="G6" s="4918">
        <v>1</v>
      </c>
      <c r="H6" s="4918">
        <v>6</v>
      </c>
      <c r="I6" s="4918">
        <v>3</v>
      </c>
      <c r="J6" s="4918">
        <v>4</v>
      </c>
      <c r="K6" s="4918"/>
      <c r="L6" s="4919"/>
      <c r="M6" s="4918">
        <v>2</v>
      </c>
      <c r="N6" s="4918"/>
      <c r="O6" s="4911"/>
      <c r="P6" s="4911"/>
      <c r="Q6" s="4911"/>
      <c r="R6" s="4911"/>
      <c r="S6" s="4911"/>
    </row>
    <row r="7" spans="2:19" s="4916" customFormat="1" ht="28.8" x14ac:dyDescent="0.3">
      <c r="B7" s="4917" t="s">
        <v>1371</v>
      </c>
      <c r="C7" s="4918"/>
      <c r="D7" s="4918">
        <v>25</v>
      </c>
      <c r="E7" s="4918">
        <v>14</v>
      </c>
      <c r="F7" s="4918">
        <v>10</v>
      </c>
      <c r="G7" s="4918">
        <v>19</v>
      </c>
      <c r="H7" s="4918">
        <v>5</v>
      </c>
      <c r="I7" s="4918">
        <v>6</v>
      </c>
      <c r="J7" s="4918">
        <v>18</v>
      </c>
      <c r="K7" s="4918">
        <v>19</v>
      </c>
      <c r="L7" s="4919">
        <v>6</v>
      </c>
      <c r="M7" s="4918">
        <v>11</v>
      </c>
      <c r="N7" s="4918">
        <v>19</v>
      </c>
      <c r="O7" s="4911">
        <v>22</v>
      </c>
      <c r="P7" s="4911">
        <v>25</v>
      </c>
      <c r="Q7" s="4911">
        <v>17</v>
      </c>
      <c r="R7" s="4911">
        <v>11</v>
      </c>
      <c r="S7" s="4911">
        <v>21</v>
      </c>
    </row>
    <row r="8" spans="2:19" s="4916" customFormat="1" ht="20.100000000000001" customHeight="1" x14ac:dyDescent="0.3">
      <c r="B8" s="4917" t="s">
        <v>1372</v>
      </c>
      <c r="C8" s="4918"/>
      <c r="D8" s="4918"/>
      <c r="E8" s="4918"/>
      <c r="F8" s="4918">
        <v>5</v>
      </c>
      <c r="G8" s="4918">
        <v>13</v>
      </c>
      <c r="H8" s="4918">
        <v>11</v>
      </c>
      <c r="I8" s="4918">
        <v>11</v>
      </c>
      <c r="J8" s="4918">
        <v>14</v>
      </c>
      <c r="K8" s="4918">
        <v>13</v>
      </c>
      <c r="L8" s="4919">
        <v>7</v>
      </c>
      <c r="M8" s="4918">
        <v>8</v>
      </c>
      <c r="N8" s="4918">
        <v>12</v>
      </c>
      <c r="O8" s="4911">
        <v>7</v>
      </c>
      <c r="P8" s="4911">
        <v>5</v>
      </c>
      <c r="Q8" s="4911">
        <v>4</v>
      </c>
      <c r="R8" s="4911">
        <v>5</v>
      </c>
      <c r="S8" s="4911">
        <v>8</v>
      </c>
    </row>
    <row r="9" spans="2:19" s="4916" customFormat="1" ht="20.100000000000001" customHeight="1" x14ac:dyDescent="0.3">
      <c r="B9" s="4917" t="s">
        <v>1373</v>
      </c>
      <c r="C9" s="4918"/>
      <c r="D9" s="4918">
        <v>3</v>
      </c>
      <c r="E9" s="4918">
        <v>3</v>
      </c>
      <c r="F9" s="4918">
        <v>6</v>
      </c>
      <c r="G9" s="4918">
        <v>7</v>
      </c>
      <c r="H9" s="4918">
        <v>4</v>
      </c>
      <c r="I9" s="4918">
        <v>3</v>
      </c>
      <c r="J9" s="4918">
        <v>4</v>
      </c>
      <c r="K9" s="4918">
        <v>13</v>
      </c>
      <c r="L9" s="4919">
        <v>6</v>
      </c>
      <c r="M9" s="4918">
        <v>6</v>
      </c>
      <c r="N9" s="4918">
        <v>5</v>
      </c>
      <c r="O9" s="4911">
        <v>9</v>
      </c>
      <c r="P9" s="4911">
        <v>8</v>
      </c>
      <c r="Q9" s="4911">
        <v>12</v>
      </c>
      <c r="R9" s="4911">
        <v>4</v>
      </c>
      <c r="S9" s="4911">
        <v>7</v>
      </c>
    </row>
    <row r="10" spans="2:19" s="4916" customFormat="1" ht="20.100000000000001" hidden="1" customHeight="1" x14ac:dyDescent="0.3">
      <c r="B10" s="4917" t="s">
        <v>1374</v>
      </c>
      <c r="C10" s="4918"/>
      <c r="D10" s="4918">
        <v>6</v>
      </c>
      <c r="E10" s="4918">
        <v>10</v>
      </c>
      <c r="F10" s="4918">
        <v>8</v>
      </c>
      <c r="G10" s="4918"/>
      <c r="H10" s="4918">
        <v>1</v>
      </c>
      <c r="I10" s="4918">
        <v>6</v>
      </c>
      <c r="J10" s="4918">
        <v>6</v>
      </c>
      <c r="K10" s="4918">
        <v>10</v>
      </c>
      <c r="L10" s="4919">
        <v>6</v>
      </c>
      <c r="M10" s="4918">
        <v>5</v>
      </c>
      <c r="N10" s="4918">
        <v>2</v>
      </c>
      <c r="O10" s="4911">
        <v>1</v>
      </c>
      <c r="P10" s="4911">
        <v>1</v>
      </c>
      <c r="Q10" s="4911"/>
      <c r="R10" s="4911"/>
      <c r="S10" s="4911"/>
    </row>
    <row r="11" spans="2:19" s="4916" customFormat="1" ht="20.100000000000001" customHeight="1" x14ac:dyDescent="0.3">
      <c r="B11" s="4917" t="s">
        <v>1375</v>
      </c>
      <c r="C11" s="4918">
        <v>25</v>
      </c>
      <c r="D11" s="4918">
        <v>107</v>
      </c>
      <c r="E11" s="4918">
        <v>90</v>
      </c>
      <c r="F11" s="4918">
        <v>63</v>
      </c>
      <c r="G11" s="4918">
        <v>117</v>
      </c>
      <c r="H11" s="4918">
        <v>89</v>
      </c>
      <c r="I11" s="4918">
        <v>147</v>
      </c>
      <c r="J11" s="4918">
        <f>73</f>
        <v>73</v>
      </c>
      <c r="K11" s="4918">
        <v>169</v>
      </c>
      <c r="L11" s="4919">
        <v>214</v>
      </c>
      <c r="M11" s="4918">
        <v>96</v>
      </c>
      <c r="N11" s="4918">
        <v>275</v>
      </c>
      <c r="O11" s="4911">
        <v>155</v>
      </c>
      <c r="P11" s="4911">
        <v>257</v>
      </c>
      <c r="Q11" s="4911">
        <v>270</v>
      </c>
      <c r="R11" s="4911">
        <v>209</v>
      </c>
      <c r="S11" s="4911">
        <v>245</v>
      </c>
    </row>
    <row r="12" spans="2:19" s="4916" customFormat="1" ht="20.100000000000001" customHeight="1" x14ac:dyDescent="0.3">
      <c r="B12" s="5639" t="s">
        <v>1640</v>
      </c>
      <c r="C12" s="4920">
        <v>89374.3</v>
      </c>
      <c r="D12" s="4920">
        <v>295329.39</v>
      </c>
      <c r="E12" s="4920">
        <v>506434.43</v>
      </c>
      <c r="F12" s="4920">
        <v>641066.19999999995</v>
      </c>
      <c r="G12" s="4920">
        <v>342941.94</v>
      </c>
      <c r="H12" s="4920">
        <v>1479253.5</v>
      </c>
      <c r="I12" s="4920">
        <v>1460138</v>
      </c>
      <c r="J12" s="4920">
        <v>1413535.9</v>
      </c>
      <c r="K12" s="4921">
        <v>1410409.4</v>
      </c>
      <c r="L12" s="4921">
        <v>1419708.74</v>
      </c>
      <c r="M12" s="4922">
        <v>933722</v>
      </c>
      <c r="N12" s="4922">
        <v>591365</v>
      </c>
      <c r="O12" s="4912">
        <v>1139156</v>
      </c>
      <c r="P12" s="4912">
        <v>956638</v>
      </c>
      <c r="Q12" s="4912">
        <v>942490</v>
      </c>
      <c r="R12" s="4912">
        <v>878454</v>
      </c>
      <c r="S12" s="4912">
        <v>865105</v>
      </c>
    </row>
    <row r="13" spans="2:19" x14ac:dyDescent="0.3">
      <c r="P13" s="4287"/>
      <c r="R13" s="4287"/>
      <c r="S13" s="4287" t="s">
        <v>1639</v>
      </c>
    </row>
    <row r="14" spans="2:19" x14ac:dyDescent="0.3">
      <c r="B14" s="5640" t="s">
        <v>1641</v>
      </c>
    </row>
    <row r="15" spans="2:19" x14ac:dyDescent="0.3">
      <c r="B15" s="5641" t="s">
        <v>1642</v>
      </c>
    </row>
    <row r="17" ht="14.25" customHeight="1" x14ac:dyDescent="0.3"/>
  </sheetData>
  <printOptions horizontalCentered="1" verticalCentered="1"/>
  <pageMargins left="0.70866141732283472" right="0.70866141732283472" top="0.74803149606299213" bottom="0.74803149606299213" header="0.31496062992125984" footer="0.31496062992125984"/>
  <pageSetup scale="66" firstPageNumber="182" orientation="landscape" useFirstPageNumber="1" r:id="rId1"/>
  <headerFooter scaleWithDoc="0" alignWithMargins="0">
    <oddFooter>&amp;R&amp;P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1:BJ110"/>
  <sheetViews>
    <sheetView showGridLines="0" zoomScaleNormal="100" workbookViewId="0">
      <pane xSplit="2" ySplit="4" topLeftCell="AV5" activePane="bottomRight" state="frozen"/>
      <selection activeCell="Q31" sqref="Q31"/>
      <selection pane="topRight" activeCell="Q31" sqref="Q31"/>
      <selection pane="bottomLeft" activeCell="Q31" sqref="Q31"/>
      <selection pane="bottomRight" activeCell="Q31" sqref="Q31"/>
    </sheetView>
  </sheetViews>
  <sheetFormatPr baseColWidth="10" defaultColWidth="11.44140625" defaultRowHeight="15" x14ac:dyDescent="0.25"/>
  <cols>
    <col min="1" max="1" width="2.88671875" style="372" customWidth="1"/>
    <col min="2" max="2" width="45.44140625" style="372" bestFit="1" customWidth="1"/>
    <col min="3" max="62" width="8.88671875" style="372" customWidth="1"/>
    <col min="63" max="255" width="11.44140625" style="372"/>
    <col min="256" max="256" width="2" style="372" customWidth="1"/>
    <col min="257" max="257" width="20.5546875" style="372" bestFit="1" customWidth="1"/>
    <col min="258" max="258" width="5.88671875" style="372" bestFit="1" customWidth="1"/>
    <col min="259" max="259" width="35.88671875" style="372" customWidth="1"/>
    <col min="260" max="261" width="9.88671875" style="372" customWidth="1"/>
    <col min="262" max="262" width="11.5546875" style="372" customWidth="1"/>
    <col min="263" max="264" width="9.88671875" style="372" customWidth="1"/>
    <col min="265" max="265" width="12.109375" style="372" customWidth="1"/>
    <col min="266" max="267" width="9.88671875" style="372" customWidth="1"/>
    <col min="268" max="268" width="10.88671875" style="372" customWidth="1"/>
    <col min="269" max="270" width="9.88671875" style="372" customWidth="1"/>
    <col min="271" max="271" width="11.44140625" style="372" customWidth="1"/>
    <col min="272" max="273" width="9.88671875" style="372" customWidth="1"/>
    <col min="274" max="274" width="10.88671875" style="372" customWidth="1"/>
    <col min="275" max="276" width="9.88671875" style="372" customWidth="1"/>
    <col min="277" max="277" width="10.88671875" style="372" customWidth="1"/>
    <col min="278" max="279" width="9.88671875" style="372" customWidth="1"/>
    <col min="280" max="280" width="10.88671875" style="372" customWidth="1"/>
    <col min="281" max="511" width="11.44140625" style="372"/>
    <col min="512" max="512" width="2" style="372" customWidth="1"/>
    <col min="513" max="513" width="20.5546875" style="372" bestFit="1" customWidth="1"/>
    <col min="514" max="514" width="5.88671875" style="372" bestFit="1" customWidth="1"/>
    <col min="515" max="515" width="35.88671875" style="372" customWidth="1"/>
    <col min="516" max="517" width="9.88671875" style="372" customWidth="1"/>
    <col min="518" max="518" width="11.5546875" style="372" customWidth="1"/>
    <col min="519" max="520" width="9.88671875" style="372" customWidth="1"/>
    <col min="521" max="521" width="12.109375" style="372" customWidth="1"/>
    <col min="522" max="523" width="9.88671875" style="372" customWidth="1"/>
    <col min="524" max="524" width="10.88671875" style="372" customWidth="1"/>
    <col min="525" max="526" width="9.88671875" style="372" customWidth="1"/>
    <col min="527" max="527" width="11.44140625" style="372" customWidth="1"/>
    <col min="528" max="529" width="9.88671875" style="372" customWidth="1"/>
    <col min="530" max="530" width="10.88671875" style="372" customWidth="1"/>
    <col min="531" max="532" width="9.88671875" style="372" customWidth="1"/>
    <col min="533" max="533" width="10.88671875" style="372" customWidth="1"/>
    <col min="534" max="535" width="9.88671875" style="372" customWidth="1"/>
    <col min="536" max="536" width="10.88671875" style="372" customWidth="1"/>
    <col min="537" max="767" width="11.44140625" style="372"/>
    <col min="768" max="768" width="2" style="372" customWidth="1"/>
    <col min="769" max="769" width="20.5546875" style="372" bestFit="1" customWidth="1"/>
    <col min="770" max="770" width="5.88671875" style="372" bestFit="1" customWidth="1"/>
    <col min="771" max="771" width="35.88671875" style="372" customWidth="1"/>
    <col min="772" max="773" width="9.88671875" style="372" customWidth="1"/>
    <col min="774" max="774" width="11.5546875" style="372" customWidth="1"/>
    <col min="775" max="776" width="9.88671875" style="372" customWidth="1"/>
    <col min="777" max="777" width="12.109375" style="372" customWidth="1"/>
    <col min="778" max="779" width="9.88671875" style="372" customWidth="1"/>
    <col min="780" max="780" width="10.88671875" style="372" customWidth="1"/>
    <col min="781" max="782" width="9.88671875" style="372" customWidth="1"/>
    <col min="783" max="783" width="11.44140625" style="372" customWidth="1"/>
    <col min="784" max="785" width="9.88671875" style="372" customWidth="1"/>
    <col min="786" max="786" width="10.88671875" style="372" customWidth="1"/>
    <col min="787" max="788" width="9.88671875" style="372" customWidth="1"/>
    <col min="789" max="789" width="10.88671875" style="372" customWidth="1"/>
    <col min="790" max="791" width="9.88671875" style="372" customWidth="1"/>
    <col min="792" max="792" width="10.88671875" style="372" customWidth="1"/>
    <col min="793" max="1023" width="11.44140625" style="372"/>
    <col min="1024" max="1024" width="2" style="372" customWidth="1"/>
    <col min="1025" max="1025" width="20.5546875" style="372" bestFit="1" customWidth="1"/>
    <col min="1026" max="1026" width="5.88671875" style="372" bestFit="1" customWidth="1"/>
    <col min="1027" max="1027" width="35.88671875" style="372" customWidth="1"/>
    <col min="1028" max="1029" width="9.88671875" style="372" customWidth="1"/>
    <col min="1030" max="1030" width="11.5546875" style="372" customWidth="1"/>
    <col min="1031" max="1032" width="9.88671875" style="372" customWidth="1"/>
    <col min="1033" max="1033" width="12.109375" style="372" customWidth="1"/>
    <col min="1034" max="1035" width="9.88671875" style="372" customWidth="1"/>
    <col min="1036" max="1036" width="10.88671875" style="372" customWidth="1"/>
    <col min="1037" max="1038" width="9.88671875" style="372" customWidth="1"/>
    <col min="1039" max="1039" width="11.44140625" style="372" customWidth="1"/>
    <col min="1040" max="1041" width="9.88671875" style="372" customWidth="1"/>
    <col min="1042" max="1042" width="10.88671875" style="372" customWidth="1"/>
    <col min="1043" max="1044" width="9.88671875" style="372" customWidth="1"/>
    <col min="1045" max="1045" width="10.88671875" style="372" customWidth="1"/>
    <col min="1046" max="1047" width="9.88671875" style="372" customWidth="1"/>
    <col min="1048" max="1048" width="10.88671875" style="372" customWidth="1"/>
    <col min="1049" max="1279" width="11.44140625" style="372"/>
    <col min="1280" max="1280" width="2" style="372" customWidth="1"/>
    <col min="1281" max="1281" width="20.5546875" style="372" bestFit="1" customWidth="1"/>
    <col min="1282" max="1282" width="5.88671875" style="372" bestFit="1" customWidth="1"/>
    <col min="1283" max="1283" width="35.88671875" style="372" customWidth="1"/>
    <col min="1284" max="1285" width="9.88671875" style="372" customWidth="1"/>
    <col min="1286" max="1286" width="11.5546875" style="372" customWidth="1"/>
    <col min="1287" max="1288" width="9.88671875" style="372" customWidth="1"/>
    <col min="1289" max="1289" width="12.109375" style="372" customWidth="1"/>
    <col min="1290" max="1291" width="9.88671875" style="372" customWidth="1"/>
    <col min="1292" max="1292" width="10.88671875" style="372" customWidth="1"/>
    <col min="1293" max="1294" width="9.88671875" style="372" customWidth="1"/>
    <col min="1295" max="1295" width="11.44140625" style="372" customWidth="1"/>
    <col min="1296" max="1297" width="9.88671875" style="372" customWidth="1"/>
    <col min="1298" max="1298" width="10.88671875" style="372" customWidth="1"/>
    <col min="1299" max="1300" width="9.88671875" style="372" customWidth="1"/>
    <col min="1301" max="1301" width="10.88671875" style="372" customWidth="1"/>
    <col min="1302" max="1303" width="9.88671875" style="372" customWidth="1"/>
    <col min="1304" max="1304" width="10.88671875" style="372" customWidth="1"/>
    <col min="1305" max="1535" width="11.44140625" style="372"/>
    <col min="1536" max="1536" width="2" style="372" customWidth="1"/>
    <col min="1537" max="1537" width="20.5546875" style="372" bestFit="1" customWidth="1"/>
    <col min="1538" max="1538" width="5.88671875" style="372" bestFit="1" customWidth="1"/>
    <col min="1539" max="1539" width="35.88671875" style="372" customWidth="1"/>
    <col min="1540" max="1541" width="9.88671875" style="372" customWidth="1"/>
    <col min="1542" max="1542" width="11.5546875" style="372" customWidth="1"/>
    <col min="1543" max="1544" width="9.88671875" style="372" customWidth="1"/>
    <col min="1545" max="1545" width="12.109375" style="372" customWidth="1"/>
    <col min="1546" max="1547" width="9.88671875" style="372" customWidth="1"/>
    <col min="1548" max="1548" width="10.88671875" style="372" customWidth="1"/>
    <col min="1549" max="1550" width="9.88671875" style="372" customWidth="1"/>
    <col min="1551" max="1551" width="11.44140625" style="372" customWidth="1"/>
    <col min="1552" max="1553" width="9.88671875" style="372" customWidth="1"/>
    <col min="1554" max="1554" width="10.88671875" style="372" customWidth="1"/>
    <col min="1555" max="1556" width="9.88671875" style="372" customWidth="1"/>
    <col min="1557" max="1557" width="10.88671875" style="372" customWidth="1"/>
    <col min="1558" max="1559" width="9.88671875" style="372" customWidth="1"/>
    <col min="1560" max="1560" width="10.88671875" style="372" customWidth="1"/>
    <col min="1561" max="1791" width="11.44140625" style="372"/>
    <col min="1792" max="1792" width="2" style="372" customWidth="1"/>
    <col min="1793" max="1793" width="20.5546875" style="372" bestFit="1" customWidth="1"/>
    <col min="1794" max="1794" width="5.88671875" style="372" bestFit="1" customWidth="1"/>
    <col min="1795" max="1795" width="35.88671875" style="372" customWidth="1"/>
    <col min="1796" max="1797" width="9.88671875" style="372" customWidth="1"/>
    <col min="1798" max="1798" width="11.5546875" style="372" customWidth="1"/>
    <col min="1799" max="1800" width="9.88671875" style="372" customWidth="1"/>
    <col min="1801" max="1801" width="12.109375" style="372" customWidth="1"/>
    <col min="1802" max="1803" width="9.88671875" style="372" customWidth="1"/>
    <col min="1804" max="1804" width="10.88671875" style="372" customWidth="1"/>
    <col min="1805" max="1806" width="9.88671875" style="372" customWidth="1"/>
    <col min="1807" max="1807" width="11.44140625" style="372" customWidth="1"/>
    <col min="1808" max="1809" width="9.88671875" style="372" customWidth="1"/>
    <col min="1810" max="1810" width="10.88671875" style="372" customWidth="1"/>
    <col min="1811" max="1812" width="9.88671875" style="372" customWidth="1"/>
    <col min="1813" max="1813" width="10.88671875" style="372" customWidth="1"/>
    <col min="1814" max="1815" width="9.88671875" style="372" customWidth="1"/>
    <col min="1816" max="1816" width="10.88671875" style="372" customWidth="1"/>
    <col min="1817" max="2047" width="11.44140625" style="372"/>
    <col min="2048" max="2048" width="2" style="372" customWidth="1"/>
    <col min="2049" max="2049" width="20.5546875" style="372" bestFit="1" customWidth="1"/>
    <col min="2050" max="2050" width="5.88671875" style="372" bestFit="1" customWidth="1"/>
    <col min="2051" max="2051" width="35.88671875" style="372" customWidth="1"/>
    <col min="2052" max="2053" width="9.88671875" style="372" customWidth="1"/>
    <col min="2054" max="2054" width="11.5546875" style="372" customWidth="1"/>
    <col min="2055" max="2056" width="9.88671875" style="372" customWidth="1"/>
    <col min="2057" max="2057" width="12.109375" style="372" customWidth="1"/>
    <col min="2058" max="2059" width="9.88671875" style="372" customWidth="1"/>
    <col min="2060" max="2060" width="10.88671875" style="372" customWidth="1"/>
    <col min="2061" max="2062" width="9.88671875" style="372" customWidth="1"/>
    <col min="2063" max="2063" width="11.44140625" style="372" customWidth="1"/>
    <col min="2064" max="2065" width="9.88671875" style="372" customWidth="1"/>
    <col min="2066" max="2066" width="10.88671875" style="372" customWidth="1"/>
    <col min="2067" max="2068" width="9.88671875" style="372" customWidth="1"/>
    <col min="2069" max="2069" width="10.88671875" style="372" customWidth="1"/>
    <col min="2070" max="2071" width="9.88671875" style="372" customWidth="1"/>
    <col min="2072" max="2072" width="10.88671875" style="372" customWidth="1"/>
    <col min="2073" max="2303" width="11.44140625" style="372"/>
    <col min="2304" max="2304" width="2" style="372" customWidth="1"/>
    <col min="2305" max="2305" width="20.5546875" style="372" bestFit="1" customWidth="1"/>
    <col min="2306" max="2306" width="5.88671875" style="372" bestFit="1" customWidth="1"/>
    <col min="2307" max="2307" width="35.88671875" style="372" customWidth="1"/>
    <col min="2308" max="2309" width="9.88671875" style="372" customWidth="1"/>
    <col min="2310" max="2310" width="11.5546875" style="372" customWidth="1"/>
    <col min="2311" max="2312" width="9.88671875" style="372" customWidth="1"/>
    <col min="2313" max="2313" width="12.109375" style="372" customWidth="1"/>
    <col min="2314" max="2315" width="9.88671875" style="372" customWidth="1"/>
    <col min="2316" max="2316" width="10.88671875" style="372" customWidth="1"/>
    <col min="2317" max="2318" width="9.88671875" style="372" customWidth="1"/>
    <col min="2319" max="2319" width="11.44140625" style="372" customWidth="1"/>
    <col min="2320" max="2321" width="9.88671875" style="372" customWidth="1"/>
    <col min="2322" max="2322" width="10.88671875" style="372" customWidth="1"/>
    <col min="2323" max="2324" width="9.88671875" style="372" customWidth="1"/>
    <col min="2325" max="2325" width="10.88671875" style="372" customWidth="1"/>
    <col min="2326" max="2327" width="9.88671875" style="372" customWidth="1"/>
    <col min="2328" max="2328" width="10.88671875" style="372" customWidth="1"/>
    <col min="2329" max="2559" width="11.44140625" style="372"/>
    <col min="2560" max="2560" width="2" style="372" customWidth="1"/>
    <col min="2561" max="2561" width="20.5546875" style="372" bestFit="1" customWidth="1"/>
    <col min="2562" max="2562" width="5.88671875" style="372" bestFit="1" customWidth="1"/>
    <col min="2563" max="2563" width="35.88671875" style="372" customWidth="1"/>
    <col min="2564" max="2565" width="9.88671875" style="372" customWidth="1"/>
    <col min="2566" max="2566" width="11.5546875" style="372" customWidth="1"/>
    <col min="2567" max="2568" width="9.88671875" style="372" customWidth="1"/>
    <col min="2569" max="2569" width="12.109375" style="372" customWidth="1"/>
    <col min="2570" max="2571" width="9.88671875" style="372" customWidth="1"/>
    <col min="2572" max="2572" width="10.88671875" style="372" customWidth="1"/>
    <col min="2573" max="2574" width="9.88671875" style="372" customWidth="1"/>
    <col min="2575" max="2575" width="11.44140625" style="372" customWidth="1"/>
    <col min="2576" max="2577" width="9.88671875" style="372" customWidth="1"/>
    <col min="2578" max="2578" width="10.88671875" style="372" customWidth="1"/>
    <col min="2579" max="2580" width="9.88671875" style="372" customWidth="1"/>
    <col min="2581" max="2581" width="10.88671875" style="372" customWidth="1"/>
    <col min="2582" max="2583" width="9.88671875" style="372" customWidth="1"/>
    <col min="2584" max="2584" width="10.88671875" style="372" customWidth="1"/>
    <col min="2585" max="2815" width="11.44140625" style="372"/>
    <col min="2816" max="2816" width="2" style="372" customWidth="1"/>
    <col min="2817" max="2817" width="20.5546875" style="372" bestFit="1" customWidth="1"/>
    <col min="2818" max="2818" width="5.88671875" style="372" bestFit="1" customWidth="1"/>
    <col min="2819" max="2819" width="35.88671875" style="372" customWidth="1"/>
    <col min="2820" max="2821" width="9.88671875" style="372" customWidth="1"/>
    <col min="2822" max="2822" width="11.5546875" style="372" customWidth="1"/>
    <col min="2823" max="2824" width="9.88671875" style="372" customWidth="1"/>
    <col min="2825" max="2825" width="12.109375" style="372" customWidth="1"/>
    <col min="2826" max="2827" width="9.88671875" style="372" customWidth="1"/>
    <col min="2828" max="2828" width="10.88671875" style="372" customWidth="1"/>
    <col min="2829" max="2830" width="9.88671875" style="372" customWidth="1"/>
    <col min="2831" max="2831" width="11.44140625" style="372" customWidth="1"/>
    <col min="2832" max="2833" width="9.88671875" style="372" customWidth="1"/>
    <col min="2834" max="2834" width="10.88671875" style="372" customWidth="1"/>
    <col min="2835" max="2836" width="9.88671875" style="372" customWidth="1"/>
    <col min="2837" max="2837" width="10.88671875" style="372" customWidth="1"/>
    <col min="2838" max="2839" width="9.88671875" style="372" customWidth="1"/>
    <col min="2840" max="2840" width="10.88671875" style="372" customWidth="1"/>
    <col min="2841" max="3071" width="11.44140625" style="372"/>
    <col min="3072" max="3072" width="2" style="372" customWidth="1"/>
    <col min="3073" max="3073" width="20.5546875" style="372" bestFit="1" customWidth="1"/>
    <col min="3074" max="3074" width="5.88671875" style="372" bestFit="1" customWidth="1"/>
    <col min="3075" max="3075" width="35.88671875" style="372" customWidth="1"/>
    <col min="3076" max="3077" width="9.88671875" style="372" customWidth="1"/>
    <col min="3078" max="3078" width="11.5546875" style="372" customWidth="1"/>
    <col min="3079" max="3080" width="9.88671875" style="372" customWidth="1"/>
    <col min="3081" max="3081" width="12.109375" style="372" customWidth="1"/>
    <col min="3082" max="3083" width="9.88671875" style="372" customWidth="1"/>
    <col min="3084" max="3084" width="10.88671875" style="372" customWidth="1"/>
    <col min="3085" max="3086" width="9.88671875" style="372" customWidth="1"/>
    <col min="3087" max="3087" width="11.44140625" style="372" customWidth="1"/>
    <col min="3088" max="3089" width="9.88671875" style="372" customWidth="1"/>
    <col min="3090" max="3090" width="10.88671875" style="372" customWidth="1"/>
    <col min="3091" max="3092" width="9.88671875" style="372" customWidth="1"/>
    <col min="3093" max="3093" width="10.88671875" style="372" customWidth="1"/>
    <col min="3094" max="3095" width="9.88671875" style="372" customWidth="1"/>
    <col min="3096" max="3096" width="10.88671875" style="372" customWidth="1"/>
    <col min="3097" max="3327" width="11.44140625" style="372"/>
    <col min="3328" max="3328" width="2" style="372" customWidth="1"/>
    <col min="3329" max="3329" width="20.5546875" style="372" bestFit="1" customWidth="1"/>
    <col min="3330" max="3330" width="5.88671875" style="372" bestFit="1" customWidth="1"/>
    <col min="3331" max="3331" width="35.88671875" style="372" customWidth="1"/>
    <col min="3332" max="3333" width="9.88671875" style="372" customWidth="1"/>
    <col min="3334" max="3334" width="11.5546875" style="372" customWidth="1"/>
    <col min="3335" max="3336" width="9.88671875" style="372" customWidth="1"/>
    <col min="3337" max="3337" width="12.109375" style="372" customWidth="1"/>
    <col min="3338" max="3339" width="9.88671875" style="372" customWidth="1"/>
    <col min="3340" max="3340" width="10.88671875" style="372" customWidth="1"/>
    <col min="3341" max="3342" width="9.88671875" style="372" customWidth="1"/>
    <col min="3343" max="3343" width="11.44140625" style="372" customWidth="1"/>
    <col min="3344" max="3345" width="9.88671875" style="372" customWidth="1"/>
    <col min="3346" max="3346" width="10.88671875" style="372" customWidth="1"/>
    <col min="3347" max="3348" width="9.88671875" style="372" customWidth="1"/>
    <col min="3349" max="3349" width="10.88671875" style="372" customWidth="1"/>
    <col min="3350" max="3351" width="9.88671875" style="372" customWidth="1"/>
    <col min="3352" max="3352" width="10.88671875" style="372" customWidth="1"/>
    <col min="3353" max="3583" width="11.44140625" style="372"/>
    <col min="3584" max="3584" width="2" style="372" customWidth="1"/>
    <col min="3585" max="3585" width="20.5546875" style="372" bestFit="1" customWidth="1"/>
    <col min="3586" max="3586" width="5.88671875" style="372" bestFit="1" customWidth="1"/>
    <col min="3587" max="3587" width="35.88671875" style="372" customWidth="1"/>
    <col min="3588" max="3589" width="9.88671875" style="372" customWidth="1"/>
    <col min="3590" max="3590" width="11.5546875" style="372" customWidth="1"/>
    <col min="3591" max="3592" width="9.88671875" style="372" customWidth="1"/>
    <col min="3593" max="3593" width="12.109375" style="372" customWidth="1"/>
    <col min="3594" max="3595" width="9.88671875" style="372" customWidth="1"/>
    <col min="3596" max="3596" width="10.88671875" style="372" customWidth="1"/>
    <col min="3597" max="3598" width="9.88671875" style="372" customWidth="1"/>
    <col min="3599" max="3599" width="11.44140625" style="372" customWidth="1"/>
    <col min="3600" max="3601" width="9.88671875" style="372" customWidth="1"/>
    <col min="3602" max="3602" width="10.88671875" style="372" customWidth="1"/>
    <col min="3603" max="3604" width="9.88671875" style="372" customWidth="1"/>
    <col min="3605" max="3605" width="10.88671875" style="372" customWidth="1"/>
    <col min="3606" max="3607" width="9.88671875" style="372" customWidth="1"/>
    <col min="3608" max="3608" width="10.88671875" style="372" customWidth="1"/>
    <col min="3609" max="3839" width="11.44140625" style="372"/>
    <col min="3840" max="3840" width="2" style="372" customWidth="1"/>
    <col min="3841" max="3841" width="20.5546875" style="372" bestFit="1" customWidth="1"/>
    <col min="3842" max="3842" width="5.88671875" style="372" bestFit="1" customWidth="1"/>
    <col min="3843" max="3843" width="35.88671875" style="372" customWidth="1"/>
    <col min="3844" max="3845" width="9.88671875" style="372" customWidth="1"/>
    <col min="3846" max="3846" width="11.5546875" style="372" customWidth="1"/>
    <col min="3847" max="3848" width="9.88671875" style="372" customWidth="1"/>
    <col min="3849" max="3849" width="12.109375" style="372" customWidth="1"/>
    <col min="3850" max="3851" width="9.88671875" style="372" customWidth="1"/>
    <col min="3852" max="3852" width="10.88671875" style="372" customWidth="1"/>
    <col min="3853" max="3854" width="9.88671875" style="372" customWidth="1"/>
    <col min="3855" max="3855" width="11.44140625" style="372" customWidth="1"/>
    <col min="3856" max="3857" width="9.88671875" style="372" customWidth="1"/>
    <col min="3858" max="3858" width="10.88671875" style="372" customWidth="1"/>
    <col min="3859" max="3860" width="9.88671875" style="372" customWidth="1"/>
    <col min="3861" max="3861" width="10.88671875" style="372" customWidth="1"/>
    <col min="3862" max="3863" width="9.88671875" style="372" customWidth="1"/>
    <col min="3864" max="3864" width="10.88671875" style="372" customWidth="1"/>
    <col min="3865" max="4095" width="11.44140625" style="372"/>
    <col min="4096" max="4096" width="2" style="372" customWidth="1"/>
    <col min="4097" max="4097" width="20.5546875" style="372" bestFit="1" customWidth="1"/>
    <col min="4098" max="4098" width="5.88671875" style="372" bestFit="1" customWidth="1"/>
    <col min="4099" max="4099" width="35.88671875" style="372" customWidth="1"/>
    <col min="4100" max="4101" width="9.88671875" style="372" customWidth="1"/>
    <col min="4102" max="4102" width="11.5546875" style="372" customWidth="1"/>
    <col min="4103" max="4104" width="9.88671875" style="372" customWidth="1"/>
    <col min="4105" max="4105" width="12.109375" style="372" customWidth="1"/>
    <col min="4106" max="4107" width="9.88671875" style="372" customWidth="1"/>
    <col min="4108" max="4108" width="10.88671875" style="372" customWidth="1"/>
    <col min="4109" max="4110" width="9.88671875" style="372" customWidth="1"/>
    <col min="4111" max="4111" width="11.44140625" style="372" customWidth="1"/>
    <col min="4112" max="4113" width="9.88671875" style="372" customWidth="1"/>
    <col min="4114" max="4114" width="10.88671875" style="372" customWidth="1"/>
    <col min="4115" max="4116" width="9.88671875" style="372" customWidth="1"/>
    <col min="4117" max="4117" width="10.88671875" style="372" customWidth="1"/>
    <col min="4118" max="4119" width="9.88671875" style="372" customWidth="1"/>
    <col min="4120" max="4120" width="10.88671875" style="372" customWidth="1"/>
    <col min="4121" max="4351" width="11.44140625" style="372"/>
    <col min="4352" max="4352" width="2" style="372" customWidth="1"/>
    <col min="4353" max="4353" width="20.5546875" style="372" bestFit="1" customWidth="1"/>
    <col min="4354" max="4354" width="5.88671875" style="372" bestFit="1" customWidth="1"/>
    <col min="4355" max="4355" width="35.88671875" style="372" customWidth="1"/>
    <col min="4356" max="4357" width="9.88671875" style="372" customWidth="1"/>
    <col min="4358" max="4358" width="11.5546875" style="372" customWidth="1"/>
    <col min="4359" max="4360" width="9.88671875" style="372" customWidth="1"/>
    <col min="4361" max="4361" width="12.109375" style="372" customWidth="1"/>
    <col min="4362" max="4363" width="9.88671875" style="372" customWidth="1"/>
    <col min="4364" max="4364" width="10.88671875" style="372" customWidth="1"/>
    <col min="4365" max="4366" width="9.88671875" style="372" customWidth="1"/>
    <col min="4367" max="4367" width="11.44140625" style="372" customWidth="1"/>
    <col min="4368" max="4369" width="9.88671875" style="372" customWidth="1"/>
    <col min="4370" max="4370" width="10.88671875" style="372" customWidth="1"/>
    <col min="4371" max="4372" width="9.88671875" style="372" customWidth="1"/>
    <col min="4373" max="4373" width="10.88671875" style="372" customWidth="1"/>
    <col min="4374" max="4375" width="9.88671875" style="372" customWidth="1"/>
    <col min="4376" max="4376" width="10.88671875" style="372" customWidth="1"/>
    <col min="4377" max="4607" width="11.44140625" style="372"/>
    <col min="4608" max="4608" width="2" style="372" customWidth="1"/>
    <col min="4609" max="4609" width="20.5546875" style="372" bestFit="1" customWidth="1"/>
    <col min="4610" max="4610" width="5.88671875" style="372" bestFit="1" customWidth="1"/>
    <col min="4611" max="4611" width="35.88671875" style="372" customWidth="1"/>
    <col min="4612" max="4613" width="9.88671875" style="372" customWidth="1"/>
    <col min="4614" max="4614" width="11.5546875" style="372" customWidth="1"/>
    <col min="4615" max="4616" width="9.88671875" style="372" customWidth="1"/>
    <col min="4617" max="4617" width="12.109375" style="372" customWidth="1"/>
    <col min="4618" max="4619" width="9.88671875" style="372" customWidth="1"/>
    <col min="4620" max="4620" width="10.88671875" style="372" customWidth="1"/>
    <col min="4621" max="4622" width="9.88671875" style="372" customWidth="1"/>
    <col min="4623" max="4623" width="11.44140625" style="372" customWidth="1"/>
    <col min="4624" max="4625" width="9.88671875" style="372" customWidth="1"/>
    <col min="4626" max="4626" width="10.88671875" style="372" customWidth="1"/>
    <col min="4627" max="4628" width="9.88671875" style="372" customWidth="1"/>
    <col min="4629" max="4629" width="10.88671875" style="372" customWidth="1"/>
    <col min="4630" max="4631" width="9.88671875" style="372" customWidth="1"/>
    <col min="4632" max="4632" width="10.88671875" style="372" customWidth="1"/>
    <col min="4633" max="4863" width="11.44140625" style="372"/>
    <col min="4864" max="4864" width="2" style="372" customWidth="1"/>
    <col min="4865" max="4865" width="20.5546875" style="372" bestFit="1" customWidth="1"/>
    <col min="4866" max="4866" width="5.88671875" style="372" bestFit="1" customWidth="1"/>
    <col min="4867" max="4867" width="35.88671875" style="372" customWidth="1"/>
    <col min="4868" max="4869" width="9.88671875" style="372" customWidth="1"/>
    <col min="4870" max="4870" width="11.5546875" style="372" customWidth="1"/>
    <col min="4871" max="4872" width="9.88671875" style="372" customWidth="1"/>
    <col min="4873" max="4873" width="12.109375" style="372" customWidth="1"/>
    <col min="4874" max="4875" width="9.88671875" style="372" customWidth="1"/>
    <col min="4876" max="4876" width="10.88671875" style="372" customWidth="1"/>
    <col min="4877" max="4878" width="9.88671875" style="372" customWidth="1"/>
    <col min="4879" max="4879" width="11.44140625" style="372" customWidth="1"/>
    <col min="4880" max="4881" width="9.88671875" style="372" customWidth="1"/>
    <col min="4882" max="4882" width="10.88671875" style="372" customWidth="1"/>
    <col min="4883" max="4884" width="9.88671875" style="372" customWidth="1"/>
    <col min="4885" max="4885" width="10.88671875" style="372" customWidth="1"/>
    <col min="4886" max="4887" width="9.88671875" style="372" customWidth="1"/>
    <col min="4888" max="4888" width="10.88671875" style="372" customWidth="1"/>
    <col min="4889" max="5119" width="11.44140625" style="372"/>
    <col min="5120" max="5120" width="2" style="372" customWidth="1"/>
    <col min="5121" max="5121" width="20.5546875" style="372" bestFit="1" customWidth="1"/>
    <col min="5122" max="5122" width="5.88671875" style="372" bestFit="1" customWidth="1"/>
    <col min="5123" max="5123" width="35.88671875" style="372" customWidth="1"/>
    <col min="5124" max="5125" width="9.88671875" style="372" customWidth="1"/>
    <col min="5126" max="5126" width="11.5546875" style="372" customWidth="1"/>
    <col min="5127" max="5128" width="9.88671875" style="372" customWidth="1"/>
    <col min="5129" max="5129" width="12.109375" style="372" customWidth="1"/>
    <col min="5130" max="5131" width="9.88671875" style="372" customWidth="1"/>
    <col min="5132" max="5132" width="10.88671875" style="372" customWidth="1"/>
    <col min="5133" max="5134" width="9.88671875" style="372" customWidth="1"/>
    <col min="5135" max="5135" width="11.44140625" style="372" customWidth="1"/>
    <col min="5136" max="5137" width="9.88671875" style="372" customWidth="1"/>
    <col min="5138" max="5138" width="10.88671875" style="372" customWidth="1"/>
    <col min="5139" max="5140" width="9.88671875" style="372" customWidth="1"/>
    <col min="5141" max="5141" width="10.88671875" style="372" customWidth="1"/>
    <col min="5142" max="5143" width="9.88671875" style="372" customWidth="1"/>
    <col min="5144" max="5144" width="10.88671875" style="372" customWidth="1"/>
    <col min="5145" max="5375" width="11.44140625" style="372"/>
    <col min="5376" max="5376" width="2" style="372" customWidth="1"/>
    <col min="5377" max="5377" width="20.5546875" style="372" bestFit="1" customWidth="1"/>
    <col min="5378" max="5378" width="5.88671875" style="372" bestFit="1" customWidth="1"/>
    <col min="5379" max="5379" width="35.88671875" style="372" customWidth="1"/>
    <col min="5380" max="5381" width="9.88671875" style="372" customWidth="1"/>
    <col min="5382" max="5382" width="11.5546875" style="372" customWidth="1"/>
    <col min="5383" max="5384" width="9.88671875" style="372" customWidth="1"/>
    <col min="5385" max="5385" width="12.109375" style="372" customWidth="1"/>
    <col min="5386" max="5387" width="9.88671875" style="372" customWidth="1"/>
    <col min="5388" max="5388" width="10.88671875" style="372" customWidth="1"/>
    <col min="5389" max="5390" width="9.88671875" style="372" customWidth="1"/>
    <col min="5391" max="5391" width="11.44140625" style="372" customWidth="1"/>
    <col min="5392" max="5393" width="9.88671875" style="372" customWidth="1"/>
    <col min="5394" max="5394" width="10.88671875" style="372" customWidth="1"/>
    <col min="5395" max="5396" width="9.88671875" style="372" customWidth="1"/>
    <col min="5397" max="5397" width="10.88671875" style="372" customWidth="1"/>
    <col min="5398" max="5399" width="9.88671875" style="372" customWidth="1"/>
    <col min="5400" max="5400" width="10.88671875" style="372" customWidth="1"/>
    <col min="5401" max="5631" width="11.44140625" style="372"/>
    <col min="5632" max="5632" width="2" style="372" customWidth="1"/>
    <col min="5633" max="5633" width="20.5546875" style="372" bestFit="1" customWidth="1"/>
    <col min="5634" max="5634" width="5.88671875" style="372" bestFit="1" customWidth="1"/>
    <col min="5635" max="5635" width="35.88671875" style="372" customWidth="1"/>
    <col min="5636" max="5637" width="9.88671875" style="372" customWidth="1"/>
    <col min="5638" max="5638" width="11.5546875" style="372" customWidth="1"/>
    <col min="5639" max="5640" width="9.88671875" style="372" customWidth="1"/>
    <col min="5641" max="5641" width="12.109375" style="372" customWidth="1"/>
    <col min="5642" max="5643" width="9.88671875" style="372" customWidth="1"/>
    <col min="5644" max="5644" width="10.88671875" style="372" customWidth="1"/>
    <col min="5645" max="5646" width="9.88671875" style="372" customWidth="1"/>
    <col min="5647" max="5647" width="11.44140625" style="372" customWidth="1"/>
    <col min="5648" max="5649" width="9.88671875" style="372" customWidth="1"/>
    <col min="5650" max="5650" width="10.88671875" style="372" customWidth="1"/>
    <col min="5651" max="5652" width="9.88671875" style="372" customWidth="1"/>
    <col min="5653" max="5653" width="10.88671875" style="372" customWidth="1"/>
    <col min="5654" max="5655" width="9.88671875" style="372" customWidth="1"/>
    <col min="5656" max="5656" width="10.88671875" style="372" customWidth="1"/>
    <col min="5657" max="5887" width="11.44140625" style="372"/>
    <col min="5888" max="5888" width="2" style="372" customWidth="1"/>
    <col min="5889" max="5889" width="20.5546875" style="372" bestFit="1" customWidth="1"/>
    <col min="5890" max="5890" width="5.88671875" style="372" bestFit="1" customWidth="1"/>
    <col min="5891" max="5891" width="35.88671875" style="372" customWidth="1"/>
    <col min="5892" max="5893" width="9.88671875" style="372" customWidth="1"/>
    <col min="5894" max="5894" width="11.5546875" style="372" customWidth="1"/>
    <col min="5895" max="5896" width="9.88671875" style="372" customWidth="1"/>
    <col min="5897" max="5897" width="12.109375" style="372" customWidth="1"/>
    <col min="5898" max="5899" width="9.88671875" style="372" customWidth="1"/>
    <col min="5900" max="5900" width="10.88671875" style="372" customWidth="1"/>
    <col min="5901" max="5902" width="9.88671875" style="372" customWidth="1"/>
    <col min="5903" max="5903" width="11.44140625" style="372" customWidth="1"/>
    <col min="5904" max="5905" width="9.88671875" style="372" customWidth="1"/>
    <col min="5906" max="5906" width="10.88671875" style="372" customWidth="1"/>
    <col min="5907" max="5908" width="9.88671875" style="372" customWidth="1"/>
    <col min="5909" max="5909" width="10.88671875" style="372" customWidth="1"/>
    <col min="5910" max="5911" width="9.88671875" style="372" customWidth="1"/>
    <col min="5912" max="5912" width="10.88671875" style="372" customWidth="1"/>
    <col min="5913" max="6143" width="11.44140625" style="372"/>
    <col min="6144" max="6144" width="2" style="372" customWidth="1"/>
    <col min="6145" max="6145" width="20.5546875" style="372" bestFit="1" customWidth="1"/>
    <col min="6146" max="6146" width="5.88671875" style="372" bestFit="1" customWidth="1"/>
    <col min="6147" max="6147" width="35.88671875" style="372" customWidth="1"/>
    <col min="6148" max="6149" width="9.88671875" style="372" customWidth="1"/>
    <col min="6150" max="6150" width="11.5546875" style="372" customWidth="1"/>
    <col min="6151" max="6152" width="9.88671875" style="372" customWidth="1"/>
    <col min="6153" max="6153" width="12.109375" style="372" customWidth="1"/>
    <col min="6154" max="6155" width="9.88671875" style="372" customWidth="1"/>
    <col min="6156" max="6156" width="10.88671875" style="372" customWidth="1"/>
    <col min="6157" max="6158" width="9.88671875" style="372" customWidth="1"/>
    <col min="6159" max="6159" width="11.44140625" style="372" customWidth="1"/>
    <col min="6160" max="6161" width="9.88671875" style="372" customWidth="1"/>
    <col min="6162" max="6162" width="10.88671875" style="372" customWidth="1"/>
    <col min="6163" max="6164" width="9.88671875" style="372" customWidth="1"/>
    <col min="6165" max="6165" width="10.88671875" style="372" customWidth="1"/>
    <col min="6166" max="6167" width="9.88671875" style="372" customWidth="1"/>
    <col min="6168" max="6168" width="10.88671875" style="372" customWidth="1"/>
    <col min="6169" max="6399" width="11.44140625" style="372"/>
    <col min="6400" max="6400" width="2" style="372" customWidth="1"/>
    <col min="6401" max="6401" width="20.5546875" style="372" bestFit="1" customWidth="1"/>
    <col min="6402" max="6402" width="5.88671875" style="372" bestFit="1" customWidth="1"/>
    <col min="6403" max="6403" width="35.88671875" style="372" customWidth="1"/>
    <col min="6404" max="6405" width="9.88671875" style="372" customWidth="1"/>
    <col min="6406" max="6406" width="11.5546875" style="372" customWidth="1"/>
    <col min="6407" max="6408" width="9.88671875" style="372" customWidth="1"/>
    <col min="6409" max="6409" width="12.109375" style="372" customWidth="1"/>
    <col min="6410" max="6411" width="9.88671875" style="372" customWidth="1"/>
    <col min="6412" max="6412" width="10.88671875" style="372" customWidth="1"/>
    <col min="6413" max="6414" width="9.88671875" style="372" customWidth="1"/>
    <col min="6415" max="6415" width="11.44140625" style="372" customWidth="1"/>
    <col min="6416" max="6417" width="9.88671875" style="372" customWidth="1"/>
    <col min="6418" max="6418" width="10.88671875" style="372" customWidth="1"/>
    <col min="6419" max="6420" width="9.88671875" style="372" customWidth="1"/>
    <col min="6421" max="6421" width="10.88671875" style="372" customWidth="1"/>
    <col min="6422" max="6423" width="9.88671875" style="372" customWidth="1"/>
    <col min="6424" max="6424" width="10.88671875" style="372" customWidth="1"/>
    <col min="6425" max="6655" width="11.44140625" style="372"/>
    <col min="6656" max="6656" width="2" style="372" customWidth="1"/>
    <col min="6657" max="6657" width="20.5546875" style="372" bestFit="1" customWidth="1"/>
    <col min="6658" max="6658" width="5.88671875" style="372" bestFit="1" customWidth="1"/>
    <col min="6659" max="6659" width="35.88671875" style="372" customWidth="1"/>
    <col min="6660" max="6661" width="9.88671875" style="372" customWidth="1"/>
    <col min="6662" max="6662" width="11.5546875" style="372" customWidth="1"/>
    <col min="6663" max="6664" width="9.88671875" style="372" customWidth="1"/>
    <col min="6665" max="6665" width="12.109375" style="372" customWidth="1"/>
    <col min="6666" max="6667" width="9.88671875" style="372" customWidth="1"/>
    <col min="6668" max="6668" width="10.88671875" style="372" customWidth="1"/>
    <col min="6669" max="6670" width="9.88671875" style="372" customWidth="1"/>
    <col min="6671" max="6671" width="11.44140625" style="372" customWidth="1"/>
    <col min="6672" max="6673" width="9.88671875" style="372" customWidth="1"/>
    <col min="6674" max="6674" width="10.88671875" style="372" customWidth="1"/>
    <col min="6675" max="6676" width="9.88671875" style="372" customWidth="1"/>
    <col min="6677" max="6677" width="10.88671875" style="372" customWidth="1"/>
    <col min="6678" max="6679" width="9.88671875" style="372" customWidth="1"/>
    <col min="6680" max="6680" width="10.88671875" style="372" customWidth="1"/>
    <col min="6681" max="6911" width="11.44140625" style="372"/>
    <col min="6912" max="6912" width="2" style="372" customWidth="1"/>
    <col min="6913" max="6913" width="20.5546875" style="372" bestFit="1" customWidth="1"/>
    <col min="6914" max="6914" width="5.88671875" style="372" bestFit="1" customWidth="1"/>
    <col min="6915" max="6915" width="35.88671875" style="372" customWidth="1"/>
    <col min="6916" max="6917" width="9.88671875" style="372" customWidth="1"/>
    <col min="6918" max="6918" width="11.5546875" style="372" customWidth="1"/>
    <col min="6919" max="6920" width="9.88671875" style="372" customWidth="1"/>
    <col min="6921" max="6921" width="12.109375" style="372" customWidth="1"/>
    <col min="6922" max="6923" width="9.88671875" style="372" customWidth="1"/>
    <col min="6924" max="6924" width="10.88671875" style="372" customWidth="1"/>
    <col min="6925" max="6926" width="9.88671875" style="372" customWidth="1"/>
    <col min="6927" max="6927" width="11.44140625" style="372" customWidth="1"/>
    <col min="6928" max="6929" width="9.88671875" style="372" customWidth="1"/>
    <col min="6930" max="6930" width="10.88671875" style="372" customWidth="1"/>
    <col min="6931" max="6932" width="9.88671875" style="372" customWidth="1"/>
    <col min="6933" max="6933" width="10.88671875" style="372" customWidth="1"/>
    <col min="6934" max="6935" width="9.88671875" style="372" customWidth="1"/>
    <col min="6936" max="6936" width="10.88671875" style="372" customWidth="1"/>
    <col min="6937" max="7167" width="11.44140625" style="372"/>
    <col min="7168" max="7168" width="2" style="372" customWidth="1"/>
    <col min="7169" max="7169" width="20.5546875" style="372" bestFit="1" customWidth="1"/>
    <col min="7170" max="7170" width="5.88671875" style="372" bestFit="1" customWidth="1"/>
    <col min="7171" max="7171" width="35.88671875" style="372" customWidth="1"/>
    <col min="7172" max="7173" width="9.88671875" style="372" customWidth="1"/>
    <col min="7174" max="7174" width="11.5546875" style="372" customWidth="1"/>
    <col min="7175" max="7176" width="9.88671875" style="372" customWidth="1"/>
    <col min="7177" max="7177" width="12.109375" style="372" customWidth="1"/>
    <col min="7178" max="7179" width="9.88671875" style="372" customWidth="1"/>
    <col min="7180" max="7180" width="10.88671875" style="372" customWidth="1"/>
    <col min="7181" max="7182" width="9.88671875" style="372" customWidth="1"/>
    <col min="7183" max="7183" width="11.44140625" style="372" customWidth="1"/>
    <col min="7184" max="7185" width="9.88671875" style="372" customWidth="1"/>
    <col min="7186" max="7186" width="10.88671875" style="372" customWidth="1"/>
    <col min="7187" max="7188" width="9.88671875" style="372" customWidth="1"/>
    <col min="7189" max="7189" width="10.88671875" style="372" customWidth="1"/>
    <col min="7190" max="7191" width="9.88671875" style="372" customWidth="1"/>
    <col min="7192" max="7192" width="10.88671875" style="372" customWidth="1"/>
    <col min="7193" max="7423" width="11.44140625" style="372"/>
    <col min="7424" max="7424" width="2" style="372" customWidth="1"/>
    <col min="7425" max="7425" width="20.5546875" style="372" bestFit="1" customWidth="1"/>
    <col min="7426" max="7426" width="5.88671875" style="372" bestFit="1" customWidth="1"/>
    <col min="7427" max="7427" width="35.88671875" style="372" customWidth="1"/>
    <col min="7428" max="7429" width="9.88671875" style="372" customWidth="1"/>
    <col min="7430" max="7430" width="11.5546875" style="372" customWidth="1"/>
    <col min="7431" max="7432" width="9.88671875" style="372" customWidth="1"/>
    <col min="7433" max="7433" width="12.109375" style="372" customWidth="1"/>
    <col min="7434" max="7435" width="9.88671875" style="372" customWidth="1"/>
    <col min="7436" max="7436" width="10.88671875" style="372" customWidth="1"/>
    <col min="7437" max="7438" width="9.88671875" style="372" customWidth="1"/>
    <col min="7439" max="7439" width="11.44140625" style="372" customWidth="1"/>
    <col min="7440" max="7441" width="9.88671875" style="372" customWidth="1"/>
    <col min="7442" max="7442" width="10.88671875" style="372" customWidth="1"/>
    <col min="7443" max="7444" width="9.88671875" style="372" customWidth="1"/>
    <col min="7445" max="7445" width="10.88671875" style="372" customWidth="1"/>
    <col min="7446" max="7447" width="9.88671875" style="372" customWidth="1"/>
    <col min="7448" max="7448" width="10.88671875" style="372" customWidth="1"/>
    <col min="7449" max="7679" width="11.44140625" style="372"/>
    <col min="7680" max="7680" width="2" style="372" customWidth="1"/>
    <col min="7681" max="7681" width="20.5546875" style="372" bestFit="1" customWidth="1"/>
    <col min="7682" max="7682" width="5.88671875" style="372" bestFit="1" customWidth="1"/>
    <col min="7683" max="7683" width="35.88671875" style="372" customWidth="1"/>
    <col min="7684" max="7685" width="9.88671875" style="372" customWidth="1"/>
    <col min="7686" max="7686" width="11.5546875" style="372" customWidth="1"/>
    <col min="7687" max="7688" width="9.88671875" style="372" customWidth="1"/>
    <col min="7689" max="7689" width="12.109375" style="372" customWidth="1"/>
    <col min="7690" max="7691" width="9.88671875" style="372" customWidth="1"/>
    <col min="7692" max="7692" width="10.88671875" style="372" customWidth="1"/>
    <col min="7693" max="7694" width="9.88671875" style="372" customWidth="1"/>
    <col min="7695" max="7695" width="11.44140625" style="372" customWidth="1"/>
    <col min="7696" max="7697" width="9.88671875" style="372" customWidth="1"/>
    <col min="7698" max="7698" width="10.88671875" style="372" customWidth="1"/>
    <col min="7699" max="7700" width="9.88671875" style="372" customWidth="1"/>
    <col min="7701" max="7701" width="10.88671875" style="372" customWidth="1"/>
    <col min="7702" max="7703" width="9.88671875" style="372" customWidth="1"/>
    <col min="7704" max="7704" width="10.88671875" style="372" customWidth="1"/>
    <col min="7705" max="7935" width="11.44140625" style="372"/>
    <col min="7936" max="7936" width="2" style="372" customWidth="1"/>
    <col min="7937" max="7937" width="20.5546875" style="372" bestFit="1" customWidth="1"/>
    <col min="7938" max="7938" width="5.88671875" style="372" bestFit="1" customWidth="1"/>
    <col min="7939" max="7939" width="35.88671875" style="372" customWidth="1"/>
    <col min="7940" max="7941" width="9.88671875" style="372" customWidth="1"/>
    <col min="7942" max="7942" width="11.5546875" style="372" customWidth="1"/>
    <col min="7943" max="7944" width="9.88671875" style="372" customWidth="1"/>
    <col min="7945" max="7945" width="12.109375" style="372" customWidth="1"/>
    <col min="7946" max="7947" width="9.88671875" style="372" customWidth="1"/>
    <col min="7948" max="7948" width="10.88671875" style="372" customWidth="1"/>
    <col min="7949" max="7950" width="9.88671875" style="372" customWidth="1"/>
    <col min="7951" max="7951" width="11.44140625" style="372" customWidth="1"/>
    <col min="7952" max="7953" width="9.88671875" style="372" customWidth="1"/>
    <col min="7954" max="7954" width="10.88671875" style="372" customWidth="1"/>
    <col min="7955" max="7956" width="9.88671875" style="372" customWidth="1"/>
    <col min="7957" max="7957" width="10.88671875" style="372" customWidth="1"/>
    <col min="7958" max="7959" width="9.88671875" style="372" customWidth="1"/>
    <col min="7960" max="7960" width="10.88671875" style="372" customWidth="1"/>
    <col min="7961" max="8191" width="11.44140625" style="372"/>
    <col min="8192" max="8192" width="2" style="372" customWidth="1"/>
    <col min="8193" max="8193" width="20.5546875" style="372" bestFit="1" customWidth="1"/>
    <col min="8194" max="8194" width="5.88671875" style="372" bestFit="1" customWidth="1"/>
    <col min="8195" max="8195" width="35.88671875" style="372" customWidth="1"/>
    <col min="8196" max="8197" width="9.88671875" style="372" customWidth="1"/>
    <col min="8198" max="8198" width="11.5546875" style="372" customWidth="1"/>
    <col min="8199" max="8200" width="9.88671875" style="372" customWidth="1"/>
    <col min="8201" max="8201" width="12.109375" style="372" customWidth="1"/>
    <col min="8202" max="8203" width="9.88671875" style="372" customWidth="1"/>
    <col min="8204" max="8204" width="10.88671875" style="372" customWidth="1"/>
    <col min="8205" max="8206" width="9.88671875" style="372" customWidth="1"/>
    <col min="8207" max="8207" width="11.44140625" style="372" customWidth="1"/>
    <col min="8208" max="8209" width="9.88671875" style="372" customWidth="1"/>
    <col min="8210" max="8210" width="10.88671875" style="372" customWidth="1"/>
    <col min="8211" max="8212" width="9.88671875" style="372" customWidth="1"/>
    <col min="8213" max="8213" width="10.88671875" style="372" customWidth="1"/>
    <col min="8214" max="8215" width="9.88671875" style="372" customWidth="1"/>
    <col min="8216" max="8216" width="10.88671875" style="372" customWidth="1"/>
    <col min="8217" max="8447" width="11.44140625" style="372"/>
    <col min="8448" max="8448" width="2" style="372" customWidth="1"/>
    <col min="8449" max="8449" width="20.5546875" style="372" bestFit="1" customWidth="1"/>
    <col min="8450" max="8450" width="5.88671875" style="372" bestFit="1" customWidth="1"/>
    <col min="8451" max="8451" width="35.88671875" style="372" customWidth="1"/>
    <col min="8452" max="8453" width="9.88671875" style="372" customWidth="1"/>
    <col min="8454" max="8454" width="11.5546875" style="372" customWidth="1"/>
    <col min="8455" max="8456" width="9.88671875" style="372" customWidth="1"/>
    <col min="8457" max="8457" width="12.109375" style="372" customWidth="1"/>
    <col min="8458" max="8459" width="9.88671875" style="372" customWidth="1"/>
    <col min="8460" max="8460" width="10.88671875" style="372" customWidth="1"/>
    <col min="8461" max="8462" width="9.88671875" style="372" customWidth="1"/>
    <col min="8463" max="8463" width="11.44140625" style="372" customWidth="1"/>
    <col min="8464" max="8465" width="9.88671875" style="372" customWidth="1"/>
    <col min="8466" max="8466" width="10.88671875" style="372" customWidth="1"/>
    <col min="8467" max="8468" width="9.88671875" style="372" customWidth="1"/>
    <col min="8469" max="8469" width="10.88671875" style="372" customWidth="1"/>
    <col min="8470" max="8471" width="9.88671875" style="372" customWidth="1"/>
    <col min="8472" max="8472" width="10.88671875" style="372" customWidth="1"/>
    <col min="8473" max="8703" width="11.44140625" style="372"/>
    <col min="8704" max="8704" width="2" style="372" customWidth="1"/>
    <col min="8705" max="8705" width="20.5546875" style="372" bestFit="1" customWidth="1"/>
    <col min="8706" max="8706" width="5.88671875" style="372" bestFit="1" customWidth="1"/>
    <col min="8707" max="8707" width="35.88671875" style="372" customWidth="1"/>
    <col min="8708" max="8709" width="9.88671875" style="372" customWidth="1"/>
    <col min="8710" max="8710" width="11.5546875" style="372" customWidth="1"/>
    <col min="8711" max="8712" width="9.88671875" style="372" customWidth="1"/>
    <col min="8713" max="8713" width="12.109375" style="372" customWidth="1"/>
    <col min="8714" max="8715" width="9.88671875" style="372" customWidth="1"/>
    <col min="8716" max="8716" width="10.88671875" style="372" customWidth="1"/>
    <col min="8717" max="8718" width="9.88671875" style="372" customWidth="1"/>
    <col min="8719" max="8719" width="11.44140625" style="372" customWidth="1"/>
    <col min="8720" max="8721" width="9.88671875" style="372" customWidth="1"/>
    <col min="8722" max="8722" width="10.88671875" style="372" customWidth="1"/>
    <col min="8723" max="8724" width="9.88671875" style="372" customWidth="1"/>
    <col min="8725" max="8725" width="10.88671875" style="372" customWidth="1"/>
    <col min="8726" max="8727" width="9.88671875" style="372" customWidth="1"/>
    <col min="8728" max="8728" width="10.88671875" style="372" customWidth="1"/>
    <col min="8729" max="8959" width="11.44140625" style="372"/>
    <col min="8960" max="8960" width="2" style="372" customWidth="1"/>
    <col min="8961" max="8961" width="20.5546875" style="372" bestFit="1" customWidth="1"/>
    <col min="8962" max="8962" width="5.88671875" style="372" bestFit="1" customWidth="1"/>
    <col min="8963" max="8963" width="35.88671875" style="372" customWidth="1"/>
    <col min="8964" max="8965" width="9.88671875" style="372" customWidth="1"/>
    <col min="8966" max="8966" width="11.5546875" style="372" customWidth="1"/>
    <col min="8967" max="8968" width="9.88671875" style="372" customWidth="1"/>
    <col min="8969" max="8969" width="12.109375" style="372" customWidth="1"/>
    <col min="8970" max="8971" width="9.88671875" style="372" customWidth="1"/>
    <col min="8972" max="8972" width="10.88671875" style="372" customWidth="1"/>
    <col min="8973" max="8974" width="9.88671875" style="372" customWidth="1"/>
    <col min="8975" max="8975" width="11.44140625" style="372" customWidth="1"/>
    <col min="8976" max="8977" width="9.88671875" style="372" customWidth="1"/>
    <col min="8978" max="8978" width="10.88671875" style="372" customWidth="1"/>
    <col min="8979" max="8980" width="9.88671875" style="372" customWidth="1"/>
    <col min="8981" max="8981" width="10.88671875" style="372" customWidth="1"/>
    <col min="8982" max="8983" width="9.88671875" style="372" customWidth="1"/>
    <col min="8984" max="8984" width="10.88671875" style="372" customWidth="1"/>
    <col min="8985" max="9215" width="11.44140625" style="372"/>
    <col min="9216" max="9216" width="2" style="372" customWidth="1"/>
    <col min="9217" max="9217" width="20.5546875" style="372" bestFit="1" customWidth="1"/>
    <col min="9218" max="9218" width="5.88671875" style="372" bestFit="1" customWidth="1"/>
    <col min="9219" max="9219" width="35.88671875" style="372" customWidth="1"/>
    <col min="9220" max="9221" width="9.88671875" style="372" customWidth="1"/>
    <col min="9222" max="9222" width="11.5546875" style="372" customWidth="1"/>
    <col min="9223" max="9224" width="9.88671875" style="372" customWidth="1"/>
    <col min="9225" max="9225" width="12.109375" style="372" customWidth="1"/>
    <col min="9226" max="9227" width="9.88671875" style="372" customWidth="1"/>
    <col min="9228" max="9228" width="10.88671875" style="372" customWidth="1"/>
    <col min="9229" max="9230" width="9.88671875" style="372" customWidth="1"/>
    <col min="9231" max="9231" width="11.44140625" style="372" customWidth="1"/>
    <col min="9232" max="9233" width="9.88671875" style="372" customWidth="1"/>
    <col min="9234" max="9234" width="10.88671875" style="372" customWidth="1"/>
    <col min="9235" max="9236" width="9.88671875" style="372" customWidth="1"/>
    <col min="9237" max="9237" width="10.88671875" style="372" customWidth="1"/>
    <col min="9238" max="9239" width="9.88671875" style="372" customWidth="1"/>
    <col min="9240" max="9240" width="10.88671875" style="372" customWidth="1"/>
    <col min="9241" max="9471" width="11.44140625" style="372"/>
    <col min="9472" max="9472" width="2" style="372" customWidth="1"/>
    <col min="9473" max="9473" width="20.5546875" style="372" bestFit="1" customWidth="1"/>
    <col min="9474" max="9474" width="5.88671875" style="372" bestFit="1" customWidth="1"/>
    <col min="9475" max="9475" width="35.88671875" style="372" customWidth="1"/>
    <col min="9476" max="9477" width="9.88671875" style="372" customWidth="1"/>
    <col min="9478" max="9478" width="11.5546875" style="372" customWidth="1"/>
    <col min="9479" max="9480" width="9.88671875" style="372" customWidth="1"/>
    <col min="9481" max="9481" width="12.109375" style="372" customWidth="1"/>
    <col min="9482" max="9483" width="9.88671875" style="372" customWidth="1"/>
    <col min="9484" max="9484" width="10.88671875" style="372" customWidth="1"/>
    <col min="9485" max="9486" width="9.88671875" style="372" customWidth="1"/>
    <col min="9487" max="9487" width="11.44140625" style="372" customWidth="1"/>
    <col min="9488" max="9489" width="9.88671875" style="372" customWidth="1"/>
    <col min="9490" max="9490" width="10.88671875" style="372" customWidth="1"/>
    <col min="9491" max="9492" width="9.88671875" style="372" customWidth="1"/>
    <col min="9493" max="9493" width="10.88671875" style="372" customWidth="1"/>
    <col min="9494" max="9495" width="9.88671875" style="372" customWidth="1"/>
    <col min="9496" max="9496" width="10.88671875" style="372" customWidth="1"/>
    <col min="9497" max="9727" width="11.44140625" style="372"/>
    <col min="9728" max="9728" width="2" style="372" customWidth="1"/>
    <col min="9729" max="9729" width="20.5546875" style="372" bestFit="1" customWidth="1"/>
    <col min="9730" max="9730" width="5.88671875" style="372" bestFit="1" customWidth="1"/>
    <col min="9731" max="9731" width="35.88671875" style="372" customWidth="1"/>
    <col min="9732" max="9733" width="9.88671875" style="372" customWidth="1"/>
    <col min="9734" max="9734" width="11.5546875" style="372" customWidth="1"/>
    <col min="9735" max="9736" width="9.88671875" style="372" customWidth="1"/>
    <col min="9737" max="9737" width="12.109375" style="372" customWidth="1"/>
    <col min="9738" max="9739" width="9.88671875" style="372" customWidth="1"/>
    <col min="9740" max="9740" width="10.88671875" style="372" customWidth="1"/>
    <col min="9741" max="9742" width="9.88671875" style="372" customWidth="1"/>
    <col min="9743" max="9743" width="11.44140625" style="372" customWidth="1"/>
    <col min="9744" max="9745" width="9.88671875" style="372" customWidth="1"/>
    <col min="9746" max="9746" width="10.88671875" style="372" customWidth="1"/>
    <col min="9747" max="9748" width="9.88671875" style="372" customWidth="1"/>
    <col min="9749" max="9749" width="10.88671875" style="372" customWidth="1"/>
    <col min="9750" max="9751" width="9.88671875" style="372" customWidth="1"/>
    <col min="9752" max="9752" width="10.88671875" style="372" customWidth="1"/>
    <col min="9753" max="9983" width="11.44140625" style="372"/>
    <col min="9984" max="9984" width="2" style="372" customWidth="1"/>
    <col min="9985" max="9985" width="20.5546875" style="372" bestFit="1" customWidth="1"/>
    <col min="9986" max="9986" width="5.88671875" style="372" bestFit="1" customWidth="1"/>
    <col min="9987" max="9987" width="35.88671875" style="372" customWidth="1"/>
    <col min="9988" max="9989" width="9.88671875" style="372" customWidth="1"/>
    <col min="9990" max="9990" width="11.5546875" style="372" customWidth="1"/>
    <col min="9991" max="9992" width="9.88671875" style="372" customWidth="1"/>
    <col min="9993" max="9993" width="12.109375" style="372" customWidth="1"/>
    <col min="9994" max="9995" width="9.88671875" style="372" customWidth="1"/>
    <col min="9996" max="9996" width="10.88671875" style="372" customWidth="1"/>
    <col min="9997" max="9998" width="9.88671875" style="372" customWidth="1"/>
    <col min="9999" max="9999" width="11.44140625" style="372" customWidth="1"/>
    <col min="10000" max="10001" width="9.88671875" style="372" customWidth="1"/>
    <col min="10002" max="10002" width="10.88671875" style="372" customWidth="1"/>
    <col min="10003" max="10004" width="9.88671875" style="372" customWidth="1"/>
    <col min="10005" max="10005" width="10.88671875" style="372" customWidth="1"/>
    <col min="10006" max="10007" width="9.88671875" style="372" customWidth="1"/>
    <col min="10008" max="10008" width="10.88671875" style="372" customWidth="1"/>
    <col min="10009" max="10239" width="11.44140625" style="372"/>
    <col min="10240" max="10240" width="2" style="372" customWidth="1"/>
    <col min="10241" max="10241" width="20.5546875" style="372" bestFit="1" customWidth="1"/>
    <col min="10242" max="10242" width="5.88671875" style="372" bestFit="1" customWidth="1"/>
    <col min="10243" max="10243" width="35.88671875" style="372" customWidth="1"/>
    <col min="10244" max="10245" width="9.88671875" style="372" customWidth="1"/>
    <col min="10246" max="10246" width="11.5546875" style="372" customWidth="1"/>
    <col min="10247" max="10248" width="9.88671875" style="372" customWidth="1"/>
    <col min="10249" max="10249" width="12.109375" style="372" customWidth="1"/>
    <col min="10250" max="10251" width="9.88671875" style="372" customWidth="1"/>
    <col min="10252" max="10252" width="10.88671875" style="372" customWidth="1"/>
    <col min="10253" max="10254" width="9.88671875" style="372" customWidth="1"/>
    <col min="10255" max="10255" width="11.44140625" style="372" customWidth="1"/>
    <col min="10256" max="10257" width="9.88671875" style="372" customWidth="1"/>
    <col min="10258" max="10258" width="10.88671875" style="372" customWidth="1"/>
    <col min="10259" max="10260" width="9.88671875" style="372" customWidth="1"/>
    <col min="10261" max="10261" width="10.88671875" style="372" customWidth="1"/>
    <col min="10262" max="10263" width="9.88671875" style="372" customWidth="1"/>
    <col min="10264" max="10264" width="10.88671875" style="372" customWidth="1"/>
    <col min="10265" max="10495" width="11.44140625" style="372"/>
    <col min="10496" max="10496" width="2" style="372" customWidth="1"/>
    <col min="10497" max="10497" width="20.5546875" style="372" bestFit="1" customWidth="1"/>
    <col min="10498" max="10498" width="5.88671875" style="372" bestFit="1" customWidth="1"/>
    <col min="10499" max="10499" width="35.88671875" style="372" customWidth="1"/>
    <col min="10500" max="10501" width="9.88671875" style="372" customWidth="1"/>
    <col min="10502" max="10502" width="11.5546875" style="372" customWidth="1"/>
    <col min="10503" max="10504" width="9.88671875" style="372" customWidth="1"/>
    <col min="10505" max="10505" width="12.109375" style="372" customWidth="1"/>
    <col min="10506" max="10507" width="9.88671875" style="372" customWidth="1"/>
    <col min="10508" max="10508" width="10.88671875" style="372" customWidth="1"/>
    <col min="10509" max="10510" width="9.88671875" style="372" customWidth="1"/>
    <col min="10511" max="10511" width="11.44140625" style="372" customWidth="1"/>
    <col min="10512" max="10513" width="9.88671875" style="372" customWidth="1"/>
    <col min="10514" max="10514" width="10.88671875" style="372" customWidth="1"/>
    <col min="10515" max="10516" width="9.88671875" style="372" customWidth="1"/>
    <col min="10517" max="10517" width="10.88671875" style="372" customWidth="1"/>
    <col min="10518" max="10519" width="9.88671875" style="372" customWidth="1"/>
    <col min="10520" max="10520" width="10.88671875" style="372" customWidth="1"/>
    <col min="10521" max="10751" width="11.44140625" style="372"/>
    <col min="10752" max="10752" width="2" style="372" customWidth="1"/>
    <col min="10753" max="10753" width="20.5546875" style="372" bestFit="1" customWidth="1"/>
    <col min="10754" max="10754" width="5.88671875" style="372" bestFit="1" customWidth="1"/>
    <col min="10755" max="10755" width="35.88671875" style="372" customWidth="1"/>
    <col min="10756" max="10757" width="9.88671875" style="372" customWidth="1"/>
    <col min="10758" max="10758" width="11.5546875" style="372" customWidth="1"/>
    <col min="10759" max="10760" width="9.88671875" style="372" customWidth="1"/>
    <col min="10761" max="10761" width="12.109375" style="372" customWidth="1"/>
    <col min="10762" max="10763" width="9.88671875" style="372" customWidth="1"/>
    <col min="10764" max="10764" width="10.88671875" style="372" customWidth="1"/>
    <col min="10765" max="10766" width="9.88671875" style="372" customWidth="1"/>
    <col min="10767" max="10767" width="11.44140625" style="372" customWidth="1"/>
    <col min="10768" max="10769" width="9.88671875" style="372" customWidth="1"/>
    <col min="10770" max="10770" width="10.88671875" style="372" customWidth="1"/>
    <col min="10771" max="10772" width="9.88671875" style="372" customWidth="1"/>
    <col min="10773" max="10773" width="10.88671875" style="372" customWidth="1"/>
    <col min="10774" max="10775" width="9.88671875" style="372" customWidth="1"/>
    <col min="10776" max="10776" width="10.88671875" style="372" customWidth="1"/>
    <col min="10777" max="11007" width="11.44140625" style="372"/>
    <col min="11008" max="11008" width="2" style="372" customWidth="1"/>
    <col min="11009" max="11009" width="20.5546875" style="372" bestFit="1" customWidth="1"/>
    <col min="11010" max="11010" width="5.88671875" style="372" bestFit="1" customWidth="1"/>
    <col min="11011" max="11011" width="35.88671875" style="372" customWidth="1"/>
    <col min="11012" max="11013" width="9.88671875" style="372" customWidth="1"/>
    <col min="11014" max="11014" width="11.5546875" style="372" customWidth="1"/>
    <col min="11015" max="11016" width="9.88671875" style="372" customWidth="1"/>
    <col min="11017" max="11017" width="12.109375" style="372" customWidth="1"/>
    <col min="11018" max="11019" width="9.88671875" style="372" customWidth="1"/>
    <col min="11020" max="11020" width="10.88671875" style="372" customWidth="1"/>
    <col min="11021" max="11022" width="9.88671875" style="372" customWidth="1"/>
    <col min="11023" max="11023" width="11.44140625" style="372" customWidth="1"/>
    <col min="11024" max="11025" width="9.88671875" style="372" customWidth="1"/>
    <col min="11026" max="11026" width="10.88671875" style="372" customWidth="1"/>
    <col min="11027" max="11028" width="9.88671875" style="372" customWidth="1"/>
    <col min="11029" max="11029" width="10.88671875" style="372" customWidth="1"/>
    <col min="11030" max="11031" width="9.88671875" style="372" customWidth="1"/>
    <col min="11032" max="11032" width="10.88671875" style="372" customWidth="1"/>
    <col min="11033" max="11263" width="11.44140625" style="372"/>
    <col min="11264" max="11264" width="2" style="372" customWidth="1"/>
    <col min="11265" max="11265" width="20.5546875" style="372" bestFit="1" customWidth="1"/>
    <col min="11266" max="11266" width="5.88671875" style="372" bestFit="1" customWidth="1"/>
    <col min="11267" max="11267" width="35.88671875" style="372" customWidth="1"/>
    <col min="11268" max="11269" width="9.88671875" style="372" customWidth="1"/>
    <col min="11270" max="11270" width="11.5546875" style="372" customWidth="1"/>
    <col min="11271" max="11272" width="9.88671875" style="372" customWidth="1"/>
    <col min="11273" max="11273" width="12.109375" style="372" customWidth="1"/>
    <col min="11274" max="11275" width="9.88671875" style="372" customWidth="1"/>
    <col min="11276" max="11276" width="10.88671875" style="372" customWidth="1"/>
    <col min="11277" max="11278" width="9.88671875" style="372" customWidth="1"/>
    <col min="11279" max="11279" width="11.44140625" style="372" customWidth="1"/>
    <col min="11280" max="11281" width="9.88671875" style="372" customWidth="1"/>
    <col min="11282" max="11282" width="10.88671875" style="372" customWidth="1"/>
    <col min="11283" max="11284" width="9.88671875" style="372" customWidth="1"/>
    <col min="11285" max="11285" width="10.88671875" style="372" customWidth="1"/>
    <col min="11286" max="11287" width="9.88671875" style="372" customWidth="1"/>
    <col min="11288" max="11288" width="10.88671875" style="372" customWidth="1"/>
    <col min="11289" max="11519" width="11.44140625" style="372"/>
    <col min="11520" max="11520" width="2" style="372" customWidth="1"/>
    <col min="11521" max="11521" width="20.5546875" style="372" bestFit="1" customWidth="1"/>
    <col min="11522" max="11522" width="5.88671875" style="372" bestFit="1" customWidth="1"/>
    <col min="11523" max="11523" width="35.88671875" style="372" customWidth="1"/>
    <col min="11524" max="11525" width="9.88671875" style="372" customWidth="1"/>
    <col min="11526" max="11526" width="11.5546875" style="372" customWidth="1"/>
    <col min="11527" max="11528" width="9.88671875" style="372" customWidth="1"/>
    <col min="11529" max="11529" width="12.109375" style="372" customWidth="1"/>
    <col min="11530" max="11531" width="9.88671875" style="372" customWidth="1"/>
    <col min="11532" max="11532" width="10.88671875" style="372" customWidth="1"/>
    <col min="11533" max="11534" width="9.88671875" style="372" customWidth="1"/>
    <col min="11535" max="11535" width="11.44140625" style="372" customWidth="1"/>
    <col min="11536" max="11537" width="9.88671875" style="372" customWidth="1"/>
    <col min="11538" max="11538" width="10.88671875" style="372" customWidth="1"/>
    <col min="11539" max="11540" width="9.88671875" style="372" customWidth="1"/>
    <col min="11541" max="11541" width="10.88671875" style="372" customWidth="1"/>
    <col min="11542" max="11543" width="9.88671875" style="372" customWidth="1"/>
    <col min="11544" max="11544" width="10.88671875" style="372" customWidth="1"/>
    <col min="11545" max="11775" width="11.44140625" style="372"/>
    <col min="11776" max="11776" width="2" style="372" customWidth="1"/>
    <col min="11777" max="11777" width="20.5546875" style="372" bestFit="1" customWidth="1"/>
    <col min="11778" max="11778" width="5.88671875" style="372" bestFit="1" customWidth="1"/>
    <col min="11779" max="11779" width="35.88671875" style="372" customWidth="1"/>
    <col min="11780" max="11781" width="9.88671875" style="372" customWidth="1"/>
    <col min="11782" max="11782" width="11.5546875" style="372" customWidth="1"/>
    <col min="11783" max="11784" width="9.88671875" style="372" customWidth="1"/>
    <col min="11785" max="11785" width="12.109375" style="372" customWidth="1"/>
    <col min="11786" max="11787" width="9.88671875" style="372" customWidth="1"/>
    <col min="11788" max="11788" width="10.88671875" style="372" customWidth="1"/>
    <col min="11789" max="11790" width="9.88671875" style="372" customWidth="1"/>
    <col min="11791" max="11791" width="11.44140625" style="372" customWidth="1"/>
    <col min="11792" max="11793" width="9.88671875" style="372" customWidth="1"/>
    <col min="11794" max="11794" width="10.88671875" style="372" customWidth="1"/>
    <col min="11795" max="11796" width="9.88671875" style="372" customWidth="1"/>
    <col min="11797" max="11797" width="10.88671875" style="372" customWidth="1"/>
    <col min="11798" max="11799" width="9.88671875" style="372" customWidth="1"/>
    <col min="11800" max="11800" width="10.88671875" style="372" customWidth="1"/>
    <col min="11801" max="12031" width="11.44140625" style="372"/>
    <col min="12032" max="12032" width="2" style="372" customWidth="1"/>
    <col min="12033" max="12033" width="20.5546875" style="372" bestFit="1" customWidth="1"/>
    <col min="12034" max="12034" width="5.88671875" style="372" bestFit="1" customWidth="1"/>
    <col min="12035" max="12035" width="35.88671875" style="372" customWidth="1"/>
    <col min="12036" max="12037" width="9.88671875" style="372" customWidth="1"/>
    <col min="12038" max="12038" width="11.5546875" style="372" customWidth="1"/>
    <col min="12039" max="12040" width="9.88671875" style="372" customWidth="1"/>
    <col min="12041" max="12041" width="12.109375" style="372" customWidth="1"/>
    <col min="12042" max="12043" width="9.88671875" style="372" customWidth="1"/>
    <col min="12044" max="12044" width="10.88671875" style="372" customWidth="1"/>
    <col min="12045" max="12046" width="9.88671875" style="372" customWidth="1"/>
    <col min="12047" max="12047" width="11.44140625" style="372" customWidth="1"/>
    <col min="12048" max="12049" width="9.88671875" style="372" customWidth="1"/>
    <col min="12050" max="12050" width="10.88671875" style="372" customWidth="1"/>
    <col min="12051" max="12052" width="9.88671875" style="372" customWidth="1"/>
    <col min="12053" max="12053" width="10.88671875" style="372" customWidth="1"/>
    <col min="12054" max="12055" width="9.88671875" style="372" customWidth="1"/>
    <col min="12056" max="12056" width="10.88671875" style="372" customWidth="1"/>
    <col min="12057" max="12287" width="11.44140625" style="372"/>
    <col min="12288" max="12288" width="2" style="372" customWidth="1"/>
    <col min="12289" max="12289" width="20.5546875" style="372" bestFit="1" customWidth="1"/>
    <col min="12290" max="12290" width="5.88671875" style="372" bestFit="1" customWidth="1"/>
    <col min="12291" max="12291" width="35.88671875" style="372" customWidth="1"/>
    <col min="12292" max="12293" width="9.88671875" style="372" customWidth="1"/>
    <col min="12294" max="12294" width="11.5546875" style="372" customWidth="1"/>
    <col min="12295" max="12296" width="9.88671875" style="372" customWidth="1"/>
    <col min="12297" max="12297" width="12.109375" style="372" customWidth="1"/>
    <col min="12298" max="12299" width="9.88671875" style="372" customWidth="1"/>
    <col min="12300" max="12300" width="10.88671875" style="372" customWidth="1"/>
    <col min="12301" max="12302" width="9.88671875" style="372" customWidth="1"/>
    <col min="12303" max="12303" width="11.44140625" style="372" customWidth="1"/>
    <col min="12304" max="12305" width="9.88671875" style="372" customWidth="1"/>
    <col min="12306" max="12306" width="10.88671875" style="372" customWidth="1"/>
    <col min="12307" max="12308" width="9.88671875" style="372" customWidth="1"/>
    <col min="12309" max="12309" width="10.88671875" style="372" customWidth="1"/>
    <col min="12310" max="12311" width="9.88671875" style="372" customWidth="1"/>
    <col min="12312" max="12312" width="10.88671875" style="372" customWidth="1"/>
    <col min="12313" max="12543" width="11.44140625" style="372"/>
    <col min="12544" max="12544" width="2" style="372" customWidth="1"/>
    <col min="12545" max="12545" width="20.5546875" style="372" bestFit="1" customWidth="1"/>
    <col min="12546" max="12546" width="5.88671875" style="372" bestFit="1" customWidth="1"/>
    <col min="12547" max="12547" width="35.88671875" style="372" customWidth="1"/>
    <col min="12548" max="12549" width="9.88671875" style="372" customWidth="1"/>
    <col min="12550" max="12550" width="11.5546875" style="372" customWidth="1"/>
    <col min="12551" max="12552" width="9.88671875" style="372" customWidth="1"/>
    <col min="12553" max="12553" width="12.109375" style="372" customWidth="1"/>
    <col min="12554" max="12555" width="9.88671875" style="372" customWidth="1"/>
    <col min="12556" max="12556" width="10.88671875" style="372" customWidth="1"/>
    <col min="12557" max="12558" width="9.88671875" style="372" customWidth="1"/>
    <col min="12559" max="12559" width="11.44140625" style="372" customWidth="1"/>
    <col min="12560" max="12561" width="9.88671875" style="372" customWidth="1"/>
    <col min="12562" max="12562" width="10.88671875" style="372" customWidth="1"/>
    <col min="12563" max="12564" width="9.88671875" style="372" customWidth="1"/>
    <col min="12565" max="12565" width="10.88671875" style="372" customWidth="1"/>
    <col min="12566" max="12567" width="9.88671875" style="372" customWidth="1"/>
    <col min="12568" max="12568" width="10.88671875" style="372" customWidth="1"/>
    <col min="12569" max="12799" width="11.44140625" style="372"/>
    <col min="12800" max="12800" width="2" style="372" customWidth="1"/>
    <col min="12801" max="12801" width="20.5546875" style="372" bestFit="1" customWidth="1"/>
    <col min="12802" max="12802" width="5.88671875" style="372" bestFit="1" customWidth="1"/>
    <col min="12803" max="12803" width="35.88671875" style="372" customWidth="1"/>
    <col min="12804" max="12805" width="9.88671875" style="372" customWidth="1"/>
    <col min="12806" max="12806" width="11.5546875" style="372" customWidth="1"/>
    <col min="12807" max="12808" width="9.88671875" style="372" customWidth="1"/>
    <col min="12809" max="12809" width="12.109375" style="372" customWidth="1"/>
    <col min="12810" max="12811" width="9.88671875" style="372" customWidth="1"/>
    <col min="12812" max="12812" width="10.88671875" style="372" customWidth="1"/>
    <col min="12813" max="12814" width="9.88671875" style="372" customWidth="1"/>
    <col min="12815" max="12815" width="11.44140625" style="372" customWidth="1"/>
    <col min="12816" max="12817" width="9.88671875" style="372" customWidth="1"/>
    <col min="12818" max="12818" width="10.88671875" style="372" customWidth="1"/>
    <col min="12819" max="12820" width="9.88671875" style="372" customWidth="1"/>
    <col min="12821" max="12821" width="10.88671875" style="372" customWidth="1"/>
    <col min="12822" max="12823" width="9.88671875" style="372" customWidth="1"/>
    <col min="12824" max="12824" width="10.88671875" style="372" customWidth="1"/>
    <col min="12825" max="13055" width="11.44140625" style="372"/>
    <col min="13056" max="13056" width="2" style="372" customWidth="1"/>
    <col min="13057" max="13057" width="20.5546875" style="372" bestFit="1" customWidth="1"/>
    <col min="13058" max="13058" width="5.88671875" style="372" bestFit="1" customWidth="1"/>
    <col min="13059" max="13059" width="35.88671875" style="372" customWidth="1"/>
    <col min="13060" max="13061" width="9.88671875" style="372" customWidth="1"/>
    <col min="13062" max="13062" width="11.5546875" style="372" customWidth="1"/>
    <col min="13063" max="13064" width="9.88671875" style="372" customWidth="1"/>
    <col min="13065" max="13065" width="12.109375" style="372" customWidth="1"/>
    <col min="13066" max="13067" width="9.88671875" style="372" customWidth="1"/>
    <col min="13068" max="13068" width="10.88671875" style="372" customWidth="1"/>
    <col min="13069" max="13070" width="9.88671875" style="372" customWidth="1"/>
    <col min="13071" max="13071" width="11.44140625" style="372" customWidth="1"/>
    <col min="13072" max="13073" width="9.88671875" style="372" customWidth="1"/>
    <col min="13074" max="13074" width="10.88671875" style="372" customWidth="1"/>
    <col min="13075" max="13076" width="9.88671875" style="372" customWidth="1"/>
    <col min="13077" max="13077" width="10.88671875" style="372" customWidth="1"/>
    <col min="13078" max="13079" width="9.88671875" style="372" customWidth="1"/>
    <col min="13080" max="13080" width="10.88671875" style="372" customWidth="1"/>
    <col min="13081" max="13311" width="11.44140625" style="372"/>
    <col min="13312" max="13312" width="2" style="372" customWidth="1"/>
    <col min="13313" max="13313" width="20.5546875" style="372" bestFit="1" customWidth="1"/>
    <col min="13314" max="13314" width="5.88671875" style="372" bestFit="1" customWidth="1"/>
    <col min="13315" max="13315" width="35.88671875" style="372" customWidth="1"/>
    <col min="13316" max="13317" width="9.88671875" style="372" customWidth="1"/>
    <col min="13318" max="13318" width="11.5546875" style="372" customWidth="1"/>
    <col min="13319" max="13320" width="9.88671875" style="372" customWidth="1"/>
    <col min="13321" max="13321" width="12.109375" style="372" customWidth="1"/>
    <col min="13322" max="13323" width="9.88671875" style="372" customWidth="1"/>
    <col min="13324" max="13324" width="10.88671875" style="372" customWidth="1"/>
    <col min="13325" max="13326" width="9.88671875" style="372" customWidth="1"/>
    <col min="13327" max="13327" width="11.44140625" style="372" customWidth="1"/>
    <col min="13328" max="13329" width="9.88671875" style="372" customWidth="1"/>
    <col min="13330" max="13330" width="10.88671875" style="372" customWidth="1"/>
    <col min="13331" max="13332" width="9.88671875" style="372" customWidth="1"/>
    <col min="13333" max="13333" width="10.88671875" style="372" customWidth="1"/>
    <col min="13334" max="13335" width="9.88671875" style="372" customWidth="1"/>
    <col min="13336" max="13336" width="10.88671875" style="372" customWidth="1"/>
    <col min="13337" max="13567" width="11.44140625" style="372"/>
    <col min="13568" max="13568" width="2" style="372" customWidth="1"/>
    <col min="13569" max="13569" width="20.5546875" style="372" bestFit="1" customWidth="1"/>
    <col min="13570" max="13570" width="5.88671875" style="372" bestFit="1" customWidth="1"/>
    <col min="13571" max="13571" width="35.88671875" style="372" customWidth="1"/>
    <col min="13572" max="13573" width="9.88671875" style="372" customWidth="1"/>
    <col min="13574" max="13574" width="11.5546875" style="372" customWidth="1"/>
    <col min="13575" max="13576" width="9.88671875" style="372" customWidth="1"/>
    <col min="13577" max="13577" width="12.109375" style="372" customWidth="1"/>
    <col min="13578" max="13579" width="9.88671875" style="372" customWidth="1"/>
    <col min="13580" max="13580" width="10.88671875" style="372" customWidth="1"/>
    <col min="13581" max="13582" width="9.88671875" style="372" customWidth="1"/>
    <col min="13583" max="13583" width="11.44140625" style="372" customWidth="1"/>
    <col min="13584" max="13585" width="9.88671875" style="372" customWidth="1"/>
    <col min="13586" max="13586" width="10.88671875" style="372" customWidth="1"/>
    <col min="13587" max="13588" width="9.88671875" style="372" customWidth="1"/>
    <col min="13589" max="13589" width="10.88671875" style="372" customWidth="1"/>
    <col min="13590" max="13591" width="9.88671875" style="372" customWidth="1"/>
    <col min="13592" max="13592" width="10.88671875" style="372" customWidth="1"/>
    <col min="13593" max="13823" width="11.44140625" style="372"/>
    <col min="13824" max="13824" width="2" style="372" customWidth="1"/>
    <col min="13825" max="13825" width="20.5546875" style="372" bestFit="1" customWidth="1"/>
    <col min="13826" max="13826" width="5.88671875" style="372" bestFit="1" customWidth="1"/>
    <col min="13827" max="13827" width="35.88671875" style="372" customWidth="1"/>
    <col min="13828" max="13829" width="9.88671875" style="372" customWidth="1"/>
    <col min="13830" max="13830" width="11.5546875" style="372" customWidth="1"/>
    <col min="13831" max="13832" width="9.88671875" style="372" customWidth="1"/>
    <col min="13833" max="13833" width="12.109375" style="372" customWidth="1"/>
    <col min="13834" max="13835" width="9.88671875" style="372" customWidth="1"/>
    <col min="13836" max="13836" width="10.88671875" style="372" customWidth="1"/>
    <col min="13837" max="13838" width="9.88671875" style="372" customWidth="1"/>
    <col min="13839" max="13839" width="11.44140625" style="372" customWidth="1"/>
    <col min="13840" max="13841" width="9.88671875" style="372" customWidth="1"/>
    <col min="13842" max="13842" width="10.88671875" style="372" customWidth="1"/>
    <col min="13843" max="13844" width="9.88671875" style="372" customWidth="1"/>
    <col min="13845" max="13845" width="10.88671875" style="372" customWidth="1"/>
    <col min="13846" max="13847" width="9.88671875" style="372" customWidth="1"/>
    <col min="13848" max="13848" width="10.88671875" style="372" customWidth="1"/>
    <col min="13849" max="14079" width="11.44140625" style="372"/>
    <col min="14080" max="14080" width="2" style="372" customWidth="1"/>
    <col min="14081" max="14081" width="20.5546875" style="372" bestFit="1" customWidth="1"/>
    <col min="14082" max="14082" width="5.88671875" style="372" bestFit="1" customWidth="1"/>
    <col min="14083" max="14083" width="35.88671875" style="372" customWidth="1"/>
    <col min="14084" max="14085" width="9.88671875" style="372" customWidth="1"/>
    <col min="14086" max="14086" width="11.5546875" style="372" customWidth="1"/>
    <col min="14087" max="14088" width="9.88671875" style="372" customWidth="1"/>
    <col min="14089" max="14089" width="12.109375" style="372" customWidth="1"/>
    <col min="14090" max="14091" width="9.88671875" style="372" customWidth="1"/>
    <col min="14092" max="14092" width="10.88671875" style="372" customWidth="1"/>
    <col min="14093" max="14094" width="9.88671875" style="372" customWidth="1"/>
    <col min="14095" max="14095" width="11.44140625" style="372" customWidth="1"/>
    <col min="14096" max="14097" width="9.88671875" style="372" customWidth="1"/>
    <col min="14098" max="14098" width="10.88671875" style="372" customWidth="1"/>
    <col min="14099" max="14100" width="9.88671875" style="372" customWidth="1"/>
    <col min="14101" max="14101" width="10.88671875" style="372" customWidth="1"/>
    <col min="14102" max="14103" width="9.88671875" style="372" customWidth="1"/>
    <col min="14104" max="14104" width="10.88671875" style="372" customWidth="1"/>
    <col min="14105" max="14335" width="11.44140625" style="372"/>
    <col min="14336" max="14336" width="2" style="372" customWidth="1"/>
    <col min="14337" max="14337" width="20.5546875" style="372" bestFit="1" customWidth="1"/>
    <col min="14338" max="14338" width="5.88671875" style="372" bestFit="1" customWidth="1"/>
    <col min="14339" max="14339" width="35.88671875" style="372" customWidth="1"/>
    <col min="14340" max="14341" width="9.88671875" style="372" customWidth="1"/>
    <col min="14342" max="14342" width="11.5546875" style="372" customWidth="1"/>
    <col min="14343" max="14344" width="9.88671875" style="372" customWidth="1"/>
    <col min="14345" max="14345" width="12.109375" style="372" customWidth="1"/>
    <col min="14346" max="14347" width="9.88671875" style="372" customWidth="1"/>
    <col min="14348" max="14348" width="10.88671875" style="372" customWidth="1"/>
    <col min="14349" max="14350" width="9.88671875" style="372" customWidth="1"/>
    <col min="14351" max="14351" width="11.44140625" style="372" customWidth="1"/>
    <col min="14352" max="14353" width="9.88671875" style="372" customWidth="1"/>
    <col min="14354" max="14354" width="10.88671875" style="372" customWidth="1"/>
    <col min="14355" max="14356" width="9.88671875" style="372" customWidth="1"/>
    <col min="14357" max="14357" width="10.88671875" style="372" customWidth="1"/>
    <col min="14358" max="14359" width="9.88671875" style="372" customWidth="1"/>
    <col min="14360" max="14360" width="10.88671875" style="372" customWidth="1"/>
    <col min="14361" max="14591" width="11.44140625" style="372"/>
    <col min="14592" max="14592" width="2" style="372" customWidth="1"/>
    <col min="14593" max="14593" width="20.5546875" style="372" bestFit="1" customWidth="1"/>
    <col min="14594" max="14594" width="5.88671875" style="372" bestFit="1" customWidth="1"/>
    <col min="14595" max="14595" width="35.88671875" style="372" customWidth="1"/>
    <col min="14596" max="14597" width="9.88671875" style="372" customWidth="1"/>
    <col min="14598" max="14598" width="11.5546875" style="372" customWidth="1"/>
    <col min="14599" max="14600" width="9.88671875" style="372" customWidth="1"/>
    <col min="14601" max="14601" width="12.109375" style="372" customWidth="1"/>
    <col min="14602" max="14603" width="9.88671875" style="372" customWidth="1"/>
    <col min="14604" max="14604" width="10.88671875" style="372" customWidth="1"/>
    <col min="14605" max="14606" width="9.88671875" style="372" customWidth="1"/>
    <col min="14607" max="14607" width="11.44140625" style="372" customWidth="1"/>
    <col min="14608" max="14609" width="9.88671875" style="372" customWidth="1"/>
    <col min="14610" max="14610" width="10.88671875" style="372" customWidth="1"/>
    <col min="14611" max="14612" width="9.88671875" style="372" customWidth="1"/>
    <col min="14613" max="14613" width="10.88671875" style="372" customWidth="1"/>
    <col min="14614" max="14615" width="9.88671875" style="372" customWidth="1"/>
    <col min="14616" max="14616" width="10.88671875" style="372" customWidth="1"/>
    <col min="14617" max="14847" width="11.44140625" style="372"/>
    <col min="14848" max="14848" width="2" style="372" customWidth="1"/>
    <col min="14849" max="14849" width="20.5546875" style="372" bestFit="1" customWidth="1"/>
    <col min="14850" max="14850" width="5.88671875" style="372" bestFit="1" customWidth="1"/>
    <col min="14851" max="14851" width="35.88671875" style="372" customWidth="1"/>
    <col min="14852" max="14853" width="9.88671875" style="372" customWidth="1"/>
    <col min="14854" max="14854" width="11.5546875" style="372" customWidth="1"/>
    <col min="14855" max="14856" width="9.88671875" style="372" customWidth="1"/>
    <col min="14857" max="14857" width="12.109375" style="372" customWidth="1"/>
    <col min="14858" max="14859" width="9.88671875" style="372" customWidth="1"/>
    <col min="14860" max="14860" width="10.88671875" style="372" customWidth="1"/>
    <col min="14861" max="14862" width="9.88671875" style="372" customWidth="1"/>
    <col min="14863" max="14863" width="11.44140625" style="372" customWidth="1"/>
    <col min="14864" max="14865" width="9.88671875" style="372" customWidth="1"/>
    <col min="14866" max="14866" width="10.88671875" style="372" customWidth="1"/>
    <col min="14867" max="14868" width="9.88671875" style="372" customWidth="1"/>
    <col min="14869" max="14869" width="10.88671875" style="372" customWidth="1"/>
    <col min="14870" max="14871" width="9.88671875" style="372" customWidth="1"/>
    <col min="14872" max="14872" width="10.88671875" style="372" customWidth="1"/>
    <col min="14873" max="15103" width="11.44140625" style="372"/>
    <col min="15104" max="15104" width="2" style="372" customWidth="1"/>
    <col min="15105" max="15105" width="20.5546875" style="372" bestFit="1" customWidth="1"/>
    <col min="15106" max="15106" width="5.88671875" style="372" bestFit="1" customWidth="1"/>
    <col min="15107" max="15107" width="35.88671875" style="372" customWidth="1"/>
    <col min="15108" max="15109" width="9.88671875" style="372" customWidth="1"/>
    <col min="15110" max="15110" width="11.5546875" style="372" customWidth="1"/>
    <col min="15111" max="15112" width="9.88671875" style="372" customWidth="1"/>
    <col min="15113" max="15113" width="12.109375" style="372" customWidth="1"/>
    <col min="15114" max="15115" width="9.88671875" style="372" customWidth="1"/>
    <col min="15116" max="15116" width="10.88671875" style="372" customWidth="1"/>
    <col min="15117" max="15118" width="9.88671875" style="372" customWidth="1"/>
    <col min="15119" max="15119" width="11.44140625" style="372" customWidth="1"/>
    <col min="15120" max="15121" width="9.88671875" style="372" customWidth="1"/>
    <col min="15122" max="15122" width="10.88671875" style="372" customWidth="1"/>
    <col min="15123" max="15124" width="9.88671875" style="372" customWidth="1"/>
    <col min="15125" max="15125" width="10.88671875" style="372" customWidth="1"/>
    <col min="15126" max="15127" width="9.88671875" style="372" customWidth="1"/>
    <col min="15128" max="15128" width="10.88671875" style="372" customWidth="1"/>
    <col min="15129" max="15359" width="11.44140625" style="372"/>
    <col min="15360" max="15360" width="2" style="372" customWidth="1"/>
    <col min="15361" max="15361" width="20.5546875" style="372" bestFit="1" customWidth="1"/>
    <col min="15362" max="15362" width="5.88671875" style="372" bestFit="1" customWidth="1"/>
    <col min="15363" max="15363" width="35.88671875" style="372" customWidth="1"/>
    <col min="15364" max="15365" width="9.88671875" style="372" customWidth="1"/>
    <col min="15366" max="15366" width="11.5546875" style="372" customWidth="1"/>
    <col min="15367" max="15368" width="9.88671875" style="372" customWidth="1"/>
    <col min="15369" max="15369" width="12.109375" style="372" customWidth="1"/>
    <col min="15370" max="15371" width="9.88671875" style="372" customWidth="1"/>
    <col min="15372" max="15372" width="10.88671875" style="372" customWidth="1"/>
    <col min="15373" max="15374" width="9.88671875" style="372" customWidth="1"/>
    <col min="15375" max="15375" width="11.44140625" style="372" customWidth="1"/>
    <col min="15376" max="15377" width="9.88671875" style="372" customWidth="1"/>
    <col min="15378" max="15378" width="10.88671875" style="372" customWidth="1"/>
    <col min="15379" max="15380" width="9.88671875" style="372" customWidth="1"/>
    <col min="15381" max="15381" width="10.88671875" style="372" customWidth="1"/>
    <col min="15382" max="15383" width="9.88671875" style="372" customWidth="1"/>
    <col min="15384" max="15384" width="10.88671875" style="372" customWidth="1"/>
    <col min="15385" max="15615" width="11.44140625" style="372"/>
    <col min="15616" max="15616" width="2" style="372" customWidth="1"/>
    <col min="15617" max="15617" width="20.5546875" style="372" bestFit="1" customWidth="1"/>
    <col min="15618" max="15618" width="5.88671875" style="372" bestFit="1" customWidth="1"/>
    <col min="15619" max="15619" width="35.88671875" style="372" customWidth="1"/>
    <col min="15620" max="15621" width="9.88671875" style="372" customWidth="1"/>
    <col min="15622" max="15622" width="11.5546875" style="372" customWidth="1"/>
    <col min="15623" max="15624" width="9.88671875" style="372" customWidth="1"/>
    <col min="15625" max="15625" width="12.109375" style="372" customWidth="1"/>
    <col min="15626" max="15627" width="9.88671875" style="372" customWidth="1"/>
    <col min="15628" max="15628" width="10.88671875" style="372" customWidth="1"/>
    <col min="15629" max="15630" width="9.88671875" style="372" customWidth="1"/>
    <col min="15631" max="15631" width="11.44140625" style="372" customWidth="1"/>
    <col min="15632" max="15633" width="9.88671875" style="372" customWidth="1"/>
    <col min="15634" max="15634" width="10.88671875" style="372" customWidth="1"/>
    <col min="15635" max="15636" width="9.88671875" style="372" customWidth="1"/>
    <col min="15637" max="15637" width="10.88671875" style="372" customWidth="1"/>
    <col min="15638" max="15639" width="9.88671875" style="372" customWidth="1"/>
    <col min="15640" max="15640" width="10.88671875" style="372" customWidth="1"/>
    <col min="15641" max="15871" width="11.44140625" style="372"/>
    <col min="15872" max="15872" width="2" style="372" customWidth="1"/>
    <col min="15873" max="15873" width="20.5546875" style="372" bestFit="1" customWidth="1"/>
    <col min="15874" max="15874" width="5.88671875" style="372" bestFit="1" customWidth="1"/>
    <col min="15875" max="15875" width="35.88671875" style="372" customWidth="1"/>
    <col min="15876" max="15877" width="9.88671875" style="372" customWidth="1"/>
    <col min="15878" max="15878" width="11.5546875" style="372" customWidth="1"/>
    <col min="15879" max="15880" width="9.88671875" style="372" customWidth="1"/>
    <col min="15881" max="15881" width="12.109375" style="372" customWidth="1"/>
    <col min="15882" max="15883" width="9.88671875" style="372" customWidth="1"/>
    <col min="15884" max="15884" width="10.88671875" style="372" customWidth="1"/>
    <col min="15885" max="15886" width="9.88671875" style="372" customWidth="1"/>
    <col min="15887" max="15887" width="11.44140625" style="372" customWidth="1"/>
    <col min="15888" max="15889" width="9.88671875" style="372" customWidth="1"/>
    <col min="15890" max="15890" width="10.88671875" style="372" customWidth="1"/>
    <col min="15891" max="15892" width="9.88671875" style="372" customWidth="1"/>
    <col min="15893" max="15893" width="10.88671875" style="372" customWidth="1"/>
    <col min="15894" max="15895" width="9.88671875" style="372" customWidth="1"/>
    <col min="15896" max="15896" width="10.88671875" style="372" customWidth="1"/>
    <col min="15897" max="16127" width="11.44140625" style="372"/>
    <col min="16128" max="16128" width="2" style="372" customWidth="1"/>
    <col min="16129" max="16129" width="20.5546875" style="372" bestFit="1" customWidth="1"/>
    <col min="16130" max="16130" width="5.88671875" style="372" bestFit="1" customWidth="1"/>
    <col min="16131" max="16131" width="35.88671875" style="372" customWidth="1"/>
    <col min="16132" max="16133" width="9.88671875" style="372" customWidth="1"/>
    <col min="16134" max="16134" width="11.5546875" style="372" customWidth="1"/>
    <col min="16135" max="16136" width="9.88671875" style="372" customWidth="1"/>
    <col min="16137" max="16137" width="12.109375" style="372" customWidth="1"/>
    <col min="16138" max="16139" width="9.88671875" style="372" customWidth="1"/>
    <col min="16140" max="16140" width="10.88671875" style="372" customWidth="1"/>
    <col min="16141" max="16142" width="9.88671875" style="372" customWidth="1"/>
    <col min="16143" max="16143" width="11.44140625" style="372" customWidth="1"/>
    <col min="16144" max="16145" width="9.88671875" style="372" customWidth="1"/>
    <col min="16146" max="16146" width="10.88671875" style="372" customWidth="1"/>
    <col min="16147" max="16148" width="9.88671875" style="372" customWidth="1"/>
    <col min="16149" max="16149" width="10.88671875" style="372" customWidth="1"/>
    <col min="16150" max="16151" width="9.88671875" style="372" customWidth="1"/>
    <col min="16152" max="16152" width="10.88671875" style="372" customWidth="1"/>
    <col min="16153" max="16384" width="11.44140625" style="372"/>
  </cols>
  <sheetData>
    <row r="1" spans="1:62" ht="36.75" customHeight="1" x14ac:dyDescent="0.25">
      <c r="B1" s="26" t="s">
        <v>149</v>
      </c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373"/>
    </row>
    <row r="2" spans="1:62" ht="42.75" customHeight="1" x14ac:dyDescent="0.25">
      <c r="A2" s="147"/>
      <c r="B2" s="374" t="s">
        <v>150</v>
      </c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373"/>
    </row>
    <row r="3" spans="1:62" ht="15.75" customHeight="1" x14ac:dyDescent="0.25">
      <c r="A3" s="147"/>
      <c r="B3" s="5733" t="s">
        <v>45</v>
      </c>
      <c r="C3" s="5724">
        <v>2003</v>
      </c>
      <c r="D3" s="5725"/>
      <c r="E3" s="5726"/>
      <c r="F3" s="5724">
        <v>2004</v>
      </c>
      <c r="G3" s="5725"/>
      <c r="H3" s="5726"/>
      <c r="I3" s="5724">
        <v>2005</v>
      </c>
      <c r="J3" s="5725"/>
      <c r="K3" s="5726"/>
      <c r="L3" s="5724">
        <v>2006</v>
      </c>
      <c r="M3" s="5725"/>
      <c r="N3" s="5726"/>
      <c r="O3" s="5724">
        <v>2007</v>
      </c>
      <c r="P3" s="5725"/>
      <c r="Q3" s="5726"/>
      <c r="R3" s="5724">
        <v>2008</v>
      </c>
      <c r="S3" s="5725"/>
      <c r="T3" s="5726"/>
      <c r="U3" s="5724">
        <v>2009</v>
      </c>
      <c r="V3" s="5725"/>
      <c r="W3" s="5726"/>
      <c r="X3" s="5724">
        <v>2010</v>
      </c>
      <c r="Y3" s="5725"/>
      <c r="Z3" s="5726"/>
      <c r="AA3" s="5724">
        <v>2011</v>
      </c>
      <c r="AB3" s="5725"/>
      <c r="AC3" s="5726"/>
      <c r="AD3" s="5724">
        <v>2012</v>
      </c>
      <c r="AE3" s="5725"/>
      <c r="AF3" s="5726"/>
      <c r="AG3" s="5724">
        <v>2013</v>
      </c>
      <c r="AH3" s="5725"/>
      <c r="AI3" s="5726"/>
      <c r="AJ3" s="5724">
        <v>2014</v>
      </c>
      <c r="AK3" s="5725"/>
      <c r="AL3" s="5726"/>
      <c r="AM3" s="5724">
        <v>2015</v>
      </c>
      <c r="AN3" s="5725"/>
      <c r="AO3" s="5726"/>
      <c r="AP3" s="5724">
        <v>2016</v>
      </c>
      <c r="AQ3" s="5725"/>
      <c r="AR3" s="5726"/>
      <c r="AS3" s="5724">
        <v>2017</v>
      </c>
      <c r="AT3" s="5725"/>
      <c r="AU3" s="5726"/>
      <c r="AV3" s="5724">
        <v>2018</v>
      </c>
      <c r="AW3" s="5725"/>
      <c r="AX3" s="5726"/>
      <c r="AY3" s="5724">
        <v>2019</v>
      </c>
      <c r="AZ3" s="5725"/>
      <c r="BA3" s="5726"/>
      <c r="BB3" s="5724">
        <v>2020</v>
      </c>
      <c r="BC3" s="5725"/>
      <c r="BD3" s="5726"/>
      <c r="BE3" s="5724">
        <v>2021</v>
      </c>
      <c r="BF3" s="5725"/>
      <c r="BG3" s="5726"/>
      <c r="BH3" s="5724">
        <v>2022</v>
      </c>
      <c r="BI3" s="5725"/>
      <c r="BJ3" s="5726"/>
    </row>
    <row r="4" spans="1:62" s="31" customFormat="1" ht="15.6" x14ac:dyDescent="0.25">
      <c r="A4" s="147"/>
      <c r="B4" s="5733"/>
      <c r="C4" s="28" t="s">
        <v>46</v>
      </c>
      <c r="D4" s="29" t="s">
        <v>47</v>
      </c>
      <c r="E4" s="30" t="s">
        <v>48</v>
      </c>
      <c r="F4" s="28" t="s">
        <v>46</v>
      </c>
      <c r="G4" s="29" t="s">
        <v>47</v>
      </c>
      <c r="H4" s="30" t="s">
        <v>48</v>
      </c>
      <c r="I4" s="28" t="s">
        <v>46</v>
      </c>
      <c r="J4" s="29" t="s">
        <v>47</v>
      </c>
      <c r="K4" s="30" t="s">
        <v>48</v>
      </c>
      <c r="L4" s="28" t="s">
        <v>46</v>
      </c>
      <c r="M4" s="29" t="s">
        <v>47</v>
      </c>
      <c r="N4" s="30" t="s">
        <v>48</v>
      </c>
      <c r="O4" s="28" t="s">
        <v>46</v>
      </c>
      <c r="P4" s="29" t="s">
        <v>47</v>
      </c>
      <c r="Q4" s="30" t="s">
        <v>48</v>
      </c>
      <c r="R4" s="28" t="s">
        <v>46</v>
      </c>
      <c r="S4" s="29" t="s">
        <v>47</v>
      </c>
      <c r="T4" s="30" t="s">
        <v>48</v>
      </c>
      <c r="U4" s="28" t="s">
        <v>46</v>
      </c>
      <c r="V4" s="29" t="s">
        <v>47</v>
      </c>
      <c r="W4" s="30" t="s">
        <v>48</v>
      </c>
      <c r="X4" s="28" t="s">
        <v>46</v>
      </c>
      <c r="Y4" s="29" t="s">
        <v>47</v>
      </c>
      <c r="Z4" s="30" t="s">
        <v>48</v>
      </c>
      <c r="AA4" s="28" t="s">
        <v>46</v>
      </c>
      <c r="AB4" s="29" t="s">
        <v>47</v>
      </c>
      <c r="AC4" s="30" t="s">
        <v>48</v>
      </c>
      <c r="AD4" s="28" t="s">
        <v>46</v>
      </c>
      <c r="AE4" s="29" t="s">
        <v>47</v>
      </c>
      <c r="AF4" s="30" t="s">
        <v>48</v>
      </c>
      <c r="AG4" s="28" t="s">
        <v>46</v>
      </c>
      <c r="AH4" s="29" t="s">
        <v>47</v>
      </c>
      <c r="AI4" s="30" t="s">
        <v>48</v>
      </c>
      <c r="AJ4" s="28" t="s">
        <v>46</v>
      </c>
      <c r="AK4" s="29" t="s">
        <v>47</v>
      </c>
      <c r="AL4" s="30" t="s">
        <v>48</v>
      </c>
      <c r="AM4" s="28" t="s">
        <v>46</v>
      </c>
      <c r="AN4" s="29" t="s">
        <v>47</v>
      </c>
      <c r="AO4" s="30" t="s">
        <v>48</v>
      </c>
      <c r="AP4" s="28" t="s">
        <v>46</v>
      </c>
      <c r="AQ4" s="29" t="s">
        <v>47</v>
      </c>
      <c r="AR4" s="30" t="s">
        <v>48</v>
      </c>
      <c r="AS4" s="28" t="s">
        <v>46</v>
      </c>
      <c r="AT4" s="29" t="s">
        <v>47</v>
      </c>
      <c r="AU4" s="30" t="s">
        <v>48</v>
      </c>
      <c r="AV4" s="28" t="s">
        <v>46</v>
      </c>
      <c r="AW4" s="29" t="s">
        <v>47</v>
      </c>
      <c r="AX4" s="30" t="s">
        <v>48</v>
      </c>
      <c r="AY4" s="28" t="s">
        <v>46</v>
      </c>
      <c r="AZ4" s="29" t="s">
        <v>47</v>
      </c>
      <c r="BA4" s="30" t="s">
        <v>48</v>
      </c>
      <c r="BB4" s="28" t="s">
        <v>46</v>
      </c>
      <c r="BC4" s="29" t="s">
        <v>47</v>
      </c>
      <c r="BD4" s="30" t="s">
        <v>48</v>
      </c>
      <c r="BE4" s="28" t="s">
        <v>46</v>
      </c>
      <c r="BF4" s="29" t="s">
        <v>47</v>
      </c>
      <c r="BG4" s="30" t="s">
        <v>48</v>
      </c>
      <c r="BH4" s="28" t="s">
        <v>46</v>
      </c>
      <c r="BI4" s="29" t="s">
        <v>47</v>
      </c>
      <c r="BJ4" s="30" t="s">
        <v>48</v>
      </c>
    </row>
    <row r="5" spans="1:62" s="38" customFormat="1" ht="15" customHeight="1" x14ac:dyDescent="0.3">
      <c r="A5" s="147"/>
      <c r="B5" s="32" t="s">
        <v>49</v>
      </c>
      <c r="C5" s="278">
        <v>30</v>
      </c>
      <c r="D5" s="279">
        <v>45</v>
      </c>
      <c r="E5" s="35">
        <v>75</v>
      </c>
      <c r="F5" s="278">
        <v>25</v>
      </c>
      <c r="G5" s="279">
        <v>58</v>
      </c>
      <c r="H5" s="35">
        <v>83</v>
      </c>
      <c r="I5" s="33">
        <v>19</v>
      </c>
      <c r="J5" s="34">
        <v>43</v>
      </c>
      <c r="K5" s="35">
        <v>62</v>
      </c>
      <c r="L5" s="33">
        <v>43</v>
      </c>
      <c r="M5" s="34">
        <v>46</v>
      </c>
      <c r="N5" s="35">
        <v>89</v>
      </c>
      <c r="O5" s="33">
        <v>37</v>
      </c>
      <c r="P5" s="34">
        <v>73</v>
      </c>
      <c r="Q5" s="35">
        <v>110</v>
      </c>
      <c r="R5" s="33">
        <v>63</v>
      </c>
      <c r="S5" s="34">
        <v>97</v>
      </c>
      <c r="T5" s="35">
        <v>160</v>
      </c>
      <c r="U5" s="33">
        <v>71</v>
      </c>
      <c r="V5" s="34">
        <v>93</v>
      </c>
      <c r="W5" s="35">
        <v>164</v>
      </c>
      <c r="X5" s="33">
        <v>101</v>
      </c>
      <c r="Y5" s="34">
        <v>117</v>
      </c>
      <c r="Z5" s="35">
        <f>SUM(X5:Y5)</f>
        <v>218</v>
      </c>
      <c r="AA5" s="36">
        <v>97</v>
      </c>
      <c r="AB5" s="34">
        <v>65</v>
      </c>
      <c r="AC5" s="35">
        <f>SUM(AA5:AB5)</f>
        <v>162</v>
      </c>
      <c r="AD5" s="36">
        <v>49</v>
      </c>
      <c r="AE5" s="34">
        <v>58</v>
      </c>
      <c r="AF5" s="35">
        <f>SUM(AD5:AE5)</f>
        <v>107</v>
      </c>
      <c r="AG5" s="36">
        <v>54</v>
      </c>
      <c r="AH5" s="34">
        <v>57</v>
      </c>
      <c r="AI5" s="35">
        <f>SUM(AG5:AH5)</f>
        <v>111</v>
      </c>
      <c r="AJ5" s="36">
        <v>45</v>
      </c>
      <c r="AK5" s="34">
        <v>66</v>
      </c>
      <c r="AL5" s="35">
        <f>SUM(AJ5:AK5)</f>
        <v>111</v>
      </c>
      <c r="AM5" s="36">
        <v>37</v>
      </c>
      <c r="AN5" s="34">
        <v>64</v>
      </c>
      <c r="AO5" s="35">
        <f>SUM(AM5:AN5)</f>
        <v>101</v>
      </c>
      <c r="AP5" s="36">
        <v>45</v>
      </c>
      <c r="AQ5" s="34">
        <v>58</v>
      </c>
      <c r="AR5" s="35">
        <f>SUM(AP5:AQ5)</f>
        <v>103</v>
      </c>
      <c r="AS5" s="36">
        <v>55</v>
      </c>
      <c r="AT5" s="34">
        <v>56</v>
      </c>
      <c r="AU5" s="35">
        <f>SUM(AS5:AT5)</f>
        <v>111</v>
      </c>
      <c r="AV5" s="36">
        <v>42</v>
      </c>
      <c r="AW5" s="34">
        <v>60</v>
      </c>
      <c r="AX5" s="35">
        <f>SUM(AV5:AW5)</f>
        <v>102</v>
      </c>
      <c r="AY5" s="36">
        <v>74</v>
      </c>
      <c r="AZ5" s="34">
        <v>96</v>
      </c>
      <c r="BA5" s="35">
        <f>SUM(AY5:AZ5)</f>
        <v>170</v>
      </c>
      <c r="BB5" s="36">
        <v>58</v>
      </c>
      <c r="BC5" s="34">
        <v>72</v>
      </c>
      <c r="BD5" s="35">
        <f>SUM(BB5:BC5)</f>
        <v>130</v>
      </c>
      <c r="BE5" s="36">
        <v>70</v>
      </c>
      <c r="BF5" s="34">
        <v>59</v>
      </c>
      <c r="BG5" s="35">
        <f>SUM(BE5:BF5)</f>
        <v>129</v>
      </c>
      <c r="BH5" s="36">
        <v>63</v>
      </c>
      <c r="BI5" s="34">
        <v>68</v>
      </c>
      <c r="BJ5" s="35">
        <f>SUM(BH5:BI5)</f>
        <v>131</v>
      </c>
    </row>
    <row r="6" spans="1:62" s="38" customFormat="1" ht="15" customHeight="1" x14ac:dyDescent="0.3">
      <c r="A6" s="147"/>
      <c r="B6" s="39" t="s">
        <v>50</v>
      </c>
      <c r="C6" s="280">
        <v>34</v>
      </c>
      <c r="D6" s="281">
        <v>53</v>
      </c>
      <c r="E6" s="42">
        <v>87</v>
      </c>
      <c r="F6" s="280">
        <v>32</v>
      </c>
      <c r="G6" s="281">
        <v>72</v>
      </c>
      <c r="H6" s="42">
        <v>104</v>
      </c>
      <c r="I6" s="40">
        <v>46</v>
      </c>
      <c r="J6" s="41">
        <v>51</v>
      </c>
      <c r="K6" s="42">
        <v>97</v>
      </c>
      <c r="L6" s="40">
        <v>48</v>
      </c>
      <c r="M6" s="41">
        <v>73</v>
      </c>
      <c r="N6" s="42">
        <v>121</v>
      </c>
      <c r="O6" s="40">
        <v>50</v>
      </c>
      <c r="P6" s="41">
        <v>79</v>
      </c>
      <c r="Q6" s="42">
        <v>129</v>
      </c>
      <c r="R6" s="40">
        <v>73</v>
      </c>
      <c r="S6" s="41">
        <v>108</v>
      </c>
      <c r="T6" s="42">
        <v>181</v>
      </c>
      <c r="U6" s="40">
        <v>86</v>
      </c>
      <c r="V6" s="41">
        <v>88</v>
      </c>
      <c r="W6" s="42">
        <v>174</v>
      </c>
      <c r="X6" s="40">
        <v>103</v>
      </c>
      <c r="Y6" s="41">
        <v>138</v>
      </c>
      <c r="Z6" s="42">
        <f t="shared" ref="Z6:Z69" si="0">SUM(X6:Y6)</f>
        <v>241</v>
      </c>
      <c r="AA6" s="43">
        <v>97</v>
      </c>
      <c r="AB6" s="41">
        <v>51</v>
      </c>
      <c r="AC6" s="42">
        <f t="shared" ref="AC6:AC82" si="1">SUM(AA6:AB6)</f>
        <v>148</v>
      </c>
      <c r="AD6" s="43">
        <v>47</v>
      </c>
      <c r="AE6" s="41">
        <v>44</v>
      </c>
      <c r="AF6" s="42">
        <f t="shared" ref="AF6:AF82" si="2">SUM(AD6:AE6)</f>
        <v>91</v>
      </c>
      <c r="AG6" s="43">
        <v>59</v>
      </c>
      <c r="AH6" s="41">
        <v>54</v>
      </c>
      <c r="AI6" s="42">
        <f t="shared" ref="AI6:AI14" si="3">SUM(AG6:AH6)</f>
        <v>113</v>
      </c>
      <c r="AJ6" s="43">
        <v>47</v>
      </c>
      <c r="AK6" s="41">
        <v>56</v>
      </c>
      <c r="AL6" s="42">
        <f t="shared" ref="AL6:AL14" si="4">SUM(AJ6:AK6)</f>
        <v>103</v>
      </c>
      <c r="AM6" s="43">
        <v>32</v>
      </c>
      <c r="AN6" s="41">
        <v>58</v>
      </c>
      <c r="AO6" s="42">
        <f t="shared" ref="AO6:AO14" si="5">SUM(AM6:AN6)</f>
        <v>90</v>
      </c>
      <c r="AP6" s="43">
        <v>57</v>
      </c>
      <c r="AQ6" s="41">
        <v>66</v>
      </c>
      <c r="AR6" s="42">
        <f t="shared" ref="AR6:AR14" si="6">SUM(AP6:AQ6)</f>
        <v>123</v>
      </c>
      <c r="AS6" s="43">
        <v>57</v>
      </c>
      <c r="AT6" s="41">
        <v>54</v>
      </c>
      <c r="AU6" s="42">
        <f t="shared" ref="AU6:AU14" si="7">SUM(AS6:AT6)</f>
        <v>111</v>
      </c>
      <c r="AV6" s="43">
        <v>67</v>
      </c>
      <c r="AW6" s="41">
        <v>58</v>
      </c>
      <c r="AX6" s="42">
        <f t="shared" ref="AX6:AX14" si="8">SUM(AV6:AW6)</f>
        <v>125</v>
      </c>
      <c r="AY6" s="43">
        <v>73</v>
      </c>
      <c r="AZ6" s="41">
        <v>105</v>
      </c>
      <c r="BA6" s="42">
        <f t="shared" ref="BA6:BA14" si="9">SUM(AY6:AZ6)</f>
        <v>178</v>
      </c>
      <c r="BB6" s="43">
        <v>59</v>
      </c>
      <c r="BC6" s="41">
        <v>73</v>
      </c>
      <c r="BD6" s="42">
        <f t="shared" ref="BD6:BD14" si="10">SUM(BB6:BC6)</f>
        <v>132</v>
      </c>
      <c r="BE6" s="43">
        <v>83</v>
      </c>
      <c r="BF6" s="41">
        <v>81</v>
      </c>
      <c r="BG6" s="42">
        <f t="shared" ref="BG6:BG14" si="11">SUM(BE6:BF6)</f>
        <v>164</v>
      </c>
      <c r="BH6" s="43">
        <v>68</v>
      </c>
      <c r="BI6" s="41">
        <v>82</v>
      </c>
      <c r="BJ6" s="42">
        <f t="shared" ref="BJ6:BJ14" si="12">SUM(BH6:BI6)</f>
        <v>150</v>
      </c>
    </row>
    <row r="7" spans="1:62" s="38" customFormat="1" ht="15" customHeight="1" x14ac:dyDescent="0.3">
      <c r="A7" s="147"/>
      <c r="B7" s="39" t="s">
        <v>51</v>
      </c>
      <c r="C7" s="280">
        <v>24</v>
      </c>
      <c r="D7" s="281">
        <v>40</v>
      </c>
      <c r="E7" s="42">
        <v>64</v>
      </c>
      <c r="F7" s="280">
        <v>45</v>
      </c>
      <c r="G7" s="281">
        <v>50</v>
      </c>
      <c r="H7" s="42">
        <v>95</v>
      </c>
      <c r="I7" s="40">
        <v>22</v>
      </c>
      <c r="J7" s="41">
        <v>26</v>
      </c>
      <c r="K7" s="42">
        <v>48</v>
      </c>
      <c r="L7" s="40">
        <v>26</v>
      </c>
      <c r="M7" s="41">
        <v>36</v>
      </c>
      <c r="N7" s="42">
        <v>62</v>
      </c>
      <c r="O7" s="40">
        <v>32</v>
      </c>
      <c r="P7" s="41">
        <v>45</v>
      </c>
      <c r="Q7" s="42">
        <v>77</v>
      </c>
      <c r="R7" s="40">
        <v>34</v>
      </c>
      <c r="S7" s="41">
        <v>57</v>
      </c>
      <c r="T7" s="42">
        <v>91</v>
      </c>
      <c r="U7" s="40">
        <v>50</v>
      </c>
      <c r="V7" s="41">
        <v>56</v>
      </c>
      <c r="W7" s="42">
        <v>106</v>
      </c>
      <c r="X7" s="40">
        <v>29</v>
      </c>
      <c r="Y7" s="41">
        <v>49</v>
      </c>
      <c r="Z7" s="42">
        <f t="shared" si="0"/>
        <v>78</v>
      </c>
      <c r="AA7" s="43">
        <v>92</v>
      </c>
      <c r="AB7" s="41">
        <v>56</v>
      </c>
      <c r="AC7" s="42">
        <f t="shared" si="1"/>
        <v>148</v>
      </c>
      <c r="AD7" s="43">
        <v>51</v>
      </c>
      <c r="AE7" s="41">
        <v>54</v>
      </c>
      <c r="AF7" s="42">
        <f t="shared" si="2"/>
        <v>105</v>
      </c>
      <c r="AG7" s="43">
        <v>52</v>
      </c>
      <c r="AH7" s="41">
        <v>55</v>
      </c>
      <c r="AI7" s="42">
        <f t="shared" si="3"/>
        <v>107</v>
      </c>
      <c r="AJ7" s="43">
        <v>31</v>
      </c>
      <c r="AK7" s="41">
        <v>59</v>
      </c>
      <c r="AL7" s="42">
        <f t="shared" si="4"/>
        <v>90</v>
      </c>
      <c r="AM7" s="43">
        <v>31</v>
      </c>
      <c r="AN7" s="41">
        <v>58</v>
      </c>
      <c r="AO7" s="42">
        <f t="shared" si="5"/>
        <v>89</v>
      </c>
      <c r="AP7" s="43">
        <v>23</v>
      </c>
      <c r="AQ7" s="41">
        <v>30</v>
      </c>
      <c r="AR7" s="42">
        <f t="shared" si="6"/>
        <v>53</v>
      </c>
      <c r="AS7" s="43">
        <v>40</v>
      </c>
      <c r="AT7" s="41">
        <v>39</v>
      </c>
      <c r="AU7" s="42">
        <f t="shared" si="7"/>
        <v>79</v>
      </c>
      <c r="AV7" s="43">
        <v>33</v>
      </c>
      <c r="AW7" s="41">
        <v>34</v>
      </c>
      <c r="AX7" s="42">
        <f t="shared" si="8"/>
        <v>67</v>
      </c>
      <c r="AY7" s="43">
        <v>37</v>
      </c>
      <c r="AZ7" s="41">
        <v>42</v>
      </c>
      <c r="BA7" s="42">
        <f t="shared" si="9"/>
        <v>79</v>
      </c>
      <c r="BB7" s="43">
        <v>34</v>
      </c>
      <c r="BC7" s="41">
        <v>41</v>
      </c>
      <c r="BD7" s="42">
        <f t="shared" si="10"/>
        <v>75</v>
      </c>
      <c r="BE7" s="43">
        <v>36</v>
      </c>
      <c r="BF7" s="41">
        <v>43</v>
      </c>
      <c r="BG7" s="42">
        <f t="shared" si="11"/>
        <v>79</v>
      </c>
      <c r="BH7" s="43">
        <v>41</v>
      </c>
      <c r="BI7" s="41">
        <v>37</v>
      </c>
      <c r="BJ7" s="42">
        <f t="shared" si="12"/>
        <v>78</v>
      </c>
    </row>
    <row r="8" spans="1:62" s="38" customFormat="1" ht="15" customHeight="1" x14ac:dyDescent="0.3">
      <c r="A8" s="147"/>
      <c r="B8" s="39" t="s">
        <v>52</v>
      </c>
      <c r="C8" s="280">
        <v>17</v>
      </c>
      <c r="D8" s="281">
        <v>32</v>
      </c>
      <c r="E8" s="42">
        <v>49</v>
      </c>
      <c r="F8" s="280">
        <v>13</v>
      </c>
      <c r="G8" s="281">
        <v>37</v>
      </c>
      <c r="H8" s="42">
        <v>50</v>
      </c>
      <c r="I8" s="40">
        <v>29</v>
      </c>
      <c r="J8" s="41">
        <v>41</v>
      </c>
      <c r="K8" s="42">
        <v>70</v>
      </c>
      <c r="L8" s="40">
        <v>14</v>
      </c>
      <c r="M8" s="41">
        <v>26</v>
      </c>
      <c r="N8" s="42">
        <v>40</v>
      </c>
      <c r="O8" s="40">
        <v>11</v>
      </c>
      <c r="P8" s="41">
        <v>27</v>
      </c>
      <c r="Q8" s="42">
        <v>38</v>
      </c>
      <c r="R8" s="40">
        <v>26</v>
      </c>
      <c r="S8" s="41">
        <v>46</v>
      </c>
      <c r="T8" s="42">
        <v>72</v>
      </c>
      <c r="U8" s="40">
        <v>25</v>
      </c>
      <c r="V8" s="41">
        <v>50</v>
      </c>
      <c r="W8" s="42">
        <v>75</v>
      </c>
      <c r="X8" s="40">
        <v>34</v>
      </c>
      <c r="Y8" s="41">
        <v>62</v>
      </c>
      <c r="Z8" s="42">
        <f t="shared" si="0"/>
        <v>96</v>
      </c>
      <c r="AA8" s="43">
        <v>78</v>
      </c>
      <c r="AB8" s="41">
        <v>54</v>
      </c>
      <c r="AC8" s="42">
        <f t="shared" si="1"/>
        <v>132</v>
      </c>
      <c r="AD8" s="43">
        <v>42</v>
      </c>
      <c r="AE8" s="41">
        <v>52</v>
      </c>
      <c r="AF8" s="42">
        <f t="shared" si="2"/>
        <v>94</v>
      </c>
      <c r="AG8" s="43">
        <v>53</v>
      </c>
      <c r="AH8" s="41">
        <v>53</v>
      </c>
      <c r="AI8" s="42">
        <f t="shared" si="3"/>
        <v>106</v>
      </c>
      <c r="AJ8" s="43">
        <v>46</v>
      </c>
      <c r="AK8" s="41">
        <v>63</v>
      </c>
      <c r="AL8" s="42">
        <f t="shared" si="4"/>
        <v>109</v>
      </c>
      <c r="AM8" s="43">
        <v>34</v>
      </c>
      <c r="AN8" s="41">
        <v>63</v>
      </c>
      <c r="AO8" s="42">
        <f t="shared" si="5"/>
        <v>97</v>
      </c>
      <c r="AP8" s="43">
        <v>42</v>
      </c>
      <c r="AQ8" s="41">
        <v>51</v>
      </c>
      <c r="AR8" s="42">
        <f t="shared" si="6"/>
        <v>93</v>
      </c>
      <c r="AS8" s="43">
        <v>49</v>
      </c>
      <c r="AT8" s="41">
        <v>56</v>
      </c>
      <c r="AU8" s="42">
        <f t="shared" si="7"/>
        <v>105</v>
      </c>
      <c r="AV8" s="43">
        <v>48</v>
      </c>
      <c r="AW8" s="41">
        <v>65</v>
      </c>
      <c r="AX8" s="42">
        <f t="shared" si="8"/>
        <v>113</v>
      </c>
      <c r="AY8" s="43">
        <v>69</v>
      </c>
      <c r="AZ8" s="41">
        <v>92</v>
      </c>
      <c r="BA8" s="42">
        <f t="shared" si="9"/>
        <v>161</v>
      </c>
      <c r="BB8" s="43">
        <v>54</v>
      </c>
      <c r="BC8" s="41">
        <v>71</v>
      </c>
      <c r="BD8" s="42">
        <f t="shared" si="10"/>
        <v>125</v>
      </c>
      <c r="BE8" s="43">
        <v>59</v>
      </c>
      <c r="BF8" s="41">
        <v>42</v>
      </c>
      <c r="BG8" s="42">
        <f t="shared" si="11"/>
        <v>101</v>
      </c>
      <c r="BH8" s="43">
        <v>55</v>
      </c>
      <c r="BI8" s="41">
        <v>60</v>
      </c>
      <c r="BJ8" s="42">
        <f t="shared" si="12"/>
        <v>115</v>
      </c>
    </row>
    <row r="9" spans="1:62" s="38" customFormat="1" ht="15" customHeight="1" x14ac:dyDescent="0.3">
      <c r="A9" s="147"/>
      <c r="B9" s="39" t="s">
        <v>53</v>
      </c>
      <c r="C9" s="280">
        <v>82</v>
      </c>
      <c r="D9" s="281">
        <v>124</v>
      </c>
      <c r="E9" s="42">
        <v>206</v>
      </c>
      <c r="F9" s="280">
        <v>120</v>
      </c>
      <c r="G9" s="281">
        <v>134</v>
      </c>
      <c r="H9" s="42">
        <v>254</v>
      </c>
      <c r="I9" s="40">
        <v>101</v>
      </c>
      <c r="J9" s="41">
        <v>115</v>
      </c>
      <c r="K9" s="42">
        <v>216</v>
      </c>
      <c r="L9" s="40">
        <v>77</v>
      </c>
      <c r="M9" s="41">
        <v>149</v>
      </c>
      <c r="N9" s="42">
        <v>226</v>
      </c>
      <c r="O9" s="40">
        <v>116</v>
      </c>
      <c r="P9" s="41">
        <v>124</v>
      </c>
      <c r="Q9" s="42">
        <v>240</v>
      </c>
      <c r="R9" s="40">
        <v>88</v>
      </c>
      <c r="S9" s="41">
        <v>106</v>
      </c>
      <c r="T9" s="42">
        <v>194</v>
      </c>
      <c r="U9" s="40">
        <v>86</v>
      </c>
      <c r="V9" s="41">
        <v>69</v>
      </c>
      <c r="W9" s="42">
        <v>155</v>
      </c>
      <c r="X9" s="40">
        <v>105</v>
      </c>
      <c r="Y9" s="41">
        <v>89</v>
      </c>
      <c r="Z9" s="42">
        <f t="shared" si="0"/>
        <v>194</v>
      </c>
      <c r="AA9" s="43">
        <v>99</v>
      </c>
      <c r="AB9" s="41">
        <v>51</v>
      </c>
      <c r="AC9" s="42">
        <f t="shared" si="1"/>
        <v>150</v>
      </c>
      <c r="AD9" s="43">
        <v>43</v>
      </c>
      <c r="AE9" s="41">
        <v>51</v>
      </c>
      <c r="AF9" s="42">
        <f t="shared" si="2"/>
        <v>94</v>
      </c>
      <c r="AG9" s="43">
        <v>54</v>
      </c>
      <c r="AH9" s="41">
        <v>48</v>
      </c>
      <c r="AI9" s="42">
        <f t="shared" si="3"/>
        <v>102</v>
      </c>
      <c r="AJ9" s="43">
        <v>47</v>
      </c>
      <c r="AK9" s="41">
        <v>66</v>
      </c>
      <c r="AL9" s="42">
        <f t="shared" si="4"/>
        <v>113</v>
      </c>
      <c r="AM9" s="43">
        <v>37</v>
      </c>
      <c r="AN9" s="41">
        <v>56</v>
      </c>
      <c r="AO9" s="42">
        <f t="shared" si="5"/>
        <v>93</v>
      </c>
      <c r="AP9" s="43">
        <v>67</v>
      </c>
      <c r="AQ9" s="41">
        <v>58</v>
      </c>
      <c r="AR9" s="42">
        <f t="shared" si="6"/>
        <v>125</v>
      </c>
      <c r="AS9" s="43">
        <v>57</v>
      </c>
      <c r="AT9" s="41">
        <v>63</v>
      </c>
      <c r="AU9" s="42">
        <f t="shared" si="7"/>
        <v>120</v>
      </c>
      <c r="AV9" s="43">
        <v>61</v>
      </c>
      <c r="AW9" s="41">
        <v>74</v>
      </c>
      <c r="AX9" s="42">
        <f t="shared" si="8"/>
        <v>135</v>
      </c>
      <c r="AY9" s="43">
        <v>83</v>
      </c>
      <c r="AZ9" s="41">
        <v>88</v>
      </c>
      <c r="BA9" s="42">
        <f t="shared" si="9"/>
        <v>171</v>
      </c>
      <c r="BB9" s="43">
        <v>63</v>
      </c>
      <c r="BC9" s="41">
        <v>82</v>
      </c>
      <c r="BD9" s="42">
        <f t="shared" si="10"/>
        <v>145</v>
      </c>
      <c r="BE9" s="43">
        <v>84</v>
      </c>
      <c r="BF9" s="41">
        <v>79</v>
      </c>
      <c r="BG9" s="42">
        <f t="shared" si="11"/>
        <v>163</v>
      </c>
      <c r="BH9" s="43">
        <v>66</v>
      </c>
      <c r="BI9" s="41">
        <v>85</v>
      </c>
      <c r="BJ9" s="42">
        <f t="shared" si="12"/>
        <v>151</v>
      </c>
    </row>
    <row r="10" spans="1:62" s="38" customFormat="1" ht="15" customHeight="1" x14ac:dyDescent="0.3">
      <c r="A10" s="147"/>
      <c r="B10" s="39" t="s">
        <v>54</v>
      </c>
      <c r="C10" s="280">
        <v>53</v>
      </c>
      <c r="D10" s="281">
        <v>80</v>
      </c>
      <c r="E10" s="42">
        <v>133</v>
      </c>
      <c r="F10" s="280">
        <v>63</v>
      </c>
      <c r="G10" s="281">
        <v>93</v>
      </c>
      <c r="H10" s="42">
        <v>156</v>
      </c>
      <c r="I10" s="40">
        <v>64</v>
      </c>
      <c r="J10" s="41">
        <v>91</v>
      </c>
      <c r="K10" s="42">
        <v>155</v>
      </c>
      <c r="L10" s="40">
        <v>87</v>
      </c>
      <c r="M10" s="41">
        <v>85</v>
      </c>
      <c r="N10" s="42">
        <v>172</v>
      </c>
      <c r="O10" s="40">
        <v>56</v>
      </c>
      <c r="P10" s="41">
        <v>104</v>
      </c>
      <c r="Q10" s="42">
        <v>160</v>
      </c>
      <c r="R10" s="40">
        <v>64</v>
      </c>
      <c r="S10" s="41">
        <v>93</v>
      </c>
      <c r="T10" s="42">
        <v>157</v>
      </c>
      <c r="U10" s="40">
        <v>81</v>
      </c>
      <c r="V10" s="41">
        <v>71</v>
      </c>
      <c r="W10" s="42">
        <v>152</v>
      </c>
      <c r="X10" s="40">
        <v>106</v>
      </c>
      <c r="Y10" s="41">
        <v>91</v>
      </c>
      <c r="Z10" s="42">
        <f t="shared" si="0"/>
        <v>197</v>
      </c>
      <c r="AA10" s="43">
        <v>100</v>
      </c>
      <c r="AB10" s="41">
        <v>52</v>
      </c>
      <c r="AC10" s="42">
        <f t="shared" si="1"/>
        <v>152</v>
      </c>
      <c r="AD10" s="43">
        <v>42</v>
      </c>
      <c r="AE10" s="41">
        <v>40</v>
      </c>
      <c r="AF10" s="42">
        <f t="shared" si="2"/>
        <v>82</v>
      </c>
      <c r="AG10" s="43">
        <v>53</v>
      </c>
      <c r="AH10" s="41">
        <v>52</v>
      </c>
      <c r="AI10" s="42">
        <f t="shared" si="3"/>
        <v>105</v>
      </c>
      <c r="AJ10" s="43">
        <v>47</v>
      </c>
      <c r="AK10" s="41">
        <v>56</v>
      </c>
      <c r="AL10" s="42">
        <f t="shared" si="4"/>
        <v>103</v>
      </c>
      <c r="AM10" s="43">
        <v>39</v>
      </c>
      <c r="AN10" s="41">
        <v>59</v>
      </c>
      <c r="AO10" s="42">
        <f t="shared" si="5"/>
        <v>98</v>
      </c>
      <c r="AP10" s="43">
        <v>65</v>
      </c>
      <c r="AQ10" s="41">
        <v>53</v>
      </c>
      <c r="AR10" s="42">
        <f t="shared" si="6"/>
        <v>118</v>
      </c>
      <c r="AS10" s="43">
        <v>64</v>
      </c>
      <c r="AT10" s="41">
        <v>44</v>
      </c>
      <c r="AU10" s="42">
        <f t="shared" si="7"/>
        <v>108</v>
      </c>
      <c r="AV10" s="43">
        <v>65</v>
      </c>
      <c r="AW10" s="41">
        <v>57</v>
      </c>
      <c r="AX10" s="42">
        <f t="shared" si="8"/>
        <v>122</v>
      </c>
      <c r="AY10" s="43">
        <v>80</v>
      </c>
      <c r="AZ10" s="41">
        <v>98</v>
      </c>
      <c r="BA10" s="42">
        <f t="shared" si="9"/>
        <v>178</v>
      </c>
      <c r="BB10" s="43">
        <v>54</v>
      </c>
      <c r="BC10" s="41">
        <v>71</v>
      </c>
      <c r="BD10" s="42">
        <f t="shared" si="10"/>
        <v>125</v>
      </c>
      <c r="BE10" s="43">
        <v>80</v>
      </c>
      <c r="BF10" s="41">
        <v>81</v>
      </c>
      <c r="BG10" s="42">
        <f t="shared" si="11"/>
        <v>161</v>
      </c>
      <c r="BH10" s="43">
        <v>68</v>
      </c>
      <c r="BI10" s="41">
        <v>82</v>
      </c>
      <c r="BJ10" s="42">
        <f t="shared" si="12"/>
        <v>150</v>
      </c>
    </row>
    <row r="11" spans="1:62" s="38" customFormat="1" ht="15" customHeight="1" x14ac:dyDescent="0.3">
      <c r="A11" s="147"/>
      <c r="B11" s="39" t="s">
        <v>55</v>
      </c>
      <c r="C11" s="280">
        <v>4</v>
      </c>
      <c r="D11" s="281">
        <v>10</v>
      </c>
      <c r="E11" s="42">
        <v>14</v>
      </c>
      <c r="F11" s="280">
        <v>6</v>
      </c>
      <c r="G11" s="281">
        <v>16</v>
      </c>
      <c r="H11" s="42">
        <v>22</v>
      </c>
      <c r="I11" s="40">
        <v>11</v>
      </c>
      <c r="J11" s="41">
        <v>19</v>
      </c>
      <c r="K11" s="42">
        <v>30</v>
      </c>
      <c r="L11" s="40">
        <v>7</v>
      </c>
      <c r="M11" s="41">
        <v>27</v>
      </c>
      <c r="N11" s="42">
        <v>34</v>
      </c>
      <c r="O11" s="40">
        <v>13</v>
      </c>
      <c r="P11" s="41">
        <v>19</v>
      </c>
      <c r="Q11" s="42">
        <v>32</v>
      </c>
      <c r="R11" s="40">
        <v>11</v>
      </c>
      <c r="S11" s="41">
        <v>34</v>
      </c>
      <c r="T11" s="42">
        <v>45</v>
      </c>
      <c r="U11" s="40">
        <v>19</v>
      </c>
      <c r="V11" s="41">
        <v>46</v>
      </c>
      <c r="W11" s="42">
        <v>65</v>
      </c>
      <c r="X11" s="40">
        <v>20</v>
      </c>
      <c r="Y11" s="41">
        <v>41</v>
      </c>
      <c r="Z11" s="42">
        <f t="shared" si="0"/>
        <v>61</v>
      </c>
      <c r="AA11" s="43">
        <v>65</v>
      </c>
      <c r="AB11" s="41">
        <v>34</v>
      </c>
      <c r="AC11" s="42">
        <f t="shared" si="1"/>
        <v>99</v>
      </c>
      <c r="AD11" s="43">
        <v>49</v>
      </c>
      <c r="AE11" s="41">
        <v>48</v>
      </c>
      <c r="AF11" s="42">
        <f t="shared" si="2"/>
        <v>97</v>
      </c>
      <c r="AG11" s="43">
        <v>56</v>
      </c>
      <c r="AH11" s="41">
        <v>55</v>
      </c>
      <c r="AI11" s="42">
        <f t="shared" si="3"/>
        <v>111</v>
      </c>
      <c r="AJ11" s="43">
        <v>36</v>
      </c>
      <c r="AK11" s="41">
        <v>69</v>
      </c>
      <c r="AL11" s="42">
        <f t="shared" si="4"/>
        <v>105</v>
      </c>
      <c r="AM11" s="43">
        <v>36</v>
      </c>
      <c r="AN11" s="41">
        <v>66</v>
      </c>
      <c r="AO11" s="42">
        <f t="shared" si="5"/>
        <v>102</v>
      </c>
      <c r="AP11" s="43">
        <v>43</v>
      </c>
      <c r="AQ11" s="41">
        <v>23</v>
      </c>
      <c r="AR11" s="42">
        <f t="shared" si="6"/>
        <v>66</v>
      </c>
      <c r="AS11" s="43">
        <v>33</v>
      </c>
      <c r="AT11" s="41">
        <v>34</v>
      </c>
      <c r="AU11" s="42">
        <f t="shared" si="7"/>
        <v>67</v>
      </c>
      <c r="AV11" s="43">
        <v>33</v>
      </c>
      <c r="AW11" s="41">
        <v>42</v>
      </c>
      <c r="AX11" s="42">
        <f t="shared" si="8"/>
        <v>75</v>
      </c>
      <c r="AY11" s="43">
        <v>33</v>
      </c>
      <c r="AZ11" s="41">
        <v>53</v>
      </c>
      <c r="BA11" s="42">
        <f t="shared" si="9"/>
        <v>86</v>
      </c>
      <c r="BB11" s="43">
        <v>30</v>
      </c>
      <c r="BC11" s="41">
        <v>44</v>
      </c>
      <c r="BD11" s="42">
        <f t="shared" si="10"/>
        <v>74</v>
      </c>
      <c r="BE11" s="43">
        <v>30</v>
      </c>
      <c r="BF11" s="41">
        <v>19</v>
      </c>
      <c r="BG11" s="42">
        <f t="shared" si="11"/>
        <v>49</v>
      </c>
      <c r="BH11" s="43">
        <v>35</v>
      </c>
      <c r="BI11" s="41">
        <v>36</v>
      </c>
      <c r="BJ11" s="42">
        <f t="shared" si="12"/>
        <v>71</v>
      </c>
    </row>
    <row r="12" spans="1:62" s="38" customFormat="1" ht="15" customHeight="1" x14ac:dyDescent="0.3">
      <c r="A12" s="147"/>
      <c r="B12" s="39" t="s">
        <v>56</v>
      </c>
      <c r="C12" s="280">
        <v>47</v>
      </c>
      <c r="D12" s="281">
        <v>93</v>
      </c>
      <c r="E12" s="42">
        <v>140</v>
      </c>
      <c r="F12" s="280">
        <v>44</v>
      </c>
      <c r="G12" s="281">
        <v>94</v>
      </c>
      <c r="H12" s="42">
        <v>138</v>
      </c>
      <c r="I12" s="40">
        <v>51</v>
      </c>
      <c r="J12" s="41">
        <v>71</v>
      </c>
      <c r="K12" s="42">
        <v>122</v>
      </c>
      <c r="L12" s="40">
        <v>66</v>
      </c>
      <c r="M12" s="41">
        <v>67</v>
      </c>
      <c r="N12" s="42">
        <v>133</v>
      </c>
      <c r="O12" s="40">
        <v>55</v>
      </c>
      <c r="P12" s="41">
        <v>110</v>
      </c>
      <c r="Q12" s="42">
        <v>165</v>
      </c>
      <c r="R12" s="40">
        <v>66</v>
      </c>
      <c r="S12" s="41">
        <v>96</v>
      </c>
      <c r="T12" s="42">
        <v>162</v>
      </c>
      <c r="U12" s="40">
        <v>68</v>
      </c>
      <c r="V12" s="41">
        <v>83</v>
      </c>
      <c r="W12" s="42">
        <v>151</v>
      </c>
      <c r="X12" s="40">
        <v>106</v>
      </c>
      <c r="Y12" s="41">
        <v>84</v>
      </c>
      <c r="Z12" s="42">
        <f t="shared" si="0"/>
        <v>190</v>
      </c>
      <c r="AA12" s="43">
        <v>89</v>
      </c>
      <c r="AB12" s="41">
        <v>45</v>
      </c>
      <c r="AC12" s="42">
        <f t="shared" si="1"/>
        <v>134</v>
      </c>
      <c r="AD12" s="43">
        <v>47</v>
      </c>
      <c r="AE12" s="41">
        <v>50</v>
      </c>
      <c r="AF12" s="42">
        <f t="shared" si="2"/>
        <v>97</v>
      </c>
      <c r="AG12" s="43">
        <v>57</v>
      </c>
      <c r="AH12" s="41">
        <v>50</v>
      </c>
      <c r="AI12" s="42">
        <f t="shared" si="3"/>
        <v>107</v>
      </c>
      <c r="AJ12" s="43">
        <v>46</v>
      </c>
      <c r="AK12" s="41">
        <v>55</v>
      </c>
      <c r="AL12" s="42">
        <f t="shared" si="4"/>
        <v>101</v>
      </c>
      <c r="AM12" s="43">
        <v>36</v>
      </c>
      <c r="AN12" s="41">
        <v>55</v>
      </c>
      <c r="AO12" s="42">
        <f t="shared" si="5"/>
        <v>91</v>
      </c>
      <c r="AP12" s="43">
        <v>68</v>
      </c>
      <c r="AQ12" s="41">
        <v>70</v>
      </c>
      <c r="AR12" s="42">
        <f t="shared" si="6"/>
        <v>138</v>
      </c>
      <c r="AS12" s="43">
        <v>57</v>
      </c>
      <c r="AT12" s="41">
        <v>61</v>
      </c>
      <c r="AU12" s="42">
        <f t="shared" si="7"/>
        <v>118</v>
      </c>
      <c r="AV12" s="43">
        <v>67</v>
      </c>
      <c r="AW12" s="41">
        <v>70</v>
      </c>
      <c r="AX12" s="42">
        <f t="shared" si="8"/>
        <v>137</v>
      </c>
      <c r="AY12" s="43">
        <v>83</v>
      </c>
      <c r="AZ12" s="41">
        <v>109</v>
      </c>
      <c r="BA12" s="42">
        <f t="shared" si="9"/>
        <v>192</v>
      </c>
      <c r="BB12" s="43">
        <v>64</v>
      </c>
      <c r="BC12" s="41">
        <v>80</v>
      </c>
      <c r="BD12" s="42">
        <f t="shared" si="10"/>
        <v>144</v>
      </c>
      <c r="BE12" s="43">
        <v>78</v>
      </c>
      <c r="BF12" s="41">
        <v>80</v>
      </c>
      <c r="BG12" s="42">
        <f t="shared" si="11"/>
        <v>158</v>
      </c>
      <c r="BH12" s="43">
        <v>71</v>
      </c>
      <c r="BI12" s="41">
        <v>84</v>
      </c>
      <c r="BJ12" s="42">
        <f t="shared" si="12"/>
        <v>155</v>
      </c>
    </row>
    <row r="13" spans="1:62" s="38" customFormat="1" ht="15" customHeight="1" x14ac:dyDescent="0.3">
      <c r="A13" s="147"/>
      <c r="B13" s="39" t="s">
        <v>57</v>
      </c>
      <c r="C13" s="280">
        <v>106</v>
      </c>
      <c r="D13" s="281">
        <v>131</v>
      </c>
      <c r="E13" s="42">
        <v>237</v>
      </c>
      <c r="F13" s="280">
        <v>144</v>
      </c>
      <c r="G13" s="281">
        <v>166</v>
      </c>
      <c r="H13" s="42">
        <v>310</v>
      </c>
      <c r="I13" s="40">
        <v>135</v>
      </c>
      <c r="J13" s="41">
        <v>146</v>
      </c>
      <c r="K13" s="42">
        <v>281</v>
      </c>
      <c r="L13" s="40">
        <v>154</v>
      </c>
      <c r="M13" s="41">
        <v>122</v>
      </c>
      <c r="N13" s="42">
        <v>276</v>
      </c>
      <c r="O13" s="40">
        <v>128</v>
      </c>
      <c r="P13" s="41">
        <v>115</v>
      </c>
      <c r="Q13" s="42">
        <v>243</v>
      </c>
      <c r="R13" s="40">
        <v>65</v>
      </c>
      <c r="S13" s="41">
        <v>111</v>
      </c>
      <c r="T13" s="42">
        <v>176</v>
      </c>
      <c r="U13" s="40">
        <v>77</v>
      </c>
      <c r="V13" s="41">
        <v>95</v>
      </c>
      <c r="W13" s="42">
        <v>172</v>
      </c>
      <c r="X13" s="40">
        <v>112</v>
      </c>
      <c r="Y13" s="41">
        <v>118</v>
      </c>
      <c r="Z13" s="42">
        <f t="shared" si="0"/>
        <v>230</v>
      </c>
      <c r="AA13" s="43">
        <v>94</v>
      </c>
      <c r="AB13" s="41">
        <v>60</v>
      </c>
      <c r="AC13" s="42">
        <f t="shared" si="1"/>
        <v>154</v>
      </c>
      <c r="AD13" s="43">
        <v>46</v>
      </c>
      <c r="AE13" s="41">
        <v>53</v>
      </c>
      <c r="AF13" s="42">
        <f t="shared" si="2"/>
        <v>99</v>
      </c>
      <c r="AG13" s="43">
        <v>55</v>
      </c>
      <c r="AH13" s="41">
        <v>57</v>
      </c>
      <c r="AI13" s="42">
        <f t="shared" si="3"/>
        <v>112</v>
      </c>
      <c r="AJ13" s="43">
        <v>46</v>
      </c>
      <c r="AK13" s="41">
        <v>64</v>
      </c>
      <c r="AL13" s="42">
        <f t="shared" si="4"/>
        <v>110</v>
      </c>
      <c r="AM13" s="43">
        <v>35</v>
      </c>
      <c r="AN13" s="41">
        <v>65</v>
      </c>
      <c r="AO13" s="42">
        <f t="shared" si="5"/>
        <v>100</v>
      </c>
      <c r="AP13" s="43">
        <v>60</v>
      </c>
      <c r="AQ13" s="41">
        <v>60</v>
      </c>
      <c r="AR13" s="42">
        <f t="shared" si="6"/>
        <v>120</v>
      </c>
      <c r="AS13" s="43">
        <v>50</v>
      </c>
      <c r="AT13" s="41">
        <v>58</v>
      </c>
      <c r="AU13" s="42">
        <f t="shared" si="7"/>
        <v>108</v>
      </c>
      <c r="AV13" s="43">
        <v>57</v>
      </c>
      <c r="AW13" s="41">
        <v>56</v>
      </c>
      <c r="AX13" s="42">
        <f t="shared" si="8"/>
        <v>113</v>
      </c>
      <c r="AY13" s="43">
        <v>63</v>
      </c>
      <c r="AZ13" s="41">
        <v>68</v>
      </c>
      <c r="BA13" s="42">
        <f t="shared" si="9"/>
        <v>131</v>
      </c>
      <c r="BB13" s="43">
        <v>57</v>
      </c>
      <c r="BC13" s="41">
        <v>71</v>
      </c>
      <c r="BD13" s="42">
        <f t="shared" si="10"/>
        <v>128</v>
      </c>
      <c r="BE13" s="43">
        <v>77</v>
      </c>
      <c r="BF13" s="41">
        <v>47</v>
      </c>
      <c r="BG13" s="42">
        <f t="shared" si="11"/>
        <v>124</v>
      </c>
      <c r="BH13" s="43">
        <v>66</v>
      </c>
      <c r="BI13" s="41">
        <v>81</v>
      </c>
      <c r="BJ13" s="42">
        <f t="shared" si="12"/>
        <v>147</v>
      </c>
    </row>
    <row r="14" spans="1:62" s="38" customFormat="1" ht="15" customHeight="1" x14ac:dyDescent="0.3">
      <c r="A14" s="147"/>
      <c r="B14" s="45" t="s">
        <v>58</v>
      </c>
      <c r="C14" s="46"/>
      <c r="D14" s="282">
        <v>98</v>
      </c>
      <c r="E14" s="48">
        <v>98</v>
      </c>
      <c r="F14" s="283">
        <v>205</v>
      </c>
      <c r="G14" s="282">
        <v>192</v>
      </c>
      <c r="H14" s="48">
        <v>397</v>
      </c>
      <c r="I14" s="46">
        <v>185</v>
      </c>
      <c r="J14" s="50">
        <v>177</v>
      </c>
      <c r="K14" s="48">
        <v>362</v>
      </c>
      <c r="L14" s="46">
        <v>199</v>
      </c>
      <c r="M14" s="50">
        <v>191</v>
      </c>
      <c r="N14" s="48">
        <v>390</v>
      </c>
      <c r="O14" s="46">
        <v>156</v>
      </c>
      <c r="P14" s="50">
        <v>123</v>
      </c>
      <c r="Q14" s="48">
        <v>279</v>
      </c>
      <c r="R14" s="46">
        <v>162</v>
      </c>
      <c r="S14" s="50">
        <v>160</v>
      </c>
      <c r="T14" s="48">
        <v>322</v>
      </c>
      <c r="U14" s="46">
        <v>136</v>
      </c>
      <c r="V14" s="50">
        <v>115</v>
      </c>
      <c r="W14" s="48">
        <v>251</v>
      </c>
      <c r="X14" s="46">
        <v>137</v>
      </c>
      <c r="Y14" s="50">
        <v>115</v>
      </c>
      <c r="Z14" s="48">
        <f t="shared" si="0"/>
        <v>252</v>
      </c>
      <c r="AA14" s="51">
        <v>97</v>
      </c>
      <c r="AB14" s="50">
        <v>69</v>
      </c>
      <c r="AC14" s="48">
        <f t="shared" si="1"/>
        <v>166</v>
      </c>
      <c r="AD14" s="51">
        <v>37</v>
      </c>
      <c r="AE14" s="50">
        <v>57</v>
      </c>
      <c r="AF14" s="48">
        <f t="shared" si="2"/>
        <v>94</v>
      </c>
      <c r="AG14" s="51">
        <v>53</v>
      </c>
      <c r="AH14" s="50">
        <v>50</v>
      </c>
      <c r="AI14" s="48">
        <f t="shared" si="3"/>
        <v>103</v>
      </c>
      <c r="AJ14" s="51">
        <v>46</v>
      </c>
      <c r="AK14" s="50">
        <v>70</v>
      </c>
      <c r="AL14" s="48">
        <f t="shared" si="4"/>
        <v>116</v>
      </c>
      <c r="AM14" s="51">
        <v>33</v>
      </c>
      <c r="AN14" s="50">
        <v>66</v>
      </c>
      <c r="AO14" s="48">
        <f t="shared" si="5"/>
        <v>99</v>
      </c>
      <c r="AP14" s="51">
        <v>69</v>
      </c>
      <c r="AQ14" s="50">
        <v>94</v>
      </c>
      <c r="AR14" s="48">
        <f t="shared" si="6"/>
        <v>163</v>
      </c>
      <c r="AS14" s="51">
        <v>64</v>
      </c>
      <c r="AT14" s="50">
        <v>67</v>
      </c>
      <c r="AU14" s="48">
        <f t="shared" si="7"/>
        <v>131</v>
      </c>
      <c r="AV14" s="51">
        <v>70</v>
      </c>
      <c r="AW14" s="50">
        <v>91</v>
      </c>
      <c r="AX14" s="48">
        <f t="shared" si="8"/>
        <v>161</v>
      </c>
      <c r="AY14" s="51">
        <v>89</v>
      </c>
      <c r="AZ14" s="50">
        <v>109</v>
      </c>
      <c r="BA14" s="48">
        <f t="shared" si="9"/>
        <v>198</v>
      </c>
      <c r="BB14" s="51">
        <v>74</v>
      </c>
      <c r="BC14" s="50">
        <v>84</v>
      </c>
      <c r="BD14" s="48">
        <f t="shared" si="10"/>
        <v>158</v>
      </c>
      <c r="BE14" s="51">
        <v>85</v>
      </c>
      <c r="BF14" s="50">
        <v>79</v>
      </c>
      <c r="BG14" s="48">
        <f t="shared" si="11"/>
        <v>164</v>
      </c>
      <c r="BH14" s="51">
        <v>80</v>
      </c>
      <c r="BI14" s="50">
        <v>86</v>
      </c>
      <c r="BJ14" s="48">
        <f t="shared" si="12"/>
        <v>166</v>
      </c>
    </row>
    <row r="15" spans="1:62" s="38" customFormat="1" ht="15" customHeight="1" x14ac:dyDescent="0.3">
      <c r="A15" s="147"/>
      <c r="B15" s="64" t="s">
        <v>59</v>
      </c>
      <c r="C15" s="65">
        <f>SUM(C5:C14)</f>
        <v>397</v>
      </c>
      <c r="D15" s="375">
        <f>SUM(D5:D14)</f>
        <v>706</v>
      </c>
      <c r="E15" s="67">
        <f>SUM(E5:E14)</f>
        <v>1103</v>
      </c>
      <c r="F15" s="65">
        <f t="shared" ref="F15:BD15" si="13">SUM(F5:F14)</f>
        <v>697</v>
      </c>
      <c r="G15" s="375">
        <f t="shared" si="13"/>
        <v>912</v>
      </c>
      <c r="H15" s="67">
        <f t="shared" si="13"/>
        <v>1609</v>
      </c>
      <c r="I15" s="65">
        <f t="shared" si="13"/>
        <v>663</v>
      </c>
      <c r="J15" s="375">
        <f t="shared" si="13"/>
        <v>780</v>
      </c>
      <c r="K15" s="67">
        <f t="shared" si="13"/>
        <v>1443</v>
      </c>
      <c r="L15" s="65">
        <f t="shared" si="13"/>
        <v>721</v>
      </c>
      <c r="M15" s="375">
        <f t="shared" si="13"/>
        <v>822</v>
      </c>
      <c r="N15" s="67">
        <f t="shared" si="13"/>
        <v>1543</v>
      </c>
      <c r="O15" s="65">
        <f t="shared" si="13"/>
        <v>654</v>
      </c>
      <c r="P15" s="375">
        <f t="shared" si="13"/>
        <v>819</v>
      </c>
      <c r="Q15" s="67">
        <f t="shared" si="13"/>
        <v>1473</v>
      </c>
      <c r="R15" s="65">
        <f t="shared" si="13"/>
        <v>652</v>
      </c>
      <c r="S15" s="375">
        <f t="shared" si="13"/>
        <v>908</v>
      </c>
      <c r="T15" s="67">
        <f t="shared" si="13"/>
        <v>1560</v>
      </c>
      <c r="U15" s="65">
        <f t="shared" si="13"/>
        <v>699</v>
      </c>
      <c r="V15" s="375">
        <f t="shared" si="13"/>
        <v>766</v>
      </c>
      <c r="W15" s="67">
        <f t="shared" si="13"/>
        <v>1465</v>
      </c>
      <c r="X15" s="65">
        <f t="shared" si="13"/>
        <v>853</v>
      </c>
      <c r="Y15" s="375">
        <f t="shared" si="13"/>
        <v>904</v>
      </c>
      <c r="Z15" s="67">
        <f t="shared" si="13"/>
        <v>1757</v>
      </c>
      <c r="AA15" s="65">
        <f t="shared" si="13"/>
        <v>908</v>
      </c>
      <c r="AB15" s="375">
        <f t="shared" si="13"/>
        <v>537</v>
      </c>
      <c r="AC15" s="67">
        <f t="shared" si="13"/>
        <v>1445</v>
      </c>
      <c r="AD15" s="65">
        <f t="shared" si="13"/>
        <v>453</v>
      </c>
      <c r="AE15" s="375">
        <f t="shared" si="13"/>
        <v>507</v>
      </c>
      <c r="AF15" s="67">
        <f t="shared" si="13"/>
        <v>960</v>
      </c>
      <c r="AG15" s="65">
        <f t="shared" si="13"/>
        <v>546</v>
      </c>
      <c r="AH15" s="375">
        <f t="shared" si="13"/>
        <v>531</v>
      </c>
      <c r="AI15" s="67">
        <f t="shared" si="13"/>
        <v>1077</v>
      </c>
      <c r="AJ15" s="65">
        <f t="shared" si="13"/>
        <v>437</v>
      </c>
      <c r="AK15" s="375">
        <f t="shared" si="13"/>
        <v>624</v>
      </c>
      <c r="AL15" s="67">
        <f t="shared" si="13"/>
        <v>1061</v>
      </c>
      <c r="AM15" s="65">
        <f t="shared" si="13"/>
        <v>350</v>
      </c>
      <c r="AN15" s="375">
        <f t="shared" si="13"/>
        <v>610</v>
      </c>
      <c r="AO15" s="67">
        <f t="shared" si="13"/>
        <v>960</v>
      </c>
      <c r="AP15" s="65">
        <f t="shared" si="13"/>
        <v>539</v>
      </c>
      <c r="AQ15" s="66">
        <f t="shared" si="13"/>
        <v>563</v>
      </c>
      <c r="AR15" s="67">
        <f t="shared" si="13"/>
        <v>1102</v>
      </c>
      <c r="AS15" s="65">
        <f t="shared" si="13"/>
        <v>526</v>
      </c>
      <c r="AT15" s="66">
        <f t="shared" si="13"/>
        <v>532</v>
      </c>
      <c r="AU15" s="67">
        <f t="shared" si="13"/>
        <v>1058</v>
      </c>
      <c r="AV15" s="65">
        <f t="shared" si="13"/>
        <v>543</v>
      </c>
      <c r="AW15" s="66">
        <f t="shared" si="13"/>
        <v>607</v>
      </c>
      <c r="AX15" s="67">
        <f t="shared" si="13"/>
        <v>1150</v>
      </c>
      <c r="AY15" s="65">
        <f t="shared" si="13"/>
        <v>684</v>
      </c>
      <c r="AZ15" s="66">
        <f t="shared" si="13"/>
        <v>860</v>
      </c>
      <c r="BA15" s="67">
        <f t="shared" si="13"/>
        <v>1544</v>
      </c>
      <c r="BB15" s="65">
        <f t="shared" si="13"/>
        <v>547</v>
      </c>
      <c r="BC15" s="66">
        <f t="shared" si="13"/>
        <v>689</v>
      </c>
      <c r="BD15" s="67">
        <f t="shared" si="13"/>
        <v>1236</v>
      </c>
      <c r="BE15" s="65">
        <f>SUM(BE5:BE14)</f>
        <v>682</v>
      </c>
      <c r="BF15" s="66">
        <f>SUM(BF5:BF14)</f>
        <v>610</v>
      </c>
      <c r="BG15" s="67">
        <f t="shared" ref="BG15" si="14">SUM(BG5:BG14)</f>
        <v>1292</v>
      </c>
      <c r="BH15" s="65">
        <f>SUM(BH5:BH14)</f>
        <v>613</v>
      </c>
      <c r="BI15" s="66">
        <f>SUM(BI5:BI14)</f>
        <v>701</v>
      </c>
      <c r="BJ15" s="67">
        <f t="shared" ref="BJ15" si="15">SUM(BJ5:BJ14)</f>
        <v>1314</v>
      </c>
    </row>
    <row r="16" spans="1:62" s="38" customFormat="1" ht="15" customHeight="1" x14ac:dyDescent="0.3">
      <c r="A16" s="147"/>
      <c r="B16" s="32" t="s">
        <v>60</v>
      </c>
      <c r="C16" s="278">
        <v>105</v>
      </c>
      <c r="D16" s="279">
        <v>146</v>
      </c>
      <c r="E16" s="35">
        <v>251</v>
      </c>
      <c r="F16" s="278">
        <v>100</v>
      </c>
      <c r="G16" s="279">
        <v>165</v>
      </c>
      <c r="H16" s="35">
        <v>265</v>
      </c>
      <c r="I16" s="33">
        <v>105</v>
      </c>
      <c r="J16" s="34">
        <v>136</v>
      </c>
      <c r="K16" s="35">
        <v>241</v>
      </c>
      <c r="L16" s="33">
        <v>93</v>
      </c>
      <c r="M16" s="34">
        <v>140</v>
      </c>
      <c r="N16" s="35">
        <v>233</v>
      </c>
      <c r="O16" s="33">
        <v>176</v>
      </c>
      <c r="P16" s="34">
        <v>105</v>
      </c>
      <c r="Q16" s="35">
        <v>281</v>
      </c>
      <c r="R16" s="33">
        <v>155</v>
      </c>
      <c r="S16" s="34">
        <v>146</v>
      </c>
      <c r="T16" s="35">
        <v>301</v>
      </c>
      <c r="U16" s="33">
        <v>134</v>
      </c>
      <c r="V16" s="34">
        <v>142</v>
      </c>
      <c r="W16" s="35">
        <v>276</v>
      </c>
      <c r="X16" s="33">
        <v>129</v>
      </c>
      <c r="Y16" s="34">
        <v>116</v>
      </c>
      <c r="Z16" s="35">
        <f t="shared" si="0"/>
        <v>245</v>
      </c>
      <c r="AA16" s="36">
        <v>131</v>
      </c>
      <c r="AB16" s="34">
        <v>118</v>
      </c>
      <c r="AC16" s="35">
        <f t="shared" si="1"/>
        <v>249</v>
      </c>
      <c r="AD16" s="36">
        <v>143</v>
      </c>
      <c r="AE16" s="34">
        <v>138</v>
      </c>
      <c r="AF16" s="35">
        <f t="shared" si="2"/>
        <v>281</v>
      </c>
      <c r="AG16" s="36">
        <v>152</v>
      </c>
      <c r="AH16" s="34">
        <v>144</v>
      </c>
      <c r="AI16" s="35">
        <f>SUM(AG16:AH16)</f>
        <v>296</v>
      </c>
      <c r="AJ16" s="36">
        <v>153</v>
      </c>
      <c r="AK16" s="34">
        <v>152</v>
      </c>
      <c r="AL16" s="35">
        <f>SUM(AJ16:AK16)</f>
        <v>305</v>
      </c>
      <c r="AM16" s="36">
        <v>146</v>
      </c>
      <c r="AN16" s="34">
        <v>155</v>
      </c>
      <c r="AO16" s="35">
        <f>SUM(AM16:AN16)</f>
        <v>301</v>
      </c>
      <c r="AP16" s="36">
        <v>141</v>
      </c>
      <c r="AQ16" s="34">
        <v>160</v>
      </c>
      <c r="AR16" s="35">
        <f>SUM(AP16:AQ16)</f>
        <v>301</v>
      </c>
      <c r="AS16" s="36">
        <v>124</v>
      </c>
      <c r="AT16" s="34">
        <v>157</v>
      </c>
      <c r="AU16" s="35">
        <f>SUM(AS16:AT16)</f>
        <v>281</v>
      </c>
      <c r="AV16" s="36">
        <v>147</v>
      </c>
      <c r="AW16" s="34">
        <v>126</v>
      </c>
      <c r="AX16" s="35">
        <f>SUM(AV16:AW16)</f>
        <v>273</v>
      </c>
      <c r="AY16" s="36">
        <v>151</v>
      </c>
      <c r="AZ16" s="34">
        <v>189</v>
      </c>
      <c r="BA16" s="35">
        <f>SUM(AY16:AZ16)</f>
        <v>340</v>
      </c>
      <c r="BB16" s="36">
        <v>195</v>
      </c>
      <c r="BC16" s="34">
        <v>190</v>
      </c>
      <c r="BD16" s="35">
        <f>SUM(BB16:BC16)</f>
        <v>385</v>
      </c>
      <c r="BE16" s="36">
        <v>168</v>
      </c>
      <c r="BF16" s="34">
        <v>195</v>
      </c>
      <c r="BG16" s="35">
        <f>SUM(BE16:BF16)</f>
        <v>363</v>
      </c>
      <c r="BH16" s="36">
        <v>176</v>
      </c>
      <c r="BI16" s="34">
        <v>189</v>
      </c>
      <c r="BJ16" s="35">
        <f>SUM(BH16:BI16)</f>
        <v>365</v>
      </c>
    </row>
    <row r="17" spans="1:62" s="38" customFormat="1" ht="15" customHeight="1" x14ac:dyDescent="0.3">
      <c r="A17" s="147"/>
      <c r="B17" s="39" t="s">
        <v>61</v>
      </c>
      <c r="C17" s="280">
        <v>157</v>
      </c>
      <c r="D17" s="281">
        <v>211</v>
      </c>
      <c r="E17" s="42">
        <v>368</v>
      </c>
      <c r="F17" s="280">
        <v>123</v>
      </c>
      <c r="G17" s="281">
        <v>210</v>
      </c>
      <c r="H17" s="42">
        <v>333</v>
      </c>
      <c r="I17" s="40">
        <v>140</v>
      </c>
      <c r="J17" s="41">
        <v>178</v>
      </c>
      <c r="K17" s="42">
        <v>318</v>
      </c>
      <c r="L17" s="40">
        <v>120</v>
      </c>
      <c r="M17" s="41">
        <v>221</v>
      </c>
      <c r="N17" s="42">
        <v>341</v>
      </c>
      <c r="O17" s="40">
        <v>175</v>
      </c>
      <c r="P17" s="41">
        <v>131</v>
      </c>
      <c r="Q17" s="42">
        <v>306</v>
      </c>
      <c r="R17" s="40">
        <v>232</v>
      </c>
      <c r="S17" s="41">
        <v>205</v>
      </c>
      <c r="T17" s="42">
        <v>437</v>
      </c>
      <c r="U17" s="40">
        <v>195</v>
      </c>
      <c r="V17" s="41">
        <v>226</v>
      </c>
      <c r="W17" s="42">
        <v>421</v>
      </c>
      <c r="X17" s="40">
        <v>208</v>
      </c>
      <c r="Y17" s="41">
        <v>188</v>
      </c>
      <c r="Z17" s="42">
        <f t="shared" si="0"/>
        <v>396</v>
      </c>
      <c r="AA17" s="43">
        <v>202</v>
      </c>
      <c r="AB17" s="41">
        <v>192</v>
      </c>
      <c r="AC17" s="42">
        <f t="shared" si="1"/>
        <v>394</v>
      </c>
      <c r="AD17" s="43">
        <v>231</v>
      </c>
      <c r="AE17" s="41">
        <v>229</v>
      </c>
      <c r="AF17" s="42">
        <f t="shared" si="2"/>
        <v>460</v>
      </c>
      <c r="AG17" s="43">
        <v>223</v>
      </c>
      <c r="AH17" s="41">
        <v>221</v>
      </c>
      <c r="AI17" s="42">
        <f>SUM(AG17:AH17)</f>
        <v>444</v>
      </c>
      <c r="AJ17" s="43">
        <v>232</v>
      </c>
      <c r="AK17" s="41">
        <v>236</v>
      </c>
      <c r="AL17" s="42">
        <f>SUM(AJ17:AK17)</f>
        <v>468</v>
      </c>
      <c r="AM17" s="43">
        <v>223</v>
      </c>
      <c r="AN17" s="41">
        <v>247</v>
      </c>
      <c r="AO17" s="42">
        <f>SUM(AM17:AN17)</f>
        <v>470</v>
      </c>
      <c r="AP17" s="43">
        <v>206</v>
      </c>
      <c r="AQ17" s="41">
        <v>257</v>
      </c>
      <c r="AR17" s="42">
        <f>SUM(AP17:AQ17)</f>
        <v>463</v>
      </c>
      <c r="AS17" s="43">
        <v>215</v>
      </c>
      <c r="AT17" s="41">
        <v>219</v>
      </c>
      <c r="AU17" s="42">
        <f>SUM(AS17:AT17)</f>
        <v>434</v>
      </c>
      <c r="AV17" s="43">
        <v>204</v>
      </c>
      <c r="AW17" s="41">
        <v>193</v>
      </c>
      <c r="AX17" s="42">
        <f>SUM(AV17:AW17)</f>
        <v>397</v>
      </c>
      <c r="AY17" s="43">
        <v>246</v>
      </c>
      <c r="AZ17" s="41">
        <v>265</v>
      </c>
      <c r="BA17" s="42">
        <f>SUM(AY17:AZ17)</f>
        <v>511</v>
      </c>
      <c r="BB17" s="43">
        <v>256</v>
      </c>
      <c r="BC17" s="41">
        <v>192</v>
      </c>
      <c r="BD17" s="42">
        <f>SUM(BB17:BC17)</f>
        <v>448</v>
      </c>
      <c r="BE17" s="43">
        <v>255</v>
      </c>
      <c r="BF17" s="41">
        <v>239</v>
      </c>
      <c r="BG17" s="42">
        <f>SUM(BE17:BF17)</f>
        <v>494</v>
      </c>
      <c r="BH17" s="43">
        <v>262</v>
      </c>
      <c r="BI17" s="41">
        <v>197</v>
      </c>
      <c r="BJ17" s="42">
        <f>SUM(BH17:BI17)</f>
        <v>459</v>
      </c>
    </row>
    <row r="18" spans="1:62" s="38" customFormat="1" ht="15" customHeight="1" x14ac:dyDescent="0.3">
      <c r="A18" s="147"/>
      <c r="B18" s="39" t="s">
        <v>62</v>
      </c>
      <c r="C18" s="280">
        <v>99</v>
      </c>
      <c r="D18" s="281">
        <v>70</v>
      </c>
      <c r="E18" s="42">
        <v>169</v>
      </c>
      <c r="F18" s="280">
        <v>87</v>
      </c>
      <c r="G18" s="281">
        <v>112</v>
      </c>
      <c r="H18" s="42">
        <v>199</v>
      </c>
      <c r="I18" s="40">
        <v>94</v>
      </c>
      <c r="J18" s="41">
        <v>75</v>
      </c>
      <c r="K18" s="42">
        <v>169</v>
      </c>
      <c r="L18" s="40">
        <v>83</v>
      </c>
      <c r="M18" s="41">
        <v>82</v>
      </c>
      <c r="N18" s="42">
        <v>165</v>
      </c>
      <c r="O18" s="40">
        <v>79</v>
      </c>
      <c r="P18" s="41">
        <v>92</v>
      </c>
      <c r="Q18" s="42">
        <v>171</v>
      </c>
      <c r="R18" s="40">
        <v>131</v>
      </c>
      <c r="S18" s="41">
        <v>103</v>
      </c>
      <c r="T18" s="42">
        <v>234</v>
      </c>
      <c r="U18" s="40">
        <v>107</v>
      </c>
      <c r="V18" s="41">
        <v>110</v>
      </c>
      <c r="W18" s="42">
        <v>217</v>
      </c>
      <c r="X18" s="40">
        <v>102</v>
      </c>
      <c r="Y18" s="41">
        <v>97</v>
      </c>
      <c r="Z18" s="42">
        <f t="shared" si="0"/>
        <v>199</v>
      </c>
      <c r="AA18" s="43">
        <v>106</v>
      </c>
      <c r="AB18" s="41">
        <v>92</v>
      </c>
      <c r="AC18" s="42">
        <f t="shared" si="1"/>
        <v>198</v>
      </c>
      <c r="AD18" s="43">
        <v>114</v>
      </c>
      <c r="AE18" s="41">
        <v>112</v>
      </c>
      <c r="AF18" s="42">
        <f t="shared" si="2"/>
        <v>226</v>
      </c>
      <c r="AG18" s="43">
        <v>118</v>
      </c>
      <c r="AH18" s="41">
        <v>109</v>
      </c>
      <c r="AI18" s="42">
        <f>SUM(AG18:AH18)</f>
        <v>227</v>
      </c>
      <c r="AJ18" s="43">
        <v>111</v>
      </c>
      <c r="AK18" s="41">
        <v>105</v>
      </c>
      <c r="AL18" s="42">
        <f>SUM(AJ18:AK18)</f>
        <v>216</v>
      </c>
      <c r="AM18" s="43">
        <v>114</v>
      </c>
      <c r="AN18" s="41">
        <v>116</v>
      </c>
      <c r="AO18" s="42">
        <f>SUM(AM18:AN18)</f>
        <v>230</v>
      </c>
      <c r="AP18" s="43">
        <v>120</v>
      </c>
      <c r="AQ18" s="41">
        <v>140</v>
      </c>
      <c r="AR18" s="42">
        <f>SUM(AP18:AQ18)</f>
        <v>260</v>
      </c>
      <c r="AS18" s="43">
        <v>140</v>
      </c>
      <c r="AT18" s="41">
        <v>162</v>
      </c>
      <c r="AU18" s="42">
        <f>SUM(AS18:AT18)</f>
        <v>302</v>
      </c>
      <c r="AV18" s="43">
        <v>143</v>
      </c>
      <c r="AW18" s="41">
        <v>134</v>
      </c>
      <c r="AX18" s="42">
        <f>SUM(AV18:AW18)</f>
        <v>277</v>
      </c>
      <c r="AY18" s="43">
        <v>143</v>
      </c>
      <c r="AZ18" s="41">
        <v>162</v>
      </c>
      <c r="BA18" s="42">
        <f>SUM(AY18:AZ18)</f>
        <v>305</v>
      </c>
      <c r="BB18" s="43">
        <v>123</v>
      </c>
      <c r="BC18" s="41">
        <v>121</v>
      </c>
      <c r="BD18" s="42">
        <f>SUM(BB18:BC18)</f>
        <v>244</v>
      </c>
      <c r="BE18" s="43">
        <v>117</v>
      </c>
      <c r="BF18" s="41">
        <v>140</v>
      </c>
      <c r="BG18" s="42">
        <f>SUM(BE18:BF18)</f>
        <v>257</v>
      </c>
      <c r="BH18" s="43">
        <v>125</v>
      </c>
      <c r="BI18" s="41">
        <v>129</v>
      </c>
      <c r="BJ18" s="42">
        <f>SUM(BH18:BI18)</f>
        <v>254</v>
      </c>
    </row>
    <row r="19" spans="1:62" s="38" customFormat="1" ht="15" customHeight="1" x14ac:dyDescent="0.3">
      <c r="A19" s="147"/>
      <c r="B19" s="45" t="s">
        <v>63</v>
      </c>
      <c r="C19" s="283">
        <v>106</v>
      </c>
      <c r="D19" s="282">
        <v>99</v>
      </c>
      <c r="E19" s="48">
        <v>205</v>
      </c>
      <c r="F19" s="283">
        <v>107</v>
      </c>
      <c r="G19" s="282">
        <v>130</v>
      </c>
      <c r="H19" s="48">
        <v>237</v>
      </c>
      <c r="I19" s="46">
        <v>107</v>
      </c>
      <c r="J19" s="50">
        <v>87</v>
      </c>
      <c r="K19" s="48">
        <v>194</v>
      </c>
      <c r="L19" s="46">
        <v>87</v>
      </c>
      <c r="M19" s="50">
        <v>87</v>
      </c>
      <c r="N19" s="48">
        <v>174</v>
      </c>
      <c r="O19" s="46">
        <v>93</v>
      </c>
      <c r="P19" s="50">
        <v>93</v>
      </c>
      <c r="Q19" s="48">
        <v>186</v>
      </c>
      <c r="R19" s="46">
        <v>136</v>
      </c>
      <c r="S19" s="50">
        <v>102</v>
      </c>
      <c r="T19" s="48">
        <v>238</v>
      </c>
      <c r="U19" s="46">
        <v>113</v>
      </c>
      <c r="V19" s="50">
        <v>98</v>
      </c>
      <c r="W19" s="48">
        <v>211</v>
      </c>
      <c r="X19" s="46">
        <v>100</v>
      </c>
      <c r="Y19" s="50">
        <v>99</v>
      </c>
      <c r="Z19" s="48">
        <f t="shared" si="0"/>
        <v>199</v>
      </c>
      <c r="AA19" s="51">
        <v>103</v>
      </c>
      <c r="AB19" s="50">
        <v>104</v>
      </c>
      <c r="AC19" s="48">
        <f t="shared" si="1"/>
        <v>207</v>
      </c>
      <c r="AD19" s="51">
        <v>117</v>
      </c>
      <c r="AE19" s="50">
        <v>121</v>
      </c>
      <c r="AF19" s="48">
        <f t="shared" si="2"/>
        <v>238</v>
      </c>
      <c r="AG19" s="51">
        <v>118</v>
      </c>
      <c r="AH19" s="50">
        <v>116</v>
      </c>
      <c r="AI19" s="48">
        <f>SUM(AG19:AH19)</f>
        <v>234</v>
      </c>
      <c r="AJ19" s="51">
        <v>115</v>
      </c>
      <c r="AK19" s="50">
        <v>115</v>
      </c>
      <c r="AL19" s="48">
        <f>SUM(AJ19:AK19)</f>
        <v>230</v>
      </c>
      <c r="AM19" s="51">
        <v>117</v>
      </c>
      <c r="AN19" s="50">
        <v>117</v>
      </c>
      <c r="AO19" s="48">
        <f>SUM(AM19:AN19)</f>
        <v>234</v>
      </c>
      <c r="AP19" s="51">
        <v>100</v>
      </c>
      <c r="AQ19" s="50">
        <v>117</v>
      </c>
      <c r="AR19" s="48">
        <f>SUM(AP19:AQ19)</f>
        <v>217</v>
      </c>
      <c r="AS19" s="51">
        <v>93</v>
      </c>
      <c r="AT19" s="50">
        <v>124</v>
      </c>
      <c r="AU19" s="48">
        <f>SUM(AS19:AT19)</f>
        <v>217</v>
      </c>
      <c r="AV19" s="51">
        <v>87</v>
      </c>
      <c r="AW19" s="50">
        <v>158</v>
      </c>
      <c r="AX19" s="48">
        <f>SUM(AV19:AW19)</f>
        <v>245</v>
      </c>
      <c r="AY19" s="51">
        <v>123</v>
      </c>
      <c r="AZ19" s="50">
        <v>146</v>
      </c>
      <c r="BA19" s="48">
        <f>SUM(AY19:AZ19)</f>
        <v>269</v>
      </c>
      <c r="BB19" s="51">
        <v>108</v>
      </c>
      <c r="BC19" s="50">
        <v>121</v>
      </c>
      <c r="BD19" s="48">
        <f>SUM(BB19:BC19)</f>
        <v>229</v>
      </c>
      <c r="BE19" s="51">
        <v>96</v>
      </c>
      <c r="BF19" s="50">
        <v>96</v>
      </c>
      <c r="BG19" s="48">
        <f>SUM(BE19:BF19)</f>
        <v>192</v>
      </c>
      <c r="BH19" s="51">
        <v>115</v>
      </c>
      <c r="BI19" s="50">
        <v>115</v>
      </c>
      <c r="BJ19" s="48">
        <f>SUM(BH19:BI19)</f>
        <v>230</v>
      </c>
    </row>
    <row r="20" spans="1:62" s="38" customFormat="1" ht="15" customHeight="1" x14ac:dyDescent="0.3">
      <c r="A20" s="147"/>
      <c r="B20" s="287" t="s">
        <v>64</v>
      </c>
      <c r="C20" s="288">
        <f>SUM(C16:C19)</f>
        <v>467</v>
      </c>
      <c r="D20" s="289">
        <f t="shared" ref="D20:BD20" si="16">SUM(D16:D19)</f>
        <v>526</v>
      </c>
      <c r="E20" s="203">
        <f t="shared" si="16"/>
        <v>993</v>
      </c>
      <c r="F20" s="288">
        <f t="shared" si="16"/>
        <v>417</v>
      </c>
      <c r="G20" s="289">
        <f t="shared" si="16"/>
        <v>617</v>
      </c>
      <c r="H20" s="203">
        <f t="shared" si="16"/>
        <v>1034</v>
      </c>
      <c r="I20" s="288">
        <f t="shared" si="16"/>
        <v>446</v>
      </c>
      <c r="J20" s="289">
        <f t="shared" si="16"/>
        <v>476</v>
      </c>
      <c r="K20" s="203">
        <f t="shared" si="16"/>
        <v>922</v>
      </c>
      <c r="L20" s="288">
        <f t="shared" si="16"/>
        <v>383</v>
      </c>
      <c r="M20" s="289">
        <f t="shared" si="16"/>
        <v>530</v>
      </c>
      <c r="N20" s="203">
        <f t="shared" si="16"/>
        <v>913</v>
      </c>
      <c r="O20" s="288">
        <f t="shared" si="16"/>
        <v>523</v>
      </c>
      <c r="P20" s="289">
        <f t="shared" si="16"/>
        <v>421</v>
      </c>
      <c r="Q20" s="203">
        <f t="shared" si="16"/>
        <v>944</v>
      </c>
      <c r="R20" s="288">
        <f t="shared" si="16"/>
        <v>654</v>
      </c>
      <c r="S20" s="289">
        <f t="shared" si="16"/>
        <v>556</v>
      </c>
      <c r="T20" s="203">
        <f t="shared" si="16"/>
        <v>1210</v>
      </c>
      <c r="U20" s="288">
        <f t="shared" si="16"/>
        <v>549</v>
      </c>
      <c r="V20" s="289">
        <f t="shared" si="16"/>
        <v>576</v>
      </c>
      <c r="W20" s="203">
        <f t="shared" si="16"/>
        <v>1125</v>
      </c>
      <c r="X20" s="288">
        <f t="shared" si="16"/>
        <v>539</v>
      </c>
      <c r="Y20" s="289">
        <f t="shared" si="16"/>
        <v>500</v>
      </c>
      <c r="Z20" s="203">
        <f t="shared" si="16"/>
        <v>1039</v>
      </c>
      <c r="AA20" s="288">
        <f t="shared" si="16"/>
        <v>542</v>
      </c>
      <c r="AB20" s="289">
        <f t="shared" si="16"/>
        <v>506</v>
      </c>
      <c r="AC20" s="203">
        <f t="shared" si="16"/>
        <v>1048</v>
      </c>
      <c r="AD20" s="288">
        <f t="shared" si="16"/>
        <v>605</v>
      </c>
      <c r="AE20" s="289">
        <f t="shared" si="16"/>
        <v>600</v>
      </c>
      <c r="AF20" s="203">
        <f t="shared" si="16"/>
        <v>1205</v>
      </c>
      <c r="AG20" s="288">
        <f t="shared" si="16"/>
        <v>611</v>
      </c>
      <c r="AH20" s="289">
        <f t="shared" si="16"/>
        <v>590</v>
      </c>
      <c r="AI20" s="203">
        <f t="shared" si="16"/>
        <v>1201</v>
      </c>
      <c r="AJ20" s="288">
        <f t="shared" si="16"/>
        <v>611</v>
      </c>
      <c r="AK20" s="289">
        <f t="shared" si="16"/>
        <v>608</v>
      </c>
      <c r="AL20" s="203">
        <f t="shared" si="16"/>
        <v>1219</v>
      </c>
      <c r="AM20" s="288">
        <f t="shared" si="16"/>
        <v>600</v>
      </c>
      <c r="AN20" s="289">
        <f t="shared" si="16"/>
        <v>635</v>
      </c>
      <c r="AO20" s="203">
        <f t="shared" si="16"/>
        <v>1235</v>
      </c>
      <c r="AP20" s="288">
        <f t="shared" si="16"/>
        <v>567</v>
      </c>
      <c r="AQ20" s="290">
        <f t="shared" si="16"/>
        <v>674</v>
      </c>
      <c r="AR20" s="203">
        <f t="shared" si="16"/>
        <v>1241</v>
      </c>
      <c r="AS20" s="288">
        <f t="shared" si="16"/>
        <v>572</v>
      </c>
      <c r="AT20" s="290">
        <f t="shared" si="16"/>
        <v>662</v>
      </c>
      <c r="AU20" s="203">
        <f t="shared" si="16"/>
        <v>1234</v>
      </c>
      <c r="AV20" s="288">
        <f t="shared" si="16"/>
        <v>581</v>
      </c>
      <c r="AW20" s="290">
        <f t="shared" si="16"/>
        <v>611</v>
      </c>
      <c r="AX20" s="203">
        <f t="shared" si="16"/>
        <v>1192</v>
      </c>
      <c r="AY20" s="288">
        <f t="shared" si="16"/>
        <v>663</v>
      </c>
      <c r="AZ20" s="290">
        <f t="shared" si="16"/>
        <v>762</v>
      </c>
      <c r="BA20" s="203">
        <f t="shared" si="16"/>
        <v>1425</v>
      </c>
      <c r="BB20" s="288">
        <f t="shared" si="16"/>
        <v>682</v>
      </c>
      <c r="BC20" s="290">
        <f t="shared" si="16"/>
        <v>624</v>
      </c>
      <c r="BD20" s="203">
        <f t="shared" si="16"/>
        <v>1306</v>
      </c>
      <c r="BE20" s="288">
        <f>SUM(BE16:BE19)</f>
        <v>636</v>
      </c>
      <c r="BF20" s="290">
        <f>SUM(BF16:BF19)</f>
        <v>670</v>
      </c>
      <c r="BG20" s="203">
        <f t="shared" ref="BG20" si="17">SUM(BG16:BG19)</f>
        <v>1306</v>
      </c>
      <c r="BH20" s="288">
        <f>SUM(BH16:BH19)</f>
        <v>678</v>
      </c>
      <c r="BI20" s="290">
        <f>SUM(BI16:BI19)</f>
        <v>630</v>
      </c>
      <c r="BJ20" s="203">
        <f t="shared" ref="BJ20" si="18">SUM(BJ16:BJ19)</f>
        <v>1308</v>
      </c>
    </row>
    <row r="21" spans="1:62" s="38" customFormat="1" ht="15" customHeight="1" x14ac:dyDescent="0.3">
      <c r="A21" s="147"/>
      <c r="B21" s="74" t="s">
        <v>65</v>
      </c>
      <c r="C21" s="376">
        <v>121</v>
      </c>
      <c r="D21" s="377">
        <v>159</v>
      </c>
      <c r="E21" s="77">
        <v>280</v>
      </c>
      <c r="F21" s="376">
        <v>125</v>
      </c>
      <c r="G21" s="377">
        <v>159</v>
      </c>
      <c r="H21" s="77">
        <v>284</v>
      </c>
      <c r="I21" s="75">
        <v>133</v>
      </c>
      <c r="J21" s="76">
        <v>110</v>
      </c>
      <c r="K21" s="77">
        <v>243</v>
      </c>
      <c r="L21" s="75">
        <v>124</v>
      </c>
      <c r="M21" s="76">
        <v>117</v>
      </c>
      <c r="N21" s="77">
        <v>241</v>
      </c>
      <c r="O21" s="378">
        <v>136</v>
      </c>
      <c r="P21" s="76">
        <v>121</v>
      </c>
      <c r="Q21" s="77">
        <v>257</v>
      </c>
      <c r="R21" s="378">
        <v>134</v>
      </c>
      <c r="S21" s="76">
        <v>137</v>
      </c>
      <c r="T21" s="77">
        <v>271</v>
      </c>
      <c r="U21" s="378">
        <v>113</v>
      </c>
      <c r="V21" s="76">
        <v>104</v>
      </c>
      <c r="W21" s="77">
        <v>217</v>
      </c>
      <c r="X21" s="378">
        <v>112</v>
      </c>
      <c r="Y21" s="76">
        <v>107</v>
      </c>
      <c r="Z21" s="77">
        <f t="shared" si="0"/>
        <v>219</v>
      </c>
      <c r="AA21" s="78">
        <v>98</v>
      </c>
      <c r="AB21" s="76">
        <v>90</v>
      </c>
      <c r="AC21" s="77">
        <f t="shared" si="1"/>
        <v>188</v>
      </c>
      <c r="AD21" s="78">
        <v>98</v>
      </c>
      <c r="AE21" s="76">
        <v>97</v>
      </c>
      <c r="AF21" s="77">
        <f t="shared" si="2"/>
        <v>195</v>
      </c>
      <c r="AG21" s="78">
        <v>98</v>
      </c>
      <c r="AH21" s="76">
        <v>90</v>
      </c>
      <c r="AI21" s="77">
        <f>SUM(AG21:AH21)</f>
        <v>188</v>
      </c>
      <c r="AJ21" s="78">
        <v>101</v>
      </c>
      <c r="AK21" s="76">
        <v>95</v>
      </c>
      <c r="AL21" s="77">
        <f>SUM(AJ21:AK21)</f>
        <v>196</v>
      </c>
      <c r="AM21" s="78">
        <v>99</v>
      </c>
      <c r="AN21" s="76">
        <v>97</v>
      </c>
      <c r="AO21" s="77">
        <f>SUM(AM21:AN21)</f>
        <v>196</v>
      </c>
      <c r="AP21" s="78">
        <v>74</v>
      </c>
      <c r="AQ21" s="76">
        <v>86</v>
      </c>
      <c r="AR21" s="77">
        <f>SUM(AP21:AQ21)</f>
        <v>160</v>
      </c>
      <c r="AS21" s="78">
        <v>150</v>
      </c>
      <c r="AT21" s="76">
        <v>142</v>
      </c>
      <c r="AU21" s="77">
        <f>SUM(AS21:AT21)</f>
        <v>292</v>
      </c>
      <c r="AV21" s="78">
        <v>147</v>
      </c>
      <c r="AW21" s="76">
        <v>142</v>
      </c>
      <c r="AX21" s="77">
        <f>SUM(AV21:AW21)</f>
        <v>289</v>
      </c>
      <c r="AY21" s="78">
        <v>146</v>
      </c>
      <c r="AZ21" s="76">
        <v>158</v>
      </c>
      <c r="BA21" s="77">
        <f>SUM(AY21:AZ21)</f>
        <v>304</v>
      </c>
      <c r="BB21" s="78">
        <v>151</v>
      </c>
      <c r="BC21" s="76">
        <v>150</v>
      </c>
      <c r="BD21" s="77">
        <f>SUM(BB21:BC21)</f>
        <v>301</v>
      </c>
      <c r="BE21" s="78">
        <v>150</v>
      </c>
      <c r="BF21" s="76">
        <v>155</v>
      </c>
      <c r="BG21" s="77">
        <f>SUM(BE21:BF21)</f>
        <v>305</v>
      </c>
      <c r="BH21" s="78">
        <v>160</v>
      </c>
      <c r="BI21" s="76">
        <v>142</v>
      </c>
      <c r="BJ21" s="77">
        <f>SUM(BH21:BI21)</f>
        <v>302</v>
      </c>
    </row>
    <row r="22" spans="1:62" s="38" customFormat="1" ht="15" customHeight="1" x14ac:dyDescent="0.3">
      <c r="A22" s="147"/>
      <c r="B22" s="39" t="s">
        <v>66</v>
      </c>
      <c r="C22" s="280">
        <v>138</v>
      </c>
      <c r="D22" s="281">
        <v>126</v>
      </c>
      <c r="E22" s="42">
        <v>264</v>
      </c>
      <c r="F22" s="280">
        <v>135</v>
      </c>
      <c r="G22" s="281">
        <v>95</v>
      </c>
      <c r="H22" s="42">
        <v>230</v>
      </c>
      <c r="I22" s="40">
        <v>100</v>
      </c>
      <c r="J22" s="41">
        <v>98</v>
      </c>
      <c r="K22" s="42">
        <v>198</v>
      </c>
      <c r="L22" s="40">
        <v>73</v>
      </c>
      <c r="M22" s="41">
        <v>75</v>
      </c>
      <c r="N22" s="42">
        <v>148</v>
      </c>
      <c r="O22" s="40">
        <v>75</v>
      </c>
      <c r="P22" s="41">
        <v>70</v>
      </c>
      <c r="Q22" s="42">
        <v>145</v>
      </c>
      <c r="R22" s="40">
        <v>85</v>
      </c>
      <c r="S22" s="41">
        <v>82</v>
      </c>
      <c r="T22" s="42">
        <v>167</v>
      </c>
      <c r="U22" s="40">
        <v>86</v>
      </c>
      <c r="V22" s="41">
        <v>82</v>
      </c>
      <c r="W22" s="42">
        <v>168</v>
      </c>
      <c r="X22" s="40">
        <v>86</v>
      </c>
      <c r="Y22" s="41">
        <v>86</v>
      </c>
      <c r="Z22" s="42">
        <f t="shared" si="0"/>
        <v>172</v>
      </c>
      <c r="AA22" s="43">
        <v>101</v>
      </c>
      <c r="AB22" s="41">
        <v>97</v>
      </c>
      <c r="AC22" s="42">
        <f t="shared" si="1"/>
        <v>198</v>
      </c>
      <c r="AD22" s="43">
        <v>100</v>
      </c>
      <c r="AE22" s="41">
        <v>103</v>
      </c>
      <c r="AF22" s="42">
        <f t="shared" si="2"/>
        <v>203</v>
      </c>
      <c r="AG22" s="43">
        <v>126</v>
      </c>
      <c r="AH22" s="41">
        <v>124</v>
      </c>
      <c r="AI22" s="42">
        <f>SUM(AG22:AH22)</f>
        <v>250</v>
      </c>
      <c r="AJ22" s="43">
        <v>127</v>
      </c>
      <c r="AK22" s="41">
        <v>123</v>
      </c>
      <c r="AL22" s="42">
        <f>SUM(AJ22:AK22)</f>
        <v>250</v>
      </c>
      <c r="AM22" s="43">
        <v>126</v>
      </c>
      <c r="AN22" s="41">
        <v>150</v>
      </c>
      <c r="AO22" s="42">
        <f>SUM(AM22:AN22)</f>
        <v>276</v>
      </c>
      <c r="AP22" s="43">
        <v>125</v>
      </c>
      <c r="AQ22" s="41">
        <v>158</v>
      </c>
      <c r="AR22" s="42">
        <f>SUM(AP22:AQ22)</f>
        <v>283</v>
      </c>
      <c r="AS22" s="43">
        <v>120</v>
      </c>
      <c r="AT22" s="41">
        <v>121</v>
      </c>
      <c r="AU22" s="42">
        <f>SUM(AS22:AT22)</f>
        <v>241</v>
      </c>
      <c r="AV22" s="43">
        <v>119</v>
      </c>
      <c r="AW22" s="41">
        <v>117</v>
      </c>
      <c r="AX22" s="42">
        <f>SUM(AV22:AW22)</f>
        <v>236</v>
      </c>
      <c r="AY22" s="43">
        <v>124</v>
      </c>
      <c r="AZ22" s="41">
        <v>135</v>
      </c>
      <c r="BA22" s="42">
        <f>SUM(AY22:AZ22)</f>
        <v>259</v>
      </c>
      <c r="BB22" s="43">
        <v>124</v>
      </c>
      <c r="BC22" s="41">
        <v>120</v>
      </c>
      <c r="BD22" s="42">
        <f>SUM(BB22:BC22)</f>
        <v>244</v>
      </c>
      <c r="BE22" s="43">
        <v>120</v>
      </c>
      <c r="BF22" s="41">
        <v>124</v>
      </c>
      <c r="BG22" s="42">
        <f>SUM(BE22:BF22)</f>
        <v>244</v>
      </c>
      <c r="BH22" s="43">
        <v>127</v>
      </c>
      <c r="BI22" s="41">
        <v>122</v>
      </c>
      <c r="BJ22" s="42">
        <f>SUM(BH22:BI22)</f>
        <v>249</v>
      </c>
    </row>
    <row r="23" spans="1:62" s="38" customFormat="1" ht="15" customHeight="1" x14ac:dyDescent="0.3">
      <c r="A23" s="147"/>
      <c r="B23" s="45" t="s">
        <v>67</v>
      </c>
      <c r="C23" s="283">
        <v>70</v>
      </c>
      <c r="D23" s="282">
        <v>71</v>
      </c>
      <c r="E23" s="48">
        <v>141</v>
      </c>
      <c r="F23" s="283">
        <v>52</v>
      </c>
      <c r="G23" s="282">
        <v>70</v>
      </c>
      <c r="H23" s="48">
        <v>122</v>
      </c>
      <c r="I23" s="46">
        <v>65</v>
      </c>
      <c r="J23" s="50">
        <v>61</v>
      </c>
      <c r="K23" s="48">
        <v>126</v>
      </c>
      <c r="L23" s="46">
        <v>56</v>
      </c>
      <c r="M23" s="50">
        <v>55</v>
      </c>
      <c r="N23" s="48">
        <v>111</v>
      </c>
      <c r="O23" s="46">
        <v>56</v>
      </c>
      <c r="P23" s="50">
        <v>55</v>
      </c>
      <c r="Q23" s="48">
        <v>111</v>
      </c>
      <c r="R23" s="46">
        <v>55</v>
      </c>
      <c r="S23" s="50">
        <v>55</v>
      </c>
      <c r="T23" s="48">
        <v>110</v>
      </c>
      <c r="U23" s="46">
        <v>70</v>
      </c>
      <c r="V23" s="50">
        <v>70</v>
      </c>
      <c r="W23" s="48">
        <v>140</v>
      </c>
      <c r="X23" s="46">
        <v>69</v>
      </c>
      <c r="Y23" s="50">
        <v>73</v>
      </c>
      <c r="Z23" s="48">
        <f t="shared" si="0"/>
        <v>142</v>
      </c>
      <c r="AA23" s="51">
        <v>73</v>
      </c>
      <c r="AB23" s="50">
        <v>74</v>
      </c>
      <c r="AC23" s="48">
        <f t="shared" si="1"/>
        <v>147</v>
      </c>
      <c r="AD23" s="51">
        <v>75</v>
      </c>
      <c r="AE23" s="50">
        <v>74</v>
      </c>
      <c r="AF23" s="48">
        <f t="shared" si="2"/>
        <v>149</v>
      </c>
      <c r="AG23" s="51">
        <v>76</v>
      </c>
      <c r="AH23" s="50">
        <v>73</v>
      </c>
      <c r="AI23" s="48">
        <f>SUM(AG23:AH23)</f>
        <v>149</v>
      </c>
      <c r="AJ23" s="51">
        <v>76</v>
      </c>
      <c r="AK23" s="50">
        <v>74</v>
      </c>
      <c r="AL23" s="48">
        <f>SUM(AJ23:AK23)</f>
        <v>150</v>
      </c>
      <c r="AM23" s="51">
        <v>74</v>
      </c>
      <c r="AN23" s="50">
        <v>99</v>
      </c>
      <c r="AO23" s="48">
        <f>SUM(AM23:AN23)</f>
        <v>173</v>
      </c>
      <c r="AP23" s="51">
        <v>81</v>
      </c>
      <c r="AQ23" s="50">
        <v>100</v>
      </c>
      <c r="AR23" s="48">
        <f>SUM(AP23:AQ23)</f>
        <v>181</v>
      </c>
      <c r="AS23" s="51">
        <v>89</v>
      </c>
      <c r="AT23" s="50">
        <v>87</v>
      </c>
      <c r="AU23" s="48">
        <f>SUM(AS23:AT23)</f>
        <v>176</v>
      </c>
      <c r="AV23" s="51">
        <v>91</v>
      </c>
      <c r="AW23" s="50">
        <v>86</v>
      </c>
      <c r="AX23" s="48">
        <f>SUM(AV23:AW23)</f>
        <v>177</v>
      </c>
      <c r="AY23" s="51">
        <v>83</v>
      </c>
      <c r="AZ23" s="50">
        <v>81</v>
      </c>
      <c r="BA23" s="48">
        <f>SUM(AY23:AZ23)</f>
        <v>164</v>
      </c>
      <c r="BB23" s="51">
        <v>87</v>
      </c>
      <c r="BC23" s="50">
        <v>90</v>
      </c>
      <c r="BD23" s="48">
        <f>SUM(BB23:BC23)</f>
        <v>177</v>
      </c>
      <c r="BE23" s="51">
        <v>90</v>
      </c>
      <c r="BF23" s="50">
        <v>93</v>
      </c>
      <c r="BG23" s="48">
        <f>SUM(BE23:BF23)</f>
        <v>183</v>
      </c>
      <c r="BH23" s="51">
        <v>95</v>
      </c>
      <c r="BI23" s="50">
        <v>95</v>
      </c>
      <c r="BJ23" s="48">
        <f>SUM(BH23:BI23)</f>
        <v>190</v>
      </c>
    </row>
    <row r="24" spans="1:62" s="38" customFormat="1" ht="15" customHeight="1" x14ac:dyDescent="0.3">
      <c r="A24" s="147"/>
      <c r="B24" s="64" t="s">
        <v>68</v>
      </c>
      <c r="C24" s="65">
        <f>SUM(C21:C23)</f>
        <v>329</v>
      </c>
      <c r="D24" s="375">
        <f t="shared" ref="D24:BD24" si="19">SUM(D21:D23)</f>
        <v>356</v>
      </c>
      <c r="E24" s="67">
        <f t="shared" si="19"/>
        <v>685</v>
      </c>
      <c r="F24" s="65">
        <f t="shared" si="19"/>
        <v>312</v>
      </c>
      <c r="G24" s="375">
        <f t="shared" si="19"/>
        <v>324</v>
      </c>
      <c r="H24" s="67">
        <f t="shared" si="19"/>
        <v>636</v>
      </c>
      <c r="I24" s="65">
        <f t="shared" si="19"/>
        <v>298</v>
      </c>
      <c r="J24" s="375">
        <f t="shared" si="19"/>
        <v>269</v>
      </c>
      <c r="K24" s="67">
        <f t="shared" si="19"/>
        <v>567</v>
      </c>
      <c r="L24" s="65">
        <f t="shared" si="19"/>
        <v>253</v>
      </c>
      <c r="M24" s="375">
        <f t="shared" si="19"/>
        <v>247</v>
      </c>
      <c r="N24" s="67">
        <f t="shared" si="19"/>
        <v>500</v>
      </c>
      <c r="O24" s="65">
        <f t="shared" si="19"/>
        <v>267</v>
      </c>
      <c r="P24" s="375">
        <f t="shared" si="19"/>
        <v>246</v>
      </c>
      <c r="Q24" s="67">
        <f t="shared" si="19"/>
        <v>513</v>
      </c>
      <c r="R24" s="65">
        <f t="shared" si="19"/>
        <v>274</v>
      </c>
      <c r="S24" s="375">
        <f t="shared" si="19"/>
        <v>274</v>
      </c>
      <c r="T24" s="67">
        <f t="shared" si="19"/>
        <v>548</v>
      </c>
      <c r="U24" s="65">
        <f t="shared" si="19"/>
        <v>269</v>
      </c>
      <c r="V24" s="375">
        <f t="shared" si="19"/>
        <v>256</v>
      </c>
      <c r="W24" s="67">
        <f t="shared" si="19"/>
        <v>525</v>
      </c>
      <c r="X24" s="65">
        <f t="shared" si="19"/>
        <v>267</v>
      </c>
      <c r="Y24" s="375">
        <f t="shared" si="19"/>
        <v>266</v>
      </c>
      <c r="Z24" s="67">
        <f t="shared" si="19"/>
        <v>533</v>
      </c>
      <c r="AA24" s="65">
        <f t="shared" si="19"/>
        <v>272</v>
      </c>
      <c r="AB24" s="375">
        <f t="shared" si="19"/>
        <v>261</v>
      </c>
      <c r="AC24" s="67">
        <f t="shared" si="19"/>
        <v>533</v>
      </c>
      <c r="AD24" s="65">
        <f t="shared" si="19"/>
        <v>273</v>
      </c>
      <c r="AE24" s="375">
        <f t="shared" si="19"/>
        <v>274</v>
      </c>
      <c r="AF24" s="67">
        <f t="shared" si="19"/>
        <v>547</v>
      </c>
      <c r="AG24" s="65">
        <f t="shared" si="19"/>
        <v>300</v>
      </c>
      <c r="AH24" s="375">
        <f t="shared" si="19"/>
        <v>287</v>
      </c>
      <c r="AI24" s="67">
        <f t="shared" si="19"/>
        <v>587</v>
      </c>
      <c r="AJ24" s="65">
        <f t="shared" si="19"/>
        <v>304</v>
      </c>
      <c r="AK24" s="375">
        <f t="shared" si="19"/>
        <v>292</v>
      </c>
      <c r="AL24" s="67">
        <f t="shared" si="19"/>
        <v>596</v>
      </c>
      <c r="AM24" s="65">
        <f t="shared" si="19"/>
        <v>299</v>
      </c>
      <c r="AN24" s="375">
        <f t="shared" si="19"/>
        <v>346</v>
      </c>
      <c r="AO24" s="67">
        <f t="shared" si="19"/>
        <v>645</v>
      </c>
      <c r="AP24" s="65">
        <f t="shared" si="19"/>
        <v>280</v>
      </c>
      <c r="AQ24" s="375">
        <f t="shared" si="19"/>
        <v>344</v>
      </c>
      <c r="AR24" s="67">
        <f t="shared" si="19"/>
        <v>624</v>
      </c>
      <c r="AS24" s="65">
        <f t="shared" si="19"/>
        <v>359</v>
      </c>
      <c r="AT24" s="375">
        <f t="shared" si="19"/>
        <v>350</v>
      </c>
      <c r="AU24" s="67">
        <f t="shared" si="19"/>
        <v>709</v>
      </c>
      <c r="AV24" s="65">
        <f t="shared" si="19"/>
        <v>357</v>
      </c>
      <c r="AW24" s="375">
        <f t="shared" si="19"/>
        <v>345</v>
      </c>
      <c r="AX24" s="67">
        <f t="shared" si="19"/>
        <v>702</v>
      </c>
      <c r="AY24" s="65">
        <f t="shared" si="19"/>
        <v>353</v>
      </c>
      <c r="AZ24" s="375">
        <f t="shared" si="19"/>
        <v>374</v>
      </c>
      <c r="BA24" s="67">
        <f t="shared" si="19"/>
        <v>727</v>
      </c>
      <c r="BB24" s="65">
        <f t="shared" si="19"/>
        <v>362</v>
      </c>
      <c r="BC24" s="375">
        <f t="shared" si="19"/>
        <v>360</v>
      </c>
      <c r="BD24" s="67">
        <f t="shared" si="19"/>
        <v>722</v>
      </c>
      <c r="BE24" s="65">
        <f t="shared" ref="BE24:BG24" si="20">SUM(BE21:BE23)</f>
        <v>360</v>
      </c>
      <c r="BF24" s="375">
        <f t="shared" si="20"/>
        <v>372</v>
      </c>
      <c r="BG24" s="67">
        <f t="shared" si="20"/>
        <v>732</v>
      </c>
      <c r="BH24" s="65">
        <f t="shared" ref="BH24:BJ24" si="21">SUM(BH21:BH23)</f>
        <v>382</v>
      </c>
      <c r="BI24" s="375">
        <f t="shared" si="21"/>
        <v>359</v>
      </c>
      <c r="BJ24" s="67">
        <f t="shared" si="21"/>
        <v>741</v>
      </c>
    </row>
    <row r="25" spans="1:62" s="38" customFormat="1" ht="15" customHeight="1" x14ac:dyDescent="0.3">
      <c r="A25" s="147"/>
      <c r="B25" s="70" t="s">
        <v>69</v>
      </c>
      <c r="C25" s="71">
        <f>SUM(C24,C20,C15)</f>
        <v>1193</v>
      </c>
      <c r="D25" s="72">
        <f t="shared" ref="D25:BD25" si="22">SUM(D24,D20,D15)</f>
        <v>1588</v>
      </c>
      <c r="E25" s="73">
        <f t="shared" si="22"/>
        <v>2781</v>
      </c>
      <c r="F25" s="71">
        <f t="shared" si="22"/>
        <v>1426</v>
      </c>
      <c r="G25" s="72">
        <f t="shared" si="22"/>
        <v>1853</v>
      </c>
      <c r="H25" s="73">
        <f t="shared" si="22"/>
        <v>3279</v>
      </c>
      <c r="I25" s="71">
        <f t="shared" si="22"/>
        <v>1407</v>
      </c>
      <c r="J25" s="72">
        <f t="shared" si="22"/>
        <v>1525</v>
      </c>
      <c r="K25" s="73">
        <f t="shared" si="22"/>
        <v>2932</v>
      </c>
      <c r="L25" s="71">
        <f t="shared" si="22"/>
        <v>1357</v>
      </c>
      <c r="M25" s="72">
        <f t="shared" si="22"/>
        <v>1599</v>
      </c>
      <c r="N25" s="73">
        <f t="shared" si="22"/>
        <v>2956</v>
      </c>
      <c r="O25" s="71">
        <f t="shared" si="22"/>
        <v>1444</v>
      </c>
      <c r="P25" s="72">
        <f t="shared" si="22"/>
        <v>1486</v>
      </c>
      <c r="Q25" s="73">
        <f t="shared" si="22"/>
        <v>2930</v>
      </c>
      <c r="R25" s="71">
        <f t="shared" si="22"/>
        <v>1580</v>
      </c>
      <c r="S25" s="72">
        <f t="shared" si="22"/>
        <v>1738</v>
      </c>
      <c r="T25" s="73">
        <f t="shared" si="22"/>
        <v>3318</v>
      </c>
      <c r="U25" s="71">
        <f t="shared" si="22"/>
        <v>1517</v>
      </c>
      <c r="V25" s="72">
        <f t="shared" si="22"/>
        <v>1598</v>
      </c>
      <c r="W25" s="73">
        <f t="shared" si="22"/>
        <v>3115</v>
      </c>
      <c r="X25" s="71">
        <f t="shared" si="22"/>
        <v>1659</v>
      </c>
      <c r="Y25" s="72">
        <f t="shared" si="22"/>
        <v>1670</v>
      </c>
      <c r="Z25" s="73">
        <f t="shared" si="22"/>
        <v>3329</v>
      </c>
      <c r="AA25" s="71">
        <f t="shared" si="22"/>
        <v>1722</v>
      </c>
      <c r="AB25" s="72">
        <f t="shared" si="22"/>
        <v>1304</v>
      </c>
      <c r="AC25" s="73">
        <f t="shared" si="22"/>
        <v>3026</v>
      </c>
      <c r="AD25" s="71">
        <f t="shared" si="22"/>
        <v>1331</v>
      </c>
      <c r="AE25" s="72">
        <f t="shared" si="22"/>
        <v>1381</v>
      </c>
      <c r="AF25" s="73">
        <f t="shared" si="22"/>
        <v>2712</v>
      </c>
      <c r="AG25" s="71">
        <f t="shared" si="22"/>
        <v>1457</v>
      </c>
      <c r="AH25" s="72">
        <f t="shared" si="22"/>
        <v>1408</v>
      </c>
      <c r="AI25" s="73">
        <f t="shared" si="22"/>
        <v>2865</v>
      </c>
      <c r="AJ25" s="71">
        <f t="shared" si="22"/>
        <v>1352</v>
      </c>
      <c r="AK25" s="72">
        <f t="shared" si="22"/>
        <v>1524</v>
      </c>
      <c r="AL25" s="73">
        <f t="shared" si="22"/>
        <v>2876</v>
      </c>
      <c r="AM25" s="71">
        <f t="shared" si="22"/>
        <v>1249</v>
      </c>
      <c r="AN25" s="72">
        <f t="shared" si="22"/>
        <v>1591</v>
      </c>
      <c r="AO25" s="73">
        <f t="shared" si="22"/>
        <v>2840</v>
      </c>
      <c r="AP25" s="71">
        <f t="shared" si="22"/>
        <v>1386</v>
      </c>
      <c r="AQ25" s="72">
        <f t="shared" si="22"/>
        <v>1581</v>
      </c>
      <c r="AR25" s="73">
        <f t="shared" si="22"/>
        <v>2967</v>
      </c>
      <c r="AS25" s="71">
        <f t="shared" si="22"/>
        <v>1457</v>
      </c>
      <c r="AT25" s="72">
        <f t="shared" si="22"/>
        <v>1544</v>
      </c>
      <c r="AU25" s="73">
        <f t="shared" si="22"/>
        <v>3001</v>
      </c>
      <c r="AV25" s="71">
        <f t="shared" si="22"/>
        <v>1481</v>
      </c>
      <c r="AW25" s="72">
        <f t="shared" si="22"/>
        <v>1563</v>
      </c>
      <c r="AX25" s="73">
        <f t="shared" si="22"/>
        <v>3044</v>
      </c>
      <c r="AY25" s="71">
        <f t="shared" si="22"/>
        <v>1700</v>
      </c>
      <c r="AZ25" s="72">
        <f t="shared" si="22"/>
        <v>1996</v>
      </c>
      <c r="BA25" s="73">
        <f t="shared" si="22"/>
        <v>3696</v>
      </c>
      <c r="BB25" s="71">
        <f t="shared" si="22"/>
        <v>1591</v>
      </c>
      <c r="BC25" s="72">
        <f t="shared" si="22"/>
        <v>1673</v>
      </c>
      <c r="BD25" s="73">
        <f t="shared" si="22"/>
        <v>3264</v>
      </c>
      <c r="BE25" s="71">
        <f t="shared" ref="BE25:BG25" si="23">SUM(BE24,BE20,BE15)</f>
        <v>1678</v>
      </c>
      <c r="BF25" s="72">
        <f t="shared" si="23"/>
        <v>1652</v>
      </c>
      <c r="BG25" s="73">
        <f t="shared" si="23"/>
        <v>3330</v>
      </c>
      <c r="BH25" s="71">
        <f t="shared" ref="BH25:BJ25" si="24">SUM(BH24,BH20,BH15)</f>
        <v>1673</v>
      </c>
      <c r="BI25" s="72">
        <f t="shared" si="24"/>
        <v>1690</v>
      </c>
      <c r="BJ25" s="73">
        <f t="shared" si="24"/>
        <v>3363</v>
      </c>
    </row>
    <row r="26" spans="1:62" s="38" customFormat="1" ht="15" customHeight="1" x14ac:dyDescent="0.3">
      <c r="A26" s="147"/>
      <c r="B26" s="32" t="s">
        <v>70</v>
      </c>
      <c r="C26" s="278">
        <v>39</v>
      </c>
      <c r="D26" s="279">
        <v>66</v>
      </c>
      <c r="E26" s="35">
        <v>105</v>
      </c>
      <c r="F26" s="278">
        <v>32</v>
      </c>
      <c r="G26" s="279">
        <v>66</v>
      </c>
      <c r="H26" s="35">
        <v>98</v>
      </c>
      <c r="I26" s="33">
        <v>45</v>
      </c>
      <c r="J26" s="34">
        <v>71</v>
      </c>
      <c r="K26" s="35">
        <v>116</v>
      </c>
      <c r="L26" s="33">
        <v>58</v>
      </c>
      <c r="M26" s="34">
        <v>59</v>
      </c>
      <c r="N26" s="35">
        <v>117</v>
      </c>
      <c r="O26" s="33">
        <v>25</v>
      </c>
      <c r="P26" s="34">
        <v>52</v>
      </c>
      <c r="Q26" s="35">
        <v>77</v>
      </c>
      <c r="R26" s="33">
        <v>34</v>
      </c>
      <c r="S26" s="34">
        <v>68</v>
      </c>
      <c r="T26" s="35">
        <v>102</v>
      </c>
      <c r="U26" s="33">
        <v>28</v>
      </c>
      <c r="V26" s="34">
        <v>77</v>
      </c>
      <c r="W26" s="35">
        <v>105</v>
      </c>
      <c r="X26" s="33"/>
      <c r="Y26" s="34">
        <v>101</v>
      </c>
      <c r="Z26" s="35">
        <f t="shared" si="0"/>
        <v>101</v>
      </c>
      <c r="AA26" s="36"/>
      <c r="AB26" s="34">
        <v>99</v>
      </c>
      <c r="AC26" s="35">
        <f t="shared" si="1"/>
        <v>99</v>
      </c>
      <c r="AD26" s="36"/>
      <c r="AE26" s="34">
        <v>112</v>
      </c>
      <c r="AF26" s="35">
        <f t="shared" si="2"/>
        <v>112</v>
      </c>
      <c r="AG26" s="36"/>
      <c r="AH26" s="34">
        <v>128</v>
      </c>
      <c r="AI26" s="35">
        <f t="shared" ref="AI26:AI34" si="25">SUM(AG26:AH26)</f>
        <v>128</v>
      </c>
      <c r="AJ26" s="36"/>
      <c r="AK26" s="34">
        <v>115</v>
      </c>
      <c r="AL26" s="35">
        <f t="shared" ref="AL26:AL34" si="26">SUM(AJ26:AK26)</f>
        <v>115</v>
      </c>
      <c r="AM26" s="36"/>
      <c r="AN26" s="34">
        <v>127</v>
      </c>
      <c r="AO26" s="35">
        <f t="shared" ref="AO26:AO34" si="27">SUM(AM26:AN26)</f>
        <v>127</v>
      </c>
      <c r="AP26" s="36"/>
      <c r="AQ26" s="34">
        <v>110</v>
      </c>
      <c r="AR26" s="35">
        <f t="shared" ref="AR26:AR35" si="28">SUM(AP26:AQ26)</f>
        <v>110</v>
      </c>
      <c r="AS26" s="36"/>
      <c r="AT26" s="34">
        <v>82</v>
      </c>
      <c r="AU26" s="35">
        <f t="shared" ref="AU26:AU35" si="29">SUM(AS26:AT26)</f>
        <v>82</v>
      </c>
      <c r="AV26" s="36"/>
      <c r="AW26" s="34">
        <v>95</v>
      </c>
      <c r="AX26" s="35">
        <f t="shared" ref="AX26:AX35" si="30">SUM(AV26:AW26)</f>
        <v>95</v>
      </c>
      <c r="AY26" s="36"/>
      <c r="AZ26" s="34">
        <v>105</v>
      </c>
      <c r="BA26" s="35">
        <f t="shared" ref="BA26:BA35" si="31">SUM(AY26:AZ26)</f>
        <v>105</v>
      </c>
      <c r="BB26" s="36"/>
      <c r="BC26" s="34">
        <v>105</v>
      </c>
      <c r="BD26" s="35">
        <f t="shared" ref="BD26:BD35" si="32">SUM(BB26:BC26)</f>
        <v>105</v>
      </c>
      <c r="BE26" s="36"/>
      <c r="BF26" s="34">
        <v>52</v>
      </c>
      <c r="BG26" s="35">
        <f t="shared" ref="BG26:BG35" si="33">SUM(BE26:BF26)</f>
        <v>52</v>
      </c>
      <c r="BH26" s="36"/>
      <c r="BI26" s="34">
        <v>119</v>
      </c>
      <c r="BJ26" s="35">
        <f t="shared" ref="BJ26:BJ35" si="34">SUM(BH26:BI26)</f>
        <v>119</v>
      </c>
    </row>
    <row r="27" spans="1:62" s="38" customFormat="1" ht="15" customHeight="1" x14ac:dyDescent="0.3">
      <c r="A27" s="147"/>
      <c r="B27" s="39" t="s">
        <v>71</v>
      </c>
      <c r="C27" s="280">
        <v>10</v>
      </c>
      <c r="D27" s="281">
        <v>7</v>
      </c>
      <c r="E27" s="42">
        <v>17</v>
      </c>
      <c r="F27" s="280">
        <v>4</v>
      </c>
      <c r="G27" s="281">
        <v>13</v>
      </c>
      <c r="H27" s="42">
        <v>17</v>
      </c>
      <c r="I27" s="40">
        <v>7</v>
      </c>
      <c r="J27" s="41">
        <v>11</v>
      </c>
      <c r="K27" s="42">
        <v>18</v>
      </c>
      <c r="L27" s="40">
        <v>8</v>
      </c>
      <c r="M27" s="41">
        <v>5</v>
      </c>
      <c r="N27" s="42">
        <v>13</v>
      </c>
      <c r="O27" s="40">
        <v>10</v>
      </c>
      <c r="P27" s="41">
        <v>18</v>
      </c>
      <c r="Q27" s="42">
        <v>28</v>
      </c>
      <c r="R27" s="40"/>
      <c r="S27" s="41">
        <v>26</v>
      </c>
      <c r="T27" s="42">
        <v>26</v>
      </c>
      <c r="U27" s="40"/>
      <c r="V27" s="41">
        <v>17</v>
      </c>
      <c r="W27" s="42">
        <v>17</v>
      </c>
      <c r="X27" s="40"/>
      <c r="Y27" s="41">
        <v>17</v>
      </c>
      <c r="Z27" s="42">
        <f t="shared" si="0"/>
        <v>17</v>
      </c>
      <c r="AA27" s="43"/>
      <c r="AB27" s="41">
        <v>30</v>
      </c>
      <c r="AC27" s="42">
        <f t="shared" si="1"/>
        <v>30</v>
      </c>
      <c r="AD27" s="43"/>
      <c r="AE27" s="41">
        <v>38</v>
      </c>
      <c r="AF27" s="42">
        <f t="shared" si="2"/>
        <v>38</v>
      </c>
      <c r="AG27" s="43"/>
      <c r="AH27" s="41">
        <v>30</v>
      </c>
      <c r="AI27" s="42">
        <f t="shared" si="25"/>
        <v>30</v>
      </c>
      <c r="AJ27" s="43"/>
      <c r="AK27" s="41">
        <v>35</v>
      </c>
      <c r="AL27" s="42">
        <f t="shared" si="26"/>
        <v>35</v>
      </c>
      <c r="AM27" s="43"/>
      <c r="AN27" s="41">
        <v>30</v>
      </c>
      <c r="AO27" s="42">
        <f t="shared" si="27"/>
        <v>30</v>
      </c>
      <c r="AP27" s="43"/>
      <c r="AQ27" s="41">
        <v>19</v>
      </c>
      <c r="AR27" s="42">
        <f t="shared" si="28"/>
        <v>19</v>
      </c>
      <c r="AS27" s="43"/>
      <c r="AT27" s="41">
        <v>19</v>
      </c>
      <c r="AU27" s="42">
        <f t="shared" si="29"/>
        <v>19</v>
      </c>
      <c r="AV27" s="43"/>
      <c r="AW27" s="41">
        <v>24</v>
      </c>
      <c r="AX27" s="42">
        <f t="shared" si="30"/>
        <v>24</v>
      </c>
      <c r="AY27" s="43"/>
      <c r="AZ27" s="41">
        <v>27</v>
      </c>
      <c r="BA27" s="42">
        <f t="shared" si="31"/>
        <v>27</v>
      </c>
      <c r="BB27" s="43"/>
      <c r="BC27" s="41">
        <v>11</v>
      </c>
      <c r="BD27" s="42">
        <f t="shared" si="32"/>
        <v>11</v>
      </c>
      <c r="BE27" s="43"/>
      <c r="BF27" s="41">
        <v>19</v>
      </c>
      <c r="BG27" s="42">
        <f t="shared" si="33"/>
        <v>19</v>
      </c>
      <c r="BH27" s="43"/>
      <c r="BI27" s="41">
        <v>8</v>
      </c>
      <c r="BJ27" s="42">
        <f t="shared" si="34"/>
        <v>8</v>
      </c>
    </row>
    <row r="28" spans="1:62" s="38" customFormat="1" ht="15" customHeight="1" x14ac:dyDescent="0.3">
      <c r="A28" s="147"/>
      <c r="B28" s="39" t="s">
        <v>56</v>
      </c>
      <c r="C28" s="280">
        <v>18</v>
      </c>
      <c r="D28" s="281">
        <v>28</v>
      </c>
      <c r="E28" s="42">
        <v>46</v>
      </c>
      <c r="F28" s="280">
        <v>26</v>
      </c>
      <c r="G28" s="281">
        <v>38</v>
      </c>
      <c r="H28" s="42">
        <v>64</v>
      </c>
      <c r="I28" s="40">
        <v>22</v>
      </c>
      <c r="J28" s="41">
        <v>60</v>
      </c>
      <c r="K28" s="42">
        <v>82</v>
      </c>
      <c r="L28" s="40">
        <v>27</v>
      </c>
      <c r="M28" s="41">
        <v>53</v>
      </c>
      <c r="N28" s="42">
        <v>80</v>
      </c>
      <c r="O28" s="40">
        <v>25</v>
      </c>
      <c r="P28" s="41">
        <v>37</v>
      </c>
      <c r="Q28" s="42">
        <v>62</v>
      </c>
      <c r="R28" s="40">
        <v>31</v>
      </c>
      <c r="S28" s="41">
        <v>56</v>
      </c>
      <c r="T28" s="42">
        <v>87</v>
      </c>
      <c r="U28" s="40">
        <v>25</v>
      </c>
      <c r="V28" s="41">
        <v>50</v>
      </c>
      <c r="W28" s="42">
        <v>75</v>
      </c>
      <c r="X28" s="40">
        <v>37</v>
      </c>
      <c r="Y28" s="41">
        <v>74</v>
      </c>
      <c r="Z28" s="42">
        <f t="shared" si="0"/>
        <v>111</v>
      </c>
      <c r="AA28" s="43">
        <v>37</v>
      </c>
      <c r="AB28" s="41">
        <v>61</v>
      </c>
      <c r="AC28" s="42">
        <f t="shared" si="1"/>
        <v>98</v>
      </c>
      <c r="AD28" s="43">
        <v>50</v>
      </c>
      <c r="AE28" s="41">
        <v>63</v>
      </c>
      <c r="AF28" s="42">
        <f t="shared" si="2"/>
        <v>113</v>
      </c>
      <c r="AG28" s="43">
        <v>67</v>
      </c>
      <c r="AH28" s="41">
        <v>80</v>
      </c>
      <c r="AI28" s="42">
        <f t="shared" si="25"/>
        <v>147</v>
      </c>
      <c r="AJ28" s="43">
        <v>53</v>
      </c>
      <c r="AK28" s="41">
        <v>54</v>
      </c>
      <c r="AL28" s="42">
        <f t="shared" si="26"/>
        <v>107</v>
      </c>
      <c r="AM28" s="43">
        <v>44</v>
      </c>
      <c r="AN28" s="41">
        <v>60</v>
      </c>
      <c r="AO28" s="42">
        <f t="shared" si="27"/>
        <v>104</v>
      </c>
      <c r="AP28" s="43">
        <v>51</v>
      </c>
      <c r="AQ28" s="41">
        <v>55</v>
      </c>
      <c r="AR28" s="42">
        <f t="shared" si="28"/>
        <v>106</v>
      </c>
      <c r="AS28" s="43"/>
      <c r="AT28" s="41">
        <v>68</v>
      </c>
      <c r="AU28" s="42">
        <f t="shared" si="29"/>
        <v>68</v>
      </c>
      <c r="AV28" s="43"/>
      <c r="AW28" s="41">
        <v>71</v>
      </c>
      <c r="AX28" s="42">
        <f t="shared" si="30"/>
        <v>71</v>
      </c>
      <c r="AY28" s="43"/>
      <c r="AZ28" s="41">
        <v>91</v>
      </c>
      <c r="BA28" s="42">
        <f t="shared" si="31"/>
        <v>91</v>
      </c>
      <c r="BB28" s="43"/>
      <c r="BC28" s="41">
        <v>83</v>
      </c>
      <c r="BD28" s="42">
        <f t="shared" si="32"/>
        <v>83</v>
      </c>
      <c r="BE28" s="43"/>
      <c r="BF28" s="41">
        <v>60</v>
      </c>
      <c r="BG28" s="42">
        <f t="shared" si="33"/>
        <v>60</v>
      </c>
      <c r="BH28" s="43"/>
      <c r="BI28" s="41">
        <v>55</v>
      </c>
      <c r="BJ28" s="42">
        <f t="shared" si="34"/>
        <v>55</v>
      </c>
    </row>
    <row r="29" spans="1:62" s="38" customFormat="1" ht="15" customHeight="1" x14ac:dyDescent="0.3">
      <c r="A29" s="147"/>
      <c r="B29" s="39" t="s">
        <v>72</v>
      </c>
      <c r="C29" s="280">
        <v>22</v>
      </c>
      <c r="D29" s="281">
        <v>32</v>
      </c>
      <c r="E29" s="42">
        <v>54</v>
      </c>
      <c r="F29" s="280">
        <v>17</v>
      </c>
      <c r="G29" s="281">
        <v>23</v>
      </c>
      <c r="H29" s="42">
        <v>40</v>
      </c>
      <c r="I29" s="40">
        <v>32</v>
      </c>
      <c r="J29" s="41">
        <v>31</v>
      </c>
      <c r="K29" s="42">
        <v>63</v>
      </c>
      <c r="L29" s="40">
        <v>24</v>
      </c>
      <c r="M29" s="41">
        <v>20</v>
      </c>
      <c r="N29" s="42">
        <v>44</v>
      </c>
      <c r="O29" s="40">
        <v>13</v>
      </c>
      <c r="P29" s="41">
        <v>35</v>
      </c>
      <c r="Q29" s="42">
        <v>48</v>
      </c>
      <c r="R29" s="40">
        <v>26</v>
      </c>
      <c r="S29" s="41">
        <v>48</v>
      </c>
      <c r="T29" s="42">
        <v>74</v>
      </c>
      <c r="U29" s="40">
        <v>21</v>
      </c>
      <c r="V29" s="41">
        <v>47</v>
      </c>
      <c r="W29" s="42">
        <v>68</v>
      </c>
      <c r="X29" s="40">
        <v>41</v>
      </c>
      <c r="Y29" s="41">
        <v>60</v>
      </c>
      <c r="Z29" s="42">
        <f t="shared" si="0"/>
        <v>101</v>
      </c>
      <c r="AA29" s="43">
        <v>65</v>
      </c>
      <c r="AB29" s="41">
        <v>55</v>
      </c>
      <c r="AC29" s="42">
        <f t="shared" si="1"/>
        <v>120</v>
      </c>
      <c r="AD29" s="43">
        <v>46</v>
      </c>
      <c r="AE29" s="41">
        <v>58</v>
      </c>
      <c r="AF29" s="42">
        <f t="shared" si="2"/>
        <v>104</v>
      </c>
      <c r="AG29" s="43">
        <v>81</v>
      </c>
      <c r="AH29" s="41">
        <v>56</v>
      </c>
      <c r="AI29" s="42">
        <f t="shared" si="25"/>
        <v>137</v>
      </c>
      <c r="AJ29" s="43">
        <v>52</v>
      </c>
      <c r="AK29" s="41">
        <v>56</v>
      </c>
      <c r="AL29" s="42">
        <f t="shared" si="26"/>
        <v>108</v>
      </c>
      <c r="AM29" s="43">
        <v>61</v>
      </c>
      <c r="AN29" s="41">
        <v>53</v>
      </c>
      <c r="AO29" s="42">
        <f t="shared" si="27"/>
        <v>114</v>
      </c>
      <c r="AP29" s="43">
        <v>51</v>
      </c>
      <c r="AQ29" s="41">
        <v>49</v>
      </c>
      <c r="AR29" s="42">
        <f t="shared" si="28"/>
        <v>100</v>
      </c>
      <c r="AS29" s="43"/>
      <c r="AT29" s="41">
        <v>68</v>
      </c>
      <c r="AU29" s="42">
        <f t="shared" si="29"/>
        <v>68</v>
      </c>
      <c r="AV29" s="43"/>
      <c r="AW29" s="41">
        <v>60</v>
      </c>
      <c r="AX29" s="42">
        <f t="shared" si="30"/>
        <v>60</v>
      </c>
      <c r="AY29" s="43"/>
      <c r="AZ29" s="41">
        <v>58</v>
      </c>
      <c r="BA29" s="42">
        <f t="shared" si="31"/>
        <v>58</v>
      </c>
      <c r="BB29" s="43"/>
      <c r="BC29" s="41">
        <v>39</v>
      </c>
      <c r="BD29" s="42">
        <f t="shared" si="32"/>
        <v>39</v>
      </c>
      <c r="BE29" s="43"/>
      <c r="BF29" s="41">
        <v>32</v>
      </c>
      <c r="BG29" s="42">
        <f t="shared" si="33"/>
        <v>32</v>
      </c>
      <c r="BH29" s="43"/>
      <c r="BI29" s="41">
        <v>32</v>
      </c>
      <c r="BJ29" s="42">
        <f t="shared" si="34"/>
        <v>32</v>
      </c>
    </row>
    <row r="30" spans="1:62" s="38" customFormat="1" ht="15" customHeight="1" x14ac:dyDescent="0.3">
      <c r="A30" s="147"/>
      <c r="B30" s="39" t="s">
        <v>73</v>
      </c>
      <c r="C30" s="280">
        <v>7</v>
      </c>
      <c r="D30" s="281">
        <v>21</v>
      </c>
      <c r="E30" s="42">
        <v>28</v>
      </c>
      <c r="F30" s="280">
        <v>7</v>
      </c>
      <c r="G30" s="281">
        <v>24</v>
      </c>
      <c r="H30" s="42">
        <v>31</v>
      </c>
      <c r="I30" s="40">
        <v>13</v>
      </c>
      <c r="J30" s="41">
        <v>29</v>
      </c>
      <c r="K30" s="42">
        <v>42</v>
      </c>
      <c r="L30" s="40">
        <v>17</v>
      </c>
      <c r="M30" s="41">
        <v>21</v>
      </c>
      <c r="N30" s="42">
        <v>38</v>
      </c>
      <c r="O30" s="40">
        <v>20</v>
      </c>
      <c r="P30" s="41">
        <v>27</v>
      </c>
      <c r="Q30" s="42">
        <v>47</v>
      </c>
      <c r="R30" s="40">
        <v>14</v>
      </c>
      <c r="S30" s="41">
        <v>36</v>
      </c>
      <c r="T30" s="42">
        <v>50</v>
      </c>
      <c r="U30" s="40">
        <v>19</v>
      </c>
      <c r="V30" s="41">
        <v>35</v>
      </c>
      <c r="W30" s="42">
        <v>54</v>
      </c>
      <c r="X30" s="40">
        <v>30</v>
      </c>
      <c r="Y30" s="41">
        <v>60</v>
      </c>
      <c r="Z30" s="42">
        <f t="shared" si="0"/>
        <v>90</v>
      </c>
      <c r="AA30" s="43">
        <v>45</v>
      </c>
      <c r="AB30" s="41">
        <v>76</v>
      </c>
      <c r="AC30" s="42">
        <f t="shared" si="1"/>
        <v>121</v>
      </c>
      <c r="AD30" s="43">
        <v>60</v>
      </c>
      <c r="AE30" s="41">
        <v>69</v>
      </c>
      <c r="AF30" s="42">
        <f t="shared" si="2"/>
        <v>129</v>
      </c>
      <c r="AG30" s="43">
        <v>52</v>
      </c>
      <c r="AH30" s="41">
        <v>64</v>
      </c>
      <c r="AI30" s="42">
        <f t="shared" si="25"/>
        <v>116</v>
      </c>
      <c r="AJ30" s="43">
        <v>47</v>
      </c>
      <c r="AK30" s="41">
        <v>63</v>
      </c>
      <c r="AL30" s="42">
        <f t="shared" si="26"/>
        <v>110</v>
      </c>
      <c r="AM30" s="43">
        <v>52</v>
      </c>
      <c r="AN30" s="41">
        <v>69</v>
      </c>
      <c r="AO30" s="42">
        <f t="shared" si="27"/>
        <v>121</v>
      </c>
      <c r="AP30" s="43"/>
      <c r="AQ30" s="41">
        <v>103</v>
      </c>
      <c r="AR30" s="42">
        <f t="shared" si="28"/>
        <v>103</v>
      </c>
      <c r="AS30" s="43"/>
      <c r="AT30" s="41">
        <v>88</v>
      </c>
      <c r="AU30" s="42">
        <f t="shared" si="29"/>
        <v>88</v>
      </c>
      <c r="AV30" s="43"/>
      <c r="AW30" s="41">
        <v>91</v>
      </c>
      <c r="AX30" s="42">
        <f t="shared" si="30"/>
        <v>91</v>
      </c>
      <c r="AY30" s="43"/>
      <c r="AZ30" s="41">
        <v>105</v>
      </c>
      <c r="BA30" s="42">
        <f t="shared" si="31"/>
        <v>105</v>
      </c>
      <c r="BB30" s="43"/>
      <c r="BC30" s="41">
        <v>105</v>
      </c>
      <c r="BD30" s="42">
        <f t="shared" si="32"/>
        <v>105</v>
      </c>
      <c r="BE30" s="43"/>
      <c r="BF30" s="41">
        <v>63</v>
      </c>
      <c r="BG30" s="42">
        <f t="shared" si="33"/>
        <v>63</v>
      </c>
      <c r="BH30" s="43"/>
      <c r="BI30" s="41">
        <v>128</v>
      </c>
      <c r="BJ30" s="42">
        <f t="shared" si="34"/>
        <v>128</v>
      </c>
    </row>
    <row r="31" spans="1:62" s="38" customFormat="1" ht="15" customHeight="1" x14ac:dyDescent="0.3">
      <c r="A31" s="147"/>
      <c r="B31" s="39" t="s">
        <v>57</v>
      </c>
      <c r="C31" s="280">
        <v>64</v>
      </c>
      <c r="D31" s="281">
        <v>47</v>
      </c>
      <c r="E31" s="42">
        <v>111</v>
      </c>
      <c r="F31" s="280">
        <v>50</v>
      </c>
      <c r="G31" s="281">
        <v>82</v>
      </c>
      <c r="H31" s="42">
        <v>132</v>
      </c>
      <c r="I31" s="40">
        <v>57</v>
      </c>
      <c r="J31" s="41">
        <v>67</v>
      </c>
      <c r="K31" s="42">
        <v>124</v>
      </c>
      <c r="L31" s="40">
        <v>75</v>
      </c>
      <c r="M31" s="41">
        <v>82</v>
      </c>
      <c r="N31" s="42">
        <v>157</v>
      </c>
      <c r="O31" s="40">
        <v>55</v>
      </c>
      <c r="P31" s="41">
        <v>51</v>
      </c>
      <c r="Q31" s="42">
        <v>106</v>
      </c>
      <c r="R31" s="40">
        <v>37</v>
      </c>
      <c r="S31" s="41">
        <v>73</v>
      </c>
      <c r="T31" s="42">
        <v>110</v>
      </c>
      <c r="U31" s="40">
        <v>41</v>
      </c>
      <c r="V31" s="41">
        <v>52</v>
      </c>
      <c r="W31" s="42">
        <v>93</v>
      </c>
      <c r="X31" s="40"/>
      <c r="Y31" s="41">
        <v>91</v>
      </c>
      <c r="Z31" s="42">
        <f t="shared" si="0"/>
        <v>91</v>
      </c>
      <c r="AA31" s="43"/>
      <c r="AB31" s="41">
        <v>88</v>
      </c>
      <c r="AC31" s="42">
        <f t="shared" si="1"/>
        <v>88</v>
      </c>
      <c r="AD31" s="43"/>
      <c r="AE31" s="41">
        <v>92</v>
      </c>
      <c r="AF31" s="42">
        <f t="shared" si="2"/>
        <v>92</v>
      </c>
      <c r="AG31" s="43"/>
      <c r="AH31" s="41">
        <v>116</v>
      </c>
      <c r="AI31" s="42">
        <f t="shared" si="25"/>
        <v>116</v>
      </c>
      <c r="AJ31" s="43"/>
      <c r="AK31" s="41">
        <v>82</v>
      </c>
      <c r="AL31" s="42">
        <f t="shared" si="26"/>
        <v>82</v>
      </c>
      <c r="AM31" s="43"/>
      <c r="AN31" s="41">
        <v>73</v>
      </c>
      <c r="AO31" s="42">
        <f t="shared" si="27"/>
        <v>73</v>
      </c>
      <c r="AP31" s="43"/>
      <c r="AQ31" s="41">
        <v>82</v>
      </c>
      <c r="AR31" s="42">
        <f t="shared" si="28"/>
        <v>82</v>
      </c>
      <c r="AS31" s="43"/>
      <c r="AT31" s="41">
        <v>65</v>
      </c>
      <c r="AU31" s="42">
        <f t="shared" si="29"/>
        <v>65</v>
      </c>
      <c r="AV31" s="43"/>
      <c r="AW31" s="41">
        <v>52</v>
      </c>
      <c r="AX31" s="42">
        <f t="shared" si="30"/>
        <v>52</v>
      </c>
      <c r="AY31" s="43"/>
      <c r="AZ31" s="41">
        <v>78</v>
      </c>
      <c r="BA31" s="42">
        <f t="shared" si="31"/>
        <v>78</v>
      </c>
      <c r="BB31" s="43"/>
      <c r="BC31" s="41">
        <v>74</v>
      </c>
      <c r="BD31" s="42">
        <f t="shared" si="32"/>
        <v>74</v>
      </c>
      <c r="BE31" s="43"/>
      <c r="BF31" s="41">
        <v>51</v>
      </c>
      <c r="BG31" s="42">
        <f t="shared" si="33"/>
        <v>51</v>
      </c>
      <c r="BH31" s="43"/>
      <c r="BI31" s="41">
        <v>68</v>
      </c>
      <c r="BJ31" s="42">
        <f t="shared" si="34"/>
        <v>68</v>
      </c>
    </row>
    <row r="32" spans="1:62" s="38" customFormat="1" ht="15" customHeight="1" x14ac:dyDescent="0.3">
      <c r="A32" s="147"/>
      <c r="B32" s="39" t="s">
        <v>74</v>
      </c>
      <c r="C32" s="280">
        <v>38</v>
      </c>
      <c r="D32" s="281">
        <v>62</v>
      </c>
      <c r="E32" s="42">
        <v>100</v>
      </c>
      <c r="F32" s="280">
        <v>32</v>
      </c>
      <c r="G32" s="281">
        <v>65</v>
      </c>
      <c r="H32" s="42">
        <v>97</v>
      </c>
      <c r="I32" s="40">
        <v>21</v>
      </c>
      <c r="J32" s="41">
        <v>58</v>
      </c>
      <c r="K32" s="42">
        <v>79</v>
      </c>
      <c r="L32" s="40">
        <v>50</v>
      </c>
      <c r="M32" s="41">
        <v>53</v>
      </c>
      <c r="N32" s="42">
        <v>103</v>
      </c>
      <c r="O32" s="40">
        <v>26</v>
      </c>
      <c r="P32" s="41">
        <v>41</v>
      </c>
      <c r="Q32" s="42">
        <v>67</v>
      </c>
      <c r="R32" s="40">
        <v>41</v>
      </c>
      <c r="S32" s="41">
        <v>65</v>
      </c>
      <c r="T32" s="42">
        <v>106</v>
      </c>
      <c r="U32" s="40">
        <v>25</v>
      </c>
      <c r="V32" s="41">
        <v>54</v>
      </c>
      <c r="W32" s="42">
        <v>79</v>
      </c>
      <c r="X32" s="40"/>
      <c r="Y32" s="41">
        <v>72</v>
      </c>
      <c r="Z32" s="42">
        <f t="shared" si="0"/>
        <v>72</v>
      </c>
      <c r="AA32" s="43"/>
      <c r="AB32" s="41">
        <v>49</v>
      </c>
      <c r="AC32" s="42">
        <f t="shared" si="1"/>
        <v>49</v>
      </c>
      <c r="AD32" s="43"/>
      <c r="AE32" s="41">
        <v>56</v>
      </c>
      <c r="AF32" s="42">
        <f t="shared" si="2"/>
        <v>56</v>
      </c>
      <c r="AG32" s="43"/>
      <c r="AH32" s="41">
        <v>89</v>
      </c>
      <c r="AI32" s="42">
        <f t="shared" si="25"/>
        <v>89</v>
      </c>
      <c r="AJ32" s="43"/>
      <c r="AK32" s="41">
        <v>92</v>
      </c>
      <c r="AL32" s="42">
        <f t="shared" si="26"/>
        <v>92</v>
      </c>
      <c r="AM32" s="43"/>
      <c r="AN32" s="41">
        <v>95</v>
      </c>
      <c r="AO32" s="42">
        <f t="shared" si="27"/>
        <v>95</v>
      </c>
      <c r="AP32" s="43"/>
      <c r="AQ32" s="41">
        <v>104</v>
      </c>
      <c r="AR32" s="42">
        <f t="shared" si="28"/>
        <v>104</v>
      </c>
      <c r="AS32" s="43"/>
      <c r="AT32" s="41">
        <v>82</v>
      </c>
      <c r="AU32" s="42">
        <f t="shared" si="29"/>
        <v>82</v>
      </c>
      <c r="AV32" s="43"/>
      <c r="AW32" s="41">
        <v>89</v>
      </c>
      <c r="AX32" s="42">
        <f t="shared" si="30"/>
        <v>89</v>
      </c>
      <c r="AY32" s="43"/>
      <c r="AZ32" s="41">
        <v>78</v>
      </c>
      <c r="BA32" s="42">
        <f t="shared" si="31"/>
        <v>78</v>
      </c>
      <c r="BB32" s="43"/>
      <c r="BC32" s="41">
        <v>79</v>
      </c>
      <c r="BD32" s="42">
        <f t="shared" si="32"/>
        <v>79</v>
      </c>
      <c r="BE32" s="43"/>
      <c r="BF32" s="41">
        <v>72</v>
      </c>
      <c r="BG32" s="42">
        <f t="shared" si="33"/>
        <v>72</v>
      </c>
      <c r="BH32" s="43"/>
      <c r="BI32" s="41">
        <v>50</v>
      </c>
      <c r="BJ32" s="42">
        <f t="shared" si="34"/>
        <v>50</v>
      </c>
    </row>
    <row r="33" spans="1:62" s="38" customFormat="1" ht="15" customHeight="1" x14ac:dyDescent="0.3">
      <c r="A33" s="147"/>
      <c r="B33" s="39" t="s">
        <v>75</v>
      </c>
      <c r="C33" s="280">
        <v>6</v>
      </c>
      <c r="D33" s="281">
        <v>14</v>
      </c>
      <c r="E33" s="42">
        <v>20</v>
      </c>
      <c r="F33" s="280">
        <v>6</v>
      </c>
      <c r="G33" s="281">
        <v>6</v>
      </c>
      <c r="H33" s="42">
        <v>12</v>
      </c>
      <c r="I33" s="40">
        <v>6</v>
      </c>
      <c r="J33" s="41">
        <v>21</v>
      </c>
      <c r="K33" s="42">
        <v>27</v>
      </c>
      <c r="L33" s="40">
        <v>7</v>
      </c>
      <c r="M33" s="41">
        <v>11</v>
      </c>
      <c r="N33" s="42">
        <v>18</v>
      </c>
      <c r="O33" s="40">
        <v>17</v>
      </c>
      <c r="P33" s="41">
        <v>14</v>
      </c>
      <c r="Q33" s="42">
        <v>31</v>
      </c>
      <c r="R33" s="40">
        <v>16</v>
      </c>
      <c r="S33" s="41">
        <v>38</v>
      </c>
      <c r="T33" s="42">
        <v>54</v>
      </c>
      <c r="U33" s="40">
        <v>8</v>
      </c>
      <c r="V33" s="41">
        <v>26</v>
      </c>
      <c r="W33" s="42">
        <v>34</v>
      </c>
      <c r="X33" s="40">
        <v>8</v>
      </c>
      <c r="Y33" s="41">
        <v>42</v>
      </c>
      <c r="Z33" s="42">
        <f t="shared" si="0"/>
        <v>50</v>
      </c>
      <c r="AA33" s="43">
        <v>39</v>
      </c>
      <c r="AB33" s="41">
        <v>29</v>
      </c>
      <c r="AC33" s="42">
        <f t="shared" si="1"/>
        <v>68</v>
      </c>
      <c r="AD33" s="43">
        <v>28</v>
      </c>
      <c r="AE33" s="41">
        <v>44</v>
      </c>
      <c r="AF33" s="42">
        <f t="shared" si="2"/>
        <v>72</v>
      </c>
      <c r="AG33" s="43">
        <v>27</v>
      </c>
      <c r="AH33" s="41">
        <v>53</v>
      </c>
      <c r="AI33" s="42">
        <f t="shared" si="25"/>
        <v>80</v>
      </c>
      <c r="AJ33" s="43">
        <v>28</v>
      </c>
      <c r="AK33" s="41">
        <v>42</v>
      </c>
      <c r="AL33" s="42">
        <f t="shared" si="26"/>
        <v>70</v>
      </c>
      <c r="AM33" s="43">
        <v>19</v>
      </c>
      <c r="AN33" s="41">
        <v>46</v>
      </c>
      <c r="AO33" s="42">
        <f t="shared" si="27"/>
        <v>65</v>
      </c>
      <c r="AP33" s="43">
        <v>37</v>
      </c>
      <c r="AQ33" s="41">
        <v>43</v>
      </c>
      <c r="AR33" s="42">
        <f t="shared" si="28"/>
        <v>80</v>
      </c>
      <c r="AS33" s="43"/>
      <c r="AT33" s="41">
        <v>51</v>
      </c>
      <c r="AU33" s="42">
        <f t="shared" si="29"/>
        <v>51</v>
      </c>
      <c r="AV33" s="43"/>
      <c r="AW33" s="41">
        <v>66</v>
      </c>
      <c r="AX33" s="42">
        <f t="shared" si="30"/>
        <v>66</v>
      </c>
      <c r="AY33" s="43"/>
      <c r="AZ33" s="41">
        <v>80</v>
      </c>
      <c r="BA33" s="42">
        <f t="shared" si="31"/>
        <v>80</v>
      </c>
      <c r="BB33" s="43"/>
      <c r="BC33" s="41">
        <v>73</v>
      </c>
      <c r="BD33" s="42">
        <f t="shared" si="32"/>
        <v>73</v>
      </c>
      <c r="BE33" s="43"/>
      <c r="BF33" s="41">
        <v>62</v>
      </c>
      <c r="BG33" s="42">
        <f t="shared" si="33"/>
        <v>62</v>
      </c>
      <c r="BH33" s="43"/>
      <c r="BI33" s="41">
        <v>56</v>
      </c>
      <c r="BJ33" s="42">
        <f t="shared" si="34"/>
        <v>56</v>
      </c>
    </row>
    <row r="34" spans="1:62" s="38" customFormat="1" ht="15" customHeight="1" x14ac:dyDescent="0.3">
      <c r="A34" s="147"/>
      <c r="B34" s="39" t="s">
        <v>76</v>
      </c>
      <c r="C34" s="280">
        <v>91</v>
      </c>
      <c r="D34" s="281">
        <v>85</v>
      </c>
      <c r="E34" s="42">
        <v>176</v>
      </c>
      <c r="F34" s="280">
        <v>90</v>
      </c>
      <c r="G34" s="281">
        <v>100</v>
      </c>
      <c r="H34" s="42">
        <v>190</v>
      </c>
      <c r="I34" s="40">
        <v>87</v>
      </c>
      <c r="J34" s="41">
        <v>89</v>
      </c>
      <c r="K34" s="42">
        <v>176</v>
      </c>
      <c r="L34" s="40">
        <v>91</v>
      </c>
      <c r="M34" s="41">
        <v>82</v>
      </c>
      <c r="N34" s="42">
        <v>173</v>
      </c>
      <c r="O34" s="40">
        <v>77</v>
      </c>
      <c r="P34" s="41">
        <v>80</v>
      </c>
      <c r="Q34" s="42">
        <v>157</v>
      </c>
      <c r="R34" s="40">
        <v>82</v>
      </c>
      <c r="S34" s="41">
        <v>89</v>
      </c>
      <c r="T34" s="42">
        <v>171</v>
      </c>
      <c r="U34" s="40">
        <v>53</v>
      </c>
      <c r="V34" s="41">
        <v>70</v>
      </c>
      <c r="W34" s="42">
        <v>123</v>
      </c>
      <c r="X34" s="40"/>
      <c r="Y34" s="41">
        <v>137</v>
      </c>
      <c r="Z34" s="42">
        <f t="shared" si="0"/>
        <v>137</v>
      </c>
      <c r="AA34" s="43"/>
      <c r="AB34" s="41">
        <v>135</v>
      </c>
      <c r="AC34" s="42">
        <f t="shared" si="1"/>
        <v>135</v>
      </c>
      <c r="AD34" s="43"/>
      <c r="AE34" s="41">
        <v>122</v>
      </c>
      <c r="AF34" s="42">
        <f t="shared" si="2"/>
        <v>122</v>
      </c>
      <c r="AG34" s="43"/>
      <c r="AH34" s="41">
        <v>138</v>
      </c>
      <c r="AI34" s="42">
        <f t="shared" si="25"/>
        <v>138</v>
      </c>
      <c r="AJ34" s="43"/>
      <c r="AK34" s="41">
        <v>93</v>
      </c>
      <c r="AL34" s="42">
        <f t="shared" si="26"/>
        <v>93</v>
      </c>
      <c r="AM34" s="43"/>
      <c r="AN34" s="41">
        <v>73</v>
      </c>
      <c r="AO34" s="42">
        <f t="shared" si="27"/>
        <v>73</v>
      </c>
      <c r="AP34" s="43"/>
      <c r="AQ34" s="41">
        <v>92</v>
      </c>
      <c r="AR34" s="42">
        <f t="shared" si="28"/>
        <v>92</v>
      </c>
      <c r="AS34" s="43"/>
      <c r="AT34" s="41">
        <v>80</v>
      </c>
      <c r="AU34" s="42">
        <f t="shared" si="29"/>
        <v>80</v>
      </c>
      <c r="AV34" s="43"/>
      <c r="AW34" s="41">
        <v>80</v>
      </c>
      <c r="AX34" s="42">
        <f t="shared" si="30"/>
        <v>80</v>
      </c>
      <c r="AY34" s="43"/>
      <c r="AZ34" s="41">
        <v>97</v>
      </c>
      <c r="BA34" s="42">
        <f t="shared" si="31"/>
        <v>97</v>
      </c>
      <c r="BB34" s="43"/>
      <c r="BC34" s="41">
        <v>109</v>
      </c>
      <c r="BD34" s="42">
        <f t="shared" si="32"/>
        <v>109</v>
      </c>
      <c r="BE34" s="43"/>
      <c r="BF34" s="41">
        <v>89</v>
      </c>
      <c r="BG34" s="42">
        <f t="shared" si="33"/>
        <v>89</v>
      </c>
      <c r="BH34" s="43"/>
      <c r="BI34" s="41">
        <v>129</v>
      </c>
      <c r="BJ34" s="42">
        <f t="shared" si="34"/>
        <v>129</v>
      </c>
    </row>
    <row r="35" spans="1:62" s="38" customFormat="1" ht="15" customHeight="1" x14ac:dyDescent="0.3">
      <c r="A35" s="147"/>
      <c r="B35" s="39" t="s">
        <v>77</v>
      </c>
      <c r="C35" s="280"/>
      <c r="D35" s="281"/>
      <c r="E35" s="42"/>
      <c r="F35" s="280"/>
      <c r="G35" s="281"/>
      <c r="H35" s="42"/>
      <c r="I35" s="40"/>
      <c r="J35" s="41"/>
      <c r="K35" s="42"/>
      <c r="L35" s="40"/>
      <c r="M35" s="41"/>
      <c r="N35" s="42"/>
      <c r="O35" s="40"/>
      <c r="P35" s="41"/>
      <c r="Q35" s="42"/>
      <c r="R35" s="40"/>
      <c r="S35" s="41"/>
      <c r="T35" s="42"/>
      <c r="U35" s="40"/>
      <c r="V35" s="41"/>
      <c r="W35" s="42"/>
      <c r="X35" s="40"/>
      <c r="Y35" s="41"/>
      <c r="Z35" s="42"/>
      <c r="AA35" s="43"/>
      <c r="AB35" s="41"/>
      <c r="AC35" s="42"/>
      <c r="AD35" s="43"/>
      <c r="AE35" s="41"/>
      <c r="AF35" s="42"/>
      <c r="AG35" s="43"/>
      <c r="AH35" s="41"/>
      <c r="AI35" s="42"/>
      <c r="AJ35" s="43"/>
      <c r="AK35" s="41"/>
      <c r="AL35" s="42"/>
      <c r="AM35" s="43"/>
      <c r="AN35" s="41"/>
      <c r="AO35" s="42"/>
      <c r="AP35" s="43"/>
      <c r="AQ35" s="41">
        <v>31</v>
      </c>
      <c r="AR35" s="42">
        <f t="shared" si="28"/>
        <v>31</v>
      </c>
      <c r="AS35" s="43"/>
      <c r="AT35" s="41">
        <v>23</v>
      </c>
      <c r="AU35" s="42">
        <f t="shared" si="29"/>
        <v>23</v>
      </c>
      <c r="AV35" s="43"/>
      <c r="AW35" s="41">
        <v>23</v>
      </c>
      <c r="AX35" s="42">
        <f t="shared" si="30"/>
        <v>23</v>
      </c>
      <c r="AY35" s="43"/>
      <c r="AZ35" s="41">
        <v>31</v>
      </c>
      <c r="BA35" s="42">
        <f t="shared" si="31"/>
        <v>31</v>
      </c>
      <c r="BB35" s="43"/>
      <c r="BC35" s="41">
        <v>9</v>
      </c>
      <c r="BD35" s="42">
        <f t="shared" si="32"/>
        <v>9</v>
      </c>
      <c r="BE35" s="43"/>
      <c r="BF35" s="41">
        <v>10</v>
      </c>
      <c r="BG35" s="42">
        <f t="shared" si="33"/>
        <v>10</v>
      </c>
      <c r="BH35" s="43"/>
      <c r="BI35" s="41">
        <v>18</v>
      </c>
      <c r="BJ35" s="42">
        <f t="shared" si="34"/>
        <v>18</v>
      </c>
    </row>
    <row r="36" spans="1:62" s="38" customFormat="1" ht="15" customHeight="1" x14ac:dyDescent="0.3">
      <c r="A36" s="147"/>
      <c r="B36" s="287" t="s">
        <v>59</v>
      </c>
      <c r="C36" s="288">
        <f>SUM(C26:C34)</f>
        <v>295</v>
      </c>
      <c r="D36" s="289">
        <f t="shared" ref="D36:AL36" si="35">SUM(D26:D34)</f>
        <v>362</v>
      </c>
      <c r="E36" s="203">
        <f t="shared" si="35"/>
        <v>657</v>
      </c>
      <c r="F36" s="288">
        <f t="shared" si="35"/>
        <v>264</v>
      </c>
      <c r="G36" s="289">
        <f t="shared" si="35"/>
        <v>417</v>
      </c>
      <c r="H36" s="203">
        <f t="shared" si="35"/>
        <v>681</v>
      </c>
      <c r="I36" s="288">
        <f t="shared" si="35"/>
        <v>290</v>
      </c>
      <c r="J36" s="289">
        <f t="shared" si="35"/>
        <v>437</v>
      </c>
      <c r="K36" s="203">
        <f t="shared" si="35"/>
        <v>727</v>
      </c>
      <c r="L36" s="288">
        <f t="shared" si="35"/>
        <v>357</v>
      </c>
      <c r="M36" s="289">
        <f t="shared" si="35"/>
        <v>386</v>
      </c>
      <c r="N36" s="203">
        <f t="shared" si="35"/>
        <v>743</v>
      </c>
      <c r="O36" s="288">
        <f t="shared" si="35"/>
        <v>268</v>
      </c>
      <c r="P36" s="289">
        <f t="shared" si="35"/>
        <v>355</v>
      </c>
      <c r="Q36" s="203">
        <f t="shared" si="35"/>
        <v>623</v>
      </c>
      <c r="R36" s="288">
        <f t="shared" si="35"/>
        <v>281</v>
      </c>
      <c r="S36" s="289">
        <f t="shared" si="35"/>
        <v>499</v>
      </c>
      <c r="T36" s="203">
        <f t="shared" si="35"/>
        <v>780</v>
      </c>
      <c r="U36" s="288">
        <f t="shared" si="35"/>
        <v>220</v>
      </c>
      <c r="V36" s="289">
        <f t="shared" si="35"/>
        <v>428</v>
      </c>
      <c r="W36" s="203">
        <f t="shared" si="35"/>
        <v>648</v>
      </c>
      <c r="X36" s="288">
        <f t="shared" si="35"/>
        <v>116</v>
      </c>
      <c r="Y36" s="289">
        <f t="shared" si="35"/>
        <v>654</v>
      </c>
      <c r="Z36" s="203">
        <f t="shared" si="35"/>
        <v>770</v>
      </c>
      <c r="AA36" s="288">
        <f t="shared" si="35"/>
        <v>186</v>
      </c>
      <c r="AB36" s="289">
        <f t="shared" si="35"/>
        <v>622</v>
      </c>
      <c r="AC36" s="203">
        <f t="shared" si="35"/>
        <v>808</v>
      </c>
      <c r="AD36" s="288">
        <f t="shared" si="35"/>
        <v>184</v>
      </c>
      <c r="AE36" s="289">
        <f t="shared" si="35"/>
        <v>654</v>
      </c>
      <c r="AF36" s="203">
        <f t="shared" si="35"/>
        <v>838</v>
      </c>
      <c r="AG36" s="288">
        <f t="shared" si="35"/>
        <v>227</v>
      </c>
      <c r="AH36" s="289">
        <f t="shared" si="35"/>
        <v>754</v>
      </c>
      <c r="AI36" s="203">
        <f t="shared" si="35"/>
        <v>981</v>
      </c>
      <c r="AJ36" s="288">
        <f t="shared" si="35"/>
        <v>180</v>
      </c>
      <c r="AK36" s="289">
        <f t="shared" si="35"/>
        <v>632</v>
      </c>
      <c r="AL36" s="203">
        <f t="shared" si="35"/>
        <v>812</v>
      </c>
      <c r="AM36" s="288">
        <f>SUM(AM26:AM34)</f>
        <v>176</v>
      </c>
      <c r="AN36" s="289">
        <f>SUM(AN26:AN34)</f>
        <v>626</v>
      </c>
      <c r="AO36" s="203">
        <f>SUM(AO26:AO34)</f>
        <v>802</v>
      </c>
      <c r="AP36" s="288">
        <f t="shared" ref="AP36:BD36" si="36">SUM(AP26:AP35)</f>
        <v>139</v>
      </c>
      <c r="AQ36" s="290">
        <f t="shared" si="36"/>
        <v>688</v>
      </c>
      <c r="AR36" s="203">
        <f t="shared" si="36"/>
        <v>827</v>
      </c>
      <c r="AS36" s="288">
        <f t="shared" si="36"/>
        <v>0</v>
      </c>
      <c r="AT36" s="290">
        <f t="shared" si="36"/>
        <v>626</v>
      </c>
      <c r="AU36" s="203">
        <f t="shared" si="36"/>
        <v>626</v>
      </c>
      <c r="AV36" s="288">
        <f t="shared" si="36"/>
        <v>0</v>
      </c>
      <c r="AW36" s="290">
        <f t="shared" si="36"/>
        <v>651</v>
      </c>
      <c r="AX36" s="203">
        <f t="shared" si="36"/>
        <v>651</v>
      </c>
      <c r="AY36" s="288">
        <f t="shared" si="36"/>
        <v>0</v>
      </c>
      <c r="AZ36" s="290">
        <f t="shared" si="36"/>
        <v>750</v>
      </c>
      <c r="BA36" s="203">
        <f t="shared" si="36"/>
        <v>750</v>
      </c>
      <c r="BB36" s="288">
        <f t="shared" si="36"/>
        <v>0</v>
      </c>
      <c r="BC36" s="290">
        <f t="shared" si="36"/>
        <v>687</v>
      </c>
      <c r="BD36" s="203">
        <f t="shared" si="36"/>
        <v>687</v>
      </c>
      <c r="BE36" s="288">
        <f t="shared" ref="BE36:BG36" si="37">SUM(BE26:BE35)</f>
        <v>0</v>
      </c>
      <c r="BF36" s="290">
        <f>SUM(BF26:BF35)</f>
        <v>510</v>
      </c>
      <c r="BG36" s="203">
        <f t="shared" si="37"/>
        <v>510</v>
      </c>
      <c r="BH36" s="288">
        <f t="shared" ref="BH36" si="38">SUM(BH26:BH35)</f>
        <v>0</v>
      </c>
      <c r="BI36" s="290">
        <f>SUM(BI26:BI35)</f>
        <v>663</v>
      </c>
      <c r="BJ36" s="203">
        <f t="shared" ref="BJ36" si="39">SUM(BJ26:BJ35)</f>
        <v>663</v>
      </c>
    </row>
    <row r="37" spans="1:62" s="38" customFormat="1" ht="15" customHeight="1" x14ac:dyDescent="0.3">
      <c r="A37" s="147"/>
      <c r="B37" s="74" t="s">
        <v>60</v>
      </c>
      <c r="C37" s="376">
        <v>100</v>
      </c>
      <c r="D37" s="377">
        <v>101</v>
      </c>
      <c r="E37" s="77">
        <v>201</v>
      </c>
      <c r="F37" s="376">
        <v>116</v>
      </c>
      <c r="G37" s="377">
        <v>115</v>
      </c>
      <c r="H37" s="77">
        <v>231</v>
      </c>
      <c r="I37" s="75">
        <v>102</v>
      </c>
      <c r="J37" s="76">
        <v>122</v>
      </c>
      <c r="K37" s="77">
        <v>224</v>
      </c>
      <c r="L37" s="75">
        <v>120</v>
      </c>
      <c r="M37" s="76">
        <v>116</v>
      </c>
      <c r="N37" s="77">
        <v>236</v>
      </c>
      <c r="O37" s="75">
        <v>137</v>
      </c>
      <c r="P37" s="76">
        <v>142</v>
      </c>
      <c r="Q37" s="77">
        <v>279</v>
      </c>
      <c r="R37" s="75">
        <v>121</v>
      </c>
      <c r="S37" s="76">
        <v>119</v>
      </c>
      <c r="T37" s="77">
        <v>240</v>
      </c>
      <c r="U37" s="75">
        <v>121</v>
      </c>
      <c r="V37" s="76">
        <v>113</v>
      </c>
      <c r="W37" s="77">
        <v>234</v>
      </c>
      <c r="X37" s="75">
        <v>102</v>
      </c>
      <c r="Y37" s="76">
        <v>113</v>
      </c>
      <c r="Z37" s="77">
        <f t="shared" si="0"/>
        <v>215</v>
      </c>
      <c r="AA37" s="78">
        <v>99</v>
      </c>
      <c r="AB37" s="76">
        <v>115</v>
      </c>
      <c r="AC37" s="77">
        <f t="shared" si="1"/>
        <v>214</v>
      </c>
      <c r="AD37" s="78">
        <v>105</v>
      </c>
      <c r="AE37" s="76">
        <v>114</v>
      </c>
      <c r="AF37" s="77">
        <f t="shared" si="2"/>
        <v>219</v>
      </c>
      <c r="AG37" s="78">
        <v>90</v>
      </c>
      <c r="AH37" s="76">
        <v>118</v>
      </c>
      <c r="AI37" s="77">
        <f t="shared" ref="AI37:AI47" si="40">SUM(AG37:AH37)</f>
        <v>208</v>
      </c>
      <c r="AJ37" s="78">
        <v>89</v>
      </c>
      <c r="AK37" s="76">
        <v>114</v>
      </c>
      <c r="AL37" s="77">
        <f t="shared" ref="AL37:AL47" si="41">SUM(AJ37:AK37)</f>
        <v>203</v>
      </c>
      <c r="AM37" s="78">
        <v>74</v>
      </c>
      <c r="AN37" s="76">
        <v>118</v>
      </c>
      <c r="AO37" s="77">
        <f t="shared" ref="AO37:AO47" si="42">SUM(AM37:AN37)</f>
        <v>192</v>
      </c>
      <c r="AP37" s="78">
        <v>80</v>
      </c>
      <c r="AQ37" s="76">
        <v>124</v>
      </c>
      <c r="AR37" s="77">
        <f t="shared" ref="AR37:AR47" si="43">SUM(AP37:AQ37)</f>
        <v>204</v>
      </c>
      <c r="AS37" s="78">
        <v>86</v>
      </c>
      <c r="AT37" s="76">
        <v>123</v>
      </c>
      <c r="AU37" s="77">
        <f t="shared" ref="AU37:AU47" si="44">SUM(AS37:AT37)</f>
        <v>209</v>
      </c>
      <c r="AV37" s="78">
        <v>81</v>
      </c>
      <c r="AW37" s="76">
        <v>115</v>
      </c>
      <c r="AX37" s="77">
        <f t="shared" ref="AX37:AX47" si="45">SUM(AV37:AW37)</f>
        <v>196</v>
      </c>
      <c r="AY37" s="78">
        <v>79</v>
      </c>
      <c r="AZ37" s="76">
        <v>120</v>
      </c>
      <c r="BA37" s="77">
        <f t="shared" ref="BA37:BA47" si="46">SUM(AY37:AZ37)</f>
        <v>199</v>
      </c>
      <c r="BB37" s="78">
        <v>80</v>
      </c>
      <c r="BC37" s="76">
        <v>121</v>
      </c>
      <c r="BD37" s="77">
        <f t="shared" ref="BD37:BD47" si="47">SUM(BB37:BC37)</f>
        <v>201</v>
      </c>
      <c r="BE37" s="78">
        <v>92</v>
      </c>
      <c r="BF37" s="76">
        <v>120</v>
      </c>
      <c r="BG37" s="77">
        <f t="shared" ref="BG37:BG47" si="48">SUM(BE37:BF37)</f>
        <v>212</v>
      </c>
      <c r="BH37" s="78">
        <v>95</v>
      </c>
      <c r="BI37" s="76">
        <v>120</v>
      </c>
      <c r="BJ37" s="77">
        <f t="shared" ref="BJ37:BJ47" si="49">SUM(BH37:BI37)</f>
        <v>215</v>
      </c>
    </row>
    <row r="38" spans="1:62" s="38" customFormat="1" ht="15" customHeight="1" x14ac:dyDescent="0.3">
      <c r="A38" s="147"/>
      <c r="B38" s="39" t="s">
        <v>78</v>
      </c>
      <c r="C38" s="40"/>
      <c r="D38" s="281">
        <v>48</v>
      </c>
      <c r="E38" s="42">
        <v>48</v>
      </c>
      <c r="F38" s="293"/>
      <c r="G38" s="281">
        <v>58</v>
      </c>
      <c r="H38" s="42">
        <v>58</v>
      </c>
      <c r="I38" s="40"/>
      <c r="J38" s="41">
        <v>60</v>
      </c>
      <c r="K38" s="42">
        <v>60</v>
      </c>
      <c r="L38" s="40"/>
      <c r="M38" s="41">
        <v>61</v>
      </c>
      <c r="N38" s="42">
        <v>61</v>
      </c>
      <c r="O38" s="40"/>
      <c r="P38" s="41">
        <v>69</v>
      </c>
      <c r="Q38" s="42">
        <v>69</v>
      </c>
      <c r="R38" s="40"/>
      <c r="S38" s="41">
        <v>60</v>
      </c>
      <c r="T38" s="42">
        <v>60</v>
      </c>
      <c r="U38" s="40"/>
      <c r="V38" s="41">
        <v>59</v>
      </c>
      <c r="W38" s="42">
        <v>59</v>
      </c>
      <c r="X38" s="40"/>
      <c r="Y38" s="41">
        <v>63</v>
      </c>
      <c r="Z38" s="42">
        <f t="shared" si="0"/>
        <v>63</v>
      </c>
      <c r="AA38" s="43"/>
      <c r="AB38" s="41">
        <v>58</v>
      </c>
      <c r="AC38" s="42">
        <f t="shared" si="1"/>
        <v>58</v>
      </c>
      <c r="AD38" s="43"/>
      <c r="AE38" s="41">
        <v>60</v>
      </c>
      <c r="AF38" s="42">
        <f t="shared" si="2"/>
        <v>60</v>
      </c>
      <c r="AG38" s="43"/>
      <c r="AH38" s="41">
        <v>60</v>
      </c>
      <c r="AI38" s="42">
        <f t="shared" si="40"/>
        <v>60</v>
      </c>
      <c r="AJ38" s="43"/>
      <c r="AK38" s="41">
        <v>60</v>
      </c>
      <c r="AL38" s="42">
        <f t="shared" si="41"/>
        <v>60</v>
      </c>
      <c r="AM38" s="43"/>
      <c r="AN38" s="41">
        <v>62</v>
      </c>
      <c r="AO38" s="42">
        <f t="shared" si="42"/>
        <v>62</v>
      </c>
      <c r="AP38" s="43"/>
      <c r="AQ38" s="41">
        <v>62</v>
      </c>
      <c r="AR38" s="42">
        <f t="shared" si="43"/>
        <v>62</v>
      </c>
      <c r="AS38" s="43"/>
      <c r="AT38" s="41">
        <v>60</v>
      </c>
      <c r="AU38" s="42">
        <f t="shared" si="44"/>
        <v>60</v>
      </c>
      <c r="AV38" s="43"/>
      <c r="AW38" s="41">
        <v>71</v>
      </c>
      <c r="AX38" s="42">
        <f t="shared" si="45"/>
        <v>71</v>
      </c>
      <c r="AY38" s="43"/>
      <c r="AZ38" s="41">
        <v>61</v>
      </c>
      <c r="BA38" s="42">
        <f t="shared" si="46"/>
        <v>61</v>
      </c>
      <c r="BB38" s="43"/>
      <c r="BC38" s="41">
        <v>61</v>
      </c>
      <c r="BD38" s="42">
        <f t="shared" si="47"/>
        <v>61</v>
      </c>
      <c r="BE38" s="43"/>
      <c r="BF38" s="41">
        <v>59</v>
      </c>
      <c r="BG38" s="42">
        <f t="shared" si="48"/>
        <v>59</v>
      </c>
      <c r="BH38" s="43"/>
      <c r="BI38" s="41">
        <v>46</v>
      </c>
      <c r="BJ38" s="42">
        <f t="shared" si="49"/>
        <v>46</v>
      </c>
    </row>
    <row r="39" spans="1:62" s="38" customFormat="1" ht="15" customHeight="1" x14ac:dyDescent="0.3">
      <c r="A39" s="147"/>
      <c r="B39" s="39" t="s">
        <v>79</v>
      </c>
      <c r="C39" s="82"/>
      <c r="D39" s="281">
        <v>51</v>
      </c>
      <c r="E39" s="42">
        <v>51</v>
      </c>
      <c r="F39" s="293"/>
      <c r="G39" s="281">
        <v>55</v>
      </c>
      <c r="H39" s="42">
        <v>55</v>
      </c>
      <c r="I39" s="82"/>
      <c r="J39" s="41">
        <v>62</v>
      </c>
      <c r="K39" s="42">
        <v>62</v>
      </c>
      <c r="L39" s="82"/>
      <c r="M39" s="41">
        <v>59</v>
      </c>
      <c r="N39" s="42">
        <v>59</v>
      </c>
      <c r="O39" s="40"/>
      <c r="P39" s="41">
        <v>68</v>
      </c>
      <c r="Q39" s="42">
        <v>68</v>
      </c>
      <c r="R39" s="40"/>
      <c r="S39" s="41">
        <v>64</v>
      </c>
      <c r="T39" s="42">
        <v>64</v>
      </c>
      <c r="U39" s="40"/>
      <c r="V39" s="41">
        <v>61</v>
      </c>
      <c r="W39" s="42">
        <v>61</v>
      </c>
      <c r="X39" s="40"/>
      <c r="Y39" s="41">
        <v>69</v>
      </c>
      <c r="Z39" s="42">
        <f t="shared" si="0"/>
        <v>69</v>
      </c>
      <c r="AA39" s="43"/>
      <c r="AB39" s="41">
        <v>66</v>
      </c>
      <c r="AC39" s="42">
        <f t="shared" si="1"/>
        <v>66</v>
      </c>
      <c r="AD39" s="43"/>
      <c r="AE39" s="41">
        <v>69</v>
      </c>
      <c r="AF39" s="42">
        <f t="shared" si="2"/>
        <v>69</v>
      </c>
      <c r="AG39" s="43"/>
      <c r="AH39" s="41">
        <v>63</v>
      </c>
      <c r="AI39" s="42">
        <f t="shared" si="40"/>
        <v>63</v>
      </c>
      <c r="AJ39" s="43"/>
      <c r="AK39" s="41">
        <v>64</v>
      </c>
      <c r="AL39" s="42">
        <f t="shared" si="41"/>
        <v>64</v>
      </c>
      <c r="AM39" s="43"/>
      <c r="AN39" s="41">
        <v>64</v>
      </c>
      <c r="AO39" s="42">
        <f t="shared" si="42"/>
        <v>64</v>
      </c>
      <c r="AP39" s="43"/>
      <c r="AQ39" s="41">
        <v>72</v>
      </c>
      <c r="AR39" s="42">
        <f t="shared" si="43"/>
        <v>72</v>
      </c>
      <c r="AS39" s="43"/>
      <c r="AT39" s="41">
        <v>67</v>
      </c>
      <c r="AU39" s="42">
        <f t="shared" si="44"/>
        <v>67</v>
      </c>
      <c r="AV39" s="43"/>
      <c r="AW39" s="41">
        <v>75</v>
      </c>
      <c r="AX39" s="42">
        <f t="shared" si="45"/>
        <v>75</v>
      </c>
      <c r="AY39" s="43"/>
      <c r="AZ39" s="41">
        <v>66</v>
      </c>
      <c r="BA39" s="42">
        <f t="shared" si="46"/>
        <v>66</v>
      </c>
      <c r="BB39" s="43"/>
      <c r="BC39" s="41">
        <v>65</v>
      </c>
      <c r="BD39" s="42">
        <f t="shared" si="47"/>
        <v>65</v>
      </c>
      <c r="BE39" s="43"/>
      <c r="BF39" s="41">
        <v>66</v>
      </c>
      <c r="BG39" s="42">
        <f t="shared" si="48"/>
        <v>66</v>
      </c>
      <c r="BH39" s="43"/>
      <c r="BI39" s="41">
        <v>65</v>
      </c>
      <c r="BJ39" s="42">
        <f t="shared" si="49"/>
        <v>65</v>
      </c>
    </row>
    <row r="40" spans="1:62" s="38" customFormat="1" ht="15" customHeight="1" x14ac:dyDescent="0.3">
      <c r="A40" s="147"/>
      <c r="B40" s="39" t="s">
        <v>80</v>
      </c>
      <c r="C40" s="82"/>
      <c r="D40" s="281">
        <v>46</v>
      </c>
      <c r="E40" s="42">
        <v>46</v>
      </c>
      <c r="F40" s="293"/>
      <c r="G40" s="281">
        <v>73</v>
      </c>
      <c r="H40" s="42">
        <v>73</v>
      </c>
      <c r="I40" s="82"/>
      <c r="J40" s="41">
        <v>72</v>
      </c>
      <c r="K40" s="42">
        <v>72</v>
      </c>
      <c r="L40" s="82"/>
      <c r="M40" s="41">
        <v>69</v>
      </c>
      <c r="N40" s="42">
        <v>69</v>
      </c>
      <c r="O40" s="40"/>
      <c r="P40" s="41">
        <v>77</v>
      </c>
      <c r="Q40" s="42">
        <v>77</v>
      </c>
      <c r="R40" s="40"/>
      <c r="S40" s="41">
        <v>75</v>
      </c>
      <c r="T40" s="42">
        <v>75</v>
      </c>
      <c r="U40" s="40"/>
      <c r="V40" s="41">
        <v>73</v>
      </c>
      <c r="W40" s="42">
        <v>73</v>
      </c>
      <c r="X40" s="40"/>
      <c r="Y40" s="41">
        <v>78</v>
      </c>
      <c r="Z40" s="42">
        <f t="shared" si="0"/>
        <v>78</v>
      </c>
      <c r="AA40" s="43"/>
      <c r="AB40" s="41">
        <v>75</v>
      </c>
      <c r="AC40" s="42">
        <f t="shared" si="1"/>
        <v>75</v>
      </c>
      <c r="AD40" s="43"/>
      <c r="AE40" s="41">
        <v>78</v>
      </c>
      <c r="AF40" s="42">
        <f t="shared" si="2"/>
        <v>78</v>
      </c>
      <c r="AG40" s="43"/>
      <c r="AH40" s="41">
        <v>81</v>
      </c>
      <c r="AI40" s="42">
        <f t="shared" si="40"/>
        <v>81</v>
      </c>
      <c r="AJ40" s="43"/>
      <c r="AK40" s="41">
        <v>77</v>
      </c>
      <c r="AL40" s="42">
        <f t="shared" si="41"/>
        <v>77</v>
      </c>
      <c r="AM40" s="43"/>
      <c r="AN40" s="41">
        <v>80</v>
      </c>
      <c r="AO40" s="42">
        <f t="shared" si="42"/>
        <v>80</v>
      </c>
      <c r="AP40" s="43"/>
      <c r="AQ40" s="41">
        <v>82</v>
      </c>
      <c r="AR40" s="42">
        <f t="shared" si="43"/>
        <v>82</v>
      </c>
      <c r="AS40" s="43"/>
      <c r="AT40" s="41">
        <v>83</v>
      </c>
      <c r="AU40" s="42">
        <f t="shared" si="44"/>
        <v>83</v>
      </c>
      <c r="AV40" s="43"/>
      <c r="AW40" s="41">
        <v>95</v>
      </c>
      <c r="AX40" s="42">
        <f t="shared" si="45"/>
        <v>95</v>
      </c>
      <c r="AY40" s="43"/>
      <c r="AZ40" s="41">
        <v>80</v>
      </c>
      <c r="BA40" s="42">
        <f t="shared" si="46"/>
        <v>80</v>
      </c>
      <c r="BB40" s="43"/>
      <c r="BC40" s="41">
        <v>80</v>
      </c>
      <c r="BD40" s="42">
        <f t="shared" si="47"/>
        <v>80</v>
      </c>
      <c r="BE40" s="43"/>
      <c r="BF40" s="41">
        <v>63</v>
      </c>
      <c r="BG40" s="42">
        <f t="shared" si="48"/>
        <v>63</v>
      </c>
      <c r="BH40" s="43"/>
      <c r="BI40" s="41">
        <v>75</v>
      </c>
      <c r="BJ40" s="42">
        <f t="shared" si="49"/>
        <v>75</v>
      </c>
    </row>
    <row r="41" spans="1:62" s="38" customFormat="1" ht="15" customHeight="1" x14ac:dyDescent="0.3">
      <c r="A41" s="147"/>
      <c r="B41" s="39" t="s">
        <v>62</v>
      </c>
      <c r="C41" s="40"/>
      <c r="D41" s="281">
        <v>67</v>
      </c>
      <c r="E41" s="42">
        <v>67</v>
      </c>
      <c r="F41" s="293"/>
      <c r="G41" s="281">
        <v>68</v>
      </c>
      <c r="H41" s="42">
        <v>68</v>
      </c>
      <c r="I41" s="40"/>
      <c r="J41" s="41">
        <v>99</v>
      </c>
      <c r="K41" s="42">
        <v>99</v>
      </c>
      <c r="L41" s="40"/>
      <c r="M41" s="41">
        <v>83</v>
      </c>
      <c r="N41" s="42">
        <v>83</v>
      </c>
      <c r="O41" s="40"/>
      <c r="P41" s="41">
        <v>91</v>
      </c>
      <c r="Q41" s="42">
        <v>91</v>
      </c>
      <c r="R41" s="40"/>
      <c r="S41" s="41">
        <v>119</v>
      </c>
      <c r="T41" s="42">
        <v>119</v>
      </c>
      <c r="U41" s="40"/>
      <c r="V41" s="41">
        <v>111</v>
      </c>
      <c r="W41" s="42">
        <v>111</v>
      </c>
      <c r="X41" s="40"/>
      <c r="Y41" s="41">
        <v>115</v>
      </c>
      <c r="Z41" s="42">
        <f t="shared" si="0"/>
        <v>115</v>
      </c>
      <c r="AA41" s="43"/>
      <c r="AB41" s="41">
        <v>111</v>
      </c>
      <c r="AC41" s="42">
        <f t="shared" si="1"/>
        <v>111</v>
      </c>
      <c r="AD41" s="43"/>
      <c r="AE41" s="41">
        <v>118</v>
      </c>
      <c r="AF41" s="42">
        <f t="shared" si="2"/>
        <v>118</v>
      </c>
      <c r="AG41" s="43"/>
      <c r="AH41" s="41">
        <v>117</v>
      </c>
      <c r="AI41" s="42">
        <f t="shared" si="40"/>
        <v>117</v>
      </c>
      <c r="AJ41" s="43"/>
      <c r="AK41" s="41">
        <v>115</v>
      </c>
      <c r="AL41" s="42">
        <f t="shared" si="41"/>
        <v>115</v>
      </c>
      <c r="AM41" s="43"/>
      <c r="AN41" s="41">
        <v>114</v>
      </c>
      <c r="AO41" s="42">
        <f t="shared" si="42"/>
        <v>114</v>
      </c>
      <c r="AP41" s="43"/>
      <c r="AQ41" s="41">
        <v>122</v>
      </c>
      <c r="AR41" s="42">
        <f t="shared" si="43"/>
        <v>122</v>
      </c>
      <c r="AS41" s="43"/>
      <c r="AT41" s="41">
        <v>127</v>
      </c>
      <c r="AU41" s="42">
        <f t="shared" si="44"/>
        <v>127</v>
      </c>
      <c r="AV41" s="43"/>
      <c r="AW41" s="41">
        <v>111</v>
      </c>
      <c r="AX41" s="42">
        <f t="shared" si="45"/>
        <v>111</v>
      </c>
      <c r="AY41" s="43"/>
      <c r="AZ41" s="41">
        <v>120</v>
      </c>
      <c r="BA41" s="42">
        <f t="shared" si="46"/>
        <v>120</v>
      </c>
      <c r="BB41" s="43"/>
      <c r="BC41" s="41">
        <v>120</v>
      </c>
      <c r="BD41" s="42">
        <f t="shared" si="47"/>
        <v>120</v>
      </c>
      <c r="BE41" s="43"/>
      <c r="BF41" s="41">
        <v>120</v>
      </c>
      <c r="BG41" s="42">
        <f t="shared" si="48"/>
        <v>120</v>
      </c>
      <c r="BH41" s="43"/>
      <c r="BI41" s="41">
        <v>121</v>
      </c>
      <c r="BJ41" s="42">
        <f t="shared" si="49"/>
        <v>121</v>
      </c>
    </row>
    <row r="42" spans="1:62" s="38" customFormat="1" ht="15" customHeight="1" x14ac:dyDescent="0.3">
      <c r="A42" s="147"/>
      <c r="B42" s="39" t="s">
        <v>63</v>
      </c>
      <c r="C42" s="40"/>
      <c r="D42" s="281">
        <v>66</v>
      </c>
      <c r="E42" s="42">
        <v>66</v>
      </c>
      <c r="F42" s="293"/>
      <c r="G42" s="281">
        <v>83</v>
      </c>
      <c r="H42" s="42">
        <v>83</v>
      </c>
      <c r="I42" s="40"/>
      <c r="J42" s="41">
        <v>87</v>
      </c>
      <c r="K42" s="42">
        <v>87</v>
      </c>
      <c r="L42" s="40"/>
      <c r="M42" s="41">
        <v>86</v>
      </c>
      <c r="N42" s="42">
        <v>86</v>
      </c>
      <c r="O42" s="40"/>
      <c r="P42" s="41">
        <v>77</v>
      </c>
      <c r="Q42" s="42">
        <v>77</v>
      </c>
      <c r="R42" s="40"/>
      <c r="S42" s="41">
        <v>102</v>
      </c>
      <c r="T42" s="42">
        <v>102</v>
      </c>
      <c r="U42" s="40"/>
      <c r="V42" s="41">
        <v>98</v>
      </c>
      <c r="W42" s="42">
        <v>98</v>
      </c>
      <c r="X42" s="40"/>
      <c r="Y42" s="41">
        <v>103</v>
      </c>
      <c r="Z42" s="42">
        <f t="shared" si="0"/>
        <v>103</v>
      </c>
      <c r="AA42" s="43"/>
      <c r="AB42" s="41">
        <v>100</v>
      </c>
      <c r="AC42" s="42">
        <f t="shared" si="1"/>
        <v>100</v>
      </c>
      <c r="AD42" s="43"/>
      <c r="AE42" s="41">
        <v>101</v>
      </c>
      <c r="AF42" s="42">
        <f t="shared" si="2"/>
        <v>101</v>
      </c>
      <c r="AG42" s="43"/>
      <c r="AH42" s="41">
        <v>102</v>
      </c>
      <c r="AI42" s="42">
        <f t="shared" si="40"/>
        <v>102</v>
      </c>
      <c r="AJ42" s="43"/>
      <c r="AK42" s="41">
        <v>98</v>
      </c>
      <c r="AL42" s="42">
        <f t="shared" si="41"/>
        <v>98</v>
      </c>
      <c r="AM42" s="43"/>
      <c r="AN42" s="41">
        <v>93</v>
      </c>
      <c r="AO42" s="42">
        <f t="shared" si="42"/>
        <v>93</v>
      </c>
      <c r="AP42" s="43"/>
      <c r="AQ42" s="41">
        <v>103</v>
      </c>
      <c r="AR42" s="42">
        <f t="shared" si="43"/>
        <v>103</v>
      </c>
      <c r="AS42" s="43"/>
      <c r="AT42" s="41">
        <v>80</v>
      </c>
      <c r="AU42" s="42">
        <f t="shared" si="44"/>
        <v>80</v>
      </c>
      <c r="AV42" s="43"/>
      <c r="AW42" s="41">
        <v>103</v>
      </c>
      <c r="AX42" s="42">
        <f t="shared" si="45"/>
        <v>103</v>
      </c>
      <c r="AY42" s="43"/>
      <c r="AZ42" s="41">
        <v>97</v>
      </c>
      <c r="BA42" s="42">
        <f t="shared" si="46"/>
        <v>97</v>
      </c>
      <c r="BB42" s="43"/>
      <c r="BC42" s="41">
        <v>67</v>
      </c>
      <c r="BD42" s="42">
        <f t="shared" si="47"/>
        <v>67</v>
      </c>
      <c r="BE42" s="43"/>
      <c r="BF42" s="41">
        <v>79</v>
      </c>
      <c r="BG42" s="42">
        <f t="shared" si="48"/>
        <v>79</v>
      </c>
      <c r="BH42" s="43"/>
      <c r="BI42" s="41">
        <v>55</v>
      </c>
      <c r="BJ42" s="42">
        <f t="shared" si="49"/>
        <v>55</v>
      </c>
    </row>
    <row r="43" spans="1:62" s="38" customFormat="1" ht="15" customHeight="1" x14ac:dyDescent="0.3">
      <c r="A43" s="147"/>
      <c r="B43" s="39" t="s">
        <v>81</v>
      </c>
      <c r="C43" s="40"/>
      <c r="D43" s="281">
        <v>72</v>
      </c>
      <c r="E43" s="42">
        <v>72</v>
      </c>
      <c r="F43" s="293"/>
      <c r="G43" s="281">
        <v>79</v>
      </c>
      <c r="H43" s="42">
        <v>79</v>
      </c>
      <c r="I43" s="40"/>
      <c r="J43" s="41">
        <v>83</v>
      </c>
      <c r="K43" s="42">
        <v>83</v>
      </c>
      <c r="L43" s="40"/>
      <c r="M43" s="41">
        <v>78</v>
      </c>
      <c r="N43" s="42">
        <v>78</v>
      </c>
      <c r="O43" s="40"/>
      <c r="P43" s="41">
        <v>77</v>
      </c>
      <c r="Q43" s="42">
        <v>77</v>
      </c>
      <c r="R43" s="40"/>
      <c r="S43" s="41">
        <v>82</v>
      </c>
      <c r="T43" s="42">
        <v>82</v>
      </c>
      <c r="U43" s="40"/>
      <c r="V43" s="41">
        <v>80</v>
      </c>
      <c r="W43" s="42">
        <v>80</v>
      </c>
      <c r="X43" s="40"/>
      <c r="Y43" s="41">
        <v>78</v>
      </c>
      <c r="Z43" s="42">
        <f t="shared" si="0"/>
        <v>78</v>
      </c>
      <c r="AA43" s="43"/>
      <c r="AB43" s="41">
        <v>84</v>
      </c>
      <c r="AC43" s="42">
        <f t="shared" si="1"/>
        <v>84</v>
      </c>
      <c r="AD43" s="43"/>
      <c r="AE43" s="41">
        <v>79</v>
      </c>
      <c r="AF43" s="42">
        <f t="shared" si="2"/>
        <v>79</v>
      </c>
      <c r="AG43" s="43"/>
      <c r="AH43" s="41">
        <v>80</v>
      </c>
      <c r="AI43" s="42">
        <f t="shared" si="40"/>
        <v>80</v>
      </c>
      <c r="AJ43" s="43"/>
      <c r="AK43" s="41">
        <v>86</v>
      </c>
      <c r="AL43" s="42">
        <f t="shared" si="41"/>
        <v>86</v>
      </c>
      <c r="AM43" s="43"/>
      <c r="AN43" s="41">
        <v>82</v>
      </c>
      <c r="AO43" s="42">
        <f t="shared" si="42"/>
        <v>82</v>
      </c>
      <c r="AP43" s="43"/>
      <c r="AQ43" s="41">
        <v>88</v>
      </c>
      <c r="AR43" s="42">
        <f t="shared" si="43"/>
        <v>88</v>
      </c>
      <c r="AS43" s="43"/>
      <c r="AT43" s="41">
        <v>91</v>
      </c>
      <c r="AU43" s="42">
        <f t="shared" si="44"/>
        <v>91</v>
      </c>
      <c r="AV43" s="43"/>
      <c r="AW43" s="41">
        <v>94</v>
      </c>
      <c r="AX43" s="42">
        <f t="shared" si="45"/>
        <v>94</v>
      </c>
      <c r="AY43" s="43"/>
      <c r="AZ43" s="41">
        <v>83</v>
      </c>
      <c r="BA43" s="42">
        <f t="shared" si="46"/>
        <v>83</v>
      </c>
      <c r="BB43" s="43"/>
      <c r="BC43" s="41">
        <v>84</v>
      </c>
      <c r="BD43" s="42">
        <f t="shared" si="47"/>
        <v>84</v>
      </c>
      <c r="BE43" s="43"/>
      <c r="BF43" s="41">
        <v>85</v>
      </c>
      <c r="BG43" s="42">
        <f t="shared" si="48"/>
        <v>85</v>
      </c>
      <c r="BH43" s="43"/>
      <c r="BI43" s="41">
        <v>85</v>
      </c>
      <c r="BJ43" s="42">
        <f t="shared" si="49"/>
        <v>85</v>
      </c>
    </row>
    <row r="44" spans="1:62" s="38" customFormat="1" ht="15" customHeight="1" x14ac:dyDescent="0.3">
      <c r="A44" s="147"/>
      <c r="B44" s="39" t="s">
        <v>82</v>
      </c>
      <c r="C44" s="40"/>
      <c r="D44" s="281">
        <v>36</v>
      </c>
      <c r="E44" s="42">
        <v>36</v>
      </c>
      <c r="F44" s="293"/>
      <c r="G44" s="281">
        <v>39</v>
      </c>
      <c r="H44" s="42">
        <v>39</v>
      </c>
      <c r="I44" s="40"/>
      <c r="J44" s="41">
        <v>35</v>
      </c>
      <c r="K44" s="42">
        <v>35</v>
      </c>
      <c r="L44" s="40"/>
      <c r="M44" s="41">
        <v>36</v>
      </c>
      <c r="N44" s="42">
        <v>36</v>
      </c>
      <c r="O44" s="40"/>
      <c r="P44" s="41">
        <v>38</v>
      </c>
      <c r="Q44" s="42">
        <v>38</v>
      </c>
      <c r="R44" s="40"/>
      <c r="S44" s="41">
        <v>50</v>
      </c>
      <c r="T44" s="42">
        <v>50</v>
      </c>
      <c r="U44" s="40"/>
      <c r="V44" s="41">
        <v>48</v>
      </c>
      <c r="W44" s="42">
        <v>48</v>
      </c>
      <c r="X44" s="40"/>
      <c r="Y44" s="41">
        <v>58</v>
      </c>
      <c r="Z44" s="42">
        <f t="shared" si="0"/>
        <v>58</v>
      </c>
      <c r="AA44" s="43"/>
      <c r="AB44" s="41">
        <v>57</v>
      </c>
      <c r="AC44" s="42">
        <f t="shared" si="1"/>
        <v>57</v>
      </c>
      <c r="AD44" s="43"/>
      <c r="AE44" s="41">
        <v>52</v>
      </c>
      <c r="AF44" s="42">
        <f t="shared" si="2"/>
        <v>52</v>
      </c>
      <c r="AG44" s="43"/>
      <c r="AH44" s="41">
        <v>55</v>
      </c>
      <c r="AI44" s="42">
        <f t="shared" si="40"/>
        <v>55</v>
      </c>
      <c r="AJ44" s="43"/>
      <c r="AK44" s="41">
        <v>56</v>
      </c>
      <c r="AL44" s="42">
        <f t="shared" si="41"/>
        <v>56</v>
      </c>
      <c r="AM44" s="43"/>
      <c r="AN44" s="41">
        <v>60</v>
      </c>
      <c r="AO44" s="42">
        <f t="shared" si="42"/>
        <v>60</v>
      </c>
      <c r="AP44" s="43"/>
      <c r="AQ44" s="41">
        <v>61</v>
      </c>
      <c r="AR44" s="42">
        <f t="shared" si="43"/>
        <v>61</v>
      </c>
      <c r="AS44" s="43"/>
      <c r="AT44" s="41">
        <v>66</v>
      </c>
      <c r="AU44" s="42">
        <f t="shared" si="44"/>
        <v>66</v>
      </c>
      <c r="AV44" s="43"/>
      <c r="AW44" s="41">
        <v>72</v>
      </c>
      <c r="AX44" s="42">
        <f t="shared" si="45"/>
        <v>72</v>
      </c>
      <c r="AY44" s="43"/>
      <c r="AZ44" s="41">
        <v>60</v>
      </c>
      <c r="BA44" s="42">
        <f t="shared" si="46"/>
        <v>60</v>
      </c>
      <c r="BB44" s="43"/>
      <c r="BC44" s="41">
        <v>60</v>
      </c>
      <c r="BD44" s="42">
        <f t="shared" si="47"/>
        <v>60</v>
      </c>
      <c r="BE44" s="43"/>
      <c r="BF44" s="41">
        <v>60</v>
      </c>
      <c r="BG44" s="42">
        <f t="shared" si="48"/>
        <v>60</v>
      </c>
      <c r="BH44" s="43"/>
      <c r="BI44" s="41">
        <v>59</v>
      </c>
      <c r="BJ44" s="42">
        <f t="shared" si="49"/>
        <v>59</v>
      </c>
    </row>
    <row r="45" spans="1:62" s="38" customFormat="1" ht="15" customHeight="1" x14ac:dyDescent="0.3">
      <c r="A45" s="147"/>
      <c r="B45" s="39" t="s">
        <v>83</v>
      </c>
      <c r="C45" s="40"/>
      <c r="D45" s="281">
        <v>86</v>
      </c>
      <c r="E45" s="42">
        <v>86</v>
      </c>
      <c r="F45" s="293"/>
      <c r="G45" s="281">
        <v>80</v>
      </c>
      <c r="H45" s="42">
        <v>80</v>
      </c>
      <c r="I45" s="40"/>
      <c r="J45" s="41">
        <v>81</v>
      </c>
      <c r="K45" s="42">
        <v>81</v>
      </c>
      <c r="L45" s="40"/>
      <c r="M45" s="41">
        <v>105</v>
      </c>
      <c r="N45" s="42">
        <v>105</v>
      </c>
      <c r="O45" s="40"/>
      <c r="P45" s="41">
        <v>129</v>
      </c>
      <c r="Q45" s="42">
        <v>129</v>
      </c>
      <c r="R45" s="40"/>
      <c r="S45" s="41">
        <v>100</v>
      </c>
      <c r="T45" s="42">
        <v>100</v>
      </c>
      <c r="U45" s="40"/>
      <c r="V45" s="41">
        <v>96</v>
      </c>
      <c r="W45" s="42">
        <v>96</v>
      </c>
      <c r="X45" s="40"/>
      <c r="Y45" s="41">
        <v>103</v>
      </c>
      <c r="Z45" s="42">
        <f t="shared" si="0"/>
        <v>103</v>
      </c>
      <c r="AA45" s="43"/>
      <c r="AB45" s="41">
        <v>94</v>
      </c>
      <c r="AC45" s="42">
        <f t="shared" si="1"/>
        <v>94</v>
      </c>
      <c r="AD45" s="43"/>
      <c r="AE45" s="41">
        <v>98</v>
      </c>
      <c r="AF45" s="42">
        <f t="shared" si="2"/>
        <v>98</v>
      </c>
      <c r="AG45" s="43"/>
      <c r="AH45" s="41">
        <v>99</v>
      </c>
      <c r="AI45" s="42">
        <f t="shared" si="40"/>
        <v>99</v>
      </c>
      <c r="AJ45" s="43"/>
      <c r="AK45" s="41">
        <v>88</v>
      </c>
      <c r="AL45" s="42">
        <f t="shared" si="41"/>
        <v>88</v>
      </c>
      <c r="AM45" s="43"/>
      <c r="AN45" s="41">
        <v>100</v>
      </c>
      <c r="AO45" s="42">
        <f t="shared" si="42"/>
        <v>100</v>
      </c>
      <c r="AP45" s="43"/>
      <c r="AQ45" s="41">
        <v>104</v>
      </c>
      <c r="AR45" s="42">
        <f t="shared" si="43"/>
        <v>104</v>
      </c>
      <c r="AS45" s="43"/>
      <c r="AT45" s="41">
        <v>104</v>
      </c>
      <c r="AU45" s="42">
        <f t="shared" si="44"/>
        <v>104</v>
      </c>
      <c r="AV45" s="43"/>
      <c r="AW45" s="41">
        <v>95</v>
      </c>
      <c r="AX45" s="42">
        <f t="shared" si="45"/>
        <v>95</v>
      </c>
      <c r="AY45" s="43"/>
      <c r="AZ45" s="41">
        <v>99</v>
      </c>
      <c r="BA45" s="42">
        <f t="shared" si="46"/>
        <v>99</v>
      </c>
      <c r="BB45" s="43"/>
      <c r="BC45" s="41">
        <v>101</v>
      </c>
      <c r="BD45" s="42">
        <f t="shared" si="47"/>
        <v>101</v>
      </c>
      <c r="BE45" s="43"/>
      <c r="BF45" s="41">
        <v>102</v>
      </c>
      <c r="BG45" s="42">
        <f t="shared" si="48"/>
        <v>102</v>
      </c>
      <c r="BH45" s="43"/>
      <c r="BI45" s="41">
        <v>82</v>
      </c>
      <c r="BJ45" s="42">
        <f t="shared" si="49"/>
        <v>82</v>
      </c>
    </row>
    <row r="46" spans="1:62" s="38" customFormat="1" ht="15" customHeight="1" x14ac:dyDescent="0.3">
      <c r="A46" s="147"/>
      <c r="B46" s="39" t="s">
        <v>84</v>
      </c>
      <c r="C46" s="280">
        <v>59</v>
      </c>
      <c r="D46" s="281">
        <v>101</v>
      </c>
      <c r="E46" s="42">
        <v>160</v>
      </c>
      <c r="F46" s="280">
        <v>69</v>
      </c>
      <c r="G46" s="281">
        <v>114</v>
      </c>
      <c r="H46" s="42">
        <v>183</v>
      </c>
      <c r="I46" s="40">
        <v>59</v>
      </c>
      <c r="J46" s="41">
        <v>122</v>
      </c>
      <c r="K46" s="42">
        <v>181</v>
      </c>
      <c r="L46" s="40">
        <v>63</v>
      </c>
      <c r="M46" s="41">
        <v>121</v>
      </c>
      <c r="N46" s="42">
        <v>184</v>
      </c>
      <c r="O46" s="40">
        <v>75</v>
      </c>
      <c r="P46" s="41">
        <v>151</v>
      </c>
      <c r="Q46" s="42">
        <v>226</v>
      </c>
      <c r="R46" s="40">
        <v>80</v>
      </c>
      <c r="S46" s="41">
        <v>118</v>
      </c>
      <c r="T46" s="42">
        <v>198</v>
      </c>
      <c r="U46" s="40">
        <v>61</v>
      </c>
      <c r="V46" s="41">
        <v>116</v>
      </c>
      <c r="W46" s="42">
        <v>177</v>
      </c>
      <c r="X46" s="40">
        <v>61</v>
      </c>
      <c r="Y46" s="41">
        <v>121</v>
      </c>
      <c r="Z46" s="42">
        <f t="shared" si="0"/>
        <v>182</v>
      </c>
      <c r="AA46" s="43">
        <v>59</v>
      </c>
      <c r="AB46" s="41">
        <v>115</v>
      </c>
      <c r="AC46" s="42">
        <f t="shared" si="1"/>
        <v>174</v>
      </c>
      <c r="AD46" s="43">
        <v>66</v>
      </c>
      <c r="AE46" s="41">
        <v>108</v>
      </c>
      <c r="AF46" s="42">
        <f t="shared" si="2"/>
        <v>174</v>
      </c>
      <c r="AG46" s="43">
        <v>64</v>
      </c>
      <c r="AH46" s="41">
        <v>120</v>
      </c>
      <c r="AI46" s="42">
        <f t="shared" si="40"/>
        <v>184</v>
      </c>
      <c r="AJ46" s="43">
        <v>64</v>
      </c>
      <c r="AK46" s="41">
        <v>116</v>
      </c>
      <c r="AL46" s="42">
        <f t="shared" si="41"/>
        <v>180</v>
      </c>
      <c r="AM46" s="43">
        <v>60</v>
      </c>
      <c r="AN46" s="41">
        <v>118</v>
      </c>
      <c r="AO46" s="42">
        <f t="shared" si="42"/>
        <v>178</v>
      </c>
      <c r="AP46" s="43">
        <v>61</v>
      </c>
      <c r="AQ46" s="41">
        <v>121</v>
      </c>
      <c r="AR46" s="42">
        <f t="shared" si="43"/>
        <v>182</v>
      </c>
      <c r="AS46" s="43">
        <v>59</v>
      </c>
      <c r="AT46" s="41">
        <v>118</v>
      </c>
      <c r="AU46" s="42">
        <f t="shared" si="44"/>
        <v>177</v>
      </c>
      <c r="AV46" s="43">
        <v>62</v>
      </c>
      <c r="AW46" s="41">
        <v>124</v>
      </c>
      <c r="AX46" s="42">
        <f t="shared" si="45"/>
        <v>186</v>
      </c>
      <c r="AY46" s="43">
        <v>67</v>
      </c>
      <c r="AZ46" s="41">
        <v>110</v>
      </c>
      <c r="BA46" s="42">
        <f t="shared" si="46"/>
        <v>177</v>
      </c>
      <c r="BB46" s="43">
        <v>66</v>
      </c>
      <c r="BC46" s="41">
        <v>122</v>
      </c>
      <c r="BD46" s="42">
        <f t="shared" si="47"/>
        <v>188</v>
      </c>
      <c r="BE46" s="43">
        <v>69</v>
      </c>
      <c r="BF46" s="41">
        <v>125</v>
      </c>
      <c r="BG46" s="42">
        <f t="shared" si="48"/>
        <v>194</v>
      </c>
      <c r="BH46" s="43">
        <v>74</v>
      </c>
      <c r="BI46" s="41">
        <v>121</v>
      </c>
      <c r="BJ46" s="42">
        <f t="shared" si="49"/>
        <v>195</v>
      </c>
    </row>
    <row r="47" spans="1:62" s="38" customFormat="1" ht="15" customHeight="1" x14ac:dyDescent="0.3">
      <c r="A47" s="147"/>
      <c r="B47" s="45" t="s">
        <v>85</v>
      </c>
      <c r="C47" s="333"/>
      <c r="D47" s="282">
        <v>34</v>
      </c>
      <c r="E47" s="48">
        <v>34</v>
      </c>
      <c r="F47" s="379"/>
      <c r="G47" s="282">
        <v>41</v>
      </c>
      <c r="H47" s="48">
        <v>41</v>
      </c>
      <c r="I47" s="333"/>
      <c r="J47" s="50">
        <v>38</v>
      </c>
      <c r="K47" s="48">
        <v>38</v>
      </c>
      <c r="L47" s="333"/>
      <c r="M47" s="50">
        <v>38</v>
      </c>
      <c r="N47" s="48">
        <v>38</v>
      </c>
      <c r="O47" s="46"/>
      <c r="P47" s="50">
        <v>38</v>
      </c>
      <c r="Q47" s="48">
        <v>38</v>
      </c>
      <c r="R47" s="46"/>
      <c r="S47" s="50">
        <v>41</v>
      </c>
      <c r="T47" s="48">
        <v>41</v>
      </c>
      <c r="U47" s="46"/>
      <c r="V47" s="50">
        <v>41</v>
      </c>
      <c r="W47" s="48">
        <v>41</v>
      </c>
      <c r="X47" s="46"/>
      <c r="Y47" s="50">
        <v>39</v>
      </c>
      <c r="Z47" s="48">
        <f t="shared" si="0"/>
        <v>39</v>
      </c>
      <c r="AA47" s="51"/>
      <c r="AB47" s="50">
        <v>42</v>
      </c>
      <c r="AC47" s="48">
        <f t="shared" si="1"/>
        <v>42</v>
      </c>
      <c r="AD47" s="51"/>
      <c r="AE47" s="50">
        <v>44</v>
      </c>
      <c r="AF47" s="48">
        <f t="shared" si="2"/>
        <v>44</v>
      </c>
      <c r="AG47" s="51"/>
      <c r="AH47" s="50">
        <v>46</v>
      </c>
      <c r="AI47" s="48">
        <f t="shared" si="40"/>
        <v>46</v>
      </c>
      <c r="AJ47" s="51"/>
      <c r="AK47" s="50">
        <v>43</v>
      </c>
      <c r="AL47" s="48">
        <f t="shared" si="41"/>
        <v>43</v>
      </c>
      <c r="AM47" s="51"/>
      <c r="AN47" s="50">
        <v>41</v>
      </c>
      <c r="AO47" s="48">
        <f t="shared" si="42"/>
        <v>41</v>
      </c>
      <c r="AP47" s="51"/>
      <c r="AQ47" s="50">
        <v>48</v>
      </c>
      <c r="AR47" s="48">
        <f t="shared" si="43"/>
        <v>48</v>
      </c>
      <c r="AS47" s="51"/>
      <c r="AT47" s="50">
        <v>47</v>
      </c>
      <c r="AU47" s="48">
        <f t="shared" si="44"/>
        <v>47</v>
      </c>
      <c r="AV47" s="51"/>
      <c r="AW47" s="50">
        <v>55</v>
      </c>
      <c r="AX47" s="48">
        <f t="shared" si="45"/>
        <v>55</v>
      </c>
      <c r="AY47" s="51"/>
      <c r="AZ47" s="50">
        <v>45</v>
      </c>
      <c r="BA47" s="48">
        <f t="shared" si="46"/>
        <v>45</v>
      </c>
      <c r="BB47" s="51"/>
      <c r="BC47" s="50">
        <v>46</v>
      </c>
      <c r="BD47" s="48">
        <f t="shared" si="47"/>
        <v>46</v>
      </c>
      <c r="BE47" s="51"/>
      <c r="BF47" s="50">
        <v>30</v>
      </c>
      <c r="BG47" s="48">
        <f t="shared" si="48"/>
        <v>30</v>
      </c>
      <c r="BH47" s="51"/>
      <c r="BI47" s="50">
        <v>11</v>
      </c>
      <c r="BJ47" s="48">
        <f t="shared" si="49"/>
        <v>11</v>
      </c>
    </row>
    <row r="48" spans="1:62" s="38" customFormat="1" ht="15" customHeight="1" x14ac:dyDescent="0.3">
      <c r="A48" s="147"/>
      <c r="B48" s="64" t="s">
        <v>64</v>
      </c>
      <c r="C48" s="65">
        <f>SUM(C37:C47)</f>
        <v>159</v>
      </c>
      <c r="D48" s="375">
        <f t="shared" ref="D48:BD48" si="50">SUM(D37:D47)</f>
        <v>708</v>
      </c>
      <c r="E48" s="67">
        <f t="shared" si="50"/>
        <v>867</v>
      </c>
      <c r="F48" s="65">
        <f t="shared" si="50"/>
        <v>185</v>
      </c>
      <c r="G48" s="375">
        <f t="shared" si="50"/>
        <v>805</v>
      </c>
      <c r="H48" s="67">
        <f t="shared" si="50"/>
        <v>990</v>
      </c>
      <c r="I48" s="65">
        <f t="shared" si="50"/>
        <v>161</v>
      </c>
      <c r="J48" s="375">
        <f t="shared" si="50"/>
        <v>861</v>
      </c>
      <c r="K48" s="67">
        <f t="shared" si="50"/>
        <v>1022</v>
      </c>
      <c r="L48" s="65">
        <f t="shared" si="50"/>
        <v>183</v>
      </c>
      <c r="M48" s="375">
        <f t="shared" si="50"/>
        <v>852</v>
      </c>
      <c r="N48" s="67">
        <f t="shared" si="50"/>
        <v>1035</v>
      </c>
      <c r="O48" s="65">
        <f t="shared" si="50"/>
        <v>212</v>
      </c>
      <c r="P48" s="375">
        <f t="shared" si="50"/>
        <v>957</v>
      </c>
      <c r="Q48" s="67">
        <f t="shared" si="50"/>
        <v>1169</v>
      </c>
      <c r="R48" s="65">
        <f t="shared" si="50"/>
        <v>201</v>
      </c>
      <c r="S48" s="375">
        <f t="shared" si="50"/>
        <v>930</v>
      </c>
      <c r="T48" s="67">
        <f t="shared" si="50"/>
        <v>1131</v>
      </c>
      <c r="U48" s="65">
        <f t="shared" si="50"/>
        <v>182</v>
      </c>
      <c r="V48" s="375">
        <f t="shared" si="50"/>
        <v>896</v>
      </c>
      <c r="W48" s="67">
        <f t="shared" si="50"/>
        <v>1078</v>
      </c>
      <c r="X48" s="65">
        <f t="shared" si="50"/>
        <v>163</v>
      </c>
      <c r="Y48" s="375">
        <f t="shared" si="50"/>
        <v>940</v>
      </c>
      <c r="Z48" s="67">
        <f t="shared" si="50"/>
        <v>1103</v>
      </c>
      <c r="AA48" s="65">
        <f t="shared" si="50"/>
        <v>158</v>
      </c>
      <c r="AB48" s="375">
        <f t="shared" si="50"/>
        <v>917</v>
      </c>
      <c r="AC48" s="67">
        <f t="shared" si="50"/>
        <v>1075</v>
      </c>
      <c r="AD48" s="65">
        <f t="shared" si="50"/>
        <v>171</v>
      </c>
      <c r="AE48" s="375">
        <f t="shared" si="50"/>
        <v>921</v>
      </c>
      <c r="AF48" s="67">
        <f t="shared" si="50"/>
        <v>1092</v>
      </c>
      <c r="AG48" s="65">
        <f t="shared" si="50"/>
        <v>154</v>
      </c>
      <c r="AH48" s="375">
        <f t="shared" si="50"/>
        <v>941</v>
      </c>
      <c r="AI48" s="67">
        <f t="shared" si="50"/>
        <v>1095</v>
      </c>
      <c r="AJ48" s="65">
        <f t="shared" si="50"/>
        <v>153</v>
      </c>
      <c r="AK48" s="375">
        <f t="shared" si="50"/>
        <v>917</v>
      </c>
      <c r="AL48" s="67">
        <f t="shared" si="50"/>
        <v>1070</v>
      </c>
      <c r="AM48" s="65">
        <f t="shared" si="50"/>
        <v>134</v>
      </c>
      <c r="AN48" s="375">
        <f t="shared" si="50"/>
        <v>932</v>
      </c>
      <c r="AO48" s="67">
        <f t="shared" si="50"/>
        <v>1066</v>
      </c>
      <c r="AP48" s="65">
        <f t="shared" si="50"/>
        <v>141</v>
      </c>
      <c r="AQ48" s="66">
        <f t="shared" si="50"/>
        <v>987</v>
      </c>
      <c r="AR48" s="67">
        <f t="shared" si="50"/>
        <v>1128</v>
      </c>
      <c r="AS48" s="65">
        <f t="shared" si="50"/>
        <v>145</v>
      </c>
      <c r="AT48" s="66">
        <f t="shared" si="50"/>
        <v>966</v>
      </c>
      <c r="AU48" s="67">
        <f t="shared" si="50"/>
        <v>1111</v>
      </c>
      <c r="AV48" s="65">
        <f t="shared" si="50"/>
        <v>143</v>
      </c>
      <c r="AW48" s="66">
        <f t="shared" si="50"/>
        <v>1010</v>
      </c>
      <c r="AX48" s="67">
        <f t="shared" si="50"/>
        <v>1153</v>
      </c>
      <c r="AY48" s="65">
        <f t="shared" si="50"/>
        <v>146</v>
      </c>
      <c r="AZ48" s="66">
        <f t="shared" si="50"/>
        <v>941</v>
      </c>
      <c r="BA48" s="67">
        <f t="shared" si="50"/>
        <v>1087</v>
      </c>
      <c r="BB48" s="65">
        <f t="shared" si="50"/>
        <v>146</v>
      </c>
      <c r="BC48" s="66">
        <f t="shared" si="50"/>
        <v>927</v>
      </c>
      <c r="BD48" s="67">
        <f t="shared" si="50"/>
        <v>1073</v>
      </c>
      <c r="BE48" s="65">
        <f>SUM(BE37:BE47)</f>
        <v>161</v>
      </c>
      <c r="BF48" s="66">
        <f>SUM(BF37:BF47)</f>
        <v>909</v>
      </c>
      <c r="BG48" s="67">
        <f t="shared" ref="BG48" si="51">SUM(BG37:BG47)</f>
        <v>1070</v>
      </c>
      <c r="BH48" s="65">
        <f>SUM(BH37:BH47)</f>
        <v>169</v>
      </c>
      <c r="BI48" s="66">
        <f>SUM(BI37:BI47)</f>
        <v>840</v>
      </c>
      <c r="BJ48" s="67">
        <f t="shared" ref="BJ48" si="52">SUM(BJ37:BJ47)</f>
        <v>1009</v>
      </c>
    </row>
    <row r="49" spans="1:62" s="38" customFormat="1" ht="15" customHeight="1" x14ac:dyDescent="0.3">
      <c r="A49" s="147"/>
      <c r="B49" s="32" t="s">
        <v>86</v>
      </c>
      <c r="C49" s="278">
        <v>26</v>
      </c>
      <c r="D49" s="279">
        <v>47</v>
      </c>
      <c r="E49" s="35">
        <v>73</v>
      </c>
      <c r="F49" s="278">
        <v>29</v>
      </c>
      <c r="G49" s="279">
        <v>63</v>
      </c>
      <c r="H49" s="35">
        <v>92</v>
      </c>
      <c r="I49" s="33">
        <v>50</v>
      </c>
      <c r="J49" s="34">
        <v>67</v>
      </c>
      <c r="K49" s="35">
        <v>117</v>
      </c>
      <c r="L49" s="33">
        <v>72</v>
      </c>
      <c r="M49" s="34">
        <v>64</v>
      </c>
      <c r="N49" s="35">
        <v>136</v>
      </c>
      <c r="O49" s="33">
        <v>56</v>
      </c>
      <c r="P49" s="34">
        <v>77</v>
      </c>
      <c r="Q49" s="35">
        <v>133</v>
      </c>
      <c r="R49" s="33">
        <v>72</v>
      </c>
      <c r="S49" s="34">
        <v>80</v>
      </c>
      <c r="T49" s="35">
        <v>152</v>
      </c>
      <c r="U49" s="33">
        <v>82</v>
      </c>
      <c r="V49" s="34">
        <v>67</v>
      </c>
      <c r="W49" s="35">
        <v>149</v>
      </c>
      <c r="X49" s="33">
        <v>75</v>
      </c>
      <c r="Y49" s="34">
        <v>77</v>
      </c>
      <c r="Z49" s="35">
        <f t="shared" si="0"/>
        <v>152</v>
      </c>
      <c r="AA49" s="36">
        <v>73</v>
      </c>
      <c r="AB49" s="34">
        <v>65</v>
      </c>
      <c r="AC49" s="35">
        <f t="shared" si="1"/>
        <v>138</v>
      </c>
      <c r="AD49" s="36">
        <v>58</v>
      </c>
      <c r="AE49" s="34">
        <v>55</v>
      </c>
      <c r="AF49" s="35">
        <f t="shared" si="2"/>
        <v>113</v>
      </c>
      <c r="AG49" s="36">
        <v>64</v>
      </c>
      <c r="AH49" s="34">
        <v>65</v>
      </c>
      <c r="AI49" s="35">
        <f t="shared" ref="AI49:AI54" si="53">SUM(AG49:AH49)</f>
        <v>129</v>
      </c>
      <c r="AJ49" s="36">
        <v>68</v>
      </c>
      <c r="AK49" s="34">
        <v>63</v>
      </c>
      <c r="AL49" s="35">
        <f t="shared" ref="AL49:AL54" si="54">SUM(AJ49:AK49)</f>
        <v>131</v>
      </c>
      <c r="AM49" s="36">
        <v>60</v>
      </c>
      <c r="AN49" s="34">
        <v>62</v>
      </c>
      <c r="AO49" s="35">
        <f t="shared" ref="AO49:AO54" si="55">SUM(AM49:AN49)</f>
        <v>122</v>
      </c>
      <c r="AP49" s="36">
        <v>68</v>
      </c>
      <c r="AQ49" s="34">
        <v>66</v>
      </c>
      <c r="AR49" s="35">
        <f t="shared" ref="AR49:AR54" si="56">SUM(AP49:AQ49)</f>
        <v>134</v>
      </c>
      <c r="AS49" s="36">
        <v>45</v>
      </c>
      <c r="AT49" s="34">
        <v>56</v>
      </c>
      <c r="AU49" s="35">
        <f t="shared" ref="AU49:AU54" si="57">SUM(AS49:AT49)</f>
        <v>101</v>
      </c>
      <c r="AV49" s="36">
        <v>29</v>
      </c>
      <c r="AW49" s="34">
        <v>50</v>
      </c>
      <c r="AX49" s="35">
        <f t="shared" ref="AX49:AX54" si="58">SUM(AV49:AW49)</f>
        <v>79</v>
      </c>
      <c r="AY49" s="36">
        <v>25</v>
      </c>
      <c r="AZ49" s="34">
        <v>50</v>
      </c>
      <c r="BA49" s="35">
        <f t="shared" ref="BA49:BA54" si="59">SUM(AY49:AZ49)</f>
        <v>75</v>
      </c>
      <c r="BB49" s="36">
        <v>68</v>
      </c>
      <c r="BC49" s="34">
        <v>46</v>
      </c>
      <c r="BD49" s="35">
        <f t="shared" ref="BD49:BD54" si="60">SUM(BB49:BC49)</f>
        <v>114</v>
      </c>
      <c r="BE49" s="36">
        <v>60</v>
      </c>
      <c r="BF49" s="34">
        <v>51</v>
      </c>
      <c r="BG49" s="35">
        <f t="shared" ref="BG49:BG54" si="61">SUM(BE49:BF49)</f>
        <v>111</v>
      </c>
      <c r="BH49" s="36">
        <v>60</v>
      </c>
      <c r="BI49" s="34">
        <v>38</v>
      </c>
      <c r="BJ49" s="35">
        <f t="shared" ref="BJ49:BJ54" si="62">SUM(BH49:BI49)</f>
        <v>98</v>
      </c>
    </row>
    <row r="50" spans="1:62" s="38" customFormat="1" ht="15" customHeight="1" x14ac:dyDescent="0.3">
      <c r="A50" s="147"/>
      <c r="B50" s="39" t="s">
        <v>87</v>
      </c>
      <c r="C50" s="280">
        <v>40</v>
      </c>
      <c r="D50" s="281">
        <v>69</v>
      </c>
      <c r="E50" s="42">
        <v>109</v>
      </c>
      <c r="F50" s="280">
        <v>42</v>
      </c>
      <c r="G50" s="281">
        <v>53</v>
      </c>
      <c r="H50" s="42">
        <v>95</v>
      </c>
      <c r="I50" s="40">
        <v>32</v>
      </c>
      <c r="J50" s="41">
        <v>44</v>
      </c>
      <c r="K50" s="42">
        <v>76</v>
      </c>
      <c r="L50" s="40">
        <v>34</v>
      </c>
      <c r="M50" s="41">
        <v>43</v>
      </c>
      <c r="N50" s="42">
        <v>77</v>
      </c>
      <c r="O50" s="40">
        <v>34</v>
      </c>
      <c r="P50" s="41">
        <v>61</v>
      </c>
      <c r="Q50" s="42">
        <v>95</v>
      </c>
      <c r="R50" s="40">
        <v>46</v>
      </c>
      <c r="S50" s="41">
        <v>59</v>
      </c>
      <c r="T50" s="42">
        <v>105</v>
      </c>
      <c r="U50" s="40">
        <v>59</v>
      </c>
      <c r="V50" s="41">
        <v>46</v>
      </c>
      <c r="W50" s="42">
        <v>105</v>
      </c>
      <c r="X50" s="40">
        <v>37</v>
      </c>
      <c r="Y50" s="41">
        <v>49</v>
      </c>
      <c r="Z50" s="42">
        <f t="shared" si="0"/>
        <v>86</v>
      </c>
      <c r="AA50" s="43">
        <v>47</v>
      </c>
      <c r="AB50" s="41">
        <v>60</v>
      </c>
      <c r="AC50" s="42">
        <f t="shared" si="1"/>
        <v>107</v>
      </c>
      <c r="AD50" s="43">
        <v>56</v>
      </c>
      <c r="AE50" s="41">
        <v>56</v>
      </c>
      <c r="AF50" s="42">
        <f t="shared" si="2"/>
        <v>112</v>
      </c>
      <c r="AG50" s="43">
        <v>67</v>
      </c>
      <c r="AH50" s="41">
        <v>57</v>
      </c>
      <c r="AI50" s="42">
        <f t="shared" si="53"/>
        <v>124</v>
      </c>
      <c r="AJ50" s="43">
        <v>58</v>
      </c>
      <c r="AK50" s="41">
        <v>60</v>
      </c>
      <c r="AL50" s="42">
        <f t="shared" si="54"/>
        <v>118</v>
      </c>
      <c r="AM50" s="43">
        <v>51</v>
      </c>
      <c r="AN50" s="41">
        <v>58</v>
      </c>
      <c r="AO50" s="42">
        <f t="shared" si="55"/>
        <v>109</v>
      </c>
      <c r="AP50" s="43">
        <v>59</v>
      </c>
      <c r="AQ50" s="41">
        <v>63</v>
      </c>
      <c r="AR50" s="42">
        <f t="shared" si="56"/>
        <v>122</v>
      </c>
      <c r="AS50" s="43">
        <v>51</v>
      </c>
      <c r="AT50" s="41">
        <v>60</v>
      </c>
      <c r="AU50" s="42">
        <f t="shared" si="57"/>
        <v>111</v>
      </c>
      <c r="AV50" s="43">
        <v>21</v>
      </c>
      <c r="AW50" s="41">
        <v>37</v>
      </c>
      <c r="AX50" s="42">
        <f t="shared" si="58"/>
        <v>58</v>
      </c>
      <c r="AY50" s="43">
        <v>23</v>
      </c>
      <c r="AZ50" s="41">
        <v>40</v>
      </c>
      <c r="BA50" s="42">
        <f t="shared" si="59"/>
        <v>63</v>
      </c>
      <c r="BB50" s="43">
        <v>66</v>
      </c>
      <c r="BC50" s="41">
        <v>36</v>
      </c>
      <c r="BD50" s="42">
        <f t="shared" si="60"/>
        <v>102</v>
      </c>
      <c r="BE50" s="43">
        <v>59</v>
      </c>
      <c r="BF50" s="41">
        <v>43</v>
      </c>
      <c r="BG50" s="42">
        <f t="shared" si="61"/>
        <v>102</v>
      </c>
      <c r="BH50" s="43">
        <v>62</v>
      </c>
      <c r="BI50" s="41">
        <v>38</v>
      </c>
      <c r="BJ50" s="42">
        <f t="shared" si="62"/>
        <v>100</v>
      </c>
    </row>
    <row r="51" spans="1:62" s="38" customFormat="1" ht="15" customHeight="1" x14ac:dyDescent="0.3">
      <c r="A51" s="147"/>
      <c r="B51" s="39" t="s">
        <v>88</v>
      </c>
      <c r="C51" s="40"/>
      <c r="D51" s="281">
        <v>41</v>
      </c>
      <c r="E51" s="42">
        <v>41</v>
      </c>
      <c r="F51" s="293"/>
      <c r="G51" s="281">
        <v>28</v>
      </c>
      <c r="H51" s="42">
        <v>28</v>
      </c>
      <c r="I51" s="40"/>
      <c r="J51" s="41">
        <v>43</v>
      </c>
      <c r="K51" s="42">
        <v>43</v>
      </c>
      <c r="L51" s="40"/>
      <c r="M51" s="41">
        <v>46</v>
      </c>
      <c r="N51" s="42">
        <v>46</v>
      </c>
      <c r="O51" s="40"/>
      <c r="P51" s="41">
        <v>45</v>
      </c>
      <c r="Q51" s="42">
        <v>45</v>
      </c>
      <c r="R51" s="40"/>
      <c r="S51" s="41">
        <v>49</v>
      </c>
      <c r="T51" s="42">
        <v>49</v>
      </c>
      <c r="U51" s="40"/>
      <c r="V51" s="41">
        <v>73</v>
      </c>
      <c r="W51" s="42">
        <v>73</v>
      </c>
      <c r="X51" s="40">
        <v>48</v>
      </c>
      <c r="Y51" s="41">
        <v>51</v>
      </c>
      <c r="Z51" s="42">
        <f t="shared" si="0"/>
        <v>99</v>
      </c>
      <c r="AA51" s="43">
        <v>50</v>
      </c>
      <c r="AB51" s="41">
        <v>56</v>
      </c>
      <c r="AC51" s="42">
        <f t="shared" si="1"/>
        <v>106</v>
      </c>
      <c r="AD51" s="43">
        <v>50</v>
      </c>
      <c r="AE51" s="41">
        <v>50</v>
      </c>
      <c r="AF51" s="42">
        <f t="shared" si="2"/>
        <v>100</v>
      </c>
      <c r="AG51" s="43">
        <v>50</v>
      </c>
      <c r="AH51" s="41">
        <v>60</v>
      </c>
      <c r="AI51" s="42">
        <f t="shared" si="53"/>
        <v>110</v>
      </c>
      <c r="AJ51" s="43">
        <v>43</v>
      </c>
      <c r="AK51" s="41">
        <v>46</v>
      </c>
      <c r="AL51" s="42">
        <f t="shared" si="54"/>
        <v>89</v>
      </c>
      <c r="AM51" s="43">
        <v>42</v>
      </c>
      <c r="AN51" s="41">
        <v>43</v>
      </c>
      <c r="AO51" s="42">
        <f t="shared" si="55"/>
        <v>85</v>
      </c>
      <c r="AP51" s="43">
        <v>24</v>
      </c>
      <c r="AQ51" s="41">
        <v>44</v>
      </c>
      <c r="AR51" s="42">
        <f t="shared" si="56"/>
        <v>68</v>
      </c>
      <c r="AS51" s="43">
        <v>25</v>
      </c>
      <c r="AT51" s="41">
        <v>35</v>
      </c>
      <c r="AU51" s="42">
        <f t="shared" si="57"/>
        <v>60</v>
      </c>
      <c r="AV51" s="43">
        <v>19</v>
      </c>
      <c r="AW51" s="41">
        <v>31</v>
      </c>
      <c r="AX51" s="42">
        <f t="shared" si="58"/>
        <v>50</v>
      </c>
      <c r="AY51" s="43">
        <v>25</v>
      </c>
      <c r="AZ51" s="41">
        <v>34</v>
      </c>
      <c r="BA51" s="42">
        <f t="shared" si="59"/>
        <v>59</v>
      </c>
      <c r="BB51" s="43">
        <v>29</v>
      </c>
      <c r="BC51" s="41">
        <v>29</v>
      </c>
      <c r="BD51" s="42">
        <f t="shared" si="60"/>
        <v>58</v>
      </c>
      <c r="BE51" s="43">
        <v>27</v>
      </c>
      <c r="BF51" s="41">
        <v>19</v>
      </c>
      <c r="BG51" s="42">
        <f t="shared" si="61"/>
        <v>46</v>
      </c>
      <c r="BH51" s="43">
        <v>36</v>
      </c>
      <c r="BI51" s="41">
        <v>15</v>
      </c>
      <c r="BJ51" s="42">
        <f t="shared" si="62"/>
        <v>51</v>
      </c>
    </row>
    <row r="52" spans="1:62" s="38" customFormat="1" ht="15" customHeight="1" x14ac:dyDescent="0.3">
      <c r="A52" s="147"/>
      <c r="B52" s="39" t="s">
        <v>89</v>
      </c>
      <c r="C52" s="40"/>
      <c r="D52" s="281">
        <v>13</v>
      </c>
      <c r="E52" s="42">
        <v>13</v>
      </c>
      <c r="F52" s="293"/>
      <c r="G52" s="281">
        <v>19</v>
      </c>
      <c r="H52" s="42">
        <v>19</v>
      </c>
      <c r="I52" s="40"/>
      <c r="J52" s="41">
        <v>20</v>
      </c>
      <c r="K52" s="42">
        <v>20</v>
      </c>
      <c r="L52" s="40"/>
      <c r="M52" s="41">
        <v>16</v>
      </c>
      <c r="N52" s="42">
        <v>16</v>
      </c>
      <c r="O52" s="40"/>
      <c r="P52" s="41">
        <v>28</v>
      </c>
      <c r="Q52" s="42">
        <v>28</v>
      </c>
      <c r="R52" s="40"/>
      <c r="S52" s="41">
        <v>31</v>
      </c>
      <c r="T52" s="42">
        <v>31</v>
      </c>
      <c r="U52" s="40"/>
      <c r="V52" s="41">
        <v>41</v>
      </c>
      <c r="W52" s="42">
        <v>41</v>
      </c>
      <c r="X52" s="40">
        <v>35</v>
      </c>
      <c r="Y52" s="41">
        <v>59</v>
      </c>
      <c r="Z52" s="42">
        <f t="shared" si="0"/>
        <v>94</v>
      </c>
      <c r="AA52" s="43">
        <v>41</v>
      </c>
      <c r="AB52" s="41">
        <v>34</v>
      </c>
      <c r="AC52" s="42">
        <f t="shared" si="1"/>
        <v>75</v>
      </c>
      <c r="AD52" s="43">
        <v>39</v>
      </c>
      <c r="AE52" s="41">
        <v>49</v>
      </c>
      <c r="AF52" s="42">
        <f t="shared" si="2"/>
        <v>88</v>
      </c>
      <c r="AG52" s="43">
        <v>39</v>
      </c>
      <c r="AH52" s="41">
        <v>49</v>
      </c>
      <c r="AI52" s="42">
        <f t="shared" si="53"/>
        <v>88</v>
      </c>
      <c r="AJ52" s="43">
        <v>35</v>
      </c>
      <c r="AK52" s="41">
        <v>37</v>
      </c>
      <c r="AL52" s="42">
        <f t="shared" si="54"/>
        <v>72</v>
      </c>
      <c r="AM52" s="43">
        <v>26</v>
      </c>
      <c r="AN52" s="41">
        <v>22</v>
      </c>
      <c r="AO52" s="42">
        <f t="shared" si="55"/>
        <v>48</v>
      </c>
      <c r="AP52" s="43">
        <v>19</v>
      </c>
      <c r="AQ52" s="41">
        <v>20</v>
      </c>
      <c r="AR52" s="42">
        <f t="shared" si="56"/>
        <v>39</v>
      </c>
      <c r="AS52" s="43">
        <v>18</v>
      </c>
      <c r="AT52" s="41">
        <v>22</v>
      </c>
      <c r="AU52" s="42">
        <f t="shared" si="57"/>
        <v>40</v>
      </c>
      <c r="AV52" s="43">
        <v>17</v>
      </c>
      <c r="AW52" s="41">
        <v>30</v>
      </c>
      <c r="AX52" s="42">
        <f t="shared" si="58"/>
        <v>47</v>
      </c>
      <c r="AY52" s="43">
        <v>18</v>
      </c>
      <c r="AZ52" s="41">
        <v>25</v>
      </c>
      <c r="BA52" s="42">
        <f t="shared" si="59"/>
        <v>43</v>
      </c>
      <c r="BB52" s="43">
        <v>20</v>
      </c>
      <c r="BC52" s="41">
        <v>17</v>
      </c>
      <c r="BD52" s="42">
        <f t="shared" si="60"/>
        <v>37</v>
      </c>
      <c r="BE52" s="43">
        <v>23</v>
      </c>
      <c r="BF52" s="41">
        <v>15</v>
      </c>
      <c r="BG52" s="42">
        <f t="shared" si="61"/>
        <v>38</v>
      </c>
      <c r="BH52" s="43">
        <v>10</v>
      </c>
      <c r="BI52" s="41">
        <v>22</v>
      </c>
      <c r="BJ52" s="42">
        <f t="shared" si="62"/>
        <v>32</v>
      </c>
    </row>
    <row r="53" spans="1:62" s="38" customFormat="1" ht="15" customHeight="1" x14ac:dyDescent="0.3">
      <c r="A53" s="147"/>
      <c r="B53" s="39" t="s">
        <v>90</v>
      </c>
      <c r="C53" s="280">
        <v>48</v>
      </c>
      <c r="D53" s="281">
        <v>58</v>
      </c>
      <c r="E53" s="42">
        <v>106</v>
      </c>
      <c r="F53" s="280">
        <v>37</v>
      </c>
      <c r="G53" s="281">
        <v>84</v>
      </c>
      <c r="H53" s="42">
        <v>121</v>
      </c>
      <c r="I53" s="40">
        <v>45</v>
      </c>
      <c r="J53" s="41">
        <v>60</v>
      </c>
      <c r="K53" s="42">
        <v>105</v>
      </c>
      <c r="L53" s="40">
        <v>48</v>
      </c>
      <c r="M53" s="41">
        <v>89</v>
      </c>
      <c r="N53" s="42">
        <v>137</v>
      </c>
      <c r="O53" s="40">
        <v>41</v>
      </c>
      <c r="P53" s="41">
        <v>87</v>
      </c>
      <c r="Q53" s="42">
        <v>128</v>
      </c>
      <c r="R53" s="40">
        <v>57</v>
      </c>
      <c r="S53" s="41">
        <v>83</v>
      </c>
      <c r="T53" s="42">
        <v>140</v>
      </c>
      <c r="U53" s="40">
        <v>99</v>
      </c>
      <c r="V53" s="41">
        <v>89</v>
      </c>
      <c r="W53" s="42">
        <v>188</v>
      </c>
      <c r="X53" s="40">
        <v>78</v>
      </c>
      <c r="Y53" s="41">
        <v>95</v>
      </c>
      <c r="Z53" s="42">
        <f t="shared" si="0"/>
        <v>173</v>
      </c>
      <c r="AA53" s="43">
        <v>85</v>
      </c>
      <c r="AB53" s="41">
        <v>96</v>
      </c>
      <c r="AC53" s="42">
        <f t="shared" si="1"/>
        <v>181</v>
      </c>
      <c r="AD53" s="43">
        <v>98</v>
      </c>
      <c r="AE53" s="41">
        <v>98</v>
      </c>
      <c r="AF53" s="42">
        <f t="shared" si="2"/>
        <v>196</v>
      </c>
      <c r="AG53" s="43">
        <v>77</v>
      </c>
      <c r="AH53" s="41">
        <v>95</v>
      </c>
      <c r="AI53" s="42">
        <f t="shared" si="53"/>
        <v>172</v>
      </c>
      <c r="AJ53" s="43">
        <v>73</v>
      </c>
      <c r="AK53" s="41">
        <v>84</v>
      </c>
      <c r="AL53" s="42">
        <f t="shared" si="54"/>
        <v>157</v>
      </c>
      <c r="AM53" s="43">
        <v>61</v>
      </c>
      <c r="AN53" s="41">
        <v>95</v>
      </c>
      <c r="AO53" s="42">
        <f t="shared" si="55"/>
        <v>156</v>
      </c>
      <c r="AP53" s="43">
        <v>67</v>
      </c>
      <c r="AQ53" s="41">
        <v>97</v>
      </c>
      <c r="AR53" s="42">
        <f t="shared" si="56"/>
        <v>164</v>
      </c>
      <c r="AS53" s="43">
        <v>86</v>
      </c>
      <c r="AT53" s="41">
        <v>98</v>
      </c>
      <c r="AU53" s="42">
        <f t="shared" si="57"/>
        <v>184</v>
      </c>
      <c r="AV53" s="43">
        <v>76</v>
      </c>
      <c r="AW53" s="41">
        <v>66</v>
      </c>
      <c r="AX53" s="42">
        <f t="shared" si="58"/>
        <v>142</v>
      </c>
      <c r="AY53" s="43">
        <v>78</v>
      </c>
      <c r="AZ53" s="41">
        <v>76</v>
      </c>
      <c r="BA53" s="42">
        <f t="shared" si="59"/>
        <v>154</v>
      </c>
      <c r="BB53" s="43">
        <v>77</v>
      </c>
      <c r="BC53" s="41">
        <v>79</v>
      </c>
      <c r="BD53" s="42">
        <f t="shared" si="60"/>
        <v>156</v>
      </c>
      <c r="BE53" s="43">
        <v>91</v>
      </c>
      <c r="BF53" s="41">
        <v>79</v>
      </c>
      <c r="BG53" s="42">
        <f t="shared" si="61"/>
        <v>170</v>
      </c>
      <c r="BH53" s="43">
        <v>76</v>
      </c>
      <c r="BI53" s="41">
        <v>72</v>
      </c>
      <c r="BJ53" s="42">
        <f t="shared" si="62"/>
        <v>148</v>
      </c>
    </row>
    <row r="54" spans="1:62" s="38" customFormat="1" ht="15" customHeight="1" x14ac:dyDescent="0.3">
      <c r="A54" s="147"/>
      <c r="B54" s="45" t="s">
        <v>91</v>
      </c>
      <c r="C54" s="283">
        <v>44</v>
      </c>
      <c r="D54" s="282">
        <v>68</v>
      </c>
      <c r="E54" s="48">
        <v>112</v>
      </c>
      <c r="F54" s="283">
        <v>59</v>
      </c>
      <c r="G54" s="282">
        <v>107</v>
      </c>
      <c r="H54" s="48">
        <v>166</v>
      </c>
      <c r="I54" s="46">
        <v>51</v>
      </c>
      <c r="J54" s="50">
        <v>93</v>
      </c>
      <c r="K54" s="48">
        <v>144</v>
      </c>
      <c r="L54" s="46">
        <v>88</v>
      </c>
      <c r="M54" s="50">
        <v>108</v>
      </c>
      <c r="N54" s="48">
        <v>196</v>
      </c>
      <c r="O54" s="46">
        <v>70</v>
      </c>
      <c r="P54" s="50">
        <v>94</v>
      </c>
      <c r="Q54" s="48">
        <v>164</v>
      </c>
      <c r="R54" s="46">
        <v>80</v>
      </c>
      <c r="S54" s="50">
        <v>99</v>
      </c>
      <c r="T54" s="48">
        <v>179</v>
      </c>
      <c r="U54" s="46">
        <v>106</v>
      </c>
      <c r="V54" s="50">
        <v>91</v>
      </c>
      <c r="W54" s="48">
        <v>197</v>
      </c>
      <c r="X54" s="46">
        <v>100</v>
      </c>
      <c r="Y54" s="50">
        <v>99</v>
      </c>
      <c r="Z54" s="48">
        <f t="shared" si="0"/>
        <v>199</v>
      </c>
      <c r="AA54" s="51">
        <v>95</v>
      </c>
      <c r="AB54" s="50">
        <v>104</v>
      </c>
      <c r="AC54" s="48">
        <f t="shared" si="1"/>
        <v>199</v>
      </c>
      <c r="AD54" s="51">
        <v>98</v>
      </c>
      <c r="AE54" s="50">
        <v>97</v>
      </c>
      <c r="AF54" s="48">
        <f t="shared" si="2"/>
        <v>195</v>
      </c>
      <c r="AG54" s="51">
        <v>85</v>
      </c>
      <c r="AH54" s="50">
        <v>98</v>
      </c>
      <c r="AI54" s="48">
        <f t="shared" si="53"/>
        <v>183</v>
      </c>
      <c r="AJ54" s="51">
        <v>73</v>
      </c>
      <c r="AK54" s="50">
        <v>95</v>
      </c>
      <c r="AL54" s="48">
        <f t="shared" si="54"/>
        <v>168</v>
      </c>
      <c r="AM54" s="51">
        <v>58</v>
      </c>
      <c r="AN54" s="50">
        <v>97</v>
      </c>
      <c r="AO54" s="48">
        <f t="shared" si="55"/>
        <v>155</v>
      </c>
      <c r="AP54" s="51">
        <v>42</v>
      </c>
      <c r="AQ54" s="50">
        <v>94</v>
      </c>
      <c r="AR54" s="48">
        <f t="shared" si="56"/>
        <v>136</v>
      </c>
      <c r="AS54" s="51">
        <v>61</v>
      </c>
      <c r="AT54" s="50">
        <v>97</v>
      </c>
      <c r="AU54" s="48">
        <f t="shared" si="57"/>
        <v>158</v>
      </c>
      <c r="AV54" s="51">
        <v>63</v>
      </c>
      <c r="AW54" s="50">
        <v>64</v>
      </c>
      <c r="AX54" s="48">
        <f t="shared" si="58"/>
        <v>127</v>
      </c>
      <c r="AY54" s="51">
        <v>60</v>
      </c>
      <c r="AZ54" s="50">
        <v>64</v>
      </c>
      <c r="BA54" s="48">
        <f t="shared" si="59"/>
        <v>124</v>
      </c>
      <c r="BB54" s="51">
        <v>53</v>
      </c>
      <c r="BC54" s="50">
        <v>57</v>
      </c>
      <c r="BD54" s="48">
        <f t="shared" si="60"/>
        <v>110</v>
      </c>
      <c r="BE54" s="51">
        <v>55</v>
      </c>
      <c r="BF54" s="50">
        <v>61</v>
      </c>
      <c r="BG54" s="48">
        <f t="shared" si="61"/>
        <v>116</v>
      </c>
      <c r="BH54" s="51">
        <v>75</v>
      </c>
      <c r="BI54" s="50">
        <v>70</v>
      </c>
      <c r="BJ54" s="48">
        <f t="shared" si="62"/>
        <v>145</v>
      </c>
    </row>
    <row r="55" spans="1:62" s="38" customFormat="1" ht="15" customHeight="1" x14ac:dyDescent="0.3">
      <c r="A55" s="147"/>
      <c r="B55" s="287" t="s">
        <v>92</v>
      </c>
      <c r="C55" s="288">
        <f>SUM(C49:C54)</f>
        <v>158</v>
      </c>
      <c r="D55" s="289">
        <f t="shared" ref="D55:BD55" si="63">SUM(D49:D54)</f>
        <v>296</v>
      </c>
      <c r="E55" s="203">
        <f t="shared" si="63"/>
        <v>454</v>
      </c>
      <c r="F55" s="288">
        <f t="shared" si="63"/>
        <v>167</v>
      </c>
      <c r="G55" s="289">
        <f t="shared" si="63"/>
        <v>354</v>
      </c>
      <c r="H55" s="203">
        <f t="shared" si="63"/>
        <v>521</v>
      </c>
      <c r="I55" s="288">
        <f t="shared" si="63"/>
        <v>178</v>
      </c>
      <c r="J55" s="289">
        <f t="shared" si="63"/>
        <v>327</v>
      </c>
      <c r="K55" s="203">
        <f t="shared" si="63"/>
        <v>505</v>
      </c>
      <c r="L55" s="288">
        <f t="shared" si="63"/>
        <v>242</v>
      </c>
      <c r="M55" s="289">
        <f t="shared" si="63"/>
        <v>366</v>
      </c>
      <c r="N55" s="203">
        <f t="shared" si="63"/>
        <v>608</v>
      </c>
      <c r="O55" s="288">
        <f t="shared" si="63"/>
        <v>201</v>
      </c>
      <c r="P55" s="289">
        <f t="shared" si="63"/>
        <v>392</v>
      </c>
      <c r="Q55" s="203">
        <f t="shared" si="63"/>
        <v>593</v>
      </c>
      <c r="R55" s="288">
        <f t="shared" si="63"/>
        <v>255</v>
      </c>
      <c r="S55" s="289">
        <f t="shared" si="63"/>
        <v>401</v>
      </c>
      <c r="T55" s="203">
        <f t="shared" si="63"/>
        <v>656</v>
      </c>
      <c r="U55" s="288">
        <f t="shared" si="63"/>
        <v>346</v>
      </c>
      <c r="V55" s="289">
        <f t="shared" si="63"/>
        <v>407</v>
      </c>
      <c r="W55" s="203">
        <f t="shared" si="63"/>
        <v>753</v>
      </c>
      <c r="X55" s="288">
        <f t="shared" si="63"/>
        <v>373</v>
      </c>
      <c r="Y55" s="289">
        <f t="shared" si="63"/>
        <v>430</v>
      </c>
      <c r="Z55" s="203">
        <f t="shared" si="63"/>
        <v>803</v>
      </c>
      <c r="AA55" s="288">
        <f t="shared" si="63"/>
        <v>391</v>
      </c>
      <c r="AB55" s="289">
        <f t="shared" si="63"/>
        <v>415</v>
      </c>
      <c r="AC55" s="203">
        <f t="shared" si="63"/>
        <v>806</v>
      </c>
      <c r="AD55" s="288">
        <f t="shared" si="63"/>
        <v>399</v>
      </c>
      <c r="AE55" s="289">
        <f t="shared" si="63"/>
        <v>405</v>
      </c>
      <c r="AF55" s="203">
        <f t="shared" si="63"/>
        <v>804</v>
      </c>
      <c r="AG55" s="288">
        <f t="shared" si="63"/>
        <v>382</v>
      </c>
      <c r="AH55" s="289">
        <f t="shared" si="63"/>
        <v>424</v>
      </c>
      <c r="AI55" s="203">
        <f t="shared" si="63"/>
        <v>806</v>
      </c>
      <c r="AJ55" s="288">
        <f t="shared" si="63"/>
        <v>350</v>
      </c>
      <c r="AK55" s="289">
        <f t="shared" si="63"/>
        <v>385</v>
      </c>
      <c r="AL55" s="203">
        <f t="shared" si="63"/>
        <v>735</v>
      </c>
      <c r="AM55" s="288">
        <f t="shared" si="63"/>
        <v>298</v>
      </c>
      <c r="AN55" s="289">
        <f t="shared" si="63"/>
        <v>377</v>
      </c>
      <c r="AO55" s="203">
        <f t="shared" si="63"/>
        <v>675</v>
      </c>
      <c r="AP55" s="288">
        <f t="shared" si="63"/>
        <v>279</v>
      </c>
      <c r="AQ55" s="289">
        <f t="shared" si="63"/>
        <v>384</v>
      </c>
      <c r="AR55" s="203">
        <f t="shared" si="63"/>
        <v>663</v>
      </c>
      <c r="AS55" s="288">
        <f t="shared" si="63"/>
        <v>286</v>
      </c>
      <c r="AT55" s="289">
        <f t="shared" si="63"/>
        <v>368</v>
      </c>
      <c r="AU55" s="203">
        <f t="shared" si="63"/>
        <v>654</v>
      </c>
      <c r="AV55" s="288">
        <f t="shared" si="63"/>
        <v>225</v>
      </c>
      <c r="AW55" s="289">
        <f t="shared" si="63"/>
        <v>278</v>
      </c>
      <c r="AX55" s="203">
        <f t="shared" si="63"/>
        <v>503</v>
      </c>
      <c r="AY55" s="288">
        <f t="shared" si="63"/>
        <v>229</v>
      </c>
      <c r="AZ55" s="289">
        <f t="shared" si="63"/>
        <v>289</v>
      </c>
      <c r="BA55" s="203">
        <f t="shared" si="63"/>
        <v>518</v>
      </c>
      <c r="BB55" s="288">
        <f t="shared" si="63"/>
        <v>313</v>
      </c>
      <c r="BC55" s="289">
        <f t="shared" si="63"/>
        <v>264</v>
      </c>
      <c r="BD55" s="203">
        <f t="shared" si="63"/>
        <v>577</v>
      </c>
      <c r="BE55" s="288">
        <f t="shared" ref="BE55:BG55" si="64">SUM(BE49:BE54)</f>
        <v>315</v>
      </c>
      <c r="BF55" s="289">
        <f t="shared" si="64"/>
        <v>268</v>
      </c>
      <c r="BG55" s="203">
        <f t="shared" si="64"/>
        <v>583</v>
      </c>
      <c r="BH55" s="288">
        <f t="shared" ref="BH55:BJ55" si="65">SUM(BH49:BH54)</f>
        <v>319</v>
      </c>
      <c r="BI55" s="289">
        <f t="shared" si="65"/>
        <v>255</v>
      </c>
      <c r="BJ55" s="203">
        <f t="shared" si="65"/>
        <v>574</v>
      </c>
    </row>
    <row r="56" spans="1:62" s="38" customFormat="1" ht="15" customHeight="1" x14ac:dyDescent="0.3">
      <c r="A56" s="147"/>
      <c r="B56" s="84" t="s">
        <v>93</v>
      </c>
      <c r="C56" s="85">
        <f>SUM(C55,C48,C36)</f>
        <v>612</v>
      </c>
      <c r="D56" s="86">
        <f t="shared" ref="D56:BD56" si="66">SUM(D55,D48,D36)</f>
        <v>1366</v>
      </c>
      <c r="E56" s="87">
        <f t="shared" si="66"/>
        <v>1978</v>
      </c>
      <c r="F56" s="85">
        <f t="shared" si="66"/>
        <v>616</v>
      </c>
      <c r="G56" s="86">
        <f t="shared" si="66"/>
        <v>1576</v>
      </c>
      <c r="H56" s="87">
        <f t="shared" si="66"/>
        <v>2192</v>
      </c>
      <c r="I56" s="85">
        <f t="shared" si="66"/>
        <v>629</v>
      </c>
      <c r="J56" s="86">
        <f t="shared" si="66"/>
        <v>1625</v>
      </c>
      <c r="K56" s="87">
        <f t="shared" si="66"/>
        <v>2254</v>
      </c>
      <c r="L56" s="85">
        <f t="shared" si="66"/>
        <v>782</v>
      </c>
      <c r="M56" s="86">
        <f t="shared" si="66"/>
        <v>1604</v>
      </c>
      <c r="N56" s="87">
        <f t="shared" si="66"/>
        <v>2386</v>
      </c>
      <c r="O56" s="85">
        <f t="shared" si="66"/>
        <v>681</v>
      </c>
      <c r="P56" s="86">
        <f t="shared" si="66"/>
        <v>1704</v>
      </c>
      <c r="Q56" s="87">
        <f t="shared" si="66"/>
        <v>2385</v>
      </c>
      <c r="R56" s="85">
        <f t="shared" si="66"/>
        <v>737</v>
      </c>
      <c r="S56" s="86">
        <f t="shared" si="66"/>
        <v>1830</v>
      </c>
      <c r="T56" s="87">
        <f t="shared" si="66"/>
        <v>2567</v>
      </c>
      <c r="U56" s="85">
        <f t="shared" si="66"/>
        <v>748</v>
      </c>
      <c r="V56" s="86">
        <f t="shared" si="66"/>
        <v>1731</v>
      </c>
      <c r="W56" s="87">
        <f t="shared" si="66"/>
        <v>2479</v>
      </c>
      <c r="X56" s="85">
        <f t="shared" si="66"/>
        <v>652</v>
      </c>
      <c r="Y56" s="86">
        <f t="shared" si="66"/>
        <v>2024</v>
      </c>
      <c r="Z56" s="87">
        <f t="shared" si="66"/>
        <v>2676</v>
      </c>
      <c r="AA56" s="85">
        <f t="shared" si="66"/>
        <v>735</v>
      </c>
      <c r="AB56" s="86">
        <f t="shared" si="66"/>
        <v>1954</v>
      </c>
      <c r="AC56" s="87">
        <f t="shared" si="66"/>
        <v>2689</v>
      </c>
      <c r="AD56" s="85">
        <f t="shared" si="66"/>
        <v>754</v>
      </c>
      <c r="AE56" s="86">
        <f t="shared" si="66"/>
        <v>1980</v>
      </c>
      <c r="AF56" s="87">
        <f t="shared" si="66"/>
        <v>2734</v>
      </c>
      <c r="AG56" s="85">
        <f t="shared" si="66"/>
        <v>763</v>
      </c>
      <c r="AH56" s="86">
        <f t="shared" si="66"/>
        <v>2119</v>
      </c>
      <c r="AI56" s="87">
        <f t="shared" si="66"/>
        <v>2882</v>
      </c>
      <c r="AJ56" s="85">
        <f t="shared" si="66"/>
        <v>683</v>
      </c>
      <c r="AK56" s="86">
        <f t="shared" si="66"/>
        <v>1934</v>
      </c>
      <c r="AL56" s="87">
        <f t="shared" si="66"/>
        <v>2617</v>
      </c>
      <c r="AM56" s="85">
        <f t="shared" si="66"/>
        <v>608</v>
      </c>
      <c r="AN56" s="86">
        <f t="shared" si="66"/>
        <v>1935</v>
      </c>
      <c r="AO56" s="87">
        <f t="shared" si="66"/>
        <v>2543</v>
      </c>
      <c r="AP56" s="85">
        <f t="shared" si="66"/>
        <v>559</v>
      </c>
      <c r="AQ56" s="86">
        <f t="shared" si="66"/>
        <v>2059</v>
      </c>
      <c r="AR56" s="87">
        <f t="shared" si="66"/>
        <v>2618</v>
      </c>
      <c r="AS56" s="85">
        <f t="shared" si="66"/>
        <v>431</v>
      </c>
      <c r="AT56" s="86">
        <f t="shared" si="66"/>
        <v>1960</v>
      </c>
      <c r="AU56" s="87">
        <f t="shared" si="66"/>
        <v>2391</v>
      </c>
      <c r="AV56" s="85">
        <f t="shared" si="66"/>
        <v>368</v>
      </c>
      <c r="AW56" s="86">
        <f t="shared" si="66"/>
        <v>1939</v>
      </c>
      <c r="AX56" s="87">
        <f t="shared" si="66"/>
        <v>2307</v>
      </c>
      <c r="AY56" s="85">
        <f t="shared" si="66"/>
        <v>375</v>
      </c>
      <c r="AZ56" s="86">
        <f t="shared" si="66"/>
        <v>1980</v>
      </c>
      <c r="BA56" s="87">
        <f t="shared" si="66"/>
        <v>2355</v>
      </c>
      <c r="BB56" s="85">
        <f t="shared" si="66"/>
        <v>459</v>
      </c>
      <c r="BC56" s="86">
        <f t="shared" si="66"/>
        <v>1878</v>
      </c>
      <c r="BD56" s="87">
        <f t="shared" si="66"/>
        <v>2337</v>
      </c>
      <c r="BE56" s="85">
        <f t="shared" ref="BE56:BG56" si="67">SUM(BE55,BE48,BE36)</f>
        <v>476</v>
      </c>
      <c r="BF56" s="86">
        <f t="shared" si="67"/>
        <v>1687</v>
      </c>
      <c r="BG56" s="87">
        <f t="shared" si="67"/>
        <v>2163</v>
      </c>
      <c r="BH56" s="85">
        <f t="shared" ref="BH56:BJ56" si="68">SUM(BH55,BH48,BH36)</f>
        <v>488</v>
      </c>
      <c r="BI56" s="86">
        <f t="shared" si="68"/>
        <v>1758</v>
      </c>
      <c r="BJ56" s="87">
        <f t="shared" si="68"/>
        <v>2246</v>
      </c>
    </row>
    <row r="57" spans="1:62" s="38" customFormat="1" ht="15" customHeight="1" x14ac:dyDescent="0.3">
      <c r="A57" s="147"/>
      <c r="B57" s="74" t="s">
        <v>60</v>
      </c>
      <c r="C57" s="376">
        <v>89</v>
      </c>
      <c r="D57" s="377">
        <v>94</v>
      </c>
      <c r="E57" s="77">
        <v>183</v>
      </c>
      <c r="F57" s="376">
        <v>115</v>
      </c>
      <c r="G57" s="377">
        <v>104</v>
      </c>
      <c r="H57" s="77">
        <v>219</v>
      </c>
      <c r="I57" s="75">
        <v>117</v>
      </c>
      <c r="J57" s="76">
        <v>87</v>
      </c>
      <c r="K57" s="77">
        <v>204</v>
      </c>
      <c r="L57" s="75">
        <v>89</v>
      </c>
      <c r="M57" s="76">
        <v>83</v>
      </c>
      <c r="N57" s="77">
        <v>172</v>
      </c>
      <c r="O57" s="75">
        <v>135</v>
      </c>
      <c r="P57" s="76">
        <v>96</v>
      </c>
      <c r="Q57" s="77">
        <v>231</v>
      </c>
      <c r="R57" s="75">
        <v>112</v>
      </c>
      <c r="S57" s="76">
        <v>103</v>
      </c>
      <c r="T57" s="77">
        <v>215</v>
      </c>
      <c r="U57" s="75">
        <v>99</v>
      </c>
      <c r="V57" s="76">
        <v>86</v>
      </c>
      <c r="W57" s="77">
        <v>185</v>
      </c>
      <c r="X57" s="75">
        <v>102</v>
      </c>
      <c r="Y57" s="76">
        <v>101</v>
      </c>
      <c r="Z57" s="77">
        <f t="shared" si="0"/>
        <v>203</v>
      </c>
      <c r="AA57" s="78">
        <v>109</v>
      </c>
      <c r="AB57" s="76">
        <v>99</v>
      </c>
      <c r="AC57" s="77">
        <f t="shared" si="1"/>
        <v>208</v>
      </c>
      <c r="AD57" s="78">
        <v>105</v>
      </c>
      <c r="AE57" s="76">
        <v>104</v>
      </c>
      <c r="AF57" s="77">
        <f t="shared" si="2"/>
        <v>209</v>
      </c>
      <c r="AG57" s="78">
        <v>106</v>
      </c>
      <c r="AH57" s="76">
        <v>109</v>
      </c>
      <c r="AI57" s="77">
        <f t="shared" ref="AI57:AI62" si="69">SUM(AG57:AH57)</f>
        <v>215</v>
      </c>
      <c r="AJ57" s="78">
        <v>121</v>
      </c>
      <c r="AK57" s="76">
        <v>103</v>
      </c>
      <c r="AL57" s="77">
        <f t="shared" ref="AL57:AL62" si="70">SUM(AJ57:AK57)</f>
        <v>224</v>
      </c>
      <c r="AM57" s="78">
        <v>112</v>
      </c>
      <c r="AN57" s="76">
        <v>107</v>
      </c>
      <c r="AO57" s="77">
        <f t="shared" ref="AO57:AO62" si="71">SUM(AM57:AN57)</f>
        <v>219</v>
      </c>
      <c r="AP57" s="78">
        <v>105</v>
      </c>
      <c r="AQ57" s="76">
        <v>120</v>
      </c>
      <c r="AR57" s="77">
        <f t="shared" ref="AR57:AR62" si="72">SUM(AP57:AQ57)</f>
        <v>225</v>
      </c>
      <c r="AS57" s="78">
        <v>117</v>
      </c>
      <c r="AT57" s="76">
        <v>107</v>
      </c>
      <c r="AU57" s="77">
        <f t="shared" ref="AU57:AU62" si="73">SUM(AS57:AT57)</f>
        <v>224</v>
      </c>
      <c r="AV57" s="78">
        <v>109</v>
      </c>
      <c r="AW57" s="76">
        <v>102</v>
      </c>
      <c r="AX57" s="77">
        <f t="shared" ref="AX57:AX62" si="74">SUM(AV57:AW57)</f>
        <v>211</v>
      </c>
      <c r="AY57" s="78">
        <v>112</v>
      </c>
      <c r="AZ57" s="76">
        <v>115</v>
      </c>
      <c r="BA57" s="77">
        <f t="shared" ref="BA57:BA62" si="75">SUM(AY57:AZ57)</f>
        <v>227</v>
      </c>
      <c r="BB57" s="78">
        <v>110</v>
      </c>
      <c r="BC57" s="76">
        <v>111</v>
      </c>
      <c r="BD57" s="77">
        <f t="shared" ref="BD57:BD62" si="76">SUM(BB57:BC57)</f>
        <v>221</v>
      </c>
      <c r="BE57" s="78">
        <v>111</v>
      </c>
      <c r="BF57" s="76">
        <v>110</v>
      </c>
      <c r="BG57" s="77">
        <f t="shared" ref="BG57:BG62" si="77">SUM(BE57:BF57)</f>
        <v>221</v>
      </c>
      <c r="BH57" s="78">
        <v>117</v>
      </c>
      <c r="BI57" s="76">
        <v>117</v>
      </c>
      <c r="BJ57" s="77">
        <f t="shared" ref="BJ57:BJ62" si="78">SUM(BH57:BI57)</f>
        <v>234</v>
      </c>
    </row>
    <row r="58" spans="1:62" s="38" customFormat="1" ht="15" customHeight="1" x14ac:dyDescent="0.3">
      <c r="A58" s="147"/>
      <c r="B58" s="39" t="s">
        <v>94</v>
      </c>
      <c r="C58" s="280">
        <v>111</v>
      </c>
      <c r="D58" s="281">
        <v>112</v>
      </c>
      <c r="E58" s="42">
        <v>223</v>
      </c>
      <c r="F58" s="280">
        <v>157</v>
      </c>
      <c r="G58" s="281">
        <v>127</v>
      </c>
      <c r="H58" s="42">
        <v>284</v>
      </c>
      <c r="I58" s="40">
        <v>137</v>
      </c>
      <c r="J58" s="41">
        <v>125</v>
      </c>
      <c r="K58" s="42">
        <v>262</v>
      </c>
      <c r="L58" s="40">
        <v>110</v>
      </c>
      <c r="M58" s="41">
        <v>116</v>
      </c>
      <c r="N58" s="42">
        <v>226</v>
      </c>
      <c r="O58" s="40">
        <v>113</v>
      </c>
      <c r="P58" s="41">
        <v>106</v>
      </c>
      <c r="Q58" s="42">
        <v>219</v>
      </c>
      <c r="R58" s="40">
        <v>117</v>
      </c>
      <c r="S58" s="41">
        <v>113</v>
      </c>
      <c r="T58" s="42">
        <v>230</v>
      </c>
      <c r="U58" s="40">
        <v>111</v>
      </c>
      <c r="V58" s="41">
        <v>107</v>
      </c>
      <c r="W58" s="42">
        <v>218</v>
      </c>
      <c r="X58" s="40">
        <v>113</v>
      </c>
      <c r="Y58" s="41">
        <v>119</v>
      </c>
      <c r="Z58" s="42">
        <f t="shared" si="0"/>
        <v>232</v>
      </c>
      <c r="AA58" s="43">
        <v>109</v>
      </c>
      <c r="AB58" s="41">
        <v>97</v>
      </c>
      <c r="AC58" s="42">
        <f t="shared" si="1"/>
        <v>206</v>
      </c>
      <c r="AD58" s="43">
        <v>114</v>
      </c>
      <c r="AE58" s="41">
        <v>113</v>
      </c>
      <c r="AF58" s="42">
        <f t="shared" si="2"/>
        <v>227</v>
      </c>
      <c r="AG58" s="43">
        <v>108</v>
      </c>
      <c r="AH58" s="41">
        <v>111</v>
      </c>
      <c r="AI58" s="42">
        <f t="shared" si="69"/>
        <v>219</v>
      </c>
      <c r="AJ58" s="43">
        <v>120</v>
      </c>
      <c r="AK58" s="41">
        <v>111</v>
      </c>
      <c r="AL58" s="42">
        <f t="shared" si="70"/>
        <v>231</v>
      </c>
      <c r="AM58" s="43">
        <v>109</v>
      </c>
      <c r="AN58" s="41">
        <v>113</v>
      </c>
      <c r="AO58" s="42">
        <f t="shared" si="71"/>
        <v>222</v>
      </c>
      <c r="AP58" s="43">
        <v>105</v>
      </c>
      <c r="AQ58" s="41">
        <v>120</v>
      </c>
      <c r="AR58" s="42">
        <f t="shared" si="72"/>
        <v>225</v>
      </c>
      <c r="AS58" s="43">
        <v>120</v>
      </c>
      <c r="AT58" s="41">
        <v>120</v>
      </c>
      <c r="AU58" s="42">
        <f t="shared" si="73"/>
        <v>240</v>
      </c>
      <c r="AV58" s="43">
        <v>110</v>
      </c>
      <c r="AW58" s="41">
        <v>121</v>
      </c>
      <c r="AX58" s="42">
        <f t="shared" si="74"/>
        <v>231</v>
      </c>
      <c r="AY58" s="43">
        <v>122</v>
      </c>
      <c r="AZ58" s="41">
        <v>126</v>
      </c>
      <c r="BA58" s="42">
        <f t="shared" si="75"/>
        <v>248</v>
      </c>
      <c r="BB58" s="43">
        <v>119</v>
      </c>
      <c r="BC58" s="41">
        <v>120</v>
      </c>
      <c r="BD58" s="42">
        <f t="shared" si="76"/>
        <v>239</v>
      </c>
      <c r="BE58" s="43">
        <v>112</v>
      </c>
      <c r="BF58" s="41">
        <v>110</v>
      </c>
      <c r="BG58" s="42">
        <f t="shared" si="77"/>
        <v>222</v>
      </c>
      <c r="BH58" s="43">
        <v>119</v>
      </c>
      <c r="BI58" s="41">
        <v>110</v>
      </c>
      <c r="BJ58" s="42">
        <f t="shared" si="78"/>
        <v>229</v>
      </c>
    </row>
    <row r="59" spans="1:62" s="38" customFormat="1" ht="15" customHeight="1" x14ac:dyDescent="0.3">
      <c r="A59" s="147"/>
      <c r="B59" s="39" t="s">
        <v>62</v>
      </c>
      <c r="C59" s="280">
        <v>88</v>
      </c>
      <c r="D59" s="281">
        <v>89</v>
      </c>
      <c r="E59" s="42">
        <v>177</v>
      </c>
      <c r="F59" s="280">
        <v>119</v>
      </c>
      <c r="G59" s="281">
        <v>99</v>
      </c>
      <c r="H59" s="42">
        <v>218</v>
      </c>
      <c r="I59" s="40">
        <v>104</v>
      </c>
      <c r="J59" s="41">
        <v>100</v>
      </c>
      <c r="K59" s="42">
        <v>204</v>
      </c>
      <c r="L59" s="40">
        <v>91</v>
      </c>
      <c r="M59" s="41">
        <v>102</v>
      </c>
      <c r="N59" s="42">
        <v>193</v>
      </c>
      <c r="O59" s="40">
        <v>103</v>
      </c>
      <c r="P59" s="41">
        <v>100</v>
      </c>
      <c r="Q59" s="42">
        <v>203</v>
      </c>
      <c r="R59" s="40">
        <v>109</v>
      </c>
      <c r="S59" s="41">
        <v>100</v>
      </c>
      <c r="T59" s="42">
        <v>209</v>
      </c>
      <c r="U59" s="40">
        <v>98</v>
      </c>
      <c r="V59" s="41">
        <v>89</v>
      </c>
      <c r="W59" s="42">
        <v>187</v>
      </c>
      <c r="X59" s="40">
        <v>101</v>
      </c>
      <c r="Y59" s="41">
        <v>96</v>
      </c>
      <c r="Z59" s="42">
        <f t="shared" si="0"/>
        <v>197</v>
      </c>
      <c r="AA59" s="43">
        <v>101</v>
      </c>
      <c r="AB59" s="41">
        <v>91</v>
      </c>
      <c r="AC59" s="42">
        <f t="shared" si="1"/>
        <v>192</v>
      </c>
      <c r="AD59" s="43">
        <v>104</v>
      </c>
      <c r="AE59" s="41">
        <v>100</v>
      </c>
      <c r="AF59" s="42">
        <f t="shared" si="2"/>
        <v>204</v>
      </c>
      <c r="AG59" s="43">
        <v>101</v>
      </c>
      <c r="AH59" s="41">
        <v>105</v>
      </c>
      <c r="AI59" s="42">
        <f t="shared" si="69"/>
        <v>206</v>
      </c>
      <c r="AJ59" s="43">
        <v>116</v>
      </c>
      <c r="AK59" s="41">
        <v>99</v>
      </c>
      <c r="AL59" s="42">
        <f t="shared" si="70"/>
        <v>215</v>
      </c>
      <c r="AM59" s="43">
        <v>110</v>
      </c>
      <c r="AN59" s="41">
        <v>109</v>
      </c>
      <c r="AO59" s="42">
        <f t="shared" si="71"/>
        <v>219</v>
      </c>
      <c r="AP59" s="43">
        <v>107</v>
      </c>
      <c r="AQ59" s="41">
        <v>117</v>
      </c>
      <c r="AR59" s="42">
        <f t="shared" si="72"/>
        <v>224</v>
      </c>
      <c r="AS59" s="43">
        <v>112</v>
      </c>
      <c r="AT59" s="41">
        <v>105</v>
      </c>
      <c r="AU59" s="42">
        <f t="shared" si="73"/>
        <v>217</v>
      </c>
      <c r="AV59" s="43">
        <v>111</v>
      </c>
      <c r="AW59" s="41">
        <v>102</v>
      </c>
      <c r="AX59" s="42">
        <f t="shared" si="74"/>
        <v>213</v>
      </c>
      <c r="AY59" s="43">
        <v>104</v>
      </c>
      <c r="AZ59" s="41">
        <v>112</v>
      </c>
      <c r="BA59" s="42">
        <f t="shared" si="75"/>
        <v>216</v>
      </c>
      <c r="BB59" s="43">
        <v>106</v>
      </c>
      <c r="BC59" s="41">
        <v>114</v>
      </c>
      <c r="BD59" s="42">
        <f t="shared" si="76"/>
        <v>220</v>
      </c>
      <c r="BE59" s="43">
        <v>111</v>
      </c>
      <c r="BF59" s="41">
        <v>110</v>
      </c>
      <c r="BG59" s="42">
        <f t="shared" si="77"/>
        <v>221</v>
      </c>
      <c r="BH59" s="43">
        <v>110</v>
      </c>
      <c r="BI59" s="41">
        <v>117</v>
      </c>
      <c r="BJ59" s="42">
        <f t="shared" si="78"/>
        <v>227</v>
      </c>
    </row>
    <row r="60" spans="1:62" s="38" customFormat="1" ht="15" customHeight="1" x14ac:dyDescent="0.3">
      <c r="A60" s="147"/>
      <c r="B60" s="39" t="s">
        <v>95</v>
      </c>
      <c r="C60" s="280">
        <v>203</v>
      </c>
      <c r="D60" s="281">
        <v>196</v>
      </c>
      <c r="E60" s="42">
        <v>399</v>
      </c>
      <c r="F60" s="280">
        <v>261</v>
      </c>
      <c r="G60" s="281">
        <v>238</v>
      </c>
      <c r="H60" s="42">
        <v>499</v>
      </c>
      <c r="I60" s="40">
        <v>263</v>
      </c>
      <c r="J60" s="41">
        <v>237</v>
      </c>
      <c r="K60" s="42">
        <v>500</v>
      </c>
      <c r="L60" s="40">
        <v>192</v>
      </c>
      <c r="M60" s="41">
        <v>182</v>
      </c>
      <c r="N60" s="42">
        <v>374</v>
      </c>
      <c r="O60" s="40">
        <v>201</v>
      </c>
      <c r="P60" s="41">
        <v>195</v>
      </c>
      <c r="Q60" s="42">
        <v>396</v>
      </c>
      <c r="R60" s="40">
        <v>208</v>
      </c>
      <c r="S60" s="41">
        <v>201</v>
      </c>
      <c r="T60" s="42">
        <v>409</v>
      </c>
      <c r="U60" s="40">
        <v>199</v>
      </c>
      <c r="V60" s="41">
        <v>189</v>
      </c>
      <c r="W60" s="42">
        <v>388</v>
      </c>
      <c r="X60" s="40">
        <v>200</v>
      </c>
      <c r="Y60" s="41">
        <v>193</v>
      </c>
      <c r="Z60" s="42">
        <f t="shared" si="0"/>
        <v>393</v>
      </c>
      <c r="AA60" s="43">
        <v>192</v>
      </c>
      <c r="AB60" s="41">
        <v>183</v>
      </c>
      <c r="AC60" s="42">
        <f t="shared" si="1"/>
        <v>375</v>
      </c>
      <c r="AD60" s="43">
        <v>188</v>
      </c>
      <c r="AE60" s="41">
        <v>196</v>
      </c>
      <c r="AF60" s="42">
        <f t="shared" si="2"/>
        <v>384</v>
      </c>
      <c r="AG60" s="43">
        <v>176</v>
      </c>
      <c r="AH60" s="41">
        <v>179</v>
      </c>
      <c r="AI60" s="42">
        <f t="shared" si="69"/>
        <v>355</v>
      </c>
      <c r="AJ60" s="43">
        <v>183</v>
      </c>
      <c r="AK60" s="41">
        <v>174</v>
      </c>
      <c r="AL60" s="42">
        <f t="shared" si="70"/>
        <v>357</v>
      </c>
      <c r="AM60" s="43">
        <v>178</v>
      </c>
      <c r="AN60" s="41">
        <v>160</v>
      </c>
      <c r="AO60" s="42">
        <f t="shared" si="71"/>
        <v>338</v>
      </c>
      <c r="AP60" s="43">
        <v>176</v>
      </c>
      <c r="AQ60" s="41">
        <v>189</v>
      </c>
      <c r="AR60" s="42">
        <f t="shared" si="72"/>
        <v>365</v>
      </c>
      <c r="AS60" s="43">
        <v>181</v>
      </c>
      <c r="AT60" s="41">
        <v>170</v>
      </c>
      <c r="AU60" s="42">
        <f t="shared" si="73"/>
        <v>351</v>
      </c>
      <c r="AV60" s="43">
        <v>180</v>
      </c>
      <c r="AW60" s="41">
        <v>174</v>
      </c>
      <c r="AX60" s="42">
        <f t="shared" si="74"/>
        <v>354</v>
      </c>
      <c r="AY60" s="43">
        <v>182</v>
      </c>
      <c r="AZ60" s="41">
        <v>185</v>
      </c>
      <c r="BA60" s="42">
        <f t="shared" si="75"/>
        <v>367</v>
      </c>
      <c r="BB60" s="43">
        <v>181</v>
      </c>
      <c r="BC60" s="41">
        <v>179</v>
      </c>
      <c r="BD60" s="42">
        <f t="shared" si="76"/>
        <v>360</v>
      </c>
      <c r="BE60" s="43">
        <v>165</v>
      </c>
      <c r="BF60" s="41">
        <v>170</v>
      </c>
      <c r="BG60" s="42">
        <f t="shared" si="77"/>
        <v>335</v>
      </c>
      <c r="BH60" s="43">
        <v>170</v>
      </c>
      <c r="BI60" s="41">
        <v>179</v>
      </c>
      <c r="BJ60" s="42">
        <f t="shared" si="78"/>
        <v>349</v>
      </c>
    </row>
    <row r="61" spans="1:62" s="38" customFormat="1" ht="15" customHeight="1" x14ac:dyDescent="0.3">
      <c r="A61" s="147"/>
      <c r="B61" s="39" t="s">
        <v>63</v>
      </c>
      <c r="C61" s="280">
        <v>107</v>
      </c>
      <c r="D61" s="281">
        <v>141</v>
      </c>
      <c r="E61" s="42">
        <v>248</v>
      </c>
      <c r="F61" s="280">
        <v>138</v>
      </c>
      <c r="G61" s="281">
        <v>130</v>
      </c>
      <c r="H61" s="42">
        <v>268</v>
      </c>
      <c r="I61" s="40">
        <v>105</v>
      </c>
      <c r="J61" s="41">
        <v>102</v>
      </c>
      <c r="K61" s="42">
        <v>207</v>
      </c>
      <c r="L61" s="40">
        <v>112</v>
      </c>
      <c r="M61" s="41">
        <v>114</v>
      </c>
      <c r="N61" s="42">
        <v>226</v>
      </c>
      <c r="O61" s="40">
        <v>108</v>
      </c>
      <c r="P61" s="41">
        <v>110</v>
      </c>
      <c r="Q61" s="42">
        <v>218</v>
      </c>
      <c r="R61" s="40">
        <v>109</v>
      </c>
      <c r="S61" s="41">
        <v>103</v>
      </c>
      <c r="T61" s="42">
        <v>212</v>
      </c>
      <c r="U61" s="40">
        <v>100</v>
      </c>
      <c r="V61" s="41">
        <v>98</v>
      </c>
      <c r="W61" s="42">
        <v>198</v>
      </c>
      <c r="X61" s="40">
        <v>104</v>
      </c>
      <c r="Y61" s="41">
        <v>106</v>
      </c>
      <c r="Z61" s="42">
        <f t="shared" si="0"/>
        <v>210</v>
      </c>
      <c r="AA61" s="43">
        <v>104</v>
      </c>
      <c r="AB61" s="41">
        <v>106</v>
      </c>
      <c r="AC61" s="42">
        <f t="shared" si="1"/>
        <v>210</v>
      </c>
      <c r="AD61" s="43">
        <v>100</v>
      </c>
      <c r="AE61" s="41">
        <v>104</v>
      </c>
      <c r="AF61" s="42">
        <f t="shared" si="2"/>
        <v>204</v>
      </c>
      <c r="AG61" s="43">
        <v>99</v>
      </c>
      <c r="AH61" s="41">
        <v>102</v>
      </c>
      <c r="AI61" s="42">
        <f t="shared" si="69"/>
        <v>201</v>
      </c>
      <c r="AJ61" s="43">
        <v>108</v>
      </c>
      <c r="AK61" s="41">
        <v>101</v>
      </c>
      <c r="AL61" s="42">
        <f t="shared" si="70"/>
        <v>209</v>
      </c>
      <c r="AM61" s="43">
        <v>102</v>
      </c>
      <c r="AN61" s="41">
        <v>99</v>
      </c>
      <c r="AO61" s="42">
        <f t="shared" si="71"/>
        <v>201</v>
      </c>
      <c r="AP61" s="43">
        <v>102</v>
      </c>
      <c r="AQ61" s="41">
        <v>111</v>
      </c>
      <c r="AR61" s="42">
        <f t="shared" si="72"/>
        <v>213</v>
      </c>
      <c r="AS61" s="43">
        <v>117</v>
      </c>
      <c r="AT61" s="41">
        <v>116</v>
      </c>
      <c r="AU61" s="42">
        <f t="shared" si="73"/>
        <v>233</v>
      </c>
      <c r="AV61" s="43">
        <v>111</v>
      </c>
      <c r="AW61" s="41">
        <v>114</v>
      </c>
      <c r="AX61" s="42">
        <f t="shared" si="74"/>
        <v>225</v>
      </c>
      <c r="AY61" s="43">
        <v>120</v>
      </c>
      <c r="AZ61" s="41">
        <v>126</v>
      </c>
      <c r="BA61" s="42">
        <f t="shared" si="75"/>
        <v>246</v>
      </c>
      <c r="BB61" s="43">
        <v>112</v>
      </c>
      <c r="BC61" s="41">
        <v>108</v>
      </c>
      <c r="BD61" s="42">
        <f t="shared" si="76"/>
        <v>220</v>
      </c>
      <c r="BE61" s="43">
        <v>71</v>
      </c>
      <c r="BF61" s="41">
        <v>82</v>
      </c>
      <c r="BG61" s="42">
        <f t="shared" si="77"/>
        <v>153</v>
      </c>
      <c r="BH61" s="43">
        <v>60</v>
      </c>
      <c r="BI61" s="41">
        <v>96</v>
      </c>
      <c r="BJ61" s="42">
        <f t="shared" si="78"/>
        <v>156</v>
      </c>
    </row>
    <row r="62" spans="1:62" s="38" customFormat="1" ht="15" customHeight="1" x14ac:dyDescent="0.3">
      <c r="A62" s="147"/>
      <c r="B62" s="45" t="s">
        <v>96</v>
      </c>
      <c r="C62" s="283">
        <v>33</v>
      </c>
      <c r="D62" s="282">
        <v>43</v>
      </c>
      <c r="E62" s="48">
        <v>76</v>
      </c>
      <c r="F62" s="283">
        <v>49</v>
      </c>
      <c r="G62" s="282">
        <v>36</v>
      </c>
      <c r="H62" s="48">
        <v>85</v>
      </c>
      <c r="I62" s="46">
        <v>42</v>
      </c>
      <c r="J62" s="50">
        <v>33</v>
      </c>
      <c r="K62" s="48">
        <v>75</v>
      </c>
      <c r="L62" s="46">
        <v>37</v>
      </c>
      <c r="M62" s="50">
        <v>50</v>
      </c>
      <c r="N62" s="48">
        <v>87</v>
      </c>
      <c r="O62" s="46">
        <v>42</v>
      </c>
      <c r="P62" s="50">
        <v>46</v>
      </c>
      <c r="Q62" s="48">
        <v>88</v>
      </c>
      <c r="R62" s="46">
        <v>40</v>
      </c>
      <c r="S62" s="50">
        <v>35</v>
      </c>
      <c r="T62" s="48">
        <v>75</v>
      </c>
      <c r="U62" s="46">
        <v>36</v>
      </c>
      <c r="V62" s="50">
        <v>34</v>
      </c>
      <c r="W62" s="48">
        <v>70</v>
      </c>
      <c r="X62" s="46">
        <v>34</v>
      </c>
      <c r="Y62" s="50">
        <v>37</v>
      </c>
      <c r="Z62" s="48">
        <f t="shared" si="0"/>
        <v>71</v>
      </c>
      <c r="AA62" s="51">
        <v>35</v>
      </c>
      <c r="AB62" s="50">
        <v>36</v>
      </c>
      <c r="AC62" s="48">
        <f t="shared" si="1"/>
        <v>71</v>
      </c>
      <c r="AD62" s="51">
        <v>35</v>
      </c>
      <c r="AE62" s="50">
        <v>42</v>
      </c>
      <c r="AF62" s="48">
        <f t="shared" si="2"/>
        <v>77</v>
      </c>
      <c r="AG62" s="51">
        <v>40</v>
      </c>
      <c r="AH62" s="50">
        <v>43</v>
      </c>
      <c r="AI62" s="48">
        <f t="shared" si="69"/>
        <v>83</v>
      </c>
      <c r="AJ62" s="51">
        <v>60</v>
      </c>
      <c r="AK62" s="50">
        <v>61</v>
      </c>
      <c r="AL62" s="48">
        <f t="shared" si="70"/>
        <v>121</v>
      </c>
      <c r="AM62" s="51">
        <v>60</v>
      </c>
      <c r="AN62" s="50">
        <v>61</v>
      </c>
      <c r="AO62" s="48">
        <f t="shared" si="71"/>
        <v>121</v>
      </c>
      <c r="AP62" s="51">
        <v>65</v>
      </c>
      <c r="AQ62" s="50">
        <v>71</v>
      </c>
      <c r="AR62" s="48">
        <f t="shared" si="72"/>
        <v>136</v>
      </c>
      <c r="AS62" s="51">
        <v>61</v>
      </c>
      <c r="AT62" s="50">
        <v>61</v>
      </c>
      <c r="AU62" s="48">
        <f t="shared" si="73"/>
        <v>122</v>
      </c>
      <c r="AV62" s="51">
        <v>60</v>
      </c>
      <c r="AW62" s="50">
        <v>57</v>
      </c>
      <c r="AX62" s="48">
        <f t="shared" si="74"/>
        <v>117</v>
      </c>
      <c r="AY62" s="51">
        <v>62</v>
      </c>
      <c r="AZ62" s="50">
        <v>64</v>
      </c>
      <c r="BA62" s="48">
        <f t="shared" si="75"/>
        <v>126</v>
      </c>
      <c r="BB62" s="51">
        <v>62</v>
      </c>
      <c r="BC62" s="50">
        <v>62</v>
      </c>
      <c r="BD62" s="48">
        <f t="shared" si="76"/>
        <v>124</v>
      </c>
      <c r="BE62" s="51">
        <v>68</v>
      </c>
      <c r="BF62" s="50">
        <v>58</v>
      </c>
      <c r="BG62" s="48">
        <f t="shared" si="77"/>
        <v>126</v>
      </c>
      <c r="BH62" s="51">
        <v>68</v>
      </c>
      <c r="BI62" s="50">
        <v>68</v>
      </c>
      <c r="BJ62" s="48">
        <f t="shared" si="78"/>
        <v>136</v>
      </c>
    </row>
    <row r="63" spans="1:62" s="38" customFormat="1" ht="15" customHeight="1" x14ac:dyDescent="0.3">
      <c r="A63" s="147"/>
      <c r="B63" s="287" t="s">
        <v>64</v>
      </c>
      <c r="C63" s="288">
        <f>SUM(C57:C62)</f>
        <v>631</v>
      </c>
      <c r="D63" s="289">
        <f t="shared" ref="D63:BD63" si="79">SUM(D57:D62)</f>
        <v>675</v>
      </c>
      <c r="E63" s="203">
        <f t="shared" si="79"/>
        <v>1306</v>
      </c>
      <c r="F63" s="288">
        <f t="shared" si="79"/>
        <v>839</v>
      </c>
      <c r="G63" s="289">
        <f t="shared" si="79"/>
        <v>734</v>
      </c>
      <c r="H63" s="203">
        <f t="shared" si="79"/>
        <v>1573</v>
      </c>
      <c r="I63" s="288">
        <f t="shared" si="79"/>
        <v>768</v>
      </c>
      <c r="J63" s="289">
        <f t="shared" si="79"/>
        <v>684</v>
      </c>
      <c r="K63" s="203">
        <f t="shared" si="79"/>
        <v>1452</v>
      </c>
      <c r="L63" s="288">
        <f t="shared" si="79"/>
        <v>631</v>
      </c>
      <c r="M63" s="289">
        <f t="shared" si="79"/>
        <v>647</v>
      </c>
      <c r="N63" s="203">
        <f t="shared" si="79"/>
        <v>1278</v>
      </c>
      <c r="O63" s="288">
        <f t="shared" si="79"/>
        <v>702</v>
      </c>
      <c r="P63" s="289">
        <f t="shared" si="79"/>
        <v>653</v>
      </c>
      <c r="Q63" s="203">
        <f t="shared" si="79"/>
        <v>1355</v>
      </c>
      <c r="R63" s="288">
        <f t="shared" si="79"/>
        <v>695</v>
      </c>
      <c r="S63" s="289">
        <f t="shared" si="79"/>
        <v>655</v>
      </c>
      <c r="T63" s="203">
        <f t="shared" si="79"/>
        <v>1350</v>
      </c>
      <c r="U63" s="288">
        <f t="shared" si="79"/>
        <v>643</v>
      </c>
      <c r="V63" s="289">
        <f t="shared" si="79"/>
        <v>603</v>
      </c>
      <c r="W63" s="203">
        <f t="shared" si="79"/>
        <v>1246</v>
      </c>
      <c r="X63" s="288">
        <f t="shared" si="79"/>
        <v>654</v>
      </c>
      <c r="Y63" s="289">
        <f t="shared" si="79"/>
        <v>652</v>
      </c>
      <c r="Z63" s="203">
        <f t="shared" si="79"/>
        <v>1306</v>
      </c>
      <c r="AA63" s="288">
        <f t="shared" si="79"/>
        <v>650</v>
      </c>
      <c r="AB63" s="289">
        <f t="shared" si="79"/>
        <v>612</v>
      </c>
      <c r="AC63" s="203">
        <f t="shared" si="79"/>
        <v>1262</v>
      </c>
      <c r="AD63" s="288">
        <f t="shared" si="79"/>
        <v>646</v>
      </c>
      <c r="AE63" s="289">
        <f t="shared" si="79"/>
        <v>659</v>
      </c>
      <c r="AF63" s="203">
        <f t="shared" si="79"/>
        <v>1305</v>
      </c>
      <c r="AG63" s="288">
        <f t="shared" si="79"/>
        <v>630</v>
      </c>
      <c r="AH63" s="289">
        <f t="shared" si="79"/>
        <v>649</v>
      </c>
      <c r="AI63" s="203">
        <f t="shared" si="79"/>
        <v>1279</v>
      </c>
      <c r="AJ63" s="288">
        <f t="shared" si="79"/>
        <v>708</v>
      </c>
      <c r="AK63" s="289">
        <f t="shared" si="79"/>
        <v>649</v>
      </c>
      <c r="AL63" s="203">
        <f t="shared" si="79"/>
        <v>1357</v>
      </c>
      <c r="AM63" s="288">
        <f t="shared" si="79"/>
        <v>671</v>
      </c>
      <c r="AN63" s="289">
        <f t="shared" si="79"/>
        <v>649</v>
      </c>
      <c r="AO63" s="203">
        <f t="shared" si="79"/>
        <v>1320</v>
      </c>
      <c r="AP63" s="288">
        <f t="shared" si="79"/>
        <v>660</v>
      </c>
      <c r="AQ63" s="290">
        <f t="shared" si="79"/>
        <v>728</v>
      </c>
      <c r="AR63" s="203">
        <f t="shared" si="79"/>
        <v>1388</v>
      </c>
      <c r="AS63" s="288">
        <f t="shared" si="79"/>
        <v>708</v>
      </c>
      <c r="AT63" s="290">
        <f t="shared" si="79"/>
        <v>679</v>
      </c>
      <c r="AU63" s="203">
        <f t="shared" si="79"/>
        <v>1387</v>
      </c>
      <c r="AV63" s="288">
        <f t="shared" si="79"/>
        <v>681</v>
      </c>
      <c r="AW63" s="290">
        <f t="shared" si="79"/>
        <v>670</v>
      </c>
      <c r="AX63" s="203">
        <f t="shared" si="79"/>
        <v>1351</v>
      </c>
      <c r="AY63" s="288">
        <f t="shared" si="79"/>
        <v>702</v>
      </c>
      <c r="AZ63" s="290">
        <f t="shared" si="79"/>
        <v>728</v>
      </c>
      <c r="BA63" s="203">
        <f t="shared" si="79"/>
        <v>1430</v>
      </c>
      <c r="BB63" s="288">
        <f t="shared" si="79"/>
        <v>690</v>
      </c>
      <c r="BC63" s="290">
        <f t="shared" si="79"/>
        <v>694</v>
      </c>
      <c r="BD63" s="203">
        <f t="shared" si="79"/>
        <v>1384</v>
      </c>
      <c r="BE63" s="288">
        <f>SUM(BE57:BE62)</f>
        <v>638</v>
      </c>
      <c r="BF63" s="290">
        <f>SUM(BF57:BF62)</f>
        <v>640</v>
      </c>
      <c r="BG63" s="203">
        <f t="shared" ref="BG63" si="80">SUM(BG57:BG62)</f>
        <v>1278</v>
      </c>
      <c r="BH63" s="288">
        <f>SUM(BH57:BH62)</f>
        <v>644</v>
      </c>
      <c r="BI63" s="290">
        <f>SUM(BI57:BI62)</f>
        <v>687</v>
      </c>
      <c r="BJ63" s="203">
        <f t="shared" ref="BJ63" si="81">SUM(BJ57:BJ62)</f>
        <v>1331</v>
      </c>
    </row>
    <row r="64" spans="1:62" s="38" customFormat="1" ht="15" customHeight="1" x14ac:dyDescent="0.3">
      <c r="A64" s="147"/>
      <c r="B64" s="32" t="s">
        <v>86</v>
      </c>
      <c r="C64" s="278">
        <v>94</v>
      </c>
      <c r="D64" s="279">
        <v>84</v>
      </c>
      <c r="E64" s="35">
        <v>178</v>
      </c>
      <c r="F64" s="278">
        <v>90</v>
      </c>
      <c r="G64" s="279">
        <v>124</v>
      </c>
      <c r="H64" s="35">
        <v>214</v>
      </c>
      <c r="I64" s="33">
        <v>127</v>
      </c>
      <c r="J64" s="34">
        <v>131</v>
      </c>
      <c r="K64" s="35">
        <v>258</v>
      </c>
      <c r="L64" s="33">
        <v>124</v>
      </c>
      <c r="M64" s="34">
        <v>130</v>
      </c>
      <c r="N64" s="35">
        <v>254</v>
      </c>
      <c r="O64" s="33">
        <v>126</v>
      </c>
      <c r="P64" s="34">
        <v>97</v>
      </c>
      <c r="Q64" s="35">
        <v>223</v>
      </c>
      <c r="R64" s="33">
        <v>116</v>
      </c>
      <c r="S64" s="34">
        <v>99</v>
      </c>
      <c r="T64" s="35">
        <v>215</v>
      </c>
      <c r="U64" s="33">
        <v>100</v>
      </c>
      <c r="V64" s="34">
        <v>91</v>
      </c>
      <c r="W64" s="35">
        <v>191</v>
      </c>
      <c r="X64" s="33">
        <v>101</v>
      </c>
      <c r="Y64" s="34">
        <v>104</v>
      </c>
      <c r="Z64" s="35">
        <f t="shared" si="0"/>
        <v>205</v>
      </c>
      <c r="AA64" s="36">
        <v>104</v>
      </c>
      <c r="AB64" s="34">
        <v>99</v>
      </c>
      <c r="AC64" s="35">
        <f t="shared" si="1"/>
        <v>203</v>
      </c>
      <c r="AD64" s="36">
        <v>101</v>
      </c>
      <c r="AE64" s="34">
        <v>106</v>
      </c>
      <c r="AF64" s="35">
        <f t="shared" si="2"/>
        <v>207</v>
      </c>
      <c r="AG64" s="36">
        <v>108</v>
      </c>
      <c r="AH64" s="34">
        <v>104</v>
      </c>
      <c r="AI64" s="35">
        <f t="shared" ref="AI64:AI71" si="82">SUM(AG64:AH64)</f>
        <v>212</v>
      </c>
      <c r="AJ64" s="36">
        <v>108</v>
      </c>
      <c r="AK64" s="34">
        <v>105</v>
      </c>
      <c r="AL64" s="35">
        <f t="shared" ref="AL64:AL71" si="83">SUM(AJ64:AK64)</f>
        <v>213</v>
      </c>
      <c r="AM64" s="36">
        <v>104</v>
      </c>
      <c r="AN64" s="34">
        <v>105</v>
      </c>
      <c r="AO64" s="35">
        <f t="shared" ref="AO64:AO71" si="84">SUM(AM64:AN64)</f>
        <v>209</v>
      </c>
      <c r="AP64" s="36">
        <v>112</v>
      </c>
      <c r="AQ64" s="34">
        <v>117</v>
      </c>
      <c r="AR64" s="35">
        <f t="shared" ref="AR64:AR71" si="85">SUM(AP64:AQ64)</f>
        <v>229</v>
      </c>
      <c r="AS64" s="36">
        <v>115</v>
      </c>
      <c r="AT64" s="34">
        <v>112</v>
      </c>
      <c r="AU64" s="35">
        <f t="shared" ref="AU64:AU71" si="86">SUM(AS64:AT64)</f>
        <v>227</v>
      </c>
      <c r="AV64" s="36">
        <v>102</v>
      </c>
      <c r="AW64" s="34">
        <v>109</v>
      </c>
      <c r="AX64" s="35">
        <f t="shared" ref="AX64:AX71" si="87">SUM(AV64:AW64)</f>
        <v>211</v>
      </c>
      <c r="AY64" s="78">
        <v>103</v>
      </c>
      <c r="AZ64" s="76">
        <v>109</v>
      </c>
      <c r="BA64" s="35">
        <f t="shared" ref="BA64:BA71" si="88">SUM(AY64:AZ64)</f>
        <v>212</v>
      </c>
      <c r="BB64" s="78">
        <v>100</v>
      </c>
      <c r="BC64" s="76">
        <v>106</v>
      </c>
      <c r="BD64" s="35">
        <f t="shared" ref="BD64:BD71" si="89">SUM(BB64:BC64)</f>
        <v>206</v>
      </c>
      <c r="BE64" s="78">
        <v>104</v>
      </c>
      <c r="BF64" s="76">
        <v>105</v>
      </c>
      <c r="BG64" s="35">
        <f t="shared" ref="BG64:BG71" si="90">SUM(BE64:BF64)</f>
        <v>209</v>
      </c>
      <c r="BH64" s="78">
        <v>106</v>
      </c>
      <c r="BI64" s="76">
        <v>103</v>
      </c>
      <c r="BJ64" s="35">
        <f t="shared" ref="BJ64:BJ71" si="91">SUM(BH64:BI64)</f>
        <v>209</v>
      </c>
    </row>
    <row r="65" spans="1:62" s="38" customFormat="1" ht="15" customHeight="1" x14ac:dyDescent="0.3">
      <c r="A65" s="147"/>
      <c r="B65" s="39" t="s">
        <v>97</v>
      </c>
      <c r="C65" s="280">
        <v>63</v>
      </c>
      <c r="D65" s="281">
        <v>65</v>
      </c>
      <c r="E65" s="42">
        <v>128</v>
      </c>
      <c r="F65" s="280">
        <v>99</v>
      </c>
      <c r="G65" s="281">
        <v>83</v>
      </c>
      <c r="H65" s="42">
        <v>182</v>
      </c>
      <c r="I65" s="40">
        <v>89</v>
      </c>
      <c r="J65" s="41">
        <v>90</v>
      </c>
      <c r="K65" s="42">
        <v>179</v>
      </c>
      <c r="L65" s="40">
        <v>86</v>
      </c>
      <c r="M65" s="41">
        <v>86</v>
      </c>
      <c r="N65" s="42">
        <v>172</v>
      </c>
      <c r="O65" s="40">
        <v>67</v>
      </c>
      <c r="P65" s="41">
        <v>61</v>
      </c>
      <c r="Q65" s="42">
        <v>128</v>
      </c>
      <c r="R65" s="40">
        <v>86</v>
      </c>
      <c r="S65" s="41">
        <v>76</v>
      </c>
      <c r="T65" s="42">
        <v>162</v>
      </c>
      <c r="U65" s="40">
        <v>79</v>
      </c>
      <c r="V65" s="41">
        <v>77</v>
      </c>
      <c r="W65" s="42">
        <v>156</v>
      </c>
      <c r="X65" s="40">
        <v>76</v>
      </c>
      <c r="Y65" s="41">
        <v>75</v>
      </c>
      <c r="Z65" s="42">
        <f t="shared" si="0"/>
        <v>151</v>
      </c>
      <c r="AA65" s="43">
        <v>74</v>
      </c>
      <c r="AB65" s="41">
        <v>64</v>
      </c>
      <c r="AC65" s="42">
        <f t="shared" si="1"/>
        <v>138</v>
      </c>
      <c r="AD65" s="43">
        <v>68</v>
      </c>
      <c r="AE65" s="41">
        <v>66</v>
      </c>
      <c r="AF65" s="42">
        <f t="shared" si="2"/>
        <v>134</v>
      </c>
      <c r="AG65" s="43">
        <v>72</v>
      </c>
      <c r="AH65" s="41">
        <v>64</v>
      </c>
      <c r="AI65" s="42">
        <f t="shared" si="82"/>
        <v>136</v>
      </c>
      <c r="AJ65" s="43">
        <v>72</v>
      </c>
      <c r="AK65" s="41">
        <v>64</v>
      </c>
      <c r="AL65" s="42">
        <f t="shared" si="83"/>
        <v>136</v>
      </c>
      <c r="AM65" s="43">
        <v>70</v>
      </c>
      <c r="AN65" s="41">
        <v>68</v>
      </c>
      <c r="AO65" s="42">
        <f t="shared" si="84"/>
        <v>138</v>
      </c>
      <c r="AP65" s="43">
        <v>74</v>
      </c>
      <c r="AQ65" s="41">
        <v>71</v>
      </c>
      <c r="AR65" s="42">
        <f t="shared" si="85"/>
        <v>145</v>
      </c>
      <c r="AS65" s="43">
        <v>82</v>
      </c>
      <c r="AT65" s="41">
        <v>73</v>
      </c>
      <c r="AU65" s="42">
        <f t="shared" si="86"/>
        <v>155</v>
      </c>
      <c r="AV65" s="43">
        <v>85</v>
      </c>
      <c r="AW65" s="41">
        <v>67</v>
      </c>
      <c r="AX65" s="42">
        <f t="shared" si="87"/>
        <v>152</v>
      </c>
      <c r="AY65" s="43">
        <v>65</v>
      </c>
      <c r="AZ65" s="41">
        <v>70</v>
      </c>
      <c r="BA65" s="42">
        <f t="shared" si="88"/>
        <v>135</v>
      </c>
      <c r="BB65" s="43">
        <v>69</v>
      </c>
      <c r="BC65" s="41">
        <v>70</v>
      </c>
      <c r="BD65" s="42">
        <f t="shared" si="89"/>
        <v>139</v>
      </c>
      <c r="BE65" s="43">
        <v>69</v>
      </c>
      <c r="BF65" s="41">
        <v>70</v>
      </c>
      <c r="BG65" s="42">
        <f t="shared" si="90"/>
        <v>139</v>
      </c>
      <c r="BH65" s="43">
        <v>71</v>
      </c>
      <c r="BI65" s="41">
        <v>70</v>
      </c>
      <c r="BJ65" s="42">
        <f t="shared" si="91"/>
        <v>141</v>
      </c>
    </row>
    <row r="66" spans="1:62" s="38" customFormat="1" ht="15" customHeight="1" x14ac:dyDescent="0.3">
      <c r="A66" s="147"/>
      <c r="B66" s="39" t="s">
        <v>98</v>
      </c>
      <c r="C66" s="280">
        <v>90</v>
      </c>
      <c r="D66" s="281">
        <v>100</v>
      </c>
      <c r="E66" s="42">
        <v>190</v>
      </c>
      <c r="F66" s="280">
        <v>142</v>
      </c>
      <c r="G66" s="281">
        <v>134</v>
      </c>
      <c r="H66" s="42">
        <v>276</v>
      </c>
      <c r="I66" s="40">
        <v>136</v>
      </c>
      <c r="J66" s="41">
        <v>115</v>
      </c>
      <c r="K66" s="42">
        <v>251</v>
      </c>
      <c r="L66" s="40">
        <v>105</v>
      </c>
      <c r="M66" s="41">
        <v>103</v>
      </c>
      <c r="N66" s="42">
        <v>208</v>
      </c>
      <c r="O66" s="40">
        <v>84</v>
      </c>
      <c r="P66" s="41">
        <v>88</v>
      </c>
      <c r="Q66" s="42">
        <v>172</v>
      </c>
      <c r="R66" s="40">
        <v>94</v>
      </c>
      <c r="S66" s="41">
        <v>86</v>
      </c>
      <c r="T66" s="42">
        <v>180</v>
      </c>
      <c r="U66" s="40">
        <v>81</v>
      </c>
      <c r="V66" s="41">
        <v>80</v>
      </c>
      <c r="W66" s="42">
        <v>161</v>
      </c>
      <c r="X66" s="40">
        <v>93</v>
      </c>
      <c r="Y66" s="41">
        <v>96</v>
      </c>
      <c r="Z66" s="42">
        <f t="shared" si="0"/>
        <v>189</v>
      </c>
      <c r="AA66" s="43">
        <v>85</v>
      </c>
      <c r="AB66" s="41">
        <v>83</v>
      </c>
      <c r="AC66" s="42">
        <f t="shared" si="1"/>
        <v>168</v>
      </c>
      <c r="AD66" s="43">
        <v>79</v>
      </c>
      <c r="AE66" s="41">
        <v>79</v>
      </c>
      <c r="AF66" s="42">
        <f t="shared" si="2"/>
        <v>158</v>
      </c>
      <c r="AG66" s="43">
        <v>89</v>
      </c>
      <c r="AH66" s="41">
        <v>79</v>
      </c>
      <c r="AI66" s="42">
        <f t="shared" si="82"/>
        <v>168</v>
      </c>
      <c r="AJ66" s="43">
        <v>101</v>
      </c>
      <c r="AK66" s="41">
        <v>90</v>
      </c>
      <c r="AL66" s="42">
        <f t="shared" si="83"/>
        <v>191</v>
      </c>
      <c r="AM66" s="43">
        <v>95</v>
      </c>
      <c r="AN66" s="41">
        <v>96</v>
      </c>
      <c r="AO66" s="42">
        <f t="shared" si="84"/>
        <v>191</v>
      </c>
      <c r="AP66" s="43">
        <v>100</v>
      </c>
      <c r="AQ66" s="41">
        <v>116</v>
      </c>
      <c r="AR66" s="42">
        <f t="shared" si="85"/>
        <v>216</v>
      </c>
      <c r="AS66" s="43">
        <v>106</v>
      </c>
      <c r="AT66" s="41">
        <v>109</v>
      </c>
      <c r="AU66" s="42">
        <f t="shared" si="86"/>
        <v>215</v>
      </c>
      <c r="AV66" s="43">
        <v>103</v>
      </c>
      <c r="AW66" s="41">
        <v>108</v>
      </c>
      <c r="AX66" s="42">
        <f t="shared" si="87"/>
        <v>211</v>
      </c>
      <c r="AY66" s="43">
        <v>95</v>
      </c>
      <c r="AZ66" s="41">
        <v>99</v>
      </c>
      <c r="BA66" s="42">
        <f t="shared" si="88"/>
        <v>194</v>
      </c>
      <c r="BB66" s="43">
        <v>101</v>
      </c>
      <c r="BC66" s="41">
        <v>99</v>
      </c>
      <c r="BD66" s="42">
        <f t="shared" si="89"/>
        <v>200</v>
      </c>
      <c r="BE66" s="43">
        <v>97</v>
      </c>
      <c r="BF66" s="41">
        <v>101</v>
      </c>
      <c r="BG66" s="42">
        <f t="shared" si="90"/>
        <v>198</v>
      </c>
      <c r="BH66" s="43">
        <v>118</v>
      </c>
      <c r="BI66" s="41">
        <v>100</v>
      </c>
      <c r="BJ66" s="42">
        <f t="shared" si="91"/>
        <v>218</v>
      </c>
    </row>
    <row r="67" spans="1:62" s="38" customFormat="1" ht="15" customHeight="1" x14ac:dyDescent="0.3">
      <c r="A67" s="147"/>
      <c r="B67" s="39" t="s">
        <v>99</v>
      </c>
      <c r="C67" s="280">
        <v>134</v>
      </c>
      <c r="D67" s="281">
        <v>131</v>
      </c>
      <c r="E67" s="42">
        <v>265</v>
      </c>
      <c r="F67" s="280">
        <v>186</v>
      </c>
      <c r="G67" s="281">
        <v>148</v>
      </c>
      <c r="H67" s="42">
        <v>334</v>
      </c>
      <c r="I67" s="40">
        <v>178</v>
      </c>
      <c r="J67" s="41">
        <v>140</v>
      </c>
      <c r="K67" s="42">
        <v>318</v>
      </c>
      <c r="L67" s="40">
        <v>149</v>
      </c>
      <c r="M67" s="41">
        <v>147</v>
      </c>
      <c r="N67" s="42">
        <v>296</v>
      </c>
      <c r="O67" s="40">
        <v>140</v>
      </c>
      <c r="P67" s="41">
        <v>119</v>
      </c>
      <c r="Q67" s="42">
        <v>259</v>
      </c>
      <c r="R67" s="40">
        <v>136</v>
      </c>
      <c r="S67" s="41">
        <v>121</v>
      </c>
      <c r="T67" s="42">
        <v>257</v>
      </c>
      <c r="U67" s="40">
        <v>126</v>
      </c>
      <c r="V67" s="41">
        <v>122</v>
      </c>
      <c r="W67" s="42">
        <v>248</v>
      </c>
      <c r="X67" s="40">
        <v>122</v>
      </c>
      <c r="Y67" s="41">
        <v>122</v>
      </c>
      <c r="Z67" s="42">
        <f t="shared" si="0"/>
        <v>244</v>
      </c>
      <c r="AA67" s="43">
        <v>130</v>
      </c>
      <c r="AB67" s="41">
        <v>125</v>
      </c>
      <c r="AC67" s="42">
        <f t="shared" si="1"/>
        <v>255</v>
      </c>
      <c r="AD67" s="43">
        <v>127</v>
      </c>
      <c r="AE67" s="41">
        <v>125</v>
      </c>
      <c r="AF67" s="42">
        <f t="shared" si="2"/>
        <v>252</v>
      </c>
      <c r="AG67" s="43">
        <v>147</v>
      </c>
      <c r="AH67" s="41">
        <v>146</v>
      </c>
      <c r="AI67" s="42">
        <f t="shared" si="82"/>
        <v>293</v>
      </c>
      <c r="AJ67" s="43">
        <v>157</v>
      </c>
      <c r="AK67" s="41">
        <v>148</v>
      </c>
      <c r="AL67" s="42">
        <f t="shared" si="83"/>
        <v>305</v>
      </c>
      <c r="AM67" s="43">
        <v>156</v>
      </c>
      <c r="AN67" s="41">
        <v>152</v>
      </c>
      <c r="AO67" s="42">
        <f t="shared" si="84"/>
        <v>308</v>
      </c>
      <c r="AP67" s="43">
        <v>151</v>
      </c>
      <c r="AQ67" s="41">
        <v>157</v>
      </c>
      <c r="AR67" s="42">
        <f t="shared" si="85"/>
        <v>308</v>
      </c>
      <c r="AS67" s="43">
        <v>161</v>
      </c>
      <c r="AT67" s="41">
        <v>152</v>
      </c>
      <c r="AU67" s="42">
        <f t="shared" si="86"/>
        <v>313</v>
      </c>
      <c r="AV67" s="43">
        <v>156</v>
      </c>
      <c r="AW67" s="41">
        <v>150</v>
      </c>
      <c r="AX67" s="42">
        <f t="shared" si="87"/>
        <v>306</v>
      </c>
      <c r="AY67" s="43">
        <v>147</v>
      </c>
      <c r="AZ67" s="41">
        <v>155</v>
      </c>
      <c r="BA67" s="42">
        <f t="shared" si="88"/>
        <v>302</v>
      </c>
      <c r="BB67" s="43">
        <v>148</v>
      </c>
      <c r="BC67" s="41">
        <v>150</v>
      </c>
      <c r="BD67" s="42">
        <f t="shared" si="89"/>
        <v>298</v>
      </c>
      <c r="BE67" s="43">
        <v>148</v>
      </c>
      <c r="BF67" s="41">
        <v>149</v>
      </c>
      <c r="BG67" s="42">
        <f t="shared" si="90"/>
        <v>297</v>
      </c>
      <c r="BH67" s="43">
        <v>150</v>
      </c>
      <c r="BI67" s="41">
        <v>151</v>
      </c>
      <c r="BJ67" s="42">
        <f t="shared" si="91"/>
        <v>301</v>
      </c>
    </row>
    <row r="68" spans="1:62" s="38" customFormat="1" ht="15" customHeight="1" x14ac:dyDescent="0.3">
      <c r="A68" s="147"/>
      <c r="B68" s="39" t="s">
        <v>100</v>
      </c>
      <c r="C68" s="280">
        <v>147</v>
      </c>
      <c r="D68" s="281">
        <v>150</v>
      </c>
      <c r="E68" s="42">
        <v>297</v>
      </c>
      <c r="F68" s="280">
        <v>179</v>
      </c>
      <c r="G68" s="281">
        <v>187</v>
      </c>
      <c r="H68" s="42">
        <v>366</v>
      </c>
      <c r="I68" s="40">
        <v>154</v>
      </c>
      <c r="J68" s="41">
        <v>174</v>
      </c>
      <c r="K68" s="42">
        <v>328</v>
      </c>
      <c r="L68" s="40">
        <v>162</v>
      </c>
      <c r="M68" s="41">
        <v>159</v>
      </c>
      <c r="N68" s="42">
        <v>321</v>
      </c>
      <c r="O68" s="40">
        <v>158</v>
      </c>
      <c r="P68" s="41">
        <v>144</v>
      </c>
      <c r="Q68" s="42">
        <v>302</v>
      </c>
      <c r="R68" s="40">
        <v>129</v>
      </c>
      <c r="S68" s="41">
        <v>121</v>
      </c>
      <c r="T68" s="42">
        <v>250</v>
      </c>
      <c r="U68" s="40">
        <v>120</v>
      </c>
      <c r="V68" s="41">
        <v>119</v>
      </c>
      <c r="W68" s="42">
        <v>239</v>
      </c>
      <c r="X68" s="40">
        <v>116</v>
      </c>
      <c r="Y68" s="41">
        <v>120</v>
      </c>
      <c r="Z68" s="42">
        <f t="shared" si="0"/>
        <v>236</v>
      </c>
      <c r="AA68" s="43">
        <v>117</v>
      </c>
      <c r="AB68" s="41">
        <v>114</v>
      </c>
      <c r="AC68" s="42">
        <f t="shared" si="1"/>
        <v>231</v>
      </c>
      <c r="AD68" s="43">
        <v>132</v>
      </c>
      <c r="AE68" s="41">
        <v>125</v>
      </c>
      <c r="AF68" s="42">
        <f t="shared" si="2"/>
        <v>257</v>
      </c>
      <c r="AG68" s="43">
        <v>136</v>
      </c>
      <c r="AH68" s="41">
        <v>139</v>
      </c>
      <c r="AI68" s="42">
        <f t="shared" si="82"/>
        <v>275</v>
      </c>
      <c r="AJ68" s="43">
        <v>129</v>
      </c>
      <c r="AK68" s="41">
        <v>129</v>
      </c>
      <c r="AL68" s="42">
        <f t="shared" si="83"/>
        <v>258</v>
      </c>
      <c r="AM68" s="43">
        <v>131</v>
      </c>
      <c r="AN68" s="41">
        <v>135</v>
      </c>
      <c r="AO68" s="42">
        <f t="shared" si="84"/>
        <v>266</v>
      </c>
      <c r="AP68" s="43">
        <v>136</v>
      </c>
      <c r="AQ68" s="41">
        <v>137</v>
      </c>
      <c r="AR68" s="42">
        <f t="shared" si="85"/>
        <v>273</v>
      </c>
      <c r="AS68" s="43">
        <v>138</v>
      </c>
      <c r="AT68" s="41">
        <v>138</v>
      </c>
      <c r="AU68" s="42">
        <f t="shared" si="86"/>
        <v>276</v>
      </c>
      <c r="AV68" s="43">
        <v>139</v>
      </c>
      <c r="AW68" s="41">
        <v>143</v>
      </c>
      <c r="AX68" s="42">
        <f t="shared" si="87"/>
        <v>282</v>
      </c>
      <c r="AY68" s="43">
        <v>129</v>
      </c>
      <c r="AZ68" s="41">
        <v>133</v>
      </c>
      <c r="BA68" s="42">
        <f t="shared" si="88"/>
        <v>262</v>
      </c>
      <c r="BB68" s="43">
        <v>131</v>
      </c>
      <c r="BC68" s="41">
        <v>129</v>
      </c>
      <c r="BD68" s="42">
        <f t="shared" si="89"/>
        <v>260</v>
      </c>
      <c r="BE68" s="43">
        <v>129</v>
      </c>
      <c r="BF68" s="41">
        <v>130</v>
      </c>
      <c r="BG68" s="42">
        <f t="shared" si="90"/>
        <v>259</v>
      </c>
      <c r="BH68" s="43">
        <v>136</v>
      </c>
      <c r="BI68" s="41">
        <v>129</v>
      </c>
      <c r="BJ68" s="42">
        <f t="shared" si="91"/>
        <v>265</v>
      </c>
    </row>
    <row r="69" spans="1:62" s="38" customFormat="1" ht="15" customHeight="1" x14ac:dyDescent="0.3">
      <c r="A69" s="147"/>
      <c r="B69" s="39" t="s">
        <v>101</v>
      </c>
      <c r="C69" s="280">
        <v>75</v>
      </c>
      <c r="D69" s="281">
        <v>108</v>
      </c>
      <c r="E69" s="42">
        <v>183</v>
      </c>
      <c r="F69" s="280">
        <v>68</v>
      </c>
      <c r="G69" s="281">
        <v>84</v>
      </c>
      <c r="H69" s="42">
        <v>152</v>
      </c>
      <c r="I69" s="40">
        <v>59</v>
      </c>
      <c r="J69" s="41">
        <v>85</v>
      </c>
      <c r="K69" s="42">
        <v>144</v>
      </c>
      <c r="L69" s="40">
        <v>98</v>
      </c>
      <c r="M69" s="41">
        <v>74</v>
      </c>
      <c r="N69" s="42">
        <v>172</v>
      </c>
      <c r="O69" s="40">
        <v>90</v>
      </c>
      <c r="P69" s="41">
        <v>113</v>
      </c>
      <c r="Q69" s="42">
        <v>203</v>
      </c>
      <c r="R69" s="40">
        <v>104</v>
      </c>
      <c r="S69" s="41">
        <v>112</v>
      </c>
      <c r="T69" s="42">
        <v>216</v>
      </c>
      <c r="U69" s="40">
        <v>113</v>
      </c>
      <c r="V69" s="41">
        <v>109</v>
      </c>
      <c r="W69" s="42">
        <v>222</v>
      </c>
      <c r="X69" s="40">
        <v>124</v>
      </c>
      <c r="Y69" s="41">
        <v>138</v>
      </c>
      <c r="Z69" s="42">
        <f t="shared" si="0"/>
        <v>262</v>
      </c>
      <c r="AA69" s="43">
        <v>129</v>
      </c>
      <c r="AB69" s="41">
        <v>131</v>
      </c>
      <c r="AC69" s="42">
        <f t="shared" si="1"/>
        <v>260</v>
      </c>
      <c r="AD69" s="43">
        <v>117</v>
      </c>
      <c r="AE69" s="41">
        <v>122</v>
      </c>
      <c r="AF69" s="42">
        <f t="shared" si="2"/>
        <v>239</v>
      </c>
      <c r="AG69" s="43">
        <v>111</v>
      </c>
      <c r="AH69" s="41">
        <v>112</v>
      </c>
      <c r="AI69" s="42">
        <f t="shared" si="82"/>
        <v>223</v>
      </c>
      <c r="AJ69" s="43">
        <v>99</v>
      </c>
      <c r="AK69" s="41">
        <v>96</v>
      </c>
      <c r="AL69" s="42">
        <f t="shared" si="83"/>
        <v>195</v>
      </c>
      <c r="AM69" s="43">
        <v>104</v>
      </c>
      <c r="AN69" s="41">
        <v>99</v>
      </c>
      <c r="AO69" s="42">
        <f t="shared" si="84"/>
        <v>203</v>
      </c>
      <c r="AP69" s="43">
        <v>103</v>
      </c>
      <c r="AQ69" s="41">
        <v>112</v>
      </c>
      <c r="AR69" s="42">
        <f t="shared" si="85"/>
        <v>215</v>
      </c>
      <c r="AS69" s="43">
        <v>109</v>
      </c>
      <c r="AT69" s="41">
        <v>121</v>
      </c>
      <c r="AU69" s="42">
        <f t="shared" si="86"/>
        <v>230</v>
      </c>
      <c r="AV69" s="43">
        <v>109</v>
      </c>
      <c r="AW69" s="41">
        <v>111</v>
      </c>
      <c r="AX69" s="42">
        <f t="shared" si="87"/>
        <v>220</v>
      </c>
      <c r="AY69" s="51">
        <v>109</v>
      </c>
      <c r="AZ69" s="50">
        <v>115</v>
      </c>
      <c r="BA69" s="42">
        <f t="shared" si="88"/>
        <v>224</v>
      </c>
      <c r="BB69" s="51">
        <v>111</v>
      </c>
      <c r="BC69" s="50">
        <v>110</v>
      </c>
      <c r="BD69" s="42">
        <f t="shared" si="89"/>
        <v>221</v>
      </c>
      <c r="BE69" s="51">
        <v>104</v>
      </c>
      <c r="BF69" s="50">
        <v>108</v>
      </c>
      <c r="BG69" s="42">
        <f t="shared" si="90"/>
        <v>212</v>
      </c>
      <c r="BH69" s="51">
        <v>110</v>
      </c>
      <c r="BI69" s="50">
        <v>109</v>
      </c>
      <c r="BJ69" s="42">
        <f t="shared" si="91"/>
        <v>219</v>
      </c>
    </row>
    <row r="70" spans="1:62" s="38" customFormat="1" ht="15" customHeight="1" x14ac:dyDescent="0.3">
      <c r="A70" s="147"/>
      <c r="B70" s="39" t="s">
        <v>102</v>
      </c>
      <c r="C70" s="280">
        <v>103</v>
      </c>
      <c r="D70" s="281">
        <v>86</v>
      </c>
      <c r="E70" s="42">
        <v>189</v>
      </c>
      <c r="F70" s="280">
        <v>134</v>
      </c>
      <c r="G70" s="281">
        <v>118</v>
      </c>
      <c r="H70" s="42">
        <v>252</v>
      </c>
      <c r="I70" s="40">
        <v>134</v>
      </c>
      <c r="J70" s="41">
        <v>112</v>
      </c>
      <c r="K70" s="42">
        <v>246</v>
      </c>
      <c r="L70" s="40">
        <v>124</v>
      </c>
      <c r="M70" s="41">
        <v>105</v>
      </c>
      <c r="N70" s="42">
        <v>229</v>
      </c>
      <c r="O70" s="40">
        <v>102</v>
      </c>
      <c r="P70" s="41">
        <v>69</v>
      </c>
      <c r="Q70" s="42">
        <v>171</v>
      </c>
      <c r="R70" s="40">
        <v>134</v>
      </c>
      <c r="S70" s="41">
        <v>115</v>
      </c>
      <c r="T70" s="42">
        <v>249</v>
      </c>
      <c r="U70" s="40">
        <v>117</v>
      </c>
      <c r="V70" s="41">
        <v>97</v>
      </c>
      <c r="W70" s="42">
        <v>214</v>
      </c>
      <c r="X70" s="40">
        <v>117</v>
      </c>
      <c r="Y70" s="41">
        <v>111</v>
      </c>
      <c r="Z70" s="42">
        <f t="shared" ref="Z70:Z76" si="92">SUM(X70:Y70)</f>
        <v>228</v>
      </c>
      <c r="AA70" s="43">
        <v>109</v>
      </c>
      <c r="AB70" s="41">
        <v>86</v>
      </c>
      <c r="AC70" s="42">
        <f t="shared" si="1"/>
        <v>195</v>
      </c>
      <c r="AD70" s="43">
        <v>107</v>
      </c>
      <c r="AE70" s="41">
        <v>95</v>
      </c>
      <c r="AF70" s="42">
        <f t="shared" si="2"/>
        <v>202</v>
      </c>
      <c r="AG70" s="43">
        <v>107</v>
      </c>
      <c r="AH70" s="41">
        <v>97</v>
      </c>
      <c r="AI70" s="42">
        <f t="shared" si="82"/>
        <v>204</v>
      </c>
      <c r="AJ70" s="43">
        <v>120</v>
      </c>
      <c r="AK70" s="41">
        <v>103</v>
      </c>
      <c r="AL70" s="42">
        <f t="shared" si="83"/>
        <v>223</v>
      </c>
      <c r="AM70" s="43">
        <v>117</v>
      </c>
      <c r="AN70" s="41">
        <v>101</v>
      </c>
      <c r="AO70" s="42">
        <f t="shared" si="84"/>
        <v>218</v>
      </c>
      <c r="AP70" s="43">
        <v>112</v>
      </c>
      <c r="AQ70" s="41">
        <v>110</v>
      </c>
      <c r="AR70" s="42">
        <f t="shared" si="85"/>
        <v>222</v>
      </c>
      <c r="AS70" s="43">
        <v>104</v>
      </c>
      <c r="AT70" s="41">
        <v>85</v>
      </c>
      <c r="AU70" s="42">
        <f t="shared" si="86"/>
        <v>189</v>
      </c>
      <c r="AV70" s="43">
        <v>107</v>
      </c>
      <c r="AW70" s="41">
        <v>94</v>
      </c>
      <c r="AX70" s="42">
        <f t="shared" si="87"/>
        <v>201</v>
      </c>
      <c r="AY70" s="43">
        <v>103</v>
      </c>
      <c r="AZ70" s="41">
        <v>105</v>
      </c>
      <c r="BA70" s="42">
        <f t="shared" si="88"/>
        <v>208</v>
      </c>
      <c r="BB70" s="43">
        <v>103</v>
      </c>
      <c r="BC70" s="41">
        <v>119</v>
      </c>
      <c r="BD70" s="42">
        <f t="shared" si="89"/>
        <v>222</v>
      </c>
      <c r="BE70" s="43">
        <v>100</v>
      </c>
      <c r="BF70" s="41">
        <v>100</v>
      </c>
      <c r="BG70" s="42">
        <f t="shared" si="90"/>
        <v>200</v>
      </c>
      <c r="BH70" s="43">
        <v>102</v>
      </c>
      <c r="BI70" s="41">
        <v>100</v>
      </c>
      <c r="BJ70" s="42">
        <f t="shared" si="91"/>
        <v>202</v>
      </c>
    </row>
    <row r="71" spans="1:62" s="38" customFormat="1" ht="15" customHeight="1" x14ac:dyDescent="0.3">
      <c r="A71" s="147"/>
      <c r="B71" s="45" t="s">
        <v>103</v>
      </c>
      <c r="C71" s="283">
        <v>63</v>
      </c>
      <c r="D71" s="282">
        <v>52</v>
      </c>
      <c r="E71" s="48">
        <v>115</v>
      </c>
      <c r="F71" s="283">
        <v>77</v>
      </c>
      <c r="G71" s="282">
        <v>65</v>
      </c>
      <c r="H71" s="48">
        <v>142</v>
      </c>
      <c r="I71" s="46">
        <v>83</v>
      </c>
      <c r="J71" s="50">
        <v>65</v>
      </c>
      <c r="K71" s="48">
        <v>148</v>
      </c>
      <c r="L71" s="46">
        <v>67</v>
      </c>
      <c r="M71" s="50">
        <v>76</v>
      </c>
      <c r="N71" s="48">
        <v>143</v>
      </c>
      <c r="O71" s="46">
        <v>69</v>
      </c>
      <c r="P71" s="50">
        <v>56</v>
      </c>
      <c r="Q71" s="48">
        <v>125</v>
      </c>
      <c r="R71" s="46">
        <v>60</v>
      </c>
      <c r="S71" s="50">
        <v>53</v>
      </c>
      <c r="T71" s="48">
        <v>113</v>
      </c>
      <c r="U71" s="46">
        <v>54</v>
      </c>
      <c r="V71" s="50">
        <v>54</v>
      </c>
      <c r="W71" s="48">
        <v>108</v>
      </c>
      <c r="X71" s="46">
        <v>64</v>
      </c>
      <c r="Y71" s="50">
        <v>57</v>
      </c>
      <c r="Z71" s="48">
        <f t="shared" si="92"/>
        <v>121</v>
      </c>
      <c r="AA71" s="51">
        <v>67</v>
      </c>
      <c r="AB71" s="50">
        <v>62</v>
      </c>
      <c r="AC71" s="48">
        <f t="shared" si="1"/>
        <v>129</v>
      </c>
      <c r="AD71" s="51">
        <v>64</v>
      </c>
      <c r="AE71" s="50">
        <v>63</v>
      </c>
      <c r="AF71" s="48">
        <f t="shared" si="2"/>
        <v>127</v>
      </c>
      <c r="AG71" s="51">
        <v>76</v>
      </c>
      <c r="AH71" s="50">
        <v>73</v>
      </c>
      <c r="AI71" s="48">
        <f t="shared" si="82"/>
        <v>149</v>
      </c>
      <c r="AJ71" s="51">
        <v>78</v>
      </c>
      <c r="AK71" s="50">
        <v>75</v>
      </c>
      <c r="AL71" s="48">
        <f t="shared" si="83"/>
        <v>153</v>
      </c>
      <c r="AM71" s="51">
        <v>74</v>
      </c>
      <c r="AN71" s="50">
        <v>77</v>
      </c>
      <c r="AO71" s="48">
        <f t="shared" si="84"/>
        <v>151</v>
      </c>
      <c r="AP71" s="51">
        <v>76</v>
      </c>
      <c r="AQ71" s="50">
        <v>76</v>
      </c>
      <c r="AR71" s="48">
        <f t="shared" si="85"/>
        <v>152</v>
      </c>
      <c r="AS71" s="51">
        <v>79</v>
      </c>
      <c r="AT71" s="50">
        <v>76</v>
      </c>
      <c r="AU71" s="48">
        <f t="shared" si="86"/>
        <v>155</v>
      </c>
      <c r="AV71" s="51">
        <v>79</v>
      </c>
      <c r="AW71" s="50">
        <v>76</v>
      </c>
      <c r="AX71" s="48">
        <f t="shared" si="87"/>
        <v>155</v>
      </c>
      <c r="AY71" s="51">
        <v>73</v>
      </c>
      <c r="AZ71" s="50">
        <v>75</v>
      </c>
      <c r="BA71" s="48">
        <f t="shared" si="88"/>
        <v>148</v>
      </c>
      <c r="BB71" s="51">
        <v>75</v>
      </c>
      <c r="BC71" s="50">
        <v>75</v>
      </c>
      <c r="BD71" s="48">
        <f t="shared" si="89"/>
        <v>150</v>
      </c>
      <c r="BE71" s="51">
        <v>75</v>
      </c>
      <c r="BF71" s="50">
        <v>75</v>
      </c>
      <c r="BG71" s="48">
        <f t="shared" si="90"/>
        <v>150</v>
      </c>
      <c r="BH71" s="51">
        <v>78</v>
      </c>
      <c r="BI71" s="50">
        <v>75</v>
      </c>
      <c r="BJ71" s="48">
        <f t="shared" si="91"/>
        <v>153</v>
      </c>
    </row>
    <row r="72" spans="1:62" s="38" customFormat="1" ht="15" customHeight="1" x14ac:dyDescent="0.3">
      <c r="A72" s="147"/>
      <c r="B72" s="287" t="s">
        <v>92</v>
      </c>
      <c r="C72" s="288">
        <f>SUM(C64:C71)</f>
        <v>769</v>
      </c>
      <c r="D72" s="289">
        <f t="shared" ref="D72:BD72" si="93">SUM(D64:D71)</f>
        <v>776</v>
      </c>
      <c r="E72" s="203">
        <f t="shared" si="93"/>
        <v>1545</v>
      </c>
      <c r="F72" s="288">
        <f t="shared" si="93"/>
        <v>975</v>
      </c>
      <c r="G72" s="289">
        <f t="shared" si="93"/>
        <v>943</v>
      </c>
      <c r="H72" s="203">
        <f t="shared" si="93"/>
        <v>1918</v>
      </c>
      <c r="I72" s="288">
        <f t="shared" si="93"/>
        <v>960</v>
      </c>
      <c r="J72" s="289">
        <f t="shared" si="93"/>
        <v>912</v>
      </c>
      <c r="K72" s="203">
        <f t="shared" si="93"/>
        <v>1872</v>
      </c>
      <c r="L72" s="288">
        <f t="shared" si="93"/>
        <v>915</v>
      </c>
      <c r="M72" s="289">
        <f t="shared" si="93"/>
        <v>880</v>
      </c>
      <c r="N72" s="203">
        <f t="shared" si="93"/>
        <v>1795</v>
      </c>
      <c r="O72" s="288">
        <f t="shared" si="93"/>
        <v>836</v>
      </c>
      <c r="P72" s="289">
        <f t="shared" si="93"/>
        <v>747</v>
      </c>
      <c r="Q72" s="203">
        <f t="shared" si="93"/>
        <v>1583</v>
      </c>
      <c r="R72" s="288">
        <f t="shared" si="93"/>
        <v>859</v>
      </c>
      <c r="S72" s="289">
        <f t="shared" si="93"/>
        <v>783</v>
      </c>
      <c r="T72" s="203">
        <f t="shared" si="93"/>
        <v>1642</v>
      </c>
      <c r="U72" s="288">
        <f t="shared" si="93"/>
        <v>790</v>
      </c>
      <c r="V72" s="289">
        <f t="shared" si="93"/>
        <v>749</v>
      </c>
      <c r="W72" s="203">
        <f t="shared" si="93"/>
        <v>1539</v>
      </c>
      <c r="X72" s="288">
        <f t="shared" si="93"/>
        <v>813</v>
      </c>
      <c r="Y72" s="289">
        <f t="shared" si="93"/>
        <v>823</v>
      </c>
      <c r="Z72" s="203">
        <f t="shared" si="93"/>
        <v>1636</v>
      </c>
      <c r="AA72" s="288">
        <f t="shared" si="93"/>
        <v>815</v>
      </c>
      <c r="AB72" s="289">
        <f t="shared" si="93"/>
        <v>764</v>
      </c>
      <c r="AC72" s="203">
        <f t="shared" si="93"/>
        <v>1579</v>
      </c>
      <c r="AD72" s="288">
        <f t="shared" si="93"/>
        <v>795</v>
      </c>
      <c r="AE72" s="289">
        <f t="shared" si="93"/>
        <v>781</v>
      </c>
      <c r="AF72" s="203">
        <f t="shared" si="93"/>
        <v>1576</v>
      </c>
      <c r="AG72" s="288">
        <f t="shared" si="93"/>
        <v>846</v>
      </c>
      <c r="AH72" s="289">
        <f t="shared" si="93"/>
        <v>814</v>
      </c>
      <c r="AI72" s="203">
        <f t="shared" si="93"/>
        <v>1660</v>
      </c>
      <c r="AJ72" s="288">
        <f t="shared" si="93"/>
        <v>864</v>
      </c>
      <c r="AK72" s="289">
        <f t="shared" si="93"/>
        <v>810</v>
      </c>
      <c r="AL72" s="203">
        <f t="shared" si="93"/>
        <v>1674</v>
      </c>
      <c r="AM72" s="288">
        <f t="shared" si="93"/>
        <v>851</v>
      </c>
      <c r="AN72" s="289">
        <f t="shared" si="93"/>
        <v>833</v>
      </c>
      <c r="AO72" s="203">
        <f t="shared" si="93"/>
        <v>1684</v>
      </c>
      <c r="AP72" s="288">
        <f t="shared" si="93"/>
        <v>864</v>
      </c>
      <c r="AQ72" s="290">
        <f t="shared" si="93"/>
        <v>896</v>
      </c>
      <c r="AR72" s="203">
        <f t="shared" si="93"/>
        <v>1760</v>
      </c>
      <c r="AS72" s="288">
        <f t="shared" si="93"/>
        <v>894</v>
      </c>
      <c r="AT72" s="290">
        <f t="shared" si="93"/>
        <v>866</v>
      </c>
      <c r="AU72" s="203">
        <f t="shared" si="93"/>
        <v>1760</v>
      </c>
      <c r="AV72" s="288">
        <f t="shared" si="93"/>
        <v>880</v>
      </c>
      <c r="AW72" s="290">
        <f t="shared" si="93"/>
        <v>858</v>
      </c>
      <c r="AX72" s="203">
        <f t="shared" si="93"/>
        <v>1738</v>
      </c>
      <c r="AY72" s="288">
        <f t="shared" si="93"/>
        <v>824</v>
      </c>
      <c r="AZ72" s="290">
        <f t="shared" si="93"/>
        <v>861</v>
      </c>
      <c r="BA72" s="203">
        <f t="shared" si="93"/>
        <v>1685</v>
      </c>
      <c r="BB72" s="288">
        <f t="shared" si="93"/>
        <v>838</v>
      </c>
      <c r="BC72" s="290">
        <f t="shared" si="93"/>
        <v>858</v>
      </c>
      <c r="BD72" s="203">
        <f t="shared" si="93"/>
        <v>1696</v>
      </c>
      <c r="BE72" s="288">
        <f>SUM(BE64:BE71)</f>
        <v>826</v>
      </c>
      <c r="BF72" s="290">
        <f>SUM(BF64:BF71)</f>
        <v>838</v>
      </c>
      <c r="BG72" s="203">
        <f t="shared" ref="BG72" si="94">SUM(BG64:BG71)</f>
        <v>1664</v>
      </c>
      <c r="BH72" s="288">
        <f>SUM(BH64:BH71)</f>
        <v>871</v>
      </c>
      <c r="BI72" s="290">
        <f>SUM(BI64:BI71)</f>
        <v>837</v>
      </c>
      <c r="BJ72" s="203">
        <f t="shared" ref="BJ72" si="95">SUM(BJ64:BJ71)</f>
        <v>1708</v>
      </c>
    </row>
    <row r="73" spans="1:62" s="38" customFormat="1" ht="15" customHeight="1" x14ac:dyDescent="0.3">
      <c r="A73" s="147"/>
      <c r="B73" s="74" t="s">
        <v>65</v>
      </c>
      <c r="C73" s="376">
        <v>152</v>
      </c>
      <c r="D73" s="377">
        <v>158</v>
      </c>
      <c r="E73" s="77">
        <v>310</v>
      </c>
      <c r="F73" s="376">
        <v>164</v>
      </c>
      <c r="G73" s="377">
        <v>162</v>
      </c>
      <c r="H73" s="77">
        <v>326</v>
      </c>
      <c r="I73" s="75">
        <v>163</v>
      </c>
      <c r="J73" s="76">
        <v>163</v>
      </c>
      <c r="K73" s="77">
        <v>326</v>
      </c>
      <c r="L73" s="75">
        <v>149</v>
      </c>
      <c r="M73" s="76">
        <v>152</v>
      </c>
      <c r="N73" s="77">
        <v>301</v>
      </c>
      <c r="O73" s="75">
        <v>158</v>
      </c>
      <c r="P73" s="76">
        <v>162</v>
      </c>
      <c r="Q73" s="77">
        <v>320</v>
      </c>
      <c r="R73" s="75">
        <v>163</v>
      </c>
      <c r="S73" s="76">
        <v>164</v>
      </c>
      <c r="T73" s="77">
        <v>327</v>
      </c>
      <c r="U73" s="75">
        <v>131</v>
      </c>
      <c r="V73" s="76">
        <v>128</v>
      </c>
      <c r="W73" s="77">
        <v>259</v>
      </c>
      <c r="X73" s="75">
        <v>132</v>
      </c>
      <c r="Y73" s="76">
        <v>127</v>
      </c>
      <c r="Z73" s="77">
        <f t="shared" si="92"/>
        <v>259</v>
      </c>
      <c r="AA73" s="78">
        <v>136</v>
      </c>
      <c r="AB73" s="76">
        <v>128</v>
      </c>
      <c r="AC73" s="77">
        <f t="shared" si="1"/>
        <v>264</v>
      </c>
      <c r="AD73" s="78">
        <v>133</v>
      </c>
      <c r="AE73" s="76">
        <v>130</v>
      </c>
      <c r="AF73" s="77">
        <f t="shared" si="2"/>
        <v>263</v>
      </c>
      <c r="AG73" s="78">
        <v>136</v>
      </c>
      <c r="AH73" s="76">
        <v>130</v>
      </c>
      <c r="AI73" s="77">
        <f>SUM(AG73:AH73)</f>
        <v>266</v>
      </c>
      <c r="AJ73" s="78">
        <v>135</v>
      </c>
      <c r="AK73" s="76">
        <v>128</v>
      </c>
      <c r="AL73" s="77">
        <f>SUM(AJ73:AK73)</f>
        <v>263</v>
      </c>
      <c r="AM73" s="78">
        <v>134</v>
      </c>
      <c r="AN73" s="76">
        <v>132</v>
      </c>
      <c r="AO73" s="77">
        <f>SUM(AM73:AN73)</f>
        <v>266</v>
      </c>
      <c r="AP73" s="78">
        <v>140</v>
      </c>
      <c r="AQ73" s="76">
        <v>141</v>
      </c>
      <c r="AR73" s="77">
        <f>SUM(AP73:AQ73)</f>
        <v>281</v>
      </c>
      <c r="AS73" s="78">
        <v>132</v>
      </c>
      <c r="AT73" s="76">
        <v>136</v>
      </c>
      <c r="AU73" s="77">
        <f>SUM(AS73:AT73)</f>
        <v>268</v>
      </c>
      <c r="AV73" s="78">
        <v>149</v>
      </c>
      <c r="AW73" s="76">
        <v>133</v>
      </c>
      <c r="AX73" s="77">
        <f>SUM(AV73:AW73)</f>
        <v>282</v>
      </c>
      <c r="AY73" s="78">
        <v>136</v>
      </c>
      <c r="AZ73" s="76">
        <v>145</v>
      </c>
      <c r="BA73" s="77">
        <f>SUM(AY73:AZ73)</f>
        <v>281</v>
      </c>
      <c r="BB73" s="78">
        <v>140</v>
      </c>
      <c r="BC73" s="76">
        <v>141</v>
      </c>
      <c r="BD73" s="77">
        <f>SUM(BB73:BC73)</f>
        <v>281</v>
      </c>
      <c r="BE73" s="78">
        <v>134</v>
      </c>
      <c r="BF73" s="76">
        <v>140</v>
      </c>
      <c r="BG73" s="77">
        <f>SUM(BE73:BF73)</f>
        <v>274</v>
      </c>
      <c r="BH73" s="78">
        <v>140</v>
      </c>
      <c r="BI73" s="76">
        <v>143</v>
      </c>
      <c r="BJ73" s="77">
        <f>SUM(BH73:BI73)</f>
        <v>283</v>
      </c>
    </row>
    <row r="74" spans="1:62" s="38" customFormat="1" ht="15" customHeight="1" x14ac:dyDescent="0.3">
      <c r="A74" s="147"/>
      <c r="B74" s="39" t="s">
        <v>66</v>
      </c>
      <c r="C74" s="280">
        <v>78</v>
      </c>
      <c r="D74" s="281">
        <v>80</v>
      </c>
      <c r="E74" s="42">
        <v>158</v>
      </c>
      <c r="F74" s="280">
        <v>72</v>
      </c>
      <c r="G74" s="281">
        <v>75</v>
      </c>
      <c r="H74" s="42">
        <v>147</v>
      </c>
      <c r="I74" s="40">
        <v>76</v>
      </c>
      <c r="J74" s="41">
        <v>77</v>
      </c>
      <c r="K74" s="42">
        <v>153</v>
      </c>
      <c r="L74" s="40">
        <v>61</v>
      </c>
      <c r="M74" s="41">
        <v>56</v>
      </c>
      <c r="N74" s="42">
        <v>117</v>
      </c>
      <c r="O74" s="40">
        <v>59</v>
      </c>
      <c r="P74" s="41">
        <v>58</v>
      </c>
      <c r="Q74" s="42">
        <v>117</v>
      </c>
      <c r="R74" s="40">
        <v>64</v>
      </c>
      <c r="S74" s="41">
        <v>59</v>
      </c>
      <c r="T74" s="42">
        <v>123</v>
      </c>
      <c r="U74" s="40">
        <v>57</v>
      </c>
      <c r="V74" s="41">
        <v>60</v>
      </c>
      <c r="W74" s="42">
        <v>117</v>
      </c>
      <c r="X74" s="40">
        <v>60</v>
      </c>
      <c r="Y74" s="41">
        <v>62</v>
      </c>
      <c r="Z74" s="42">
        <f t="shared" si="92"/>
        <v>122</v>
      </c>
      <c r="AA74" s="43">
        <v>62</v>
      </c>
      <c r="AB74" s="41">
        <v>60</v>
      </c>
      <c r="AC74" s="42">
        <f t="shared" si="1"/>
        <v>122</v>
      </c>
      <c r="AD74" s="43">
        <v>59</v>
      </c>
      <c r="AE74" s="41">
        <v>65</v>
      </c>
      <c r="AF74" s="42">
        <f t="shared" si="2"/>
        <v>124</v>
      </c>
      <c r="AG74" s="43">
        <v>60</v>
      </c>
      <c r="AH74" s="41">
        <v>64</v>
      </c>
      <c r="AI74" s="42">
        <f>SUM(AG74:AH74)</f>
        <v>124</v>
      </c>
      <c r="AJ74" s="43">
        <v>63</v>
      </c>
      <c r="AK74" s="41">
        <v>59</v>
      </c>
      <c r="AL74" s="42">
        <f>SUM(AJ74:AK74)</f>
        <v>122</v>
      </c>
      <c r="AM74" s="43">
        <v>65</v>
      </c>
      <c r="AN74" s="41">
        <v>61</v>
      </c>
      <c r="AO74" s="42">
        <f>SUM(AM74:AN74)</f>
        <v>126</v>
      </c>
      <c r="AP74" s="43">
        <v>59</v>
      </c>
      <c r="AQ74" s="41">
        <v>61</v>
      </c>
      <c r="AR74" s="42">
        <f>SUM(AP74:AQ74)</f>
        <v>120</v>
      </c>
      <c r="AS74" s="43">
        <v>60</v>
      </c>
      <c r="AT74" s="41">
        <v>64</v>
      </c>
      <c r="AU74" s="42">
        <f>SUM(AS74:AT74)</f>
        <v>124</v>
      </c>
      <c r="AV74" s="43">
        <v>66</v>
      </c>
      <c r="AW74" s="41">
        <v>62</v>
      </c>
      <c r="AX74" s="42">
        <f>SUM(AV74:AW74)</f>
        <v>128</v>
      </c>
      <c r="AY74" s="43">
        <v>64</v>
      </c>
      <c r="AZ74" s="41">
        <v>65</v>
      </c>
      <c r="BA74" s="42">
        <f>SUM(AY74:AZ74)</f>
        <v>129</v>
      </c>
      <c r="BB74" s="43">
        <v>62</v>
      </c>
      <c r="BC74" s="41">
        <v>62</v>
      </c>
      <c r="BD74" s="42">
        <f>SUM(BB74:BC74)</f>
        <v>124</v>
      </c>
      <c r="BE74" s="43">
        <v>61</v>
      </c>
      <c r="BF74" s="41">
        <v>64</v>
      </c>
      <c r="BG74" s="42">
        <f>SUM(BE74:BF74)</f>
        <v>125</v>
      </c>
      <c r="BH74" s="43">
        <v>65</v>
      </c>
      <c r="BI74" s="41">
        <v>64</v>
      </c>
      <c r="BJ74" s="42">
        <f>SUM(BH74:BI74)</f>
        <v>129</v>
      </c>
    </row>
    <row r="75" spans="1:62" s="38" customFormat="1" ht="15" customHeight="1" x14ac:dyDescent="0.3">
      <c r="A75" s="147"/>
      <c r="B75" s="39" t="s">
        <v>67</v>
      </c>
      <c r="C75" s="280">
        <v>70</v>
      </c>
      <c r="D75" s="281">
        <v>65</v>
      </c>
      <c r="E75" s="42">
        <v>135</v>
      </c>
      <c r="F75" s="280">
        <v>82</v>
      </c>
      <c r="G75" s="281">
        <v>81</v>
      </c>
      <c r="H75" s="42">
        <v>163</v>
      </c>
      <c r="I75" s="40">
        <v>75</v>
      </c>
      <c r="J75" s="41">
        <v>75</v>
      </c>
      <c r="K75" s="42">
        <v>150</v>
      </c>
      <c r="L75" s="40">
        <v>68</v>
      </c>
      <c r="M75" s="41">
        <v>63</v>
      </c>
      <c r="N75" s="42">
        <v>131</v>
      </c>
      <c r="O75" s="40">
        <v>68</v>
      </c>
      <c r="P75" s="41">
        <v>58</v>
      </c>
      <c r="Q75" s="42">
        <v>126</v>
      </c>
      <c r="R75" s="40">
        <v>67</v>
      </c>
      <c r="S75" s="41">
        <v>59</v>
      </c>
      <c r="T75" s="42">
        <v>126</v>
      </c>
      <c r="U75" s="40">
        <v>58</v>
      </c>
      <c r="V75" s="41">
        <v>58</v>
      </c>
      <c r="W75" s="42">
        <v>116</v>
      </c>
      <c r="X75" s="40">
        <v>60</v>
      </c>
      <c r="Y75" s="41">
        <v>59</v>
      </c>
      <c r="Z75" s="42">
        <f t="shared" si="92"/>
        <v>119</v>
      </c>
      <c r="AA75" s="43">
        <v>65</v>
      </c>
      <c r="AB75" s="41">
        <v>61</v>
      </c>
      <c r="AC75" s="42">
        <f t="shared" si="1"/>
        <v>126</v>
      </c>
      <c r="AD75" s="43">
        <v>62</v>
      </c>
      <c r="AE75" s="41">
        <v>61</v>
      </c>
      <c r="AF75" s="42">
        <f t="shared" si="2"/>
        <v>123</v>
      </c>
      <c r="AG75" s="43">
        <v>59</v>
      </c>
      <c r="AH75" s="41">
        <v>63</v>
      </c>
      <c r="AI75" s="42">
        <f>SUM(AG75:AH75)</f>
        <v>122</v>
      </c>
      <c r="AJ75" s="43">
        <v>63</v>
      </c>
      <c r="AK75" s="41">
        <v>58</v>
      </c>
      <c r="AL75" s="42">
        <f>SUM(AJ75:AK75)</f>
        <v>121</v>
      </c>
      <c r="AM75" s="43">
        <v>66</v>
      </c>
      <c r="AN75" s="41">
        <v>66</v>
      </c>
      <c r="AO75" s="42">
        <f>SUM(AM75:AN75)</f>
        <v>132</v>
      </c>
      <c r="AP75" s="43">
        <v>66</v>
      </c>
      <c r="AQ75" s="41">
        <v>69</v>
      </c>
      <c r="AR75" s="42">
        <f>SUM(AP75:AQ75)</f>
        <v>135</v>
      </c>
      <c r="AS75" s="43">
        <v>65</v>
      </c>
      <c r="AT75" s="41">
        <v>67</v>
      </c>
      <c r="AU75" s="42">
        <f>SUM(AS75:AT75)</f>
        <v>132</v>
      </c>
      <c r="AV75" s="43">
        <v>68</v>
      </c>
      <c r="AW75" s="41">
        <v>59</v>
      </c>
      <c r="AX75" s="42">
        <f>SUM(AV75:AW75)</f>
        <v>127</v>
      </c>
      <c r="AY75" s="43">
        <v>66</v>
      </c>
      <c r="AZ75" s="41">
        <v>63</v>
      </c>
      <c r="BA75" s="42">
        <f>SUM(AY75:AZ75)</f>
        <v>129</v>
      </c>
      <c r="BB75" s="43">
        <v>65</v>
      </c>
      <c r="BC75" s="41">
        <v>61</v>
      </c>
      <c r="BD75" s="42">
        <f>SUM(BB75:BC75)</f>
        <v>126</v>
      </c>
      <c r="BE75" s="43">
        <v>61</v>
      </c>
      <c r="BF75" s="41">
        <v>64</v>
      </c>
      <c r="BG75" s="42">
        <f>SUM(BE75:BF75)</f>
        <v>125</v>
      </c>
      <c r="BH75" s="43">
        <v>67</v>
      </c>
      <c r="BI75" s="41">
        <v>62</v>
      </c>
      <c r="BJ75" s="42">
        <f>SUM(BH75:BI75)</f>
        <v>129</v>
      </c>
    </row>
    <row r="76" spans="1:62" s="38" customFormat="1" ht="15" customHeight="1" x14ac:dyDescent="0.3">
      <c r="A76" s="147"/>
      <c r="B76" s="45" t="s">
        <v>104</v>
      </c>
      <c r="C76" s="283">
        <v>50</v>
      </c>
      <c r="D76" s="282">
        <v>54</v>
      </c>
      <c r="E76" s="48">
        <v>104</v>
      </c>
      <c r="F76" s="283">
        <v>48</v>
      </c>
      <c r="G76" s="282">
        <v>66</v>
      </c>
      <c r="H76" s="48">
        <v>114</v>
      </c>
      <c r="I76" s="46">
        <v>59</v>
      </c>
      <c r="J76" s="50">
        <v>52</v>
      </c>
      <c r="K76" s="48">
        <v>111</v>
      </c>
      <c r="L76" s="46">
        <v>56</v>
      </c>
      <c r="M76" s="50">
        <v>61</v>
      </c>
      <c r="N76" s="48">
        <v>117</v>
      </c>
      <c r="O76" s="46">
        <v>65</v>
      </c>
      <c r="P76" s="50">
        <v>67</v>
      </c>
      <c r="Q76" s="48">
        <v>132</v>
      </c>
      <c r="R76" s="46">
        <v>62</v>
      </c>
      <c r="S76" s="50">
        <v>65</v>
      </c>
      <c r="T76" s="48">
        <v>127</v>
      </c>
      <c r="U76" s="46">
        <v>60</v>
      </c>
      <c r="V76" s="50">
        <v>62</v>
      </c>
      <c r="W76" s="48">
        <v>122</v>
      </c>
      <c r="X76" s="46">
        <v>61</v>
      </c>
      <c r="Y76" s="50">
        <v>60</v>
      </c>
      <c r="Z76" s="48">
        <f t="shared" si="92"/>
        <v>121</v>
      </c>
      <c r="AA76" s="51">
        <v>66</v>
      </c>
      <c r="AB76" s="50">
        <v>63</v>
      </c>
      <c r="AC76" s="48">
        <f t="shared" si="1"/>
        <v>129</v>
      </c>
      <c r="AD76" s="51">
        <v>59</v>
      </c>
      <c r="AE76" s="50">
        <v>62</v>
      </c>
      <c r="AF76" s="48">
        <f t="shared" si="2"/>
        <v>121</v>
      </c>
      <c r="AG76" s="51">
        <v>61</v>
      </c>
      <c r="AH76" s="50">
        <v>62</v>
      </c>
      <c r="AI76" s="48">
        <f>SUM(AG76:AH76)</f>
        <v>123</v>
      </c>
      <c r="AJ76" s="51">
        <v>59</v>
      </c>
      <c r="AK76" s="50">
        <v>60</v>
      </c>
      <c r="AL76" s="48">
        <f>SUM(AJ76:AK76)</f>
        <v>119</v>
      </c>
      <c r="AM76" s="51">
        <v>65</v>
      </c>
      <c r="AN76" s="50">
        <v>64</v>
      </c>
      <c r="AO76" s="48">
        <f>SUM(AM76:AN76)</f>
        <v>129</v>
      </c>
      <c r="AP76" s="51">
        <v>58</v>
      </c>
      <c r="AQ76" s="50">
        <v>73</v>
      </c>
      <c r="AR76" s="48">
        <f>SUM(AP76:AQ76)</f>
        <v>131</v>
      </c>
      <c r="AS76" s="51">
        <v>65</v>
      </c>
      <c r="AT76" s="50">
        <v>72</v>
      </c>
      <c r="AU76" s="48">
        <f>SUM(AS76:AT76)</f>
        <v>137</v>
      </c>
      <c r="AV76" s="51">
        <v>48</v>
      </c>
      <c r="AW76" s="50">
        <v>61</v>
      </c>
      <c r="AX76" s="48">
        <f>SUM(AV76:AW76)</f>
        <v>109</v>
      </c>
      <c r="AY76" s="51">
        <v>63</v>
      </c>
      <c r="AZ76" s="50">
        <v>64</v>
      </c>
      <c r="BA76" s="48">
        <f>SUM(AY76:AZ76)</f>
        <v>127</v>
      </c>
      <c r="BB76" s="51">
        <v>62</v>
      </c>
      <c r="BC76" s="50">
        <v>61</v>
      </c>
      <c r="BD76" s="48">
        <f>SUM(BB76:BC76)</f>
        <v>123</v>
      </c>
      <c r="BE76" s="51">
        <v>43</v>
      </c>
      <c r="BF76" s="50">
        <v>52</v>
      </c>
      <c r="BG76" s="48">
        <f>SUM(BE76:BF76)</f>
        <v>95</v>
      </c>
      <c r="BH76" s="51">
        <v>44</v>
      </c>
      <c r="BI76" s="50">
        <v>64</v>
      </c>
      <c r="BJ76" s="48">
        <f>SUM(BH76:BI76)</f>
        <v>108</v>
      </c>
    </row>
    <row r="77" spans="1:62" s="38" customFormat="1" ht="15" customHeight="1" x14ac:dyDescent="0.3">
      <c r="A77" s="147"/>
      <c r="B77" s="287" t="s">
        <v>68</v>
      </c>
      <c r="C77" s="288">
        <f>SUM(C73:C76)</f>
        <v>350</v>
      </c>
      <c r="D77" s="289">
        <f t="shared" ref="D77:BD77" si="96">SUM(D73:D76)</f>
        <v>357</v>
      </c>
      <c r="E77" s="203">
        <f t="shared" si="96"/>
        <v>707</v>
      </c>
      <c r="F77" s="288">
        <f t="shared" si="96"/>
        <v>366</v>
      </c>
      <c r="G77" s="289">
        <f t="shared" si="96"/>
        <v>384</v>
      </c>
      <c r="H77" s="203">
        <f t="shared" si="96"/>
        <v>750</v>
      </c>
      <c r="I77" s="288">
        <f t="shared" si="96"/>
        <v>373</v>
      </c>
      <c r="J77" s="289">
        <f t="shared" si="96"/>
        <v>367</v>
      </c>
      <c r="K77" s="203">
        <f t="shared" si="96"/>
        <v>740</v>
      </c>
      <c r="L77" s="288">
        <f t="shared" si="96"/>
        <v>334</v>
      </c>
      <c r="M77" s="289">
        <f t="shared" si="96"/>
        <v>332</v>
      </c>
      <c r="N77" s="203">
        <f t="shared" si="96"/>
        <v>666</v>
      </c>
      <c r="O77" s="288">
        <f t="shared" si="96"/>
        <v>350</v>
      </c>
      <c r="P77" s="289">
        <f t="shared" si="96"/>
        <v>345</v>
      </c>
      <c r="Q77" s="203">
        <f t="shared" si="96"/>
        <v>695</v>
      </c>
      <c r="R77" s="288">
        <f t="shared" si="96"/>
        <v>356</v>
      </c>
      <c r="S77" s="289">
        <f t="shared" si="96"/>
        <v>347</v>
      </c>
      <c r="T77" s="203">
        <f t="shared" si="96"/>
        <v>703</v>
      </c>
      <c r="U77" s="288">
        <f t="shared" si="96"/>
        <v>306</v>
      </c>
      <c r="V77" s="289">
        <f t="shared" si="96"/>
        <v>308</v>
      </c>
      <c r="W77" s="203">
        <f t="shared" si="96"/>
        <v>614</v>
      </c>
      <c r="X77" s="288">
        <f t="shared" si="96"/>
        <v>313</v>
      </c>
      <c r="Y77" s="289">
        <f t="shared" si="96"/>
        <v>308</v>
      </c>
      <c r="Z77" s="203">
        <f t="shared" si="96"/>
        <v>621</v>
      </c>
      <c r="AA77" s="288">
        <f t="shared" si="96"/>
        <v>329</v>
      </c>
      <c r="AB77" s="289">
        <f t="shared" si="96"/>
        <v>312</v>
      </c>
      <c r="AC77" s="203">
        <f t="shared" si="96"/>
        <v>641</v>
      </c>
      <c r="AD77" s="288">
        <f t="shared" si="96"/>
        <v>313</v>
      </c>
      <c r="AE77" s="289">
        <f t="shared" si="96"/>
        <v>318</v>
      </c>
      <c r="AF77" s="203">
        <f t="shared" si="96"/>
        <v>631</v>
      </c>
      <c r="AG77" s="288">
        <f t="shared" si="96"/>
        <v>316</v>
      </c>
      <c r="AH77" s="289">
        <f t="shared" si="96"/>
        <v>319</v>
      </c>
      <c r="AI77" s="203">
        <f t="shared" si="96"/>
        <v>635</v>
      </c>
      <c r="AJ77" s="288">
        <f t="shared" si="96"/>
        <v>320</v>
      </c>
      <c r="AK77" s="289">
        <f t="shared" si="96"/>
        <v>305</v>
      </c>
      <c r="AL77" s="203">
        <f t="shared" si="96"/>
        <v>625</v>
      </c>
      <c r="AM77" s="288">
        <f t="shared" si="96"/>
        <v>330</v>
      </c>
      <c r="AN77" s="289">
        <f t="shared" si="96"/>
        <v>323</v>
      </c>
      <c r="AO77" s="203">
        <f t="shared" si="96"/>
        <v>653</v>
      </c>
      <c r="AP77" s="288">
        <f t="shared" si="96"/>
        <v>323</v>
      </c>
      <c r="AQ77" s="289">
        <f t="shared" si="96"/>
        <v>344</v>
      </c>
      <c r="AR77" s="203">
        <f t="shared" si="96"/>
        <v>667</v>
      </c>
      <c r="AS77" s="288">
        <f t="shared" si="96"/>
        <v>322</v>
      </c>
      <c r="AT77" s="289">
        <f t="shared" si="96"/>
        <v>339</v>
      </c>
      <c r="AU77" s="203">
        <f t="shared" si="96"/>
        <v>661</v>
      </c>
      <c r="AV77" s="288">
        <f t="shared" si="96"/>
        <v>331</v>
      </c>
      <c r="AW77" s="289">
        <f t="shared" si="96"/>
        <v>315</v>
      </c>
      <c r="AX77" s="203">
        <f t="shared" si="96"/>
        <v>646</v>
      </c>
      <c r="AY77" s="288">
        <f t="shared" si="96"/>
        <v>329</v>
      </c>
      <c r="AZ77" s="289">
        <f t="shared" si="96"/>
        <v>337</v>
      </c>
      <c r="BA77" s="203">
        <f t="shared" si="96"/>
        <v>666</v>
      </c>
      <c r="BB77" s="288">
        <f t="shared" si="96"/>
        <v>329</v>
      </c>
      <c r="BC77" s="289">
        <f t="shared" si="96"/>
        <v>325</v>
      </c>
      <c r="BD77" s="203">
        <f t="shared" si="96"/>
        <v>654</v>
      </c>
      <c r="BE77" s="288">
        <f t="shared" ref="BE77:BG77" si="97">SUM(BE73:BE76)</f>
        <v>299</v>
      </c>
      <c r="BF77" s="289">
        <f t="shared" si="97"/>
        <v>320</v>
      </c>
      <c r="BG77" s="203">
        <f t="shared" si="97"/>
        <v>619</v>
      </c>
      <c r="BH77" s="288">
        <f t="shared" ref="BH77:BJ77" si="98">SUM(BH73:BH76)</f>
        <v>316</v>
      </c>
      <c r="BI77" s="289">
        <f t="shared" si="98"/>
        <v>333</v>
      </c>
      <c r="BJ77" s="203">
        <f t="shared" si="98"/>
        <v>649</v>
      </c>
    </row>
    <row r="78" spans="1:62" s="38" customFormat="1" ht="15" customHeight="1" x14ac:dyDescent="0.3">
      <c r="A78" s="147"/>
      <c r="B78" s="88" t="s">
        <v>105</v>
      </c>
      <c r="C78" s="89">
        <f>SUM(C77,C72,C63)</f>
        <v>1750</v>
      </c>
      <c r="D78" s="90">
        <f t="shared" ref="D78:BD78" si="99">SUM(D77,D72,D63)</f>
        <v>1808</v>
      </c>
      <c r="E78" s="91">
        <f t="shared" si="99"/>
        <v>3558</v>
      </c>
      <c r="F78" s="89">
        <f t="shared" si="99"/>
        <v>2180</v>
      </c>
      <c r="G78" s="90">
        <f t="shared" si="99"/>
        <v>2061</v>
      </c>
      <c r="H78" s="91">
        <f t="shared" si="99"/>
        <v>4241</v>
      </c>
      <c r="I78" s="89">
        <f t="shared" si="99"/>
        <v>2101</v>
      </c>
      <c r="J78" s="90">
        <f t="shared" si="99"/>
        <v>1963</v>
      </c>
      <c r="K78" s="91">
        <f t="shared" si="99"/>
        <v>4064</v>
      </c>
      <c r="L78" s="89">
        <f t="shared" si="99"/>
        <v>1880</v>
      </c>
      <c r="M78" s="90">
        <f t="shared" si="99"/>
        <v>1859</v>
      </c>
      <c r="N78" s="91">
        <f t="shared" si="99"/>
        <v>3739</v>
      </c>
      <c r="O78" s="89">
        <f t="shared" si="99"/>
        <v>1888</v>
      </c>
      <c r="P78" s="90">
        <f t="shared" si="99"/>
        <v>1745</v>
      </c>
      <c r="Q78" s="91">
        <f t="shared" si="99"/>
        <v>3633</v>
      </c>
      <c r="R78" s="89">
        <f t="shared" si="99"/>
        <v>1910</v>
      </c>
      <c r="S78" s="90">
        <f t="shared" si="99"/>
        <v>1785</v>
      </c>
      <c r="T78" s="91">
        <f t="shared" si="99"/>
        <v>3695</v>
      </c>
      <c r="U78" s="89">
        <f t="shared" si="99"/>
        <v>1739</v>
      </c>
      <c r="V78" s="90">
        <f t="shared" si="99"/>
        <v>1660</v>
      </c>
      <c r="W78" s="91">
        <f t="shared" si="99"/>
        <v>3399</v>
      </c>
      <c r="X78" s="89">
        <f t="shared" si="99"/>
        <v>1780</v>
      </c>
      <c r="Y78" s="90">
        <f t="shared" si="99"/>
        <v>1783</v>
      </c>
      <c r="Z78" s="91">
        <f t="shared" si="99"/>
        <v>3563</v>
      </c>
      <c r="AA78" s="89">
        <f t="shared" si="99"/>
        <v>1794</v>
      </c>
      <c r="AB78" s="90">
        <f t="shared" si="99"/>
        <v>1688</v>
      </c>
      <c r="AC78" s="91">
        <f t="shared" si="99"/>
        <v>3482</v>
      </c>
      <c r="AD78" s="89">
        <f t="shared" si="99"/>
        <v>1754</v>
      </c>
      <c r="AE78" s="90">
        <f t="shared" si="99"/>
        <v>1758</v>
      </c>
      <c r="AF78" s="91">
        <f t="shared" si="99"/>
        <v>3512</v>
      </c>
      <c r="AG78" s="89">
        <f t="shared" si="99"/>
        <v>1792</v>
      </c>
      <c r="AH78" s="90">
        <f t="shared" si="99"/>
        <v>1782</v>
      </c>
      <c r="AI78" s="91">
        <f t="shared" si="99"/>
        <v>3574</v>
      </c>
      <c r="AJ78" s="89">
        <f t="shared" si="99"/>
        <v>1892</v>
      </c>
      <c r="AK78" s="90">
        <f t="shared" si="99"/>
        <v>1764</v>
      </c>
      <c r="AL78" s="91">
        <f t="shared" si="99"/>
        <v>3656</v>
      </c>
      <c r="AM78" s="89">
        <f t="shared" si="99"/>
        <v>1852</v>
      </c>
      <c r="AN78" s="90">
        <f t="shared" si="99"/>
        <v>1805</v>
      </c>
      <c r="AO78" s="91">
        <f t="shared" si="99"/>
        <v>3657</v>
      </c>
      <c r="AP78" s="89">
        <f t="shared" si="99"/>
        <v>1847</v>
      </c>
      <c r="AQ78" s="90">
        <f t="shared" si="99"/>
        <v>1968</v>
      </c>
      <c r="AR78" s="91">
        <f t="shared" si="99"/>
        <v>3815</v>
      </c>
      <c r="AS78" s="89">
        <f t="shared" si="99"/>
        <v>1924</v>
      </c>
      <c r="AT78" s="90">
        <f t="shared" si="99"/>
        <v>1884</v>
      </c>
      <c r="AU78" s="91">
        <f t="shared" si="99"/>
        <v>3808</v>
      </c>
      <c r="AV78" s="89">
        <f t="shared" si="99"/>
        <v>1892</v>
      </c>
      <c r="AW78" s="90">
        <f t="shared" si="99"/>
        <v>1843</v>
      </c>
      <c r="AX78" s="91">
        <f t="shared" si="99"/>
        <v>3735</v>
      </c>
      <c r="AY78" s="89">
        <f t="shared" si="99"/>
        <v>1855</v>
      </c>
      <c r="AZ78" s="90">
        <f t="shared" si="99"/>
        <v>1926</v>
      </c>
      <c r="BA78" s="91">
        <f t="shared" si="99"/>
        <v>3781</v>
      </c>
      <c r="BB78" s="89">
        <f t="shared" si="99"/>
        <v>1857</v>
      </c>
      <c r="BC78" s="90">
        <f t="shared" si="99"/>
        <v>1877</v>
      </c>
      <c r="BD78" s="91">
        <f t="shared" si="99"/>
        <v>3734</v>
      </c>
      <c r="BE78" s="89">
        <f t="shared" ref="BE78:BG78" si="100">SUM(BE77,BE72,BE63)</f>
        <v>1763</v>
      </c>
      <c r="BF78" s="90">
        <f t="shared" si="100"/>
        <v>1798</v>
      </c>
      <c r="BG78" s="91">
        <f t="shared" si="100"/>
        <v>3561</v>
      </c>
      <c r="BH78" s="89">
        <f t="shared" ref="BH78:BJ78" si="101">SUM(BH77,BH72,BH63)</f>
        <v>1831</v>
      </c>
      <c r="BI78" s="90">
        <f t="shared" si="101"/>
        <v>1857</v>
      </c>
      <c r="BJ78" s="91">
        <f t="shared" si="101"/>
        <v>3688</v>
      </c>
    </row>
    <row r="79" spans="1:62" s="38" customFormat="1" ht="15" customHeight="1" x14ac:dyDescent="0.3">
      <c r="A79" s="147"/>
      <c r="B79" s="32" t="s">
        <v>60</v>
      </c>
      <c r="C79" s="329"/>
      <c r="D79" s="380"/>
      <c r="E79" s="35"/>
      <c r="F79" s="381"/>
      <c r="G79" s="380"/>
      <c r="H79" s="35"/>
      <c r="I79" s="329"/>
      <c r="J79" s="330">
        <v>57</v>
      </c>
      <c r="K79" s="35">
        <v>57</v>
      </c>
      <c r="L79" s="329"/>
      <c r="M79" s="382">
        <v>43</v>
      </c>
      <c r="N79" s="35">
        <v>43</v>
      </c>
      <c r="O79" s="329"/>
      <c r="P79" s="330">
        <v>68</v>
      </c>
      <c r="Q79" s="35">
        <v>68</v>
      </c>
      <c r="R79" s="329"/>
      <c r="S79" s="330">
        <v>63</v>
      </c>
      <c r="T79" s="35">
        <v>63</v>
      </c>
      <c r="U79" s="329"/>
      <c r="V79" s="330">
        <v>28</v>
      </c>
      <c r="W79" s="35">
        <v>28</v>
      </c>
      <c r="X79" s="329"/>
      <c r="Y79" s="330">
        <v>30</v>
      </c>
      <c r="Z79" s="35">
        <f t="shared" ref="Z79:Z91" si="102">SUM(X79:Y79)</f>
        <v>30</v>
      </c>
      <c r="AA79" s="329"/>
      <c r="AB79" s="330">
        <v>31</v>
      </c>
      <c r="AC79" s="35">
        <f t="shared" si="1"/>
        <v>31</v>
      </c>
      <c r="AD79" s="329"/>
      <c r="AE79" s="330">
        <v>29</v>
      </c>
      <c r="AF79" s="35">
        <f t="shared" si="2"/>
        <v>29</v>
      </c>
      <c r="AG79" s="329"/>
      <c r="AH79" s="330">
        <v>34</v>
      </c>
      <c r="AI79" s="35">
        <f>SUM(AG79:AH79)</f>
        <v>34</v>
      </c>
      <c r="AJ79" s="329">
        <v>30</v>
      </c>
      <c r="AK79" s="330">
        <v>30</v>
      </c>
      <c r="AL79" s="35">
        <f>SUM(AJ79:AK79)</f>
        <v>60</v>
      </c>
      <c r="AM79" s="329">
        <v>32</v>
      </c>
      <c r="AN79" s="330">
        <v>33</v>
      </c>
      <c r="AO79" s="35">
        <f>SUM(AM79:AN79)</f>
        <v>65</v>
      </c>
      <c r="AP79" s="329">
        <v>32</v>
      </c>
      <c r="AQ79" s="330">
        <v>33</v>
      </c>
      <c r="AR79" s="35">
        <f>SUM(AP79:AQ79)</f>
        <v>65</v>
      </c>
      <c r="AS79" s="329">
        <v>31</v>
      </c>
      <c r="AT79" s="330">
        <v>32</v>
      </c>
      <c r="AU79" s="35">
        <f>SUM(AS79:AT79)</f>
        <v>63</v>
      </c>
      <c r="AV79" s="329">
        <v>31</v>
      </c>
      <c r="AW79" s="330">
        <v>30</v>
      </c>
      <c r="AX79" s="35">
        <f>SUM(AV79:AW79)</f>
        <v>61</v>
      </c>
      <c r="AY79" s="329">
        <v>35</v>
      </c>
      <c r="AZ79" s="330">
        <v>34</v>
      </c>
      <c r="BA79" s="35">
        <f>SUM(AY79:AZ79)</f>
        <v>69</v>
      </c>
      <c r="BB79" s="329">
        <v>33</v>
      </c>
      <c r="BC79" s="330">
        <v>35</v>
      </c>
      <c r="BD79" s="35">
        <f>SUM(BB79:BC79)</f>
        <v>68</v>
      </c>
      <c r="BE79" s="329">
        <v>32</v>
      </c>
      <c r="BF79" s="330">
        <v>34</v>
      </c>
      <c r="BG79" s="35">
        <f>SUM(BE79:BF79)</f>
        <v>66</v>
      </c>
      <c r="BH79" s="329">
        <v>35</v>
      </c>
      <c r="BI79" s="330">
        <v>32</v>
      </c>
      <c r="BJ79" s="35">
        <f>SUM(BH79:BI79)</f>
        <v>67</v>
      </c>
    </row>
    <row r="80" spans="1:62" s="38" customFormat="1" ht="15" customHeight="1" x14ac:dyDescent="0.3">
      <c r="A80" s="147"/>
      <c r="B80" s="39" t="s">
        <v>61</v>
      </c>
      <c r="C80" s="82"/>
      <c r="D80" s="296"/>
      <c r="E80" s="42"/>
      <c r="F80" s="293"/>
      <c r="G80" s="296"/>
      <c r="H80" s="42"/>
      <c r="I80" s="82"/>
      <c r="J80" s="83">
        <v>54</v>
      </c>
      <c r="K80" s="42">
        <v>54</v>
      </c>
      <c r="L80" s="82"/>
      <c r="M80" s="299"/>
      <c r="N80" s="42"/>
      <c r="O80" s="82"/>
      <c r="P80" s="83"/>
      <c r="Q80" s="42"/>
      <c r="R80" s="82"/>
      <c r="S80" s="83"/>
      <c r="T80" s="42">
        <v>0</v>
      </c>
      <c r="U80" s="82"/>
      <c r="V80" s="83"/>
      <c r="W80" s="42">
        <v>0</v>
      </c>
      <c r="X80" s="82"/>
      <c r="Y80" s="83"/>
      <c r="Z80" s="42">
        <f t="shared" si="102"/>
        <v>0</v>
      </c>
      <c r="AA80" s="82"/>
      <c r="AB80" s="83"/>
      <c r="AC80" s="42">
        <f t="shared" si="1"/>
        <v>0</v>
      </c>
      <c r="AD80" s="82"/>
      <c r="AE80" s="83"/>
      <c r="AF80" s="42">
        <f t="shared" si="2"/>
        <v>0</v>
      </c>
      <c r="AG80" s="82"/>
      <c r="AH80" s="83"/>
      <c r="AI80" s="42">
        <f>SUM(AG80:AH80)</f>
        <v>0</v>
      </c>
      <c r="AJ80" s="82"/>
      <c r="AK80" s="83"/>
      <c r="AL80" s="42">
        <f>SUM(AJ80:AK80)</f>
        <v>0</v>
      </c>
      <c r="AM80" s="82"/>
      <c r="AN80" s="83">
        <v>36</v>
      </c>
      <c r="AO80" s="42">
        <f>SUM(AM80:AN80)</f>
        <v>36</v>
      </c>
      <c r="AP80" s="82"/>
      <c r="AQ80" s="83">
        <v>35</v>
      </c>
      <c r="AR80" s="42">
        <f>SUM(AP80:AQ80)</f>
        <v>35</v>
      </c>
      <c r="AS80" s="82"/>
      <c r="AT80" s="83">
        <v>30</v>
      </c>
      <c r="AU80" s="42">
        <f>SUM(AS80:AT80)</f>
        <v>30</v>
      </c>
      <c r="AV80" s="82"/>
      <c r="AW80" s="83">
        <v>30</v>
      </c>
      <c r="AX80" s="42">
        <f>SUM(AV80:AW80)</f>
        <v>30</v>
      </c>
      <c r="AY80" s="82"/>
      <c r="AZ80" s="83">
        <v>32</v>
      </c>
      <c r="BA80" s="42">
        <f>SUM(AY80:AZ80)</f>
        <v>32</v>
      </c>
      <c r="BB80" s="82"/>
      <c r="BC80" s="83">
        <v>35</v>
      </c>
      <c r="BD80" s="42">
        <f>SUM(BB80:BC80)</f>
        <v>35</v>
      </c>
      <c r="BE80" s="82"/>
      <c r="BF80" s="83">
        <v>34</v>
      </c>
      <c r="BG80" s="42">
        <f>SUM(BE80:BF80)</f>
        <v>34</v>
      </c>
      <c r="BH80" s="82">
        <v>0</v>
      </c>
      <c r="BI80" s="83">
        <v>33</v>
      </c>
      <c r="BJ80" s="42">
        <f>SUM(BH80:BI80)</f>
        <v>33</v>
      </c>
    </row>
    <row r="81" spans="1:62" s="38" customFormat="1" ht="15" customHeight="1" x14ac:dyDescent="0.25">
      <c r="A81" s="147"/>
      <c r="B81" s="39" t="s">
        <v>106</v>
      </c>
      <c r="C81" s="82"/>
      <c r="D81" s="296"/>
      <c r="E81" s="42"/>
      <c r="F81" s="293"/>
      <c r="G81" s="296"/>
      <c r="H81" s="42"/>
      <c r="I81" s="82"/>
      <c r="J81" s="83"/>
      <c r="K81" s="42"/>
      <c r="L81" s="82"/>
      <c r="M81" s="83"/>
      <c r="N81" s="42"/>
      <c r="O81" s="82"/>
      <c r="P81" s="83">
        <v>22</v>
      </c>
      <c r="Q81" s="42">
        <v>22</v>
      </c>
      <c r="R81" s="82"/>
      <c r="S81" s="83">
        <v>21</v>
      </c>
      <c r="T81" s="42">
        <v>21</v>
      </c>
      <c r="U81" s="82"/>
      <c r="V81" s="83">
        <v>23</v>
      </c>
      <c r="W81" s="42">
        <v>23</v>
      </c>
      <c r="X81" s="82"/>
      <c r="Y81" s="83">
        <v>37</v>
      </c>
      <c r="Z81" s="42">
        <f t="shared" si="102"/>
        <v>37</v>
      </c>
      <c r="AA81" s="82"/>
      <c r="AB81" s="83">
        <v>26</v>
      </c>
      <c r="AC81" s="42">
        <f t="shared" si="1"/>
        <v>26</v>
      </c>
      <c r="AD81" s="82"/>
      <c r="AE81" s="83">
        <v>27</v>
      </c>
      <c r="AF81" s="42">
        <f t="shared" si="2"/>
        <v>27</v>
      </c>
      <c r="AG81" s="82"/>
      <c r="AH81" s="83">
        <v>30</v>
      </c>
      <c r="AI81" s="42">
        <f>SUM(AG81:AH81)</f>
        <v>30</v>
      </c>
      <c r="AJ81" s="82">
        <v>34</v>
      </c>
      <c r="AK81" s="83">
        <v>34</v>
      </c>
      <c r="AL81" s="42">
        <f>SUM(AJ81:AK81)</f>
        <v>68</v>
      </c>
      <c r="AM81" s="82">
        <v>33</v>
      </c>
      <c r="AN81" s="83">
        <v>30</v>
      </c>
      <c r="AO81" s="42">
        <f>SUM(AM81:AN81)</f>
        <v>63</v>
      </c>
      <c r="AP81" s="82">
        <v>33</v>
      </c>
      <c r="AQ81" s="83">
        <v>33</v>
      </c>
      <c r="AR81" s="42">
        <f>SUM(AP81:AQ81)</f>
        <v>66</v>
      </c>
      <c r="AS81" s="82">
        <v>33</v>
      </c>
      <c r="AT81" s="83">
        <v>32</v>
      </c>
      <c r="AU81" s="42">
        <f>SUM(AS81:AT81)</f>
        <v>65</v>
      </c>
      <c r="AV81" s="82">
        <v>31</v>
      </c>
      <c r="AW81" s="83">
        <v>30</v>
      </c>
      <c r="AX81" s="42">
        <f>SUM(AV81:AW81)</f>
        <v>61</v>
      </c>
      <c r="AY81" s="82">
        <v>32</v>
      </c>
      <c r="AZ81" s="83">
        <v>32</v>
      </c>
      <c r="BA81" s="42">
        <f>SUM(AY81:AZ81)</f>
        <v>64</v>
      </c>
      <c r="BB81" s="82">
        <v>31</v>
      </c>
      <c r="BC81" s="83">
        <v>33</v>
      </c>
      <c r="BD81" s="42">
        <f>SUM(BB81:BC81)</f>
        <v>64</v>
      </c>
      <c r="BE81" s="82">
        <v>25</v>
      </c>
      <c r="BF81" s="83">
        <v>22</v>
      </c>
      <c r="BG81" s="42">
        <f>SUM(BE81:BF81)</f>
        <v>47</v>
      </c>
      <c r="BH81" s="82">
        <v>20</v>
      </c>
      <c r="BI81" s="83">
        <v>20</v>
      </c>
      <c r="BJ81" s="42">
        <f>SUM(BH81:BI81)</f>
        <v>40</v>
      </c>
    </row>
    <row r="82" spans="1:62" s="38" customFormat="1" ht="15" customHeight="1" x14ac:dyDescent="0.3">
      <c r="A82" s="147"/>
      <c r="B82" s="45" t="s">
        <v>107</v>
      </c>
      <c r="C82" s="283"/>
      <c r="D82" s="282"/>
      <c r="E82" s="48"/>
      <c r="F82" s="283"/>
      <c r="G82" s="282"/>
      <c r="H82" s="48"/>
      <c r="I82" s="46"/>
      <c r="J82" s="50"/>
      <c r="K82" s="48"/>
      <c r="L82" s="46"/>
      <c r="M82" s="50"/>
      <c r="N82" s="48"/>
      <c r="O82" s="46"/>
      <c r="P82" s="50">
        <v>31</v>
      </c>
      <c r="Q82" s="48">
        <v>31</v>
      </c>
      <c r="R82" s="46"/>
      <c r="S82" s="50">
        <v>32</v>
      </c>
      <c r="T82" s="48">
        <v>32</v>
      </c>
      <c r="U82" s="46"/>
      <c r="V82" s="50">
        <v>30</v>
      </c>
      <c r="W82" s="48">
        <v>30</v>
      </c>
      <c r="X82" s="46"/>
      <c r="Y82" s="50">
        <v>28</v>
      </c>
      <c r="Z82" s="48">
        <f t="shared" si="102"/>
        <v>28</v>
      </c>
      <c r="AA82" s="51"/>
      <c r="AB82" s="50">
        <v>30</v>
      </c>
      <c r="AC82" s="48">
        <f t="shared" si="1"/>
        <v>30</v>
      </c>
      <c r="AD82" s="51"/>
      <c r="AE82" s="50">
        <v>30</v>
      </c>
      <c r="AF82" s="48">
        <f t="shared" si="2"/>
        <v>30</v>
      </c>
      <c r="AG82" s="51"/>
      <c r="AH82" s="50">
        <v>30</v>
      </c>
      <c r="AI82" s="48">
        <f>SUM(AG82:AH82)</f>
        <v>30</v>
      </c>
      <c r="AJ82" s="51">
        <v>33</v>
      </c>
      <c r="AK82" s="50">
        <v>35</v>
      </c>
      <c r="AL82" s="48">
        <f>SUM(AJ82:AK82)</f>
        <v>68</v>
      </c>
      <c r="AM82" s="51">
        <v>32</v>
      </c>
      <c r="AN82" s="50">
        <v>30</v>
      </c>
      <c r="AO82" s="48">
        <f>SUM(AM82:AN82)</f>
        <v>62</v>
      </c>
      <c r="AP82" s="51">
        <v>32</v>
      </c>
      <c r="AQ82" s="50">
        <v>34</v>
      </c>
      <c r="AR82" s="48">
        <f>SUM(AP82:AQ82)</f>
        <v>66</v>
      </c>
      <c r="AS82" s="51">
        <v>34</v>
      </c>
      <c r="AT82" s="50">
        <v>32</v>
      </c>
      <c r="AU82" s="48">
        <f>SUM(AS82:AT82)</f>
        <v>66</v>
      </c>
      <c r="AV82" s="51">
        <v>30</v>
      </c>
      <c r="AW82" s="50">
        <v>30</v>
      </c>
      <c r="AX82" s="48">
        <f>SUM(AV82:AW82)</f>
        <v>60</v>
      </c>
      <c r="AY82" s="51">
        <v>36</v>
      </c>
      <c r="AZ82" s="50">
        <v>33</v>
      </c>
      <c r="BA82" s="48">
        <f>SUM(AY82:AZ82)</f>
        <v>69</v>
      </c>
      <c r="BB82" s="51">
        <v>35</v>
      </c>
      <c r="BC82" s="50">
        <v>34</v>
      </c>
      <c r="BD82" s="48">
        <f>SUM(BB82:BC82)</f>
        <v>69</v>
      </c>
      <c r="BE82" s="51">
        <v>32</v>
      </c>
      <c r="BF82" s="50">
        <v>32</v>
      </c>
      <c r="BG82" s="48">
        <f>SUM(BE82:BF82)</f>
        <v>64</v>
      </c>
      <c r="BH82" s="51">
        <v>32</v>
      </c>
      <c r="BI82" s="50">
        <v>32</v>
      </c>
      <c r="BJ82" s="48">
        <f>SUM(BH82:BI82)</f>
        <v>64</v>
      </c>
    </row>
    <row r="83" spans="1:62" s="38" customFormat="1" ht="15" customHeight="1" x14ac:dyDescent="0.3">
      <c r="A83" s="147"/>
      <c r="B83" s="287" t="s">
        <v>64</v>
      </c>
      <c r="C83" s="288"/>
      <c r="D83" s="289"/>
      <c r="E83" s="203"/>
      <c r="F83" s="288"/>
      <c r="G83" s="289"/>
      <c r="H83" s="203"/>
      <c r="I83" s="288"/>
      <c r="J83" s="289">
        <f>SUM(J79:J82)</f>
        <v>111</v>
      </c>
      <c r="K83" s="203">
        <f t="shared" ref="K83:BD83" si="103">SUM(K79:K82)</f>
        <v>111</v>
      </c>
      <c r="L83" s="288">
        <f t="shared" si="103"/>
        <v>0</v>
      </c>
      <c r="M83" s="289">
        <f t="shared" si="103"/>
        <v>43</v>
      </c>
      <c r="N83" s="203">
        <f t="shared" si="103"/>
        <v>43</v>
      </c>
      <c r="O83" s="288">
        <f t="shared" si="103"/>
        <v>0</v>
      </c>
      <c r="P83" s="289">
        <f t="shared" si="103"/>
        <v>121</v>
      </c>
      <c r="Q83" s="203">
        <f t="shared" si="103"/>
        <v>121</v>
      </c>
      <c r="R83" s="288">
        <f t="shared" si="103"/>
        <v>0</v>
      </c>
      <c r="S83" s="289">
        <f t="shared" si="103"/>
        <v>116</v>
      </c>
      <c r="T83" s="203">
        <f t="shared" si="103"/>
        <v>116</v>
      </c>
      <c r="U83" s="288">
        <f t="shared" si="103"/>
        <v>0</v>
      </c>
      <c r="V83" s="289">
        <f t="shared" si="103"/>
        <v>81</v>
      </c>
      <c r="W83" s="203">
        <f t="shared" si="103"/>
        <v>81</v>
      </c>
      <c r="X83" s="288">
        <f t="shared" si="103"/>
        <v>0</v>
      </c>
      <c r="Y83" s="289">
        <f t="shared" si="103"/>
        <v>95</v>
      </c>
      <c r="Z83" s="203">
        <f t="shared" si="103"/>
        <v>95</v>
      </c>
      <c r="AA83" s="288">
        <f t="shared" si="103"/>
        <v>0</v>
      </c>
      <c r="AB83" s="289">
        <f t="shared" si="103"/>
        <v>87</v>
      </c>
      <c r="AC83" s="203">
        <f t="shared" si="103"/>
        <v>87</v>
      </c>
      <c r="AD83" s="288">
        <f t="shared" si="103"/>
        <v>0</v>
      </c>
      <c r="AE83" s="289">
        <f t="shared" si="103"/>
        <v>86</v>
      </c>
      <c r="AF83" s="203">
        <f t="shared" si="103"/>
        <v>86</v>
      </c>
      <c r="AG83" s="288">
        <f t="shared" si="103"/>
        <v>0</v>
      </c>
      <c r="AH83" s="289">
        <f t="shared" si="103"/>
        <v>94</v>
      </c>
      <c r="AI83" s="203">
        <f t="shared" si="103"/>
        <v>94</v>
      </c>
      <c r="AJ83" s="288">
        <f t="shared" si="103"/>
        <v>97</v>
      </c>
      <c r="AK83" s="289">
        <f t="shared" si="103"/>
        <v>99</v>
      </c>
      <c r="AL83" s="203">
        <f t="shared" si="103"/>
        <v>196</v>
      </c>
      <c r="AM83" s="288">
        <f t="shared" si="103"/>
        <v>97</v>
      </c>
      <c r="AN83" s="289">
        <f t="shared" si="103"/>
        <v>129</v>
      </c>
      <c r="AO83" s="203">
        <f t="shared" si="103"/>
        <v>226</v>
      </c>
      <c r="AP83" s="288">
        <f t="shared" si="103"/>
        <v>97</v>
      </c>
      <c r="AQ83" s="290">
        <f t="shared" si="103"/>
        <v>135</v>
      </c>
      <c r="AR83" s="203">
        <f t="shared" si="103"/>
        <v>232</v>
      </c>
      <c r="AS83" s="288">
        <f t="shared" si="103"/>
        <v>98</v>
      </c>
      <c r="AT83" s="290">
        <f t="shared" si="103"/>
        <v>126</v>
      </c>
      <c r="AU83" s="203">
        <f t="shared" si="103"/>
        <v>224</v>
      </c>
      <c r="AV83" s="288">
        <f t="shared" si="103"/>
        <v>92</v>
      </c>
      <c r="AW83" s="290">
        <f t="shared" si="103"/>
        <v>120</v>
      </c>
      <c r="AX83" s="203">
        <f t="shared" si="103"/>
        <v>212</v>
      </c>
      <c r="AY83" s="288">
        <f t="shared" si="103"/>
        <v>103</v>
      </c>
      <c r="AZ83" s="290">
        <f t="shared" si="103"/>
        <v>131</v>
      </c>
      <c r="BA83" s="203">
        <f t="shared" si="103"/>
        <v>234</v>
      </c>
      <c r="BB83" s="288">
        <f t="shared" si="103"/>
        <v>99</v>
      </c>
      <c r="BC83" s="290">
        <f t="shared" si="103"/>
        <v>137</v>
      </c>
      <c r="BD83" s="203">
        <f t="shared" si="103"/>
        <v>236</v>
      </c>
      <c r="BE83" s="288">
        <f t="shared" ref="BE83:BG83" si="104">SUM(BE79:BE82)</f>
        <v>89</v>
      </c>
      <c r="BF83" s="290">
        <f>SUM(BF79:BF82)</f>
        <v>122</v>
      </c>
      <c r="BG83" s="203">
        <f t="shared" si="104"/>
        <v>211</v>
      </c>
      <c r="BH83" s="288">
        <f t="shared" ref="BH83" si="105">SUM(BH79:BH82)</f>
        <v>87</v>
      </c>
      <c r="BI83" s="290">
        <f>SUM(BI79:BI82)</f>
        <v>117</v>
      </c>
      <c r="BJ83" s="203">
        <f t="shared" ref="BJ83" si="106">SUM(BJ79:BJ82)</f>
        <v>204</v>
      </c>
    </row>
    <row r="84" spans="1:62" s="38" customFormat="1" ht="15" customHeight="1" x14ac:dyDescent="0.25">
      <c r="A84" s="147"/>
      <c r="B84" s="74" t="s">
        <v>108</v>
      </c>
      <c r="C84" s="92"/>
      <c r="D84" s="383"/>
      <c r="E84" s="77"/>
      <c r="F84" s="384"/>
      <c r="G84" s="383"/>
      <c r="H84" s="77"/>
      <c r="I84" s="92"/>
      <c r="J84" s="93">
        <v>34</v>
      </c>
      <c r="K84" s="77">
        <v>34</v>
      </c>
      <c r="L84" s="92"/>
      <c r="M84" s="93">
        <v>30</v>
      </c>
      <c r="N84" s="77">
        <v>30</v>
      </c>
      <c r="O84" s="75"/>
      <c r="P84" s="76">
        <v>57</v>
      </c>
      <c r="Q84" s="77">
        <v>57</v>
      </c>
      <c r="R84" s="75"/>
      <c r="S84" s="76">
        <v>56</v>
      </c>
      <c r="T84" s="77">
        <v>56</v>
      </c>
      <c r="U84" s="75"/>
      <c r="V84" s="76">
        <v>28</v>
      </c>
      <c r="W84" s="77">
        <v>28</v>
      </c>
      <c r="X84" s="75"/>
      <c r="Y84" s="76">
        <v>42</v>
      </c>
      <c r="Z84" s="77">
        <f t="shared" si="102"/>
        <v>42</v>
      </c>
      <c r="AA84" s="75"/>
      <c r="AB84" s="76">
        <v>36</v>
      </c>
      <c r="AC84" s="77">
        <f t="shared" ref="AC84:AC102" si="107">SUM(AA84:AB84)</f>
        <v>36</v>
      </c>
      <c r="AD84" s="75"/>
      <c r="AE84" s="76">
        <v>47</v>
      </c>
      <c r="AF84" s="77">
        <f t="shared" ref="AF84:AF102" si="108">SUM(AD84:AE84)</f>
        <v>47</v>
      </c>
      <c r="AG84" s="75"/>
      <c r="AH84" s="76">
        <v>39</v>
      </c>
      <c r="AI84" s="77">
        <f>SUM(AG84:AH84)</f>
        <v>39</v>
      </c>
      <c r="AJ84" s="75"/>
      <c r="AK84" s="76">
        <v>60</v>
      </c>
      <c r="AL84" s="77">
        <f>SUM(AJ84:AK84)</f>
        <v>60</v>
      </c>
      <c r="AM84" s="75"/>
      <c r="AN84" s="76">
        <v>57</v>
      </c>
      <c r="AO84" s="77">
        <f>SUM(AM84:AN84)</f>
        <v>57</v>
      </c>
      <c r="AP84" s="75"/>
      <c r="AQ84" s="76">
        <v>76</v>
      </c>
      <c r="AR84" s="77">
        <f>SUM(AP84:AQ84)</f>
        <v>76</v>
      </c>
      <c r="AS84" s="75"/>
      <c r="AT84" s="76">
        <v>75</v>
      </c>
      <c r="AU84" s="77">
        <f>SUM(AS84:AT84)</f>
        <v>75</v>
      </c>
      <c r="AV84" s="75"/>
      <c r="AW84" s="76">
        <v>75</v>
      </c>
      <c r="AX84" s="77">
        <f>SUM(AV84:AW84)</f>
        <v>75</v>
      </c>
      <c r="AY84" s="75"/>
      <c r="AZ84" s="76">
        <v>77</v>
      </c>
      <c r="BA84" s="77">
        <f>SUM(AY84:AZ84)</f>
        <v>77</v>
      </c>
      <c r="BB84" s="75"/>
      <c r="BC84" s="76">
        <v>75</v>
      </c>
      <c r="BD84" s="77">
        <f>SUM(BB84:BC84)</f>
        <v>75</v>
      </c>
      <c r="BE84" s="75"/>
      <c r="BF84" s="76">
        <v>76</v>
      </c>
      <c r="BG84" s="77">
        <f>SUM(BE84:BF84)</f>
        <v>76</v>
      </c>
      <c r="BH84" s="75"/>
      <c r="BI84" s="76">
        <v>75</v>
      </c>
      <c r="BJ84" s="77">
        <f>SUM(BH84:BI84)</f>
        <v>75</v>
      </c>
    </row>
    <row r="85" spans="1:62" s="38" customFormat="1" ht="15" customHeight="1" x14ac:dyDescent="0.25">
      <c r="A85" s="147"/>
      <c r="B85" s="39" t="s">
        <v>109</v>
      </c>
      <c r="C85" s="82"/>
      <c r="D85" s="296"/>
      <c r="E85" s="42"/>
      <c r="F85" s="293"/>
      <c r="G85" s="296"/>
      <c r="H85" s="42"/>
      <c r="I85" s="82"/>
      <c r="J85" s="83"/>
      <c r="K85" s="42"/>
      <c r="L85" s="82"/>
      <c r="M85" s="83"/>
      <c r="N85" s="42"/>
      <c r="O85" s="82"/>
      <c r="P85" s="83">
        <v>25</v>
      </c>
      <c r="Q85" s="42">
        <v>25</v>
      </c>
      <c r="R85" s="82"/>
      <c r="S85" s="83">
        <v>24</v>
      </c>
      <c r="T85" s="42">
        <v>24</v>
      </c>
      <c r="U85" s="82"/>
      <c r="V85" s="83">
        <v>41</v>
      </c>
      <c r="W85" s="42">
        <v>41</v>
      </c>
      <c r="X85" s="82"/>
      <c r="Y85" s="83">
        <v>39</v>
      </c>
      <c r="Z85" s="42">
        <f t="shared" si="102"/>
        <v>39</v>
      </c>
      <c r="AA85" s="82"/>
      <c r="AB85" s="83">
        <v>41</v>
      </c>
      <c r="AC85" s="42">
        <f t="shared" si="107"/>
        <v>41</v>
      </c>
      <c r="AD85" s="82"/>
      <c r="AE85" s="83">
        <v>40</v>
      </c>
      <c r="AF85" s="42">
        <f t="shared" si="108"/>
        <v>40</v>
      </c>
      <c r="AG85" s="82"/>
      <c r="AH85" s="83">
        <v>38</v>
      </c>
      <c r="AI85" s="42">
        <f>SUM(AG85:AH85)</f>
        <v>38</v>
      </c>
      <c r="AJ85" s="82"/>
      <c r="AK85" s="83">
        <v>35</v>
      </c>
      <c r="AL85" s="42">
        <f>SUM(AJ85:AK85)</f>
        <v>35</v>
      </c>
      <c r="AM85" s="82"/>
      <c r="AN85" s="83">
        <v>49</v>
      </c>
      <c r="AO85" s="42">
        <f>SUM(AM85:AN85)</f>
        <v>49</v>
      </c>
      <c r="AP85" s="82"/>
      <c r="AQ85" s="83">
        <v>61</v>
      </c>
      <c r="AR85" s="42">
        <f>SUM(AP85:AQ85)</f>
        <v>61</v>
      </c>
      <c r="AS85" s="82"/>
      <c r="AT85" s="83">
        <v>60</v>
      </c>
      <c r="AU85" s="42">
        <f>SUM(AS85:AT85)</f>
        <v>60</v>
      </c>
      <c r="AV85" s="82"/>
      <c r="AW85" s="83">
        <v>69</v>
      </c>
      <c r="AX85" s="42">
        <f>SUM(AV85:AW85)</f>
        <v>69</v>
      </c>
      <c r="AY85" s="82"/>
      <c r="AZ85" s="83">
        <v>60</v>
      </c>
      <c r="BA85" s="42">
        <f>SUM(AY85:AZ85)</f>
        <v>60</v>
      </c>
      <c r="BB85" s="82"/>
      <c r="BC85" s="83">
        <v>61</v>
      </c>
      <c r="BD85" s="42">
        <f>SUM(BB85:BC85)</f>
        <v>61</v>
      </c>
      <c r="BE85" s="82"/>
      <c r="BF85" s="83">
        <v>60</v>
      </c>
      <c r="BG85" s="42">
        <f>SUM(BE85:BF85)</f>
        <v>60</v>
      </c>
      <c r="BH85" s="82"/>
      <c r="BI85" s="83">
        <v>60</v>
      </c>
      <c r="BJ85" s="42">
        <f>SUM(BH85:BI85)</f>
        <v>60</v>
      </c>
    </row>
    <row r="86" spans="1:62" s="38" customFormat="1" ht="15" customHeight="1" x14ac:dyDescent="0.3">
      <c r="A86" s="147"/>
      <c r="B86" s="45" t="s">
        <v>110</v>
      </c>
      <c r="C86" s="283"/>
      <c r="D86" s="282"/>
      <c r="E86" s="48"/>
      <c r="F86" s="283"/>
      <c r="G86" s="282"/>
      <c r="H86" s="48"/>
      <c r="I86" s="46"/>
      <c r="J86" s="50"/>
      <c r="K86" s="48"/>
      <c r="L86" s="46"/>
      <c r="M86" s="50"/>
      <c r="N86" s="48"/>
      <c r="O86" s="46"/>
      <c r="P86" s="50">
        <v>49</v>
      </c>
      <c r="Q86" s="48">
        <v>49</v>
      </c>
      <c r="R86" s="46"/>
      <c r="S86" s="50">
        <v>49</v>
      </c>
      <c r="T86" s="48">
        <v>49</v>
      </c>
      <c r="U86" s="46"/>
      <c r="V86" s="50">
        <v>27</v>
      </c>
      <c r="W86" s="48">
        <v>27</v>
      </c>
      <c r="X86" s="46"/>
      <c r="Y86" s="50">
        <v>36</v>
      </c>
      <c r="Z86" s="48">
        <f t="shared" si="102"/>
        <v>36</v>
      </c>
      <c r="AA86" s="51"/>
      <c r="AB86" s="50">
        <v>48</v>
      </c>
      <c r="AC86" s="48">
        <f t="shared" si="107"/>
        <v>48</v>
      </c>
      <c r="AD86" s="51"/>
      <c r="AE86" s="50">
        <v>47</v>
      </c>
      <c r="AF86" s="48">
        <f t="shared" si="108"/>
        <v>47</v>
      </c>
      <c r="AG86" s="51"/>
      <c r="AH86" s="50">
        <v>45</v>
      </c>
      <c r="AI86" s="48">
        <f>SUM(AG86:AH86)</f>
        <v>45</v>
      </c>
      <c r="AJ86" s="51"/>
      <c r="AK86" s="50">
        <v>60</v>
      </c>
      <c r="AL86" s="48">
        <f>SUM(AJ86:AK86)</f>
        <v>60</v>
      </c>
      <c r="AM86" s="51"/>
      <c r="AN86" s="50">
        <v>83</v>
      </c>
      <c r="AO86" s="48">
        <f>SUM(AM86:AN86)</f>
        <v>83</v>
      </c>
      <c r="AP86" s="51"/>
      <c r="AQ86" s="50">
        <v>89</v>
      </c>
      <c r="AR86" s="48">
        <f>SUM(AP86:AQ86)</f>
        <v>89</v>
      </c>
      <c r="AS86" s="51"/>
      <c r="AT86" s="50">
        <v>84</v>
      </c>
      <c r="AU86" s="48">
        <f>SUM(AS86:AT86)</f>
        <v>84</v>
      </c>
      <c r="AV86" s="51"/>
      <c r="AW86" s="50">
        <v>79</v>
      </c>
      <c r="AX86" s="48">
        <f>SUM(AV86:AW86)</f>
        <v>79</v>
      </c>
      <c r="AY86" s="51"/>
      <c r="AZ86" s="50">
        <v>90</v>
      </c>
      <c r="BA86" s="48">
        <f>SUM(AY86:AZ86)</f>
        <v>90</v>
      </c>
      <c r="BB86" s="51"/>
      <c r="BC86" s="50">
        <v>92</v>
      </c>
      <c r="BD86" s="48">
        <f>SUM(BB86:BC86)</f>
        <v>92</v>
      </c>
      <c r="BE86" s="51"/>
      <c r="BF86" s="50">
        <v>91</v>
      </c>
      <c r="BG86" s="48">
        <f>SUM(BE86:BF86)</f>
        <v>91</v>
      </c>
      <c r="BH86" s="51"/>
      <c r="BI86" s="50">
        <v>88</v>
      </c>
      <c r="BJ86" s="48">
        <f>SUM(BH86:BI86)</f>
        <v>88</v>
      </c>
    </row>
    <row r="87" spans="1:62" s="38" customFormat="1" ht="15" customHeight="1" x14ac:dyDescent="0.3">
      <c r="A87" s="147"/>
      <c r="B87" s="287" t="s">
        <v>111</v>
      </c>
      <c r="C87" s="288"/>
      <c r="D87" s="289"/>
      <c r="E87" s="203"/>
      <c r="F87" s="288"/>
      <c r="G87" s="289"/>
      <c r="H87" s="203"/>
      <c r="I87" s="288"/>
      <c r="J87" s="289">
        <f>SUM(J84:J86)</f>
        <v>34</v>
      </c>
      <c r="K87" s="203">
        <f t="shared" ref="K87:BD87" si="109">SUM(K84:K86)</f>
        <v>34</v>
      </c>
      <c r="L87" s="288">
        <f t="shared" si="109"/>
        <v>0</v>
      </c>
      <c r="M87" s="289">
        <f t="shared" si="109"/>
        <v>30</v>
      </c>
      <c r="N87" s="203">
        <f t="shared" si="109"/>
        <v>30</v>
      </c>
      <c r="O87" s="288">
        <f t="shared" si="109"/>
        <v>0</v>
      </c>
      <c r="P87" s="289">
        <f t="shared" si="109"/>
        <v>131</v>
      </c>
      <c r="Q87" s="203">
        <f t="shared" si="109"/>
        <v>131</v>
      </c>
      <c r="R87" s="288">
        <f t="shared" si="109"/>
        <v>0</v>
      </c>
      <c r="S87" s="289">
        <f t="shared" si="109"/>
        <v>129</v>
      </c>
      <c r="T87" s="203">
        <f t="shared" si="109"/>
        <v>129</v>
      </c>
      <c r="U87" s="288">
        <f t="shared" si="109"/>
        <v>0</v>
      </c>
      <c r="V87" s="289">
        <f t="shared" si="109"/>
        <v>96</v>
      </c>
      <c r="W87" s="203">
        <f t="shared" si="109"/>
        <v>96</v>
      </c>
      <c r="X87" s="288">
        <f t="shared" si="109"/>
        <v>0</v>
      </c>
      <c r="Y87" s="289">
        <f t="shared" si="109"/>
        <v>117</v>
      </c>
      <c r="Z87" s="203">
        <f t="shared" si="109"/>
        <v>117</v>
      </c>
      <c r="AA87" s="288">
        <f t="shared" si="109"/>
        <v>0</v>
      </c>
      <c r="AB87" s="289">
        <f t="shared" si="109"/>
        <v>125</v>
      </c>
      <c r="AC87" s="203">
        <f t="shared" si="109"/>
        <v>125</v>
      </c>
      <c r="AD87" s="288">
        <f t="shared" si="109"/>
        <v>0</v>
      </c>
      <c r="AE87" s="289">
        <f t="shared" si="109"/>
        <v>134</v>
      </c>
      <c r="AF87" s="203">
        <f t="shared" si="109"/>
        <v>134</v>
      </c>
      <c r="AG87" s="288">
        <f t="shared" si="109"/>
        <v>0</v>
      </c>
      <c r="AH87" s="289">
        <f t="shared" si="109"/>
        <v>122</v>
      </c>
      <c r="AI87" s="203">
        <f t="shared" si="109"/>
        <v>122</v>
      </c>
      <c r="AJ87" s="288">
        <f t="shared" si="109"/>
        <v>0</v>
      </c>
      <c r="AK87" s="289">
        <f t="shared" si="109"/>
        <v>155</v>
      </c>
      <c r="AL87" s="203">
        <f t="shared" si="109"/>
        <v>155</v>
      </c>
      <c r="AM87" s="288">
        <f t="shared" si="109"/>
        <v>0</v>
      </c>
      <c r="AN87" s="289">
        <f t="shared" si="109"/>
        <v>189</v>
      </c>
      <c r="AO87" s="203">
        <f t="shared" si="109"/>
        <v>189</v>
      </c>
      <c r="AP87" s="288">
        <f t="shared" si="109"/>
        <v>0</v>
      </c>
      <c r="AQ87" s="290">
        <f t="shared" si="109"/>
        <v>226</v>
      </c>
      <c r="AR87" s="203">
        <f t="shared" si="109"/>
        <v>226</v>
      </c>
      <c r="AS87" s="288">
        <f t="shared" si="109"/>
        <v>0</v>
      </c>
      <c r="AT87" s="290">
        <f t="shared" si="109"/>
        <v>219</v>
      </c>
      <c r="AU87" s="203">
        <f t="shared" si="109"/>
        <v>219</v>
      </c>
      <c r="AV87" s="288">
        <f t="shared" si="109"/>
        <v>0</v>
      </c>
      <c r="AW87" s="290">
        <f t="shared" si="109"/>
        <v>223</v>
      </c>
      <c r="AX87" s="203">
        <f t="shared" si="109"/>
        <v>223</v>
      </c>
      <c r="AY87" s="288">
        <f t="shared" si="109"/>
        <v>0</v>
      </c>
      <c r="AZ87" s="290">
        <f t="shared" si="109"/>
        <v>227</v>
      </c>
      <c r="BA87" s="203">
        <f t="shared" si="109"/>
        <v>227</v>
      </c>
      <c r="BB87" s="288">
        <f t="shared" si="109"/>
        <v>0</v>
      </c>
      <c r="BC87" s="290">
        <f t="shared" si="109"/>
        <v>228</v>
      </c>
      <c r="BD87" s="203">
        <f t="shared" si="109"/>
        <v>228</v>
      </c>
      <c r="BE87" s="288">
        <f t="shared" ref="BE87:BG87" si="110">SUM(BE84:BE86)</f>
        <v>0</v>
      </c>
      <c r="BF87" s="290">
        <f>SUM(BF84:BF86)</f>
        <v>227</v>
      </c>
      <c r="BG87" s="203">
        <f t="shared" si="110"/>
        <v>227</v>
      </c>
      <c r="BH87" s="288">
        <f t="shared" ref="BH87" si="111">SUM(BH84:BH86)</f>
        <v>0</v>
      </c>
      <c r="BI87" s="290">
        <f>SUM(BI84:BI86)</f>
        <v>223</v>
      </c>
      <c r="BJ87" s="203">
        <f t="shared" ref="BJ87" si="112">SUM(BJ84:BJ86)</f>
        <v>223</v>
      </c>
    </row>
    <row r="88" spans="1:62" s="38" customFormat="1" ht="15" customHeight="1" x14ac:dyDescent="0.3">
      <c r="A88" s="147"/>
      <c r="B88" s="32" t="s">
        <v>58</v>
      </c>
      <c r="C88" s="329"/>
      <c r="D88" s="380"/>
      <c r="E88" s="35"/>
      <c r="F88" s="381"/>
      <c r="G88" s="380"/>
      <c r="H88" s="35"/>
      <c r="I88" s="329"/>
      <c r="J88" s="330">
        <v>46</v>
      </c>
      <c r="K88" s="35">
        <v>46</v>
      </c>
      <c r="L88" s="329"/>
      <c r="M88" s="382">
        <v>24</v>
      </c>
      <c r="N88" s="35">
        <v>24</v>
      </c>
      <c r="O88" s="329"/>
      <c r="P88" s="330">
        <v>42</v>
      </c>
      <c r="Q88" s="35">
        <v>42</v>
      </c>
      <c r="R88" s="329"/>
      <c r="S88" s="330">
        <v>61</v>
      </c>
      <c r="T88" s="35">
        <v>61</v>
      </c>
      <c r="U88" s="329"/>
      <c r="V88" s="330">
        <v>32</v>
      </c>
      <c r="W88" s="35">
        <v>32</v>
      </c>
      <c r="X88" s="329"/>
      <c r="Y88" s="330">
        <v>28</v>
      </c>
      <c r="Z88" s="35">
        <f t="shared" si="102"/>
        <v>28</v>
      </c>
      <c r="AA88" s="329"/>
      <c r="AB88" s="330">
        <v>28</v>
      </c>
      <c r="AC88" s="35">
        <f t="shared" si="107"/>
        <v>28</v>
      </c>
      <c r="AD88" s="329"/>
      <c r="AE88" s="330">
        <v>35</v>
      </c>
      <c r="AF88" s="35">
        <f t="shared" si="108"/>
        <v>35</v>
      </c>
      <c r="AG88" s="329"/>
      <c r="AH88" s="330">
        <v>44</v>
      </c>
      <c r="AI88" s="35">
        <f>SUM(AG88:AH88)</f>
        <v>44</v>
      </c>
      <c r="AJ88" s="329"/>
      <c r="AK88" s="330">
        <v>70</v>
      </c>
      <c r="AL88" s="35">
        <f>SUM(AJ88:AK88)</f>
        <v>70</v>
      </c>
      <c r="AM88" s="329"/>
      <c r="AN88" s="330">
        <v>52</v>
      </c>
      <c r="AO88" s="35">
        <f>SUM(AM88:AN88)</f>
        <v>52</v>
      </c>
      <c r="AP88" s="329"/>
      <c r="AQ88" s="330">
        <v>69</v>
      </c>
      <c r="AR88" s="35">
        <f>SUM(AP88:AQ88)</f>
        <v>69</v>
      </c>
      <c r="AS88" s="329"/>
      <c r="AT88" s="330">
        <v>61</v>
      </c>
      <c r="AU88" s="35">
        <f>SUM(AS88:AT88)</f>
        <v>61</v>
      </c>
      <c r="AV88" s="329"/>
      <c r="AW88" s="330">
        <v>63</v>
      </c>
      <c r="AX88" s="35">
        <f>SUM(AV88:AW88)</f>
        <v>63</v>
      </c>
      <c r="AY88" s="329"/>
      <c r="AZ88" s="330">
        <v>71</v>
      </c>
      <c r="BA88" s="35">
        <f>SUM(AY88:AZ88)</f>
        <v>71</v>
      </c>
      <c r="BB88" s="329"/>
      <c r="BC88" s="330">
        <v>74</v>
      </c>
      <c r="BD88" s="35">
        <f>SUM(BB88:BC88)</f>
        <v>74</v>
      </c>
      <c r="BE88" s="329"/>
      <c r="BF88" s="330">
        <v>71</v>
      </c>
      <c r="BG88" s="35">
        <f>SUM(BE88:BF88)</f>
        <v>71</v>
      </c>
      <c r="BH88" s="329"/>
      <c r="BI88" s="330">
        <v>75</v>
      </c>
      <c r="BJ88" s="35">
        <f>SUM(BH88:BI88)</f>
        <v>75</v>
      </c>
    </row>
    <row r="89" spans="1:62" s="38" customFormat="1" ht="15" customHeight="1" x14ac:dyDescent="0.3">
      <c r="A89" s="147"/>
      <c r="B89" s="39" t="s">
        <v>112</v>
      </c>
      <c r="C89" s="82"/>
      <c r="D89" s="296"/>
      <c r="E89" s="42"/>
      <c r="F89" s="293"/>
      <c r="G89" s="296"/>
      <c r="H89" s="42"/>
      <c r="I89" s="82"/>
      <c r="J89" s="83">
        <v>12</v>
      </c>
      <c r="K89" s="42">
        <v>12</v>
      </c>
      <c r="L89" s="82"/>
      <c r="M89" s="297">
        <v>4</v>
      </c>
      <c r="N89" s="42">
        <v>4</v>
      </c>
      <c r="O89" s="82"/>
      <c r="P89" s="83">
        <v>22</v>
      </c>
      <c r="Q89" s="42">
        <v>22</v>
      </c>
      <c r="R89" s="82"/>
      <c r="S89" s="83">
        <v>30</v>
      </c>
      <c r="T89" s="42">
        <v>30</v>
      </c>
      <c r="U89" s="82"/>
      <c r="V89" s="83">
        <v>27</v>
      </c>
      <c r="W89" s="42">
        <v>27</v>
      </c>
      <c r="X89" s="82"/>
      <c r="Y89" s="83">
        <v>25</v>
      </c>
      <c r="Z89" s="42">
        <f t="shared" si="102"/>
        <v>25</v>
      </c>
      <c r="AA89" s="82"/>
      <c r="AB89" s="83">
        <v>27</v>
      </c>
      <c r="AC89" s="42">
        <f t="shared" si="107"/>
        <v>27</v>
      </c>
      <c r="AD89" s="82"/>
      <c r="AE89" s="83">
        <v>28</v>
      </c>
      <c r="AF89" s="42">
        <f t="shared" si="108"/>
        <v>28</v>
      </c>
      <c r="AG89" s="82"/>
      <c r="AH89" s="83">
        <v>28</v>
      </c>
      <c r="AI89" s="42">
        <f>SUM(AG89:AH89)</f>
        <v>28</v>
      </c>
      <c r="AJ89" s="82"/>
      <c r="AK89" s="83">
        <v>34</v>
      </c>
      <c r="AL89" s="42">
        <f>SUM(AJ89:AK89)</f>
        <v>34</v>
      </c>
      <c r="AM89" s="82"/>
      <c r="AN89" s="83">
        <v>31</v>
      </c>
      <c r="AO89" s="42">
        <f>SUM(AM89:AN89)</f>
        <v>31</v>
      </c>
      <c r="AP89" s="82"/>
      <c r="AQ89" s="83">
        <v>33</v>
      </c>
      <c r="AR89" s="42">
        <f>SUM(AP89:AQ89)</f>
        <v>33</v>
      </c>
      <c r="AS89" s="82"/>
      <c r="AT89" s="83">
        <v>31</v>
      </c>
      <c r="AU89" s="42">
        <f>SUM(AS89:AT89)</f>
        <v>31</v>
      </c>
      <c r="AV89" s="82"/>
      <c r="AW89" s="83">
        <v>30</v>
      </c>
      <c r="AX89" s="42">
        <f>SUM(AV89:AW89)</f>
        <v>30</v>
      </c>
      <c r="AY89" s="82"/>
      <c r="AZ89" s="83">
        <v>35</v>
      </c>
      <c r="BA89" s="42">
        <f>SUM(AY89:AZ89)</f>
        <v>35</v>
      </c>
      <c r="BB89" s="82"/>
      <c r="BC89" s="83">
        <v>36</v>
      </c>
      <c r="BD89" s="42">
        <f>SUM(BB89:BC89)</f>
        <v>36</v>
      </c>
      <c r="BE89" s="82"/>
      <c r="BF89" s="83">
        <v>33</v>
      </c>
      <c r="BG89" s="42">
        <f>SUM(BE89:BF89)</f>
        <v>33</v>
      </c>
      <c r="BH89" s="82"/>
      <c r="BI89" s="83">
        <v>34</v>
      </c>
      <c r="BJ89" s="42">
        <f>SUM(BH89:BI89)</f>
        <v>34</v>
      </c>
    </row>
    <row r="90" spans="1:62" s="38" customFormat="1" ht="15" customHeight="1" x14ac:dyDescent="0.3">
      <c r="A90" s="147"/>
      <c r="B90" s="39" t="s">
        <v>113</v>
      </c>
      <c r="C90" s="82"/>
      <c r="D90" s="296"/>
      <c r="E90" s="42"/>
      <c r="F90" s="293"/>
      <c r="G90" s="296"/>
      <c r="H90" s="42"/>
      <c r="I90" s="82"/>
      <c r="J90" s="83"/>
      <c r="K90" s="42"/>
      <c r="L90" s="82"/>
      <c r="M90" s="297"/>
      <c r="N90" s="42"/>
      <c r="O90" s="82"/>
      <c r="P90" s="83"/>
      <c r="Q90" s="42"/>
      <c r="R90" s="82"/>
      <c r="S90" s="83">
        <v>19</v>
      </c>
      <c r="T90" s="42">
        <v>19</v>
      </c>
      <c r="U90" s="82"/>
      <c r="V90" s="83">
        <v>24</v>
      </c>
      <c r="W90" s="42">
        <v>24</v>
      </c>
      <c r="X90" s="82"/>
      <c r="Y90" s="83">
        <v>27</v>
      </c>
      <c r="Z90" s="42">
        <f t="shared" si="102"/>
        <v>27</v>
      </c>
      <c r="AA90" s="82"/>
      <c r="AB90" s="83">
        <v>13</v>
      </c>
      <c r="AC90" s="42">
        <f t="shared" si="107"/>
        <v>13</v>
      </c>
      <c r="AD90" s="82"/>
      <c r="AE90" s="83">
        <v>16</v>
      </c>
      <c r="AF90" s="42">
        <f t="shared" si="108"/>
        <v>16</v>
      </c>
      <c r="AG90" s="82"/>
      <c r="AH90" s="83">
        <v>28</v>
      </c>
      <c r="AI90" s="42">
        <f>SUM(AG90:AH90)</f>
        <v>28</v>
      </c>
      <c r="AJ90" s="82"/>
      <c r="AK90" s="83">
        <v>57</v>
      </c>
      <c r="AL90" s="42">
        <f>SUM(AJ90:AK90)</f>
        <v>57</v>
      </c>
      <c r="AM90" s="82"/>
      <c r="AN90" s="83">
        <v>49</v>
      </c>
      <c r="AO90" s="42">
        <f>SUM(AM90:AN90)</f>
        <v>49</v>
      </c>
      <c r="AP90" s="82"/>
      <c r="AQ90" s="83">
        <v>67</v>
      </c>
      <c r="AR90" s="42">
        <f>SUM(AP90:AQ90)</f>
        <v>67</v>
      </c>
      <c r="AS90" s="82"/>
      <c r="AT90" s="83">
        <v>59</v>
      </c>
      <c r="AU90" s="42">
        <f>SUM(AS90:AT90)</f>
        <v>59</v>
      </c>
      <c r="AV90" s="82"/>
      <c r="AW90" s="83">
        <v>64</v>
      </c>
      <c r="AX90" s="42">
        <f>SUM(AV90:AW90)</f>
        <v>64</v>
      </c>
      <c r="AY90" s="82"/>
      <c r="AZ90" s="83">
        <v>71</v>
      </c>
      <c r="BA90" s="42">
        <f>SUM(AY90:AZ90)</f>
        <v>71</v>
      </c>
      <c r="BB90" s="82"/>
      <c r="BC90" s="83">
        <v>73</v>
      </c>
      <c r="BD90" s="42">
        <f>SUM(BB90:BC90)</f>
        <v>73</v>
      </c>
      <c r="BE90" s="82"/>
      <c r="BF90" s="83">
        <v>50</v>
      </c>
      <c r="BG90" s="42">
        <f>SUM(BE90:BF90)</f>
        <v>50</v>
      </c>
      <c r="BH90" s="82"/>
      <c r="BI90" s="83">
        <v>61</v>
      </c>
      <c r="BJ90" s="42">
        <f>SUM(BH90:BI90)</f>
        <v>61</v>
      </c>
    </row>
    <row r="91" spans="1:62" s="38" customFormat="1" ht="15" customHeight="1" x14ac:dyDescent="0.3">
      <c r="A91" s="147"/>
      <c r="B91" s="45" t="s">
        <v>114</v>
      </c>
      <c r="C91" s="283"/>
      <c r="D91" s="282"/>
      <c r="E91" s="48"/>
      <c r="F91" s="283"/>
      <c r="G91" s="282"/>
      <c r="H91" s="48"/>
      <c r="I91" s="46"/>
      <c r="J91" s="50"/>
      <c r="K91" s="48"/>
      <c r="L91" s="46"/>
      <c r="M91" s="50"/>
      <c r="N91" s="48"/>
      <c r="O91" s="46"/>
      <c r="P91" s="50"/>
      <c r="Q91" s="48"/>
      <c r="R91" s="46"/>
      <c r="S91" s="50"/>
      <c r="T91" s="48"/>
      <c r="U91" s="46"/>
      <c r="V91" s="50"/>
      <c r="W91" s="48"/>
      <c r="X91" s="46"/>
      <c r="Y91" s="50">
        <v>27</v>
      </c>
      <c r="Z91" s="48">
        <f t="shared" si="102"/>
        <v>27</v>
      </c>
      <c r="AA91" s="51"/>
      <c r="AB91" s="50">
        <v>42</v>
      </c>
      <c r="AC91" s="48">
        <f t="shared" si="107"/>
        <v>42</v>
      </c>
      <c r="AD91" s="51"/>
      <c r="AE91" s="50">
        <v>57</v>
      </c>
      <c r="AF91" s="48">
        <f t="shared" si="108"/>
        <v>57</v>
      </c>
      <c r="AG91" s="51"/>
      <c r="AH91" s="50">
        <v>45</v>
      </c>
      <c r="AI91" s="48">
        <f>SUM(AG91:AH91)</f>
        <v>45</v>
      </c>
      <c r="AJ91" s="51"/>
      <c r="AK91" s="50">
        <v>68</v>
      </c>
      <c r="AL91" s="48">
        <f>SUM(AJ91:AK91)</f>
        <v>68</v>
      </c>
      <c r="AM91" s="51"/>
      <c r="AN91" s="50">
        <v>61</v>
      </c>
      <c r="AO91" s="48">
        <f>SUM(AM91:AN91)</f>
        <v>61</v>
      </c>
      <c r="AP91" s="51"/>
      <c r="AQ91" s="50">
        <v>67</v>
      </c>
      <c r="AR91" s="48">
        <f>SUM(AP91:AQ91)</f>
        <v>67</v>
      </c>
      <c r="AS91" s="51"/>
      <c r="AT91" s="50">
        <v>65</v>
      </c>
      <c r="AU91" s="48">
        <f>SUM(AS91:AT91)</f>
        <v>65</v>
      </c>
      <c r="AV91" s="51"/>
      <c r="AW91" s="50">
        <v>63</v>
      </c>
      <c r="AX91" s="48">
        <f>SUM(AV91:AW91)</f>
        <v>63</v>
      </c>
      <c r="AY91" s="51"/>
      <c r="AZ91" s="50">
        <v>72</v>
      </c>
      <c r="BA91" s="48">
        <f>SUM(AY91:AZ91)</f>
        <v>72</v>
      </c>
      <c r="BB91" s="51"/>
      <c r="BC91" s="50">
        <v>72</v>
      </c>
      <c r="BD91" s="48">
        <f>SUM(BB91:BC91)</f>
        <v>72</v>
      </c>
      <c r="BE91" s="51"/>
      <c r="BF91" s="50">
        <v>70</v>
      </c>
      <c r="BG91" s="48">
        <f>SUM(BE91:BF91)</f>
        <v>70</v>
      </c>
      <c r="BH91" s="51"/>
      <c r="BI91" s="50">
        <v>70</v>
      </c>
      <c r="BJ91" s="48">
        <f>SUM(BH91:BI91)</f>
        <v>70</v>
      </c>
    </row>
    <row r="92" spans="1:62" s="38" customFormat="1" ht="15" customHeight="1" x14ac:dyDescent="0.3">
      <c r="A92" s="147"/>
      <c r="B92" s="287" t="s">
        <v>115</v>
      </c>
      <c r="C92" s="288"/>
      <c r="D92" s="289"/>
      <c r="E92" s="203"/>
      <c r="F92" s="288"/>
      <c r="G92" s="289"/>
      <c r="H92" s="203"/>
      <c r="I92" s="288"/>
      <c r="J92" s="289">
        <f>SUM(J88:J91)</f>
        <v>58</v>
      </c>
      <c r="K92" s="203">
        <f t="shared" ref="K92:BD92" si="113">SUM(K88:K91)</f>
        <v>58</v>
      </c>
      <c r="L92" s="288">
        <f t="shared" si="113"/>
        <v>0</v>
      </c>
      <c r="M92" s="289">
        <f t="shared" si="113"/>
        <v>28</v>
      </c>
      <c r="N92" s="203">
        <f t="shared" si="113"/>
        <v>28</v>
      </c>
      <c r="O92" s="288">
        <f t="shared" si="113"/>
        <v>0</v>
      </c>
      <c r="P92" s="289">
        <f t="shared" si="113"/>
        <v>64</v>
      </c>
      <c r="Q92" s="203">
        <f t="shared" si="113"/>
        <v>64</v>
      </c>
      <c r="R92" s="288">
        <f t="shared" si="113"/>
        <v>0</v>
      </c>
      <c r="S92" s="289">
        <f t="shared" si="113"/>
        <v>110</v>
      </c>
      <c r="T92" s="203">
        <f t="shared" si="113"/>
        <v>110</v>
      </c>
      <c r="U92" s="288">
        <f t="shared" si="113"/>
        <v>0</v>
      </c>
      <c r="V92" s="289">
        <f t="shared" si="113"/>
        <v>83</v>
      </c>
      <c r="W92" s="203">
        <f t="shared" si="113"/>
        <v>83</v>
      </c>
      <c r="X92" s="288">
        <f t="shared" si="113"/>
        <v>0</v>
      </c>
      <c r="Y92" s="289">
        <f t="shared" si="113"/>
        <v>107</v>
      </c>
      <c r="Z92" s="203">
        <f t="shared" si="113"/>
        <v>107</v>
      </c>
      <c r="AA92" s="288">
        <f t="shared" si="113"/>
        <v>0</v>
      </c>
      <c r="AB92" s="289">
        <f t="shared" si="113"/>
        <v>110</v>
      </c>
      <c r="AC92" s="203">
        <f t="shared" si="113"/>
        <v>110</v>
      </c>
      <c r="AD92" s="288">
        <f t="shared" si="113"/>
        <v>0</v>
      </c>
      <c r="AE92" s="289">
        <f t="shared" si="113"/>
        <v>136</v>
      </c>
      <c r="AF92" s="203">
        <f t="shared" si="113"/>
        <v>136</v>
      </c>
      <c r="AG92" s="288">
        <f t="shared" si="113"/>
        <v>0</v>
      </c>
      <c r="AH92" s="289">
        <f t="shared" si="113"/>
        <v>145</v>
      </c>
      <c r="AI92" s="203">
        <f t="shared" si="113"/>
        <v>145</v>
      </c>
      <c r="AJ92" s="288">
        <f t="shared" si="113"/>
        <v>0</v>
      </c>
      <c r="AK92" s="289">
        <f t="shared" si="113"/>
        <v>229</v>
      </c>
      <c r="AL92" s="203">
        <f t="shared" si="113"/>
        <v>229</v>
      </c>
      <c r="AM92" s="288">
        <f t="shared" si="113"/>
        <v>0</v>
      </c>
      <c r="AN92" s="289">
        <f t="shared" si="113"/>
        <v>193</v>
      </c>
      <c r="AO92" s="203">
        <f t="shared" si="113"/>
        <v>193</v>
      </c>
      <c r="AP92" s="288">
        <f t="shared" si="113"/>
        <v>0</v>
      </c>
      <c r="AQ92" s="289">
        <f t="shared" si="113"/>
        <v>236</v>
      </c>
      <c r="AR92" s="203">
        <f t="shared" si="113"/>
        <v>236</v>
      </c>
      <c r="AS92" s="288">
        <f t="shared" si="113"/>
        <v>0</v>
      </c>
      <c r="AT92" s="289">
        <f t="shared" si="113"/>
        <v>216</v>
      </c>
      <c r="AU92" s="203">
        <f t="shared" si="113"/>
        <v>216</v>
      </c>
      <c r="AV92" s="288">
        <f t="shared" si="113"/>
        <v>0</v>
      </c>
      <c r="AW92" s="289">
        <f t="shared" si="113"/>
        <v>220</v>
      </c>
      <c r="AX92" s="203">
        <f t="shared" si="113"/>
        <v>220</v>
      </c>
      <c r="AY92" s="288">
        <f t="shared" si="113"/>
        <v>0</v>
      </c>
      <c r="AZ92" s="289">
        <f t="shared" si="113"/>
        <v>249</v>
      </c>
      <c r="BA92" s="203">
        <f t="shared" si="113"/>
        <v>249</v>
      </c>
      <c r="BB92" s="288">
        <f t="shared" si="113"/>
        <v>0</v>
      </c>
      <c r="BC92" s="289">
        <f t="shared" si="113"/>
        <v>255</v>
      </c>
      <c r="BD92" s="203">
        <f t="shared" si="113"/>
        <v>255</v>
      </c>
      <c r="BE92" s="288">
        <f t="shared" ref="BE92:BG92" si="114">SUM(BE88:BE91)</f>
        <v>0</v>
      </c>
      <c r="BF92" s="289">
        <f t="shared" si="114"/>
        <v>224</v>
      </c>
      <c r="BG92" s="203">
        <f t="shared" si="114"/>
        <v>224</v>
      </c>
      <c r="BH92" s="288">
        <f t="shared" ref="BH92:BJ92" si="115">SUM(BH88:BH91)</f>
        <v>0</v>
      </c>
      <c r="BI92" s="289">
        <f t="shared" si="115"/>
        <v>240</v>
      </c>
      <c r="BJ92" s="203">
        <f t="shared" si="115"/>
        <v>240</v>
      </c>
    </row>
    <row r="93" spans="1:62" s="38" customFormat="1" ht="15" customHeight="1" x14ac:dyDescent="0.3">
      <c r="A93" s="147"/>
      <c r="B93" s="96" t="s">
        <v>116</v>
      </c>
      <c r="C93" s="97"/>
      <c r="D93" s="98"/>
      <c r="E93" s="99"/>
      <c r="F93" s="97"/>
      <c r="G93" s="98"/>
      <c r="H93" s="99"/>
      <c r="I93" s="97"/>
      <c r="J93" s="98">
        <f>SUM(J92,J87,J83)</f>
        <v>203</v>
      </c>
      <c r="K93" s="99">
        <f t="shared" ref="K93:BD93" si="116">SUM(K92,K87,K83)</f>
        <v>203</v>
      </c>
      <c r="L93" s="97">
        <f t="shared" si="116"/>
        <v>0</v>
      </c>
      <c r="M93" s="98">
        <f t="shared" si="116"/>
        <v>101</v>
      </c>
      <c r="N93" s="99">
        <f t="shared" si="116"/>
        <v>101</v>
      </c>
      <c r="O93" s="97">
        <f t="shared" si="116"/>
        <v>0</v>
      </c>
      <c r="P93" s="98">
        <f t="shared" si="116"/>
        <v>316</v>
      </c>
      <c r="Q93" s="99">
        <f t="shared" si="116"/>
        <v>316</v>
      </c>
      <c r="R93" s="97">
        <f t="shared" si="116"/>
        <v>0</v>
      </c>
      <c r="S93" s="98">
        <f t="shared" si="116"/>
        <v>355</v>
      </c>
      <c r="T93" s="99">
        <f t="shared" si="116"/>
        <v>355</v>
      </c>
      <c r="U93" s="97">
        <f t="shared" si="116"/>
        <v>0</v>
      </c>
      <c r="V93" s="98">
        <f t="shared" si="116"/>
        <v>260</v>
      </c>
      <c r="W93" s="99">
        <f t="shared" si="116"/>
        <v>260</v>
      </c>
      <c r="X93" s="97">
        <f t="shared" si="116"/>
        <v>0</v>
      </c>
      <c r="Y93" s="98">
        <f t="shared" si="116"/>
        <v>319</v>
      </c>
      <c r="Z93" s="99">
        <f t="shared" si="116"/>
        <v>319</v>
      </c>
      <c r="AA93" s="97">
        <f t="shared" si="116"/>
        <v>0</v>
      </c>
      <c r="AB93" s="98">
        <f t="shared" si="116"/>
        <v>322</v>
      </c>
      <c r="AC93" s="99">
        <f t="shared" si="116"/>
        <v>322</v>
      </c>
      <c r="AD93" s="97">
        <f t="shared" si="116"/>
        <v>0</v>
      </c>
      <c r="AE93" s="98">
        <f t="shared" si="116"/>
        <v>356</v>
      </c>
      <c r="AF93" s="99">
        <f t="shared" si="116"/>
        <v>356</v>
      </c>
      <c r="AG93" s="97">
        <f t="shared" si="116"/>
        <v>0</v>
      </c>
      <c r="AH93" s="98">
        <f t="shared" si="116"/>
        <v>361</v>
      </c>
      <c r="AI93" s="99">
        <f t="shared" si="116"/>
        <v>361</v>
      </c>
      <c r="AJ93" s="97">
        <f t="shared" si="116"/>
        <v>97</v>
      </c>
      <c r="AK93" s="98">
        <f t="shared" si="116"/>
        <v>483</v>
      </c>
      <c r="AL93" s="99">
        <f t="shared" si="116"/>
        <v>580</v>
      </c>
      <c r="AM93" s="97">
        <f t="shared" si="116"/>
        <v>97</v>
      </c>
      <c r="AN93" s="98">
        <f t="shared" si="116"/>
        <v>511</v>
      </c>
      <c r="AO93" s="99">
        <f t="shared" si="116"/>
        <v>608</v>
      </c>
      <c r="AP93" s="97">
        <f t="shared" si="116"/>
        <v>97</v>
      </c>
      <c r="AQ93" s="98">
        <f t="shared" si="116"/>
        <v>597</v>
      </c>
      <c r="AR93" s="99">
        <f t="shared" si="116"/>
        <v>694</v>
      </c>
      <c r="AS93" s="97">
        <f t="shared" si="116"/>
        <v>98</v>
      </c>
      <c r="AT93" s="98">
        <f t="shared" si="116"/>
        <v>561</v>
      </c>
      <c r="AU93" s="99">
        <f t="shared" si="116"/>
        <v>659</v>
      </c>
      <c r="AV93" s="97">
        <f t="shared" si="116"/>
        <v>92</v>
      </c>
      <c r="AW93" s="98">
        <f t="shared" si="116"/>
        <v>563</v>
      </c>
      <c r="AX93" s="99">
        <f t="shared" si="116"/>
        <v>655</v>
      </c>
      <c r="AY93" s="97">
        <f t="shared" si="116"/>
        <v>103</v>
      </c>
      <c r="AZ93" s="98">
        <f t="shared" si="116"/>
        <v>607</v>
      </c>
      <c r="BA93" s="99">
        <f t="shared" si="116"/>
        <v>710</v>
      </c>
      <c r="BB93" s="97">
        <f t="shared" si="116"/>
        <v>99</v>
      </c>
      <c r="BC93" s="98">
        <f t="shared" si="116"/>
        <v>620</v>
      </c>
      <c r="BD93" s="99">
        <f t="shared" si="116"/>
        <v>719</v>
      </c>
      <c r="BE93" s="97">
        <f t="shared" ref="BE93:BG93" si="117">SUM(BE92,BE87,BE83)</f>
        <v>89</v>
      </c>
      <c r="BF93" s="98">
        <f t="shared" si="117"/>
        <v>573</v>
      </c>
      <c r="BG93" s="99">
        <f t="shared" si="117"/>
        <v>662</v>
      </c>
      <c r="BH93" s="97">
        <f t="shared" ref="BH93:BJ93" si="118">SUM(BH92,BH87,BH83)</f>
        <v>87</v>
      </c>
      <c r="BI93" s="98">
        <f t="shared" si="118"/>
        <v>580</v>
      </c>
      <c r="BJ93" s="99">
        <f t="shared" si="118"/>
        <v>667</v>
      </c>
    </row>
    <row r="94" spans="1:62" s="38" customFormat="1" ht="15" customHeight="1" x14ac:dyDescent="0.25">
      <c r="A94" s="147"/>
      <c r="B94" s="58" t="s">
        <v>117</v>
      </c>
      <c r="C94" s="92"/>
      <c r="D94" s="383"/>
      <c r="E94" s="77"/>
      <c r="F94" s="384"/>
      <c r="G94" s="383"/>
      <c r="H94" s="77"/>
      <c r="I94" s="92"/>
      <c r="J94" s="93"/>
      <c r="K94" s="77"/>
      <c r="L94" s="92"/>
      <c r="M94" s="93"/>
      <c r="N94" s="77"/>
      <c r="O94" s="75"/>
      <c r="P94" s="76"/>
      <c r="Q94" s="77"/>
      <c r="R94" s="75"/>
      <c r="S94" s="76"/>
      <c r="T94" s="77"/>
      <c r="U94" s="75"/>
      <c r="V94" s="76"/>
      <c r="W94" s="77"/>
      <c r="X94" s="75"/>
      <c r="Y94" s="76"/>
      <c r="Z94" s="77"/>
      <c r="AA94" s="75">
        <v>26</v>
      </c>
      <c r="AB94" s="76">
        <v>33</v>
      </c>
      <c r="AC94" s="77">
        <f t="shared" si="107"/>
        <v>59</v>
      </c>
      <c r="AD94" s="75"/>
      <c r="AE94" s="76">
        <v>30</v>
      </c>
      <c r="AF94" s="77">
        <f t="shared" si="108"/>
        <v>30</v>
      </c>
      <c r="AG94" s="75">
        <v>26</v>
      </c>
      <c r="AH94" s="76">
        <v>26</v>
      </c>
      <c r="AI94" s="77">
        <f>SUM(AG94:AH94)</f>
        <v>52</v>
      </c>
      <c r="AJ94" s="75">
        <v>21</v>
      </c>
      <c r="AK94" s="76">
        <v>28</v>
      </c>
      <c r="AL94" s="77">
        <f>SUM(AJ94:AK94)</f>
        <v>49</v>
      </c>
      <c r="AM94" s="75">
        <v>22</v>
      </c>
      <c r="AN94" s="76">
        <v>46</v>
      </c>
      <c r="AO94" s="77">
        <f>SUM(AM94:AN94)</f>
        <v>68</v>
      </c>
      <c r="AP94" s="75">
        <v>18</v>
      </c>
      <c r="AQ94" s="76">
        <v>34</v>
      </c>
      <c r="AR94" s="77">
        <f>SUM(AP94:AQ94)</f>
        <v>52</v>
      </c>
      <c r="AS94" s="75">
        <v>21</v>
      </c>
      <c r="AT94" s="76">
        <v>31</v>
      </c>
      <c r="AU94" s="77">
        <f>SUM(AS94:AT94)</f>
        <v>52</v>
      </c>
      <c r="AV94" s="75"/>
      <c r="AW94" s="76">
        <v>37</v>
      </c>
      <c r="AX94" s="77">
        <f>SUM(AV94:AW94)</f>
        <v>37</v>
      </c>
      <c r="AY94" s="75"/>
      <c r="AZ94" s="76">
        <v>42</v>
      </c>
      <c r="BA94" s="77">
        <f>SUM(AY94:AZ94)</f>
        <v>42</v>
      </c>
      <c r="BB94" s="75"/>
      <c r="BC94" s="76">
        <v>33</v>
      </c>
      <c r="BD94" s="77">
        <f>SUM(BB94:BC94)</f>
        <v>33</v>
      </c>
      <c r="BE94" s="75"/>
      <c r="BF94" s="76">
        <v>19</v>
      </c>
      <c r="BG94" s="77">
        <f>SUM(BE94:BF94)</f>
        <v>19</v>
      </c>
      <c r="BH94" s="75"/>
      <c r="BI94" s="76">
        <v>19</v>
      </c>
      <c r="BJ94" s="77">
        <f>SUM(BH94:BI94)</f>
        <v>19</v>
      </c>
    </row>
    <row r="95" spans="1:62" s="38" customFormat="1" ht="15" customHeight="1" x14ac:dyDescent="0.25">
      <c r="A95" s="147"/>
      <c r="B95" s="45" t="s">
        <v>118</v>
      </c>
      <c r="C95" s="92"/>
      <c r="D95" s="383"/>
      <c r="E95" s="77"/>
      <c r="F95" s="384"/>
      <c r="G95" s="383"/>
      <c r="H95" s="77"/>
      <c r="I95" s="92"/>
      <c r="J95" s="93"/>
      <c r="K95" s="77"/>
      <c r="L95" s="92"/>
      <c r="M95" s="93"/>
      <c r="N95" s="77"/>
      <c r="O95" s="75"/>
      <c r="P95" s="76"/>
      <c r="Q95" s="77"/>
      <c r="R95" s="75"/>
      <c r="S95" s="76"/>
      <c r="T95" s="77"/>
      <c r="U95" s="75"/>
      <c r="V95" s="76"/>
      <c r="W95" s="77"/>
      <c r="X95" s="75"/>
      <c r="Y95" s="76"/>
      <c r="Z95" s="77"/>
      <c r="AA95" s="75"/>
      <c r="AB95" s="76"/>
      <c r="AC95" s="77"/>
      <c r="AD95" s="75"/>
      <c r="AE95" s="76"/>
      <c r="AF95" s="77"/>
      <c r="AG95" s="75"/>
      <c r="AH95" s="76"/>
      <c r="AI95" s="77"/>
      <c r="AJ95" s="75"/>
      <c r="AK95" s="76"/>
      <c r="AL95" s="77"/>
      <c r="AM95" s="75"/>
      <c r="AN95" s="76"/>
      <c r="AO95" s="77"/>
      <c r="AP95" s="75"/>
      <c r="AQ95" s="76"/>
      <c r="AR95" s="77"/>
      <c r="AS95" s="75">
        <v>32</v>
      </c>
      <c r="AT95" s="76">
        <v>27</v>
      </c>
      <c r="AU95" s="77">
        <f>SUM(AS95:AT95)</f>
        <v>59</v>
      </c>
      <c r="AV95" s="75"/>
      <c r="AW95" s="76">
        <v>43</v>
      </c>
      <c r="AX95" s="77">
        <f>SUM(AV95:AW95)</f>
        <v>43</v>
      </c>
      <c r="AY95" s="75"/>
      <c r="AZ95" s="76">
        <v>50</v>
      </c>
      <c r="BA95" s="77">
        <f>SUM(AY95:AZ95)</f>
        <v>50</v>
      </c>
      <c r="BB95" s="75"/>
      <c r="BC95" s="76">
        <v>46</v>
      </c>
      <c r="BD95" s="77">
        <f>SUM(BB95:BC95)</f>
        <v>46</v>
      </c>
      <c r="BE95" s="75"/>
      <c r="BF95" s="76">
        <v>51</v>
      </c>
      <c r="BG95" s="77">
        <f>SUM(BE95:BF95)</f>
        <v>51</v>
      </c>
      <c r="BH95" s="75"/>
      <c r="BI95" s="76">
        <v>50</v>
      </c>
      <c r="BJ95" s="77">
        <f>SUM(BH95:BI95)</f>
        <v>50</v>
      </c>
    </row>
    <row r="96" spans="1:62" s="38" customFormat="1" ht="15" customHeight="1" x14ac:dyDescent="0.25">
      <c r="A96" s="147"/>
      <c r="B96" s="318" t="s">
        <v>119</v>
      </c>
      <c r="C96" s="385"/>
      <c r="D96" s="342"/>
      <c r="E96" s="125"/>
      <c r="F96" s="386"/>
      <c r="G96" s="342"/>
      <c r="H96" s="125"/>
      <c r="I96" s="385"/>
      <c r="J96" s="387"/>
      <c r="K96" s="125"/>
      <c r="L96" s="385"/>
      <c r="M96" s="387"/>
      <c r="N96" s="125"/>
      <c r="O96" s="123"/>
      <c r="P96" s="127"/>
      <c r="Q96" s="125"/>
      <c r="R96" s="123"/>
      <c r="S96" s="127"/>
      <c r="T96" s="125"/>
      <c r="U96" s="123"/>
      <c r="V96" s="127"/>
      <c r="W96" s="125"/>
      <c r="X96" s="123"/>
      <c r="Y96" s="127"/>
      <c r="Z96" s="125"/>
      <c r="AA96" s="123"/>
      <c r="AB96" s="127"/>
      <c r="AC96" s="125"/>
      <c r="AD96" s="123"/>
      <c r="AE96" s="127"/>
      <c r="AF96" s="125"/>
      <c r="AG96" s="123"/>
      <c r="AH96" s="127"/>
      <c r="AI96" s="125"/>
      <c r="AJ96" s="123"/>
      <c r="AK96" s="127"/>
      <c r="AL96" s="125"/>
      <c r="AM96" s="123"/>
      <c r="AN96" s="127"/>
      <c r="AO96" s="125"/>
      <c r="AP96" s="123"/>
      <c r="AQ96" s="127"/>
      <c r="AR96" s="125"/>
      <c r="AS96" s="123"/>
      <c r="AT96" s="127"/>
      <c r="AU96" s="125"/>
      <c r="AV96" s="123"/>
      <c r="AW96" s="127">
        <v>28</v>
      </c>
      <c r="AX96" s="77">
        <f>SUM(AV96:AW96)</f>
        <v>28</v>
      </c>
      <c r="AY96" s="123"/>
      <c r="AZ96" s="127">
        <v>51</v>
      </c>
      <c r="BA96" s="77">
        <f>SUM(AY96:AZ96)</f>
        <v>51</v>
      </c>
      <c r="BB96" s="123"/>
      <c r="BC96" s="127">
        <v>51</v>
      </c>
      <c r="BD96" s="77">
        <f>SUM(BB96:BC96)</f>
        <v>51</v>
      </c>
      <c r="BE96" s="123"/>
      <c r="BF96" s="127">
        <v>50</v>
      </c>
      <c r="BG96" s="77">
        <f>SUM(BE96:BF96)</f>
        <v>50</v>
      </c>
      <c r="BH96" s="123"/>
      <c r="BI96" s="127">
        <v>73</v>
      </c>
      <c r="BJ96" s="77">
        <f>SUM(BH96:BI96)</f>
        <v>73</v>
      </c>
    </row>
    <row r="97" spans="1:62" s="38" customFormat="1" ht="15" customHeight="1" x14ac:dyDescent="0.3">
      <c r="A97" s="147"/>
      <c r="B97" s="287" t="s">
        <v>59</v>
      </c>
      <c r="C97" s="288"/>
      <c r="D97" s="289"/>
      <c r="E97" s="203"/>
      <c r="F97" s="288"/>
      <c r="G97" s="289"/>
      <c r="H97" s="203"/>
      <c r="I97" s="288"/>
      <c r="J97" s="289"/>
      <c r="K97" s="203"/>
      <c r="L97" s="288"/>
      <c r="M97" s="289"/>
      <c r="N97" s="203"/>
      <c r="O97" s="288"/>
      <c r="P97" s="289"/>
      <c r="Q97" s="203"/>
      <c r="R97" s="288"/>
      <c r="S97" s="289"/>
      <c r="T97" s="203"/>
      <c r="U97" s="288"/>
      <c r="V97" s="289"/>
      <c r="W97" s="203"/>
      <c r="X97" s="288"/>
      <c r="Y97" s="289"/>
      <c r="Z97" s="203"/>
      <c r="AA97" s="288">
        <f>SUM(AA94)</f>
        <v>26</v>
      </c>
      <c r="AB97" s="289">
        <f t="shared" ref="AB97:AR97" si="119">SUM(AB94)</f>
        <v>33</v>
      </c>
      <c r="AC97" s="203">
        <f t="shared" si="119"/>
        <v>59</v>
      </c>
      <c r="AD97" s="288">
        <f t="shared" si="119"/>
        <v>0</v>
      </c>
      <c r="AE97" s="289">
        <f t="shared" si="119"/>
        <v>30</v>
      </c>
      <c r="AF97" s="203">
        <f t="shared" si="119"/>
        <v>30</v>
      </c>
      <c r="AG97" s="288">
        <f t="shared" si="119"/>
        <v>26</v>
      </c>
      <c r="AH97" s="289">
        <f t="shared" si="119"/>
        <v>26</v>
      </c>
      <c r="AI97" s="203">
        <f t="shared" si="119"/>
        <v>52</v>
      </c>
      <c r="AJ97" s="288">
        <f t="shared" si="119"/>
        <v>21</v>
      </c>
      <c r="AK97" s="289">
        <f t="shared" si="119"/>
        <v>28</v>
      </c>
      <c r="AL97" s="203">
        <f t="shared" si="119"/>
        <v>49</v>
      </c>
      <c r="AM97" s="288">
        <f t="shared" si="119"/>
        <v>22</v>
      </c>
      <c r="AN97" s="289">
        <f t="shared" si="119"/>
        <v>46</v>
      </c>
      <c r="AO97" s="203">
        <f t="shared" si="119"/>
        <v>68</v>
      </c>
      <c r="AP97" s="288">
        <f>SUM(AP94)</f>
        <v>18</v>
      </c>
      <c r="AQ97" s="290">
        <f>SUM(AQ94)</f>
        <v>34</v>
      </c>
      <c r="AR97" s="203">
        <f t="shared" si="119"/>
        <v>52</v>
      </c>
      <c r="AS97" s="288">
        <f>SUM(AS94:AS95)</f>
        <v>53</v>
      </c>
      <c r="AT97" s="290">
        <f>SUM(AT94:AT95)</f>
        <v>58</v>
      </c>
      <c r="AU97" s="203">
        <f>SUM(AU94:AU95)</f>
        <v>111</v>
      </c>
      <c r="AV97" s="288">
        <f>SUM(AV94:AV95)</f>
        <v>0</v>
      </c>
      <c r="AW97" s="290">
        <f>SUM(AW94:AW96)</f>
        <v>108</v>
      </c>
      <c r="AX97" s="203">
        <f>SUM(AX94:AX96)</f>
        <v>108</v>
      </c>
      <c r="AY97" s="288">
        <f>SUM(AY94:AY95)</f>
        <v>0</v>
      </c>
      <c r="AZ97" s="290">
        <f>SUM(AZ94:AZ96)</f>
        <v>143</v>
      </c>
      <c r="BA97" s="203">
        <f>SUM(BA94:BA96)</f>
        <v>143</v>
      </c>
      <c r="BB97" s="288">
        <f>SUM(BB94:BB95)</f>
        <v>0</v>
      </c>
      <c r="BC97" s="290">
        <f>SUM(BC94:BC96)</f>
        <v>130</v>
      </c>
      <c r="BD97" s="203">
        <f>SUM(BD94:BD96)</f>
        <v>130</v>
      </c>
      <c r="BE97" s="288">
        <f>SUM(BE94:BE95)</f>
        <v>0</v>
      </c>
      <c r="BF97" s="290">
        <f>SUM(BF94:BF96)</f>
        <v>120</v>
      </c>
      <c r="BG97" s="203">
        <f>SUM(BG94:BG96)</f>
        <v>120</v>
      </c>
      <c r="BH97" s="288">
        <f>SUM(BH94:BH96)</f>
        <v>0</v>
      </c>
      <c r="BI97" s="290">
        <f>SUM(BI94:BI96)</f>
        <v>142</v>
      </c>
      <c r="BJ97" s="203">
        <f>SUM(BJ94:BJ96)</f>
        <v>142</v>
      </c>
    </row>
    <row r="98" spans="1:62" s="38" customFormat="1" ht="15" customHeight="1" x14ac:dyDescent="0.25">
      <c r="A98" s="147"/>
      <c r="B98" s="74" t="s">
        <v>120</v>
      </c>
      <c r="C98" s="92"/>
      <c r="D98" s="383"/>
      <c r="E98" s="77"/>
      <c r="F98" s="384"/>
      <c r="G98" s="383"/>
      <c r="H98" s="77"/>
      <c r="I98" s="92"/>
      <c r="J98" s="93"/>
      <c r="K98" s="77"/>
      <c r="L98" s="92"/>
      <c r="M98" s="93"/>
      <c r="N98" s="77"/>
      <c r="O98" s="75"/>
      <c r="P98" s="76"/>
      <c r="Q98" s="77"/>
      <c r="R98" s="75"/>
      <c r="S98" s="76"/>
      <c r="T98" s="77"/>
      <c r="U98" s="75"/>
      <c r="V98" s="76"/>
      <c r="W98" s="77"/>
      <c r="X98" s="75"/>
      <c r="Y98" s="76"/>
      <c r="Z98" s="77"/>
      <c r="AA98" s="75">
        <v>29</v>
      </c>
      <c r="AB98" s="76">
        <v>29</v>
      </c>
      <c r="AC98" s="77">
        <f t="shared" si="107"/>
        <v>58</v>
      </c>
      <c r="AD98" s="75"/>
      <c r="AE98" s="76">
        <v>33</v>
      </c>
      <c r="AF98" s="77">
        <f t="shared" si="108"/>
        <v>33</v>
      </c>
      <c r="AG98" s="75">
        <v>22</v>
      </c>
      <c r="AH98" s="76">
        <v>29</v>
      </c>
      <c r="AI98" s="77">
        <f>SUM(AG98:AH98)</f>
        <v>51</v>
      </c>
      <c r="AJ98" s="75"/>
      <c r="AK98" s="76">
        <v>30</v>
      </c>
      <c r="AL98" s="77">
        <f>SUM(AJ98:AK98)</f>
        <v>30</v>
      </c>
      <c r="AM98" s="75"/>
      <c r="AN98" s="76">
        <v>37</v>
      </c>
      <c r="AO98" s="77">
        <f>SUM(AM98:AN98)</f>
        <v>37</v>
      </c>
      <c r="AP98" s="75">
        <v>31</v>
      </c>
      <c r="AQ98" s="76">
        <v>32</v>
      </c>
      <c r="AR98" s="77">
        <f>SUM(AP98:AQ98)</f>
        <v>63</v>
      </c>
      <c r="AS98" s="75">
        <v>27</v>
      </c>
      <c r="AT98" s="76">
        <v>38</v>
      </c>
      <c r="AU98" s="77">
        <f>SUM(AS98:AT98)</f>
        <v>65</v>
      </c>
      <c r="AV98" s="75">
        <v>18</v>
      </c>
      <c r="AW98" s="76">
        <v>30</v>
      </c>
      <c r="AX98" s="77">
        <f>SUM(AV98:AW98)</f>
        <v>48</v>
      </c>
      <c r="AY98" s="75">
        <v>30</v>
      </c>
      <c r="AZ98" s="76">
        <v>30</v>
      </c>
      <c r="BA98" s="77">
        <f>SUM(AY98:AZ98)</f>
        <v>60</v>
      </c>
      <c r="BB98" s="75">
        <v>29</v>
      </c>
      <c r="BC98" s="76">
        <v>32</v>
      </c>
      <c r="BD98" s="77">
        <f>SUM(BB98:BC98)</f>
        <v>61</v>
      </c>
      <c r="BE98" s="75">
        <v>32</v>
      </c>
      <c r="BF98" s="76">
        <v>30</v>
      </c>
      <c r="BG98" s="77">
        <f>SUM(BE98:BF98)</f>
        <v>62</v>
      </c>
      <c r="BH98" s="75">
        <v>31</v>
      </c>
      <c r="BI98" s="76">
        <v>25</v>
      </c>
      <c r="BJ98" s="77">
        <f>SUM(BH98:BI98)</f>
        <v>56</v>
      </c>
    </row>
    <row r="99" spans="1:62" s="38" customFormat="1" ht="15" customHeight="1" x14ac:dyDescent="0.25">
      <c r="A99" s="147"/>
      <c r="B99" s="45" t="s">
        <v>121</v>
      </c>
      <c r="C99" s="92"/>
      <c r="D99" s="383"/>
      <c r="E99" s="77"/>
      <c r="F99" s="384"/>
      <c r="G99" s="383"/>
      <c r="H99" s="77"/>
      <c r="I99" s="92"/>
      <c r="J99" s="93"/>
      <c r="K99" s="77"/>
      <c r="L99" s="92"/>
      <c r="M99" s="93"/>
      <c r="N99" s="77"/>
      <c r="O99" s="75"/>
      <c r="P99" s="76"/>
      <c r="Q99" s="77"/>
      <c r="R99" s="75"/>
      <c r="S99" s="76"/>
      <c r="T99" s="77"/>
      <c r="U99" s="75"/>
      <c r="V99" s="76"/>
      <c r="W99" s="77"/>
      <c r="X99" s="75"/>
      <c r="Y99" s="76"/>
      <c r="Z99" s="77"/>
      <c r="AA99" s="75"/>
      <c r="AB99" s="76"/>
      <c r="AC99" s="77"/>
      <c r="AD99" s="75"/>
      <c r="AE99" s="76"/>
      <c r="AF99" s="77"/>
      <c r="AG99" s="75"/>
      <c r="AH99" s="76">
        <v>18</v>
      </c>
      <c r="AI99" s="77">
        <f>SUM(AG99:AH99)</f>
        <v>18</v>
      </c>
      <c r="AJ99" s="75"/>
      <c r="AK99" s="76">
        <v>18</v>
      </c>
      <c r="AL99" s="77">
        <f>SUM(AJ99:AK99)</f>
        <v>18</v>
      </c>
      <c r="AM99" s="75"/>
      <c r="AN99" s="76">
        <v>18</v>
      </c>
      <c r="AO99" s="77">
        <f>SUM(AM99:AN99)</f>
        <v>18</v>
      </c>
      <c r="AP99" s="75"/>
      <c r="AQ99" s="76">
        <v>26</v>
      </c>
      <c r="AR99" s="77">
        <f>SUM(AP99:AQ99)</f>
        <v>26</v>
      </c>
      <c r="AS99" s="75"/>
      <c r="AT99" s="76">
        <v>31</v>
      </c>
      <c r="AU99" s="77">
        <f>SUM(AS99:AT99)</f>
        <v>31</v>
      </c>
      <c r="AV99" s="75"/>
      <c r="AW99" s="76">
        <v>30</v>
      </c>
      <c r="AX99" s="77">
        <f>SUM(AV99:AW99)</f>
        <v>30</v>
      </c>
      <c r="AY99" s="75"/>
      <c r="AZ99" s="76">
        <v>30</v>
      </c>
      <c r="BA99" s="77">
        <f>SUM(AY99:AZ99)</f>
        <v>30</v>
      </c>
      <c r="BB99" s="75"/>
      <c r="BC99" s="76">
        <v>31</v>
      </c>
      <c r="BD99" s="77">
        <f>SUM(BB99:BC99)</f>
        <v>31</v>
      </c>
      <c r="BE99" s="75"/>
      <c r="BF99" s="76">
        <v>31</v>
      </c>
      <c r="BG99" s="77">
        <f>SUM(BE99:BF99)</f>
        <v>31</v>
      </c>
      <c r="BH99" s="75"/>
      <c r="BI99" s="76">
        <v>29</v>
      </c>
      <c r="BJ99" s="77">
        <f>SUM(BH99:BI99)</f>
        <v>29</v>
      </c>
    </row>
    <row r="100" spans="1:62" s="38" customFormat="1" ht="15" customHeight="1" x14ac:dyDescent="0.25">
      <c r="A100" s="147"/>
      <c r="B100" s="45" t="s">
        <v>123</v>
      </c>
      <c r="C100" s="385"/>
      <c r="D100" s="342"/>
      <c r="E100" s="125"/>
      <c r="F100" s="386"/>
      <c r="G100" s="342"/>
      <c r="H100" s="125"/>
      <c r="I100" s="385"/>
      <c r="J100" s="387"/>
      <c r="K100" s="125"/>
      <c r="L100" s="385"/>
      <c r="M100" s="387"/>
      <c r="N100" s="125"/>
      <c r="O100" s="123"/>
      <c r="P100" s="127"/>
      <c r="Q100" s="125"/>
      <c r="R100" s="123"/>
      <c r="S100" s="127"/>
      <c r="T100" s="125"/>
      <c r="U100" s="123"/>
      <c r="V100" s="127"/>
      <c r="W100" s="125"/>
      <c r="X100" s="123"/>
      <c r="Y100" s="127"/>
      <c r="Z100" s="125"/>
      <c r="AA100" s="123"/>
      <c r="AB100" s="127"/>
      <c r="AC100" s="125"/>
      <c r="AD100" s="123"/>
      <c r="AE100" s="127"/>
      <c r="AF100" s="125"/>
      <c r="AG100" s="123"/>
      <c r="AH100" s="127"/>
      <c r="AI100" s="125"/>
      <c r="AJ100" s="123"/>
      <c r="AK100" s="127"/>
      <c r="AL100" s="125"/>
      <c r="AM100" s="123"/>
      <c r="AN100" s="127"/>
      <c r="AO100" s="125"/>
      <c r="AP100" s="123"/>
      <c r="AQ100" s="127"/>
      <c r="AR100" s="125"/>
      <c r="AS100" s="123"/>
      <c r="AT100" s="127"/>
      <c r="AU100" s="125"/>
      <c r="AV100" s="123">
        <v>31</v>
      </c>
      <c r="AW100" s="127">
        <v>26</v>
      </c>
      <c r="AX100" s="77">
        <f>SUM(AV100:AW100)</f>
        <v>57</v>
      </c>
      <c r="AY100" s="123"/>
      <c r="AZ100" s="127">
        <v>30</v>
      </c>
      <c r="BA100" s="77">
        <f>SUM(AY100:AZ100)</f>
        <v>30</v>
      </c>
      <c r="BB100" s="123"/>
      <c r="BC100" s="127">
        <v>42</v>
      </c>
      <c r="BD100" s="77">
        <f>SUM(BB100:BC100)</f>
        <v>42</v>
      </c>
      <c r="BE100" s="123"/>
      <c r="BF100" s="127">
        <v>36</v>
      </c>
      <c r="BG100" s="77">
        <f>SUM(BE100:BF100)</f>
        <v>36</v>
      </c>
      <c r="BH100" s="123"/>
      <c r="BI100" s="127">
        <v>32</v>
      </c>
      <c r="BJ100" s="77">
        <f>SUM(BH100:BI100)</f>
        <v>32</v>
      </c>
    </row>
    <row r="101" spans="1:62" s="38" customFormat="1" ht="15" customHeight="1" x14ac:dyDescent="0.3">
      <c r="A101" s="147"/>
      <c r="B101" s="287" t="s">
        <v>64</v>
      </c>
      <c r="C101" s="288"/>
      <c r="D101" s="289"/>
      <c r="E101" s="203"/>
      <c r="F101" s="288"/>
      <c r="G101" s="289"/>
      <c r="H101" s="203"/>
      <c r="I101" s="288"/>
      <c r="J101" s="289"/>
      <c r="K101" s="203"/>
      <c r="L101" s="288"/>
      <c r="M101" s="289"/>
      <c r="N101" s="203"/>
      <c r="O101" s="288"/>
      <c r="P101" s="289"/>
      <c r="Q101" s="203"/>
      <c r="R101" s="288"/>
      <c r="S101" s="289"/>
      <c r="T101" s="203"/>
      <c r="U101" s="288"/>
      <c r="V101" s="289"/>
      <c r="W101" s="203"/>
      <c r="X101" s="288"/>
      <c r="Y101" s="289"/>
      <c r="Z101" s="203"/>
      <c r="AA101" s="288">
        <f t="shared" ref="AA101:AU101" si="120">SUM(AA98:AA99)</f>
        <v>29</v>
      </c>
      <c r="AB101" s="289">
        <f t="shared" si="120"/>
        <v>29</v>
      </c>
      <c r="AC101" s="203">
        <f t="shared" si="120"/>
        <v>58</v>
      </c>
      <c r="AD101" s="288">
        <f t="shared" si="120"/>
        <v>0</v>
      </c>
      <c r="AE101" s="289">
        <f t="shared" si="120"/>
        <v>33</v>
      </c>
      <c r="AF101" s="203">
        <f t="shared" si="120"/>
        <v>33</v>
      </c>
      <c r="AG101" s="288">
        <f t="shared" si="120"/>
        <v>22</v>
      </c>
      <c r="AH101" s="289">
        <f t="shared" si="120"/>
        <v>47</v>
      </c>
      <c r="AI101" s="203">
        <f t="shared" si="120"/>
        <v>69</v>
      </c>
      <c r="AJ101" s="288">
        <f t="shared" si="120"/>
        <v>0</v>
      </c>
      <c r="AK101" s="289">
        <f t="shared" si="120"/>
        <v>48</v>
      </c>
      <c r="AL101" s="203">
        <f t="shared" si="120"/>
        <v>48</v>
      </c>
      <c r="AM101" s="288">
        <f t="shared" si="120"/>
        <v>0</v>
      </c>
      <c r="AN101" s="289">
        <f t="shared" si="120"/>
        <v>55</v>
      </c>
      <c r="AO101" s="203">
        <f t="shared" si="120"/>
        <v>55</v>
      </c>
      <c r="AP101" s="288">
        <f t="shared" si="120"/>
        <v>31</v>
      </c>
      <c r="AQ101" s="290">
        <f t="shared" si="120"/>
        <v>58</v>
      </c>
      <c r="AR101" s="203">
        <f t="shared" si="120"/>
        <v>89</v>
      </c>
      <c r="AS101" s="288">
        <f t="shared" si="120"/>
        <v>27</v>
      </c>
      <c r="AT101" s="290">
        <f t="shared" si="120"/>
        <v>69</v>
      </c>
      <c r="AU101" s="203">
        <f t="shared" si="120"/>
        <v>96</v>
      </c>
      <c r="AV101" s="288">
        <f t="shared" ref="AV101:BA101" si="121">SUM(AV98:AV100)</f>
        <v>49</v>
      </c>
      <c r="AW101" s="290">
        <f t="shared" si="121"/>
        <v>86</v>
      </c>
      <c r="AX101" s="203">
        <f t="shared" si="121"/>
        <v>135</v>
      </c>
      <c r="AY101" s="288">
        <f t="shared" si="121"/>
        <v>30</v>
      </c>
      <c r="AZ101" s="290">
        <f t="shared" si="121"/>
        <v>90</v>
      </c>
      <c r="BA101" s="203">
        <f t="shared" si="121"/>
        <v>120</v>
      </c>
      <c r="BB101" s="288">
        <f t="shared" ref="BB101:BG101" si="122">SUM(BB98:BB100)</f>
        <v>29</v>
      </c>
      <c r="BC101" s="290">
        <f t="shared" si="122"/>
        <v>105</v>
      </c>
      <c r="BD101" s="203">
        <f t="shared" si="122"/>
        <v>134</v>
      </c>
      <c r="BE101" s="288">
        <f t="shared" si="122"/>
        <v>32</v>
      </c>
      <c r="BF101" s="290">
        <f>SUM(BF98:BF100)</f>
        <v>97</v>
      </c>
      <c r="BG101" s="203">
        <f t="shared" si="122"/>
        <v>129</v>
      </c>
      <c r="BH101" s="288">
        <f t="shared" ref="BH101" si="123">SUM(BH98:BH100)</f>
        <v>31</v>
      </c>
      <c r="BI101" s="290">
        <f>SUM(BI98:BI100)</f>
        <v>86</v>
      </c>
      <c r="BJ101" s="203">
        <f t="shared" ref="BJ101" si="124">SUM(BJ98:BJ100)</f>
        <v>117</v>
      </c>
    </row>
    <row r="102" spans="1:62" s="38" customFormat="1" ht="15" customHeight="1" x14ac:dyDescent="0.25">
      <c r="A102" s="147"/>
      <c r="B102" s="74" t="s">
        <v>124</v>
      </c>
      <c r="C102" s="92"/>
      <c r="D102" s="383"/>
      <c r="E102" s="77"/>
      <c r="F102" s="384"/>
      <c r="G102" s="383"/>
      <c r="H102" s="77"/>
      <c r="I102" s="92"/>
      <c r="J102" s="93"/>
      <c r="K102" s="77"/>
      <c r="L102" s="92"/>
      <c r="M102" s="93"/>
      <c r="N102" s="77"/>
      <c r="O102" s="75"/>
      <c r="P102" s="76"/>
      <c r="Q102" s="77"/>
      <c r="R102" s="75"/>
      <c r="S102" s="76"/>
      <c r="T102" s="77"/>
      <c r="U102" s="75"/>
      <c r="V102" s="76"/>
      <c r="W102" s="77"/>
      <c r="X102" s="75"/>
      <c r="Y102" s="76"/>
      <c r="Z102" s="77"/>
      <c r="AA102" s="75">
        <v>30</v>
      </c>
      <c r="AB102" s="76">
        <v>26</v>
      </c>
      <c r="AC102" s="77">
        <f t="shared" si="107"/>
        <v>56</v>
      </c>
      <c r="AD102" s="75"/>
      <c r="AE102" s="76">
        <v>26</v>
      </c>
      <c r="AF102" s="77">
        <f t="shared" si="108"/>
        <v>26</v>
      </c>
      <c r="AG102" s="75">
        <v>19</v>
      </c>
      <c r="AH102" s="76">
        <v>36</v>
      </c>
      <c r="AI102" s="77">
        <f>SUM(AG102:AH102)</f>
        <v>55</v>
      </c>
      <c r="AJ102" s="75">
        <v>30</v>
      </c>
      <c r="AK102" s="76">
        <v>17</v>
      </c>
      <c r="AL102" s="77">
        <f>SUM(AJ102:AK102)</f>
        <v>47</v>
      </c>
      <c r="AM102" s="75">
        <v>37</v>
      </c>
      <c r="AN102" s="76">
        <v>41</v>
      </c>
      <c r="AO102" s="77">
        <f>SUM(AM102:AN102)</f>
        <v>78</v>
      </c>
      <c r="AP102" s="75">
        <v>31</v>
      </c>
      <c r="AQ102" s="76">
        <v>50</v>
      </c>
      <c r="AR102" s="77">
        <f>SUM(AP102:AQ102)</f>
        <v>81</v>
      </c>
      <c r="AS102" s="33">
        <v>34</v>
      </c>
      <c r="AT102" s="34">
        <v>30</v>
      </c>
      <c r="AU102" s="35">
        <f>SUM(AS102:AT102)</f>
        <v>64</v>
      </c>
      <c r="AV102" s="33"/>
      <c r="AW102" s="34">
        <v>34</v>
      </c>
      <c r="AX102" s="35">
        <f>SUM(AV102:AW102)</f>
        <v>34</v>
      </c>
      <c r="AY102" s="33"/>
      <c r="AZ102" s="34">
        <v>38</v>
      </c>
      <c r="BA102" s="35">
        <f>SUM(AY102:AZ102)</f>
        <v>38</v>
      </c>
      <c r="BB102" s="33"/>
      <c r="BC102" s="34">
        <v>38</v>
      </c>
      <c r="BD102" s="35">
        <f>SUM(BB102:BC102)</f>
        <v>38</v>
      </c>
      <c r="BE102" s="33"/>
      <c r="BF102" s="34">
        <v>40</v>
      </c>
      <c r="BG102" s="35">
        <f>SUM(BE102:BF102)</f>
        <v>40</v>
      </c>
      <c r="BH102" s="33"/>
      <c r="BI102" s="34">
        <v>32</v>
      </c>
      <c r="BJ102" s="35">
        <f>SUM(BH102:BI102)</f>
        <v>32</v>
      </c>
    </row>
    <row r="103" spans="1:62" s="38" customFormat="1" ht="15" customHeight="1" x14ac:dyDescent="0.25">
      <c r="A103" s="147"/>
      <c r="B103" s="45" t="s">
        <v>125</v>
      </c>
      <c r="C103" s="92"/>
      <c r="D103" s="383"/>
      <c r="E103" s="77"/>
      <c r="F103" s="384"/>
      <c r="G103" s="383"/>
      <c r="H103" s="77"/>
      <c r="I103" s="92"/>
      <c r="J103" s="93"/>
      <c r="K103" s="77"/>
      <c r="L103" s="92"/>
      <c r="M103" s="93"/>
      <c r="N103" s="77"/>
      <c r="O103" s="75"/>
      <c r="P103" s="76"/>
      <c r="Q103" s="77"/>
      <c r="R103" s="75"/>
      <c r="S103" s="76"/>
      <c r="T103" s="77"/>
      <c r="U103" s="75"/>
      <c r="V103" s="76"/>
      <c r="W103" s="77"/>
      <c r="X103" s="75"/>
      <c r="Y103" s="76"/>
      <c r="Z103" s="77"/>
      <c r="AA103" s="75"/>
      <c r="AB103" s="76"/>
      <c r="AC103" s="77"/>
      <c r="AD103" s="75"/>
      <c r="AE103" s="76"/>
      <c r="AF103" s="77"/>
      <c r="AG103" s="75"/>
      <c r="AH103" s="76"/>
      <c r="AI103" s="77"/>
      <c r="AJ103" s="75"/>
      <c r="AK103" s="76"/>
      <c r="AL103" s="77"/>
      <c r="AM103" s="75"/>
      <c r="AN103" s="76"/>
      <c r="AO103" s="77"/>
      <c r="AP103" s="75"/>
      <c r="AQ103" s="76"/>
      <c r="AR103" s="77"/>
      <c r="AS103" s="75"/>
      <c r="AT103" s="76">
        <v>31</v>
      </c>
      <c r="AU103" s="77">
        <f>SUM(AS103:AT103)</f>
        <v>31</v>
      </c>
      <c r="AV103" s="75"/>
      <c r="AW103" s="76">
        <v>40</v>
      </c>
      <c r="AX103" s="77">
        <f>SUM(AV103:AW103)</f>
        <v>40</v>
      </c>
      <c r="AY103" s="75"/>
      <c r="AZ103" s="76">
        <v>38</v>
      </c>
      <c r="BA103" s="77">
        <f>SUM(AY103:AZ103)</f>
        <v>38</v>
      </c>
      <c r="BB103" s="75"/>
      <c r="BC103" s="76">
        <v>40</v>
      </c>
      <c r="BD103" s="77">
        <f>SUM(BB103:BC103)</f>
        <v>40</v>
      </c>
      <c r="BE103" s="75"/>
      <c r="BF103" s="76">
        <v>41</v>
      </c>
      <c r="BG103" s="77">
        <f>SUM(BE103:BF103)</f>
        <v>41</v>
      </c>
      <c r="BH103" s="75"/>
      <c r="BI103" s="76">
        <v>48</v>
      </c>
      <c r="BJ103" s="77">
        <f>SUM(BH103:BI103)</f>
        <v>48</v>
      </c>
    </row>
    <row r="104" spans="1:62" s="38" customFormat="1" ht="15" customHeight="1" x14ac:dyDescent="0.25">
      <c r="A104" s="147"/>
      <c r="B104" s="318" t="s">
        <v>126</v>
      </c>
      <c r="C104" s="385"/>
      <c r="D104" s="342"/>
      <c r="E104" s="125"/>
      <c r="F104" s="386"/>
      <c r="G104" s="342"/>
      <c r="H104" s="125"/>
      <c r="I104" s="385"/>
      <c r="J104" s="387"/>
      <c r="K104" s="125"/>
      <c r="L104" s="385"/>
      <c r="M104" s="387"/>
      <c r="N104" s="125"/>
      <c r="O104" s="123"/>
      <c r="P104" s="127"/>
      <c r="Q104" s="125"/>
      <c r="R104" s="123"/>
      <c r="S104" s="127"/>
      <c r="T104" s="125"/>
      <c r="U104" s="123"/>
      <c r="V104" s="127"/>
      <c r="W104" s="125"/>
      <c r="X104" s="123"/>
      <c r="Y104" s="127"/>
      <c r="Z104" s="125"/>
      <c r="AA104" s="123"/>
      <c r="AB104" s="127"/>
      <c r="AC104" s="125"/>
      <c r="AD104" s="123"/>
      <c r="AE104" s="127"/>
      <c r="AF104" s="125"/>
      <c r="AG104" s="123"/>
      <c r="AH104" s="127"/>
      <c r="AI104" s="125"/>
      <c r="AJ104" s="123"/>
      <c r="AK104" s="127"/>
      <c r="AL104" s="125"/>
      <c r="AM104" s="123"/>
      <c r="AN104" s="127"/>
      <c r="AO104" s="125"/>
      <c r="AP104" s="123"/>
      <c r="AQ104" s="127"/>
      <c r="AR104" s="125"/>
      <c r="AS104" s="123"/>
      <c r="AT104" s="127"/>
      <c r="AU104" s="125"/>
      <c r="AV104" s="123"/>
      <c r="AW104" s="127">
        <v>28</v>
      </c>
      <c r="AX104" s="77">
        <f>SUM(AV104:AW104)</f>
        <v>28</v>
      </c>
      <c r="AY104" s="123"/>
      <c r="AZ104" s="127">
        <v>39</v>
      </c>
      <c r="BA104" s="77">
        <f>SUM(AY104:AZ104)</f>
        <v>39</v>
      </c>
      <c r="BB104" s="123"/>
      <c r="BC104" s="127">
        <v>40</v>
      </c>
      <c r="BD104" s="77">
        <f>SUM(BB104:BC104)</f>
        <v>40</v>
      </c>
      <c r="BE104" s="123"/>
      <c r="BF104" s="127">
        <v>41</v>
      </c>
      <c r="BG104" s="77">
        <f>SUM(BE104:BF104)</f>
        <v>41</v>
      </c>
      <c r="BH104" s="123"/>
      <c r="BI104" s="127">
        <v>39</v>
      </c>
      <c r="BJ104" s="77">
        <f>SUM(BH104:BI104)</f>
        <v>39</v>
      </c>
    </row>
    <row r="105" spans="1:62" s="38" customFormat="1" ht="15" customHeight="1" x14ac:dyDescent="0.3">
      <c r="A105" s="147"/>
      <c r="B105" s="287" t="s">
        <v>92</v>
      </c>
      <c r="C105" s="288"/>
      <c r="D105" s="289"/>
      <c r="E105" s="203"/>
      <c r="F105" s="288"/>
      <c r="G105" s="289"/>
      <c r="H105" s="203"/>
      <c r="I105" s="288"/>
      <c r="J105" s="289"/>
      <c r="K105" s="203"/>
      <c r="L105" s="288"/>
      <c r="M105" s="289"/>
      <c r="N105" s="203"/>
      <c r="O105" s="288"/>
      <c r="P105" s="289"/>
      <c r="Q105" s="203"/>
      <c r="R105" s="288"/>
      <c r="S105" s="289"/>
      <c r="T105" s="203"/>
      <c r="U105" s="288"/>
      <c r="V105" s="289"/>
      <c r="W105" s="203"/>
      <c r="X105" s="288"/>
      <c r="Y105" s="289"/>
      <c r="Z105" s="203"/>
      <c r="AA105" s="288">
        <f>SUM(AA102)</f>
        <v>30</v>
      </c>
      <c r="AB105" s="289">
        <f t="shared" ref="AB105:AR105" si="125">SUM(AB102)</f>
        <v>26</v>
      </c>
      <c r="AC105" s="203">
        <f t="shared" si="125"/>
        <v>56</v>
      </c>
      <c r="AD105" s="288">
        <f t="shared" si="125"/>
        <v>0</v>
      </c>
      <c r="AE105" s="289">
        <f t="shared" si="125"/>
        <v>26</v>
      </c>
      <c r="AF105" s="203">
        <f t="shared" si="125"/>
        <v>26</v>
      </c>
      <c r="AG105" s="288">
        <f t="shared" si="125"/>
        <v>19</v>
      </c>
      <c r="AH105" s="289">
        <f t="shared" si="125"/>
        <v>36</v>
      </c>
      <c r="AI105" s="203">
        <f t="shared" si="125"/>
        <v>55</v>
      </c>
      <c r="AJ105" s="288">
        <f t="shared" si="125"/>
        <v>30</v>
      </c>
      <c r="AK105" s="289">
        <f t="shared" si="125"/>
        <v>17</v>
      </c>
      <c r="AL105" s="203">
        <f t="shared" si="125"/>
        <v>47</v>
      </c>
      <c r="AM105" s="288">
        <f t="shared" si="125"/>
        <v>37</v>
      </c>
      <c r="AN105" s="289">
        <f t="shared" si="125"/>
        <v>41</v>
      </c>
      <c r="AO105" s="203">
        <f t="shared" si="125"/>
        <v>78</v>
      </c>
      <c r="AP105" s="288">
        <f>SUM(AP102)</f>
        <v>31</v>
      </c>
      <c r="AQ105" s="289">
        <f t="shared" si="125"/>
        <v>50</v>
      </c>
      <c r="AR105" s="203">
        <f t="shared" si="125"/>
        <v>81</v>
      </c>
      <c r="AS105" s="288">
        <f>SUM(AS102)</f>
        <v>34</v>
      </c>
      <c r="AT105" s="290">
        <f>SUM(AT102:AT103)</f>
        <v>61</v>
      </c>
      <c r="AU105" s="388">
        <f>SUM(AU102:AU103)</f>
        <v>95</v>
      </c>
      <c r="AV105" s="288">
        <f>SUM(AV102)</f>
        <v>0</v>
      </c>
      <c r="AW105" s="290">
        <f>SUM(AW102:AW104)</f>
        <v>102</v>
      </c>
      <c r="AX105" s="388">
        <f>SUM(AX102:AX104)</f>
        <v>102</v>
      </c>
      <c r="AY105" s="288">
        <f>SUM(AY102)</f>
        <v>0</v>
      </c>
      <c r="AZ105" s="290">
        <f>SUM(AZ102:AZ104)</f>
        <v>115</v>
      </c>
      <c r="BA105" s="388">
        <f>SUM(BA102:BA104)</f>
        <v>115</v>
      </c>
      <c r="BB105" s="288">
        <f>SUM(BB102)</f>
        <v>0</v>
      </c>
      <c r="BC105" s="290">
        <f>SUM(BC102:BC104)</f>
        <v>118</v>
      </c>
      <c r="BD105" s="388">
        <f>SUM(BD102:BD104)</f>
        <v>118</v>
      </c>
      <c r="BE105" s="288">
        <f>SUM(BE102)</f>
        <v>0</v>
      </c>
      <c r="BF105" s="290">
        <f>SUM(BF102:BF104)</f>
        <v>122</v>
      </c>
      <c r="BG105" s="388">
        <f>SUM(BG102:BG104)</f>
        <v>122</v>
      </c>
      <c r="BH105" s="288">
        <f>SUM(BH102)</f>
        <v>0</v>
      </c>
      <c r="BI105" s="290">
        <f>SUM(BI102:BI104)</f>
        <v>119</v>
      </c>
      <c r="BJ105" s="388">
        <f>SUM(BJ102:BJ104)</f>
        <v>119</v>
      </c>
    </row>
    <row r="106" spans="1:62" s="38" customFormat="1" ht="15" customHeight="1" x14ac:dyDescent="0.3">
      <c r="A106" s="147"/>
      <c r="B106" s="131" t="s">
        <v>127</v>
      </c>
      <c r="C106" s="132"/>
      <c r="D106" s="133"/>
      <c r="E106" s="134"/>
      <c r="F106" s="133"/>
      <c r="G106" s="133"/>
      <c r="H106" s="133"/>
      <c r="I106" s="132"/>
      <c r="J106" s="133"/>
      <c r="K106" s="134"/>
      <c r="L106" s="133"/>
      <c r="M106" s="133"/>
      <c r="N106" s="133"/>
      <c r="O106" s="132"/>
      <c r="P106" s="133"/>
      <c r="Q106" s="134"/>
      <c r="R106" s="133"/>
      <c r="S106" s="133"/>
      <c r="T106" s="133"/>
      <c r="U106" s="132"/>
      <c r="V106" s="133"/>
      <c r="W106" s="134"/>
      <c r="X106" s="133"/>
      <c r="Y106" s="133"/>
      <c r="Z106" s="134"/>
      <c r="AA106" s="132">
        <f>SUM(AA105,AA101,AA97)</f>
        <v>85</v>
      </c>
      <c r="AB106" s="133">
        <f t="shared" ref="AB106:BD106" si="126">SUM(AB105,AB101,AB97)</f>
        <v>88</v>
      </c>
      <c r="AC106" s="134">
        <f t="shared" si="126"/>
        <v>173</v>
      </c>
      <c r="AD106" s="132">
        <f t="shared" si="126"/>
        <v>0</v>
      </c>
      <c r="AE106" s="133">
        <f t="shared" si="126"/>
        <v>89</v>
      </c>
      <c r="AF106" s="134">
        <f t="shared" si="126"/>
        <v>89</v>
      </c>
      <c r="AG106" s="132">
        <f t="shared" si="126"/>
        <v>67</v>
      </c>
      <c r="AH106" s="133">
        <f t="shared" si="126"/>
        <v>109</v>
      </c>
      <c r="AI106" s="134">
        <f t="shared" si="126"/>
        <v>176</v>
      </c>
      <c r="AJ106" s="132">
        <f t="shared" si="126"/>
        <v>51</v>
      </c>
      <c r="AK106" s="133">
        <f t="shared" si="126"/>
        <v>93</v>
      </c>
      <c r="AL106" s="134">
        <f t="shared" si="126"/>
        <v>144</v>
      </c>
      <c r="AM106" s="132">
        <f t="shared" si="126"/>
        <v>59</v>
      </c>
      <c r="AN106" s="133">
        <f t="shared" si="126"/>
        <v>142</v>
      </c>
      <c r="AO106" s="134">
        <f t="shared" si="126"/>
        <v>201</v>
      </c>
      <c r="AP106" s="132">
        <f t="shared" si="126"/>
        <v>80</v>
      </c>
      <c r="AQ106" s="133">
        <f t="shared" si="126"/>
        <v>142</v>
      </c>
      <c r="AR106" s="134">
        <f t="shared" si="126"/>
        <v>222</v>
      </c>
      <c r="AS106" s="132">
        <f t="shared" si="126"/>
        <v>114</v>
      </c>
      <c r="AT106" s="133">
        <f t="shared" si="126"/>
        <v>188</v>
      </c>
      <c r="AU106" s="134">
        <f t="shared" si="126"/>
        <v>302</v>
      </c>
      <c r="AV106" s="132">
        <f t="shared" si="126"/>
        <v>49</v>
      </c>
      <c r="AW106" s="133">
        <f t="shared" si="126"/>
        <v>296</v>
      </c>
      <c r="AX106" s="134">
        <f t="shared" si="126"/>
        <v>345</v>
      </c>
      <c r="AY106" s="132">
        <f t="shared" si="126"/>
        <v>30</v>
      </c>
      <c r="AZ106" s="133">
        <f t="shared" si="126"/>
        <v>348</v>
      </c>
      <c r="BA106" s="134">
        <f t="shared" si="126"/>
        <v>378</v>
      </c>
      <c r="BB106" s="132">
        <f t="shared" si="126"/>
        <v>29</v>
      </c>
      <c r="BC106" s="133">
        <f t="shared" si="126"/>
        <v>353</v>
      </c>
      <c r="BD106" s="134">
        <f t="shared" si="126"/>
        <v>382</v>
      </c>
      <c r="BE106" s="132">
        <f t="shared" ref="BE106:BG106" si="127">SUM(BE105,BE101,BE97)</f>
        <v>32</v>
      </c>
      <c r="BF106" s="133">
        <f t="shared" si="127"/>
        <v>339</v>
      </c>
      <c r="BG106" s="134">
        <f t="shared" si="127"/>
        <v>371</v>
      </c>
      <c r="BH106" s="132">
        <f t="shared" ref="BH106:BJ106" si="128">SUM(BH105,BH101,BH97)</f>
        <v>31</v>
      </c>
      <c r="BI106" s="133">
        <f t="shared" si="128"/>
        <v>347</v>
      </c>
      <c r="BJ106" s="134">
        <f t="shared" si="128"/>
        <v>378</v>
      </c>
    </row>
    <row r="107" spans="1:62" s="38" customFormat="1" ht="15" customHeight="1" x14ac:dyDescent="0.25">
      <c r="A107" s="147"/>
      <c r="B107" s="389"/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Z107" s="315"/>
      <c r="AA107" s="315"/>
      <c r="AB107" s="342"/>
      <c r="AC107" s="342"/>
      <c r="AD107" s="315"/>
      <c r="AE107" s="342"/>
      <c r="AF107" s="342"/>
      <c r="AG107" s="315"/>
      <c r="AH107" s="342"/>
      <c r="AI107" s="342"/>
      <c r="AJ107" s="315"/>
      <c r="AK107" s="342"/>
      <c r="AL107" s="342"/>
      <c r="AM107" s="315"/>
      <c r="AN107" s="342"/>
      <c r="AO107" s="342"/>
      <c r="AP107" s="315"/>
      <c r="AQ107" s="342"/>
      <c r="AR107" s="342"/>
      <c r="AS107" s="315"/>
      <c r="AT107" s="342"/>
      <c r="AU107" s="342"/>
      <c r="AV107" s="315"/>
      <c r="AW107" s="342"/>
      <c r="AX107" s="342"/>
      <c r="AY107" s="315"/>
      <c r="AZ107" s="342"/>
      <c r="BA107" s="342"/>
      <c r="BB107" s="315"/>
      <c r="BC107" s="342"/>
      <c r="BD107" s="342"/>
      <c r="BE107" s="315"/>
      <c r="BF107" s="342"/>
      <c r="BG107" s="342"/>
      <c r="BH107" s="315"/>
      <c r="BI107" s="342"/>
      <c r="BJ107" s="342"/>
    </row>
    <row r="108" spans="1:62" s="161" customFormat="1" ht="15.6" x14ac:dyDescent="0.3">
      <c r="A108" s="147"/>
      <c r="B108" s="136" t="s">
        <v>128</v>
      </c>
      <c r="C108" s="390">
        <f t="shared" ref="C108:BD108" si="129">SUM(C25,C56,C78,C93,C106)</f>
        <v>3555</v>
      </c>
      <c r="D108" s="391">
        <f t="shared" si="129"/>
        <v>4762</v>
      </c>
      <c r="E108" s="392">
        <f t="shared" si="129"/>
        <v>8317</v>
      </c>
      <c r="F108" s="390">
        <f t="shared" si="129"/>
        <v>4222</v>
      </c>
      <c r="G108" s="391">
        <f t="shared" si="129"/>
        <v>5490</v>
      </c>
      <c r="H108" s="392">
        <f t="shared" si="129"/>
        <v>9712</v>
      </c>
      <c r="I108" s="390">
        <f t="shared" si="129"/>
        <v>4137</v>
      </c>
      <c r="J108" s="391">
        <f t="shared" si="129"/>
        <v>5316</v>
      </c>
      <c r="K108" s="392">
        <f t="shared" si="129"/>
        <v>9453</v>
      </c>
      <c r="L108" s="390">
        <f t="shared" si="129"/>
        <v>4019</v>
      </c>
      <c r="M108" s="391">
        <f t="shared" si="129"/>
        <v>5163</v>
      </c>
      <c r="N108" s="392">
        <f t="shared" si="129"/>
        <v>9182</v>
      </c>
      <c r="O108" s="390">
        <f t="shared" si="129"/>
        <v>4013</v>
      </c>
      <c r="P108" s="391">
        <f t="shared" si="129"/>
        <v>5251</v>
      </c>
      <c r="Q108" s="392">
        <f t="shared" si="129"/>
        <v>9264</v>
      </c>
      <c r="R108" s="390">
        <f t="shared" si="129"/>
        <v>4227</v>
      </c>
      <c r="S108" s="391">
        <f t="shared" si="129"/>
        <v>5708</v>
      </c>
      <c r="T108" s="392">
        <f t="shared" si="129"/>
        <v>9935</v>
      </c>
      <c r="U108" s="390">
        <f t="shared" si="129"/>
        <v>4004</v>
      </c>
      <c r="V108" s="391">
        <f t="shared" si="129"/>
        <v>5249</v>
      </c>
      <c r="W108" s="392">
        <f t="shared" si="129"/>
        <v>9253</v>
      </c>
      <c r="X108" s="390">
        <f t="shared" si="129"/>
        <v>4091</v>
      </c>
      <c r="Y108" s="391">
        <f t="shared" si="129"/>
        <v>5796</v>
      </c>
      <c r="Z108" s="392">
        <f t="shared" si="129"/>
        <v>9887</v>
      </c>
      <c r="AA108" s="390">
        <f t="shared" si="129"/>
        <v>4336</v>
      </c>
      <c r="AB108" s="391">
        <f t="shared" si="129"/>
        <v>5356</v>
      </c>
      <c r="AC108" s="392">
        <f t="shared" si="129"/>
        <v>9692</v>
      </c>
      <c r="AD108" s="390">
        <f t="shared" si="129"/>
        <v>3839</v>
      </c>
      <c r="AE108" s="391">
        <f t="shared" si="129"/>
        <v>5564</v>
      </c>
      <c r="AF108" s="392">
        <f t="shared" si="129"/>
        <v>9403</v>
      </c>
      <c r="AG108" s="390">
        <f t="shared" si="129"/>
        <v>4079</v>
      </c>
      <c r="AH108" s="391">
        <f t="shared" si="129"/>
        <v>5779</v>
      </c>
      <c r="AI108" s="392">
        <f t="shared" si="129"/>
        <v>9858</v>
      </c>
      <c r="AJ108" s="390">
        <f t="shared" si="129"/>
        <v>4075</v>
      </c>
      <c r="AK108" s="391">
        <f t="shared" si="129"/>
        <v>5798</v>
      </c>
      <c r="AL108" s="392">
        <f t="shared" si="129"/>
        <v>9873</v>
      </c>
      <c r="AM108" s="390">
        <f t="shared" si="129"/>
        <v>3865</v>
      </c>
      <c r="AN108" s="391">
        <f t="shared" si="129"/>
        <v>5984</v>
      </c>
      <c r="AO108" s="392">
        <f t="shared" si="129"/>
        <v>9849</v>
      </c>
      <c r="AP108" s="390">
        <f t="shared" si="129"/>
        <v>3969</v>
      </c>
      <c r="AQ108" s="391">
        <f t="shared" si="129"/>
        <v>6347</v>
      </c>
      <c r="AR108" s="392">
        <f t="shared" si="129"/>
        <v>10316</v>
      </c>
      <c r="AS108" s="390">
        <f t="shared" si="129"/>
        <v>4024</v>
      </c>
      <c r="AT108" s="391">
        <f t="shared" si="129"/>
        <v>6137</v>
      </c>
      <c r="AU108" s="392">
        <f t="shared" si="129"/>
        <v>10161</v>
      </c>
      <c r="AV108" s="390">
        <f t="shared" si="129"/>
        <v>3882</v>
      </c>
      <c r="AW108" s="391">
        <f t="shared" si="129"/>
        <v>6204</v>
      </c>
      <c r="AX108" s="392">
        <f t="shared" si="129"/>
        <v>10086</v>
      </c>
      <c r="AY108" s="390">
        <f t="shared" si="129"/>
        <v>4063</v>
      </c>
      <c r="AZ108" s="391">
        <f t="shared" si="129"/>
        <v>6857</v>
      </c>
      <c r="BA108" s="392">
        <f t="shared" si="129"/>
        <v>10920</v>
      </c>
      <c r="BB108" s="390">
        <f t="shared" si="129"/>
        <v>4035</v>
      </c>
      <c r="BC108" s="391">
        <f t="shared" si="129"/>
        <v>6401</v>
      </c>
      <c r="BD108" s="392">
        <f t="shared" si="129"/>
        <v>10436</v>
      </c>
      <c r="BE108" s="390">
        <f t="shared" ref="BE108:BG108" si="130">SUM(BE25,BE56,BE78,BE93,BE106)</f>
        <v>4038</v>
      </c>
      <c r="BF108" s="391">
        <f t="shared" si="130"/>
        <v>6049</v>
      </c>
      <c r="BG108" s="392">
        <f t="shared" si="130"/>
        <v>10087</v>
      </c>
      <c r="BH108" s="390">
        <f t="shared" ref="BH108:BJ108" si="131">SUM(BH25,BH56,BH78,BH93,BH106)</f>
        <v>4110</v>
      </c>
      <c r="BI108" s="391">
        <f t="shared" si="131"/>
        <v>6232</v>
      </c>
      <c r="BJ108" s="392">
        <f t="shared" si="131"/>
        <v>10342</v>
      </c>
    </row>
    <row r="109" spans="1:62" s="38" customFormat="1" ht="14.4" x14ac:dyDescent="0.25">
      <c r="A109" s="328"/>
      <c r="B109" s="393"/>
      <c r="C109" s="328"/>
      <c r="D109" s="328"/>
      <c r="E109" s="328"/>
      <c r="F109" s="328"/>
      <c r="G109" s="328"/>
      <c r="H109" s="328"/>
      <c r="I109" s="328"/>
      <c r="J109" s="328"/>
      <c r="K109" s="328"/>
      <c r="L109" s="328"/>
      <c r="M109" s="328"/>
      <c r="N109" s="328"/>
      <c r="O109" s="328"/>
      <c r="P109" s="328"/>
      <c r="Q109" s="328"/>
      <c r="R109" s="328"/>
      <c r="S109" s="328"/>
      <c r="T109" s="328"/>
      <c r="U109" s="328"/>
      <c r="V109" s="328"/>
      <c r="W109" s="328"/>
      <c r="X109" s="328"/>
      <c r="Y109" s="328"/>
      <c r="Z109" s="328"/>
      <c r="AA109" s="389"/>
      <c r="AB109" s="328"/>
      <c r="AC109" s="328"/>
      <c r="AD109" s="328"/>
      <c r="AE109" s="328"/>
      <c r="AF109" s="328"/>
    </row>
    <row r="110" spans="1:62" x14ac:dyDescent="0.25">
      <c r="B110" s="393" t="s">
        <v>151</v>
      </c>
      <c r="C110" s="204"/>
      <c r="AA110" s="389"/>
    </row>
  </sheetData>
  <mergeCells count="21">
    <mergeCell ref="BH3:BJ3"/>
    <mergeCell ref="AJ3:AL3"/>
    <mergeCell ref="AM3:AO3"/>
    <mergeCell ref="AG3:AI3"/>
    <mergeCell ref="B3:B4"/>
    <mergeCell ref="C3:E3"/>
    <mergeCell ref="F3:H3"/>
    <mergeCell ref="I3:K3"/>
    <mergeCell ref="L3:N3"/>
    <mergeCell ref="O3:Q3"/>
    <mergeCell ref="R3:T3"/>
    <mergeCell ref="U3:W3"/>
    <mergeCell ref="X3:Z3"/>
    <mergeCell ref="AA3:AC3"/>
    <mergeCell ref="AD3:AF3"/>
    <mergeCell ref="AP3:AR3"/>
    <mergeCell ref="AS3:AU3"/>
    <mergeCell ref="AV3:AX3"/>
    <mergeCell ref="AY3:BA3"/>
    <mergeCell ref="BE3:BG3"/>
    <mergeCell ref="BB3:BD3"/>
  </mergeCells>
  <hyperlinks>
    <hyperlink ref="B2" r:id="rId1" display="http://www.transparencia.uam.mx/inforganos/anuarios/_x000a_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scale="58" firstPageNumber="13" pageOrder="overThenDown" orientation="landscape" useFirstPageNumber="1" r:id="rId2"/>
  <headerFooter scaleWithDoc="0" alignWithMargins="0">
    <oddFooter>&amp;R&amp;P</oddFooter>
  </headerFooter>
  <rowBreaks count="1" manualBreakCount="1">
    <brk id="56" max="16383" man="1"/>
  </rowBreaks>
  <colBreaks count="2" manualBreakCount="2">
    <brk id="20" max="101" man="1"/>
    <brk id="38" max="101" man="1"/>
  </colBreaks>
  <ignoredErrors>
    <ignoredError sqref="AX101:BG101 AX15:BG87 AY105:BG105" formula="1"/>
  </ignoredError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85</vt:i4>
      </vt:variant>
      <vt:variant>
        <vt:lpstr>Rangos con nombre</vt:lpstr>
      </vt:variant>
      <vt:variant>
        <vt:i4>145</vt:i4>
      </vt:variant>
    </vt:vector>
  </HeadingPairs>
  <TitlesOfParts>
    <vt:vector size="230" baseType="lpstr">
      <vt:lpstr>Portada</vt:lpstr>
      <vt:lpstr>Indice</vt:lpstr>
      <vt:lpstr>Aspirantes plan</vt:lpstr>
      <vt:lpstr>Aspirantes uni</vt:lpstr>
      <vt:lpstr>Asp x gen</vt:lpstr>
      <vt:lpstr>Admitidos plan</vt:lpstr>
      <vt:lpstr>Admitidos uni</vt:lpstr>
      <vt:lpstr>Admitidos x gen</vt:lpstr>
      <vt:lpstr>Inscritos plan</vt:lpstr>
      <vt:lpstr>Inscritos uni</vt:lpstr>
      <vt:lpstr>Matrícula plan</vt:lpstr>
      <vt:lpstr>Matricula uni</vt:lpstr>
      <vt:lpstr>BAJAS-DEF uni</vt:lpstr>
      <vt:lpstr>BAJAS-REG uni</vt:lpstr>
      <vt:lpstr>ACTIVOS plan</vt:lpstr>
      <vt:lpstr>ACTIVOS uni</vt:lpstr>
      <vt:lpstr>EGRESO plan</vt:lpstr>
      <vt:lpstr>EGRESO uni</vt:lpstr>
      <vt:lpstr>egresados x gen</vt:lpstr>
      <vt:lpstr>EGRESO-ACUM plan</vt:lpstr>
      <vt:lpstr>EGR-ACUM uni</vt:lpstr>
      <vt:lpstr>TITULADOS plan</vt:lpstr>
      <vt:lpstr>TITULADOS uni</vt:lpstr>
      <vt:lpstr>Planes de Lic.</vt:lpstr>
      <vt:lpstr>Planes de calidad-Resumen</vt:lpstr>
      <vt:lpstr>Activos Lic-Pos</vt:lpstr>
      <vt:lpstr>Egresados Lic-Pos</vt:lpstr>
      <vt:lpstr>INSC-POSG plan</vt:lpstr>
      <vt:lpstr>INSC-POSG uni</vt:lpstr>
      <vt:lpstr>MATRICULA-POS plan</vt:lpstr>
      <vt:lpstr>MATRICULA-POS uni</vt:lpstr>
      <vt:lpstr>ACTIVOS-POS plan</vt:lpstr>
      <vt:lpstr>ACTIVOS-POS uni</vt:lpstr>
      <vt:lpstr>EGRESO-POS plan</vt:lpstr>
      <vt:lpstr>EGRESO-POs uni</vt:lpstr>
      <vt:lpstr>EGRESO POS ACUM plan</vt:lpstr>
      <vt:lpstr>EGRESO-POS ACUM uni</vt:lpstr>
      <vt:lpstr>Planes de Posgrado</vt:lpstr>
      <vt:lpstr>planes de calidad resumen</vt:lpstr>
      <vt:lpstr>Becas UAM pagadas</vt:lpstr>
      <vt:lpstr>Manutención plan</vt:lpstr>
      <vt:lpstr>Manutención uni</vt:lpstr>
      <vt:lpstr>1 Excelencia plan</vt:lpstr>
      <vt:lpstr>2 Gpos Vuln</vt:lpstr>
      <vt:lpstr>3 Serv Social</vt:lpstr>
      <vt:lpstr>4 Continuación</vt:lpstr>
      <vt:lpstr>5.1 Lenguas Ext_Lic</vt:lpstr>
      <vt:lpstr>5.2 Lenguas Ext_Pos</vt:lpstr>
      <vt:lpstr>5.3 Lenguas Ext_L</vt:lpstr>
      <vt:lpstr>5.4 Lenguas Ext_P</vt:lpstr>
      <vt:lpstr>6 Mov Inter Lic</vt:lpstr>
      <vt:lpstr>7 Mov Nal Lic</vt:lpstr>
      <vt:lpstr>8 Partic Lic</vt:lpstr>
      <vt:lpstr>9 Posgrado UAM</vt:lpstr>
      <vt:lpstr>10 Evento de difusión</vt:lpstr>
      <vt:lpstr>11 Movilidad Posgrado (Alum)</vt:lpstr>
      <vt:lpstr>12 Mov Pos ext (Part)</vt:lpstr>
      <vt:lpstr>13 Mov Pos nal (Part)</vt:lpstr>
      <vt:lpstr>14 Mov Nal Pos</vt:lpstr>
      <vt:lpstr>15 Movilidad virtual Lic</vt:lpstr>
      <vt:lpstr>16 Estancias de Inv.</vt:lpstr>
      <vt:lpstr>17 Superacion Acad</vt:lpstr>
      <vt:lpstr>18. Beca para Estancias de Inv</vt:lpstr>
      <vt:lpstr>18. Apoyos Extra pos</vt:lpstr>
      <vt:lpstr>19. Becas para espec</vt:lpstr>
      <vt:lpstr>20. Becas para Tit Pos</vt:lpstr>
      <vt:lpstr>21. Monitores</vt:lpstr>
      <vt:lpstr>Definitivo x categoría</vt:lpstr>
      <vt:lpstr>Definitivo x género</vt:lpstr>
      <vt:lpstr>ACAD x EDAD</vt:lpstr>
      <vt:lpstr>ACAD x ANTIG</vt:lpstr>
      <vt:lpstr>Alumnos x PTC</vt:lpstr>
      <vt:lpstr>becas y estímulos</vt:lpstr>
      <vt:lpstr>PAD x GRADO</vt:lpstr>
      <vt:lpstr>PRODEP PERFIL</vt:lpstr>
      <vt:lpstr>SNI</vt:lpstr>
      <vt:lpstr>Cuerpos Acad</vt:lpstr>
      <vt:lpstr>Act de Investigacion</vt:lpstr>
      <vt:lpstr>TIPPA PROD TOTAL</vt:lpstr>
      <vt:lpstr>DEPORTES</vt:lpstr>
      <vt:lpstr>ADMI X EDAD</vt:lpstr>
      <vt:lpstr>ADMI X ANTIG</vt:lpstr>
      <vt:lpstr>RECURSOS EXT</vt:lpstr>
      <vt:lpstr>Convenios</vt:lpstr>
      <vt:lpstr>Patentes</vt:lpstr>
      <vt:lpstr>'1 Excelencia plan'!Área_de_impresión</vt:lpstr>
      <vt:lpstr>'10 Evento de difusión'!Área_de_impresión</vt:lpstr>
      <vt:lpstr>'11 Movilidad Posgrado (Alum)'!Área_de_impresión</vt:lpstr>
      <vt:lpstr>'12 Mov Pos ext (Part)'!Área_de_impresión</vt:lpstr>
      <vt:lpstr>'14 Mov Nal Pos'!Área_de_impresión</vt:lpstr>
      <vt:lpstr>'15 Movilidad virtual Lic'!Área_de_impresión</vt:lpstr>
      <vt:lpstr>'16 Estancias de Inv.'!Área_de_impresión</vt:lpstr>
      <vt:lpstr>'17 Superacion Acad'!Área_de_impresión</vt:lpstr>
      <vt:lpstr>'18. Apoyos Extra pos'!Área_de_impresión</vt:lpstr>
      <vt:lpstr>'2 Gpos Vuln'!Área_de_impresión</vt:lpstr>
      <vt:lpstr>'20. Becas para Tit Pos'!Área_de_impresión</vt:lpstr>
      <vt:lpstr>'21. Monitores'!Área_de_impresión</vt:lpstr>
      <vt:lpstr>'3 Serv Social'!Área_de_impresión</vt:lpstr>
      <vt:lpstr>'4 Continuación'!Área_de_impresión</vt:lpstr>
      <vt:lpstr>'5.1 Lenguas Ext_Lic'!Área_de_impresión</vt:lpstr>
      <vt:lpstr>'5.2 Lenguas Ext_Pos'!Área_de_impresión</vt:lpstr>
      <vt:lpstr>'5.3 Lenguas Ext_L'!Área_de_impresión</vt:lpstr>
      <vt:lpstr>'5.4 Lenguas Ext_P'!Área_de_impresión</vt:lpstr>
      <vt:lpstr>'6 Mov Inter Lic'!Área_de_impresión</vt:lpstr>
      <vt:lpstr>'7 Mov Nal Lic'!Área_de_impresión</vt:lpstr>
      <vt:lpstr>'8 Partic Lic'!Área_de_impresión</vt:lpstr>
      <vt:lpstr>'9 Posgrado UAM'!Área_de_impresión</vt:lpstr>
      <vt:lpstr>'ACAD x ANTIG'!Área_de_impresión</vt:lpstr>
      <vt:lpstr>'ACAD x EDAD'!Área_de_impresión</vt:lpstr>
      <vt:lpstr>'Act de Investigacion'!Área_de_impresión</vt:lpstr>
      <vt:lpstr>'Activos Lic-Pos'!Área_de_impresión</vt:lpstr>
      <vt:lpstr>'ACTIVOS plan'!Área_de_impresión</vt:lpstr>
      <vt:lpstr>'ACTIVOS uni'!Área_de_impresión</vt:lpstr>
      <vt:lpstr>'ACTIVOS-POS plan'!Área_de_impresión</vt:lpstr>
      <vt:lpstr>'ACTIVOS-POS uni'!Área_de_impresión</vt:lpstr>
      <vt:lpstr>'ADMI X ANTIG'!Área_de_impresión</vt:lpstr>
      <vt:lpstr>'ADMI X EDAD'!Área_de_impresión</vt:lpstr>
      <vt:lpstr>'Admitidos plan'!Área_de_impresión</vt:lpstr>
      <vt:lpstr>'Admitidos uni'!Área_de_impresión</vt:lpstr>
      <vt:lpstr>'Admitidos x gen'!Área_de_impresión</vt:lpstr>
      <vt:lpstr>'Alumnos x PTC'!Área_de_impresión</vt:lpstr>
      <vt:lpstr>'Asp x gen'!Área_de_impresión</vt:lpstr>
      <vt:lpstr>'Aspirantes plan'!Área_de_impresión</vt:lpstr>
      <vt:lpstr>'Aspirantes uni'!Área_de_impresión</vt:lpstr>
      <vt:lpstr>'BAJAS-DEF uni'!Área_de_impresión</vt:lpstr>
      <vt:lpstr>'BAJAS-REG uni'!Área_de_impresión</vt:lpstr>
      <vt:lpstr>'Becas UAM pagadas'!Área_de_impresión</vt:lpstr>
      <vt:lpstr>'becas y estímulos'!Área_de_impresión</vt:lpstr>
      <vt:lpstr>Convenios!Área_de_impresión</vt:lpstr>
      <vt:lpstr>'Cuerpos Acad'!Área_de_impresión</vt:lpstr>
      <vt:lpstr>'Definitivo x categoría'!Área_de_impresión</vt:lpstr>
      <vt:lpstr>'Definitivo x género'!Área_de_impresión</vt:lpstr>
      <vt:lpstr>DEPORTES!Área_de_impresión</vt:lpstr>
      <vt:lpstr>'EGR-ACUM uni'!Área_de_impresión</vt:lpstr>
      <vt:lpstr>'Egresados Lic-Pos'!Área_de_impresión</vt:lpstr>
      <vt:lpstr>'egresados x gen'!Área_de_impresión</vt:lpstr>
      <vt:lpstr>'EGRESO plan'!Área_de_impresión</vt:lpstr>
      <vt:lpstr>'EGRESO POS ACUM plan'!Área_de_impresión</vt:lpstr>
      <vt:lpstr>'EGRESO uni'!Área_de_impresión</vt:lpstr>
      <vt:lpstr>'EGRESO-ACUM plan'!Área_de_impresión</vt:lpstr>
      <vt:lpstr>'EGRESO-POS ACUM uni'!Área_de_impresión</vt:lpstr>
      <vt:lpstr>'EGRESO-POS plan'!Área_de_impresión</vt:lpstr>
      <vt:lpstr>'EGRESO-POs uni'!Área_de_impresión</vt:lpstr>
      <vt:lpstr>'INSC-POSG plan'!Área_de_impresión</vt:lpstr>
      <vt:lpstr>'INSC-POSG uni'!Área_de_impresión</vt:lpstr>
      <vt:lpstr>'Inscritos plan'!Área_de_impresión</vt:lpstr>
      <vt:lpstr>'Inscritos uni'!Área_de_impresión</vt:lpstr>
      <vt:lpstr>'Manutención plan'!Área_de_impresión</vt:lpstr>
      <vt:lpstr>'Manutención uni'!Área_de_impresión</vt:lpstr>
      <vt:lpstr>'Matrícula plan'!Área_de_impresión</vt:lpstr>
      <vt:lpstr>'Matricula uni'!Área_de_impresión</vt:lpstr>
      <vt:lpstr>'MATRICULA-POS plan'!Área_de_impresión</vt:lpstr>
      <vt:lpstr>'MATRICULA-POS uni'!Área_de_impresión</vt:lpstr>
      <vt:lpstr>'PAD x GRADO'!Área_de_impresión</vt:lpstr>
      <vt:lpstr>Patentes!Área_de_impresión</vt:lpstr>
      <vt:lpstr>'planes de calidad resumen'!Área_de_impresión</vt:lpstr>
      <vt:lpstr>'Planes de calidad-Resumen'!Área_de_impresión</vt:lpstr>
      <vt:lpstr>'Planes de Lic.'!Área_de_impresión</vt:lpstr>
      <vt:lpstr>Portada!Área_de_impresión</vt:lpstr>
      <vt:lpstr>'PRODEP PERFIL'!Área_de_impresión</vt:lpstr>
      <vt:lpstr>'RECURSOS EXT'!Área_de_impresión</vt:lpstr>
      <vt:lpstr>SNI!Área_de_impresión</vt:lpstr>
      <vt:lpstr>'TIPPA PROD TOTAL'!Área_de_impresión</vt:lpstr>
      <vt:lpstr>'TITULADOS plan'!Área_de_impresión</vt:lpstr>
      <vt:lpstr>'TITULADOS uni'!Área_de_impresión</vt:lpstr>
      <vt:lpstr>'1 Excelencia plan'!Títulos_a_imprimir</vt:lpstr>
      <vt:lpstr>'10 Evento de difusión'!Títulos_a_imprimir</vt:lpstr>
      <vt:lpstr>'11 Movilidad Posgrado (Alum)'!Títulos_a_imprimir</vt:lpstr>
      <vt:lpstr>'12 Mov Pos ext (Part)'!Títulos_a_imprimir</vt:lpstr>
      <vt:lpstr>'16 Estancias de Inv.'!Títulos_a_imprimir</vt:lpstr>
      <vt:lpstr>'17 Superacion Acad'!Títulos_a_imprimir</vt:lpstr>
      <vt:lpstr>'18. Apoyos Extra pos'!Títulos_a_imprimir</vt:lpstr>
      <vt:lpstr>'2 Gpos Vuln'!Títulos_a_imprimir</vt:lpstr>
      <vt:lpstr>'20. Becas para Tit Pos'!Títulos_a_imprimir</vt:lpstr>
      <vt:lpstr>'3 Serv Social'!Títulos_a_imprimir</vt:lpstr>
      <vt:lpstr>'4 Continuación'!Títulos_a_imprimir</vt:lpstr>
      <vt:lpstr>'5.1 Lenguas Ext_Lic'!Títulos_a_imprimir</vt:lpstr>
      <vt:lpstr>'5.2 Lenguas Ext_Pos'!Títulos_a_imprimir</vt:lpstr>
      <vt:lpstr>'5.3 Lenguas Ext_L'!Títulos_a_imprimir</vt:lpstr>
      <vt:lpstr>'6 Mov Inter Lic'!Títulos_a_imprimir</vt:lpstr>
      <vt:lpstr>'7 Mov Nal Lic'!Títulos_a_imprimir</vt:lpstr>
      <vt:lpstr>'8 Partic Lic'!Títulos_a_imprimir</vt:lpstr>
      <vt:lpstr>'9 Posgrado UAM'!Títulos_a_imprimir</vt:lpstr>
      <vt:lpstr>'ACAD x ANTIG'!Títulos_a_imprimir</vt:lpstr>
      <vt:lpstr>'ACAD x EDAD'!Títulos_a_imprimir</vt:lpstr>
      <vt:lpstr>'Act de Investigacion'!Títulos_a_imprimir</vt:lpstr>
      <vt:lpstr>'ACTIVOS plan'!Títulos_a_imprimir</vt:lpstr>
      <vt:lpstr>'ACTIVOS uni'!Títulos_a_imprimir</vt:lpstr>
      <vt:lpstr>'ACTIVOS-POS plan'!Títulos_a_imprimir</vt:lpstr>
      <vt:lpstr>'ACTIVOS-POS uni'!Títulos_a_imprimir</vt:lpstr>
      <vt:lpstr>'ADMI X ANTIG'!Títulos_a_imprimir</vt:lpstr>
      <vt:lpstr>'ADMI X EDAD'!Títulos_a_imprimir</vt:lpstr>
      <vt:lpstr>'Admitidos plan'!Títulos_a_imprimir</vt:lpstr>
      <vt:lpstr>'Admitidos uni'!Títulos_a_imprimir</vt:lpstr>
      <vt:lpstr>'Admitidos x gen'!Títulos_a_imprimir</vt:lpstr>
      <vt:lpstr>'Asp x gen'!Títulos_a_imprimir</vt:lpstr>
      <vt:lpstr>'Aspirantes plan'!Títulos_a_imprimir</vt:lpstr>
      <vt:lpstr>'Aspirantes uni'!Títulos_a_imprimir</vt:lpstr>
      <vt:lpstr>'Becas UAM pagadas'!Títulos_a_imprimir</vt:lpstr>
      <vt:lpstr>'becas y estímulos'!Títulos_a_imprimir</vt:lpstr>
      <vt:lpstr>'Cuerpos Acad'!Títulos_a_imprimir</vt:lpstr>
      <vt:lpstr>'Definitivo x categoría'!Títulos_a_imprimir</vt:lpstr>
      <vt:lpstr>'Definitivo x género'!Títulos_a_imprimir</vt:lpstr>
      <vt:lpstr>'EGR-ACUM uni'!Títulos_a_imprimir</vt:lpstr>
      <vt:lpstr>'egresados x gen'!Títulos_a_imprimir</vt:lpstr>
      <vt:lpstr>'EGRESO plan'!Títulos_a_imprimir</vt:lpstr>
      <vt:lpstr>'EGRESO POS ACUM plan'!Títulos_a_imprimir</vt:lpstr>
      <vt:lpstr>'EGRESO uni'!Títulos_a_imprimir</vt:lpstr>
      <vt:lpstr>'EGRESO-ACUM plan'!Títulos_a_imprimir</vt:lpstr>
      <vt:lpstr>'EGRESO-POS ACUM uni'!Títulos_a_imprimir</vt:lpstr>
      <vt:lpstr>'EGRESO-POS plan'!Títulos_a_imprimir</vt:lpstr>
      <vt:lpstr>'EGRESO-POs uni'!Títulos_a_imprimir</vt:lpstr>
      <vt:lpstr>'INSC-POSG plan'!Títulos_a_imprimir</vt:lpstr>
      <vt:lpstr>'INSC-POSG uni'!Títulos_a_imprimir</vt:lpstr>
      <vt:lpstr>'Inscritos plan'!Títulos_a_imprimir</vt:lpstr>
      <vt:lpstr>'Inscritos uni'!Títulos_a_imprimir</vt:lpstr>
      <vt:lpstr>'Manutención plan'!Títulos_a_imprimir</vt:lpstr>
      <vt:lpstr>'Manutención uni'!Títulos_a_imprimir</vt:lpstr>
      <vt:lpstr>'Matrícula plan'!Títulos_a_imprimir</vt:lpstr>
      <vt:lpstr>'Matricula uni'!Títulos_a_imprimir</vt:lpstr>
      <vt:lpstr>'MATRICULA-POS plan'!Títulos_a_imprimir</vt:lpstr>
      <vt:lpstr>'MATRICULA-POS uni'!Títulos_a_imprimir</vt:lpstr>
      <vt:lpstr>'PAD x GRADO'!Títulos_a_imprimir</vt:lpstr>
      <vt:lpstr>Patentes!Títulos_a_imprimir</vt:lpstr>
      <vt:lpstr>'Planes de Lic.'!Títulos_a_imprimir</vt:lpstr>
      <vt:lpstr>'Planes de Posgrado'!Títulos_a_imprimir</vt:lpstr>
      <vt:lpstr>'PRODEP PERFIL'!Títulos_a_imprimir</vt:lpstr>
      <vt:lpstr>SNI!Títulos_a_imprimir</vt:lpstr>
      <vt:lpstr>'TITULADOS plan'!Títulos_a_imprimir</vt:lpstr>
      <vt:lpstr>'TITULADOS uni'!Títulos_a_imprimir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Jesus Lumbreras Guerrero</dc:creator>
  <cp:lastModifiedBy>Otto Bazan Lugo</cp:lastModifiedBy>
  <cp:lastPrinted>2023-02-22T17:50:25Z</cp:lastPrinted>
  <dcterms:created xsi:type="dcterms:W3CDTF">2021-06-15T16:31:01Z</dcterms:created>
  <dcterms:modified xsi:type="dcterms:W3CDTF">2023-04-10T23:22:03Z</dcterms:modified>
</cp:coreProperties>
</file>